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 codeName="{B08E4597-CF32-672E-EC9B-63DB714DCB7F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BEX\IBEX Documentation Central\External Documents\Journal Entry\GL Spreadsheet\"/>
    </mc:Choice>
  </mc:AlternateContent>
  <xr:revisionPtr revIDLastSave="0" documentId="13_ncr:1_{BC943AC8-CF1C-4500-B817-3D527FBC6099}" xr6:coauthVersionLast="45" xr6:coauthVersionMax="45" xr10:uidLastSave="{00000000-0000-0000-0000-000000000000}"/>
  <workbookProtection workbookAlgorithmName="SHA-512" workbookHashValue="pIBnGXTdCRMSz9Zu+dWiaY2FkSnDiA94ZZ5a7Fb6SsC6twlX0Ymu9+91zir5Cy/fd+XIzLjkG/mD3uVb6UW12w==" workbookSaltValue="mAG+kBsiXKoAnrmE+76Q4w==" workbookSpinCount="100000" lockStructure="1"/>
  <bookViews>
    <workbookView xWindow="-120" yWindow="-120" windowWidth="20730" windowHeight="11160" tabRatio="608" xr2:uid="{00000000-000D-0000-FFFF-FFFF00000000}"/>
  </bookViews>
  <sheets>
    <sheet name="Main" sheetId="26" r:id="rId1"/>
    <sheet name="Config" sheetId="13" r:id="rId2"/>
    <sheet name="GLCode" sheetId="3" r:id="rId3"/>
    <sheet name="Employee" sheetId="2" r:id="rId4"/>
    <sheet name="Department" sheetId="4" r:id="rId5"/>
    <sheet name="JEItem" sheetId="5" r:id="rId6"/>
    <sheet name="Pay" sheetId="10" r:id="rId7"/>
    <sheet name="Settings" sheetId="22" state="hidden" r:id="rId8"/>
    <sheet name="IssueLog" sheetId="23" state="hidden" r:id="rId9"/>
    <sheet name="Log" sheetId="24" state="hidden" r:id="rId10"/>
    <sheet name="Error" sheetId="25" state="hidden" r:id="rId11"/>
    <sheet name="DV-IDENTITY-0" sheetId="30" state="veryHidden" r:id="rId12"/>
  </sheets>
  <functionGroups builtInGroupCount="19"/>
  <definedNames>
    <definedName name="_xlnm._FilterDatabase" localSheetId="1" hidden="1">Config!$A$1:$S$1</definedName>
    <definedName name="_xlnm._FilterDatabase" localSheetId="4" hidden="1">Department!$A$1:$A$96</definedName>
    <definedName name="_xlnm._FilterDatabase" localSheetId="3" hidden="1">Employee!$A$1:$H$1539</definedName>
    <definedName name="_xlnm._FilterDatabase" localSheetId="2" hidden="1">GLCode!$A$1:$C$1</definedName>
    <definedName name="_xlnm._FilterDatabase" localSheetId="5" hidden="1">JEItem!$A$1:$E$1</definedName>
    <definedName name="_xlnm._FilterDatabase" localSheetId="6" hidden="1">Pay!$A$1:$M$1</definedName>
    <definedName name="EndPoint">Settings!$B$6</definedName>
    <definedName name="Options1">OFFSET(#REF!,0,0,COUNTA(#REF!),1)</definedName>
    <definedName name="_xlnm.Print_Area" localSheetId="0">Main!#REF!</definedName>
    <definedName name="printRange">Main!#REF!</definedName>
    <definedName name="UserName">Settings!$B$2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22" l="1"/>
  <c r="A585" i="30" l="1"/>
  <c r="B585" i="30"/>
  <c r="C585" i="30"/>
  <c r="D585" i="30"/>
  <c r="E585" i="30"/>
  <c r="F585" i="30"/>
  <c r="G585" i="30"/>
  <c r="H585" i="30"/>
  <c r="I585" i="30"/>
  <c r="J585" i="30"/>
  <c r="K585" i="30"/>
  <c r="L585" i="30"/>
  <c r="M585" i="30"/>
  <c r="N585" i="30"/>
  <c r="O585" i="30"/>
  <c r="P585" i="30"/>
  <c r="Q585" i="30"/>
  <c r="R585" i="30"/>
  <c r="S585" i="30"/>
  <c r="T585" i="30"/>
  <c r="U585" i="30"/>
  <c r="V585" i="30"/>
  <c r="W585" i="30"/>
  <c r="X585" i="30"/>
  <c r="Y585" i="30"/>
  <c r="Z585" i="30"/>
  <c r="AA585" i="30"/>
  <c r="AB585" i="30"/>
  <c r="AC585" i="30"/>
  <c r="AD585" i="30"/>
  <c r="AE585" i="30"/>
  <c r="AF585" i="30"/>
  <c r="AG585" i="30"/>
  <c r="AH585" i="30"/>
  <c r="AI585" i="30"/>
  <c r="AJ585" i="30"/>
  <c r="AK585" i="30"/>
  <c r="AL585" i="30"/>
  <c r="AM585" i="30"/>
  <c r="AN585" i="30"/>
  <c r="AO585" i="30"/>
  <c r="AP585" i="30"/>
  <c r="AQ585" i="30"/>
  <c r="AR585" i="30"/>
  <c r="AS585" i="30"/>
  <c r="AT585" i="30"/>
  <c r="AU585" i="30"/>
  <c r="AV585" i="30"/>
  <c r="AW585" i="30"/>
  <c r="AX585" i="30"/>
  <c r="AY585" i="30"/>
  <c r="AZ585" i="30"/>
  <c r="BA585" i="30"/>
  <c r="BB585" i="30"/>
  <c r="BC585" i="30"/>
  <c r="BD585" i="30"/>
  <c r="BE585" i="30"/>
  <c r="BF585" i="30"/>
  <c r="BG585" i="30"/>
  <c r="BH585" i="30"/>
  <c r="BI585" i="30"/>
  <c r="BJ585" i="30"/>
  <c r="BK585" i="30"/>
  <c r="BL585" i="30"/>
  <c r="BM585" i="30"/>
  <c r="BN585" i="30"/>
  <c r="BO585" i="30"/>
  <c r="BP585" i="30"/>
  <c r="BQ585" i="30"/>
  <c r="BR585" i="30"/>
  <c r="BS585" i="30"/>
  <c r="BT585" i="30"/>
  <c r="BU585" i="30"/>
  <c r="BV585" i="30"/>
  <c r="BW585" i="30"/>
  <c r="BX585" i="30"/>
  <c r="BY585" i="30"/>
  <c r="BZ585" i="30"/>
  <c r="CA585" i="30"/>
  <c r="CB585" i="30"/>
  <c r="CC585" i="30"/>
  <c r="CD585" i="30"/>
  <c r="CE585" i="30"/>
  <c r="CF585" i="30"/>
  <c r="CG585" i="30"/>
  <c r="CH585" i="30"/>
  <c r="CI585" i="30"/>
  <c r="CJ585" i="30"/>
  <c r="CK585" i="30"/>
  <c r="CL585" i="30"/>
  <c r="CM585" i="30"/>
  <c r="CN585" i="30"/>
  <c r="CO585" i="30"/>
  <c r="CP585" i="30"/>
  <c r="CQ585" i="30"/>
  <c r="CR585" i="30"/>
  <c r="CS585" i="30"/>
  <c r="CT585" i="30"/>
  <c r="CU585" i="30"/>
  <c r="CV585" i="30"/>
  <c r="CW585" i="30"/>
  <c r="CX585" i="30"/>
  <c r="CY585" i="30"/>
  <c r="CZ585" i="30"/>
  <c r="DA585" i="30"/>
  <c r="DB585" i="30"/>
  <c r="DC585" i="30"/>
  <c r="DD585" i="30"/>
  <c r="DE585" i="30"/>
  <c r="DF585" i="30"/>
  <c r="DG585" i="30"/>
  <c r="DH585" i="30"/>
  <c r="DI585" i="30"/>
  <c r="DJ585" i="30"/>
  <c r="DK585" i="30"/>
  <c r="DL585" i="30"/>
  <c r="DM585" i="30"/>
  <c r="DN585" i="30"/>
  <c r="DO585" i="30"/>
  <c r="DP585" i="30"/>
  <c r="DQ585" i="30"/>
  <c r="DR585" i="30"/>
  <c r="DS585" i="30"/>
  <c r="DT585" i="30"/>
  <c r="DU585" i="30"/>
  <c r="DV585" i="30"/>
  <c r="DW585" i="30"/>
  <c r="DX585" i="30"/>
  <c r="DY585" i="30"/>
  <c r="DZ585" i="30"/>
  <c r="EA585" i="30"/>
  <c r="EB585" i="30"/>
  <c r="EC585" i="30"/>
  <c r="ED585" i="30"/>
  <c r="EE585" i="30"/>
  <c r="EF585" i="30"/>
  <c r="EG585" i="30"/>
  <c r="EH585" i="30"/>
  <c r="EI585" i="30"/>
  <c r="EJ585" i="30"/>
  <c r="EK585" i="30"/>
  <c r="EL585" i="30"/>
  <c r="EM585" i="30"/>
  <c r="EN585" i="30"/>
  <c r="EO585" i="30"/>
  <c r="EP585" i="30"/>
  <c r="EQ585" i="30"/>
  <c r="ER585" i="30"/>
  <c r="ES585" i="30"/>
  <c r="ET585" i="30"/>
  <c r="EU585" i="30"/>
  <c r="EV585" i="30"/>
  <c r="EW585" i="30"/>
  <c r="EX585" i="30"/>
  <c r="EY585" i="30"/>
  <c r="EZ585" i="30"/>
  <c r="FA585" i="30"/>
  <c r="FB585" i="30"/>
  <c r="FC585" i="30"/>
  <c r="FD585" i="30"/>
  <c r="FE585" i="30"/>
  <c r="FF585" i="30"/>
  <c r="FG585" i="30"/>
  <c r="FH585" i="30"/>
  <c r="FI585" i="30"/>
  <c r="FJ585" i="30"/>
  <c r="FK585" i="30"/>
  <c r="FL585" i="30"/>
  <c r="FM585" i="30"/>
  <c r="FN585" i="30"/>
  <c r="FO585" i="30"/>
  <c r="FP585" i="30"/>
  <c r="FQ585" i="30"/>
  <c r="FR585" i="30"/>
  <c r="FS585" i="30"/>
  <c r="FT585" i="30"/>
  <c r="FU585" i="30"/>
  <c r="FV585" i="30"/>
  <c r="FW585" i="30"/>
  <c r="FX585" i="30"/>
  <c r="FY585" i="30"/>
  <c r="FZ585" i="30"/>
  <c r="GA585" i="30"/>
  <c r="GB585" i="30"/>
  <c r="GC585" i="30"/>
  <c r="GD585" i="30"/>
  <c r="A584" i="30"/>
  <c r="B584" i="30"/>
  <c r="C584" i="30"/>
  <c r="D584" i="30"/>
  <c r="E584" i="30"/>
  <c r="F584" i="30"/>
  <c r="G584" i="30"/>
  <c r="H584" i="30"/>
  <c r="I584" i="30"/>
  <c r="J584" i="30"/>
  <c r="K584" i="30"/>
  <c r="L584" i="30"/>
  <c r="M584" i="30"/>
  <c r="N584" i="30"/>
  <c r="O584" i="30"/>
  <c r="P584" i="30"/>
  <c r="Q584" i="30"/>
  <c r="R584" i="30"/>
  <c r="S584" i="30"/>
  <c r="T584" i="30"/>
  <c r="U584" i="30"/>
  <c r="V584" i="30"/>
  <c r="W584" i="30"/>
  <c r="X584" i="30"/>
  <c r="Y584" i="30"/>
  <c r="Z584" i="30"/>
  <c r="AA584" i="30"/>
  <c r="AB584" i="30"/>
  <c r="AC584" i="30"/>
  <c r="AD584" i="30"/>
  <c r="AE584" i="30"/>
  <c r="AF584" i="30"/>
  <c r="AG584" i="30"/>
  <c r="AH584" i="30"/>
  <c r="AI584" i="30"/>
  <c r="AJ584" i="30"/>
  <c r="AK584" i="30"/>
  <c r="AL584" i="30"/>
  <c r="AM584" i="30"/>
  <c r="AN584" i="30"/>
  <c r="AO584" i="30"/>
  <c r="AP584" i="30"/>
  <c r="AQ584" i="30"/>
  <c r="AR584" i="30"/>
  <c r="AS584" i="30"/>
  <c r="AT584" i="30"/>
  <c r="AU584" i="30"/>
  <c r="AV584" i="30"/>
  <c r="AW584" i="30"/>
  <c r="AX584" i="30"/>
  <c r="AY584" i="30"/>
  <c r="AZ584" i="30"/>
  <c r="BA584" i="30"/>
  <c r="BB584" i="30"/>
  <c r="BC584" i="30"/>
  <c r="BD584" i="30"/>
  <c r="BE584" i="30"/>
  <c r="BF584" i="30"/>
  <c r="BG584" i="30"/>
  <c r="BH584" i="30"/>
  <c r="BI584" i="30"/>
  <c r="BJ584" i="30"/>
  <c r="BK584" i="30"/>
  <c r="BL584" i="30"/>
  <c r="BM584" i="30"/>
  <c r="BN584" i="30"/>
  <c r="BO584" i="30"/>
  <c r="BP584" i="30"/>
  <c r="BQ584" i="30"/>
  <c r="BR584" i="30"/>
  <c r="BS584" i="30"/>
  <c r="BT584" i="30"/>
  <c r="BU584" i="30"/>
  <c r="BV584" i="30"/>
  <c r="BW584" i="30"/>
  <c r="BX584" i="30"/>
  <c r="BY584" i="30"/>
  <c r="BZ584" i="30"/>
  <c r="CA584" i="30"/>
  <c r="CB584" i="30"/>
  <c r="CC584" i="30"/>
  <c r="CD584" i="30"/>
  <c r="CE584" i="30"/>
  <c r="CF584" i="30"/>
  <c r="CG584" i="30"/>
  <c r="CH584" i="30"/>
  <c r="CI584" i="30"/>
  <c r="CJ584" i="30"/>
  <c r="CK584" i="30"/>
  <c r="CL584" i="30"/>
  <c r="CM584" i="30"/>
  <c r="CN584" i="30"/>
  <c r="CO584" i="30"/>
  <c r="CP584" i="30"/>
  <c r="CQ584" i="30"/>
  <c r="CR584" i="30"/>
  <c r="CS584" i="30"/>
  <c r="CT584" i="30"/>
  <c r="CU584" i="30"/>
  <c r="CV584" i="30"/>
  <c r="CW584" i="30"/>
  <c r="CX584" i="30"/>
  <c r="CY584" i="30"/>
  <c r="CZ584" i="30"/>
  <c r="DA584" i="30"/>
  <c r="DB584" i="30"/>
  <c r="DC584" i="30"/>
  <c r="DD584" i="30"/>
  <c r="DE584" i="30"/>
  <c r="DF584" i="30"/>
  <c r="DG584" i="30"/>
  <c r="DH584" i="30"/>
  <c r="DI584" i="30"/>
  <c r="DJ584" i="30"/>
  <c r="DK584" i="30"/>
  <c r="DL584" i="30"/>
  <c r="DM584" i="30"/>
  <c r="DN584" i="30"/>
  <c r="DO584" i="30"/>
  <c r="DP584" i="30"/>
  <c r="DQ584" i="30"/>
  <c r="DR584" i="30"/>
  <c r="DS584" i="30"/>
  <c r="DT584" i="30"/>
  <c r="DU584" i="30"/>
  <c r="DV584" i="30"/>
  <c r="DW584" i="30"/>
  <c r="DX584" i="30"/>
  <c r="DY584" i="30"/>
  <c r="DZ584" i="30"/>
  <c r="EA584" i="30"/>
  <c r="EB584" i="30"/>
  <c r="EC584" i="30"/>
  <c r="ED584" i="30"/>
  <c r="EE584" i="30"/>
  <c r="EF584" i="30"/>
  <c r="EG584" i="30"/>
  <c r="EH584" i="30"/>
  <c r="EI584" i="30"/>
  <c r="EJ584" i="30"/>
  <c r="EK584" i="30"/>
  <c r="EL584" i="30"/>
  <c r="EM584" i="30"/>
  <c r="EN584" i="30"/>
  <c r="EO584" i="30"/>
  <c r="EP584" i="30"/>
  <c r="EQ584" i="30"/>
  <c r="ER584" i="30"/>
  <c r="ES584" i="30"/>
  <c r="ET584" i="30"/>
  <c r="EU584" i="30"/>
  <c r="EV584" i="30"/>
  <c r="EW584" i="30"/>
  <c r="EX584" i="30"/>
  <c r="EY584" i="30"/>
  <c r="EZ584" i="30"/>
  <c r="FA584" i="30"/>
  <c r="FB584" i="30"/>
  <c r="FC584" i="30"/>
  <c r="FD584" i="30"/>
  <c r="FE584" i="30"/>
  <c r="FF584" i="30"/>
  <c r="FG584" i="30"/>
  <c r="FH584" i="30"/>
  <c r="FI584" i="30"/>
  <c r="FJ584" i="30"/>
  <c r="FK584" i="30"/>
  <c r="FL584" i="30"/>
  <c r="FM584" i="30"/>
  <c r="FN584" i="30"/>
  <c r="FO584" i="30"/>
  <c r="FP584" i="30"/>
  <c r="FQ584" i="30"/>
  <c r="FR584" i="30"/>
  <c r="FS584" i="30"/>
  <c r="FT584" i="30"/>
  <c r="FU584" i="30"/>
  <c r="FV584" i="30"/>
  <c r="FW584" i="30"/>
  <c r="FX584" i="30"/>
  <c r="FY584" i="30"/>
  <c r="FZ584" i="30"/>
  <c r="GA584" i="30"/>
  <c r="GB584" i="30"/>
  <c r="GC584" i="30"/>
  <c r="GD584" i="30"/>
  <c r="GE584" i="30"/>
  <c r="GF584" i="30"/>
  <c r="GG584" i="30"/>
  <c r="GH584" i="30"/>
  <c r="GI584" i="30"/>
  <c r="GJ584" i="30"/>
  <c r="GK584" i="30"/>
  <c r="GL584" i="30"/>
  <c r="GM584" i="30"/>
  <c r="GN584" i="30"/>
  <c r="GO584" i="30"/>
  <c r="GP584" i="30"/>
  <c r="GQ584" i="30"/>
  <c r="GR584" i="30"/>
  <c r="GS584" i="30"/>
  <c r="GT584" i="30"/>
  <c r="GU584" i="30"/>
  <c r="GV584" i="30"/>
  <c r="GW584" i="30"/>
  <c r="GX584" i="30"/>
  <c r="GY584" i="30"/>
  <c r="GZ584" i="30"/>
  <c r="HA584" i="30"/>
  <c r="HB584" i="30"/>
  <c r="HC584" i="30"/>
  <c r="HD584" i="30"/>
  <c r="HE584" i="30"/>
  <c r="HF584" i="30"/>
  <c r="HG584" i="30"/>
  <c r="HH584" i="30"/>
  <c r="HI584" i="30"/>
  <c r="HJ584" i="30"/>
  <c r="HK584" i="30"/>
  <c r="HL584" i="30"/>
  <c r="HM584" i="30"/>
  <c r="HN584" i="30"/>
  <c r="HO584" i="30"/>
  <c r="HP584" i="30"/>
  <c r="HQ584" i="30"/>
  <c r="HR584" i="30"/>
  <c r="HS584" i="30"/>
  <c r="HT584" i="30"/>
  <c r="HU584" i="30"/>
  <c r="HV584" i="30"/>
  <c r="HW584" i="30"/>
  <c r="HX584" i="30"/>
  <c r="HY584" i="30"/>
  <c r="HZ584" i="30"/>
  <c r="IA584" i="30"/>
  <c r="IB584" i="30"/>
  <c r="IC584" i="30"/>
  <c r="ID584" i="30"/>
  <c r="IE584" i="30"/>
  <c r="IF584" i="30"/>
  <c r="IG584" i="30"/>
  <c r="IH584" i="30"/>
  <c r="II584" i="30"/>
  <c r="IJ584" i="30"/>
  <c r="IK584" i="30"/>
  <c r="IL584" i="30"/>
  <c r="IM584" i="30"/>
  <c r="IN584" i="30"/>
  <c r="IO584" i="30"/>
  <c r="IP584" i="30"/>
  <c r="IQ584" i="30"/>
  <c r="IR584" i="30"/>
  <c r="IS584" i="30"/>
  <c r="IT584" i="30"/>
  <c r="IU584" i="30"/>
  <c r="IV584" i="30"/>
  <c r="A583" i="30"/>
  <c r="B583" i="30"/>
  <c r="C583" i="30"/>
  <c r="D583" i="30"/>
  <c r="E583" i="30"/>
  <c r="F583" i="30"/>
  <c r="G583" i="30"/>
  <c r="H583" i="30"/>
  <c r="I583" i="30"/>
  <c r="J583" i="30"/>
  <c r="K583" i="30"/>
  <c r="L583" i="30"/>
  <c r="M583" i="30"/>
  <c r="N583" i="30"/>
  <c r="O583" i="30"/>
  <c r="P583" i="30"/>
  <c r="Q583" i="30"/>
  <c r="R583" i="30"/>
  <c r="S583" i="30"/>
  <c r="T583" i="30"/>
  <c r="U583" i="30"/>
  <c r="V583" i="30"/>
  <c r="W583" i="30"/>
  <c r="X583" i="30"/>
  <c r="Y583" i="30"/>
  <c r="Z583" i="30"/>
  <c r="AA583" i="30"/>
  <c r="AB583" i="30"/>
  <c r="AC583" i="30"/>
  <c r="AD583" i="30"/>
  <c r="AE583" i="30"/>
  <c r="AF583" i="30"/>
  <c r="AG583" i="30"/>
  <c r="AH583" i="30"/>
  <c r="AI583" i="30"/>
  <c r="AJ583" i="30"/>
  <c r="AK583" i="30"/>
  <c r="AL583" i="30"/>
  <c r="AM583" i="30"/>
  <c r="AN583" i="30"/>
  <c r="AO583" i="30"/>
  <c r="AP583" i="30"/>
  <c r="AQ583" i="30"/>
  <c r="AR583" i="30"/>
  <c r="AS583" i="30"/>
  <c r="AT583" i="30"/>
  <c r="AU583" i="30"/>
  <c r="AV583" i="30"/>
  <c r="AW583" i="30"/>
  <c r="AX583" i="30"/>
  <c r="AY583" i="30"/>
  <c r="AZ583" i="30"/>
  <c r="BA583" i="30"/>
  <c r="BB583" i="30"/>
  <c r="BC583" i="30"/>
  <c r="BD583" i="30"/>
  <c r="BE583" i="30"/>
  <c r="BF583" i="30"/>
  <c r="BG583" i="30"/>
  <c r="BH583" i="30"/>
  <c r="BI583" i="30"/>
  <c r="BJ583" i="30"/>
  <c r="BK583" i="30"/>
  <c r="BL583" i="30"/>
  <c r="BM583" i="30"/>
  <c r="BN583" i="30"/>
  <c r="BO583" i="30"/>
  <c r="BP583" i="30"/>
  <c r="BQ583" i="30"/>
  <c r="BR583" i="30"/>
  <c r="BS583" i="30"/>
  <c r="BT583" i="30"/>
  <c r="BU583" i="30"/>
  <c r="BV583" i="30"/>
  <c r="BW583" i="30"/>
  <c r="BX583" i="30"/>
  <c r="BY583" i="30"/>
  <c r="BZ583" i="30"/>
  <c r="CA583" i="30"/>
  <c r="CB583" i="30"/>
  <c r="CC583" i="30"/>
  <c r="CD583" i="30"/>
  <c r="CE583" i="30"/>
  <c r="CF583" i="30"/>
  <c r="CG583" i="30"/>
  <c r="CH583" i="30"/>
  <c r="CI583" i="30"/>
  <c r="CJ583" i="30"/>
  <c r="CK583" i="30"/>
  <c r="CL583" i="30"/>
  <c r="CM583" i="30"/>
  <c r="CN583" i="30"/>
  <c r="CO583" i="30"/>
  <c r="CP583" i="30"/>
  <c r="CQ583" i="30"/>
  <c r="CR583" i="30"/>
  <c r="CS583" i="30"/>
  <c r="CT583" i="30"/>
  <c r="CU583" i="30"/>
  <c r="CV583" i="30"/>
  <c r="CW583" i="30"/>
  <c r="CX583" i="30"/>
  <c r="CY583" i="30"/>
  <c r="CZ583" i="30"/>
  <c r="DA583" i="30"/>
  <c r="DB583" i="30"/>
  <c r="DC583" i="30"/>
  <c r="DD583" i="30"/>
  <c r="DE583" i="30"/>
  <c r="DF583" i="30"/>
  <c r="DG583" i="30"/>
  <c r="DH583" i="30"/>
  <c r="DI583" i="30"/>
  <c r="DJ583" i="30"/>
  <c r="DK583" i="30"/>
  <c r="DL583" i="30"/>
  <c r="DM583" i="30"/>
  <c r="DN583" i="30"/>
  <c r="DO583" i="30"/>
  <c r="DP583" i="30"/>
  <c r="DQ583" i="30"/>
  <c r="DR583" i="30"/>
  <c r="DS583" i="30"/>
  <c r="DT583" i="30"/>
  <c r="DU583" i="30"/>
  <c r="DV583" i="30"/>
  <c r="DW583" i="30"/>
  <c r="DX583" i="30"/>
  <c r="DY583" i="30"/>
  <c r="DZ583" i="30"/>
  <c r="EA583" i="30"/>
  <c r="EB583" i="30"/>
  <c r="EC583" i="30"/>
  <c r="ED583" i="30"/>
  <c r="EE583" i="30"/>
  <c r="EF583" i="30"/>
  <c r="EG583" i="30"/>
  <c r="EH583" i="30"/>
  <c r="EI583" i="30"/>
  <c r="EJ583" i="30"/>
  <c r="EK583" i="30"/>
  <c r="EL583" i="30"/>
  <c r="EM583" i="30"/>
  <c r="EN583" i="30"/>
  <c r="EO583" i="30"/>
  <c r="EP583" i="30"/>
  <c r="EQ583" i="30"/>
  <c r="ER583" i="30"/>
  <c r="ES583" i="30"/>
  <c r="ET583" i="30"/>
  <c r="EU583" i="30"/>
  <c r="EV583" i="30"/>
  <c r="EW583" i="30"/>
  <c r="EX583" i="30"/>
  <c r="EY583" i="30"/>
  <c r="EZ583" i="30"/>
  <c r="FA583" i="30"/>
  <c r="FB583" i="30"/>
  <c r="FC583" i="30"/>
  <c r="FD583" i="30"/>
  <c r="FE583" i="30"/>
  <c r="FF583" i="30"/>
  <c r="FG583" i="30"/>
  <c r="FH583" i="30"/>
  <c r="FI583" i="30"/>
  <c r="FJ583" i="30"/>
  <c r="FK583" i="30"/>
  <c r="FL583" i="30"/>
  <c r="FM583" i="30"/>
  <c r="FN583" i="30"/>
  <c r="FO583" i="30"/>
  <c r="FP583" i="30"/>
  <c r="FQ583" i="30"/>
  <c r="FR583" i="30"/>
  <c r="FS583" i="30"/>
  <c r="FT583" i="30"/>
  <c r="FU583" i="30"/>
  <c r="FV583" i="30"/>
  <c r="FW583" i="30"/>
  <c r="FX583" i="30"/>
  <c r="FY583" i="30"/>
  <c r="FZ583" i="30"/>
  <c r="GA583" i="30"/>
  <c r="GB583" i="30"/>
  <c r="GC583" i="30"/>
  <c r="GD583" i="30"/>
  <c r="GE583" i="30"/>
  <c r="GF583" i="30"/>
  <c r="GG583" i="30"/>
  <c r="GH583" i="30"/>
  <c r="GI583" i="30"/>
  <c r="GJ583" i="30"/>
  <c r="GK583" i="30"/>
  <c r="GL583" i="30"/>
  <c r="GM583" i="30"/>
  <c r="GN583" i="30"/>
  <c r="GO583" i="30"/>
  <c r="GP583" i="30"/>
  <c r="GQ583" i="30"/>
  <c r="GR583" i="30"/>
  <c r="GS583" i="30"/>
  <c r="GT583" i="30"/>
  <c r="GU583" i="30"/>
  <c r="GV583" i="30"/>
  <c r="GW583" i="30"/>
  <c r="GX583" i="30"/>
  <c r="GY583" i="30"/>
  <c r="GZ583" i="30"/>
  <c r="HA583" i="30"/>
  <c r="HB583" i="30"/>
  <c r="HC583" i="30"/>
  <c r="HD583" i="30"/>
  <c r="HE583" i="30"/>
  <c r="HF583" i="30"/>
  <c r="HG583" i="30"/>
  <c r="HH583" i="30"/>
  <c r="HI583" i="30"/>
  <c r="HJ583" i="30"/>
  <c r="HK583" i="30"/>
  <c r="HL583" i="30"/>
  <c r="HM583" i="30"/>
  <c r="HN583" i="30"/>
  <c r="HO583" i="30"/>
  <c r="HP583" i="30"/>
  <c r="HQ583" i="30"/>
  <c r="HR583" i="30"/>
  <c r="HS583" i="30"/>
  <c r="HT583" i="30"/>
  <c r="HU583" i="30"/>
  <c r="HV583" i="30"/>
  <c r="HW583" i="30"/>
  <c r="HX583" i="30"/>
  <c r="HY583" i="30"/>
  <c r="HZ583" i="30"/>
  <c r="IA583" i="30"/>
  <c r="IB583" i="30"/>
  <c r="IC583" i="30"/>
  <c r="ID583" i="30"/>
  <c r="IE583" i="30"/>
  <c r="IF583" i="30"/>
  <c r="IG583" i="30"/>
  <c r="IH583" i="30"/>
  <c r="II583" i="30"/>
  <c r="IJ583" i="30"/>
  <c r="IK583" i="30"/>
  <c r="IL583" i="30"/>
  <c r="IM583" i="30"/>
  <c r="IN583" i="30"/>
  <c r="IO583" i="30"/>
  <c r="IP583" i="30"/>
  <c r="IQ583" i="30"/>
  <c r="IR583" i="30"/>
  <c r="IS583" i="30"/>
  <c r="IT583" i="30"/>
  <c r="IU583" i="30"/>
  <c r="IV583" i="30"/>
  <c r="A582" i="30"/>
  <c r="B582" i="30"/>
  <c r="C582" i="30"/>
  <c r="D582" i="30"/>
  <c r="E582" i="30"/>
  <c r="F582" i="30"/>
  <c r="G582" i="30"/>
  <c r="H582" i="30"/>
  <c r="I582" i="30"/>
  <c r="J582" i="30"/>
  <c r="K582" i="30"/>
  <c r="L582" i="30"/>
  <c r="M582" i="30"/>
  <c r="N582" i="30"/>
  <c r="O582" i="30"/>
  <c r="P582" i="30"/>
  <c r="Q582" i="30"/>
  <c r="R582" i="30"/>
  <c r="S582" i="30"/>
  <c r="T582" i="30"/>
  <c r="U582" i="30"/>
  <c r="V582" i="30"/>
  <c r="W582" i="30"/>
  <c r="X582" i="30"/>
  <c r="Y582" i="30"/>
  <c r="Z582" i="30"/>
  <c r="AA582" i="30"/>
  <c r="AB582" i="30"/>
  <c r="AC582" i="30"/>
  <c r="AD582" i="30"/>
  <c r="AE582" i="30"/>
  <c r="AF582" i="30"/>
  <c r="AG582" i="30"/>
  <c r="AH582" i="30"/>
  <c r="AI582" i="30"/>
  <c r="AJ582" i="30"/>
  <c r="AK582" i="30"/>
  <c r="AL582" i="30"/>
  <c r="AM582" i="30"/>
  <c r="AN582" i="30"/>
  <c r="AO582" i="30"/>
  <c r="AP582" i="30"/>
  <c r="AQ582" i="30"/>
  <c r="AR582" i="30"/>
  <c r="AS582" i="30"/>
  <c r="AT582" i="30"/>
  <c r="AU582" i="30"/>
  <c r="AV582" i="30"/>
  <c r="AW582" i="30"/>
  <c r="AX582" i="30"/>
  <c r="AY582" i="30"/>
  <c r="AZ582" i="30"/>
  <c r="BA582" i="30"/>
  <c r="BB582" i="30"/>
  <c r="BC582" i="30"/>
  <c r="BD582" i="30"/>
  <c r="BE582" i="30"/>
  <c r="BF582" i="30"/>
  <c r="BG582" i="30"/>
  <c r="BH582" i="30"/>
  <c r="BI582" i="30"/>
  <c r="BJ582" i="30"/>
  <c r="BK582" i="30"/>
  <c r="BL582" i="30"/>
  <c r="BM582" i="30"/>
  <c r="BN582" i="30"/>
  <c r="BO582" i="30"/>
  <c r="BP582" i="30"/>
  <c r="BQ582" i="30"/>
  <c r="BR582" i="30"/>
  <c r="BS582" i="30"/>
  <c r="BT582" i="30"/>
  <c r="BU582" i="30"/>
  <c r="BV582" i="30"/>
  <c r="BW582" i="30"/>
  <c r="BX582" i="30"/>
  <c r="BY582" i="30"/>
  <c r="BZ582" i="30"/>
  <c r="CA582" i="30"/>
  <c r="CB582" i="30"/>
  <c r="CC582" i="30"/>
  <c r="CD582" i="30"/>
  <c r="CE582" i="30"/>
  <c r="CF582" i="30"/>
  <c r="CG582" i="30"/>
  <c r="CH582" i="30"/>
  <c r="CI582" i="30"/>
  <c r="CJ582" i="30"/>
  <c r="CK582" i="30"/>
  <c r="CL582" i="30"/>
  <c r="CM582" i="30"/>
  <c r="CN582" i="30"/>
  <c r="CO582" i="30"/>
  <c r="CP582" i="30"/>
  <c r="CQ582" i="30"/>
  <c r="CR582" i="30"/>
  <c r="CS582" i="30"/>
  <c r="CT582" i="30"/>
  <c r="CU582" i="30"/>
  <c r="CV582" i="30"/>
  <c r="CW582" i="30"/>
  <c r="CX582" i="30"/>
  <c r="CY582" i="30"/>
  <c r="CZ582" i="30"/>
  <c r="DA582" i="30"/>
  <c r="DB582" i="30"/>
  <c r="DC582" i="30"/>
  <c r="DD582" i="30"/>
  <c r="DE582" i="30"/>
  <c r="DF582" i="30"/>
  <c r="DG582" i="30"/>
  <c r="DH582" i="30"/>
  <c r="DI582" i="30"/>
  <c r="DJ582" i="30"/>
  <c r="DK582" i="30"/>
  <c r="DL582" i="30"/>
  <c r="DM582" i="30"/>
  <c r="DN582" i="30"/>
  <c r="DO582" i="30"/>
  <c r="DP582" i="30"/>
  <c r="DQ582" i="30"/>
  <c r="DR582" i="30"/>
  <c r="DS582" i="30"/>
  <c r="DT582" i="30"/>
  <c r="DU582" i="30"/>
  <c r="DV582" i="30"/>
  <c r="DW582" i="30"/>
  <c r="DX582" i="30"/>
  <c r="DY582" i="30"/>
  <c r="DZ582" i="30"/>
  <c r="EA582" i="30"/>
  <c r="EB582" i="30"/>
  <c r="EC582" i="30"/>
  <c r="ED582" i="30"/>
  <c r="EE582" i="30"/>
  <c r="EF582" i="30"/>
  <c r="EG582" i="30"/>
  <c r="EH582" i="30"/>
  <c r="EI582" i="30"/>
  <c r="EJ582" i="30"/>
  <c r="EK582" i="30"/>
  <c r="EL582" i="30"/>
  <c r="EM582" i="30"/>
  <c r="EN582" i="30"/>
  <c r="EO582" i="30"/>
  <c r="EP582" i="30"/>
  <c r="EQ582" i="30"/>
  <c r="ER582" i="30"/>
  <c r="ES582" i="30"/>
  <c r="ET582" i="30"/>
  <c r="EU582" i="30"/>
  <c r="EV582" i="30"/>
  <c r="EW582" i="30"/>
  <c r="EX582" i="30"/>
  <c r="EY582" i="30"/>
  <c r="EZ582" i="30"/>
  <c r="FA582" i="30"/>
  <c r="FB582" i="30"/>
  <c r="FC582" i="30"/>
  <c r="FD582" i="30"/>
  <c r="FE582" i="30"/>
  <c r="FF582" i="30"/>
  <c r="FG582" i="30"/>
  <c r="FH582" i="30"/>
  <c r="FI582" i="30"/>
  <c r="FJ582" i="30"/>
  <c r="FK582" i="30"/>
  <c r="FL582" i="30"/>
  <c r="FM582" i="30"/>
  <c r="FN582" i="30"/>
  <c r="FO582" i="30"/>
  <c r="FP582" i="30"/>
  <c r="FQ582" i="30"/>
  <c r="FR582" i="30"/>
  <c r="FS582" i="30"/>
  <c r="FT582" i="30"/>
  <c r="FU582" i="30"/>
  <c r="FV582" i="30"/>
  <c r="FW582" i="30"/>
  <c r="FX582" i="30"/>
  <c r="FY582" i="30"/>
  <c r="FZ582" i="30"/>
  <c r="GA582" i="30"/>
  <c r="GB582" i="30"/>
  <c r="GC582" i="30"/>
  <c r="GD582" i="30"/>
  <c r="GE582" i="30"/>
  <c r="GF582" i="30"/>
  <c r="GG582" i="30"/>
  <c r="GH582" i="30"/>
  <c r="GI582" i="30"/>
  <c r="GJ582" i="30"/>
  <c r="GK582" i="30"/>
  <c r="GL582" i="30"/>
  <c r="GM582" i="30"/>
  <c r="GN582" i="30"/>
  <c r="GO582" i="30"/>
  <c r="GP582" i="30"/>
  <c r="GQ582" i="30"/>
  <c r="GR582" i="30"/>
  <c r="GS582" i="30"/>
  <c r="GT582" i="30"/>
  <c r="GU582" i="30"/>
  <c r="GV582" i="30"/>
  <c r="GW582" i="30"/>
  <c r="GX582" i="30"/>
  <c r="GY582" i="30"/>
  <c r="GZ582" i="30"/>
  <c r="HA582" i="30"/>
  <c r="HB582" i="30"/>
  <c r="HC582" i="30"/>
  <c r="HD582" i="30"/>
  <c r="HE582" i="30"/>
  <c r="HF582" i="30"/>
  <c r="HG582" i="30"/>
  <c r="HH582" i="30"/>
  <c r="HI582" i="30"/>
  <c r="HJ582" i="30"/>
  <c r="HK582" i="30"/>
  <c r="HL582" i="30"/>
  <c r="HM582" i="30"/>
  <c r="HN582" i="30"/>
  <c r="HO582" i="30"/>
  <c r="HP582" i="30"/>
  <c r="HQ582" i="30"/>
  <c r="HR582" i="30"/>
  <c r="HS582" i="30"/>
  <c r="HT582" i="30"/>
  <c r="HU582" i="30"/>
  <c r="HV582" i="30"/>
  <c r="HW582" i="30"/>
  <c r="HX582" i="30"/>
  <c r="HY582" i="30"/>
  <c r="HZ582" i="30"/>
  <c r="IA582" i="30"/>
  <c r="IB582" i="30"/>
  <c r="IC582" i="30"/>
  <c r="ID582" i="30"/>
  <c r="IE582" i="30"/>
  <c r="IF582" i="30"/>
  <c r="IG582" i="30"/>
  <c r="IH582" i="30"/>
  <c r="II582" i="30"/>
  <c r="IJ582" i="30"/>
  <c r="IK582" i="30"/>
  <c r="IL582" i="30"/>
  <c r="IM582" i="30"/>
  <c r="IN582" i="30"/>
  <c r="IO582" i="30"/>
  <c r="IP582" i="30"/>
  <c r="IQ582" i="30"/>
  <c r="IR582" i="30"/>
  <c r="IS582" i="30"/>
  <c r="IT582" i="30"/>
  <c r="IU582" i="30"/>
  <c r="IV582" i="30"/>
  <c r="A581" i="30"/>
  <c r="B581" i="30"/>
  <c r="C581" i="30"/>
  <c r="D581" i="30"/>
  <c r="E581" i="30"/>
  <c r="F581" i="30"/>
  <c r="G581" i="30"/>
  <c r="H581" i="30"/>
  <c r="I581" i="30"/>
  <c r="J581" i="30"/>
  <c r="K581" i="30"/>
  <c r="L581" i="30"/>
  <c r="M581" i="30"/>
  <c r="N581" i="30"/>
  <c r="O581" i="30"/>
  <c r="P581" i="30"/>
  <c r="Q581" i="30"/>
  <c r="R581" i="30"/>
  <c r="S581" i="30"/>
  <c r="T581" i="30"/>
  <c r="U581" i="30"/>
  <c r="V581" i="30"/>
  <c r="W581" i="30"/>
  <c r="X581" i="30"/>
  <c r="Y581" i="30"/>
  <c r="Z581" i="30"/>
  <c r="AA581" i="30"/>
  <c r="AB581" i="30"/>
  <c r="AC581" i="30"/>
  <c r="AD581" i="30"/>
  <c r="AE581" i="30"/>
  <c r="AF581" i="30"/>
  <c r="AG581" i="30"/>
  <c r="AH581" i="30"/>
  <c r="AI581" i="30"/>
  <c r="AJ581" i="30"/>
  <c r="AK581" i="30"/>
  <c r="AL581" i="30"/>
  <c r="AM581" i="30"/>
  <c r="AN581" i="30"/>
  <c r="AO581" i="30"/>
  <c r="AP581" i="30"/>
  <c r="AQ581" i="30"/>
  <c r="AR581" i="30"/>
  <c r="AS581" i="30"/>
  <c r="AT581" i="30"/>
  <c r="AU581" i="30"/>
  <c r="AV581" i="30"/>
  <c r="AW581" i="30"/>
  <c r="AX581" i="30"/>
  <c r="AY581" i="30"/>
  <c r="AZ581" i="30"/>
  <c r="BA581" i="30"/>
  <c r="BB581" i="30"/>
  <c r="BC581" i="30"/>
  <c r="BD581" i="30"/>
  <c r="BE581" i="30"/>
  <c r="BF581" i="30"/>
  <c r="BG581" i="30"/>
  <c r="BH581" i="30"/>
  <c r="BI581" i="30"/>
  <c r="BJ581" i="30"/>
  <c r="BK581" i="30"/>
  <c r="BL581" i="30"/>
  <c r="BM581" i="30"/>
  <c r="BN581" i="30"/>
  <c r="BO581" i="30"/>
  <c r="BP581" i="30"/>
  <c r="BQ581" i="30"/>
  <c r="BR581" i="30"/>
  <c r="BS581" i="30"/>
  <c r="BT581" i="30"/>
  <c r="BU581" i="30"/>
  <c r="BV581" i="30"/>
  <c r="BW581" i="30"/>
  <c r="BX581" i="30"/>
  <c r="BY581" i="30"/>
  <c r="BZ581" i="30"/>
  <c r="CA581" i="30"/>
  <c r="CB581" i="30"/>
  <c r="CC581" i="30"/>
  <c r="CD581" i="30"/>
  <c r="CE581" i="30"/>
  <c r="CF581" i="30"/>
  <c r="CG581" i="30"/>
  <c r="CH581" i="30"/>
  <c r="CI581" i="30"/>
  <c r="CJ581" i="30"/>
  <c r="CK581" i="30"/>
  <c r="CL581" i="30"/>
  <c r="CM581" i="30"/>
  <c r="CN581" i="30"/>
  <c r="CO581" i="30"/>
  <c r="CP581" i="30"/>
  <c r="CQ581" i="30"/>
  <c r="CR581" i="30"/>
  <c r="CS581" i="30"/>
  <c r="CT581" i="30"/>
  <c r="CU581" i="30"/>
  <c r="CV581" i="30"/>
  <c r="CW581" i="30"/>
  <c r="CX581" i="30"/>
  <c r="CY581" i="30"/>
  <c r="CZ581" i="30"/>
  <c r="DA581" i="30"/>
  <c r="DB581" i="30"/>
  <c r="DC581" i="30"/>
  <c r="DD581" i="30"/>
  <c r="DE581" i="30"/>
  <c r="DF581" i="30"/>
  <c r="DG581" i="30"/>
  <c r="DH581" i="30"/>
  <c r="DI581" i="30"/>
  <c r="DJ581" i="30"/>
  <c r="DK581" i="30"/>
  <c r="DL581" i="30"/>
  <c r="DM581" i="30"/>
  <c r="DN581" i="30"/>
  <c r="DO581" i="30"/>
  <c r="DP581" i="30"/>
  <c r="DQ581" i="30"/>
  <c r="DR581" i="30"/>
  <c r="DS581" i="30"/>
  <c r="DT581" i="30"/>
  <c r="DU581" i="30"/>
  <c r="DV581" i="30"/>
  <c r="DW581" i="30"/>
  <c r="DX581" i="30"/>
  <c r="DY581" i="30"/>
  <c r="DZ581" i="30"/>
  <c r="EA581" i="30"/>
  <c r="EB581" i="30"/>
  <c r="EC581" i="30"/>
  <c r="ED581" i="30"/>
  <c r="EE581" i="30"/>
  <c r="EF581" i="30"/>
  <c r="EG581" i="30"/>
  <c r="EH581" i="30"/>
  <c r="EI581" i="30"/>
  <c r="EJ581" i="30"/>
  <c r="EK581" i="30"/>
  <c r="EL581" i="30"/>
  <c r="EM581" i="30"/>
  <c r="EN581" i="30"/>
  <c r="EO581" i="30"/>
  <c r="EP581" i="30"/>
  <c r="EQ581" i="30"/>
  <c r="ER581" i="30"/>
  <c r="ES581" i="30"/>
  <c r="ET581" i="30"/>
  <c r="EU581" i="30"/>
  <c r="EV581" i="30"/>
  <c r="EW581" i="30"/>
  <c r="EX581" i="30"/>
  <c r="EY581" i="30"/>
  <c r="EZ581" i="30"/>
  <c r="FA581" i="30"/>
  <c r="FB581" i="30"/>
  <c r="FC581" i="30"/>
  <c r="FD581" i="30"/>
  <c r="FE581" i="30"/>
  <c r="FF581" i="30"/>
  <c r="FG581" i="30"/>
  <c r="FH581" i="30"/>
  <c r="FI581" i="30"/>
  <c r="FJ581" i="30"/>
  <c r="FK581" i="30"/>
  <c r="FL581" i="30"/>
  <c r="FM581" i="30"/>
  <c r="FN581" i="30"/>
  <c r="FO581" i="30"/>
  <c r="FP581" i="30"/>
  <c r="FQ581" i="30"/>
  <c r="FR581" i="30"/>
  <c r="FS581" i="30"/>
  <c r="FT581" i="30"/>
  <c r="FU581" i="30"/>
  <c r="FV581" i="30"/>
  <c r="FW581" i="30"/>
  <c r="FX581" i="30"/>
  <c r="FY581" i="30"/>
  <c r="FZ581" i="30"/>
  <c r="GA581" i="30"/>
  <c r="GB581" i="30"/>
  <c r="GC581" i="30"/>
  <c r="GD581" i="30"/>
  <c r="GE581" i="30"/>
  <c r="GF581" i="30"/>
  <c r="GG581" i="30"/>
  <c r="GH581" i="30"/>
  <c r="GI581" i="30"/>
  <c r="GJ581" i="30"/>
  <c r="GK581" i="30"/>
  <c r="GL581" i="30"/>
  <c r="GM581" i="30"/>
  <c r="GN581" i="30"/>
  <c r="GO581" i="30"/>
  <c r="GP581" i="30"/>
  <c r="GQ581" i="30"/>
  <c r="GR581" i="30"/>
  <c r="GS581" i="30"/>
  <c r="GT581" i="30"/>
  <c r="GU581" i="30"/>
  <c r="GV581" i="30"/>
  <c r="GW581" i="30"/>
  <c r="GX581" i="30"/>
  <c r="GY581" i="30"/>
  <c r="GZ581" i="30"/>
  <c r="HA581" i="30"/>
  <c r="HB581" i="30"/>
  <c r="HC581" i="30"/>
  <c r="HD581" i="30"/>
  <c r="HE581" i="30"/>
  <c r="HF581" i="30"/>
  <c r="HG581" i="30"/>
  <c r="HH581" i="30"/>
  <c r="HI581" i="30"/>
  <c r="HJ581" i="30"/>
  <c r="HK581" i="30"/>
  <c r="HL581" i="30"/>
  <c r="HM581" i="30"/>
  <c r="HN581" i="30"/>
  <c r="HO581" i="30"/>
  <c r="HP581" i="30"/>
  <c r="HQ581" i="30"/>
  <c r="HR581" i="30"/>
  <c r="HS581" i="30"/>
  <c r="HT581" i="30"/>
  <c r="HU581" i="30"/>
  <c r="HV581" i="30"/>
  <c r="HW581" i="30"/>
  <c r="HX581" i="30"/>
  <c r="HY581" i="30"/>
  <c r="HZ581" i="30"/>
  <c r="IA581" i="30"/>
  <c r="IB581" i="30"/>
  <c r="IC581" i="30"/>
  <c r="ID581" i="30"/>
  <c r="IE581" i="30"/>
  <c r="IF581" i="30"/>
  <c r="IG581" i="30"/>
  <c r="IH581" i="30"/>
  <c r="II581" i="30"/>
  <c r="IJ581" i="30"/>
  <c r="IK581" i="30"/>
  <c r="IL581" i="30"/>
  <c r="IM581" i="30"/>
  <c r="IN581" i="30"/>
  <c r="IO581" i="30"/>
  <c r="IP581" i="30"/>
  <c r="IQ581" i="30"/>
  <c r="IR581" i="30"/>
  <c r="IS581" i="30"/>
  <c r="IT581" i="30"/>
  <c r="IU581" i="30"/>
  <c r="IV581" i="30"/>
  <c r="A580" i="30"/>
  <c r="B580" i="30"/>
  <c r="C580" i="30"/>
  <c r="D580" i="30"/>
  <c r="E580" i="30"/>
  <c r="F580" i="30"/>
  <c r="G580" i="30"/>
  <c r="H580" i="30"/>
  <c r="I580" i="30"/>
  <c r="J580" i="30"/>
  <c r="K580" i="30"/>
  <c r="L580" i="30"/>
  <c r="M580" i="30"/>
  <c r="N580" i="30"/>
  <c r="O580" i="30"/>
  <c r="P580" i="30"/>
  <c r="Q580" i="30"/>
  <c r="R580" i="30"/>
  <c r="S580" i="30"/>
  <c r="T580" i="30"/>
  <c r="U580" i="30"/>
  <c r="V580" i="30"/>
  <c r="W580" i="30"/>
  <c r="X580" i="30"/>
  <c r="Y580" i="30"/>
  <c r="Z580" i="30"/>
  <c r="AA580" i="30"/>
  <c r="AB580" i="30"/>
  <c r="AC580" i="30"/>
  <c r="AD580" i="30"/>
  <c r="AE580" i="30"/>
  <c r="AF580" i="30"/>
  <c r="AG580" i="30"/>
  <c r="AH580" i="30"/>
  <c r="AI580" i="30"/>
  <c r="AJ580" i="30"/>
  <c r="AK580" i="30"/>
  <c r="AL580" i="30"/>
  <c r="AM580" i="30"/>
  <c r="AN580" i="30"/>
  <c r="AO580" i="30"/>
  <c r="AP580" i="30"/>
  <c r="AQ580" i="30"/>
  <c r="AR580" i="30"/>
  <c r="AS580" i="30"/>
  <c r="AT580" i="30"/>
  <c r="AU580" i="30"/>
  <c r="AV580" i="30"/>
  <c r="AW580" i="30"/>
  <c r="AX580" i="30"/>
  <c r="AY580" i="30"/>
  <c r="AZ580" i="30"/>
  <c r="BA580" i="30"/>
  <c r="BB580" i="30"/>
  <c r="BC580" i="30"/>
  <c r="BD580" i="30"/>
  <c r="BE580" i="30"/>
  <c r="BF580" i="30"/>
  <c r="BG580" i="30"/>
  <c r="BH580" i="30"/>
  <c r="BI580" i="30"/>
  <c r="BJ580" i="30"/>
  <c r="BK580" i="30"/>
  <c r="BL580" i="30"/>
  <c r="BM580" i="30"/>
  <c r="BN580" i="30"/>
  <c r="BO580" i="30"/>
  <c r="BP580" i="30"/>
  <c r="BQ580" i="30"/>
  <c r="BR580" i="30"/>
  <c r="BS580" i="30"/>
  <c r="BT580" i="30"/>
  <c r="BU580" i="30"/>
  <c r="BV580" i="30"/>
  <c r="BW580" i="30"/>
  <c r="BX580" i="30"/>
  <c r="BY580" i="30"/>
  <c r="BZ580" i="30"/>
  <c r="CA580" i="30"/>
  <c r="CB580" i="30"/>
  <c r="CC580" i="30"/>
  <c r="CD580" i="30"/>
  <c r="CE580" i="30"/>
  <c r="CF580" i="30"/>
  <c r="CG580" i="30"/>
  <c r="CH580" i="30"/>
  <c r="CI580" i="30"/>
  <c r="CJ580" i="30"/>
  <c r="CK580" i="30"/>
  <c r="CL580" i="30"/>
  <c r="CM580" i="30"/>
  <c r="CN580" i="30"/>
  <c r="CO580" i="30"/>
  <c r="CP580" i="30"/>
  <c r="CQ580" i="30"/>
  <c r="CR580" i="30"/>
  <c r="CS580" i="30"/>
  <c r="CT580" i="30"/>
  <c r="CU580" i="30"/>
  <c r="CV580" i="30"/>
  <c r="CW580" i="30"/>
  <c r="CX580" i="30"/>
  <c r="CY580" i="30"/>
  <c r="CZ580" i="30"/>
  <c r="DA580" i="30"/>
  <c r="DB580" i="30"/>
  <c r="DC580" i="30"/>
  <c r="DD580" i="30"/>
  <c r="DE580" i="30"/>
  <c r="DF580" i="30"/>
  <c r="DG580" i="30"/>
  <c r="DH580" i="30"/>
  <c r="DI580" i="30"/>
  <c r="DJ580" i="30"/>
  <c r="DK580" i="30"/>
  <c r="DL580" i="30"/>
  <c r="DM580" i="30"/>
  <c r="DN580" i="30"/>
  <c r="DO580" i="30"/>
  <c r="DP580" i="30"/>
  <c r="DQ580" i="30"/>
  <c r="DR580" i="30"/>
  <c r="DS580" i="30"/>
  <c r="DT580" i="30"/>
  <c r="DU580" i="30"/>
  <c r="DV580" i="30"/>
  <c r="DW580" i="30"/>
  <c r="DX580" i="30"/>
  <c r="DY580" i="30"/>
  <c r="DZ580" i="30"/>
  <c r="EA580" i="30"/>
  <c r="EB580" i="30"/>
  <c r="EC580" i="30"/>
  <c r="ED580" i="30"/>
  <c r="EE580" i="30"/>
  <c r="EF580" i="30"/>
  <c r="EG580" i="30"/>
  <c r="EH580" i="30"/>
  <c r="EI580" i="30"/>
  <c r="EJ580" i="30"/>
  <c r="EK580" i="30"/>
  <c r="EL580" i="30"/>
  <c r="EM580" i="30"/>
  <c r="EN580" i="30"/>
  <c r="EO580" i="30"/>
  <c r="EP580" i="30"/>
  <c r="EQ580" i="30"/>
  <c r="ER580" i="30"/>
  <c r="ES580" i="30"/>
  <c r="ET580" i="30"/>
  <c r="EU580" i="30"/>
  <c r="EV580" i="30"/>
  <c r="EW580" i="30"/>
  <c r="EX580" i="30"/>
  <c r="EY580" i="30"/>
  <c r="EZ580" i="30"/>
  <c r="FA580" i="30"/>
  <c r="FB580" i="30"/>
  <c r="FC580" i="30"/>
  <c r="FD580" i="30"/>
  <c r="FE580" i="30"/>
  <c r="FF580" i="30"/>
  <c r="FG580" i="30"/>
  <c r="FH580" i="30"/>
  <c r="FI580" i="30"/>
  <c r="FJ580" i="30"/>
  <c r="FK580" i="30"/>
  <c r="FL580" i="30"/>
  <c r="FM580" i="30"/>
  <c r="FN580" i="30"/>
  <c r="FO580" i="30"/>
  <c r="FP580" i="30"/>
  <c r="FQ580" i="30"/>
  <c r="FR580" i="30"/>
  <c r="FS580" i="30"/>
  <c r="FT580" i="30"/>
  <c r="FU580" i="30"/>
  <c r="FV580" i="30"/>
  <c r="FW580" i="30"/>
  <c r="FX580" i="30"/>
  <c r="FY580" i="30"/>
  <c r="FZ580" i="30"/>
  <c r="GA580" i="30"/>
  <c r="GB580" i="30"/>
  <c r="GC580" i="30"/>
  <c r="GD580" i="30"/>
  <c r="GE580" i="30"/>
  <c r="GF580" i="30"/>
  <c r="GG580" i="30"/>
  <c r="GH580" i="30"/>
  <c r="GI580" i="30"/>
  <c r="GJ580" i="30"/>
  <c r="GK580" i="30"/>
  <c r="GL580" i="30"/>
  <c r="GM580" i="30"/>
  <c r="GN580" i="30"/>
  <c r="GO580" i="30"/>
  <c r="GP580" i="30"/>
  <c r="GQ580" i="30"/>
  <c r="GR580" i="30"/>
  <c r="GS580" i="30"/>
  <c r="GT580" i="30"/>
  <c r="GU580" i="30"/>
  <c r="GV580" i="30"/>
  <c r="GW580" i="30"/>
  <c r="GX580" i="30"/>
  <c r="GY580" i="30"/>
  <c r="GZ580" i="30"/>
  <c r="HA580" i="30"/>
  <c r="HB580" i="30"/>
  <c r="HC580" i="30"/>
  <c r="HD580" i="30"/>
  <c r="HE580" i="30"/>
  <c r="HF580" i="30"/>
  <c r="HG580" i="30"/>
  <c r="HH580" i="30"/>
  <c r="HI580" i="30"/>
  <c r="HJ580" i="30"/>
  <c r="HK580" i="30"/>
  <c r="HL580" i="30"/>
  <c r="HM580" i="30"/>
  <c r="HN580" i="30"/>
  <c r="HO580" i="30"/>
  <c r="HP580" i="30"/>
  <c r="HQ580" i="30"/>
  <c r="HR580" i="30"/>
  <c r="HS580" i="30"/>
  <c r="HT580" i="30"/>
  <c r="HU580" i="30"/>
  <c r="HV580" i="30"/>
  <c r="HW580" i="30"/>
  <c r="HX580" i="30"/>
  <c r="HY580" i="30"/>
  <c r="HZ580" i="30"/>
  <c r="IA580" i="30"/>
  <c r="IB580" i="30"/>
  <c r="IC580" i="30"/>
  <c r="ID580" i="30"/>
  <c r="IE580" i="30"/>
  <c r="IF580" i="30"/>
  <c r="IG580" i="30"/>
  <c r="IH580" i="30"/>
  <c r="II580" i="30"/>
  <c r="IJ580" i="30"/>
  <c r="IK580" i="30"/>
  <c r="IL580" i="30"/>
  <c r="IM580" i="30"/>
  <c r="IN580" i="30"/>
  <c r="IO580" i="30"/>
  <c r="IP580" i="30"/>
  <c r="IQ580" i="30"/>
  <c r="IR580" i="30"/>
  <c r="IS580" i="30"/>
  <c r="IT580" i="30"/>
  <c r="IU580" i="30"/>
  <c r="IV580" i="30"/>
  <c r="A579" i="30"/>
  <c r="B579" i="30"/>
  <c r="C579" i="30"/>
  <c r="D579" i="30"/>
  <c r="E579" i="30"/>
  <c r="F579" i="30"/>
  <c r="G579" i="30"/>
  <c r="H579" i="30"/>
  <c r="I579" i="30"/>
  <c r="J579" i="30"/>
  <c r="K579" i="30"/>
  <c r="L579" i="30"/>
  <c r="M579" i="30"/>
  <c r="N579" i="30"/>
  <c r="O579" i="30"/>
  <c r="P579" i="30"/>
  <c r="Q579" i="30"/>
  <c r="R579" i="30"/>
  <c r="S579" i="30"/>
  <c r="T579" i="30"/>
  <c r="U579" i="30"/>
  <c r="V579" i="30"/>
  <c r="W579" i="30"/>
  <c r="X579" i="30"/>
  <c r="Y579" i="30"/>
  <c r="Z579" i="30"/>
  <c r="AA579" i="30"/>
  <c r="AB579" i="30"/>
  <c r="AC579" i="30"/>
  <c r="AD579" i="30"/>
  <c r="AE579" i="30"/>
  <c r="AF579" i="30"/>
  <c r="AG579" i="30"/>
  <c r="AH579" i="30"/>
  <c r="AI579" i="30"/>
  <c r="AJ579" i="30"/>
  <c r="AK579" i="30"/>
  <c r="AL579" i="30"/>
  <c r="AM579" i="30"/>
  <c r="AN579" i="30"/>
  <c r="AO579" i="30"/>
  <c r="AP579" i="30"/>
  <c r="AQ579" i="30"/>
  <c r="AR579" i="30"/>
  <c r="AS579" i="30"/>
  <c r="AT579" i="30"/>
  <c r="AU579" i="30"/>
  <c r="AV579" i="30"/>
  <c r="AW579" i="30"/>
  <c r="AX579" i="30"/>
  <c r="AY579" i="30"/>
  <c r="AZ579" i="30"/>
  <c r="BA579" i="30"/>
  <c r="BB579" i="30"/>
  <c r="BC579" i="30"/>
  <c r="BD579" i="30"/>
  <c r="BE579" i="30"/>
  <c r="BF579" i="30"/>
  <c r="BG579" i="30"/>
  <c r="BH579" i="30"/>
  <c r="BI579" i="30"/>
  <c r="BJ579" i="30"/>
  <c r="BK579" i="30"/>
  <c r="BL579" i="30"/>
  <c r="BM579" i="30"/>
  <c r="BN579" i="30"/>
  <c r="BO579" i="30"/>
  <c r="BP579" i="30"/>
  <c r="BQ579" i="30"/>
  <c r="BR579" i="30"/>
  <c r="BS579" i="30"/>
  <c r="BT579" i="30"/>
  <c r="BU579" i="30"/>
  <c r="BV579" i="30"/>
  <c r="BW579" i="30"/>
  <c r="BX579" i="30"/>
  <c r="BY579" i="30"/>
  <c r="BZ579" i="30"/>
  <c r="CA579" i="30"/>
  <c r="CB579" i="30"/>
  <c r="CC579" i="30"/>
  <c r="CD579" i="30"/>
  <c r="CE579" i="30"/>
  <c r="CF579" i="30"/>
  <c r="CG579" i="30"/>
  <c r="CH579" i="30"/>
  <c r="CI579" i="30"/>
  <c r="CJ579" i="30"/>
  <c r="CK579" i="30"/>
  <c r="CL579" i="30"/>
  <c r="CM579" i="30"/>
  <c r="CN579" i="30"/>
  <c r="CO579" i="30"/>
  <c r="CP579" i="30"/>
  <c r="CQ579" i="30"/>
  <c r="CR579" i="30"/>
  <c r="CS579" i="30"/>
  <c r="CT579" i="30"/>
  <c r="CU579" i="30"/>
  <c r="CV579" i="30"/>
  <c r="CW579" i="30"/>
  <c r="CX579" i="30"/>
  <c r="CY579" i="30"/>
  <c r="CZ579" i="30"/>
  <c r="DA579" i="30"/>
  <c r="DB579" i="30"/>
  <c r="DC579" i="30"/>
  <c r="DD579" i="30"/>
  <c r="DE579" i="30"/>
  <c r="DF579" i="30"/>
  <c r="DG579" i="30"/>
  <c r="DH579" i="30"/>
  <c r="DI579" i="30"/>
  <c r="DJ579" i="30"/>
  <c r="DK579" i="30"/>
  <c r="DL579" i="30"/>
  <c r="DM579" i="30"/>
  <c r="DN579" i="30"/>
  <c r="DO579" i="30"/>
  <c r="DP579" i="30"/>
  <c r="DQ579" i="30"/>
  <c r="DR579" i="30"/>
  <c r="DS579" i="30"/>
  <c r="DT579" i="30"/>
  <c r="DU579" i="30"/>
  <c r="DV579" i="30"/>
  <c r="DW579" i="30"/>
  <c r="DX579" i="30"/>
  <c r="DY579" i="30"/>
  <c r="DZ579" i="30"/>
  <c r="EA579" i="30"/>
  <c r="EB579" i="30"/>
  <c r="EC579" i="30"/>
  <c r="ED579" i="30"/>
  <c r="EE579" i="30"/>
  <c r="EF579" i="30"/>
  <c r="EG579" i="30"/>
  <c r="EH579" i="30"/>
  <c r="EI579" i="30"/>
  <c r="EJ579" i="30"/>
  <c r="EK579" i="30"/>
  <c r="EL579" i="30"/>
  <c r="EM579" i="30"/>
  <c r="EN579" i="30"/>
  <c r="EO579" i="30"/>
  <c r="EP579" i="30"/>
  <c r="EQ579" i="30"/>
  <c r="ER579" i="30"/>
  <c r="ES579" i="30"/>
  <c r="ET579" i="30"/>
  <c r="EU579" i="30"/>
  <c r="EV579" i="30"/>
  <c r="EW579" i="30"/>
  <c r="EX579" i="30"/>
  <c r="EY579" i="30"/>
  <c r="EZ579" i="30"/>
  <c r="FA579" i="30"/>
  <c r="FB579" i="30"/>
  <c r="FC579" i="30"/>
  <c r="FD579" i="30"/>
  <c r="FE579" i="30"/>
  <c r="FF579" i="30"/>
  <c r="FG579" i="30"/>
  <c r="FH579" i="30"/>
  <c r="FI579" i="30"/>
  <c r="FJ579" i="30"/>
  <c r="FK579" i="30"/>
  <c r="FL579" i="30"/>
  <c r="FM579" i="30"/>
  <c r="FN579" i="30"/>
  <c r="FO579" i="30"/>
  <c r="FP579" i="30"/>
  <c r="FQ579" i="30"/>
  <c r="FR579" i="30"/>
  <c r="FS579" i="30"/>
  <c r="FT579" i="30"/>
  <c r="FU579" i="30"/>
  <c r="FV579" i="30"/>
  <c r="FW579" i="30"/>
  <c r="FX579" i="30"/>
  <c r="FY579" i="30"/>
  <c r="FZ579" i="30"/>
  <c r="GA579" i="30"/>
  <c r="GB579" i="30"/>
  <c r="GC579" i="30"/>
  <c r="GD579" i="30"/>
  <c r="GE579" i="30"/>
  <c r="GF579" i="30"/>
  <c r="GG579" i="30"/>
  <c r="GH579" i="30"/>
  <c r="GI579" i="30"/>
  <c r="GJ579" i="30"/>
  <c r="GK579" i="30"/>
  <c r="GL579" i="30"/>
  <c r="GM579" i="30"/>
  <c r="GN579" i="30"/>
  <c r="GO579" i="30"/>
  <c r="GP579" i="30"/>
  <c r="GQ579" i="30"/>
  <c r="GR579" i="30"/>
  <c r="GS579" i="30"/>
  <c r="GT579" i="30"/>
  <c r="GU579" i="30"/>
  <c r="GV579" i="30"/>
  <c r="GW579" i="30"/>
  <c r="GX579" i="30"/>
  <c r="GY579" i="30"/>
  <c r="GZ579" i="30"/>
  <c r="HA579" i="30"/>
  <c r="HB579" i="30"/>
  <c r="HC579" i="30"/>
  <c r="HD579" i="30"/>
  <c r="HE579" i="30"/>
  <c r="HF579" i="30"/>
  <c r="HG579" i="30"/>
  <c r="HH579" i="30"/>
  <c r="HI579" i="30"/>
  <c r="HJ579" i="30"/>
  <c r="HK579" i="30"/>
  <c r="HL579" i="30"/>
  <c r="HM579" i="30"/>
  <c r="HN579" i="30"/>
  <c r="HO579" i="30"/>
  <c r="HP579" i="30"/>
  <c r="HQ579" i="30"/>
  <c r="HR579" i="30"/>
  <c r="HS579" i="30"/>
  <c r="HT579" i="30"/>
  <c r="HU579" i="30"/>
  <c r="HV579" i="30"/>
  <c r="HW579" i="30"/>
  <c r="HX579" i="30"/>
  <c r="HY579" i="30"/>
  <c r="HZ579" i="30"/>
  <c r="IA579" i="30"/>
  <c r="IB579" i="30"/>
  <c r="IC579" i="30"/>
  <c r="ID579" i="30"/>
  <c r="IE579" i="30"/>
  <c r="IF579" i="30"/>
  <c r="IG579" i="30"/>
  <c r="IH579" i="30"/>
  <c r="II579" i="30"/>
  <c r="IJ579" i="30"/>
  <c r="IK579" i="30"/>
  <c r="IL579" i="30"/>
  <c r="IM579" i="30"/>
  <c r="IN579" i="30"/>
  <c r="IO579" i="30"/>
  <c r="IP579" i="30"/>
  <c r="IQ579" i="30"/>
  <c r="IR579" i="30"/>
  <c r="IS579" i="30"/>
  <c r="IT579" i="30"/>
  <c r="IU579" i="30"/>
  <c r="IV579" i="30"/>
  <c r="A578" i="30"/>
  <c r="B578" i="30"/>
  <c r="C578" i="30"/>
  <c r="D578" i="30"/>
  <c r="E578" i="30"/>
  <c r="F578" i="30"/>
  <c r="G578" i="30"/>
  <c r="H578" i="30"/>
  <c r="I578" i="30"/>
  <c r="J578" i="30"/>
  <c r="K578" i="30"/>
  <c r="L578" i="30"/>
  <c r="M578" i="30"/>
  <c r="N578" i="30"/>
  <c r="O578" i="30"/>
  <c r="P578" i="30"/>
  <c r="Q578" i="30"/>
  <c r="R578" i="30"/>
  <c r="S578" i="30"/>
  <c r="T578" i="30"/>
  <c r="U578" i="30"/>
  <c r="V578" i="30"/>
  <c r="W578" i="30"/>
  <c r="X578" i="30"/>
  <c r="Y578" i="30"/>
  <c r="Z578" i="30"/>
  <c r="AA578" i="30"/>
  <c r="AB578" i="30"/>
  <c r="AC578" i="30"/>
  <c r="AD578" i="30"/>
  <c r="AE578" i="30"/>
  <c r="AF578" i="30"/>
  <c r="AG578" i="30"/>
  <c r="AH578" i="30"/>
  <c r="AI578" i="30"/>
  <c r="AJ578" i="30"/>
  <c r="AK578" i="30"/>
  <c r="AL578" i="30"/>
  <c r="AM578" i="30"/>
  <c r="AN578" i="30"/>
  <c r="AO578" i="30"/>
  <c r="AP578" i="30"/>
  <c r="AQ578" i="30"/>
  <c r="AR578" i="30"/>
  <c r="AS578" i="30"/>
  <c r="AT578" i="30"/>
  <c r="AU578" i="30"/>
  <c r="AV578" i="30"/>
  <c r="AW578" i="30"/>
  <c r="AX578" i="30"/>
  <c r="AY578" i="30"/>
  <c r="AZ578" i="30"/>
  <c r="BA578" i="30"/>
  <c r="BB578" i="30"/>
  <c r="BC578" i="30"/>
  <c r="BD578" i="30"/>
  <c r="BE578" i="30"/>
  <c r="BF578" i="30"/>
  <c r="BG578" i="30"/>
  <c r="BH578" i="30"/>
  <c r="BI578" i="30"/>
  <c r="BJ578" i="30"/>
  <c r="BK578" i="30"/>
  <c r="BL578" i="30"/>
  <c r="BM578" i="30"/>
  <c r="BN578" i="30"/>
  <c r="BO578" i="30"/>
  <c r="BP578" i="30"/>
  <c r="BQ578" i="30"/>
  <c r="BR578" i="30"/>
  <c r="BS578" i="30"/>
  <c r="BT578" i="30"/>
  <c r="BU578" i="30"/>
  <c r="BV578" i="30"/>
  <c r="BW578" i="30"/>
  <c r="BX578" i="30"/>
  <c r="BY578" i="30"/>
  <c r="BZ578" i="30"/>
  <c r="CA578" i="30"/>
  <c r="CB578" i="30"/>
  <c r="CC578" i="30"/>
  <c r="CD578" i="30"/>
  <c r="CE578" i="30"/>
  <c r="CF578" i="30"/>
  <c r="CG578" i="30"/>
  <c r="CH578" i="30"/>
  <c r="CI578" i="30"/>
  <c r="CJ578" i="30"/>
  <c r="CK578" i="30"/>
  <c r="CL578" i="30"/>
  <c r="CM578" i="30"/>
  <c r="CN578" i="30"/>
  <c r="CO578" i="30"/>
  <c r="CP578" i="30"/>
  <c r="CQ578" i="30"/>
  <c r="CR578" i="30"/>
  <c r="CS578" i="30"/>
  <c r="CT578" i="30"/>
  <c r="CU578" i="30"/>
  <c r="CV578" i="30"/>
  <c r="CW578" i="30"/>
  <c r="CX578" i="30"/>
  <c r="CY578" i="30"/>
  <c r="CZ578" i="30"/>
  <c r="DA578" i="30"/>
  <c r="DB578" i="30"/>
  <c r="DC578" i="30"/>
  <c r="DD578" i="30"/>
  <c r="DE578" i="30"/>
  <c r="DF578" i="30"/>
  <c r="DG578" i="30"/>
  <c r="DH578" i="30"/>
  <c r="DI578" i="30"/>
  <c r="DJ578" i="30"/>
  <c r="DK578" i="30"/>
  <c r="DL578" i="30"/>
  <c r="DM578" i="30"/>
  <c r="DN578" i="30"/>
  <c r="DO578" i="30"/>
  <c r="DP578" i="30"/>
  <c r="DQ578" i="30"/>
  <c r="DR578" i="30"/>
  <c r="DS578" i="30"/>
  <c r="DT578" i="30"/>
  <c r="DU578" i="30"/>
  <c r="DV578" i="30"/>
  <c r="DW578" i="30"/>
  <c r="DX578" i="30"/>
  <c r="DY578" i="30"/>
  <c r="DZ578" i="30"/>
  <c r="EA578" i="30"/>
  <c r="EB578" i="30"/>
  <c r="EC578" i="30"/>
  <c r="ED578" i="30"/>
  <c r="EE578" i="30"/>
  <c r="EF578" i="30"/>
  <c r="EG578" i="30"/>
  <c r="EH578" i="30"/>
  <c r="EI578" i="30"/>
  <c r="EJ578" i="30"/>
  <c r="EK578" i="30"/>
  <c r="EL578" i="30"/>
  <c r="EM578" i="30"/>
  <c r="EN578" i="30"/>
  <c r="EO578" i="30"/>
  <c r="EP578" i="30"/>
  <c r="EQ578" i="30"/>
  <c r="ER578" i="30"/>
  <c r="ES578" i="30"/>
  <c r="ET578" i="30"/>
  <c r="EU578" i="30"/>
  <c r="EV578" i="30"/>
  <c r="EW578" i="30"/>
  <c r="EX578" i="30"/>
  <c r="EY578" i="30"/>
  <c r="EZ578" i="30"/>
  <c r="FA578" i="30"/>
  <c r="FB578" i="30"/>
  <c r="FC578" i="30"/>
  <c r="FD578" i="30"/>
  <c r="FE578" i="30"/>
  <c r="FF578" i="30"/>
  <c r="FG578" i="30"/>
  <c r="FH578" i="30"/>
  <c r="FI578" i="30"/>
  <c r="FJ578" i="30"/>
  <c r="FK578" i="30"/>
  <c r="FL578" i="30"/>
  <c r="FM578" i="30"/>
  <c r="FN578" i="30"/>
  <c r="FO578" i="30"/>
  <c r="FP578" i="30"/>
  <c r="FQ578" i="30"/>
  <c r="FR578" i="30"/>
  <c r="FS578" i="30"/>
  <c r="FT578" i="30"/>
  <c r="FU578" i="30"/>
  <c r="FV578" i="30"/>
  <c r="FW578" i="30"/>
  <c r="FX578" i="30"/>
  <c r="FY578" i="30"/>
  <c r="FZ578" i="30"/>
  <c r="GA578" i="30"/>
  <c r="GB578" i="30"/>
  <c r="GC578" i="30"/>
  <c r="GD578" i="30"/>
  <c r="GE578" i="30"/>
  <c r="GF578" i="30"/>
  <c r="GG578" i="30"/>
  <c r="GH578" i="30"/>
  <c r="GI578" i="30"/>
  <c r="GJ578" i="30"/>
  <c r="GK578" i="30"/>
  <c r="GL578" i="30"/>
  <c r="GM578" i="30"/>
  <c r="GN578" i="30"/>
  <c r="GO578" i="30"/>
  <c r="GP578" i="30"/>
  <c r="GQ578" i="30"/>
  <c r="GR578" i="30"/>
  <c r="GS578" i="30"/>
  <c r="GT578" i="30"/>
  <c r="GU578" i="30"/>
  <c r="GV578" i="30"/>
  <c r="GW578" i="30"/>
  <c r="GX578" i="30"/>
  <c r="GY578" i="30"/>
  <c r="GZ578" i="30"/>
  <c r="HA578" i="30"/>
  <c r="HB578" i="30"/>
  <c r="HC578" i="30"/>
  <c r="HD578" i="30"/>
  <c r="HE578" i="30"/>
  <c r="HF578" i="30"/>
  <c r="HG578" i="30"/>
  <c r="HH578" i="30"/>
  <c r="HI578" i="30"/>
  <c r="HJ578" i="30"/>
  <c r="HK578" i="30"/>
  <c r="HL578" i="30"/>
  <c r="HM578" i="30"/>
  <c r="HN578" i="30"/>
  <c r="HO578" i="30"/>
  <c r="HP578" i="30"/>
  <c r="HQ578" i="30"/>
  <c r="HR578" i="30"/>
  <c r="HS578" i="30"/>
  <c r="HT578" i="30"/>
  <c r="HU578" i="30"/>
  <c r="HV578" i="30"/>
  <c r="HW578" i="30"/>
  <c r="HX578" i="30"/>
  <c r="HY578" i="30"/>
  <c r="HZ578" i="30"/>
  <c r="IA578" i="30"/>
  <c r="IB578" i="30"/>
  <c r="IC578" i="30"/>
  <c r="ID578" i="30"/>
  <c r="IE578" i="30"/>
  <c r="IF578" i="30"/>
  <c r="IG578" i="30"/>
  <c r="IH578" i="30"/>
  <c r="II578" i="30"/>
  <c r="IJ578" i="30"/>
  <c r="IK578" i="30"/>
  <c r="IL578" i="30"/>
  <c r="IM578" i="30"/>
  <c r="IN578" i="30"/>
  <c r="IO578" i="30"/>
  <c r="IP578" i="30"/>
  <c r="IQ578" i="30"/>
  <c r="IR578" i="30"/>
  <c r="IS578" i="30"/>
  <c r="IT578" i="30"/>
  <c r="IU578" i="30"/>
  <c r="IV578" i="30"/>
  <c r="A577" i="30"/>
  <c r="B577" i="30"/>
  <c r="C577" i="30"/>
  <c r="D577" i="30"/>
  <c r="E577" i="30"/>
  <c r="F577" i="30"/>
  <c r="G577" i="30"/>
  <c r="H577" i="30"/>
  <c r="I577" i="30"/>
  <c r="J577" i="30"/>
  <c r="K577" i="30"/>
  <c r="L577" i="30"/>
  <c r="M577" i="30"/>
  <c r="N577" i="30"/>
  <c r="O577" i="30"/>
  <c r="P577" i="30"/>
  <c r="Q577" i="30"/>
  <c r="R577" i="30"/>
  <c r="S577" i="30"/>
  <c r="T577" i="30"/>
  <c r="U577" i="30"/>
  <c r="V577" i="30"/>
  <c r="W577" i="30"/>
  <c r="X577" i="30"/>
  <c r="Y577" i="30"/>
  <c r="Z577" i="30"/>
  <c r="AA577" i="30"/>
  <c r="AB577" i="30"/>
  <c r="AC577" i="30"/>
  <c r="AD577" i="30"/>
  <c r="AE577" i="30"/>
  <c r="AF577" i="30"/>
  <c r="AG577" i="30"/>
  <c r="AH577" i="30"/>
  <c r="AI577" i="30"/>
  <c r="AJ577" i="30"/>
  <c r="AK577" i="30"/>
  <c r="AL577" i="30"/>
  <c r="AM577" i="30"/>
  <c r="AN577" i="30"/>
  <c r="AO577" i="30"/>
  <c r="AP577" i="30"/>
  <c r="AQ577" i="30"/>
  <c r="AR577" i="30"/>
  <c r="AS577" i="30"/>
  <c r="AT577" i="30"/>
  <c r="AU577" i="30"/>
  <c r="AV577" i="30"/>
  <c r="AW577" i="30"/>
  <c r="AX577" i="30"/>
  <c r="AY577" i="30"/>
  <c r="AZ577" i="30"/>
  <c r="BA577" i="30"/>
  <c r="BB577" i="30"/>
  <c r="BC577" i="30"/>
  <c r="BD577" i="30"/>
  <c r="BE577" i="30"/>
  <c r="BF577" i="30"/>
  <c r="BG577" i="30"/>
  <c r="BH577" i="30"/>
  <c r="BI577" i="30"/>
  <c r="BJ577" i="30"/>
  <c r="BK577" i="30"/>
  <c r="BL577" i="30"/>
  <c r="BM577" i="30"/>
  <c r="BN577" i="30"/>
  <c r="BO577" i="30"/>
  <c r="BP577" i="30"/>
  <c r="BQ577" i="30"/>
  <c r="BR577" i="30"/>
  <c r="BS577" i="30"/>
  <c r="BT577" i="30"/>
  <c r="BU577" i="30"/>
  <c r="BV577" i="30"/>
  <c r="BW577" i="30"/>
  <c r="BX577" i="30"/>
  <c r="BY577" i="30"/>
  <c r="BZ577" i="30"/>
  <c r="CA577" i="30"/>
  <c r="CB577" i="30"/>
  <c r="CC577" i="30"/>
  <c r="CD577" i="30"/>
  <c r="CE577" i="30"/>
  <c r="CF577" i="30"/>
  <c r="CG577" i="30"/>
  <c r="CH577" i="30"/>
  <c r="CI577" i="30"/>
  <c r="CJ577" i="30"/>
  <c r="CK577" i="30"/>
  <c r="CL577" i="30"/>
  <c r="CM577" i="30"/>
  <c r="CN577" i="30"/>
  <c r="CO577" i="30"/>
  <c r="CP577" i="30"/>
  <c r="CQ577" i="30"/>
  <c r="CR577" i="30"/>
  <c r="CS577" i="30"/>
  <c r="CT577" i="30"/>
  <c r="CU577" i="30"/>
  <c r="CV577" i="30"/>
  <c r="CW577" i="30"/>
  <c r="CX577" i="30"/>
  <c r="CY577" i="30"/>
  <c r="CZ577" i="30"/>
  <c r="DA577" i="30"/>
  <c r="DB577" i="30"/>
  <c r="DC577" i="30"/>
  <c r="DD577" i="30"/>
  <c r="DE577" i="30"/>
  <c r="DF577" i="30"/>
  <c r="DG577" i="30"/>
  <c r="DH577" i="30"/>
  <c r="DI577" i="30"/>
  <c r="DJ577" i="30"/>
  <c r="DK577" i="30"/>
  <c r="DL577" i="30"/>
  <c r="DM577" i="30"/>
  <c r="DN577" i="30"/>
  <c r="DO577" i="30"/>
  <c r="DP577" i="30"/>
  <c r="DQ577" i="30"/>
  <c r="DR577" i="30"/>
  <c r="DS577" i="30"/>
  <c r="DT577" i="30"/>
  <c r="DU577" i="30"/>
  <c r="DV577" i="30"/>
  <c r="DW577" i="30"/>
  <c r="DX577" i="30"/>
  <c r="DY577" i="30"/>
  <c r="DZ577" i="30"/>
  <c r="EA577" i="30"/>
  <c r="EB577" i="30"/>
  <c r="EC577" i="30"/>
  <c r="ED577" i="30"/>
  <c r="EE577" i="30"/>
  <c r="EF577" i="30"/>
  <c r="EG577" i="30"/>
  <c r="EH577" i="30"/>
  <c r="EI577" i="30"/>
  <c r="EJ577" i="30"/>
  <c r="EK577" i="30"/>
  <c r="EL577" i="30"/>
  <c r="EM577" i="30"/>
  <c r="EN577" i="30"/>
  <c r="EO577" i="30"/>
  <c r="EP577" i="30"/>
  <c r="EQ577" i="30"/>
  <c r="ER577" i="30"/>
  <c r="ES577" i="30"/>
  <c r="ET577" i="30"/>
  <c r="EU577" i="30"/>
  <c r="EV577" i="30"/>
  <c r="EW577" i="30"/>
  <c r="EX577" i="30"/>
  <c r="EY577" i="30"/>
  <c r="EZ577" i="30"/>
  <c r="FA577" i="30"/>
  <c r="FB577" i="30"/>
  <c r="FC577" i="30"/>
  <c r="FD577" i="30"/>
  <c r="FE577" i="30"/>
  <c r="FF577" i="30"/>
  <c r="FG577" i="30"/>
  <c r="FH577" i="30"/>
  <c r="FI577" i="30"/>
  <c r="FJ577" i="30"/>
  <c r="FK577" i="30"/>
  <c r="FL577" i="30"/>
  <c r="FM577" i="30"/>
  <c r="FN577" i="30"/>
  <c r="FO577" i="30"/>
  <c r="FP577" i="30"/>
  <c r="FQ577" i="30"/>
  <c r="FR577" i="30"/>
  <c r="FS577" i="30"/>
  <c r="FT577" i="30"/>
  <c r="FU577" i="30"/>
  <c r="FV577" i="30"/>
  <c r="FW577" i="30"/>
  <c r="FX577" i="30"/>
  <c r="FY577" i="30"/>
  <c r="FZ577" i="30"/>
  <c r="GA577" i="30"/>
  <c r="GB577" i="30"/>
  <c r="GC577" i="30"/>
  <c r="GD577" i="30"/>
  <c r="GE577" i="30"/>
  <c r="GF577" i="30"/>
  <c r="GG577" i="30"/>
  <c r="GH577" i="30"/>
  <c r="GI577" i="30"/>
  <c r="GJ577" i="30"/>
  <c r="GK577" i="30"/>
  <c r="GL577" i="30"/>
  <c r="GM577" i="30"/>
  <c r="GN577" i="30"/>
  <c r="GO577" i="30"/>
  <c r="GP577" i="30"/>
  <c r="GQ577" i="30"/>
  <c r="GR577" i="30"/>
  <c r="GS577" i="30"/>
  <c r="GT577" i="30"/>
  <c r="GU577" i="30"/>
  <c r="GV577" i="30"/>
  <c r="GW577" i="30"/>
  <c r="GX577" i="30"/>
  <c r="GY577" i="30"/>
  <c r="GZ577" i="30"/>
  <c r="HA577" i="30"/>
  <c r="HB577" i="30"/>
  <c r="HC577" i="30"/>
  <c r="HD577" i="30"/>
  <c r="HE577" i="30"/>
  <c r="HF577" i="30"/>
  <c r="HG577" i="30"/>
  <c r="HH577" i="30"/>
  <c r="HI577" i="30"/>
  <c r="HJ577" i="30"/>
  <c r="HK577" i="30"/>
  <c r="HL577" i="30"/>
  <c r="HM577" i="30"/>
  <c r="HN577" i="30"/>
  <c r="HO577" i="30"/>
  <c r="HP577" i="30"/>
  <c r="HQ577" i="30"/>
  <c r="HR577" i="30"/>
  <c r="HS577" i="30"/>
  <c r="HT577" i="30"/>
  <c r="HU577" i="30"/>
  <c r="HV577" i="30"/>
  <c r="HW577" i="30"/>
  <c r="HX577" i="30"/>
  <c r="HY577" i="30"/>
  <c r="HZ577" i="30"/>
  <c r="IA577" i="30"/>
  <c r="IB577" i="30"/>
  <c r="IC577" i="30"/>
  <c r="ID577" i="30"/>
  <c r="IE577" i="30"/>
  <c r="IF577" i="30"/>
  <c r="IG577" i="30"/>
  <c r="IH577" i="30"/>
  <c r="II577" i="30"/>
  <c r="IJ577" i="30"/>
  <c r="IK577" i="30"/>
  <c r="IL577" i="30"/>
  <c r="IM577" i="30"/>
  <c r="IN577" i="30"/>
  <c r="IO577" i="30"/>
  <c r="IP577" i="30"/>
  <c r="IQ577" i="30"/>
  <c r="IR577" i="30"/>
  <c r="IS577" i="30"/>
  <c r="IT577" i="30"/>
  <c r="IU577" i="30"/>
  <c r="IV577" i="30"/>
  <c r="A576" i="30"/>
  <c r="B576" i="30"/>
  <c r="C576" i="30"/>
  <c r="D576" i="30"/>
  <c r="E576" i="30"/>
  <c r="F576" i="30"/>
  <c r="G576" i="30"/>
  <c r="H576" i="30"/>
  <c r="I576" i="30"/>
  <c r="J576" i="30"/>
  <c r="K576" i="30"/>
  <c r="L576" i="30"/>
  <c r="M576" i="30"/>
  <c r="N576" i="30"/>
  <c r="O576" i="30"/>
  <c r="P576" i="30"/>
  <c r="Q576" i="30"/>
  <c r="R576" i="30"/>
  <c r="S576" i="30"/>
  <c r="T576" i="30"/>
  <c r="U576" i="30"/>
  <c r="V576" i="30"/>
  <c r="W576" i="30"/>
  <c r="X576" i="30"/>
  <c r="Y576" i="30"/>
  <c r="Z576" i="30"/>
  <c r="AA576" i="30"/>
  <c r="AB576" i="30"/>
  <c r="AC576" i="30"/>
  <c r="AD576" i="30"/>
  <c r="AE576" i="30"/>
  <c r="AF576" i="30"/>
  <c r="AG576" i="30"/>
  <c r="AH576" i="30"/>
  <c r="AI576" i="30"/>
  <c r="AJ576" i="30"/>
  <c r="AK576" i="30"/>
  <c r="AL576" i="30"/>
  <c r="AM576" i="30"/>
  <c r="AN576" i="30"/>
  <c r="AO576" i="30"/>
  <c r="AP576" i="30"/>
  <c r="AQ576" i="30"/>
  <c r="AR576" i="30"/>
  <c r="AS576" i="30"/>
  <c r="AT576" i="30"/>
  <c r="AU576" i="30"/>
  <c r="AV576" i="30"/>
  <c r="AW576" i="30"/>
  <c r="AX576" i="30"/>
  <c r="AY576" i="30"/>
  <c r="AZ576" i="30"/>
  <c r="BA576" i="30"/>
  <c r="BB576" i="30"/>
  <c r="BC576" i="30"/>
  <c r="BD576" i="30"/>
  <c r="BE576" i="30"/>
  <c r="BF576" i="30"/>
  <c r="BG576" i="30"/>
  <c r="BH576" i="30"/>
  <c r="BI576" i="30"/>
  <c r="BJ576" i="30"/>
  <c r="BK576" i="30"/>
  <c r="BL576" i="30"/>
  <c r="BM576" i="30"/>
  <c r="BN576" i="30"/>
  <c r="BO576" i="30"/>
  <c r="BP576" i="30"/>
  <c r="BQ576" i="30"/>
  <c r="BR576" i="30"/>
  <c r="BS576" i="30"/>
  <c r="BT576" i="30"/>
  <c r="BU576" i="30"/>
  <c r="BV576" i="30"/>
  <c r="BW576" i="30"/>
  <c r="BX576" i="30"/>
  <c r="BY576" i="30"/>
  <c r="BZ576" i="30"/>
  <c r="CA576" i="30"/>
  <c r="CB576" i="30"/>
  <c r="CC576" i="30"/>
  <c r="CD576" i="30"/>
  <c r="CE576" i="30"/>
  <c r="CF576" i="30"/>
  <c r="CG576" i="30"/>
  <c r="CH576" i="30"/>
  <c r="CI576" i="30"/>
  <c r="CJ576" i="30"/>
  <c r="CK576" i="30"/>
  <c r="CL576" i="30"/>
  <c r="CM576" i="30"/>
  <c r="CN576" i="30"/>
  <c r="CO576" i="30"/>
  <c r="CP576" i="30"/>
  <c r="CQ576" i="30"/>
  <c r="CR576" i="30"/>
  <c r="CS576" i="30"/>
  <c r="CT576" i="30"/>
  <c r="CU576" i="30"/>
  <c r="CV576" i="30"/>
  <c r="CW576" i="30"/>
  <c r="CX576" i="30"/>
  <c r="CY576" i="30"/>
  <c r="CZ576" i="30"/>
  <c r="DA576" i="30"/>
  <c r="DB576" i="30"/>
  <c r="DC576" i="30"/>
  <c r="DD576" i="30"/>
  <c r="DE576" i="30"/>
  <c r="DF576" i="30"/>
  <c r="DG576" i="30"/>
  <c r="DH576" i="30"/>
  <c r="DI576" i="30"/>
  <c r="DJ576" i="30"/>
  <c r="DK576" i="30"/>
  <c r="DL576" i="30"/>
  <c r="DM576" i="30"/>
  <c r="DN576" i="30"/>
  <c r="DO576" i="30"/>
  <c r="DP576" i="30"/>
  <c r="DQ576" i="30"/>
  <c r="DR576" i="30"/>
  <c r="DS576" i="30"/>
  <c r="DT576" i="30"/>
  <c r="DU576" i="30"/>
  <c r="DV576" i="30"/>
  <c r="DW576" i="30"/>
  <c r="DX576" i="30"/>
  <c r="DY576" i="30"/>
  <c r="DZ576" i="30"/>
  <c r="EA576" i="30"/>
  <c r="EB576" i="30"/>
  <c r="EC576" i="30"/>
  <c r="ED576" i="30"/>
  <c r="EE576" i="30"/>
  <c r="EF576" i="30"/>
  <c r="EG576" i="30"/>
  <c r="EH576" i="30"/>
  <c r="EI576" i="30"/>
  <c r="EJ576" i="30"/>
  <c r="EK576" i="30"/>
  <c r="EL576" i="30"/>
  <c r="EM576" i="30"/>
  <c r="EN576" i="30"/>
  <c r="EO576" i="30"/>
  <c r="EP576" i="30"/>
  <c r="EQ576" i="30"/>
  <c r="ER576" i="30"/>
  <c r="ES576" i="30"/>
  <c r="ET576" i="30"/>
  <c r="EU576" i="30"/>
  <c r="EV576" i="30"/>
  <c r="EW576" i="30"/>
  <c r="EX576" i="30"/>
  <c r="EY576" i="30"/>
  <c r="EZ576" i="30"/>
  <c r="FA576" i="30"/>
  <c r="FB576" i="30"/>
  <c r="FC576" i="30"/>
  <c r="FD576" i="30"/>
  <c r="FE576" i="30"/>
  <c r="FF576" i="30"/>
  <c r="FG576" i="30"/>
  <c r="FH576" i="30"/>
  <c r="FI576" i="30"/>
  <c r="FJ576" i="30"/>
  <c r="FK576" i="30"/>
  <c r="FL576" i="30"/>
  <c r="FM576" i="30"/>
  <c r="FN576" i="30"/>
  <c r="FO576" i="30"/>
  <c r="FP576" i="30"/>
  <c r="FQ576" i="30"/>
  <c r="FR576" i="30"/>
  <c r="FS576" i="30"/>
  <c r="FT576" i="30"/>
  <c r="FU576" i="30"/>
  <c r="FV576" i="30"/>
  <c r="FW576" i="30"/>
  <c r="FX576" i="30"/>
  <c r="FY576" i="30"/>
  <c r="FZ576" i="30"/>
  <c r="GA576" i="30"/>
  <c r="GB576" i="30"/>
  <c r="GC576" i="30"/>
  <c r="GD576" i="30"/>
  <c r="GE576" i="30"/>
  <c r="GF576" i="30"/>
  <c r="GG576" i="30"/>
  <c r="GH576" i="30"/>
  <c r="GI576" i="30"/>
  <c r="GJ576" i="30"/>
  <c r="GK576" i="30"/>
  <c r="GL576" i="30"/>
  <c r="GM576" i="30"/>
  <c r="GN576" i="30"/>
  <c r="GO576" i="30"/>
  <c r="GP576" i="30"/>
  <c r="GQ576" i="30"/>
  <c r="GR576" i="30"/>
  <c r="GS576" i="30"/>
  <c r="GT576" i="30"/>
  <c r="GU576" i="30"/>
  <c r="GV576" i="30"/>
  <c r="GW576" i="30"/>
  <c r="GX576" i="30"/>
  <c r="GY576" i="30"/>
  <c r="GZ576" i="30"/>
  <c r="HA576" i="30"/>
  <c r="HB576" i="30"/>
  <c r="HC576" i="30"/>
  <c r="HD576" i="30"/>
  <c r="HE576" i="30"/>
  <c r="HF576" i="30"/>
  <c r="HG576" i="30"/>
  <c r="HH576" i="30"/>
  <c r="HI576" i="30"/>
  <c r="HJ576" i="30"/>
  <c r="HK576" i="30"/>
  <c r="HL576" i="30"/>
  <c r="HM576" i="30"/>
  <c r="HN576" i="30"/>
  <c r="HO576" i="30"/>
  <c r="HP576" i="30"/>
  <c r="HQ576" i="30"/>
  <c r="HR576" i="30"/>
  <c r="HS576" i="30"/>
  <c r="HT576" i="30"/>
  <c r="HU576" i="30"/>
  <c r="HV576" i="30"/>
  <c r="HW576" i="30"/>
  <c r="HX576" i="30"/>
  <c r="HY576" i="30"/>
  <c r="HZ576" i="30"/>
  <c r="IA576" i="30"/>
  <c r="IB576" i="30"/>
  <c r="IC576" i="30"/>
  <c r="ID576" i="30"/>
  <c r="IE576" i="30"/>
  <c r="IF576" i="30"/>
  <c r="IG576" i="30"/>
  <c r="IH576" i="30"/>
  <c r="II576" i="30"/>
  <c r="IJ576" i="30"/>
  <c r="IK576" i="30"/>
  <c r="IL576" i="30"/>
  <c r="IM576" i="30"/>
  <c r="IN576" i="30"/>
  <c r="IO576" i="30"/>
  <c r="IP576" i="30"/>
  <c r="IQ576" i="30"/>
  <c r="IR576" i="30"/>
  <c r="IS576" i="30"/>
  <c r="IT576" i="30"/>
  <c r="IU576" i="30"/>
  <c r="IV576" i="30"/>
  <c r="A575" i="30"/>
  <c r="B575" i="30"/>
  <c r="C575" i="30"/>
  <c r="D575" i="30"/>
  <c r="E575" i="30"/>
  <c r="F575" i="30"/>
  <c r="G575" i="30"/>
  <c r="H575" i="30"/>
  <c r="I575" i="30"/>
  <c r="J575" i="30"/>
  <c r="K575" i="30"/>
  <c r="L575" i="30"/>
  <c r="M575" i="30"/>
  <c r="N575" i="30"/>
  <c r="O575" i="30"/>
  <c r="P575" i="30"/>
  <c r="Q575" i="30"/>
  <c r="R575" i="30"/>
  <c r="S575" i="30"/>
  <c r="T575" i="30"/>
  <c r="U575" i="30"/>
  <c r="V575" i="30"/>
  <c r="W575" i="30"/>
  <c r="X575" i="30"/>
  <c r="Y575" i="30"/>
  <c r="Z575" i="30"/>
  <c r="AA575" i="30"/>
  <c r="AB575" i="30"/>
  <c r="AC575" i="30"/>
  <c r="AD575" i="30"/>
  <c r="AE575" i="30"/>
  <c r="AF575" i="30"/>
  <c r="AG575" i="30"/>
  <c r="AH575" i="30"/>
  <c r="AI575" i="30"/>
  <c r="AJ575" i="30"/>
  <c r="AK575" i="30"/>
  <c r="AL575" i="30"/>
  <c r="AM575" i="30"/>
  <c r="AN575" i="30"/>
  <c r="AO575" i="30"/>
  <c r="AP575" i="30"/>
  <c r="AQ575" i="30"/>
  <c r="AR575" i="30"/>
  <c r="AS575" i="30"/>
  <c r="AT575" i="30"/>
  <c r="AU575" i="30"/>
  <c r="AV575" i="30"/>
  <c r="AW575" i="30"/>
  <c r="AX575" i="30"/>
  <c r="AY575" i="30"/>
  <c r="AZ575" i="30"/>
  <c r="BA575" i="30"/>
  <c r="BB575" i="30"/>
  <c r="BC575" i="30"/>
  <c r="BD575" i="30"/>
  <c r="BE575" i="30"/>
  <c r="BF575" i="30"/>
  <c r="BG575" i="30"/>
  <c r="BH575" i="30"/>
  <c r="BI575" i="30"/>
  <c r="BJ575" i="30"/>
  <c r="BK575" i="30"/>
  <c r="BL575" i="30"/>
  <c r="BM575" i="30"/>
  <c r="BN575" i="30"/>
  <c r="BO575" i="30"/>
  <c r="BP575" i="30"/>
  <c r="BQ575" i="30"/>
  <c r="BR575" i="30"/>
  <c r="BS575" i="30"/>
  <c r="BT575" i="30"/>
  <c r="BU575" i="30"/>
  <c r="BV575" i="30"/>
  <c r="BW575" i="30"/>
  <c r="BX575" i="30"/>
  <c r="BY575" i="30"/>
  <c r="BZ575" i="30"/>
  <c r="CA575" i="30"/>
  <c r="CB575" i="30"/>
  <c r="CC575" i="30"/>
  <c r="CD575" i="30"/>
  <c r="CE575" i="30"/>
  <c r="CF575" i="30"/>
  <c r="CG575" i="30"/>
  <c r="CH575" i="30"/>
  <c r="CI575" i="30"/>
  <c r="CJ575" i="30"/>
  <c r="CK575" i="30"/>
  <c r="CL575" i="30"/>
  <c r="CM575" i="30"/>
  <c r="CN575" i="30"/>
  <c r="CO575" i="30"/>
  <c r="CP575" i="30"/>
  <c r="CQ575" i="30"/>
  <c r="CR575" i="30"/>
  <c r="CS575" i="30"/>
  <c r="CT575" i="30"/>
  <c r="CU575" i="30"/>
  <c r="CV575" i="30"/>
  <c r="CW575" i="30"/>
  <c r="CX575" i="30"/>
  <c r="CY575" i="30"/>
  <c r="CZ575" i="30"/>
  <c r="DA575" i="30"/>
  <c r="DB575" i="30"/>
  <c r="DC575" i="30"/>
  <c r="DD575" i="30"/>
  <c r="DE575" i="30"/>
  <c r="DF575" i="30"/>
  <c r="DG575" i="30"/>
  <c r="DH575" i="30"/>
  <c r="DI575" i="30"/>
  <c r="DJ575" i="30"/>
  <c r="DK575" i="30"/>
  <c r="DL575" i="30"/>
  <c r="DM575" i="30"/>
  <c r="DN575" i="30"/>
  <c r="DO575" i="30"/>
  <c r="DP575" i="30"/>
  <c r="DQ575" i="30"/>
  <c r="DR575" i="30"/>
  <c r="DS575" i="30"/>
  <c r="DT575" i="30"/>
  <c r="DU575" i="30"/>
  <c r="DV575" i="30"/>
  <c r="DW575" i="30"/>
  <c r="DX575" i="30"/>
  <c r="DY575" i="30"/>
  <c r="DZ575" i="30"/>
  <c r="EA575" i="30"/>
  <c r="EB575" i="30"/>
  <c r="EC575" i="30"/>
  <c r="ED575" i="30"/>
  <c r="EE575" i="30"/>
  <c r="EF575" i="30"/>
  <c r="EG575" i="30"/>
  <c r="EH575" i="30"/>
  <c r="EI575" i="30"/>
  <c r="EJ575" i="30"/>
  <c r="EK575" i="30"/>
  <c r="EL575" i="30"/>
  <c r="EM575" i="30"/>
  <c r="EN575" i="30"/>
  <c r="EO575" i="30"/>
  <c r="EP575" i="30"/>
  <c r="EQ575" i="30"/>
  <c r="ER575" i="30"/>
  <c r="ES575" i="30"/>
  <c r="ET575" i="30"/>
  <c r="EU575" i="30"/>
  <c r="EV575" i="30"/>
  <c r="EW575" i="30"/>
  <c r="EX575" i="30"/>
  <c r="EY575" i="30"/>
  <c r="EZ575" i="30"/>
  <c r="FA575" i="30"/>
  <c r="FB575" i="30"/>
  <c r="FC575" i="30"/>
  <c r="FD575" i="30"/>
  <c r="FE575" i="30"/>
  <c r="FF575" i="30"/>
  <c r="FG575" i="30"/>
  <c r="FH575" i="30"/>
  <c r="FI575" i="30"/>
  <c r="FJ575" i="30"/>
  <c r="FK575" i="30"/>
  <c r="FL575" i="30"/>
  <c r="FM575" i="30"/>
  <c r="FN575" i="30"/>
  <c r="FO575" i="30"/>
  <c r="FP575" i="30"/>
  <c r="FQ575" i="30"/>
  <c r="FR575" i="30"/>
  <c r="FS575" i="30"/>
  <c r="FT575" i="30"/>
  <c r="FU575" i="30"/>
  <c r="FV575" i="30"/>
  <c r="FW575" i="30"/>
  <c r="FX575" i="30"/>
  <c r="FY575" i="30"/>
  <c r="FZ575" i="30"/>
  <c r="GA575" i="30"/>
  <c r="GB575" i="30"/>
  <c r="GC575" i="30"/>
  <c r="GD575" i="30"/>
  <c r="GE575" i="30"/>
  <c r="GF575" i="30"/>
  <c r="GG575" i="30"/>
  <c r="GH575" i="30"/>
  <c r="GI575" i="30"/>
  <c r="GJ575" i="30"/>
  <c r="GK575" i="30"/>
  <c r="GL575" i="30"/>
  <c r="GM575" i="30"/>
  <c r="GN575" i="30"/>
  <c r="GO575" i="30"/>
  <c r="GP575" i="30"/>
  <c r="GQ575" i="30"/>
  <c r="GR575" i="30"/>
  <c r="GS575" i="30"/>
  <c r="GT575" i="30"/>
  <c r="GU575" i="30"/>
  <c r="GV575" i="30"/>
  <c r="GW575" i="30"/>
  <c r="GX575" i="30"/>
  <c r="GY575" i="30"/>
  <c r="GZ575" i="30"/>
  <c r="HA575" i="30"/>
  <c r="HB575" i="30"/>
  <c r="HC575" i="30"/>
  <c r="HD575" i="30"/>
  <c r="HE575" i="30"/>
  <c r="HF575" i="30"/>
  <c r="HG575" i="30"/>
  <c r="HH575" i="30"/>
  <c r="HI575" i="30"/>
  <c r="HJ575" i="30"/>
  <c r="HK575" i="30"/>
  <c r="HL575" i="30"/>
  <c r="HM575" i="30"/>
  <c r="HN575" i="30"/>
  <c r="HO575" i="30"/>
  <c r="HP575" i="30"/>
  <c r="HQ575" i="30"/>
  <c r="HR575" i="30"/>
  <c r="HS575" i="30"/>
  <c r="HT575" i="30"/>
  <c r="HU575" i="30"/>
  <c r="HV575" i="30"/>
  <c r="HW575" i="30"/>
  <c r="HX575" i="30"/>
  <c r="HY575" i="30"/>
  <c r="HZ575" i="30"/>
  <c r="IA575" i="30"/>
  <c r="IB575" i="30"/>
  <c r="IC575" i="30"/>
  <c r="ID575" i="30"/>
  <c r="IE575" i="30"/>
  <c r="IF575" i="30"/>
  <c r="IG575" i="30"/>
  <c r="IH575" i="30"/>
  <c r="II575" i="30"/>
  <c r="IJ575" i="30"/>
  <c r="IK575" i="30"/>
  <c r="IL575" i="30"/>
  <c r="IM575" i="30"/>
  <c r="IN575" i="30"/>
  <c r="IO575" i="30"/>
  <c r="IP575" i="30"/>
  <c r="IQ575" i="30"/>
  <c r="IR575" i="30"/>
  <c r="IS575" i="30"/>
  <c r="IT575" i="30"/>
  <c r="IU575" i="30"/>
  <c r="IV575" i="30"/>
  <c r="A574" i="30"/>
  <c r="B574" i="30"/>
  <c r="C574" i="30"/>
  <c r="D574" i="30"/>
  <c r="E574" i="30"/>
  <c r="F574" i="30"/>
  <c r="G574" i="30"/>
  <c r="H574" i="30"/>
  <c r="I574" i="30"/>
  <c r="J574" i="30"/>
  <c r="K574" i="30"/>
  <c r="L574" i="30"/>
  <c r="M574" i="30"/>
  <c r="N574" i="30"/>
  <c r="O574" i="30"/>
  <c r="P574" i="30"/>
  <c r="Q574" i="30"/>
  <c r="R574" i="30"/>
  <c r="S574" i="30"/>
  <c r="T574" i="30"/>
  <c r="U574" i="30"/>
  <c r="V574" i="30"/>
  <c r="W574" i="30"/>
  <c r="X574" i="30"/>
  <c r="Y574" i="30"/>
  <c r="Z574" i="30"/>
  <c r="AA574" i="30"/>
  <c r="AB574" i="30"/>
  <c r="AC574" i="30"/>
  <c r="AD574" i="30"/>
  <c r="AE574" i="30"/>
  <c r="AF574" i="30"/>
  <c r="AG574" i="30"/>
  <c r="AH574" i="30"/>
  <c r="AI574" i="30"/>
  <c r="AJ574" i="30"/>
  <c r="AK574" i="30"/>
  <c r="AL574" i="30"/>
  <c r="AM574" i="30"/>
  <c r="AN574" i="30"/>
  <c r="AO574" i="30"/>
  <c r="AP574" i="30"/>
  <c r="AQ574" i="30"/>
  <c r="AR574" i="30"/>
  <c r="AS574" i="30"/>
  <c r="AT574" i="30"/>
  <c r="AU574" i="30"/>
  <c r="AV574" i="30"/>
  <c r="AW574" i="30"/>
  <c r="AX574" i="30"/>
  <c r="AY574" i="30"/>
  <c r="AZ574" i="30"/>
  <c r="BA574" i="30"/>
  <c r="BB574" i="30"/>
  <c r="BC574" i="30"/>
  <c r="BD574" i="30"/>
  <c r="BE574" i="30"/>
  <c r="BF574" i="30"/>
  <c r="BG574" i="30"/>
  <c r="BH574" i="30"/>
  <c r="BI574" i="30"/>
  <c r="BJ574" i="30"/>
  <c r="BK574" i="30"/>
  <c r="BL574" i="30"/>
  <c r="BM574" i="30"/>
  <c r="BN574" i="30"/>
  <c r="BO574" i="30"/>
  <c r="BP574" i="30"/>
  <c r="BQ574" i="30"/>
  <c r="BR574" i="30"/>
  <c r="BS574" i="30"/>
  <c r="BT574" i="30"/>
  <c r="BU574" i="30"/>
  <c r="BV574" i="30"/>
  <c r="BW574" i="30"/>
  <c r="BX574" i="30"/>
  <c r="BY574" i="30"/>
  <c r="BZ574" i="30"/>
  <c r="CA574" i="30"/>
  <c r="CB574" i="30"/>
  <c r="CC574" i="30"/>
  <c r="CD574" i="30"/>
  <c r="CE574" i="30"/>
  <c r="CF574" i="30"/>
  <c r="CG574" i="30"/>
  <c r="CH574" i="30"/>
  <c r="CI574" i="30"/>
  <c r="CJ574" i="30"/>
  <c r="CK574" i="30"/>
  <c r="CL574" i="30"/>
  <c r="CM574" i="30"/>
  <c r="CN574" i="30"/>
  <c r="CO574" i="30"/>
  <c r="CP574" i="30"/>
  <c r="CQ574" i="30"/>
  <c r="CR574" i="30"/>
  <c r="CS574" i="30"/>
  <c r="CT574" i="30"/>
  <c r="CU574" i="30"/>
  <c r="CV574" i="30"/>
  <c r="CW574" i="30"/>
  <c r="CX574" i="30"/>
  <c r="CY574" i="30"/>
  <c r="CZ574" i="30"/>
  <c r="DA574" i="30"/>
  <c r="DB574" i="30"/>
  <c r="DC574" i="30"/>
  <c r="DD574" i="30"/>
  <c r="DE574" i="30"/>
  <c r="DF574" i="30"/>
  <c r="DG574" i="30"/>
  <c r="DH574" i="30"/>
  <c r="DI574" i="30"/>
  <c r="DJ574" i="30"/>
  <c r="DK574" i="30"/>
  <c r="DL574" i="30"/>
  <c r="DM574" i="30"/>
  <c r="DN574" i="30"/>
  <c r="DO574" i="30"/>
  <c r="DP574" i="30"/>
  <c r="DQ574" i="30"/>
  <c r="DR574" i="30"/>
  <c r="DS574" i="30"/>
  <c r="DT574" i="30"/>
  <c r="DU574" i="30"/>
  <c r="DV574" i="30"/>
  <c r="DW574" i="30"/>
  <c r="DX574" i="30"/>
  <c r="DY574" i="30"/>
  <c r="DZ574" i="30"/>
  <c r="EA574" i="30"/>
  <c r="EB574" i="30"/>
  <c r="EC574" i="30"/>
  <c r="ED574" i="30"/>
  <c r="EE574" i="30"/>
  <c r="EF574" i="30"/>
  <c r="EG574" i="30"/>
  <c r="EH574" i="30"/>
  <c r="EI574" i="30"/>
  <c r="EJ574" i="30"/>
  <c r="EK574" i="30"/>
  <c r="EL574" i="30"/>
  <c r="EM574" i="30"/>
  <c r="EN574" i="30"/>
  <c r="EO574" i="30"/>
  <c r="EP574" i="30"/>
  <c r="EQ574" i="30"/>
  <c r="ER574" i="30"/>
  <c r="ES574" i="30"/>
  <c r="ET574" i="30"/>
  <c r="EU574" i="30"/>
  <c r="EV574" i="30"/>
  <c r="EW574" i="30"/>
  <c r="EX574" i="30"/>
  <c r="EY574" i="30"/>
  <c r="EZ574" i="30"/>
  <c r="FA574" i="30"/>
  <c r="FB574" i="30"/>
  <c r="FC574" i="30"/>
  <c r="FD574" i="30"/>
  <c r="FE574" i="30"/>
  <c r="FF574" i="30"/>
  <c r="FG574" i="30"/>
  <c r="FH574" i="30"/>
  <c r="FI574" i="30"/>
  <c r="FJ574" i="30"/>
  <c r="FK574" i="30"/>
  <c r="FL574" i="30"/>
  <c r="FM574" i="30"/>
  <c r="FN574" i="30"/>
  <c r="FO574" i="30"/>
  <c r="FP574" i="30"/>
  <c r="FQ574" i="30"/>
  <c r="FR574" i="30"/>
  <c r="FS574" i="30"/>
  <c r="FT574" i="30"/>
  <c r="FU574" i="30"/>
  <c r="FV574" i="30"/>
  <c r="FW574" i="30"/>
  <c r="FX574" i="30"/>
  <c r="FY574" i="30"/>
  <c r="FZ574" i="30"/>
  <c r="GA574" i="30"/>
  <c r="GB574" i="30"/>
  <c r="GC574" i="30"/>
  <c r="GD574" i="30"/>
  <c r="GE574" i="30"/>
  <c r="GF574" i="30"/>
  <c r="GG574" i="30"/>
  <c r="GH574" i="30"/>
  <c r="GI574" i="30"/>
  <c r="GJ574" i="30"/>
  <c r="GK574" i="30"/>
  <c r="GL574" i="30"/>
  <c r="GM574" i="30"/>
  <c r="GN574" i="30"/>
  <c r="GO574" i="30"/>
  <c r="GP574" i="30"/>
  <c r="GQ574" i="30"/>
  <c r="GR574" i="30"/>
  <c r="GS574" i="30"/>
  <c r="GT574" i="30"/>
  <c r="GU574" i="30"/>
  <c r="GV574" i="30"/>
  <c r="GW574" i="30"/>
  <c r="GX574" i="30"/>
  <c r="GY574" i="30"/>
  <c r="GZ574" i="30"/>
  <c r="HA574" i="30"/>
  <c r="HB574" i="30"/>
  <c r="HC574" i="30"/>
  <c r="HD574" i="30"/>
  <c r="HE574" i="30"/>
  <c r="HF574" i="30"/>
  <c r="HG574" i="30"/>
  <c r="HH574" i="30"/>
  <c r="HI574" i="30"/>
  <c r="HJ574" i="30"/>
  <c r="HK574" i="30"/>
  <c r="HL574" i="30"/>
  <c r="HM574" i="30"/>
  <c r="HN574" i="30"/>
  <c r="HO574" i="30"/>
  <c r="HP574" i="30"/>
  <c r="HQ574" i="30"/>
  <c r="HR574" i="30"/>
  <c r="HS574" i="30"/>
  <c r="HT574" i="30"/>
  <c r="HU574" i="30"/>
  <c r="HV574" i="30"/>
  <c r="HW574" i="30"/>
  <c r="HX574" i="30"/>
  <c r="HY574" i="30"/>
  <c r="HZ574" i="30"/>
  <c r="IA574" i="30"/>
  <c r="IB574" i="30"/>
  <c r="IC574" i="30"/>
  <c r="ID574" i="30"/>
  <c r="IE574" i="30"/>
  <c r="IF574" i="30"/>
  <c r="IG574" i="30"/>
  <c r="IH574" i="30"/>
  <c r="II574" i="30"/>
  <c r="IJ574" i="30"/>
  <c r="IK574" i="30"/>
  <c r="IL574" i="30"/>
  <c r="IM574" i="30"/>
  <c r="IN574" i="30"/>
  <c r="IO574" i="30"/>
  <c r="IP574" i="30"/>
  <c r="IQ574" i="30"/>
  <c r="IR574" i="30"/>
  <c r="IS574" i="30"/>
  <c r="IT574" i="30"/>
  <c r="IU574" i="30"/>
  <c r="IV574" i="30"/>
  <c r="A573" i="30"/>
  <c r="B573" i="30"/>
  <c r="C573" i="30"/>
  <c r="D573" i="30"/>
  <c r="E573" i="30"/>
  <c r="F573" i="30"/>
  <c r="G573" i="30"/>
  <c r="H573" i="30"/>
  <c r="I573" i="30"/>
  <c r="J573" i="30"/>
  <c r="K573" i="30"/>
  <c r="L573" i="30"/>
  <c r="M573" i="30"/>
  <c r="N573" i="30"/>
  <c r="O573" i="30"/>
  <c r="P573" i="30"/>
  <c r="Q573" i="30"/>
  <c r="R573" i="30"/>
  <c r="S573" i="30"/>
  <c r="T573" i="30"/>
  <c r="U573" i="30"/>
  <c r="V573" i="30"/>
  <c r="W573" i="30"/>
  <c r="X573" i="30"/>
  <c r="Y573" i="30"/>
  <c r="Z573" i="30"/>
  <c r="AA573" i="30"/>
  <c r="AB573" i="30"/>
  <c r="AC573" i="30"/>
  <c r="AD573" i="30"/>
  <c r="AE573" i="30"/>
  <c r="AF573" i="30"/>
  <c r="AG573" i="30"/>
  <c r="AH573" i="30"/>
  <c r="AI573" i="30"/>
  <c r="AJ573" i="30"/>
  <c r="AK573" i="30"/>
  <c r="AL573" i="30"/>
  <c r="AM573" i="30"/>
  <c r="AN573" i="30"/>
  <c r="AO573" i="30"/>
  <c r="AP573" i="30"/>
  <c r="AQ573" i="30"/>
  <c r="AR573" i="30"/>
  <c r="AS573" i="30"/>
  <c r="AT573" i="30"/>
  <c r="AU573" i="30"/>
  <c r="AV573" i="30"/>
  <c r="AW573" i="30"/>
  <c r="AX573" i="30"/>
  <c r="AY573" i="30"/>
  <c r="AZ573" i="30"/>
  <c r="BA573" i="30"/>
  <c r="BB573" i="30"/>
  <c r="BC573" i="30"/>
  <c r="BD573" i="30"/>
  <c r="BE573" i="30"/>
  <c r="BF573" i="30"/>
  <c r="BG573" i="30"/>
  <c r="BH573" i="30"/>
  <c r="BI573" i="30"/>
  <c r="BJ573" i="30"/>
  <c r="BK573" i="30"/>
  <c r="BL573" i="30"/>
  <c r="BM573" i="30"/>
  <c r="BN573" i="30"/>
  <c r="BO573" i="30"/>
  <c r="BP573" i="30"/>
  <c r="BQ573" i="30"/>
  <c r="BR573" i="30"/>
  <c r="BS573" i="30"/>
  <c r="BT573" i="30"/>
  <c r="BU573" i="30"/>
  <c r="BV573" i="30"/>
  <c r="BW573" i="30"/>
  <c r="BX573" i="30"/>
  <c r="BY573" i="30"/>
  <c r="BZ573" i="30"/>
  <c r="CA573" i="30"/>
  <c r="CB573" i="30"/>
  <c r="CC573" i="30"/>
  <c r="CD573" i="30"/>
  <c r="CE573" i="30"/>
  <c r="CF573" i="30"/>
  <c r="CG573" i="30"/>
  <c r="CH573" i="30"/>
  <c r="CI573" i="30"/>
  <c r="CJ573" i="30"/>
  <c r="CK573" i="30"/>
  <c r="CL573" i="30"/>
  <c r="CM573" i="30"/>
  <c r="CN573" i="30"/>
  <c r="CO573" i="30"/>
  <c r="CP573" i="30"/>
  <c r="CQ573" i="30"/>
  <c r="CR573" i="30"/>
  <c r="CS573" i="30"/>
  <c r="CT573" i="30"/>
  <c r="CU573" i="30"/>
  <c r="CV573" i="30"/>
  <c r="CW573" i="30"/>
  <c r="CX573" i="30"/>
  <c r="CY573" i="30"/>
  <c r="CZ573" i="30"/>
  <c r="DA573" i="30"/>
  <c r="DB573" i="30"/>
  <c r="DC573" i="30"/>
  <c r="DD573" i="30"/>
  <c r="DE573" i="30"/>
  <c r="DF573" i="30"/>
  <c r="DG573" i="30"/>
  <c r="DH573" i="30"/>
  <c r="DI573" i="30"/>
  <c r="DJ573" i="30"/>
  <c r="DK573" i="30"/>
  <c r="DL573" i="30"/>
  <c r="DM573" i="30"/>
  <c r="DN573" i="30"/>
  <c r="DO573" i="30"/>
  <c r="DP573" i="30"/>
  <c r="DQ573" i="30"/>
  <c r="DR573" i="30"/>
  <c r="DS573" i="30"/>
  <c r="DT573" i="30"/>
  <c r="DU573" i="30"/>
  <c r="DV573" i="30"/>
  <c r="DW573" i="30"/>
  <c r="DX573" i="30"/>
  <c r="DY573" i="30"/>
  <c r="DZ573" i="30"/>
  <c r="EA573" i="30"/>
  <c r="EB573" i="30"/>
  <c r="EC573" i="30"/>
  <c r="ED573" i="30"/>
  <c r="EE573" i="30"/>
  <c r="EF573" i="30"/>
  <c r="EG573" i="30"/>
  <c r="EH573" i="30"/>
  <c r="EI573" i="30"/>
  <c r="EJ573" i="30"/>
  <c r="EK573" i="30"/>
  <c r="EL573" i="30"/>
  <c r="EM573" i="30"/>
  <c r="EN573" i="30"/>
  <c r="EO573" i="30"/>
  <c r="EP573" i="30"/>
  <c r="EQ573" i="30"/>
  <c r="ER573" i="30"/>
  <c r="ES573" i="30"/>
  <c r="ET573" i="30"/>
  <c r="EU573" i="30"/>
  <c r="EV573" i="30"/>
  <c r="EW573" i="30"/>
  <c r="EX573" i="30"/>
  <c r="EY573" i="30"/>
  <c r="EZ573" i="30"/>
  <c r="FA573" i="30"/>
  <c r="FB573" i="30"/>
  <c r="FC573" i="30"/>
  <c r="FD573" i="30"/>
  <c r="FE573" i="30"/>
  <c r="FF573" i="30"/>
  <c r="FG573" i="30"/>
  <c r="FH573" i="30"/>
  <c r="FI573" i="30"/>
  <c r="FJ573" i="30"/>
  <c r="FK573" i="30"/>
  <c r="FL573" i="30"/>
  <c r="FM573" i="30"/>
  <c r="FN573" i="30"/>
  <c r="FO573" i="30"/>
  <c r="FP573" i="30"/>
  <c r="FQ573" i="30"/>
  <c r="FR573" i="30"/>
  <c r="FS573" i="30"/>
  <c r="FT573" i="30"/>
  <c r="FU573" i="30"/>
  <c r="FV573" i="30"/>
  <c r="FW573" i="30"/>
  <c r="FX573" i="30"/>
  <c r="FY573" i="30"/>
  <c r="FZ573" i="30"/>
  <c r="GA573" i="30"/>
  <c r="GB573" i="30"/>
  <c r="GC573" i="30"/>
  <c r="GD573" i="30"/>
  <c r="GE573" i="30"/>
  <c r="GF573" i="30"/>
  <c r="GG573" i="30"/>
  <c r="GH573" i="30"/>
  <c r="GI573" i="30"/>
  <c r="GJ573" i="30"/>
  <c r="GK573" i="30"/>
  <c r="GL573" i="30"/>
  <c r="GM573" i="30"/>
  <c r="GN573" i="30"/>
  <c r="GO573" i="30"/>
  <c r="GP573" i="30"/>
  <c r="GQ573" i="30"/>
  <c r="GR573" i="30"/>
  <c r="GS573" i="30"/>
  <c r="GT573" i="30"/>
  <c r="GU573" i="30"/>
  <c r="GV573" i="30"/>
  <c r="GW573" i="30"/>
  <c r="GX573" i="30"/>
  <c r="GY573" i="30"/>
  <c r="GZ573" i="30"/>
  <c r="HA573" i="30"/>
  <c r="HB573" i="30"/>
  <c r="HC573" i="30"/>
  <c r="HD573" i="30"/>
  <c r="HE573" i="30"/>
  <c r="HF573" i="30"/>
  <c r="HG573" i="30"/>
  <c r="HH573" i="30"/>
  <c r="HI573" i="30"/>
  <c r="HJ573" i="30"/>
  <c r="HK573" i="30"/>
  <c r="HL573" i="30"/>
  <c r="HM573" i="30"/>
  <c r="HN573" i="30"/>
  <c r="HO573" i="30"/>
  <c r="HP573" i="30"/>
  <c r="HQ573" i="30"/>
  <c r="HR573" i="30"/>
  <c r="HS573" i="30"/>
  <c r="HT573" i="30"/>
  <c r="HU573" i="30"/>
  <c r="HV573" i="30"/>
  <c r="HW573" i="30"/>
  <c r="HX573" i="30"/>
  <c r="HY573" i="30"/>
  <c r="HZ573" i="30"/>
  <c r="IA573" i="30"/>
  <c r="IB573" i="30"/>
  <c r="IC573" i="30"/>
  <c r="ID573" i="30"/>
  <c r="IE573" i="30"/>
  <c r="IF573" i="30"/>
  <c r="IG573" i="30"/>
  <c r="IH573" i="30"/>
  <c r="II573" i="30"/>
  <c r="IJ573" i="30"/>
  <c r="IK573" i="30"/>
  <c r="IL573" i="30"/>
  <c r="IM573" i="30"/>
  <c r="IN573" i="30"/>
  <c r="IO573" i="30"/>
  <c r="IP573" i="30"/>
  <c r="IQ573" i="30"/>
  <c r="IR573" i="30"/>
  <c r="IS573" i="30"/>
  <c r="IT573" i="30"/>
  <c r="IU573" i="30"/>
  <c r="IV573" i="30"/>
  <c r="A572" i="30"/>
  <c r="B572" i="30"/>
  <c r="C572" i="30"/>
  <c r="D572" i="30"/>
  <c r="E572" i="30"/>
  <c r="F572" i="30"/>
  <c r="G572" i="30"/>
  <c r="H572" i="30"/>
  <c r="I572" i="30"/>
  <c r="J572" i="30"/>
  <c r="K572" i="30"/>
  <c r="L572" i="30"/>
  <c r="M572" i="30"/>
  <c r="N572" i="30"/>
  <c r="O572" i="30"/>
  <c r="P572" i="30"/>
  <c r="Q572" i="30"/>
  <c r="R572" i="30"/>
  <c r="S572" i="30"/>
  <c r="T572" i="30"/>
  <c r="U572" i="30"/>
  <c r="V572" i="30"/>
  <c r="W572" i="30"/>
  <c r="X572" i="30"/>
  <c r="Y572" i="30"/>
  <c r="Z572" i="30"/>
  <c r="AA572" i="30"/>
  <c r="AB572" i="30"/>
  <c r="AC572" i="30"/>
  <c r="AD572" i="30"/>
  <c r="AE572" i="30"/>
  <c r="AF572" i="30"/>
  <c r="AG572" i="30"/>
  <c r="AH572" i="30"/>
  <c r="AI572" i="30"/>
  <c r="AJ572" i="30"/>
  <c r="AK572" i="30"/>
  <c r="AL572" i="30"/>
  <c r="AM572" i="30"/>
  <c r="AN572" i="30"/>
  <c r="AO572" i="30"/>
  <c r="AP572" i="30"/>
  <c r="AQ572" i="30"/>
  <c r="AR572" i="30"/>
  <c r="AS572" i="30"/>
  <c r="AT572" i="30"/>
  <c r="AU572" i="30"/>
  <c r="AV572" i="30"/>
  <c r="AW572" i="30"/>
  <c r="AX572" i="30"/>
  <c r="AY572" i="30"/>
  <c r="AZ572" i="30"/>
  <c r="BA572" i="30"/>
  <c r="BB572" i="30"/>
  <c r="BC572" i="30"/>
  <c r="BD572" i="30"/>
  <c r="BE572" i="30"/>
  <c r="BF572" i="30"/>
  <c r="BG572" i="30"/>
  <c r="BH572" i="30"/>
  <c r="BI572" i="30"/>
  <c r="BJ572" i="30"/>
  <c r="BK572" i="30"/>
  <c r="BL572" i="30"/>
  <c r="BM572" i="30"/>
  <c r="BN572" i="30"/>
  <c r="BO572" i="30"/>
  <c r="BP572" i="30"/>
  <c r="BQ572" i="30"/>
  <c r="BR572" i="30"/>
  <c r="BS572" i="30"/>
  <c r="BT572" i="30"/>
  <c r="BU572" i="30"/>
  <c r="BV572" i="30"/>
  <c r="BW572" i="30"/>
  <c r="BX572" i="30"/>
  <c r="BY572" i="30"/>
  <c r="BZ572" i="30"/>
  <c r="CA572" i="30"/>
  <c r="CB572" i="30"/>
  <c r="CC572" i="30"/>
  <c r="CD572" i="30"/>
  <c r="CE572" i="30"/>
  <c r="CF572" i="30"/>
  <c r="CG572" i="30"/>
  <c r="CH572" i="30"/>
  <c r="CI572" i="30"/>
  <c r="CJ572" i="30"/>
  <c r="CK572" i="30"/>
  <c r="CL572" i="30"/>
  <c r="CM572" i="30"/>
  <c r="CN572" i="30"/>
  <c r="CO572" i="30"/>
  <c r="CP572" i="30"/>
  <c r="CQ572" i="30"/>
  <c r="CR572" i="30"/>
  <c r="CS572" i="30"/>
  <c r="CT572" i="30"/>
  <c r="CU572" i="30"/>
  <c r="CV572" i="30"/>
  <c r="CW572" i="30"/>
  <c r="CX572" i="30"/>
  <c r="CY572" i="30"/>
  <c r="CZ572" i="30"/>
  <c r="DA572" i="30"/>
  <c r="DB572" i="30"/>
  <c r="DC572" i="30"/>
  <c r="DD572" i="30"/>
  <c r="DE572" i="30"/>
  <c r="DF572" i="30"/>
  <c r="DG572" i="30"/>
  <c r="DH572" i="30"/>
  <c r="DI572" i="30"/>
  <c r="DJ572" i="30"/>
  <c r="DK572" i="30"/>
  <c r="DL572" i="30"/>
  <c r="DM572" i="30"/>
  <c r="DN572" i="30"/>
  <c r="DO572" i="30"/>
  <c r="DP572" i="30"/>
  <c r="DQ572" i="30"/>
  <c r="DR572" i="30"/>
  <c r="DS572" i="30"/>
  <c r="DT572" i="30"/>
  <c r="DU572" i="30"/>
  <c r="DV572" i="30"/>
  <c r="DW572" i="30"/>
  <c r="DX572" i="30"/>
  <c r="DY572" i="30"/>
  <c r="DZ572" i="30"/>
  <c r="EA572" i="30"/>
  <c r="EB572" i="30"/>
  <c r="EC572" i="30"/>
  <c r="ED572" i="30"/>
  <c r="EE572" i="30"/>
  <c r="EF572" i="30"/>
  <c r="EG572" i="30"/>
  <c r="EH572" i="30"/>
  <c r="EI572" i="30"/>
  <c r="EJ572" i="30"/>
  <c r="EK572" i="30"/>
  <c r="EL572" i="30"/>
  <c r="EM572" i="30"/>
  <c r="EN572" i="30"/>
  <c r="EO572" i="30"/>
  <c r="EP572" i="30"/>
  <c r="EQ572" i="30"/>
  <c r="ER572" i="30"/>
  <c r="ES572" i="30"/>
  <c r="ET572" i="30"/>
  <c r="EU572" i="30"/>
  <c r="EV572" i="30"/>
  <c r="EW572" i="30"/>
  <c r="EX572" i="30"/>
  <c r="EY572" i="30"/>
  <c r="EZ572" i="30"/>
  <c r="FA572" i="30"/>
  <c r="FB572" i="30"/>
  <c r="FC572" i="30"/>
  <c r="FD572" i="30"/>
  <c r="FE572" i="30"/>
  <c r="FF572" i="30"/>
  <c r="FG572" i="30"/>
  <c r="FH572" i="30"/>
  <c r="FI572" i="30"/>
  <c r="FJ572" i="30"/>
  <c r="FK572" i="30"/>
  <c r="FL572" i="30"/>
  <c r="FM572" i="30"/>
  <c r="FN572" i="30"/>
  <c r="FO572" i="30"/>
  <c r="FP572" i="30"/>
  <c r="FQ572" i="30"/>
  <c r="FR572" i="30"/>
  <c r="FS572" i="30"/>
  <c r="FT572" i="30"/>
  <c r="FU572" i="30"/>
  <c r="FV572" i="30"/>
  <c r="FW572" i="30"/>
  <c r="FX572" i="30"/>
  <c r="FY572" i="30"/>
  <c r="FZ572" i="30"/>
  <c r="GA572" i="30"/>
  <c r="GB572" i="30"/>
  <c r="GC572" i="30"/>
  <c r="GD572" i="30"/>
  <c r="GE572" i="30"/>
  <c r="GF572" i="30"/>
  <c r="GG572" i="30"/>
  <c r="GH572" i="30"/>
  <c r="GI572" i="30"/>
  <c r="GJ572" i="30"/>
  <c r="GK572" i="30"/>
  <c r="GL572" i="30"/>
  <c r="GM572" i="30"/>
  <c r="GN572" i="30"/>
  <c r="GO572" i="30"/>
  <c r="GP572" i="30"/>
  <c r="GQ572" i="30"/>
  <c r="GR572" i="30"/>
  <c r="GS572" i="30"/>
  <c r="GT572" i="30"/>
  <c r="GU572" i="30"/>
  <c r="GV572" i="30"/>
  <c r="GW572" i="30"/>
  <c r="GX572" i="30"/>
  <c r="GY572" i="30"/>
  <c r="GZ572" i="30"/>
  <c r="HA572" i="30"/>
  <c r="HB572" i="30"/>
  <c r="HC572" i="30"/>
  <c r="HD572" i="30"/>
  <c r="HE572" i="30"/>
  <c r="HF572" i="30"/>
  <c r="HG572" i="30"/>
  <c r="HH572" i="30"/>
  <c r="HI572" i="30"/>
  <c r="HJ572" i="30"/>
  <c r="HK572" i="30"/>
  <c r="HL572" i="30"/>
  <c r="HM572" i="30"/>
  <c r="HN572" i="30"/>
  <c r="HO572" i="30"/>
  <c r="HP572" i="30"/>
  <c r="HQ572" i="30"/>
  <c r="HR572" i="30"/>
  <c r="HS572" i="30"/>
  <c r="HT572" i="30"/>
  <c r="HU572" i="30"/>
  <c r="HV572" i="30"/>
  <c r="HW572" i="30"/>
  <c r="HX572" i="30"/>
  <c r="HY572" i="30"/>
  <c r="HZ572" i="30"/>
  <c r="IA572" i="30"/>
  <c r="IB572" i="30"/>
  <c r="IC572" i="30"/>
  <c r="ID572" i="30"/>
  <c r="IE572" i="30"/>
  <c r="IF572" i="30"/>
  <c r="IG572" i="30"/>
  <c r="IH572" i="30"/>
  <c r="II572" i="30"/>
  <c r="IJ572" i="30"/>
  <c r="IK572" i="30"/>
  <c r="IL572" i="30"/>
  <c r="IM572" i="30"/>
  <c r="IN572" i="30"/>
  <c r="IO572" i="30"/>
  <c r="IP572" i="30"/>
  <c r="IQ572" i="30"/>
  <c r="IR572" i="30"/>
  <c r="IS572" i="30"/>
  <c r="IT572" i="30"/>
  <c r="IU572" i="30"/>
  <c r="IV572" i="30"/>
  <c r="A571" i="30"/>
  <c r="B571" i="30"/>
  <c r="C571" i="30"/>
  <c r="D571" i="30"/>
  <c r="E571" i="30"/>
  <c r="F571" i="30"/>
  <c r="G571" i="30"/>
  <c r="H571" i="30"/>
  <c r="I571" i="30"/>
  <c r="J571" i="30"/>
  <c r="K571" i="30"/>
  <c r="L571" i="30"/>
  <c r="M571" i="30"/>
  <c r="N571" i="30"/>
  <c r="O571" i="30"/>
  <c r="P571" i="30"/>
  <c r="Q571" i="30"/>
  <c r="R571" i="30"/>
  <c r="S571" i="30"/>
  <c r="T571" i="30"/>
  <c r="U571" i="30"/>
  <c r="V571" i="30"/>
  <c r="W571" i="30"/>
  <c r="X571" i="30"/>
  <c r="Y571" i="30"/>
  <c r="Z571" i="30"/>
  <c r="AA571" i="30"/>
  <c r="AB571" i="30"/>
  <c r="AC571" i="30"/>
  <c r="AD571" i="30"/>
  <c r="AE571" i="30"/>
  <c r="AF571" i="30"/>
  <c r="AG571" i="30"/>
  <c r="AH571" i="30"/>
  <c r="AI571" i="30"/>
  <c r="AJ571" i="30"/>
  <c r="AK571" i="30"/>
  <c r="AL571" i="30"/>
  <c r="AM571" i="30"/>
  <c r="AN571" i="30"/>
  <c r="AO571" i="30"/>
  <c r="AP571" i="30"/>
  <c r="AQ571" i="30"/>
  <c r="AR571" i="30"/>
  <c r="AS571" i="30"/>
  <c r="AT571" i="30"/>
  <c r="AU571" i="30"/>
  <c r="AV571" i="30"/>
  <c r="AW571" i="30"/>
  <c r="AX571" i="30"/>
  <c r="AY571" i="30"/>
  <c r="AZ571" i="30"/>
  <c r="BA571" i="30"/>
  <c r="BB571" i="30"/>
  <c r="BC571" i="30"/>
  <c r="BD571" i="30"/>
  <c r="BE571" i="30"/>
  <c r="BF571" i="30"/>
  <c r="BG571" i="30"/>
  <c r="BH571" i="30"/>
  <c r="BI571" i="30"/>
  <c r="BJ571" i="30"/>
  <c r="BK571" i="30"/>
  <c r="BL571" i="30"/>
  <c r="BM571" i="30"/>
  <c r="BN571" i="30"/>
  <c r="BO571" i="30"/>
  <c r="BP571" i="30"/>
  <c r="BQ571" i="30"/>
  <c r="BR571" i="30"/>
  <c r="BS571" i="30"/>
  <c r="BT571" i="30"/>
  <c r="BU571" i="30"/>
  <c r="BV571" i="30"/>
  <c r="BW571" i="30"/>
  <c r="BX571" i="30"/>
  <c r="BY571" i="30"/>
  <c r="BZ571" i="30"/>
  <c r="CA571" i="30"/>
  <c r="CB571" i="30"/>
  <c r="CC571" i="30"/>
  <c r="CD571" i="30"/>
  <c r="CE571" i="30"/>
  <c r="CF571" i="30"/>
  <c r="CG571" i="30"/>
  <c r="CH571" i="30"/>
  <c r="CI571" i="30"/>
  <c r="CJ571" i="30"/>
  <c r="CK571" i="30"/>
  <c r="CL571" i="30"/>
  <c r="CM571" i="30"/>
  <c r="CN571" i="30"/>
  <c r="CO571" i="30"/>
  <c r="CP571" i="30"/>
  <c r="CQ571" i="30"/>
  <c r="CR571" i="30"/>
  <c r="CS571" i="30"/>
  <c r="CT571" i="30"/>
  <c r="CU571" i="30"/>
  <c r="CV571" i="30"/>
  <c r="CW571" i="30"/>
  <c r="CX571" i="30"/>
  <c r="CY571" i="30"/>
  <c r="CZ571" i="30"/>
  <c r="DA571" i="30"/>
  <c r="DB571" i="30"/>
  <c r="DC571" i="30"/>
  <c r="DD571" i="30"/>
  <c r="DE571" i="30"/>
  <c r="DF571" i="30"/>
  <c r="DG571" i="30"/>
  <c r="DH571" i="30"/>
  <c r="DI571" i="30"/>
  <c r="DJ571" i="30"/>
  <c r="DK571" i="30"/>
  <c r="DL571" i="30"/>
  <c r="DM571" i="30"/>
  <c r="DN571" i="30"/>
  <c r="DO571" i="30"/>
  <c r="DP571" i="30"/>
  <c r="DQ571" i="30"/>
  <c r="DR571" i="30"/>
  <c r="DS571" i="30"/>
  <c r="DT571" i="30"/>
  <c r="DU571" i="30"/>
  <c r="DV571" i="30"/>
  <c r="DW571" i="30"/>
  <c r="DX571" i="30"/>
  <c r="DY571" i="30"/>
  <c r="DZ571" i="30"/>
  <c r="EA571" i="30"/>
  <c r="EB571" i="30"/>
  <c r="EC571" i="30"/>
  <c r="ED571" i="30"/>
  <c r="EE571" i="30"/>
  <c r="EF571" i="30"/>
  <c r="EG571" i="30"/>
  <c r="EH571" i="30"/>
  <c r="EI571" i="30"/>
  <c r="EJ571" i="30"/>
  <c r="EK571" i="30"/>
  <c r="EL571" i="30"/>
  <c r="EM571" i="30"/>
  <c r="EN571" i="30"/>
  <c r="EO571" i="30"/>
  <c r="EP571" i="30"/>
  <c r="EQ571" i="30"/>
  <c r="ER571" i="30"/>
  <c r="ES571" i="30"/>
  <c r="ET571" i="30"/>
  <c r="EU571" i="30"/>
  <c r="EV571" i="30"/>
  <c r="EW571" i="30"/>
  <c r="EX571" i="30"/>
  <c r="EY571" i="30"/>
  <c r="EZ571" i="30"/>
  <c r="FA571" i="30"/>
  <c r="FB571" i="30"/>
  <c r="FC571" i="30"/>
  <c r="FD571" i="30"/>
  <c r="FE571" i="30"/>
  <c r="FF571" i="30"/>
  <c r="FG571" i="30"/>
  <c r="FH571" i="30"/>
  <c r="FI571" i="30"/>
  <c r="FJ571" i="30"/>
  <c r="FK571" i="30"/>
  <c r="FL571" i="30"/>
  <c r="FM571" i="30"/>
  <c r="FN571" i="30"/>
  <c r="FO571" i="30"/>
  <c r="FP571" i="30"/>
  <c r="FQ571" i="30"/>
  <c r="FR571" i="30"/>
  <c r="FS571" i="30"/>
  <c r="FT571" i="30"/>
  <c r="FU571" i="30"/>
  <c r="FV571" i="30"/>
  <c r="FW571" i="30"/>
  <c r="FX571" i="30"/>
  <c r="FY571" i="30"/>
  <c r="FZ571" i="30"/>
  <c r="GA571" i="30"/>
  <c r="GB571" i="30"/>
  <c r="GC571" i="30"/>
  <c r="GD571" i="30"/>
  <c r="GE571" i="30"/>
  <c r="GF571" i="30"/>
  <c r="GG571" i="30"/>
  <c r="GH571" i="30"/>
  <c r="GI571" i="30"/>
  <c r="GJ571" i="30"/>
  <c r="GK571" i="30"/>
  <c r="GL571" i="30"/>
  <c r="GM571" i="30"/>
  <c r="GN571" i="30"/>
  <c r="GO571" i="30"/>
  <c r="GP571" i="30"/>
  <c r="GQ571" i="30"/>
  <c r="GR571" i="30"/>
  <c r="GS571" i="30"/>
  <c r="GT571" i="30"/>
  <c r="GU571" i="30"/>
  <c r="GV571" i="30"/>
  <c r="GW571" i="30"/>
  <c r="GX571" i="30"/>
  <c r="GY571" i="30"/>
  <c r="GZ571" i="30"/>
  <c r="HA571" i="30"/>
  <c r="HB571" i="30"/>
  <c r="HC571" i="30"/>
  <c r="HD571" i="30"/>
  <c r="HE571" i="30"/>
  <c r="HF571" i="30"/>
  <c r="HG571" i="30"/>
  <c r="HH571" i="30"/>
  <c r="HI571" i="30"/>
  <c r="HJ571" i="30"/>
  <c r="HK571" i="30"/>
  <c r="HL571" i="30"/>
  <c r="HM571" i="30"/>
  <c r="HN571" i="30"/>
  <c r="HO571" i="30"/>
  <c r="HP571" i="30"/>
  <c r="HQ571" i="30"/>
  <c r="HR571" i="30"/>
  <c r="HS571" i="30"/>
  <c r="HT571" i="30"/>
  <c r="HU571" i="30"/>
  <c r="HV571" i="30"/>
  <c r="HW571" i="30"/>
  <c r="HX571" i="30"/>
  <c r="HY571" i="30"/>
  <c r="HZ571" i="30"/>
  <c r="IA571" i="30"/>
  <c r="IB571" i="30"/>
  <c r="IC571" i="30"/>
  <c r="ID571" i="30"/>
  <c r="IE571" i="30"/>
  <c r="IF571" i="30"/>
  <c r="IG571" i="30"/>
  <c r="IH571" i="30"/>
  <c r="II571" i="30"/>
  <c r="IJ571" i="30"/>
  <c r="IK571" i="30"/>
  <c r="IL571" i="30"/>
  <c r="IM571" i="30"/>
  <c r="IN571" i="30"/>
  <c r="IO571" i="30"/>
  <c r="IP571" i="30"/>
  <c r="IQ571" i="30"/>
  <c r="IR571" i="30"/>
  <c r="IS571" i="30"/>
  <c r="IT571" i="30"/>
  <c r="IU571" i="30"/>
  <c r="IV571" i="30"/>
  <c r="A570" i="30"/>
  <c r="B570" i="30"/>
  <c r="C570" i="30"/>
  <c r="D570" i="30"/>
  <c r="E570" i="30"/>
  <c r="F570" i="30"/>
  <c r="G570" i="30"/>
  <c r="H570" i="30"/>
  <c r="I570" i="30"/>
  <c r="J570" i="30"/>
  <c r="K570" i="30"/>
  <c r="L570" i="30"/>
  <c r="M570" i="30"/>
  <c r="N570" i="30"/>
  <c r="O570" i="30"/>
  <c r="P570" i="30"/>
  <c r="Q570" i="30"/>
  <c r="R570" i="30"/>
  <c r="S570" i="30"/>
  <c r="T570" i="30"/>
  <c r="U570" i="30"/>
  <c r="V570" i="30"/>
  <c r="W570" i="30"/>
  <c r="X570" i="30"/>
  <c r="Y570" i="30"/>
  <c r="Z570" i="30"/>
  <c r="AA570" i="30"/>
  <c r="AB570" i="30"/>
  <c r="AC570" i="30"/>
  <c r="AD570" i="30"/>
  <c r="AE570" i="30"/>
  <c r="AF570" i="30"/>
  <c r="AG570" i="30"/>
  <c r="AH570" i="30"/>
  <c r="AI570" i="30"/>
  <c r="AJ570" i="30"/>
  <c r="AK570" i="30"/>
  <c r="AL570" i="30"/>
  <c r="AM570" i="30"/>
  <c r="AN570" i="30"/>
  <c r="AO570" i="30"/>
  <c r="AP570" i="30"/>
  <c r="AQ570" i="30"/>
  <c r="AR570" i="30"/>
  <c r="AS570" i="30"/>
  <c r="AT570" i="30"/>
  <c r="AU570" i="30"/>
  <c r="AV570" i="30"/>
  <c r="AW570" i="30"/>
  <c r="AX570" i="30"/>
  <c r="AY570" i="30"/>
  <c r="AZ570" i="30"/>
  <c r="BA570" i="30"/>
  <c r="BB570" i="30"/>
  <c r="BC570" i="30"/>
  <c r="BD570" i="30"/>
  <c r="BE570" i="30"/>
  <c r="BF570" i="30"/>
  <c r="BG570" i="30"/>
  <c r="BH570" i="30"/>
  <c r="BI570" i="30"/>
  <c r="BJ570" i="30"/>
  <c r="BK570" i="30"/>
  <c r="BL570" i="30"/>
  <c r="BM570" i="30"/>
  <c r="BN570" i="30"/>
  <c r="BO570" i="30"/>
  <c r="BP570" i="30"/>
  <c r="BQ570" i="30"/>
  <c r="BR570" i="30"/>
  <c r="BS570" i="30"/>
  <c r="BT570" i="30"/>
  <c r="BU570" i="30"/>
  <c r="BV570" i="30"/>
  <c r="BW570" i="30"/>
  <c r="BX570" i="30"/>
  <c r="BY570" i="30"/>
  <c r="BZ570" i="30"/>
  <c r="CA570" i="30"/>
  <c r="CB570" i="30"/>
  <c r="CC570" i="30"/>
  <c r="CD570" i="30"/>
  <c r="CE570" i="30"/>
  <c r="CF570" i="30"/>
  <c r="CG570" i="30"/>
  <c r="CH570" i="30"/>
  <c r="CI570" i="30"/>
  <c r="CJ570" i="30"/>
  <c r="CK570" i="30"/>
  <c r="CL570" i="30"/>
  <c r="CM570" i="30"/>
  <c r="CN570" i="30"/>
  <c r="CO570" i="30"/>
  <c r="CP570" i="30"/>
  <c r="CQ570" i="30"/>
  <c r="CR570" i="30"/>
  <c r="CS570" i="30"/>
  <c r="CT570" i="30"/>
  <c r="CU570" i="30"/>
  <c r="CV570" i="30"/>
  <c r="CW570" i="30"/>
  <c r="CX570" i="30"/>
  <c r="CY570" i="30"/>
  <c r="CZ570" i="30"/>
  <c r="DA570" i="30"/>
  <c r="DB570" i="30"/>
  <c r="DC570" i="30"/>
  <c r="DD570" i="30"/>
  <c r="DE570" i="30"/>
  <c r="DF570" i="30"/>
  <c r="DG570" i="30"/>
  <c r="DH570" i="30"/>
  <c r="DI570" i="30"/>
  <c r="DJ570" i="30"/>
  <c r="DK570" i="30"/>
  <c r="DL570" i="30"/>
  <c r="DM570" i="30"/>
  <c r="DN570" i="30"/>
  <c r="DO570" i="30"/>
  <c r="DP570" i="30"/>
  <c r="DQ570" i="30"/>
  <c r="DR570" i="30"/>
  <c r="DS570" i="30"/>
  <c r="DT570" i="30"/>
  <c r="DU570" i="30"/>
  <c r="DV570" i="30"/>
  <c r="DW570" i="30"/>
  <c r="DX570" i="30"/>
  <c r="DY570" i="30"/>
  <c r="DZ570" i="30"/>
  <c r="EA570" i="30"/>
  <c r="EB570" i="30"/>
  <c r="EC570" i="30"/>
  <c r="ED570" i="30"/>
  <c r="EE570" i="30"/>
  <c r="EF570" i="30"/>
  <c r="EG570" i="30"/>
  <c r="EH570" i="30"/>
  <c r="EI570" i="30"/>
  <c r="EJ570" i="30"/>
  <c r="EK570" i="30"/>
  <c r="EL570" i="30"/>
  <c r="EM570" i="30"/>
  <c r="EN570" i="30"/>
  <c r="EO570" i="30"/>
  <c r="EP570" i="30"/>
  <c r="EQ570" i="30"/>
  <c r="ER570" i="30"/>
  <c r="ES570" i="30"/>
  <c r="ET570" i="30"/>
  <c r="EU570" i="30"/>
  <c r="EV570" i="30"/>
  <c r="EW570" i="30"/>
  <c r="EX570" i="30"/>
  <c r="EY570" i="30"/>
  <c r="EZ570" i="30"/>
  <c r="FA570" i="30"/>
  <c r="FB570" i="30"/>
  <c r="FC570" i="30"/>
  <c r="FD570" i="30"/>
  <c r="FE570" i="30"/>
  <c r="FF570" i="30"/>
  <c r="FG570" i="30"/>
  <c r="FH570" i="30"/>
  <c r="FI570" i="30"/>
  <c r="FJ570" i="30"/>
  <c r="FK570" i="30"/>
  <c r="FL570" i="30"/>
  <c r="FM570" i="30"/>
  <c r="FN570" i="30"/>
  <c r="FO570" i="30"/>
  <c r="FP570" i="30"/>
  <c r="FQ570" i="30"/>
  <c r="FR570" i="30"/>
  <c r="FS570" i="30"/>
  <c r="FT570" i="30"/>
  <c r="FU570" i="30"/>
  <c r="FV570" i="30"/>
  <c r="FW570" i="30"/>
  <c r="FX570" i="30"/>
  <c r="FY570" i="30"/>
  <c r="FZ570" i="30"/>
  <c r="GA570" i="30"/>
  <c r="GB570" i="30"/>
  <c r="GC570" i="30"/>
  <c r="GD570" i="30"/>
  <c r="GE570" i="30"/>
  <c r="GF570" i="30"/>
  <c r="GG570" i="30"/>
  <c r="GH570" i="30"/>
  <c r="GI570" i="30"/>
  <c r="GJ570" i="30"/>
  <c r="GK570" i="30"/>
  <c r="GL570" i="30"/>
  <c r="GM570" i="30"/>
  <c r="GN570" i="30"/>
  <c r="GO570" i="30"/>
  <c r="GP570" i="30"/>
  <c r="GQ570" i="30"/>
  <c r="GR570" i="30"/>
  <c r="GS570" i="30"/>
  <c r="GT570" i="30"/>
  <c r="GU570" i="30"/>
  <c r="GV570" i="30"/>
  <c r="GW570" i="30"/>
  <c r="GX570" i="30"/>
  <c r="GY570" i="30"/>
  <c r="GZ570" i="30"/>
  <c r="HA570" i="30"/>
  <c r="HB570" i="30"/>
  <c r="HC570" i="30"/>
  <c r="HD570" i="30"/>
  <c r="HE570" i="30"/>
  <c r="HF570" i="30"/>
  <c r="HG570" i="30"/>
  <c r="HH570" i="30"/>
  <c r="HI570" i="30"/>
  <c r="HJ570" i="30"/>
  <c r="HK570" i="30"/>
  <c r="HL570" i="30"/>
  <c r="HM570" i="30"/>
  <c r="HN570" i="30"/>
  <c r="HO570" i="30"/>
  <c r="HP570" i="30"/>
  <c r="HQ570" i="30"/>
  <c r="HR570" i="30"/>
  <c r="HS570" i="30"/>
  <c r="HT570" i="30"/>
  <c r="HU570" i="30"/>
  <c r="HV570" i="30"/>
  <c r="HW570" i="30"/>
  <c r="HX570" i="30"/>
  <c r="HY570" i="30"/>
  <c r="HZ570" i="30"/>
  <c r="IA570" i="30"/>
  <c r="IB570" i="30"/>
  <c r="IC570" i="30"/>
  <c r="ID570" i="30"/>
  <c r="IE570" i="30"/>
  <c r="IF570" i="30"/>
  <c r="IG570" i="30"/>
  <c r="IH570" i="30"/>
  <c r="II570" i="30"/>
  <c r="IJ570" i="30"/>
  <c r="IK570" i="30"/>
  <c r="IL570" i="30"/>
  <c r="IM570" i="30"/>
  <c r="IN570" i="30"/>
  <c r="IO570" i="30"/>
  <c r="IP570" i="30"/>
  <c r="IQ570" i="30"/>
  <c r="IR570" i="30"/>
  <c r="IS570" i="30"/>
  <c r="IT570" i="30"/>
  <c r="IU570" i="30"/>
  <c r="IV570" i="30"/>
  <c r="A569" i="30"/>
  <c r="B569" i="30"/>
  <c r="C569" i="30"/>
  <c r="D569" i="30"/>
  <c r="E569" i="30"/>
  <c r="F569" i="30"/>
  <c r="G569" i="30"/>
  <c r="H569" i="30"/>
  <c r="I569" i="30"/>
  <c r="J569" i="30"/>
  <c r="K569" i="30"/>
  <c r="L569" i="30"/>
  <c r="M569" i="30"/>
  <c r="N569" i="30"/>
  <c r="O569" i="30"/>
  <c r="P569" i="30"/>
  <c r="Q569" i="30"/>
  <c r="R569" i="30"/>
  <c r="S569" i="30"/>
  <c r="T569" i="30"/>
  <c r="U569" i="30"/>
  <c r="V569" i="30"/>
  <c r="W569" i="30"/>
  <c r="X569" i="30"/>
  <c r="Y569" i="30"/>
  <c r="Z569" i="30"/>
  <c r="AA569" i="30"/>
  <c r="AB569" i="30"/>
  <c r="AC569" i="30"/>
  <c r="AD569" i="30"/>
  <c r="AE569" i="30"/>
  <c r="AF569" i="30"/>
  <c r="AG569" i="30"/>
  <c r="AH569" i="30"/>
  <c r="AI569" i="30"/>
  <c r="AJ569" i="30"/>
  <c r="AK569" i="30"/>
  <c r="AL569" i="30"/>
  <c r="AM569" i="30"/>
  <c r="AN569" i="30"/>
  <c r="AO569" i="30"/>
  <c r="AP569" i="30"/>
  <c r="AQ569" i="30"/>
  <c r="AR569" i="30"/>
  <c r="AS569" i="30"/>
  <c r="AT569" i="30"/>
  <c r="AU569" i="30"/>
  <c r="AV569" i="30"/>
  <c r="AW569" i="30"/>
  <c r="AX569" i="30"/>
  <c r="AY569" i="30"/>
  <c r="AZ569" i="30"/>
  <c r="BA569" i="30"/>
  <c r="BB569" i="30"/>
  <c r="BC569" i="30"/>
  <c r="BD569" i="30"/>
  <c r="BE569" i="30"/>
  <c r="BF569" i="30"/>
  <c r="BG569" i="30"/>
  <c r="BH569" i="30"/>
  <c r="BI569" i="30"/>
  <c r="BJ569" i="30"/>
  <c r="BK569" i="30"/>
  <c r="BL569" i="30"/>
  <c r="BM569" i="30"/>
  <c r="BN569" i="30"/>
  <c r="BO569" i="30"/>
  <c r="BP569" i="30"/>
  <c r="BQ569" i="30"/>
  <c r="BR569" i="30"/>
  <c r="BS569" i="30"/>
  <c r="BT569" i="30"/>
  <c r="BU569" i="30"/>
  <c r="BV569" i="30"/>
  <c r="BW569" i="30"/>
  <c r="BX569" i="30"/>
  <c r="BY569" i="30"/>
  <c r="BZ569" i="30"/>
  <c r="CA569" i="30"/>
  <c r="CB569" i="30"/>
  <c r="CC569" i="30"/>
  <c r="CD569" i="30"/>
  <c r="CE569" i="30"/>
  <c r="CF569" i="30"/>
  <c r="CG569" i="30"/>
  <c r="CH569" i="30"/>
  <c r="CI569" i="30"/>
  <c r="CJ569" i="30"/>
  <c r="CK569" i="30"/>
  <c r="CL569" i="30"/>
  <c r="CM569" i="30"/>
  <c r="CN569" i="30"/>
  <c r="CO569" i="30"/>
  <c r="CP569" i="30"/>
  <c r="CQ569" i="30"/>
  <c r="CR569" i="30"/>
  <c r="CS569" i="30"/>
  <c r="CT569" i="30"/>
  <c r="CU569" i="30"/>
  <c r="CV569" i="30"/>
  <c r="CW569" i="30"/>
  <c r="CX569" i="30"/>
  <c r="CY569" i="30"/>
  <c r="CZ569" i="30"/>
  <c r="DA569" i="30"/>
  <c r="DB569" i="30"/>
  <c r="DC569" i="30"/>
  <c r="DD569" i="30"/>
  <c r="DE569" i="30"/>
  <c r="DF569" i="30"/>
  <c r="DG569" i="30"/>
  <c r="DH569" i="30"/>
  <c r="DI569" i="30"/>
  <c r="DJ569" i="30"/>
  <c r="DK569" i="30"/>
  <c r="DL569" i="30"/>
  <c r="DM569" i="30"/>
  <c r="DN569" i="30"/>
  <c r="DO569" i="30"/>
  <c r="DP569" i="30"/>
  <c r="DQ569" i="30"/>
  <c r="DR569" i="30"/>
  <c r="DS569" i="30"/>
  <c r="DT569" i="30"/>
  <c r="DU569" i="30"/>
  <c r="DV569" i="30"/>
  <c r="DW569" i="30"/>
  <c r="DX569" i="30"/>
  <c r="DY569" i="30"/>
  <c r="DZ569" i="30"/>
  <c r="EA569" i="30"/>
  <c r="EB569" i="30"/>
  <c r="EC569" i="30"/>
  <c r="ED569" i="30"/>
  <c r="EE569" i="30"/>
  <c r="EF569" i="30"/>
  <c r="EG569" i="30"/>
  <c r="EH569" i="30"/>
  <c r="EI569" i="30"/>
  <c r="EJ569" i="30"/>
  <c r="EK569" i="30"/>
  <c r="EL569" i="30"/>
  <c r="EM569" i="30"/>
  <c r="EN569" i="30"/>
  <c r="EO569" i="30"/>
  <c r="EP569" i="30"/>
  <c r="EQ569" i="30"/>
  <c r="ER569" i="30"/>
  <c r="ES569" i="30"/>
  <c r="ET569" i="30"/>
  <c r="EU569" i="30"/>
  <c r="EV569" i="30"/>
  <c r="EW569" i="30"/>
  <c r="EX569" i="30"/>
  <c r="EY569" i="30"/>
  <c r="EZ569" i="30"/>
  <c r="FA569" i="30"/>
  <c r="FB569" i="30"/>
  <c r="FC569" i="30"/>
  <c r="FD569" i="30"/>
  <c r="FE569" i="30"/>
  <c r="FF569" i="30"/>
  <c r="FG569" i="30"/>
  <c r="FH569" i="30"/>
  <c r="FI569" i="30"/>
  <c r="FJ569" i="30"/>
  <c r="FK569" i="30"/>
  <c r="FL569" i="30"/>
  <c r="FM569" i="30"/>
  <c r="FN569" i="30"/>
  <c r="FO569" i="30"/>
  <c r="FP569" i="30"/>
  <c r="FQ569" i="30"/>
  <c r="FR569" i="30"/>
  <c r="FS569" i="30"/>
  <c r="FT569" i="30"/>
  <c r="FU569" i="30"/>
  <c r="FV569" i="30"/>
  <c r="FW569" i="30"/>
  <c r="FX569" i="30"/>
  <c r="FY569" i="30"/>
  <c r="FZ569" i="30"/>
  <c r="GA569" i="30"/>
  <c r="GB569" i="30"/>
  <c r="GC569" i="30"/>
  <c r="GD569" i="30"/>
  <c r="GE569" i="30"/>
  <c r="GF569" i="30"/>
  <c r="GG569" i="30"/>
  <c r="GH569" i="30"/>
  <c r="GI569" i="30"/>
  <c r="GJ569" i="30"/>
  <c r="GK569" i="30"/>
  <c r="GL569" i="30"/>
  <c r="GM569" i="30"/>
  <c r="GN569" i="30"/>
  <c r="GO569" i="30"/>
  <c r="GP569" i="30"/>
  <c r="GQ569" i="30"/>
  <c r="GR569" i="30"/>
  <c r="GS569" i="30"/>
  <c r="GT569" i="30"/>
  <c r="GU569" i="30"/>
  <c r="GV569" i="30"/>
  <c r="GW569" i="30"/>
  <c r="GX569" i="30"/>
  <c r="GY569" i="30"/>
  <c r="GZ569" i="30"/>
  <c r="HA569" i="30"/>
  <c r="HB569" i="30"/>
  <c r="HC569" i="30"/>
  <c r="HD569" i="30"/>
  <c r="HE569" i="30"/>
  <c r="HF569" i="30"/>
  <c r="HG569" i="30"/>
  <c r="HH569" i="30"/>
  <c r="HI569" i="30"/>
  <c r="HJ569" i="30"/>
  <c r="HK569" i="30"/>
  <c r="HL569" i="30"/>
  <c r="HM569" i="30"/>
  <c r="HN569" i="30"/>
  <c r="HO569" i="30"/>
  <c r="HP569" i="30"/>
  <c r="HQ569" i="30"/>
  <c r="HR569" i="30"/>
  <c r="HS569" i="30"/>
  <c r="HT569" i="30"/>
  <c r="HU569" i="30"/>
  <c r="HV569" i="30"/>
  <c r="HW569" i="30"/>
  <c r="HX569" i="30"/>
  <c r="HY569" i="30"/>
  <c r="HZ569" i="30"/>
  <c r="IA569" i="30"/>
  <c r="IB569" i="30"/>
  <c r="IC569" i="30"/>
  <c r="ID569" i="30"/>
  <c r="IE569" i="30"/>
  <c r="IF569" i="30"/>
  <c r="IG569" i="30"/>
  <c r="IH569" i="30"/>
  <c r="II569" i="30"/>
  <c r="IJ569" i="30"/>
  <c r="IK569" i="30"/>
  <c r="IL569" i="30"/>
  <c r="IM569" i="30"/>
  <c r="IN569" i="30"/>
  <c r="IO569" i="30"/>
  <c r="IP569" i="30"/>
  <c r="IQ569" i="30"/>
  <c r="IR569" i="30"/>
  <c r="IS569" i="30"/>
  <c r="IT569" i="30"/>
  <c r="IU569" i="30"/>
  <c r="IV569" i="30"/>
  <c r="A568" i="30"/>
  <c r="B568" i="30"/>
  <c r="C568" i="30"/>
  <c r="D568" i="30"/>
  <c r="E568" i="30"/>
  <c r="F568" i="30"/>
  <c r="G568" i="30"/>
  <c r="H568" i="30"/>
  <c r="I568" i="30"/>
  <c r="J568" i="30"/>
  <c r="K568" i="30"/>
  <c r="L568" i="30"/>
  <c r="M568" i="30"/>
  <c r="N568" i="30"/>
  <c r="O568" i="30"/>
  <c r="P568" i="30"/>
  <c r="Q568" i="30"/>
  <c r="R568" i="30"/>
  <c r="S568" i="30"/>
  <c r="T568" i="30"/>
  <c r="U568" i="30"/>
  <c r="V568" i="30"/>
  <c r="W568" i="30"/>
  <c r="X568" i="30"/>
  <c r="Y568" i="30"/>
  <c r="Z568" i="30"/>
  <c r="AA568" i="30"/>
  <c r="AB568" i="30"/>
  <c r="AC568" i="30"/>
  <c r="AD568" i="30"/>
  <c r="AE568" i="30"/>
  <c r="AF568" i="30"/>
  <c r="AG568" i="30"/>
  <c r="AH568" i="30"/>
  <c r="AI568" i="30"/>
  <c r="AJ568" i="30"/>
  <c r="AK568" i="30"/>
  <c r="AL568" i="30"/>
  <c r="AM568" i="30"/>
  <c r="AN568" i="30"/>
  <c r="AO568" i="30"/>
  <c r="AP568" i="30"/>
  <c r="AQ568" i="30"/>
  <c r="AR568" i="30"/>
  <c r="AS568" i="30"/>
  <c r="AT568" i="30"/>
  <c r="AU568" i="30"/>
  <c r="AV568" i="30"/>
  <c r="AW568" i="30"/>
  <c r="AX568" i="30"/>
  <c r="AY568" i="30"/>
  <c r="AZ568" i="30"/>
  <c r="BA568" i="30"/>
  <c r="BB568" i="30"/>
  <c r="BC568" i="30"/>
  <c r="BD568" i="30"/>
  <c r="BE568" i="30"/>
  <c r="BF568" i="30"/>
  <c r="BG568" i="30"/>
  <c r="BH568" i="30"/>
  <c r="BI568" i="30"/>
  <c r="BJ568" i="30"/>
  <c r="BK568" i="30"/>
  <c r="BL568" i="30"/>
  <c r="BM568" i="30"/>
  <c r="BN568" i="30"/>
  <c r="BO568" i="30"/>
  <c r="BP568" i="30"/>
  <c r="BQ568" i="30"/>
  <c r="BR568" i="30"/>
  <c r="BS568" i="30"/>
  <c r="BT568" i="30"/>
  <c r="BU568" i="30"/>
  <c r="BV568" i="30"/>
  <c r="BW568" i="30"/>
  <c r="BX568" i="30"/>
  <c r="BY568" i="30"/>
  <c r="BZ568" i="30"/>
  <c r="CA568" i="30"/>
  <c r="CB568" i="30"/>
  <c r="CC568" i="30"/>
  <c r="CD568" i="30"/>
  <c r="CE568" i="30"/>
  <c r="CF568" i="30"/>
  <c r="CG568" i="30"/>
  <c r="CH568" i="30"/>
  <c r="CI568" i="30"/>
  <c r="CJ568" i="30"/>
  <c r="CK568" i="30"/>
  <c r="CL568" i="30"/>
  <c r="CM568" i="30"/>
  <c r="CN568" i="30"/>
  <c r="CO568" i="30"/>
  <c r="CP568" i="30"/>
  <c r="CQ568" i="30"/>
  <c r="CR568" i="30"/>
  <c r="CS568" i="30"/>
  <c r="CT568" i="30"/>
  <c r="CU568" i="30"/>
  <c r="CV568" i="30"/>
  <c r="CW568" i="30"/>
  <c r="CX568" i="30"/>
  <c r="CY568" i="30"/>
  <c r="CZ568" i="30"/>
  <c r="DA568" i="30"/>
  <c r="DB568" i="30"/>
  <c r="DC568" i="30"/>
  <c r="DD568" i="30"/>
  <c r="DE568" i="30"/>
  <c r="DF568" i="30"/>
  <c r="DG568" i="30"/>
  <c r="DH568" i="30"/>
  <c r="DI568" i="30"/>
  <c r="DJ568" i="30"/>
  <c r="DK568" i="30"/>
  <c r="DL568" i="30"/>
  <c r="DM568" i="30"/>
  <c r="DN568" i="30"/>
  <c r="DO568" i="30"/>
  <c r="DP568" i="30"/>
  <c r="DQ568" i="30"/>
  <c r="DR568" i="30"/>
  <c r="DS568" i="30"/>
  <c r="DT568" i="30"/>
  <c r="DU568" i="30"/>
  <c r="DV568" i="30"/>
  <c r="DW568" i="30"/>
  <c r="DX568" i="30"/>
  <c r="DY568" i="30"/>
  <c r="DZ568" i="30"/>
  <c r="EA568" i="30"/>
  <c r="EB568" i="30"/>
  <c r="EC568" i="30"/>
  <c r="ED568" i="30"/>
  <c r="EE568" i="30"/>
  <c r="EF568" i="30"/>
  <c r="EG568" i="30"/>
  <c r="EH568" i="30"/>
  <c r="EI568" i="30"/>
  <c r="EJ568" i="30"/>
  <c r="EK568" i="30"/>
  <c r="EL568" i="30"/>
  <c r="EM568" i="30"/>
  <c r="EN568" i="30"/>
  <c r="EO568" i="30"/>
  <c r="EP568" i="30"/>
  <c r="EQ568" i="30"/>
  <c r="ER568" i="30"/>
  <c r="ES568" i="30"/>
  <c r="ET568" i="30"/>
  <c r="EU568" i="30"/>
  <c r="EV568" i="30"/>
  <c r="EW568" i="30"/>
  <c r="EX568" i="30"/>
  <c r="EY568" i="30"/>
  <c r="EZ568" i="30"/>
  <c r="FA568" i="30"/>
  <c r="FB568" i="30"/>
  <c r="FC568" i="30"/>
  <c r="FD568" i="30"/>
  <c r="FE568" i="30"/>
  <c r="FF568" i="30"/>
  <c r="FG568" i="30"/>
  <c r="FH568" i="30"/>
  <c r="FI568" i="30"/>
  <c r="FJ568" i="30"/>
  <c r="FK568" i="30"/>
  <c r="FL568" i="30"/>
  <c r="FM568" i="30"/>
  <c r="FN568" i="30"/>
  <c r="FO568" i="30"/>
  <c r="FP568" i="30"/>
  <c r="FQ568" i="30"/>
  <c r="FR568" i="30"/>
  <c r="FS568" i="30"/>
  <c r="FT568" i="30"/>
  <c r="FU568" i="30"/>
  <c r="FV568" i="30"/>
  <c r="FW568" i="30"/>
  <c r="FX568" i="30"/>
  <c r="FY568" i="30"/>
  <c r="FZ568" i="30"/>
  <c r="GA568" i="30"/>
  <c r="GB568" i="30"/>
  <c r="GC568" i="30"/>
  <c r="GD568" i="30"/>
  <c r="GE568" i="30"/>
  <c r="GF568" i="30"/>
  <c r="GG568" i="30"/>
  <c r="GH568" i="30"/>
  <c r="GI568" i="30"/>
  <c r="GJ568" i="30"/>
  <c r="GK568" i="30"/>
  <c r="GL568" i="30"/>
  <c r="GM568" i="30"/>
  <c r="GN568" i="30"/>
  <c r="GO568" i="30"/>
  <c r="GP568" i="30"/>
  <c r="GQ568" i="30"/>
  <c r="GR568" i="30"/>
  <c r="GS568" i="30"/>
  <c r="GT568" i="30"/>
  <c r="GU568" i="30"/>
  <c r="GV568" i="30"/>
  <c r="GW568" i="30"/>
  <c r="GX568" i="30"/>
  <c r="GY568" i="30"/>
  <c r="GZ568" i="30"/>
  <c r="HA568" i="30"/>
  <c r="HB568" i="30"/>
  <c r="HC568" i="30"/>
  <c r="HD568" i="30"/>
  <c r="HE568" i="30"/>
  <c r="HF568" i="30"/>
  <c r="HG568" i="30"/>
  <c r="HH568" i="30"/>
  <c r="HI568" i="30"/>
  <c r="HJ568" i="30"/>
  <c r="HK568" i="30"/>
  <c r="HL568" i="30"/>
  <c r="HM568" i="30"/>
  <c r="HN568" i="30"/>
  <c r="HO568" i="30"/>
  <c r="HP568" i="30"/>
  <c r="HQ568" i="30"/>
  <c r="HR568" i="30"/>
  <c r="HS568" i="30"/>
  <c r="HT568" i="30"/>
  <c r="HU568" i="30"/>
  <c r="HV568" i="30"/>
  <c r="HW568" i="30"/>
  <c r="HX568" i="30"/>
  <c r="HY568" i="30"/>
  <c r="HZ568" i="30"/>
  <c r="IA568" i="30"/>
  <c r="IB568" i="30"/>
  <c r="IC568" i="30"/>
  <c r="ID568" i="30"/>
  <c r="IE568" i="30"/>
  <c r="IF568" i="30"/>
  <c r="IG568" i="30"/>
  <c r="IH568" i="30"/>
  <c r="II568" i="30"/>
  <c r="IJ568" i="30"/>
  <c r="IK568" i="30"/>
  <c r="IL568" i="30"/>
  <c r="IM568" i="30"/>
  <c r="IN568" i="30"/>
  <c r="IO568" i="30"/>
  <c r="IP568" i="30"/>
  <c r="IQ568" i="30"/>
  <c r="IR568" i="30"/>
  <c r="IS568" i="30"/>
  <c r="IT568" i="30"/>
  <c r="IU568" i="30"/>
  <c r="IV568" i="30"/>
  <c r="A567" i="30"/>
  <c r="B567" i="30"/>
  <c r="C567" i="30"/>
  <c r="D567" i="30"/>
  <c r="E567" i="30"/>
  <c r="F567" i="30"/>
  <c r="G567" i="30"/>
  <c r="H567" i="30"/>
  <c r="I567" i="30"/>
  <c r="J567" i="30"/>
  <c r="K567" i="30"/>
  <c r="L567" i="30"/>
  <c r="M567" i="30"/>
  <c r="N567" i="30"/>
  <c r="O567" i="30"/>
  <c r="P567" i="30"/>
  <c r="Q567" i="30"/>
  <c r="R567" i="30"/>
  <c r="S567" i="30"/>
  <c r="T567" i="30"/>
  <c r="U567" i="30"/>
  <c r="V567" i="30"/>
  <c r="W567" i="30"/>
  <c r="X567" i="30"/>
  <c r="Y567" i="30"/>
  <c r="Z567" i="30"/>
  <c r="AA567" i="30"/>
  <c r="AB567" i="30"/>
  <c r="AC567" i="30"/>
  <c r="AD567" i="30"/>
  <c r="AE567" i="30"/>
  <c r="AF567" i="30"/>
  <c r="AG567" i="30"/>
  <c r="AH567" i="30"/>
  <c r="AI567" i="30"/>
  <c r="AJ567" i="30"/>
  <c r="AK567" i="30"/>
  <c r="AL567" i="30"/>
  <c r="AM567" i="30"/>
  <c r="AN567" i="30"/>
  <c r="AO567" i="30"/>
  <c r="AP567" i="30"/>
  <c r="AQ567" i="30"/>
  <c r="AR567" i="30"/>
  <c r="AS567" i="30"/>
  <c r="AT567" i="30"/>
  <c r="AU567" i="30"/>
  <c r="AV567" i="30"/>
  <c r="AW567" i="30"/>
  <c r="AX567" i="30"/>
  <c r="AY567" i="30"/>
  <c r="AZ567" i="30"/>
  <c r="BA567" i="30"/>
  <c r="BB567" i="30"/>
  <c r="BC567" i="30"/>
  <c r="BD567" i="30"/>
  <c r="BE567" i="30"/>
  <c r="BF567" i="30"/>
  <c r="BG567" i="30"/>
  <c r="BH567" i="30"/>
  <c r="BI567" i="30"/>
  <c r="BJ567" i="30"/>
  <c r="BK567" i="30"/>
  <c r="BL567" i="30"/>
  <c r="BM567" i="30"/>
  <c r="BN567" i="30"/>
  <c r="BO567" i="30"/>
  <c r="BP567" i="30"/>
  <c r="BQ567" i="30"/>
  <c r="BR567" i="30"/>
  <c r="BS567" i="30"/>
  <c r="BT567" i="30"/>
  <c r="BU567" i="30"/>
  <c r="BV567" i="30"/>
  <c r="BW567" i="30"/>
  <c r="BX567" i="30"/>
  <c r="BY567" i="30"/>
  <c r="BZ567" i="30"/>
  <c r="CA567" i="30"/>
  <c r="CB567" i="30"/>
  <c r="CC567" i="30"/>
  <c r="CD567" i="30"/>
  <c r="CE567" i="30"/>
  <c r="CF567" i="30"/>
  <c r="CG567" i="30"/>
  <c r="CH567" i="30"/>
  <c r="CI567" i="30"/>
  <c r="CJ567" i="30"/>
  <c r="CK567" i="30"/>
  <c r="CL567" i="30"/>
  <c r="CM567" i="30"/>
  <c r="CN567" i="30"/>
  <c r="CO567" i="30"/>
  <c r="CP567" i="30"/>
  <c r="CQ567" i="30"/>
  <c r="CR567" i="30"/>
  <c r="CS567" i="30"/>
  <c r="CT567" i="30"/>
  <c r="CU567" i="30"/>
  <c r="CV567" i="30"/>
  <c r="CW567" i="30"/>
  <c r="CX567" i="30"/>
  <c r="CY567" i="30"/>
  <c r="CZ567" i="30"/>
  <c r="DA567" i="30"/>
  <c r="DB567" i="30"/>
  <c r="DC567" i="30"/>
  <c r="DD567" i="30"/>
  <c r="DE567" i="30"/>
  <c r="DF567" i="30"/>
  <c r="DG567" i="30"/>
  <c r="DH567" i="30"/>
  <c r="DI567" i="30"/>
  <c r="DJ567" i="30"/>
  <c r="DK567" i="30"/>
  <c r="DL567" i="30"/>
  <c r="DM567" i="30"/>
  <c r="DN567" i="30"/>
  <c r="DO567" i="30"/>
  <c r="DP567" i="30"/>
  <c r="DQ567" i="30"/>
  <c r="DR567" i="30"/>
  <c r="DS567" i="30"/>
  <c r="DT567" i="30"/>
  <c r="DU567" i="30"/>
  <c r="DV567" i="30"/>
  <c r="DW567" i="30"/>
  <c r="DX567" i="30"/>
  <c r="DY567" i="30"/>
  <c r="DZ567" i="30"/>
  <c r="EA567" i="30"/>
  <c r="EB567" i="30"/>
  <c r="EC567" i="30"/>
  <c r="ED567" i="30"/>
  <c r="EE567" i="30"/>
  <c r="EF567" i="30"/>
  <c r="EG567" i="30"/>
  <c r="EH567" i="30"/>
  <c r="EI567" i="30"/>
  <c r="EJ567" i="30"/>
  <c r="EK567" i="30"/>
  <c r="EL567" i="30"/>
  <c r="EM567" i="30"/>
  <c r="EN567" i="30"/>
  <c r="EO567" i="30"/>
  <c r="EP567" i="30"/>
  <c r="EQ567" i="30"/>
  <c r="ER567" i="30"/>
  <c r="ES567" i="30"/>
  <c r="ET567" i="30"/>
  <c r="EU567" i="30"/>
  <c r="EV567" i="30"/>
  <c r="EW567" i="30"/>
  <c r="EX567" i="30"/>
  <c r="EY567" i="30"/>
  <c r="EZ567" i="30"/>
  <c r="FA567" i="30"/>
  <c r="FB567" i="30"/>
  <c r="FC567" i="30"/>
  <c r="FD567" i="30"/>
  <c r="FE567" i="30"/>
  <c r="FF567" i="30"/>
  <c r="FG567" i="30"/>
  <c r="FH567" i="30"/>
  <c r="FI567" i="30"/>
  <c r="FJ567" i="30"/>
  <c r="FK567" i="30"/>
  <c r="FL567" i="30"/>
  <c r="FM567" i="30"/>
  <c r="FN567" i="30"/>
  <c r="FO567" i="30"/>
  <c r="FP567" i="30"/>
  <c r="FQ567" i="30"/>
  <c r="FR567" i="30"/>
  <c r="FS567" i="30"/>
  <c r="FT567" i="30"/>
  <c r="FU567" i="30"/>
  <c r="FV567" i="30"/>
  <c r="FW567" i="30"/>
  <c r="FX567" i="30"/>
  <c r="FY567" i="30"/>
  <c r="FZ567" i="30"/>
  <c r="GA567" i="30"/>
  <c r="GB567" i="30"/>
  <c r="GC567" i="30"/>
  <c r="GD567" i="30"/>
  <c r="GE567" i="30"/>
  <c r="GF567" i="30"/>
  <c r="GG567" i="30"/>
  <c r="GH567" i="30"/>
  <c r="GI567" i="30"/>
  <c r="GJ567" i="30"/>
  <c r="GK567" i="30"/>
  <c r="GL567" i="30"/>
  <c r="GM567" i="30"/>
  <c r="GN567" i="30"/>
  <c r="GO567" i="30"/>
  <c r="GP567" i="30"/>
  <c r="GQ567" i="30"/>
  <c r="GR567" i="30"/>
  <c r="GS567" i="30"/>
  <c r="GT567" i="30"/>
  <c r="GU567" i="30"/>
  <c r="GV567" i="30"/>
  <c r="GW567" i="30"/>
  <c r="GX567" i="30"/>
  <c r="GY567" i="30"/>
  <c r="GZ567" i="30"/>
  <c r="HA567" i="30"/>
  <c r="HB567" i="30"/>
  <c r="HC567" i="30"/>
  <c r="HD567" i="30"/>
  <c r="HE567" i="30"/>
  <c r="HF567" i="30"/>
  <c r="HG567" i="30"/>
  <c r="HH567" i="30"/>
  <c r="HI567" i="30"/>
  <c r="HJ567" i="30"/>
  <c r="HK567" i="30"/>
  <c r="HL567" i="30"/>
  <c r="HM567" i="30"/>
  <c r="HN567" i="30"/>
  <c r="HO567" i="30"/>
  <c r="HP567" i="30"/>
  <c r="HQ567" i="30"/>
  <c r="HR567" i="30"/>
  <c r="HS567" i="30"/>
  <c r="HT567" i="30"/>
  <c r="HU567" i="30"/>
  <c r="HV567" i="30"/>
  <c r="HW567" i="30"/>
  <c r="HX567" i="30"/>
  <c r="HY567" i="30"/>
  <c r="HZ567" i="30"/>
  <c r="IA567" i="30"/>
  <c r="IB567" i="30"/>
  <c r="IC567" i="30"/>
  <c r="ID567" i="30"/>
  <c r="IE567" i="30"/>
  <c r="IF567" i="30"/>
  <c r="IG567" i="30"/>
  <c r="IH567" i="30"/>
  <c r="II567" i="30"/>
  <c r="IJ567" i="30"/>
  <c r="IK567" i="30"/>
  <c r="IL567" i="30"/>
  <c r="IM567" i="30"/>
  <c r="IN567" i="30"/>
  <c r="IO567" i="30"/>
  <c r="IP567" i="30"/>
  <c r="IQ567" i="30"/>
  <c r="IR567" i="30"/>
  <c r="IS567" i="30"/>
  <c r="IT567" i="30"/>
  <c r="IU567" i="30"/>
  <c r="IV567" i="30"/>
  <c r="A566" i="30"/>
  <c r="B566" i="30"/>
  <c r="C566" i="30"/>
  <c r="D566" i="30"/>
  <c r="E566" i="30"/>
  <c r="F566" i="30"/>
  <c r="G566" i="30"/>
  <c r="H566" i="30"/>
  <c r="I566" i="30"/>
  <c r="J566" i="30"/>
  <c r="K566" i="30"/>
  <c r="L566" i="30"/>
  <c r="M566" i="30"/>
  <c r="N566" i="30"/>
  <c r="O566" i="30"/>
  <c r="P566" i="30"/>
  <c r="Q566" i="30"/>
  <c r="R566" i="30"/>
  <c r="S566" i="30"/>
  <c r="T566" i="30"/>
  <c r="U566" i="30"/>
  <c r="V566" i="30"/>
  <c r="W566" i="30"/>
  <c r="X566" i="30"/>
  <c r="Y566" i="30"/>
  <c r="Z566" i="30"/>
  <c r="AA566" i="30"/>
  <c r="AB566" i="30"/>
  <c r="AC566" i="30"/>
  <c r="AD566" i="30"/>
  <c r="AE566" i="30"/>
  <c r="AF566" i="30"/>
  <c r="AG566" i="30"/>
  <c r="AH566" i="30"/>
  <c r="AI566" i="30"/>
  <c r="AJ566" i="30"/>
  <c r="AK566" i="30"/>
  <c r="AL566" i="30"/>
  <c r="AM566" i="30"/>
  <c r="AN566" i="30"/>
  <c r="AO566" i="30"/>
  <c r="AP566" i="30"/>
  <c r="AQ566" i="30"/>
  <c r="AR566" i="30"/>
  <c r="AS566" i="30"/>
  <c r="AT566" i="30"/>
  <c r="AU566" i="30"/>
  <c r="AV566" i="30"/>
  <c r="AW566" i="30"/>
  <c r="AX566" i="30"/>
  <c r="AY566" i="30"/>
  <c r="AZ566" i="30"/>
  <c r="BA566" i="30"/>
  <c r="BB566" i="30"/>
  <c r="BC566" i="30"/>
  <c r="BD566" i="30"/>
  <c r="BE566" i="30"/>
  <c r="BF566" i="30"/>
  <c r="BG566" i="30"/>
  <c r="BH566" i="30"/>
  <c r="BI566" i="30"/>
  <c r="BJ566" i="30"/>
  <c r="BK566" i="30"/>
  <c r="BL566" i="30"/>
  <c r="BM566" i="30"/>
  <c r="BN566" i="30"/>
  <c r="BO566" i="30"/>
  <c r="BP566" i="30"/>
  <c r="BQ566" i="30"/>
  <c r="BR566" i="30"/>
  <c r="BS566" i="30"/>
  <c r="BT566" i="30"/>
  <c r="BU566" i="30"/>
  <c r="BV566" i="30"/>
  <c r="BW566" i="30"/>
  <c r="BX566" i="30"/>
  <c r="BY566" i="30"/>
  <c r="BZ566" i="30"/>
  <c r="CA566" i="30"/>
  <c r="CB566" i="30"/>
  <c r="CC566" i="30"/>
  <c r="CD566" i="30"/>
  <c r="CE566" i="30"/>
  <c r="CF566" i="30"/>
  <c r="CG566" i="30"/>
  <c r="CH566" i="30"/>
  <c r="CI566" i="30"/>
  <c r="CJ566" i="30"/>
  <c r="CK566" i="30"/>
  <c r="CL566" i="30"/>
  <c r="CM566" i="30"/>
  <c r="CN566" i="30"/>
  <c r="CO566" i="30"/>
  <c r="CP566" i="30"/>
  <c r="CQ566" i="30"/>
  <c r="CR566" i="30"/>
  <c r="CS566" i="30"/>
  <c r="CT566" i="30"/>
  <c r="CU566" i="30"/>
  <c r="CV566" i="30"/>
  <c r="CW566" i="30"/>
  <c r="CX566" i="30"/>
  <c r="CY566" i="30"/>
  <c r="CZ566" i="30"/>
  <c r="DA566" i="30"/>
  <c r="DB566" i="30"/>
  <c r="DC566" i="30"/>
  <c r="DD566" i="30"/>
  <c r="DE566" i="30"/>
  <c r="DF566" i="30"/>
  <c r="DG566" i="30"/>
  <c r="DH566" i="30"/>
  <c r="DI566" i="30"/>
  <c r="DJ566" i="30"/>
  <c r="DK566" i="30"/>
  <c r="DL566" i="30"/>
  <c r="DM566" i="30"/>
  <c r="DN566" i="30"/>
  <c r="DO566" i="30"/>
  <c r="DP566" i="30"/>
  <c r="DQ566" i="30"/>
  <c r="DR566" i="30"/>
  <c r="DS566" i="30"/>
  <c r="DT566" i="30"/>
  <c r="DU566" i="30"/>
  <c r="DV566" i="30"/>
  <c r="DW566" i="30"/>
  <c r="DX566" i="30"/>
  <c r="DY566" i="30"/>
  <c r="DZ566" i="30"/>
  <c r="EA566" i="30"/>
  <c r="EB566" i="30"/>
  <c r="EC566" i="30"/>
  <c r="ED566" i="30"/>
  <c r="EE566" i="30"/>
  <c r="EF566" i="30"/>
  <c r="EG566" i="30"/>
  <c r="EH566" i="30"/>
  <c r="EI566" i="30"/>
  <c r="EJ566" i="30"/>
  <c r="EK566" i="30"/>
  <c r="EL566" i="30"/>
  <c r="EM566" i="30"/>
  <c r="EN566" i="30"/>
  <c r="EO566" i="30"/>
  <c r="EP566" i="30"/>
  <c r="EQ566" i="30"/>
  <c r="ER566" i="30"/>
  <c r="ES566" i="30"/>
  <c r="ET566" i="30"/>
  <c r="EU566" i="30"/>
  <c r="EV566" i="30"/>
  <c r="EW566" i="30"/>
  <c r="EX566" i="30"/>
  <c r="EY566" i="30"/>
  <c r="EZ566" i="30"/>
  <c r="FA566" i="30"/>
  <c r="FB566" i="30"/>
  <c r="FC566" i="30"/>
  <c r="FD566" i="30"/>
  <c r="FE566" i="30"/>
  <c r="FF566" i="30"/>
  <c r="FG566" i="30"/>
  <c r="FH566" i="30"/>
  <c r="FI566" i="30"/>
  <c r="FJ566" i="30"/>
  <c r="FK566" i="30"/>
  <c r="FL566" i="30"/>
  <c r="FM566" i="30"/>
  <c r="FN566" i="30"/>
  <c r="FO566" i="30"/>
  <c r="FP566" i="30"/>
  <c r="FQ566" i="30"/>
  <c r="FR566" i="30"/>
  <c r="FS566" i="30"/>
  <c r="FT566" i="30"/>
  <c r="FU566" i="30"/>
  <c r="FV566" i="30"/>
  <c r="FW566" i="30"/>
  <c r="FX566" i="30"/>
  <c r="FY566" i="30"/>
  <c r="FZ566" i="30"/>
  <c r="GA566" i="30"/>
  <c r="GB566" i="30"/>
  <c r="GC566" i="30"/>
  <c r="GD566" i="30"/>
  <c r="GE566" i="30"/>
  <c r="GF566" i="30"/>
  <c r="GG566" i="30"/>
  <c r="GH566" i="30"/>
  <c r="GI566" i="30"/>
  <c r="GJ566" i="30"/>
  <c r="GK566" i="30"/>
  <c r="GL566" i="30"/>
  <c r="GM566" i="30"/>
  <c r="GN566" i="30"/>
  <c r="GO566" i="30"/>
  <c r="GP566" i="30"/>
  <c r="GQ566" i="30"/>
  <c r="GR566" i="30"/>
  <c r="GS566" i="30"/>
  <c r="GT566" i="30"/>
  <c r="GU566" i="30"/>
  <c r="GV566" i="30"/>
  <c r="GW566" i="30"/>
  <c r="GX566" i="30"/>
  <c r="GY566" i="30"/>
  <c r="GZ566" i="30"/>
  <c r="HA566" i="30"/>
  <c r="HB566" i="30"/>
  <c r="HC566" i="30"/>
  <c r="HD566" i="30"/>
  <c r="HE566" i="30"/>
  <c r="HF566" i="30"/>
  <c r="HG566" i="30"/>
  <c r="HH566" i="30"/>
  <c r="HI566" i="30"/>
  <c r="HJ566" i="30"/>
  <c r="HK566" i="30"/>
  <c r="HL566" i="30"/>
  <c r="HM566" i="30"/>
  <c r="HN566" i="30"/>
  <c r="HO566" i="30"/>
  <c r="HP566" i="30"/>
  <c r="HQ566" i="30"/>
  <c r="HR566" i="30"/>
  <c r="HS566" i="30"/>
  <c r="HT566" i="30"/>
  <c r="HU566" i="30"/>
  <c r="HV566" i="30"/>
  <c r="HW566" i="30"/>
  <c r="HX566" i="30"/>
  <c r="HY566" i="30"/>
  <c r="HZ566" i="30"/>
  <c r="IA566" i="30"/>
  <c r="IB566" i="30"/>
  <c r="IC566" i="30"/>
  <c r="ID566" i="30"/>
  <c r="IE566" i="30"/>
  <c r="IF566" i="30"/>
  <c r="IG566" i="30"/>
  <c r="IH566" i="30"/>
  <c r="II566" i="30"/>
  <c r="IJ566" i="30"/>
  <c r="IK566" i="30"/>
  <c r="IL566" i="30"/>
  <c r="IM566" i="30"/>
  <c r="IN566" i="30"/>
  <c r="IO566" i="30"/>
  <c r="IP566" i="30"/>
  <c r="IQ566" i="30"/>
  <c r="IR566" i="30"/>
  <c r="IS566" i="30"/>
  <c r="IT566" i="30"/>
  <c r="IU566" i="30"/>
  <c r="IV566" i="30"/>
  <c r="A565" i="30"/>
  <c r="B565" i="30"/>
  <c r="C565" i="30"/>
  <c r="D565" i="30"/>
  <c r="E565" i="30"/>
  <c r="F565" i="30"/>
  <c r="G565" i="30"/>
  <c r="H565" i="30"/>
  <c r="I565" i="30"/>
  <c r="J565" i="30"/>
  <c r="K565" i="30"/>
  <c r="L565" i="30"/>
  <c r="M565" i="30"/>
  <c r="N565" i="30"/>
  <c r="O565" i="30"/>
  <c r="P565" i="30"/>
  <c r="Q565" i="30"/>
  <c r="R565" i="30"/>
  <c r="S565" i="30"/>
  <c r="T565" i="30"/>
  <c r="U565" i="30"/>
  <c r="V565" i="30"/>
  <c r="W565" i="30"/>
  <c r="X565" i="30"/>
  <c r="Y565" i="30"/>
  <c r="Z565" i="30"/>
  <c r="AA565" i="30"/>
  <c r="AB565" i="30"/>
  <c r="AC565" i="30"/>
  <c r="AD565" i="30"/>
  <c r="AE565" i="30"/>
  <c r="AF565" i="30"/>
  <c r="AG565" i="30"/>
  <c r="AH565" i="30"/>
  <c r="AI565" i="30"/>
  <c r="AJ565" i="30"/>
  <c r="AK565" i="30"/>
  <c r="AL565" i="30"/>
  <c r="AM565" i="30"/>
  <c r="AN565" i="30"/>
  <c r="AO565" i="30"/>
  <c r="AP565" i="30"/>
  <c r="AQ565" i="30"/>
  <c r="AR565" i="30"/>
  <c r="AS565" i="30"/>
  <c r="AT565" i="30"/>
  <c r="AU565" i="30"/>
  <c r="AV565" i="30"/>
  <c r="AW565" i="30"/>
  <c r="AX565" i="30"/>
  <c r="AY565" i="30"/>
  <c r="AZ565" i="30"/>
  <c r="BA565" i="30"/>
  <c r="BB565" i="30"/>
  <c r="BC565" i="30"/>
  <c r="BD565" i="30"/>
  <c r="BE565" i="30"/>
  <c r="BF565" i="30"/>
  <c r="BG565" i="30"/>
  <c r="BH565" i="30"/>
  <c r="BI565" i="30"/>
  <c r="BJ565" i="30"/>
  <c r="BK565" i="30"/>
  <c r="BL565" i="30"/>
  <c r="BM565" i="30"/>
  <c r="BN565" i="30"/>
  <c r="BO565" i="30"/>
  <c r="BP565" i="30"/>
  <c r="BQ565" i="30"/>
  <c r="BR565" i="30"/>
  <c r="BS565" i="30"/>
  <c r="BT565" i="30"/>
  <c r="BU565" i="30"/>
  <c r="BV565" i="30"/>
  <c r="BW565" i="30"/>
  <c r="BX565" i="30"/>
  <c r="BY565" i="30"/>
  <c r="BZ565" i="30"/>
  <c r="CA565" i="30"/>
  <c r="CB565" i="30"/>
  <c r="CC565" i="30"/>
  <c r="CD565" i="30"/>
  <c r="CE565" i="30"/>
  <c r="CF565" i="30"/>
  <c r="CG565" i="30"/>
  <c r="CH565" i="30"/>
  <c r="CI565" i="30"/>
  <c r="CJ565" i="30"/>
  <c r="CK565" i="30"/>
  <c r="CL565" i="30"/>
  <c r="CM565" i="30"/>
  <c r="CN565" i="30"/>
  <c r="CO565" i="30"/>
  <c r="CP565" i="30"/>
  <c r="CQ565" i="30"/>
  <c r="CR565" i="30"/>
  <c r="CS565" i="30"/>
  <c r="CT565" i="30"/>
  <c r="CU565" i="30"/>
  <c r="CV565" i="30"/>
  <c r="CW565" i="30"/>
  <c r="CX565" i="30"/>
  <c r="CY565" i="30"/>
  <c r="CZ565" i="30"/>
  <c r="DA565" i="30"/>
  <c r="DB565" i="30"/>
  <c r="DC565" i="30"/>
  <c r="DD565" i="30"/>
  <c r="DE565" i="30"/>
  <c r="DF565" i="30"/>
  <c r="DG565" i="30"/>
  <c r="DH565" i="30"/>
  <c r="DI565" i="30"/>
  <c r="DJ565" i="30"/>
  <c r="DK565" i="30"/>
  <c r="DL565" i="30"/>
  <c r="DM565" i="30"/>
  <c r="DN565" i="30"/>
  <c r="DO565" i="30"/>
  <c r="DP565" i="30"/>
  <c r="DQ565" i="30"/>
  <c r="DR565" i="30"/>
  <c r="DS565" i="30"/>
  <c r="DT565" i="30"/>
  <c r="DU565" i="30"/>
  <c r="DV565" i="30"/>
  <c r="DW565" i="30"/>
  <c r="DX565" i="30"/>
  <c r="DY565" i="30"/>
  <c r="DZ565" i="30"/>
  <c r="EA565" i="30"/>
  <c r="EB565" i="30"/>
  <c r="EC565" i="30"/>
  <c r="ED565" i="30"/>
  <c r="EE565" i="30"/>
  <c r="EF565" i="30"/>
  <c r="EG565" i="30"/>
  <c r="EH565" i="30"/>
  <c r="EI565" i="30"/>
  <c r="EJ565" i="30"/>
  <c r="EK565" i="30"/>
  <c r="EL565" i="30"/>
  <c r="EM565" i="30"/>
  <c r="EN565" i="30"/>
  <c r="EO565" i="30"/>
  <c r="EP565" i="30"/>
  <c r="EQ565" i="30"/>
  <c r="ER565" i="30"/>
  <c r="ES565" i="30"/>
  <c r="ET565" i="30"/>
  <c r="EU565" i="30"/>
  <c r="EV565" i="30"/>
  <c r="EW565" i="30"/>
  <c r="EX565" i="30"/>
  <c r="EY565" i="30"/>
  <c r="EZ565" i="30"/>
  <c r="FA565" i="30"/>
  <c r="FB565" i="30"/>
  <c r="FC565" i="30"/>
  <c r="FD565" i="30"/>
  <c r="FE565" i="30"/>
  <c r="FF565" i="30"/>
  <c r="FG565" i="30"/>
  <c r="FH565" i="30"/>
  <c r="FI565" i="30"/>
  <c r="FJ565" i="30"/>
  <c r="FK565" i="30"/>
  <c r="FL565" i="30"/>
  <c r="FM565" i="30"/>
  <c r="FN565" i="30"/>
  <c r="FO565" i="30"/>
  <c r="FP565" i="30"/>
  <c r="FQ565" i="30"/>
  <c r="FR565" i="30"/>
  <c r="FS565" i="30"/>
  <c r="FT565" i="30"/>
  <c r="FU565" i="30"/>
  <c r="FV565" i="30"/>
  <c r="FW565" i="30"/>
  <c r="FX565" i="30"/>
  <c r="FY565" i="30"/>
  <c r="FZ565" i="30"/>
  <c r="GA565" i="30"/>
  <c r="GB565" i="30"/>
  <c r="GC565" i="30"/>
  <c r="GD565" i="30"/>
  <c r="GE565" i="30"/>
  <c r="GF565" i="30"/>
  <c r="GG565" i="30"/>
  <c r="GH565" i="30"/>
  <c r="GI565" i="30"/>
  <c r="GJ565" i="30"/>
  <c r="GK565" i="30"/>
  <c r="GL565" i="30"/>
  <c r="GM565" i="30"/>
  <c r="GN565" i="30"/>
  <c r="GO565" i="30"/>
  <c r="GP565" i="30"/>
  <c r="GQ565" i="30"/>
  <c r="GR565" i="30"/>
  <c r="GS565" i="30"/>
  <c r="GT565" i="30"/>
  <c r="GU565" i="30"/>
  <c r="GV565" i="30"/>
  <c r="GW565" i="30"/>
  <c r="GX565" i="30"/>
  <c r="GY565" i="30"/>
  <c r="GZ565" i="30"/>
  <c r="HA565" i="30"/>
  <c r="HB565" i="30"/>
  <c r="HC565" i="30"/>
  <c r="HD565" i="30"/>
  <c r="HE565" i="30"/>
  <c r="HF565" i="30"/>
  <c r="HG565" i="30"/>
  <c r="HH565" i="30"/>
  <c r="HI565" i="30"/>
  <c r="HJ565" i="30"/>
  <c r="HK565" i="30"/>
  <c r="HL565" i="30"/>
  <c r="HM565" i="30"/>
  <c r="HN565" i="30"/>
  <c r="HO565" i="30"/>
  <c r="HP565" i="30"/>
  <c r="HQ565" i="30"/>
  <c r="HR565" i="30"/>
  <c r="HS565" i="30"/>
  <c r="HT565" i="30"/>
  <c r="HU565" i="30"/>
  <c r="HV565" i="30"/>
  <c r="HW565" i="30"/>
  <c r="HX565" i="30"/>
  <c r="HY565" i="30"/>
  <c r="HZ565" i="30"/>
  <c r="IA565" i="30"/>
  <c r="IB565" i="30"/>
  <c r="IC565" i="30"/>
  <c r="ID565" i="30"/>
  <c r="IE565" i="30"/>
  <c r="IF565" i="30"/>
  <c r="IG565" i="30"/>
  <c r="IH565" i="30"/>
  <c r="II565" i="30"/>
  <c r="IJ565" i="30"/>
  <c r="IK565" i="30"/>
  <c r="IL565" i="30"/>
  <c r="IM565" i="30"/>
  <c r="IN565" i="30"/>
  <c r="IO565" i="30"/>
  <c r="IP565" i="30"/>
  <c r="IQ565" i="30"/>
  <c r="IR565" i="30"/>
  <c r="IS565" i="30"/>
  <c r="IT565" i="30"/>
  <c r="IU565" i="30"/>
  <c r="IV565" i="30"/>
  <c r="A564" i="30"/>
  <c r="B564" i="30"/>
  <c r="C564" i="30"/>
  <c r="D564" i="30"/>
  <c r="E564" i="30"/>
  <c r="F564" i="30"/>
  <c r="G564" i="30"/>
  <c r="H564" i="30"/>
  <c r="I564" i="30"/>
  <c r="J564" i="30"/>
  <c r="K564" i="30"/>
  <c r="L564" i="30"/>
  <c r="M564" i="30"/>
  <c r="N564" i="30"/>
  <c r="O564" i="30"/>
  <c r="P564" i="30"/>
  <c r="Q564" i="30"/>
  <c r="R564" i="30"/>
  <c r="S564" i="30"/>
  <c r="T564" i="30"/>
  <c r="U564" i="30"/>
  <c r="V564" i="30"/>
  <c r="W564" i="30"/>
  <c r="X564" i="30"/>
  <c r="Y564" i="30"/>
  <c r="Z564" i="30"/>
  <c r="AA564" i="30"/>
  <c r="AB564" i="30"/>
  <c r="AC564" i="30"/>
  <c r="AD564" i="30"/>
  <c r="AE564" i="30"/>
  <c r="AF564" i="30"/>
  <c r="AG564" i="30"/>
  <c r="AH564" i="30"/>
  <c r="AI564" i="30"/>
  <c r="AJ564" i="30"/>
  <c r="AK564" i="30"/>
  <c r="AL564" i="30"/>
  <c r="AM564" i="30"/>
  <c r="AN564" i="30"/>
  <c r="AO564" i="30"/>
  <c r="AP564" i="30"/>
  <c r="AQ564" i="30"/>
  <c r="AR564" i="30"/>
  <c r="AS564" i="30"/>
  <c r="AT564" i="30"/>
  <c r="AU564" i="30"/>
  <c r="AV564" i="30"/>
  <c r="AW564" i="30"/>
  <c r="AX564" i="30"/>
  <c r="AY564" i="30"/>
  <c r="AZ564" i="30"/>
  <c r="BA564" i="30"/>
  <c r="BB564" i="30"/>
  <c r="BC564" i="30"/>
  <c r="BD564" i="30"/>
  <c r="BE564" i="30"/>
  <c r="BF564" i="30"/>
  <c r="BG564" i="30"/>
  <c r="BH564" i="30"/>
  <c r="BI564" i="30"/>
  <c r="BJ564" i="30"/>
  <c r="BK564" i="30"/>
  <c r="BL564" i="30"/>
  <c r="BM564" i="30"/>
  <c r="BN564" i="30"/>
  <c r="BO564" i="30"/>
  <c r="BP564" i="30"/>
  <c r="BQ564" i="30"/>
  <c r="BR564" i="30"/>
  <c r="BS564" i="30"/>
  <c r="BT564" i="30"/>
  <c r="BU564" i="30"/>
  <c r="BV564" i="30"/>
  <c r="BW564" i="30"/>
  <c r="BX564" i="30"/>
  <c r="BY564" i="30"/>
  <c r="BZ564" i="30"/>
  <c r="CA564" i="30"/>
  <c r="CB564" i="30"/>
  <c r="CC564" i="30"/>
  <c r="CD564" i="30"/>
  <c r="CE564" i="30"/>
  <c r="CF564" i="30"/>
  <c r="CG564" i="30"/>
  <c r="CH564" i="30"/>
  <c r="CI564" i="30"/>
  <c r="CJ564" i="30"/>
  <c r="CK564" i="30"/>
  <c r="CL564" i="30"/>
  <c r="CM564" i="30"/>
  <c r="CN564" i="30"/>
  <c r="CO564" i="30"/>
  <c r="CP564" i="30"/>
  <c r="CQ564" i="30"/>
  <c r="CR564" i="30"/>
  <c r="CS564" i="30"/>
  <c r="CT564" i="30"/>
  <c r="CU564" i="30"/>
  <c r="CV564" i="30"/>
  <c r="CW564" i="30"/>
  <c r="CX564" i="30"/>
  <c r="CY564" i="30"/>
  <c r="CZ564" i="30"/>
  <c r="DA564" i="30"/>
  <c r="DB564" i="30"/>
  <c r="DC564" i="30"/>
  <c r="DD564" i="30"/>
  <c r="DE564" i="30"/>
  <c r="DF564" i="30"/>
  <c r="DG564" i="30"/>
  <c r="DH564" i="30"/>
  <c r="DI564" i="30"/>
  <c r="DJ564" i="30"/>
  <c r="DK564" i="30"/>
  <c r="DL564" i="30"/>
  <c r="DM564" i="30"/>
  <c r="DN564" i="30"/>
  <c r="DO564" i="30"/>
  <c r="DP564" i="30"/>
  <c r="DQ564" i="30"/>
  <c r="DR564" i="30"/>
  <c r="DS564" i="30"/>
  <c r="DT564" i="30"/>
  <c r="DU564" i="30"/>
  <c r="DV564" i="30"/>
  <c r="DW564" i="30"/>
  <c r="DX564" i="30"/>
  <c r="DY564" i="30"/>
  <c r="DZ564" i="30"/>
  <c r="EA564" i="30"/>
  <c r="EB564" i="30"/>
  <c r="EC564" i="30"/>
  <c r="ED564" i="30"/>
  <c r="EE564" i="30"/>
  <c r="EF564" i="30"/>
  <c r="EG564" i="30"/>
  <c r="EH564" i="30"/>
  <c r="EI564" i="30"/>
  <c r="EJ564" i="30"/>
  <c r="EK564" i="30"/>
  <c r="EL564" i="30"/>
  <c r="EM564" i="30"/>
  <c r="EN564" i="30"/>
  <c r="EO564" i="30"/>
  <c r="EP564" i="30"/>
  <c r="EQ564" i="30"/>
  <c r="ER564" i="30"/>
  <c r="ES564" i="30"/>
  <c r="ET564" i="30"/>
  <c r="EU564" i="30"/>
  <c r="EV564" i="30"/>
  <c r="EW564" i="30"/>
  <c r="EX564" i="30"/>
  <c r="EY564" i="30"/>
  <c r="EZ564" i="30"/>
  <c r="FA564" i="30"/>
  <c r="FB564" i="30"/>
  <c r="FC564" i="30"/>
  <c r="FD564" i="30"/>
  <c r="FE564" i="30"/>
  <c r="FF564" i="30"/>
  <c r="FG564" i="30"/>
  <c r="FH564" i="30"/>
  <c r="FI564" i="30"/>
  <c r="FJ564" i="30"/>
  <c r="FK564" i="30"/>
  <c r="FL564" i="30"/>
  <c r="FM564" i="30"/>
  <c r="FN564" i="30"/>
  <c r="FO564" i="30"/>
  <c r="FP564" i="30"/>
  <c r="FQ564" i="30"/>
  <c r="FR564" i="30"/>
  <c r="FS564" i="30"/>
  <c r="FT564" i="30"/>
  <c r="FU564" i="30"/>
  <c r="FV564" i="30"/>
  <c r="FW564" i="30"/>
  <c r="FX564" i="30"/>
  <c r="FY564" i="30"/>
  <c r="FZ564" i="30"/>
  <c r="GA564" i="30"/>
  <c r="GB564" i="30"/>
  <c r="GC564" i="30"/>
  <c r="GD564" i="30"/>
  <c r="GE564" i="30"/>
  <c r="GF564" i="30"/>
  <c r="GG564" i="30"/>
  <c r="GH564" i="30"/>
  <c r="GI564" i="30"/>
  <c r="GJ564" i="30"/>
  <c r="GK564" i="30"/>
  <c r="GL564" i="30"/>
  <c r="GM564" i="30"/>
  <c r="GN564" i="30"/>
  <c r="GO564" i="30"/>
  <c r="GP564" i="30"/>
  <c r="GQ564" i="30"/>
  <c r="GR564" i="30"/>
  <c r="GS564" i="30"/>
  <c r="GT564" i="30"/>
  <c r="GU564" i="30"/>
  <c r="GV564" i="30"/>
  <c r="GW564" i="30"/>
  <c r="GX564" i="30"/>
  <c r="GY564" i="30"/>
  <c r="GZ564" i="30"/>
  <c r="HA564" i="30"/>
  <c r="HB564" i="30"/>
  <c r="HC564" i="30"/>
  <c r="HD564" i="30"/>
  <c r="HE564" i="30"/>
  <c r="HF564" i="30"/>
  <c r="HG564" i="30"/>
  <c r="HH564" i="30"/>
  <c r="HI564" i="30"/>
  <c r="HJ564" i="30"/>
  <c r="HK564" i="30"/>
  <c r="HL564" i="30"/>
  <c r="HM564" i="30"/>
  <c r="HN564" i="30"/>
  <c r="HO564" i="30"/>
  <c r="HP564" i="30"/>
  <c r="HQ564" i="30"/>
  <c r="HR564" i="30"/>
  <c r="HS564" i="30"/>
  <c r="HT564" i="30"/>
  <c r="HU564" i="30"/>
  <c r="HV564" i="30"/>
  <c r="HW564" i="30"/>
  <c r="HX564" i="30"/>
  <c r="HY564" i="30"/>
  <c r="HZ564" i="30"/>
  <c r="IA564" i="30"/>
  <c r="IB564" i="30"/>
  <c r="IC564" i="30"/>
  <c r="ID564" i="30"/>
  <c r="IE564" i="30"/>
  <c r="IF564" i="30"/>
  <c r="IG564" i="30"/>
  <c r="IH564" i="30"/>
  <c r="II564" i="30"/>
  <c r="IJ564" i="30"/>
  <c r="IK564" i="30"/>
  <c r="IL564" i="30"/>
  <c r="IM564" i="30"/>
  <c r="IN564" i="30"/>
  <c r="IO564" i="30"/>
  <c r="IP564" i="30"/>
  <c r="IQ564" i="30"/>
  <c r="IR564" i="30"/>
  <c r="IS564" i="30"/>
  <c r="IT564" i="30"/>
  <c r="IU564" i="30"/>
  <c r="IV564" i="30"/>
  <c r="A563" i="30"/>
  <c r="B563" i="30"/>
  <c r="C563" i="30"/>
  <c r="D563" i="30"/>
  <c r="E563" i="30"/>
  <c r="F563" i="30"/>
  <c r="G563" i="30"/>
  <c r="H563" i="30"/>
  <c r="I563" i="30"/>
  <c r="J563" i="30"/>
  <c r="K563" i="30"/>
  <c r="L563" i="30"/>
  <c r="M563" i="30"/>
  <c r="N563" i="30"/>
  <c r="O563" i="30"/>
  <c r="P563" i="30"/>
  <c r="Q563" i="30"/>
  <c r="R563" i="30"/>
  <c r="S563" i="30"/>
  <c r="T563" i="30"/>
  <c r="U563" i="30"/>
  <c r="V563" i="30"/>
  <c r="W563" i="30"/>
  <c r="X563" i="30"/>
  <c r="Y563" i="30"/>
  <c r="Z563" i="30"/>
  <c r="AA563" i="30"/>
  <c r="AB563" i="30"/>
  <c r="AC563" i="30"/>
  <c r="AD563" i="30"/>
  <c r="AE563" i="30"/>
  <c r="AF563" i="30"/>
  <c r="AG563" i="30"/>
  <c r="AH563" i="30"/>
  <c r="AI563" i="30"/>
  <c r="AJ563" i="30"/>
  <c r="AK563" i="30"/>
  <c r="AL563" i="30"/>
  <c r="AM563" i="30"/>
  <c r="AN563" i="30"/>
  <c r="AO563" i="30"/>
  <c r="AP563" i="30"/>
  <c r="AQ563" i="30"/>
  <c r="AR563" i="30"/>
  <c r="AS563" i="30"/>
  <c r="AT563" i="30"/>
  <c r="AU563" i="30"/>
  <c r="AV563" i="30"/>
  <c r="AW563" i="30"/>
  <c r="AX563" i="30"/>
  <c r="AY563" i="30"/>
  <c r="AZ563" i="30"/>
  <c r="BA563" i="30"/>
  <c r="BB563" i="30"/>
  <c r="BC563" i="30"/>
  <c r="BD563" i="30"/>
  <c r="BE563" i="30"/>
  <c r="BF563" i="30"/>
  <c r="BG563" i="30"/>
  <c r="BH563" i="30"/>
  <c r="BI563" i="30"/>
  <c r="BJ563" i="30"/>
  <c r="BK563" i="30"/>
  <c r="BL563" i="30"/>
  <c r="BM563" i="30"/>
  <c r="BN563" i="30"/>
  <c r="BO563" i="30"/>
  <c r="BP563" i="30"/>
  <c r="BQ563" i="30"/>
  <c r="BR563" i="30"/>
  <c r="BS563" i="30"/>
  <c r="BT563" i="30"/>
  <c r="BU563" i="30"/>
  <c r="BV563" i="30"/>
  <c r="BW563" i="30"/>
  <c r="BX563" i="30"/>
  <c r="BY563" i="30"/>
  <c r="BZ563" i="30"/>
  <c r="CA563" i="30"/>
  <c r="CB563" i="30"/>
  <c r="CC563" i="30"/>
  <c r="CD563" i="30"/>
  <c r="CE563" i="30"/>
  <c r="CF563" i="30"/>
  <c r="CG563" i="30"/>
  <c r="CH563" i="30"/>
  <c r="CI563" i="30"/>
  <c r="CJ563" i="30"/>
  <c r="CK563" i="30"/>
  <c r="CL563" i="30"/>
  <c r="CM563" i="30"/>
  <c r="CN563" i="30"/>
  <c r="CO563" i="30"/>
  <c r="CP563" i="30"/>
  <c r="CQ563" i="30"/>
  <c r="CR563" i="30"/>
  <c r="CS563" i="30"/>
  <c r="CT563" i="30"/>
  <c r="CU563" i="30"/>
  <c r="CV563" i="30"/>
  <c r="CW563" i="30"/>
  <c r="CX563" i="30"/>
  <c r="CY563" i="30"/>
  <c r="CZ563" i="30"/>
  <c r="DA563" i="30"/>
  <c r="DB563" i="30"/>
  <c r="DC563" i="30"/>
  <c r="DD563" i="30"/>
  <c r="DE563" i="30"/>
  <c r="DF563" i="30"/>
  <c r="DG563" i="30"/>
  <c r="DH563" i="30"/>
  <c r="DI563" i="30"/>
  <c r="DJ563" i="30"/>
  <c r="DK563" i="30"/>
  <c r="DL563" i="30"/>
  <c r="DM563" i="30"/>
  <c r="DN563" i="30"/>
  <c r="DO563" i="30"/>
  <c r="DP563" i="30"/>
  <c r="DQ563" i="30"/>
  <c r="DR563" i="30"/>
  <c r="DS563" i="30"/>
  <c r="DT563" i="30"/>
  <c r="DU563" i="30"/>
  <c r="DV563" i="30"/>
  <c r="DW563" i="30"/>
  <c r="DX563" i="30"/>
  <c r="DY563" i="30"/>
  <c r="DZ563" i="30"/>
  <c r="EA563" i="30"/>
  <c r="EB563" i="30"/>
  <c r="EC563" i="30"/>
  <c r="ED563" i="30"/>
  <c r="EE563" i="30"/>
  <c r="EF563" i="30"/>
  <c r="EG563" i="30"/>
  <c r="EH563" i="30"/>
  <c r="EI563" i="30"/>
  <c r="EJ563" i="30"/>
  <c r="EK563" i="30"/>
  <c r="EL563" i="30"/>
  <c r="EM563" i="30"/>
  <c r="EN563" i="30"/>
  <c r="EO563" i="30"/>
  <c r="EP563" i="30"/>
  <c r="EQ563" i="30"/>
  <c r="ER563" i="30"/>
  <c r="ES563" i="30"/>
  <c r="ET563" i="30"/>
  <c r="EU563" i="30"/>
  <c r="EV563" i="30"/>
  <c r="EW563" i="30"/>
  <c r="EX563" i="30"/>
  <c r="EY563" i="30"/>
  <c r="EZ563" i="30"/>
  <c r="FA563" i="30"/>
  <c r="FB563" i="30"/>
  <c r="FC563" i="30"/>
  <c r="FD563" i="30"/>
  <c r="FE563" i="30"/>
  <c r="FF563" i="30"/>
  <c r="FG563" i="30"/>
  <c r="FH563" i="30"/>
  <c r="FI563" i="30"/>
  <c r="FJ563" i="30"/>
  <c r="FK563" i="30"/>
  <c r="FL563" i="30"/>
  <c r="FM563" i="30"/>
  <c r="FN563" i="30"/>
  <c r="FO563" i="30"/>
  <c r="FP563" i="30"/>
  <c r="FQ563" i="30"/>
  <c r="FR563" i="30"/>
  <c r="FS563" i="30"/>
  <c r="FT563" i="30"/>
  <c r="FU563" i="30"/>
  <c r="FV563" i="30"/>
  <c r="FW563" i="30"/>
  <c r="FX563" i="30"/>
  <c r="FY563" i="30"/>
  <c r="FZ563" i="30"/>
  <c r="GA563" i="30"/>
  <c r="GB563" i="30"/>
  <c r="GC563" i="30"/>
  <c r="GD563" i="30"/>
  <c r="GE563" i="30"/>
  <c r="GF563" i="30"/>
  <c r="GG563" i="30"/>
  <c r="GH563" i="30"/>
  <c r="GI563" i="30"/>
  <c r="GJ563" i="30"/>
  <c r="GK563" i="30"/>
  <c r="GL563" i="30"/>
  <c r="GM563" i="30"/>
  <c r="GN563" i="30"/>
  <c r="GO563" i="30"/>
  <c r="GP563" i="30"/>
  <c r="GQ563" i="30"/>
  <c r="GR563" i="30"/>
  <c r="GS563" i="30"/>
  <c r="GT563" i="30"/>
  <c r="GU563" i="30"/>
  <c r="GV563" i="30"/>
  <c r="GW563" i="30"/>
  <c r="GX563" i="30"/>
  <c r="GY563" i="30"/>
  <c r="GZ563" i="30"/>
  <c r="HA563" i="30"/>
  <c r="HB563" i="30"/>
  <c r="HC563" i="30"/>
  <c r="HD563" i="30"/>
  <c r="HE563" i="30"/>
  <c r="HF563" i="30"/>
  <c r="HG563" i="30"/>
  <c r="HH563" i="30"/>
  <c r="HI563" i="30"/>
  <c r="HJ563" i="30"/>
  <c r="HK563" i="30"/>
  <c r="HL563" i="30"/>
  <c r="HM563" i="30"/>
  <c r="HN563" i="30"/>
  <c r="HO563" i="30"/>
  <c r="HP563" i="30"/>
  <c r="HQ563" i="30"/>
  <c r="HR563" i="30"/>
  <c r="HS563" i="30"/>
  <c r="HT563" i="30"/>
  <c r="HU563" i="30"/>
  <c r="HV563" i="30"/>
  <c r="HW563" i="30"/>
  <c r="HX563" i="30"/>
  <c r="HY563" i="30"/>
  <c r="HZ563" i="30"/>
  <c r="IA563" i="30"/>
  <c r="IB563" i="30"/>
  <c r="IC563" i="30"/>
  <c r="ID563" i="30"/>
  <c r="IE563" i="30"/>
  <c r="IF563" i="30"/>
  <c r="IG563" i="30"/>
  <c r="IH563" i="30"/>
  <c r="II563" i="30"/>
  <c r="IJ563" i="30"/>
  <c r="IK563" i="30"/>
  <c r="IL563" i="30"/>
  <c r="IM563" i="30"/>
  <c r="IN563" i="30"/>
  <c r="IO563" i="30"/>
  <c r="IP563" i="30"/>
  <c r="IQ563" i="30"/>
  <c r="IR563" i="30"/>
  <c r="IS563" i="30"/>
  <c r="IT563" i="30"/>
  <c r="IU563" i="30"/>
  <c r="IV563" i="30"/>
  <c r="A562" i="30"/>
  <c r="B562" i="30"/>
  <c r="C562" i="30"/>
  <c r="D562" i="30"/>
  <c r="E562" i="30"/>
  <c r="F562" i="30"/>
  <c r="G562" i="30"/>
  <c r="H562" i="30"/>
  <c r="I562" i="30"/>
  <c r="J562" i="30"/>
  <c r="K562" i="30"/>
  <c r="L562" i="30"/>
  <c r="M562" i="30"/>
  <c r="N562" i="30"/>
  <c r="O562" i="30"/>
  <c r="P562" i="30"/>
  <c r="Q562" i="30"/>
  <c r="R562" i="30"/>
  <c r="S562" i="30"/>
  <c r="T562" i="30"/>
  <c r="U562" i="30"/>
  <c r="V562" i="30"/>
  <c r="W562" i="30"/>
  <c r="X562" i="30"/>
  <c r="Y562" i="30"/>
  <c r="Z562" i="30"/>
  <c r="AA562" i="30"/>
  <c r="AB562" i="30"/>
  <c r="AC562" i="30"/>
  <c r="AD562" i="30"/>
  <c r="AE562" i="30"/>
  <c r="AF562" i="30"/>
  <c r="AG562" i="30"/>
  <c r="AH562" i="30"/>
  <c r="AI562" i="30"/>
  <c r="AJ562" i="30"/>
  <c r="AK562" i="30"/>
  <c r="AL562" i="30"/>
  <c r="AM562" i="30"/>
  <c r="AN562" i="30"/>
  <c r="AO562" i="30"/>
  <c r="AP562" i="30"/>
  <c r="AQ562" i="30"/>
  <c r="AR562" i="30"/>
  <c r="AS562" i="30"/>
  <c r="AT562" i="30"/>
  <c r="AU562" i="30"/>
  <c r="AV562" i="30"/>
  <c r="AW562" i="30"/>
  <c r="AX562" i="30"/>
  <c r="AY562" i="30"/>
  <c r="AZ562" i="30"/>
  <c r="BA562" i="30"/>
  <c r="BB562" i="30"/>
  <c r="BC562" i="30"/>
  <c r="BD562" i="30"/>
  <c r="BE562" i="30"/>
  <c r="BF562" i="30"/>
  <c r="BG562" i="30"/>
  <c r="BH562" i="30"/>
  <c r="BI562" i="30"/>
  <c r="BJ562" i="30"/>
  <c r="BK562" i="30"/>
  <c r="BL562" i="30"/>
  <c r="BM562" i="30"/>
  <c r="BN562" i="30"/>
  <c r="BO562" i="30"/>
  <c r="BP562" i="30"/>
  <c r="BQ562" i="30"/>
  <c r="BR562" i="30"/>
  <c r="BS562" i="30"/>
  <c r="BT562" i="30"/>
  <c r="BU562" i="30"/>
  <c r="BV562" i="30"/>
  <c r="BW562" i="30"/>
  <c r="BX562" i="30"/>
  <c r="BY562" i="30"/>
  <c r="BZ562" i="30"/>
  <c r="CA562" i="30"/>
  <c r="CB562" i="30"/>
  <c r="CC562" i="30"/>
  <c r="CD562" i="30"/>
  <c r="CE562" i="30"/>
  <c r="CF562" i="30"/>
  <c r="CG562" i="30"/>
  <c r="CH562" i="30"/>
  <c r="CI562" i="30"/>
  <c r="CJ562" i="30"/>
  <c r="CK562" i="30"/>
  <c r="CL562" i="30"/>
  <c r="CM562" i="30"/>
  <c r="CN562" i="30"/>
  <c r="CO562" i="30"/>
  <c r="CP562" i="30"/>
  <c r="CQ562" i="30"/>
  <c r="CR562" i="30"/>
  <c r="CS562" i="30"/>
  <c r="CT562" i="30"/>
  <c r="CU562" i="30"/>
  <c r="CV562" i="30"/>
  <c r="CW562" i="30"/>
  <c r="CX562" i="30"/>
  <c r="CY562" i="30"/>
  <c r="CZ562" i="30"/>
  <c r="DA562" i="30"/>
  <c r="DB562" i="30"/>
  <c r="DC562" i="30"/>
  <c r="DD562" i="30"/>
  <c r="DE562" i="30"/>
  <c r="DF562" i="30"/>
  <c r="DG562" i="30"/>
  <c r="DH562" i="30"/>
  <c r="DI562" i="30"/>
  <c r="DJ562" i="30"/>
  <c r="DK562" i="30"/>
  <c r="DL562" i="30"/>
  <c r="DM562" i="30"/>
  <c r="DN562" i="30"/>
  <c r="DO562" i="30"/>
  <c r="DP562" i="30"/>
  <c r="DQ562" i="30"/>
  <c r="DR562" i="30"/>
  <c r="DS562" i="30"/>
  <c r="DT562" i="30"/>
  <c r="DU562" i="30"/>
  <c r="DV562" i="30"/>
  <c r="DW562" i="30"/>
  <c r="DX562" i="30"/>
  <c r="DY562" i="30"/>
  <c r="DZ562" i="30"/>
  <c r="EA562" i="30"/>
  <c r="EB562" i="30"/>
  <c r="EC562" i="30"/>
  <c r="ED562" i="30"/>
  <c r="EE562" i="30"/>
  <c r="EF562" i="30"/>
  <c r="EG562" i="30"/>
  <c r="EH562" i="30"/>
  <c r="EI562" i="30"/>
  <c r="EJ562" i="30"/>
  <c r="EK562" i="30"/>
  <c r="EL562" i="30"/>
  <c r="EM562" i="30"/>
  <c r="EN562" i="30"/>
  <c r="EO562" i="30"/>
  <c r="EP562" i="30"/>
  <c r="EQ562" i="30"/>
  <c r="ER562" i="30"/>
  <c r="ES562" i="30"/>
  <c r="ET562" i="30"/>
  <c r="EU562" i="30"/>
  <c r="EV562" i="30"/>
  <c r="EW562" i="30"/>
  <c r="EX562" i="30"/>
  <c r="EY562" i="30"/>
  <c r="EZ562" i="30"/>
  <c r="FA562" i="30"/>
  <c r="FB562" i="30"/>
  <c r="FC562" i="30"/>
  <c r="FD562" i="30"/>
  <c r="FE562" i="30"/>
  <c r="FF562" i="30"/>
  <c r="FG562" i="30"/>
  <c r="FH562" i="30"/>
  <c r="FI562" i="30"/>
  <c r="FJ562" i="30"/>
  <c r="FK562" i="30"/>
  <c r="FL562" i="30"/>
  <c r="FM562" i="30"/>
  <c r="FN562" i="30"/>
  <c r="FO562" i="30"/>
  <c r="FP562" i="30"/>
  <c r="FQ562" i="30"/>
  <c r="FR562" i="30"/>
  <c r="FS562" i="30"/>
  <c r="FT562" i="30"/>
  <c r="FU562" i="30"/>
  <c r="FV562" i="30"/>
  <c r="FW562" i="30"/>
  <c r="FX562" i="30"/>
  <c r="FY562" i="30"/>
  <c r="FZ562" i="30"/>
  <c r="GA562" i="30"/>
  <c r="GB562" i="30"/>
  <c r="GC562" i="30"/>
  <c r="GD562" i="30"/>
  <c r="GE562" i="30"/>
  <c r="GF562" i="30"/>
  <c r="GG562" i="30"/>
  <c r="GH562" i="30"/>
  <c r="GI562" i="30"/>
  <c r="GJ562" i="30"/>
  <c r="GK562" i="30"/>
  <c r="GL562" i="30"/>
  <c r="GM562" i="30"/>
  <c r="GN562" i="30"/>
  <c r="GO562" i="30"/>
  <c r="GP562" i="30"/>
  <c r="GQ562" i="30"/>
  <c r="GR562" i="30"/>
  <c r="GS562" i="30"/>
  <c r="GT562" i="30"/>
  <c r="GU562" i="30"/>
  <c r="GV562" i="30"/>
  <c r="GW562" i="30"/>
  <c r="GX562" i="30"/>
  <c r="GY562" i="30"/>
  <c r="GZ562" i="30"/>
  <c r="HA562" i="30"/>
  <c r="HB562" i="30"/>
  <c r="HC562" i="30"/>
  <c r="HD562" i="30"/>
  <c r="HE562" i="30"/>
  <c r="HF562" i="30"/>
  <c r="HG562" i="30"/>
  <c r="HH562" i="30"/>
  <c r="HI562" i="30"/>
  <c r="HJ562" i="30"/>
  <c r="HK562" i="30"/>
  <c r="HL562" i="30"/>
  <c r="HM562" i="30"/>
  <c r="HN562" i="30"/>
  <c r="HO562" i="30"/>
  <c r="HP562" i="30"/>
  <c r="HQ562" i="30"/>
  <c r="HR562" i="30"/>
  <c r="HS562" i="30"/>
  <c r="HT562" i="30"/>
  <c r="HU562" i="30"/>
  <c r="HV562" i="30"/>
  <c r="HW562" i="30"/>
  <c r="HX562" i="30"/>
  <c r="HY562" i="30"/>
  <c r="HZ562" i="30"/>
  <c r="IA562" i="30"/>
  <c r="IB562" i="30"/>
  <c r="IC562" i="30"/>
  <c r="ID562" i="30"/>
  <c r="IE562" i="30"/>
  <c r="IF562" i="30"/>
  <c r="IG562" i="30"/>
  <c r="IH562" i="30"/>
  <c r="II562" i="30"/>
  <c r="IJ562" i="30"/>
  <c r="IK562" i="30"/>
  <c r="IL562" i="30"/>
  <c r="IM562" i="30"/>
  <c r="IN562" i="30"/>
  <c r="IO562" i="30"/>
  <c r="IP562" i="30"/>
  <c r="IQ562" i="30"/>
  <c r="IR562" i="30"/>
  <c r="IS562" i="30"/>
  <c r="IT562" i="30"/>
  <c r="IU562" i="30"/>
  <c r="IV562" i="30"/>
  <c r="A561" i="30"/>
  <c r="B561" i="30"/>
  <c r="C561" i="30"/>
  <c r="D561" i="30"/>
  <c r="E561" i="30"/>
  <c r="F561" i="30"/>
  <c r="G561" i="30"/>
  <c r="H561" i="30"/>
  <c r="I561" i="30"/>
  <c r="J561" i="30"/>
  <c r="K561" i="30"/>
  <c r="L561" i="30"/>
  <c r="M561" i="30"/>
  <c r="N561" i="30"/>
  <c r="O561" i="30"/>
  <c r="P561" i="30"/>
  <c r="Q561" i="30"/>
  <c r="R561" i="30"/>
  <c r="S561" i="30"/>
  <c r="T561" i="30"/>
  <c r="U561" i="30"/>
  <c r="V561" i="30"/>
  <c r="W561" i="30"/>
  <c r="X561" i="30"/>
  <c r="Y561" i="30"/>
  <c r="Z561" i="30"/>
  <c r="AA561" i="30"/>
  <c r="AB561" i="30"/>
  <c r="AC561" i="30"/>
  <c r="AD561" i="30"/>
  <c r="AE561" i="30"/>
  <c r="AF561" i="30"/>
  <c r="AG561" i="30"/>
  <c r="AH561" i="30"/>
  <c r="AI561" i="30"/>
  <c r="AJ561" i="30"/>
  <c r="AK561" i="30"/>
  <c r="AL561" i="30"/>
  <c r="AM561" i="30"/>
  <c r="AN561" i="30"/>
  <c r="AO561" i="30"/>
  <c r="AP561" i="30"/>
  <c r="AQ561" i="30"/>
  <c r="AR561" i="30"/>
  <c r="AS561" i="30"/>
  <c r="AT561" i="30"/>
  <c r="AU561" i="30"/>
  <c r="AV561" i="30"/>
  <c r="AW561" i="30"/>
  <c r="AX561" i="30"/>
  <c r="AY561" i="30"/>
  <c r="AZ561" i="30"/>
  <c r="BA561" i="30"/>
  <c r="BB561" i="30"/>
  <c r="BC561" i="30"/>
  <c r="BD561" i="30"/>
  <c r="BE561" i="30"/>
  <c r="BF561" i="30"/>
  <c r="BG561" i="30"/>
  <c r="BH561" i="30"/>
  <c r="BI561" i="30"/>
  <c r="BJ561" i="30"/>
  <c r="BK561" i="30"/>
  <c r="BL561" i="30"/>
  <c r="BM561" i="30"/>
  <c r="BN561" i="30"/>
  <c r="BO561" i="30"/>
  <c r="BP561" i="30"/>
  <c r="BQ561" i="30"/>
  <c r="BR561" i="30"/>
  <c r="BS561" i="30"/>
  <c r="BT561" i="30"/>
  <c r="BU561" i="30"/>
  <c r="BV561" i="30"/>
  <c r="BW561" i="30"/>
  <c r="BX561" i="30"/>
  <c r="BY561" i="30"/>
  <c r="BZ561" i="30"/>
  <c r="CA561" i="30"/>
  <c r="CB561" i="30"/>
  <c r="CC561" i="30"/>
  <c r="CD561" i="30"/>
  <c r="CE561" i="30"/>
  <c r="CF561" i="30"/>
  <c r="CG561" i="30"/>
  <c r="CH561" i="30"/>
  <c r="CI561" i="30"/>
  <c r="CJ561" i="30"/>
  <c r="CK561" i="30"/>
  <c r="CL561" i="30"/>
  <c r="CM561" i="30"/>
  <c r="CN561" i="30"/>
  <c r="CO561" i="30"/>
  <c r="CP561" i="30"/>
  <c r="CQ561" i="30"/>
  <c r="CR561" i="30"/>
  <c r="CS561" i="30"/>
  <c r="CT561" i="30"/>
  <c r="CU561" i="30"/>
  <c r="CV561" i="30"/>
  <c r="CW561" i="30"/>
  <c r="CX561" i="30"/>
  <c r="CY561" i="30"/>
  <c r="CZ561" i="30"/>
  <c r="DA561" i="30"/>
  <c r="DB561" i="30"/>
  <c r="DC561" i="30"/>
  <c r="DD561" i="30"/>
  <c r="DE561" i="30"/>
  <c r="DF561" i="30"/>
  <c r="DG561" i="30"/>
  <c r="DH561" i="30"/>
  <c r="DI561" i="30"/>
  <c r="DJ561" i="30"/>
  <c r="DK561" i="30"/>
  <c r="DL561" i="30"/>
  <c r="DM561" i="30"/>
  <c r="DN561" i="30"/>
  <c r="DO561" i="30"/>
  <c r="DP561" i="30"/>
  <c r="DQ561" i="30"/>
  <c r="DR561" i="30"/>
  <c r="DS561" i="30"/>
  <c r="DT561" i="30"/>
  <c r="DU561" i="30"/>
  <c r="DV561" i="30"/>
  <c r="DW561" i="30"/>
  <c r="DX561" i="30"/>
  <c r="DY561" i="30"/>
  <c r="DZ561" i="30"/>
  <c r="EA561" i="30"/>
  <c r="EB561" i="30"/>
  <c r="EC561" i="30"/>
  <c r="ED561" i="30"/>
  <c r="EE561" i="30"/>
  <c r="EF561" i="30"/>
  <c r="EG561" i="30"/>
  <c r="EH561" i="30"/>
  <c r="EI561" i="30"/>
  <c r="EJ561" i="30"/>
  <c r="EK561" i="30"/>
  <c r="EL561" i="30"/>
  <c r="EM561" i="30"/>
  <c r="EN561" i="30"/>
  <c r="EO561" i="30"/>
  <c r="EP561" i="30"/>
  <c r="EQ561" i="30"/>
  <c r="ER561" i="30"/>
  <c r="ES561" i="30"/>
  <c r="ET561" i="30"/>
  <c r="EU561" i="30"/>
  <c r="EV561" i="30"/>
  <c r="EW561" i="30"/>
  <c r="EX561" i="30"/>
  <c r="EY561" i="30"/>
  <c r="EZ561" i="30"/>
  <c r="FA561" i="30"/>
  <c r="FB561" i="30"/>
  <c r="FC561" i="30"/>
  <c r="FD561" i="30"/>
  <c r="FE561" i="30"/>
  <c r="FF561" i="30"/>
  <c r="FG561" i="30"/>
  <c r="FH561" i="30"/>
  <c r="FI561" i="30"/>
  <c r="FJ561" i="30"/>
  <c r="FK561" i="30"/>
  <c r="FL561" i="30"/>
  <c r="FM561" i="30"/>
  <c r="FN561" i="30"/>
  <c r="FO561" i="30"/>
  <c r="FP561" i="30"/>
  <c r="FQ561" i="30"/>
  <c r="FR561" i="30"/>
  <c r="FS561" i="30"/>
  <c r="FT561" i="30"/>
  <c r="FU561" i="30"/>
  <c r="FV561" i="30"/>
  <c r="FW561" i="30"/>
  <c r="FX561" i="30"/>
  <c r="FY561" i="30"/>
  <c r="FZ561" i="30"/>
  <c r="GA561" i="30"/>
  <c r="GB561" i="30"/>
  <c r="GC561" i="30"/>
  <c r="GD561" i="30"/>
  <c r="GE561" i="30"/>
  <c r="GF561" i="30"/>
  <c r="GG561" i="30"/>
  <c r="GH561" i="30"/>
  <c r="GI561" i="30"/>
  <c r="GJ561" i="30"/>
  <c r="GK561" i="30"/>
  <c r="GL561" i="30"/>
  <c r="GM561" i="30"/>
  <c r="GN561" i="30"/>
  <c r="GO561" i="30"/>
  <c r="GP561" i="30"/>
  <c r="GQ561" i="30"/>
  <c r="GR561" i="30"/>
  <c r="GS561" i="30"/>
  <c r="GT561" i="30"/>
  <c r="GU561" i="30"/>
  <c r="GV561" i="30"/>
  <c r="GW561" i="30"/>
  <c r="GX561" i="30"/>
  <c r="GY561" i="30"/>
  <c r="GZ561" i="30"/>
  <c r="HA561" i="30"/>
  <c r="HB561" i="30"/>
  <c r="HC561" i="30"/>
  <c r="HD561" i="30"/>
  <c r="HE561" i="30"/>
  <c r="HF561" i="30"/>
  <c r="HG561" i="30"/>
  <c r="HH561" i="30"/>
  <c r="HI561" i="30"/>
  <c r="HJ561" i="30"/>
  <c r="HK561" i="30"/>
  <c r="HL561" i="30"/>
  <c r="HM561" i="30"/>
  <c r="HN561" i="30"/>
  <c r="HO561" i="30"/>
  <c r="HP561" i="30"/>
  <c r="HQ561" i="30"/>
  <c r="HR561" i="30"/>
  <c r="HS561" i="30"/>
  <c r="HT561" i="30"/>
  <c r="HU561" i="30"/>
  <c r="HV561" i="30"/>
  <c r="HW561" i="30"/>
  <c r="HX561" i="30"/>
  <c r="HY561" i="30"/>
  <c r="HZ561" i="30"/>
  <c r="IA561" i="30"/>
  <c r="IB561" i="30"/>
  <c r="IC561" i="30"/>
  <c r="ID561" i="30"/>
  <c r="IE561" i="30"/>
  <c r="IF561" i="30"/>
  <c r="IG561" i="30"/>
  <c r="IH561" i="30"/>
  <c r="II561" i="30"/>
  <c r="IJ561" i="30"/>
  <c r="IK561" i="30"/>
  <c r="IL561" i="30"/>
  <c r="IM561" i="30"/>
  <c r="IN561" i="30"/>
  <c r="IO561" i="30"/>
  <c r="IP561" i="30"/>
  <c r="IQ561" i="30"/>
  <c r="IR561" i="30"/>
  <c r="IS561" i="30"/>
  <c r="IT561" i="30"/>
  <c r="IU561" i="30"/>
  <c r="IV561" i="30"/>
  <c r="A560" i="30"/>
  <c r="B560" i="30"/>
  <c r="C560" i="30"/>
  <c r="D560" i="30"/>
  <c r="E560" i="30"/>
  <c r="F560" i="30"/>
  <c r="G560" i="30"/>
  <c r="H560" i="30"/>
  <c r="I560" i="30"/>
  <c r="J560" i="30"/>
  <c r="K560" i="30"/>
  <c r="L560" i="30"/>
  <c r="M560" i="30"/>
  <c r="N560" i="30"/>
  <c r="O560" i="30"/>
  <c r="P560" i="30"/>
  <c r="Q560" i="30"/>
  <c r="R560" i="30"/>
  <c r="S560" i="30"/>
  <c r="T560" i="30"/>
  <c r="U560" i="30"/>
  <c r="V560" i="30"/>
  <c r="W560" i="30"/>
  <c r="X560" i="30"/>
  <c r="Y560" i="30"/>
  <c r="Z560" i="30"/>
  <c r="AA560" i="30"/>
  <c r="AB560" i="30"/>
  <c r="AC560" i="30"/>
  <c r="AD560" i="30"/>
  <c r="AE560" i="30"/>
  <c r="AF560" i="30"/>
  <c r="AG560" i="30"/>
  <c r="AH560" i="30"/>
  <c r="AI560" i="30"/>
  <c r="AJ560" i="30"/>
  <c r="AK560" i="30"/>
  <c r="AL560" i="30"/>
  <c r="AM560" i="30"/>
  <c r="AN560" i="30"/>
  <c r="AO560" i="30"/>
  <c r="AP560" i="30"/>
  <c r="AQ560" i="30"/>
  <c r="AR560" i="30"/>
  <c r="AS560" i="30"/>
  <c r="AT560" i="30"/>
  <c r="AU560" i="30"/>
  <c r="AV560" i="30"/>
  <c r="AW560" i="30"/>
  <c r="AX560" i="30"/>
  <c r="AY560" i="30"/>
  <c r="AZ560" i="30"/>
  <c r="BA560" i="30"/>
  <c r="BB560" i="30"/>
  <c r="BC560" i="30"/>
  <c r="BD560" i="30"/>
  <c r="BE560" i="30"/>
  <c r="BF560" i="30"/>
  <c r="BG560" i="30"/>
  <c r="BH560" i="30"/>
  <c r="BI560" i="30"/>
  <c r="BJ560" i="30"/>
  <c r="BK560" i="30"/>
  <c r="BL560" i="30"/>
  <c r="BM560" i="30"/>
  <c r="BN560" i="30"/>
  <c r="BO560" i="30"/>
  <c r="BP560" i="30"/>
  <c r="BQ560" i="30"/>
  <c r="BR560" i="30"/>
  <c r="BS560" i="30"/>
  <c r="BT560" i="30"/>
  <c r="BU560" i="30"/>
  <c r="BV560" i="30"/>
  <c r="BW560" i="30"/>
  <c r="BX560" i="30"/>
  <c r="BY560" i="30"/>
  <c r="BZ560" i="30"/>
  <c r="CA560" i="30"/>
  <c r="CB560" i="30"/>
  <c r="CC560" i="30"/>
  <c r="CD560" i="30"/>
  <c r="CE560" i="30"/>
  <c r="CF560" i="30"/>
  <c r="CG560" i="30"/>
  <c r="CH560" i="30"/>
  <c r="CI560" i="30"/>
  <c r="CJ560" i="30"/>
  <c r="CK560" i="30"/>
  <c r="CL560" i="30"/>
  <c r="CM560" i="30"/>
  <c r="CN560" i="30"/>
  <c r="CO560" i="30"/>
  <c r="CP560" i="30"/>
  <c r="CQ560" i="30"/>
  <c r="CR560" i="30"/>
  <c r="CS560" i="30"/>
  <c r="CT560" i="30"/>
  <c r="CU560" i="30"/>
  <c r="CV560" i="30"/>
  <c r="CW560" i="30"/>
  <c r="CX560" i="30"/>
  <c r="CY560" i="30"/>
  <c r="CZ560" i="30"/>
  <c r="DA560" i="30"/>
  <c r="DB560" i="30"/>
  <c r="DC560" i="30"/>
  <c r="DD560" i="30"/>
  <c r="DE560" i="30"/>
  <c r="DF560" i="30"/>
  <c r="DG560" i="30"/>
  <c r="DH560" i="30"/>
  <c r="DI560" i="30"/>
  <c r="DJ560" i="30"/>
  <c r="DK560" i="30"/>
  <c r="DL560" i="30"/>
  <c r="DM560" i="30"/>
  <c r="DN560" i="30"/>
  <c r="DO560" i="30"/>
  <c r="DP560" i="30"/>
  <c r="DQ560" i="30"/>
  <c r="DR560" i="30"/>
  <c r="DS560" i="30"/>
  <c r="DT560" i="30"/>
  <c r="DU560" i="30"/>
  <c r="DV560" i="30"/>
  <c r="DW560" i="30"/>
  <c r="DX560" i="30"/>
  <c r="DY560" i="30"/>
  <c r="DZ560" i="30"/>
  <c r="EA560" i="30"/>
  <c r="EB560" i="30"/>
  <c r="EC560" i="30"/>
  <c r="ED560" i="30"/>
  <c r="EE560" i="30"/>
  <c r="EF560" i="30"/>
  <c r="EG560" i="30"/>
  <c r="EH560" i="30"/>
  <c r="EI560" i="30"/>
  <c r="EJ560" i="30"/>
  <c r="EK560" i="30"/>
  <c r="EL560" i="30"/>
  <c r="EM560" i="30"/>
  <c r="EN560" i="30"/>
  <c r="EO560" i="30"/>
  <c r="EP560" i="30"/>
  <c r="EQ560" i="30"/>
  <c r="ER560" i="30"/>
  <c r="ES560" i="30"/>
  <c r="ET560" i="30"/>
  <c r="EU560" i="30"/>
  <c r="EV560" i="30"/>
  <c r="EW560" i="30"/>
  <c r="EX560" i="30"/>
  <c r="EY560" i="30"/>
  <c r="EZ560" i="30"/>
  <c r="FA560" i="30"/>
  <c r="FB560" i="30"/>
  <c r="FC560" i="30"/>
  <c r="FD560" i="30"/>
  <c r="FE560" i="30"/>
  <c r="FF560" i="30"/>
  <c r="FG560" i="30"/>
  <c r="FH560" i="30"/>
  <c r="FI560" i="30"/>
  <c r="FJ560" i="30"/>
  <c r="FK560" i="30"/>
  <c r="FL560" i="30"/>
  <c r="FM560" i="30"/>
  <c r="FN560" i="30"/>
  <c r="FO560" i="30"/>
  <c r="FP560" i="30"/>
  <c r="FQ560" i="30"/>
  <c r="FR560" i="30"/>
  <c r="FS560" i="30"/>
  <c r="FT560" i="30"/>
  <c r="FU560" i="30"/>
  <c r="FV560" i="30"/>
  <c r="FW560" i="30"/>
  <c r="FX560" i="30"/>
  <c r="FY560" i="30"/>
  <c r="FZ560" i="30"/>
  <c r="GA560" i="30"/>
  <c r="GB560" i="30"/>
  <c r="GC560" i="30"/>
  <c r="GD560" i="30"/>
  <c r="GE560" i="30"/>
  <c r="GF560" i="30"/>
  <c r="GG560" i="30"/>
  <c r="GH560" i="30"/>
  <c r="GI560" i="30"/>
  <c r="GJ560" i="30"/>
  <c r="GK560" i="30"/>
  <c r="GL560" i="30"/>
  <c r="GM560" i="30"/>
  <c r="GN560" i="30"/>
  <c r="GO560" i="30"/>
  <c r="GP560" i="30"/>
  <c r="GQ560" i="30"/>
  <c r="GR560" i="30"/>
  <c r="GS560" i="30"/>
  <c r="GT560" i="30"/>
  <c r="GU560" i="30"/>
  <c r="GV560" i="30"/>
  <c r="GW560" i="30"/>
  <c r="GX560" i="30"/>
  <c r="GY560" i="30"/>
  <c r="GZ560" i="30"/>
  <c r="HA560" i="30"/>
  <c r="HB560" i="30"/>
  <c r="HC560" i="30"/>
  <c r="HD560" i="30"/>
  <c r="HE560" i="30"/>
  <c r="HF560" i="30"/>
  <c r="HG560" i="30"/>
  <c r="HH560" i="30"/>
  <c r="HI560" i="30"/>
  <c r="HJ560" i="30"/>
  <c r="HK560" i="30"/>
  <c r="HL560" i="30"/>
  <c r="HM560" i="30"/>
  <c r="HN560" i="30"/>
  <c r="HO560" i="30"/>
  <c r="HP560" i="30"/>
  <c r="HQ560" i="30"/>
  <c r="HR560" i="30"/>
  <c r="HS560" i="30"/>
  <c r="HT560" i="30"/>
  <c r="HU560" i="30"/>
  <c r="HV560" i="30"/>
  <c r="HW560" i="30"/>
  <c r="HX560" i="30"/>
  <c r="HY560" i="30"/>
  <c r="HZ560" i="30"/>
  <c r="IA560" i="30"/>
  <c r="IB560" i="30"/>
  <c r="IC560" i="30"/>
  <c r="ID560" i="30"/>
  <c r="IE560" i="30"/>
  <c r="IF560" i="30"/>
  <c r="IG560" i="30"/>
  <c r="IH560" i="30"/>
  <c r="II560" i="30"/>
  <c r="IJ560" i="30"/>
  <c r="IK560" i="30"/>
  <c r="IL560" i="30"/>
  <c r="IM560" i="30"/>
  <c r="IN560" i="30"/>
  <c r="IO560" i="30"/>
  <c r="IP560" i="30"/>
  <c r="IQ560" i="30"/>
  <c r="IR560" i="30"/>
  <c r="IS560" i="30"/>
  <c r="IT560" i="30"/>
  <c r="IU560" i="30"/>
  <c r="IV560" i="30"/>
  <c r="A559" i="30"/>
  <c r="B559" i="30"/>
  <c r="C559" i="30"/>
  <c r="D559" i="30"/>
  <c r="E559" i="30"/>
  <c r="F559" i="30"/>
  <c r="G559" i="30"/>
  <c r="H559" i="30"/>
  <c r="I559" i="30"/>
  <c r="J559" i="30"/>
  <c r="K559" i="30"/>
  <c r="L559" i="30"/>
  <c r="M559" i="30"/>
  <c r="N559" i="30"/>
  <c r="O559" i="30"/>
  <c r="P559" i="30"/>
  <c r="Q559" i="30"/>
  <c r="R559" i="30"/>
  <c r="S559" i="30"/>
  <c r="T559" i="30"/>
  <c r="U559" i="30"/>
  <c r="V559" i="30"/>
  <c r="W559" i="30"/>
  <c r="X559" i="30"/>
  <c r="Y559" i="30"/>
  <c r="Z559" i="30"/>
  <c r="AA559" i="30"/>
  <c r="AB559" i="30"/>
  <c r="AC559" i="30"/>
  <c r="AD559" i="30"/>
  <c r="AE559" i="30"/>
  <c r="AF559" i="30"/>
  <c r="AG559" i="30"/>
  <c r="AH559" i="30"/>
  <c r="AI559" i="30"/>
  <c r="AJ559" i="30"/>
  <c r="AK559" i="30"/>
  <c r="AL559" i="30"/>
  <c r="AM559" i="30"/>
  <c r="AN559" i="30"/>
  <c r="AO559" i="30"/>
  <c r="AP559" i="30"/>
  <c r="AQ559" i="30"/>
  <c r="AR559" i="30"/>
  <c r="AS559" i="30"/>
  <c r="AT559" i="30"/>
  <c r="AU559" i="30"/>
  <c r="AV559" i="30"/>
  <c r="AW559" i="30"/>
  <c r="AX559" i="30"/>
  <c r="AY559" i="30"/>
  <c r="AZ559" i="30"/>
  <c r="BA559" i="30"/>
  <c r="BB559" i="30"/>
  <c r="BC559" i="30"/>
  <c r="BD559" i="30"/>
  <c r="BE559" i="30"/>
  <c r="BF559" i="30"/>
  <c r="BG559" i="30"/>
  <c r="BH559" i="30"/>
  <c r="BI559" i="30"/>
  <c r="BJ559" i="30"/>
  <c r="BK559" i="30"/>
  <c r="BL559" i="30"/>
  <c r="BM559" i="30"/>
  <c r="BN559" i="30"/>
  <c r="BO559" i="30"/>
  <c r="BP559" i="30"/>
  <c r="BQ559" i="30"/>
  <c r="BR559" i="30"/>
  <c r="BS559" i="30"/>
  <c r="BT559" i="30"/>
  <c r="BU559" i="30"/>
  <c r="BV559" i="30"/>
  <c r="BW559" i="30"/>
  <c r="BX559" i="30"/>
  <c r="BY559" i="30"/>
  <c r="BZ559" i="30"/>
  <c r="CA559" i="30"/>
  <c r="CB559" i="30"/>
  <c r="CC559" i="30"/>
  <c r="CD559" i="30"/>
  <c r="CE559" i="30"/>
  <c r="CF559" i="30"/>
  <c r="CG559" i="30"/>
  <c r="CH559" i="30"/>
  <c r="CI559" i="30"/>
  <c r="CJ559" i="30"/>
  <c r="CK559" i="30"/>
  <c r="CL559" i="30"/>
  <c r="CM559" i="30"/>
  <c r="CN559" i="30"/>
  <c r="CO559" i="30"/>
  <c r="CP559" i="30"/>
  <c r="CQ559" i="30"/>
  <c r="CR559" i="30"/>
  <c r="CS559" i="30"/>
  <c r="CT559" i="30"/>
  <c r="CU559" i="30"/>
  <c r="CV559" i="30"/>
  <c r="CW559" i="30"/>
  <c r="CX559" i="30"/>
  <c r="CY559" i="30"/>
  <c r="CZ559" i="30"/>
  <c r="DA559" i="30"/>
  <c r="DB559" i="30"/>
  <c r="DC559" i="30"/>
  <c r="DD559" i="30"/>
  <c r="DE559" i="30"/>
  <c r="DF559" i="30"/>
  <c r="DG559" i="30"/>
  <c r="DH559" i="30"/>
  <c r="DI559" i="30"/>
  <c r="DJ559" i="30"/>
  <c r="DK559" i="30"/>
  <c r="DL559" i="30"/>
  <c r="DM559" i="30"/>
  <c r="DN559" i="30"/>
  <c r="DO559" i="30"/>
  <c r="DP559" i="30"/>
  <c r="DQ559" i="30"/>
  <c r="DR559" i="30"/>
  <c r="DS559" i="30"/>
  <c r="DT559" i="30"/>
  <c r="DU559" i="30"/>
  <c r="DV559" i="30"/>
  <c r="DW559" i="30"/>
  <c r="DX559" i="30"/>
  <c r="DY559" i="30"/>
  <c r="DZ559" i="30"/>
  <c r="EA559" i="30"/>
  <c r="EB559" i="30"/>
  <c r="EC559" i="30"/>
  <c r="ED559" i="30"/>
  <c r="EE559" i="30"/>
  <c r="EF559" i="30"/>
  <c r="EG559" i="30"/>
  <c r="EH559" i="30"/>
  <c r="EI559" i="30"/>
  <c r="EJ559" i="30"/>
  <c r="EK559" i="30"/>
  <c r="EL559" i="30"/>
  <c r="EM559" i="30"/>
  <c r="EN559" i="30"/>
  <c r="EO559" i="30"/>
  <c r="EP559" i="30"/>
  <c r="EQ559" i="30"/>
  <c r="ER559" i="30"/>
  <c r="ES559" i="30"/>
  <c r="ET559" i="30"/>
  <c r="EU559" i="30"/>
  <c r="EV559" i="30"/>
  <c r="EW559" i="30"/>
  <c r="EX559" i="30"/>
  <c r="EY559" i="30"/>
  <c r="EZ559" i="30"/>
  <c r="FA559" i="30"/>
  <c r="FB559" i="30"/>
  <c r="FC559" i="30"/>
  <c r="FD559" i="30"/>
  <c r="FE559" i="30"/>
  <c r="FF559" i="30"/>
  <c r="FG559" i="30"/>
  <c r="FH559" i="30"/>
  <c r="FI559" i="30"/>
  <c r="FJ559" i="30"/>
  <c r="FK559" i="30"/>
  <c r="FL559" i="30"/>
  <c r="FM559" i="30"/>
  <c r="FN559" i="30"/>
  <c r="FO559" i="30"/>
  <c r="FP559" i="30"/>
  <c r="FQ559" i="30"/>
  <c r="FR559" i="30"/>
  <c r="FS559" i="30"/>
  <c r="FT559" i="30"/>
  <c r="FU559" i="30"/>
  <c r="FV559" i="30"/>
  <c r="FW559" i="30"/>
  <c r="FX559" i="30"/>
  <c r="FY559" i="30"/>
  <c r="FZ559" i="30"/>
  <c r="GA559" i="30"/>
  <c r="GB559" i="30"/>
  <c r="GC559" i="30"/>
  <c r="GD559" i="30"/>
  <c r="GE559" i="30"/>
  <c r="GF559" i="30"/>
  <c r="GG559" i="30"/>
  <c r="GH559" i="30"/>
  <c r="GI559" i="30"/>
  <c r="GJ559" i="30"/>
  <c r="GK559" i="30"/>
  <c r="GL559" i="30"/>
  <c r="GM559" i="30"/>
  <c r="GN559" i="30"/>
  <c r="GO559" i="30"/>
  <c r="GP559" i="30"/>
  <c r="GQ559" i="30"/>
  <c r="GR559" i="30"/>
  <c r="GS559" i="30"/>
  <c r="GT559" i="30"/>
  <c r="GU559" i="30"/>
  <c r="GV559" i="30"/>
  <c r="GW559" i="30"/>
  <c r="GX559" i="30"/>
  <c r="GY559" i="30"/>
  <c r="GZ559" i="30"/>
  <c r="HA559" i="30"/>
  <c r="HB559" i="30"/>
  <c r="HC559" i="30"/>
  <c r="HD559" i="30"/>
  <c r="HE559" i="30"/>
  <c r="HF559" i="30"/>
  <c r="HG559" i="30"/>
  <c r="HH559" i="30"/>
  <c r="HI559" i="30"/>
  <c r="HJ559" i="30"/>
  <c r="HK559" i="30"/>
  <c r="HL559" i="30"/>
  <c r="HM559" i="30"/>
  <c r="HN559" i="30"/>
  <c r="HO559" i="30"/>
  <c r="HP559" i="30"/>
  <c r="HQ559" i="30"/>
  <c r="HR559" i="30"/>
  <c r="HS559" i="30"/>
  <c r="HT559" i="30"/>
  <c r="HU559" i="30"/>
  <c r="HV559" i="30"/>
  <c r="HW559" i="30"/>
  <c r="HX559" i="30"/>
  <c r="HY559" i="30"/>
  <c r="HZ559" i="30"/>
  <c r="IA559" i="30"/>
  <c r="IB559" i="30"/>
  <c r="IC559" i="30"/>
  <c r="ID559" i="30"/>
  <c r="IE559" i="30"/>
  <c r="IF559" i="30"/>
  <c r="IG559" i="30"/>
  <c r="IH559" i="30"/>
  <c r="II559" i="30"/>
  <c r="IJ559" i="30"/>
  <c r="IK559" i="30"/>
  <c r="IL559" i="30"/>
  <c r="IM559" i="30"/>
  <c r="IN559" i="30"/>
  <c r="IO559" i="30"/>
  <c r="IP559" i="30"/>
  <c r="IQ559" i="30"/>
  <c r="IR559" i="30"/>
  <c r="IS559" i="30"/>
  <c r="IT559" i="30"/>
  <c r="IU559" i="30"/>
  <c r="IV559" i="30"/>
  <c r="A558" i="30"/>
  <c r="B558" i="30"/>
  <c r="C558" i="30"/>
  <c r="D558" i="30"/>
  <c r="E558" i="30"/>
  <c r="F558" i="30"/>
  <c r="G558" i="30"/>
  <c r="H558" i="30"/>
  <c r="I558" i="30"/>
  <c r="J558" i="30"/>
  <c r="K558" i="30"/>
  <c r="L558" i="30"/>
  <c r="M558" i="30"/>
  <c r="N558" i="30"/>
  <c r="O558" i="30"/>
  <c r="P558" i="30"/>
  <c r="Q558" i="30"/>
  <c r="R558" i="30"/>
  <c r="S558" i="30"/>
  <c r="T558" i="30"/>
  <c r="U558" i="30"/>
  <c r="V558" i="30"/>
  <c r="W558" i="30"/>
  <c r="X558" i="30"/>
  <c r="Y558" i="30"/>
  <c r="Z558" i="30"/>
  <c r="AA558" i="30"/>
  <c r="AB558" i="30"/>
  <c r="AC558" i="30"/>
  <c r="AD558" i="30"/>
  <c r="AE558" i="30"/>
  <c r="AF558" i="30"/>
  <c r="AG558" i="30"/>
  <c r="AH558" i="30"/>
  <c r="AI558" i="30"/>
  <c r="AJ558" i="30"/>
  <c r="AK558" i="30"/>
  <c r="AL558" i="30"/>
  <c r="AM558" i="30"/>
  <c r="AN558" i="30"/>
  <c r="AO558" i="30"/>
  <c r="AP558" i="30"/>
  <c r="AQ558" i="30"/>
  <c r="AR558" i="30"/>
  <c r="AS558" i="30"/>
  <c r="AT558" i="30"/>
  <c r="AU558" i="30"/>
  <c r="AV558" i="30"/>
  <c r="AW558" i="30"/>
  <c r="AX558" i="30"/>
  <c r="AY558" i="30"/>
  <c r="AZ558" i="30"/>
  <c r="BA558" i="30"/>
  <c r="BB558" i="30"/>
  <c r="BC558" i="30"/>
  <c r="BD558" i="30"/>
  <c r="BE558" i="30"/>
  <c r="BF558" i="30"/>
  <c r="BG558" i="30"/>
  <c r="BH558" i="30"/>
  <c r="BI558" i="30"/>
  <c r="BJ558" i="30"/>
  <c r="BK558" i="30"/>
  <c r="BL558" i="30"/>
  <c r="BM558" i="30"/>
  <c r="BN558" i="30"/>
  <c r="BO558" i="30"/>
  <c r="BP558" i="30"/>
  <c r="BQ558" i="30"/>
  <c r="BR558" i="30"/>
  <c r="BS558" i="30"/>
  <c r="BT558" i="30"/>
  <c r="BU558" i="30"/>
  <c r="BV558" i="30"/>
  <c r="BW558" i="30"/>
  <c r="BX558" i="30"/>
  <c r="BY558" i="30"/>
  <c r="BZ558" i="30"/>
  <c r="CA558" i="30"/>
  <c r="CB558" i="30"/>
  <c r="CC558" i="30"/>
  <c r="CD558" i="30"/>
  <c r="CE558" i="30"/>
  <c r="CF558" i="30"/>
  <c r="CG558" i="30"/>
  <c r="CH558" i="30"/>
  <c r="CI558" i="30"/>
  <c r="CJ558" i="30"/>
  <c r="CK558" i="30"/>
  <c r="CL558" i="30"/>
  <c r="CM558" i="30"/>
  <c r="CN558" i="30"/>
  <c r="CO558" i="30"/>
  <c r="CP558" i="30"/>
  <c r="CQ558" i="30"/>
  <c r="CR558" i="30"/>
  <c r="CS558" i="30"/>
  <c r="CT558" i="30"/>
  <c r="CU558" i="30"/>
  <c r="CV558" i="30"/>
  <c r="CW558" i="30"/>
  <c r="CX558" i="30"/>
  <c r="CY558" i="30"/>
  <c r="CZ558" i="30"/>
  <c r="DA558" i="30"/>
  <c r="DB558" i="30"/>
  <c r="DC558" i="30"/>
  <c r="DD558" i="30"/>
  <c r="DE558" i="30"/>
  <c r="DF558" i="30"/>
  <c r="DG558" i="30"/>
  <c r="DH558" i="30"/>
  <c r="DI558" i="30"/>
  <c r="DJ558" i="30"/>
  <c r="DK558" i="30"/>
  <c r="DL558" i="30"/>
  <c r="DM558" i="30"/>
  <c r="DN558" i="30"/>
  <c r="DO558" i="30"/>
  <c r="DP558" i="30"/>
  <c r="DQ558" i="30"/>
  <c r="DR558" i="30"/>
  <c r="DS558" i="30"/>
  <c r="DT558" i="30"/>
  <c r="DU558" i="30"/>
  <c r="DV558" i="30"/>
  <c r="DW558" i="30"/>
  <c r="DX558" i="30"/>
  <c r="DY558" i="30"/>
  <c r="DZ558" i="30"/>
  <c r="EA558" i="30"/>
  <c r="EB558" i="30"/>
  <c r="EC558" i="30"/>
  <c r="ED558" i="30"/>
  <c r="EE558" i="30"/>
  <c r="EF558" i="30"/>
  <c r="EG558" i="30"/>
  <c r="EH558" i="30"/>
  <c r="EI558" i="30"/>
  <c r="EJ558" i="30"/>
  <c r="EK558" i="30"/>
  <c r="EL558" i="30"/>
  <c r="EM558" i="30"/>
  <c r="EN558" i="30"/>
  <c r="EO558" i="30"/>
  <c r="EP558" i="30"/>
  <c r="EQ558" i="30"/>
  <c r="ER558" i="30"/>
  <c r="ES558" i="30"/>
  <c r="ET558" i="30"/>
  <c r="EU558" i="30"/>
  <c r="EV558" i="30"/>
  <c r="EW558" i="30"/>
  <c r="EX558" i="30"/>
  <c r="EY558" i="30"/>
  <c r="EZ558" i="30"/>
  <c r="FA558" i="30"/>
  <c r="FB558" i="30"/>
  <c r="FC558" i="30"/>
  <c r="FD558" i="30"/>
  <c r="FE558" i="30"/>
  <c r="FF558" i="30"/>
  <c r="FG558" i="30"/>
  <c r="FH558" i="30"/>
  <c r="FI558" i="30"/>
  <c r="FJ558" i="30"/>
  <c r="FK558" i="30"/>
  <c r="FL558" i="30"/>
  <c r="FM558" i="30"/>
  <c r="FN558" i="30"/>
  <c r="FO558" i="30"/>
  <c r="FP558" i="30"/>
  <c r="FQ558" i="30"/>
  <c r="FR558" i="30"/>
  <c r="FS558" i="30"/>
  <c r="FT558" i="30"/>
  <c r="FU558" i="30"/>
  <c r="FV558" i="30"/>
  <c r="FW558" i="30"/>
  <c r="FX558" i="30"/>
  <c r="FY558" i="30"/>
  <c r="FZ558" i="30"/>
  <c r="GA558" i="30"/>
  <c r="GB558" i="30"/>
  <c r="GC558" i="30"/>
  <c r="GD558" i="30"/>
  <c r="GE558" i="30"/>
  <c r="GF558" i="30"/>
  <c r="GG558" i="30"/>
  <c r="GH558" i="30"/>
  <c r="GI558" i="30"/>
  <c r="GJ558" i="30"/>
  <c r="GK558" i="30"/>
  <c r="GL558" i="30"/>
  <c r="GM558" i="30"/>
  <c r="GN558" i="30"/>
  <c r="GO558" i="30"/>
  <c r="GP558" i="30"/>
  <c r="GQ558" i="30"/>
  <c r="GR558" i="30"/>
  <c r="GS558" i="30"/>
  <c r="GT558" i="30"/>
  <c r="GU558" i="30"/>
  <c r="GV558" i="30"/>
  <c r="GW558" i="30"/>
  <c r="GX558" i="30"/>
  <c r="GY558" i="30"/>
  <c r="GZ558" i="30"/>
  <c r="HA558" i="30"/>
  <c r="HB558" i="30"/>
  <c r="HC558" i="30"/>
  <c r="HD558" i="30"/>
  <c r="HE558" i="30"/>
  <c r="HF558" i="30"/>
  <c r="HG558" i="30"/>
  <c r="HH558" i="30"/>
  <c r="HI558" i="30"/>
  <c r="HJ558" i="30"/>
  <c r="HK558" i="30"/>
  <c r="HL558" i="30"/>
  <c r="HM558" i="30"/>
  <c r="HN558" i="30"/>
  <c r="HO558" i="30"/>
  <c r="HP558" i="30"/>
  <c r="HQ558" i="30"/>
  <c r="HR558" i="30"/>
  <c r="HS558" i="30"/>
  <c r="HT558" i="30"/>
  <c r="HU558" i="30"/>
  <c r="HV558" i="30"/>
  <c r="HW558" i="30"/>
  <c r="HX558" i="30"/>
  <c r="HY558" i="30"/>
  <c r="HZ558" i="30"/>
  <c r="IA558" i="30"/>
  <c r="IB558" i="30"/>
  <c r="IC558" i="30"/>
  <c r="ID558" i="30"/>
  <c r="IE558" i="30"/>
  <c r="IF558" i="30"/>
  <c r="IG558" i="30"/>
  <c r="IH558" i="30"/>
  <c r="II558" i="30"/>
  <c r="IJ558" i="30"/>
  <c r="IK558" i="30"/>
  <c r="IL558" i="30"/>
  <c r="IM558" i="30"/>
  <c r="IN558" i="30"/>
  <c r="IO558" i="30"/>
  <c r="IP558" i="30"/>
  <c r="IQ558" i="30"/>
  <c r="IR558" i="30"/>
  <c r="IS558" i="30"/>
  <c r="IT558" i="30"/>
  <c r="IU558" i="30"/>
  <c r="IV558" i="30"/>
  <c r="A557" i="30"/>
  <c r="B557" i="30"/>
  <c r="C557" i="30"/>
  <c r="D557" i="30"/>
  <c r="E557" i="30"/>
  <c r="F557" i="30"/>
  <c r="G557" i="30"/>
  <c r="H557" i="30"/>
  <c r="I557" i="30"/>
  <c r="J557" i="30"/>
  <c r="K557" i="30"/>
  <c r="L557" i="30"/>
  <c r="M557" i="30"/>
  <c r="N557" i="30"/>
  <c r="O557" i="30"/>
  <c r="P557" i="30"/>
  <c r="Q557" i="30"/>
  <c r="R557" i="30"/>
  <c r="S557" i="30"/>
  <c r="T557" i="30"/>
  <c r="U557" i="30"/>
  <c r="V557" i="30"/>
  <c r="W557" i="30"/>
  <c r="X557" i="30"/>
  <c r="Y557" i="30"/>
  <c r="Z557" i="30"/>
  <c r="AA557" i="30"/>
  <c r="AB557" i="30"/>
  <c r="AC557" i="30"/>
  <c r="AD557" i="30"/>
  <c r="AE557" i="30"/>
  <c r="AF557" i="30"/>
  <c r="AG557" i="30"/>
  <c r="AH557" i="30"/>
  <c r="AI557" i="30"/>
  <c r="AJ557" i="30"/>
  <c r="AK557" i="30"/>
  <c r="AL557" i="30"/>
  <c r="AM557" i="30"/>
  <c r="AN557" i="30"/>
  <c r="AO557" i="30"/>
  <c r="AP557" i="30"/>
  <c r="AQ557" i="30"/>
  <c r="AR557" i="30"/>
  <c r="AS557" i="30"/>
  <c r="AT557" i="30"/>
  <c r="AU557" i="30"/>
  <c r="AV557" i="30"/>
  <c r="AW557" i="30"/>
  <c r="AX557" i="30"/>
  <c r="AY557" i="30"/>
  <c r="AZ557" i="30"/>
  <c r="BA557" i="30"/>
  <c r="BB557" i="30"/>
  <c r="BC557" i="30"/>
  <c r="BD557" i="30"/>
  <c r="BE557" i="30"/>
  <c r="BF557" i="30"/>
  <c r="BG557" i="30"/>
  <c r="BH557" i="30"/>
  <c r="BI557" i="30"/>
  <c r="BJ557" i="30"/>
  <c r="BK557" i="30"/>
  <c r="BL557" i="30"/>
  <c r="BM557" i="30"/>
  <c r="BN557" i="30"/>
  <c r="BO557" i="30"/>
  <c r="BP557" i="30"/>
  <c r="BQ557" i="30"/>
  <c r="BR557" i="30"/>
  <c r="BS557" i="30"/>
  <c r="BT557" i="30"/>
  <c r="BU557" i="30"/>
  <c r="BV557" i="30"/>
  <c r="BW557" i="30"/>
  <c r="BX557" i="30"/>
  <c r="BY557" i="30"/>
  <c r="BZ557" i="30"/>
  <c r="CA557" i="30"/>
  <c r="CB557" i="30"/>
  <c r="CC557" i="30"/>
  <c r="CD557" i="30"/>
  <c r="CE557" i="30"/>
  <c r="CF557" i="30"/>
  <c r="CG557" i="30"/>
  <c r="CH557" i="30"/>
  <c r="CI557" i="30"/>
  <c r="CJ557" i="30"/>
  <c r="CK557" i="30"/>
  <c r="CL557" i="30"/>
  <c r="CM557" i="30"/>
  <c r="CN557" i="30"/>
  <c r="CO557" i="30"/>
  <c r="CP557" i="30"/>
  <c r="CQ557" i="30"/>
  <c r="CR557" i="30"/>
  <c r="CS557" i="30"/>
  <c r="CT557" i="30"/>
  <c r="CU557" i="30"/>
  <c r="CV557" i="30"/>
  <c r="CW557" i="30"/>
  <c r="CX557" i="30"/>
  <c r="CY557" i="30"/>
  <c r="CZ557" i="30"/>
  <c r="DA557" i="30"/>
  <c r="DB557" i="30"/>
  <c r="DC557" i="30"/>
  <c r="DD557" i="30"/>
  <c r="DE557" i="30"/>
  <c r="DF557" i="30"/>
  <c r="DG557" i="30"/>
  <c r="DH557" i="30"/>
  <c r="DI557" i="30"/>
  <c r="DJ557" i="30"/>
  <c r="DK557" i="30"/>
  <c r="DL557" i="30"/>
  <c r="DM557" i="30"/>
  <c r="DN557" i="30"/>
  <c r="DO557" i="30"/>
  <c r="DP557" i="30"/>
  <c r="DQ557" i="30"/>
  <c r="DR557" i="30"/>
  <c r="DS557" i="30"/>
  <c r="DT557" i="30"/>
  <c r="DU557" i="30"/>
  <c r="DV557" i="30"/>
  <c r="DW557" i="30"/>
  <c r="DX557" i="30"/>
  <c r="DY557" i="30"/>
  <c r="DZ557" i="30"/>
  <c r="EA557" i="30"/>
  <c r="EB557" i="30"/>
  <c r="EC557" i="30"/>
  <c r="ED557" i="30"/>
  <c r="EE557" i="30"/>
  <c r="EF557" i="30"/>
  <c r="EG557" i="30"/>
  <c r="EH557" i="30"/>
  <c r="EI557" i="30"/>
  <c r="EJ557" i="30"/>
  <c r="EK557" i="30"/>
  <c r="EL557" i="30"/>
  <c r="EM557" i="30"/>
  <c r="EN557" i="30"/>
  <c r="EO557" i="30"/>
  <c r="EP557" i="30"/>
  <c r="EQ557" i="30"/>
  <c r="ER557" i="30"/>
  <c r="ES557" i="30"/>
  <c r="ET557" i="30"/>
  <c r="EU557" i="30"/>
  <c r="EV557" i="30"/>
  <c r="EW557" i="30"/>
  <c r="EX557" i="30"/>
  <c r="EY557" i="30"/>
  <c r="EZ557" i="30"/>
  <c r="FA557" i="30"/>
  <c r="FB557" i="30"/>
  <c r="FC557" i="30"/>
  <c r="FD557" i="30"/>
  <c r="FE557" i="30"/>
  <c r="FF557" i="30"/>
  <c r="FG557" i="30"/>
  <c r="FH557" i="30"/>
  <c r="FI557" i="30"/>
  <c r="FJ557" i="30"/>
  <c r="FK557" i="30"/>
  <c r="FL557" i="30"/>
  <c r="FM557" i="30"/>
  <c r="FN557" i="30"/>
  <c r="FO557" i="30"/>
  <c r="FP557" i="30"/>
  <c r="FQ557" i="30"/>
  <c r="FR557" i="30"/>
  <c r="FS557" i="30"/>
  <c r="FT557" i="30"/>
  <c r="FU557" i="30"/>
  <c r="FV557" i="30"/>
  <c r="FW557" i="30"/>
  <c r="FX557" i="30"/>
  <c r="FY557" i="30"/>
  <c r="FZ557" i="30"/>
  <c r="GA557" i="30"/>
  <c r="GB557" i="30"/>
  <c r="GC557" i="30"/>
  <c r="GD557" i="30"/>
  <c r="GE557" i="30"/>
  <c r="GF557" i="30"/>
  <c r="GG557" i="30"/>
  <c r="GH557" i="30"/>
  <c r="GI557" i="30"/>
  <c r="GJ557" i="30"/>
  <c r="GK557" i="30"/>
  <c r="GL557" i="30"/>
  <c r="GM557" i="30"/>
  <c r="GN557" i="30"/>
  <c r="GO557" i="30"/>
  <c r="GP557" i="30"/>
  <c r="GQ557" i="30"/>
  <c r="GR557" i="30"/>
  <c r="GS557" i="30"/>
  <c r="GT557" i="30"/>
  <c r="GU557" i="30"/>
  <c r="GV557" i="30"/>
  <c r="GW557" i="30"/>
  <c r="GX557" i="30"/>
  <c r="GY557" i="30"/>
  <c r="GZ557" i="30"/>
  <c r="HA557" i="30"/>
  <c r="HB557" i="30"/>
  <c r="HC557" i="30"/>
  <c r="HD557" i="30"/>
  <c r="HE557" i="30"/>
  <c r="HF557" i="30"/>
  <c r="HG557" i="30"/>
  <c r="HH557" i="30"/>
  <c r="HI557" i="30"/>
  <c r="HJ557" i="30"/>
  <c r="HK557" i="30"/>
  <c r="HL557" i="30"/>
  <c r="HM557" i="30"/>
  <c r="HN557" i="30"/>
  <c r="HO557" i="30"/>
  <c r="HP557" i="30"/>
  <c r="HQ557" i="30"/>
  <c r="HR557" i="30"/>
  <c r="HS557" i="30"/>
  <c r="HT557" i="30"/>
  <c r="HU557" i="30"/>
  <c r="HV557" i="30"/>
  <c r="HW557" i="30"/>
  <c r="HX557" i="30"/>
  <c r="HY557" i="30"/>
  <c r="HZ557" i="30"/>
  <c r="IA557" i="30"/>
  <c r="IB557" i="30"/>
  <c r="IC557" i="30"/>
  <c r="ID557" i="30"/>
  <c r="IE557" i="30"/>
  <c r="IF557" i="30"/>
  <c r="IG557" i="30"/>
  <c r="IH557" i="30"/>
  <c r="II557" i="30"/>
  <c r="IJ557" i="30"/>
  <c r="IK557" i="30"/>
  <c r="IL557" i="30"/>
  <c r="IM557" i="30"/>
  <c r="IN557" i="30"/>
  <c r="IO557" i="30"/>
  <c r="IP557" i="30"/>
  <c r="IQ557" i="30"/>
  <c r="IR557" i="30"/>
  <c r="IS557" i="30"/>
  <c r="IT557" i="30"/>
  <c r="IU557" i="30"/>
  <c r="IV557" i="30"/>
  <c r="A556" i="30"/>
  <c r="B556" i="30"/>
  <c r="C556" i="30"/>
  <c r="D556" i="30"/>
  <c r="E556" i="30"/>
  <c r="F556" i="30"/>
  <c r="G556" i="30"/>
  <c r="H556" i="30"/>
  <c r="I556" i="30"/>
  <c r="J556" i="30"/>
  <c r="K556" i="30"/>
  <c r="L556" i="30"/>
  <c r="M556" i="30"/>
  <c r="N556" i="30"/>
  <c r="O556" i="30"/>
  <c r="P556" i="30"/>
  <c r="Q556" i="30"/>
  <c r="R556" i="30"/>
  <c r="S556" i="30"/>
  <c r="T556" i="30"/>
  <c r="U556" i="30"/>
  <c r="V556" i="30"/>
  <c r="W556" i="30"/>
  <c r="X556" i="30"/>
  <c r="Y556" i="30"/>
  <c r="Z556" i="30"/>
  <c r="AA556" i="30"/>
  <c r="AB556" i="30"/>
  <c r="AC556" i="30"/>
  <c r="AD556" i="30"/>
  <c r="AE556" i="30"/>
  <c r="AF556" i="30"/>
  <c r="AG556" i="30"/>
  <c r="AH556" i="30"/>
  <c r="AI556" i="30"/>
  <c r="AJ556" i="30"/>
  <c r="AK556" i="30"/>
  <c r="AL556" i="30"/>
  <c r="AM556" i="30"/>
  <c r="AN556" i="30"/>
  <c r="AO556" i="30"/>
  <c r="AP556" i="30"/>
  <c r="AQ556" i="30"/>
  <c r="AR556" i="30"/>
  <c r="AS556" i="30"/>
  <c r="AT556" i="30"/>
  <c r="AU556" i="30"/>
  <c r="AV556" i="30"/>
  <c r="AW556" i="30"/>
  <c r="AX556" i="30"/>
  <c r="AY556" i="30"/>
  <c r="AZ556" i="30"/>
  <c r="BA556" i="30"/>
  <c r="BB556" i="30"/>
  <c r="BC556" i="30"/>
  <c r="BD556" i="30"/>
  <c r="BE556" i="30"/>
  <c r="BF556" i="30"/>
  <c r="BG556" i="30"/>
  <c r="BH556" i="30"/>
  <c r="BI556" i="30"/>
  <c r="BJ556" i="30"/>
  <c r="BK556" i="30"/>
  <c r="BL556" i="30"/>
  <c r="BM556" i="30"/>
  <c r="BN556" i="30"/>
  <c r="BO556" i="30"/>
  <c r="BP556" i="30"/>
  <c r="BQ556" i="30"/>
  <c r="BR556" i="30"/>
  <c r="BS556" i="30"/>
  <c r="BT556" i="30"/>
  <c r="BU556" i="30"/>
  <c r="BV556" i="30"/>
  <c r="BW556" i="30"/>
  <c r="BX556" i="30"/>
  <c r="BY556" i="30"/>
  <c r="BZ556" i="30"/>
  <c r="CA556" i="30"/>
  <c r="CB556" i="30"/>
  <c r="CC556" i="30"/>
  <c r="CD556" i="30"/>
  <c r="CE556" i="30"/>
  <c r="CF556" i="30"/>
  <c r="CG556" i="30"/>
  <c r="CH556" i="30"/>
  <c r="CI556" i="30"/>
  <c r="CJ556" i="30"/>
  <c r="CK556" i="30"/>
  <c r="CL556" i="30"/>
  <c r="CM556" i="30"/>
  <c r="CN556" i="30"/>
  <c r="CO556" i="30"/>
  <c r="CP556" i="30"/>
  <c r="CQ556" i="30"/>
  <c r="CR556" i="30"/>
  <c r="CS556" i="30"/>
  <c r="CT556" i="30"/>
  <c r="CU556" i="30"/>
  <c r="CV556" i="30"/>
  <c r="CW556" i="30"/>
  <c r="CX556" i="30"/>
  <c r="CY556" i="30"/>
  <c r="CZ556" i="30"/>
  <c r="DA556" i="30"/>
  <c r="DB556" i="30"/>
  <c r="DC556" i="30"/>
  <c r="DD556" i="30"/>
  <c r="DE556" i="30"/>
  <c r="DF556" i="30"/>
  <c r="DG556" i="30"/>
  <c r="DH556" i="30"/>
  <c r="DI556" i="30"/>
  <c r="DJ556" i="30"/>
  <c r="DK556" i="30"/>
  <c r="DL556" i="30"/>
  <c r="DM556" i="30"/>
  <c r="DN556" i="30"/>
  <c r="DO556" i="30"/>
  <c r="DP556" i="30"/>
  <c r="DQ556" i="30"/>
  <c r="DR556" i="30"/>
  <c r="DS556" i="30"/>
  <c r="DT556" i="30"/>
  <c r="DU556" i="30"/>
  <c r="DV556" i="30"/>
  <c r="DW556" i="30"/>
  <c r="DX556" i="30"/>
  <c r="DY556" i="30"/>
  <c r="DZ556" i="30"/>
  <c r="EA556" i="30"/>
  <c r="EB556" i="30"/>
  <c r="EC556" i="30"/>
  <c r="ED556" i="30"/>
  <c r="EE556" i="30"/>
  <c r="EF556" i="30"/>
  <c r="EG556" i="30"/>
  <c r="EH556" i="30"/>
  <c r="EI556" i="30"/>
  <c r="EJ556" i="30"/>
  <c r="EK556" i="30"/>
  <c r="EL556" i="30"/>
  <c r="EM556" i="30"/>
  <c r="EN556" i="30"/>
  <c r="EO556" i="30"/>
  <c r="EP556" i="30"/>
  <c r="EQ556" i="30"/>
  <c r="ER556" i="30"/>
  <c r="ES556" i="30"/>
  <c r="ET556" i="30"/>
  <c r="EU556" i="30"/>
  <c r="EV556" i="30"/>
  <c r="EW556" i="30"/>
  <c r="EX556" i="30"/>
  <c r="EY556" i="30"/>
  <c r="EZ556" i="30"/>
  <c r="FA556" i="30"/>
  <c r="FB556" i="30"/>
  <c r="FC556" i="30"/>
  <c r="FD556" i="30"/>
  <c r="FE556" i="30"/>
  <c r="FF556" i="30"/>
  <c r="FG556" i="30"/>
  <c r="FH556" i="30"/>
  <c r="FI556" i="30"/>
  <c r="FJ556" i="30"/>
  <c r="FK556" i="30"/>
  <c r="FL556" i="30"/>
  <c r="FM556" i="30"/>
  <c r="FN556" i="30"/>
  <c r="FO556" i="30"/>
  <c r="FP556" i="30"/>
  <c r="FQ556" i="30"/>
  <c r="FR556" i="30"/>
  <c r="FS556" i="30"/>
  <c r="FT556" i="30"/>
  <c r="FU556" i="30"/>
  <c r="FV556" i="30"/>
  <c r="FW556" i="30"/>
  <c r="FX556" i="30"/>
  <c r="FY556" i="30"/>
  <c r="FZ556" i="30"/>
  <c r="GA556" i="30"/>
  <c r="GB556" i="30"/>
  <c r="GC556" i="30"/>
  <c r="GD556" i="30"/>
  <c r="GE556" i="30"/>
  <c r="GF556" i="30"/>
  <c r="GG556" i="30"/>
  <c r="GH556" i="30"/>
  <c r="GI556" i="30"/>
  <c r="GJ556" i="30"/>
  <c r="GK556" i="30"/>
  <c r="GL556" i="30"/>
  <c r="GM556" i="30"/>
  <c r="GN556" i="30"/>
  <c r="GO556" i="30"/>
  <c r="GP556" i="30"/>
  <c r="GQ556" i="30"/>
  <c r="GR556" i="30"/>
  <c r="GS556" i="30"/>
  <c r="GT556" i="30"/>
  <c r="GU556" i="30"/>
  <c r="GV556" i="30"/>
  <c r="GW556" i="30"/>
  <c r="GX556" i="30"/>
  <c r="GY556" i="30"/>
  <c r="GZ556" i="30"/>
  <c r="HA556" i="30"/>
  <c r="HB556" i="30"/>
  <c r="HC556" i="30"/>
  <c r="HD556" i="30"/>
  <c r="HE556" i="30"/>
  <c r="HF556" i="30"/>
  <c r="HG556" i="30"/>
  <c r="HH556" i="30"/>
  <c r="HI556" i="30"/>
  <c r="HJ556" i="30"/>
  <c r="HK556" i="30"/>
  <c r="HL556" i="30"/>
  <c r="HM556" i="30"/>
  <c r="HN556" i="30"/>
  <c r="HO556" i="30"/>
  <c r="HP556" i="30"/>
  <c r="HQ556" i="30"/>
  <c r="HR556" i="30"/>
  <c r="HS556" i="30"/>
  <c r="HT556" i="30"/>
  <c r="HU556" i="30"/>
  <c r="HV556" i="30"/>
  <c r="HW556" i="30"/>
  <c r="HX556" i="30"/>
  <c r="HY556" i="30"/>
  <c r="HZ556" i="30"/>
  <c r="IA556" i="30"/>
  <c r="IB556" i="30"/>
  <c r="IC556" i="30"/>
  <c r="ID556" i="30"/>
  <c r="IE556" i="30"/>
  <c r="IF556" i="30"/>
  <c r="IG556" i="30"/>
  <c r="IH556" i="30"/>
  <c r="II556" i="30"/>
  <c r="IJ556" i="30"/>
  <c r="IK556" i="30"/>
  <c r="IL556" i="30"/>
  <c r="IM556" i="30"/>
  <c r="IN556" i="30"/>
  <c r="IO556" i="30"/>
  <c r="IP556" i="30"/>
  <c r="IQ556" i="30"/>
  <c r="IR556" i="30"/>
  <c r="IS556" i="30"/>
  <c r="IT556" i="30"/>
  <c r="IU556" i="30"/>
  <c r="IV556" i="30"/>
  <c r="A555" i="30"/>
  <c r="B555" i="30"/>
  <c r="C555" i="30"/>
  <c r="D555" i="30"/>
  <c r="E555" i="30"/>
  <c r="F555" i="30"/>
  <c r="G555" i="30"/>
  <c r="H555" i="30"/>
  <c r="I555" i="30"/>
  <c r="J555" i="30"/>
  <c r="K555" i="30"/>
  <c r="L555" i="30"/>
  <c r="M555" i="30"/>
  <c r="N555" i="30"/>
  <c r="O555" i="30"/>
  <c r="P555" i="30"/>
  <c r="Q555" i="30"/>
  <c r="R555" i="30"/>
  <c r="S555" i="30"/>
  <c r="T555" i="30"/>
  <c r="U555" i="30"/>
  <c r="V555" i="30"/>
  <c r="W555" i="30"/>
  <c r="X555" i="30"/>
  <c r="Y555" i="30"/>
  <c r="Z555" i="30"/>
  <c r="AA555" i="30"/>
  <c r="AB555" i="30"/>
  <c r="AC555" i="30"/>
  <c r="AD555" i="30"/>
  <c r="AE555" i="30"/>
  <c r="AF555" i="30"/>
  <c r="AG555" i="30"/>
  <c r="AH555" i="30"/>
  <c r="AI555" i="30"/>
  <c r="AJ555" i="30"/>
  <c r="AK555" i="30"/>
  <c r="AL555" i="30"/>
  <c r="AM555" i="30"/>
  <c r="AN555" i="30"/>
  <c r="AO555" i="30"/>
  <c r="AP555" i="30"/>
  <c r="AQ555" i="30"/>
  <c r="AR555" i="30"/>
  <c r="AS555" i="30"/>
  <c r="AT555" i="30"/>
  <c r="AU555" i="30"/>
  <c r="AV555" i="30"/>
  <c r="AW555" i="30"/>
  <c r="AX555" i="30"/>
  <c r="AY555" i="30"/>
  <c r="AZ555" i="30"/>
  <c r="BA555" i="30"/>
  <c r="BB555" i="30"/>
  <c r="BC555" i="30"/>
  <c r="BD555" i="30"/>
  <c r="BE555" i="30"/>
  <c r="BF555" i="30"/>
  <c r="BG555" i="30"/>
  <c r="BH555" i="30"/>
  <c r="BI555" i="30"/>
  <c r="BJ555" i="30"/>
  <c r="BK555" i="30"/>
  <c r="BL555" i="30"/>
  <c r="BM555" i="30"/>
  <c r="BN555" i="30"/>
  <c r="BO555" i="30"/>
  <c r="BP555" i="30"/>
  <c r="BQ555" i="30"/>
  <c r="BR555" i="30"/>
  <c r="BS555" i="30"/>
  <c r="BT555" i="30"/>
  <c r="BU555" i="30"/>
  <c r="BV555" i="30"/>
  <c r="BW555" i="30"/>
  <c r="BX555" i="30"/>
  <c r="BY555" i="30"/>
  <c r="BZ555" i="30"/>
  <c r="CA555" i="30"/>
  <c r="CB555" i="30"/>
  <c r="CC555" i="30"/>
  <c r="CD555" i="30"/>
  <c r="CE555" i="30"/>
  <c r="CF555" i="30"/>
  <c r="CG555" i="30"/>
  <c r="CH555" i="30"/>
  <c r="CI555" i="30"/>
  <c r="CJ555" i="30"/>
  <c r="CK555" i="30"/>
  <c r="CL555" i="30"/>
  <c r="CM555" i="30"/>
  <c r="CN555" i="30"/>
  <c r="CO555" i="30"/>
  <c r="CP555" i="30"/>
  <c r="CQ555" i="30"/>
  <c r="CR555" i="30"/>
  <c r="CS555" i="30"/>
  <c r="CT555" i="30"/>
  <c r="CU555" i="30"/>
  <c r="CV555" i="30"/>
  <c r="CW555" i="30"/>
  <c r="CX555" i="30"/>
  <c r="CY555" i="30"/>
  <c r="CZ555" i="30"/>
  <c r="DA555" i="30"/>
  <c r="DB555" i="30"/>
  <c r="DC555" i="30"/>
  <c r="DD555" i="30"/>
  <c r="DE555" i="30"/>
  <c r="DF555" i="30"/>
  <c r="DG555" i="30"/>
  <c r="DH555" i="30"/>
  <c r="DI555" i="30"/>
  <c r="DJ555" i="30"/>
  <c r="DK555" i="30"/>
  <c r="DL555" i="30"/>
  <c r="DM555" i="30"/>
  <c r="DN555" i="30"/>
  <c r="DO555" i="30"/>
  <c r="DP555" i="30"/>
  <c r="DQ555" i="30"/>
  <c r="DR555" i="30"/>
  <c r="DS555" i="30"/>
  <c r="DT555" i="30"/>
  <c r="DU555" i="30"/>
  <c r="DV555" i="30"/>
  <c r="DW555" i="30"/>
  <c r="DX555" i="30"/>
  <c r="DY555" i="30"/>
  <c r="DZ555" i="30"/>
  <c r="EA555" i="30"/>
  <c r="EB555" i="30"/>
  <c r="EC555" i="30"/>
  <c r="ED555" i="30"/>
  <c r="EE555" i="30"/>
  <c r="EF555" i="30"/>
  <c r="EG555" i="30"/>
  <c r="EH555" i="30"/>
  <c r="EI555" i="30"/>
  <c r="EJ555" i="30"/>
  <c r="EK555" i="30"/>
  <c r="EL555" i="30"/>
  <c r="EM555" i="30"/>
  <c r="EN555" i="30"/>
  <c r="EO555" i="30"/>
  <c r="EP555" i="30"/>
  <c r="EQ555" i="30"/>
  <c r="ER555" i="30"/>
  <c r="ES555" i="30"/>
  <c r="ET555" i="30"/>
  <c r="EU555" i="30"/>
  <c r="EV555" i="30"/>
  <c r="EW555" i="30"/>
  <c r="EX555" i="30"/>
  <c r="EY555" i="30"/>
  <c r="EZ555" i="30"/>
  <c r="FA555" i="30"/>
  <c r="FB555" i="30"/>
  <c r="FC555" i="30"/>
  <c r="FD555" i="30"/>
  <c r="FE555" i="30"/>
  <c r="FF555" i="30"/>
  <c r="FG555" i="30"/>
  <c r="FH555" i="30"/>
  <c r="FI555" i="30"/>
  <c r="FJ555" i="30"/>
  <c r="FK555" i="30"/>
  <c r="FL555" i="30"/>
  <c r="FM555" i="30"/>
  <c r="FN555" i="30"/>
  <c r="FO555" i="30"/>
  <c r="FP555" i="30"/>
  <c r="FQ555" i="30"/>
  <c r="FR555" i="30"/>
  <c r="FS555" i="30"/>
  <c r="FT555" i="30"/>
  <c r="FU555" i="30"/>
  <c r="FV555" i="30"/>
  <c r="FW555" i="30"/>
  <c r="FX555" i="30"/>
  <c r="FY555" i="30"/>
  <c r="FZ555" i="30"/>
  <c r="GA555" i="30"/>
  <c r="GB555" i="30"/>
  <c r="GC555" i="30"/>
  <c r="GD555" i="30"/>
  <c r="GE555" i="30"/>
  <c r="GF555" i="30"/>
  <c r="GG555" i="30"/>
  <c r="GH555" i="30"/>
  <c r="GI555" i="30"/>
  <c r="GJ555" i="30"/>
  <c r="GK555" i="30"/>
  <c r="GL555" i="30"/>
  <c r="GM555" i="30"/>
  <c r="GN555" i="30"/>
  <c r="GO555" i="30"/>
  <c r="GP555" i="30"/>
  <c r="GQ555" i="30"/>
  <c r="GR555" i="30"/>
  <c r="GS555" i="30"/>
  <c r="GT555" i="30"/>
  <c r="GU555" i="30"/>
  <c r="GV555" i="30"/>
  <c r="GW555" i="30"/>
  <c r="GX555" i="30"/>
  <c r="GY555" i="30"/>
  <c r="GZ555" i="30"/>
  <c r="HA555" i="30"/>
  <c r="HB555" i="30"/>
  <c r="HC555" i="30"/>
  <c r="HD555" i="30"/>
  <c r="HE555" i="30"/>
  <c r="HF555" i="30"/>
  <c r="HG555" i="30"/>
  <c r="HH555" i="30"/>
  <c r="HI555" i="30"/>
  <c r="HJ555" i="30"/>
  <c r="HK555" i="30"/>
  <c r="HL555" i="30"/>
  <c r="HM555" i="30"/>
  <c r="HN555" i="30"/>
  <c r="HO555" i="30"/>
  <c r="HP555" i="30"/>
  <c r="HQ555" i="30"/>
  <c r="HR555" i="30"/>
  <c r="HS555" i="30"/>
  <c r="HT555" i="30"/>
  <c r="HU555" i="30"/>
  <c r="HV555" i="30"/>
  <c r="HW555" i="30"/>
  <c r="HX555" i="30"/>
  <c r="HY555" i="30"/>
  <c r="HZ555" i="30"/>
  <c r="IA555" i="30"/>
  <c r="IB555" i="30"/>
  <c r="IC555" i="30"/>
  <c r="ID555" i="30"/>
  <c r="IE555" i="30"/>
  <c r="IF555" i="30"/>
  <c r="IG555" i="30"/>
  <c r="IH555" i="30"/>
  <c r="II555" i="30"/>
  <c r="IJ555" i="30"/>
  <c r="IK555" i="30"/>
  <c r="IL555" i="30"/>
  <c r="IM555" i="30"/>
  <c r="IN555" i="30"/>
  <c r="IO555" i="30"/>
  <c r="IP555" i="30"/>
  <c r="IQ555" i="30"/>
  <c r="IR555" i="30"/>
  <c r="IS555" i="30"/>
  <c r="IT555" i="30"/>
  <c r="IU555" i="30"/>
  <c r="IV555" i="30"/>
  <c r="A554" i="30"/>
  <c r="B554" i="30"/>
  <c r="C554" i="30"/>
  <c r="D554" i="30"/>
  <c r="E554" i="30"/>
  <c r="F554" i="30"/>
  <c r="G554" i="30"/>
  <c r="H554" i="30"/>
  <c r="I554" i="30"/>
  <c r="J554" i="30"/>
  <c r="K554" i="30"/>
  <c r="L554" i="30"/>
  <c r="M554" i="30"/>
  <c r="N554" i="30"/>
  <c r="O554" i="30"/>
  <c r="P554" i="30"/>
  <c r="Q554" i="30"/>
  <c r="R554" i="30"/>
  <c r="S554" i="30"/>
  <c r="T554" i="30"/>
  <c r="U554" i="30"/>
  <c r="V554" i="30"/>
  <c r="W554" i="30"/>
  <c r="X554" i="30"/>
  <c r="Y554" i="30"/>
  <c r="Z554" i="30"/>
  <c r="AA554" i="30"/>
  <c r="AB554" i="30"/>
  <c r="AC554" i="30"/>
  <c r="AD554" i="30"/>
  <c r="AE554" i="30"/>
  <c r="AF554" i="30"/>
  <c r="AG554" i="30"/>
  <c r="AH554" i="30"/>
  <c r="AI554" i="30"/>
  <c r="AJ554" i="30"/>
  <c r="AK554" i="30"/>
  <c r="AL554" i="30"/>
  <c r="AM554" i="30"/>
  <c r="AN554" i="30"/>
  <c r="AO554" i="30"/>
  <c r="AP554" i="30"/>
  <c r="AQ554" i="30"/>
  <c r="AR554" i="30"/>
  <c r="AS554" i="30"/>
  <c r="AT554" i="30"/>
  <c r="AU554" i="30"/>
  <c r="AV554" i="30"/>
  <c r="AW554" i="30"/>
  <c r="AX554" i="30"/>
  <c r="AY554" i="30"/>
  <c r="AZ554" i="30"/>
  <c r="BA554" i="30"/>
  <c r="BB554" i="30"/>
  <c r="BC554" i="30"/>
  <c r="BD554" i="30"/>
  <c r="BE554" i="30"/>
  <c r="BF554" i="30"/>
  <c r="BG554" i="30"/>
  <c r="BH554" i="30"/>
  <c r="BI554" i="30"/>
  <c r="BJ554" i="30"/>
  <c r="BK554" i="30"/>
  <c r="BL554" i="30"/>
  <c r="BM554" i="30"/>
  <c r="BN554" i="30"/>
  <c r="BO554" i="30"/>
  <c r="BP554" i="30"/>
  <c r="BQ554" i="30"/>
  <c r="BR554" i="30"/>
  <c r="BS554" i="30"/>
  <c r="BT554" i="30"/>
  <c r="BU554" i="30"/>
  <c r="BV554" i="30"/>
  <c r="BW554" i="30"/>
  <c r="BX554" i="30"/>
  <c r="BY554" i="30"/>
  <c r="BZ554" i="30"/>
  <c r="CA554" i="30"/>
  <c r="CB554" i="30"/>
  <c r="CC554" i="30"/>
  <c r="CD554" i="30"/>
  <c r="CE554" i="30"/>
  <c r="CF554" i="30"/>
  <c r="CG554" i="30"/>
  <c r="CH554" i="30"/>
  <c r="CI554" i="30"/>
  <c r="CJ554" i="30"/>
  <c r="CK554" i="30"/>
  <c r="CL554" i="30"/>
  <c r="CM554" i="30"/>
  <c r="CN554" i="30"/>
  <c r="CO554" i="30"/>
  <c r="CP554" i="30"/>
  <c r="CQ554" i="30"/>
  <c r="CR554" i="30"/>
  <c r="CS554" i="30"/>
  <c r="CT554" i="30"/>
  <c r="CU554" i="30"/>
  <c r="CV554" i="30"/>
  <c r="CW554" i="30"/>
  <c r="CX554" i="30"/>
  <c r="CY554" i="30"/>
  <c r="CZ554" i="30"/>
  <c r="DA554" i="30"/>
  <c r="DB554" i="30"/>
  <c r="DC554" i="30"/>
  <c r="DD554" i="30"/>
  <c r="DE554" i="30"/>
  <c r="DF554" i="30"/>
  <c r="DG554" i="30"/>
  <c r="DH554" i="30"/>
  <c r="DI554" i="30"/>
  <c r="DJ554" i="30"/>
  <c r="DK554" i="30"/>
  <c r="DL554" i="30"/>
  <c r="DM554" i="30"/>
  <c r="DN554" i="30"/>
  <c r="DO554" i="30"/>
  <c r="DP554" i="30"/>
  <c r="DQ554" i="30"/>
  <c r="DR554" i="30"/>
  <c r="DS554" i="30"/>
  <c r="DT554" i="30"/>
  <c r="DU554" i="30"/>
  <c r="DV554" i="30"/>
  <c r="DW554" i="30"/>
  <c r="DX554" i="30"/>
  <c r="DY554" i="30"/>
  <c r="DZ554" i="30"/>
  <c r="EA554" i="30"/>
  <c r="EB554" i="30"/>
  <c r="EC554" i="30"/>
  <c r="ED554" i="30"/>
  <c r="EE554" i="30"/>
  <c r="EF554" i="30"/>
  <c r="EG554" i="30"/>
  <c r="EH554" i="30"/>
  <c r="EI554" i="30"/>
  <c r="EJ554" i="30"/>
  <c r="EK554" i="30"/>
  <c r="EL554" i="30"/>
  <c r="EM554" i="30"/>
  <c r="EN554" i="30"/>
  <c r="EO554" i="30"/>
  <c r="EP554" i="30"/>
  <c r="EQ554" i="30"/>
  <c r="ER554" i="30"/>
  <c r="ES554" i="30"/>
  <c r="ET554" i="30"/>
  <c r="EU554" i="30"/>
  <c r="EV554" i="30"/>
  <c r="EW554" i="30"/>
  <c r="EX554" i="30"/>
  <c r="EY554" i="30"/>
  <c r="EZ554" i="30"/>
  <c r="FA554" i="30"/>
  <c r="FB554" i="30"/>
  <c r="FC554" i="30"/>
  <c r="FD554" i="30"/>
  <c r="FE554" i="30"/>
  <c r="FF554" i="30"/>
  <c r="FG554" i="30"/>
  <c r="FH554" i="30"/>
  <c r="FI554" i="30"/>
  <c r="FJ554" i="30"/>
  <c r="FK554" i="30"/>
  <c r="FL554" i="30"/>
  <c r="FM554" i="30"/>
  <c r="FN554" i="30"/>
  <c r="FO554" i="30"/>
  <c r="FP554" i="30"/>
  <c r="FQ554" i="30"/>
  <c r="FR554" i="30"/>
  <c r="FS554" i="30"/>
  <c r="FT554" i="30"/>
  <c r="FU554" i="30"/>
  <c r="FV554" i="30"/>
  <c r="FW554" i="30"/>
  <c r="FX554" i="30"/>
  <c r="FY554" i="30"/>
  <c r="FZ554" i="30"/>
  <c r="GA554" i="30"/>
  <c r="GB554" i="30"/>
  <c r="GC554" i="30"/>
  <c r="GD554" i="30"/>
  <c r="GE554" i="30"/>
  <c r="GF554" i="30"/>
  <c r="GG554" i="30"/>
  <c r="GH554" i="30"/>
  <c r="GI554" i="30"/>
  <c r="GJ554" i="30"/>
  <c r="GK554" i="30"/>
  <c r="GL554" i="30"/>
  <c r="GM554" i="30"/>
  <c r="GN554" i="30"/>
  <c r="GO554" i="30"/>
  <c r="GP554" i="30"/>
  <c r="GQ554" i="30"/>
  <c r="GR554" i="30"/>
  <c r="GS554" i="30"/>
  <c r="GT554" i="30"/>
  <c r="GU554" i="30"/>
  <c r="GV554" i="30"/>
  <c r="GW554" i="30"/>
  <c r="GX554" i="30"/>
  <c r="GY554" i="30"/>
  <c r="GZ554" i="30"/>
  <c r="HA554" i="30"/>
  <c r="HB554" i="30"/>
  <c r="HC554" i="30"/>
  <c r="HD554" i="30"/>
  <c r="HE554" i="30"/>
  <c r="HF554" i="30"/>
  <c r="HG554" i="30"/>
  <c r="HH554" i="30"/>
  <c r="HI554" i="30"/>
  <c r="HJ554" i="30"/>
  <c r="HK554" i="30"/>
  <c r="HL554" i="30"/>
  <c r="HM554" i="30"/>
  <c r="HN554" i="30"/>
  <c r="HO554" i="30"/>
  <c r="HP554" i="30"/>
  <c r="HQ554" i="30"/>
  <c r="HR554" i="30"/>
  <c r="HS554" i="30"/>
  <c r="HT554" i="30"/>
  <c r="HU554" i="30"/>
  <c r="HV554" i="30"/>
  <c r="HW554" i="30"/>
  <c r="HX554" i="30"/>
  <c r="HY554" i="30"/>
  <c r="HZ554" i="30"/>
  <c r="IA554" i="30"/>
  <c r="IB554" i="30"/>
  <c r="IC554" i="30"/>
  <c r="ID554" i="30"/>
  <c r="IE554" i="30"/>
  <c r="IF554" i="30"/>
  <c r="IG554" i="30"/>
  <c r="IH554" i="30"/>
  <c r="II554" i="30"/>
  <c r="IJ554" i="30"/>
  <c r="IK554" i="30"/>
  <c r="IL554" i="30"/>
  <c r="IM554" i="30"/>
  <c r="IN554" i="30"/>
  <c r="IO554" i="30"/>
  <c r="IP554" i="30"/>
  <c r="IQ554" i="30"/>
  <c r="IR554" i="30"/>
  <c r="IS554" i="30"/>
  <c r="IT554" i="30"/>
  <c r="IU554" i="30"/>
  <c r="IV554" i="30"/>
  <c r="A553" i="30"/>
  <c r="B553" i="30"/>
  <c r="C553" i="30"/>
  <c r="D553" i="30"/>
  <c r="E553" i="30"/>
  <c r="F553" i="30"/>
  <c r="G553" i="30"/>
  <c r="H553" i="30"/>
  <c r="I553" i="30"/>
  <c r="J553" i="30"/>
  <c r="K553" i="30"/>
  <c r="L553" i="30"/>
  <c r="M553" i="30"/>
  <c r="N553" i="30"/>
  <c r="O553" i="30"/>
  <c r="P553" i="30"/>
  <c r="Q553" i="30"/>
  <c r="R553" i="30"/>
  <c r="S553" i="30"/>
  <c r="T553" i="30"/>
  <c r="U553" i="30"/>
  <c r="V553" i="30"/>
  <c r="W553" i="30"/>
  <c r="X553" i="30"/>
  <c r="Y553" i="30"/>
  <c r="Z553" i="30"/>
  <c r="AA553" i="30"/>
  <c r="AB553" i="30"/>
  <c r="AC553" i="30"/>
  <c r="AD553" i="30"/>
  <c r="AE553" i="30"/>
  <c r="AF553" i="30"/>
  <c r="AG553" i="30"/>
  <c r="AH553" i="30"/>
  <c r="AI553" i="30"/>
  <c r="AJ553" i="30"/>
  <c r="AK553" i="30"/>
  <c r="AL553" i="30"/>
  <c r="AM553" i="30"/>
  <c r="AN553" i="30"/>
  <c r="AO553" i="30"/>
  <c r="AP553" i="30"/>
  <c r="AQ553" i="30"/>
  <c r="AR553" i="30"/>
  <c r="AS553" i="30"/>
  <c r="AT553" i="30"/>
  <c r="AU553" i="30"/>
  <c r="AV553" i="30"/>
  <c r="AW553" i="30"/>
  <c r="AX553" i="30"/>
  <c r="AY553" i="30"/>
  <c r="AZ553" i="30"/>
  <c r="BA553" i="30"/>
  <c r="BB553" i="30"/>
  <c r="BC553" i="30"/>
  <c r="BD553" i="30"/>
  <c r="BE553" i="30"/>
  <c r="BF553" i="30"/>
  <c r="BG553" i="30"/>
  <c r="BH553" i="30"/>
  <c r="BI553" i="30"/>
  <c r="BJ553" i="30"/>
  <c r="BK553" i="30"/>
  <c r="BL553" i="30"/>
  <c r="BM553" i="30"/>
  <c r="BN553" i="30"/>
  <c r="BO553" i="30"/>
  <c r="BP553" i="30"/>
  <c r="BQ553" i="30"/>
  <c r="BR553" i="30"/>
  <c r="BS553" i="30"/>
  <c r="BT553" i="30"/>
  <c r="BU553" i="30"/>
  <c r="BV553" i="30"/>
  <c r="BW553" i="30"/>
  <c r="BX553" i="30"/>
  <c r="BY553" i="30"/>
  <c r="BZ553" i="30"/>
  <c r="CA553" i="30"/>
  <c r="CB553" i="30"/>
  <c r="CC553" i="30"/>
  <c r="CD553" i="30"/>
  <c r="CE553" i="30"/>
  <c r="CF553" i="30"/>
  <c r="CG553" i="30"/>
  <c r="CH553" i="30"/>
  <c r="CI553" i="30"/>
  <c r="CJ553" i="30"/>
  <c r="CK553" i="30"/>
  <c r="CL553" i="30"/>
  <c r="CM553" i="30"/>
  <c r="CN553" i="30"/>
  <c r="CO553" i="30"/>
  <c r="CP553" i="30"/>
  <c r="CQ553" i="30"/>
  <c r="CR553" i="30"/>
  <c r="CS553" i="30"/>
  <c r="CT553" i="30"/>
  <c r="CU553" i="30"/>
  <c r="CV553" i="30"/>
  <c r="CW553" i="30"/>
  <c r="CX553" i="30"/>
  <c r="CY553" i="30"/>
  <c r="CZ553" i="30"/>
  <c r="DA553" i="30"/>
  <c r="DB553" i="30"/>
  <c r="DC553" i="30"/>
  <c r="DD553" i="30"/>
  <c r="DE553" i="30"/>
  <c r="DF553" i="30"/>
  <c r="DG553" i="30"/>
  <c r="DH553" i="30"/>
  <c r="DI553" i="30"/>
  <c r="DJ553" i="30"/>
  <c r="DK553" i="30"/>
  <c r="DL553" i="30"/>
  <c r="DM553" i="30"/>
  <c r="DN553" i="30"/>
  <c r="DO553" i="30"/>
  <c r="DP553" i="30"/>
  <c r="DQ553" i="30"/>
  <c r="DR553" i="30"/>
  <c r="DS553" i="30"/>
  <c r="DT553" i="30"/>
  <c r="DU553" i="30"/>
  <c r="DV553" i="30"/>
  <c r="DW553" i="30"/>
  <c r="DX553" i="30"/>
  <c r="DY553" i="30"/>
  <c r="DZ553" i="30"/>
  <c r="EA553" i="30"/>
  <c r="EB553" i="30"/>
  <c r="EC553" i="30"/>
  <c r="ED553" i="30"/>
  <c r="EE553" i="30"/>
  <c r="EF553" i="30"/>
  <c r="EG553" i="30"/>
  <c r="EH553" i="30"/>
  <c r="EI553" i="30"/>
  <c r="EJ553" i="30"/>
  <c r="EK553" i="30"/>
  <c r="EL553" i="30"/>
  <c r="EM553" i="30"/>
  <c r="EN553" i="30"/>
  <c r="EO553" i="30"/>
  <c r="EP553" i="30"/>
  <c r="EQ553" i="30"/>
  <c r="ER553" i="30"/>
  <c r="ES553" i="30"/>
  <c r="ET553" i="30"/>
  <c r="EU553" i="30"/>
  <c r="EV553" i="30"/>
  <c r="EW553" i="30"/>
  <c r="EX553" i="30"/>
  <c r="EY553" i="30"/>
  <c r="EZ553" i="30"/>
  <c r="FA553" i="30"/>
  <c r="FB553" i="30"/>
  <c r="FC553" i="30"/>
  <c r="FD553" i="30"/>
  <c r="FE553" i="30"/>
  <c r="FF553" i="30"/>
  <c r="FG553" i="30"/>
  <c r="FH553" i="30"/>
  <c r="FI553" i="30"/>
  <c r="FJ553" i="30"/>
  <c r="FK553" i="30"/>
  <c r="FL553" i="30"/>
  <c r="FM553" i="30"/>
  <c r="FN553" i="30"/>
  <c r="FO553" i="30"/>
  <c r="FP553" i="30"/>
  <c r="FQ553" i="30"/>
  <c r="FR553" i="30"/>
  <c r="FS553" i="30"/>
  <c r="FT553" i="30"/>
  <c r="FU553" i="30"/>
  <c r="FV553" i="30"/>
  <c r="FW553" i="30"/>
  <c r="FX553" i="30"/>
  <c r="FY553" i="30"/>
  <c r="FZ553" i="30"/>
  <c r="GA553" i="30"/>
  <c r="GB553" i="30"/>
  <c r="GC553" i="30"/>
  <c r="GD553" i="30"/>
  <c r="GE553" i="30"/>
  <c r="GF553" i="30"/>
  <c r="GG553" i="30"/>
  <c r="GH553" i="30"/>
  <c r="GI553" i="30"/>
  <c r="GJ553" i="30"/>
  <c r="GK553" i="30"/>
  <c r="GL553" i="30"/>
  <c r="GM553" i="30"/>
  <c r="GN553" i="30"/>
  <c r="GO553" i="30"/>
  <c r="GP553" i="30"/>
  <c r="GQ553" i="30"/>
  <c r="GR553" i="30"/>
  <c r="GS553" i="30"/>
  <c r="GT553" i="30"/>
  <c r="GU553" i="30"/>
  <c r="GV553" i="30"/>
  <c r="GW553" i="30"/>
  <c r="GX553" i="30"/>
  <c r="GY553" i="30"/>
  <c r="GZ553" i="30"/>
  <c r="HA553" i="30"/>
  <c r="HB553" i="30"/>
  <c r="HC553" i="30"/>
  <c r="HD553" i="30"/>
  <c r="HE553" i="30"/>
  <c r="HF553" i="30"/>
  <c r="HG553" i="30"/>
  <c r="HH553" i="30"/>
  <c r="HI553" i="30"/>
  <c r="HJ553" i="30"/>
  <c r="HK553" i="30"/>
  <c r="HL553" i="30"/>
  <c r="HM553" i="30"/>
  <c r="HN553" i="30"/>
  <c r="HO553" i="30"/>
  <c r="HP553" i="30"/>
  <c r="HQ553" i="30"/>
  <c r="HR553" i="30"/>
  <c r="HS553" i="30"/>
  <c r="HT553" i="30"/>
  <c r="HU553" i="30"/>
  <c r="HV553" i="30"/>
  <c r="HW553" i="30"/>
  <c r="HX553" i="30"/>
  <c r="HY553" i="30"/>
  <c r="HZ553" i="30"/>
  <c r="IA553" i="30"/>
  <c r="IB553" i="30"/>
  <c r="IC553" i="30"/>
  <c r="ID553" i="30"/>
  <c r="IE553" i="30"/>
  <c r="IF553" i="30"/>
  <c r="IG553" i="30"/>
  <c r="IH553" i="30"/>
  <c r="II553" i="30"/>
  <c r="IJ553" i="30"/>
  <c r="IK553" i="30"/>
  <c r="IL553" i="30"/>
  <c r="IM553" i="30"/>
  <c r="IN553" i="30"/>
  <c r="IO553" i="30"/>
  <c r="IP553" i="30"/>
  <c r="IQ553" i="30"/>
  <c r="IR553" i="30"/>
  <c r="IS553" i="30"/>
  <c r="IT553" i="30"/>
  <c r="IU553" i="30"/>
  <c r="IV553" i="30"/>
  <c r="A552" i="30"/>
  <c r="B552" i="30"/>
  <c r="C552" i="30"/>
  <c r="D552" i="30"/>
  <c r="E552" i="30"/>
  <c r="F552" i="30"/>
  <c r="G552" i="30"/>
  <c r="H552" i="30"/>
  <c r="I552" i="30"/>
  <c r="J552" i="30"/>
  <c r="K552" i="30"/>
  <c r="L552" i="30"/>
  <c r="M552" i="30"/>
  <c r="N552" i="30"/>
  <c r="O552" i="30"/>
  <c r="P552" i="30"/>
  <c r="Q552" i="30"/>
  <c r="R552" i="30"/>
  <c r="S552" i="30"/>
  <c r="T552" i="30"/>
  <c r="U552" i="30"/>
  <c r="V552" i="30"/>
  <c r="W552" i="30"/>
  <c r="X552" i="30"/>
  <c r="Y552" i="30"/>
  <c r="Z552" i="30"/>
  <c r="AA552" i="30"/>
  <c r="AB552" i="30"/>
  <c r="AC552" i="30"/>
  <c r="AD552" i="30"/>
  <c r="AE552" i="30"/>
  <c r="AF552" i="30"/>
  <c r="AG552" i="30"/>
  <c r="AH552" i="30"/>
  <c r="AI552" i="30"/>
  <c r="AJ552" i="30"/>
  <c r="AK552" i="30"/>
  <c r="AL552" i="30"/>
  <c r="AM552" i="30"/>
  <c r="AN552" i="30"/>
  <c r="AO552" i="30"/>
  <c r="AP552" i="30"/>
  <c r="AQ552" i="30"/>
  <c r="AR552" i="30"/>
  <c r="AS552" i="30"/>
  <c r="AT552" i="30"/>
  <c r="AU552" i="30"/>
  <c r="AV552" i="30"/>
  <c r="AW552" i="30"/>
  <c r="AX552" i="30"/>
  <c r="AY552" i="30"/>
  <c r="AZ552" i="30"/>
  <c r="BA552" i="30"/>
  <c r="BB552" i="30"/>
  <c r="BC552" i="30"/>
  <c r="BD552" i="30"/>
  <c r="BE552" i="30"/>
  <c r="BF552" i="30"/>
  <c r="BG552" i="30"/>
  <c r="BH552" i="30"/>
  <c r="BI552" i="30"/>
  <c r="BJ552" i="30"/>
  <c r="BK552" i="30"/>
  <c r="BL552" i="30"/>
  <c r="BM552" i="30"/>
  <c r="BN552" i="30"/>
  <c r="BO552" i="30"/>
  <c r="BP552" i="30"/>
  <c r="BQ552" i="30"/>
  <c r="BR552" i="30"/>
  <c r="BS552" i="30"/>
  <c r="BT552" i="30"/>
  <c r="BU552" i="30"/>
  <c r="BV552" i="30"/>
  <c r="BW552" i="30"/>
  <c r="BX552" i="30"/>
  <c r="BY552" i="30"/>
  <c r="BZ552" i="30"/>
  <c r="CA552" i="30"/>
  <c r="CB552" i="30"/>
  <c r="CC552" i="30"/>
  <c r="CD552" i="30"/>
  <c r="CE552" i="30"/>
  <c r="CF552" i="30"/>
  <c r="CG552" i="30"/>
  <c r="CH552" i="30"/>
  <c r="CI552" i="30"/>
  <c r="CJ552" i="30"/>
  <c r="CK552" i="30"/>
  <c r="CL552" i="30"/>
  <c r="CM552" i="30"/>
  <c r="CN552" i="30"/>
  <c r="CO552" i="30"/>
  <c r="CP552" i="30"/>
  <c r="CQ552" i="30"/>
  <c r="CR552" i="30"/>
  <c r="CS552" i="30"/>
  <c r="CT552" i="30"/>
  <c r="CU552" i="30"/>
  <c r="CV552" i="30"/>
  <c r="CW552" i="30"/>
  <c r="CX552" i="30"/>
  <c r="CY552" i="30"/>
  <c r="CZ552" i="30"/>
  <c r="DA552" i="30"/>
  <c r="DB552" i="30"/>
  <c r="DC552" i="30"/>
  <c r="DD552" i="30"/>
  <c r="DE552" i="30"/>
  <c r="DF552" i="30"/>
  <c r="DG552" i="30"/>
  <c r="DH552" i="30"/>
  <c r="DI552" i="30"/>
  <c r="DJ552" i="30"/>
  <c r="DK552" i="30"/>
  <c r="DL552" i="30"/>
  <c r="DM552" i="30"/>
  <c r="DN552" i="30"/>
  <c r="DO552" i="30"/>
  <c r="DP552" i="30"/>
  <c r="DQ552" i="30"/>
  <c r="DR552" i="30"/>
  <c r="DS552" i="30"/>
  <c r="DT552" i="30"/>
  <c r="DU552" i="30"/>
  <c r="DV552" i="30"/>
  <c r="DW552" i="30"/>
  <c r="DX552" i="30"/>
  <c r="DY552" i="30"/>
  <c r="DZ552" i="30"/>
  <c r="EA552" i="30"/>
  <c r="EB552" i="30"/>
  <c r="EC552" i="30"/>
  <c r="ED552" i="30"/>
  <c r="EE552" i="30"/>
  <c r="EF552" i="30"/>
  <c r="EG552" i="30"/>
  <c r="EH552" i="30"/>
  <c r="EI552" i="30"/>
  <c r="EJ552" i="30"/>
  <c r="EK552" i="30"/>
  <c r="EL552" i="30"/>
  <c r="EM552" i="30"/>
  <c r="EN552" i="30"/>
  <c r="EO552" i="30"/>
  <c r="EP552" i="30"/>
  <c r="EQ552" i="30"/>
  <c r="ER552" i="30"/>
  <c r="ES552" i="30"/>
  <c r="ET552" i="30"/>
  <c r="EU552" i="30"/>
  <c r="EV552" i="30"/>
  <c r="EW552" i="30"/>
  <c r="EX552" i="30"/>
  <c r="EY552" i="30"/>
  <c r="EZ552" i="30"/>
  <c r="FA552" i="30"/>
  <c r="FB552" i="30"/>
  <c r="FC552" i="30"/>
  <c r="FD552" i="30"/>
  <c r="FE552" i="30"/>
  <c r="FF552" i="30"/>
  <c r="FG552" i="30"/>
  <c r="FH552" i="30"/>
  <c r="FI552" i="30"/>
  <c r="FJ552" i="30"/>
  <c r="FK552" i="30"/>
  <c r="FL552" i="30"/>
  <c r="FM552" i="30"/>
  <c r="FN552" i="30"/>
  <c r="FO552" i="30"/>
  <c r="FP552" i="30"/>
  <c r="FQ552" i="30"/>
  <c r="FR552" i="30"/>
  <c r="FS552" i="30"/>
  <c r="FT552" i="30"/>
  <c r="FU552" i="30"/>
  <c r="FV552" i="30"/>
  <c r="FW552" i="30"/>
  <c r="FX552" i="30"/>
  <c r="FY552" i="30"/>
  <c r="FZ552" i="30"/>
  <c r="GA552" i="30"/>
  <c r="GB552" i="30"/>
  <c r="GC552" i="30"/>
  <c r="GD552" i="30"/>
  <c r="GE552" i="30"/>
  <c r="GF552" i="30"/>
  <c r="GG552" i="30"/>
  <c r="GH552" i="30"/>
  <c r="GI552" i="30"/>
  <c r="GJ552" i="30"/>
  <c r="GK552" i="30"/>
  <c r="GL552" i="30"/>
  <c r="GM552" i="30"/>
  <c r="GN552" i="30"/>
  <c r="GO552" i="30"/>
  <c r="GP552" i="30"/>
  <c r="GQ552" i="30"/>
  <c r="GR552" i="30"/>
  <c r="GS552" i="30"/>
  <c r="GT552" i="30"/>
  <c r="GU552" i="30"/>
  <c r="GV552" i="30"/>
  <c r="GW552" i="30"/>
  <c r="GX552" i="30"/>
  <c r="GY552" i="30"/>
  <c r="GZ552" i="30"/>
  <c r="HA552" i="30"/>
  <c r="HB552" i="30"/>
  <c r="HC552" i="30"/>
  <c r="HD552" i="30"/>
  <c r="HE552" i="30"/>
  <c r="HF552" i="30"/>
  <c r="HG552" i="30"/>
  <c r="HH552" i="30"/>
  <c r="HI552" i="30"/>
  <c r="HJ552" i="30"/>
  <c r="HK552" i="30"/>
  <c r="HL552" i="30"/>
  <c r="HM552" i="30"/>
  <c r="HN552" i="30"/>
  <c r="HO552" i="30"/>
  <c r="HP552" i="30"/>
  <c r="HQ552" i="30"/>
  <c r="HR552" i="30"/>
  <c r="HS552" i="30"/>
  <c r="HT552" i="30"/>
  <c r="HU552" i="30"/>
  <c r="HV552" i="30"/>
  <c r="HW552" i="30"/>
  <c r="HX552" i="30"/>
  <c r="HY552" i="30"/>
  <c r="HZ552" i="30"/>
  <c r="IA552" i="30"/>
  <c r="IB552" i="30"/>
  <c r="IC552" i="30"/>
  <c r="ID552" i="30"/>
  <c r="IE552" i="30"/>
  <c r="IF552" i="30"/>
  <c r="IG552" i="30"/>
  <c r="IH552" i="30"/>
  <c r="II552" i="30"/>
  <c r="IJ552" i="30"/>
  <c r="IK552" i="30"/>
  <c r="IL552" i="30"/>
  <c r="IM552" i="30"/>
  <c r="IN552" i="30"/>
  <c r="IO552" i="30"/>
  <c r="IP552" i="30"/>
  <c r="IQ552" i="30"/>
  <c r="IR552" i="30"/>
  <c r="IS552" i="30"/>
  <c r="IT552" i="30"/>
  <c r="IU552" i="30"/>
  <c r="IV552" i="30"/>
  <c r="A551" i="30"/>
  <c r="B551" i="30"/>
  <c r="C551" i="30"/>
  <c r="D551" i="30"/>
  <c r="E551" i="30"/>
  <c r="F551" i="30"/>
  <c r="G551" i="30"/>
  <c r="H551" i="30"/>
  <c r="I551" i="30"/>
  <c r="J551" i="30"/>
  <c r="K551" i="30"/>
  <c r="L551" i="30"/>
  <c r="M551" i="30"/>
  <c r="N551" i="30"/>
  <c r="O551" i="30"/>
  <c r="P551" i="30"/>
  <c r="Q551" i="30"/>
  <c r="R551" i="30"/>
  <c r="S551" i="30"/>
  <c r="T551" i="30"/>
  <c r="U551" i="30"/>
  <c r="V551" i="30"/>
  <c r="W551" i="30"/>
  <c r="X551" i="30"/>
  <c r="Y551" i="30"/>
  <c r="Z551" i="30"/>
  <c r="AA551" i="30"/>
  <c r="AB551" i="30"/>
  <c r="AC551" i="30"/>
  <c r="AD551" i="30"/>
  <c r="AE551" i="30"/>
  <c r="AF551" i="30"/>
  <c r="AG551" i="30"/>
  <c r="AH551" i="30"/>
  <c r="AI551" i="30"/>
  <c r="AJ551" i="30"/>
  <c r="AK551" i="30"/>
  <c r="AL551" i="30"/>
  <c r="AM551" i="30"/>
  <c r="AN551" i="30"/>
  <c r="AO551" i="30"/>
  <c r="AP551" i="30"/>
  <c r="AQ551" i="30"/>
  <c r="AR551" i="30"/>
  <c r="AS551" i="30"/>
  <c r="AT551" i="30"/>
  <c r="AU551" i="30"/>
  <c r="AV551" i="30"/>
  <c r="AW551" i="30"/>
  <c r="AX551" i="30"/>
  <c r="AY551" i="30"/>
  <c r="AZ551" i="30"/>
  <c r="BA551" i="30"/>
  <c r="BB551" i="30"/>
  <c r="BC551" i="30"/>
  <c r="BD551" i="30"/>
  <c r="BE551" i="30"/>
  <c r="BF551" i="30"/>
  <c r="BG551" i="30"/>
  <c r="BH551" i="30"/>
  <c r="BI551" i="30"/>
  <c r="BJ551" i="30"/>
  <c r="BK551" i="30"/>
  <c r="BL551" i="30"/>
  <c r="BM551" i="30"/>
  <c r="BN551" i="30"/>
  <c r="BO551" i="30"/>
  <c r="BP551" i="30"/>
  <c r="BQ551" i="30"/>
  <c r="BR551" i="30"/>
  <c r="BS551" i="30"/>
  <c r="BT551" i="30"/>
  <c r="BU551" i="30"/>
  <c r="BV551" i="30"/>
  <c r="BW551" i="30"/>
  <c r="BX551" i="30"/>
  <c r="BY551" i="30"/>
  <c r="BZ551" i="30"/>
  <c r="CA551" i="30"/>
  <c r="CB551" i="30"/>
  <c r="CC551" i="30"/>
  <c r="CD551" i="30"/>
  <c r="CE551" i="30"/>
  <c r="CF551" i="30"/>
  <c r="CG551" i="30"/>
  <c r="CH551" i="30"/>
  <c r="CI551" i="30"/>
  <c r="CJ551" i="30"/>
  <c r="CK551" i="30"/>
  <c r="CL551" i="30"/>
  <c r="CM551" i="30"/>
  <c r="CN551" i="30"/>
  <c r="CO551" i="30"/>
  <c r="CP551" i="30"/>
  <c r="CQ551" i="30"/>
  <c r="CR551" i="30"/>
  <c r="CS551" i="30"/>
  <c r="CT551" i="30"/>
  <c r="CU551" i="30"/>
  <c r="CV551" i="30"/>
  <c r="CW551" i="30"/>
  <c r="CX551" i="30"/>
  <c r="CY551" i="30"/>
  <c r="CZ551" i="30"/>
  <c r="DA551" i="30"/>
  <c r="DB551" i="30"/>
  <c r="DC551" i="30"/>
  <c r="DD551" i="30"/>
  <c r="DE551" i="30"/>
  <c r="DF551" i="30"/>
  <c r="DG551" i="30"/>
  <c r="DH551" i="30"/>
  <c r="DI551" i="30"/>
  <c r="DJ551" i="30"/>
  <c r="DK551" i="30"/>
  <c r="DL551" i="30"/>
  <c r="DM551" i="30"/>
  <c r="DN551" i="30"/>
  <c r="DO551" i="30"/>
  <c r="DP551" i="30"/>
  <c r="DQ551" i="30"/>
  <c r="DR551" i="30"/>
  <c r="DS551" i="30"/>
  <c r="DT551" i="30"/>
  <c r="DU551" i="30"/>
  <c r="DV551" i="30"/>
  <c r="DW551" i="30"/>
  <c r="DX551" i="30"/>
  <c r="DY551" i="30"/>
  <c r="DZ551" i="30"/>
  <c r="EA551" i="30"/>
  <c r="EB551" i="30"/>
  <c r="EC551" i="30"/>
  <c r="ED551" i="30"/>
  <c r="EE551" i="30"/>
  <c r="EF551" i="30"/>
  <c r="EG551" i="30"/>
  <c r="EH551" i="30"/>
  <c r="EI551" i="30"/>
  <c r="EJ551" i="30"/>
  <c r="EK551" i="30"/>
  <c r="EL551" i="30"/>
  <c r="EM551" i="30"/>
  <c r="EN551" i="30"/>
  <c r="EO551" i="30"/>
  <c r="EP551" i="30"/>
  <c r="EQ551" i="30"/>
  <c r="ER551" i="30"/>
  <c r="ES551" i="30"/>
  <c r="ET551" i="30"/>
  <c r="EU551" i="30"/>
  <c r="EV551" i="30"/>
  <c r="EW551" i="30"/>
  <c r="EX551" i="30"/>
  <c r="EY551" i="30"/>
  <c r="EZ551" i="30"/>
  <c r="FA551" i="30"/>
  <c r="FB551" i="30"/>
  <c r="FC551" i="30"/>
  <c r="FD551" i="30"/>
  <c r="FE551" i="30"/>
  <c r="FF551" i="30"/>
  <c r="FG551" i="30"/>
  <c r="FH551" i="30"/>
  <c r="FI551" i="30"/>
  <c r="FJ551" i="30"/>
  <c r="FK551" i="30"/>
  <c r="FL551" i="30"/>
  <c r="FM551" i="30"/>
  <c r="FN551" i="30"/>
  <c r="FO551" i="30"/>
  <c r="FP551" i="30"/>
  <c r="FQ551" i="30"/>
  <c r="FR551" i="30"/>
  <c r="FS551" i="30"/>
  <c r="FT551" i="30"/>
  <c r="FU551" i="30"/>
  <c r="FV551" i="30"/>
  <c r="FW551" i="30"/>
  <c r="FX551" i="30"/>
  <c r="FY551" i="30"/>
  <c r="FZ551" i="30"/>
  <c r="GA551" i="30"/>
  <c r="GB551" i="30"/>
  <c r="GC551" i="30"/>
  <c r="GD551" i="30"/>
  <c r="GE551" i="30"/>
  <c r="GF551" i="30"/>
  <c r="GG551" i="30"/>
  <c r="GH551" i="30"/>
  <c r="GI551" i="30"/>
  <c r="GJ551" i="30"/>
  <c r="GK551" i="30"/>
  <c r="GL551" i="30"/>
  <c r="GM551" i="30"/>
  <c r="GN551" i="30"/>
  <c r="GO551" i="30"/>
  <c r="GP551" i="30"/>
  <c r="GQ551" i="30"/>
  <c r="GR551" i="30"/>
  <c r="GS551" i="30"/>
  <c r="GT551" i="30"/>
  <c r="GU551" i="30"/>
  <c r="GV551" i="30"/>
  <c r="GW551" i="30"/>
  <c r="GX551" i="30"/>
  <c r="GY551" i="30"/>
  <c r="GZ551" i="30"/>
  <c r="HA551" i="30"/>
  <c r="HB551" i="30"/>
  <c r="HC551" i="30"/>
  <c r="HD551" i="30"/>
  <c r="HE551" i="30"/>
  <c r="HF551" i="30"/>
  <c r="HG551" i="30"/>
  <c r="HH551" i="30"/>
  <c r="HI551" i="30"/>
  <c r="HJ551" i="30"/>
  <c r="HK551" i="30"/>
  <c r="HL551" i="30"/>
  <c r="HM551" i="30"/>
  <c r="HN551" i="30"/>
  <c r="HO551" i="30"/>
  <c r="HP551" i="30"/>
  <c r="HQ551" i="30"/>
  <c r="HR551" i="30"/>
  <c r="HS551" i="30"/>
  <c r="HT551" i="30"/>
  <c r="HU551" i="30"/>
  <c r="HV551" i="30"/>
  <c r="HW551" i="30"/>
  <c r="HX551" i="30"/>
  <c r="HY551" i="30"/>
  <c r="HZ551" i="30"/>
  <c r="IA551" i="30"/>
  <c r="IB551" i="30"/>
  <c r="IC551" i="30"/>
  <c r="ID551" i="30"/>
  <c r="IE551" i="30"/>
  <c r="IF551" i="30"/>
  <c r="IG551" i="30"/>
  <c r="IH551" i="30"/>
  <c r="II551" i="30"/>
  <c r="IJ551" i="30"/>
  <c r="IK551" i="30"/>
  <c r="IL551" i="30"/>
  <c r="IM551" i="30"/>
  <c r="IN551" i="30"/>
  <c r="IO551" i="30"/>
  <c r="IP551" i="30"/>
  <c r="IQ551" i="30"/>
  <c r="IR551" i="30"/>
  <c r="IS551" i="30"/>
  <c r="IT551" i="30"/>
  <c r="IU551" i="30"/>
  <c r="IV551" i="30"/>
  <c r="A550" i="30"/>
  <c r="B550" i="30"/>
  <c r="C550" i="30"/>
  <c r="D550" i="30"/>
  <c r="E550" i="30"/>
  <c r="F550" i="30"/>
  <c r="G550" i="30"/>
  <c r="H550" i="30"/>
  <c r="I550" i="30"/>
  <c r="J550" i="30"/>
  <c r="K550" i="30"/>
  <c r="L550" i="30"/>
  <c r="M550" i="30"/>
  <c r="N550" i="30"/>
  <c r="O550" i="30"/>
  <c r="P550" i="30"/>
  <c r="Q550" i="30"/>
  <c r="R550" i="30"/>
  <c r="S550" i="30"/>
  <c r="T550" i="30"/>
  <c r="U550" i="30"/>
  <c r="V550" i="30"/>
  <c r="W550" i="30"/>
  <c r="X550" i="30"/>
  <c r="Y550" i="30"/>
  <c r="Z550" i="30"/>
  <c r="AA550" i="30"/>
  <c r="AB550" i="30"/>
  <c r="AC550" i="30"/>
  <c r="AD550" i="30"/>
  <c r="AE550" i="30"/>
  <c r="AF550" i="30"/>
  <c r="AG550" i="30"/>
  <c r="AH550" i="30"/>
  <c r="AI550" i="30"/>
  <c r="AJ550" i="30"/>
  <c r="AK550" i="30"/>
  <c r="AL550" i="30"/>
  <c r="AM550" i="30"/>
  <c r="AN550" i="30"/>
  <c r="AO550" i="30"/>
  <c r="AP550" i="30"/>
  <c r="AQ550" i="30"/>
  <c r="AR550" i="30"/>
  <c r="AS550" i="30"/>
  <c r="AT550" i="30"/>
  <c r="AU550" i="30"/>
  <c r="AV550" i="30"/>
  <c r="AW550" i="30"/>
  <c r="AX550" i="30"/>
  <c r="AY550" i="30"/>
  <c r="AZ550" i="30"/>
  <c r="BA550" i="30"/>
  <c r="BB550" i="30"/>
  <c r="BC550" i="30"/>
  <c r="BD550" i="30"/>
  <c r="BE550" i="30"/>
  <c r="BF550" i="30"/>
  <c r="BG550" i="30"/>
  <c r="BH550" i="30"/>
  <c r="BI550" i="30"/>
  <c r="BJ550" i="30"/>
  <c r="BK550" i="30"/>
  <c r="BL550" i="30"/>
  <c r="BM550" i="30"/>
  <c r="BN550" i="30"/>
  <c r="BO550" i="30"/>
  <c r="BP550" i="30"/>
  <c r="BQ550" i="30"/>
  <c r="BR550" i="30"/>
  <c r="BS550" i="30"/>
  <c r="BT550" i="30"/>
  <c r="BU550" i="30"/>
  <c r="BV550" i="30"/>
  <c r="BW550" i="30"/>
  <c r="BX550" i="30"/>
  <c r="BY550" i="30"/>
  <c r="BZ550" i="30"/>
  <c r="CA550" i="30"/>
  <c r="CB550" i="30"/>
  <c r="CC550" i="30"/>
  <c r="CD550" i="30"/>
  <c r="CE550" i="30"/>
  <c r="CF550" i="30"/>
  <c r="CG550" i="30"/>
  <c r="CH550" i="30"/>
  <c r="CI550" i="30"/>
  <c r="CJ550" i="30"/>
  <c r="CK550" i="30"/>
  <c r="CL550" i="30"/>
  <c r="CM550" i="30"/>
  <c r="CN550" i="30"/>
  <c r="CO550" i="30"/>
  <c r="CP550" i="30"/>
  <c r="CQ550" i="30"/>
  <c r="CR550" i="30"/>
  <c r="CS550" i="30"/>
  <c r="CT550" i="30"/>
  <c r="CU550" i="30"/>
  <c r="CV550" i="30"/>
  <c r="CW550" i="30"/>
  <c r="CX550" i="30"/>
  <c r="CY550" i="30"/>
  <c r="CZ550" i="30"/>
  <c r="DA550" i="30"/>
  <c r="DB550" i="30"/>
  <c r="DC550" i="30"/>
  <c r="DD550" i="30"/>
  <c r="DE550" i="30"/>
  <c r="DF550" i="30"/>
  <c r="DG550" i="30"/>
  <c r="DH550" i="30"/>
  <c r="DI550" i="30"/>
  <c r="DJ550" i="30"/>
  <c r="DK550" i="30"/>
  <c r="DL550" i="30"/>
  <c r="DM550" i="30"/>
  <c r="DN550" i="30"/>
  <c r="DO550" i="30"/>
  <c r="DP550" i="30"/>
  <c r="DQ550" i="30"/>
  <c r="DR550" i="30"/>
  <c r="DS550" i="30"/>
  <c r="DT550" i="30"/>
  <c r="DU550" i="30"/>
  <c r="DV550" i="30"/>
  <c r="DW550" i="30"/>
  <c r="DX550" i="30"/>
  <c r="DY550" i="30"/>
  <c r="DZ550" i="30"/>
  <c r="EA550" i="30"/>
  <c r="EB550" i="30"/>
  <c r="EC550" i="30"/>
  <c r="ED550" i="30"/>
  <c r="EE550" i="30"/>
  <c r="EF550" i="30"/>
  <c r="EG550" i="30"/>
  <c r="EH550" i="30"/>
  <c r="EI550" i="30"/>
  <c r="EJ550" i="30"/>
  <c r="EK550" i="30"/>
  <c r="EL550" i="30"/>
  <c r="EM550" i="30"/>
  <c r="EN550" i="30"/>
  <c r="EO550" i="30"/>
  <c r="EP550" i="30"/>
  <c r="EQ550" i="30"/>
  <c r="ER550" i="30"/>
  <c r="ES550" i="30"/>
  <c r="ET550" i="30"/>
  <c r="EU550" i="30"/>
  <c r="EV550" i="30"/>
  <c r="EW550" i="30"/>
  <c r="EX550" i="30"/>
  <c r="EY550" i="30"/>
  <c r="EZ550" i="30"/>
  <c r="FA550" i="30"/>
  <c r="FB550" i="30"/>
  <c r="FC550" i="30"/>
  <c r="FD550" i="30"/>
  <c r="FE550" i="30"/>
  <c r="FF550" i="30"/>
  <c r="FG550" i="30"/>
  <c r="FH550" i="30"/>
  <c r="FI550" i="30"/>
  <c r="FJ550" i="30"/>
  <c r="FK550" i="30"/>
  <c r="FL550" i="30"/>
  <c r="FM550" i="30"/>
  <c r="FN550" i="30"/>
  <c r="FO550" i="30"/>
  <c r="FP550" i="30"/>
  <c r="FQ550" i="30"/>
  <c r="FR550" i="30"/>
  <c r="FS550" i="30"/>
  <c r="FT550" i="30"/>
  <c r="FU550" i="30"/>
  <c r="FV550" i="30"/>
  <c r="FW550" i="30"/>
  <c r="FX550" i="30"/>
  <c r="FY550" i="30"/>
  <c r="FZ550" i="30"/>
  <c r="GA550" i="30"/>
  <c r="GB550" i="30"/>
  <c r="GC550" i="30"/>
  <c r="GD550" i="30"/>
  <c r="GE550" i="30"/>
  <c r="GF550" i="30"/>
  <c r="GG550" i="30"/>
  <c r="GH550" i="30"/>
  <c r="GI550" i="30"/>
  <c r="GJ550" i="30"/>
  <c r="GK550" i="30"/>
  <c r="GL550" i="30"/>
  <c r="GM550" i="30"/>
  <c r="GN550" i="30"/>
  <c r="GO550" i="30"/>
  <c r="GP550" i="30"/>
  <c r="GQ550" i="30"/>
  <c r="GR550" i="30"/>
  <c r="GS550" i="30"/>
  <c r="GT550" i="30"/>
  <c r="GU550" i="30"/>
  <c r="GV550" i="30"/>
  <c r="GW550" i="30"/>
  <c r="GX550" i="30"/>
  <c r="GY550" i="30"/>
  <c r="GZ550" i="30"/>
  <c r="HA550" i="30"/>
  <c r="HB550" i="30"/>
  <c r="HC550" i="30"/>
  <c r="HD550" i="30"/>
  <c r="HE550" i="30"/>
  <c r="HF550" i="30"/>
  <c r="HG550" i="30"/>
  <c r="HH550" i="30"/>
  <c r="HI550" i="30"/>
  <c r="HJ550" i="30"/>
  <c r="HK550" i="30"/>
  <c r="HL550" i="30"/>
  <c r="HM550" i="30"/>
  <c r="HN550" i="30"/>
  <c r="HO550" i="30"/>
  <c r="HP550" i="30"/>
  <c r="HQ550" i="30"/>
  <c r="HR550" i="30"/>
  <c r="HS550" i="30"/>
  <c r="HT550" i="30"/>
  <c r="HU550" i="30"/>
  <c r="HV550" i="30"/>
  <c r="HW550" i="30"/>
  <c r="HX550" i="30"/>
  <c r="HY550" i="30"/>
  <c r="HZ550" i="30"/>
  <c r="IA550" i="30"/>
  <c r="IB550" i="30"/>
  <c r="IC550" i="30"/>
  <c r="ID550" i="30"/>
  <c r="IE550" i="30"/>
  <c r="IF550" i="30"/>
  <c r="IG550" i="30"/>
  <c r="IH550" i="30"/>
  <c r="II550" i="30"/>
  <c r="IJ550" i="30"/>
  <c r="IK550" i="30"/>
  <c r="IL550" i="30"/>
  <c r="IM550" i="30"/>
  <c r="IN550" i="30"/>
  <c r="IO550" i="30"/>
  <c r="IP550" i="30"/>
  <c r="IQ550" i="30"/>
  <c r="IR550" i="30"/>
  <c r="IS550" i="30"/>
  <c r="IT550" i="30"/>
  <c r="IU550" i="30"/>
  <c r="IV550" i="30"/>
  <c r="A549" i="30"/>
  <c r="B549" i="30"/>
  <c r="C549" i="30"/>
  <c r="D549" i="30"/>
  <c r="E549" i="30"/>
  <c r="F549" i="30"/>
  <c r="G549" i="30"/>
  <c r="H549" i="30"/>
  <c r="I549" i="30"/>
  <c r="J549" i="30"/>
  <c r="K549" i="30"/>
  <c r="L549" i="30"/>
  <c r="M549" i="30"/>
  <c r="N549" i="30"/>
  <c r="O549" i="30"/>
  <c r="P549" i="30"/>
  <c r="Q549" i="30"/>
  <c r="R549" i="30"/>
  <c r="S549" i="30"/>
  <c r="T549" i="30"/>
  <c r="U549" i="30"/>
  <c r="V549" i="30"/>
  <c r="W549" i="30"/>
  <c r="X549" i="30"/>
  <c r="Y549" i="30"/>
  <c r="Z549" i="30"/>
  <c r="AA549" i="30"/>
  <c r="AB549" i="30"/>
  <c r="AC549" i="30"/>
  <c r="AD549" i="30"/>
  <c r="AE549" i="30"/>
  <c r="AF549" i="30"/>
  <c r="AG549" i="30"/>
  <c r="AH549" i="30"/>
  <c r="AI549" i="30"/>
  <c r="AJ549" i="30"/>
  <c r="AK549" i="30"/>
  <c r="AL549" i="30"/>
  <c r="AM549" i="30"/>
  <c r="AN549" i="30"/>
  <c r="AO549" i="30"/>
  <c r="AP549" i="30"/>
  <c r="AQ549" i="30"/>
  <c r="AR549" i="30"/>
  <c r="AS549" i="30"/>
  <c r="AT549" i="30"/>
  <c r="AU549" i="30"/>
  <c r="AV549" i="30"/>
  <c r="AW549" i="30"/>
  <c r="AX549" i="30"/>
  <c r="AY549" i="30"/>
  <c r="AZ549" i="30"/>
  <c r="BA549" i="30"/>
  <c r="BB549" i="30"/>
  <c r="BC549" i="30"/>
  <c r="BD549" i="30"/>
  <c r="BE549" i="30"/>
  <c r="BF549" i="30"/>
  <c r="BG549" i="30"/>
  <c r="BH549" i="30"/>
  <c r="BI549" i="30"/>
  <c r="BJ549" i="30"/>
  <c r="BK549" i="30"/>
  <c r="BL549" i="30"/>
  <c r="BM549" i="30"/>
  <c r="BN549" i="30"/>
  <c r="BO549" i="30"/>
  <c r="BP549" i="30"/>
  <c r="BQ549" i="30"/>
  <c r="BR549" i="30"/>
  <c r="BS549" i="30"/>
  <c r="BT549" i="30"/>
  <c r="BU549" i="30"/>
  <c r="BV549" i="30"/>
  <c r="BW549" i="30"/>
  <c r="BX549" i="30"/>
  <c r="BY549" i="30"/>
  <c r="BZ549" i="30"/>
  <c r="CA549" i="30"/>
  <c r="CB549" i="30"/>
  <c r="CC549" i="30"/>
  <c r="CD549" i="30"/>
  <c r="CE549" i="30"/>
  <c r="CF549" i="30"/>
  <c r="CG549" i="30"/>
  <c r="CH549" i="30"/>
  <c r="CI549" i="30"/>
  <c r="CJ549" i="30"/>
  <c r="CK549" i="30"/>
  <c r="CL549" i="30"/>
  <c r="CM549" i="30"/>
  <c r="CN549" i="30"/>
  <c r="CO549" i="30"/>
  <c r="CP549" i="30"/>
  <c r="CQ549" i="30"/>
  <c r="CR549" i="30"/>
  <c r="CS549" i="30"/>
  <c r="CT549" i="30"/>
  <c r="CU549" i="30"/>
  <c r="CV549" i="30"/>
  <c r="CW549" i="30"/>
  <c r="CX549" i="30"/>
  <c r="CY549" i="30"/>
  <c r="CZ549" i="30"/>
  <c r="DA549" i="30"/>
  <c r="DB549" i="30"/>
  <c r="DC549" i="30"/>
  <c r="DD549" i="30"/>
  <c r="DE549" i="30"/>
  <c r="DF549" i="30"/>
  <c r="DG549" i="30"/>
  <c r="DH549" i="30"/>
  <c r="DI549" i="30"/>
  <c r="DJ549" i="30"/>
  <c r="DK549" i="30"/>
  <c r="DL549" i="30"/>
  <c r="DM549" i="30"/>
  <c r="DN549" i="30"/>
  <c r="DO549" i="30"/>
  <c r="DP549" i="30"/>
  <c r="DQ549" i="30"/>
  <c r="DR549" i="30"/>
  <c r="DS549" i="30"/>
  <c r="DT549" i="30"/>
  <c r="DU549" i="30"/>
  <c r="DV549" i="30"/>
  <c r="DW549" i="30"/>
  <c r="DX549" i="30"/>
  <c r="DY549" i="30"/>
  <c r="DZ549" i="30"/>
  <c r="EA549" i="30"/>
  <c r="EB549" i="30"/>
  <c r="EC549" i="30"/>
  <c r="ED549" i="30"/>
  <c r="EE549" i="30"/>
  <c r="EF549" i="30"/>
  <c r="EG549" i="30"/>
  <c r="EH549" i="30"/>
  <c r="EI549" i="30"/>
  <c r="EJ549" i="30"/>
  <c r="EK549" i="30"/>
  <c r="EL549" i="30"/>
  <c r="EM549" i="30"/>
  <c r="EN549" i="30"/>
  <c r="EO549" i="30"/>
  <c r="EP549" i="30"/>
  <c r="EQ549" i="30"/>
  <c r="ER549" i="30"/>
  <c r="ES549" i="30"/>
  <c r="ET549" i="30"/>
  <c r="EU549" i="30"/>
  <c r="EV549" i="30"/>
  <c r="EW549" i="30"/>
  <c r="EX549" i="30"/>
  <c r="EY549" i="30"/>
  <c r="EZ549" i="30"/>
  <c r="FA549" i="30"/>
  <c r="FB549" i="30"/>
  <c r="FC549" i="30"/>
  <c r="FD549" i="30"/>
  <c r="FE549" i="30"/>
  <c r="FF549" i="30"/>
  <c r="FG549" i="30"/>
  <c r="FH549" i="30"/>
  <c r="FI549" i="30"/>
  <c r="FJ549" i="30"/>
  <c r="FK549" i="30"/>
  <c r="FL549" i="30"/>
  <c r="FM549" i="30"/>
  <c r="FN549" i="30"/>
  <c r="FO549" i="30"/>
  <c r="FP549" i="30"/>
  <c r="FQ549" i="30"/>
  <c r="FR549" i="30"/>
  <c r="FS549" i="30"/>
  <c r="FT549" i="30"/>
  <c r="FU549" i="30"/>
  <c r="FV549" i="30"/>
  <c r="FW549" i="30"/>
  <c r="FX549" i="30"/>
  <c r="FY549" i="30"/>
  <c r="FZ549" i="30"/>
  <c r="GA549" i="30"/>
  <c r="GB549" i="30"/>
  <c r="GC549" i="30"/>
  <c r="GD549" i="30"/>
  <c r="GE549" i="30"/>
  <c r="GF549" i="30"/>
  <c r="GG549" i="30"/>
  <c r="GH549" i="30"/>
  <c r="GI549" i="30"/>
  <c r="GJ549" i="30"/>
  <c r="GK549" i="30"/>
  <c r="GL549" i="30"/>
  <c r="GM549" i="30"/>
  <c r="GN549" i="30"/>
  <c r="GO549" i="30"/>
  <c r="GP549" i="30"/>
  <c r="GQ549" i="30"/>
  <c r="GR549" i="30"/>
  <c r="GS549" i="30"/>
  <c r="GT549" i="30"/>
  <c r="GU549" i="30"/>
  <c r="GV549" i="30"/>
  <c r="GW549" i="30"/>
  <c r="GX549" i="30"/>
  <c r="GY549" i="30"/>
  <c r="GZ549" i="30"/>
  <c r="HA549" i="30"/>
  <c r="HB549" i="30"/>
  <c r="HC549" i="30"/>
  <c r="HD549" i="30"/>
  <c r="HE549" i="30"/>
  <c r="HF549" i="30"/>
  <c r="HG549" i="30"/>
  <c r="HH549" i="30"/>
  <c r="HI549" i="30"/>
  <c r="HJ549" i="30"/>
  <c r="HK549" i="30"/>
  <c r="HL549" i="30"/>
  <c r="HM549" i="30"/>
  <c r="HN549" i="30"/>
  <c r="HO549" i="30"/>
  <c r="HP549" i="30"/>
  <c r="HQ549" i="30"/>
  <c r="HR549" i="30"/>
  <c r="HS549" i="30"/>
  <c r="HT549" i="30"/>
  <c r="HU549" i="30"/>
  <c r="HV549" i="30"/>
  <c r="HW549" i="30"/>
  <c r="HX549" i="30"/>
  <c r="HY549" i="30"/>
  <c r="HZ549" i="30"/>
  <c r="IA549" i="30"/>
  <c r="IB549" i="30"/>
  <c r="IC549" i="30"/>
  <c r="ID549" i="30"/>
  <c r="IE549" i="30"/>
  <c r="IF549" i="30"/>
  <c r="IG549" i="30"/>
  <c r="IH549" i="30"/>
  <c r="II549" i="30"/>
  <c r="IJ549" i="30"/>
  <c r="IK549" i="30"/>
  <c r="IL549" i="30"/>
  <c r="IM549" i="30"/>
  <c r="IN549" i="30"/>
  <c r="IO549" i="30"/>
  <c r="IP549" i="30"/>
  <c r="IQ549" i="30"/>
  <c r="IR549" i="30"/>
  <c r="IS549" i="30"/>
  <c r="IT549" i="30"/>
  <c r="IU549" i="30"/>
  <c r="IV549" i="30"/>
  <c r="A548" i="30"/>
  <c r="B548" i="30"/>
  <c r="C548" i="30"/>
  <c r="D548" i="30"/>
  <c r="E548" i="30"/>
  <c r="F548" i="30"/>
  <c r="G548" i="30"/>
  <c r="H548" i="30"/>
  <c r="I548" i="30"/>
  <c r="J548" i="30"/>
  <c r="K548" i="30"/>
  <c r="L548" i="30"/>
  <c r="M548" i="30"/>
  <c r="N548" i="30"/>
  <c r="O548" i="30"/>
  <c r="P548" i="30"/>
  <c r="Q548" i="30"/>
  <c r="R548" i="30"/>
  <c r="S548" i="30"/>
  <c r="T548" i="30"/>
  <c r="U548" i="30"/>
  <c r="V548" i="30"/>
  <c r="W548" i="30"/>
  <c r="X548" i="30"/>
  <c r="Y548" i="30"/>
  <c r="Z548" i="30"/>
  <c r="AA548" i="30"/>
  <c r="AB548" i="30"/>
  <c r="AC548" i="30"/>
  <c r="AD548" i="30"/>
  <c r="AE548" i="30"/>
  <c r="AF548" i="30"/>
  <c r="AG548" i="30"/>
  <c r="AH548" i="30"/>
  <c r="AI548" i="30"/>
  <c r="AJ548" i="30"/>
  <c r="AK548" i="30"/>
  <c r="AL548" i="30"/>
  <c r="AM548" i="30"/>
  <c r="AN548" i="30"/>
  <c r="AO548" i="30"/>
  <c r="AP548" i="30"/>
  <c r="AQ548" i="30"/>
  <c r="AR548" i="30"/>
  <c r="AS548" i="30"/>
  <c r="AT548" i="30"/>
  <c r="AU548" i="30"/>
  <c r="AV548" i="30"/>
  <c r="AW548" i="30"/>
  <c r="AX548" i="30"/>
  <c r="AY548" i="30"/>
  <c r="AZ548" i="30"/>
  <c r="BA548" i="30"/>
  <c r="BB548" i="30"/>
  <c r="BC548" i="30"/>
  <c r="BD548" i="30"/>
  <c r="BE548" i="30"/>
  <c r="BF548" i="30"/>
  <c r="BG548" i="30"/>
  <c r="BH548" i="30"/>
  <c r="BI548" i="30"/>
  <c r="BJ548" i="30"/>
  <c r="BK548" i="30"/>
  <c r="BL548" i="30"/>
  <c r="BM548" i="30"/>
  <c r="BN548" i="30"/>
  <c r="BO548" i="30"/>
  <c r="BP548" i="30"/>
  <c r="BQ548" i="30"/>
  <c r="BR548" i="30"/>
  <c r="BS548" i="30"/>
  <c r="BT548" i="30"/>
  <c r="BU548" i="30"/>
  <c r="BV548" i="30"/>
  <c r="BW548" i="30"/>
  <c r="BX548" i="30"/>
  <c r="BY548" i="30"/>
  <c r="BZ548" i="30"/>
  <c r="CA548" i="30"/>
  <c r="CB548" i="30"/>
  <c r="CC548" i="30"/>
  <c r="CD548" i="30"/>
  <c r="CE548" i="30"/>
  <c r="CF548" i="30"/>
  <c r="CG548" i="30"/>
  <c r="CH548" i="30"/>
  <c r="CI548" i="30"/>
  <c r="CJ548" i="30"/>
  <c r="CK548" i="30"/>
  <c r="CL548" i="30"/>
  <c r="CM548" i="30"/>
  <c r="CN548" i="30"/>
  <c r="CO548" i="30"/>
  <c r="CP548" i="30"/>
  <c r="CQ548" i="30"/>
  <c r="CR548" i="30"/>
  <c r="CS548" i="30"/>
  <c r="CT548" i="30"/>
  <c r="CU548" i="30"/>
  <c r="CV548" i="30"/>
  <c r="CW548" i="30"/>
  <c r="CX548" i="30"/>
  <c r="CY548" i="30"/>
  <c r="CZ548" i="30"/>
  <c r="DA548" i="30"/>
  <c r="DB548" i="30"/>
  <c r="DC548" i="30"/>
  <c r="DD548" i="30"/>
  <c r="DE548" i="30"/>
  <c r="DF548" i="30"/>
  <c r="DG548" i="30"/>
  <c r="DH548" i="30"/>
  <c r="DI548" i="30"/>
  <c r="DJ548" i="30"/>
  <c r="DK548" i="30"/>
  <c r="DL548" i="30"/>
  <c r="DM548" i="30"/>
  <c r="DN548" i="30"/>
  <c r="DO548" i="30"/>
  <c r="DP548" i="30"/>
  <c r="DQ548" i="30"/>
  <c r="DR548" i="30"/>
  <c r="DS548" i="30"/>
  <c r="DT548" i="30"/>
  <c r="DU548" i="30"/>
  <c r="DV548" i="30"/>
  <c r="DW548" i="30"/>
  <c r="DX548" i="30"/>
  <c r="DY548" i="30"/>
  <c r="DZ548" i="30"/>
  <c r="EA548" i="30"/>
  <c r="EB548" i="30"/>
  <c r="EC548" i="30"/>
  <c r="ED548" i="30"/>
  <c r="EE548" i="30"/>
  <c r="EF548" i="30"/>
  <c r="EG548" i="30"/>
  <c r="EH548" i="30"/>
  <c r="EI548" i="30"/>
  <c r="EJ548" i="30"/>
  <c r="EK548" i="30"/>
  <c r="EL548" i="30"/>
  <c r="EM548" i="30"/>
  <c r="EN548" i="30"/>
  <c r="EO548" i="30"/>
  <c r="EP548" i="30"/>
  <c r="EQ548" i="30"/>
  <c r="ER548" i="30"/>
  <c r="ES548" i="30"/>
  <c r="ET548" i="30"/>
  <c r="EU548" i="30"/>
  <c r="EV548" i="30"/>
  <c r="EW548" i="30"/>
  <c r="EX548" i="30"/>
  <c r="EY548" i="30"/>
  <c r="EZ548" i="30"/>
  <c r="FA548" i="30"/>
  <c r="FB548" i="30"/>
  <c r="FC548" i="30"/>
  <c r="FD548" i="30"/>
  <c r="FE548" i="30"/>
  <c r="FF548" i="30"/>
  <c r="FG548" i="30"/>
  <c r="FH548" i="30"/>
  <c r="FI548" i="30"/>
  <c r="FJ548" i="30"/>
  <c r="FK548" i="30"/>
  <c r="FL548" i="30"/>
  <c r="FM548" i="30"/>
  <c r="FN548" i="30"/>
  <c r="FO548" i="30"/>
  <c r="FP548" i="30"/>
  <c r="FQ548" i="30"/>
  <c r="FR548" i="30"/>
  <c r="FS548" i="30"/>
  <c r="FT548" i="30"/>
  <c r="FU548" i="30"/>
  <c r="FV548" i="30"/>
  <c r="FW548" i="30"/>
  <c r="FX548" i="30"/>
  <c r="FY548" i="30"/>
  <c r="FZ548" i="30"/>
  <c r="GA548" i="30"/>
  <c r="GB548" i="30"/>
  <c r="GC548" i="30"/>
  <c r="GD548" i="30"/>
  <c r="GE548" i="30"/>
  <c r="GF548" i="30"/>
  <c r="GG548" i="30"/>
  <c r="GH548" i="30"/>
  <c r="GI548" i="30"/>
  <c r="GJ548" i="30"/>
  <c r="GK548" i="30"/>
  <c r="GL548" i="30"/>
  <c r="GM548" i="30"/>
  <c r="GN548" i="30"/>
  <c r="GO548" i="30"/>
  <c r="GP548" i="30"/>
  <c r="GQ548" i="30"/>
  <c r="GR548" i="30"/>
  <c r="GS548" i="30"/>
  <c r="GT548" i="30"/>
  <c r="GU548" i="30"/>
  <c r="GV548" i="30"/>
  <c r="GW548" i="30"/>
  <c r="GX548" i="30"/>
  <c r="GY548" i="30"/>
  <c r="GZ548" i="30"/>
  <c r="HA548" i="30"/>
  <c r="HB548" i="30"/>
  <c r="HC548" i="30"/>
  <c r="HD548" i="30"/>
  <c r="HE548" i="30"/>
  <c r="HF548" i="30"/>
  <c r="HG548" i="30"/>
  <c r="HH548" i="30"/>
  <c r="HI548" i="30"/>
  <c r="HJ548" i="30"/>
  <c r="HK548" i="30"/>
  <c r="HL548" i="30"/>
  <c r="HM548" i="30"/>
  <c r="HN548" i="30"/>
  <c r="HO548" i="30"/>
  <c r="HP548" i="30"/>
  <c r="HQ548" i="30"/>
  <c r="HR548" i="30"/>
  <c r="HS548" i="30"/>
  <c r="HT548" i="30"/>
  <c r="HU548" i="30"/>
  <c r="HV548" i="30"/>
  <c r="HW548" i="30"/>
  <c r="HX548" i="30"/>
  <c r="HY548" i="30"/>
  <c r="HZ548" i="30"/>
  <c r="IA548" i="30"/>
  <c r="IB548" i="30"/>
  <c r="IC548" i="30"/>
  <c r="ID548" i="30"/>
  <c r="IE548" i="30"/>
  <c r="IF548" i="30"/>
  <c r="IG548" i="30"/>
  <c r="IH548" i="30"/>
  <c r="II548" i="30"/>
  <c r="IJ548" i="30"/>
  <c r="IK548" i="30"/>
  <c r="IL548" i="30"/>
  <c r="IM548" i="30"/>
  <c r="IN548" i="30"/>
  <c r="IO548" i="30"/>
  <c r="IP548" i="30"/>
  <c r="IQ548" i="30"/>
  <c r="IR548" i="30"/>
  <c r="IS548" i="30"/>
  <c r="IT548" i="30"/>
  <c r="IU548" i="30"/>
  <c r="IV548" i="30"/>
  <c r="A547" i="30"/>
  <c r="B547" i="30"/>
  <c r="C547" i="30"/>
  <c r="D547" i="30"/>
  <c r="E547" i="30"/>
  <c r="F547" i="30"/>
  <c r="G547" i="30"/>
  <c r="H547" i="30"/>
  <c r="I547" i="30"/>
  <c r="J547" i="30"/>
  <c r="K547" i="30"/>
  <c r="L547" i="30"/>
  <c r="M547" i="30"/>
  <c r="N547" i="30"/>
  <c r="O547" i="30"/>
  <c r="P547" i="30"/>
  <c r="Q547" i="30"/>
  <c r="R547" i="30"/>
  <c r="S547" i="30"/>
  <c r="T547" i="30"/>
  <c r="U547" i="30"/>
  <c r="V547" i="30"/>
  <c r="W547" i="30"/>
  <c r="X547" i="30"/>
  <c r="Y547" i="30"/>
  <c r="Z547" i="30"/>
  <c r="AA547" i="30"/>
  <c r="AB547" i="30"/>
  <c r="AC547" i="30"/>
  <c r="AD547" i="30"/>
  <c r="AE547" i="30"/>
  <c r="AF547" i="30"/>
  <c r="AG547" i="30"/>
  <c r="AH547" i="30"/>
  <c r="AI547" i="30"/>
  <c r="AJ547" i="30"/>
  <c r="AK547" i="30"/>
  <c r="AL547" i="30"/>
  <c r="AM547" i="30"/>
  <c r="AN547" i="30"/>
  <c r="AO547" i="30"/>
  <c r="AP547" i="30"/>
  <c r="AQ547" i="30"/>
  <c r="AR547" i="30"/>
  <c r="AS547" i="30"/>
  <c r="AT547" i="30"/>
  <c r="AU547" i="30"/>
  <c r="AV547" i="30"/>
  <c r="AW547" i="30"/>
  <c r="AX547" i="30"/>
  <c r="AY547" i="30"/>
  <c r="AZ547" i="30"/>
  <c r="BA547" i="30"/>
  <c r="BB547" i="30"/>
  <c r="BC547" i="30"/>
  <c r="BD547" i="30"/>
  <c r="BE547" i="30"/>
  <c r="BF547" i="30"/>
  <c r="BG547" i="30"/>
  <c r="BH547" i="30"/>
  <c r="BI547" i="30"/>
  <c r="BJ547" i="30"/>
  <c r="BK547" i="30"/>
  <c r="BL547" i="30"/>
  <c r="BM547" i="30"/>
  <c r="BN547" i="30"/>
  <c r="BO547" i="30"/>
  <c r="BP547" i="30"/>
  <c r="BQ547" i="30"/>
  <c r="BR547" i="30"/>
  <c r="BS547" i="30"/>
  <c r="BT547" i="30"/>
  <c r="BU547" i="30"/>
  <c r="BV547" i="30"/>
  <c r="BW547" i="30"/>
  <c r="BX547" i="30"/>
  <c r="BY547" i="30"/>
  <c r="BZ547" i="30"/>
  <c r="CA547" i="30"/>
  <c r="CB547" i="30"/>
  <c r="CC547" i="30"/>
  <c r="CD547" i="30"/>
  <c r="CE547" i="30"/>
  <c r="CF547" i="30"/>
  <c r="CG547" i="30"/>
  <c r="CH547" i="30"/>
  <c r="CI547" i="30"/>
  <c r="CJ547" i="30"/>
  <c r="CK547" i="30"/>
  <c r="CL547" i="30"/>
  <c r="CM547" i="30"/>
  <c r="CN547" i="30"/>
  <c r="CO547" i="30"/>
  <c r="CP547" i="30"/>
  <c r="CQ547" i="30"/>
  <c r="CR547" i="30"/>
  <c r="CS547" i="30"/>
  <c r="CT547" i="30"/>
  <c r="CU547" i="30"/>
  <c r="CV547" i="30"/>
  <c r="CW547" i="30"/>
  <c r="CX547" i="30"/>
  <c r="CY547" i="30"/>
  <c r="CZ547" i="30"/>
  <c r="DA547" i="30"/>
  <c r="DB547" i="30"/>
  <c r="DC547" i="30"/>
  <c r="DD547" i="30"/>
  <c r="DE547" i="30"/>
  <c r="DF547" i="30"/>
  <c r="DG547" i="30"/>
  <c r="DH547" i="30"/>
  <c r="DI547" i="30"/>
  <c r="DJ547" i="30"/>
  <c r="DK547" i="30"/>
  <c r="DL547" i="30"/>
  <c r="DM547" i="30"/>
  <c r="DN547" i="30"/>
  <c r="DO547" i="30"/>
  <c r="DP547" i="30"/>
  <c r="DQ547" i="30"/>
  <c r="DR547" i="30"/>
  <c r="DS547" i="30"/>
  <c r="DT547" i="30"/>
  <c r="DU547" i="30"/>
  <c r="DV547" i="30"/>
  <c r="DW547" i="30"/>
  <c r="DX547" i="30"/>
  <c r="DY547" i="30"/>
  <c r="DZ547" i="30"/>
  <c r="EA547" i="30"/>
  <c r="EB547" i="30"/>
  <c r="EC547" i="30"/>
  <c r="ED547" i="30"/>
  <c r="EE547" i="30"/>
  <c r="EF547" i="30"/>
  <c r="EG547" i="30"/>
  <c r="EH547" i="30"/>
  <c r="EI547" i="30"/>
  <c r="EJ547" i="30"/>
  <c r="EK547" i="30"/>
  <c r="EL547" i="30"/>
  <c r="EM547" i="30"/>
  <c r="EN547" i="30"/>
  <c r="EO547" i="30"/>
  <c r="EP547" i="30"/>
  <c r="EQ547" i="30"/>
  <c r="ER547" i="30"/>
  <c r="ES547" i="30"/>
  <c r="ET547" i="30"/>
  <c r="EU547" i="30"/>
  <c r="EV547" i="30"/>
  <c r="EW547" i="30"/>
  <c r="EX547" i="30"/>
  <c r="EY547" i="30"/>
  <c r="EZ547" i="30"/>
  <c r="FA547" i="30"/>
  <c r="FB547" i="30"/>
  <c r="FC547" i="30"/>
  <c r="FD547" i="30"/>
  <c r="FE547" i="30"/>
  <c r="FF547" i="30"/>
  <c r="FG547" i="30"/>
  <c r="FH547" i="30"/>
  <c r="FI547" i="30"/>
  <c r="FJ547" i="30"/>
  <c r="FK547" i="30"/>
  <c r="FL547" i="30"/>
  <c r="FM547" i="30"/>
  <c r="FN547" i="30"/>
  <c r="FO547" i="30"/>
  <c r="FP547" i="30"/>
  <c r="FQ547" i="30"/>
  <c r="FR547" i="30"/>
  <c r="FS547" i="30"/>
  <c r="FT547" i="30"/>
  <c r="FU547" i="30"/>
  <c r="FV547" i="30"/>
  <c r="FW547" i="30"/>
  <c r="FX547" i="30"/>
  <c r="FY547" i="30"/>
  <c r="FZ547" i="30"/>
  <c r="GA547" i="30"/>
  <c r="GB547" i="30"/>
  <c r="GC547" i="30"/>
  <c r="GD547" i="30"/>
  <c r="GE547" i="30"/>
  <c r="GF547" i="30"/>
  <c r="GG547" i="30"/>
  <c r="GH547" i="30"/>
  <c r="GI547" i="30"/>
  <c r="GJ547" i="30"/>
  <c r="GK547" i="30"/>
  <c r="GL547" i="30"/>
  <c r="GM547" i="30"/>
  <c r="GN547" i="30"/>
  <c r="GO547" i="30"/>
  <c r="GP547" i="30"/>
  <c r="GQ547" i="30"/>
  <c r="GR547" i="30"/>
  <c r="GS547" i="30"/>
  <c r="GT547" i="30"/>
  <c r="GU547" i="30"/>
  <c r="GV547" i="30"/>
  <c r="GW547" i="30"/>
  <c r="GX547" i="30"/>
  <c r="GY547" i="30"/>
  <c r="GZ547" i="30"/>
  <c r="HA547" i="30"/>
  <c r="HB547" i="30"/>
  <c r="HC547" i="30"/>
  <c r="HD547" i="30"/>
  <c r="HE547" i="30"/>
  <c r="HF547" i="30"/>
  <c r="HG547" i="30"/>
  <c r="HH547" i="30"/>
  <c r="HI547" i="30"/>
  <c r="HJ547" i="30"/>
  <c r="HK547" i="30"/>
  <c r="HL547" i="30"/>
  <c r="HM547" i="30"/>
  <c r="HN547" i="30"/>
  <c r="HO547" i="30"/>
  <c r="HP547" i="30"/>
  <c r="HQ547" i="30"/>
  <c r="HR547" i="30"/>
  <c r="HS547" i="30"/>
  <c r="HT547" i="30"/>
  <c r="HU547" i="30"/>
  <c r="HV547" i="30"/>
  <c r="HW547" i="30"/>
  <c r="HX547" i="30"/>
  <c r="HY547" i="30"/>
  <c r="HZ547" i="30"/>
  <c r="IA547" i="30"/>
  <c r="IB547" i="30"/>
  <c r="IC547" i="30"/>
  <c r="ID547" i="30"/>
  <c r="IE547" i="30"/>
  <c r="IF547" i="30"/>
  <c r="IG547" i="30"/>
  <c r="IH547" i="30"/>
  <c r="II547" i="30"/>
  <c r="IJ547" i="30"/>
  <c r="IK547" i="30"/>
  <c r="IL547" i="30"/>
  <c r="IM547" i="30"/>
  <c r="IN547" i="30"/>
  <c r="IO547" i="30"/>
  <c r="IP547" i="30"/>
  <c r="IQ547" i="30"/>
  <c r="IR547" i="30"/>
  <c r="IS547" i="30"/>
  <c r="IT547" i="30"/>
  <c r="IU547" i="30"/>
  <c r="IV547" i="30"/>
  <c r="A546" i="30"/>
  <c r="B546" i="30"/>
  <c r="C546" i="30"/>
  <c r="D546" i="30"/>
  <c r="E546" i="30"/>
  <c r="F546" i="30"/>
  <c r="G546" i="30"/>
  <c r="H546" i="30"/>
  <c r="I546" i="30"/>
  <c r="J546" i="30"/>
  <c r="K546" i="30"/>
  <c r="L546" i="30"/>
  <c r="M546" i="30"/>
  <c r="N546" i="30"/>
  <c r="O546" i="30"/>
  <c r="P546" i="30"/>
  <c r="Q546" i="30"/>
  <c r="R546" i="30"/>
  <c r="S546" i="30"/>
  <c r="T546" i="30"/>
  <c r="U546" i="30"/>
  <c r="V546" i="30"/>
  <c r="W546" i="30"/>
  <c r="X546" i="30"/>
  <c r="Y546" i="30"/>
  <c r="Z546" i="30"/>
  <c r="AA546" i="30"/>
  <c r="AB546" i="30"/>
  <c r="AC546" i="30"/>
  <c r="AD546" i="30"/>
  <c r="AE546" i="30"/>
  <c r="AF546" i="30"/>
  <c r="AG546" i="30"/>
  <c r="AH546" i="30"/>
  <c r="AI546" i="30"/>
  <c r="AJ546" i="30"/>
  <c r="AK546" i="30"/>
  <c r="AL546" i="30"/>
  <c r="AM546" i="30"/>
  <c r="AN546" i="30"/>
  <c r="AO546" i="30"/>
  <c r="AP546" i="30"/>
  <c r="AQ546" i="30"/>
  <c r="AR546" i="30"/>
  <c r="AS546" i="30"/>
  <c r="AT546" i="30"/>
  <c r="AU546" i="30"/>
  <c r="AV546" i="30"/>
  <c r="AW546" i="30"/>
  <c r="AX546" i="30"/>
  <c r="AY546" i="30"/>
  <c r="AZ546" i="30"/>
  <c r="BA546" i="30"/>
  <c r="BB546" i="30"/>
  <c r="BC546" i="30"/>
  <c r="BD546" i="30"/>
  <c r="BE546" i="30"/>
  <c r="BF546" i="30"/>
  <c r="BG546" i="30"/>
  <c r="BH546" i="30"/>
  <c r="BI546" i="30"/>
  <c r="BJ546" i="30"/>
  <c r="BK546" i="30"/>
  <c r="BL546" i="30"/>
  <c r="BM546" i="30"/>
  <c r="BN546" i="30"/>
  <c r="BO546" i="30"/>
  <c r="BP546" i="30"/>
  <c r="BQ546" i="30"/>
  <c r="BR546" i="30"/>
  <c r="BS546" i="30"/>
  <c r="BT546" i="30"/>
  <c r="BU546" i="30"/>
  <c r="BV546" i="30"/>
  <c r="BW546" i="30"/>
  <c r="BX546" i="30"/>
  <c r="BY546" i="30"/>
  <c r="BZ546" i="30"/>
  <c r="CA546" i="30"/>
  <c r="CB546" i="30"/>
  <c r="CC546" i="30"/>
  <c r="CD546" i="30"/>
  <c r="CE546" i="30"/>
  <c r="CF546" i="30"/>
  <c r="CG546" i="30"/>
  <c r="CH546" i="30"/>
  <c r="CI546" i="30"/>
  <c r="CJ546" i="30"/>
  <c r="CK546" i="30"/>
  <c r="CL546" i="30"/>
  <c r="CM546" i="30"/>
  <c r="CN546" i="30"/>
  <c r="CO546" i="30"/>
  <c r="CP546" i="30"/>
  <c r="CQ546" i="30"/>
  <c r="CR546" i="30"/>
  <c r="CS546" i="30"/>
  <c r="CT546" i="30"/>
  <c r="CU546" i="30"/>
  <c r="CV546" i="30"/>
  <c r="CW546" i="30"/>
  <c r="CX546" i="30"/>
  <c r="CY546" i="30"/>
  <c r="CZ546" i="30"/>
  <c r="DA546" i="30"/>
  <c r="DB546" i="30"/>
  <c r="DC546" i="30"/>
  <c r="DD546" i="30"/>
  <c r="DE546" i="30"/>
  <c r="DF546" i="30"/>
  <c r="DG546" i="30"/>
  <c r="DH546" i="30"/>
  <c r="DI546" i="30"/>
  <c r="DJ546" i="30"/>
  <c r="DK546" i="30"/>
  <c r="DL546" i="30"/>
  <c r="DM546" i="30"/>
  <c r="DN546" i="30"/>
  <c r="DO546" i="30"/>
  <c r="DP546" i="30"/>
  <c r="DQ546" i="30"/>
  <c r="DR546" i="30"/>
  <c r="DS546" i="30"/>
  <c r="DT546" i="30"/>
  <c r="DU546" i="30"/>
  <c r="DV546" i="30"/>
  <c r="DW546" i="30"/>
  <c r="DX546" i="30"/>
  <c r="DY546" i="30"/>
  <c r="DZ546" i="30"/>
  <c r="EA546" i="30"/>
  <c r="EB546" i="30"/>
  <c r="EC546" i="30"/>
  <c r="ED546" i="30"/>
  <c r="EE546" i="30"/>
  <c r="EF546" i="30"/>
  <c r="EG546" i="30"/>
  <c r="EH546" i="30"/>
  <c r="EI546" i="30"/>
  <c r="EJ546" i="30"/>
  <c r="EK546" i="30"/>
  <c r="EL546" i="30"/>
  <c r="EM546" i="30"/>
  <c r="EN546" i="30"/>
  <c r="EO546" i="30"/>
  <c r="EP546" i="30"/>
  <c r="EQ546" i="30"/>
  <c r="ER546" i="30"/>
  <c r="ES546" i="30"/>
  <c r="ET546" i="30"/>
  <c r="EU546" i="30"/>
  <c r="EV546" i="30"/>
  <c r="EW546" i="30"/>
  <c r="EX546" i="30"/>
  <c r="EY546" i="30"/>
  <c r="EZ546" i="30"/>
  <c r="FA546" i="30"/>
  <c r="FB546" i="30"/>
  <c r="FC546" i="30"/>
  <c r="FD546" i="30"/>
  <c r="FE546" i="30"/>
  <c r="FF546" i="30"/>
  <c r="FG546" i="30"/>
  <c r="FH546" i="30"/>
  <c r="FI546" i="30"/>
  <c r="FJ546" i="30"/>
  <c r="FK546" i="30"/>
  <c r="FL546" i="30"/>
  <c r="FM546" i="30"/>
  <c r="FN546" i="30"/>
  <c r="FO546" i="30"/>
  <c r="FP546" i="30"/>
  <c r="FQ546" i="30"/>
  <c r="FR546" i="30"/>
  <c r="FS546" i="30"/>
  <c r="FT546" i="30"/>
  <c r="FU546" i="30"/>
  <c r="FV546" i="30"/>
  <c r="FW546" i="30"/>
  <c r="FX546" i="30"/>
  <c r="FY546" i="30"/>
  <c r="FZ546" i="30"/>
  <c r="GA546" i="30"/>
  <c r="GB546" i="30"/>
  <c r="GC546" i="30"/>
  <c r="GD546" i="30"/>
  <c r="GE546" i="30"/>
  <c r="GF546" i="30"/>
  <c r="GG546" i="30"/>
  <c r="GH546" i="30"/>
  <c r="GI546" i="30"/>
  <c r="GJ546" i="30"/>
  <c r="GK546" i="30"/>
  <c r="GL546" i="30"/>
  <c r="GM546" i="30"/>
  <c r="GN546" i="30"/>
  <c r="GO546" i="30"/>
  <c r="GP546" i="30"/>
  <c r="GQ546" i="30"/>
  <c r="GR546" i="30"/>
  <c r="GS546" i="30"/>
  <c r="GT546" i="30"/>
  <c r="GU546" i="30"/>
  <c r="GV546" i="30"/>
  <c r="GW546" i="30"/>
  <c r="GX546" i="30"/>
  <c r="GY546" i="30"/>
  <c r="GZ546" i="30"/>
  <c r="HA546" i="30"/>
  <c r="HB546" i="30"/>
  <c r="HC546" i="30"/>
  <c r="HD546" i="30"/>
  <c r="HE546" i="30"/>
  <c r="HF546" i="30"/>
  <c r="HG546" i="30"/>
  <c r="HH546" i="30"/>
  <c r="HI546" i="30"/>
  <c r="HJ546" i="30"/>
  <c r="HK546" i="30"/>
  <c r="HL546" i="30"/>
  <c r="HM546" i="30"/>
  <c r="HN546" i="30"/>
  <c r="HO546" i="30"/>
  <c r="HP546" i="30"/>
  <c r="HQ546" i="30"/>
  <c r="HR546" i="30"/>
  <c r="HS546" i="30"/>
  <c r="HT546" i="30"/>
  <c r="HU546" i="30"/>
  <c r="HV546" i="30"/>
  <c r="HW546" i="30"/>
  <c r="HX546" i="30"/>
  <c r="HY546" i="30"/>
  <c r="HZ546" i="30"/>
  <c r="IA546" i="30"/>
  <c r="IB546" i="30"/>
  <c r="IC546" i="30"/>
  <c r="ID546" i="30"/>
  <c r="IE546" i="30"/>
  <c r="IF546" i="30"/>
  <c r="IG546" i="30"/>
  <c r="IH546" i="30"/>
  <c r="II546" i="30"/>
  <c r="IJ546" i="30"/>
  <c r="IK546" i="30"/>
  <c r="IL546" i="30"/>
  <c r="IM546" i="30"/>
  <c r="IN546" i="30"/>
  <c r="IO546" i="30"/>
  <c r="IP546" i="30"/>
  <c r="IQ546" i="30"/>
  <c r="IR546" i="30"/>
  <c r="IS546" i="30"/>
  <c r="IT546" i="30"/>
  <c r="IU546" i="30"/>
  <c r="IV546" i="30"/>
  <c r="A545" i="30"/>
  <c r="B545" i="30"/>
  <c r="C545" i="30"/>
  <c r="D545" i="30"/>
  <c r="E545" i="30"/>
  <c r="F545" i="30"/>
  <c r="G545" i="30"/>
  <c r="H545" i="30"/>
  <c r="I545" i="30"/>
  <c r="J545" i="30"/>
  <c r="K545" i="30"/>
  <c r="L545" i="30"/>
  <c r="M545" i="30"/>
  <c r="N545" i="30"/>
  <c r="O545" i="30"/>
  <c r="P545" i="30"/>
  <c r="Q545" i="30"/>
  <c r="R545" i="30"/>
  <c r="S545" i="30"/>
  <c r="T545" i="30"/>
  <c r="U545" i="30"/>
  <c r="V545" i="30"/>
  <c r="W545" i="30"/>
  <c r="X545" i="30"/>
  <c r="Y545" i="30"/>
  <c r="Z545" i="30"/>
  <c r="AA545" i="30"/>
  <c r="AB545" i="30"/>
  <c r="AC545" i="30"/>
  <c r="AD545" i="30"/>
  <c r="AE545" i="30"/>
  <c r="AF545" i="30"/>
  <c r="AG545" i="30"/>
  <c r="AH545" i="30"/>
  <c r="AI545" i="30"/>
  <c r="AJ545" i="30"/>
  <c r="AK545" i="30"/>
  <c r="AL545" i="30"/>
  <c r="AM545" i="30"/>
  <c r="AN545" i="30"/>
  <c r="AO545" i="30"/>
  <c r="AP545" i="30"/>
  <c r="AQ545" i="30"/>
  <c r="AR545" i="30"/>
  <c r="AS545" i="30"/>
  <c r="AT545" i="30"/>
  <c r="AU545" i="30"/>
  <c r="AV545" i="30"/>
  <c r="AW545" i="30"/>
  <c r="AX545" i="30"/>
  <c r="AY545" i="30"/>
  <c r="AZ545" i="30"/>
  <c r="BA545" i="30"/>
  <c r="BB545" i="30"/>
  <c r="BC545" i="30"/>
  <c r="BD545" i="30"/>
  <c r="BE545" i="30"/>
  <c r="BF545" i="30"/>
  <c r="BG545" i="30"/>
  <c r="BH545" i="30"/>
  <c r="BI545" i="30"/>
  <c r="BJ545" i="30"/>
  <c r="BK545" i="30"/>
  <c r="BL545" i="30"/>
  <c r="BM545" i="30"/>
  <c r="BN545" i="30"/>
  <c r="BO545" i="30"/>
  <c r="BP545" i="30"/>
  <c r="BQ545" i="30"/>
  <c r="BR545" i="30"/>
  <c r="BS545" i="30"/>
  <c r="BT545" i="30"/>
  <c r="BU545" i="30"/>
  <c r="BV545" i="30"/>
  <c r="BW545" i="30"/>
  <c r="BX545" i="30"/>
  <c r="BY545" i="30"/>
  <c r="BZ545" i="30"/>
  <c r="CA545" i="30"/>
  <c r="CB545" i="30"/>
  <c r="CC545" i="30"/>
  <c r="CD545" i="30"/>
  <c r="CE545" i="30"/>
  <c r="CF545" i="30"/>
  <c r="CG545" i="30"/>
  <c r="CH545" i="30"/>
  <c r="CI545" i="30"/>
  <c r="CJ545" i="30"/>
  <c r="CK545" i="30"/>
  <c r="CL545" i="30"/>
  <c r="CM545" i="30"/>
  <c r="CN545" i="30"/>
  <c r="CO545" i="30"/>
  <c r="CP545" i="30"/>
  <c r="CQ545" i="30"/>
  <c r="CR545" i="30"/>
  <c r="CS545" i="30"/>
  <c r="CT545" i="30"/>
  <c r="CU545" i="30"/>
  <c r="CV545" i="30"/>
  <c r="CW545" i="30"/>
  <c r="CX545" i="30"/>
  <c r="CY545" i="30"/>
  <c r="CZ545" i="30"/>
  <c r="DA545" i="30"/>
  <c r="DB545" i="30"/>
  <c r="DC545" i="30"/>
  <c r="DD545" i="30"/>
  <c r="DE545" i="30"/>
  <c r="DF545" i="30"/>
  <c r="DG545" i="30"/>
  <c r="DH545" i="30"/>
  <c r="DI545" i="30"/>
  <c r="DJ545" i="30"/>
  <c r="DK545" i="30"/>
  <c r="DL545" i="30"/>
  <c r="DM545" i="30"/>
  <c r="DN545" i="30"/>
  <c r="DO545" i="30"/>
  <c r="DP545" i="30"/>
  <c r="DQ545" i="30"/>
  <c r="DR545" i="30"/>
  <c r="DS545" i="30"/>
  <c r="DT545" i="30"/>
  <c r="DU545" i="30"/>
  <c r="DV545" i="30"/>
  <c r="DW545" i="30"/>
  <c r="DX545" i="30"/>
  <c r="DY545" i="30"/>
  <c r="DZ545" i="30"/>
  <c r="EA545" i="30"/>
  <c r="EB545" i="30"/>
  <c r="EC545" i="30"/>
  <c r="ED545" i="30"/>
  <c r="EE545" i="30"/>
  <c r="EF545" i="30"/>
  <c r="EG545" i="30"/>
  <c r="EH545" i="30"/>
  <c r="EI545" i="30"/>
  <c r="EJ545" i="30"/>
  <c r="EK545" i="30"/>
  <c r="EL545" i="30"/>
  <c r="EM545" i="30"/>
  <c r="EN545" i="30"/>
  <c r="EO545" i="30"/>
  <c r="EP545" i="30"/>
  <c r="EQ545" i="30"/>
  <c r="ER545" i="30"/>
  <c r="ES545" i="30"/>
  <c r="ET545" i="30"/>
  <c r="EU545" i="30"/>
  <c r="EV545" i="30"/>
  <c r="EW545" i="30"/>
  <c r="EX545" i="30"/>
  <c r="EY545" i="30"/>
  <c r="EZ545" i="30"/>
  <c r="FA545" i="30"/>
  <c r="FB545" i="30"/>
  <c r="FC545" i="30"/>
  <c r="FD545" i="30"/>
  <c r="FE545" i="30"/>
  <c r="FF545" i="30"/>
  <c r="FG545" i="30"/>
  <c r="FH545" i="30"/>
  <c r="FI545" i="30"/>
  <c r="FJ545" i="30"/>
  <c r="FK545" i="30"/>
  <c r="FL545" i="30"/>
  <c r="FM545" i="30"/>
  <c r="FN545" i="30"/>
  <c r="FO545" i="30"/>
  <c r="FP545" i="30"/>
  <c r="FQ545" i="30"/>
  <c r="FR545" i="30"/>
  <c r="FS545" i="30"/>
  <c r="FT545" i="30"/>
  <c r="FU545" i="30"/>
  <c r="FV545" i="30"/>
  <c r="FW545" i="30"/>
  <c r="FX545" i="30"/>
  <c r="FY545" i="30"/>
  <c r="FZ545" i="30"/>
  <c r="GA545" i="30"/>
  <c r="GB545" i="30"/>
  <c r="GC545" i="30"/>
  <c r="GD545" i="30"/>
  <c r="GE545" i="30"/>
  <c r="GF545" i="30"/>
  <c r="GG545" i="30"/>
  <c r="GH545" i="30"/>
  <c r="GI545" i="30"/>
  <c r="GJ545" i="30"/>
  <c r="GK545" i="30"/>
  <c r="GL545" i="30"/>
  <c r="GM545" i="30"/>
  <c r="GN545" i="30"/>
  <c r="GO545" i="30"/>
  <c r="GP545" i="30"/>
  <c r="GQ545" i="30"/>
  <c r="GR545" i="30"/>
  <c r="GS545" i="30"/>
  <c r="GT545" i="30"/>
  <c r="GU545" i="30"/>
  <c r="GV545" i="30"/>
  <c r="GW545" i="30"/>
  <c r="GX545" i="30"/>
  <c r="GY545" i="30"/>
  <c r="GZ545" i="30"/>
  <c r="HA545" i="30"/>
  <c r="HB545" i="30"/>
  <c r="HC545" i="30"/>
  <c r="HD545" i="30"/>
  <c r="HE545" i="30"/>
  <c r="HF545" i="30"/>
  <c r="HG545" i="30"/>
  <c r="HH545" i="30"/>
  <c r="HI545" i="30"/>
  <c r="HJ545" i="30"/>
  <c r="HK545" i="30"/>
  <c r="HL545" i="30"/>
  <c r="HM545" i="30"/>
  <c r="HN545" i="30"/>
  <c r="HO545" i="30"/>
  <c r="HP545" i="30"/>
  <c r="HQ545" i="30"/>
  <c r="HR545" i="30"/>
  <c r="HS545" i="30"/>
  <c r="HT545" i="30"/>
  <c r="HU545" i="30"/>
  <c r="HV545" i="30"/>
  <c r="HW545" i="30"/>
  <c r="HX545" i="30"/>
  <c r="HY545" i="30"/>
  <c r="HZ545" i="30"/>
  <c r="IA545" i="30"/>
  <c r="IB545" i="30"/>
  <c r="IC545" i="30"/>
  <c r="ID545" i="30"/>
  <c r="IE545" i="30"/>
  <c r="IF545" i="30"/>
  <c r="IG545" i="30"/>
  <c r="IH545" i="30"/>
  <c r="II545" i="30"/>
  <c r="IJ545" i="30"/>
  <c r="IK545" i="30"/>
  <c r="IL545" i="30"/>
  <c r="IM545" i="30"/>
  <c r="IN545" i="30"/>
  <c r="IO545" i="30"/>
  <c r="IP545" i="30"/>
  <c r="IQ545" i="30"/>
  <c r="IR545" i="30"/>
  <c r="IS545" i="30"/>
  <c r="IT545" i="30"/>
  <c r="IU545" i="30"/>
  <c r="IV545" i="30"/>
  <c r="A544" i="30"/>
  <c r="B544" i="30"/>
  <c r="C544" i="30"/>
  <c r="D544" i="30"/>
  <c r="E544" i="30"/>
  <c r="F544" i="30"/>
  <c r="G544" i="30"/>
  <c r="H544" i="30"/>
  <c r="I544" i="30"/>
  <c r="J544" i="30"/>
  <c r="K544" i="30"/>
  <c r="L544" i="30"/>
  <c r="M544" i="30"/>
  <c r="N544" i="30"/>
  <c r="O544" i="30"/>
  <c r="P544" i="30"/>
  <c r="Q544" i="30"/>
  <c r="R544" i="30"/>
  <c r="S544" i="30"/>
  <c r="T544" i="30"/>
  <c r="U544" i="30"/>
  <c r="V544" i="30"/>
  <c r="W544" i="30"/>
  <c r="X544" i="30"/>
  <c r="Y544" i="30"/>
  <c r="Z544" i="30"/>
  <c r="AA544" i="30"/>
  <c r="AB544" i="30"/>
  <c r="AC544" i="30"/>
  <c r="AD544" i="30"/>
  <c r="AE544" i="30"/>
  <c r="AF544" i="30"/>
  <c r="AG544" i="30"/>
  <c r="AH544" i="30"/>
  <c r="AI544" i="30"/>
  <c r="AJ544" i="30"/>
  <c r="AK544" i="30"/>
  <c r="AL544" i="30"/>
  <c r="AM544" i="30"/>
  <c r="AN544" i="30"/>
  <c r="AO544" i="30"/>
  <c r="AP544" i="30"/>
  <c r="AQ544" i="30"/>
  <c r="AR544" i="30"/>
  <c r="AS544" i="30"/>
  <c r="AT544" i="30"/>
  <c r="AU544" i="30"/>
  <c r="AV544" i="30"/>
  <c r="AW544" i="30"/>
  <c r="AX544" i="30"/>
  <c r="AY544" i="30"/>
  <c r="AZ544" i="30"/>
  <c r="BA544" i="30"/>
  <c r="BB544" i="30"/>
  <c r="BC544" i="30"/>
  <c r="BD544" i="30"/>
  <c r="BE544" i="30"/>
  <c r="BF544" i="30"/>
  <c r="BG544" i="30"/>
  <c r="BH544" i="30"/>
  <c r="BI544" i="30"/>
  <c r="BJ544" i="30"/>
  <c r="BK544" i="30"/>
  <c r="BL544" i="30"/>
  <c r="BM544" i="30"/>
  <c r="BN544" i="30"/>
  <c r="BO544" i="30"/>
  <c r="BP544" i="30"/>
  <c r="BQ544" i="30"/>
  <c r="BR544" i="30"/>
  <c r="BS544" i="30"/>
  <c r="BT544" i="30"/>
  <c r="BU544" i="30"/>
  <c r="BV544" i="30"/>
  <c r="BW544" i="30"/>
  <c r="BX544" i="30"/>
  <c r="BY544" i="30"/>
  <c r="BZ544" i="30"/>
  <c r="CA544" i="30"/>
  <c r="CB544" i="30"/>
  <c r="CC544" i="30"/>
  <c r="CD544" i="30"/>
  <c r="CE544" i="30"/>
  <c r="CF544" i="30"/>
  <c r="CG544" i="30"/>
  <c r="CH544" i="30"/>
  <c r="CI544" i="30"/>
  <c r="CJ544" i="30"/>
  <c r="CK544" i="30"/>
  <c r="CL544" i="30"/>
  <c r="CM544" i="30"/>
  <c r="CN544" i="30"/>
  <c r="CO544" i="30"/>
  <c r="CP544" i="30"/>
  <c r="CQ544" i="30"/>
  <c r="CR544" i="30"/>
  <c r="CS544" i="30"/>
  <c r="CT544" i="30"/>
  <c r="CU544" i="30"/>
  <c r="CV544" i="30"/>
  <c r="CW544" i="30"/>
  <c r="CX544" i="30"/>
  <c r="CY544" i="30"/>
  <c r="CZ544" i="30"/>
  <c r="DA544" i="30"/>
  <c r="DB544" i="30"/>
  <c r="DC544" i="30"/>
  <c r="DD544" i="30"/>
  <c r="DE544" i="30"/>
  <c r="DF544" i="30"/>
  <c r="DG544" i="30"/>
  <c r="DH544" i="30"/>
  <c r="DI544" i="30"/>
  <c r="DJ544" i="30"/>
  <c r="DK544" i="30"/>
  <c r="DL544" i="30"/>
  <c r="DM544" i="30"/>
  <c r="DN544" i="30"/>
  <c r="DO544" i="30"/>
  <c r="DP544" i="30"/>
  <c r="DQ544" i="30"/>
  <c r="DR544" i="30"/>
  <c r="DS544" i="30"/>
  <c r="DT544" i="30"/>
  <c r="DU544" i="30"/>
  <c r="DV544" i="30"/>
  <c r="DW544" i="30"/>
  <c r="DX544" i="30"/>
  <c r="DY544" i="30"/>
  <c r="DZ544" i="30"/>
  <c r="EA544" i="30"/>
  <c r="EB544" i="30"/>
  <c r="EC544" i="30"/>
  <c r="ED544" i="30"/>
  <c r="EE544" i="30"/>
  <c r="EF544" i="30"/>
  <c r="EG544" i="30"/>
  <c r="EH544" i="30"/>
  <c r="EI544" i="30"/>
  <c r="EJ544" i="30"/>
  <c r="EK544" i="30"/>
  <c r="EL544" i="30"/>
  <c r="EM544" i="30"/>
  <c r="EN544" i="30"/>
  <c r="EO544" i="30"/>
  <c r="EP544" i="30"/>
  <c r="EQ544" i="30"/>
  <c r="ER544" i="30"/>
  <c r="ES544" i="30"/>
  <c r="ET544" i="30"/>
  <c r="EU544" i="30"/>
  <c r="EV544" i="30"/>
  <c r="EW544" i="30"/>
  <c r="EX544" i="30"/>
  <c r="EY544" i="30"/>
  <c r="EZ544" i="30"/>
  <c r="FA544" i="30"/>
  <c r="FB544" i="30"/>
  <c r="FC544" i="30"/>
  <c r="FD544" i="30"/>
  <c r="FE544" i="30"/>
  <c r="FF544" i="30"/>
  <c r="FG544" i="30"/>
  <c r="FH544" i="30"/>
  <c r="FI544" i="30"/>
  <c r="FJ544" i="30"/>
  <c r="FK544" i="30"/>
  <c r="FL544" i="30"/>
  <c r="FM544" i="30"/>
  <c r="FN544" i="30"/>
  <c r="FO544" i="30"/>
  <c r="FP544" i="30"/>
  <c r="FQ544" i="30"/>
  <c r="FR544" i="30"/>
  <c r="FS544" i="30"/>
  <c r="FT544" i="30"/>
  <c r="FU544" i="30"/>
  <c r="FV544" i="30"/>
  <c r="FW544" i="30"/>
  <c r="FX544" i="30"/>
  <c r="FY544" i="30"/>
  <c r="FZ544" i="30"/>
  <c r="GA544" i="30"/>
  <c r="GB544" i="30"/>
  <c r="GC544" i="30"/>
  <c r="GD544" i="30"/>
  <c r="GE544" i="30"/>
  <c r="GF544" i="30"/>
  <c r="GG544" i="30"/>
  <c r="GH544" i="30"/>
  <c r="GI544" i="30"/>
  <c r="GJ544" i="30"/>
  <c r="GK544" i="30"/>
  <c r="GL544" i="30"/>
  <c r="GM544" i="30"/>
  <c r="GN544" i="30"/>
  <c r="GO544" i="30"/>
  <c r="GP544" i="30"/>
  <c r="GQ544" i="30"/>
  <c r="GR544" i="30"/>
  <c r="GS544" i="30"/>
  <c r="GT544" i="30"/>
  <c r="GU544" i="30"/>
  <c r="GV544" i="30"/>
  <c r="GW544" i="30"/>
  <c r="GX544" i="30"/>
  <c r="GY544" i="30"/>
  <c r="GZ544" i="30"/>
  <c r="HA544" i="30"/>
  <c r="HB544" i="30"/>
  <c r="HC544" i="30"/>
  <c r="HD544" i="30"/>
  <c r="HE544" i="30"/>
  <c r="HF544" i="30"/>
  <c r="HG544" i="30"/>
  <c r="HH544" i="30"/>
  <c r="HI544" i="30"/>
  <c r="HJ544" i="30"/>
  <c r="HK544" i="30"/>
  <c r="HL544" i="30"/>
  <c r="HM544" i="30"/>
  <c r="HN544" i="30"/>
  <c r="HO544" i="30"/>
  <c r="HP544" i="30"/>
  <c r="HQ544" i="30"/>
  <c r="HR544" i="30"/>
  <c r="HS544" i="30"/>
  <c r="HT544" i="30"/>
  <c r="HU544" i="30"/>
  <c r="HV544" i="30"/>
  <c r="HW544" i="30"/>
  <c r="HX544" i="30"/>
  <c r="HY544" i="30"/>
  <c r="HZ544" i="30"/>
  <c r="IA544" i="30"/>
  <c r="IB544" i="30"/>
  <c r="IC544" i="30"/>
  <c r="ID544" i="30"/>
  <c r="IE544" i="30"/>
  <c r="IF544" i="30"/>
  <c r="IG544" i="30"/>
  <c r="IH544" i="30"/>
  <c r="II544" i="30"/>
  <c r="IJ544" i="30"/>
  <c r="IK544" i="30"/>
  <c r="IL544" i="30"/>
  <c r="IM544" i="30"/>
  <c r="IN544" i="30"/>
  <c r="IO544" i="30"/>
  <c r="IP544" i="30"/>
  <c r="IQ544" i="30"/>
  <c r="IR544" i="30"/>
  <c r="IS544" i="30"/>
  <c r="IT544" i="30"/>
  <c r="IU544" i="30"/>
  <c r="IV544" i="30"/>
  <c r="A543" i="30"/>
  <c r="B543" i="30"/>
  <c r="C543" i="30"/>
  <c r="D543" i="30"/>
  <c r="E543" i="30"/>
  <c r="F543" i="30"/>
  <c r="G543" i="30"/>
  <c r="H543" i="30"/>
  <c r="I543" i="30"/>
  <c r="J543" i="30"/>
  <c r="K543" i="30"/>
  <c r="L543" i="30"/>
  <c r="M543" i="30"/>
  <c r="N543" i="30"/>
  <c r="O543" i="30"/>
  <c r="P543" i="30"/>
  <c r="Q543" i="30"/>
  <c r="R543" i="30"/>
  <c r="S543" i="30"/>
  <c r="T543" i="30"/>
  <c r="U543" i="30"/>
  <c r="V543" i="30"/>
  <c r="W543" i="30"/>
  <c r="X543" i="30"/>
  <c r="Y543" i="30"/>
  <c r="Z543" i="30"/>
  <c r="AA543" i="30"/>
  <c r="AB543" i="30"/>
  <c r="AC543" i="30"/>
  <c r="AD543" i="30"/>
  <c r="AE543" i="30"/>
  <c r="AF543" i="30"/>
  <c r="AG543" i="30"/>
  <c r="AH543" i="30"/>
  <c r="AI543" i="30"/>
  <c r="AJ543" i="30"/>
  <c r="AK543" i="30"/>
  <c r="AL543" i="30"/>
  <c r="AM543" i="30"/>
  <c r="AN543" i="30"/>
  <c r="AO543" i="30"/>
  <c r="AP543" i="30"/>
  <c r="AQ543" i="30"/>
  <c r="AR543" i="30"/>
  <c r="AS543" i="30"/>
  <c r="AT543" i="30"/>
  <c r="AU543" i="30"/>
  <c r="AV543" i="30"/>
  <c r="AW543" i="30"/>
  <c r="AX543" i="30"/>
  <c r="AY543" i="30"/>
  <c r="AZ543" i="30"/>
  <c r="BA543" i="30"/>
  <c r="BB543" i="30"/>
  <c r="BC543" i="30"/>
  <c r="BD543" i="30"/>
  <c r="BE543" i="30"/>
  <c r="BF543" i="30"/>
  <c r="BG543" i="30"/>
  <c r="BH543" i="30"/>
  <c r="BI543" i="30"/>
  <c r="BJ543" i="30"/>
  <c r="BK543" i="30"/>
  <c r="BL543" i="30"/>
  <c r="BM543" i="30"/>
  <c r="BN543" i="30"/>
  <c r="BO543" i="30"/>
  <c r="BP543" i="30"/>
  <c r="BQ543" i="30"/>
  <c r="BR543" i="30"/>
  <c r="BS543" i="30"/>
  <c r="BT543" i="30"/>
  <c r="BU543" i="30"/>
  <c r="BV543" i="30"/>
  <c r="BW543" i="30"/>
  <c r="BX543" i="30"/>
  <c r="BY543" i="30"/>
  <c r="BZ543" i="30"/>
  <c r="CA543" i="30"/>
  <c r="CB543" i="30"/>
  <c r="CC543" i="30"/>
  <c r="CD543" i="30"/>
  <c r="CE543" i="30"/>
  <c r="CF543" i="30"/>
  <c r="CG543" i="30"/>
  <c r="CH543" i="30"/>
  <c r="CI543" i="30"/>
  <c r="CJ543" i="30"/>
  <c r="CK543" i="30"/>
  <c r="CL543" i="30"/>
  <c r="CM543" i="30"/>
  <c r="CN543" i="30"/>
  <c r="CO543" i="30"/>
  <c r="CP543" i="30"/>
  <c r="CQ543" i="30"/>
  <c r="CR543" i="30"/>
  <c r="CS543" i="30"/>
  <c r="CT543" i="30"/>
  <c r="CU543" i="30"/>
  <c r="CV543" i="30"/>
  <c r="CW543" i="30"/>
  <c r="CX543" i="30"/>
  <c r="CY543" i="30"/>
  <c r="CZ543" i="30"/>
  <c r="DA543" i="30"/>
  <c r="DB543" i="30"/>
  <c r="DC543" i="30"/>
  <c r="DD543" i="30"/>
  <c r="DE543" i="30"/>
  <c r="DF543" i="30"/>
  <c r="DG543" i="30"/>
  <c r="DH543" i="30"/>
  <c r="DI543" i="30"/>
  <c r="DJ543" i="30"/>
  <c r="DK543" i="30"/>
  <c r="DL543" i="30"/>
  <c r="DM543" i="30"/>
  <c r="DN543" i="30"/>
  <c r="DO543" i="30"/>
  <c r="DP543" i="30"/>
  <c r="DQ543" i="30"/>
  <c r="DR543" i="30"/>
  <c r="DS543" i="30"/>
  <c r="DT543" i="30"/>
  <c r="DU543" i="30"/>
  <c r="DV543" i="30"/>
  <c r="DW543" i="30"/>
  <c r="DX543" i="30"/>
  <c r="DY543" i="30"/>
  <c r="DZ543" i="30"/>
  <c r="EA543" i="30"/>
  <c r="EB543" i="30"/>
  <c r="EC543" i="30"/>
  <c r="ED543" i="30"/>
  <c r="EE543" i="30"/>
  <c r="EF543" i="30"/>
  <c r="EG543" i="30"/>
  <c r="EH543" i="30"/>
  <c r="EI543" i="30"/>
  <c r="EJ543" i="30"/>
  <c r="EK543" i="30"/>
  <c r="EL543" i="30"/>
  <c r="EM543" i="30"/>
  <c r="EN543" i="30"/>
  <c r="EO543" i="30"/>
  <c r="EP543" i="30"/>
  <c r="EQ543" i="30"/>
  <c r="ER543" i="30"/>
  <c r="ES543" i="30"/>
  <c r="ET543" i="30"/>
  <c r="EU543" i="30"/>
  <c r="EV543" i="30"/>
  <c r="EW543" i="30"/>
  <c r="EX543" i="30"/>
  <c r="EY543" i="30"/>
  <c r="EZ543" i="30"/>
  <c r="FA543" i="30"/>
  <c r="FB543" i="30"/>
  <c r="FC543" i="30"/>
  <c r="FD543" i="30"/>
  <c r="FE543" i="30"/>
  <c r="FF543" i="30"/>
  <c r="FG543" i="30"/>
  <c r="FH543" i="30"/>
  <c r="FI543" i="30"/>
  <c r="FJ543" i="30"/>
  <c r="FK543" i="30"/>
  <c r="FL543" i="30"/>
  <c r="FM543" i="30"/>
  <c r="FN543" i="30"/>
  <c r="FO543" i="30"/>
  <c r="FP543" i="30"/>
  <c r="FQ543" i="30"/>
  <c r="FR543" i="30"/>
  <c r="FS543" i="30"/>
  <c r="FT543" i="30"/>
  <c r="FU543" i="30"/>
  <c r="FV543" i="30"/>
  <c r="FW543" i="30"/>
  <c r="FX543" i="30"/>
  <c r="FY543" i="30"/>
  <c r="FZ543" i="30"/>
  <c r="GA543" i="30"/>
  <c r="GB543" i="30"/>
  <c r="GC543" i="30"/>
  <c r="GD543" i="30"/>
  <c r="GE543" i="30"/>
  <c r="GF543" i="30"/>
  <c r="GG543" i="30"/>
  <c r="GH543" i="30"/>
  <c r="GI543" i="30"/>
  <c r="GJ543" i="30"/>
  <c r="GK543" i="30"/>
  <c r="GL543" i="30"/>
  <c r="GM543" i="30"/>
  <c r="GN543" i="30"/>
  <c r="GO543" i="30"/>
  <c r="GP543" i="30"/>
  <c r="GQ543" i="30"/>
  <c r="GR543" i="30"/>
  <c r="GS543" i="30"/>
  <c r="GT543" i="30"/>
  <c r="GU543" i="30"/>
  <c r="GV543" i="30"/>
  <c r="GW543" i="30"/>
  <c r="GX543" i="30"/>
  <c r="GY543" i="30"/>
  <c r="GZ543" i="30"/>
  <c r="HA543" i="30"/>
  <c r="HB543" i="30"/>
  <c r="HC543" i="30"/>
  <c r="HD543" i="30"/>
  <c r="HE543" i="30"/>
  <c r="HF543" i="30"/>
  <c r="HG543" i="30"/>
  <c r="HH543" i="30"/>
  <c r="HI543" i="30"/>
  <c r="HJ543" i="30"/>
  <c r="HK543" i="30"/>
  <c r="HL543" i="30"/>
  <c r="HM543" i="30"/>
  <c r="HN543" i="30"/>
  <c r="HO543" i="30"/>
  <c r="HP543" i="30"/>
  <c r="HQ543" i="30"/>
  <c r="HR543" i="30"/>
  <c r="HS543" i="30"/>
  <c r="HT543" i="30"/>
  <c r="HU543" i="30"/>
  <c r="HV543" i="30"/>
  <c r="HW543" i="30"/>
  <c r="HX543" i="30"/>
  <c r="HY543" i="30"/>
  <c r="HZ543" i="30"/>
  <c r="IA543" i="30"/>
  <c r="IB543" i="30"/>
  <c r="IC543" i="30"/>
  <c r="ID543" i="30"/>
  <c r="IE543" i="30"/>
  <c r="IF543" i="30"/>
  <c r="IG543" i="30"/>
  <c r="IH543" i="30"/>
  <c r="II543" i="30"/>
  <c r="IJ543" i="30"/>
  <c r="IK543" i="30"/>
  <c r="IL543" i="30"/>
  <c r="IM543" i="30"/>
  <c r="IN543" i="30"/>
  <c r="IO543" i="30"/>
  <c r="IP543" i="30"/>
  <c r="IQ543" i="30"/>
  <c r="IR543" i="30"/>
  <c r="IS543" i="30"/>
  <c r="IT543" i="30"/>
  <c r="IU543" i="30"/>
  <c r="IV543" i="30"/>
  <c r="A542" i="30"/>
  <c r="B542" i="30"/>
  <c r="C542" i="30"/>
  <c r="D542" i="30"/>
  <c r="E542" i="30"/>
  <c r="F542" i="30"/>
  <c r="G542" i="30"/>
  <c r="H542" i="30"/>
  <c r="I542" i="30"/>
  <c r="J542" i="30"/>
  <c r="K542" i="30"/>
  <c r="L542" i="30"/>
  <c r="M542" i="30"/>
  <c r="N542" i="30"/>
  <c r="O542" i="30"/>
  <c r="P542" i="30"/>
  <c r="Q542" i="30"/>
  <c r="R542" i="30"/>
  <c r="S542" i="30"/>
  <c r="T542" i="30"/>
  <c r="U542" i="30"/>
  <c r="V542" i="30"/>
  <c r="W542" i="30"/>
  <c r="X542" i="30"/>
  <c r="Y542" i="30"/>
  <c r="Z542" i="30"/>
  <c r="AA542" i="30"/>
  <c r="AB542" i="30"/>
  <c r="AC542" i="30"/>
  <c r="AD542" i="30"/>
  <c r="AE542" i="30"/>
  <c r="AF542" i="30"/>
  <c r="AG542" i="30"/>
  <c r="AH542" i="30"/>
  <c r="AI542" i="30"/>
  <c r="AJ542" i="30"/>
  <c r="AK542" i="30"/>
  <c r="AL542" i="30"/>
  <c r="AM542" i="30"/>
  <c r="AN542" i="30"/>
  <c r="AO542" i="30"/>
  <c r="AP542" i="30"/>
  <c r="AQ542" i="30"/>
  <c r="AR542" i="30"/>
  <c r="AS542" i="30"/>
  <c r="AT542" i="30"/>
  <c r="AU542" i="30"/>
  <c r="AV542" i="30"/>
  <c r="AW542" i="30"/>
  <c r="AX542" i="30"/>
  <c r="AY542" i="30"/>
  <c r="AZ542" i="30"/>
  <c r="BA542" i="30"/>
  <c r="BB542" i="30"/>
  <c r="BC542" i="30"/>
  <c r="BD542" i="30"/>
  <c r="BE542" i="30"/>
  <c r="BF542" i="30"/>
  <c r="BG542" i="30"/>
  <c r="BH542" i="30"/>
  <c r="BI542" i="30"/>
  <c r="BJ542" i="30"/>
  <c r="BK542" i="30"/>
  <c r="BL542" i="30"/>
  <c r="BM542" i="30"/>
  <c r="BN542" i="30"/>
  <c r="BO542" i="30"/>
  <c r="BP542" i="30"/>
  <c r="BQ542" i="30"/>
  <c r="BR542" i="30"/>
  <c r="BS542" i="30"/>
  <c r="BT542" i="30"/>
  <c r="BU542" i="30"/>
  <c r="BV542" i="30"/>
  <c r="BW542" i="30"/>
  <c r="BX542" i="30"/>
  <c r="BY542" i="30"/>
  <c r="BZ542" i="30"/>
  <c r="CA542" i="30"/>
  <c r="CB542" i="30"/>
  <c r="CC542" i="30"/>
  <c r="CD542" i="30"/>
  <c r="CE542" i="30"/>
  <c r="CF542" i="30"/>
  <c r="CG542" i="30"/>
  <c r="CH542" i="30"/>
  <c r="CI542" i="30"/>
  <c r="CJ542" i="30"/>
  <c r="CK542" i="30"/>
  <c r="CL542" i="30"/>
  <c r="CM542" i="30"/>
  <c r="CN542" i="30"/>
  <c r="CO542" i="30"/>
  <c r="CP542" i="30"/>
  <c r="CQ542" i="30"/>
  <c r="CR542" i="30"/>
  <c r="CS542" i="30"/>
  <c r="CT542" i="30"/>
  <c r="CU542" i="30"/>
  <c r="CV542" i="30"/>
  <c r="CW542" i="30"/>
  <c r="CX542" i="30"/>
  <c r="CY542" i="30"/>
  <c r="CZ542" i="30"/>
  <c r="DA542" i="30"/>
  <c r="DB542" i="30"/>
  <c r="DC542" i="30"/>
  <c r="DD542" i="30"/>
  <c r="DE542" i="30"/>
  <c r="DF542" i="30"/>
  <c r="DG542" i="30"/>
  <c r="DH542" i="30"/>
  <c r="DI542" i="30"/>
  <c r="DJ542" i="30"/>
  <c r="DK542" i="30"/>
  <c r="DL542" i="30"/>
  <c r="DM542" i="30"/>
  <c r="DN542" i="30"/>
  <c r="DO542" i="30"/>
  <c r="DP542" i="30"/>
  <c r="DQ542" i="30"/>
  <c r="DR542" i="30"/>
  <c r="DS542" i="30"/>
  <c r="DT542" i="30"/>
  <c r="DU542" i="30"/>
  <c r="DV542" i="30"/>
  <c r="DW542" i="30"/>
  <c r="DX542" i="30"/>
  <c r="DY542" i="30"/>
  <c r="DZ542" i="30"/>
  <c r="EA542" i="30"/>
  <c r="EB542" i="30"/>
  <c r="EC542" i="30"/>
  <c r="ED542" i="30"/>
  <c r="EE542" i="30"/>
  <c r="EF542" i="30"/>
  <c r="EG542" i="30"/>
  <c r="EH542" i="30"/>
  <c r="EI542" i="30"/>
  <c r="EJ542" i="30"/>
  <c r="EK542" i="30"/>
  <c r="EL542" i="30"/>
  <c r="EM542" i="30"/>
  <c r="EN542" i="30"/>
  <c r="EO542" i="30"/>
  <c r="EP542" i="30"/>
  <c r="EQ542" i="30"/>
  <c r="ER542" i="30"/>
  <c r="ES542" i="30"/>
  <c r="ET542" i="30"/>
  <c r="EU542" i="30"/>
  <c r="EV542" i="30"/>
  <c r="EW542" i="30"/>
  <c r="EX542" i="30"/>
  <c r="EY542" i="30"/>
  <c r="EZ542" i="30"/>
  <c r="FA542" i="30"/>
  <c r="FB542" i="30"/>
  <c r="FC542" i="30"/>
  <c r="FD542" i="30"/>
  <c r="FE542" i="30"/>
  <c r="FF542" i="30"/>
  <c r="FG542" i="30"/>
  <c r="FH542" i="30"/>
  <c r="FI542" i="30"/>
  <c r="FJ542" i="30"/>
  <c r="FK542" i="30"/>
  <c r="FL542" i="30"/>
  <c r="FM542" i="30"/>
  <c r="FN542" i="30"/>
  <c r="FO542" i="30"/>
  <c r="FP542" i="30"/>
  <c r="FQ542" i="30"/>
  <c r="FR542" i="30"/>
  <c r="FS542" i="30"/>
  <c r="FT542" i="30"/>
  <c r="FU542" i="30"/>
  <c r="FV542" i="30"/>
  <c r="FW542" i="30"/>
  <c r="FX542" i="30"/>
  <c r="FY542" i="30"/>
  <c r="FZ542" i="30"/>
  <c r="GA542" i="30"/>
  <c r="GB542" i="30"/>
  <c r="GC542" i="30"/>
  <c r="GD542" i="30"/>
  <c r="GE542" i="30"/>
  <c r="GF542" i="30"/>
  <c r="GG542" i="30"/>
  <c r="GH542" i="30"/>
  <c r="GI542" i="30"/>
  <c r="GJ542" i="30"/>
  <c r="GK542" i="30"/>
  <c r="GL542" i="30"/>
  <c r="GM542" i="30"/>
  <c r="GN542" i="30"/>
  <c r="GO542" i="30"/>
  <c r="GP542" i="30"/>
  <c r="GQ542" i="30"/>
  <c r="GR542" i="30"/>
  <c r="GS542" i="30"/>
  <c r="GT542" i="30"/>
  <c r="GU542" i="30"/>
  <c r="GV542" i="30"/>
  <c r="GW542" i="30"/>
  <c r="GX542" i="30"/>
  <c r="GY542" i="30"/>
  <c r="GZ542" i="30"/>
  <c r="HA542" i="30"/>
  <c r="HB542" i="30"/>
  <c r="HC542" i="30"/>
  <c r="HD542" i="30"/>
  <c r="HE542" i="30"/>
  <c r="HF542" i="30"/>
  <c r="HG542" i="30"/>
  <c r="HH542" i="30"/>
  <c r="HI542" i="30"/>
  <c r="HJ542" i="30"/>
  <c r="HK542" i="30"/>
  <c r="HL542" i="30"/>
  <c r="HM542" i="30"/>
  <c r="HN542" i="30"/>
  <c r="HO542" i="30"/>
  <c r="HP542" i="30"/>
  <c r="HQ542" i="30"/>
  <c r="HR542" i="30"/>
  <c r="HS542" i="30"/>
  <c r="HT542" i="30"/>
  <c r="HU542" i="30"/>
  <c r="HV542" i="30"/>
  <c r="HW542" i="30"/>
  <c r="HX542" i="30"/>
  <c r="HY542" i="30"/>
  <c r="HZ542" i="30"/>
  <c r="IA542" i="30"/>
  <c r="IB542" i="30"/>
  <c r="IC542" i="30"/>
  <c r="ID542" i="30"/>
  <c r="IE542" i="30"/>
  <c r="IF542" i="30"/>
  <c r="IG542" i="30"/>
  <c r="IH542" i="30"/>
  <c r="II542" i="30"/>
  <c r="IJ542" i="30"/>
  <c r="IK542" i="30"/>
  <c r="IL542" i="30"/>
  <c r="IM542" i="30"/>
  <c r="IN542" i="30"/>
  <c r="IO542" i="30"/>
  <c r="IP542" i="30"/>
  <c r="IQ542" i="30"/>
  <c r="IR542" i="30"/>
  <c r="IS542" i="30"/>
  <c r="IT542" i="30"/>
  <c r="IU542" i="30"/>
  <c r="IV542" i="30"/>
  <c r="A541" i="30"/>
  <c r="B541" i="30"/>
  <c r="C541" i="30"/>
  <c r="D541" i="30"/>
  <c r="E541" i="30"/>
  <c r="F541" i="30"/>
  <c r="G541" i="30"/>
  <c r="H541" i="30"/>
  <c r="I541" i="30"/>
  <c r="J541" i="30"/>
  <c r="K541" i="30"/>
  <c r="L541" i="30"/>
  <c r="M541" i="30"/>
  <c r="N541" i="30"/>
  <c r="O541" i="30"/>
  <c r="P541" i="30"/>
  <c r="Q541" i="30"/>
  <c r="R541" i="30"/>
  <c r="S541" i="30"/>
  <c r="T541" i="30"/>
  <c r="U541" i="30"/>
  <c r="V541" i="30"/>
  <c r="W541" i="30"/>
  <c r="X541" i="30"/>
  <c r="Y541" i="30"/>
  <c r="Z541" i="30"/>
  <c r="AA541" i="30"/>
  <c r="AB541" i="30"/>
  <c r="AC541" i="30"/>
  <c r="AD541" i="30"/>
  <c r="AE541" i="30"/>
  <c r="AF541" i="30"/>
  <c r="AG541" i="30"/>
  <c r="AH541" i="30"/>
  <c r="AI541" i="30"/>
  <c r="AJ541" i="30"/>
  <c r="AK541" i="30"/>
  <c r="AL541" i="30"/>
  <c r="AM541" i="30"/>
  <c r="AN541" i="30"/>
  <c r="AO541" i="30"/>
  <c r="AP541" i="30"/>
  <c r="AQ541" i="30"/>
  <c r="AR541" i="30"/>
  <c r="AS541" i="30"/>
  <c r="AT541" i="30"/>
  <c r="AU541" i="30"/>
  <c r="AV541" i="30"/>
  <c r="AW541" i="30"/>
  <c r="AX541" i="30"/>
  <c r="AY541" i="30"/>
  <c r="AZ541" i="30"/>
  <c r="BA541" i="30"/>
  <c r="BB541" i="30"/>
  <c r="BC541" i="30"/>
  <c r="BD541" i="30"/>
  <c r="BE541" i="30"/>
  <c r="BF541" i="30"/>
  <c r="BG541" i="30"/>
  <c r="BH541" i="30"/>
  <c r="BI541" i="30"/>
  <c r="BJ541" i="30"/>
  <c r="BK541" i="30"/>
  <c r="BL541" i="30"/>
  <c r="BM541" i="30"/>
  <c r="BN541" i="30"/>
  <c r="BO541" i="30"/>
  <c r="BP541" i="30"/>
  <c r="BQ541" i="30"/>
  <c r="BR541" i="30"/>
  <c r="BS541" i="30"/>
  <c r="BT541" i="30"/>
  <c r="BU541" i="30"/>
  <c r="BV541" i="30"/>
  <c r="BW541" i="30"/>
  <c r="BX541" i="30"/>
  <c r="BY541" i="30"/>
  <c r="BZ541" i="30"/>
  <c r="CA541" i="30"/>
  <c r="CB541" i="30"/>
  <c r="CC541" i="30"/>
  <c r="CD541" i="30"/>
  <c r="CE541" i="30"/>
  <c r="CF541" i="30"/>
  <c r="CG541" i="30"/>
  <c r="CH541" i="30"/>
  <c r="CI541" i="30"/>
  <c r="CJ541" i="30"/>
  <c r="CK541" i="30"/>
  <c r="CL541" i="30"/>
  <c r="CM541" i="30"/>
  <c r="CN541" i="30"/>
  <c r="CO541" i="30"/>
  <c r="CP541" i="30"/>
  <c r="CQ541" i="30"/>
  <c r="CR541" i="30"/>
  <c r="CS541" i="30"/>
  <c r="CT541" i="30"/>
  <c r="CU541" i="30"/>
  <c r="CV541" i="30"/>
  <c r="CW541" i="30"/>
  <c r="CX541" i="30"/>
  <c r="CY541" i="30"/>
  <c r="CZ541" i="30"/>
  <c r="DA541" i="30"/>
  <c r="DB541" i="30"/>
  <c r="DC541" i="30"/>
  <c r="DD541" i="30"/>
  <c r="DE541" i="30"/>
  <c r="DF541" i="30"/>
  <c r="DG541" i="30"/>
  <c r="DH541" i="30"/>
  <c r="DI541" i="30"/>
  <c r="DJ541" i="30"/>
  <c r="DK541" i="30"/>
  <c r="DL541" i="30"/>
  <c r="DM541" i="30"/>
  <c r="DN541" i="30"/>
  <c r="DO541" i="30"/>
  <c r="DP541" i="30"/>
  <c r="DQ541" i="30"/>
  <c r="DR541" i="30"/>
  <c r="DS541" i="30"/>
  <c r="DT541" i="30"/>
  <c r="DU541" i="30"/>
  <c r="DV541" i="30"/>
  <c r="DW541" i="30"/>
  <c r="DX541" i="30"/>
  <c r="DY541" i="30"/>
  <c r="DZ541" i="30"/>
  <c r="EA541" i="30"/>
  <c r="EB541" i="30"/>
  <c r="EC541" i="30"/>
  <c r="ED541" i="30"/>
  <c r="EE541" i="30"/>
  <c r="EF541" i="30"/>
  <c r="EG541" i="30"/>
  <c r="EH541" i="30"/>
  <c r="EI541" i="30"/>
  <c r="EJ541" i="30"/>
  <c r="EK541" i="30"/>
  <c r="EL541" i="30"/>
  <c r="EM541" i="30"/>
  <c r="EN541" i="30"/>
  <c r="EO541" i="30"/>
  <c r="EP541" i="30"/>
  <c r="EQ541" i="30"/>
  <c r="ER541" i="30"/>
  <c r="ES541" i="30"/>
  <c r="ET541" i="30"/>
  <c r="EU541" i="30"/>
  <c r="EV541" i="30"/>
  <c r="EW541" i="30"/>
  <c r="EX541" i="30"/>
  <c r="EY541" i="30"/>
  <c r="EZ541" i="30"/>
  <c r="FA541" i="30"/>
  <c r="FB541" i="30"/>
  <c r="FC541" i="30"/>
  <c r="FD541" i="30"/>
  <c r="FE541" i="30"/>
  <c r="FF541" i="30"/>
  <c r="FG541" i="30"/>
  <c r="FH541" i="30"/>
  <c r="FI541" i="30"/>
  <c r="FJ541" i="30"/>
  <c r="FK541" i="30"/>
  <c r="FL541" i="30"/>
  <c r="FM541" i="30"/>
  <c r="FN541" i="30"/>
  <c r="FO541" i="30"/>
  <c r="FP541" i="30"/>
  <c r="FQ541" i="30"/>
  <c r="FR541" i="30"/>
  <c r="FS541" i="30"/>
  <c r="FT541" i="30"/>
  <c r="FU541" i="30"/>
  <c r="FV541" i="30"/>
  <c r="FW541" i="30"/>
  <c r="FX541" i="30"/>
  <c r="FY541" i="30"/>
  <c r="FZ541" i="30"/>
  <c r="GA541" i="30"/>
  <c r="GB541" i="30"/>
  <c r="GC541" i="30"/>
  <c r="GD541" i="30"/>
  <c r="GE541" i="30"/>
  <c r="GF541" i="30"/>
  <c r="GG541" i="30"/>
  <c r="GH541" i="30"/>
  <c r="GI541" i="30"/>
  <c r="GJ541" i="30"/>
  <c r="GK541" i="30"/>
  <c r="GL541" i="30"/>
  <c r="GM541" i="30"/>
  <c r="GN541" i="30"/>
  <c r="GO541" i="30"/>
  <c r="GP541" i="30"/>
  <c r="GQ541" i="30"/>
  <c r="GR541" i="30"/>
  <c r="GS541" i="30"/>
  <c r="GT541" i="30"/>
  <c r="GU541" i="30"/>
  <c r="GV541" i="30"/>
  <c r="GW541" i="30"/>
  <c r="GX541" i="30"/>
  <c r="GY541" i="30"/>
  <c r="GZ541" i="30"/>
  <c r="HA541" i="30"/>
  <c r="HB541" i="30"/>
  <c r="HC541" i="30"/>
  <c r="HD541" i="30"/>
  <c r="HE541" i="30"/>
  <c r="HF541" i="30"/>
  <c r="HG541" i="30"/>
  <c r="HH541" i="30"/>
  <c r="HI541" i="30"/>
  <c r="HJ541" i="30"/>
  <c r="HK541" i="30"/>
  <c r="HL541" i="30"/>
  <c r="HM541" i="30"/>
  <c r="HN541" i="30"/>
  <c r="HO541" i="30"/>
  <c r="HP541" i="30"/>
  <c r="HQ541" i="30"/>
  <c r="HR541" i="30"/>
  <c r="HS541" i="30"/>
  <c r="HT541" i="30"/>
  <c r="HU541" i="30"/>
  <c r="HV541" i="30"/>
  <c r="HW541" i="30"/>
  <c r="HX541" i="30"/>
  <c r="HY541" i="30"/>
  <c r="HZ541" i="30"/>
  <c r="IA541" i="30"/>
  <c r="IB541" i="30"/>
  <c r="IC541" i="30"/>
  <c r="ID541" i="30"/>
  <c r="IE541" i="30"/>
  <c r="IF541" i="30"/>
  <c r="IG541" i="30"/>
  <c r="IH541" i="30"/>
  <c r="II541" i="30"/>
  <c r="IJ541" i="30"/>
  <c r="IK541" i="30"/>
  <c r="IL541" i="30"/>
  <c r="IM541" i="30"/>
  <c r="IN541" i="30"/>
  <c r="IO541" i="30"/>
  <c r="IP541" i="30"/>
  <c r="IQ541" i="30"/>
  <c r="IR541" i="30"/>
  <c r="IS541" i="30"/>
  <c r="IT541" i="30"/>
  <c r="IU541" i="30"/>
  <c r="IV541" i="30"/>
  <c r="A540" i="30"/>
  <c r="B540" i="30"/>
  <c r="C540" i="30"/>
  <c r="D540" i="30"/>
  <c r="E540" i="30"/>
  <c r="F540" i="30"/>
  <c r="G540" i="30"/>
  <c r="H540" i="30"/>
  <c r="I540" i="30"/>
  <c r="J540" i="30"/>
  <c r="K540" i="30"/>
  <c r="L540" i="30"/>
  <c r="M540" i="30"/>
  <c r="N540" i="30"/>
  <c r="O540" i="30"/>
  <c r="P540" i="30"/>
  <c r="Q540" i="30"/>
  <c r="R540" i="30"/>
  <c r="S540" i="30"/>
  <c r="T540" i="30"/>
  <c r="U540" i="30"/>
  <c r="V540" i="30"/>
  <c r="W540" i="30"/>
  <c r="X540" i="30"/>
  <c r="Y540" i="30"/>
  <c r="Z540" i="30"/>
  <c r="AA540" i="30"/>
  <c r="AB540" i="30"/>
  <c r="AC540" i="30"/>
  <c r="AD540" i="30"/>
  <c r="AE540" i="30"/>
  <c r="AF540" i="30"/>
  <c r="AG540" i="30"/>
  <c r="AH540" i="30"/>
  <c r="AI540" i="30"/>
  <c r="AJ540" i="30"/>
  <c r="AK540" i="30"/>
  <c r="AL540" i="30"/>
  <c r="AM540" i="30"/>
  <c r="AN540" i="30"/>
  <c r="AO540" i="30"/>
  <c r="AP540" i="30"/>
  <c r="AQ540" i="30"/>
  <c r="AR540" i="30"/>
  <c r="AS540" i="30"/>
  <c r="AT540" i="30"/>
  <c r="AU540" i="30"/>
  <c r="AV540" i="30"/>
  <c r="AW540" i="30"/>
  <c r="AX540" i="30"/>
  <c r="AY540" i="30"/>
  <c r="AZ540" i="30"/>
  <c r="BA540" i="30"/>
  <c r="BB540" i="30"/>
  <c r="BC540" i="30"/>
  <c r="BD540" i="30"/>
  <c r="BE540" i="30"/>
  <c r="BF540" i="30"/>
  <c r="BG540" i="30"/>
  <c r="BH540" i="30"/>
  <c r="BI540" i="30"/>
  <c r="BJ540" i="30"/>
  <c r="BK540" i="30"/>
  <c r="BL540" i="30"/>
  <c r="BM540" i="30"/>
  <c r="BN540" i="30"/>
  <c r="BO540" i="30"/>
  <c r="BP540" i="30"/>
  <c r="BQ540" i="30"/>
  <c r="BR540" i="30"/>
  <c r="BS540" i="30"/>
  <c r="BT540" i="30"/>
  <c r="BU540" i="30"/>
  <c r="BV540" i="30"/>
  <c r="BW540" i="30"/>
  <c r="BX540" i="30"/>
  <c r="BY540" i="30"/>
  <c r="BZ540" i="30"/>
  <c r="CA540" i="30"/>
  <c r="CB540" i="30"/>
  <c r="CC540" i="30"/>
  <c r="CD540" i="30"/>
  <c r="CE540" i="30"/>
  <c r="CF540" i="30"/>
  <c r="CG540" i="30"/>
  <c r="CH540" i="30"/>
  <c r="CI540" i="30"/>
  <c r="CJ540" i="30"/>
  <c r="CK540" i="30"/>
  <c r="CL540" i="30"/>
  <c r="CM540" i="30"/>
  <c r="CN540" i="30"/>
  <c r="CO540" i="30"/>
  <c r="CP540" i="30"/>
  <c r="CQ540" i="30"/>
  <c r="CR540" i="30"/>
  <c r="CS540" i="30"/>
  <c r="CT540" i="30"/>
  <c r="CU540" i="30"/>
  <c r="CV540" i="30"/>
  <c r="CW540" i="30"/>
  <c r="CX540" i="30"/>
  <c r="CY540" i="30"/>
  <c r="CZ540" i="30"/>
  <c r="DA540" i="30"/>
  <c r="DB540" i="30"/>
  <c r="DC540" i="30"/>
  <c r="DD540" i="30"/>
  <c r="DE540" i="30"/>
  <c r="DF540" i="30"/>
  <c r="DG540" i="30"/>
  <c r="DH540" i="30"/>
  <c r="DI540" i="30"/>
  <c r="DJ540" i="30"/>
  <c r="DK540" i="30"/>
  <c r="DL540" i="30"/>
  <c r="DM540" i="30"/>
  <c r="DN540" i="30"/>
  <c r="DO540" i="30"/>
  <c r="DP540" i="30"/>
  <c r="DQ540" i="30"/>
  <c r="DR540" i="30"/>
  <c r="DS540" i="30"/>
  <c r="DT540" i="30"/>
  <c r="DU540" i="30"/>
  <c r="DV540" i="30"/>
  <c r="DW540" i="30"/>
  <c r="DX540" i="30"/>
  <c r="DY540" i="30"/>
  <c r="DZ540" i="30"/>
  <c r="EA540" i="30"/>
  <c r="EB540" i="30"/>
  <c r="EC540" i="30"/>
  <c r="ED540" i="30"/>
  <c r="EE540" i="30"/>
  <c r="EF540" i="30"/>
  <c r="EG540" i="30"/>
  <c r="EH540" i="30"/>
  <c r="EI540" i="30"/>
  <c r="EJ540" i="30"/>
  <c r="EK540" i="30"/>
  <c r="EL540" i="30"/>
  <c r="EM540" i="30"/>
  <c r="EN540" i="30"/>
  <c r="EO540" i="30"/>
  <c r="EP540" i="30"/>
  <c r="EQ540" i="30"/>
  <c r="ER540" i="30"/>
  <c r="ES540" i="30"/>
  <c r="ET540" i="30"/>
  <c r="EU540" i="30"/>
  <c r="EV540" i="30"/>
  <c r="EW540" i="30"/>
  <c r="EX540" i="30"/>
  <c r="EY540" i="30"/>
  <c r="EZ540" i="30"/>
  <c r="FA540" i="30"/>
  <c r="FB540" i="30"/>
  <c r="FC540" i="30"/>
  <c r="FD540" i="30"/>
  <c r="FE540" i="30"/>
  <c r="FF540" i="30"/>
  <c r="FG540" i="30"/>
  <c r="FH540" i="30"/>
  <c r="FI540" i="30"/>
  <c r="FJ540" i="30"/>
  <c r="FK540" i="30"/>
  <c r="FL540" i="30"/>
  <c r="FM540" i="30"/>
  <c r="FN540" i="30"/>
  <c r="FO540" i="30"/>
  <c r="FP540" i="30"/>
  <c r="FQ540" i="30"/>
  <c r="FR540" i="30"/>
  <c r="FS540" i="30"/>
  <c r="FT540" i="30"/>
  <c r="FU540" i="30"/>
  <c r="FV540" i="30"/>
  <c r="FW540" i="30"/>
  <c r="FX540" i="30"/>
  <c r="FY540" i="30"/>
  <c r="FZ540" i="30"/>
  <c r="GA540" i="30"/>
  <c r="GB540" i="30"/>
  <c r="GC540" i="30"/>
  <c r="GD540" i="30"/>
  <c r="GE540" i="30"/>
  <c r="GF540" i="30"/>
  <c r="GG540" i="30"/>
  <c r="GH540" i="30"/>
  <c r="GI540" i="30"/>
  <c r="GJ540" i="30"/>
  <c r="GK540" i="30"/>
  <c r="GL540" i="30"/>
  <c r="GM540" i="30"/>
  <c r="GN540" i="30"/>
  <c r="GO540" i="30"/>
  <c r="GP540" i="30"/>
  <c r="GQ540" i="30"/>
  <c r="GR540" i="30"/>
  <c r="GS540" i="30"/>
  <c r="GT540" i="30"/>
  <c r="GU540" i="30"/>
  <c r="GV540" i="30"/>
  <c r="GW540" i="30"/>
  <c r="GX540" i="30"/>
  <c r="GY540" i="30"/>
  <c r="GZ540" i="30"/>
  <c r="HA540" i="30"/>
  <c r="HB540" i="30"/>
  <c r="HC540" i="30"/>
  <c r="HD540" i="30"/>
  <c r="HE540" i="30"/>
  <c r="HF540" i="30"/>
  <c r="HG540" i="30"/>
  <c r="HH540" i="30"/>
  <c r="HI540" i="30"/>
  <c r="HJ540" i="30"/>
  <c r="HK540" i="30"/>
  <c r="HL540" i="30"/>
  <c r="HM540" i="30"/>
  <c r="HN540" i="30"/>
  <c r="HO540" i="30"/>
  <c r="HP540" i="30"/>
  <c r="HQ540" i="30"/>
  <c r="HR540" i="30"/>
  <c r="HS540" i="30"/>
  <c r="HT540" i="30"/>
  <c r="HU540" i="30"/>
  <c r="HV540" i="30"/>
  <c r="HW540" i="30"/>
  <c r="HX540" i="30"/>
  <c r="HY540" i="30"/>
  <c r="HZ540" i="30"/>
  <c r="IA540" i="30"/>
  <c r="IB540" i="30"/>
  <c r="IC540" i="30"/>
  <c r="ID540" i="30"/>
  <c r="IE540" i="30"/>
  <c r="IF540" i="30"/>
  <c r="IG540" i="30"/>
  <c r="IH540" i="30"/>
  <c r="II540" i="30"/>
  <c r="IJ540" i="30"/>
  <c r="IK540" i="30"/>
  <c r="IL540" i="30"/>
  <c r="IM540" i="30"/>
  <c r="IN540" i="30"/>
  <c r="IO540" i="30"/>
  <c r="IP540" i="30"/>
  <c r="IQ540" i="30"/>
  <c r="IR540" i="30"/>
  <c r="IS540" i="30"/>
  <c r="IT540" i="30"/>
  <c r="IU540" i="30"/>
  <c r="IV540" i="30"/>
  <c r="A539" i="30"/>
  <c r="B539" i="30"/>
  <c r="C539" i="30"/>
  <c r="D539" i="30"/>
  <c r="E539" i="30"/>
  <c r="F539" i="30"/>
  <c r="G539" i="30"/>
  <c r="H539" i="30"/>
  <c r="I539" i="30"/>
  <c r="J539" i="30"/>
  <c r="K539" i="30"/>
  <c r="L539" i="30"/>
  <c r="M539" i="30"/>
  <c r="N539" i="30"/>
  <c r="O539" i="30"/>
  <c r="P539" i="30"/>
  <c r="Q539" i="30"/>
  <c r="R539" i="30"/>
  <c r="S539" i="30"/>
  <c r="T539" i="30"/>
  <c r="U539" i="30"/>
  <c r="V539" i="30"/>
  <c r="W539" i="30"/>
  <c r="X539" i="30"/>
  <c r="Y539" i="30"/>
  <c r="Z539" i="30"/>
  <c r="AA539" i="30"/>
  <c r="AB539" i="30"/>
  <c r="AC539" i="30"/>
  <c r="AD539" i="30"/>
  <c r="AE539" i="30"/>
  <c r="AF539" i="30"/>
  <c r="AG539" i="30"/>
  <c r="AH539" i="30"/>
  <c r="AI539" i="30"/>
  <c r="AJ539" i="30"/>
  <c r="AK539" i="30"/>
  <c r="AL539" i="30"/>
  <c r="AM539" i="30"/>
  <c r="AN539" i="30"/>
  <c r="AO539" i="30"/>
  <c r="AP539" i="30"/>
  <c r="AQ539" i="30"/>
  <c r="AR539" i="30"/>
  <c r="AS539" i="30"/>
  <c r="AT539" i="30"/>
  <c r="AU539" i="30"/>
  <c r="AV539" i="30"/>
  <c r="AW539" i="30"/>
  <c r="AX539" i="30"/>
  <c r="AY539" i="30"/>
  <c r="AZ539" i="30"/>
  <c r="BA539" i="30"/>
  <c r="BB539" i="30"/>
  <c r="BC539" i="30"/>
  <c r="BD539" i="30"/>
  <c r="BE539" i="30"/>
  <c r="BF539" i="30"/>
  <c r="BG539" i="30"/>
  <c r="BH539" i="30"/>
  <c r="BI539" i="30"/>
  <c r="BJ539" i="30"/>
  <c r="BK539" i="30"/>
  <c r="BL539" i="30"/>
  <c r="BM539" i="30"/>
  <c r="BN539" i="30"/>
  <c r="BO539" i="30"/>
  <c r="BP539" i="30"/>
  <c r="BQ539" i="30"/>
  <c r="BR539" i="30"/>
  <c r="BS539" i="30"/>
  <c r="BT539" i="30"/>
  <c r="BU539" i="30"/>
  <c r="BV539" i="30"/>
  <c r="BW539" i="30"/>
  <c r="BX539" i="30"/>
  <c r="BY539" i="30"/>
  <c r="BZ539" i="30"/>
  <c r="CA539" i="30"/>
  <c r="CB539" i="30"/>
  <c r="CC539" i="30"/>
  <c r="CD539" i="30"/>
  <c r="CE539" i="30"/>
  <c r="CF539" i="30"/>
  <c r="CG539" i="30"/>
  <c r="CH539" i="30"/>
  <c r="CI539" i="30"/>
  <c r="CJ539" i="30"/>
  <c r="CK539" i="30"/>
  <c r="CL539" i="30"/>
  <c r="CM539" i="30"/>
  <c r="CN539" i="30"/>
  <c r="CO539" i="30"/>
  <c r="CP539" i="30"/>
  <c r="CQ539" i="30"/>
  <c r="CR539" i="30"/>
  <c r="CS539" i="30"/>
  <c r="CT539" i="30"/>
  <c r="CU539" i="30"/>
  <c r="CV539" i="30"/>
  <c r="CW539" i="30"/>
  <c r="CX539" i="30"/>
  <c r="CY539" i="30"/>
  <c r="CZ539" i="30"/>
  <c r="DA539" i="30"/>
  <c r="DB539" i="30"/>
  <c r="DC539" i="30"/>
  <c r="DD539" i="30"/>
  <c r="DE539" i="30"/>
  <c r="DF539" i="30"/>
  <c r="DG539" i="30"/>
  <c r="DH539" i="30"/>
  <c r="DI539" i="30"/>
  <c r="DJ539" i="30"/>
  <c r="DK539" i="30"/>
  <c r="DL539" i="30"/>
  <c r="DM539" i="30"/>
  <c r="DN539" i="30"/>
  <c r="DO539" i="30"/>
  <c r="DP539" i="30"/>
  <c r="DQ539" i="30"/>
  <c r="DR539" i="30"/>
  <c r="DS539" i="30"/>
  <c r="DT539" i="30"/>
  <c r="DU539" i="30"/>
  <c r="DV539" i="30"/>
  <c r="DW539" i="30"/>
  <c r="DX539" i="30"/>
  <c r="DY539" i="30"/>
  <c r="DZ539" i="30"/>
  <c r="EA539" i="30"/>
  <c r="EB539" i="30"/>
  <c r="EC539" i="30"/>
  <c r="ED539" i="30"/>
  <c r="EE539" i="30"/>
  <c r="EF539" i="30"/>
  <c r="EG539" i="30"/>
  <c r="EH539" i="30"/>
  <c r="EI539" i="30"/>
  <c r="EJ539" i="30"/>
  <c r="EK539" i="30"/>
  <c r="EL539" i="30"/>
  <c r="EM539" i="30"/>
  <c r="EN539" i="30"/>
  <c r="EO539" i="30"/>
  <c r="EP539" i="30"/>
  <c r="EQ539" i="30"/>
  <c r="ER539" i="30"/>
  <c r="ES539" i="30"/>
  <c r="ET539" i="30"/>
  <c r="EU539" i="30"/>
  <c r="EV539" i="30"/>
  <c r="EW539" i="30"/>
  <c r="EX539" i="30"/>
  <c r="EY539" i="30"/>
  <c r="EZ539" i="30"/>
  <c r="FA539" i="30"/>
  <c r="FB539" i="30"/>
  <c r="FC539" i="30"/>
  <c r="FD539" i="30"/>
  <c r="FE539" i="30"/>
  <c r="FF539" i="30"/>
  <c r="FG539" i="30"/>
  <c r="FH539" i="30"/>
  <c r="FI539" i="30"/>
  <c r="FJ539" i="30"/>
  <c r="FK539" i="30"/>
  <c r="FL539" i="30"/>
  <c r="FM539" i="30"/>
  <c r="FN539" i="30"/>
  <c r="FO539" i="30"/>
  <c r="FP539" i="30"/>
  <c r="FQ539" i="30"/>
  <c r="FR539" i="30"/>
  <c r="FS539" i="30"/>
  <c r="FT539" i="30"/>
  <c r="FU539" i="30"/>
  <c r="FV539" i="30"/>
  <c r="FW539" i="30"/>
  <c r="FX539" i="30"/>
  <c r="FY539" i="30"/>
  <c r="FZ539" i="30"/>
  <c r="GA539" i="30"/>
  <c r="GB539" i="30"/>
  <c r="GC539" i="30"/>
  <c r="GD539" i="30"/>
  <c r="GE539" i="30"/>
  <c r="GF539" i="30"/>
  <c r="GG539" i="30"/>
  <c r="GH539" i="30"/>
  <c r="GI539" i="30"/>
  <c r="GJ539" i="30"/>
  <c r="GK539" i="30"/>
  <c r="GL539" i="30"/>
  <c r="GM539" i="30"/>
  <c r="GN539" i="30"/>
  <c r="GO539" i="30"/>
  <c r="GP539" i="30"/>
  <c r="GQ539" i="30"/>
  <c r="GR539" i="30"/>
  <c r="GS539" i="30"/>
  <c r="GT539" i="30"/>
  <c r="GU539" i="30"/>
  <c r="GV539" i="30"/>
  <c r="GW539" i="30"/>
  <c r="GX539" i="30"/>
  <c r="GY539" i="30"/>
  <c r="GZ539" i="30"/>
  <c r="HA539" i="30"/>
  <c r="HB539" i="30"/>
  <c r="HC539" i="30"/>
  <c r="HD539" i="30"/>
  <c r="HE539" i="30"/>
  <c r="HF539" i="30"/>
  <c r="HG539" i="30"/>
  <c r="HH539" i="30"/>
  <c r="HI539" i="30"/>
  <c r="HJ539" i="30"/>
  <c r="HK539" i="30"/>
  <c r="HL539" i="30"/>
  <c r="HM539" i="30"/>
  <c r="HN539" i="30"/>
  <c r="HO539" i="30"/>
  <c r="HP539" i="30"/>
  <c r="HQ539" i="30"/>
  <c r="HR539" i="30"/>
  <c r="HS539" i="30"/>
  <c r="HT539" i="30"/>
  <c r="HU539" i="30"/>
  <c r="HV539" i="30"/>
  <c r="HW539" i="30"/>
  <c r="HX539" i="30"/>
  <c r="HY539" i="30"/>
  <c r="HZ539" i="30"/>
  <c r="IA539" i="30"/>
  <c r="IB539" i="30"/>
  <c r="IC539" i="30"/>
  <c r="ID539" i="30"/>
  <c r="IE539" i="30"/>
  <c r="IF539" i="30"/>
  <c r="IG539" i="30"/>
  <c r="IH539" i="30"/>
  <c r="II539" i="30"/>
  <c r="IJ539" i="30"/>
  <c r="IK539" i="30"/>
  <c r="IL539" i="30"/>
  <c r="IM539" i="30"/>
  <c r="IN539" i="30"/>
  <c r="IO539" i="30"/>
  <c r="IP539" i="30"/>
  <c r="IQ539" i="30"/>
  <c r="IR539" i="30"/>
  <c r="IS539" i="30"/>
  <c r="IT539" i="30"/>
  <c r="IU539" i="30"/>
  <c r="IV539" i="30"/>
  <c r="A538" i="30"/>
  <c r="B538" i="30"/>
  <c r="C538" i="30"/>
  <c r="D538" i="30"/>
  <c r="E538" i="30"/>
  <c r="F538" i="30"/>
  <c r="G538" i="30"/>
  <c r="H538" i="30"/>
  <c r="I538" i="30"/>
  <c r="J538" i="30"/>
  <c r="K538" i="30"/>
  <c r="L538" i="30"/>
  <c r="M538" i="30"/>
  <c r="N538" i="30"/>
  <c r="O538" i="30"/>
  <c r="P538" i="30"/>
  <c r="Q538" i="30"/>
  <c r="R538" i="30"/>
  <c r="S538" i="30"/>
  <c r="T538" i="30"/>
  <c r="U538" i="30"/>
  <c r="V538" i="30"/>
  <c r="W538" i="30"/>
  <c r="X538" i="30"/>
  <c r="Y538" i="30"/>
  <c r="Z538" i="30"/>
  <c r="AA538" i="30"/>
  <c r="AB538" i="30"/>
  <c r="AC538" i="30"/>
  <c r="AD538" i="30"/>
  <c r="AE538" i="30"/>
  <c r="AF538" i="30"/>
  <c r="AG538" i="30"/>
  <c r="AH538" i="30"/>
  <c r="AI538" i="30"/>
  <c r="AJ538" i="30"/>
  <c r="AK538" i="30"/>
  <c r="AL538" i="30"/>
  <c r="AM538" i="30"/>
  <c r="AN538" i="30"/>
  <c r="AO538" i="30"/>
  <c r="AP538" i="30"/>
  <c r="AQ538" i="30"/>
  <c r="AR538" i="30"/>
  <c r="AS538" i="30"/>
  <c r="AT538" i="30"/>
  <c r="AU538" i="30"/>
  <c r="AV538" i="30"/>
  <c r="AW538" i="30"/>
  <c r="AX538" i="30"/>
  <c r="AY538" i="30"/>
  <c r="AZ538" i="30"/>
  <c r="BA538" i="30"/>
  <c r="BB538" i="30"/>
  <c r="BC538" i="30"/>
  <c r="BD538" i="30"/>
  <c r="BE538" i="30"/>
  <c r="BF538" i="30"/>
  <c r="BG538" i="30"/>
  <c r="BH538" i="30"/>
  <c r="BI538" i="30"/>
  <c r="BJ538" i="30"/>
  <c r="BK538" i="30"/>
  <c r="BL538" i="30"/>
  <c r="BM538" i="30"/>
  <c r="BN538" i="30"/>
  <c r="BO538" i="30"/>
  <c r="BP538" i="30"/>
  <c r="BQ538" i="30"/>
  <c r="BR538" i="30"/>
  <c r="BS538" i="30"/>
  <c r="BT538" i="30"/>
  <c r="BU538" i="30"/>
  <c r="BV538" i="30"/>
  <c r="BW538" i="30"/>
  <c r="BX538" i="30"/>
  <c r="BY538" i="30"/>
  <c r="BZ538" i="30"/>
  <c r="CA538" i="30"/>
  <c r="CB538" i="30"/>
  <c r="CC538" i="30"/>
  <c r="CD538" i="30"/>
  <c r="CE538" i="30"/>
  <c r="CF538" i="30"/>
  <c r="CG538" i="30"/>
  <c r="CH538" i="30"/>
  <c r="CI538" i="30"/>
  <c r="CJ538" i="30"/>
  <c r="CK538" i="30"/>
  <c r="CL538" i="30"/>
  <c r="CM538" i="30"/>
  <c r="CN538" i="30"/>
  <c r="CO538" i="30"/>
  <c r="CP538" i="30"/>
  <c r="CQ538" i="30"/>
  <c r="CR538" i="30"/>
  <c r="CS538" i="30"/>
  <c r="CT538" i="30"/>
  <c r="CU538" i="30"/>
  <c r="CV538" i="30"/>
  <c r="CW538" i="30"/>
  <c r="CX538" i="30"/>
  <c r="CY538" i="30"/>
  <c r="CZ538" i="30"/>
  <c r="DA538" i="30"/>
  <c r="DB538" i="30"/>
  <c r="DC538" i="30"/>
  <c r="DD538" i="30"/>
  <c r="DE538" i="30"/>
  <c r="DF538" i="30"/>
  <c r="DG538" i="30"/>
  <c r="DH538" i="30"/>
  <c r="DI538" i="30"/>
  <c r="DJ538" i="30"/>
  <c r="DK538" i="30"/>
  <c r="DL538" i="30"/>
  <c r="DM538" i="30"/>
  <c r="DN538" i="30"/>
  <c r="DO538" i="30"/>
  <c r="DP538" i="30"/>
  <c r="DQ538" i="30"/>
  <c r="DR538" i="30"/>
  <c r="DS538" i="30"/>
  <c r="DT538" i="30"/>
  <c r="DU538" i="30"/>
  <c r="DV538" i="30"/>
  <c r="DW538" i="30"/>
  <c r="DX538" i="30"/>
  <c r="DY538" i="30"/>
  <c r="DZ538" i="30"/>
  <c r="EA538" i="30"/>
  <c r="EB538" i="30"/>
  <c r="EC538" i="30"/>
  <c r="ED538" i="30"/>
  <c r="EE538" i="30"/>
  <c r="EF538" i="30"/>
  <c r="EG538" i="30"/>
  <c r="EH538" i="30"/>
  <c r="EI538" i="30"/>
  <c r="EJ538" i="30"/>
  <c r="EK538" i="30"/>
  <c r="EL538" i="30"/>
  <c r="EM538" i="30"/>
  <c r="EN538" i="30"/>
  <c r="EO538" i="30"/>
  <c r="EP538" i="30"/>
  <c r="EQ538" i="30"/>
  <c r="ER538" i="30"/>
  <c r="ES538" i="30"/>
  <c r="ET538" i="30"/>
  <c r="EU538" i="30"/>
  <c r="EV538" i="30"/>
  <c r="EW538" i="30"/>
  <c r="EX538" i="30"/>
  <c r="EY538" i="30"/>
  <c r="EZ538" i="30"/>
  <c r="FA538" i="30"/>
  <c r="FB538" i="30"/>
  <c r="FC538" i="30"/>
  <c r="FD538" i="30"/>
  <c r="FE538" i="30"/>
  <c r="FF538" i="30"/>
  <c r="FG538" i="30"/>
  <c r="FH538" i="30"/>
  <c r="FI538" i="30"/>
  <c r="FJ538" i="30"/>
  <c r="FK538" i="30"/>
  <c r="FL538" i="30"/>
  <c r="FM538" i="30"/>
  <c r="FN538" i="30"/>
  <c r="FO538" i="30"/>
  <c r="FP538" i="30"/>
  <c r="FQ538" i="30"/>
  <c r="FR538" i="30"/>
  <c r="FS538" i="30"/>
  <c r="FT538" i="30"/>
  <c r="FU538" i="30"/>
  <c r="FV538" i="30"/>
  <c r="FW538" i="30"/>
  <c r="FX538" i="30"/>
  <c r="FY538" i="30"/>
  <c r="FZ538" i="30"/>
  <c r="GA538" i="30"/>
  <c r="GB538" i="30"/>
  <c r="GC538" i="30"/>
  <c r="GD538" i="30"/>
  <c r="GE538" i="30"/>
  <c r="GF538" i="30"/>
  <c r="GG538" i="30"/>
  <c r="GH538" i="30"/>
  <c r="GI538" i="30"/>
  <c r="GJ538" i="30"/>
  <c r="GK538" i="30"/>
  <c r="GL538" i="30"/>
  <c r="GM538" i="30"/>
  <c r="GN538" i="30"/>
  <c r="GO538" i="30"/>
  <c r="GP538" i="30"/>
  <c r="GQ538" i="30"/>
  <c r="GR538" i="30"/>
  <c r="GS538" i="30"/>
  <c r="GT538" i="30"/>
  <c r="GU538" i="30"/>
  <c r="GV538" i="30"/>
  <c r="GW538" i="30"/>
  <c r="GX538" i="30"/>
  <c r="GY538" i="30"/>
  <c r="GZ538" i="30"/>
  <c r="HA538" i="30"/>
  <c r="HB538" i="30"/>
  <c r="HC538" i="30"/>
  <c r="HD538" i="30"/>
  <c r="HE538" i="30"/>
  <c r="HF538" i="30"/>
  <c r="HG538" i="30"/>
  <c r="HH538" i="30"/>
  <c r="HI538" i="30"/>
  <c r="HJ538" i="30"/>
  <c r="HK538" i="30"/>
  <c r="HL538" i="30"/>
  <c r="HM538" i="30"/>
  <c r="HN538" i="30"/>
  <c r="HO538" i="30"/>
  <c r="HP538" i="30"/>
  <c r="HQ538" i="30"/>
  <c r="HR538" i="30"/>
  <c r="HS538" i="30"/>
  <c r="HT538" i="30"/>
  <c r="HU538" i="30"/>
  <c r="HV538" i="30"/>
  <c r="HW538" i="30"/>
  <c r="HX538" i="30"/>
  <c r="HY538" i="30"/>
  <c r="HZ538" i="30"/>
  <c r="IA538" i="30"/>
  <c r="IB538" i="30"/>
  <c r="IC538" i="30"/>
  <c r="ID538" i="30"/>
  <c r="IE538" i="30"/>
  <c r="IF538" i="30"/>
  <c r="IG538" i="30"/>
  <c r="IH538" i="30"/>
  <c r="II538" i="30"/>
  <c r="IJ538" i="30"/>
  <c r="IK538" i="30"/>
  <c r="IL538" i="30"/>
  <c r="IM538" i="30"/>
  <c r="IN538" i="30"/>
  <c r="IO538" i="30"/>
  <c r="IP538" i="30"/>
  <c r="IQ538" i="30"/>
  <c r="IR538" i="30"/>
  <c r="IS538" i="30"/>
  <c r="IT538" i="30"/>
  <c r="IU538" i="30"/>
  <c r="IV538" i="30"/>
  <c r="A537" i="30"/>
  <c r="B537" i="30"/>
  <c r="C537" i="30"/>
  <c r="D537" i="30"/>
  <c r="E537" i="30"/>
  <c r="F537" i="30"/>
  <c r="G537" i="30"/>
  <c r="H537" i="30"/>
  <c r="I537" i="30"/>
  <c r="J537" i="30"/>
  <c r="K537" i="30"/>
  <c r="L537" i="30"/>
  <c r="M537" i="30"/>
  <c r="N537" i="30"/>
  <c r="O537" i="30"/>
  <c r="P537" i="30"/>
  <c r="Q537" i="30"/>
  <c r="R537" i="30"/>
  <c r="S537" i="30"/>
  <c r="T537" i="30"/>
  <c r="U537" i="30"/>
  <c r="V537" i="30"/>
  <c r="W537" i="30"/>
  <c r="X537" i="30"/>
  <c r="Y537" i="30"/>
  <c r="Z537" i="30"/>
  <c r="AA537" i="30"/>
  <c r="AB537" i="30"/>
  <c r="AC537" i="30"/>
  <c r="AD537" i="30"/>
  <c r="AE537" i="30"/>
  <c r="AF537" i="30"/>
  <c r="AG537" i="30"/>
  <c r="AH537" i="30"/>
  <c r="AI537" i="30"/>
  <c r="AJ537" i="30"/>
  <c r="AK537" i="30"/>
  <c r="AL537" i="30"/>
  <c r="AM537" i="30"/>
  <c r="AN537" i="30"/>
  <c r="AO537" i="30"/>
  <c r="AP537" i="30"/>
  <c r="AQ537" i="30"/>
  <c r="AR537" i="30"/>
  <c r="AS537" i="30"/>
  <c r="AT537" i="30"/>
  <c r="AU537" i="30"/>
  <c r="AV537" i="30"/>
  <c r="AW537" i="30"/>
  <c r="AX537" i="30"/>
  <c r="AY537" i="30"/>
  <c r="AZ537" i="30"/>
  <c r="BA537" i="30"/>
  <c r="BB537" i="30"/>
  <c r="BC537" i="30"/>
  <c r="BD537" i="30"/>
  <c r="BE537" i="30"/>
  <c r="BF537" i="30"/>
  <c r="BG537" i="30"/>
  <c r="BH537" i="30"/>
  <c r="BI537" i="30"/>
  <c r="BJ537" i="30"/>
  <c r="BK537" i="30"/>
  <c r="BL537" i="30"/>
  <c r="BM537" i="30"/>
  <c r="BN537" i="30"/>
  <c r="BO537" i="30"/>
  <c r="BP537" i="30"/>
  <c r="BQ537" i="30"/>
  <c r="BR537" i="30"/>
  <c r="BS537" i="30"/>
  <c r="BT537" i="30"/>
  <c r="BU537" i="30"/>
  <c r="BV537" i="30"/>
  <c r="BW537" i="30"/>
  <c r="BX537" i="30"/>
  <c r="BY537" i="30"/>
  <c r="BZ537" i="30"/>
  <c r="CA537" i="30"/>
  <c r="CB537" i="30"/>
  <c r="CC537" i="30"/>
  <c r="CD537" i="30"/>
  <c r="CE537" i="30"/>
  <c r="CF537" i="30"/>
  <c r="CG537" i="30"/>
  <c r="CH537" i="30"/>
  <c r="CI537" i="30"/>
  <c r="CJ537" i="30"/>
  <c r="CK537" i="30"/>
  <c r="CL537" i="30"/>
  <c r="CM537" i="30"/>
  <c r="CN537" i="30"/>
  <c r="CO537" i="30"/>
  <c r="CP537" i="30"/>
  <c r="CQ537" i="30"/>
  <c r="CR537" i="30"/>
  <c r="CS537" i="30"/>
  <c r="CT537" i="30"/>
  <c r="CU537" i="30"/>
  <c r="CV537" i="30"/>
  <c r="CW537" i="30"/>
  <c r="CX537" i="30"/>
  <c r="CY537" i="30"/>
  <c r="CZ537" i="30"/>
  <c r="DA537" i="30"/>
  <c r="DB537" i="30"/>
  <c r="DC537" i="30"/>
  <c r="DD537" i="30"/>
  <c r="DE537" i="30"/>
  <c r="DF537" i="30"/>
  <c r="DG537" i="30"/>
  <c r="DH537" i="30"/>
  <c r="DI537" i="30"/>
  <c r="DJ537" i="30"/>
  <c r="DK537" i="30"/>
  <c r="DL537" i="30"/>
  <c r="DM537" i="30"/>
  <c r="DN537" i="30"/>
  <c r="DO537" i="30"/>
  <c r="DP537" i="30"/>
  <c r="DQ537" i="30"/>
  <c r="DR537" i="30"/>
  <c r="DS537" i="30"/>
  <c r="DT537" i="30"/>
  <c r="DU537" i="30"/>
  <c r="DV537" i="30"/>
  <c r="DW537" i="30"/>
  <c r="DX537" i="30"/>
  <c r="DY537" i="30"/>
  <c r="DZ537" i="30"/>
  <c r="EA537" i="30"/>
  <c r="EB537" i="30"/>
  <c r="EC537" i="30"/>
  <c r="ED537" i="30"/>
  <c r="EE537" i="30"/>
  <c r="EF537" i="30"/>
  <c r="EG537" i="30"/>
  <c r="EH537" i="30"/>
  <c r="EI537" i="30"/>
  <c r="EJ537" i="30"/>
  <c r="EK537" i="30"/>
  <c r="EL537" i="30"/>
  <c r="EM537" i="30"/>
  <c r="EN537" i="30"/>
  <c r="EO537" i="30"/>
  <c r="EP537" i="30"/>
  <c r="EQ537" i="30"/>
  <c r="ER537" i="30"/>
  <c r="ES537" i="30"/>
  <c r="ET537" i="30"/>
  <c r="EU537" i="30"/>
  <c r="EV537" i="30"/>
  <c r="EW537" i="30"/>
  <c r="EX537" i="30"/>
  <c r="EY537" i="30"/>
  <c r="EZ537" i="30"/>
  <c r="FA537" i="30"/>
  <c r="FB537" i="30"/>
  <c r="FC537" i="30"/>
  <c r="FD537" i="30"/>
  <c r="FE537" i="30"/>
  <c r="FF537" i="30"/>
  <c r="FG537" i="30"/>
  <c r="FH537" i="30"/>
  <c r="FI537" i="30"/>
  <c r="FJ537" i="30"/>
  <c r="FK537" i="30"/>
  <c r="FL537" i="30"/>
  <c r="FM537" i="30"/>
  <c r="FN537" i="30"/>
  <c r="FO537" i="30"/>
  <c r="FP537" i="30"/>
  <c r="FQ537" i="30"/>
  <c r="FR537" i="30"/>
  <c r="FS537" i="30"/>
  <c r="FT537" i="30"/>
  <c r="FU537" i="30"/>
  <c r="FV537" i="30"/>
  <c r="FW537" i="30"/>
  <c r="FX537" i="30"/>
  <c r="FY537" i="30"/>
  <c r="FZ537" i="30"/>
  <c r="GA537" i="30"/>
  <c r="GB537" i="30"/>
  <c r="GC537" i="30"/>
  <c r="GD537" i="30"/>
  <c r="GE537" i="30"/>
  <c r="GF537" i="30"/>
  <c r="GG537" i="30"/>
  <c r="GH537" i="30"/>
  <c r="GI537" i="30"/>
  <c r="GJ537" i="30"/>
  <c r="GK537" i="30"/>
  <c r="GL537" i="30"/>
  <c r="GM537" i="30"/>
  <c r="GN537" i="30"/>
  <c r="GO537" i="30"/>
  <c r="GP537" i="30"/>
  <c r="GQ537" i="30"/>
  <c r="GR537" i="30"/>
  <c r="GS537" i="30"/>
  <c r="GT537" i="30"/>
  <c r="GU537" i="30"/>
  <c r="GV537" i="30"/>
  <c r="GW537" i="30"/>
  <c r="GX537" i="30"/>
  <c r="GY537" i="30"/>
  <c r="GZ537" i="30"/>
  <c r="HA537" i="30"/>
  <c r="HB537" i="30"/>
  <c r="HC537" i="30"/>
  <c r="HD537" i="30"/>
  <c r="HE537" i="30"/>
  <c r="HF537" i="30"/>
  <c r="HG537" i="30"/>
  <c r="HH537" i="30"/>
  <c r="HI537" i="30"/>
  <c r="HJ537" i="30"/>
  <c r="HK537" i="30"/>
  <c r="HL537" i="30"/>
  <c r="HM537" i="30"/>
  <c r="HN537" i="30"/>
  <c r="HO537" i="30"/>
  <c r="HP537" i="30"/>
  <c r="HQ537" i="30"/>
  <c r="HR537" i="30"/>
  <c r="HS537" i="30"/>
  <c r="HT537" i="30"/>
  <c r="HU537" i="30"/>
  <c r="HV537" i="30"/>
  <c r="HW537" i="30"/>
  <c r="HX537" i="30"/>
  <c r="HY537" i="30"/>
  <c r="HZ537" i="30"/>
  <c r="IA537" i="30"/>
  <c r="IB537" i="30"/>
  <c r="IC537" i="30"/>
  <c r="ID537" i="30"/>
  <c r="IE537" i="30"/>
  <c r="IF537" i="30"/>
  <c r="IG537" i="30"/>
  <c r="IH537" i="30"/>
  <c r="II537" i="30"/>
  <c r="IJ537" i="30"/>
  <c r="IK537" i="30"/>
  <c r="IL537" i="30"/>
  <c r="IM537" i="30"/>
  <c r="IN537" i="30"/>
  <c r="IO537" i="30"/>
  <c r="IP537" i="30"/>
  <c r="IQ537" i="30"/>
  <c r="IR537" i="30"/>
  <c r="IS537" i="30"/>
  <c r="IT537" i="30"/>
  <c r="IU537" i="30"/>
  <c r="IV537" i="30"/>
  <c r="A536" i="30"/>
  <c r="B536" i="30"/>
  <c r="C536" i="30"/>
  <c r="D536" i="30"/>
  <c r="E536" i="30"/>
  <c r="F536" i="30"/>
  <c r="G536" i="30"/>
  <c r="H536" i="30"/>
  <c r="I536" i="30"/>
  <c r="J536" i="30"/>
  <c r="K536" i="30"/>
  <c r="L536" i="30"/>
  <c r="M536" i="30"/>
  <c r="N536" i="30"/>
  <c r="O536" i="30"/>
  <c r="P536" i="30"/>
  <c r="Q536" i="30"/>
  <c r="R536" i="30"/>
  <c r="S536" i="30"/>
  <c r="T536" i="30"/>
  <c r="U536" i="30"/>
  <c r="V536" i="30"/>
  <c r="W536" i="30"/>
  <c r="X536" i="30"/>
  <c r="Y536" i="30"/>
  <c r="Z536" i="30"/>
  <c r="AA536" i="30"/>
  <c r="AB536" i="30"/>
  <c r="AC536" i="30"/>
  <c r="AD536" i="30"/>
  <c r="AE536" i="30"/>
  <c r="AF536" i="30"/>
  <c r="AG536" i="30"/>
  <c r="AH536" i="30"/>
  <c r="AI536" i="30"/>
  <c r="AJ536" i="30"/>
  <c r="AK536" i="30"/>
  <c r="AL536" i="30"/>
  <c r="AM536" i="30"/>
  <c r="AN536" i="30"/>
  <c r="AO536" i="30"/>
  <c r="AP536" i="30"/>
  <c r="AQ536" i="30"/>
  <c r="AR536" i="30"/>
  <c r="AS536" i="30"/>
  <c r="AT536" i="30"/>
  <c r="AU536" i="30"/>
  <c r="AV536" i="30"/>
  <c r="AW536" i="30"/>
  <c r="AX536" i="30"/>
  <c r="AY536" i="30"/>
  <c r="AZ536" i="30"/>
  <c r="BA536" i="30"/>
  <c r="BB536" i="30"/>
  <c r="BC536" i="30"/>
  <c r="BD536" i="30"/>
  <c r="BE536" i="30"/>
  <c r="BF536" i="30"/>
  <c r="BG536" i="30"/>
  <c r="BH536" i="30"/>
  <c r="BI536" i="30"/>
  <c r="BJ536" i="30"/>
  <c r="BK536" i="30"/>
  <c r="BL536" i="30"/>
  <c r="BM536" i="30"/>
  <c r="BN536" i="30"/>
  <c r="BO536" i="30"/>
  <c r="BP536" i="30"/>
  <c r="BQ536" i="30"/>
  <c r="BR536" i="30"/>
  <c r="BS536" i="30"/>
  <c r="BT536" i="30"/>
  <c r="BU536" i="30"/>
  <c r="BV536" i="30"/>
  <c r="BW536" i="30"/>
  <c r="BX536" i="30"/>
  <c r="BY536" i="30"/>
  <c r="BZ536" i="30"/>
  <c r="CA536" i="30"/>
  <c r="CB536" i="30"/>
  <c r="CC536" i="30"/>
  <c r="CD536" i="30"/>
  <c r="CE536" i="30"/>
  <c r="CF536" i="30"/>
  <c r="CG536" i="30"/>
  <c r="CH536" i="30"/>
  <c r="CI536" i="30"/>
  <c r="CJ536" i="30"/>
  <c r="CK536" i="30"/>
  <c r="CL536" i="30"/>
  <c r="CM536" i="30"/>
  <c r="CN536" i="30"/>
  <c r="CO536" i="30"/>
  <c r="CP536" i="30"/>
  <c r="CQ536" i="30"/>
  <c r="CR536" i="30"/>
  <c r="CS536" i="30"/>
  <c r="CT536" i="30"/>
  <c r="CU536" i="30"/>
  <c r="CV536" i="30"/>
  <c r="CW536" i="30"/>
  <c r="CX536" i="30"/>
  <c r="CY536" i="30"/>
  <c r="CZ536" i="30"/>
  <c r="DA536" i="30"/>
  <c r="DB536" i="30"/>
  <c r="DC536" i="30"/>
  <c r="DD536" i="30"/>
  <c r="DE536" i="30"/>
  <c r="DF536" i="30"/>
  <c r="DG536" i="30"/>
  <c r="DH536" i="30"/>
  <c r="DI536" i="30"/>
  <c r="DJ536" i="30"/>
  <c r="DK536" i="30"/>
  <c r="DL536" i="30"/>
  <c r="DM536" i="30"/>
  <c r="DN536" i="30"/>
  <c r="DO536" i="30"/>
  <c r="DP536" i="30"/>
  <c r="DQ536" i="30"/>
  <c r="DR536" i="30"/>
  <c r="DS536" i="30"/>
  <c r="DT536" i="30"/>
  <c r="DU536" i="30"/>
  <c r="DV536" i="30"/>
  <c r="DW536" i="30"/>
  <c r="DX536" i="30"/>
  <c r="DY536" i="30"/>
  <c r="DZ536" i="30"/>
  <c r="EA536" i="30"/>
  <c r="EB536" i="30"/>
  <c r="EC536" i="30"/>
  <c r="ED536" i="30"/>
  <c r="EE536" i="30"/>
  <c r="EF536" i="30"/>
  <c r="EG536" i="30"/>
  <c r="EH536" i="30"/>
  <c r="EI536" i="30"/>
  <c r="EJ536" i="30"/>
  <c r="EK536" i="30"/>
  <c r="EL536" i="30"/>
  <c r="EM536" i="30"/>
  <c r="EN536" i="30"/>
  <c r="EO536" i="30"/>
  <c r="EP536" i="30"/>
  <c r="EQ536" i="30"/>
  <c r="ER536" i="30"/>
  <c r="ES536" i="30"/>
  <c r="ET536" i="30"/>
  <c r="EU536" i="30"/>
  <c r="EV536" i="30"/>
  <c r="EW536" i="30"/>
  <c r="EX536" i="30"/>
  <c r="EY536" i="30"/>
  <c r="EZ536" i="30"/>
  <c r="FA536" i="30"/>
  <c r="FB536" i="30"/>
  <c r="FC536" i="30"/>
  <c r="FD536" i="30"/>
  <c r="FE536" i="30"/>
  <c r="FF536" i="30"/>
  <c r="FG536" i="30"/>
  <c r="FH536" i="30"/>
  <c r="FI536" i="30"/>
  <c r="FJ536" i="30"/>
  <c r="FK536" i="30"/>
  <c r="FL536" i="30"/>
  <c r="FM536" i="30"/>
  <c r="FN536" i="30"/>
  <c r="FO536" i="30"/>
  <c r="FP536" i="30"/>
  <c r="FQ536" i="30"/>
  <c r="FR536" i="30"/>
  <c r="FS536" i="30"/>
  <c r="FT536" i="30"/>
  <c r="FU536" i="30"/>
  <c r="FV536" i="30"/>
  <c r="FW536" i="30"/>
  <c r="FX536" i="30"/>
  <c r="FY536" i="30"/>
  <c r="FZ536" i="30"/>
  <c r="GA536" i="30"/>
  <c r="GB536" i="30"/>
  <c r="GC536" i="30"/>
  <c r="GD536" i="30"/>
  <c r="GE536" i="30"/>
  <c r="GF536" i="30"/>
  <c r="GG536" i="30"/>
  <c r="GH536" i="30"/>
  <c r="GI536" i="30"/>
  <c r="GJ536" i="30"/>
  <c r="GK536" i="30"/>
  <c r="GL536" i="30"/>
  <c r="GM536" i="30"/>
  <c r="GN536" i="30"/>
  <c r="GO536" i="30"/>
  <c r="GP536" i="30"/>
  <c r="GQ536" i="30"/>
  <c r="GR536" i="30"/>
  <c r="GS536" i="30"/>
  <c r="GT536" i="30"/>
  <c r="GU536" i="30"/>
  <c r="GV536" i="30"/>
  <c r="GW536" i="30"/>
  <c r="GX536" i="30"/>
  <c r="GY536" i="30"/>
  <c r="GZ536" i="30"/>
  <c r="HA536" i="30"/>
  <c r="HB536" i="30"/>
  <c r="HC536" i="30"/>
  <c r="HD536" i="30"/>
  <c r="HE536" i="30"/>
  <c r="HF536" i="30"/>
  <c r="HG536" i="30"/>
  <c r="HH536" i="30"/>
  <c r="HI536" i="30"/>
  <c r="HJ536" i="30"/>
  <c r="HK536" i="30"/>
  <c r="HL536" i="30"/>
  <c r="HM536" i="30"/>
  <c r="HN536" i="30"/>
  <c r="HO536" i="30"/>
  <c r="HP536" i="30"/>
  <c r="HQ536" i="30"/>
  <c r="HR536" i="30"/>
  <c r="HS536" i="30"/>
  <c r="HT536" i="30"/>
  <c r="HU536" i="30"/>
  <c r="HV536" i="30"/>
  <c r="HW536" i="30"/>
  <c r="HX536" i="30"/>
  <c r="HY536" i="30"/>
  <c r="HZ536" i="30"/>
  <c r="IA536" i="30"/>
  <c r="IB536" i="30"/>
  <c r="IC536" i="30"/>
  <c r="ID536" i="30"/>
  <c r="IE536" i="30"/>
  <c r="IF536" i="30"/>
  <c r="IG536" i="30"/>
  <c r="IH536" i="30"/>
  <c r="II536" i="30"/>
  <c r="IJ536" i="30"/>
  <c r="IK536" i="30"/>
  <c r="IL536" i="30"/>
  <c r="IM536" i="30"/>
  <c r="IN536" i="30"/>
  <c r="IO536" i="30"/>
  <c r="IP536" i="30"/>
  <c r="IQ536" i="30"/>
  <c r="IR536" i="30"/>
  <c r="IS536" i="30"/>
  <c r="IT536" i="30"/>
  <c r="IU536" i="30"/>
  <c r="IV536" i="30"/>
  <c r="A535" i="30"/>
  <c r="B535" i="30"/>
  <c r="C535" i="30"/>
  <c r="D535" i="30"/>
  <c r="E535" i="30"/>
  <c r="F535" i="30"/>
  <c r="G535" i="30"/>
  <c r="H535" i="30"/>
  <c r="I535" i="30"/>
  <c r="J535" i="30"/>
  <c r="K535" i="30"/>
  <c r="L535" i="30"/>
  <c r="M535" i="30"/>
  <c r="N535" i="30"/>
  <c r="O535" i="30"/>
  <c r="P535" i="30"/>
  <c r="Q535" i="30"/>
  <c r="R535" i="30"/>
  <c r="S535" i="30"/>
  <c r="T535" i="30"/>
  <c r="U535" i="30"/>
  <c r="V535" i="30"/>
  <c r="W535" i="30"/>
  <c r="X535" i="30"/>
  <c r="Y535" i="30"/>
  <c r="Z535" i="30"/>
  <c r="AA535" i="30"/>
  <c r="AB535" i="30"/>
  <c r="AC535" i="30"/>
  <c r="AD535" i="30"/>
  <c r="AE535" i="30"/>
  <c r="AF535" i="30"/>
  <c r="AG535" i="30"/>
  <c r="AH535" i="30"/>
  <c r="AI535" i="30"/>
  <c r="AJ535" i="30"/>
  <c r="AK535" i="30"/>
  <c r="AL535" i="30"/>
  <c r="AM535" i="30"/>
  <c r="AN535" i="30"/>
  <c r="AO535" i="30"/>
  <c r="AP535" i="30"/>
  <c r="AQ535" i="30"/>
  <c r="AR535" i="30"/>
  <c r="AS535" i="30"/>
  <c r="AT535" i="30"/>
  <c r="AU535" i="30"/>
  <c r="AV535" i="30"/>
  <c r="AW535" i="30"/>
  <c r="AX535" i="30"/>
  <c r="AY535" i="30"/>
  <c r="AZ535" i="30"/>
  <c r="BA535" i="30"/>
  <c r="BB535" i="30"/>
  <c r="BC535" i="30"/>
  <c r="BD535" i="30"/>
  <c r="BE535" i="30"/>
  <c r="BF535" i="30"/>
  <c r="BG535" i="30"/>
  <c r="BH535" i="30"/>
  <c r="BI535" i="30"/>
  <c r="BJ535" i="30"/>
  <c r="BK535" i="30"/>
  <c r="BL535" i="30"/>
  <c r="BM535" i="30"/>
  <c r="BN535" i="30"/>
  <c r="BO535" i="30"/>
  <c r="BP535" i="30"/>
  <c r="BQ535" i="30"/>
  <c r="BR535" i="30"/>
  <c r="BS535" i="30"/>
  <c r="BT535" i="30"/>
  <c r="BU535" i="30"/>
  <c r="BV535" i="30"/>
  <c r="BW535" i="30"/>
  <c r="BX535" i="30"/>
  <c r="BY535" i="30"/>
  <c r="BZ535" i="30"/>
  <c r="CA535" i="30"/>
  <c r="CB535" i="30"/>
  <c r="CC535" i="30"/>
  <c r="CD535" i="30"/>
  <c r="CE535" i="30"/>
  <c r="CF535" i="30"/>
  <c r="CG535" i="30"/>
  <c r="CH535" i="30"/>
  <c r="CI535" i="30"/>
  <c r="CJ535" i="30"/>
  <c r="CK535" i="30"/>
  <c r="CL535" i="30"/>
  <c r="CM535" i="30"/>
  <c r="CN535" i="30"/>
  <c r="CO535" i="30"/>
  <c r="CP535" i="30"/>
  <c r="CQ535" i="30"/>
  <c r="CR535" i="30"/>
  <c r="CS535" i="30"/>
  <c r="CT535" i="30"/>
  <c r="CU535" i="30"/>
  <c r="CV535" i="30"/>
  <c r="CW535" i="30"/>
  <c r="CX535" i="30"/>
  <c r="CY535" i="30"/>
  <c r="CZ535" i="30"/>
  <c r="DA535" i="30"/>
  <c r="DB535" i="30"/>
  <c r="DC535" i="30"/>
  <c r="DD535" i="30"/>
  <c r="DE535" i="30"/>
  <c r="DF535" i="30"/>
  <c r="DG535" i="30"/>
  <c r="DH535" i="30"/>
  <c r="DI535" i="30"/>
  <c r="DJ535" i="30"/>
  <c r="DK535" i="30"/>
  <c r="DL535" i="30"/>
  <c r="DM535" i="30"/>
  <c r="DN535" i="30"/>
  <c r="DO535" i="30"/>
  <c r="DP535" i="30"/>
  <c r="DQ535" i="30"/>
  <c r="DR535" i="30"/>
  <c r="DS535" i="30"/>
  <c r="DT535" i="30"/>
  <c r="DU535" i="30"/>
  <c r="DV535" i="30"/>
  <c r="DW535" i="30"/>
  <c r="DX535" i="30"/>
  <c r="DY535" i="30"/>
  <c r="DZ535" i="30"/>
  <c r="EA535" i="30"/>
  <c r="EB535" i="30"/>
  <c r="EC535" i="30"/>
  <c r="ED535" i="30"/>
  <c r="EE535" i="30"/>
  <c r="EF535" i="30"/>
  <c r="EG535" i="30"/>
  <c r="EH535" i="30"/>
  <c r="EI535" i="30"/>
  <c r="EJ535" i="30"/>
  <c r="EK535" i="30"/>
  <c r="EL535" i="30"/>
  <c r="EM535" i="30"/>
  <c r="EN535" i="30"/>
  <c r="EO535" i="30"/>
  <c r="EP535" i="30"/>
  <c r="EQ535" i="30"/>
  <c r="ER535" i="30"/>
  <c r="ES535" i="30"/>
  <c r="ET535" i="30"/>
  <c r="EU535" i="30"/>
  <c r="EV535" i="30"/>
  <c r="EW535" i="30"/>
  <c r="EX535" i="30"/>
  <c r="EY535" i="30"/>
  <c r="EZ535" i="30"/>
  <c r="FA535" i="30"/>
  <c r="FB535" i="30"/>
  <c r="FC535" i="30"/>
  <c r="FD535" i="30"/>
  <c r="FE535" i="30"/>
  <c r="FF535" i="30"/>
  <c r="FG535" i="30"/>
  <c r="FH535" i="30"/>
  <c r="FI535" i="30"/>
  <c r="FJ535" i="30"/>
  <c r="FK535" i="30"/>
  <c r="FL535" i="30"/>
  <c r="FM535" i="30"/>
  <c r="FN535" i="30"/>
  <c r="FO535" i="30"/>
  <c r="FP535" i="30"/>
  <c r="FQ535" i="30"/>
  <c r="FR535" i="30"/>
  <c r="FS535" i="30"/>
  <c r="FT535" i="30"/>
  <c r="FU535" i="30"/>
  <c r="FV535" i="30"/>
  <c r="FW535" i="30"/>
  <c r="FX535" i="30"/>
  <c r="FY535" i="30"/>
  <c r="FZ535" i="30"/>
  <c r="GA535" i="30"/>
  <c r="GB535" i="30"/>
  <c r="GC535" i="30"/>
  <c r="GD535" i="30"/>
  <c r="GE535" i="30"/>
  <c r="GF535" i="30"/>
  <c r="GG535" i="30"/>
  <c r="GH535" i="30"/>
  <c r="GI535" i="30"/>
  <c r="GJ535" i="30"/>
  <c r="GK535" i="30"/>
  <c r="GL535" i="30"/>
  <c r="GM535" i="30"/>
  <c r="GN535" i="30"/>
  <c r="GO535" i="30"/>
  <c r="GP535" i="30"/>
  <c r="GQ535" i="30"/>
  <c r="GR535" i="30"/>
  <c r="GS535" i="30"/>
  <c r="GT535" i="30"/>
  <c r="GU535" i="30"/>
  <c r="GV535" i="30"/>
  <c r="GW535" i="30"/>
  <c r="GX535" i="30"/>
  <c r="GY535" i="30"/>
  <c r="GZ535" i="30"/>
  <c r="HA535" i="30"/>
  <c r="HB535" i="30"/>
  <c r="HC535" i="30"/>
  <c r="HD535" i="30"/>
  <c r="HE535" i="30"/>
  <c r="HF535" i="30"/>
  <c r="HG535" i="30"/>
  <c r="HH535" i="30"/>
  <c r="HI535" i="30"/>
  <c r="HJ535" i="30"/>
  <c r="HK535" i="30"/>
  <c r="HL535" i="30"/>
  <c r="HM535" i="30"/>
  <c r="HN535" i="30"/>
  <c r="HO535" i="30"/>
  <c r="HP535" i="30"/>
  <c r="HQ535" i="30"/>
  <c r="HR535" i="30"/>
  <c r="HS535" i="30"/>
  <c r="HT535" i="30"/>
  <c r="HU535" i="30"/>
  <c r="HV535" i="30"/>
  <c r="HW535" i="30"/>
  <c r="HX535" i="30"/>
  <c r="HY535" i="30"/>
  <c r="HZ535" i="30"/>
  <c r="IA535" i="30"/>
  <c r="IB535" i="30"/>
  <c r="IC535" i="30"/>
  <c r="ID535" i="30"/>
  <c r="IE535" i="30"/>
  <c r="IF535" i="30"/>
  <c r="IG535" i="30"/>
  <c r="IH535" i="30"/>
  <c r="II535" i="30"/>
  <c r="IJ535" i="30"/>
  <c r="IK535" i="30"/>
  <c r="IL535" i="30"/>
  <c r="IM535" i="30"/>
  <c r="IN535" i="30"/>
  <c r="IO535" i="30"/>
  <c r="IP535" i="30"/>
  <c r="IQ535" i="30"/>
  <c r="IR535" i="30"/>
  <c r="IS535" i="30"/>
  <c r="IT535" i="30"/>
  <c r="IU535" i="30"/>
  <c r="IV535" i="30"/>
  <c r="A534" i="30"/>
  <c r="B534" i="30"/>
  <c r="C534" i="30"/>
  <c r="D534" i="30"/>
  <c r="E534" i="30"/>
  <c r="F534" i="30"/>
  <c r="G534" i="30"/>
  <c r="H534" i="30"/>
  <c r="I534" i="30"/>
  <c r="J534" i="30"/>
  <c r="K534" i="30"/>
  <c r="L534" i="30"/>
  <c r="M534" i="30"/>
  <c r="N534" i="30"/>
  <c r="O534" i="30"/>
  <c r="P534" i="30"/>
  <c r="Q534" i="30"/>
  <c r="R534" i="30"/>
  <c r="S534" i="30"/>
  <c r="T534" i="30"/>
  <c r="U534" i="30"/>
  <c r="V534" i="30"/>
  <c r="W534" i="30"/>
  <c r="X534" i="30"/>
  <c r="Y534" i="30"/>
  <c r="Z534" i="30"/>
  <c r="AA534" i="30"/>
  <c r="AB534" i="30"/>
  <c r="AC534" i="30"/>
  <c r="AD534" i="30"/>
  <c r="AE534" i="30"/>
  <c r="AF534" i="30"/>
  <c r="AG534" i="30"/>
  <c r="AH534" i="30"/>
  <c r="AI534" i="30"/>
  <c r="AJ534" i="30"/>
  <c r="AK534" i="30"/>
  <c r="AL534" i="30"/>
  <c r="AM534" i="30"/>
  <c r="AN534" i="30"/>
  <c r="AO534" i="30"/>
  <c r="AP534" i="30"/>
  <c r="AQ534" i="30"/>
  <c r="AR534" i="30"/>
  <c r="AS534" i="30"/>
  <c r="AT534" i="30"/>
  <c r="AU534" i="30"/>
  <c r="AV534" i="30"/>
  <c r="AW534" i="30"/>
  <c r="AX534" i="30"/>
  <c r="AY534" i="30"/>
  <c r="AZ534" i="30"/>
  <c r="BA534" i="30"/>
  <c r="BB534" i="30"/>
  <c r="BC534" i="30"/>
  <c r="BD534" i="30"/>
  <c r="BE534" i="30"/>
  <c r="BF534" i="30"/>
  <c r="BG534" i="30"/>
  <c r="BH534" i="30"/>
  <c r="BI534" i="30"/>
  <c r="BJ534" i="30"/>
  <c r="BK534" i="30"/>
  <c r="BL534" i="30"/>
  <c r="BM534" i="30"/>
  <c r="BN534" i="30"/>
  <c r="BO534" i="30"/>
  <c r="BP534" i="30"/>
  <c r="BQ534" i="30"/>
  <c r="BR534" i="30"/>
  <c r="BS534" i="30"/>
  <c r="BT534" i="30"/>
  <c r="BU534" i="30"/>
  <c r="BV534" i="30"/>
  <c r="BW534" i="30"/>
  <c r="BX534" i="30"/>
  <c r="BY534" i="30"/>
  <c r="BZ534" i="30"/>
  <c r="CA534" i="30"/>
  <c r="CB534" i="30"/>
  <c r="CC534" i="30"/>
  <c r="CD534" i="30"/>
  <c r="CE534" i="30"/>
  <c r="CF534" i="30"/>
  <c r="CG534" i="30"/>
  <c r="CH534" i="30"/>
  <c r="CI534" i="30"/>
  <c r="CJ534" i="30"/>
  <c r="CK534" i="30"/>
  <c r="CL534" i="30"/>
  <c r="CM534" i="30"/>
  <c r="CN534" i="30"/>
  <c r="CO534" i="30"/>
  <c r="CP534" i="30"/>
  <c r="CQ534" i="30"/>
  <c r="CR534" i="30"/>
  <c r="CS534" i="30"/>
  <c r="CT534" i="30"/>
  <c r="CU534" i="30"/>
  <c r="CV534" i="30"/>
  <c r="CW534" i="30"/>
  <c r="CX534" i="30"/>
  <c r="CY534" i="30"/>
  <c r="CZ534" i="30"/>
  <c r="DA534" i="30"/>
  <c r="DB534" i="30"/>
  <c r="DC534" i="30"/>
  <c r="DD534" i="30"/>
  <c r="DE534" i="30"/>
  <c r="DF534" i="30"/>
  <c r="DG534" i="30"/>
  <c r="DH534" i="30"/>
  <c r="DI534" i="30"/>
  <c r="DJ534" i="30"/>
  <c r="DK534" i="30"/>
  <c r="DL534" i="30"/>
  <c r="DM534" i="30"/>
  <c r="DN534" i="30"/>
  <c r="DO534" i="30"/>
  <c r="DP534" i="30"/>
  <c r="DQ534" i="30"/>
  <c r="DR534" i="30"/>
  <c r="DS534" i="30"/>
  <c r="DT534" i="30"/>
  <c r="DU534" i="30"/>
  <c r="DV534" i="30"/>
  <c r="DW534" i="30"/>
  <c r="DX534" i="30"/>
  <c r="DY534" i="30"/>
  <c r="DZ534" i="30"/>
  <c r="EA534" i="30"/>
  <c r="EB534" i="30"/>
  <c r="EC534" i="30"/>
  <c r="ED534" i="30"/>
  <c r="EE534" i="30"/>
  <c r="EF534" i="30"/>
  <c r="EG534" i="30"/>
  <c r="EH534" i="30"/>
  <c r="EI534" i="30"/>
  <c r="EJ534" i="30"/>
  <c r="EK534" i="30"/>
  <c r="EL534" i="30"/>
  <c r="EM534" i="30"/>
  <c r="EN534" i="30"/>
  <c r="EO534" i="30"/>
  <c r="EP534" i="30"/>
  <c r="EQ534" i="30"/>
  <c r="ER534" i="30"/>
  <c r="ES534" i="30"/>
  <c r="ET534" i="30"/>
  <c r="EU534" i="30"/>
  <c r="EV534" i="30"/>
  <c r="EW534" i="30"/>
  <c r="EX534" i="30"/>
  <c r="EY534" i="30"/>
  <c r="EZ534" i="30"/>
  <c r="FA534" i="30"/>
  <c r="FB534" i="30"/>
  <c r="FC534" i="30"/>
  <c r="FD534" i="30"/>
  <c r="FE534" i="30"/>
  <c r="FF534" i="30"/>
  <c r="FG534" i="30"/>
  <c r="FH534" i="30"/>
  <c r="FI534" i="30"/>
  <c r="FJ534" i="30"/>
  <c r="FK534" i="30"/>
  <c r="FL534" i="30"/>
  <c r="FM534" i="30"/>
  <c r="FN534" i="30"/>
  <c r="FO534" i="30"/>
  <c r="FP534" i="30"/>
  <c r="FQ534" i="30"/>
  <c r="FR534" i="30"/>
  <c r="FS534" i="30"/>
  <c r="FT534" i="30"/>
  <c r="FU534" i="30"/>
  <c r="FV534" i="30"/>
  <c r="FW534" i="30"/>
  <c r="FX534" i="30"/>
  <c r="FY534" i="30"/>
  <c r="FZ534" i="30"/>
  <c r="GA534" i="30"/>
  <c r="GB534" i="30"/>
  <c r="GC534" i="30"/>
  <c r="GD534" i="30"/>
  <c r="GE534" i="30"/>
  <c r="GF534" i="30"/>
  <c r="GG534" i="30"/>
  <c r="GH534" i="30"/>
  <c r="GI534" i="30"/>
  <c r="GJ534" i="30"/>
  <c r="GK534" i="30"/>
  <c r="GL534" i="30"/>
  <c r="GM534" i="30"/>
  <c r="GN534" i="30"/>
  <c r="GO534" i="30"/>
  <c r="GP534" i="30"/>
  <c r="GQ534" i="30"/>
  <c r="GR534" i="30"/>
  <c r="GS534" i="30"/>
  <c r="GT534" i="30"/>
  <c r="GU534" i="30"/>
  <c r="GV534" i="30"/>
  <c r="GW534" i="30"/>
  <c r="GX534" i="30"/>
  <c r="GY534" i="30"/>
  <c r="GZ534" i="30"/>
  <c r="HA534" i="30"/>
  <c r="HB534" i="30"/>
  <c r="HC534" i="30"/>
  <c r="HD534" i="30"/>
  <c r="HE534" i="30"/>
  <c r="HF534" i="30"/>
  <c r="HG534" i="30"/>
  <c r="HH534" i="30"/>
  <c r="HI534" i="30"/>
  <c r="HJ534" i="30"/>
  <c r="HK534" i="30"/>
  <c r="HL534" i="30"/>
  <c r="HM534" i="30"/>
  <c r="HN534" i="30"/>
  <c r="HO534" i="30"/>
  <c r="HP534" i="30"/>
  <c r="HQ534" i="30"/>
  <c r="HR534" i="30"/>
  <c r="HS534" i="30"/>
  <c r="HT534" i="30"/>
  <c r="HU534" i="30"/>
  <c r="HV534" i="30"/>
  <c r="HW534" i="30"/>
  <c r="HX534" i="30"/>
  <c r="HY534" i="30"/>
  <c r="HZ534" i="30"/>
  <c r="IA534" i="30"/>
  <c r="IB534" i="30"/>
  <c r="IC534" i="30"/>
  <c r="ID534" i="30"/>
  <c r="IE534" i="30"/>
  <c r="IF534" i="30"/>
  <c r="IG534" i="30"/>
  <c r="IH534" i="30"/>
  <c r="II534" i="30"/>
  <c r="IJ534" i="30"/>
  <c r="IK534" i="30"/>
  <c r="IL534" i="30"/>
  <c r="IM534" i="30"/>
  <c r="IN534" i="30"/>
  <c r="IO534" i="30"/>
  <c r="IP534" i="30"/>
  <c r="IQ534" i="30"/>
  <c r="IR534" i="30"/>
  <c r="IS534" i="30"/>
  <c r="IT534" i="30"/>
  <c r="IU534" i="30"/>
  <c r="IV534" i="30"/>
  <c r="A533" i="30"/>
  <c r="B533" i="30"/>
  <c r="C533" i="30"/>
  <c r="D533" i="30"/>
  <c r="E533" i="30"/>
  <c r="F533" i="30"/>
  <c r="G533" i="30"/>
  <c r="H533" i="30"/>
  <c r="I533" i="30"/>
  <c r="J533" i="30"/>
  <c r="K533" i="30"/>
  <c r="L533" i="30"/>
  <c r="M533" i="30"/>
  <c r="N533" i="30"/>
  <c r="O533" i="30"/>
  <c r="P533" i="30"/>
  <c r="Q533" i="30"/>
  <c r="R533" i="30"/>
  <c r="S533" i="30"/>
  <c r="T533" i="30"/>
  <c r="U533" i="30"/>
  <c r="V533" i="30"/>
  <c r="W533" i="30"/>
  <c r="X533" i="30"/>
  <c r="Y533" i="30"/>
  <c r="Z533" i="30"/>
  <c r="AA533" i="30"/>
  <c r="AB533" i="30"/>
  <c r="AC533" i="30"/>
  <c r="AD533" i="30"/>
  <c r="AE533" i="30"/>
  <c r="AF533" i="30"/>
  <c r="AG533" i="30"/>
  <c r="AH533" i="30"/>
  <c r="AI533" i="30"/>
  <c r="AJ533" i="30"/>
  <c r="AK533" i="30"/>
  <c r="AL533" i="30"/>
  <c r="AM533" i="30"/>
  <c r="AN533" i="30"/>
  <c r="AO533" i="30"/>
  <c r="AP533" i="30"/>
  <c r="AQ533" i="30"/>
  <c r="AR533" i="30"/>
  <c r="AS533" i="30"/>
  <c r="AT533" i="30"/>
  <c r="AU533" i="30"/>
  <c r="AV533" i="30"/>
  <c r="AW533" i="30"/>
  <c r="AX533" i="30"/>
  <c r="AY533" i="30"/>
  <c r="AZ533" i="30"/>
  <c r="BA533" i="30"/>
  <c r="BB533" i="30"/>
  <c r="BC533" i="30"/>
  <c r="BD533" i="30"/>
  <c r="BE533" i="30"/>
  <c r="BF533" i="30"/>
  <c r="BG533" i="30"/>
  <c r="BH533" i="30"/>
  <c r="BI533" i="30"/>
  <c r="BJ533" i="30"/>
  <c r="BK533" i="30"/>
  <c r="BL533" i="30"/>
  <c r="BM533" i="30"/>
  <c r="BN533" i="30"/>
  <c r="BO533" i="30"/>
  <c r="BP533" i="30"/>
  <c r="BQ533" i="30"/>
  <c r="BR533" i="30"/>
  <c r="BS533" i="30"/>
  <c r="BT533" i="30"/>
  <c r="BU533" i="30"/>
  <c r="BV533" i="30"/>
  <c r="BW533" i="30"/>
  <c r="BX533" i="30"/>
  <c r="BY533" i="30"/>
  <c r="BZ533" i="30"/>
  <c r="CA533" i="30"/>
  <c r="CB533" i="30"/>
  <c r="CC533" i="30"/>
  <c r="CD533" i="30"/>
  <c r="CE533" i="30"/>
  <c r="CF533" i="30"/>
  <c r="CG533" i="30"/>
  <c r="CH533" i="30"/>
  <c r="CI533" i="30"/>
  <c r="CJ533" i="30"/>
  <c r="CK533" i="30"/>
  <c r="CL533" i="30"/>
  <c r="CM533" i="30"/>
  <c r="CN533" i="30"/>
  <c r="CO533" i="30"/>
  <c r="CP533" i="30"/>
  <c r="CQ533" i="30"/>
  <c r="CR533" i="30"/>
  <c r="CS533" i="30"/>
  <c r="CT533" i="30"/>
  <c r="CU533" i="30"/>
  <c r="CV533" i="30"/>
  <c r="CW533" i="30"/>
  <c r="CX533" i="30"/>
  <c r="CY533" i="30"/>
  <c r="CZ533" i="30"/>
  <c r="DA533" i="30"/>
  <c r="DB533" i="30"/>
  <c r="DC533" i="30"/>
  <c r="DD533" i="30"/>
  <c r="DE533" i="30"/>
  <c r="DF533" i="30"/>
  <c r="DG533" i="30"/>
  <c r="DH533" i="30"/>
  <c r="DI533" i="30"/>
  <c r="DJ533" i="30"/>
  <c r="DK533" i="30"/>
  <c r="DL533" i="30"/>
  <c r="DM533" i="30"/>
  <c r="DN533" i="30"/>
  <c r="DO533" i="30"/>
  <c r="DP533" i="30"/>
  <c r="DQ533" i="30"/>
  <c r="DR533" i="30"/>
  <c r="DS533" i="30"/>
  <c r="DT533" i="30"/>
  <c r="DU533" i="30"/>
  <c r="DV533" i="30"/>
  <c r="DW533" i="30"/>
  <c r="DX533" i="30"/>
  <c r="DY533" i="30"/>
  <c r="DZ533" i="30"/>
  <c r="EA533" i="30"/>
  <c r="EB533" i="30"/>
  <c r="EC533" i="30"/>
  <c r="ED533" i="30"/>
  <c r="EE533" i="30"/>
  <c r="EF533" i="30"/>
  <c r="EG533" i="30"/>
  <c r="EH533" i="30"/>
  <c r="EI533" i="30"/>
  <c r="EJ533" i="30"/>
  <c r="EK533" i="30"/>
  <c r="EL533" i="30"/>
  <c r="EM533" i="30"/>
  <c r="EN533" i="30"/>
  <c r="EO533" i="30"/>
  <c r="EP533" i="30"/>
  <c r="EQ533" i="30"/>
  <c r="ER533" i="30"/>
  <c r="ES533" i="30"/>
  <c r="ET533" i="30"/>
  <c r="EU533" i="30"/>
  <c r="EV533" i="30"/>
  <c r="EW533" i="30"/>
  <c r="EX533" i="30"/>
  <c r="EY533" i="30"/>
  <c r="EZ533" i="30"/>
  <c r="FA533" i="30"/>
  <c r="FB533" i="30"/>
  <c r="FC533" i="30"/>
  <c r="FD533" i="30"/>
  <c r="FE533" i="30"/>
  <c r="FF533" i="30"/>
  <c r="FG533" i="30"/>
  <c r="FH533" i="30"/>
  <c r="FI533" i="30"/>
  <c r="FJ533" i="30"/>
  <c r="FK533" i="30"/>
  <c r="FL533" i="30"/>
  <c r="FM533" i="30"/>
  <c r="FN533" i="30"/>
  <c r="FO533" i="30"/>
  <c r="FP533" i="30"/>
  <c r="FQ533" i="30"/>
  <c r="FR533" i="30"/>
  <c r="FS533" i="30"/>
  <c r="FT533" i="30"/>
  <c r="FU533" i="30"/>
  <c r="FV533" i="30"/>
  <c r="FW533" i="30"/>
  <c r="FX533" i="30"/>
  <c r="FY533" i="30"/>
  <c r="FZ533" i="30"/>
  <c r="GA533" i="30"/>
  <c r="GB533" i="30"/>
  <c r="GC533" i="30"/>
  <c r="GD533" i="30"/>
  <c r="GE533" i="30"/>
  <c r="GF533" i="30"/>
  <c r="GG533" i="30"/>
  <c r="GH533" i="30"/>
  <c r="GI533" i="30"/>
  <c r="GJ533" i="30"/>
  <c r="GK533" i="30"/>
  <c r="GL533" i="30"/>
  <c r="GM533" i="30"/>
  <c r="GN533" i="30"/>
  <c r="GO533" i="30"/>
  <c r="GP533" i="30"/>
  <c r="GQ533" i="30"/>
  <c r="GR533" i="30"/>
  <c r="GS533" i="30"/>
  <c r="GT533" i="30"/>
  <c r="GU533" i="30"/>
  <c r="GV533" i="30"/>
  <c r="GW533" i="30"/>
  <c r="GX533" i="30"/>
  <c r="GY533" i="30"/>
  <c r="GZ533" i="30"/>
  <c r="HA533" i="30"/>
  <c r="HB533" i="30"/>
  <c r="HC533" i="30"/>
  <c r="HD533" i="30"/>
  <c r="HE533" i="30"/>
  <c r="HF533" i="30"/>
  <c r="HG533" i="30"/>
  <c r="HH533" i="30"/>
  <c r="HI533" i="30"/>
  <c r="HJ533" i="30"/>
  <c r="HK533" i="30"/>
  <c r="HL533" i="30"/>
  <c r="HM533" i="30"/>
  <c r="HN533" i="30"/>
  <c r="HO533" i="30"/>
  <c r="HP533" i="30"/>
  <c r="HQ533" i="30"/>
  <c r="HR533" i="30"/>
  <c r="HS533" i="30"/>
  <c r="HT533" i="30"/>
  <c r="HU533" i="30"/>
  <c r="HV533" i="30"/>
  <c r="HW533" i="30"/>
  <c r="HX533" i="30"/>
  <c r="HY533" i="30"/>
  <c r="HZ533" i="30"/>
  <c r="IA533" i="30"/>
  <c r="IB533" i="30"/>
  <c r="IC533" i="30"/>
  <c r="ID533" i="30"/>
  <c r="IE533" i="30"/>
  <c r="IF533" i="30"/>
  <c r="IG533" i="30"/>
  <c r="IH533" i="30"/>
  <c r="II533" i="30"/>
  <c r="IJ533" i="30"/>
  <c r="IK533" i="30"/>
  <c r="IL533" i="30"/>
  <c r="IM533" i="30"/>
  <c r="IN533" i="30"/>
  <c r="IO533" i="30"/>
  <c r="IP533" i="30"/>
  <c r="IQ533" i="30"/>
  <c r="IR533" i="30"/>
  <c r="IS533" i="30"/>
  <c r="IT533" i="30"/>
  <c r="IU533" i="30"/>
  <c r="IV533" i="30"/>
  <c r="A532" i="30"/>
  <c r="B532" i="30"/>
  <c r="C532" i="30"/>
  <c r="D532" i="30"/>
  <c r="E532" i="30"/>
  <c r="F532" i="30"/>
  <c r="G532" i="30"/>
  <c r="H532" i="30"/>
  <c r="I532" i="30"/>
  <c r="J532" i="30"/>
  <c r="K532" i="30"/>
  <c r="L532" i="30"/>
  <c r="M532" i="30"/>
  <c r="N532" i="30"/>
  <c r="O532" i="30"/>
  <c r="P532" i="30"/>
  <c r="Q532" i="30"/>
  <c r="R532" i="30"/>
  <c r="S532" i="30"/>
  <c r="T532" i="30"/>
  <c r="U532" i="30"/>
  <c r="V532" i="30"/>
  <c r="W532" i="30"/>
  <c r="X532" i="30"/>
  <c r="Y532" i="30"/>
  <c r="Z532" i="30"/>
  <c r="AA532" i="30"/>
  <c r="AB532" i="30"/>
  <c r="AC532" i="30"/>
  <c r="AD532" i="30"/>
  <c r="AE532" i="30"/>
  <c r="AF532" i="30"/>
  <c r="AG532" i="30"/>
  <c r="AH532" i="30"/>
  <c r="AI532" i="30"/>
  <c r="AJ532" i="30"/>
  <c r="AK532" i="30"/>
  <c r="AL532" i="30"/>
  <c r="AM532" i="30"/>
  <c r="AN532" i="30"/>
  <c r="AO532" i="30"/>
  <c r="AP532" i="30"/>
  <c r="AQ532" i="30"/>
  <c r="AR532" i="30"/>
  <c r="AS532" i="30"/>
  <c r="AT532" i="30"/>
  <c r="AU532" i="30"/>
  <c r="AV532" i="30"/>
  <c r="AW532" i="30"/>
  <c r="AX532" i="30"/>
  <c r="AY532" i="30"/>
  <c r="AZ532" i="30"/>
  <c r="BA532" i="30"/>
  <c r="BB532" i="30"/>
  <c r="BC532" i="30"/>
  <c r="BD532" i="30"/>
  <c r="BE532" i="30"/>
  <c r="BF532" i="30"/>
  <c r="BG532" i="30"/>
  <c r="BH532" i="30"/>
  <c r="BI532" i="30"/>
  <c r="BJ532" i="30"/>
  <c r="BK532" i="30"/>
  <c r="BL532" i="30"/>
  <c r="BM532" i="30"/>
  <c r="BN532" i="30"/>
  <c r="BO532" i="30"/>
  <c r="BP532" i="30"/>
  <c r="BQ532" i="30"/>
  <c r="BR532" i="30"/>
  <c r="BS532" i="30"/>
  <c r="BT532" i="30"/>
  <c r="BU532" i="30"/>
  <c r="BV532" i="30"/>
  <c r="BW532" i="30"/>
  <c r="BX532" i="30"/>
  <c r="BY532" i="30"/>
  <c r="BZ532" i="30"/>
  <c r="CA532" i="30"/>
  <c r="CB532" i="30"/>
  <c r="CC532" i="30"/>
  <c r="CD532" i="30"/>
  <c r="CE532" i="30"/>
  <c r="CF532" i="30"/>
  <c r="CG532" i="30"/>
  <c r="CH532" i="30"/>
  <c r="CI532" i="30"/>
  <c r="CJ532" i="30"/>
  <c r="CK532" i="30"/>
  <c r="CL532" i="30"/>
  <c r="CM532" i="30"/>
  <c r="CN532" i="30"/>
  <c r="CO532" i="30"/>
  <c r="CP532" i="30"/>
  <c r="CQ532" i="30"/>
  <c r="CR532" i="30"/>
  <c r="CS532" i="30"/>
  <c r="CT532" i="30"/>
  <c r="CU532" i="30"/>
  <c r="CV532" i="30"/>
  <c r="CW532" i="30"/>
  <c r="CX532" i="30"/>
  <c r="CY532" i="30"/>
  <c r="CZ532" i="30"/>
  <c r="DA532" i="30"/>
  <c r="DB532" i="30"/>
  <c r="DC532" i="30"/>
  <c r="DD532" i="30"/>
  <c r="DE532" i="30"/>
  <c r="DF532" i="30"/>
  <c r="DG532" i="30"/>
  <c r="DH532" i="30"/>
  <c r="DI532" i="30"/>
  <c r="DJ532" i="30"/>
  <c r="DK532" i="30"/>
  <c r="DL532" i="30"/>
  <c r="DM532" i="30"/>
  <c r="DN532" i="30"/>
  <c r="DO532" i="30"/>
  <c r="DP532" i="30"/>
  <c r="DQ532" i="30"/>
  <c r="DR532" i="30"/>
  <c r="DS532" i="30"/>
  <c r="DT532" i="30"/>
  <c r="DU532" i="30"/>
  <c r="DV532" i="30"/>
  <c r="DW532" i="30"/>
  <c r="DX532" i="30"/>
  <c r="DY532" i="30"/>
  <c r="DZ532" i="30"/>
  <c r="EA532" i="30"/>
  <c r="EB532" i="30"/>
  <c r="EC532" i="30"/>
  <c r="ED532" i="30"/>
  <c r="EE532" i="30"/>
  <c r="EF532" i="30"/>
  <c r="EG532" i="30"/>
  <c r="EH532" i="30"/>
  <c r="EI532" i="30"/>
  <c r="EJ532" i="30"/>
  <c r="EK532" i="30"/>
  <c r="EL532" i="30"/>
  <c r="EM532" i="30"/>
  <c r="EN532" i="30"/>
  <c r="EO532" i="30"/>
  <c r="EP532" i="30"/>
  <c r="EQ532" i="30"/>
  <c r="ER532" i="30"/>
  <c r="ES532" i="30"/>
  <c r="ET532" i="30"/>
  <c r="EU532" i="30"/>
  <c r="EV532" i="30"/>
  <c r="EW532" i="30"/>
  <c r="EX532" i="30"/>
  <c r="EY532" i="30"/>
  <c r="EZ532" i="30"/>
  <c r="FA532" i="30"/>
  <c r="FB532" i="30"/>
  <c r="FC532" i="30"/>
  <c r="FD532" i="30"/>
  <c r="FE532" i="30"/>
  <c r="FF532" i="30"/>
  <c r="FG532" i="30"/>
  <c r="FH532" i="30"/>
  <c r="FI532" i="30"/>
  <c r="FJ532" i="30"/>
  <c r="FK532" i="30"/>
  <c r="FL532" i="30"/>
  <c r="FM532" i="30"/>
  <c r="FN532" i="30"/>
  <c r="FO532" i="30"/>
  <c r="FP532" i="30"/>
  <c r="FQ532" i="30"/>
  <c r="FR532" i="30"/>
  <c r="FS532" i="30"/>
  <c r="FT532" i="30"/>
  <c r="FU532" i="30"/>
  <c r="FV532" i="30"/>
  <c r="FW532" i="30"/>
  <c r="FX532" i="30"/>
  <c r="FY532" i="30"/>
  <c r="FZ532" i="30"/>
  <c r="GA532" i="30"/>
  <c r="GB532" i="30"/>
  <c r="GC532" i="30"/>
  <c r="GD532" i="30"/>
  <c r="GE532" i="30"/>
  <c r="GF532" i="30"/>
  <c r="GG532" i="30"/>
  <c r="GH532" i="30"/>
  <c r="GI532" i="30"/>
  <c r="GJ532" i="30"/>
  <c r="GK532" i="30"/>
  <c r="GL532" i="30"/>
  <c r="GM532" i="30"/>
  <c r="GN532" i="30"/>
  <c r="GO532" i="30"/>
  <c r="GP532" i="30"/>
  <c r="GQ532" i="30"/>
  <c r="GR532" i="30"/>
  <c r="GS532" i="30"/>
  <c r="GT532" i="30"/>
  <c r="GU532" i="30"/>
  <c r="GV532" i="30"/>
  <c r="GW532" i="30"/>
  <c r="GX532" i="30"/>
  <c r="GY532" i="30"/>
  <c r="GZ532" i="30"/>
  <c r="HA532" i="30"/>
  <c r="HB532" i="30"/>
  <c r="HC532" i="30"/>
  <c r="HD532" i="30"/>
  <c r="HE532" i="30"/>
  <c r="HF532" i="30"/>
  <c r="HG532" i="30"/>
  <c r="HH532" i="30"/>
  <c r="HI532" i="30"/>
  <c r="HJ532" i="30"/>
  <c r="HK532" i="30"/>
  <c r="HL532" i="30"/>
  <c r="HM532" i="30"/>
  <c r="HN532" i="30"/>
  <c r="HO532" i="30"/>
  <c r="HP532" i="30"/>
  <c r="HQ532" i="30"/>
  <c r="HR532" i="30"/>
  <c r="HS532" i="30"/>
  <c r="HT532" i="30"/>
  <c r="HU532" i="30"/>
  <c r="HV532" i="30"/>
  <c r="HW532" i="30"/>
  <c r="HX532" i="30"/>
  <c r="HY532" i="30"/>
  <c r="HZ532" i="30"/>
  <c r="IA532" i="30"/>
  <c r="IB532" i="30"/>
  <c r="IC532" i="30"/>
  <c r="ID532" i="30"/>
  <c r="IE532" i="30"/>
  <c r="IF532" i="30"/>
  <c r="IG532" i="30"/>
  <c r="IH532" i="30"/>
  <c r="II532" i="30"/>
  <c r="IJ532" i="30"/>
  <c r="IK532" i="30"/>
  <c r="IL532" i="30"/>
  <c r="IM532" i="30"/>
  <c r="IN532" i="30"/>
  <c r="IO532" i="30"/>
  <c r="IP532" i="30"/>
  <c r="IQ532" i="30"/>
  <c r="IR532" i="30"/>
  <c r="IS532" i="30"/>
  <c r="IT532" i="30"/>
  <c r="IU532" i="30"/>
  <c r="IV532" i="30"/>
  <c r="A531" i="30"/>
  <c r="B531" i="30"/>
  <c r="C531" i="30"/>
  <c r="D531" i="30"/>
  <c r="E531" i="30"/>
  <c r="F531" i="30"/>
  <c r="G531" i="30"/>
  <c r="H531" i="30"/>
  <c r="I531" i="30"/>
  <c r="J531" i="30"/>
  <c r="K531" i="30"/>
  <c r="L531" i="30"/>
  <c r="M531" i="30"/>
  <c r="N531" i="30"/>
  <c r="O531" i="30"/>
  <c r="P531" i="30"/>
  <c r="Q531" i="30"/>
  <c r="R531" i="30"/>
  <c r="S531" i="30"/>
  <c r="T531" i="30"/>
  <c r="U531" i="30"/>
  <c r="V531" i="30"/>
  <c r="W531" i="30"/>
  <c r="X531" i="30"/>
  <c r="Y531" i="30"/>
  <c r="Z531" i="30"/>
  <c r="AA531" i="30"/>
  <c r="AB531" i="30"/>
  <c r="AC531" i="30"/>
  <c r="AD531" i="30"/>
  <c r="AE531" i="30"/>
  <c r="AF531" i="30"/>
  <c r="AG531" i="30"/>
  <c r="AH531" i="30"/>
  <c r="AI531" i="30"/>
  <c r="AJ531" i="30"/>
  <c r="AK531" i="30"/>
  <c r="AL531" i="30"/>
  <c r="AM531" i="30"/>
  <c r="AN531" i="30"/>
  <c r="AO531" i="30"/>
  <c r="AP531" i="30"/>
  <c r="AQ531" i="30"/>
  <c r="AR531" i="30"/>
  <c r="AS531" i="30"/>
  <c r="AT531" i="30"/>
  <c r="AU531" i="30"/>
  <c r="AV531" i="30"/>
  <c r="AW531" i="30"/>
  <c r="AX531" i="30"/>
  <c r="AY531" i="30"/>
  <c r="AZ531" i="30"/>
  <c r="BA531" i="30"/>
  <c r="BB531" i="30"/>
  <c r="BC531" i="30"/>
  <c r="BD531" i="30"/>
  <c r="BE531" i="30"/>
  <c r="BF531" i="30"/>
  <c r="BG531" i="30"/>
  <c r="BH531" i="30"/>
  <c r="BI531" i="30"/>
  <c r="BJ531" i="30"/>
  <c r="BK531" i="30"/>
  <c r="BL531" i="30"/>
  <c r="BM531" i="30"/>
  <c r="BN531" i="30"/>
  <c r="BO531" i="30"/>
  <c r="BP531" i="30"/>
  <c r="BQ531" i="30"/>
  <c r="BR531" i="30"/>
  <c r="BS531" i="30"/>
  <c r="BT531" i="30"/>
  <c r="BU531" i="30"/>
  <c r="BV531" i="30"/>
  <c r="BW531" i="30"/>
  <c r="BX531" i="30"/>
  <c r="BY531" i="30"/>
  <c r="BZ531" i="30"/>
  <c r="CA531" i="30"/>
  <c r="CB531" i="30"/>
  <c r="CC531" i="30"/>
  <c r="CD531" i="30"/>
  <c r="CE531" i="30"/>
  <c r="CF531" i="30"/>
  <c r="CG531" i="30"/>
  <c r="CH531" i="30"/>
  <c r="CI531" i="30"/>
  <c r="CJ531" i="30"/>
  <c r="CK531" i="30"/>
  <c r="CL531" i="30"/>
  <c r="CM531" i="30"/>
  <c r="CN531" i="30"/>
  <c r="CO531" i="30"/>
  <c r="CP531" i="30"/>
  <c r="CQ531" i="30"/>
  <c r="CR531" i="30"/>
  <c r="CS531" i="30"/>
  <c r="CT531" i="30"/>
  <c r="CU531" i="30"/>
  <c r="CV531" i="30"/>
  <c r="CW531" i="30"/>
  <c r="CX531" i="30"/>
  <c r="CY531" i="30"/>
  <c r="CZ531" i="30"/>
  <c r="DA531" i="30"/>
  <c r="DB531" i="30"/>
  <c r="DC531" i="30"/>
  <c r="DD531" i="30"/>
  <c r="DE531" i="30"/>
  <c r="DF531" i="30"/>
  <c r="DG531" i="30"/>
  <c r="DH531" i="30"/>
  <c r="DI531" i="30"/>
  <c r="DJ531" i="30"/>
  <c r="DK531" i="30"/>
  <c r="DL531" i="30"/>
  <c r="DM531" i="30"/>
  <c r="DN531" i="30"/>
  <c r="DO531" i="30"/>
  <c r="DP531" i="30"/>
  <c r="DQ531" i="30"/>
  <c r="DR531" i="30"/>
  <c r="DS531" i="30"/>
  <c r="DT531" i="30"/>
  <c r="DU531" i="30"/>
  <c r="DV531" i="30"/>
  <c r="DW531" i="30"/>
  <c r="DX531" i="30"/>
  <c r="DY531" i="30"/>
  <c r="DZ531" i="30"/>
  <c r="EA531" i="30"/>
  <c r="EB531" i="30"/>
  <c r="EC531" i="30"/>
  <c r="ED531" i="30"/>
  <c r="EE531" i="30"/>
  <c r="EF531" i="30"/>
  <c r="EG531" i="30"/>
  <c r="EH531" i="30"/>
  <c r="EI531" i="30"/>
  <c r="EJ531" i="30"/>
  <c r="EK531" i="30"/>
  <c r="EL531" i="30"/>
  <c r="EM531" i="30"/>
  <c r="EN531" i="30"/>
  <c r="EO531" i="30"/>
  <c r="EP531" i="30"/>
  <c r="EQ531" i="30"/>
  <c r="ER531" i="30"/>
  <c r="ES531" i="30"/>
  <c r="ET531" i="30"/>
  <c r="EU531" i="30"/>
  <c r="EV531" i="30"/>
  <c r="EW531" i="30"/>
  <c r="EX531" i="30"/>
  <c r="EY531" i="30"/>
  <c r="EZ531" i="30"/>
  <c r="FA531" i="30"/>
  <c r="FB531" i="30"/>
  <c r="FC531" i="30"/>
  <c r="FD531" i="30"/>
  <c r="FE531" i="30"/>
  <c r="FF531" i="30"/>
  <c r="FG531" i="30"/>
  <c r="FH531" i="30"/>
  <c r="FI531" i="30"/>
  <c r="FJ531" i="30"/>
  <c r="FK531" i="30"/>
  <c r="FL531" i="30"/>
  <c r="FM531" i="30"/>
  <c r="FN531" i="30"/>
  <c r="FO531" i="30"/>
  <c r="FP531" i="30"/>
  <c r="FQ531" i="30"/>
  <c r="FR531" i="30"/>
  <c r="FS531" i="30"/>
  <c r="FT531" i="30"/>
  <c r="FU531" i="30"/>
  <c r="FV531" i="30"/>
  <c r="FW531" i="30"/>
  <c r="FX531" i="30"/>
  <c r="FY531" i="30"/>
  <c r="FZ531" i="30"/>
  <c r="GA531" i="30"/>
  <c r="GB531" i="30"/>
  <c r="GC531" i="30"/>
  <c r="GD531" i="30"/>
  <c r="GE531" i="30"/>
  <c r="GF531" i="30"/>
  <c r="GG531" i="30"/>
  <c r="GH531" i="30"/>
  <c r="GI531" i="30"/>
  <c r="GJ531" i="30"/>
  <c r="GK531" i="30"/>
  <c r="GL531" i="30"/>
  <c r="GM531" i="30"/>
  <c r="GN531" i="30"/>
  <c r="GO531" i="30"/>
  <c r="GP531" i="30"/>
  <c r="GQ531" i="30"/>
  <c r="GR531" i="30"/>
  <c r="GS531" i="30"/>
  <c r="GT531" i="30"/>
  <c r="GU531" i="30"/>
  <c r="GV531" i="30"/>
  <c r="GW531" i="30"/>
  <c r="GX531" i="30"/>
  <c r="GY531" i="30"/>
  <c r="GZ531" i="30"/>
  <c r="HA531" i="30"/>
  <c r="HB531" i="30"/>
  <c r="HC531" i="30"/>
  <c r="HD531" i="30"/>
  <c r="HE531" i="30"/>
  <c r="HF531" i="30"/>
  <c r="HG531" i="30"/>
  <c r="HH531" i="30"/>
  <c r="HI531" i="30"/>
  <c r="HJ531" i="30"/>
  <c r="HK531" i="30"/>
  <c r="HL531" i="30"/>
  <c r="HM531" i="30"/>
  <c r="HN531" i="30"/>
  <c r="HO531" i="30"/>
  <c r="HP531" i="30"/>
  <c r="HQ531" i="30"/>
  <c r="HR531" i="30"/>
  <c r="HS531" i="30"/>
  <c r="HT531" i="30"/>
  <c r="HU531" i="30"/>
  <c r="HV531" i="30"/>
  <c r="HW531" i="30"/>
  <c r="HX531" i="30"/>
  <c r="HY531" i="30"/>
  <c r="HZ531" i="30"/>
  <c r="IA531" i="30"/>
  <c r="IB531" i="30"/>
  <c r="IC531" i="30"/>
  <c r="ID531" i="30"/>
  <c r="IE531" i="30"/>
  <c r="IF531" i="30"/>
  <c r="IG531" i="30"/>
  <c r="IH531" i="30"/>
  <c r="II531" i="30"/>
  <c r="IJ531" i="30"/>
  <c r="IK531" i="30"/>
  <c r="IL531" i="30"/>
  <c r="IM531" i="30"/>
  <c r="IN531" i="30"/>
  <c r="IO531" i="30"/>
  <c r="IP531" i="30"/>
  <c r="IQ531" i="30"/>
  <c r="IR531" i="30"/>
  <c r="IS531" i="30"/>
  <c r="IT531" i="30"/>
  <c r="IU531" i="30"/>
  <c r="IV531" i="30"/>
  <c r="A530" i="30"/>
  <c r="B530" i="30"/>
  <c r="C530" i="30"/>
  <c r="D530" i="30"/>
  <c r="E530" i="30"/>
  <c r="F530" i="30"/>
  <c r="G530" i="30"/>
  <c r="H530" i="30"/>
  <c r="I530" i="30"/>
  <c r="J530" i="30"/>
  <c r="K530" i="30"/>
  <c r="L530" i="30"/>
  <c r="M530" i="30"/>
  <c r="N530" i="30"/>
  <c r="O530" i="30"/>
  <c r="P530" i="30"/>
  <c r="Q530" i="30"/>
  <c r="R530" i="30"/>
  <c r="S530" i="30"/>
  <c r="T530" i="30"/>
  <c r="U530" i="30"/>
  <c r="V530" i="30"/>
  <c r="W530" i="30"/>
  <c r="X530" i="30"/>
  <c r="Y530" i="30"/>
  <c r="Z530" i="30"/>
  <c r="AA530" i="30"/>
  <c r="AB530" i="30"/>
  <c r="AC530" i="30"/>
  <c r="AD530" i="30"/>
  <c r="AE530" i="30"/>
  <c r="AF530" i="30"/>
  <c r="AG530" i="30"/>
  <c r="AH530" i="30"/>
  <c r="AI530" i="30"/>
  <c r="AJ530" i="30"/>
  <c r="AK530" i="30"/>
  <c r="AL530" i="30"/>
  <c r="AM530" i="30"/>
  <c r="AN530" i="30"/>
  <c r="AO530" i="30"/>
  <c r="AP530" i="30"/>
  <c r="AQ530" i="30"/>
  <c r="AR530" i="30"/>
  <c r="AS530" i="30"/>
  <c r="AT530" i="30"/>
  <c r="AU530" i="30"/>
  <c r="AV530" i="30"/>
  <c r="AW530" i="30"/>
  <c r="AX530" i="30"/>
  <c r="AY530" i="30"/>
  <c r="AZ530" i="30"/>
  <c r="BA530" i="30"/>
  <c r="BB530" i="30"/>
  <c r="BC530" i="30"/>
  <c r="BD530" i="30"/>
  <c r="BE530" i="30"/>
  <c r="BF530" i="30"/>
  <c r="BG530" i="30"/>
  <c r="BH530" i="30"/>
  <c r="BI530" i="30"/>
  <c r="BJ530" i="30"/>
  <c r="BK530" i="30"/>
  <c r="BL530" i="30"/>
  <c r="BM530" i="30"/>
  <c r="BN530" i="30"/>
  <c r="BO530" i="30"/>
  <c r="BP530" i="30"/>
  <c r="BQ530" i="30"/>
  <c r="BR530" i="30"/>
  <c r="BS530" i="30"/>
  <c r="BT530" i="30"/>
  <c r="BU530" i="30"/>
  <c r="BV530" i="30"/>
  <c r="BW530" i="30"/>
  <c r="BX530" i="30"/>
  <c r="BY530" i="30"/>
  <c r="BZ530" i="30"/>
  <c r="CA530" i="30"/>
  <c r="CB530" i="30"/>
  <c r="CC530" i="30"/>
  <c r="CD530" i="30"/>
  <c r="CE530" i="30"/>
  <c r="CF530" i="30"/>
  <c r="CG530" i="30"/>
  <c r="CH530" i="30"/>
  <c r="CI530" i="30"/>
  <c r="CJ530" i="30"/>
  <c r="CK530" i="30"/>
  <c r="CL530" i="30"/>
  <c r="CM530" i="30"/>
  <c r="CN530" i="30"/>
  <c r="CO530" i="30"/>
  <c r="CP530" i="30"/>
  <c r="CQ530" i="30"/>
  <c r="CR530" i="30"/>
  <c r="CS530" i="30"/>
  <c r="CT530" i="30"/>
  <c r="CU530" i="30"/>
  <c r="CV530" i="30"/>
  <c r="CW530" i="30"/>
  <c r="CX530" i="30"/>
  <c r="CY530" i="30"/>
  <c r="CZ530" i="30"/>
  <c r="DA530" i="30"/>
  <c r="DB530" i="30"/>
  <c r="DC530" i="30"/>
  <c r="DD530" i="30"/>
  <c r="DE530" i="30"/>
  <c r="DF530" i="30"/>
  <c r="DG530" i="30"/>
  <c r="DH530" i="30"/>
  <c r="DI530" i="30"/>
  <c r="DJ530" i="30"/>
  <c r="DK530" i="30"/>
  <c r="DL530" i="30"/>
  <c r="DM530" i="30"/>
  <c r="DN530" i="30"/>
  <c r="DO530" i="30"/>
  <c r="DP530" i="30"/>
  <c r="DQ530" i="30"/>
  <c r="DR530" i="30"/>
  <c r="DS530" i="30"/>
  <c r="DT530" i="30"/>
  <c r="DU530" i="30"/>
  <c r="DV530" i="30"/>
  <c r="DW530" i="30"/>
  <c r="DX530" i="30"/>
  <c r="DY530" i="30"/>
  <c r="DZ530" i="30"/>
  <c r="EA530" i="30"/>
  <c r="EB530" i="30"/>
  <c r="EC530" i="30"/>
  <c r="ED530" i="30"/>
  <c r="EE530" i="30"/>
  <c r="EF530" i="30"/>
  <c r="EG530" i="30"/>
  <c r="EH530" i="30"/>
  <c r="EI530" i="30"/>
  <c r="EJ530" i="30"/>
  <c r="EK530" i="30"/>
  <c r="EL530" i="30"/>
  <c r="EM530" i="30"/>
  <c r="EN530" i="30"/>
  <c r="EO530" i="30"/>
  <c r="EP530" i="30"/>
  <c r="EQ530" i="30"/>
  <c r="ER530" i="30"/>
  <c r="ES530" i="30"/>
  <c r="ET530" i="30"/>
  <c r="EU530" i="30"/>
  <c r="EV530" i="30"/>
  <c r="EW530" i="30"/>
  <c r="EX530" i="30"/>
  <c r="EY530" i="30"/>
  <c r="EZ530" i="30"/>
  <c r="FA530" i="30"/>
  <c r="FB530" i="30"/>
  <c r="FC530" i="30"/>
  <c r="FD530" i="30"/>
  <c r="FE530" i="30"/>
  <c r="FF530" i="30"/>
  <c r="FG530" i="30"/>
  <c r="FH530" i="30"/>
  <c r="FI530" i="30"/>
  <c r="FJ530" i="30"/>
  <c r="FK530" i="30"/>
  <c r="FL530" i="30"/>
  <c r="FM530" i="30"/>
  <c r="FN530" i="30"/>
  <c r="FO530" i="30"/>
  <c r="FP530" i="30"/>
  <c r="FQ530" i="30"/>
  <c r="FR530" i="30"/>
  <c r="FS530" i="30"/>
  <c r="FT530" i="30"/>
  <c r="FU530" i="30"/>
  <c r="FV530" i="30"/>
  <c r="FW530" i="30"/>
  <c r="FX530" i="30"/>
  <c r="FY530" i="30"/>
  <c r="FZ530" i="30"/>
  <c r="GA530" i="30"/>
  <c r="GB530" i="30"/>
  <c r="GC530" i="30"/>
  <c r="GD530" i="30"/>
  <c r="GE530" i="30"/>
  <c r="GF530" i="30"/>
  <c r="GG530" i="30"/>
  <c r="GH530" i="30"/>
  <c r="GI530" i="30"/>
  <c r="GJ530" i="30"/>
  <c r="GK530" i="30"/>
  <c r="GL530" i="30"/>
  <c r="GM530" i="30"/>
  <c r="GN530" i="30"/>
  <c r="GO530" i="30"/>
  <c r="GP530" i="30"/>
  <c r="GQ530" i="30"/>
  <c r="GR530" i="30"/>
  <c r="GS530" i="30"/>
  <c r="GT530" i="30"/>
  <c r="GU530" i="30"/>
  <c r="GV530" i="30"/>
  <c r="GW530" i="30"/>
  <c r="GX530" i="30"/>
  <c r="GY530" i="30"/>
  <c r="GZ530" i="30"/>
  <c r="HA530" i="30"/>
  <c r="HB530" i="30"/>
  <c r="HC530" i="30"/>
  <c r="HD530" i="30"/>
  <c r="HE530" i="30"/>
  <c r="HF530" i="30"/>
  <c r="HG530" i="30"/>
  <c r="HH530" i="30"/>
  <c r="HI530" i="30"/>
  <c r="HJ530" i="30"/>
  <c r="HK530" i="30"/>
  <c r="HL530" i="30"/>
  <c r="HM530" i="30"/>
  <c r="HN530" i="30"/>
  <c r="HO530" i="30"/>
  <c r="HP530" i="30"/>
  <c r="HQ530" i="30"/>
  <c r="HR530" i="30"/>
  <c r="HS530" i="30"/>
  <c r="HT530" i="30"/>
  <c r="HU530" i="30"/>
  <c r="HV530" i="30"/>
  <c r="HW530" i="30"/>
  <c r="HX530" i="30"/>
  <c r="HY530" i="30"/>
  <c r="HZ530" i="30"/>
  <c r="IA530" i="30"/>
  <c r="IB530" i="30"/>
  <c r="IC530" i="30"/>
  <c r="ID530" i="30"/>
  <c r="IE530" i="30"/>
  <c r="IF530" i="30"/>
  <c r="IG530" i="30"/>
  <c r="IH530" i="30"/>
  <c r="II530" i="30"/>
  <c r="IJ530" i="30"/>
  <c r="IK530" i="30"/>
  <c r="IL530" i="30"/>
  <c r="IM530" i="30"/>
  <c r="IN530" i="30"/>
  <c r="IO530" i="30"/>
  <c r="IP530" i="30"/>
  <c r="IQ530" i="30"/>
  <c r="IR530" i="30"/>
  <c r="IS530" i="30"/>
  <c r="IT530" i="30"/>
  <c r="IU530" i="30"/>
  <c r="IV530" i="30"/>
  <c r="A529" i="30"/>
  <c r="B529" i="30"/>
  <c r="C529" i="30"/>
  <c r="D529" i="30"/>
  <c r="E529" i="30"/>
  <c r="F529" i="30"/>
  <c r="G529" i="30"/>
  <c r="H529" i="30"/>
  <c r="I529" i="30"/>
  <c r="J529" i="30"/>
  <c r="K529" i="30"/>
  <c r="L529" i="30"/>
  <c r="M529" i="30"/>
  <c r="N529" i="30"/>
  <c r="O529" i="30"/>
  <c r="P529" i="30"/>
  <c r="Q529" i="30"/>
  <c r="R529" i="30"/>
  <c r="S529" i="30"/>
  <c r="T529" i="30"/>
  <c r="U529" i="30"/>
  <c r="V529" i="30"/>
  <c r="W529" i="30"/>
  <c r="X529" i="30"/>
  <c r="Y529" i="30"/>
  <c r="Z529" i="30"/>
  <c r="AA529" i="30"/>
  <c r="AB529" i="30"/>
  <c r="AC529" i="30"/>
  <c r="AD529" i="30"/>
  <c r="AE529" i="30"/>
  <c r="AF529" i="30"/>
  <c r="AG529" i="30"/>
  <c r="AH529" i="30"/>
  <c r="AI529" i="30"/>
  <c r="AJ529" i="30"/>
  <c r="AK529" i="30"/>
  <c r="AL529" i="30"/>
  <c r="AM529" i="30"/>
  <c r="AN529" i="30"/>
  <c r="AO529" i="30"/>
  <c r="AP529" i="30"/>
  <c r="AQ529" i="30"/>
  <c r="AR529" i="30"/>
  <c r="AS529" i="30"/>
  <c r="AT529" i="30"/>
  <c r="AU529" i="30"/>
  <c r="AV529" i="30"/>
  <c r="AW529" i="30"/>
  <c r="AX529" i="30"/>
  <c r="AY529" i="30"/>
  <c r="AZ529" i="30"/>
  <c r="BA529" i="30"/>
  <c r="BB529" i="30"/>
  <c r="BC529" i="30"/>
  <c r="BD529" i="30"/>
  <c r="BE529" i="30"/>
  <c r="BF529" i="30"/>
  <c r="BG529" i="30"/>
  <c r="BH529" i="30"/>
  <c r="BI529" i="30"/>
  <c r="BJ529" i="30"/>
  <c r="BK529" i="30"/>
  <c r="BL529" i="30"/>
  <c r="BM529" i="30"/>
  <c r="BN529" i="30"/>
  <c r="BO529" i="30"/>
  <c r="BP529" i="30"/>
  <c r="BQ529" i="30"/>
  <c r="BR529" i="30"/>
  <c r="BS529" i="30"/>
  <c r="BT529" i="30"/>
  <c r="BU529" i="30"/>
  <c r="BV529" i="30"/>
  <c r="BW529" i="30"/>
  <c r="BX529" i="30"/>
  <c r="BY529" i="30"/>
  <c r="BZ529" i="30"/>
  <c r="CA529" i="30"/>
  <c r="CB529" i="30"/>
  <c r="CC529" i="30"/>
  <c r="CD529" i="30"/>
  <c r="CE529" i="30"/>
  <c r="CF529" i="30"/>
  <c r="CG529" i="30"/>
  <c r="CH529" i="30"/>
  <c r="CI529" i="30"/>
  <c r="CJ529" i="30"/>
  <c r="CK529" i="30"/>
  <c r="CL529" i="30"/>
  <c r="CM529" i="30"/>
  <c r="CN529" i="30"/>
  <c r="CO529" i="30"/>
  <c r="CP529" i="30"/>
  <c r="CQ529" i="30"/>
  <c r="CR529" i="30"/>
  <c r="CS529" i="30"/>
  <c r="CT529" i="30"/>
  <c r="CU529" i="30"/>
  <c r="CV529" i="30"/>
  <c r="CW529" i="30"/>
  <c r="CX529" i="30"/>
  <c r="CY529" i="30"/>
  <c r="CZ529" i="30"/>
  <c r="DA529" i="30"/>
  <c r="DB529" i="30"/>
  <c r="DC529" i="30"/>
  <c r="DD529" i="30"/>
  <c r="DE529" i="30"/>
  <c r="DF529" i="30"/>
  <c r="DG529" i="30"/>
  <c r="DH529" i="30"/>
  <c r="DI529" i="30"/>
  <c r="DJ529" i="30"/>
  <c r="DK529" i="30"/>
  <c r="DL529" i="30"/>
  <c r="DM529" i="30"/>
  <c r="DN529" i="30"/>
  <c r="DO529" i="30"/>
  <c r="DP529" i="30"/>
  <c r="DQ529" i="30"/>
  <c r="DR529" i="30"/>
  <c r="DS529" i="30"/>
  <c r="DT529" i="30"/>
  <c r="DU529" i="30"/>
  <c r="DV529" i="30"/>
  <c r="DW529" i="30"/>
  <c r="DX529" i="30"/>
  <c r="DY529" i="30"/>
  <c r="DZ529" i="30"/>
  <c r="EA529" i="30"/>
  <c r="EB529" i="30"/>
  <c r="EC529" i="30"/>
  <c r="ED529" i="30"/>
  <c r="EE529" i="30"/>
  <c r="EF529" i="30"/>
  <c r="EG529" i="30"/>
  <c r="EH529" i="30"/>
  <c r="EI529" i="30"/>
  <c r="EJ529" i="30"/>
  <c r="EK529" i="30"/>
  <c r="EL529" i="30"/>
  <c r="EM529" i="30"/>
  <c r="EN529" i="30"/>
  <c r="EO529" i="30"/>
  <c r="EP529" i="30"/>
  <c r="EQ529" i="30"/>
  <c r="ER529" i="30"/>
  <c r="ES529" i="30"/>
  <c r="ET529" i="30"/>
  <c r="EU529" i="30"/>
  <c r="EV529" i="30"/>
  <c r="EW529" i="30"/>
  <c r="EX529" i="30"/>
  <c r="EY529" i="30"/>
  <c r="EZ529" i="30"/>
  <c r="FA529" i="30"/>
  <c r="FB529" i="30"/>
  <c r="FC529" i="30"/>
  <c r="FD529" i="30"/>
  <c r="FE529" i="30"/>
  <c r="FF529" i="30"/>
  <c r="FG529" i="30"/>
  <c r="FH529" i="30"/>
  <c r="FI529" i="30"/>
  <c r="FJ529" i="30"/>
  <c r="FK529" i="30"/>
  <c r="FL529" i="30"/>
  <c r="FM529" i="30"/>
  <c r="FN529" i="30"/>
  <c r="FO529" i="30"/>
  <c r="FP529" i="30"/>
  <c r="FQ529" i="30"/>
  <c r="FR529" i="30"/>
  <c r="FS529" i="30"/>
  <c r="FT529" i="30"/>
  <c r="FU529" i="30"/>
  <c r="FV529" i="30"/>
  <c r="FW529" i="30"/>
  <c r="FX529" i="30"/>
  <c r="FY529" i="30"/>
  <c r="FZ529" i="30"/>
  <c r="GA529" i="30"/>
  <c r="GB529" i="30"/>
  <c r="GC529" i="30"/>
  <c r="GD529" i="30"/>
  <c r="GE529" i="30"/>
  <c r="GF529" i="30"/>
  <c r="GG529" i="30"/>
  <c r="GH529" i="30"/>
  <c r="GI529" i="30"/>
  <c r="GJ529" i="30"/>
  <c r="GK529" i="30"/>
  <c r="GL529" i="30"/>
  <c r="GM529" i="30"/>
  <c r="GN529" i="30"/>
  <c r="GO529" i="30"/>
  <c r="GP529" i="30"/>
  <c r="GQ529" i="30"/>
  <c r="GR529" i="30"/>
  <c r="GS529" i="30"/>
  <c r="GT529" i="30"/>
  <c r="GU529" i="30"/>
  <c r="GV529" i="30"/>
  <c r="GW529" i="30"/>
  <c r="GX529" i="30"/>
  <c r="GY529" i="30"/>
  <c r="GZ529" i="30"/>
  <c r="HA529" i="30"/>
  <c r="HB529" i="30"/>
  <c r="HC529" i="30"/>
  <c r="HD529" i="30"/>
  <c r="HE529" i="30"/>
  <c r="HF529" i="30"/>
  <c r="HG529" i="30"/>
  <c r="HH529" i="30"/>
  <c r="HI529" i="30"/>
  <c r="HJ529" i="30"/>
  <c r="HK529" i="30"/>
  <c r="HL529" i="30"/>
  <c r="HM529" i="30"/>
  <c r="HN529" i="30"/>
  <c r="HO529" i="30"/>
  <c r="HP529" i="30"/>
  <c r="HQ529" i="30"/>
  <c r="HR529" i="30"/>
  <c r="HS529" i="30"/>
  <c r="HT529" i="30"/>
  <c r="HU529" i="30"/>
  <c r="HV529" i="30"/>
  <c r="HW529" i="30"/>
  <c r="HX529" i="30"/>
  <c r="HY529" i="30"/>
  <c r="HZ529" i="30"/>
  <c r="IA529" i="30"/>
  <c r="IB529" i="30"/>
  <c r="IC529" i="30"/>
  <c r="ID529" i="30"/>
  <c r="IE529" i="30"/>
  <c r="IF529" i="30"/>
  <c r="IG529" i="30"/>
  <c r="IH529" i="30"/>
  <c r="II529" i="30"/>
  <c r="IJ529" i="30"/>
  <c r="IK529" i="30"/>
  <c r="IL529" i="30"/>
  <c r="IM529" i="30"/>
  <c r="IN529" i="30"/>
  <c r="IO529" i="30"/>
  <c r="IP529" i="30"/>
  <c r="IQ529" i="30"/>
  <c r="IR529" i="30"/>
  <c r="IS529" i="30"/>
  <c r="IT529" i="30"/>
  <c r="IU529" i="30"/>
  <c r="IV529" i="30"/>
  <c r="A528" i="30"/>
  <c r="B528" i="30"/>
  <c r="C528" i="30"/>
  <c r="D528" i="30"/>
  <c r="E528" i="30"/>
  <c r="F528" i="30"/>
  <c r="G528" i="30"/>
  <c r="H528" i="30"/>
  <c r="I528" i="30"/>
  <c r="J528" i="30"/>
  <c r="K528" i="30"/>
  <c r="L528" i="30"/>
  <c r="M528" i="30"/>
  <c r="N528" i="30"/>
  <c r="O528" i="30"/>
  <c r="P528" i="30"/>
  <c r="Q528" i="30"/>
  <c r="R528" i="30"/>
  <c r="S528" i="30"/>
  <c r="T528" i="30"/>
  <c r="U528" i="30"/>
  <c r="V528" i="30"/>
  <c r="W528" i="30"/>
  <c r="X528" i="30"/>
  <c r="Y528" i="30"/>
  <c r="Z528" i="30"/>
  <c r="AA528" i="30"/>
  <c r="AB528" i="30"/>
  <c r="AC528" i="30"/>
  <c r="AD528" i="30"/>
  <c r="AE528" i="30"/>
  <c r="AF528" i="30"/>
  <c r="AG528" i="30"/>
  <c r="AH528" i="30"/>
  <c r="AI528" i="30"/>
  <c r="AJ528" i="30"/>
  <c r="AK528" i="30"/>
  <c r="AL528" i="30"/>
  <c r="AM528" i="30"/>
  <c r="AN528" i="30"/>
  <c r="AO528" i="30"/>
  <c r="AP528" i="30"/>
  <c r="AQ528" i="30"/>
  <c r="AR528" i="30"/>
  <c r="AS528" i="30"/>
  <c r="AT528" i="30"/>
  <c r="AU528" i="30"/>
  <c r="AV528" i="30"/>
  <c r="AW528" i="30"/>
  <c r="AX528" i="30"/>
  <c r="AY528" i="30"/>
  <c r="AZ528" i="30"/>
  <c r="BA528" i="30"/>
  <c r="BB528" i="30"/>
  <c r="BC528" i="30"/>
  <c r="BD528" i="30"/>
  <c r="BE528" i="30"/>
  <c r="BF528" i="30"/>
  <c r="BG528" i="30"/>
  <c r="BH528" i="30"/>
  <c r="BI528" i="30"/>
  <c r="BJ528" i="30"/>
  <c r="BK528" i="30"/>
  <c r="BL528" i="30"/>
  <c r="BM528" i="30"/>
  <c r="BN528" i="30"/>
  <c r="BO528" i="30"/>
  <c r="BP528" i="30"/>
  <c r="BQ528" i="30"/>
  <c r="BR528" i="30"/>
  <c r="BS528" i="30"/>
  <c r="BT528" i="30"/>
  <c r="BU528" i="30"/>
  <c r="BV528" i="30"/>
  <c r="BW528" i="30"/>
  <c r="BX528" i="30"/>
  <c r="BY528" i="30"/>
  <c r="BZ528" i="30"/>
  <c r="CA528" i="30"/>
  <c r="CB528" i="30"/>
  <c r="CC528" i="30"/>
  <c r="CD528" i="30"/>
  <c r="CE528" i="30"/>
  <c r="CF528" i="30"/>
  <c r="CG528" i="30"/>
  <c r="CH528" i="30"/>
  <c r="CI528" i="30"/>
  <c r="CJ528" i="30"/>
  <c r="CK528" i="30"/>
  <c r="CL528" i="30"/>
  <c r="CM528" i="30"/>
  <c r="CN528" i="30"/>
  <c r="CO528" i="30"/>
  <c r="CP528" i="30"/>
  <c r="CQ528" i="30"/>
  <c r="CR528" i="30"/>
  <c r="CS528" i="30"/>
  <c r="CT528" i="30"/>
  <c r="CU528" i="30"/>
  <c r="CV528" i="30"/>
  <c r="CW528" i="30"/>
  <c r="CX528" i="30"/>
  <c r="CY528" i="30"/>
  <c r="CZ528" i="30"/>
  <c r="DA528" i="30"/>
  <c r="DB528" i="30"/>
  <c r="DC528" i="30"/>
  <c r="DD528" i="30"/>
  <c r="DE528" i="30"/>
  <c r="DF528" i="30"/>
  <c r="DG528" i="30"/>
  <c r="DH528" i="30"/>
  <c r="DI528" i="30"/>
  <c r="DJ528" i="30"/>
  <c r="DK528" i="30"/>
  <c r="DL528" i="30"/>
  <c r="DM528" i="30"/>
  <c r="DN528" i="30"/>
  <c r="DO528" i="30"/>
  <c r="DP528" i="30"/>
  <c r="DQ528" i="30"/>
  <c r="DR528" i="30"/>
  <c r="DS528" i="30"/>
  <c r="DT528" i="30"/>
  <c r="DU528" i="30"/>
  <c r="DV528" i="30"/>
  <c r="DW528" i="30"/>
  <c r="DX528" i="30"/>
  <c r="DY528" i="30"/>
  <c r="DZ528" i="30"/>
  <c r="EA528" i="30"/>
  <c r="EB528" i="30"/>
  <c r="EC528" i="30"/>
  <c r="ED528" i="30"/>
  <c r="EE528" i="30"/>
  <c r="EF528" i="30"/>
  <c r="EG528" i="30"/>
  <c r="EH528" i="30"/>
  <c r="EI528" i="30"/>
  <c r="EJ528" i="30"/>
  <c r="EK528" i="30"/>
  <c r="EL528" i="30"/>
  <c r="EM528" i="30"/>
  <c r="EN528" i="30"/>
  <c r="EO528" i="30"/>
  <c r="EP528" i="30"/>
  <c r="EQ528" i="30"/>
  <c r="ER528" i="30"/>
  <c r="ES528" i="30"/>
  <c r="ET528" i="30"/>
  <c r="EU528" i="30"/>
  <c r="EV528" i="30"/>
  <c r="EW528" i="30"/>
  <c r="EX528" i="30"/>
  <c r="EY528" i="30"/>
  <c r="EZ528" i="30"/>
  <c r="FA528" i="30"/>
  <c r="FB528" i="30"/>
  <c r="FC528" i="30"/>
  <c r="FD528" i="30"/>
  <c r="FE528" i="30"/>
  <c r="FF528" i="30"/>
  <c r="FG528" i="30"/>
  <c r="FH528" i="30"/>
  <c r="FI528" i="30"/>
  <c r="FJ528" i="30"/>
  <c r="FK528" i="30"/>
  <c r="FL528" i="30"/>
  <c r="FM528" i="30"/>
  <c r="FN528" i="30"/>
  <c r="FO528" i="30"/>
  <c r="FP528" i="30"/>
  <c r="FQ528" i="30"/>
  <c r="FR528" i="30"/>
  <c r="FS528" i="30"/>
  <c r="FT528" i="30"/>
  <c r="FU528" i="30"/>
  <c r="FV528" i="30"/>
  <c r="FW528" i="30"/>
  <c r="FX528" i="30"/>
  <c r="FY528" i="30"/>
  <c r="FZ528" i="30"/>
  <c r="GA528" i="30"/>
  <c r="GB528" i="30"/>
  <c r="GC528" i="30"/>
  <c r="GD528" i="30"/>
  <c r="GE528" i="30"/>
  <c r="GF528" i="30"/>
  <c r="GG528" i="30"/>
  <c r="GH528" i="30"/>
  <c r="GI528" i="30"/>
  <c r="GJ528" i="30"/>
  <c r="GK528" i="30"/>
  <c r="GL528" i="30"/>
  <c r="GM528" i="30"/>
  <c r="GN528" i="30"/>
  <c r="GO528" i="30"/>
  <c r="GP528" i="30"/>
  <c r="GQ528" i="30"/>
  <c r="GR528" i="30"/>
  <c r="GS528" i="30"/>
  <c r="GT528" i="30"/>
  <c r="GU528" i="30"/>
  <c r="GV528" i="30"/>
  <c r="GW528" i="30"/>
  <c r="GX528" i="30"/>
  <c r="GY528" i="30"/>
  <c r="GZ528" i="30"/>
  <c r="HA528" i="30"/>
  <c r="HB528" i="30"/>
  <c r="HC528" i="30"/>
  <c r="HD528" i="30"/>
  <c r="HE528" i="30"/>
  <c r="HF528" i="30"/>
  <c r="HG528" i="30"/>
  <c r="HH528" i="30"/>
  <c r="HI528" i="30"/>
  <c r="HJ528" i="30"/>
  <c r="HK528" i="30"/>
  <c r="HL528" i="30"/>
  <c r="HM528" i="30"/>
  <c r="HN528" i="30"/>
  <c r="HO528" i="30"/>
  <c r="HP528" i="30"/>
  <c r="HQ528" i="30"/>
  <c r="HR528" i="30"/>
  <c r="HS528" i="30"/>
  <c r="HT528" i="30"/>
  <c r="HU528" i="30"/>
  <c r="HV528" i="30"/>
  <c r="HW528" i="30"/>
  <c r="HX528" i="30"/>
  <c r="HY528" i="30"/>
  <c r="HZ528" i="30"/>
  <c r="IA528" i="30"/>
  <c r="IB528" i="30"/>
  <c r="IC528" i="30"/>
  <c r="ID528" i="30"/>
  <c r="IE528" i="30"/>
  <c r="IF528" i="30"/>
  <c r="IG528" i="30"/>
  <c r="IH528" i="30"/>
  <c r="II528" i="30"/>
  <c r="IJ528" i="30"/>
  <c r="IK528" i="30"/>
  <c r="IL528" i="30"/>
  <c r="IM528" i="30"/>
  <c r="IN528" i="30"/>
  <c r="IO528" i="30"/>
  <c r="IP528" i="30"/>
  <c r="IQ528" i="30"/>
  <c r="IR528" i="30"/>
  <c r="IS528" i="30"/>
  <c r="IT528" i="30"/>
  <c r="IU528" i="30"/>
  <c r="IV528" i="30"/>
  <c r="A527" i="30"/>
  <c r="B527" i="30"/>
  <c r="C527" i="30"/>
  <c r="D527" i="30"/>
  <c r="E527" i="30"/>
  <c r="F527" i="30"/>
  <c r="G527" i="30"/>
  <c r="H527" i="30"/>
  <c r="I527" i="30"/>
  <c r="J527" i="30"/>
  <c r="K527" i="30"/>
  <c r="L527" i="30"/>
  <c r="M527" i="30"/>
  <c r="N527" i="30"/>
  <c r="O527" i="30"/>
  <c r="P527" i="30"/>
  <c r="Q527" i="30"/>
  <c r="R527" i="30"/>
  <c r="S527" i="30"/>
  <c r="T527" i="30"/>
  <c r="U527" i="30"/>
  <c r="V527" i="30"/>
  <c r="W527" i="30"/>
  <c r="X527" i="30"/>
  <c r="Y527" i="30"/>
  <c r="Z527" i="30"/>
  <c r="AA527" i="30"/>
  <c r="AB527" i="30"/>
  <c r="AC527" i="30"/>
  <c r="AD527" i="30"/>
  <c r="AE527" i="30"/>
  <c r="AF527" i="30"/>
  <c r="AG527" i="30"/>
  <c r="AH527" i="30"/>
  <c r="AI527" i="30"/>
  <c r="AJ527" i="30"/>
  <c r="AK527" i="30"/>
  <c r="AL527" i="30"/>
  <c r="AM527" i="30"/>
  <c r="AN527" i="30"/>
  <c r="AO527" i="30"/>
  <c r="AP527" i="30"/>
  <c r="AQ527" i="30"/>
  <c r="AR527" i="30"/>
  <c r="AS527" i="30"/>
  <c r="AT527" i="30"/>
  <c r="AU527" i="30"/>
  <c r="AV527" i="30"/>
  <c r="AW527" i="30"/>
  <c r="AX527" i="30"/>
  <c r="AY527" i="30"/>
  <c r="AZ527" i="30"/>
  <c r="BA527" i="30"/>
  <c r="BB527" i="30"/>
  <c r="BC527" i="30"/>
  <c r="BD527" i="30"/>
  <c r="BE527" i="30"/>
  <c r="BF527" i="30"/>
  <c r="BG527" i="30"/>
  <c r="BH527" i="30"/>
  <c r="BI527" i="30"/>
  <c r="BJ527" i="30"/>
  <c r="BK527" i="30"/>
  <c r="BL527" i="30"/>
  <c r="BM527" i="30"/>
  <c r="BN527" i="30"/>
  <c r="BO527" i="30"/>
  <c r="BP527" i="30"/>
  <c r="BQ527" i="30"/>
  <c r="BR527" i="30"/>
  <c r="BS527" i="30"/>
  <c r="BT527" i="30"/>
  <c r="BU527" i="30"/>
  <c r="BV527" i="30"/>
  <c r="BW527" i="30"/>
  <c r="BX527" i="30"/>
  <c r="BY527" i="30"/>
  <c r="BZ527" i="30"/>
  <c r="CA527" i="30"/>
  <c r="CB527" i="30"/>
  <c r="CC527" i="30"/>
  <c r="CD527" i="30"/>
  <c r="CE527" i="30"/>
  <c r="CF527" i="30"/>
  <c r="CG527" i="30"/>
  <c r="CH527" i="30"/>
  <c r="CI527" i="30"/>
  <c r="CJ527" i="30"/>
  <c r="CK527" i="30"/>
  <c r="CL527" i="30"/>
  <c r="CM527" i="30"/>
  <c r="CN527" i="30"/>
  <c r="CO527" i="30"/>
  <c r="CP527" i="30"/>
  <c r="CQ527" i="30"/>
  <c r="CR527" i="30"/>
  <c r="CS527" i="30"/>
  <c r="CT527" i="30"/>
  <c r="CU527" i="30"/>
  <c r="CV527" i="30"/>
  <c r="CW527" i="30"/>
  <c r="CX527" i="30"/>
  <c r="CY527" i="30"/>
  <c r="CZ527" i="30"/>
  <c r="DA527" i="30"/>
  <c r="DB527" i="30"/>
  <c r="DC527" i="30"/>
  <c r="DD527" i="30"/>
  <c r="DE527" i="30"/>
  <c r="DF527" i="30"/>
  <c r="DG527" i="30"/>
  <c r="DH527" i="30"/>
  <c r="DI527" i="30"/>
  <c r="DJ527" i="30"/>
  <c r="DK527" i="30"/>
  <c r="DL527" i="30"/>
  <c r="DM527" i="30"/>
  <c r="DN527" i="30"/>
  <c r="DO527" i="30"/>
  <c r="DP527" i="30"/>
  <c r="DQ527" i="30"/>
  <c r="DR527" i="30"/>
  <c r="DS527" i="30"/>
  <c r="DT527" i="30"/>
  <c r="DU527" i="30"/>
  <c r="DV527" i="30"/>
  <c r="DW527" i="30"/>
  <c r="DX527" i="30"/>
  <c r="DY527" i="30"/>
  <c r="DZ527" i="30"/>
  <c r="EA527" i="30"/>
  <c r="EB527" i="30"/>
  <c r="EC527" i="30"/>
  <c r="ED527" i="30"/>
  <c r="EE527" i="30"/>
  <c r="EF527" i="30"/>
  <c r="EG527" i="30"/>
  <c r="EH527" i="30"/>
  <c r="EI527" i="30"/>
  <c r="EJ527" i="30"/>
  <c r="EK527" i="30"/>
  <c r="EL527" i="30"/>
  <c r="EM527" i="30"/>
  <c r="EN527" i="30"/>
  <c r="EO527" i="30"/>
  <c r="EP527" i="30"/>
  <c r="EQ527" i="30"/>
  <c r="ER527" i="30"/>
  <c r="ES527" i="30"/>
  <c r="ET527" i="30"/>
  <c r="EU527" i="30"/>
  <c r="EV527" i="30"/>
  <c r="EW527" i="30"/>
  <c r="EX527" i="30"/>
  <c r="EY527" i="30"/>
  <c r="EZ527" i="30"/>
  <c r="FA527" i="30"/>
  <c r="FB527" i="30"/>
  <c r="FC527" i="30"/>
  <c r="FD527" i="30"/>
  <c r="FE527" i="30"/>
  <c r="FF527" i="30"/>
  <c r="FG527" i="30"/>
  <c r="FH527" i="30"/>
  <c r="FI527" i="30"/>
  <c r="FJ527" i="30"/>
  <c r="FK527" i="30"/>
  <c r="FL527" i="30"/>
  <c r="FM527" i="30"/>
  <c r="FN527" i="30"/>
  <c r="FO527" i="30"/>
  <c r="FP527" i="30"/>
  <c r="FQ527" i="30"/>
  <c r="FR527" i="30"/>
  <c r="FS527" i="30"/>
  <c r="FT527" i="30"/>
  <c r="FU527" i="30"/>
  <c r="FV527" i="30"/>
  <c r="FW527" i="30"/>
  <c r="FX527" i="30"/>
  <c r="FY527" i="30"/>
  <c r="FZ527" i="30"/>
  <c r="GA527" i="30"/>
  <c r="GB527" i="30"/>
  <c r="GC527" i="30"/>
  <c r="GD527" i="30"/>
  <c r="GE527" i="30"/>
  <c r="GF527" i="30"/>
  <c r="GG527" i="30"/>
  <c r="GH527" i="30"/>
  <c r="GI527" i="30"/>
  <c r="GJ527" i="30"/>
  <c r="GK527" i="30"/>
  <c r="GL527" i="30"/>
  <c r="GM527" i="30"/>
  <c r="GN527" i="30"/>
  <c r="GO527" i="30"/>
  <c r="GP527" i="30"/>
  <c r="GQ527" i="30"/>
  <c r="GR527" i="30"/>
  <c r="GS527" i="30"/>
  <c r="GT527" i="30"/>
  <c r="GU527" i="30"/>
  <c r="GV527" i="30"/>
  <c r="GW527" i="30"/>
  <c r="GX527" i="30"/>
  <c r="GY527" i="30"/>
  <c r="GZ527" i="30"/>
  <c r="HA527" i="30"/>
  <c r="HB527" i="30"/>
  <c r="HC527" i="30"/>
  <c r="HD527" i="30"/>
  <c r="HE527" i="30"/>
  <c r="HF527" i="30"/>
  <c r="HG527" i="30"/>
  <c r="HH527" i="30"/>
  <c r="HI527" i="30"/>
  <c r="HJ527" i="30"/>
  <c r="HK527" i="30"/>
  <c r="HL527" i="30"/>
  <c r="HM527" i="30"/>
  <c r="HN527" i="30"/>
  <c r="HO527" i="30"/>
  <c r="HP527" i="30"/>
  <c r="HQ527" i="30"/>
  <c r="HR527" i="30"/>
  <c r="HS527" i="30"/>
  <c r="HT527" i="30"/>
  <c r="HU527" i="30"/>
  <c r="HV527" i="30"/>
  <c r="HW527" i="30"/>
  <c r="HX527" i="30"/>
  <c r="HY527" i="30"/>
  <c r="HZ527" i="30"/>
  <c r="IA527" i="30"/>
  <c r="IB527" i="30"/>
  <c r="IC527" i="30"/>
  <c r="ID527" i="30"/>
  <c r="IE527" i="30"/>
  <c r="IF527" i="30"/>
  <c r="IG527" i="30"/>
  <c r="IH527" i="30"/>
  <c r="II527" i="30"/>
  <c r="IJ527" i="30"/>
  <c r="IK527" i="30"/>
  <c r="IL527" i="30"/>
  <c r="IM527" i="30"/>
  <c r="IN527" i="30"/>
  <c r="IO527" i="30"/>
  <c r="IP527" i="30"/>
  <c r="IQ527" i="30"/>
  <c r="IR527" i="30"/>
  <c r="IS527" i="30"/>
  <c r="IT527" i="30"/>
  <c r="IU527" i="30"/>
  <c r="IV527" i="30"/>
  <c r="A526" i="30"/>
  <c r="B526" i="30"/>
  <c r="C526" i="30"/>
  <c r="D526" i="30"/>
  <c r="E526" i="30"/>
  <c r="F526" i="30"/>
  <c r="G526" i="30"/>
  <c r="H526" i="30"/>
  <c r="I526" i="30"/>
  <c r="J526" i="30"/>
  <c r="K526" i="30"/>
  <c r="L526" i="30"/>
  <c r="M526" i="30"/>
  <c r="N526" i="30"/>
  <c r="O526" i="30"/>
  <c r="P526" i="30"/>
  <c r="Q526" i="30"/>
  <c r="R526" i="30"/>
  <c r="S526" i="30"/>
  <c r="T526" i="30"/>
  <c r="U526" i="30"/>
  <c r="V526" i="30"/>
  <c r="W526" i="30"/>
  <c r="X526" i="30"/>
  <c r="Y526" i="30"/>
  <c r="Z526" i="30"/>
  <c r="AA526" i="30"/>
  <c r="AB526" i="30"/>
  <c r="AC526" i="30"/>
  <c r="AD526" i="30"/>
  <c r="AE526" i="30"/>
  <c r="AF526" i="30"/>
  <c r="AG526" i="30"/>
  <c r="AH526" i="30"/>
  <c r="AI526" i="30"/>
  <c r="AJ526" i="30"/>
  <c r="AK526" i="30"/>
  <c r="AL526" i="30"/>
  <c r="AM526" i="30"/>
  <c r="AN526" i="30"/>
  <c r="AO526" i="30"/>
  <c r="AP526" i="30"/>
  <c r="AQ526" i="30"/>
  <c r="AR526" i="30"/>
  <c r="AS526" i="30"/>
  <c r="AT526" i="30"/>
  <c r="AU526" i="30"/>
  <c r="AV526" i="30"/>
  <c r="AW526" i="30"/>
  <c r="AX526" i="30"/>
  <c r="AY526" i="30"/>
  <c r="AZ526" i="30"/>
  <c r="BA526" i="30"/>
  <c r="BB526" i="30"/>
  <c r="BC526" i="30"/>
  <c r="BD526" i="30"/>
  <c r="BE526" i="30"/>
  <c r="BF526" i="30"/>
  <c r="BG526" i="30"/>
  <c r="BH526" i="30"/>
  <c r="BI526" i="30"/>
  <c r="BJ526" i="30"/>
  <c r="BK526" i="30"/>
  <c r="BL526" i="30"/>
  <c r="BM526" i="30"/>
  <c r="BN526" i="30"/>
  <c r="BO526" i="30"/>
  <c r="BP526" i="30"/>
  <c r="BQ526" i="30"/>
  <c r="BR526" i="30"/>
  <c r="BS526" i="30"/>
  <c r="BT526" i="30"/>
  <c r="BU526" i="30"/>
  <c r="BV526" i="30"/>
  <c r="BW526" i="30"/>
  <c r="BX526" i="30"/>
  <c r="BY526" i="30"/>
  <c r="BZ526" i="30"/>
  <c r="CA526" i="30"/>
  <c r="CB526" i="30"/>
  <c r="CC526" i="30"/>
  <c r="CD526" i="30"/>
  <c r="CE526" i="30"/>
  <c r="CF526" i="30"/>
  <c r="CG526" i="30"/>
  <c r="CH526" i="30"/>
  <c r="CI526" i="30"/>
  <c r="CJ526" i="30"/>
  <c r="CK526" i="30"/>
  <c r="CL526" i="30"/>
  <c r="CM526" i="30"/>
  <c r="CN526" i="30"/>
  <c r="CO526" i="30"/>
  <c r="CP526" i="30"/>
  <c r="CQ526" i="30"/>
  <c r="CR526" i="30"/>
  <c r="CS526" i="30"/>
  <c r="CT526" i="30"/>
  <c r="CU526" i="30"/>
  <c r="CV526" i="30"/>
  <c r="CW526" i="30"/>
  <c r="CX526" i="30"/>
  <c r="CY526" i="30"/>
  <c r="CZ526" i="30"/>
  <c r="DA526" i="30"/>
  <c r="DB526" i="30"/>
  <c r="DC526" i="30"/>
  <c r="DD526" i="30"/>
  <c r="DE526" i="30"/>
  <c r="DF526" i="30"/>
  <c r="DG526" i="30"/>
  <c r="DH526" i="30"/>
  <c r="DI526" i="30"/>
  <c r="DJ526" i="30"/>
  <c r="DK526" i="30"/>
  <c r="DL526" i="30"/>
  <c r="DM526" i="30"/>
  <c r="DN526" i="30"/>
  <c r="DO526" i="30"/>
  <c r="DP526" i="30"/>
  <c r="DQ526" i="30"/>
  <c r="DR526" i="30"/>
  <c r="DS526" i="30"/>
  <c r="DT526" i="30"/>
  <c r="DU526" i="30"/>
  <c r="DV526" i="30"/>
  <c r="DW526" i="30"/>
  <c r="DX526" i="30"/>
  <c r="DY526" i="30"/>
  <c r="DZ526" i="30"/>
  <c r="EA526" i="30"/>
  <c r="EB526" i="30"/>
  <c r="EC526" i="30"/>
  <c r="ED526" i="30"/>
  <c r="EE526" i="30"/>
  <c r="EF526" i="30"/>
  <c r="EG526" i="30"/>
  <c r="EH526" i="30"/>
  <c r="EI526" i="30"/>
  <c r="EJ526" i="30"/>
  <c r="EK526" i="30"/>
  <c r="EL526" i="30"/>
  <c r="EM526" i="30"/>
  <c r="EN526" i="30"/>
  <c r="EO526" i="30"/>
  <c r="EP526" i="30"/>
  <c r="EQ526" i="30"/>
  <c r="ER526" i="30"/>
  <c r="ES526" i="30"/>
  <c r="ET526" i="30"/>
  <c r="EU526" i="30"/>
  <c r="EV526" i="30"/>
  <c r="EW526" i="30"/>
  <c r="EX526" i="30"/>
  <c r="EY526" i="30"/>
  <c r="EZ526" i="30"/>
  <c r="FA526" i="30"/>
  <c r="FB526" i="30"/>
  <c r="FC526" i="30"/>
  <c r="FD526" i="30"/>
  <c r="FE526" i="30"/>
  <c r="FF526" i="30"/>
  <c r="FG526" i="30"/>
  <c r="FH526" i="30"/>
  <c r="FI526" i="30"/>
  <c r="FJ526" i="30"/>
  <c r="FK526" i="30"/>
  <c r="FL526" i="30"/>
  <c r="FM526" i="30"/>
  <c r="FN526" i="30"/>
  <c r="FO526" i="30"/>
  <c r="FP526" i="30"/>
  <c r="FQ526" i="30"/>
  <c r="FR526" i="30"/>
  <c r="FS526" i="30"/>
  <c r="FT526" i="30"/>
  <c r="FU526" i="30"/>
  <c r="FV526" i="30"/>
  <c r="FW526" i="30"/>
  <c r="FX526" i="30"/>
  <c r="FY526" i="30"/>
  <c r="FZ526" i="30"/>
  <c r="GA526" i="30"/>
  <c r="GB526" i="30"/>
  <c r="GC526" i="30"/>
  <c r="GD526" i="30"/>
  <c r="GE526" i="30"/>
  <c r="GF526" i="30"/>
  <c r="GG526" i="30"/>
  <c r="GH526" i="30"/>
  <c r="GI526" i="30"/>
  <c r="GJ526" i="30"/>
  <c r="GK526" i="30"/>
  <c r="GL526" i="30"/>
  <c r="GM526" i="30"/>
  <c r="GN526" i="30"/>
  <c r="GO526" i="30"/>
  <c r="GP526" i="30"/>
  <c r="GQ526" i="30"/>
  <c r="GR526" i="30"/>
  <c r="GS526" i="30"/>
  <c r="GT526" i="30"/>
  <c r="GU526" i="30"/>
  <c r="GV526" i="30"/>
  <c r="GW526" i="30"/>
  <c r="GX526" i="30"/>
  <c r="GY526" i="30"/>
  <c r="GZ526" i="30"/>
  <c r="HA526" i="30"/>
  <c r="HB526" i="30"/>
  <c r="HC526" i="30"/>
  <c r="HD526" i="30"/>
  <c r="HE526" i="30"/>
  <c r="HF526" i="30"/>
  <c r="HG526" i="30"/>
  <c r="HH526" i="30"/>
  <c r="HI526" i="30"/>
  <c r="HJ526" i="30"/>
  <c r="HK526" i="30"/>
  <c r="HL526" i="30"/>
  <c r="HM526" i="30"/>
  <c r="HN526" i="30"/>
  <c r="HO526" i="30"/>
  <c r="HP526" i="30"/>
  <c r="HQ526" i="30"/>
  <c r="HR526" i="30"/>
  <c r="HS526" i="30"/>
  <c r="HT526" i="30"/>
  <c r="HU526" i="30"/>
  <c r="HV526" i="30"/>
  <c r="HW526" i="30"/>
  <c r="HX526" i="30"/>
  <c r="HY526" i="30"/>
  <c r="HZ526" i="30"/>
  <c r="IA526" i="30"/>
  <c r="IB526" i="30"/>
  <c r="IC526" i="30"/>
  <c r="ID526" i="30"/>
  <c r="IE526" i="30"/>
  <c r="IF526" i="30"/>
  <c r="IG526" i="30"/>
  <c r="IH526" i="30"/>
  <c r="II526" i="30"/>
  <c r="IJ526" i="30"/>
  <c r="IK526" i="30"/>
  <c r="IL526" i="30"/>
  <c r="IM526" i="30"/>
  <c r="IN526" i="30"/>
  <c r="IO526" i="30"/>
  <c r="IP526" i="30"/>
  <c r="IQ526" i="30"/>
  <c r="IR526" i="30"/>
  <c r="IS526" i="30"/>
  <c r="IT526" i="30"/>
  <c r="IU526" i="30"/>
  <c r="IV526" i="30"/>
  <c r="A525" i="30"/>
  <c r="B525" i="30"/>
  <c r="C525" i="30"/>
  <c r="D525" i="30"/>
  <c r="E525" i="30"/>
  <c r="F525" i="30"/>
  <c r="G525" i="30"/>
  <c r="H525" i="30"/>
  <c r="I525" i="30"/>
  <c r="J525" i="30"/>
  <c r="K525" i="30"/>
  <c r="L525" i="30"/>
  <c r="M525" i="30"/>
  <c r="N525" i="30"/>
  <c r="O525" i="30"/>
  <c r="P525" i="30"/>
  <c r="Q525" i="30"/>
  <c r="R525" i="30"/>
  <c r="S525" i="30"/>
  <c r="T525" i="30"/>
  <c r="U525" i="30"/>
  <c r="V525" i="30"/>
  <c r="W525" i="30"/>
  <c r="X525" i="30"/>
  <c r="Y525" i="30"/>
  <c r="Z525" i="30"/>
  <c r="AA525" i="30"/>
  <c r="AB525" i="30"/>
  <c r="AC525" i="30"/>
  <c r="AD525" i="30"/>
  <c r="AE525" i="30"/>
  <c r="AF525" i="30"/>
  <c r="AG525" i="30"/>
  <c r="AH525" i="30"/>
  <c r="AI525" i="30"/>
  <c r="AJ525" i="30"/>
  <c r="AK525" i="30"/>
  <c r="AL525" i="30"/>
  <c r="AM525" i="30"/>
  <c r="AN525" i="30"/>
  <c r="AO525" i="30"/>
  <c r="AP525" i="30"/>
  <c r="AQ525" i="30"/>
  <c r="AR525" i="30"/>
  <c r="AS525" i="30"/>
  <c r="AT525" i="30"/>
  <c r="AU525" i="30"/>
  <c r="AV525" i="30"/>
  <c r="AW525" i="30"/>
  <c r="AX525" i="30"/>
  <c r="AY525" i="30"/>
  <c r="AZ525" i="30"/>
  <c r="BA525" i="30"/>
  <c r="BB525" i="30"/>
  <c r="BC525" i="30"/>
  <c r="BD525" i="30"/>
  <c r="BE525" i="30"/>
  <c r="BF525" i="30"/>
  <c r="BG525" i="30"/>
  <c r="BH525" i="30"/>
  <c r="BI525" i="30"/>
  <c r="BJ525" i="30"/>
  <c r="BK525" i="30"/>
  <c r="BL525" i="30"/>
  <c r="BM525" i="30"/>
  <c r="BN525" i="30"/>
  <c r="BO525" i="30"/>
  <c r="BP525" i="30"/>
  <c r="BQ525" i="30"/>
  <c r="BR525" i="30"/>
  <c r="BS525" i="30"/>
  <c r="BT525" i="30"/>
  <c r="BU525" i="30"/>
  <c r="BV525" i="30"/>
  <c r="BW525" i="30"/>
  <c r="BX525" i="30"/>
  <c r="BY525" i="30"/>
  <c r="BZ525" i="30"/>
  <c r="CA525" i="30"/>
  <c r="CB525" i="30"/>
  <c r="CC525" i="30"/>
  <c r="CD525" i="30"/>
  <c r="CE525" i="30"/>
  <c r="CF525" i="30"/>
  <c r="CG525" i="30"/>
  <c r="CH525" i="30"/>
  <c r="CI525" i="30"/>
  <c r="CJ525" i="30"/>
  <c r="CK525" i="30"/>
  <c r="CL525" i="30"/>
  <c r="CM525" i="30"/>
  <c r="CN525" i="30"/>
  <c r="CO525" i="30"/>
  <c r="CP525" i="30"/>
  <c r="CQ525" i="30"/>
  <c r="CR525" i="30"/>
  <c r="CS525" i="30"/>
  <c r="CT525" i="30"/>
  <c r="CU525" i="30"/>
  <c r="CV525" i="30"/>
  <c r="CW525" i="30"/>
  <c r="CX525" i="30"/>
  <c r="CY525" i="30"/>
  <c r="CZ525" i="30"/>
  <c r="DA525" i="30"/>
  <c r="DB525" i="30"/>
  <c r="DC525" i="30"/>
  <c r="DD525" i="30"/>
  <c r="DE525" i="30"/>
  <c r="DF525" i="30"/>
  <c r="DG525" i="30"/>
  <c r="DH525" i="30"/>
  <c r="DI525" i="30"/>
  <c r="DJ525" i="30"/>
  <c r="DK525" i="30"/>
  <c r="DL525" i="30"/>
  <c r="DM525" i="30"/>
  <c r="DN525" i="30"/>
  <c r="DO525" i="30"/>
  <c r="DP525" i="30"/>
  <c r="DQ525" i="30"/>
  <c r="DR525" i="30"/>
  <c r="DS525" i="30"/>
  <c r="DT525" i="30"/>
  <c r="DU525" i="30"/>
  <c r="DV525" i="30"/>
  <c r="DW525" i="30"/>
  <c r="DX525" i="30"/>
  <c r="DY525" i="30"/>
  <c r="DZ525" i="30"/>
  <c r="EA525" i="30"/>
  <c r="EB525" i="30"/>
  <c r="EC525" i="30"/>
  <c r="ED525" i="30"/>
  <c r="EE525" i="30"/>
  <c r="EF525" i="30"/>
  <c r="EG525" i="30"/>
  <c r="EH525" i="30"/>
  <c r="EI525" i="30"/>
  <c r="EJ525" i="30"/>
  <c r="EK525" i="30"/>
  <c r="EL525" i="30"/>
  <c r="EM525" i="30"/>
  <c r="EN525" i="30"/>
  <c r="EO525" i="30"/>
  <c r="EP525" i="30"/>
  <c r="EQ525" i="30"/>
  <c r="ER525" i="30"/>
  <c r="ES525" i="30"/>
  <c r="ET525" i="30"/>
  <c r="EU525" i="30"/>
  <c r="EV525" i="30"/>
  <c r="EW525" i="30"/>
  <c r="EX525" i="30"/>
  <c r="EY525" i="30"/>
  <c r="EZ525" i="30"/>
  <c r="FA525" i="30"/>
  <c r="FB525" i="30"/>
  <c r="FC525" i="30"/>
  <c r="FD525" i="30"/>
  <c r="FE525" i="30"/>
  <c r="FF525" i="30"/>
  <c r="FG525" i="30"/>
  <c r="FH525" i="30"/>
  <c r="FI525" i="30"/>
  <c r="FJ525" i="30"/>
  <c r="FK525" i="30"/>
  <c r="FL525" i="30"/>
  <c r="FM525" i="30"/>
  <c r="FN525" i="30"/>
  <c r="FO525" i="30"/>
  <c r="FP525" i="30"/>
  <c r="FQ525" i="30"/>
  <c r="FR525" i="30"/>
  <c r="FS525" i="30"/>
  <c r="FT525" i="30"/>
  <c r="FU525" i="30"/>
  <c r="FV525" i="30"/>
  <c r="FW525" i="30"/>
  <c r="FX525" i="30"/>
  <c r="FY525" i="30"/>
  <c r="FZ525" i="30"/>
  <c r="GA525" i="30"/>
  <c r="GB525" i="30"/>
  <c r="GC525" i="30"/>
  <c r="GD525" i="30"/>
  <c r="GE525" i="30"/>
  <c r="GF525" i="30"/>
  <c r="GG525" i="30"/>
  <c r="GH525" i="30"/>
  <c r="GI525" i="30"/>
  <c r="GJ525" i="30"/>
  <c r="GK525" i="30"/>
  <c r="GL525" i="30"/>
  <c r="GM525" i="30"/>
  <c r="GN525" i="30"/>
  <c r="GO525" i="30"/>
  <c r="GP525" i="30"/>
  <c r="GQ525" i="30"/>
  <c r="GR525" i="30"/>
  <c r="GS525" i="30"/>
  <c r="GT525" i="30"/>
  <c r="GU525" i="30"/>
  <c r="GV525" i="30"/>
  <c r="GW525" i="30"/>
  <c r="GX525" i="30"/>
  <c r="GY525" i="30"/>
  <c r="GZ525" i="30"/>
  <c r="HA525" i="30"/>
  <c r="HB525" i="30"/>
  <c r="HC525" i="30"/>
  <c r="HD525" i="30"/>
  <c r="HE525" i="30"/>
  <c r="HF525" i="30"/>
  <c r="HG525" i="30"/>
  <c r="HH525" i="30"/>
  <c r="HI525" i="30"/>
  <c r="HJ525" i="30"/>
  <c r="HK525" i="30"/>
  <c r="HL525" i="30"/>
  <c r="HM525" i="30"/>
  <c r="HN525" i="30"/>
  <c r="HO525" i="30"/>
  <c r="HP525" i="30"/>
  <c r="HQ525" i="30"/>
  <c r="HR525" i="30"/>
  <c r="HS525" i="30"/>
  <c r="HT525" i="30"/>
  <c r="HU525" i="30"/>
  <c r="HV525" i="30"/>
  <c r="HW525" i="30"/>
  <c r="HX525" i="30"/>
  <c r="HY525" i="30"/>
  <c r="HZ525" i="30"/>
  <c r="IA525" i="30"/>
  <c r="IB525" i="30"/>
  <c r="IC525" i="30"/>
  <c r="ID525" i="30"/>
  <c r="IE525" i="30"/>
  <c r="IF525" i="30"/>
  <c r="IG525" i="30"/>
  <c r="IH525" i="30"/>
  <c r="II525" i="30"/>
  <c r="IJ525" i="30"/>
  <c r="IK525" i="30"/>
  <c r="IL525" i="30"/>
  <c r="IM525" i="30"/>
  <c r="IN525" i="30"/>
  <c r="IO525" i="30"/>
  <c r="IP525" i="30"/>
  <c r="IQ525" i="30"/>
  <c r="IR525" i="30"/>
  <c r="IS525" i="30"/>
  <c r="IT525" i="30"/>
  <c r="IU525" i="30"/>
  <c r="IV525" i="30"/>
  <c r="A524" i="30"/>
  <c r="B524" i="30"/>
  <c r="C524" i="30"/>
  <c r="D524" i="30"/>
  <c r="E524" i="30"/>
  <c r="F524" i="30"/>
  <c r="G524" i="30"/>
  <c r="H524" i="30"/>
  <c r="I524" i="30"/>
  <c r="J524" i="30"/>
  <c r="K524" i="30"/>
  <c r="L524" i="30"/>
  <c r="M524" i="30"/>
  <c r="N524" i="30"/>
  <c r="O524" i="30"/>
  <c r="P524" i="30"/>
  <c r="Q524" i="30"/>
  <c r="R524" i="30"/>
  <c r="S524" i="30"/>
  <c r="T524" i="30"/>
  <c r="U524" i="30"/>
  <c r="V524" i="30"/>
  <c r="W524" i="30"/>
  <c r="X524" i="30"/>
  <c r="Y524" i="30"/>
  <c r="Z524" i="30"/>
  <c r="AA524" i="30"/>
  <c r="AB524" i="30"/>
  <c r="AC524" i="30"/>
  <c r="AD524" i="30"/>
  <c r="AE524" i="30"/>
  <c r="AF524" i="30"/>
  <c r="AG524" i="30"/>
  <c r="AH524" i="30"/>
  <c r="AI524" i="30"/>
  <c r="AJ524" i="30"/>
  <c r="AK524" i="30"/>
  <c r="AL524" i="30"/>
  <c r="AM524" i="30"/>
  <c r="AN524" i="30"/>
  <c r="AO524" i="30"/>
  <c r="AP524" i="30"/>
  <c r="AQ524" i="30"/>
  <c r="AR524" i="30"/>
  <c r="AS524" i="30"/>
  <c r="AT524" i="30"/>
  <c r="AU524" i="30"/>
  <c r="AV524" i="30"/>
  <c r="AW524" i="30"/>
  <c r="AX524" i="30"/>
  <c r="AY524" i="30"/>
  <c r="AZ524" i="30"/>
  <c r="BA524" i="30"/>
  <c r="BB524" i="30"/>
  <c r="BC524" i="30"/>
  <c r="BD524" i="30"/>
  <c r="BE524" i="30"/>
  <c r="BF524" i="30"/>
  <c r="BG524" i="30"/>
  <c r="BH524" i="30"/>
  <c r="BI524" i="30"/>
  <c r="BJ524" i="30"/>
  <c r="BK524" i="30"/>
  <c r="BL524" i="30"/>
  <c r="BM524" i="30"/>
  <c r="BN524" i="30"/>
  <c r="BO524" i="30"/>
  <c r="BP524" i="30"/>
  <c r="BQ524" i="30"/>
  <c r="BR524" i="30"/>
  <c r="BS524" i="30"/>
  <c r="BT524" i="30"/>
  <c r="BU524" i="30"/>
  <c r="BV524" i="30"/>
  <c r="BW524" i="30"/>
  <c r="BX524" i="30"/>
  <c r="BY524" i="30"/>
  <c r="BZ524" i="30"/>
  <c r="CA524" i="30"/>
  <c r="CB524" i="30"/>
  <c r="CC524" i="30"/>
  <c r="CD524" i="30"/>
  <c r="CE524" i="30"/>
  <c r="CF524" i="30"/>
  <c r="CG524" i="30"/>
  <c r="CH524" i="30"/>
  <c r="CI524" i="30"/>
  <c r="CJ524" i="30"/>
  <c r="CK524" i="30"/>
  <c r="CL524" i="30"/>
  <c r="CM524" i="30"/>
  <c r="CN524" i="30"/>
  <c r="CO524" i="30"/>
  <c r="CP524" i="30"/>
  <c r="CQ524" i="30"/>
  <c r="CR524" i="30"/>
  <c r="CS524" i="30"/>
  <c r="CT524" i="30"/>
  <c r="CU524" i="30"/>
  <c r="CV524" i="30"/>
  <c r="CW524" i="30"/>
  <c r="CX524" i="30"/>
  <c r="CY524" i="30"/>
  <c r="CZ524" i="30"/>
  <c r="DA524" i="30"/>
  <c r="DB524" i="30"/>
  <c r="DC524" i="30"/>
  <c r="DD524" i="30"/>
  <c r="DE524" i="30"/>
  <c r="DF524" i="30"/>
  <c r="DG524" i="30"/>
  <c r="DH524" i="30"/>
  <c r="DI524" i="30"/>
  <c r="DJ524" i="30"/>
  <c r="DK524" i="30"/>
  <c r="DL524" i="30"/>
  <c r="DM524" i="30"/>
  <c r="DN524" i="30"/>
  <c r="DO524" i="30"/>
  <c r="DP524" i="30"/>
  <c r="DQ524" i="30"/>
  <c r="DR524" i="30"/>
  <c r="DS524" i="30"/>
  <c r="DT524" i="30"/>
  <c r="DU524" i="30"/>
  <c r="DV524" i="30"/>
  <c r="DW524" i="30"/>
  <c r="DX524" i="30"/>
  <c r="DY524" i="30"/>
  <c r="DZ524" i="30"/>
  <c r="EA524" i="30"/>
  <c r="EB524" i="30"/>
  <c r="EC524" i="30"/>
  <c r="ED524" i="30"/>
  <c r="EE524" i="30"/>
  <c r="EF524" i="30"/>
  <c r="EG524" i="30"/>
  <c r="EH524" i="30"/>
  <c r="EI524" i="30"/>
  <c r="EJ524" i="30"/>
  <c r="EK524" i="30"/>
  <c r="EL524" i="30"/>
  <c r="EM524" i="30"/>
  <c r="EN524" i="30"/>
  <c r="EO524" i="30"/>
  <c r="EP524" i="30"/>
  <c r="EQ524" i="30"/>
  <c r="ER524" i="30"/>
  <c r="ES524" i="30"/>
  <c r="ET524" i="30"/>
  <c r="EU524" i="30"/>
  <c r="EV524" i="30"/>
  <c r="EW524" i="30"/>
  <c r="EX524" i="30"/>
  <c r="EY524" i="30"/>
  <c r="EZ524" i="30"/>
  <c r="FA524" i="30"/>
  <c r="FB524" i="30"/>
  <c r="FC524" i="30"/>
  <c r="FD524" i="30"/>
  <c r="FE524" i="30"/>
  <c r="FF524" i="30"/>
  <c r="FG524" i="30"/>
  <c r="FH524" i="30"/>
  <c r="FI524" i="30"/>
  <c r="FJ524" i="30"/>
  <c r="FK524" i="30"/>
  <c r="FL524" i="30"/>
  <c r="FM524" i="30"/>
  <c r="FN524" i="30"/>
  <c r="FO524" i="30"/>
  <c r="FP524" i="30"/>
  <c r="FQ524" i="30"/>
  <c r="FR524" i="30"/>
  <c r="FS524" i="30"/>
  <c r="FT524" i="30"/>
  <c r="FU524" i="30"/>
  <c r="FV524" i="30"/>
  <c r="FW524" i="30"/>
  <c r="FX524" i="30"/>
  <c r="FY524" i="30"/>
  <c r="FZ524" i="30"/>
  <c r="GA524" i="30"/>
  <c r="GB524" i="30"/>
  <c r="GC524" i="30"/>
  <c r="GD524" i="30"/>
  <c r="GE524" i="30"/>
  <c r="GF524" i="30"/>
  <c r="GG524" i="30"/>
  <c r="GH524" i="30"/>
  <c r="GI524" i="30"/>
  <c r="GJ524" i="30"/>
  <c r="GK524" i="30"/>
  <c r="GL524" i="30"/>
  <c r="GM524" i="30"/>
  <c r="GN524" i="30"/>
  <c r="GO524" i="30"/>
  <c r="GP524" i="30"/>
  <c r="GQ524" i="30"/>
  <c r="GR524" i="30"/>
  <c r="GS524" i="30"/>
  <c r="GT524" i="30"/>
  <c r="GU524" i="30"/>
  <c r="GV524" i="30"/>
  <c r="GW524" i="30"/>
  <c r="GX524" i="30"/>
  <c r="GY524" i="30"/>
  <c r="GZ524" i="30"/>
  <c r="HA524" i="30"/>
  <c r="HB524" i="30"/>
  <c r="HC524" i="30"/>
  <c r="HD524" i="30"/>
  <c r="HE524" i="30"/>
  <c r="HF524" i="30"/>
  <c r="HG524" i="30"/>
  <c r="HH524" i="30"/>
  <c r="HI524" i="30"/>
  <c r="HJ524" i="30"/>
  <c r="HK524" i="30"/>
  <c r="HL524" i="30"/>
  <c r="HM524" i="30"/>
  <c r="HN524" i="30"/>
  <c r="HO524" i="30"/>
  <c r="HP524" i="30"/>
  <c r="HQ524" i="30"/>
  <c r="HR524" i="30"/>
  <c r="HS524" i="30"/>
  <c r="HT524" i="30"/>
  <c r="HU524" i="30"/>
  <c r="HV524" i="30"/>
  <c r="HW524" i="30"/>
  <c r="HX524" i="30"/>
  <c r="HY524" i="30"/>
  <c r="HZ524" i="30"/>
  <c r="IA524" i="30"/>
  <c r="IB524" i="30"/>
  <c r="IC524" i="30"/>
  <c r="ID524" i="30"/>
  <c r="IE524" i="30"/>
  <c r="IF524" i="30"/>
  <c r="IG524" i="30"/>
  <c r="IH524" i="30"/>
  <c r="II524" i="30"/>
  <c r="IJ524" i="30"/>
  <c r="IK524" i="30"/>
  <c r="IL524" i="30"/>
  <c r="IM524" i="30"/>
  <c r="IN524" i="30"/>
  <c r="IO524" i="30"/>
  <c r="IP524" i="30"/>
  <c r="IQ524" i="30"/>
  <c r="IR524" i="30"/>
  <c r="IS524" i="30"/>
  <c r="IT524" i="30"/>
  <c r="IU524" i="30"/>
  <c r="IV524" i="30"/>
  <c r="A523" i="30"/>
  <c r="B523" i="30"/>
  <c r="C523" i="30"/>
  <c r="D523" i="30"/>
  <c r="E523" i="30"/>
  <c r="F523" i="30"/>
  <c r="G523" i="30"/>
  <c r="H523" i="30"/>
  <c r="I523" i="30"/>
  <c r="J523" i="30"/>
  <c r="K523" i="30"/>
  <c r="L523" i="30"/>
  <c r="M523" i="30"/>
  <c r="N523" i="30"/>
  <c r="O523" i="30"/>
  <c r="P523" i="30"/>
  <c r="Q523" i="30"/>
  <c r="R523" i="30"/>
  <c r="S523" i="30"/>
  <c r="T523" i="30"/>
  <c r="U523" i="30"/>
  <c r="V523" i="30"/>
  <c r="W523" i="30"/>
  <c r="X523" i="30"/>
  <c r="Y523" i="30"/>
  <c r="Z523" i="30"/>
  <c r="AA523" i="30"/>
  <c r="AB523" i="30"/>
  <c r="AC523" i="30"/>
  <c r="AD523" i="30"/>
  <c r="AE523" i="30"/>
  <c r="AF523" i="30"/>
  <c r="AG523" i="30"/>
  <c r="AH523" i="30"/>
  <c r="AI523" i="30"/>
  <c r="AJ523" i="30"/>
  <c r="AK523" i="30"/>
  <c r="AL523" i="30"/>
  <c r="AM523" i="30"/>
  <c r="AN523" i="30"/>
  <c r="AO523" i="30"/>
  <c r="AP523" i="30"/>
  <c r="AQ523" i="30"/>
  <c r="AR523" i="30"/>
  <c r="AS523" i="30"/>
  <c r="AT523" i="30"/>
  <c r="AU523" i="30"/>
  <c r="AV523" i="30"/>
  <c r="AW523" i="30"/>
  <c r="AX523" i="30"/>
  <c r="AY523" i="30"/>
  <c r="AZ523" i="30"/>
  <c r="BA523" i="30"/>
  <c r="BB523" i="30"/>
  <c r="BC523" i="30"/>
  <c r="BD523" i="30"/>
  <c r="BE523" i="30"/>
  <c r="BF523" i="30"/>
  <c r="BG523" i="30"/>
  <c r="BH523" i="30"/>
  <c r="BI523" i="30"/>
  <c r="BJ523" i="30"/>
  <c r="BK523" i="30"/>
  <c r="BL523" i="30"/>
  <c r="BM523" i="30"/>
  <c r="BN523" i="30"/>
  <c r="BO523" i="30"/>
  <c r="BP523" i="30"/>
  <c r="BQ523" i="30"/>
  <c r="BR523" i="30"/>
  <c r="BS523" i="30"/>
  <c r="BT523" i="30"/>
  <c r="BU523" i="30"/>
  <c r="BV523" i="30"/>
  <c r="BW523" i="30"/>
  <c r="BX523" i="30"/>
  <c r="BY523" i="30"/>
  <c r="BZ523" i="30"/>
  <c r="CA523" i="30"/>
  <c r="CB523" i="30"/>
  <c r="CC523" i="30"/>
  <c r="CD523" i="30"/>
  <c r="CE523" i="30"/>
  <c r="CF523" i="30"/>
  <c r="CG523" i="30"/>
  <c r="CH523" i="30"/>
  <c r="CI523" i="30"/>
  <c r="CJ523" i="30"/>
  <c r="CK523" i="30"/>
  <c r="CL523" i="30"/>
  <c r="CM523" i="30"/>
  <c r="CN523" i="30"/>
  <c r="CO523" i="30"/>
  <c r="CP523" i="30"/>
  <c r="CQ523" i="30"/>
  <c r="CR523" i="30"/>
  <c r="CS523" i="30"/>
  <c r="CT523" i="30"/>
  <c r="CU523" i="30"/>
  <c r="CV523" i="30"/>
  <c r="CW523" i="30"/>
  <c r="CX523" i="30"/>
  <c r="CY523" i="30"/>
  <c r="CZ523" i="30"/>
  <c r="DA523" i="30"/>
  <c r="DB523" i="30"/>
  <c r="DC523" i="30"/>
  <c r="DD523" i="30"/>
  <c r="DE523" i="30"/>
  <c r="DF523" i="30"/>
  <c r="DG523" i="30"/>
  <c r="DH523" i="30"/>
  <c r="DI523" i="30"/>
  <c r="DJ523" i="30"/>
  <c r="DK523" i="30"/>
  <c r="DL523" i="30"/>
  <c r="DM523" i="30"/>
  <c r="DN523" i="30"/>
  <c r="DO523" i="30"/>
  <c r="DP523" i="30"/>
  <c r="DQ523" i="30"/>
  <c r="DR523" i="30"/>
  <c r="DS523" i="30"/>
  <c r="DT523" i="30"/>
  <c r="DU523" i="30"/>
  <c r="DV523" i="30"/>
  <c r="DW523" i="30"/>
  <c r="DX523" i="30"/>
  <c r="DY523" i="30"/>
  <c r="DZ523" i="30"/>
  <c r="EA523" i="30"/>
  <c r="EB523" i="30"/>
  <c r="EC523" i="30"/>
  <c r="ED523" i="30"/>
  <c r="EE523" i="30"/>
  <c r="EF523" i="30"/>
  <c r="EG523" i="30"/>
  <c r="EH523" i="30"/>
  <c r="EI523" i="30"/>
  <c r="EJ523" i="30"/>
  <c r="EK523" i="30"/>
  <c r="EL523" i="30"/>
  <c r="EM523" i="30"/>
  <c r="EN523" i="30"/>
  <c r="EO523" i="30"/>
  <c r="EP523" i="30"/>
  <c r="EQ523" i="30"/>
  <c r="ER523" i="30"/>
  <c r="ES523" i="30"/>
  <c r="ET523" i="30"/>
  <c r="EU523" i="30"/>
  <c r="EV523" i="30"/>
  <c r="EW523" i="30"/>
  <c r="EX523" i="30"/>
  <c r="EY523" i="30"/>
  <c r="EZ523" i="30"/>
  <c r="FA523" i="30"/>
  <c r="FB523" i="30"/>
  <c r="FC523" i="30"/>
  <c r="FD523" i="30"/>
  <c r="FE523" i="30"/>
  <c r="FF523" i="30"/>
  <c r="FG523" i="30"/>
  <c r="FH523" i="30"/>
  <c r="FI523" i="30"/>
  <c r="FJ523" i="30"/>
  <c r="FK523" i="30"/>
  <c r="FL523" i="30"/>
  <c r="FM523" i="30"/>
  <c r="FN523" i="30"/>
  <c r="FO523" i="30"/>
  <c r="FP523" i="30"/>
  <c r="FQ523" i="30"/>
  <c r="FR523" i="30"/>
  <c r="FS523" i="30"/>
  <c r="FT523" i="30"/>
  <c r="FU523" i="30"/>
  <c r="FV523" i="30"/>
  <c r="FW523" i="30"/>
  <c r="FX523" i="30"/>
  <c r="FY523" i="30"/>
  <c r="FZ523" i="30"/>
  <c r="GA523" i="30"/>
  <c r="GB523" i="30"/>
  <c r="GC523" i="30"/>
  <c r="GD523" i="30"/>
  <c r="GE523" i="30"/>
  <c r="GF523" i="30"/>
  <c r="GG523" i="30"/>
  <c r="GH523" i="30"/>
  <c r="GI523" i="30"/>
  <c r="GJ523" i="30"/>
  <c r="GK523" i="30"/>
  <c r="GL523" i="30"/>
  <c r="GM523" i="30"/>
  <c r="GN523" i="30"/>
  <c r="GO523" i="30"/>
  <c r="GP523" i="30"/>
  <c r="GQ523" i="30"/>
  <c r="GR523" i="30"/>
  <c r="GS523" i="30"/>
  <c r="GT523" i="30"/>
  <c r="GU523" i="30"/>
  <c r="GV523" i="30"/>
  <c r="GW523" i="30"/>
  <c r="GX523" i="30"/>
  <c r="GY523" i="30"/>
  <c r="GZ523" i="30"/>
  <c r="HA523" i="30"/>
  <c r="HB523" i="30"/>
  <c r="HC523" i="30"/>
  <c r="HD523" i="30"/>
  <c r="HE523" i="30"/>
  <c r="HF523" i="30"/>
  <c r="HG523" i="30"/>
  <c r="HH523" i="30"/>
  <c r="HI523" i="30"/>
  <c r="HJ523" i="30"/>
  <c r="HK523" i="30"/>
  <c r="HL523" i="30"/>
  <c r="HM523" i="30"/>
  <c r="HN523" i="30"/>
  <c r="HO523" i="30"/>
  <c r="HP523" i="30"/>
  <c r="HQ523" i="30"/>
  <c r="HR523" i="30"/>
  <c r="HS523" i="30"/>
  <c r="HT523" i="30"/>
  <c r="HU523" i="30"/>
  <c r="HV523" i="30"/>
  <c r="HW523" i="30"/>
  <c r="HX523" i="30"/>
  <c r="HY523" i="30"/>
  <c r="HZ523" i="30"/>
  <c r="IA523" i="30"/>
  <c r="IB523" i="30"/>
  <c r="IC523" i="30"/>
  <c r="ID523" i="30"/>
  <c r="IE523" i="30"/>
  <c r="IF523" i="30"/>
  <c r="IG523" i="30"/>
  <c r="IH523" i="30"/>
  <c r="II523" i="30"/>
  <c r="IJ523" i="30"/>
  <c r="IK523" i="30"/>
  <c r="IL523" i="30"/>
  <c r="IM523" i="30"/>
  <c r="IN523" i="30"/>
  <c r="IO523" i="30"/>
  <c r="IP523" i="30"/>
  <c r="IQ523" i="30"/>
  <c r="IR523" i="30"/>
  <c r="IS523" i="30"/>
  <c r="IT523" i="30"/>
  <c r="IU523" i="30"/>
  <c r="IV523" i="30"/>
  <c r="A522" i="30"/>
  <c r="B522" i="30"/>
  <c r="C522" i="30"/>
  <c r="D522" i="30"/>
  <c r="E522" i="30"/>
  <c r="F522" i="30"/>
  <c r="G522" i="30"/>
  <c r="H522" i="30"/>
  <c r="I522" i="30"/>
  <c r="J522" i="30"/>
  <c r="K522" i="30"/>
  <c r="L522" i="30"/>
  <c r="M522" i="30"/>
  <c r="N522" i="30"/>
  <c r="O522" i="30"/>
  <c r="P522" i="30"/>
  <c r="Q522" i="30"/>
  <c r="R522" i="30"/>
  <c r="S522" i="30"/>
  <c r="T522" i="30"/>
  <c r="U522" i="30"/>
  <c r="V522" i="30"/>
  <c r="W522" i="30"/>
  <c r="X522" i="30"/>
  <c r="Y522" i="30"/>
  <c r="Z522" i="30"/>
  <c r="AA522" i="30"/>
  <c r="AB522" i="30"/>
  <c r="AC522" i="30"/>
  <c r="AD522" i="30"/>
  <c r="AE522" i="30"/>
  <c r="AF522" i="30"/>
  <c r="AG522" i="30"/>
  <c r="AH522" i="30"/>
  <c r="AI522" i="30"/>
  <c r="AJ522" i="30"/>
  <c r="AK522" i="30"/>
  <c r="AL522" i="30"/>
  <c r="AM522" i="30"/>
  <c r="AN522" i="30"/>
  <c r="AO522" i="30"/>
  <c r="AP522" i="30"/>
  <c r="AQ522" i="30"/>
  <c r="AR522" i="30"/>
  <c r="AS522" i="30"/>
  <c r="AT522" i="30"/>
  <c r="AU522" i="30"/>
  <c r="AV522" i="30"/>
  <c r="AW522" i="30"/>
  <c r="AX522" i="30"/>
  <c r="AY522" i="30"/>
  <c r="AZ522" i="30"/>
  <c r="BA522" i="30"/>
  <c r="BB522" i="30"/>
  <c r="BC522" i="30"/>
  <c r="BD522" i="30"/>
  <c r="BE522" i="30"/>
  <c r="BF522" i="30"/>
  <c r="BG522" i="30"/>
  <c r="BH522" i="30"/>
  <c r="BI522" i="30"/>
  <c r="BJ522" i="30"/>
  <c r="BK522" i="30"/>
  <c r="BL522" i="30"/>
  <c r="BM522" i="30"/>
  <c r="BN522" i="30"/>
  <c r="BO522" i="30"/>
  <c r="BP522" i="30"/>
  <c r="BQ522" i="30"/>
  <c r="BR522" i="30"/>
  <c r="BS522" i="30"/>
  <c r="BT522" i="30"/>
  <c r="BU522" i="30"/>
  <c r="BV522" i="30"/>
  <c r="BW522" i="30"/>
  <c r="BX522" i="30"/>
  <c r="BY522" i="30"/>
  <c r="BZ522" i="30"/>
  <c r="CA522" i="30"/>
  <c r="CB522" i="30"/>
  <c r="CC522" i="30"/>
  <c r="CD522" i="30"/>
  <c r="CE522" i="30"/>
  <c r="CF522" i="30"/>
  <c r="CG522" i="30"/>
  <c r="CH522" i="30"/>
  <c r="CI522" i="30"/>
  <c r="CJ522" i="30"/>
  <c r="CK522" i="30"/>
  <c r="CL522" i="30"/>
  <c r="CM522" i="30"/>
  <c r="CN522" i="30"/>
  <c r="CO522" i="30"/>
  <c r="CP522" i="30"/>
  <c r="CQ522" i="30"/>
  <c r="CR522" i="30"/>
  <c r="CS522" i="30"/>
  <c r="CT522" i="30"/>
  <c r="CU522" i="30"/>
  <c r="CV522" i="30"/>
  <c r="CW522" i="30"/>
  <c r="CX522" i="30"/>
  <c r="CY522" i="30"/>
  <c r="CZ522" i="30"/>
  <c r="DA522" i="30"/>
  <c r="DB522" i="30"/>
  <c r="DC522" i="30"/>
  <c r="DD522" i="30"/>
  <c r="DE522" i="30"/>
  <c r="DF522" i="30"/>
  <c r="DG522" i="30"/>
  <c r="DH522" i="30"/>
  <c r="DI522" i="30"/>
  <c r="DJ522" i="30"/>
  <c r="DK522" i="30"/>
  <c r="DL522" i="30"/>
  <c r="DM522" i="30"/>
  <c r="DN522" i="30"/>
  <c r="DO522" i="30"/>
  <c r="DP522" i="30"/>
  <c r="DQ522" i="30"/>
  <c r="DR522" i="30"/>
  <c r="DS522" i="30"/>
  <c r="DT522" i="30"/>
  <c r="DU522" i="30"/>
  <c r="DV522" i="30"/>
  <c r="DW522" i="30"/>
  <c r="DX522" i="30"/>
  <c r="DY522" i="30"/>
  <c r="DZ522" i="30"/>
  <c r="EA522" i="30"/>
  <c r="EB522" i="30"/>
  <c r="EC522" i="30"/>
  <c r="ED522" i="30"/>
  <c r="EE522" i="30"/>
  <c r="EF522" i="30"/>
  <c r="EG522" i="30"/>
  <c r="EH522" i="30"/>
  <c r="EI522" i="30"/>
  <c r="EJ522" i="30"/>
  <c r="EK522" i="30"/>
  <c r="EL522" i="30"/>
  <c r="EM522" i="30"/>
  <c r="EN522" i="30"/>
  <c r="EO522" i="30"/>
  <c r="EP522" i="30"/>
  <c r="EQ522" i="30"/>
  <c r="ER522" i="30"/>
  <c r="ES522" i="30"/>
  <c r="ET522" i="30"/>
  <c r="EU522" i="30"/>
  <c r="EV522" i="30"/>
  <c r="EW522" i="30"/>
  <c r="EX522" i="30"/>
  <c r="EY522" i="30"/>
  <c r="EZ522" i="30"/>
  <c r="FA522" i="30"/>
  <c r="FB522" i="30"/>
  <c r="FC522" i="30"/>
  <c r="FD522" i="30"/>
  <c r="FE522" i="30"/>
  <c r="FF522" i="30"/>
  <c r="FG522" i="30"/>
  <c r="FH522" i="30"/>
  <c r="FI522" i="30"/>
  <c r="FJ522" i="30"/>
  <c r="FK522" i="30"/>
  <c r="FL522" i="30"/>
  <c r="FM522" i="30"/>
  <c r="FN522" i="30"/>
  <c r="FO522" i="30"/>
  <c r="FP522" i="30"/>
  <c r="FQ522" i="30"/>
  <c r="FR522" i="30"/>
  <c r="FS522" i="30"/>
  <c r="FT522" i="30"/>
  <c r="FU522" i="30"/>
  <c r="FV522" i="30"/>
  <c r="FW522" i="30"/>
  <c r="FX522" i="30"/>
  <c r="FY522" i="30"/>
  <c r="FZ522" i="30"/>
  <c r="GA522" i="30"/>
  <c r="GB522" i="30"/>
  <c r="GC522" i="30"/>
  <c r="GD522" i="30"/>
  <c r="GE522" i="30"/>
  <c r="GF522" i="30"/>
  <c r="GG522" i="30"/>
  <c r="GH522" i="30"/>
  <c r="GI522" i="30"/>
  <c r="GJ522" i="30"/>
  <c r="GK522" i="30"/>
  <c r="GL522" i="30"/>
  <c r="GM522" i="30"/>
  <c r="GN522" i="30"/>
  <c r="GO522" i="30"/>
  <c r="GP522" i="30"/>
  <c r="GQ522" i="30"/>
  <c r="GR522" i="30"/>
  <c r="GS522" i="30"/>
  <c r="GT522" i="30"/>
  <c r="GU522" i="30"/>
  <c r="GV522" i="30"/>
  <c r="GW522" i="30"/>
  <c r="GX522" i="30"/>
  <c r="GY522" i="30"/>
  <c r="GZ522" i="30"/>
  <c r="HA522" i="30"/>
  <c r="HB522" i="30"/>
  <c r="HC522" i="30"/>
  <c r="HD522" i="30"/>
  <c r="HE522" i="30"/>
  <c r="HF522" i="30"/>
  <c r="HG522" i="30"/>
  <c r="HH522" i="30"/>
  <c r="HI522" i="30"/>
  <c r="HJ522" i="30"/>
  <c r="HK522" i="30"/>
  <c r="HL522" i="30"/>
  <c r="HM522" i="30"/>
  <c r="HN522" i="30"/>
  <c r="HO522" i="30"/>
  <c r="HP522" i="30"/>
  <c r="HQ522" i="30"/>
  <c r="HR522" i="30"/>
  <c r="HS522" i="30"/>
  <c r="HT522" i="30"/>
  <c r="HU522" i="30"/>
  <c r="HV522" i="30"/>
  <c r="HW522" i="30"/>
  <c r="HX522" i="30"/>
  <c r="HY522" i="30"/>
  <c r="HZ522" i="30"/>
  <c r="IA522" i="30"/>
  <c r="IB522" i="30"/>
  <c r="IC522" i="30"/>
  <c r="ID522" i="30"/>
  <c r="IE522" i="30"/>
  <c r="IF522" i="30"/>
  <c r="IG522" i="30"/>
  <c r="IH522" i="30"/>
  <c r="II522" i="30"/>
  <c r="IJ522" i="30"/>
  <c r="IK522" i="30"/>
  <c r="IL522" i="30"/>
  <c r="IM522" i="30"/>
  <c r="IN522" i="30"/>
  <c r="IO522" i="30"/>
  <c r="IP522" i="30"/>
  <c r="IQ522" i="30"/>
  <c r="IR522" i="30"/>
  <c r="IS522" i="30"/>
  <c r="IT522" i="30"/>
  <c r="IU522" i="30"/>
  <c r="IV522" i="30"/>
  <c r="A521" i="30"/>
  <c r="B521" i="30"/>
  <c r="C521" i="30"/>
  <c r="D521" i="30"/>
  <c r="E521" i="30"/>
  <c r="F521" i="30"/>
  <c r="G521" i="30"/>
  <c r="H521" i="30"/>
  <c r="I521" i="30"/>
  <c r="J521" i="30"/>
  <c r="K521" i="30"/>
  <c r="L521" i="30"/>
  <c r="M521" i="30"/>
  <c r="N521" i="30"/>
  <c r="O521" i="30"/>
  <c r="P521" i="30"/>
  <c r="Q521" i="30"/>
  <c r="R521" i="30"/>
  <c r="S521" i="30"/>
  <c r="T521" i="30"/>
  <c r="U521" i="30"/>
  <c r="V521" i="30"/>
  <c r="W521" i="30"/>
  <c r="X521" i="30"/>
  <c r="Y521" i="30"/>
  <c r="Z521" i="30"/>
  <c r="AA521" i="30"/>
  <c r="AB521" i="30"/>
  <c r="AC521" i="30"/>
  <c r="AD521" i="30"/>
  <c r="AE521" i="30"/>
  <c r="AF521" i="30"/>
  <c r="AG521" i="30"/>
  <c r="AH521" i="30"/>
  <c r="AI521" i="30"/>
  <c r="AJ521" i="30"/>
  <c r="AK521" i="30"/>
  <c r="AL521" i="30"/>
  <c r="AM521" i="30"/>
  <c r="AN521" i="30"/>
  <c r="AO521" i="30"/>
  <c r="AP521" i="30"/>
  <c r="AQ521" i="30"/>
  <c r="AR521" i="30"/>
  <c r="AS521" i="30"/>
  <c r="AT521" i="30"/>
  <c r="AU521" i="30"/>
  <c r="AV521" i="30"/>
  <c r="AW521" i="30"/>
  <c r="AX521" i="30"/>
  <c r="AY521" i="30"/>
  <c r="AZ521" i="30"/>
  <c r="BA521" i="30"/>
  <c r="BB521" i="30"/>
  <c r="BC521" i="30"/>
  <c r="BD521" i="30"/>
  <c r="BE521" i="30"/>
  <c r="BF521" i="30"/>
  <c r="BG521" i="30"/>
  <c r="BH521" i="30"/>
  <c r="BI521" i="30"/>
  <c r="BJ521" i="30"/>
  <c r="BK521" i="30"/>
  <c r="BL521" i="30"/>
  <c r="BM521" i="30"/>
  <c r="BN521" i="30"/>
  <c r="BO521" i="30"/>
  <c r="BP521" i="30"/>
  <c r="BQ521" i="30"/>
  <c r="BR521" i="30"/>
  <c r="BS521" i="30"/>
  <c r="BT521" i="30"/>
  <c r="BU521" i="30"/>
  <c r="BV521" i="30"/>
  <c r="BW521" i="30"/>
  <c r="BX521" i="30"/>
  <c r="BY521" i="30"/>
  <c r="BZ521" i="30"/>
  <c r="CA521" i="30"/>
  <c r="CB521" i="30"/>
  <c r="CC521" i="30"/>
  <c r="CD521" i="30"/>
  <c r="CE521" i="30"/>
  <c r="CF521" i="30"/>
  <c r="CG521" i="30"/>
  <c r="CH521" i="30"/>
  <c r="CI521" i="30"/>
  <c r="CJ521" i="30"/>
  <c r="CK521" i="30"/>
  <c r="CL521" i="30"/>
  <c r="CM521" i="30"/>
  <c r="CN521" i="30"/>
  <c r="CO521" i="30"/>
  <c r="CP521" i="30"/>
  <c r="CQ521" i="30"/>
  <c r="CR521" i="30"/>
  <c r="CS521" i="30"/>
  <c r="CT521" i="30"/>
  <c r="CU521" i="30"/>
  <c r="CV521" i="30"/>
  <c r="CW521" i="30"/>
  <c r="CX521" i="30"/>
  <c r="CY521" i="30"/>
  <c r="CZ521" i="30"/>
  <c r="DA521" i="30"/>
  <c r="DB521" i="30"/>
  <c r="DC521" i="30"/>
  <c r="DD521" i="30"/>
  <c r="DE521" i="30"/>
  <c r="DF521" i="30"/>
  <c r="DG521" i="30"/>
  <c r="DH521" i="30"/>
  <c r="DI521" i="30"/>
  <c r="DJ521" i="30"/>
  <c r="DK521" i="30"/>
  <c r="DL521" i="30"/>
  <c r="DM521" i="30"/>
  <c r="DN521" i="30"/>
  <c r="DO521" i="30"/>
  <c r="DP521" i="30"/>
  <c r="DQ521" i="30"/>
  <c r="DR521" i="30"/>
  <c r="DS521" i="30"/>
  <c r="DT521" i="30"/>
  <c r="DU521" i="30"/>
  <c r="DV521" i="30"/>
  <c r="DW521" i="30"/>
  <c r="DX521" i="30"/>
  <c r="DY521" i="30"/>
  <c r="DZ521" i="30"/>
  <c r="EA521" i="30"/>
  <c r="EB521" i="30"/>
  <c r="EC521" i="30"/>
  <c r="ED521" i="30"/>
  <c r="EE521" i="30"/>
  <c r="EF521" i="30"/>
  <c r="EG521" i="30"/>
  <c r="EH521" i="30"/>
  <c r="EI521" i="30"/>
  <c r="EJ521" i="30"/>
  <c r="EK521" i="30"/>
  <c r="EL521" i="30"/>
  <c r="EM521" i="30"/>
  <c r="EN521" i="30"/>
  <c r="EO521" i="30"/>
  <c r="EP521" i="30"/>
  <c r="EQ521" i="30"/>
  <c r="ER521" i="30"/>
  <c r="ES521" i="30"/>
  <c r="ET521" i="30"/>
  <c r="EU521" i="30"/>
  <c r="EV521" i="30"/>
  <c r="EW521" i="30"/>
  <c r="EX521" i="30"/>
  <c r="EY521" i="30"/>
  <c r="EZ521" i="30"/>
  <c r="FA521" i="30"/>
  <c r="FB521" i="30"/>
  <c r="FC521" i="30"/>
  <c r="FD521" i="30"/>
  <c r="FE521" i="30"/>
  <c r="FF521" i="30"/>
  <c r="FG521" i="30"/>
  <c r="FH521" i="30"/>
  <c r="FI521" i="30"/>
  <c r="FJ521" i="30"/>
  <c r="FK521" i="30"/>
  <c r="FL521" i="30"/>
  <c r="FM521" i="30"/>
  <c r="FN521" i="30"/>
  <c r="FO521" i="30"/>
  <c r="FP521" i="30"/>
  <c r="FQ521" i="30"/>
  <c r="FR521" i="30"/>
  <c r="FS521" i="30"/>
  <c r="FT521" i="30"/>
  <c r="FU521" i="30"/>
  <c r="FV521" i="30"/>
  <c r="FW521" i="30"/>
  <c r="FX521" i="30"/>
  <c r="FY521" i="30"/>
  <c r="FZ521" i="30"/>
  <c r="GA521" i="30"/>
  <c r="GB521" i="30"/>
  <c r="GC521" i="30"/>
  <c r="GD521" i="30"/>
  <c r="GE521" i="30"/>
  <c r="GF521" i="30"/>
  <c r="GG521" i="30"/>
  <c r="GH521" i="30"/>
  <c r="GI521" i="30"/>
  <c r="GJ521" i="30"/>
  <c r="GK521" i="30"/>
  <c r="GL521" i="30"/>
  <c r="GM521" i="30"/>
  <c r="GN521" i="30"/>
  <c r="GO521" i="30"/>
  <c r="GP521" i="30"/>
  <c r="GQ521" i="30"/>
  <c r="GR521" i="30"/>
  <c r="GS521" i="30"/>
  <c r="GT521" i="30"/>
  <c r="GU521" i="30"/>
  <c r="GV521" i="30"/>
  <c r="GW521" i="30"/>
  <c r="GX521" i="30"/>
  <c r="GY521" i="30"/>
  <c r="GZ521" i="30"/>
  <c r="HA521" i="30"/>
  <c r="HB521" i="30"/>
  <c r="HC521" i="30"/>
  <c r="HD521" i="30"/>
  <c r="HE521" i="30"/>
  <c r="HF521" i="30"/>
  <c r="HG521" i="30"/>
  <c r="HH521" i="30"/>
  <c r="HI521" i="30"/>
  <c r="HJ521" i="30"/>
  <c r="HK521" i="30"/>
  <c r="HL521" i="30"/>
  <c r="HM521" i="30"/>
  <c r="HN521" i="30"/>
  <c r="HO521" i="30"/>
  <c r="HP521" i="30"/>
  <c r="HQ521" i="30"/>
  <c r="HR521" i="30"/>
  <c r="HS521" i="30"/>
  <c r="HT521" i="30"/>
  <c r="HU521" i="30"/>
  <c r="HV521" i="30"/>
  <c r="HW521" i="30"/>
  <c r="HX521" i="30"/>
  <c r="HY521" i="30"/>
  <c r="HZ521" i="30"/>
  <c r="IA521" i="30"/>
  <c r="IB521" i="30"/>
  <c r="IC521" i="30"/>
  <c r="ID521" i="30"/>
  <c r="IE521" i="30"/>
  <c r="IF521" i="30"/>
  <c r="IG521" i="30"/>
  <c r="IH521" i="30"/>
  <c r="II521" i="30"/>
  <c r="IJ521" i="30"/>
  <c r="IK521" i="30"/>
  <c r="IL521" i="30"/>
  <c r="IM521" i="30"/>
  <c r="IN521" i="30"/>
  <c r="IO521" i="30"/>
  <c r="IP521" i="30"/>
  <c r="IQ521" i="30"/>
  <c r="IR521" i="30"/>
  <c r="IS521" i="30"/>
  <c r="IT521" i="30"/>
  <c r="IU521" i="30"/>
  <c r="IV521" i="30"/>
  <c r="A520" i="30"/>
  <c r="B520" i="30"/>
  <c r="C520" i="30"/>
  <c r="D520" i="30"/>
  <c r="E520" i="30"/>
  <c r="F520" i="30"/>
  <c r="G520" i="30"/>
  <c r="H520" i="30"/>
  <c r="I520" i="30"/>
  <c r="J520" i="30"/>
  <c r="K520" i="30"/>
  <c r="L520" i="30"/>
  <c r="M520" i="30"/>
  <c r="N520" i="30"/>
  <c r="O520" i="30"/>
  <c r="P520" i="30"/>
  <c r="Q520" i="30"/>
  <c r="R520" i="30"/>
  <c r="S520" i="30"/>
  <c r="T520" i="30"/>
  <c r="U520" i="30"/>
  <c r="V520" i="30"/>
  <c r="W520" i="30"/>
  <c r="X520" i="30"/>
  <c r="Y520" i="30"/>
  <c r="Z520" i="30"/>
  <c r="AA520" i="30"/>
  <c r="AB520" i="30"/>
  <c r="AC520" i="30"/>
  <c r="AD520" i="30"/>
  <c r="AE520" i="30"/>
  <c r="AF520" i="30"/>
  <c r="AG520" i="30"/>
  <c r="AH520" i="30"/>
  <c r="AI520" i="30"/>
  <c r="AJ520" i="30"/>
  <c r="AK520" i="30"/>
  <c r="AL520" i="30"/>
  <c r="AM520" i="30"/>
  <c r="AN520" i="30"/>
  <c r="AO520" i="30"/>
  <c r="AP520" i="30"/>
  <c r="AQ520" i="30"/>
  <c r="AR520" i="30"/>
  <c r="AS520" i="30"/>
  <c r="AT520" i="30"/>
  <c r="AU520" i="30"/>
  <c r="AV520" i="30"/>
  <c r="AW520" i="30"/>
  <c r="AX520" i="30"/>
  <c r="AY520" i="30"/>
  <c r="AZ520" i="30"/>
  <c r="BA520" i="30"/>
  <c r="BB520" i="30"/>
  <c r="BC520" i="30"/>
  <c r="BD520" i="30"/>
  <c r="BE520" i="30"/>
  <c r="BF520" i="30"/>
  <c r="BG520" i="30"/>
  <c r="BH520" i="30"/>
  <c r="BI520" i="30"/>
  <c r="BJ520" i="30"/>
  <c r="BK520" i="30"/>
  <c r="BL520" i="30"/>
  <c r="BM520" i="30"/>
  <c r="BN520" i="30"/>
  <c r="BO520" i="30"/>
  <c r="BP520" i="30"/>
  <c r="BQ520" i="30"/>
  <c r="BR520" i="30"/>
  <c r="BS520" i="30"/>
  <c r="BT520" i="30"/>
  <c r="BU520" i="30"/>
  <c r="BV520" i="30"/>
  <c r="BW520" i="30"/>
  <c r="BX520" i="30"/>
  <c r="BY520" i="30"/>
  <c r="BZ520" i="30"/>
  <c r="CA520" i="30"/>
  <c r="CB520" i="30"/>
  <c r="CC520" i="30"/>
  <c r="CD520" i="30"/>
  <c r="CE520" i="30"/>
  <c r="CF520" i="30"/>
  <c r="CG520" i="30"/>
  <c r="CH520" i="30"/>
  <c r="CI520" i="30"/>
  <c r="CJ520" i="30"/>
  <c r="CK520" i="30"/>
  <c r="CL520" i="30"/>
  <c r="CM520" i="30"/>
  <c r="CN520" i="30"/>
  <c r="CO520" i="30"/>
  <c r="CP520" i="30"/>
  <c r="CQ520" i="30"/>
  <c r="CR520" i="30"/>
  <c r="CS520" i="30"/>
  <c r="CT520" i="30"/>
  <c r="CU520" i="30"/>
  <c r="CV520" i="30"/>
  <c r="CW520" i="30"/>
  <c r="CX520" i="30"/>
  <c r="CY520" i="30"/>
  <c r="CZ520" i="30"/>
  <c r="DA520" i="30"/>
  <c r="DB520" i="30"/>
  <c r="DC520" i="30"/>
  <c r="DD520" i="30"/>
  <c r="DE520" i="30"/>
  <c r="DF520" i="30"/>
  <c r="DG520" i="30"/>
  <c r="DH520" i="30"/>
  <c r="DI520" i="30"/>
  <c r="DJ520" i="30"/>
  <c r="DK520" i="30"/>
  <c r="DL520" i="30"/>
  <c r="DM520" i="30"/>
  <c r="DN520" i="30"/>
  <c r="DO520" i="30"/>
  <c r="DP520" i="30"/>
  <c r="DQ520" i="30"/>
  <c r="DR520" i="30"/>
  <c r="DS520" i="30"/>
  <c r="DT520" i="30"/>
  <c r="DU520" i="30"/>
  <c r="DV520" i="30"/>
  <c r="DW520" i="30"/>
  <c r="DX520" i="30"/>
  <c r="DY520" i="30"/>
  <c r="DZ520" i="30"/>
  <c r="EA520" i="30"/>
  <c r="EB520" i="30"/>
  <c r="EC520" i="30"/>
  <c r="ED520" i="30"/>
  <c r="EE520" i="30"/>
  <c r="EF520" i="30"/>
  <c r="EG520" i="30"/>
  <c r="EH520" i="30"/>
  <c r="EI520" i="30"/>
  <c r="EJ520" i="30"/>
  <c r="EK520" i="30"/>
  <c r="EL520" i="30"/>
  <c r="EM520" i="30"/>
  <c r="EN520" i="30"/>
  <c r="EO520" i="30"/>
  <c r="EP520" i="30"/>
  <c r="EQ520" i="30"/>
  <c r="ER520" i="30"/>
  <c r="ES520" i="30"/>
  <c r="ET520" i="30"/>
  <c r="EU520" i="30"/>
  <c r="EV520" i="30"/>
  <c r="EW520" i="30"/>
  <c r="EX520" i="30"/>
  <c r="EY520" i="30"/>
  <c r="EZ520" i="30"/>
  <c r="FA520" i="30"/>
  <c r="FB520" i="30"/>
  <c r="FC520" i="30"/>
  <c r="FD520" i="30"/>
  <c r="FE520" i="30"/>
  <c r="FF520" i="30"/>
  <c r="FG520" i="30"/>
  <c r="FH520" i="30"/>
  <c r="FI520" i="30"/>
  <c r="FJ520" i="30"/>
  <c r="FK520" i="30"/>
  <c r="FL520" i="30"/>
  <c r="FM520" i="30"/>
  <c r="FN520" i="30"/>
  <c r="FO520" i="30"/>
  <c r="FP520" i="30"/>
  <c r="FQ520" i="30"/>
  <c r="FR520" i="30"/>
  <c r="FS520" i="30"/>
  <c r="FT520" i="30"/>
  <c r="FU520" i="30"/>
  <c r="FV520" i="30"/>
  <c r="FW520" i="30"/>
  <c r="FX520" i="30"/>
  <c r="FY520" i="30"/>
  <c r="FZ520" i="30"/>
  <c r="GA520" i="30"/>
  <c r="GB520" i="30"/>
  <c r="GC520" i="30"/>
  <c r="GD520" i="30"/>
  <c r="GE520" i="30"/>
  <c r="GF520" i="30"/>
  <c r="GG520" i="30"/>
  <c r="GH520" i="30"/>
  <c r="GI520" i="30"/>
  <c r="GJ520" i="30"/>
  <c r="GK520" i="30"/>
  <c r="GL520" i="30"/>
  <c r="GM520" i="30"/>
  <c r="GN520" i="30"/>
  <c r="GO520" i="30"/>
  <c r="GP520" i="30"/>
  <c r="GQ520" i="30"/>
  <c r="GR520" i="30"/>
  <c r="GS520" i="30"/>
  <c r="GT520" i="30"/>
  <c r="GU520" i="30"/>
  <c r="GV520" i="30"/>
  <c r="GW520" i="30"/>
  <c r="GX520" i="30"/>
  <c r="GY520" i="30"/>
  <c r="GZ520" i="30"/>
  <c r="HA520" i="30"/>
  <c r="HB520" i="30"/>
  <c r="HC520" i="30"/>
  <c r="HD520" i="30"/>
  <c r="HE520" i="30"/>
  <c r="HF520" i="30"/>
  <c r="HG520" i="30"/>
  <c r="HH520" i="30"/>
  <c r="HI520" i="30"/>
  <c r="HJ520" i="30"/>
  <c r="HK520" i="30"/>
  <c r="HL520" i="30"/>
  <c r="HM520" i="30"/>
  <c r="HN520" i="30"/>
  <c r="HO520" i="30"/>
  <c r="HP520" i="30"/>
  <c r="HQ520" i="30"/>
  <c r="HR520" i="30"/>
  <c r="HS520" i="30"/>
  <c r="HT520" i="30"/>
  <c r="HU520" i="30"/>
  <c r="HV520" i="30"/>
  <c r="HW520" i="30"/>
  <c r="HX520" i="30"/>
  <c r="HY520" i="30"/>
  <c r="HZ520" i="30"/>
  <c r="IA520" i="30"/>
  <c r="IB520" i="30"/>
  <c r="IC520" i="30"/>
  <c r="ID520" i="30"/>
  <c r="IE520" i="30"/>
  <c r="IF520" i="30"/>
  <c r="IG520" i="30"/>
  <c r="IH520" i="30"/>
  <c r="II520" i="30"/>
  <c r="IJ520" i="30"/>
  <c r="IK520" i="30"/>
  <c r="IL520" i="30"/>
  <c r="IM520" i="30"/>
  <c r="IN520" i="30"/>
  <c r="IO520" i="30"/>
  <c r="IP520" i="30"/>
  <c r="IQ520" i="30"/>
  <c r="IR520" i="30"/>
  <c r="IS520" i="30"/>
  <c r="IT520" i="30"/>
  <c r="IU520" i="30"/>
  <c r="IV520" i="30"/>
  <c r="A519" i="30"/>
  <c r="B519" i="30"/>
  <c r="C519" i="30"/>
  <c r="D519" i="30"/>
  <c r="E519" i="30"/>
  <c r="F519" i="30"/>
  <c r="G519" i="30"/>
  <c r="H519" i="30"/>
  <c r="I519" i="30"/>
  <c r="J519" i="30"/>
  <c r="K519" i="30"/>
  <c r="L519" i="30"/>
  <c r="M519" i="30"/>
  <c r="N519" i="30"/>
  <c r="O519" i="30"/>
  <c r="P519" i="30"/>
  <c r="Q519" i="30"/>
  <c r="R519" i="30"/>
  <c r="S519" i="30"/>
  <c r="T519" i="30"/>
  <c r="U519" i="30"/>
  <c r="V519" i="30"/>
  <c r="W519" i="30"/>
  <c r="X519" i="30"/>
  <c r="Y519" i="30"/>
  <c r="Z519" i="30"/>
  <c r="AA519" i="30"/>
  <c r="AB519" i="30"/>
  <c r="AC519" i="30"/>
  <c r="AD519" i="30"/>
  <c r="AE519" i="30"/>
  <c r="AF519" i="30"/>
  <c r="AG519" i="30"/>
  <c r="AH519" i="30"/>
  <c r="AI519" i="30"/>
  <c r="AJ519" i="30"/>
  <c r="AK519" i="30"/>
  <c r="AL519" i="30"/>
  <c r="AM519" i="30"/>
  <c r="AN519" i="30"/>
  <c r="AO519" i="30"/>
  <c r="AP519" i="30"/>
  <c r="AQ519" i="30"/>
  <c r="AR519" i="30"/>
  <c r="AS519" i="30"/>
  <c r="AT519" i="30"/>
  <c r="AU519" i="30"/>
  <c r="AV519" i="30"/>
  <c r="AW519" i="30"/>
  <c r="AX519" i="30"/>
  <c r="AY519" i="30"/>
  <c r="AZ519" i="30"/>
  <c r="BA519" i="30"/>
  <c r="BB519" i="30"/>
  <c r="BC519" i="30"/>
  <c r="BD519" i="30"/>
  <c r="BE519" i="30"/>
  <c r="BF519" i="30"/>
  <c r="BG519" i="30"/>
  <c r="BH519" i="30"/>
  <c r="BI519" i="30"/>
  <c r="BJ519" i="30"/>
  <c r="BK519" i="30"/>
  <c r="BL519" i="30"/>
  <c r="BM519" i="30"/>
  <c r="BN519" i="30"/>
  <c r="BO519" i="30"/>
  <c r="BP519" i="30"/>
  <c r="BQ519" i="30"/>
  <c r="BR519" i="30"/>
  <c r="BS519" i="30"/>
  <c r="BT519" i="30"/>
  <c r="BU519" i="30"/>
  <c r="BV519" i="30"/>
  <c r="BW519" i="30"/>
  <c r="BX519" i="30"/>
  <c r="BY519" i="30"/>
  <c r="BZ519" i="30"/>
  <c r="CA519" i="30"/>
  <c r="CB519" i="30"/>
  <c r="CC519" i="30"/>
  <c r="CD519" i="30"/>
  <c r="CE519" i="30"/>
  <c r="CF519" i="30"/>
  <c r="CG519" i="30"/>
  <c r="CH519" i="30"/>
  <c r="CI519" i="30"/>
  <c r="CJ519" i="30"/>
  <c r="CK519" i="30"/>
  <c r="CL519" i="30"/>
  <c r="CM519" i="30"/>
  <c r="CN519" i="30"/>
  <c r="CO519" i="30"/>
  <c r="CP519" i="30"/>
  <c r="CQ519" i="30"/>
  <c r="CR519" i="30"/>
  <c r="CS519" i="30"/>
  <c r="CT519" i="30"/>
  <c r="CU519" i="30"/>
  <c r="CV519" i="30"/>
  <c r="CW519" i="30"/>
  <c r="CX519" i="30"/>
  <c r="CY519" i="30"/>
  <c r="CZ519" i="30"/>
  <c r="DA519" i="30"/>
  <c r="DB519" i="30"/>
  <c r="DC519" i="30"/>
  <c r="DD519" i="30"/>
  <c r="DE519" i="30"/>
  <c r="DF519" i="30"/>
  <c r="DG519" i="30"/>
  <c r="DH519" i="30"/>
  <c r="DI519" i="30"/>
  <c r="DJ519" i="30"/>
  <c r="DK519" i="30"/>
  <c r="DL519" i="30"/>
  <c r="DM519" i="30"/>
  <c r="DN519" i="30"/>
  <c r="DO519" i="30"/>
  <c r="DP519" i="30"/>
  <c r="DQ519" i="30"/>
  <c r="DR519" i="30"/>
  <c r="DS519" i="30"/>
  <c r="DT519" i="30"/>
  <c r="DU519" i="30"/>
  <c r="DV519" i="30"/>
  <c r="DW519" i="30"/>
  <c r="DX519" i="30"/>
  <c r="DY519" i="30"/>
  <c r="DZ519" i="30"/>
  <c r="EA519" i="30"/>
  <c r="EB519" i="30"/>
  <c r="EC519" i="30"/>
  <c r="ED519" i="30"/>
  <c r="EE519" i="30"/>
  <c r="EF519" i="30"/>
  <c r="EG519" i="30"/>
  <c r="EH519" i="30"/>
  <c r="EI519" i="30"/>
  <c r="EJ519" i="30"/>
  <c r="EK519" i="30"/>
  <c r="EL519" i="30"/>
  <c r="EM519" i="30"/>
  <c r="EN519" i="30"/>
  <c r="EO519" i="30"/>
  <c r="EP519" i="30"/>
  <c r="EQ519" i="30"/>
  <c r="ER519" i="30"/>
  <c r="ES519" i="30"/>
  <c r="ET519" i="30"/>
  <c r="EU519" i="30"/>
  <c r="EV519" i="30"/>
  <c r="EW519" i="30"/>
  <c r="EX519" i="30"/>
  <c r="EY519" i="30"/>
  <c r="EZ519" i="30"/>
  <c r="FA519" i="30"/>
  <c r="FB519" i="30"/>
  <c r="FC519" i="30"/>
  <c r="FD519" i="30"/>
  <c r="FE519" i="30"/>
  <c r="FF519" i="30"/>
  <c r="FG519" i="30"/>
  <c r="FH519" i="30"/>
  <c r="FI519" i="30"/>
  <c r="FJ519" i="30"/>
  <c r="FK519" i="30"/>
  <c r="FL519" i="30"/>
  <c r="FM519" i="30"/>
  <c r="FN519" i="30"/>
  <c r="FO519" i="30"/>
  <c r="FP519" i="30"/>
  <c r="FQ519" i="30"/>
  <c r="FR519" i="30"/>
  <c r="FS519" i="30"/>
  <c r="FT519" i="30"/>
  <c r="FU519" i="30"/>
  <c r="FV519" i="30"/>
  <c r="FW519" i="30"/>
  <c r="FX519" i="30"/>
  <c r="FY519" i="30"/>
  <c r="FZ519" i="30"/>
  <c r="GA519" i="30"/>
  <c r="GB519" i="30"/>
  <c r="GC519" i="30"/>
  <c r="GD519" i="30"/>
  <c r="GE519" i="30"/>
  <c r="GF519" i="30"/>
  <c r="GG519" i="30"/>
  <c r="GH519" i="30"/>
  <c r="GI519" i="30"/>
  <c r="GJ519" i="30"/>
  <c r="GK519" i="30"/>
  <c r="GL519" i="30"/>
  <c r="GM519" i="30"/>
  <c r="GN519" i="30"/>
  <c r="GO519" i="30"/>
  <c r="GP519" i="30"/>
  <c r="GQ519" i="30"/>
  <c r="GR519" i="30"/>
  <c r="GS519" i="30"/>
  <c r="GT519" i="30"/>
  <c r="GU519" i="30"/>
  <c r="GV519" i="30"/>
  <c r="GW519" i="30"/>
  <c r="GX519" i="30"/>
  <c r="GY519" i="30"/>
  <c r="GZ519" i="30"/>
  <c r="HA519" i="30"/>
  <c r="HB519" i="30"/>
  <c r="HC519" i="30"/>
  <c r="HD519" i="30"/>
  <c r="HE519" i="30"/>
  <c r="HF519" i="30"/>
  <c r="HG519" i="30"/>
  <c r="HH519" i="30"/>
  <c r="HI519" i="30"/>
  <c r="HJ519" i="30"/>
  <c r="HK519" i="30"/>
  <c r="HL519" i="30"/>
  <c r="HM519" i="30"/>
  <c r="HN519" i="30"/>
  <c r="HO519" i="30"/>
  <c r="HP519" i="30"/>
  <c r="HQ519" i="30"/>
  <c r="HR519" i="30"/>
  <c r="HS519" i="30"/>
  <c r="HT519" i="30"/>
  <c r="HU519" i="30"/>
  <c r="HV519" i="30"/>
  <c r="HW519" i="30"/>
  <c r="HX519" i="30"/>
  <c r="HY519" i="30"/>
  <c r="HZ519" i="30"/>
  <c r="IA519" i="30"/>
  <c r="IB519" i="30"/>
  <c r="IC519" i="30"/>
  <c r="ID519" i="30"/>
  <c r="IE519" i="30"/>
  <c r="IF519" i="30"/>
  <c r="IG519" i="30"/>
  <c r="IH519" i="30"/>
  <c r="II519" i="30"/>
  <c r="IJ519" i="30"/>
  <c r="IK519" i="30"/>
  <c r="IL519" i="30"/>
  <c r="IM519" i="30"/>
  <c r="IN519" i="30"/>
  <c r="IO519" i="30"/>
  <c r="IP519" i="30"/>
  <c r="IQ519" i="30"/>
  <c r="IR519" i="30"/>
  <c r="IS519" i="30"/>
  <c r="IT519" i="30"/>
  <c r="IU519" i="30"/>
  <c r="IV519" i="30"/>
  <c r="A518" i="30"/>
  <c r="B518" i="30"/>
  <c r="C518" i="30"/>
  <c r="D518" i="30"/>
  <c r="E518" i="30"/>
  <c r="F518" i="30"/>
  <c r="G518" i="30"/>
  <c r="H518" i="30"/>
  <c r="I518" i="30"/>
  <c r="J518" i="30"/>
  <c r="K518" i="30"/>
  <c r="L518" i="30"/>
  <c r="M518" i="30"/>
  <c r="N518" i="30"/>
  <c r="O518" i="30"/>
  <c r="P518" i="30"/>
  <c r="Q518" i="30"/>
  <c r="R518" i="30"/>
  <c r="S518" i="30"/>
  <c r="T518" i="30"/>
  <c r="U518" i="30"/>
  <c r="V518" i="30"/>
  <c r="W518" i="30"/>
  <c r="X518" i="30"/>
  <c r="Y518" i="30"/>
  <c r="Z518" i="30"/>
  <c r="AA518" i="30"/>
  <c r="AB518" i="30"/>
  <c r="AC518" i="30"/>
  <c r="AD518" i="30"/>
  <c r="AE518" i="30"/>
  <c r="AF518" i="30"/>
  <c r="AG518" i="30"/>
  <c r="AH518" i="30"/>
  <c r="AI518" i="30"/>
  <c r="AJ518" i="30"/>
  <c r="AK518" i="30"/>
  <c r="AL518" i="30"/>
  <c r="AM518" i="30"/>
  <c r="AN518" i="30"/>
  <c r="AO518" i="30"/>
  <c r="AP518" i="30"/>
  <c r="AQ518" i="30"/>
  <c r="AR518" i="30"/>
  <c r="AS518" i="30"/>
  <c r="AT518" i="30"/>
  <c r="AU518" i="30"/>
  <c r="AV518" i="30"/>
  <c r="AW518" i="30"/>
  <c r="AX518" i="30"/>
  <c r="AY518" i="30"/>
  <c r="AZ518" i="30"/>
  <c r="BA518" i="30"/>
  <c r="BB518" i="30"/>
  <c r="BC518" i="30"/>
  <c r="BD518" i="30"/>
  <c r="BE518" i="30"/>
  <c r="BF518" i="30"/>
  <c r="BG518" i="30"/>
  <c r="BH518" i="30"/>
  <c r="BI518" i="30"/>
  <c r="BJ518" i="30"/>
  <c r="BK518" i="30"/>
  <c r="BL518" i="30"/>
  <c r="BM518" i="30"/>
  <c r="BN518" i="30"/>
  <c r="BO518" i="30"/>
  <c r="BP518" i="30"/>
  <c r="BQ518" i="30"/>
  <c r="BR518" i="30"/>
  <c r="BS518" i="30"/>
  <c r="BT518" i="30"/>
  <c r="BU518" i="30"/>
  <c r="BV518" i="30"/>
  <c r="BW518" i="30"/>
  <c r="BX518" i="30"/>
  <c r="BY518" i="30"/>
  <c r="BZ518" i="30"/>
  <c r="CA518" i="30"/>
  <c r="CB518" i="30"/>
  <c r="CC518" i="30"/>
  <c r="CD518" i="30"/>
  <c r="CE518" i="30"/>
  <c r="CF518" i="30"/>
  <c r="CG518" i="30"/>
  <c r="CH518" i="30"/>
  <c r="CI518" i="30"/>
  <c r="CJ518" i="30"/>
  <c r="CK518" i="30"/>
  <c r="CL518" i="30"/>
  <c r="CM518" i="30"/>
  <c r="CN518" i="30"/>
  <c r="CO518" i="30"/>
  <c r="CP518" i="30"/>
  <c r="CQ518" i="30"/>
  <c r="CR518" i="30"/>
  <c r="CS518" i="30"/>
  <c r="CT518" i="30"/>
  <c r="CU518" i="30"/>
  <c r="CV518" i="30"/>
  <c r="CW518" i="30"/>
  <c r="CX518" i="30"/>
  <c r="CY518" i="30"/>
  <c r="CZ518" i="30"/>
  <c r="DA518" i="30"/>
  <c r="DB518" i="30"/>
  <c r="DC518" i="30"/>
  <c r="DD518" i="30"/>
  <c r="DE518" i="30"/>
  <c r="DF518" i="30"/>
  <c r="DG518" i="30"/>
  <c r="DH518" i="30"/>
  <c r="DI518" i="30"/>
  <c r="DJ518" i="30"/>
  <c r="DK518" i="30"/>
  <c r="DL518" i="30"/>
  <c r="DM518" i="30"/>
  <c r="DN518" i="30"/>
  <c r="DO518" i="30"/>
  <c r="DP518" i="30"/>
  <c r="DQ518" i="30"/>
  <c r="DR518" i="30"/>
  <c r="DS518" i="30"/>
  <c r="DT518" i="30"/>
  <c r="DU518" i="30"/>
  <c r="DV518" i="30"/>
  <c r="DW518" i="30"/>
  <c r="DX518" i="30"/>
  <c r="DY518" i="30"/>
  <c r="DZ518" i="30"/>
  <c r="EA518" i="30"/>
  <c r="EB518" i="30"/>
  <c r="EC518" i="30"/>
  <c r="ED518" i="30"/>
  <c r="EE518" i="30"/>
  <c r="EF518" i="30"/>
  <c r="EG518" i="30"/>
  <c r="EH518" i="30"/>
  <c r="EI518" i="30"/>
  <c r="EJ518" i="30"/>
  <c r="EK518" i="30"/>
  <c r="EL518" i="30"/>
  <c r="EM518" i="30"/>
  <c r="EN518" i="30"/>
  <c r="EO518" i="30"/>
  <c r="EP518" i="30"/>
  <c r="EQ518" i="30"/>
  <c r="ER518" i="30"/>
  <c r="ES518" i="30"/>
  <c r="ET518" i="30"/>
  <c r="EU518" i="30"/>
  <c r="EV518" i="30"/>
  <c r="EW518" i="30"/>
  <c r="EX518" i="30"/>
  <c r="EY518" i="30"/>
  <c r="EZ518" i="30"/>
  <c r="FA518" i="30"/>
  <c r="FB518" i="30"/>
  <c r="FC518" i="30"/>
  <c r="FD518" i="30"/>
  <c r="FE518" i="30"/>
  <c r="FF518" i="30"/>
  <c r="FG518" i="30"/>
  <c r="FH518" i="30"/>
  <c r="FI518" i="30"/>
  <c r="FJ518" i="30"/>
  <c r="FK518" i="30"/>
  <c r="FL518" i="30"/>
  <c r="FM518" i="30"/>
  <c r="FN518" i="30"/>
  <c r="FO518" i="30"/>
  <c r="FP518" i="30"/>
  <c r="FQ518" i="30"/>
  <c r="FR518" i="30"/>
  <c r="FS518" i="30"/>
  <c r="FT518" i="30"/>
  <c r="FU518" i="30"/>
  <c r="FV518" i="30"/>
  <c r="FW518" i="30"/>
  <c r="FX518" i="30"/>
  <c r="FY518" i="30"/>
  <c r="FZ518" i="30"/>
  <c r="GA518" i="30"/>
  <c r="GB518" i="30"/>
  <c r="GC518" i="30"/>
  <c r="GD518" i="30"/>
  <c r="GE518" i="30"/>
  <c r="GF518" i="30"/>
  <c r="GG518" i="30"/>
  <c r="GH518" i="30"/>
  <c r="GI518" i="30"/>
  <c r="GJ518" i="30"/>
  <c r="GK518" i="30"/>
  <c r="GL518" i="30"/>
  <c r="GM518" i="30"/>
  <c r="GN518" i="30"/>
  <c r="GO518" i="30"/>
  <c r="GP518" i="30"/>
  <c r="GQ518" i="30"/>
  <c r="GR518" i="30"/>
  <c r="GS518" i="30"/>
  <c r="GT518" i="30"/>
  <c r="GU518" i="30"/>
  <c r="GV518" i="30"/>
  <c r="GW518" i="30"/>
  <c r="GX518" i="30"/>
  <c r="GY518" i="30"/>
  <c r="GZ518" i="30"/>
  <c r="HA518" i="30"/>
  <c r="HB518" i="30"/>
  <c r="HC518" i="30"/>
  <c r="HD518" i="30"/>
  <c r="HE518" i="30"/>
  <c r="HF518" i="30"/>
  <c r="HG518" i="30"/>
  <c r="HH518" i="30"/>
  <c r="HI518" i="30"/>
  <c r="HJ518" i="30"/>
  <c r="HK518" i="30"/>
  <c r="HL518" i="30"/>
  <c r="HM518" i="30"/>
  <c r="HN518" i="30"/>
  <c r="HO518" i="30"/>
  <c r="HP518" i="30"/>
  <c r="HQ518" i="30"/>
  <c r="HR518" i="30"/>
  <c r="HS518" i="30"/>
  <c r="HT518" i="30"/>
  <c r="HU518" i="30"/>
  <c r="HV518" i="30"/>
  <c r="HW518" i="30"/>
  <c r="HX518" i="30"/>
  <c r="HY518" i="30"/>
  <c r="HZ518" i="30"/>
  <c r="IA518" i="30"/>
  <c r="IB518" i="30"/>
  <c r="IC518" i="30"/>
  <c r="ID518" i="30"/>
  <c r="IE518" i="30"/>
  <c r="IF518" i="30"/>
  <c r="IG518" i="30"/>
  <c r="IH518" i="30"/>
  <c r="II518" i="30"/>
  <c r="IJ518" i="30"/>
  <c r="IK518" i="30"/>
  <c r="IL518" i="30"/>
  <c r="IM518" i="30"/>
  <c r="IN518" i="30"/>
  <c r="IO518" i="30"/>
  <c r="IP518" i="30"/>
  <c r="IQ518" i="30"/>
  <c r="IR518" i="30"/>
  <c r="IS518" i="30"/>
  <c r="IT518" i="30"/>
  <c r="IU518" i="30"/>
  <c r="IV518" i="30"/>
  <c r="A517" i="30"/>
  <c r="B517" i="30"/>
  <c r="C517" i="30"/>
  <c r="D517" i="30"/>
  <c r="E517" i="30"/>
  <c r="F517" i="30"/>
  <c r="G517" i="30"/>
  <c r="H517" i="30"/>
  <c r="I517" i="30"/>
  <c r="J517" i="30"/>
  <c r="K517" i="30"/>
  <c r="L517" i="30"/>
  <c r="M517" i="30"/>
  <c r="N517" i="30"/>
  <c r="O517" i="30"/>
  <c r="P517" i="30"/>
  <c r="Q517" i="30"/>
  <c r="R517" i="30"/>
  <c r="S517" i="30"/>
  <c r="T517" i="30"/>
  <c r="U517" i="30"/>
  <c r="V517" i="30"/>
  <c r="W517" i="30"/>
  <c r="X517" i="30"/>
  <c r="Y517" i="30"/>
  <c r="Z517" i="30"/>
  <c r="AA517" i="30"/>
  <c r="AB517" i="30"/>
  <c r="AC517" i="30"/>
  <c r="AD517" i="30"/>
  <c r="AE517" i="30"/>
  <c r="AF517" i="30"/>
  <c r="AG517" i="30"/>
  <c r="AH517" i="30"/>
  <c r="AI517" i="30"/>
  <c r="AJ517" i="30"/>
  <c r="AK517" i="30"/>
  <c r="AL517" i="30"/>
  <c r="AM517" i="30"/>
  <c r="AN517" i="30"/>
  <c r="AO517" i="30"/>
  <c r="AP517" i="30"/>
  <c r="AQ517" i="30"/>
  <c r="AR517" i="30"/>
  <c r="AS517" i="30"/>
  <c r="AT517" i="30"/>
  <c r="AU517" i="30"/>
  <c r="AV517" i="30"/>
  <c r="AW517" i="30"/>
  <c r="AX517" i="30"/>
  <c r="AY517" i="30"/>
  <c r="AZ517" i="30"/>
  <c r="BA517" i="30"/>
  <c r="BB517" i="30"/>
  <c r="BC517" i="30"/>
  <c r="BD517" i="30"/>
  <c r="BE517" i="30"/>
  <c r="BF517" i="30"/>
  <c r="BG517" i="30"/>
  <c r="BH517" i="30"/>
  <c r="BI517" i="30"/>
  <c r="BJ517" i="30"/>
  <c r="BK517" i="30"/>
  <c r="BL517" i="30"/>
  <c r="BM517" i="30"/>
  <c r="BN517" i="30"/>
  <c r="BO517" i="30"/>
  <c r="BP517" i="30"/>
  <c r="BQ517" i="30"/>
  <c r="BR517" i="30"/>
  <c r="BS517" i="30"/>
  <c r="BT517" i="30"/>
  <c r="BU517" i="30"/>
  <c r="BV517" i="30"/>
  <c r="BW517" i="30"/>
  <c r="BX517" i="30"/>
  <c r="BY517" i="30"/>
  <c r="BZ517" i="30"/>
  <c r="CA517" i="30"/>
  <c r="CB517" i="30"/>
  <c r="CC517" i="30"/>
  <c r="CD517" i="30"/>
  <c r="CE517" i="30"/>
  <c r="CF517" i="30"/>
  <c r="CG517" i="30"/>
  <c r="CH517" i="30"/>
  <c r="CI517" i="30"/>
  <c r="CJ517" i="30"/>
  <c r="CK517" i="30"/>
  <c r="CL517" i="30"/>
  <c r="CM517" i="30"/>
  <c r="CN517" i="30"/>
  <c r="CO517" i="30"/>
  <c r="CP517" i="30"/>
  <c r="CQ517" i="30"/>
  <c r="CR517" i="30"/>
  <c r="CS517" i="30"/>
  <c r="CT517" i="30"/>
  <c r="CU517" i="30"/>
  <c r="CV517" i="30"/>
  <c r="CW517" i="30"/>
  <c r="CX517" i="30"/>
  <c r="CY517" i="30"/>
  <c r="CZ517" i="30"/>
  <c r="DA517" i="30"/>
  <c r="DB517" i="30"/>
  <c r="DC517" i="30"/>
  <c r="DD517" i="30"/>
  <c r="DE517" i="30"/>
  <c r="DF517" i="30"/>
  <c r="DG517" i="30"/>
  <c r="DH517" i="30"/>
  <c r="DI517" i="30"/>
  <c r="DJ517" i="30"/>
  <c r="DK517" i="30"/>
  <c r="DL517" i="30"/>
  <c r="DM517" i="30"/>
  <c r="DN517" i="30"/>
  <c r="DO517" i="30"/>
  <c r="DP517" i="30"/>
  <c r="DQ517" i="30"/>
  <c r="DR517" i="30"/>
  <c r="DS517" i="30"/>
  <c r="DT517" i="30"/>
  <c r="DU517" i="30"/>
  <c r="DV517" i="30"/>
  <c r="DW517" i="30"/>
  <c r="DX517" i="30"/>
  <c r="DY517" i="30"/>
  <c r="DZ517" i="30"/>
  <c r="EA517" i="30"/>
  <c r="EB517" i="30"/>
  <c r="EC517" i="30"/>
  <c r="ED517" i="30"/>
  <c r="EE517" i="30"/>
  <c r="EF517" i="30"/>
  <c r="EG517" i="30"/>
  <c r="EH517" i="30"/>
  <c r="EI517" i="30"/>
  <c r="EJ517" i="30"/>
  <c r="EK517" i="30"/>
  <c r="EL517" i="30"/>
  <c r="EM517" i="30"/>
  <c r="EN517" i="30"/>
  <c r="EO517" i="30"/>
  <c r="EP517" i="30"/>
  <c r="EQ517" i="30"/>
  <c r="ER517" i="30"/>
  <c r="ES517" i="30"/>
  <c r="ET517" i="30"/>
  <c r="EU517" i="30"/>
  <c r="EV517" i="30"/>
  <c r="EW517" i="30"/>
  <c r="EX517" i="30"/>
  <c r="EY517" i="30"/>
  <c r="EZ517" i="30"/>
  <c r="FA517" i="30"/>
  <c r="FB517" i="30"/>
  <c r="FC517" i="30"/>
  <c r="FD517" i="30"/>
  <c r="FE517" i="30"/>
  <c r="FF517" i="30"/>
  <c r="FG517" i="30"/>
  <c r="FH517" i="30"/>
  <c r="FI517" i="30"/>
  <c r="FJ517" i="30"/>
  <c r="FK517" i="30"/>
  <c r="FL517" i="30"/>
  <c r="FM517" i="30"/>
  <c r="FN517" i="30"/>
  <c r="FO517" i="30"/>
  <c r="FP517" i="30"/>
  <c r="FQ517" i="30"/>
  <c r="FR517" i="30"/>
  <c r="FS517" i="30"/>
  <c r="FT517" i="30"/>
  <c r="FU517" i="30"/>
  <c r="FV517" i="30"/>
  <c r="FW517" i="30"/>
  <c r="FX517" i="30"/>
  <c r="FY517" i="30"/>
  <c r="FZ517" i="30"/>
  <c r="GA517" i="30"/>
  <c r="GB517" i="30"/>
  <c r="GC517" i="30"/>
  <c r="GD517" i="30"/>
  <c r="GE517" i="30"/>
  <c r="GF517" i="30"/>
  <c r="GG517" i="30"/>
  <c r="GH517" i="30"/>
  <c r="GI517" i="30"/>
  <c r="GJ517" i="30"/>
  <c r="GK517" i="30"/>
  <c r="GL517" i="30"/>
  <c r="GM517" i="30"/>
  <c r="GN517" i="30"/>
  <c r="GO517" i="30"/>
  <c r="GP517" i="30"/>
  <c r="GQ517" i="30"/>
  <c r="GR517" i="30"/>
  <c r="GS517" i="30"/>
  <c r="GT517" i="30"/>
  <c r="GU517" i="30"/>
  <c r="GV517" i="30"/>
  <c r="GW517" i="30"/>
  <c r="GX517" i="30"/>
  <c r="GY517" i="30"/>
  <c r="GZ517" i="30"/>
  <c r="HA517" i="30"/>
  <c r="HB517" i="30"/>
  <c r="HC517" i="30"/>
  <c r="HD517" i="30"/>
  <c r="HE517" i="30"/>
  <c r="HF517" i="30"/>
  <c r="HG517" i="30"/>
  <c r="HH517" i="30"/>
  <c r="HI517" i="30"/>
  <c r="HJ517" i="30"/>
  <c r="HK517" i="30"/>
  <c r="HL517" i="30"/>
  <c r="HM517" i="30"/>
  <c r="HN517" i="30"/>
  <c r="HO517" i="30"/>
  <c r="HP517" i="30"/>
  <c r="HQ517" i="30"/>
  <c r="HR517" i="30"/>
  <c r="HS517" i="30"/>
  <c r="HT517" i="30"/>
  <c r="HU517" i="30"/>
  <c r="HV517" i="30"/>
  <c r="HW517" i="30"/>
  <c r="HX517" i="30"/>
  <c r="HY517" i="30"/>
  <c r="HZ517" i="30"/>
  <c r="IA517" i="30"/>
  <c r="IB517" i="30"/>
  <c r="IC517" i="30"/>
  <c r="ID517" i="30"/>
  <c r="IE517" i="30"/>
  <c r="IF517" i="30"/>
  <c r="IG517" i="30"/>
  <c r="IH517" i="30"/>
  <c r="II517" i="30"/>
  <c r="IJ517" i="30"/>
  <c r="IK517" i="30"/>
  <c r="IL517" i="30"/>
  <c r="IM517" i="30"/>
  <c r="IN517" i="30"/>
  <c r="IO517" i="30"/>
  <c r="IP517" i="30"/>
  <c r="IQ517" i="30"/>
  <c r="IR517" i="30"/>
  <c r="IS517" i="30"/>
  <c r="IT517" i="30"/>
  <c r="IU517" i="30"/>
  <c r="IV517" i="30"/>
  <c r="A516" i="30"/>
  <c r="B516" i="30"/>
  <c r="C516" i="30"/>
  <c r="D516" i="30"/>
  <c r="E516" i="30"/>
  <c r="F516" i="30"/>
  <c r="G516" i="30"/>
  <c r="H516" i="30"/>
  <c r="I516" i="30"/>
  <c r="J516" i="30"/>
  <c r="K516" i="30"/>
  <c r="L516" i="30"/>
  <c r="M516" i="30"/>
  <c r="N516" i="30"/>
  <c r="O516" i="30"/>
  <c r="P516" i="30"/>
  <c r="Q516" i="30"/>
  <c r="R516" i="30"/>
  <c r="S516" i="30"/>
  <c r="T516" i="30"/>
  <c r="U516" i="30"/>
  <c r="V516" i="30"/>
  <c r="W516" i="30"/>
  <c r="X516" i="30"/>
  <c r="Y516" i="30"/>
  <c r="Z516" i="30"/>
  <c r="AA516" i="30"/>
  <c r="AB516" i="30"/>
  <c r="AC516" i="30"/>
  <c r="AD516" i="30"/>
  <c r="AE516" i="30"/>
  <c r="AF516" i="30"/>
  <c r="AG516" i="30"/>
  <c r="AH516" i="30"/>
  <c r="AI516" i="30"/>
  <c r="AJ516" i="30"/>
  <c r="AK516" i="30"/>
  <c r="AL516" i="30"/>
  <c r="AM516" i="30"/>
  <c r="AN516" i="30"/>
  <c r="AO516" i="30"/>
  <c r="AP516" i="30"/>
  <c r="AQ516" i="30"/>
  <c r="AR516" i="30"/>
  <c r="AS516" i="30"/>
  <c r="AT516" i="30"/>
  <c r="AU516" i="30"/>
  <c r="AV516" i="30"/>
  <c r="AW516" i="30"/>
  <c r="AX516" i="30"/>
  <c r="AY516" i="30"/>
  <c r="AZ516" i="30"/>
  <c r="BA516" i="30"/>
  <c r="BB516" i="30"/>
  <c r="BC516" i="30"/>
  <c r="BD516" i="30"/>
  <c r="BE516" i="30"/>
  <c r="BF516" i="30"/>
  <c r="BG516" i="30"/>
  <c r="BH516" i="30"/>
  <c r="BI516" i="30"/>
  <c r="BJ516" i="30"/>
  <c r="BK516" i="30"/>
  <c r="BL516" i="30"/>
  <c r="BM516" i="30"/>
  <c r="BN516" i="30"/>
  <c r="BO516" i="30"/>
  <c r="BP516" i="30"/>
  <c r="BQ516" i="30"/>
  <c r="BR516" i="30"/>
  <c r="BS516" i="30"/>
  <c r="BT516" i="30"/>
  <c r="BU516" i="30"/>
  <c r="BV516" i="30"/>
  <c r="BW516" i="30"/>
  <c r="BX516" i="30"/>
  <c r="BY516" i="30"/>
  <c r="BZ516" i="30"/>
  <c r="CA516" i="30"/>
  <c r="CB516" i="30"/>
  <c r="CC516" i="30"/>
  <c r="CD516" i="30"/>
  <c r="CE516" i="30"/>
  <c r="CF516" i="30"/>
  <c r="CG516" i="30"/>
  <c r="CH516" i="30"/>
  <c r="CI516" i="30"/>
  <c r="CJ516" i="30"/>
  <c r="CK516" i="30"/>
  <c r="CL516" i="30"/>
  <c r="CM516" i="30"/>
  <c r="CN516" i="30"/>
  <c r="CO516" i="30"/>
  <c r="CP516" i="30"/>
  <c r="CQ516" i="30"/>
  <c r="CR516" i="30"/>
  <c r="CS516" i="30"/>
  <c r="CT516" i="30"/>
  <c r="CU516" i="30"/>
  <c r="CV516" i="30"/>
  <c r="CW516" i="30"/>
  <c r="CX516" i="30"/>
  <c r="CY516" i="30"/>
  <c r="CZ516" i="30"/>
  <c r="DA516" i="30"/>
  <c r="DB516" i="30"/>
  <c r="DC516" i="30"/>
  <c r="DD516" i="30"/>
  <c r="DE516" i="30"/>
  <c r="DF516" i="30"/>
  <c r="DG516" i="30"/>
  <c r="DH516" i="30"/>
  <c r="DI516" i="30"/>
  <c r="DJ516" i="30"/>
  <c r="DK516" i="30"/>
  <c r="DL516" i="30"/>
  <c r="DM516" i="30"/>
  <c r="DN516" i="30"/>
  <c r="DO516" i="30"/>
  <c r="DP516" i="30"/>
  <c r="DQ516" i="30"/>
  <c r="DR516" i="30"/>
  <c r="DS516" i="30"/>
  <c r="DT516" i="30"/>
  <c r="DU516" i="30"/>
  <c r="DV516" i="30"/>
  <c r="DW516" i="30"/>
  <c r="DX516" i="30"/>
  <c r="DY516" i="30"/>
  <c r="DZ516" i="30"/>
  <c r="EA516" i="30"/>
  <c r="EB516" i="30"/>
  <c r="EC516" i="30"/>
  <c r="ED516" i="30"/>
  <c r="EE516" i="30"/>
  <c r="EF516" i="30"/>
  <c r="EG516" i="30"/>
  <c r="EH516" i="30"/>
  <c r="EI516" i="30"/>
  <c r="EJ516" i="30"/>
  <c r="EK516" i="30"/>
  <c r="EL516" i="30"/>
  <c r="EM516" i="30"/>
  <c r="EN516" i="30"/>
  <c r="EO516" i="30"/>
  <c r="EP516" i="30"/>
  <c r="EQ516" i="30"/>
  <c r="ER516" i="30"/>
  <c r="ES516" i="30"/>
  <c r="ET516" i="30"/>
  <c r="EU516" i="30"/>
  <c r="EV516" i="30"/>
  <c r="EW516" i="30"/>
  <c r="EX516" i="30"/>
  <c r="EY516" i="30"/>
  <c r="EZ516" i="30"/>
  <c r="FA516" i="30"/>
  <c r="FB516" i="30"/>
  <c r="FC516" i="30"/>
  <c r="FD516" i="30"/>
  <c r="FE516" i="30"/>
  <c r="FF516" i="30"/>
  <c r="FG516" i="30"/>
  <c r="FH516" i="30"/>
  <c r="FI516" i="30"/>
  <c r="FJ516" i="30"/>
  <c r="FK516" i="30"/>
  <c r="FL516" i="30"/>
  <c r="FM516" i="30"/>
  <c r="FN516" i="30"/>
  <c r="FO516" i="30"/>
  <c r="FP516" i="30"/>
  <c r="FQ516" i="30"/>
  <c r="FR516" i="30"/>
  <c r="FS516" i="30"/>
  <c r="FT516" i="30"/>
  <c r="FU516" i="30"/>
  <c r="FV516" i="30"/>
  <c r="FW516" i="30"/>
  <c r="FX516" i="30"/>
  <c r="FY516" i="30"/>
  <c r="FZ516" i="30"/>
  <c r="GA516" i="30"/>
  <c r="GB516" i="30"/>
  <c r="GC516" i="30"/>
  <c r="GD516" i="30"/>
  <c r="GE516" i="30"/>
  <c r="GF516" i="30"/>
  <c r="GG516" i="30"/>
  <c r="GH516" i="30"/>
  <c r="GI516" i="30"/>
  <c r="GJ516" i="30"/>
  <c r="GK516" i="30"/>
  <c r="GL516" i="30"/>
  <c r="GM516" i="30"/>
  <c r="GN516" i="30"/>
  <c r="GO516" i="30"/>
  <c r="GP516" i="30"/>
  <c r="GQ516" i="30"/>
  <c r="GR516" i="30"/>
  <c r="GS516" i="30"/>
  <c r="GT516" i="30"/>
  <c r="GU516" i="30"/>
  <c r="GV516" i="30"/>
  <c r="GW516" i="30"/>
  <c r="GX516" i="30"/>
  <c r="GY516" i="30"/>
  <c r="GZ516" i="30"/>
  <c r="HA516" i="30"/>
  <c r="HB516" i="30"/>
  <c r="HC516" i="30"/>
  <c r="HD516" i="30"/>
  <c r="HE516" i="30"/>
  <c r="HF516" i="30"/>
  <c r="HG516" i="30"/>
  <c r="HH516" i="30"/>
  <c r="HI516" i="30"/>
  <c r="HJ516" i="30"/>
  <c r="HK516" i="30"/>
  <c r="HL516" i="30"/>
  <c r="HM516" i="30"/>
  <c r="HN516" i="30"/>
  <c r="HO516" i="30"/>
  <c r="HP516" i="30"/>
  <c r="HQ516" i="30"/>
  <c r="HR516" i="30"/>
  <c r="HS516" i="30"/>
  <c r="HT516" i="30"/>
  <c r="HU516" i="30"/>
  <c r="HV516" i="30"/>
  <c r="HW516" i="30"/>
  <c r="HX516" i="30"/>
  <c r="HY516" i="30"/>
  <c r="HZ516" i="30"/>
  <c r="IA516" i="30"/>
  <c r="IB516" i="30"/>
  <c r="IC516" i="30"/>
  <c r="ID516" i="30"/>
  <c r="IE516" i="30"/>
  <c r="IF516" i="30"/>
  <c r="IG516" i="30"/>
  <c r="IH516" i="30"/>
  <c r="II516" i="30"/>
  <c r="IJ516" i="30"/>
  <c r="IK516" i="30"/>
  <c r="IL516" i="30"/>
  <c r="IM516" i="30"/>
  <c r="IN516" i="30"/>
  <c r="IO516" i="30"/>
  <c r="IP516" i="30"/>
  <c r="IQ516" i="30"/>
  <c r="IR516" i="30"/>
  <c r="IS516" i="30"/>
  <c r="IT516" i="30"/>
  <c r="IU516" i="30"/>
  <c r="IV516" i="30"/>
  <c r="A515" i="30"/>
  <c r="B515" i="30"/>
  <c r="C515" i="30"/>
  <c r="D515" i="30"/>
  <c r="E515" i="30"/>
  <c r="F515" i="30"/>
  <c r="G515" i="30"/>
  <c r="H515" i="30"/>
  <c r="I515" i="30"/>
  <c r="J515" i="30"/>
  <c r="K515" i="30"/>
  <c r="L515" i="30"/>
  <c r="M515" i="30"/>
  <c r="N515" i="30"/>
  <c r="O515" i="30"/>
  <c r="P515" i="30"/>
  <c r="Q515" i="30"/>
  <c r="R515" i="30"/>
  <c r="S515" i="30"/>
  <c r="T515" i="30"/>
  <c r="U515" i="30"/>
  <c r="V515" i="30"/>
  <c r="W515" i="30"/>
  <c r="X515" i="30"/>
  <c r="Y515" i="30"/>
  <c r="Z515" i="30"/>
  <c r="AA515" i="30"/>
  <c r="AB515" i="30"/>
  <c r="AC515" i="30"/>
  <c r="AD515" i="30"/>
  <c r="AE515" i="30"/>
  <c r="AF515" i="30"/>
  <c r="AG515" i="30"/>
  <c r="AH515" i="30"/>
  <c r="AI515" i="30"/>
  <c r="AJ515" i="30"/>
  <c r="AK515" i="30"/>
  <c r="AL515" i="30"/>
  <c r="AM515" i="30"/>
  <c r="AN515" i="30"/>
  <c r="AO515" i="30"/>
  <c r="AP515" i="30"/>
  <c r="AQ515" i="30"/>
  <c r="AR515" i="30"/>
  <c r="AS515" i="30"/>
  <c r="AT515" i="30"/>
  <c r="AU515" i="30"/>
  <c r="AV515" i="30"/>
  <c r="AW515" i="30"/>
  <c r="AX515" i="30"/>
  <c r="AY515" i="30"/>
  <c r="AZ515" i="30"/>
  <c r="BA515" i="30"/>
  <c r="BB515" i="30"/>
  <c r="BC515" i="30"/>
  <c r="BD515" i="30"/>
  <c r="BE515" i="30"/>
  <c r="BF515" i="30"/>
  <c r="BG515" i="30"/>
  <c r="BH515" i="30"/>
  <c r="BI515" i="30"/>
  <c r="BJ515" i="30"/>
  <c r="BK515" i="30"/>
  <c r="BL515" i="30"/>
  <c r="BM515" i="30"/>
  <c r="BN515" i="30"/>
  <c r="BO515" i="30"/>
  <c r="BP515" i="30"/>
  <c r="BQ515" i="30"/>
  <c r="BR515" i="30"/>
  <c r="BS515" i="30"/>
  <c r="BT515" i="30"/>
  <c r="BU515" i="30"/>
  <c r="BV515" i="30"/>
  <c r="BW515" i="30"/>
  <c r="BX515" i="30"/>
  <c r="BY515" i="30"/>
  <c r="BZ515" i="30"/>
  <c r="CA515" i="30"/>
  <c r="CB515" i="30"/>
  <c r="CC515" i="30"/>
  <c r="CD515" i="30"/>
  <c r="CE515" i="30"/>
  <c r="CF515" i="30"/>
  <c r="CG515" i="30"/>
  <c r="CH515" i="30"/>
  <c r="CI515" i="30"/>
  <c r="CJ515" i="30"/>
  <c r="CK515" i="30"/>
  <c r="CL515" i="30"/>
  <c r="CM515" i="30"/>
  <c r="CN515" i="30"/>
  <c r="CO515" i="30"/>
  <c r="CP515" i="30"/>
  <c r="CQ515" i="30"/>
  <c r="CR515" i="30"/>
  <c r="CS515" i="30"/>
  <c r="CT515" i="30"/>
  <c r="CU515" i="30"/>
  <c r="CV515" i="30"/>
  <c r="CW515" i="30"/>
  <c r="CX515" i="30"/>
  <c r="CY515" i="30"/>
  <c r="CZ515" i="30"/>
  <c r="DA515" i="30"/>
  <c r="DB515" i="30"/>
  <c r="DC515" i="30"/>
  <c r="DD515" i="30"/>
  <c r="DE515" i="30"/>
  <c r="DF515" i="30"/>
  <c r="DG515" i="30"/>
  <c r="DH515" i="30"/>
  <c r="DI515" i="30"/>
  <c r="DJ515" i="30"/>
  <c r="DK515" i="30"/>
  <c r="DL515" i="30"/>
  <c r="DM515" i="30"/>
  <c r="DN515" i="30"/>
  <c r="DO515" i="30"/>
  <c r="DP515" i="30"/>
  <c r="DQ515" i="30"/>
  <c r="DR515" i="30"/>
  <c r="DS515" i="30"/>
  <c r="DT515" i="30"/>
  <c r="DU515" i="30"/>
  <c r="DV515" i="30"/>
  <c r="DW515" i="30"/>
  <c r="DX515" i="30"/>
  <c r="DY515" i="30"/>
  <c r="DZ515" i="30"/>
  <c r="EA515" i="30"/>
  <c r="EB515" i="30"/>
  <c r="EC515" i="30"/>
  <c r="ED515" i="30"/>
  <c r="EE515" i="30"/>
  <c r="EF515" i="30"/>
  <c r="EG515" i="30"/>
  <c r="EH515" i="30"/>
  <c r="EI515" i="30"/>
  <c r="EJ515" i="30"/>
  <c r="EK515" i="30"/>
  <c r="EL515" i="30"/>
  <c r="EM515" i="30"/>
  <c r="EN515" i="30"/>
  <c r="EO515" i="30"/>
  <c r="EP515" i="30"/>
  <c r="EQ515" i="30"/>
  <c r="ER515" i="30"/>
  <c r="ES515" i="30"/>
  <c r="ET515" i="30"/>
  <c r="EU515" i="30"/>
  <c r="EV515" i="30"/>
  <c r="EW515" i="30"/>
  <c r="EX515" i="30"/>
  <c r="EY515" i="30"/>
  <c r="EZ515" i="30"/>
  <c r="FA515" i="30"/>
  <c r="FB515" i="30"/>
  <c r="FC515" i="30"/>
  <c r="FD515" i="30"/>
  <c r="FE515" i="30"/>
  <c r="FF515" i="30"/>
  <c r="FG515" i="30"/>
  <c r="FH515" i="30"/>
  <c r="FI515" i="30"/>
  <c r="FJ515" i="30"/>
  <c r="FK515" i="30"/>
  <c r="FL515" i="30"/>
  <c r="FM515" i="30"/>
  <c r="FN515" i="30"/>
  <c r="FO515" i="30"/>
  <c r="FP515" i="30"/>
  <c r="FQ515" i="30"/>
  <c r="FR515" i="30"/>
  <c r="FS515" i="30"/>
  <c r="FT515" i="30"/>
  <c r="FU515" i="30"/>
  <c r="FV515" i="30"/>
  <c r="FW515" i="30"/>
  <c r="FX515" i="30"/>
  <c r="FY515" i="30"/>
  <c r="FZ515" i="30"/>
  <c r="GA515" i="30"/>
  <c r="GB515" i="30"/>
  <c r="GC515" i="30"/>
  <c r="GD515" i="30"/>
  <c r="GE515" i="30"/>
  <c r="GF515" i="30"/>
  <c r="GG515" i="30"/>
  <c r="GH515" i="30"/>
  <c r="GI515" i="30"/>
  <c r="GJ515" i="30"/>
  <c r="GK515" i="30"/>
  <c r="GL515" i="30"/>
  <c r="GM515" i="30"/>
  <c r="GN515" i="30"/>
  <c r="GO515" i="30"/>
  <c r="GP515" i="30"/>
  <c r="GQ515" i="30"/>
  <c r="GR515" i="30"/>
  <c r="GS515" i="30"/>
  <c r="GT515" i="30"/>
  <c r="GU515" i="30"/>
  <c r="GV515" i="30"/>
  <c r="GW515" i="30"/>
  <c r="GX515" i="30"/>
  <c r="GY515" i="30"/>
  <c r="GZ515" i="30"/>
  <c r="HA515" i="30"/>
  <c r="HB515" i="30"/>
  <c r="HC515" i="30"/>
  <c r="HD515" i="30"/>
  <c r="HE515" i="30"/>
  <c r="HF515" i="30"/>
  <c r="HG515" i="30"/>
  <c r="HH515" i="30"/>
  <c r="HI515" i="30"/>
  <c r="HJ515" i="30"/>
  <c r="HK515" i="30"/>
  <c r="HL515" i="30"/>
  <c r="HM515" i="30"/>
  <c r="HN515" i="30"/>
  <c r="HO515" i="30"/>
  <c r="HP515" i="30"/>
  <c r="HQ515" i="30"/>
  <c r="HR515" i="30"/>
  <c r="HS515" i="30"/>
  <c r="HT515" i="30"/>
  <c r="HU515" i="30"/>
  <c r="HV515" i="30"/>
  <c r="HW515" i="30"/>
  <c r="HX515" i="30"/>
  <c r="HY515" i="30"/>
  <c r="HZ515" i="30"/>
  <c r="IA515" i="30"/>
  <c r="IB515" i="30"/>
  <c r="IC515" i="30"/>
  <c r="ID515" i="30"/>
  <c r="IE515" i="30"/>
  <c r="IF515" i="30"/>
  <c r="IG515" i="30"/>
  <c r="IH515" i="30"/>
  <c r="II515" i="30"/>
  <c r="IJ515" i="30"/>
  <c r="IK515" i="30"/>
  <c r="IL515" i="30"/>
  <c r="IM515" i="30"/>
  <c r="IN515" i="30"/>
  <c r="IO515" i="30"/>
  <c r="IP515" i="30"/>
  <c r="IQ515" i="30"/>
  <c r="IR515" i="30"/>
  <c r="IS515" i="30"/>
  <c r="IT515" i="30"/>
  <c r="IU515" i="30"/>
  <c r="IV515" i="30"/>
  <c r="A514" i="30"/>
  <c r="B514" i="30"/>
  <c r="C514" i="30"/>
  <c r="D514" i="30"/>
  <c r="E514" i="30"/>
  <c r="F514" i="30"/>
  <c r="G514" i="30"/>
  <c r="H514" i="30"/>
  <c r="I514" i="30"/>
  <c r="J514" i="30"/>
  <c r="K514" i="30"/>
  <c r="L514" i="30"/>
  <c r="M514" i="30"/>
  <c r="N514" i="30"/>
  <c r="O514" i="30"/>
  <c r="P514" i="30"/>
  <c r="Q514" i="30"/>
  <c r="R514" i="30"/>
  <c r="S514" i="30"/>
  <c r="T514" i="30"/>
  <c r="U514" i="30"/>
  <c r="V514" i="30"/>
  <c r="W514" i="30"/>
  <c r="X514" i="30"/>
  <c r="Y514" i="30"/>
  <c r="Z514" i="30"/>
  <c r="AA514" i="30"/>
  <c r="AB514" i="30"/>
  <c r="AC514" i="30"/>
  <c r="AD514" i="30"/>
  <c r="AE514" i="30"/>
  <c r="AF514" i="30"/>
  <c r="AG514" i="30"/>
  <c r="AH514" i="30"/>
  <c r="AI514" i="30"/>
  <c r="AJ514" i="30"/>
  <c r="AK514" i="30"/>
  <c r="AL514" i="30"/>
  <c r="AM514" i="30"/>
  <c r="AN514" i="30"/>
  <c r="AO514" i="30"/>
  <c r="AP514" i="30"/>
  <c r="AQ514" i="30"/>
  <c r="AR514" i="30"/>
  <c r="AS514" i="30"/>
  <c r="AT514" i="30"/>
  <c r="AU514" i="30"/>
  <c r="AV514" i="30"/>
  <c r="AW514" i="30"/>
  <c r="AX514" i="30"/>
  <c r="AY514" i="30"/>
  <c r="AZ514" i="30"/>
  <c r="BA514" i="30"/>
  <c r="BB514" i="30"/>
  <c r="BC514" i="30"/>
  <c r="BD514" i="30"/>
  <c r="BE514" i="30"/>
  <c r="BF514" i="30"/>
  <c r="BG514" i="30"/>
  <c r="BH514" i="30"/>
  <c r="BI514" i="30"/>
  <c r="BJ514" i="30"/>
  <c r="BK514" i="30"/>
  <c r="BL514" i="30"/>
  <c r="BM514" i="30"/>
  <c r="BN514" i="30"/>
  <c r="BO514" i="30"/>
  <c r="BP514" i="30"/>
  <c r="BQ514" i="30"/>
  <c r="BR514" i="30"/>
  <c r="BS514" i="30"/>
  <c r="BT514" i="30"/>
  <c r="BU514" i="30"/>
  <c r="BV514" i="30"/>
  <c r="BW514" i="30"/>
  <c r="BX514" i="30"/>
  <c r="BY514" i="30"/>
  <c r="BZ514" i="30"/>
  <c r="CA514" i="30"/>
  <c r="CB514" i="30"/>
  <c r="CC514" i="30"/>
  <c r="CD514" i="30"/>
  <c r="CE514" i="30"/>
  <c r="CF514" i="30"/>
  <c r="CG514" i="30"/>
  <c r="CH514" i="30"/>
  <c r="CI514" i="30"/>
  <c r="CJ514" i="30"/>
  <c r="CK514" i="30"/>
  <c r="CL514" i="30"/>
  <c r="CM514" i="30"/>
  <c r="CN514" i="30"/>
  <c r="CO514" i="30"/>
  <c r="CP514" i="30"/>
  <c r="CQ514" i="30"/>
  <c r="CR514" i="30"/>
  <c r="CS514" i="30"/>
  <c r="CT514" i="30"/>
  <c r="CU514" i="30"/>
  <c r="CV514" i="30"/>
  <c r="CW514" i="30"/>
  <c r="CX514" i="30"/>
  <c r="CY514" i="30"/>
  <c r="CZ514" i="30"/>
  <c r="DA514" i="30"/>
  <c r="DB514" i="30"/>
  <c r="DC514" i="30"/>
  <c r="DD514" i="30"/>
  <c r="DE514" i="30"/>
  <c r="DF514" i="30"/>
  <c r="DG514" i="30"/>
  <c r="DH514" i="30"/>
  <c r="DI514" i="30"/>
  <c r="DJ514" i="30"/>
  <c r="DK514" i="30"/>
  <c r="DL514" i="30"/>
  <c r="DM514" i="30"/>
  <c r="DN514" i="30"/>
  <c r="DO514" i="30"/>
  <c r="DP514" i="30"/>
  <c r="DQ514" i="30"/>
  <c r="DR514" i="30"/>
  <c r="DS514" i="30"/>
  <c r="DT514" i="30"/>
  <c r="DU514" i="30"/>
  <c r="DV514" i="30"/>
  <c r="DW514" i="30"/>
  <c r="DX514" i="30"/>
  <c r="DY514" i="30"/>
  <c r="DZ514" i="30"/>
  <c r="EA514" i="30"/>
  <c r="EB514" i="30"/>
  <c r="EC514" i="30"/>
  <c r="ED514" i="30"/>
  <c r="EE514" i="30"/>
  <c r="EF514" i="30"/>
  <c r="EG514" i="30"/>
  <c r="EH514" i="30"/>
  <c r="EI514" i="30"/>
  <c r="EJ514" i="30"/>
  <c r="EK514" i="30"/>
  <c r="EL514" i="30"/>
  <c r="EM514" i="30"/>
  <c r="EN514" i="30"/>
  <c r="EO514" i="30"/>
  <c r="EP514" i="30"/>
  <c r="EQ514" i="30"/>
  <c r="ER514" i="30"/>
  <c r="ES514" i="30"/>
  <c r="ET514" i="30"/>
  <c r="EU514" i="30"/>
  <c r="EV514" i="30"/>
  <c r="EW514" i="30"/>
  <c r="EX514" i="30"/>
  <c r="EY514" i="30"/>
  <c r="EZ514" i="30"/>
  <c r="FA514" i="30"/>
  <c r="FB514" i="30"/>
  <c r="FC514" i="30"/>
  <c r="FD514" i="30"/>
  <c r="FE514" i="30"/>
  <c r="FF514" i="30"/>
  <c r="FG514" i="30"/>
  <c r="FH514" i="30"/>
  <c r="FI514" i="30"/>
  <c r="FJ514" i="30"/>
  <c r="FK514" i="30"/>
  <c r="FL514" i="30"/>
  <c r="FM514" i="30"/>
  <c r="FN514" i="30"/>
  <c r="FO514" i="30"/>
  <c r="FP514" i="30"/>
  <c r="FQ514" i="30"/>
  <c r="FR514" i="30"/>
  <c r="FS514" i="30"/>
  <c r="FT514" i="30"/>
  <c r="FU514" i="30"/>
  <c r="FV514" i="30"/>
  <c r="FW514" i="30"/>
  <c r="FX514" i="30"/>
  <c r="FY514" i="30"/>
  <c r="FZ514" i="30"/>
  <c r="GA514" i="30"/>
  <c r="GB514" i="30"/>
  <c r="GC514" i="30"/>
  <c r="GD514" i="30"/>
  <c r="GE514" i="30"/>
  <c r="GF514" i="30"/>
  <c r="GG514" i="30"/>
  <c r="GH514" i="30"/>
  <c r="GI514" i="30"/>
  <c r="GJ514" i="30"/>
  <c r="GK514" i="30"/>
  <c r="GL514" i="30"/>
  <c r="GM514" i="30"/>
  <c r="GN514" i="30"/>
  <c r="GO514" i="30"/>
  <c r="GP514" i="30"/>
  <c r="GQ514" i="30"/>
  <c r="GR514" i="30"/>
  <c r="GS514" i="30"/>
  <c r="GT514" i="30"/>
  <c r="GU514" i="30"/>
  <c r="GV514" i="30"/>
  <c r="GW514" i="30"/>
  <c r="GX514" i="30"/>
  <c r="GY514" i="30"/>
  <c r="GZ514" i="30"/>
  <c r="HA514" i="30"/>
  <c r="HB514" i="30"/>
  <c r="HC514" i="30"/>
  <c r="HD514" i="30"/>
  <c r="HE514" i="30"/>
  <c r="HF514" i="30"/>
  <c r="HG514" i="30"/>
  <c r="HH514" i="30"/>
  <c r="HI514" i="30"/>
  <c r="HJ514" i="30"/>
  <c r="HK514" i="30"/>
  <c r="HL514" i="30"/>
  <c r="HM514" i="30"/>
  <c r="HN514" i="30"/>
  <c r="HO514" i="30"/>
  <c r="HP514" i="30"/>
  <c r="HQ514" i="30"/>
  <c r="HR514" i="30"/>
  <c r="HS514" i="30"/>
  <c r="HT514" i="30"/>
  <c r="HU514" i="30"/>
  <c r="HV514" i="30"/>
  <c r="HW514" i="30"/>
  <c r="HX514" i="30"/>
  <c r="HY514" i="30"/>
  <c r="HZ514" i="30"/>
  <c r="IA514" i="30"/>
  <c r="IB514" i="30"/>
  <c r="IC514" i="30"/>
  <c r="ID514" i="30"/>
  <c r="IE514" i="30"/>
  <c r="IF514" i="30"/>
  <c r="IG514" i="30"/>
  <c r="IH514" i="30"/>
  <c r="II514" i="30"/>
  <c r="IJ514" i="30"/>
  <c r="IK514" i="30"/>
  <c r="IL514" i="30"/>
  <c r="IM514" i="30"/>
  <c r="IN514" i="30"/>
  <c r="IO514" i="30"/>
  <c r="IP514" i="30"/>
  <c r="IQ514" i="30"/>
  <c r="IR514" i="30"/>
  <c r="IS514" i="30"/>
  <c r="IT514" i="30"/>
  <c r="IU514" i="30"/>
  <c r="IV514" i="30"/>
  <c r="A513" i="30"/>
  <c r="B513" i="30"/>
  <c r="C513" i="30"/>
  <c r="D513" i="30"/>
  <c r="E513" i="30"/>
  <c r="F513" i="30"/>
  <c r="G513" i="30"/>
  <c r="H513" i="30"/>
  <c r="I513" i="30"/>
  <c r="J513" i="30"/>
  <c r="K513" i="30"/>
  <c r="L513" i="30"/>
  <c r="M513" i="30"/>
  <c r="N513" i="30"/>
  <c r="O513" i="30"/>
  <c r="P513" i="30"/>
  <c r="Q513" i="30"/>
  <c r="R513" i="30"/>
  <c r="S513" i="30"/>
  <c r="T513" i="30"/>
  <c r="U513" i="30"/>
  <c r="V513" i="30"/>
  <c r="W513" i="30"/>
  <c r="X513" i="30"/>
  <c r="Y513" i="30"/>
  <c r="Z513" i="30"/>
  <c r="AA513" i="30"/>
  <c r="AB513" i="30"/>
  <c r="AC513" i="30"/>
  <c r="AD513" i="30"/>
  <c r="AE513" i="30"/>
  <c r="AF513" i="30"/>
  <c r="AG513" i="30"/>
  <c r="AH513" i="30"/>
  <c r="AI513" i="30"/>
  <c r="AJ513" i="30"/>
  <c r="AK513" i="30"/>
  <c r="AL513" i="30"/>
  <c r="AM513" i="30"/>
  <c r="AN513" i="30"/>
  <c r="AO513" i="30"/>
  <c r="AP513" i="30"/>
  <c r="AQ513" i="30"/>
  <c r="AR513" i="30"/>
  <c r="AS513" i="30"/>
  <c r="AT513" i="30"/>
  <c r="AU513" i="30"/>
  <c r="AV513" i="30"/>
  <c r="AW513" i="30"/>
  <c r="AX513" i="30"/>
  <c r="AY513" i="30"/>
  <c r="AZ513" i="30"/>
  <c r="BA513" i="30"/>
  <c r="BB513" i="30"/>
  <c r="BC513" i="30"/>
  <c r="BD513" i="30"/>
  <c r="BE513" i="30"/>
  <c r="BF513" i="30"/>
  <c r="BG513" i="30"/>
  <c r="BH513" i="30"/>
  <c r="BI513" i="30"/>
  <c r="BJ513" i="30"/>
  <c r="BK513" i="30"/>
  <c r="BL513" i="30"/>
  <c r="BM513" i="30"/>
  <c r="BN513" i="30"/>
  <c r="BO513" i="30"/>
  <c r="BP513" i="30"/>
  <c r="BQ513" i="30"/>
  <c r="BR513" i="30"/>
  <c r="BS513" i="30"/>
  <c r="BT513" i="30"/>
  <c r="BU513" i="30"/>
  <c r="BV513" i="30"/>
  <c r="BW513" i="30"/>
  <c r="BX513" i="30"/>
  <c r="BY513" i="30"/>
  <c r="BZ513" i="30"/>
  <c r="CA513" i="30"/>
  <c r="CB513" i="30"/>
  <c r="CC513" i="30"/>
  <c r="CD513" i="30"/>
  <c r="CE513" i="30"/>
  <c r="CF513" i="30"/>
  <c r="CG513" i="30"/>
  <c r="CH513" i="30"/>
  <c r="CI513" i="30"/>
  <c r="CJ513" i="30"/>
  <c r="CK513" i="30"/>
  <c r="CL513" i="30"/>
  <c r="CM513" i="30"/>
  <c r="CN513" i="30"/>
  <c r="CO513" i="30"/>
  <c r="CP513" i="30"/>
  <c r="CQ513" i="30"/>
  <c r="CR513" i="30"/>
  <c r="CS513" i="30"/>
  <c r="CT513" i="30"/>
  <c r="CU513" i="30"/>
  <c r="CV513" i="30"/>
  <c r="CW513" i="30"/>
  <c r="CX513" i="30"/>
  <c r="CY513" i="30"/>
  <c r="CZ513" i="30"/>
  <c r="DA513" i="30"/>
  <c r="DB513" i="30"/>
  <c r="DC513" i="30"/>
  <c r="DD513" i="30"/>
  <c r="DE513" i="30"/>
  <c r="DF513" i="30"/>
  <c r="DG513" i="30"/>
  <c r="DH513" i="30"/>
  <c r="DI513" i="30"/>
  <c r="DJ513" i="30"/>
  <c r="DK513" i="30"/>
  <c r="DL513" i="30"/>
  <c r="DM513" i="30"/>
  <c r="DN513" i="30"/>
  <c r="DO513" i="30"/>
  <c r="DP513" i="30"/>
  <c r="DQ513" i="30"/>
  <c r="DR513" i="30"/>
  <c r="DS513" i="30"/>
  <c r="DT513" i="30"/>
  <c r="DU513" i="30"/>
  <c r="DV513" i="30"/>
  <c r="DW513" i="30"/>
  <c r="DX513" i="30"/>
  <c r="DY513" i="30"/>
  <c r="DZ513" i="30"/>
  <c r="EA513" i="30"/>
  <c r="EB513" i="30"/>
  <c r="EC513" i="30"/>
  <c r="ED513" i="30"/>
  <c r="EE513" i="30"/>
  <c r="EF513" i="30"/>
  <c r="EG513" i="30"/>
  <c r="EH513" i="30"/>
  <c r="EI513" i="30"/>
  <c r="EJ513" i="30"/>
  <c r="EK513" i="30"/>
  <c r="EL513" i="30"/>
  <c r="EM513" i="30"/>
  <c r="EN513" i="30"/>
  <c r="EO513" i="30"/>
  <c r="EP513" i="30"/>
  <c r="EQ513" i="30"/>
  <c r="ER513" i="30"/>
  <c r="ES513" i="30"/>
  <c r="ET513" i="30"/>
  <c r="EU513" i="30"/>
  <c r="EV513" i="30"/>
  <c r="EW513" i="30"/>
  <c r="EX513" i="30"/>
  <c r="EY513" i="30"/>
  <c r="EZ513" i="30"/>
  <c r="FA513" i="30"/>
  <c r="FB513" i="30"/>
  <c r="FC513" i="30"/>
  <c r="FD513" i="30"/>
  <c r="FE513" i="30"/>
  <c r="FF513" i="30"/>
  <c r="FG513" i="30"/>
  <c r="FH513" i="30"/>
  <c r="FI513" i="30"/>
  <c r="FJ513" i="30"/>
  <c r="FK513" i="30"/>
  <c r="FL513" i="30"/>
  <c r="FM513" i="30"/>
  <c r="FN513" i="30"/>
  <c r="FO513" i="30"/>
  <c r="FP513" i="30"/>
  <c r="FQ513" i="30"/>
  <c r="FR513" i="30"/>
  <c r="FS513" i="30"/>
  <c r="FT513" i="30"/>
  <c r="FU513" i="30"/>
  <c r="FV513" i="30"/>
  <c r="FW513" i="30"/>
  <c r="FX513" i="30"/>
  <c r="FY513" i="30"/>
  <c r="FZ513" i="30"/>
  <c r="GA513" i="30"/>
  <c r="GB513" i="30"/>
  <c r="GC513" i="30"/>
  <c r="GD513" i="30"/>
  <c r="GE513" i="30"/>
  <c r="GF513" i="30"/>
  <c r="GG513" i="30"/>
  <c r="GH513" i="30"/>
  <c r="GI513" i="30"/>
  <c r="GJ513" i="30"/>
  <c r="GK513" i="30"/>
  <c r="GL513" i="30"/>
  <c r="GM513" i="30"/>
  <c r="GN513" i="30"/>
  <c r="GO513" i="30"/>
  <c r="GP513" i="30"/>
  <c r="GQ513" i="30"/>
  <c r="GR513" i="30"/>
  <c r="GS513" i="30"/>
  <c r="GT513" i="30"/>
  <c r="GU513" i="30"/>
  <c r="GV513" i="30"/>
  <c r="GW513" i="30"/>
  <c r="GX513" i="30"/>
  <c r="GY513" i="30"/>
  <c r="GZ513" i="30"/>
  <c r="HA513" i="30"/>
  <c r="HB513" i="30"/>
  <c r="HC513" i="30"/>
  <c r="HD513" i="30"/>
  <c r="HE513" i="30"/>
  <c r="HF513" i="30"/>
  <c r="HG513" i="30"/>
  <c r="HH513" i="30"/>
  <c r="HI513" i="30"/>
  <c r="HJ513" i="30"/>
  <c r="HK513" i="30"/>
  <c r="HL513" i="30"/>
  <c r="HM513" i="30"/>
  <c r="HN513" i="30"/>
  <c r="HO513" i="30"/>
  <c r="HP513" i="30"/>
  <c r="HQ513" i="30"/>
  <c r="HR513" i="30"/>
  <c r="HS513" i="30"/>
  <c r="HT513" i="30"/>
  <c r="HU513" i="30"/>
  <c r="HV513" i="30"/>
  <c r="HW513" i="30"/>
  <c r="HX513" i="30"/>
  <c r="HY513" i="30"/>
  <c r="HZ513" i="30"/>
  <c r="IA513" i="30"/>
  <c r="IB513" i="30"/>
  <c r="IC513" i="30"/>
  <c r="ID513" i="30"/>
  <c r="IE513" i="30"/>
  <c r="IF513" i="30"/>
  <c r="IG513" i="30"/>
  <c r="IH513" i="30"/>
  <c r="II513" i="30"/>
  <c r="IJ513" i="30"/>
  <c r="IK513" i="30"/>
  <c r="IL513" i="30"/>
  <c r="IM513" i="30"/>
  <c r="IN513" i="30"/>
  <c r="IO513" i="30"/>
  <c r="IP513" i="30"/>
  <c r="IQ513" i="30"/>
  <c r="IR513" i="30"/>
  <c r="IS513" i="30"/>
  <c r="IT513" i="30"/>
  <c r="IU513" i="30"/>
  <c r="IV513" i="30"/>
  <c r="A512" i="30"/>
  <c r="B512" i="30"/>
  <c r="C512" i="30"/>
  <c r="D512" i="30"/>
  <c r="E512" i="30"/>
  <c r="F512" i="30"/>
  <c r="G512" i="30"/>
  <c r="H512" i="30"/>
  <c r="I512" i="30"/>
  <c r="J512" i="30"/>
  <c r="K512" i="30"/>
  <c r="L512" i="30"/>
  <c r="M512" i="30"/>
  <c r="N512" i="30"/>
  <c r="O512" i="30"/>
  <c r="P512" i="30"/>
  <c r="Q512" i="30"/>
  <c r="R512" i="30"/>
  <c r="S512" i="30"/>
  <c r="T512" i="30"/>
  <c r="U512" i="30"/>
  <c r="V512" i="30"/>
  <c r="W512" i="30"/>
  <c r="X512" i="30"/>
  <c r="Y512" i="30"/>
  <c r="Z512" i="30"/>
  <c r="AA512" i="30"/>
  <c r="AB512" i="30"/>
  <c r="AC512" i="30"/>
  <c r="AD512" i="30"/>
  <c r="AE512" i="30"/>
  <c r="AF512" i="30"/>
  <c r="AG512" i="30"/>
  <c r="AH512" i="30"/>
  <c r="AI512" i="30"/>
  <c r="AJ512" i="30"/>
  <c r="AK512" i="30"/>
  <c r="AL512" i="30"/>
  <c r="AM512" i="30"/>
  <c r="AN512" i="30"/>
  <c r="AO512" i="30"/>
  <c r="AP512" i="30"/>
  <c r="AQ512" i="30"/>
  <c r="AR512" i="30"/>
  <c r="AS512" i="30"/>
  <c r="AT512" i="30"/>
  <c r="AU512" i="30"/>
  <c r="AV512" i="30"/>
  <c r="AW512" i="30"/>
  <c r="AX512" i="30"/>
  <c r="AY512" i="30"/>
  <c r="AZ512" i="30"/>
  <c r="BA512" i="30"/>
  <c r="BB512" i="30"/>
  <c r="BC512" i="30"/>
  <c r="BD512" i="30"/>
  <c r="BE512" i="30"/>
  <c r="BF512" i="30"/>
  <c r="BG512" i="30"/>
  <c r="BH512" i="30"/>
  <c r="BI512" i="30"/>
  <c r="BJ512" i="30"/>
  <c r="BK512" i="30"/>
  <c r="BL512" i="30"/>
  <c r="BM512" i="30"/>
  <c r="BN512" i="30"/>
  <c r="BO512" i="30"/>
  <c r="BP512" i="30"/>
  <c r="BQ512" i="30"/>
  <c r="BR512" i="30"/>
  <c r="BS512" i="30"/>
  <c r="BT512" i="30"/>
  <c r="BU512" i="30"/>
  <c r="BV512" i="30"/>
  <c r="BW512" i="30"/>
  <c r="BX512" i="30"/>
  <c r="BY512" i="30"/>
  <c r="BZ512" i="30"/>
  <c r="CA512" i="30"/>
  <c r="CB512" i="30"/>
  <c r="CC512" i="30"/>
  <c r="CD512" i="30"/>
  <c r="CE512" i="30"/>
  <c r="CF512" i="30"/>
  <c r="CG512" i="30"/>
  <c r="CH512" i="30"/>
  <c r="CI512" i="30"/>
  <c r="CJ512" i="30"/>
  <c r="CK512" i="30"/>
  <c r="CL512" i="30"/>
  <c r="CM512" i="30"/>
  <c r="CN512" i="30"/>
  <c r="CO512" i="30"/>
  <c r="CP512" i="30"/>
  <c r="CQ512" i="30"/>
  <c r="CR512" i="30"/>
  <c r="CS512" i="30"/>
  <c r="CT512" i="30"/>
  <c r="CU512" i="30"/>
  <c r="CV512" i="30"/>
  <c r="CW512" i="30"/>
  <c r="CX512" i="30"/>
  <c r="CY512" i="30"/>
  <c r="CZ512" i="30"/>
  <c r="DA512" i="30"/>
  <c r="DB512" i="30"/>
  <c r="DC512" i="30"/>
  <c r="DD512" i="30"/>
  <c r="DE512" i="30"/>
  <c r="DF512" i="30"/>
  <c r="DG512" i="30"/>
  <c r="DH512" i="30"/>
  <c r="DI512" i="30"/>
  <c r="DJ512" i="30"/>
  <c r="DK512" i="30"/>
  <c r="DL512" i="30"/>
  <c r="DM512" i="30"/>
  <c r="DN512" i="30"/>
  <c r="DO512" i="30"/>
  <c r="DP512" i="30"/>
  <c r="DQ512" i="30"/>
  <c r="DR512" i="30"/>
  <c r="DS512" i="30"/>
  <c r="DT512" i="30"/>
  <c r="DU512" i="30"/>
  <c r="DV512" i="30"/>
  <c r="DW512" i="30"/>
  <c r="DX512" i="30"/>
  <c r="DY512" i="30"/>
  <c r="DZ512" i="30"/>
  <c r="EA512" i="30"/>
  <c r="EB512" i="30"/>
  <c r="EC512" i="30"/>
  <c r="ED512" i="30"/>
  <c r="EE512" i="30"/>
  <c r="EF512" i="30"/>
  <c r="EG512" i="30"/>
  <c r="EH512" i="30"/>
  <c r="EI512" i="30"/>
  <c r="EJ512" i="30"/>
  <c r="EK512" i="30"/>
  <c r="EL512" i="30"/>
  <c r="EM512" i="30"/>
  <c r="EN512" i="30"/>
  <c r="EO512" i="30"/>
  <c r="EP512" i="30"/>
  <c r="EQ512" i="30"/>
  <c r="ER512" i="30"/>
  <c r="ES512" i="30"/>
  <c r="ET512" i="30"/>
  <c r="EU512" i="30"/>
  <c r="EV512" i="30"/>
  <c r="EW512" i="30"/>
  <c r="EX512" i="30"/>
  <c r="EY512" i="30"/>
  <c r="EZ512" i="30"/>
  <c r="FA512" i="30"/>
  <c r="FB512" i="30"/>
  <c r="FC512" i="30"/>
  <c r="FD512" i="30"/>
  <c r="FE512" i="30"/>
  <c r="FF512" i="30"/>
  <c r="FG512" i="30"/>
  <c r="FH512" i="30"/>
  <c r="FI512" i="30"/>
  <c r="FJ512" i="30"/>
  <c r="FK512" i="30"/>
  <c r="FL512" i="30"/>
  <c r="FM512" i="30"/>
  <c r="FN512" i="30"/>
  <c r="FO512" i="30"/>
  <c r="FP512" i="30"/>
  <c r="FQ512" i="30"/>
  <c r="FR512" i="30"/>
  <c r="FS512" i="30"/>
  <c r="FT512" i="30"/>
  <c r="FU512" i="30"/>
  <c r="FV512" i="30"/>
  <c r="FW512" i="30"/>
  <c r="FX512" i="30"/>
  <c r="FY512" i="30"/>
  <c r="FZ512" i="30"/>
  <c r="GA512" i="30"/>
  <c r="GB512" i="30"/>
  <c r="GC512" i="30"/>
  <c r="GD512" i="30"/>
  <c r="GE512" i="30"/>
  <c r="GF512" i="30"/>
  <c r="GG512" i="30"/>
  <c r="GH512" i="30"/>
  <c r="GI512" i="30"/>
  <c r="GJ512" i="30"/>
  <c r="GK512" i="30"/>
  <c r="GL512" i="30"/>
  <c r="GM512" i="30"/>
  <c r="GN512" i="30"/>
  <c r="GO512" i="30"/>
  <c r="GP512" i="30"/>
  <c r="GQ512" i="30"/>
  <c r="GR512" i="30"/>
  <c r="GS512" i="30"/>
  <c r="GT512" i="30"/>
  <c r="GU512" i="30"/>
  <c r="GV512" i="30"/>
  <c r="GW512" i="30"/>
  <c r="GX512" i="30"/>
  <c r="GY512" i="30"/>
  <c r="GZ512" i="30"/>
  <c r="HA512" i="30"/>
  <c r="HB512" i="30"/>
  <c r="HC512" i="30"/>
  <c r="HD512" i="30"/>
  <c r="HE512" i="30"/>
  <c r="HF512" i="30"/>
  <c r="HG512" i="30"/>
  <c r="HH512" i="30"/>
  <c r="HI512" i="30"/>
  <c r="HJ512" i="30"/>
  <c r="HK512" i="30"/>
  <c r="HL512" i="30"/>
  <c r="HM512" i="30"/>
  <c r="HN512" i="30"/>
  <c r="HO512" i="30"/>
  <c r="HP512" i="30"/>
  <c r="HQ512" i="30"/>
  <c r="HR512" i="30"/>
  <c r="HS512" i="30"/>
  <c r="HT512" i="30"/>
  <c r="HU512" i="30"/>
  <c r="HV512" i="30"/>
  <c r="HW512" i="30"/>
  <c r="HX512" i="30"/>
  <c r="HY512" i="30"/>
  <c r="HZ512" i="30"/>
  <c r="IA512" i="30"/>
  <c r="IB512" i="30"/>
  <c r="IC512" i="30"/>
  <c r="ID512" i="30"/>
  <c r="IE512" i="30"/>
  <c r="IF512" i="30"/>
  <c r="IG512" i="30"/>
  <c r="IH512" i="30"/>
  <c r="II512" i="30"/>
  <c r="IJ512" i="30"/>
  <c r="IK512" i="30"/>
  <c r="IL512" i="30"/>
  <c r="IM512" i="30"/>
  <c r="IN512" i="30"/>
  <c r="IO512" i="30"/>
  <c r="IP512" i="30"/>
  <c r="IQ512" i="30"/>
  <c r="IR512" i="30"/>
  <c r="IS512" i="30"/>
  <c r="IT512" i="30"/>
  <c r="IU512" i="30"/>
  <c r="IV512" i="30"/>
  <c r="A511" i="30"/>
  <c r="B511" i="30"/>
  <c r="C511" i="30"/>
  <c r="D511" i="30"/>
  <c r="E511" i="30"/>
  <c r="F511" i="30"/>
  <c r="G511" i="30"/>
  <c r="H511" i="30"/>
  <c r="I511" i="30"/>
  <c r="J511" i="30"/>
  <c r="K511" i="30"/>
  <c r="L511" i="30"/>
  <c r="M511" i="30"/>
  <c r="N511" i="30"/>
  <c r="O511" i="30"/>
  <c r="P511" i="30"/>
  <c r="Q511" i="30"/>
  <c r="R511" i="30"/>
  <c r="S511" i="30"/>
  <c r="T511" i="30"/>
  <c r="U511" i="30"/>
  <c r="V511" i="30"/>
  <c r="W511" i="30"/>
  <c r="X511" i="30"/>
  <c r="Y511" i="30"/>
  <c r="Z511" i="30"/>
  <c r="AA511" i="30"/>
  <c r="AB511" i="30"/>
  <c r="AC511" i="30"/>
  <c r="AD511" i="30"/>
  <c r="AE511" i="30"/>
  <c r="AF511" i="30"/>
  <c r="AG511" i="30"/>
  <c r="AH511" i="30"/>
  <c r="AI511" i="30"/>
  <c r="AJ511" i="30"/>
  <c r="AK511" i="30"/>
  <c r="AL511" i="30"/>
  <c r="AM511" i="30"/>
  <c r="AN511" i="30"/>
  <c r="AO511" i="30"/>
  <c r="AP511" i="30"/>
  <c r="AQ511" i="30"/>
  <c r="AR511" i="30"/>
  <c r="AS511" i="30"/>
  <c r="AT511" i="30"/>
  <c r="AU511" i="30"/>
  <c r="AV511" i="30"/>
  <c r="AW511" i="30"/>
  <c r="AX511" i="30"/>
  <c r="AY511" i="30"/>
  <c r="AZ511" i="30"/>
  <c r="BA511" i="30"/>
  <c r="BB511" i="30"/>
  <c r="BC511" i="30"/>
  <c r="BD511" i="30"/>
  <c r="BE511" i="30"/>
  <c r="BF511" i="30"/>
  <c r="BG511" i="30"/>
  <c r="BH511" i="30"/>
  <c r="BI511" i="30"/>
  <c r="BJ511" i="30"/>
  <c r="BK511" i="30"/>
  <c r="BL511" i="30"/>
  <c r="BM511" i="30"/>
  <c r="BN511" i="30"/>
  <c r="BO511" i="30"/>
  <c r="BP511" i="30"/>
  <c r="BQ511" i="30"/>
  <c r="BR511" i="30"/>
  <c r="BS511" i="30"/>
  <c r="BT511" i="30"/>
  <c r="BU511" i="30"/>
  <c r="BV511" i="30"/>
  <c r="BW511" i="30"/>
  <c r="BX511" i="30"/>
  <c r="BY511" i="30"/>
  <c r="BZ511" i="30"/>
  <c r="CA511" i="30"/>
  <c r="CB511" i="30"/>
  <c r="CC511" i="30"/>
  <c r="CD511" i="30"/>
  <c r="CE511" i="30"/>
  <c r="CF511" i="30"/>
  <c r="CG511" i="30"/>
  <c r="CH511" i="30"/>
  <c r="CI511" i="30"/>
  <c r="CJ511" i="30"/>
  <c r="CK511" i="30"/>
  <c r="CL511" i="30"/>
  <c r="CM511" i="30"/>
  <c r="CN511" i="30"/>
  <c r="CO511" i="30"/>
  <c r="CP511" i="30"/>
  <c r="CQ511" i="30"/>
  <c r="CR511" i="30"/>
  <c r="CS511" i="30"/>
  <c r="CT511" i="30"/>
  <c r="CU511" i="30"/>
  <c r="CV511" i="30"/>
  <c r="CW511" i="30"/>
  <c r="CX511" i="30"/>
  <c r="CY511" i="30"/>
  <c r="CZ511" i="30"/>
  <c r="DA511" i="30"/>
  <c r="DB511" i="30"/>
  <c r="DC511" i="30"/>
  <c r="DD511" i="30"/>
  <c r="DE511" i="30"/>
  <c r="DF511" i="30"/>
  <c r="DG511" i="30"/>
  <c r="DH511" i="30"/>
  <c r="DI511" i="30"/>
  <c r="DJ511" i="30"/>
  <c r="DK511" i="30"/>
  <c r="DL511" i="30"/>
  <c r="DM511" i="30"/>
  <c r="DN511" i="30"/>
  <c r="DO511" i="30"/>
  <c r="DP511" i="30"/>
  <c r="DQ511" i="30"/>
  <c r="DR511" i="30"/>
  <c r="DS511" i="30"/>
  <c r="DT511" i="30"/>
  <c r="DU511" i="30"/>
  <c r="DV511" i="30"/>
  <c r="DW511" i="30"/>
  <c r="DX511" i="30"/>
  <c r="DY511" i="30"/>
  <c r="DZ511" i="30"/>
  <c r="EA511" i="30"/>
  <c r="EB511" i="30"/>
  <c r="EC511" i="30"/>
  <c r="ED511" i="30"/>
  <c r="EE511" i="30"/>
  <c r="EF511" i="30"/>
  <c r="EG511" i="30"/>
  <c r="EH511" i="30"/>
  <c r="EI511" i="30"/>
  <c r="EJ511" i="30"/>
  <c r="EK511" i="30"/>
  <c r="EL511" i="30"/>
  <c r="EM511" i="30"/>
  <c r="EN511" i="30"/>
  <c r="EO511" i="30"/>
  <c r="EP511" i="30"/>
  <c r="EQ511" i="30"/>
  <c r="ER511" i="30"/>
  <c r="ES511" i="30"/>
  <c r="ET511" i="30"/>
  <c r="EU511" i="30"/>
  <c r="EV511" i="30"/>
  <c r="EW511" i="30"/>
  <c r="EX511" i="30"/>
  <c r="EY511" i="30"/>
  <c r="EZ511" i="30"/>
  <c r="FA511" i="30"/>
  <c r="FB511" i="30"/>
  <c r="FC511" i="30"/>
  <c r="FD511" i="30"/>
  <c r="FE511" i="30"/>
  <c r="FF511" i="30"/>
  <c r="FG511" i="30"/>
  <c r="FH511" i="30"/>
  <c r="FI511" i="30"/>
  <c r="FJ511" i="30"/>
  <c r="FK511" i="30"/>
  <c r="FL511" i="30"/>
  <c r="FM511" i="30"/>
  <c r="FN511" i="30"/>
  <c r="FO511" i="30"/>
  <c r="FP511" i="30"/>
  <c r="FQ511" i="30"/>
  <c r="FR511" i="30"/>
  <c r="FS511" i="30"/>
  <c r="FT511" i="30"/>
  <c r="FU511" i="30"/>
  <c r="FV511" i="30"/>
  <c r="FW511" i="30"/>
  <c r="FX511" i="30"/>
  <c r="FY511" i="30"/>
  <c r="FZ511" i="30"/>
  <c r="GA511" i="30"/>
  <c r="GB511" i="30"/>
  <c r="GC511" i="30"/>
  <c r="GD511" i="30"/>
  <c r="GE511" i="30"/>
  <c r="GF511" i="30"/>
  <c r="GG511" i="30"/>
  <c r="GH511" i="30"/>
  <c r="GI511" i="30"/>
  <c r="GJ511" i="30"/>
  <c r="GK511" i="30"/>
  <c r="GL511" i="30"/>
  <c r="GM511" i="30"/>
  <c r="GN511" i="30"/>
  <c r="GO511" i="30"/>
  <c r="GP511" i="30"/>
  <c r="GQ511" i="30"/>
  <c r="GR511" i="30"/>
  <c r="GS511" i="30"/>
  <c r="GT511" i="30"/>
  <c r="GU511" i="30"/>
  <c r="GV511" i="30"/>
  <c r="GW511" i="30"/>
  <c r="GX511" i="30"/>
  <c r="GY511" i="30"/>
  <c r="GZ511" i="30"/>
  <c r="HA511" i="30"/>
  <c r="HB511" i="30"/>
  <c r="HC511" i="30"/>
  <c r="HD511" i="30"/>
  <c r="HE511" i="30"/>
  <c r="HF511" i="30"/>
  <c r="HG511" i="30"/>
  <c r="HH511" i="30"/>
  <c r="HI511" i="30"/>
  <c r="HJ511" i="30"/>
  <c r="HK511" i="30"/>
  <c r="HL511" i="30"/>
  <c r="HM511" i="30"/>
  <c r="HN511" i="30"/>
  <c r="HO511" i="30"/>
  <c r="HP511" i="30"/>
  <c r="HQ511" i="30"/>
  <c r="HR511" i="30"/>
  <c r="HS511" i="30"/>
  <c r="HT511" i="30"/>
  <c r="HU511" i="30"/>
  <c r="HV511" i="30"/>
  <c r="HW511" i="30"/>
  <c r="HX511" i="30"/>
  <c r="HY511" i="30"/>
  <c r="HZ511" i="30"/>
  <c r="IA511" i="30"/>
  <c r="IB511" i="30"/>
  <c r="IC511" i="30"/>
  <c r="ID511" i="30"/>
  <c r="IE511" i="30"/>
  <c r="IF511" i="30"/>
  <c r="IG511" i="30"/>
  <c r="IH511" i="30"/>
  <c r="II511" i="30"/>
  <c r="IJ511" i="30"/>
  <c r="IK511" i="30"/>
  <c r="IL511" i="30"/>
  <c r="IM511" i="30"/>
  <c r="IN511" i="30"/>
  <c r="IO511" i="30"/>
  <c r="IP511" i="30"/>
  <c r="IQ511" i="30"/>
  <c r="IR511" i="30"/>
  <c r="IS511" i="30"/>
  <c r="IT511" i="30"/>
  <c r="IU511" i="30"/>
  <c r="IV511" i="30"/>
  <c r="A510" i="30"/>
  <c r="B510" i="30"/>
  <c r="C510" i="30"/>
  <c r="D510" i="30"/>
  <c r="E510" i="30"/>
  <c r="F510" i="30"/>
  <c r="G510" i="30"/>
  <c r="H510" i="30"/>
  <c r="I510" i="30"/>
  <c r="J510" i="30"/>
  <c r="K510" i="30"/>
  <c r="L510" i="30"/>
  <c r="M510" i="30"/>
  <c r="N510" i="30"/>
  <c r="O510" i="30"/>
  <c r="P510" i="30"/>
  <c r="Q510" i="30"/>
  <c r="R510" i="30"/>
  <c r="S510" i="30"/>
  <c r="T510" i="30"/>
  <c r="U510" i="30"/>
  <c r="V510" i="30"/>
  <c r="W510" i="30"/>
  <c r="X510" i="30"/>
  <c r="Y510" i="30"/>
  <c r="Z510" i="30"/>
  <c r="AA510" i="30"/>
  <c r="AB510" i="30"/>
  <c r="AC510" i="30"/>
  <c r="AD510" i="30"/>
  <c r="AE510" i="30"/>
  <c r="AF510" i="30"/>
  <c r="AG510" i="30"/>
  <c r="AH510" i="30"/>
  <c r="AI510" i="30"/>
  <c r="AJ510" i="30"/>
  <c r="AK510" i="30"/>
  <c r="AL510" i="30"/>
  <c r="AM510" i="30"/>
  <c r="AN510" i="30"/>
  <c r="AO510" i="30"/>
  <c r="AP510" i="30"/>
  <c r="AQ510" i="30"/>
  <c r="AR510" i="30"/>
  <c r="AS510" i="30"/>
  <c r="AT510" i="30"/>
  <c r="AU510" i="30"/>
  <c r="AV510" i="30"/>
  <c r="AW510" i="30"/>
  <c r="AX510" i="30"/>
  <c r="AY510" i="30"/>
  <c r="AZ510" i="30"/>
  <c r="BA510" i="30"/>
  <c r="BB510" i="30"/>
  <c r="BC510" i="30"/>
  <c r="BD510" i="30"/>
  <c r="BE510" i="30"/>
  <c r="BF510" i="30"/>
  <c r="BG510" i="30"/>
  <c r="BH510" i="30"/>
  <c r="BI510" i="30"/>
  <c r="BJ510" i="30"/>
  <c r="BK510" i="30"/>
  <c r="BL510" i="30"/>
  <c r="BM510" i="30"/>
  <c r="BN510" i="30"/>
  <c r="BO510" i="30"/>
  <c r="BP510" i="30"/>
  <c r="BQ510" i="30"/>
  <c r="BR510" i="30"/>
  <c r="BS510" i="30"/>
  <c r="BT510" i="30"/>
  <c r="BU510" i="30"/>
  <c r="BV510" i="30"/>
  <c r="BW510" i="30"/>
  <c r="BX510" i="30"/>
  <c r="BY510" i="30"/>
  <c r="BZ510" i="30"/>
  <c r="CA510" i="30"/>
  <c r="CB510" i="30"/>
  <c r="CC510" i="30"/>
  <c r="CD510" i="30"/>
  <c r="CE510" i="30"/>
  <c r="CF510" i="30"/>
  <c r="CG510" i="30"/>
  <c r="CH510" i="30"/>
  <c r="CI510" i="30"/>
  <c r="CJ510" i="30"/>
  <c r="CK510" i="30"/>
  <c r="CL510" i="30"/>
  <c r="CM510" i="30"/>
  <c r="CN510" i="30"/>
  <c r="CO510" i="30"/>
  <c r="CP510" i="30"/>
  <c r="CQ510" i="30"/>
  <c r="CR510" i="30"/>
  <c r="CS510" i="30"/>
  <c r="CT510" i="30"/>
  <c r="CU510" i="30"/>
  <c r="CV510" i="30"/>
  <c r="CW510" i="30"/>
  <c r="CX510" i="30"/>
  <c r="CY510" i="30"/>
  <c r="CZ510" i="30"/>
  <c r="DA510" i="30"/>
  <c r="DB510" i="30"/>
  <c r="DC510" i="30"/>
  <c r="DD510" i="30"/>
  <c r="DE510" i="30"/>
  <c r="DF510" i="30"/>
  <c r="DG510" i="30"/>
  <c r="DH510" i="30"/>
  <c r="DI510" i="30"/>
  <c r="DJ510" i="30"/>
  <c r="DK510" i="30"/>
  <c r="DL510" i="30"/>
  <c r="DM510" i="30"/>
  <c r="DN510" i="30"/>
  <c r="DO510" i="30"/>
  <c r="DP510" i="30"/>
  <c r="DQ510" i="30"/>
  <c r="DR510" i="30"/>
  <c r="DS510" i="30"/>
  <c r="DT510" i="30"/>
  <c r="DU510" i="30"/>
  <c r="DV510" i="30"/>
  <c r="DW510" i="30"/>
  <c r="DX510" i="30"/>
  <c r="DY510" i="30"/>
  <c r="DZ510" i="30"/>
  <c r="EA510" i="30"/>
  <c r="EB510" i="30"/>
  <c r="EC510" i="30"/>
  <c r="ED510" i="30"/>
  <c r="EE510" i="30"/>
  <c r="EF510" i="30"/>
  <c r="EG510" i="30"/>
  <c r="EH510" i="30"/>
  <c r="EI510" i="30"/>
  <c r="EJ510" i="30"/>
  <c r="EK510" i="30"/>
  <c r="EL510" i="30"/>
  <c r="EM510" i="30"/>
  <c r="EN510" i="30"/>
  <c r="EO510" i="30"/>
  <c r="EP510" i="30"/>
  <c r="EQ510" i="30"/>
  <c r="ER510" i="30"/>
  <c r="ES510" i="30"/>
  <c r="ET510" i="30"/>
  <c r="EU510" i="30"/>
  <c r="EV510" i="30"/>
  <c r="EW510" i="30"/>
  <c r="EX510" i="30"/>
  <c r="EY510" i="30"/>
  <c r="EZ510" i="30"/>
  <c r="FA510" i="30"/>
  <c r="FB510" i="30"/>
  <c r="FC510" i="30"/>
  <c r="FD510" i="30"/>
  <c r="FE510" i="30"/>
  <c r="FF510" i="30"/>
  <c r="FG510" i="30"/>
  <c r="FH510" i="30"/>
  <c r="FI510" i="30"/>
  <c r="FJ510" i="30"/>
  <c r="FK510" i="30"/>
  <c r="FL510" i="30"/>
  <c r="FM510" i="30"/>
  <c r="FN510" i="30"/>
  <c r="FO510" i="30"/>
  <c r="FP510" i="30"/>
  <c r="FQ510" i="30"/>
  <c r="FR510" i="30"/>
  <c r="FS510" i="30"/>
  <c r="FT510" i="30"/>
  <c r="FU510" i="30"/>
  <c r="FV510" i="30"/>
  <c r="FW510" i="30"/>
  <c r="FX510" i="30"/>
  <c r="FY510" i="30"/>
  <c r="FZ510" i="30"/>
  <c r="GA510" i="30"/>
  <c r="GB510" i="30"/>
  <c r="GC510" i="30"/>
  <c r="GD510" i="30"/>
  <c r="GE510" i="30"/>
  <c r="GF510" i="30"/>
  <c r="GG510" i="30"/>
  <c r="GH510" i="30"/>
  <c r="GI510" i="30"/>
  <c r="GJ510" i="30"/>
  <c r="GK510" i="30"/>
  <c r="GL510" i="30"/>
  <c r="GM510" i="30"/>
  <c r="GN510" i="30"/>
  <c r="GO510" i="30"/>
  <c r="GP510" i="30"/>
  <c r="GQ510" i="30"/>
  <c r="GR510" i="30"/>
  <c r="GS510" i="30"/>
  <c r="GT510" i="30"/>
  <c r="GU510" i="30"/>
  <c r="GV510" i="30"/>
  <c r="GW510" i="30"/>
  <c r="GX510" i="30"/>
  <c r="GY510" i="30"/>
  <c r="GZ510" i="30"/>
  <c r="HA510" i="30"/>
  <c r="HB510" i="30"/>
  <c r="HC510" i="30"/>
  <c r="HD510" i="30"/>
  <c r="HE510" i="30"/>
  <c r="HF510" i="30"/>
  <c r="HG510" i="30"/>
  <c r="HH510" i="30"/>
  <c r="HI510" i="30"/>
  <c r="HJ510" i="30"/>
  <c r="HK510" i="30"/>
  <c r="HL510" i="30"/>
  <c r="HM510" i="30"/>
  <c r="HN510" i="30"/>
  <c r="HO510" i="30"/>
  <c r="HP510" i="30"/>
  <c r="HQ510" i="30"/>
  <c r="HR510" i="30"/>
  <c r="HS510" i="30"/>
  <c r="HT510" i="30"/>
  <c r="HU510" i="30"/>
  <c r="HV510" i="30"/>
  <c r="HW510" i="30"/>
  <c r="HX510" i="30"/>
  <c r="HY510" i="30"/>
  <c r="HZ510" i="30"/>
  <c r="IA510" i="30"/>
  <c r="IB510" i="30"/>
  <c r="IC510" i="30"/>
  <c r="ID510" i="30"/>
  <c r="IE510" i="30"/>
  <c r="IF510" i="30"/>
  <c r="IG510" i="30"/>
  <c r="IH510" i="30"/>
  <c r="II510" i="30"/>
  <c r="IJ510" i="30"/>
  <c r="IK510" i="30"/>
  <c r="IL510" i="30"/>
  <c r="IM510" i="30"/>
  <c r="IN510" i="30"/>
  <c r="IO510" i="30"/>
  <c r="IP510" i="30"/>
  <c r="IQ510" i="30"/>
  <c r="IR510" i="30"/>
  <c r="IS510" i="30"/>
  <c r="IT510" i="30"/>
  <c r="IU510" i="30"/>
  <c r="IV510" i="30"/>
  <c r="A509" i="30"/>
  <c r="B509" i="30"/>
  <c r="C509" i="30"/>
  <c r="D509" i="30"/>
  <c r="E509" i="30"/>
  <c r="F509" i="30"/>
  <c r="G509" i="30"/>
  <c r="H509" i="30"/>
  <c r="I509" i="30"/>
  <c r="J509" i="30"/>
  <c r="K509" i="30"/>
  <c r="L509" i="30"/>
  <c r="M509" i="30"/>
  <c r="N509" i="30"/>
  <c r="O509" i="30"/>
  <c r="P509" i="30"/>
  <c r="Q509" i="30"/>
  <c r="R509" i="30"/>
  <c r="S509" i="30"/>
  <c r="T509" i="30"/>
  <c r="U509" i="30"/>
  <c r="V509" i="30"/>
  <c r="W509" i="30"/>
  <c r="X509" i="30"/>
  <c r="Y509" i="30"/>
  <c r="Z509" i="30"/>
  <c r="AA509" i="30"/>
  <c r="AB509" i="30"/>
  <c r="AC509" i="30"/>
  <c r="AD509" i="30"/>
  <c r="AE509" i="30"/>
  <c r="AF509" i="30"/>
  <c r="AG509" i="30"/>
  <c r="AH509" i="30"/>
  <c r="AI509" i="30"/>
  <c r="AJ509" i="30"/>
  <c r="AK509" i="30"/>
  <c r="AL509" i="30"/>
  <c r="AM509" i="30"/>
  <c r="AN509" i="30"/>
  <c r="AO509" i="30"/>
  <c r="AP509" i="30"/>
  <c r="AQ509" i="30"/>
  <c r="AR509" i="30"/>
  <c r="AS509" i="30"/>
  <c r="AT509" i="30"/>
  <c r="AU509" i="30"/>
  <c r="AV509" i="30"/>
  <c r="AW509" i="30"/>
  <c r="AX509" i="30"/>
  <c r="AY509" i="30"/>
  <c r="AZ509" i="30"/>
  <c r="BA509" i="30"/>
  <c r="BB509" i="30"/>
  <c r="BC509" i="30"/>
  <c r="BD509" i="30"/>
  <c r="BE509" i="30"/>
  <c r="BF509" i="30"/>
  <c r="BG509" i="30"/>
  <c r="BH509" i="30"/>
  <c r="BI509" i="30"/>
  <c r="BJ509" i="30"/>
  <c r="BK509" i="30"/>
  <c r="BL509" i="30"/>
  <c r="BM509" i="30"/>
  <c r="BN509" i="30"/>
  <c r="BO509" i="30"/>
  <c r="BP509" i="30"/>
  <c r="BQ509" i="30"/>
  <c r="BR509" i="30"/>
  <c r="BS509" i="30"/>
  <c r="BT509" i="30"/>
  <c r="BU509" i="30"/>
  <c r="BV509" i="30"/>
  <c r="BW509" i="30"/>
  <c r="BX509" i="30"/>
  <c r="BY509" i="30"/>
  <c r="BZ509" i="30"/>
  <c r="CA509" i="30"/>
  <c r="CB509" i="30"/>
  <c r="CC509" i="30"/>
  <c r="CD509" i="30"/>
  <c r="CE509" i="30"/>
  <c r="CF509" i="30"/>
  <c r="CG509" i="30"/>
  <c r="CH509" i="30"/>
  <c r="CI509" i="30"/>
  <c r="CJ509" i="30"/>
  <c r="CK509" i="30"/>
  <c r="CL509" i="30"/>
  <c r="CM509" i="30"/>
  <c r="CN509" i="30"/>
  <c r="CO509" i="30"/>
  <c r="CP509" i="30"/>
  <c r="CQ509" i="30"/>
  <c r="CR509" i="30"/>
  <c r="CS509" i="30"/>
  <c r="CT509" i="30"/>
  <c r="CU509" i="30"/>
  <c r="CV509" i="30"/>
  <c r="CW509" i="30"/>
  <c r="CX509" i="30"/>
  <c r="CY509" i="30"/>
  <c r="CZ509" i="30"/>
  <c r="DA509" i="30"/>
  <c r="DB509" i="30"/>
  <c r="DC509" i="30"/>
  <c r="DD509" i="30"/>
  <c r="DE509" i="30"/>
  <c r="DF509" i="30"/>
  <c r="DG509" i="30"/>
  <c r="DH509" i="30"/>
  <c r="DI509" i="30"/>
  <c r="DJ509" i="30"/>
  <c r="DK509" i="30"/>
  <c r="DL509" i="30"/>
  <c r="DM509" i="30"/>
  <c r="DN509" i="30"/>
  <c r="DO509" i="30"/>
  <c r="DP509" i="30"/>
  <c r="DQ509" i="30"/>
  <c r="DR509" i="30"/>
  <c r="DS509" i="30"/>
  <c r="DT509" i="30"/>
  <c r="DU509" i="30"/>
  <c r="DV509" i="30"/>
  <c r="DW509" i="30"/>
  <c r="DX509" i="30"/>
  <c r="DY509" i="30"/>
  <c r="DZ509" i="30"/>
  <c r="EA509" i="30"/>
  <c r="EB509" i="30"/>
  <c r="EC509" i="30"/>
  <c r="ED509" i="30"/>
  <c r="EE509" i="30"/>
  <c r="EF509" i="30"/>
  <c r="EG509" i="30"/>
  <c r="EH509" i="30"/>
  <c r="EI509" i="30"/>
  <c r="EJ509" i="30"/>
  <c r="EK509" i="30"/>
  <c r="EL509" i="30"/>
  <c r="EM509" i="30"/>
  <c r="EN509" i="30"/>
  <c r="EO509" i="30"/>
  <c r="EP509" i="30"/>
  <c r="EQ509" i="30"/>
  <c r="ER509" i="30"/>
  <c r="ES509" i="30"/>
  <c r="ET509" i="30"/>
  <c r="EU509" i="30"/>
  <c r="EV509" i="30"/>
  <c r="EW509" i="30"/>
  <c r="EX509" i="30"/>
  <c r="EY509" i="30"/>
  <c r="EZ509" i="30"/>
  <c r="FA509" i="30"/>
  <c r="FB509" i="30"/>
  <c r="FC509" i="30"/>
  <c r="FD509" i="30"/>
  <c r="FE509" i="30"/>
  <c r="FF509" i="30"/>
  <c r="FG509" i="30"/>
  <c r="FH509" i="30"/>
  <c r="FI509" i="30"/>
  <c r="FJ509" i="30"/>
  <c r="FK509" i="30"/>
  <c r="FL509" i="30"/>
  <c r="FM509" i="30"/>
  <c r="FN509" i="30"/>
  <c r="FO509" i="30"/>
  <c r="FP509" i="30"/>
  <c r="FQ509" i="30"/>
  <c r="FR509" i="30"/>
  <c r="FS509" i="30"/>
  <c r="FT509" i="30"/>
  <c r="FU509" i="30"/>
  <c r="FV509" i="30"/>
  <c r="FW509" i="30"/>
  <c r="FX509" i="30"/>
  <c r="FY509" i="30"/>
  <c r="FZ509" i="30"/>
  <c r="GA509" i="30"/>
  <c r="GB509" i="30"/>
  <c r="GC509" i="30"/>
  <c r="GD509" i="30"/>
  <c r="GE509" i="30"/>
  <c r="GF509" i="30"/>
  <c r="GG509" i="30"/>
  <c r="GH509" i="30"/>
  <c r="GI509" i="30"/>
  <c r="GJ509" i="30"/>
  <c r="GK509" i="30"/>
  <c r="GL509" i="30"/>
  <c r="GM509" i="30"/>
  <c r="GN509" i="30"/>
  <c r="GO509" i="30"/>
  <c r="GP509" i="30"/>
  <c r="GQ509" i="30"/>
  <c r="GR509" i="30"/>
  <c r="GS509" i="30"/>
  <c r="GT509" i="30"/>
  <c r="GU509" i="30"/>
  <c r="GV509" i="30"/>
  <c r="GW509" i="30"/>
  <c r="GX509" i="30"/>
  <c r="GY509" i="30"/>
  <c r="GZ509" i="30"/>
  <c r="HA509" i="30"/>
  <c r="HB509" i="30"/>
  <c r="HC509" i="30"/>
  <c r="HD509" i="30"/>
  <c r="HE509" i="30"/>
  <c r="HF509" i="30"/>
  <c r="HG509" i="30"/>
  <c r="HH509" i="30"/>
  <c r="HI509" i="30"/>
  <c r="HJ509" i="30"/>
  <c r="HK509" i="30"/>
  <c r="HL509" i="30"/>
  <c r="HM509" i="30"/>
  <c r="HN509" i="30"/>
  <c r="HO509" i="30"/>
  <c r="HP509" i="30"/>
  <c r="HQ509" i="30"/>
  <c r="HR509" i="30"/>
  <c r="HS509" i="30"/>
  <c r="HT509" i="30"/>
  <c r="HU509" i="30"/>
  <c r="HV509" i="30"/>
  <c r="HW509" i="30"/>
  <c r="HX509" i="30"/>
  <c r="HY509" i="30"/>
  <c r="HZ509" i="30"/>
  <c r="IA509" i="30"/>
  <c r="IB509" i="30"/>
  <c r="IC509" i="30"/>
  <c r="ID509" i="30"/>
  <c r="IE509" i="30"/>
  <c r="IF509" i="30"/>
  <c r="IG509" i="30"/>
  <c r="IH509" i="30"/>
  <c r="II509" i="30"/>
  <c r="IJ509" i="30"/>
  <c r="IK509" i="30"/>
  <c r="IL509" i="30"/>
  <c r="IM509" i="30"/>
  <c r="IN509" i="30"/>
  <c r="IO509" i="30"/>
  <c r="IP509" i="30"/>
  <c r="IQ509" i="30"/>
  <c r="IR509" i="30"/>
  <c r="IS509" i="30"/>
  <c r="IT509" i="30"/>
  <c r="IU509" i="30"/>
  <c r="IV509" i="30"/>
  <c r="A508" i="30"/>
  <c r="B508" i="30"/>
  <c r="C508" i="30"/>
  <c r="D508" i="30"/>
  <c r="E508" i="30"/>
  <c r="F508" i="30"/>
  <c r="G508" i="30"/>
  <c r="H508" i="30"/>
  <c r="I508" i="30"/>
  <c r="J508" i="30"/>
  <c r="K508" i="30"/>
  <c r="L508" i="30"/>
  <c r="M508" i="30"/>
  <c r="N508" i="30"/>
  <c r="O508" i="30"/>
  <c r="P508" i="30"/>
  <c r="Q508" i="30"/>
  <c r="R508" i="30"/>
  <c r="S508" i="30"/>
  <c r="T508" i="30"/>
  <c r="U508" i="30"/>
  <c r="V508" i="30"/>
  <c r="W508" i="30"/>
  <c r="X508" i="30"/>
  <c r="Y508" i="30"/>
  <c r="Z508" i="30"/>
  <c r="AA508" i="30"/>
  <c r="AB508" i="30"/>
  <c r="AC508" i="30"/>
  <c r="AD508" i="30"/>
  <c r="AE508" i="30"/>
  <c r="AF508" i="30"/>
  <c r="AG508" i="30"/>
  <c r="AH508" i="30"/>
  <c r="AI508" i="30"/>
  <c r="AJ508" i="30"/>
  <c r="AK508" i="30"/>
  <c r="AL508" i="30"/>
  <c r="AM508" i="30"/>
  <c r="AN508" i="30"/>
  <c r="AO508" i="30"/>
  <c r="AP508" i="30"/>
  <c r="AQ508" i="30"/>
  <c r="AR508" i="30"/>
  <c r="AS508" i="30"/>
  <c r="AT508" i="30"/>
  <c r="AU508" i="30"/>
  <c r="AV508" i="30"/>
  <c r="AW508" i="30"/>
  <c r="AX508" i="30"/>
  <c r="AY508" i="30"/>
  <c r="AZ508" i="30"/>
  <c r="BA508" i="30"/>
  <c r="BB508" i="30"/>
  <c r="BC508" i="30"/>
  <c r="BD508" i="30"/>
  <c r="BE508" i="30"/>
  <c r="BF508" i="30"/>
  <c r="BG508" i="30"/>
  <c r="BH508" i="30"/>
  <c r="BI508" i="30"/>
  <c r="BJ508" i="30"/>
  <c r="BK508" i="30"/>
  <c r="BL508" i="30"/>
  <c r="BM508" i="30"/>
  <c r="BN508" i="30"/>
  <c r="BO508" i="30"/>
  <c r="BP508" i="30"/>
  <c r="BQ508" i="30"/>
  <c r="BR508" i="30"/>
  <c r="BS508" i="30"/>
  <c r="BT508" i="30"/>
  <c r="BU508" i="30"/>
  <c r="BV508" i="30"/>
  <c r="BW508" i="30"/>
  <c r="BX508" i="30"/>
  <c r="BY508" i="30"/>
  <c r="BZ508" i="30"/>
  <c r="CA508" i="30"/>
  <c r="CB508" i="30"/>
  <c r="CC508" i="30"/>
  <c r="CD508" i="30"/>
  <c r="CE508" i="30"/>
  <c r="CF508" i="30"/>
  <c r="CG508" i="30"/>
  <c r="CH508" i="30"/>
  <c r="CI508" i="30"/>
  <c r="CJ508" i="30"/>
  <c r="CK508" i="30"/>
  <c r="CL508" i="30"/>
  <c r="CM508" i="30"/>
  <c r="CN508" i="30"/>
  <c r="CO508" i="30"/>
  <c r="CP508" i="30"/>
  <c r="CQ508" i="30"/>
  <c r="CR508" i="30"/>
  <c r="CS508" i="30"/>
  <c r="CT508" i="30"/>
  <c r="CU508" i="30"/>
  <c r="CV508" i="30"/>
  <c r="CW508" i="30"/>
  <c r="CX508" i="30"/>
  <c r="CY508" i="30"/>
  <c r="CZ508" i="30"/>
  <c r="DA508" i="30"/>
  <c r="DB508" i="30"/>
  <c r="DC508" i="30"/>
  <c r="DD508" i="30"/>
  <c r="DE508" i="30"/>
  <c r="DF508" i="30"/>
  <c r="DG508" i="30"/>
  <c r="DH508" i="30"/>
  <c r="DI508" i="30"/>
  <c r="DJ508" i="30"/>
  <c r="DK508" i="30"/>
  <c r="DL508" i="30"/>
  <c r="DM508" i="30"/>
  <c r="DN508" i="30"/>
  <c r="DO508" i="30"/>
  <c r="DP508" i="30"/>
  <c r="DQ508" i="30"/>
  <c r="DR508" i="30"/>
  <c r="DS508" i="30"/>
  <c r="DT508" i="30"/>
  <c r="DU508" i="30"/>
  <c r="DV508" i="30"/>
  <c r="DW508" i="30"/>
  <c r="DX508" i="30"/>
  <c r="DY508" i="30"/>
  <c r="DZ508" i="30"/>
  <c r="EA508" i="30"/>
  <c r="EB508" i="30"/>
  <c r="EC508" i="30"/>
  <c r="ED508" i="30"/>
  <c r="EE508" i="30"/>
  <c r="EF508" i="30"/>
  <c r="EG508" i="30"/>
  <c r="EH508" i="30"/>
  <c r="EI508" i="30"/>
  <c r="EJ508" i="30"/>
  <c r="EK508" i="30"/>
  <c r="EL508" i="30"/>
  <c r="EM508" i="30"/>
  <c r="EN508" i="30"/>
  <c r="EO508" i="30"/>
  <c r="EP508" i="30"/>
  <c r="EQ508" i="30"/>
  <c r="ER508" i="30"/>
  <c r="ES508" i="30"/>
  <c r="ET508" i="30"/>
  <c r="EU508" i="30"/>
  <c r="EV508" i="30"/>
  <c r="EW508" i="30"/>
  <c r="EX508" i="30"/>
  <c r="EY508" i="30"/>
  <c r="EZ508" i="30"/>
  <c r="FA508" i="30"/>
  <c r="FB508" i="30"/>
  <c r="FC508" i="30"/>
  <c r="FD508" i="30"/>
  <c r="FE508" i="30"/>
  <c r="FF508" i="30"/>
  <c r="FG508" i="30"/>
  <c r="FH508" i="30"/>
  <c r="FI508" i="30"/>
  <c r="FJ508" i="30"/>
  <c r="FK508" i="30"/>
  <c r="FL508" i="30"/>
  <c r="FM508" i="30"/>
  <c r="FN508" i="30"/>
  <c r="FO508" i="30"/>
  <c r="FP508" i="30"/>
  <c r="FQ508" i="30"/>
  <c r="FR508" i="30"/>
  <c r="FS508" i="30"/>
  <c r="FT508" i="30"/>
  <c r="FU508" i="30"/>
  <c r="FV508" i="30"/>
  <c r="FW508" i="30"/>
  <c r="FX508" i="30"/>
  <c r="FY508" i="30"/>
  <c r="FZ508" i="30"/>
  <c r="GA508" i="30"/>
  <c r="GB508" i="30"/>
  <c r="GC508" i="30"/>
  <c r="GD508" i="30"/>
  <c r="GE508" i="30"/>
  <c r="GF508" i="30"/>
  <c r="GG508" i="30"/>
  <c r="GH508" i="30"/>
  <c r="GI508" i="30"/>
  <c r="GJ508" i="30"/>
  <c r="GK508" i="30"/>
  <c r="GL508" i="30"/>
  <c r="GM508" i="30"/>
  <c r="GN508" i="30"/>
  <c r="GO508" i="30"/>
  <c r="GP508" i="30"/>
  <c r="GQ508" i="30"/>
  <c r="GR508" i="30"/>
  <c r="GS508" i="30"/>
  <c r="GT508" i="30"/>
  <c r="GU508" i="30"/>
  <c r="GV508" i="30"/>
  <c r="GW508" i="30"/>
  <c r="GX508" i="30"/>
  <c r="GY508" i="30"/>
  <c r="GZ508" i="30"/>
  <c r="HA508" i="30"/>
  <c r="HB508" i="30"/>
  <c r="HC508" i="30"/>
  <c r="HD508" i="30"/>
  <c r="HE508" i="30"/>
  <c r="HF508" i="30"/>
  <c r="HG508" i="30"/>
  <c r="HH508" i="30"/>
  <c r="HI508" i="30"/>
  <c r="HJ508" i="30"/>
  <c r="HK508" i="30"/>
  <c r="HL508" i="30"/>
  <c r="HM508" i="30"/>
  <c r="HN508" i="30"/>
  <c r="HO508" i="30"/>
  <c r="HP508" i="30"/>
  <c r="HQ508" i="30"/>
  <c r="HR508" i="30"/>
  <c r="HS508" i="30"/>
  <c r="HT508" i="30"/>
  <c r="HU508" i="30"/>
  <c r="HV508" i="30"/>
  <c r="HW508" i="30"/>
  <c r="HX508" i="30"/>
  <c r="HY508" i="30"/>
  <c r="HZ508" i="30"/>
  <c r="IA508" i="30"/>
  <c r="IB508" i="30"/>
  <c r="IC508" i="30"/>
  <c r="ID508" i="30"/>
  <c r="IE508" i="30"/>
  <c r="IF508" i="30"/>
  <c r="IG508" i="30"/>
  <c r="IH508" i="30"/>
  <c r="II508" i="30"/>
  <c r="IJ508" i="30"/>
  <c r="IK508" i="30"/>
  <c r="IL508" i="30"/>
  <c r="IM508" i="30"/>
  <c r="IN508" i="30"/>
  <c r="IO508" i="30"/>
  <c r="IP508" i="30"/>
  <c r="IQ508" i="30"/>
  <c r="IR508" i="30"/>
  <c r="IS508" i="30"/>
  <c r="IT508" i="30"/>
  <c r="IU508" i="30"/>
  <c r="IV508" i="30"/>
  <c r="A507" i="30"/>
  <c r="B507" i="30"/>
  <c r="C507" i="30"/>
  <c r="D507" i="30"/>
  <c r="E507" i="30"/>
  <c r="F507" i="30"/>
  <c r="G507" i="30"/>
  <c r="H507" i="30"/>
  <c r="I507" i="30"/>
  <c r="J507" i="30"/>
  <c r="K507" i="30"/>
  <c r="L507" i="30"/>
  <c r="M507" i="30"/>
  <c r="N507" i="30"/>
  <c r="O507" i="30"/>
  <c r="P507" i="30"/>
  <c r="Q507" i="30"/>
  <c r="R507" i="30"/>
  <c r="S507" i="30"/>
  <c r="T507" i="30"/>
  <c r="U507" i="30"/>
  <c r="V507" i="30"/>
  <c r="W507" i="30"/>
  <c r="X507" i="30"/>
  <c r="Y507" i="30"/>
  <c r="Z507" i="30"/>
  <c r="AA507" i="30"/>
  <c r="AB507" i="30"/>
  <c r="AC507" i="30"/>
  <c r="AD507" i="30"/>
  <c r="AE507" i="30"/>
  <c r="AF507" i="30"/>
  <c r="AG507" i="30"/>
  <c r="AH507" i="30"/>
  <c r="AI507" i="30"/>
  <c r="AJ507" i="30"/>
  <c r="AK507" i="30"/>
  <c r="AL507" i="30"/>
  <c r="AM507" i="30"/>
  <c r="AN507" i="30"/>
  <c r="AO507" i="30"/>
  <c r="AP507" i="30"/>
  <c r="AQ507" i="30"/>
  <c r="AR507" i="30"/>
  <c r="AS507" i="30"/>
  <c r="AT507" i="30"/>
  <c r="AU507" i="30"/>
  <c r="AV507" i="30"/>
  <c r="AW507" i="30"/>
  <c r="AX507" i="30"/>
  <c r="AY507" i="30"/>
  <c r="AZ507" i="30"/>
  <c r="BA507" i="30"/>
  <c r="BB507" i="30"/>
  <c r="BC507" i="30"/>
  <c r="BD507" i="30"/>
  <c r="BE507" i="30"/>
  <c r="BF507" i="30"/>
  <c r="BG507" i="30"/>
  <c r="BH507" i="30"/>
  <c r="BI507" i="30"/>
  <c r="BJ507" i="30"/>
  <c r="BK507" i="30"/>
  <c r="BL507" i="30"/>
  <c r="BM507" i="30"/>
  <c r="BN507" i="30"/>
  <c r="BO507" i="30"/>
  <c r="BP507" i="30"/>
  <c r="BQ507" i="30"/>
  <c r="BR507" i="30"/>
  <c r="BS507" i="30"/>
  <c r="BT507" i="30"/>
  <c r="BU507" i="30"/>
  <c r="BV507" i="30"/>
  <c r="BW507" i="30"/>
  <c r="BX507" i="30"/>
  <c r="BY507" i="30"/>
  <c r="BZ507" i="30"/>
  <c r="CA507" i="30"/>
  <c r="CB507" i="30"/>
  <c r="CC507" i="30"/>
  <c r="CD507" i="30"/>
  <c r="CE507" i="30"/>
  <c r="CF507" i="30"/>
  <c r="CG507" i="30"/>
  <c r="CH507" i="30"/>
  <c r="CI507" i="30"/>
  <c r="CJ507" i="30"/>
  <c r="CK507" i="30"/>
  <c r="CL507" i="30"/>
  <c r="CM507" i="30"/>
  <c r="CN507" i="30"/>
  <c r="CO507" i="30"/>
  <c r="CP507" i="30"/>
  <c r="CQ507" i="30"/>
  <c r="CR507" i="30"/>
  <c r="CS507" i="30"/>
  <c r="CT507" i="30"/>
  <c r="CU507" i="30"/>
  <c r="CV507" i="30"/>
  <c r="CW507" i="30"/>
  <c r="CX507" i="30"/>
  <c r="CY507" i="30"/>
  <c r="CZ507" i="30"/>
  <c r="DA507" i="30"/>
  <c r="DB507" i="30"/>
  <c r="DC507" i="30"/>
  <c r="DD507" i="30"/>
  <c r="DE507" i="30"/>
  <c r="DF507" i="30"/>
  <c r="DG507" i="30"/>
  <c r="DH507" i="30"/>
  <c r="DI507" i="30"/>
  <c r="DJ507" i="30"/>
  <c r="DK507" i="30"/>
  <c r="DL507" i="30"/>
  <c r="DM507" i="30"/>
  <c r="DN507" i="30"/>
  <c r="DO507" i="30"/>
  <c r="DP507" i="30"/>
  <c r="DQ507" i="30"/>
  <c r="DR507" i="30"/>
  <c r="DS507" i="30"/>
  <c r="DT507" i="30"/>
  <c r="DU507" i="30"/>
  <c r="DV507" i="30"/>
  <c r="DW507" i="30"/>
  <c r="DX507" i="30"/>
  <c r="DY507" i="30"/>
  <c r="DZ507" i="30"/>
  <c r="EA507" i="30"/>
  <c r="EB507" i="30"/>
  <c r="EC507" i="30"/>
  <c r="ED507" i="30"/>
  <c r="EE507" i="30"/>
  <c r="EF507" i="30"/>
  <c r="EG507" i="30"/>
  <c r="EH507" i="30"/>
  <c r="EI507" i="30"/>
  <c r="EJ507" i="30"/>
  <c r="EK507" i="30"/>
  <c r="EL507" i="30"/>
  <c r="EM507" i="30"/>
  <c r="EN507" i="30"/>
  <c r="EO507" i="30"/>
  <c r="EP507" i="30"/>
  <c r="EQ507" i="30"/>
  <c r="ER507" i="30"/>
  <c r="ES507" i="30"/>
  <c r="ET507" i="30"/>
  <c r="EU507" i="30"/>
  <c r="EV507" i="30"/>
  <c r="EW507" i="30"/>
  <c r="EX507" i="30"/>
  <c r="EY507" i="30"/>
  <c r="EZ507" i="30"/>
  <c r="FA507" i="30"/>
  <c r="FB507" i="30"/>
  <c r="FC507" i="30"/>
  <c r="FD507" i="30"/>
  <c r="FE507" i="30"/>
  <c r="FF507" i="30"/>
  <c r="FG507" i="30"/>
  <c r="FH507" i="30"/>
  <c r="FI507" i="30"/>
  <c r="FJ507" i="30"/>
  <c r="FK507" i="30"/>
  <c r="FL507" i="30"/>
  <c r="FM507" i="30"/>
  <c r="FN507" i="30"/>
  <c r="FO507" i="30"/>
  <c r="FP507" i="30"/>
  <c r="FQ507" i="30"/>
  <c r="FR507" i="30"/>
  <c r="FS507" i="30"/>
  <c r="FT507" i="30"/>
  <c r="FU507" i="30"/>
  <c r="FV507" i="30"/>
  <c r="FW507" i="30"/>
  <c r="FX507" i="30"/>
  <c r="FY507" i="30"/>
  <c r="FZ507" i="30"/>
  <c r="GA507" i="30"/>
  <c r="GB507" i="30"/>
  <c r="GC507" i="30"/>
  <c r="GD507" i="30"/>
  <c r="GE507" i="30"/>
  <c r="GF507" i="30"/>
  <c r="GG507" i="30"/>
  <c r="GH507" i="30"/>
  <c r="GI507" i="30"/>
  <c r="GJ507" i="30"/>
  <c r="GK507" i="30"/>
  <c r="GL507" i="30"/>
  <c r="GM507" i="30"/>
  <c r="GN507" i="30"/>
  <c r="GO507" i="30"/>
  <c r="GP507" i="30"/>
  <c r="GQ507" i="30"/>
  <c r="GR507" i="30"/>
  <c r="GS507" i="30"/>
  <c r="GT507" i="30"/>
  <c r="GU507" i="30"/>
  <c r="GV507" i="30"/>
  <c r="GW507" i="30"/>
  <c r="GX507" i="30"/>
  <c r="GY507" i="30"/>
  <c r="GZ507" i="30"/>
  <c r="HA507" i="30"/>
  <c r="HB507" i="30"/>
  <c r="HC507" i="30"/>
  <c r="HD507" i="30"/>
  <c r="HE507" i="30"/>
  <c r="HF507" i="30"/>
  <c r="HG507" i="30"/>
  <c r="HH507" i="30"/>
  <c r="HI507" i="30"/>
  <c r="HJ507" i="30"/>
  <c r="HK507" i="30"/>
  <c r="HL507" i="30"/>
  <c r="HM507" i="30"/>
  <c r="HN507" i="30"/>
  <c r="HO507" i="30"/>
  <c r="HP507" i="30"/>
  <c r="HQ507" i="30"/>
  <c r="HR507" i="30"/>
  <c r="HS507" i="30"/>
  <c r="HT507" i="30"/>
  <c r="HU507" i="30"/>
  <c r="HV507" i="30"/>
  <c r="HW507" i="30"/>
  <c r="HX507" i="30"/>
  <c r="HY507" i="30"/>
  <c r="HZ507" i="30"/>
  <c r="IA507" i="30"/>
  <c r="IB507" i="30"/>
  <c r="IC507" i="30"/>
  <c r="ID507" i="30"/>
  <c r="IE507" i="30"/>
  <c r="IF507" i="30"/>
  <c r="IG507" i="30"/>
  <c r="IH507" i="30"/>
  <c r="II507" i="30"/>
  <c r="IJ507" i="30"/>
  <c r="IK507" i="30"/>
  <c r="IL507" i="30"/>
  <c r="IM507" i="30"/>
  <c r="IN507" i="30"/>
  <c r="IO507" i="30"/>
  <c r="IP507" i="30"/>
  <c r="IQ507" i="30"/>
  <c r="IR507" i="30"/>
  <c r="IS507" i="30"/>
  <c r="IT507" i="30"/>
  <c r="IU507" i="30"/>
  <c r="IV507" i="30"/>
  <c r="A506" i="30"/>
  <c r="B506" i="30"/>
  <c r="C506" i="30"/>
  <c r="D506" i="30"/>
  <c r="E506" i="30"/>
  <c r="F506" i="30"/>
  <c r="G506" i="30"/>
  <c r="H506" i="30"/>
  <c r="I506" i="30"/>
  <c r="J506" i="30"/>
  <c r="K506" i="30"/>
  <c r="L506" i="30"/>
  <c r="M506" i="30"/>
  <c r="N506" i="30"/>
  <c r="O506" i="30"/>
  <c r="P506" i="30"/>
  <c r="Q506" i="30"/>
  <c r="R506" i="30"/>
  <c r="S506" i="30"/>
  <c r="T506" i="30"/>
  <c r="U506" i="30"/>
  <c r="V506" i="30"/>
  <c r="W506" i="30"/>
  <c r="X506" i="30"/>
  <c r="Y506" i="30"/>
  <c r="Z506" i="30"/>
  <c r="AA506" i="30"/>
  <c r="AB506" i="30"/>
  <c r="AC506" i="30"/>
  <c r="AD506" i="30"/>
  <c r="AE506" i="30"/>
  <c r="AF506" i="30"/>
  <c r="AG506" i="30"/>
  <c r="AH506" i="30"/>
  <c r="AI506" i="30"/>
  <c r="AJ506" i="30"/>
  <c r="AK506" i="30"/>
  <c r="AL506" i="30"/>
  <c r="AM506" i="30"/>
  <c r="AN506" i="30"/>
  <c r="AO506" i="30"/>
  <c r="AP506" i="30"/>
  <c r="AQ506" i="30"/>
  <c r="AR506" i="30"/>
  <c r="AS506" i="30"/>
  <c r="AT506" i="30"/>
  <c r="AU506" i="30"/>
  <c r="AV506" i="30"/>
  <c r="AW506" i="30"/>
  <c r="AX506" i="30"/>
  <c r="AY506" i="30"/>
  <c r="AZ506" i="30"/>
  <c r="BA506" i="30"/>
  <c r="BB506" i="30"/>
  <c r="BC506" i="30"/>
  <c r="BD506" i="30"/>
  <c r="BE506" i="30"/>
  <c r="BF506" i="30"/>
  <c r="BG506" i="30"/>
  <c r="BH506" i="30"/>
  <c r="BI506" i="30"/>
  <c r="BJ506" i="30"/>
  <c r="BK506" i="30"/>
  <c r="BL506" i="30"/>
  <c r="BM506" i="30"/>
  <c r="BN506" i="30"/>
  <c r="BO506" i="30"/>
  <c r="BP506" i="30"/>
  <c r="BQ506" i="30"/>
  <c r="BR506" i="30"/>
  <c r="BS506" i="30"/>
  <c r="BT506" i="30"/>
  <c r="BU506" i="30"/>
  <c r="BV506" i="30"/>
  <c r="BW506" i="30"/>
  <c r="BX506" i="30"/>
  <c r="BY506" i="30"/>
  <c r="BZ506" i="30"/>
  <c r="CA506" i="30"/>
  <c r="CB506" i="30"/>
  <c r="CC506" i="30"/>
  <c r="CD506" i="30"/>
  <c r="CE506" i="30"/>
  <c r="CF506" i="30"/>
  <c r="CG506" i="30"/>
  <c r="CH506" i="30"/>
  <c r="CI506" i="30"/>
  <c r="CJ506" i="30"/>
  <c r="CK506" i="30"/>
  <c r="CL506" i="30"/>
  <c r="CM506" i="30"/>
  <c r="CN506" i="30"/>
  <c r="CO506" i="30"/>
  <c r="CP506" i="30"/>
  <c r="CQ506" i="30"/>
  <c r="CR506" i="30"/>
  <c r="CS506" i="30"/>
  <c r="CT506" i="30"/>
  <c r="CU506" i="30"/>
  <c r="CV506" i="30"/>
  <c r="CW506" i="30"/>
  <c r="CX506" i="30"/>
  <c r="CY506" i="30"/>
  <c r="CZ506" i="30"/>
  <c r="DA506" i="30"/>
  <c r="DB506" i="30"/>
  <c r="DC506" i="30"/>
  <c r="DD506" i="30"/>
  <c r="DE506" i="30"/>
  <c r="DF506" i="30"/>
  <c r="DG506" i="30"/>
  <c r="DH506" i="30"/>
  <c r="DI506" i="30"/>
  <c r="DJ506" i="30"/>
  <c r="DK506" i="30"/>
  <c r="DL506" i="30"/>
  <c r="DM506" i="30"/>
  <c r="DN506" i="30"/>
  <c r="DO506" i="30"/>
  <c r="DP506" i="30"/>
  <c r="DQ506" i="30"/>
  <c r="DR506" i="30"/>
  <c r="DS506" i="30"/>
  <c r="DT506" i="30"/>
  <c r="DU506" i="30"/>
  <c r="DV506" i="30"/>
  <c r="DW506" i="30"/>
  <c r="DX506" i="30"/>
  <c r="DY506" i="30"/>
  <c r="DZ506" i="30"/>
  <c r="EA506" i="30"/>
  <c r="EB506" i="30"/>
  <c r="EC506" i="30"/>
  <c r="ED506" i="30"/>
  <c r="EE506" i="30"/>
  <c r="EF506" i="30"/>
  <c r="EG506" i="30"/>
  <c r="EH506" i="30"/>
  <c r="EI506" i="30"/>
  <c r="EJ506" i="30"/>
  <c r="EK506" i="30"/>
  <c r="EL506" i="30"/>
  <c r="EM506" i="30"/>
  <c r="EN506" i="30"/>
  <c r="EO506" i="30"/>
  <c r="EP506" i="30"/>
  <c r="EQ506" i="30"/>
  <c r="ER506" i="30"/>
  <c r="ES506" i="30"/>
  <c r="ET506" i="30"/>
  <c r="EU506" i="30"/>
  <c r="EV506" i="30"/>
  <c r="EW506" i="30"/>
  <c r="EX506" i="30"/>
  <c r="EY506" i="30"/>
  <c r="EZ506" i="30"/>
  <c r="FA506" i="30"/>
  <c r="FB506" i="30"/>
  <c r="FC506" i="30"/>
  <c r="FD506" i="30"/>
  <c r="FE506" i="30"/>
  <c r="FF506" i="30"/>
  <c r="FG506" i="30"/>
  <c r="FH506" i="30"/>
  <c r="FI506" i="30"/>
  <c r="FJ506" i="30"/>
  <c r="FK506" i="30"/>
  <c r="FL506" i="30"/>
  <c r="FM506" i="30"/>
  <c r="FN506" i="30"/>
  <c r="FO506" i="30"/>
  <c r="FP506" i="30"/>
  <c r="FQ506" i="30"/>
  <c r="FR506" i="30"/>
  <c r="FS506" i="30"/>
  <c r="FT506" i="30"/>
  <c r="FU506" i="30"/>
  <c r="FV506" i="30"/>
  <c r="FW506" i="30"/>
  <c r="FX506" i="30"/>
  <c r="FY506" i="30"/>
  <c r="FZ506" i="30"/>
  <c r="GA506" i="30"/>
  <c r="GB506" i="30"/>
  <c r="GC506" i="30"/>
  <c r="GD506" i="30"/>
  <c r="GE506" i="30"/>
  <c r="GF506" i="30"/>
  <c r="GG506" i="30"/>
  <c r="GH506" i="30"/>
  <c r="GI506" i="30"/>
  <c r="GJ506" i="30"/>
  <c r="GK506" i="30"/>
  <c r="GL506" i="30"/>
  <c r="GM506" i="30"/>
  <c r="GN506" i="30"/>
  <c r="GO506" i="30"/>
  <c r="GP506" i="30"/>
  <c r="GQ506" i="30"/>
  <c r="GR506" i="30"/>
  <c r="GS506" i="30"/>
  <c r="GT506" i="30"/>
  <c r="GU506" i="30"/>
  <c r="GV506" i="30"/>
  <c r="GW506" i="30"/>
  <c r="GX506" i="30"/>
  <c r="GY506" i="30"/>
  <c r="GZ506" i="30"/>
  <c r="HA506" i="30"/>
  <c r="HB506" i="30"/>
  <c r="HC506" i="30"/>
  <c r="HD506" i="30"/>
  <c r="HE506" i="30"/>
  <c r="HF506" i="30"/>
  <c r="HG506" i="30"/>
  <c r="HH506" i="30"/>
  <c r="HI506" i="30"/>
  <c r="HJ506" i="30"/>
  <c r="HK506" i="30"/>
  <c r="HL506" i="30"/>
  <c r="HM506" i="30"/>
  <c r="HN506" i="30"/>
  <c r="HO506" i="30"/>
  <c r="HP506" i="30"/>
  <c r="HQ506" i="30"/>
  <c r="HR506" i="30"/>
  <c r="HS506" i="30"/>
  <c r="HT506" i="30"/>
  <c r="HU506" i="30"/>
  <c r="HV506" i="30"/>
  <c r="HW506" i="30"/>
  <c r="HX506" i="30"/>
  <c r="HY506" i="30"/>
  <c r="HZ506" i="30"/>
  <c r="IA506" i="30"/>
  <c r="IB506" i="30"/>
  <c r="IC506" i="30"/>
  <c r="ID506" i="30"/>
  <c r="IE506" i="30"/>
  <c r="IF506" i="30"/>
  <c r="IG506" i="30"/>
  <c r="IH506" i="30"/>
  <c r="II506" i="30"/>
  <c r="IJ506" i="30"/>
  <c r="IK506" i="30"/>
  <c r="IL506" i="30"/>
  <c r="IM506" i="30"/>
  <c r="IN506" i="30"/>
  <c r="IO506" i="30"/>
  <c r="IP506" i="30"/>
  <c r="IQ506" i="30"/>
  <c r="IR506" i="30"/>
  <c r="IS506" i="30"/>
  <c r="IT506" i="30"/>
  <c r="IU506" i="30"/>
  <c r="IV506" i="30"/>
  <c r="A505" i="30"/>
  <c r="B505" i="30"/>
  <c r="C505" i="30"/>
  <c r="D505" i="30"/>
  <c r="E505" i="30"/>
  <c r="F505" i="30"/>
  <c r="G505" i="30"/>
  <c r="H505" i="30"/>
  <c r="I505" i="30"/>
  <c r="J505" i="30"/>
  <c r="K505" i="30"/>
  <c r="L505" i="30"/>
  <c r="M505" i="30"/>
  <c r="N505" i="30"/>
  <c r="O505" i="30"/>
  <c r="P505" i="30"/>
  <c r="Q505" i="30"/>
  <c r="R505" i="30"/>
  <c r="S505" i="30"/>
  <c r="T505" i="30"/>
  <c r="U505" i="30"/>
  <c r="V505" i="30"/>
  <c r="W505" i="30"/>
  <c r="X505" i="30"/>
  <c r="Y505" i="30"/>
  <c r="Z505" i="30"/>
  <c r="AA505" i="30"/>
  <c r="AB505" i="30"/>
  <c r="AC505" i="30"/>
  <c r="AD505" i="30"/>
  <c r="AE505" i="30"/>
  <c r="AF505" i="30"/>
  <c r="AG505" i="30"/>
  <c r="AH505" i="30"/>
  <c r="AI505" i="30"/>
  <c r="AJ505" i="30"/>
  <c r="AK505" i="30"/>
  <c r="AL505" i="30"/>
  <c r="AM505" i="30"/>
  <c r="AN505" i="30"/>
  <c r="AO505" i="30"/>
  <c r="AP505" i="30"/>
  <c r="AQ505" i="30"/>
  <c r="AR505" i="30"/>
  <c r="AS505" i="30"/>
  <c r="AT505" i="30"/>
  <c r="AU505" i="30"/>
  <c r="AV505" i="30"/>
  <c r="AW505" i="30"/>
  <c r="AX505" i="30"/>
  <c r="AY505" i="30"/>
  <c r="AZ505" i="30"/>
  <c r="BA505" i="30"/>
  <c r="BB505" i="30"/>
  <c r="BC505" i="30"/>
  <c r="BD505" i="30"/>
  <c r="BE505" i="30"/>
  <c r="BF505" i="30"/>
  <c r="BG505" i="30"/>
  <c r="BH505" i="30"/>
  <c r="BI505" i="30"/>
  <c r="BJ505" i="30"/>
  <c r="BK505" i="30"/>
  <c r="BL505" i="30"/>
  <c r="BM505" i="30"/>
  <c r="BN505" i="30"/>
  <c r="BO505" i="30"/>
  <c r="BP505" i="30"/>
  <c r="BQ505" i="30"/>
  <c r="BR505" i="30"/>
  <c r="BS505" i="30"/>
  <c r="BT505" i="30"/>
  <c r="BU505" i="30"/>
  <c r="BV505" i="30"/>
  <c r="BW505" i="30"/>
  <c r="BX505" i="30"/>
  <c r="BY505" i="30"/>
  <c r="BZ505" i="30"/>
  <c r="CA505" i="30"/>
  <c r="CB505" i="30"/>
  <c r="CC505" i="30"/>
  <c r="CD505" i="30"/>
  <c r="CE505" i="30"/>
  <c r="CF505" i="30"/>
  <c r="CG505" i="30"/>
  <c r="CH505" i="30"/>
  <c r="CI505" i="30"/>
  <c r="CJ505" i="30"/>
  <c r="CK505" i="30"/>
  <c r="CL505" i="30"/>
  <c r="CM505" i="30"/>
  <c r="CN505" i="30"/>
  <c r="CO505" i="30"/>
  <c r="CP505" i="30"/>
  <c r="CQ505" i="30"/>
  <c r="CR505" i="30"/>
  <c r="CS505" i="30"/>
  <c r="CT505" i="30"/>
  <c r="CU505" i="30"/>
  <c r="CV505" i="30"/>
  <c r="CW505" i="30"/>
  <c r="CX505" i="30"/>
  <c r="CY505" i="30"/>
  <c r="CZ505" i="30"/>
  <c r="DA505" i="30"/>
  <c r="DB505" i="30"/>
  <c r="DC505" i="30"/>
  <c r="DD505" i="30"/>
  <c r="DE505" i="30"/>
  <c r="DF505" i="30"/>
  <c r="DG505" i="30"/>
  <c r="DH505" i="30"/>
  <c r="DI505" i="30"/>
  <c r="DJ505" i="30"/>
  <c r="DK505" i="30"/>
  <c r="DL505" i="30"/>
  <c r="DM505" i="30"/>
  <c r="DN505" i="30"/>
  <c r="DO505" i="30"/>
  <c r="DP505" i="30"/>
  <c r="DQ505" i="30"/>
  <c r="DR505" i="30"/>
  <c r="DS505" i="30"/>
  <c r="DT505" i="30"/>
  <c r="DU505" i="30"/>
  <c r="DV505" i="30"/>
  <c r="DW505" i="30"/>
  <c r="DX505" i="30"/>
  <c r="DY505" i="30"/>
  <c r="DZ505" i="30"/>
  <c r="EA505" i="30"/>
  <c r="EB505" i="30"/>
  <c r="EC505" i="30"/>
  <c r="ED505" i="30"/>
  <c r="EE505" i="30"/>
  <c r="EF505" i="30"/>
  <c r="EG505" i="30"/>
  <c r="EH505" i="30"/>
  <c r="EI505" i="30"/>
  <c r="EJ505" i="30"/>
  <c r="EK505" i="30"/>
  <c r="EL505" i="30"/>
  <c r="EM505" i="30"/>
  <c r="EN505" i="30"/>
  <c r="EO505" i="30"/>
  <c r="EP505" i="30"/>
  <c r="EQ505" i="30"/>
  <c r="ER505" i="30"/>
  <c r="ES505" i="30"/>
  <c r="ET505" i="30"/>
  <c r="EU505" i="30"/>
  <c r="EV505" i="30"/>
  <c r="EW505" i="30"/>
  <c r="EX505" i="30"/>
  <c r="EY505" i="30"/>
  <c r="EZ505" i="30"/>
  <c r="FA505" i="30"/>
  <c r="FB505" i="30"/>
  <c r="FC505" i="30"/>
  <c r="FD505" i="30"/>
  <c r="FE505" i="30"/>
  <c r="FF505" i="30"/>
  <c r="FG505" i="30"/>
  <c r="FH505" i="30"/>
  <c r="FI505" i="30"/>
  <c r="FJ505" i="30"/>
  <c r="FK505" i="30"/>
  <c r="FL505" i="30"/>
  <c r="FM505" i="30"/>
  <c r="FN505" i="30"/>
  <c r="FO505" i="30"/>
  <c r="FP505" i="30"/>
  <c r="FQ505" i="30"/>
  <c r="FR505" i="30"/>
  <c r="FS505" i="30"/>
  <c r="FT505" i="30"/>
  <c r="FU505" i="30"/>
  <c r="FV505" i="30"/>
  <c r="FW505" i="30"/>
  <c r="FX505" i="30"/>
  <c r="FY505" i="30"/>
  <c r="FZ505" i="30"/>
  <c r="GA505" i="30"/>
  <c r="GB505" i="30"/>
  <c r="GC505" i="30"/>
  <c r="GD505" i="30"/>
  <c r="GE505" i="30"/>
  <c r="GF505" i="30"/>
  <c r="GG505" i="30"/>
  <c r="GH505" i="30"/>
  <c r="GI505" i="30"/>
  <c r="GJ505" i="30"/>
  <c r="GK505" i="30"/>
  <c r="GL505" i="30"/>
  <c r="GM505" i="30"/>
  <c r="GN505" i="30"/>
  <c r="GO505" i="30"/>
  <c r="GP505" i="30"/>
  <c r="GQ505" i="30"/>
  <c r="GR505" i="30"/>
  <c r="GS505" i="30"/>
  <c r="GT505" i="30"/>
  <c r="GU505" i="30"/>
  <c r="GV505" i="30"/>
  <c r="GW505" i="30"/>
  <c r="GX505" i="30"/>
  <c r="GY505" i="30"/>
  <c r="GZ505" i="30"/>
  <c r="HA505" i="30"/>
  <c r="HB505" i="30"/>
  <c r="HC505" i="30"/>
  <c r="HD505" i="30"/>
  <c r="HE505" i="30"/>
  <c r="HF505" i="30"/>
  <c r="HG505" i="30"/>
  <c r="HH505" i="30"/>
  <c r="HI505" i="30"/>
  <c r="HJ505" i="30"/>
  <c r="HK505" i="30"/>
  <c r="HL505" i="30"/>
  <c r="HM505" i="30"/>
  <c r="HN505" i="30"/>
  <c r="HO505" i="30"/>
  <c r="HP505" i="30"/>
  <c r="HQ505" i="30"/>
  <c r="HR505" i="30"/>
  <c r="HS505" i="30"/>
  <c r="HT505" i="30"/>
  <c r="HU505" i="30"/>
  <c r="HV505" i="30"/>
  <c r="HW505" i="30"/>
  <c r="HX505" i="30"/>
  <c r="HY505" i="30"/>
  <c r="HZ505" i="30"/>
  <c r="IA505" i="30"/>
  <c r="IB505" i="30"/>
  <c r="IC505" i="30"/>
  <c r="ID505" i="30"/>
  <c r="IE505" i="30"/>
  <c r="IF505" i="30"/>
  <c r="IG505" i="30"/>
  <c r="IH505" i="30"/>
  <c r="II505" i="30"/>
  <c r="IJ505" i="30"/>
  <c r="IK505" i="30"/>
  <c r="IL505" i="30"/>
  <c r="IM505" i="30"/>
  <c r="IN505" i="30"/>
  <c r="IO505" i="30"/>
  <c r="IP505" i="30"/>
  <c r="IQ505" i="30"/>
  <c r="IR505" i="30"/>
  <c r="IS505" i="30"/>
  <c r="IT505" i="30"/>
  <c r="IU505" i="30"/>
  <c r="IV505" i="30"/>
  <c r="A504" i="30"/>
  <c r="B504" i="30"/>
  <c r="C504" i="30"/>
  <c r="D504" i="30"/>
  <c r="E504" i="30"/>
  <c r="F504" i="30"/>
  <c r="G504" i="30"/>
  <c r="H504" i="30"/>
  <c r="I504" i="30"/>
  <c r="J504" i="30"/>
  <c r="K504" i="30"/>
  <c r="L504" i="30"/>
  <c r="M504" i="30"/>
  <c r="N504" i="30"/>
  <c r="O504" i="30"/>
  <c r="P504" i="30"/>
  <c r="Q504" i="30"/>
  <c r="R504" i="30"/>
  <c r="S504" i="30"/>
  <c r="T504" i="30"/>
  <c r="U504" i="30"/>
  <c r="V504" i="30"/>
  <c r="W504" i="30"/>
  <c r="X504" i="30"/>
  <c r="Y504" i="30"/>
  <c r="Z504" i="30"/>
  <c r="AA504" i="30"/>
  <c r="AB504" i="30"/>
  <c r="AC504" i="30"/>
  <c r="AD504" i="30"/>
  <c r="AE504" i="30"/>
  <c r="AF504" i="30"/>
  <c r="AG504" i="30"/>
  <c r="AH504" i="30"/>
  <c r="AI504" i="30"/>
  <c r="AJ504" i="30"/>
  <c r="AK504" i="30"/>
  <c r="AL504" i="30"/>
  <c r="AM504" i="30"/>
  <c r="AN504" i="30"/>
  <c r="AO504" i="30"/>
  <c r="AP504" i="30"/>
  <c r="AQ504" i="30"/>
  <c r="AR504" i="30"/>
  <c r="AS504" i="30"/>
  <c r="AT504" i="30"/>
  <c r="AU504" i="30"/>
  <c r="AV504" i="30"/>
  <c r="AW504" i="30"/>
  <c r="AX504" i="30"/>
  <c r="AY504" i="30"/>
  <c r="AZ504" i="30"/>
  <c r="BA504" i="30"/>
  <c r="BB504" i="30"/>
  <c r="BC504" i="30"/>
  <c r="BD504" i="30"/>
  <c r="BE504" i="30"/>
  <c r="BF504" i="30"/>
  <c r="BG504" i="30"/>
  <c r="BH504" i="30"/>
  <c r="BI504" i="30"/>
  <c r="BJ504" i="30"/>
  <c r="BK504" i="30"/>
  <c r="BL504" i="30"/>
  <c r="BM504" i="30"/>
  <c r="BN504" i="30"/>
  <c r="BO504" i="30"/>
  <c r="BP504" i="30"/>
  <c r="BQ504" i="30"/>
  <c r="BR504" i="30"/>
  <c r="BS504" i="30"/>
  <c r="BT504" i="30"/>
  <c r="BU504" i="30"/>
  <c r="BV504" i="30"/>
  <c r="BW504" i="30"/>
  <c r="BX504" i="30"/>
  <c r="BY504" i="30"/>
  <c r="BZ504" i="30"/>
  <c r="CA504" i="30"/>
  <c r="CB504" i="30"/>
  <c r="CC504" i="30"/>
  <c r="CD504" i="30"/>
  <c r="CE504" i="30"/>
  <c r="CF504" i="30"/>
  <c r="CG504" i="30"/>
  <c r="CH504" i="30"/>
  <c r="CI504" i="30"/>
  <c r="CJ504" i="30"/>
  <c r="CK504" i="30"/>
  <c r="CL504" i="30"/>
  <c r="CM504" i="30"/>
  <c r="CN504" i="30"/>
  <c r="CO504" i="30"/>
  <c r="CP504" i="30"/>
  <c r="CQ504" i="30"/>
  <c r="CR504" i="30"/>
  <c r="CS504" i="30"/>
  <c r="CT504" i="30"/>
  <c r="CU504" i="30"/>
  <c r="CV504" i="30"/>
  <c r="CW504" i="30"/>
  <c r="CX504" i="30"/>
  <c r="CY504" i="30"/>
  <c r="CZ504" i="30"/>
  <c r="DA504" i="30"/>
  <c r="DB504" i="30"/>
  <c r="DC504" i="30"/>
  <c r="DD504" i="30"/>
  <c r="DE504" i="30"/>
  <c r="DF504" i="30"/>
  <c r="DG504" i="30"/>
  <c r="DH504" i="30"/>
  <c r="DI504" i="30"/>
  <c r="DJ504" i="30"/>
  <c r="DK504" i="30"/>
  <c r="DL504" i="30"/>
  <c r="DM504" i="30"/>
  <c r="DN504" i="30"/>
  <c r="DO504" i="30"/>
  <c r="DP504" i="30"/>
  <c r="DQ504" i="30"/>
  <c r="DR504" i="30"/>
  <c r="DS504" i="30"/>
  <c r="DT504" i="30"/>
  <c r="DU504" i="30"/>
  <c r="DV504" i="30"/>
  <c r="DW504" i="30"/>
  <c r="DX504" i="30"/>
  <c r="DY504" i="30"/>
  <c r="DZ504" i="30"/>
  <c r="EA504" i="30"/>
  <c r="EB504" i="30"/>
  <c r="EC504" i="30"/>
  <c r="ED504" i="30"/>
  <c r="EE504" i="30"/>
  <c r="EF504" i="30"/>
  <c r="EG504" i="30"/>
  <c r="EH504" i="30"/>
  <c r="EI504" i="30"/>
  <c r="EJ504" i="30"/>
  <c r="EK504" i="30"/>
  <c r="EL504" i="30"/>
  <c r="EM504" i="30"/>
  <c r="EN504" i="30"/>
  <c r="EO504" i="30"/>
  <c r="EP504" i="30"/>
  <c r="EQ504" i="30"/>
  <c r="ER504" i="30"/>
  <c r="ES504" i="30"/>
  <c r="ET504" i="30"/>
  <c r="EU504" i="30"/>
  <c r="EV504" i="30"/>
  <c r="EW504" i="30"/>
  <c r="EX504" i="30"/>
  <c r="EY504" i="30"/>
  <c r="EZ504" i="30"/>
  <c r="FA504" i="30"/>
  <c r="FB504" i="30"/>
  <c r="FC504" i="30"/>
  <c r="FD504" i="30"/>
  <c r="FE504" i="30"/>
  <c r="FF504" i="30"/>
  <c r="FG504" i="30"/>
  <c r="FH504" i="30"/>
  <c r="FI504" i="30"/>
  <c r="FJ504" i="30"/>
  <c r="FK504" i="30"/>
  <c r="FL504" i="30"/>
  <c r="FM504" i="30"/>
  <c r="FN504" i="30"/>
  <c r="FO504" i="30"/>
  <c r="FP504" i="30"/>
  <c r="FQ504" i="30"/>
  <c r="FR504" i="30"/>
  <c r="FS504" i="30"/>
  <c r="FT504" i="30"/>
  <c r="FU504" i="30"/>
  <c r="FV504" i="30"/>
  <c r="FW504" i="30"/>
  <c r="FX504" i="30"/>
  <c r="FY504" i="30"/>
  <c r="FZ504" i="30"/>
  <c r="GA504" i="30"/>
  <c r="GB504" i="30"/>
  <c r="GC504" i="30"/>
  <c r="GD504" i="30"/>
  <c r="GE504" i="30"/>
  <c r="GF504" i="30"/>
  <c r="GG504" i="30"/>
  <c r="GH504" i="30"/>
  <c r="GI504" i="30"/>
  <c r="GJ504" i="30"/>
  <c r="GK504" i="30"/>
  <c r="GL504" i="30"/>
  <c r="GM504" i="30"/>
  <c r="GN504" i="30"/>
  <c r="GO504" i="30"/>
  <c r="GP504" i="30"/>
  <c r="GQ504" i="30"/>
  <c r="GR504" i="30"/>
  <c r="GS504" i="30"/>
  <c r="GT504" i="30"/>
  <c r="GU504" i="30"/>
  <c r="GV504" i="30"/>
  <c r="GW504" i="30"/>
  <c r="GX504" i="30"/>
  <c r="GY504" i="30"/>
  <c r="GZ504" i="30"/>
  <c r="HA504" i="30"/>
  <c r="HB504" i="30"/>
  <c r="HC504" i="30"/>
  <c r="HD504" i="30"/>
  <c r="HE504" i="30"/>
  <c r="HF504" i="30"/>
  <c r="HG504" i="30"/>
  <c r="HH504" i="30"/>
  <c r="HI504" i="30"/>
  <c r="HJ504" i="30"/>
  <c r="HK504" i="30"/>
  <c r="HL504" i="30"/>
  <c r="HM504" i="30"/>
  <c r="HN504" i="30"/>
  <c r="HO504" i="30"/>
  <c r="HP504" i="30"/>
  <c r="HQ504" i="30"/>
  <c r="HR504" i="30"/>
  <c r="HS504" i="30"/>
  <c r="HT504" i="30"/>
  <c r="HU504" i="30"/>
  <c r="HV504" i="30"/>
  <c r="HW504" i="30"/>
  <c r="HX504" i="30"/>
  <c r="HY504" i="30"/>
  <c r="HZ504" i="30"/>
  <c r="IA504" i="30"/>
  <c r="IB504" i="30"/>
  <c r="IC504" i="30"/>
  <c r="ID504" i="30"/>
  <c r="IE504" i="30"/>
  <c r="IF504" i="30"/>
  <c r="IG504" i="30"/>
  <c r="IH504" i="30"/>
  <c r="II504" i="30"/>
  <c r="IJ504" i="30"/>
  <c r="IK504" i="30"/>
  <c r="IL504" i="30"/>
  <c r="IM504" i="30"/>
  <c r="IN504" i="30"/>
  <c r="IO504" i="30"/>
  <c r="IP504" i="30"/>
  <c r="IQ504" i="30"/>
  <c r="IR504" i="30"/>
  <c r="IS504" i="30"/>
  <c r="IT504" i="30"/>
  <c r="IU504" i="30"/>
  <c r="IV504" i="30"/>
  <c r="A503" i="30"/>
  <c r="B503" i="30"/>
  <c r="C503" i="30"/>
  <c r="D503" i="30"/>
  <c r="E503" i="30"/>
  <c r="F503" i="30"/>
  <c r="G503" i="30"/>
  <c r="H503" i="30"/>
  <c r="I503" i="30"/>
  <c r="J503" i="30"/>
  <c r="K503" i="30"/>
  <c r="L503" i="30"/>
  <c r="M503" i="30"/>
  <c r="N503" i="30"/>
  <c r="O503" i="30"/>
  <c r="P503" i="30"/>
  <c r="Q503" i="30"/>
  <c r="R503" i="30"/>
  <c r="S503" i="30"/>
  <c r="T503" i="30"/>
  <c r="U503" i="30"/>
  <c r="V503" i="30"/>
  <c r="W503" i="30"/>
  <c r="X503" i="30"/>
  <c r="Y503" i="30"/>
  <c r="Z503" i="30"/>
  <c r="AA503" i="30"/>
  <c r="AB503" i="30"/>
  <c r="AC503" i="30"/>
  <c r="AD503" i="30"/>
  <c r="AE503" i="30"/>
  <c r="AF503" i="30"/>
  <c r="AG503" i="30"/>
  <c r="AH503" i="30"/>
  <c r="AI503" i="30"/>
  <c r="AJ503" i="30"/>
  <c r="AK503" i="30"/>
  <c r="AL503" i="30"/>
  <c r="AM503" i="30"/>
  <c r="AN503" i="30"/>
  <c r="AO503" i="30"/>
  <c r="AP503" i="30"/>
  <c r="AQ503" i="30"/>
  <c r="AR503" i="30"/>
  <c r="AS503" i="30"/>
  <c r="AT503" i="30"/>
  <c r="AU503" i="30"/>
  <c r="AV503" i="30"/>
  <c r="AW503" i="30"/>
  <c r="AX503" i="30"/>
  <c r="AY503" i="30"/>
  <c r="AZ503" i="30"/>
  <c r="BA503" i="30"/>
  <c r="BB503" i="30"/>
  <c r="BC503" i="30"/>
  <c r="BD503" i="30"/>
  <c r="BE503" i="30"/>
  <c r="BF503" i="30"/>
  <c r="BG503" i="30"/>
  <c r="BH503" i="30"/>
  <c r="BI503" i="30"/>
  <c r="BJ503" i="30"/>
  <c r="BK503" i="30"/>
  <c r="BL503" i="30"/>
  <c r="BM503" i="30"/>
  <c r="BN503" i="30"/>
  <c r="BO503" i="30"/>
  <c r="BP503" i="30"/>
  <c r="BQ503" i="30"/>
  <c r="BR503" i="30"/>
  <c r="BS503" i="30"/>
  <c r="BT503" i="30"/>
  <c r="BU503" i="30"/>
  <c r="BV503" i="30"/>
  <c r="BW503" i="30"/>
  <c r="BX503" i="30"/>
  <c r="BY503" i="30"/>
  <c r="BZ503" i="30"/>
  <c r="CA503" i="30"/>
  <c r="CB503" i="30"/>
  <c r="CC503" i="30"/>
  <c r="CD503" i="30"/>
  <c r="CE503" i="30"/>
  <c r="CF503" i="30"/>
  <c r="CG503" i="30"/>
  <c r="CH503" i="30"/>
  <c r="CI503" i="30"/>
  <c r="CJ503" i="30"/>
  <c r="CK503" i="30"/>
  <c r="CL503" i="30"/>
  <c r="CM503" i="30"/>
  <c r="CN503" i="30"/>
  <c r="CO503" i="30"/>
  <c r="CP503" i="30"/>
  <c r="CQ503" i="30"/>
  <c r="CR503" i="30"/>
  <c r="CS503" i="30"/>
  <c r="CT503" i="30"/>
  <c r="CU503" i="30"/>
  <c r="CV503" i="30"/>
  <c r="CW503" i="30"/>
  <c r="CX503" i="30"/>
  <c r="CY503" i="30"/>
  <c r="CZ503" i="30"/>
  <c r="DA503" i="30"/>
  <c r="DB503" i="30"/>
  <c r="DC503" i="30"/>
  <c r="DD503" i="30"/>
  <c r="DE503" i="30"/>
  <c r="DF503" i="30"/>
  <c r="DG503" i="30"/>
  <c r="DH503" i="30"/>
  <c r="DI503" i="30"/>
  <c r="DJ503" i="30"/>
  <c r="DK503" i="30"/>
  <c r="DL503" i="30"/>
  <c r="DM503" i="30"/>
  <c r="DN503" i="30"/>
  <c r="DO503" i="30"/>
  <c r="DP503" i="30"/>
  <c r="DQ503" i="30"/>
  <c r="DR503" i="30"/>
  <c r="DS503" i="30"/>
  <c r="DT503" i="30"/>
  <c r="DU503" i="30"/>
  <c r="DV503" i="30"/>
  <c r="DW503" i="30"/>
  <c r="DX503" i="30"/>
  <c r="DY503" i="30"/>
  <c r="DZ503" i="30"/>
  <c r="EA503" i="30"/>
  <c r="EB503" i="30"/>
  <c r="EC503" i="30"/>
  <c r="ED503" i="30"/>
  <c r="EE503" i="30"/>
  <c r="EF503" i="30"/>
  <c r="EG503" i="30"/>
  <c r="EH503" i="30"/>
  <c r="EI503" i="30"/>
  <c r="EJ503" i="30"/>
  <c r="EK503" i="30"/>
  <c r="EL503" i="30"/>
  <c r="EM503" i="30"/>
  <c r="EN503" i="30"/>
  <c r="EO503" i="30"/>
  <c r="EP503" i="30"/>
  <c r="EQ503" i="30"/>
  <c r="ER503" i="30"/>
  <c r="ES503" i="30"/>
  <c r="ET503" i="30"/>
  <c r="EU503" i="30"/>
  <c r="EV503" i="30"/>
  <c r="EW503" i="30"/>
  <c r="EX503" i="30"/>
  <c r="EY503" i="30"/>
  <c r="EZ503" i="30"/>
  <c r="FA503" i="30"/>
  <c r="FB503" i="30"/>
  <c r="FC503" i="30"/>
  <c r="FD503" i="30"/>
  <c r="FE503" i="30"/>
  <c r="FF503" i="30"/>
  <c r="FG503" i="30"/>
  <c r="FH503" i="30"/>
  <c r="FI503" i="30"/>
  <c r="FJ503" i="30"/>
  <c r="FK503" i="30"/>
  <c r="FL503" i="30"/>
  <c r="FM503" i="30"/>
  <c r="FN503" i="30"/>
  <c r="FO503" i="30"/>
  <c r="FP503" i="30"/>
  <c r="FQ503" i="30"/>
  <c r="FR503" i="30"/>
  <c r="FS503" i="30"/>
  <c r="FT503" i="30"/>
  <c r="FU503" i="30"/>
  <c r="FV503" i="30"/>
  <c r="FW503" i="30"/>
  <c r="FX503" i="30"/>
  <c r="FY503" i="30"/>
  <c r="FZ503" i="30"/>
  <c r="GA503" i="30"/>
  <c r="GB503" i="30"/>
  <c r="GC503" i="30"/>
  <c r="GD503" i="30"/>
  <c r="GE503" i="30"/>
  <c r="GF503" i="30"/>
  <c r="GG503" i="30"/>
  <c r="GH503" i="30"/>
  <c r="GI503" i="30"/>
  <c r="GJ503" i="30"/>
  <c r="GK503" i="30"/>
  <c r="GL503" i="30"/>
  <c r="GM503" i="30"/>
  <c r="GN503" i="30"/>
  <c r="GO503" i="30"/>
  <c r="GP503" i="30"/>
  <c r="GQ503" i="30"/>
  <c r="GR503" i="30"/>
  <c r="GS503" i="30"/>
  <c r="GT503" i="30"/>
  <c r="GU503" i="30"/>
  <c r="GV503" i="30"/>
  <c r="GW503" i="30"/>
  <c r="GX503" i="30"/>
  <c r="GY503" i="30"/>
  <c r="GZ503" i="30"/>
  <c r="HA503" i="30"/>
  <c r="HB503" i="30"/>
  <c r="HC503" i="30"/>
  <c r="HD503" i="30"/>
  <c r="HE503" i="30"/>
  <c r="HF503" i="30"/>
  <c r="HG503" i="30"/>
  <c r="HH503" i="30"/>
  <c r="HI503" i="30"/>
  <c r="HJ503" i="30"/>
  <c r="HK503" i="30"/>
  <c r="HL503" i="30"/>
  <c r="HM503" i="30"/>
  <c r="HN503" i="30"/>
  <c r="HO503" i="30"/>
  <c r="HP503" i="30"/>
  <c r="HQ503" i="30"/>
  <c r="HR503" i="30"/>
  <c r="HS503" i="30"/>
  <c r="HT503" i="30"/>
  <c r="HU503" i="30"/>
  <c r="HV503" i="30"/>
  <c r="HW503" i="30"/>
  <c r="HX503" i="30"/>
  <c r="HY503" i="30"/>
  <c r="HZ503" i="30"/>
  <c r="IA503" i="30"/>
  <c r="IB503" i="30"/>
  <c r="IC503" i="30"/>
  <c r="ID503" i="30"/>
  <c r="IE503" i="30"/>
  <c r="IF503" i="30"/>
  <c r="IG503" i="30"/>
  <c r="IH503" i="30"/>
  <c r="II503" i="30"/>
  <c r="IJ503" i="30"/>
  <c r="IK503" i="30"/>
  <c r="IL503" i="30"/>
  <c r="IM503" i="30"/>
  <c r="IN503" i="30"/>
  <c r="IO503" i="30"/>
  <c r="IP503" i="30"/>
  <c r="IQ503" i="30"/>
  <c r="IR503" i="30"/>
  <c r="IS503" i="30"/>
  <c r="IT503" i="30"/>
  <c r="IU503" i="30"/>
  <c r="IV503" i="30"/>
  <c r="A502" i="30"/>
  <c r="B502" i="30"/>
  <c r="C502" i="30"/>
  <c r="D502" i="30"/>
  <c r="E502" i="30"/>
  <c r="F502" i="30"/>
  <c r="G502" i="30"/>
  <c r="H502" i="30"/>
  <c r="I502" i="30"/>
  <c r="J502" i="30"/>
  <c r="K502" i="30"/>
  <c r="L502" i="30"/>
  <c r="M502" i="30"/>
  <c r="N502" i="30"/>
  <c r="O502" i="30"/>
  <c r="P502" i="30"/>
  <c r="Q502" i="30"/>
  <c r="R502" i="30"/>
  <c r="S502" i="30"/>
  <c r="T502" i="30"/>
  <c r="U502" i="30"/>
  <c r="V502" i="30"/>
  <c r="W502" i="30"/>
  <c r="X502" i="30"/>
  <c r="Y502" i="30"/>
  <c r="Z502" i="30"/>
  <c r="AA502" i="30"/>
  <c r="AB502" i="30"/>
  <c r="AC502" i="30"/>
  <c r="AD502" i="30"/>
  <c r="AE502" i="30"/>
  <c r="AF502" i="30"/>
  <c r="AG502" i="30"/>
  <c r="AH502" i="30"/>
  <c r="AI502" i="30"/>
  <c r="AJ502" i="30"/>
  <c r="AK502" i="30"/>
  <c r="AL502" i="30"/>
  <c r="AM502" i="30"/>
  <c r="AN502" i="30"/>
  <c r="AO502" i="30"/>
  <c r="AP502" i="30"/>
  <c r="AQ502" i="30"/>
  <c r="AR502" i="30"/>
  <c r="AS502" i="30"/>
  <c r="AT502" i="30"/>
  <c r="AU502" i="30"/>
  <c r="AV502" i="30"/>
  <c r="AW502" i="30"/>
  <c r="AX502" i="30"/>
  <c r="AY502" i="30"/>
  <c r="AZ502" i="30"/>
  <c r="BA502" i="30"/>
  <c r="BB502" i="30"/>
  <c r="BC502" i="30"/>
  <c r="BD502" i="30"/>
  <c r="BE502" i="30"/>
  <c r="BF502" i="30"/>
  <c r="BG502" i="30"/>
  <c r="BH502" i="30"/>
  <c r="BI502" i="30"/>
  <c r="BJ502" i="30"/>
  <c r="BK502" i="30"/>
  <c r="BL502" i="30"/>
  <c r="BM502" i="30"/>
  <c r="BN502" i="30"/>
  <c r="BO502" i="30"/>
  <c r="BP502" i="30"/>
  <c r="BQ502" i="30"/>
  <c r="BR502" i="30"/>
  <c r="BS502" i="30"/>
  <c r="BT502" i="30"/>
  <c r="BU502" i="30"/>
  <c r="BV502" i="30"/>
  <c r="BW502" i="30"/>
  <c r="BX502" i="30"/>
  <c r="BY502" i="30"/>
  <c r="BZ502" i="30"/>
  <c r="CA502" i="30"/>
  <c r="CB502" i="30"/>
  <c r="CC502" i="30"/>
  <c r="CD502" i="30"/>
  <c r="CE502" i="30"/>
  <c r="CF502" i="30"/>
  <c r="CG502" i="30"/>
  <c r="CH502" i="30"/>
  <c r="CI502" i="30"/>
  <c r="CJ502" i="30"/>
  <c r="CK502" i="30"/>
  <c r="CL502" i="30"/>
  <c r="CM502" i="30"/>
  <c r="CN502" i="30"/>
  <c r="CO502" i="30"/>
  <c r="CP502" i="30"/>
  <c r="CQ502" i="30"/>
  <c r="CR502" i="30"/>
  <c r="CS502" i="30"/>
  <c r="CT502" i="30"/>
  <c r="CU502" i="30"/>
  <c r="CV502" i="30"/>
  <c r="CW502" i="30"/>
  <c r="CX502" i="30"/>
  <c r="CY502" i="30"/>
  <c r="CZ502" i="30"/>
  <c r="DA502" i="30"/>
  <c r="DB502" i="30"/>
  <c r="DC502" i="30"/>
  <c r="DD502" i="30"/>
  <c r="DE502" i="30"/>
  <c r="DF502" i="30"/>
  <c r="DG502" i="30"/>
  <c r="DH502" i="30"/>
  <c r="DI502" i="30"/>
  <c r="DJ502" i="30"/>
  <c r="DK502" i="30"/>
  <c r="DL502" i="30"/>
  <c r="DM502" i="30"/>
  <c r="DN502" i="30"/>
  <c r="DO502" i="30"/>
  <c r="DP502" i="30"/>
  <c r="DQ502" i="30"/>
  <c r="DR502" i="30"/>
  <c r="DS502" i="30"/>
  <c r="DT502" i="30"/>
  <c r="DU502" i="30"/>
  <c r="DV502" i="30"/>
  <c r="DW502" i="30"/>
  <c r="DX502" i="30"/>
  <c r="DY502" i="30"/>
  <c r="DZ502" i="30"/>
  <c r="EA502" i="30"/>
  <c r="EB502" i="30"/>
  <c r="EC502" i="30"/>
  <c r="ED502" i="30"/>
  <c r="EE502" i="30"/>
  <c r="EF502" i="30"/>
  <c r="EG502" i="30"/>
  <c r="EH502" i="30"/>
  <c r="EI502" i="30"/>
  <c r="EJ502" i="30"/>
  <c r="EK502" i="30"/>
  <c r="EL502" i="30"/>
  <c r="EM502" i="30"/>
  <c r="EN502" i="30"/>
  <c r="EO502" i="30"/>
  <c r="EP502" i="30"/>
  <c r="EQ502" i="30"/>
  <c r="ER502" i="30"/>
  <c r="ES502" i="30"/>
  <c r="ET502" i="30"/>
  <c r="EU502" i="30"/>
  <c r="EV502" i="30"/>
  <c r="EW502" i="30"/>
  <c r="EX502" i="30"/>
  <c r="EY502" i="30"/>
  <c r="EZ502" i="30"/>
  <c r="FA502" i="30"/>
  <c r="FB502" i="30"/>
  <c r="FC502" i="30"/>
  <c r="FD502" i="30"/>
  <c r="FE502" i="30"/>
  <c r="FF502" i="30"/>
  <c r="FG502" i="30"/>
  <c r="FH502" i="30"/>
  <c r="FI502" i="30"/>
  <c r="FJ502" i="30"/>
  <c r="FK502" i="30"/>
  <c r="FL502" i="30"/>
  <c r="FM502" i="30"/>
  <c r="FN502" i="30"/>
  <c r="FO502" i="30"/>
  <c r="FP502" i="30"/>
  <c r="FQ502" i="30"/>
  <c r="FR502" i="30"/>
  <c r="FS502" i="30"/>
  <c r="FT502" i="30"/>
  <c r="FU502" i="30"/>
  <c r="FV502" i="30"/>
  <c r="FW502" i="30"/>
  <c r="FX502" i="30"/>
  <c r="FY502" i="30"/>
  <c r="FZ502" i="30"/>
  <c r="GA502" i="30"/>
  <c r="GB502" i="30"/>
  <c r="GC502" i="30"/>
  <c r="GD502" i="30"/>
  <c r="GE502" i="30"/>
  <c r="GF502" i="30"/>
  <c r="GG502" i="30"/>
  <c r="GH502" i="30"/>
  <c r="GI502" i="30"/>
  <c r="GJ502" i="30"/>
  <c r="GK502" i="30"/>
  <c r="GL502" i="30"/>
  <c r="GM502" i="30"/>
  <c r="GN502" i="30"/>
  <c r="GO502" i="30"/>
  <c r="GP502" i="30"/>
  <c r="GQ502" i="30"/>
  <c r="GR502" i="30"/>
  <c r="GS502" i="30"/>
  <c r="GT502" i="30"/>
  <c r="GU502" i="30"/>
  <c r="GV502" i="30"/>
  <c r="GW502" i="30"/>
  <c r="GX502" i="30"/>
  <c r="GY502" i="30"/>
  <c r="GZ502" i="30"/>
  <c r="HA502" i="30"/>
  <c r="HB502" i="30"/>
  <c r="HC502" i="30"/>
  <c r="HD502" i="30"/>
  <c r="HE502" i="30"/>
  <c r="HF502" i="30"/>
  <c r="HG502" i="30"/>
  <c r="HH502" i="30"/>
  <c r="HI502" i="30"/>
  <c r="HJ502" i="30"/>
  <c r="HK502" i="30"/>
  <c r="HL502" i="30"/>
  <c r="HM502" i="30"/>
  <c r="HN502" i="30"/>
  <c r="HO502" i="30"/>
  <c r="HP502" i="30"/>
  <c r="HQ502" i="30"/>
  <c r="HR502" i="30"/>
  <c r="HS502" i="30"/>
  <c r="HT502" i="30"/>
  <c r="HU502" i="30"/>
  <c r="HV502" i="30"/>
  <c r="HW502" i="30"/>
  <c r="HX502" i="30"/>
  <c r="HY502" i="30"/>
  <c r="HZ502" i="30"/>
  <c r="IA502" i="30"/>
  <c r="IB502" i="30"/>
  <c r="IC502" i="30"/>
  <c r="ID502" i="30"/>
  <c r="IE502" i="30"/>
  <c r="IF502" i="30"/>
  <c r="IG502" i="30"/>
  <c r="IH502" i="30"/>
  <c r="II502" i="30"/>
  <c r="IJ502" i="30"/>
  <c r="IK502" i="30"/>
  <c r="IL502" i="30"/>
  <c r="IM502" i="30"/>
  <c r="IN502" i="30"/>
  <c r="IO502" i="30"/>
  <c r="IP502" i="30"/>
  <c r="IQ502" i="30"/>
  <c r="IR502" i="30"/>
  <c r="IS502" i="30"/>
  <c r="IT502" i="30"/>
  <c r="IU502" i="30"/>
  <c r="IV502" i="30"/>
  <c r="A501" i="30"/>
  <c r="B501" i="30"/>
  <c r="C501" i="30"/>
  <c r="D501" i="30"/>
  <c r="E501" i="30"/>
  <c r="F501" i="30"/>
  <c r="G501" i="30"/>
  <c r="H501" i="30"/>
  <c r="I501" i="30"/>
  <c r="J501" i="30"/>
  <c r="K501" i="30"/>
  <c r="L501" i="30"/>
  <c r="M501" i="30"/>
  <c r="N501" i="30"/>
  <c r="O501" i="30"/>
  <c r="P501" i="30"/>
  <c r="Q501" i="30"/>
  <c r="R501" i="30"/>
  <c r="S501" i="30"/>
  <c r="T501" i="30"/>
  <c r="U501" i="30"/>
  <c r="V501" i="30"/>
  <c r="W501" i="30"/>
  <c r="X501" i="30"/>
  <c r="Y501" i="30"/>
  <c r="Z501" i="30"/>
  <c r="AA501" i="30"/>
  <c r="AB501" i="30"/>
  <c r="AC501" i="30"/>
  <c r="AD501" i="30"/>
  <c r="AE501" i="30"/>
  <c r="AF501" i="30"/>
  <c r="AG501" i="30"/>
  <c r="AH501" i="30"/>
  <c r="AI501" i="30"/>
  <c r="AJ501" i="30"/>
  <c r="AK501" i="30"/>
  <c r="AL501" i="30"/>
  <c r="AM501" i="30"/>
  <c r="AN501" i="30"/>
  <c r="AO501" i="30"/>
  <c r="AP501" i="30"/>
  <c r="AQ501" i="30"/>
  <c r="AR501" i="30"/>
  <c r="AS501" i="30"/>
  <c r="AT501" i="30"/>
  <c r="AU501" i="30"/>
  <c r="AV501" i="30"/>
  <c r="AW501" i="30"/>
  <c r="AX501" i="30"/>
  <c r="AY501" i="30"/>
  <c r="AZ501" i="30"/>
  <c r="BA501" i="30"/>
  <c r="BB501" i="30"/>
  <c r="BC501" i="30"/>
  <c r="BD501" i="30"/>
  <c r="BE501" i="30"/>
  <c r="BF501" i="30"/>
  <c r="BG501" i="30"/>
  <c r="BH501" i="30"/>
  <c r="BI501" i="30"/>
  <c r="BJ501" i="30"/>
  <c r="BK501" i="30"/>
  <c r="BL501" i="30"/>
  <c r="BM501" i="30"/>
  <c r="BN501" i="30"/>
  <c r="BO501" i="30"/>
  <c r="BP501" i="30"/>
  <c r="BQ501" i="30"/>
  <c r="BR501" i="30"/>
  <c r="BS501" i="30"/>
  <c r="BT501" i="30"/>
  <c r="BU501" i="30"/>
  <c r="BV501" i="30"/>
  <c r="BW501" i="30"/>
  <c r="BX501" i="30"/>
  <c r="BY501" i="30"/>
  <c r="BZ501" i="30"/>
  <c r="CA501" i="30"/>
  <c r="CB501" i="30"/>
  <c r="CC501" i="30"/>
  <c r="CD501" i="30"/>
  <c r="CE501" i="30"/>
  <c r="CF501" i="30"/>
  <c r="CG501" i="30"/>
  <c r="CH501" i="30"/>
  <c r="CI501" i="30"/>
  <c r="CJ501" i="30"/>
  <c r="CK501" i="30"/>
  <c r="CL501" i="30"/>
  <c r="CM501" i="30"/>
  <c r="CN501" i="30"/>
  <c r="CO501" i="30"/>
  <c r="CP501" i="30"/>
  <c r="CQ501" i="30"/>
  <c r="CR501" i="30"/>
  <c r="CS501" i="30"/>
  <c r="CT501" i="30"/>
  <c r="CU501" i="30"/>
  <c r="CV501" i="30"/>
  <c r="CW501" i="30"/>
  <c r="CX501" i="30"/>
  <c r="CY501" i="30"/>
  <c r="CZ501" i="30"/>
  <c r="DA501" i="30"/>
  <c r="DB501" i="30"/>
  <c r="DC501" i="30"/>
  <c r="DD501" i="30"/>
  <c r="DE501" i="30"/>
  <c r="DF501" i="30"/>
  <c r="DG501" i="30"/>
  <c r="DH501" i="30"/>
  <c r="DI501" i="30"/>
  <c r="DJ501" i="30"/>
  <c r="DK501" i="30"/>
  <c r="DL501" i="30"/>
  <c r="DM501" i="30"/>
  <c r="DN501" i="30"/>
  <c r="DO501" i="30"/>
  <c r="DP501" i="30"/>
  <c r="DQ501" i="30"/>
  <c r="DR501" i="30"/>
  <c r="DS501" i="30"/>
  <c r="DT501" i="30"/>
  <c r="DU501" i="30"/>
  <c r="DV501" i="30"/>
  <c r="DW501" i="30"/>
  <c r="DX501" i="30"/>
  <c r="DY501" i="30"/>
  <c r="DZ501" i="30"/>
  <c r="EA501" i="30"/>
  <c r="EB501" i="30"/>
  <c r="EC501" i="30"/>
  <c r="ED501" i="30"/>
  <c r="EE501" i="30"/>
  <c r="EF501" i="30"/>
  <c r="EG501" i="30"/>
  <c r="EH501" i="30"/>
  <c r="EI501" i="30"/>
  <c r="EJ501" i="30"/>
  <c r="EK501" i="30"/>
  <c r="EL501" i="30"/>
  <c r="EM501" i="30"/>
  <c r="EN501" i="30"/>
  <c r="EO501" i="30"/>
  <c r="EP501" i="30"/>
  <c r="EQ501" i="30"/>
  <c r="ER501" i="30"/>
  <c r="ES501" i="30"/>
  <c r="ET501" i="30"/>
  <c r="EU501" i="30"/>
  <c r="EV501" i="30"/>
  <c r="EW501" i="30"/>
  <c r="EX501" i="30"/>
  <c r="EY501" i="30"/>
  <c r="EZ501" i="30"/>
  <c r="FA501" i="30"/>
  <c r="FB501" i="30"/>
  <c r="FC501" i="30"/>
  <c r="FD501" i="30"/>
  <c r="FE501" i="30"/>
  <c r="FF501" i="30"/>
  <c r="FG501" i="30"/>
  <c r="FH501" i="30"/>
  <c r="FI501" i="30"/>
  <c r="FJ501" i="30"/>
  <c r="FK501" i="30"/>
  <c r="FL501" i="30"/>
  <c r="FM501" i="30"/>
  <c r="FN501" i="30"/>
  <c r="FO501" i="30"/>
  <c r="FP501" i="30"/>
  <c r="FQ501" i="30"/>
  <c r="FR501" i="30"/>
  <c r="FS501" i="30"/>
  <c r="FT501" i="30"/>
  <c r="FU501" i="30"/>
  <c r="FV501" i="30"/>
  <c r="FW501" i="30"/>
  <c r="FX501" i="30"/>
  <c r="FY501" i="30"/>
  <c r="FZ501" i="30"/>
  <c r="GA501" i="30"/>
  <c r="GB501" i="30"/>
  <c r="GC501" i="30"/>
  <c r="GD501" i="30"/>
  <c r="GE501" i="30"/>
  <c r="GF501" i="30"/>
  <c r="GG501" i="30"/>
  <c r="GH501" i="30"/>
  <c r="GI501" i="30"/>
  <c r="GJ501" i="30"/>
  <c r="GK501" i="30"/>
  <c r="GL501" i="30"/>
  <c r="GM501" i="30"/>
  <c r="GN501" i="30"/>
  <c r="GO501" i="30"/>
  <c r="GP501" i="30"/>
  <c r="GQ501" i="30"/>
  <c r="GR501" i="30"/>
  <c r="GS501" i="30"/>
  <c r="GT501" i="30"/>
  <c r="GU501" i="30"/>
  <c r="GV501" i="30"/>
  <c r="GW501" i="30"/>
  <c r="GX501" i="30"/>
  <c r="GY501" i="30"/>
  <c r="GZ501" i="30"/>
  <c r="HA501" i="30"/>
  <c r="HB501" i="30"/>
  <c r="HC501" i="30"/>
  <c r="HD501" i="30"/>
  <c r="HE501" i="30"/>
  <c r="HF501" i="30"/>
  <c r="HG501" i="30"/>
  <c r="HH501" i="30"/>
  <c r="HI501" i="30"/>
  <c r="HJ501" i="30"/>
  <c r="HK501" i="30"/>
  <c r="HL501" i="30"/>
  <c r="HM501" i="30"/>
  <c r="HN501" i="30"/>
  <c r="HO501" i="30"/>
  <c r="HP501" i="30"/>
  <c r="HQ501" i="30"/>
  <c r="HR501" i="30"/>
  <c r="HS501" i="30"/>
  <c r="HT501" i="30"/>
  <c r="HU501" i="30"/>
  <c r="HV501" i="30"/>
  <c r="HW501" i="30"/>
  <c r="HX501" i="30"/>
  <c r="HY501" i="30"/>
  <c r="HZ501" i="30"/>
  <c r="IA501" i="30"/>
  <c r="IB501" i="30"/>
  <c r="IC501" i="30"/>
  <c r="ID501" i="30"/>
  <c r="IE501" i="30"/>
  <c r="IF501" i="30"/>
  <c r="IG501" i="30"/>
  <c r="IH501" i="30"/>
  <c r="II501" i="30"/>
  <c r="IJ501" i="30"/>
  <c r="IK501" i="30"/>
  <c r="IL501" i="30"/>
  <c r="IM501" i="30"/>
  <c r="IN501" i="30"/>
  <c r="IO501" i="30"/>
  <c r="IP501" i="30"/>
  <c r="IQ501" i="30"/>
  <c r="IR501" i="30"/>
  <c r="IS501" i="30"/>
  <c r="IT501" i="30"/>
  <c r="IU501" i="30"/>
  <c r="IV501" i="30"/>
  <c r="A500" i="30"/>
  <c r="B500" i="30"/>
  <c r="C500" i="30"/>
  <c r="D500" i="30"/>
  <c r="E500" i="30"/>
  <c r="F500" i="30"/>
  <c r="G500" i="30"/>
  <c r="H500" i="30"/>
  <c r="I500" i="30"/>
  <c r="J500" i="30"/>
  <c r="K500" i="30"/>
  <c r="L500" i="30"/>
  <c r="M500" i="30"/>
  <c r="N500" i="30"/>
  <c r="O500" i="30"/>
  <c r="P500" i="30"/>
  <c r="Q500" i="30"/>
  <c r="R500" i="30"/>
  <c r="S500" i="30"/>
  <c r="T500" i="30"/>
  <c r="U500" i="30"/>
  <c r="V500" i="30"/>
  <c r="W500" i="30"/>
  <c r="X500" i="30"/>
  <c r="Y500" i="30"/>
  <c r="Z500" i="30"/>
  <c r="AA500" i="30"/>
  <c r="AB500" i="30"/>
  <c r="AC500" i="30"/>
  <c r="AD500" i="30"/>
  <c r="AE500" i="30"/>
  <c r="AF500" i="30"/>
  <c r="AG500" i="30"/>
  <c r="AH500" i="30"/>
  <c r="AI500" i="30"/>
  <c r="AJ500" i="30"/>
  <c r="AK500" i="30"/>
  <c r="AL500" i="30"/>
  <c r="AM500" i="30"/>
  <c r="AN500" i="30"/>
  <c r="AO500" i="30"/>
  <c r="AP500" i="30"/>
  <c r="AQ500" i="30"/>
  <c r="AR500" i="30"/>
  <c r="AS500" i="30"/>
  <c r="AT500" i="30"/>
  <c r="AU500" i="30"/>
  <c r="AV500" i="30"/>
  <c r="AW500" i="30"/>
  <c r="AX500" i="30"/>
  <c r="AY500" i="30"/>
  <c r="AZ500" i="30"/>
  <c r="BA500" i="30"/>
  <c r="BB500" i="30"/>
  <c r="BC500" i="30"/>
  <c r="BD500" i="30"/>
  <c r="BE500" i="30"/>
  <c r="BF500" i="30"/>
  <c r="BG500" i="30"/>
  <c r="BH500" i="30"/>
  <c r="BI500" i="30"/>
  <c r="BJ500" i="30"/>
  <c r="BK500" i="30"/>
  <c r="BL500" i="30"/>
  <c r="BM500" i="30"/>
  <c r="BN500" i="30"/>
  <c r="BO500" i="30"/>
  <c r="BP500" i="30"/>
  <c r="BQ500" i="30"/>
  <c r="BR500" i="30"/>
  <c r="BS500" i="30"/>
  <c r="BT500" i="30"/>
  <c r="BU500" i="30"/>
  <c r="BV500" i="30"/>
  <c r="BW500" i="30"/>
  <c r="BX500" i="30"/>
  <c r="BY500" i="30"/>
  <c r="BZ500" i="30"/>
  <c r="CA500" i="30"/>
  <c r="CB500" i="30"/>
  <c r="CC500" i="30"/>
  <c r="CD500" i="30"/>
  <c r="CE500" i="30"/>
  <c r="CF500" i="30"/>
  <c r="CG500" i="30"/>
  <c r="CH500" i="30"/>
  <c r="CI500" i="30"/>
  <c r="CJ500" i="30"/>
  <c r="CK500" i="30"/>
  <c r="CL500" i="30"/>
  <c r="CM500" i="30"/>
  <c r="CN500" i="30"/>
  <c r="CO500" i="30"/>
  <c r="CP500" i="30"/>
  <c r="CQ500" i="30"/>
  <c r="CR500" i="30"/>
  <c r="CS500" i="30"/>
  <c r="CT500" i="30"/>
  <c r="CU500" i="30"/>
  <c r="CV500" i="30"/>
  <c r="CW500" i="30"/>
  <c r="CX500" i="30"/>
  <c r="CY500" i="30"/>
  <c r="CZ500" i="30"/>
  <c r="DA500" i="30"/>
  <c r="DB500" i="30"/>
  <c r="DC500" i="30"/>
  <c r="DD500" i="30"/>
  <c r="DE500" i="30"/>
  <c r="DF500" i="30"/>
  <c r="DG500" i="30"/>
  <c r="DH500" i="30"/>
  <c r="DI500" i="30"/>
  <c r="DJ500" i="30"/>
  <c r="DK500" i="30"/>
  <c r="DL500" i="30"/>
  <c r="DM500" i="30"/>
  <c r="DN500" i="30"/>
  <c r="DO500" i="30"/>
  <c r="DP500" i="30"/>
  <c r="DQ500" i="30"/>
  <c r="DR500" i="30"/>
  <c r="DS500" i="30"/>
  <c r="DT500" i="30"/>
  <c r="DU500" i="30"/>
  <c r="DV500" i="30"/>
  <c r="DW500" i="30"/>
  <c r="DX500" i="30"/>
  <c r="DY500" i="30"/>
  <c r="DZ500" i="30"/>
  <c r="EA500" i="30"/>
  <c r="EB500" i="30"/>
  <c r="EC500" i="30"/>
  <c r="ED500" i="30"/>
  <c r="EE500" i="30"/>
  <c r="EF500" i="30"/>
  <c r="EG500" i="30"/>
  <c r="EH500" i="30"/>
  <c r="EI500" i="30"/>
  <c r="EJ500" i="30"/>
  <c r="EK500" i="30"/>
  <c r="EL500" i="30"/>
  <c r="EM500" i="30"/>
  <c r="EN500" i="30"/>
  <c r="EO500" i="30"/>
  <c r="EP500" i="30"/>
  <c r="EQ500" i="30"/>
  <c r="ER500" i="30"/>
  <c r="ES500" i="30"/>
  <c r="ET500" i="30"/>
  <c r="EU500" i="30"/>
  <c r="EV500" i="30"/>
  <c r="EW500" i="30"/>
  <c r="EX500" i="30"/>
  <c r="EY500" i="30"/>
  <c r="EZ500" i="30"/>
  <c r="FA500" i="30"/>
  <c r="FB500" i="30"/>
  <c r="FC500" i="30"/>
  <c r="FD500" i="30"/>
  <c r="FE500" i="30"/>
  <c r="FF500" i="30"/>
  <c r="FG500" i="30"/>
  <c r="FH500" i="30"/>
  <c r="FI500" i="30"/>
  <c r="FJ500" i="30"/>
  <c r="FK500" i="30"/>
  <c r="FL500" i="30"/>
  <c r="FM500" i="30"/>
  <c r="FN500" i="30"/>
  <c r="FO500" i="30"/>
  <c r="FP500" i="30"/>
  <c r="FQ500" i="30"/>
  <c r="FR500" i="30"/>
  <c r="FS500" i="30"/>
  <c r="FT500" i="30"/>
  <c r="FU500" i="30"/>
  <c r="FV500" i="30"/>
  <c r="FW500" i="30"/>
  <c r="FX500" i="30"/>
  <c r="FY500" i="30"/>
  <c r="FZ500" i="30"/>
  <c r="GA500" i="30"/>
  <c r="GB500" i="30"/>
  <c r="GC500" i="30"/>
  <c r="GD500" i="30"/>
  <c r="GE500" i="30"/>
  <c r="GF500" i="30"/>
  <c r="GG500" i="30"/>
  <c r="GH500" i="30"/>
  <c r="GI500" i="30"/>
  <c r="GJ500" i="30"/>
  <c r="GK500" i="30"/>
  <c r="GL500" i="30"/>
  <c r="GM500" i="30"/>
  <c r="GN500" i="30"/>
  <c r="GO500" i="30"/>
  <c r="GP500" i="30"/>
  <c r="GQ500" i="30"/>
  <c r="GR500" i="30"/>
  <c r="GS500" i="30"/>
  <c r="GT500" i="30"/>
  <c r="GU500" i="30"/>
  <c r="GV500" i="30"/>
  <c r="GW500" i="30"/>
  <c r="GX500" i="30"/>
  <c r="GY500" i="30"/>
  <c r="GZ500" i="30"/>
  <c r="HA500" i="30"/>
  <c r="HB500" i="30"/>
  <c r="HC500" i="30"/>
  <c r="HD500" i="30"/>
  <c r="HE500" i="30"/>
  <c r="HF500" i="30"/>
  <c r="HG500" i="30"/>
  <c r="HH500" i="30"/>
  <c r="HI500" i="30"/>
  <c r="HJ500" i="30"/>
  <c r="HK500" i="30"/>
  <c r="HL500" i="30"/>
  <c r="HM500" i="30"/>
  <c r="HN500" i="30"/>
  <c r="HO500" i="30"/>
  <c r="HP500" i="30"/>
  <c r="HQ500" i="30"/>
  <c r="HR500" i="30"/>
  <c r="HS500" i="30"/>
  <c r="HT500" i="30"/>
  <c r="HU500" i="30"/>
  <c r="HV500" i="30"/>
  <c r="HW500" i="30"/>
  <c r="HX500" i="30"/>
  <c r="HY500" i="30"/>
  <c r="HZ500" i="30"/>
  <c r="IA500" i="30"/>
  <c r="IB500" i="30"/>
  <c r="IC500" i="30"/>
  <c r="ID500" i="30"/>
  <c r="IE500" i="30"/>
  <c r="IF500" i="30"/>
  <c r="IG500" i="30"/>
  <c r="IH500" i="30"/>
  <c r="II500" i="30"/>
  <c r="IJ500" i="30"/>
  <c r="IK500" i="30"/>
  <c r="IL500" i="30"/>
  <c r="IM500" i="30"/>
  <c r="IN500" i="30"/>
  <c r="IO500" i="30"/>
  <c r="IP500" i="30"/>
  <c r="IQ500" i="30"/>
  <c r="IR500" i="30"/>
  <c r="IS500" i="30"/>
  <c r="IT500" i="30"/>
  <c r="IU500" i="30"/>
  <c r="IV500" i="30"/>
  <c r="A499" i="30"/>
  <c r="B499" i="30"/>
  <c r="C499" i="30"/>
  <c r="D499" i="30"/>
  <c r="E499" i="30"/>
  <c r="F499" i="30"/>
  <c r="G499" i="30"/>
  <c r="H499" i="30"/>
  <c r="I499" i="30"/>
  <c r="J499" i="30"/>
  <c r="K499" i="30"/>
  <c r="L499" i="30"/>
  <c r="M499" i="30"/>
  <c r="N499" i="30"/>
  <c r="O499" i="30"/>
  <c r="P499" i="30"/>
  <c r="Q499" i="30"/>
  <c r="R499" i="30"/>
  <c r="S499" i="30"/>
  <c r="T499" i="30"/>
  <c r="U499" i="30"/>
  <c r="V499" i="30"/>
  <c r="W499" i="30"/>
  <c r="X499" i="30"/>
  <c r="Y499" i="30"/>
  <c r="Z499" i="30"/>
  <c r="AA499" i="30"/>
  <c r="AB499" i="30"/>
  <c r="AC499" i="30"/>
  <c r="AD499" i="30"/>
  <c r="AE499" i="30"/>
  <c r="AF499" i="30"/>
  <c r="AG499" i="30"/>
  <c r="AH499" i="30"/>
  <c r="AI499" i="30"/>
  <c r="AJ499" i="30"/>
  <c r="AK499" i="30"/>
  <c r="AL499" i="30"/>
  <c r="AM499" i="30"/>
  <c r="AN499" i="30"/>
  <c r="AO499" i="30"/>
  <c r="AP499" i="30"/>
  <c r="AQ499" i="30"/>
  <c r="AR499" i="30"/>
  <c r="AS499" i="30"/>
  <c r="AT499" i="30"/>
  <c r="AU499" i="30"/>
  <c r="AV499" i="30"/>
  <c r="AW499" i="30"/>
  <c r="AX499" i="30"/>
  <c r="AY499" i="30"/>
  <c r="AZ499" i="30"/>
  <c r="BA499" i="30"/>
  <c r="BB499" i="30"/>
  <c r="BC499" i="30"/>
  <c r="BD499" i="30"/>
  <c r="BE499" i="30"/>
  <c r="BF499" i="30"/>
  <c r="BG499" i="30"/>
  <c r="BH499" i="30"/>
  <c r="BI499" i="30"/>
  <c r="BJ499" i="30"/>
  <c r="BK499" i="30"/>
  <c r="BL499" i="30"/>
  <c r="BM499" i="30"/>
  <c r="BN499" i="30"/>
  <c r="BO499" i="30"/>
  <c r="BP499" i="30"/>
  <c r="BQ499" i="30"/>
  <c r="BR499" i="30"/>
  <c r="BS499" i="30"/>
  <c r="BT499" i="30"/>
  <c r="BU499" i="30"/>
  <c r="BV499" i="30"/>
  <c r="BW499" i="30"/>
  <c r="BX499" i="30"/>
  <c r="BY499" i="30"/>
  <c r="BZ499" i="30"/>
  <c r="CA499" i="30"/>
  <c r="CB499" i="30"/>
  <c r="CC499" i="30"/>
  <c r="CD499" i="30"/>
  <c r="CE499" i="30"/>
  <c r="CF499" i="30"/>
  <c r="CG499" i="30"/>
  <c r="CH499" i="30"/>
  <c r="CI499" i="30"/>
  <c r="CJ499" i="30"/>
  <c r="CK499" i="30"/>
  <c r="CL499" i="30"/>
  <c r="CM499" i="30"/>
  <c r="CN499" i="30"/>
  <c r="CO499" i="30"/>
  <c r="CP499" i="30"/>
  <c r="CQ499" i="30"/>
  <c r="CR499" i="30"/>
  <c r="CS499" i="30"/>
  <c r="CT499" i="30"/>
  <c r="CU499" i="30"/>
  <c r="CV499" i="30"/>
  <c r="CW499" i="30"/>
  <c r="CX499" i="30"/>
  <c r="CY499" i="30"/>
  <c r="CZ499" i="30"/>
  <c r="DA499" i="30"/>
  <c r="DB499" i="30"/>
  <c r="DC499" i="30"/>
  <c r="DD499" i="30"/>
  <c r="DE499" i="30"/>
  <c r="DF499" i="30"/>
  <c r="DG499" i="30"/>
  <c r="DH499" i="30"/>
  <c r="DI499" i="30"/>
  <c r="DJ499" i="30"/>
  <c r="DK499" i="30"/>
  <c r="DL499" i="30"/>
  <c r="DM499" i="30"/>
  <c r="DN499" i="30"/>
  <c r="DO499" i="30"/>
  <c r="DP499" i="30"/>
  <c r="DQ499" i="30"/>
  <c r="DR499" i="30"/>
  <c r="DS499" i="30"/>
  <c r="DT499" i="30"/>
  <c r="DU499" i="30"/>
  <c r="DV499" i="30"/>
  <c r="DW499" i="30"/>
  <c r="DX499" i="30"/>
  <c r="DY499" i="30"/>
  <c r="DZ499" i="30"/>
  <c r="EA499" i="30"/>
  <c r="EB499" i="30"/>
  <c r="EC499" i="30"/>
  <c r="ED499" i="30"/>
  <c r="EE499" i="30"/>
  <c r="EF499" i="30"/>
  <c r="EG499" i="30"/>
  <c r="EH499" i="30"/>
  <c r="EI499" i="30"/>
  <c r="EJ499" i="30"/>
  <c r="EK499" i="30"/>
  <c r="EL499" i="30"/>
  <c r="EM499" i="30"/>
  <c r="EN499" i="30"/>
  <c r="EO499" i="30"/>
  <c r="EP499" i="30"/>
  <c r="EQ499" i="30"/>
  <c r="ER499" i="30"/>
  <c r="ES499" i="30"/>
  <c r="ET499" i="30"/>
  <c r="EU499" i="30"/>
  <c r="EV499" i="30"/>
  <c r="EW499" i="30"/>
  <c r="EX499" i="30"/>
  <c r="EY499" i="30"/>
  <c r="EZ499" i="30"/>
  <c r="FA499" i="30"/>
  <c r="FB499" i="30"/>
  <c r="FC499" i="30"/>
  <c r="FD499" i="30"/>
  <c r="FE499" i="30"/>
  <c r="FF499" i="30"/>
  <c r="FG499" i="30"/>
  <c r="FH499" i="30"/>
  <c r="FI499" i="30"/>
  <c r="FJ499" i="30"/>
  <c r="FK499" i="30"/>
  <c r="FL499" i="30"/>
  <c r="FM499" i="30"/>
  <c r="FN499" i="30"/>
  <c r="FO499" i="30"/>
  <c r="FP499" i="30"/>
  <c r="FQ499" i="30"/>
  <c r="FR499" i="30"/>
  <c r="FS499" i="30"/>
  <c r="FT499" i="30"/>
  <c r="FU499" i="30"/>
  <c r="FV499" i="30"/>
  <c r="FW499" i="30"/>
  <c r="FX499" i="30"/>
  <c r="FY499" i="30"/>
  <c r="FZ499" i="30"/>
  <c r="GA499" i="30"/>
  <c r="GB499" i="30"/>
  <c r="GC499" i="30"/>
  <c r="GD499" i="30"/>
  <c r="GE499" i="30"/>
  <c r="GF499" i="30"/>
  <c r="GG499" i="30"/>
  <c r="GH499" i="30"/>
  <c r="GI499" i="30"/>
  <c r="GJ499" i="30"/>
  <c r="GK499" i="30"/>
  <c r="GL499" i="30"/>
  <c r="GM499" i="30"/>
  <c r="GN499" i="30"/>
  <c r="GO499" i="30"/>
  <c r="GP499" i="30"/>
  <c r="GQ499" i="30"/>
  <c r="GR499" i="30"/>
  <c r="GS499" i="30"/>
  <c r="GT499" i="30"/>
  <c r="GU499" i="30"/>
  <c r="GV499" i="30"/>
  <c r="GW499" i="30"/>
  <c r="GX499" i="30"/>
  <c r="GY499" i="30"/>
  <c r="GZ499" i="30"/>
  <c r="HA499" i="30"/>
  <c r="HB499" i="30"/>
  <c r="HC499" i="30"/>
  <c r="HD499" i="30"/>
  <c r="HE499" i="30"/>
  <c r="HF499" i="30"/>
  <c r="HG499" i="30"/>
  <c r="HH499" i="30"/>
  <c r="HI499" i="30"/>
  <c r="HJ499" i="30"/>
  <c r="HK499" i="30"/>
  <c r="HL499" i="30"/>
  <c r="HM499" i="30"/>
  <c r="HN499" i="30"/>
  <c r="HO499" i="30"/>
  <c r="HP499" i="30"/>
  <c r="HQ499" i="30"/>
  <c r="HR499" i="30"/>
  <c r="HS499" i="30"/>
  <c r="HT499" i="30"/>
  <c r="HU499" i="30"/>
  <c r="HV499" i="30"/>
  <c r="HW499" i="30"/>
  <c r="HX499" i="30"/>
  <c r="HY499" i="30"/>
  <c r="HZ499" i="30"/>
  <c r="IA499" i="30"/>
  <c r="IB499" i="30"/>
  <c r="IC499" i="30"/>
  <c r="ID499" i="30"/>
  <c r="IE499" i="30"/>
  <c r="IF499" i="30"/>
  <c r="IG499" i="30"/>
  <c r="IH499" i="30"/>
  <c r="II499" i="30"/>
  <c r="IJ499" i="30"/>
  <c r="IK499" i="30"/>
  <c r="IL499" i="30"/>
  <c r="IM499" i="30"/>
  <c r="IN499" i="30"/>
  <c r="IO499" i="30"/>
  <c r="IP499" i="30"/>
  <c r="IQ499" i="30"/>
  <c r="IR499" i="30"/>
  <c r="IS499" i="30"/>
  <c r="IT499" i="30"/>
  <c r="IU499" i="30"/>
  <c r="IV499" i="30"/>
  <c r="A498" i="30"/>
  <c r="B498" i="30"/>
  <c r="C498" i="30"/>
  <c r="D498" i="30"/>
  <c r="E498" i="30"/>
  <c r="F498" i="30"/>
  <c r="G498" i="30"/>
  <c r="H498" i="30"/>
  <c r="I498" i="30"/>
  <c r="J498" i="30"/>
  <c r="K498" i="30"/>
  <c r="L498" i="30"/>
  <c r="M498" i="30"/>
  <c r="N498" i="30"/>
  <c r="O498" i="30"/>
  <c r="P498" i="30"/>
  <c r="Q498" i="30"/>
  <c r="R498" i="30"/>
  <c r="S498" i="30"/>
  <c r="T498" i="30"/>
  <c r="U498" i="30"/>
  <c r="V498" i="30"/>
  <c r="W498" i="30"/>
  <c r="X498" i="30"/>
  <c r="Y498" i="30"/>
  <c r="Z498" i="30"/>
  <c r="AA498" i="30"/>
  <c r="AB498" i="30"/>
  <c r="AC498" i="30"/>
  <c r="AD498" i="30"/>
  <c r="AE498" i="30"/>
  <c r="AF498" i="30"/>
  <c r="AG498" i="30"/>
  <c r="AH498" i="30"/>
  <c r="AI498" i="30"/>
  <c r="AJ498" i="30"/>
  <c r="AK498" i="30"/>
  <c r="AL498" i="30"/>
  <c r="AM498" i="30"/>
  <c r="AN498" i="30"/>
  <c r="AO498" i="30"/>
  <c r="AP498" i="30"/>
  <c r="AQ498" i="30"/>
  <c r="AR498" i="30"/>
  <c r="AS498" i="30"/>
  <c r="AT498" i="30"/>
  <c r="AU498" i="30"/>
  <c r="AV498" i="30"/>
  <c r="AW498" i="30"/>
  <c r="AX498" i="30"/>
  <c r="AY498" i="30"/>
  <c r="AZ498" i="30"/>
  <c r="BA498" i="30"/>
  <c r="BB498" i="30"/>
  <c r="BC498" i="30"/>
  <c r="BD498" i="30"/>
  <c r="BE498" i="30"/>
  <c r="BF498" i="30"/>
  <c r="BG498" i="30"/>
  <c r="BH498" i="30"/>
  <c r="BI498" i="30"/>
  <c r="BJ498" i="30"/>
  <c r="BK498" i="30"/>
  <c r="BL498" i="30"/>
  <c r="BM498" i="30"/>
  <c r="BN498" i="30"/>
  <c r="BO498" i="30"/>
  <c r="BP498" i="30"/>
  <c r="BQ498" i="30"/>
  <c r="BR498" i="30"/>
  <c r="BS498" i="30"/>
  <c r="BT498" i="30"/>
  <c r="BU498" i="30"/>
  <c r="BV498" i="30"/>
  <c r="BW498" i="30"/>
  <c r="BX498" i="30"/>
  <c r="BY498" i="30"/>
  <c r="BZ498" i="30"/>
  <c r="CA498" i="30"/>
  <c r="CB498" i="30"/>
  <c r="CC498" i="30"/>
  <c r="CD498" i="30"/>
  <c r="CE498" i="30"/>
  <c r="CF498" i="30"/>
  <c r="CG498" i="30"/>
  <c r="CH498" i="30"/>
  <c r="CI498" i="30"/>
  <c r="CJ498" i="30"/>
  <c r="CK498" i="30"/>
  <c r="CL498" i="30"/>
  <c r="CM498" i="30"/>
  <c r="CN498" i="30"/>
  <c r="CO498" i="30"/>
  <c r="CP498" i="30"/>
  <c r="CQ498" i="30"/>
  <c r="CR498" i="30"/>
  <c r="CS498" i="30"/>
  <c r="CT498" i="30"/>
  <c r="CU498" i="30"/>
  <c r="CV498" i="30"/>
  <c r="CW498" i="30"/>
  <c r="CX498" i="30"/>
  <c r="CY498" i="30"/>
  <c r="CZ498" i="30"/>
  <c r="DA498" i="30"/>
  <c r="DB498" i="30"/>
  <c r="DC498" i="30"/>
  <c r="DD498" i="30"/>
  <c r="DE498" i="30"/>
  <c r="DF498" i="30"/>
  <c r="DG498" i="30"/>
  <c r="DH498" i="30"/>
  <c r="DI498" i="30"/>
  <c r="DJ498" i="30"/>
  <c r="DK498" i="30"/>
  <c r="DL498" i="30"/>
  <c r="DM498" i="30"/>
  <c r="DN498" i="30"/>
  <c r="DO498" i="30"/>
  <c r="DP498" i="30"/>
  <c r="DQ498" i="30"/>
  <c r="DR498" i="30"/>
  <c r="DS498" i="30"/>
  <c r="DT498" i="30"/>
  <c r="DU498" i="30"/>
  <c r="DV498" i="30"/>
  <c r="DW498" i="30"/>
  <c r="DX498" i="30"/>
  <c r="DY498" i="30"/>
  <c r="DZ498" i="30"/>
  <c r="EA498" i="30"/>
  <c r="EB498" i="30"/>
  <c r="EC498" i="30"/>
  <c r="ED498" i="30"/>
  <c r="EE498" i="30"/>
  <c r="EF498" i="30"/>
  <c r="EG498" i="30"/>
  <c r="EH498" i="30"/>
  <c r="EI498" i="30"/>
  <c r="EJ498" i="30"/>
  <c r="EK498" i="30"/>
  <c r="EL498" i="30"/>
  <c r="EM498" i="30"/>
  <c r="EN498" i="30"/>
  <c r="EO498" i="30"/>
  <c r="EP498" i="30"/>
  <c r="EQ498" i="30"/>
  <c r="ER498" i="30"/>
  <c r="ES498" i="30"/>
  <c r="ET498" i="30"/>
  <c r="EU498" i="30"/>
  <c r="EV498" i="30"/>
  <c r="EW498" i="30"/>
  <c r="EX498" i="30"/>
  <c r="EY498" i="30"/>
  <c r="EZ498" i="30"/>
  <c r="FA498" i="30"/>
  <c r="FB498" i="30"/>
  <c r="FC498" i="30"/>
  <c r="FD498" i="30"/>
  <c r="FE498" i="30"/>
  <c r="FF498" i="30"/>
  <c r="FG498" i="30"/>
  <c r="FH498" i="30"/>
  <c r="FI498" i="30"/>
  <c r="FJ498" i="30"/>
  <c r="FK498" i="30"/>
  <c r="FL498" i="30"/>
  <c r="FM498" i="30"/>
  <c r="FN498" i="30"/>
  <c r="FO498" i="30"/>
  <c r="FP498" i="30"/>
  <c r="FQ498" i="30"/>
  <c r="FR498" i="30"/>
  <c r="FS498" i="30"/>
  <c r="FT498" i="30"/>
  <c r="FU498" i="30"/>
  <c r="FV498" i="30"/>
  <c r="FW498" i="30"/>
  <c r="FX498" i="30"/>
  <c r="FY498" i="30"/>
  <c r="FZ498" i="30"/>
  <c r="GA498" i="30"/>
  <c r="GB498" i="30"/>
  <c r="GC498" i="30"/>
  <c r="GD498" i="30"/>
  <c r="GE498" i="30"/>
  <c r="GF498" i="30"/>
  <c r="GG498" i="30"/>
  <c r="GH498" i="30"/>
  <c r="GI498" i="30"/>
  <c r="GJ498" i="30"/>
  <c r="GK498" i="30"/>
  <c r="GL498" i="30"/>
  <c r="GM498" i="30"/>
  <c r="GN498" i="30"/>
  <c r="GO498" i="30"/>
  <c r="GP498" i="30"/>
  <c r="GQ498" i="30"/>
  <c r="GR498" i="30"/>
  <c r="GS498" i="30"/>
  <c r="GT498" i="30"/>
  <c r="GU498" i="30"/>
  <c r="GV498" i="30"/>
  <c r="GW498" i="30"/>
  <c r="GX498" i="30"/>
  <c r="GY498" i="30"/>
  <c r="GZ498" i="30"/>
  <c r="HA498" i="30"/>
  <c r="HB498" i="30"/>
  <c r="HC498" i="30"/>
  <c r="HD498" i="30"/>
  <c r="HE498" i="30"/>
  <c r="HF498" i="30"/>
  <c r="HG498" i="30"/>
  <c r="HH498" i="30"/>
  <c r="HI498" i="30"/>
  <c r="HJ498" i="30"/>
  <c r="HK498" i="30"/>
  <c r="HL498" i="30"/>
  <c r="HM498" i="30"/>
  <c r="HN498" i="30"/>
  <c r="HO498" i="30"/>
  <c r="HP498" i="30"/>
  <c r="HQ498" i="30"/>
  <c r="HR498" i="30"/>
  <c r="HS498" i="30"/>
  <c r="HT498" i="30"/>
  <c r="HU498" i="30"/>
  <c r="HV498" i="30"/>
  <c r="HW498" i="30"/>
  <c r="HX498" i="30"/>
  <c r="HY498" i="30"/>
  <c r="HZ498" i="30"/>
  <c r="IA498" i="30"/>
  <c r="IB498" i="30"/>
  <c r="IC498" i="30"/>
  <c r="ID498" i="30"/>
  <c r="IE498" i="30"/>
  <c r="IF498" i="30"/>
  <c r="IG498" i="30"/>
  <c r="IH498" i="30"/>
  <c r="II498" i="30"/>
  <c r="IJ498" i="30"/>
  <c r="IK498" i="30"/>
  <c r="IL498" i="30"/>
  <c r="IM498" i="30"/>
  <c r="IN498" i="30"/>
  <c r="IO498" i="30"/>
  <c r="IP498" i="30"/>
  <c r="IQ498" i="30"/>
  <c r="IR498" i="30"/>
  <c r="IS498" i="30"/>
  <c r="IT498" i="30"/>
  <c r="IU498" i="30"/>
  <c r="IV498" i="30"/>
  <c r="A497" i="30"/>
  <c r="B497" i="30"/>
  <c r="C497" i="30"/>
  <c r="D497" i="30"/>
  <c r="E497" i="30"/>
  <c r="F497" i="30"/>
  <c r="G497" i="30"/>
  <c r="H497" i="30"/>
  <c r="I497" i="30"/>
  <c r="J497" i="30"/>
  <c r="K497" i="30"/>
  <c r="L497" i="30"/>
  <c r="M497" i="30"/>
  <c r="N497" i="30"/>
  <c r="O497" i="30"/>
  <c r="P497" i="30"/>
  <c r="Q497" i="30"/>
  <c r="R497" i="30"/>
  <c r="S497" i="30"/>
  <c r="T497" i="30"/>
  <c r="U497" i="30"/>
  <c r="V497" i="30"/>
  <c r="W497" i="30"/>
  <c r="X497" i="30"/>
  <c r="Y497" i="30"/>
  <c r="Z497" i="30"/>
  <c r="AA497" i="30"/>
  <c r="AB497" i="30"/>
  <c r="AC497" i="30"/>
  <c r="AD497" i="30"/>
  <c r="AE497" i="30"/>
  <c r="AF497" i="30"/>
  <c r="AG497" i="30"/>
  <c r="AH497" i="30"/>
  <c r="AI497" i="30"/>
  <c r="AJ497" i="30"/>
  <c r="AK497" i="30"/>
  <c r="AL497" i="30"/>
  <c r="AM497" i="30"/>
  <c r="AN497" i="30"/>
  <c r="AO497" i="30"/>
  <c r="AP497" i="30"/>
  <c r="AQ497" i="30"/>
  <c r="AR497" i="30"/>
  <c r="AS497" i="30"/>
  <c r="AT497" i="30"/>
  <c r="AU497" i="30"/>
  <c r="AV497" i="30"/>
  <c r="AW497" i="30"/>
  <c r="AX497" i="30"/>
  <c r="AY497" i="30"/>
  <c r="AZ497" i="30"/>
  <c r="BA497" i="30"/>
  <c r="BB497" i="30"/>
  <c r="BC497" i="30"/>
  <c r="BD497" i="30"/>
  <c r="BE497" i="30"/>
  <c r="BF497" i="30"/>
  <c r="BG497" i="30"/>
  <c r="BH497" i="30"/>
  <c r="BI497" i="30"/>
  <c r="BJ497" i="30"/>
  <c r="BK497" i="30"/>
  <c r="BL497" i="30"/>
  <c r="BM497" i="30"/>
  <c r="BN497" i="30"/>
  <c r="BO497" i="30"/>
  <c r="BP497" i="30"/>
  <c r="BQ497" i="30"/>
  <c r="BR497" i="30"/>
  <c r="BS497" i="30"/>
  <c r="BT497" i="30"/>
  <c r="BU497" i="30"/>
  <c r="BV497" i="30"/>
  <c r="BW497" i="30"/>
  <c r="BX497" i="30"/>
  <c r="BY497" i="30"/>
  <c r="BZ497" i="30"/>
  <c r="CA497" i="30"/>
  <c r="CB497" i="30"/>
  <c r="CC497" i="30"/>
  <c r="CD497" i="30"/>
  <c r="CE497" i="30"/>
  <c r="CF497" i="30"/>
  <c r="CG497" i="30"/>
  <c r="CH497" i="30"/>
  <c r="CI497" i="30"/>
  <c r="CJ497" i="30"/>
  <c r="CK497" i="30"/>
  <c r="CL497" i="30"/>
  <c r="CM497" i="30"/>
  <c r="CN497" i="30"/>
  <c r="CO497" i="30"/>
  <c r="CP497" i="30"/>
  <c r="CQ497" i="30"/>
  <c r="CR497" i="30"/>
  <c r="CS497" i="30"/>
  <c r="CT497" i="30"/>
  <c r="CU497" i="30"/>
  <c r="CV497" i="30"/>
  <c r="CW497" i="30"/>
  <c r="CX497" i="30"/>
  <c r="CY497" i="30"/>
  <c r="CZ497" i="30"/>
  <c r="DA497" i="30"/>
  <c r="DB497" i="30"/>
  <c r="DC497" i="30"/>
  <c r="DD497" i="30"/>
  <c r="DE497" i="30"/>
  <c r="DF497" i="30"/>
  <c r="DG497" i="30"/>
  <c r="DH497" i="30"/>
  <c r="DI497" i="30"/>
  <c r="DJ497" i="30"/>
  <c r="DK497" i="30"/>
  <c r="DL497" i="30"/>
  <c r="DM497" i="30"/>
  <c r="DN497" i="30"/>
  <c r="DO497" i="30"/>
  <c r="DP497" i="30"/>
  <c r="DQ497" i="30"/>
  <c r="DR497" i="30"/>
  <c r="DS497" i="30"/>
  <c r="DT497" i="30"/>
  <c r="DU497" i="30"/>
  <c r="DV497" i="30"/>
  <c r="DW497" i="30"/>
  <c r="DX497" i="30"/>
  <c r="DY497" i="30"/>
  <c r="DZ497" i="30"/>
  <c r="EA497" i="30"/>
  <c r="EB497" i="30"/>
  <c r="EC497" i="30"/>
  <c r="ED497" i="30"/>
  <c r="EE497" i="30"/>
  <c r="EF497" i="30"/>
  <c r="EG497" i="30"/>
  <c r="EH497" i="30"/>
  <c r="EI497" i="30"/>
  <c r="EJ497" i="30"/>
  <c r="EK497" i="30"/>
  <c r="EL497" i="30"/>
  <c r="EM497" i="30"/>
  <c r="EN497" i="30"/>
  <c r="EO497" i="30"/>
  <c r="EP497" i="30"/>
  <c r="EQ497" i="30"/>
  <c r="ER497" i="30"/>
  <c r="ES497" i="30"/>
  <c r="ET497" i="30"/>
  <c r="EU497" i="30"/>
  <c r="EV497" i="30"/>
  <c r="EW497" i="30"/>
  <c r="EX497" i="30"/>
  <c r="EY497" i="30"/>
  <c r="EZ497" i="30"/>
  <c r="FA497" i="30"/>
  <c r="FB497" i="30"/>
  <c r="FC497" i="30"/>
  <c r="FD497" i="30"/>
  <c r="FE497" i="30"/>
  <c r="FF497" i="30"/>
  <c r="FG497" i="30"/>
  <c r="FH497" i="30"/>
  <c r="FI497" i="30"/>
  <c r="FJ497" i="30"/>
  <c r="FK497" i="30"/>
  <c r="FL497" i="30"/>
  <c r="FM497" i="30"/>
  <c r="FN497" i="30"/>
  <c r="FO497" i="30"/>
  <c r="FP497" i="30"/>
  <c r="FQ497" i="30"/>
  <c r="FR497" i="30"/>
  <c r="FS497" i="30"/>
  <c r="FT497" i="30"/>
  <c r="FU497" i="30"/>
  <c r="FV497" i="30"/>
  <c r="FW497" i="30"/>
  <c r="FX497" i="30"/>
  <c r="FY497" i="30"/>
  <c r="FZ497" i="30"/>
  <c r="GA497" i="30"/>
  <c r="GB497" i="30"/>
  <c r="GC497" i="30"/>
  <c r="GD497" i="30"/>
  <c r="GE497" i="30"/>
  <c r="GF497" i="30"/>
  <c r="GG497" i="30"/>
  <c r="GH497" i="30"/>
  <c r="GI497" i="30"/>
  <c r="GJ497" i="30"/>
  <c r="GK497" i="30"/>
  <c r="GL497" i="30"/>
  <c r="GM497" i="30"/>
  <c r="GN497" i="30"/>
  <c r="GO497" i="30"/>
  <c r="GP497" i="30"/>
  <c r="GQ497" i="30"/>
  <c r="GR497" i="30"/>
  <c r="GS497" i="30"/>
  <c r="GT497" i="30"/>
  <c r="GU497" i="30"/>
  <c r="GV497" i="30"/>
  <c r="GW497" i="30"/>
  <c r="GX497" i="30"/>
  <c r="GY497" i="30"/>
  <c r="GZ497" i="30"/>
  <c r="HA497" i="30"/>
  <c r="HB497" i="30"/>
  <c r="HC497" i="30"/>
  <c r="HD497" i="30"/>
  <c r="HE497" i="30"/>
  <c r="HF497" i="30"/>
  <c r="HG497" i="30"/>
  <c r="HH497" i="30"/>
  <c r="HI497" i="30"/>
  <c r="HJ497" i="30"/>
  <c r="HK497" i="30"/>
  <c r="HL497" i="30"/>
  <c r="HM497" i="30"/>
  <c r="HN497" i="30"/>
  <c r="HO497" i="30"/>
  <c r="HP497" i="30"/>
  <c r="HQ497" i="30"/>
  <c r="HR497" i="30"/>
  <c r="HS497" i="30"/>
  <c r="HT497" i="30"/>
  <c r="HU497" i="30"/>
  <c r="HV497" i="30"/>
  <c r="HW497" i="30"/>
  <c r="HX497" i="30"/>
  <c r="HY497" i="30"/>
  <c r="HZ497" i="30"/>
  <c r="IA497" i="30"/>
  <c r="IB497" i="30"/>
  <c r="IC497" i="30"/>
  <c r="ID497" i="30"/>
  <c r="IE497" i="30"/>
  <c r="IF497" i="30"/>
  <c r="IG497" i="30"/>
  <c r="IH497" i="30"/>
  <c r="II497" i="30"/>
  <c r="IJ497" i="30"/>
  <c r="IK497" i="30"/>
  <c r="IL497" i="30"/>
  <c r="IM497" i="30"/>
  <c r="IN497" i="30"/>
  <c r="IO497" i="30"/>
  <c r="IP497" i="30"/>
  <c r="IQ497" i="30"/>
  <c r="IR497" i="30"/>
  <c r="IS497" i="30"/>
  <c r="IT497" i="30"/>
  <c r="IU497" i="30"/>
  <c r="IV497" i="30"/>
  <c r="A496" i="30"/>
  <c r="B496" i="30"/>
  <c r="C496" i="30"/>
  <c r="D496" i="30"/>
  <c r="E496" i="30"/>
  <c r="F496" i="30"/>
  <c r="G496" i="30"/>
  <c r="H496" i="30"/>
  <c r="I496" i="30"/>
  <c r="J496" i="30"/>
  <c r="K496" i="30"/>
  <c r="L496" i="30"/>
  <c r="M496" i="30"/>
  <c r="N496" i="30"/>
  <c r="O496" i="30"/>
  <c r="P496" i="30"/>
  <c r="Q496" i="30"/>
  <c r="R496" i="30"/>
  <c r="S496" i="30"/>
  <c r="T496" i="30"/>
  <c r="U496" i="30"/>
  <c r="V496" i="30"/>
  <c r="W496" i="30"/>
  <c r="X496" i="30"/>
  <c r="Y496" i="30"/>
  <c r="Z496" i="30"/>
  <c r="AA496" i="30"/>
  <c r="AB496" i="30"/>
  <c r="AC496" i="30"/>
  <c r="AD496" i="30"/>
  <c r="AE496" i="30"/>
  <c r="AF496" i="30"/>
  <c r="AG496" i="30"/>
  <c r="AH496" i="30"/>
  <c r="AI496" i="30"/>
  <c r="AJ496" i="30"/>
  <c r="AK496" i="30"/>
  <c r="AL496" i="30"/>
  <c r="AM496" i="30"/>
  <c r="AN496" i="30"/>
  <c r="AO496" i="30"/>
  <c r="AP496" i="30"/>
  <c r="AQ496" i="30"/>
  <c r="AR496" i="30"/>
  <c r="AS496" i="30"/>
  <c r="AT496" i="30"/>
  <c r="AU496" i="30"/>
  <c r="AV496" i="30"/>
  <c r="AW496" i="30"/>
  <c r="AX496" i="30"/>
  <c r="AY496" i="30"/>
  <c r="AZ496" i="30"/>
  <c r="BA496" i="30"/>
  <c r="BB496" i="30"/>
  <c r="BC496" i="30"/>
  <c r="BD496" i="30"/>
  <c r="BE496" i="30"/>
  <c r="BF496" i="30"/>
  <c r="BG496" i="30"/>
  <c r="BH496" i="30"/>
  <c r="BI496" i="30"/>
  <c r="BJ496" i="30"/>
  <c r="BK496" i="30"/>
  <c r="BL496" i="30"/>
  <c r="BM496" i="30"/>
  <c r="BN496" i="30"/>
  <c r="BO496" i="30"/>
  <c r="BP496" i="30"/>
  <c r="BQ496" i="30"/>
  <c r="BR496" i="30"/>
  <c r="BS496" i="30"/>
  <c r="BT496" i="30"/>
  <c r="BU496" i="30"/>
  <c r="BV496" i="30"/>
  <c r="BW496" i="30"/>
  <c r="BX496" i="30"/>
  <c r="BY496" i="30"/>
  <c r="BZ496" i="30"/>
  <c r="CA496" i="30"/>
  <c r="CB496" i="30"/>
  <c r="CC496" i="30"/>
  <c r="CD496" i="30"/>
  <c r="CE496" i="30"/>
  <c r="CF496" i="30"/>
  <c r="CG496" i="30"/>
  <c r="CH496" i="30"/>
  <c r="CI496" i="30"/>
  <c r="CJ496" i="30"/>
  <c r="CK496" i="30"/>
  <c r="CL496" i="30"/>
  <c r="CM496" i="30"/>
  <c r="CN496" i="30"/>
  <c r="CO496" i="30"/>
  <c r="CP496" i="30"/>
  <c r="CQ496" i="30"/>
  <c r="CR496" i="30"/>
  <c r="CS496" i="30"/>
  <c r="CT496" i="30"/>
  <c r="CU496" i="30"/>
  <c r="CV496" i="30"/>
  <c r="CW496" i="30"/>
  <c r="CX496" i="30"/>
  <c r="CY496" i="30"/>
  <c r="CZ496" i="30"/>
  <c r="DA496" i="30"/>
  <c r="DB496" i="30"/>
  <c r="DC496" i="30"/>
  <c r="DD496" i="30"/>
  <c r="DE496" i="30"/>
  <c r="DF496" i="30"/>
  <c r="DG496" i="30"/>
  <c r="DH496" i="30"/>
  <c r="DI496" i="30"/>
  <c r="DJ496" i="30"/>
  <c r="DK496" i="30"/>
  <c r="DL496" i="30"/>
  <c r="DM496" i="30"/>
  <c r="DN496" i="30"/>
  <c r="DO496" i="30"/>
  <c r="DP496" i="30"/>
  <c r="DQ496" i="30"/>
  <c r="DR496" i="30"/>
  <c r="DS496" i="30"/>
  <c r="DT496" i="30"/>
  <c r="DU496" i="30"/>
  <c r="DV496" i="30"/>
  <c r="DW496" i="30"/>
  <c r="DX496" i="30"/>
  <c r="DY496" i="30"/>
  <c r="DZ496" i="30"/>
  <c r="EA496" i="30"/>
  <c r="EB496" i="30"/>
  <c r="EC496" i="30"/>
  <c r="ED496" i="30"/>
  <c r="EE496" i="30"/>
  <c r="EF496" i="30"/>
  <c r="EG496" i="30"/>
  <c r="EH496" i="30"/>
  <c r="EI496" i="30"/>
  <c r="EJ496" i="30"/>
  <c r="EK496" i="30"/>
  <c r="EL496" i="30"/>
  <c r="EM496" i="30"/>
  <c r="EN496" i="30"/>
  <c r="EO496" i="30"/>
  <c r="EP496" i="30"/>
  <c r="EQ496" i="30"/>
  <c r="ER496" i="30"/>
  <c r="ES496" i="30"/>
  <c r="ET496" i="30"/>
  <c r="EU496" i="30"/>
  <c r="EV496" i="30"/>
  <c r="EW496" i="30"/>
  <c r="EX496" i="30"/>
  <c r="EY496" i="30"/>
  <c r="EZ496" i="30"/>
  <c r="FA496" i="30"/>
  <c r="FB496" i="30"/>
  <c r="FC496" i="30"/>
  <c r="FD496" i="30"/>
  <c r="FE496" i="30"/>
  <c r="FF496" i="30"/>
  <c r="FG496" i="30"/>
  <c r="FH496" i="30"/>
  <c r="FI496" i="30"/>
  <c r="FJ496" i="30"/>
  <c r="FK496" i="30"/>
  <c r="FL496" i="30"/>
  <c r="FM496" i="30"/>
  <c r="FN496" i="30"/>
  <c r="FO496" i="30"/>
  <c r="FP496" i="30"/>
  <c r="FQ496" i="30"/>
  <c r="FR496" i="30"/>
  <c r="FS496" i="30"/>
  <c r="FT496" i="30"/>
  <c r="FU496" i="30"/>
  <c r="FV496" i="30"/>
  <c r="FW496" i="30"/>
  <c r="FX496" i="30"/>
  <c r="FY496" i="30"/>
  <c r="FZ496" i="30"/>
  <c r="GA496" i="30"/>
  <c r="GB496" i="30"/>
  <c r="GC496" i="30"/>
  <c r="GD496" i="30"/>
  <c r="GE496" i="30"/>
  <c r="GF496" i="30"/>
  <c r="GG496" i="30"/>
  <c r="GH496" i="30"/>
  <c r="GI496" i="30"/>
  <c r="GJ496" i="30"/>
  <c r="GK496" i="30"/>
  <c r="GL496" i="30"/>
  <c r="GM496" i="30"/>
  <c r="GN496" i="30"/>
  <c r="GO496" i="30"/>
  <c r="GP496" i="30"/>
  <c r="GQ496" i="30"/>
  <c r="GR496" i="30"/>
  <c r="GS496" i="30"/>
  <c r="GT496" i="30"/>
  <c r="GU496" i="30"/>
  <c r="GV496" i="30"/>
  <c r="GW496" i="30"/>
  <c r="GX496" i="30"/>
  <c r="GY496" i="30"/>
  <c r="GZ496" i="30"/>
  <c r="HA496" i="30"/>
  <c r="HB496" i="30"/>
  <c r="HC496" i="30"/>
  <c r="HD496" i="30"/>
  <c r="HE496" i="30"/>
  <c r="HF496" i="30"/>
  <c r="HG496" i="30"/>
  <c r="HH496" i="30"/>
  <c r="HI496" i="30"/>
  <c r="HJ496" i="30"/>
  <c r="HK496" i="30"/>
  <c r="HL496" i="30"/>
  <c r="HM496" i="30"/>
  <c r="HN496" i="30"/>
  <c r="HO496" i="30"/>
  <c r="HP496" i="30"/>
  <c r="HQ496" i="30"/>
  <c r="HR496" i="30"/>
  <c r="HS496" i="30"/>
  <c r="HT496" i="30"/>
  <c r="HU496" i="30"/>
  <c r="HV496" i="30"/>
  <c r="HW496" i="30"/>
  <c r="HX496" i="30"/>
  <c r="HY496" i="30"/>
  <c r="HZ496" i="30"/>
  <c r="IA496" i="30"/>
  <c r="IB496" i="30"/>
  <c r="IC496" i="30"/>
  <c r="ID496" i="30"/>
  <c r="IE496" i="30"/>
  <c r="IF496" i="30"/>
  <c r="IG496" i="30"/>
  <c r="IH496" i="30"/>
  <c r="II496" i="30"/>
  <c r="IJ496" i="30"/>
  <c r="IK496" i="30"/>
  <c r="IL496" i="30"/>
  <c r="IM496" i="30"/>
  <c r="IN496" i="30"/>
  <c r="IO496" i="30"/>
  <c r="IP496" i="30"/>
  <c r="IQ496" i="30"/>
  <c r="IR496" i="30"/>
  <c r="IS496" i="30"/>
  <c r="IT496" i="30"/>
  <c r="IU496" i="30"/>
  <c r="IV496" i="30"/>
  <c r="A495" i="30"/>
  <c r="B495" i="30"/>
  <c r="C495" i="30"/>
  <c r="D495" i="30"/>
  <c r="E495" i="30"/>
  <c r="F495" i="30"/>
  <c r="G495" i="30"/>
  <c r="H495" i="30"/>
  <c r="I495" i="30"/>
  <c r="J495" i="30"/>
  <c r="K495" i="30"/>
  <c r="L495" i="30"/>
  <c r="M495" i="30"/>
  <c r="N495" i="30"/>
  <c r="O495" i="30"/>
  <c r="P495" i="30"/>
  <c r="Q495" i="30"/>
  <c r="R495" i="30"/>
  <c r="S495" i="30"/>
  <c r="T495" i="30"/>
  <c r="U495" i="30"/>
  <c r="V495" i="30"/>
  <c r="W495" i="30"/>
  <c r="X495" i="30"/>
  <c r="Y495" i="30"/>
  <c r="Z495" i="30"/>
  <c r="AA495" i="30"/>
  <c r="AB495" i="30"/>
  <c r="AC495" i="30"/>
  <c r="AD495" i="30"/>
  <c r="AE495" i="30"/>
  <c r="AF495" i="30"/>
  <c r="AG495" i="30"/>
  <c r="AH495" i="30"/>
  <c r="AI495" i="30"/>
  <c r="AJ495" i="30"/>
  <c r="AK495" i="30"/>
  <c r="AL495" i="30"/>
  <c r="AM495" i="30"/>
  <c r="AN495" i="30"/>
  <c r="AO495" i="30"/>
  <c r="AP495" i="30"/>
  <c r="AQ495" i="30"/>
  <c r="AR495" i="30"/>
  <c r="AS495" i="30"/>
  <c r="AT495" i="30"/>
  <c r="AU495" i="30"/>
  <c r="AV495" i="30"/>
  <c r="AW495" i="30"/>
  <c r="AX495" i="30"/>
  <c r="AY495" i="30"/>
  <c r="AZ495" i="30"/>
  <c r="BA495" i="30"/>
  <c r="BB495" i="30"/>
  <c r="BC495" i="30"/>
  <c r="BD495" i="30"/>
  <c r="BE495" i="30"/>
  <c r="BF495" i="30"/>
  <c r="BG495" i="30"/>
  <c r="BH495" i="30"/>
  <c r="BI495" i="30"/>
  <c r="BJ495" i="30"/>
  <c r="BK495" i="30"/>
  <c r="BL495" i="30"/>
  <c r="BM495" i="30"/>
  <c r="BN495" i="30"/>
  <c r="BO495" i="30"/>
  <c r="BP495" i="30"/>
  <c r="BQ495" i="30"/>
  <c r="BR495" i="30"/>
  <c r="BS495" i="30"/>
  <c r="BT495" i="30"/>
  <c r="BU495" i="30"/>
  <c r="BV495" i="30"/>
  <c r="BW495" i="30"/>
  <c r="BX495" i="30"/>
  <c r="BY495" i="30"/>
  <c r="BZ495" i="30"/>
  <c r="CA495" i="30"/>
  <c r="CB495" i="30"/>
  <c r="CC495" i="30"/>
  <c r="CD495" i="30"/>
  <c r="CE495" i="30"/>
  <c r="CF495" i="30"/>
  <c r="CG495" i="30"/>
  <c r="CH495" i="30"/>
  <c r="CI495" i="30"/>
  <c r="CJ495" i="30"/>
  <c r="CK495" i="30"/>
  <c r="CL495" i="30"/>
  <c r="CM495" i="30"/>
  <c r="CN495" i="30"/>
  <c r="CO495" i="30"/>
  <c r="CP495" i="30"/>
  <c r="CQ495" i="30"/>
  <c r="CR495" i="30"/>
  <c r="CS495" i="30"/>
  <c r="CT495" i="30"/>
  <c r="CU495" i="30"/>
  <c r="CV495" i="30"/>
  <c r="CW495" i="30"/>
  <c r="CX495" i="30"/>
  <c r="CY495" i="30"/>
  <c r="CZ495" i="30"/>
  <c r="DA495" i="30"/>
  <c r="DB495" i="30"/>
  <c r="DC495" i="30"/>
  <c r="DD495" i="30"/>
  <c r="DE495" i="30"/>
  <c r="DF495" i="30"/>
  <c r="DG495" i="30"/>
  <c r="DH495" i="30"/>
  <c r="DI495" i="30"/>
  <c r="DJ495" i="30"/>
  <c r="DK495" i="30"/>
  <c r="DL495" i="30"/>
  <c r="DM495" i="30"/>
  <c r="DN495" i="30"/>
  <c r="DO495" i="30"/>
  <c r="DP495" i="30"/>
  <c r="DQ495" i="30"/>
  <c r="DR495" i="30"/>
  <c r="DS495" i="30"/>
  <c r="DT495" i="30"/>
  <c r="DU495" i="30"/>
  <c r="DV495" i="30"/>
  <c r="DW495" i="30"/>
  <c r="DX495" i="30"/>
  <c r="DY495" i="30"/>
  <c r="DZ495" i="30"/>
  <c r="EA495" i="30"/>
  <c r="EB495" i="30"/>
  <c r="EC495" i="30"/>
  <c r="ED495" i="30"/>
  <c r="EE495" i="30"/>
  <c r="EF495" i="30"/>
  <c r="EG495" i="30"/>
  <c r="EH495" i="30"/>
  <c r="EI495" i="30"/>
  <c r="EJ495" i="30"/>
  <c r="EK495" i="30"/>
  <c r="EL495" i="30"/>
  <c r="EM495" i="30"/>
  <c r="EN495" i="30"/>
  <c r="EO495" i="30"/>
  <c r="EP495" i="30"/>
  <c r="EQ495" i="30"/>
  <c r="ER495" i="30"/>
  <c r="ES495" i="30"/>
  <c r="ET495" i="30"/>
  <c r="EU495" i="30"/>
  <c r="EV495" i="30"/>
  <c r="EW495" i="30"/>
  <c r="EX495" i="30"/>
  <c r="EY495" i="30"/>
  <c r="EZ495" i="30"/>
  <c r="FA495" i="30"/>
  <c r="FB495" i="30"/>
  <c r="FC495" i="30"/>
  <c r="FD495" i="30"/>
  <c r="FE495" i="30"/>
  <c r="FF495" i="30"/>
  <c r="FG495" i="30"/>
  <c r="FH495" i="30"/>
  <c r="FI495" i="30"/>
  <c r="FJ495" i="30"/>
  <c r="FK495" i="30"/>
  <c r="FL495" i="30"/>
  <c r="FM495" i="30"/>
  <c r="FN495" i="30"/>
  <c r="FO495" i="30"/>
  <c r="FP495" i="30"/>
  <c r="FQ495" i="30"/>
  <c r="FR495" i="30"/>
  <c r="FS495" i="30"/>
  <c r="FT495" i="30"/>
  <c r="FU495" i="30"/>
  <c r="FV495" i="30"/>
  <c r="FW495" i="30"/>
  <c r="FX495" i="30"/>
  <c r="FY495" i="30"/>
  <c r="FZ495" i="30"/>
  <c r="GA495" i="30"/>
  <c r="GB495" i="30"/>
  <c r="GC495" i="30"/>
  <c r="GD495" i="30"/>
  <c r="GE495" i="30"/>
  <c r="GF495" i="30"/>
  <c r="GG495" i="30"/>
  <c r="GH495" i="30"/>
  <c r="GI495" i="30"/>
  <c r="GJ495" i="30"/>
  <c r="GK495" i="30"/>
  <c r="GL495" i="30"/>
  <c r="GM495" i="30"/>
  <c r="GN495" i="30"/>
  <c r="GO495" i="30"/>
  <c r="GP495" i="30"/>
  <c r="GQ495" i="30"/>
  <c r="GR495" i="30"/>
  <c r="GS495" i="30"/>
  <c r="GT495" i="30"/>
  <c r="GU495" i="30"/>
  <c r="GV495" i="30"/>
  <c r="GW495" i="30"/>
  <c r="GX495" i="30"/>
  <c r="GY495" i="30"/>
  <c r="GZ495" i="30"/>
  <c r="HA495" i="30"/>
  <c r="HB495" i="30"/>
  <c r="HC495" i="30"/>
  <c r="HD495" i="30"/>
  <c r="HE495" i="30"/>
  <c r="HF495" i="30"/>
  <c r="HG495" i="30"/>
  <c r="HH495" i="30"/>
  <c r="HI495" i="30"/>
  <c r="HJ495" i="30"/>
  <c r="HK495" i="30"/>
  <c r="HL495" i="30"/>
  <c r="HM495" i="30"/>
  <c r="HN495" i="30"/>
  <c r="HO495" i="30"/>
  <c r="HP495" i="30"/>
  <c r="HQ495" i="30"/>
  <c r="HR495" i="30"/>
  <c r="HS495" i="30"/>
  <c r="HT495" i="30"/>
  <c r="HU495" i="30"/>
  <c r="HV495" i="30"/>
  <c r="HW495" i="30"/>
  <c r="HX495" i="30"/>
  <c r="HY495" i="30"/>
  <c r="HZ495" i="30"/>
  <c r="IA495" i="30"/>
  <c r="IB495" i="30"/>
  <c r="IC495" i="30"/>
  <c r="ID495" i="30"/>
  <c r="IE495" i="30"/>
  <c r="IF495" i="30"/>
  <c r="IG495" i="30"/>
  <c r="IH495" i="30"/>
  <c r="II495" i="30"/>
  <c r="IJ495" i="30"/>
  <c r="IK495" i="30"/>
  <c r="IL495" i="30"/>
  <c r="IM495" i="30"/>
  <c r="IN495" i="30"/>
  <c r="IO495" i="30"/>
  <c r="IP495" i="30"/>
  <c r="IQ495" i="30"/>
  <c r="IR495" i="30"/>
  <c r="IS495" i="30"/>
  <c r="IT495" i="30"/>
  <c r="IU495" i="30"/>
  <c r="IV495" i="30"/>
  <c r="A494" i="30"/>
  <c r="B494" i="30"/>
  <c r="C494" i="30"/>
  <c r="D494" i="30"/>
  <c r="E494" i="30"/>
  <c r="F494" i="30"/>
  <c r="G494" i="30"/>
  <c r="H494" i="30"/>
  <c r="I494" i="30"/>
  <c r="J494" i="30"/>
  <c r="K494" i="30"/>
  <c r="L494" i="30"/>
  <c r="M494" i="30"/>
  <c r="N494" i="30"/>
  <c r="O494" i="30"/>
  <c r="P494" i="30"/>
  <c r="Q494" i="30"/>
  <c r="R494" i="30"/>
  <c r="S494" i="30"/>
  <c r="T494" i="30"/>
  <c r="U494" i="30"/>
  <c r="V494" i="30"/>
  <c r="W494" i="30"/>
  <c r="X494" i="30"/>
  <c r="Y494" i="30"/>
  <c r="Z494" i="30"/>
  <c r="AA494" i="30"/>
  <c r="AB494" i="30"/>
  <c r="AC494" i="30"/>
  <c r="AD494" i="30"/>
  <c r="AE494" i="30"/>
  <c r="AF494" i="30"/>
  <c r="AG494" i="30"/>
  <c r="AH494" i="30"/>
  <c r="AI494" i="30"/>
  <c r="AJ494" i="30"/>
  <c r="AK494" i="30"/>
  <c r="AL494" i="30"/>
  <c r="AM494" i="30"/>
  <c r="AN494" i="30"/>
  <c r="AO494" i="30"/>
  <c r="AP494" i="30"/>
  <c r="AQ494" i="30"/>
  <c r="AR494" i="30"/>
  <c r="AS494" i="30"/>
  <c r="AT494" i="30"/>
  <c r="AU494" i="30"/>
  <c r="AV494" i="30"/>
  <c r="AW494" i="30"/>
  <c r="AX494" i="30"/>
  <c r="AY494" i="30"/>
  <c r="AZ494" i="30"/>
  <c r="BA494" i="30"/>
  <c r="BB494" i="30"/>
  <c r="BC494" i="30"/>
  <c r="BD494" i="30"/>
  <c r="BE494" i="30"/>
  <c r="BF494" i="30"/>
  <c r="BG494" i="30"/>
  <c r="BH494" i="30"/>
  <c r="BI494" i="30"/>
  <c r="BJ494" i="30"/>
  <c r="BK494" i="30"/>
  <c r="BL494" i="30"/>
  <c r="BM494" i="30"/>
  <c r="BN494" i="30"/>
  <c r="BO494" i="30"/>
  <c r="BP494" i="30"/>
  <c r="BQ494" i="30"/>
  <c r="BR494" i="30"/>
  <c r="BS494" i="30"/>
  <c r="BT494" i="30"/>
  <c r="BU494" i="30"/>
  <c r="BV494" i="30"/>
  <c r="BW494" i="30"/>
  <c r="BX494" i="30"/>
  <c r="BY494" i="30"/>
  <c r="BZ494" i="30"/>
  <c r="CA494" i="30"/>
  <c r="CB494" i="30"/>
  <c r="CC494" i="30"/>
  <c r="CD494" i="30"/>
  <c r="CE494" i="30"/>
  <c r="CF494" i="30"/>
  <c r="CG494" i="30"/>
  <c r="CH494" i="30"/>
  <c r="CI494" i="30"/>
  <c r="CJ494" i="30"/>
  <c r="CK494" i="30"/>
  <c r="CL494" i="30"/>
  <c r="CM494" i="30"/>
  <c r="CN494" i="30"/>
  <c r="CO494" i="30"/>
  <c r="CP494" i="30"/>
  <c r="CQ494" i="30"/>
  <c r="CR494" i="30"/>
  <c r="CS494" i="30"/>
  <c r="CT494" i="30"/>
  <c r="CU494" i="30"/>
  <c r="CV494" i="30"/>
  <c r="CW494" i="30"/>
  <c r="CX494" i="30"/>
  <c r="CY494" i="30"/>
  <c r="CZ494" i="30"/>
  <c r="DA494" i="30"/>
  <c r="DB494" i="30"/>
  <c r="DC494" i="30"/>
  <c r="DD494" i="30"/>
  <c r="DE494" i="30"/>
  <c r="DF494" i="30"/>
  <c r="DG494" i="30"/>
  <c r="DH494" i="30"/>
  <c r="DI494" i="30"/>
  <c r="DJ494" i="30"/>
  <c r="DK494" i="30"/>
  <c r="DL494" i="30"/>
  <c r="DM494" i="30"/>
  <c r="DN494" i="30"/>
  <c r="DO494" i="30"/>
  <c r="DP494" i="30"/>
  <c r="DQ494" i="30"/>
  <c r="DR494" i="30"/>
  <c r="DS494" i="30"/>
  <c r="DT494" i="30"/>
  <c r="DU494" i="30"/>
  <c r="DV494" i="30"/>
  <c r="DW494" i="30"/>
  <c r="DX494" i="30"/>
  <c r="DY494" i="30"/>
  <c r="DZ494" i="30"/>
  <c r="EA494" i="30"/>
  <c r="EB494" i="30"/>
  <c r="EC494" i="30"/>
  <c r="ED494" i="30"/>
  <c r="EE494" i="30"/>
  <c r="EF494" i="30"/>
  <c r="EG494" i="30"/>
  <c r="EH494" i="30"/>
  <c r="EI494" i="30"/>
  <c r="EJ494" i="30"/>
  <c r="EK494" i="30"/>
  <c r="EL494" i="30"/>
  <c r="EM494" i="30"/>
  <c r="EN494" i="30"/>
  <c r="EO494" i="30"/>
  <c r="EP494" i="30"/>
  <c r="EQ494" i="30"/>
  <c r="ER494" i="30"/>
  <c r="ES494" i="30"/>
  <c r="ET494" i="30"/>
  <c r="EU494" i="30"/>
  <c r="EV494" i="30"/>
  <c r="EW494" i="30"/>
  <c r="EX494" i="30"/>
  <c r="EY494" i="30"/>
  <c r="EZ494" i="30"/>
  <c r="FA494" i="30"/>
  <c r="FB494" i="30"/>
  <c r="FC494" i="30"/>
  <c r="FD494" i="30"/>
  <c r="FE494" i="30"/>
  <c r="FF494" i="30"/>
  <c r="FG494" i="30"/>
  <c r="FH494" i="30"/>
  <c r="FI494" i="30"/>
  <c r="FJ494" i="30"/>
  <c r="FK494" i="30"/>
  <c r="FL494" i="30"/>
  <c r="FM494" i="30"/>
  <c r="FN494" i="30"/>
  <c r="FO494" i="30"/>
  <c r="FP494" i="30"/>
  <c r="FQ494" i="30"/>
  <c r="FR494" i="30"/>
  <c r="FS494" i="30"/>
  <c r="FT494" i="30"/>
  <c r="FU494" i="30"/>
  <c r="FV494" i="30"/>
  <c r="FW494" i="30"/>
  <c r="FX494" i="30"/>
  <c r="FY494" i="30"/>
  <c r="FZ494" i="30"/>
  <c r="GA494" i="30"/>
  <c r="GB494" i="30"/>
  <c r="GC494" i="30"/>
  <c r="GD494" i="30"/>
  <c r="GE494" i="30"/>
  <c r="GF494" i="30"/>
  <c r="GG494" i="30"/>
  <c r="GH494" i="30"/>
  <c r="GI494" i="30"/>
  <c r="GJ494" i="30"/>
  <c r="GK494" i="30"/>
  <c r="GL494" i="30"/>
  <c r="GM494" i="30"/>
  <c r="GN494" i="30"/>
  <c r="GO494" i="30"/>
  <c r="GP494" i="30"/>
  <c r="GQ494" i="30"/>
  <c r="GR494" i="30"/>
  <c r="GS494" i="30"/>
  <c r="GT494" i="30"/>
  <c r="GU494" i="30"/>
  <c r="GV494" i="30"/>
  <c r="GW494" i="30"/>
  <c r="GX494" i="30"/>
  <c r="GY494" i="30"/>
  <c r="GZ494" i="30"/>
  <c r="HA494" i="30"/>
  <c r="HB494" i="30"/>
  <c r="HC494" i="30"/>
  <c r="HD494" i="30"/>
  <c r="HE494" i="30"/>
  <c r="HF494" i="30"/>
  <c r="HG494" i="30"/>
  <c r="HH494" i="30"/>
  <c r="HI494" i="30"/>
  <c r="HJ494" i="30"/>
  <c r="HK494" i="30"/>
  <c r="HL494" i="30"/>
  <c r="HM494" i="30"/>
  <c r="HN494" i="30"/>
  <c r="HO494" i="30"/>
  <c r="HP494" i="30"/>
  <c r="HQ494" i="30"/>
  <c r="HR494" i="30"/>
  <c r="HS494" i="30"/>
  <c r="HT494" i="30"/>
  <c r="HU494" i="30"/>
  <c r="HV494" i="30"/>
  <c r="HW494" i="30"/>
  <c r="HX494" i="30"/>
  <c r="HY494" i="30"/>
  <c r="HZ494" i="30"/>
  <c r="IA494" i="30"/>
  <c r="IB494" i="30"/>
  <c r="IC494" i="30"/>
  <c r="ID494" i="30"/>
  <c r="IE494" i="30"/>
  <c r="IF494" i="30"/>
  <c r="IG494" i="30"/>
  <c r="IH494" i="30"/>
  <c r="II494" i="30"/>
  <c r="IJ494" i="30"/>
  <c r="IK494" i="30"/>
  <c r="IL494" i="30"/>
  <c r="IM494" i="30"/>
  <c r="IN494" i="30"/>
  <c r="IO494" i="30"/>
  <c r="IP494" i="30"/>
  <c r="IQ494" i="30"/>
  <c r="IR494" i="30"/>
  <c r="IS494" i="30"/>
  <c r="IT494" i="30"/>
  <c r="IU494" i="30"/>
  <c r="IV494" i="30"/>
  <c r="A493" i="30"/>
  <c r="B493" i="30"/>
  <c r="C493" i="30"/>
  <c r="D493" i="30"/>
  <c r="E493" i="30"/>
  <c r="F493" i="30"/>
  <c r="G493" i="30"/>
  <c r="H493" i="30"/>
  <c r="I493" i="30"/>
  <c r="J493" i="30"/>
  <c r="K493" i="30"/>
  <c r="L493" i="30"/>
  <c r="M493" i="30"/>
  <c r="N493" i="30"/>
  <c r="O493" i="30"/>
  <c r="P493" i="30"/>
  <c r="Q493" i="30"/>
  <c r="R493" i="30"/>
  <c r="S493" i="30"/>
  <c r="T493" i="30"/>
  <c r="U493" i="30"/>
  <c r="V493" i="30"/>
  <c r="W493" i="30"/>
  <c r="X493" i="30"/>
  <c r="Y493" i="30"/>
  <c r="Z493" i="30"/>
  <c r="AA493" i="30"/>
  <c r="AB493" i="30"/>
  <c r="AC493" i="30"/>
  <c r="AD493" i="30"/>
  <c r="AE493" i="30"/>
  <c r="AF493" i="30"/>
  <c r="AG493" i="30"/>
  <c r="AH493" i="30"/>
  <c r="AI493" i="30"/>
  <c r="AJ493" i="30"/>
  <c r="AK493" i="30"/>
  <c r="AL493" i="30"/>
  <c r="AM493" i="30"/>
  <c r="AN493" i="30"/>
  <c r="AO493" i="30"/>
  <c r="AP493" i="30"/>
  <c r="AQ493" i="30"/>
  <c r="AR493" i="30"/>
  <c r="AS493" i="30"/>
  <c r="AT493" i="30"/>
  <c r="AU493" i="30"/>
  <c r="AV493" i="30"/>
  <c r="AW493" i="30"/>
  <c r="AX493" i="30"/>
  <c r="AY493" i="30"/>
  <c r="AZ493" i="30"/>
  <c r="BA493" i="30"/>
  <c r="BB493" i="30"/>
  <c r="BC493" i="30"/>
  <c r="BD493" i="30"/>
  <c r="BE493" i="30"/>
  <c r="BF493" i="30"/>
  <c r="BG493" i="30"/>
  <c r="BH493" i="30"/>
  <c r="BI493" i="30"/>
  <c r="BJ493" i="30"/>
  <c r="BK493" i="30"/>
  <c r="BL493" i="30"/>
  <c r="BM493" i="30"/>
  <c r="BN493" i="30"/>
  <c r="BO493" i="30"/>
  <c r="BP493" i="30"/>
  <c r="BQ493" i="30"/>
  <c r="BR493" i="30"/>
  <c r="BS493" i="30"/>
  <c r="BT493" i="30"/>
  <c r="BU493" i="30"/>
  <c r="BV493" i="30"/>
  <c r="BW493" i="30"/>
  <c r="BX493" i="30"/>
  <c r="BY493" i="30"/>
  <c r="BZ493" i="30"/>
  <c r="CA493" i="30"/>
  <c r="CB493" i="30"/>
  <c r="CC493" i="30"/>
  <c r="CD493" i="30"/>
  <c r="CE493" i="30"/>
  <c r="CF493" i="30"/>
  <c r="CG493" i="30"/>
  <c r="CH493" i="30"/>
  <c r="CI493" i="30"/>
  <c r="CJ493" i="30"/>
  <c r="CK493" i="30"/>
  <c r="CL493" i="30"/>
  <c r="CM493" i="30"/>
  <c r="CN493" i="30"/>
  <c r="CO493" i="30"/>
  <c r="CP493" i="30"/>
  <c r="CQ493" i="30"/>
  <c r="CR493" i="30"/>
  <c r="CS493" i="30"/>
  <c r="CT493" i="30"/>
  <c r="CU493" i="30"/>
  <c r="CV493" i="30"/>
  <c r="CW493" i="30"/>
  <c r="CX493" i="30"/>
  <c r="CY493" i="30"/>
  <c r="CZ493" i="30"/>
  <c r="DA493" i="30"/>
  <c r="DB493" i="30"/>
  <c r="DC493" i="30"/>
  <c r="DD493" i="30"/>
  <c r="DE493" i="30"/>
  <c r="DF493" i="30"/>
  <c r="DG493" i="30"/>
  <c r="DH493" i="30"/>
  <c r="DI493" i="30"/>
  <c r="DJ493" i="30"/>
  <c r="DK493" i="30"/>
  <c r="DL493" i="30"/>
  <c r="DM493" i="30"/>
  <c r="DN493" i="30"/>
  <c r="DO493" i="30"/>
  <c r="DP493" i="30"/>
  <c r="DQ493" i="30"/>
  <c r="DR493" i="30"/>
  <c r="DS493" i="30"/>
  <c r="DT493" i="30"/>
  <c r="DU493" i="30"/>
  <c r="DV493" i="30"/>
  <c r="DW493" i="30"/>
  <c r="DX493" i="30"/>
  <c r="DY493" i="30"/>
  <c r="DZ493" i="30"/>
  <c r="EA493" i="30"/>
  <c r="EB493" i="30"/>
  <c r="EC493" i="30"/>
  <c r="ED493" i="30"/>
  <c r="EE493" i="30"/>
  <c r="EF493" i="30"/>
  <c r="EG493" i="30"/>
  <c r="EH493" i="30"/>
  <c r="EI493" i="30"/>
  <c r="EJ493" i="30"/>
  <c r="EK493" i="30"/>
  <c r="EL493" i="30"/>
  <c r="EM493" i="30"/>
  <c r="EN493" i="30"/>
  <c r="EO493" i="30"/>
  <c r="EP493" i="30"/>
  <c r="EQ493" i="30"/>
  <c r="ER493" i="30"/>
  <c r="ES493" i="30"/>
  <c r="ET493" i="30"/>
  <c r="EU493" i="30"/>
  <c r="EV493" i="30"/>
  <c r="EW493" i="30"/>
  <c r="EX493" i="30"/>
  <c r="EY493" i="30"/>
  <c r="EZ493" i="30"/>
  <c r="FA493" i="30"/>
  <c r="FB493" i="30"/>
  <c r="FC493" i="30"/>
  <c r="FD493" i="30"/>
  <c r="FE493" i="30"/>
  <c r="FF493" i="30"/>
  <c r="FG493" i="30"/>
  <c r="FH493" i="30"/>
  <c r="FI493" i="30"/>
  <c r="FJ493" i="30"/>
  <c r="FK493" i="30"/>
  <c r="FL493" i="30"/>
  <c r="FM493" i="30"/>
  <c r="FN493" i="30"/>
  <c r="FO493" i="30"/>
  <c r="FP493" i="30"/>
  <c r="FQ493" i="30"/>
  <c r="FR493" i="30"/>
  <c r="FS493" i="30"/>
  <c r="FT493" i="30"/>
  <c r="FU493" i="30"/>
  <c r="FV493" i="30"/>
  <c r="FW493" i="30"/>
  <c r="FX493" i="30"/>
  <c r="FY493" i="30"/>
  <c r="FZ493" i="30"/>
  <c r="GA493" i="30"/>
  <c r="GB493" i="30"/>
  <c r="GC493" i="30"/>
  <c r="GD493" i="30"/>
  <c r="GE493" i="30"/>
  <c r="GF493" i="30"/>
  <c r="GG493" i="30"/>
  <c r="GH493" i="30"/>
  <c r="GI493" i="30"/>
  <c r="GJ493" i="30"/>
  <c r="GK493" i="30"/>
  <c r="GL493" i="30"/>
  <c r="GM493" i="30"/>
  <c r="GN493" i="30"/>
  <c r="GO493" i="30"/>
  <c r="GP493" i="30"/>
  <c r="GQ493" i="30"/>
  <c r="GR493" i="30"/>
  <c r="GS493" i="30"/>
  <c r="GT493" i="30"/>
  <c r="GU493" i="30"/>
  <c r="GV493" i="30"/>
  <c r="GW493" i="30"/>
  <c r="GX493" i="30"/>
  <c r="GY493" i="30"/>
  <c r="GZ493" i="30"/>
  <c r="HA493" i="30"/>
  <c r="HB493" i="30"/>
  <c r="HC493" i="30"/>
  <c r="HD493" i="30"/>
  <c r="HE493" i="30"/>
  <c r="HF493" i="30"/>
  <c r="HG493" i="30"/>
  <c r="HH493" i="30"/>
  <c r="HI493" i="30"/>
  <c r="HJ493" i="30"/>
  <c r="HK493" i="30"/>
  <c r="HL493" i="30"/>
  <c r="HM493" i="30"/>
  <c r="HN493" i="30"/>
  <c r="HO493" i="30"/>
  <c r="HP493" i="30"/>
  <c r="HQ493" i="30"/>
  <c r="HR493" i="30"/>
  <c r="HS493" i="30"/>
  <c r="HT493" i="30"/>
  <c r="HU493" i="30"/>
  <c r="HV493" i="30"/>
  <c r="HW493" i="30"/>
  <c r="HX493" i="30"/>
  <c r="HY493" i="30"/>
  <c r="HZ493" i="30"/>
  <c r="IA493" i="30"/>
  <c r="IB493" i="30"/>
  <c r="IC493" i="30"/>
  <c r="ID493" i="30"/>
  <c r="IE493" i="30"/>
  <c r="IF493" i="30"/>
  <c r="IG493" i="30"/>
  <c r="IH493" i="30"/>
  <c r="II493" i="30"/>
  <c r="IJ493" i="30"/>
  <c r="IK493" i="30"/>
  <c r="IL493" i="30"/>
  <c r="IM493" i="30"/>
  <c r="IN493" i="30"/>
  <c r="IO493" i="30"/>
  <c r="IP493" i="30"/>
  <c r="IQ493" i="30"/>
  <c r="IR493" i="30"/>
  <c r="IS493" i="30"/>
  <c r="IT493" i="30"/>
  <c r="IU493" i="30"/>
  <c r="IV493" i="30"/>
  <c r="A492" i="30"/>
  <c r="B492" i="30"/>
  <c r="C492" i="30"/>
  <c r="D492" i="30"/>
  <c r="E492" i="30"/>
  <c r="F492" i="30"/>
  <c r="G492" i="30"/>
  <c r="H492" i="30"/>
  <c r="I492" i="30"/>
  <c r="J492" i="30"/>
  <c r="K492" i="30"/>
  <c r="L492" i="30"/>
  <c r="M492" i="30"/>
  <c r="N492" i="30"/>
  <c r="O492" i="30"/>
  <c r="P492" i="30"/>
  <c r="Q492" i="30"/>
  <c r="R492" i="30"/>
  <c r="S492" i="30"/>
  <c r="T492" i="30"/>
  <c r="U492" i="30"/>
  <c r="V492" i="30"/>
  <c r="W492" i="30"/>
  <c r="X492" i="30"/>
  <c r="Y492" i="30"/>
  <c r="Z492" i="30"/>
  <c r="AA492" i="30"/>
  <c r="AB492" i="30"/>
  <c r="AC492" i="30"/>
  <c r="AD492" i="30"/>
  <c r="AE492" i="30"/>
  <c r="AF492" i="30"/>
  <c r="AG492" i="30"/>
  <c r="AH492" i="30"/>
  <c r="AI492" i="30"/>
  <c r="AJ492" i="30"/>
  <c r="AK492" i="30"/>
  <c r="AL492" i="30"/>
  <c r="AM492" i="30"/>
  <c r="AN492" i="30"/>
  <c r="AO492" i="30"/>
  <c r="AP492" i="30"/>
  <c r="AQ492" i="30"/>
  <c r="AR492" i="30"/>
  <c r="AS492" i="30"/>
  <c r="AT492" i="30"/>
  <c r="AU492" i="30"/>
  <c r="AV492" i="30"/>
  <c r="AW492" i="30"/>
  <c r="AX492" i="30"/>
  <c r="AY492" i="30"/>
  <c r="AZ492" i="30"/>
  <c r="BA492" i="30"/>
  <c r="BB492" i="30"/>
  <c r="BC492" i="30"/>
  <c r="BD492" i="30"/>
  <c r="BE492" i="30"/>
  <c r="BF492" i="30"/>
  <c r="BG492" i="30"/>
  <c r="BH492" i="30"/>
  <c r="BI492" i="30"/>
  <c r="BJ492" i="30"/>
  <c r="BK492" i="30"/>
  <c r="BL492" i="30"/>
  <c r="BM492" i="30"/>
  <c r="BN492" i="30"/>
  <c r="BO492" i="30"/>
  <c r="BP492" i="30"/>
  <c r="BQ492" i="30"/>
  <c r="BR492" i="30"/>
  <c r="BS492" i="30"/>
  <c r="BT492" i="30"/>
  <c r="BU492" i="30"/>
  <c r="BV492" i="30"/>
  <c r="BW492" i="30"/>
  <c r="BX492" i="30"/>
  <c r="BY492" i="30"/>
  <c r="BZ492" i="30"/>
  <c r="CA492" i="30"/>
  <c r="CB492" i="30"/>
  <c r="CC492" i="30"/>
  <c r="CD492" i="30"/>
  <c r="CE492" i="30"/>
  <c r="CF492" i="30"/>
  <c r="CG492" i="30"/>
  <c r="CH492" i="30"/>
  <c r="CI492" i="30"/>
  <c r="CJ492" i="30"/>
  <c r="CK492" i="30"/>
  <c r="CL492" i="30"/>
  <c r="CM492" i="30"/>
  <c r="CN492" i="30"/>
  <c r="CO492" i="30"/>
  <c r="CP492" i="30"/>
  <c r="CQ492" i="30"/>
  <c r="CR492" i="30"/>
  <c r="CS492" i="30"/>
  <c r="CT492" i="30"/>
  <c r="CU492" i="30"/>
  <c r="CV492" i="30"/>
  <c r="CW492" i="30"/>
  <c r="CX492" i="30"/>
  <c r="CY492" i="30"/>
  <c r="CZ492" i="30"/>
  <c r="DA492" i="30"/>
  <c r="DB492" i="30"/>
  <c r="DC492" i="30"/>
  <c r="DD492" i="30"/>
  <c r="DE492" i="30"/>
  <c r="DF492" i="30"/>
  <c r="DG492" i="30"/>
  <c r="DH492" i="30"/>
  <c r="DI492" i="30"/>
  <c r="DJ492" i="30"/>
  <c r="DK492" i="30"/>
  <c r="DL492" i="30"/>
  <c r="DM492" i="30"/>
  <c r="DN492" i="30"/>
  <c r="DO492" i="30"/>
  <c r="DP492" i="30"/>
  <c r="DQ492" i="30"/>
  <c r="DR492" i="30"/>
  <c r="DS492" i="30"/>
  <c r="DT492" i="30"/>
  <c r="DU492" i="30"/>
  <c r="DV492" i="30"/>
  <c r="DW492" i="30"/>
  <c r="DX492" i="30"/>
  <c r="DY492" i="30"/>
  <c r="DZ492" i="30"/>
  <c r="EA492" i="30"/>
  <c r="EB492" i="30"/>
  <c r="EC492" i="30"/>
  <c r="ED492" i="30"/>
  <c r="EE492" i="30"/>
  <c r="EF492" i="30"/>
  <c r="EG492" i="30"/>
  <c r="EH492" i="30"/>
  <c r="EI492" i="30"/>
  <c r="EJ492" i="30"/>
  <c r="EK492" i="30"/>
  <c r="EL492" i="30"/>
  <c r="EM492" i="30"/>
  <c r="EN492" i="30"/>
  <c r="EO492" i="30"/>
  <c r="EP492" i="30"/>
  <c r="EQ492" i="30"/>
  <c r="ER492" i="30"/>
  <c r="ES492" i="30"/>
  <c r="ET492" i="30"/>
  <c r="EU492" i="30"/>
  <c r="EV492" i="30"/>
  <c r="EW492" i="30"/>
  <c r="EX492" i="30"/>
  <c r="EY492" i="30"/>
  <c r="EZ492" i="30"/>
  <c r="FA492" i="30"/>
  <c r="FB492" i="30"/>
  <c r="FC492" i="30"/>
  <c r="FD492" i="30"/>
  <c r="FE492" i="30"/>
  <c r="FF492" i="30"/>
  <c r="FG492" i="30"/>
  <c r="FH492" i="30"/>
  <c r="FI492" i="30"/>
  <c r="FJ492" i="30"/>
  <c r="FK492" i="30"/>
  <c r="FL492" i="30"/>
  <c r="FM492" i="30"/>
  <c r="FN492" i="30"/>
  <c r="FO492" i="30"/>
  <c r="FP492" i="30"/>
  <c r="FQ492" i="30"/>
  <c r="FR492" i="30"/>
  <c r="FS492" i="30"/>
  <c r="FT492" i="30"/>
  <c r="FU492" i="30"/>
  <c r="FV492" i="30"/>
  <c r="FW492" i="30"/>
  <c r="FX492" i="30"/>
  <c r="FY492" i="30"/>
  <c r="FZ492" i="30"/>
  <c r="GA492" i="30"/>
  <c r="GB492" i="30"/>
  <c r="GC492" i="30"/>
  <c r="GD492" i="30"/>
  <c r="GE492" i="30"/>
  <c r="GF492" i="30"/>
  <c r="GG492" i="30"/>
  <c r="GH492" i="30"/>
  <c r="GI492" i="30"/>
  <c r="GJ492" i="30"/>
  <c r="GK492" i="30"/>
  <c r="GL492" i="30"/>
  <c r="GM492" i="30"/>
  <c r="GN492" i="30"/>
  <c r="GO492" i="30"/>
  <c r="GP492" i="30"/>
  <c r="GQ492" i="30"/>
  <c r="GR492" i="30"/>
  <c r="GS492" i="30"/>
  <c r="GT492" i="30"/>
  <c r="GU492" i="30"/>
  <c r="GV492" i="30"/>
  <c r="GW492" i="30"/>
  <c r="GX492" i="30"/>
  <c r="GY492" i="30"/>
  <c r="GZ492" i="30"/>
  <c r="HA492" i="30"/>
  <c r="HB492" i="30"/>
  <c r="HC492" i="30"/>
  <c r="HD492" i="30"/>
  <c r="HE492" i="30"/>
  <c r="HF492" i="30"/>
  <c r="HG492" i="30"/>
  <c r="HH492" i="30"/>
  <c r="HI492" i="30"/>
  <c r="HJ492" i="30"/>
  <c r="HK492" i="30"/>
  <c r="HL492" i="30"/>
  <c r="HM492" i="30"/>
  <c r="HN492" i="30"/>
  <c r="HO492" i="30"/>
  <c r="HP492" i="30"/>
  <c r="HQ492" i="30"/>
  <c r="HR492" i="30"/>
  <c r="HS492" i="30"/>
  <c r="HT492" i="30"/>
  <c r="HU492" i="30"/>
  <c r="HV492" i="30"/>
  <c r="HW492" i="30"/>
  <c r="HX492" i="30"/>
  <c r="HY492" i="30"/>
  <c r="HZ492" i="30"/>
  <c r="IA492" i="30"/>
  <c r="IB492" i="30"/>
  <c r="IC492" i="30"/>
  <c r="ID492" i="30"/>
  <c r="IE492" i="30"/>
  <c r="IF492" i="30"/>
  <c r="IG492" i="30"/>
  <c r="IH492" i="30"/>
  <c r="II492" i="30"/>
  <c r="IJ492" i="30"/>
  <c r="IK492" i="30"/>
  <c r="IL492" i="30"/>
  <c r="IM492" i="30"/>
  <c r="IN492" i="30"/>
  <c r="IO492" i="30"/>
  <c r="IP492" i="30"/>
  <c r="IQ492" i="30"/>
  <c r="IR492" i="30"/>
  <c r="IS492" i="30"/>
  <c r="IT492" i="30"/>
  <c r="IU492" i="30"/>
  <c r="IV492" i="30"/>
  <c r="A491" i="30"/>
  <c r="B491" i="30"/>
  <c r="C491" i="30"/>
  <c r="D491" i="30"/>
  <c r="E491" i="30"/>
  <c r="F491" i="30"/>
  <c r="G491" i="30"/>
  <c r="H491" i="30"/>
  <c r="I491" i="30"/>
  <c r="J491" i="30"/>
  <c r="K491" i="30"/>
  <c r="L491" i="30"/>
  <c r="M491" i="30"/>
  <c r="N491" i="30"/>
  <c r="O491" i="30"/>
  <c r="P491" i="30"/>
  <c r="Q491" i="30"/>
  <c r="R491" i="30"/>
  <c r="S491" i="30"/>
  <c r="T491" i="30"/>
  <c r="U491" i="30"/>
  <c r="V491" i="30"/>
  <c r="W491" i="30"/>
  <c r="X491" i="30"/>
  <c r="Y491" i="30"/>
  <c r="Z491" i="30"/>
  <c r="AA491" i="30"/>
  <c r="AB491" i="30"/>
  <c r="AC491" i="30"/>
  <c r="AD491" i="30"/>
  <c r="AE491" i="30"/>
  <c r="AF491" i="30"/>
  <c r="AG491" i="30"/>
  <c r="AH491" i="30"/>
  <c r="AI491" i="30"/>
  <c r="AJ491" i="30"/>
  <c r="AK491" i="30"/>
  <c r="AL491" i="30"/>
  <c r="AM491" i="30"/>
  <c r="AN491" i="30"/>
  <c r="AO491" i="30"/>
  <c r="AP491" i="30"/>
  <c r="AQ491" i="30"/>
  <c r="AR491" i="30"/>
  <c r="AS491" i="30"/>
  <c r="AT491" i="30"/>
  <c r="AU491" i="30"/>
  <c r="AV491" i="30"/>
  <c r="AW491" i="30"/>
  <c r="AX491" i="30"/>
  <c r="AY491" i="30"/>
  <c r="AZ491" i="30"/>
  <c r="BA491" i="30"/>
  <c r="BB491" i="30"/>
  <c r="BC491" i="30"/>
  <c r="BD491" i="30"/>
  <c r="BE491" i="30"/>
  <c r="BF491" i="30"/>
  <c r="BG491" i="30"/>
  <c r="BH491" i="30"/>
  <c r="BI491" i="30"/>
  <c r="BJ491" i="30"/>
  <c r="BK491" i="30"/>
  <c r="BL491" i="30"/>
  <c r="BM491" i="30"/>
  <c r="BN491" i="30"/>
  <c r="BO491" i="30"/>
  <c r="BP491" i="30"/>
  <c r="BQ491" i="30"/>
  <c r="BR491" i="30"/>
  <c r="BS491" i="30"/>
  <c r="BT491" i="30"/>
  <c r="BU491" i="30"/>
  <c r="BV491" i="30"/>
  <c r="BW491" i="30"/>
  <c r="BX491" i="30"/>
  <c r="BY491" i="30"/>
  <c r="BZ491" i="30"/>
  <c r="CA491" i="30"/>
  <c r="CB491" i="30"/>
  <c r="CC491" i="30"/>
  <c r="CD491" i="30"/>
  <c r="CE491" i="30"/>
  <c r="CF491" i="30"/>
  <c r="CG491" i="30"/>
  <c r="CH491" i="30"/>
  <c r="CI491" i="30"/>
  <c r="CJ491" i="30"/>
  <c r="CK491" i="30"/>
  <c r="CL491" i="30"/>
  <c r="CM491" i="30"/>
  <c r="CN491" i="30"/>
  <c r="CO491" i="30"/>
  <c r="CP491" i="30"/>
  <c r="CQ491" i="30"/>
  <c r="CR491" i="30"/>
  <c r="CS491" i="30"/>
  <c r="CT491" i="30"/>
  <c r="CU491" i="30"/>
  <c r="CV491" i="30"/>
  <c r="CW491" i="30"/>
  <c r="CX491" i="30"/>
  <c r="CY491" i="30"/>
  <c r="CZ491" i="30"/>
  <c r="DA491" i="30"/>
  <c r="DB491" i="30"/>
  <c r="DC491" i="30"/>
  <c r="DD491" i="30"/>
  <c r="DE491" i="30"/>
  <c r="DF491" i="30"/>
  <c r="DG491" i="30"/>
  <c r="DH491" i="30"/>
  <c r="DI491" i="30"/>
  <c r="DJ491" i="30"/>
  <c r="DK491" i="30"/>
  <c r="DL491" i="30"/>
  <c r="DM491" i="30"/>
  <c r="DN491" i="30"/>
  <c r="DO491" i="30"/>
  <c r="DP491" i="30"/>
  <c r="DQ491" i="30"/>
  <c r="DR491" i="30"/>
  <c r="DS491" i="30"/>
  <c r="DT491" i="30"/>
  <c r="DU491" i="30"/>
  <c r="DV491" i="30"/>
  <c r="DW491" i="30"/>
  <c r="DX491" i="30"/>
  <c r="DY491" i="30"/>
  <c r="DZ491" i="30"/>
  <c r="EA491" i="30"/>
  <c r="EB491" i="30"/>
  <c r="EC491" i="30"/>
  <c r="ED491" i="30"/>
  <c r="EE491" i="30"/>
  <c r="EF491" i="30"/>
  <c r="EG491" i="30"/>
  <c r="EH491" i="30"/>
  <c r="EI491" i="30"/>
  <c r="EJ491" i="30"/>
  <c r="EK491" i="30"/>
  <c r="EL491" i="30"/>
  <c r="EM491" i="30"/>
  <c r="EN491" i="30"/>
  <c r="EO491" i="30"/>
  <c r="EP491" i="30"/>
  <c r="EQ491" i="30"/>
  <c r="ER491" i="30"/>
  <c r="ES491" i="30"/>
  <c r="ET491" i="30"/>
  <c r="EU491" i="30"/>
  <c r="EV491" i="30"/>
  <c r="EW491" i="30"/>
  <c r="EX491" i="30"/>
  <c r="EY491" i="30"/>
  <c r="EZ491" i="30"/>
  <c r="FA491" i="30"/>
  <c r="FB491" i="30"/>
  <c r="FC491" i="30"/>
  <c r="FD491" i="30"/>
  <c r="FE491" i="30"/>
  <c r="FF491" i="30"/>
  <c r="FG491" i="30"/>
  <c r="FH491" i="30"/>
  <c r="FI491" i="30"/>
  <c r="FJ491" i="30"/>
  <c r="FK491" i="30"/>
  <c r="FL491" i="30"/>
  <c r="FM491" i="30"/>
  <c r="FN491" i="30"/>
  <c r="FO491" i="30"/>
  <c r="FP491" i="30"/>
  <c r="FQ491" i="30"/>
  <c r="FR491" i="30"/>
  <c r="FS491" i="30"/>
  <c r="FT491" i="30"/>
  <c r="FU491" i="30"/>
  <c r="FV491" i="30"/>
  <c r="FW491" i="30"/>
  <c r="FX491" i="30"/>
  <c r="FY491" i="30"/>
  <c r="FZ491" i="30"/>
  <c r="GA491" i="30"/>
  <c r="GB491" i="30"/>
  <c r="GC491" i="30"/>
  <c r="GD491" i="30"/>
  <c r="GE491" i="30"/>
  <c r="GF491" i="30"/>
  <c r="GG491" i="30"/>
  <c r="GH491" i="30"/>
  <c r="GI491" i="30"/>
  <c r="GJ491" i="30"/>
  <c r="GK491" i="30"/>
  <c r="GL491" i="30"/>
  <c r="GM491" i="30"/>
  <c r="GN491" i="30"/>
  <c r="GO491" i="30"/>
  <c r="GP491" i="30"/>
  <c r="GQ491" i="30"/>
  <c r="GR491" i="30"/>
  <c r="GS491" i="30"/>
  <c r="GT491" i="30"/>
  <c r="GU491" i="30"/>
  <c r="GV491" i="30"/>
  <c r="GW491" i="30"/>
  <c r="GX491" i="30"/>
  <c r="GY491" i="30"/>
  <c r="GZ491" i="30"/>
  <c r="HA491" i="30"/>
  <c r="HB491" i="30"/>
  <c r="HC491" i="30"/>
  <c r="HD491" i="30"/>
  <c r="HE491" i="30"/>
  <c r="HF491" i="30"/>
  <c r="HG491" i="30"/>
  <c r="HH491" i="30"/>
  <c r="HI491" i="30"/>
  <c r="HJ491" i="30"/>
  <c r="HK491" i="30"/>
  <c r="HL491" i="30"/>
  <c r="HM491" i="30"/>
  <c r="HN491" i="30"/>
  <c r="HO491" i="30"/>
  <c r="HP491" i="30"/>
  <c r="HQ491" i="30"/>
  <c r="HR491" i="30"/>
  <c r="HS491" i="30"/>
  <c r="HT491" i="30"/>
  <c r="HU491" i="30"/>
  <c r="HV491" i="30"/>
  <c r="HW491" i="30"/>
  <c r="HX491" i="30"/>
  <c r="HY491" i="30"/>
  <c r="HZ491" i="30"/>
  <c r="IA491" i="30"/>
  <c r="IB491" i="30"/>
  <c r="IC491" i="30"/>
  <c r="ID491" i="30"/>
  <c r="IE491" i="30"/>
  <c r="IF491" i="30"/>
  <c r="IG491" i="30"/>
  <c r="IH491" i="30"/>
  <c r="II491" i="30"/>
  <c r="IJ491" i="30"/>
  <c r="IK491" i="30"/>
  <c r="IL491" i="30"/>
  <c r="IM491" i="30"/>
  <c r="IN491" i="30"/>
  <c r="IO491" i="30"/>
  <c r="IP491" i="30"/>
  <c r="IQ491" i="30"/>
  <c r="IR491" i="30"/>
  <c r="IS491" i="30"/>
  <c r="IT491" i="30"/>
  <c r="IU491" i="30"/>
  <c r="IV491" i="30"/>
  <c r="A490" i="30"/>
  <c r="B490" i="30"/>
  <c r="C490" i="30"/>
  <c r="D490" i="30"/>
  <c r="E490" i="30"/>
  <c r="F490" i="30"/>
  <c r="G490" i="30"/>
  <c r="H490" i="30"/>
  <c r="I490" i="30"/>
  <c r="J490" i="30"/>
  <c r="K490" i="30"/>
  <c r="L490" i="30"/>
  <c r="M490" i="30"/>
  <c r="N490" i="30"/>
  <c r="O490" i="30"/>
  <c r="P490" i="30"/>
  <c r="Q490" i="30"/>
  <c r="R490" i="30"/>
  <c r="S490" i="30"/>
  <c r="T490" i="30"/>
  <c r="U490" i="30"/>
  <c r="V490" i="30"/>
  <c r="W490" i="30"/>
  <c r="X490" i="30"/>
  <c r="Y490" i="30"/>
  <c r="Z490" i="30"/>
  <c r="AA490" i="30"/>
  <c r="AB490" i="30"/>
  <c r="AC490" i="30"/>
  <c r="AD490" i="30"/>
  <c r="AE490" i="30"/>
  <c r="AF490" i="30"/>
  <c r="AG490" i="30"/>
  <c r="AH490" i="30"/>
  <c r="AI490" i="30"/>
  <c r="AJ490" i="30"/>
  <c r="AK490" i="30"/>
  <c r="AL490" i="30"/>
  <c r="AM490" i="30"/>
  <c r="AN490" i="30"/>
  <c r="AO490" i="30"/>
  <c r="AP490" i="30"/>
  <c r="AQ490" i="30"/>
  <c r="AR490" i="30"/>
  <c r="AS490" i="30"/>
  <c r="AT490" i="30"/>
  <c r="AU490" i="30"/>
  <c r="AV490" i="30"/>
  <c r="AW490" i="30"/>
  <c r="AX490" i="30"/>
  <c r="AY490" i="30"/>
  <c r="AZ490" i="30"/>
  <c r="BA490" i="30"/>
  <c r="BB490" i="30"/>
  <c r="BC490" i="30"/>
  <c r="BD490" i="30"/>
  <c r="BE490" i="30"/>
  <c r="BF490" i="30"/>
  <c r="BG490" i="30"/>
  <c r="BH490" i="30"/>
  <c r="BI490" i="30"/>
  <c r="BJ490" i="30"/>
  <c r="BK490" i="30"/>
  <c r="BL490" i="30"/>
  <c r="BM490" i="30"/>
  <c r="BN490" i="30"/>
  <c r="BO490" i="30"/>
  <c r="BP490" i="30"/>
  <c r="BQ490" i="30"/>
  <c r="BR490" i="30"/>
  <c r="BS490" i="30"/>
  <c r="BT490" i="30"/>
  <c r="BU490" i="30"/>
  <c r="BV490" i="30"/>
  <c r="BW490" i="30"/>
  <c r="BX490" i="30"/>
  <c r="BY490" i="30"/>
  <c r="BZ490" i="30"/>
  <c r="CA490" i="30"/>
  <c r="CB490" i="30"/>
  <c r="CC490" i="30"/>
  <c r="CD490" i="30"/>
  <c r="CE490" i="30"/>
  <c r="CF490" i="30"/>
  <c r="CG490" i="30"/>
  <c r="CH490" i="30"/>
  <c r="CI490" i="30"/>
  <c r="CJ490" i="30"/>
  <c r="CK490" i="30"/>
  <c r="CL490" i="30"/>
  <c r="CM490" i="30"/>
  <c r="CN490" i="30"/>
  <c r="CO490" i="30"/>
  <c r="CP490" i="30"/>
  <c r="CQ490" i="30"/>
  <c r="CR490" i="30"/>
  <c r="CS490" i="30"/>
  <c r="CT490" i="30"/>
  <c r="CU490" i="30"/>
  <c r="CV490" i="30"/>
  <c r="CW490" i="30"/>
  <c r="CX490" i="30"/>
  <c r="CY490" i="30"/>
  <c r="CZ490" i="30"/>
  <c r="DA490" i="30"/>
  <c r="DB490" i="30"/>
  <c r="DC490" i="30"/>
  <c r="DD490" i="30"/>
  <c r="DE490" i="30"/>
  <c r="DF490" i="30"/>
  <c r="DG490" i="30"/>
  <c r="DH490" i="30"/>
  <c r="DI490" i="30"/>
  <c r="DJ490" i="30"/>
  <c r="DK490" i="30"/>
  <c r="DL490" i="30"/>
  <c r="DM490" i="30"/>
  <c r="DN490" i="30"/>
  <c r="DO490" i="30"/>
  <c r="DP490" i="30"/>
  <c r="DQ490" i="30"/>
  <c r="DR490" i="30"/>
  <c r="DS490" i="30"/>
  <c r="DT490" i="30"/>
  <c r="DU490" i="30"/>
  <c r="DV490" i="30"/>
  <c r="DW490" i="30"/>
  <c r="DX490" i="30"/>
  <c r="DY490" i="30"/>
  <c r="DZ490" i="30"/>
  <c r="EA490" i="30"/>
  <c r="EB490" i="30"/>
  <c r="EC490" i="30"/>
  <c r="ED490" i="30"/>
  <c r="EE490" i="30"/>
  <c r="EF490" i="30"/>
  <c r="EG490" i="30"/>
  <c r="EH490" i="30"/>
  <c r="EI490" i="30"/>
  <c r="EJ490" i="30"/>
  <c r="EK490" i="30"/>
  <c r="EL490" i="30"/>
  <c r="EM490" i="30"/>
  <c r="EN490" i="30"/>
  <c r="EO490" i="30"/>
  <c r="EP490" i="30"/>
  <c r="EQ490" i="30"/>
  <c r="ER490" i="30"/>
  <c r="ES490" i="30"/>
  <c r="ET490" i="30"/>
  <c r="EU490" i="30"/>
  <c r="EV490" i="30"/>
  <c r="EW490" i="30"/>
  <c r="EX490" i="30"/>
  <c r="EY490" i="30"/>
  <c r="EZ490" i="30"/>
  <c r="FA490" i="30"/>
  <c r="FB490" i="30"/>
  <c r="FC490" i="30"/>
  <c r="FD490" i="30"/>
  <c r="FE490" i="30"/>
  <c r="FF490" i="30"/>
  <c r="FG490" i="30"/>
  <c r="FH490" i="30"/>
  <c r="FI490" i="30"/>
  <c r="FJ490" i="30"/>
  <c r="FK490" i="30"/>
  <c r="FL490" i="30"/>
  <c r="FM490" i="30"/>
  <c r="FN490" i="30"/>
  <c r="FO490" i="30"/>
  <c r="FP490" i="30"/>
  <c r="FQ490" i="30"/>
  <c r="FR490" i="30"/>
  <c r="FS490" i="30"/>
  <c r="FT490" i="30"/>
  <c r="FU490" i="30"/>
  <c r="FV490" i="30"/>
  <c r="FW490" i="30"/>
  <c r="FX490" i="30"/>
  <c r="FY490" i="30"/>
  <c r="FZ490" i="30"/>
  <c r="GA490" i="30"/>
  <c r="GB490" i="30"/>
  <c r="GC490" i="30"/>
  <c r="GD490" i="30"/>
  <c r="GE490" i="30"/>
  <c r="GF490" i="30"/>
  <c r="GG490" i="30"/>
  <c r="GH490" i="30"/>
  <c r="GI490" i="30"/>
  <c r="GJ490" i="30"/>
  <c r="GK490" i="30"/>
  <c r="GL490" i="30"/>
  <c r="GM490" i="30"/>
  <c r="GN490" i="30"/>
  <c r="GO490" i="30"/>
  <c r="GP490" i="30"/>
  <c r="GQ490" i="30"/>
  <c r="GR490" i="30"/>
  <c r="GS490" i="30"/>
  <c r="GT490" i="30"/>
  <c r="GU490" i="30"/>
  <c r="GV490" i="30"/>
  <c r="GW490" i="30"/>
  <c r="GX490" i="30"/>
  <c r="GY490" i="30"/>
  <c r="GZ490" i="30"/>
  <c r="HA490" i="30"/>
  <c r="HB490" i="30"/>
  <c r="HC490" i="30"/>
  <c r="HD490" i="30"/>
  <c r="HE490" i="30"/>
  <c r="HF490" i="30"/>
  <c r="HG490" i="30"/>
  <c r="HH490" i="30"/>
  <c r="HI490" i="30"/>
  <c r="HJ490" i="30"/>
  <c r="HK490" i="30"/>
  <c r="HL490" i="30"/>
  <c r="HM490" i="30"/>
  <c r="HN490" i="30"/>
  <c r="HO490" i="30"/>
  <c r="HP490" i="30"/>
  <c r="HQ490" i="30"/>
  <c r="HR490" i="30"/>
  <c r="HS490" i="30"/>
  <c r="HT490" i="30"/>
  <c r="HU490" i="30"/>
  <c r="HV490" i="30"/>
  <c r="HW490" i="30"/>
  <c r="HX490" i="30"/>
  <c r="HY490" i="30"/>
  <c r="HZ490" i="30"/>
  <c r="IA490" i="30"/>
  <c r="IB490" i="30"/>
  <c r="IC490" i="30"/>
  <c r="ID490" i="30"/>
  <c r="IE490" i="30"/>
  <c r="IF490" i="30"/>
  <c r="IG490" i="30"/>
  <c r="IH490" i="30"/>
  <c r="II490" i="30"/>
  <c r="IJ490" i="30"/>
  <c r="IK490" i="30"/>
  <c r="IL490" i="30"/>
  <c r="IM490" i="30"/>
  <c r="IN490" i="30"/>
  <c r="IO490" i="30"/>
  <c r="IP490" i="30"/>
  <c r="IQ490" i="30"/>
  <c r="IR490" i="30"/>
  <c r="IS490" i="30"/>
  <c r="IT490" i="30"/>
  <c r="IU490" i="30"/>
  <c r="IV490" i="30"/>
  <c r="A489" i="30"/>
  <c r="B489" i="30"/>
  <c r="C489" i="30"/>
  <c r="D489" i="30"/>
  <c r="E489" i="30"/>
  <c r="F489" i="30"/>
  <c r="G489" i="30"/>
  <c r="H489" i="30"/>
  <c r="I489" i="30"/>
  <c r="J489" i="30"/>
  <c r="K489" i="30"/>
  <c r="L489" i="30"/>
  <c r="M489" i="30"/>
  <c r="N489" i="30"/>
  <c r="O489" i="30"/>
  <c r="P489" i="30"/>
  <c r="Q489" i="30"/>
  <c r="R489" i="30"/>
  <c r="S489" i="30"/>
  <c r="T489" i="30"/>
  <c r="U489" i="30"/>
  <c r="V489" i="30"/>
  <c r="W489" i="30"/>
  <c r="X489" i="30"/>
  <c r="Y489" i="30"/>
  <c r="Z489" i="30"/>
  <c r="AA489" i="30"/>
  <c r="AB489" i="30"/>
  <c r="AC489" i="30"/>
  <c r="AD489" i="30"/>
  <c r="AE489" i="30"/>
  <c r="AF489" i="30"/>
  <c r="AG489" i="30"/>
  <c r="AH489" i="30"/>
  <c r="AI489" i="30"/>
  <c r="AJ489" i="30"/>
  <c r="AK489" i="30"/>
  <c r="AL489" i="30"/>
  <c r="AM489" i="30"/>
  <c r="AN489" i="30"/>
  <c r="AO489" i="30"/>
  <c r="AP489" i="30"/>
  <c r="AQ489" i="30"/>
  <c r="AR489" i="30"/>
  <c r="AS489" i="30"/>
  <c r="AT489" i="30"/>
  <c r="AU489" i="30"/>
  <c r="AV489" i="30"/>
  <c r="AW489" i="30"/>
  <c r="AX489" i="30"/>
  <c r="AY489" i="30"/>
  <c r="AZ489" i="30"/>
  <c r="BA489" i="30"/>
  <c r="BB489" i="30"/>
  <c r="BC489" i="30"/>
  <c r="BD489" i="30"/>
  <c r="BE489" i="30"/>
  <c r="BF489" i="30"/>
  <c r="BG489" i="30"/>
  <c r="BH489" i="30"/>
  <c r="BI489" i="30"/>
  <c r="BJ489" i="30"/>
  <c r="BK489" i="30"/>
  <c r="BL489" i="30"/>
  <c r="BM489" i="30"/>
  <c r="BN489" i="30"/>
  <c r="BO489" i="30"/>
  <c r="BP489" i="30"/>
  <c r="BQ489" i="30"/>
  <c r="BR489" i="30"/>
  <c r="BS489" i="30"/>
  <c r="BT489" i="30"/>
  <c r="BU489" i="30"/>
  <c r="BV489" i="30"/>
  <c r="BW489" i="30"/>
  <c r="BX489" i="30"/>
  <c r="BY489" i="30"/>
  <c r="BZ489" i="30"/>
  <c r="CA489" i="30"/>
  <c r="CB489" i="30"/>
  <c r="CC489" i="30"/>
  <c r="CD489" i="30"/>
  <c r="CE489" i="30"/>
  <c r="CF489" i="30"/>
  <c r="CG489" i="30"/>
  <c r="CH489" i="30"/>
  <c r="CI489" i="30"/>
  <c r="CJ489" i="30"/>
  <c r="CK489" i="30"/>
  <c r="CL489" i="30"/>
  <c r="CM489" i="30"/>
  <c r="CN489" i="30"/>
  <c r="CO489" i="30"/>
  <c r="CP489" i="30"/>
  <c r="CQ489" i="30"/>
  <c r="CR489" i="30"/>
  <c r="CS489" i="30"/>
  <c r="CT489" i="30"/>
  <c r="CU489" i="30"/>
  <c r="CV489" i="30"/>
  <c r="CW489" i="30"/>
  <c r="CX489" i="30"/>
  <c r="CY489" i="30"/>
  <c r="CZ489" i="30"/>
  <c r="DA489" i="30"/>
  <c r="DB489" i="30"/>
  <c r="DC489" i="30"/>
  <c r="DD489" i="30"/>
  <c r="DE489" i="30"/>
  <c r="DF489" i="30"/>
  <c r="DG489" i="30"/>
  <c r="DH489" i="30"/>
  <c r="DI489" i="30"/>
  <c r="DJ489" i="30"/>
  <c r="DK489" i="30"/>
  <c r="DL489" i="30"/>
  <c r="DM489" i="30"/>
  <c r="DN489" i="30"/>
  <c r="DO489" i="30"/>
  <c r="DP489" i="30"/>
  <c r="DQ489" i="30"/>
  <c r="DR489" i="30"/>
  <c r="DS489" i="30"/>
  <c r="DT489" i="30"/>
  <c r="DU489" i="30"/>
  <c r="DV489" i="30"/>
  <c r="DW489" i="30"/>
  <c r="DX489" i="30"/>
  <c r="DY489" i="30"/>
  <c r="DZ489" i="30"/>
  <c r="EA489" i="30"/>
  <c r="EB489" i="30"/>
  <c r="EC489" i="30"/>
  <c r="ED489" i="30"/>
  <c r="EE489" i="30"/>
  <c r="EF489" i="30"/>
  <c r="EG489" i="30"/>
  <c r="EH489" i="30"/>
  <c r="EI489" i="30"/>
  <c r="EJ489" i="30"/>
  <c r="EK489" i="30"/>
  <c r="EL489" i="30"/>
  <c r="EM489" i="30"/>
  <c r="EN489" i="30"/>
  <c r="EO489" i="30"/>
  <c r="EP489" i="30"/>
  <c r="EQ489" i="30"/>
  <c r="ER489" i="30"/>
  <c r="ES489" i="30"/>
  <c r="ET489" i="30"/>
  <c r="EU489" i="30"/>
  <c r="EV489" i="30"/>
  <c r="EW489" i="30"/>
  <c r="EX489" i="30"/>
  <c r="EY489" i="30"/>
  <c r="EZ489" i="30"/>
  <c r="FA489" i="30"/>
  <c r="FB489" i="30"/>
  <c r="FC489" i="30"/>
  <c r="FD489" i="30"/>
  <c r="FE489" i="30"/>
  <c r="FF489" i="30"/>
  <c r="FG489" i="30"/>
  <c r="FH489" i="30"/>
  <c r="FI489" i="30"/>
  <c r="FJ489" i="30"/>
  <c r="FK489" i="30"/>
  <c r="FL489" i="30"/>
  <c r="FM489" i="30"/>
  <c r="FN489" i="30"/>
  <c r="FO489" i="30"/>
  <c r="FP489" i="30"/>
  <c r="FQ489" i="30"/>
  <c r="FR489" i="30"/>
  <c r="FS489" i="30"/>
  <c r="FT489" i="30"/>
  <c r="FU489" i="30"/>
  <c r="FV489" i="30"/>
  <c r="FW489" i="30"/>
  <c r="FX489" i="30"/>
  <c r="FY489" i="30"/>
  <c r="FZ489" i="30"/>
  <c r="GA489" i="30"/>
  <c r="GB489" i="30"/>
  <c r="GC489" i="30"/>
  <c r="GD489" i="30"/>
  <c r="GE489" i="30"/>
  <c r="GF489" i="30"/>
  <c r="GG489" i="30"/>
  <c r="GH489" i="30"/>
  <c r="GI489" i="30"/>
  <c r="GJ489" i="30"/>
  <c r="GK489" i="30"/>
  <c r="GL489" i="30"/>
  <c r="GM489" i="30"/>
  <c r="GN489" i="30"/>
  <c r="GO489" i="30"/>
  <c r="GP489" i="30"/>
  <c r="GQ489" i="30"/>
  <c r="GR489" i="30"/>
  <c r="GS489" i="30"/>
  <c r="GT489" i="30"/>
  <c r="GU489" i="30"/>
  <c r="GV489" i="30"/>
  <c r="GW489" i="30"/>
  <c r="GX489" i="30"/>
  <c r="GY489" i="30"/>
  <c r="GZ489" i="30"/>
  <c r="HA489" i="30"/>
  <c r="HB489" i="30"/>
  <c r="HC489" i="30"/>
  <c r="HD489" i="30"/>
  <c r="HE489" i="30"/>
  <c r="HF489" i="30"/>
  <c r="HG489" i="30"/>
  <c r="HH489" i="30"/>
  <c r="HI489" i="30"/>
  <c r="HJ489" i="30"/>
  <c r="HK489" i="30"/>
  <c r="HL489" i="30"/>
  <c r="HM489" i="30"/>
  <c r="HN489" i="30"/>
  <c r="HO489" i="30"/>
  <c r="HP489" i="30"/>
  <c r="HQ489" i="30"/>
  <c r="HR489" i="30"/>
  <c r="HS489" i="30"/>
  <c r="HT489" i="30"/>
  <c r="HU489" i="30"/>
  <c r="HV489" i="30"/>
  <c r="HW489" i="30"/>
  <c r="HX489" i="30"/>
  <c r="HY489" i="30"/>
  <c r="HZ489" i="30"/>
  <c r="IA489" i="30"/>
  <c r="IB489" i="30"/>
  <c r="IC489" i="30"/>
  <c r="ID489" i="30"/>
  <c r="IE489" i="30"/>
  <c r="IF489" i="30"/>
  <c r="IG489" i="30"/>
  <c r="IH489" i="30"/>
  <c r="II489" i="30"/>
  <c r="IJ489" i="30"/>
  <c r="IK489" i="30"/>
  <c r="IL489" i="30"/>
  <c r="IM489" i="30"/>
  <c r="IN489" i="30"/>
  <c r="IO489" i="30"/>
  <c r="IP489" i="30"/>
  <c r="IQ489" i="30"/>
  <c r="IR489" i="30"/>
  <c r="IS489" i="30"/>
  <c r="IT489" i="30"/>
  <c r="IU489" i="30"/>
  <c r="IV489" i="30"/>
  <c r="A488" i="30"/>
  <c r="B488" i="30"/>
  <c r="C488" i="30"/>
  <c r="D488" i="30"/>
  <c r="E488" i="30"/>
  <c r="F488" i="30"/>
  <c r="G488" i="30"/>
  <c r="H488" i="30"/>
  <c r="I488" i="30"/>
  <c r="J488" i="30"/>
  <c r="K488" i="30"/>
  <c r="L488" i="30"/>
  <c r="M488" i="30"/>
  <c r="N488" i="30"/>
  <c r="O488" i="30"/>
  <c r="P488" i="30"/>
  <c r="Q488" i="30"/>
  <c r="R488" i="30"/>
  <c r="S488" i="30"/>
  <c r="T488" i="30"/>
  <c r="U488" i="30"/>
  <c r="V488" i="30"/>
  <c r="W488" i="30"/>
  <c r="X488" i="30"/>
  <c r="Y488" i="30"/>
  <c r="Z488" i="30"/>
  <c r="AA488" i="30"/>
  <c r="AB488" i="30"/>
  <c r="AC488" i="30"/>
  <c r="AD488" i="30"/>
  <c r="AE488" i="30"/>
  <c r="AF488" i="30"/>
  <c r="AG488" i="30"/>
  <c r="AH488" i="30"/>
  <c r="AI488" i="30"/>
  <c r="AJ488" i="30"/>
  <c r="AK488" i="30"/>
  <c r="AL488" i="30"/>
  <c r="AM488" i="30"/>
  <c r="AN488" i="30"/>
  <c r="AO488" i="30"/>
  <c r="AP488" i="30"/>
  <c r="AQ488" i="30"/>
  <c r="AR488" i="30"/>
  <c r="AS488" i="30"/>
  <c r="AT488" i="30"/>
  <c r="AU488" i="30"/>
  <c r="AV488" i="30"/>
  <c r="AW488" i="30"/>
  <c r="AX488" i="30"/>
  <c r="AY488" i="30"/>
  <c r="AZ488" i="30"/>
  <c r="BA488" i="30"/>
  <c r="BB488" i="30"/>
  <c r="BC488" i="30"/>
  <c r="BD488" i="30"/>
  <c r="BE488" i="30"/>
  <c r="BF488" i="30"/>
  <c r="BG488" i="30"/>
  <c r="BH488" i="30"/>
  <c r="BI488" i="30"/>
  <c r="BJ488" i="30"/>
  <c r="BK488" i="30"/>
  <c r="BL488" i="30"/>
  <c r="BM488" i="30"/>
  <c r="BN488" i="30"/>
  <c r="BO488" i="30"/>
  <c r="BP488" i="30"/>
  <c r="BQ488" i="30"/>
  <c r="BR488" i="30"/>
  <c r="BS488" i="30"/>
  <c r="BT488" i="30"/>
  <c r="BU488" i="30"/>
  <c r="BV488" i="30"/>
  <c r="BW488" i="30"/>
  <c r="BX488" i="30"/>
  <c r="BY488" i="30"/>
  <c r="BZ488" i="30"/>
  <c r="CA488" i="30"/>
  <c r="CB488" i="30"/>
  <c r="CC488" i="30"/>
  <c r="CD488" i="30"/>
  <c r="CE488" i="30"/>
  <c r="CF488" i="30"/>
  <c r="CG488" i="30"/>
  <c r="CH488" i="30"/>
  <c r="CI488" i="30"/>
  <c r="CJ488" i="30"/>
  <c r="CK488" i="30"/>
  <c r="CL488" i="30"/>
  <c r="CM488" i="30"/>
  <c r="CN488" i="30"/>
  <c r="CO488" i="30"/>
  <c r="CP488" i="30"/>
  <c r="CQ488" i="30"/>
  <c r="CR488" i="30"/>
  <c r="CS488" i="30"/>
  <c r="CT488" i="30"/>
  <c r="CU488" i="30"/>
  <c r="CV488" i="30"/>
  <c r="CW488" i="30"/>
  <c r="CX488" i="30"/>
  <c r="CY488" i="30"/>
  <c r="CZ488" i="30"/>
  <c r="DA488" i="30"/>
  <c r="DB488" i="30"/>
  <c r="DC488" i="30"/>
  <c r="DD488" i="30"/>
  <c r="DE488" i="30"/>
  <c r="DF488" i="30"/>
  <c r="DG488" i="30"/>
  <c r="DH488" i="30"/>
  <c r="DI488" i="30"/>
  <c r="DJ488" i="30"/>
  <c r="DK488" i="30"/>
  <c r="DL488" i="30"/>
  <c r="DM488" i="30"/>
  <c r="DN488" i="30"/>
  <c r="DO488" i="30"/>
  <c r="DP488" i="30"/>
  <c r="DQ488" i="30"/>
  <c r="DR488" i="30"/>
  <c r="DS488" i="30"/>
  <c r="DT488" i="30"/>
  <c r="DU488" i="30"/>
  <c r="DV488" i="30"/>
  <c r="DW488" i="30"/>
  <c r="DX488" i="30"/>
  <c r="DY488" i="30"/>
  <c r="DZ488" i="30"/>
  <c r="EA488" i="30"/>
  <c r="EB488" i="30"/>
  <c r="EC488" i="30"/>
  <c r="ED488" i="30"/>
  <c r="EE488" i="30"/>
  <c r="EF488" i="30"/>
  <c r="EG488" i="30"/>
  <c r="EH488" i="30"/>
  <c r="EI488" i="30"/>
  <c r="EJ488" i="30"/>
  <c r="EK488" i="30"/>
  <c r="EL488" i="30"/>
  <c r="EM488" i="30"/>
  <c r="EN488" i="30"/>
  <c r="EO488" i="30"/>
  <c r="EP488" i="30"/>
  <c r="EQ488" i="30"/>
  <c r="ER488" i="30"/>
  <c r="ES488" i="30"/>
  <c r="ET488" i="30"/>
  <c r="EU488" i="30"/>
  <c r="EV488" i="30"/>
  <c r="EW488" i="30"/>
  <c r="EX488" i="30"/>
  <c r="EY488" i="30"/>
  <c r="EZ488" i="30"/>
  <c r="FA488" i="30"/>
  <c r="FB488" i="30"/>
  <c r="FC488" i="30"/>
  <c r="FD488" i="30"/>
  <c r="FE488" i="30"/>
  <c r="FF488" i="30"/>
  <c r="FG488" i="30"/>
  <c r="FH488" i="30"/>
  <c r="FI488" i="30"/>
  <c r="FJ488" i="30"/>
  <c r="FK488" i="30"/>
  <c r="FL488" i="30"/>
  <c r="FM488" i="30"/>
  <c r="FN488" i="30"/>
  <c r="FO488" i="30"/>
  <c r="FP488" i="30"/>
  <c r="FQ488" i="30"/>
  <c r="FR488" i="30"/>
  <c r="FS488" i="30"/>
  <c r="FT488" i="30"/>
  <c r="FU488" i="30"/>
  <c r="FV488" i="30"/>
  <c r="FW488" i="30"/>
  <c r="FX488" i="30"/>
  <c r="FY488" i="30"/>
  <c r="FZ488" i="30"/>
  <c r="GA488" i="30"/>
  <c r="GB488" i="30"/>
  <c r="GC488" i="30"/>
  <c r="GD488" i="30"/>
  <c r="GE488" i="30"/>
  <c r="GF488" i="30"/>
  <c r="GG488" i="30"/>
  <c r="GH488" i="30"/>
  <c r="GI488" i="30"/>
  <c r="GJ488" i="30"/>
  <c r="GK488" i="30"/>
  <c r="GL488" i="30"/>
  <c r="GM488" i="30"/>
  <c r="GN488" i="30"/>
  <c r="GO488" i="30"/>
  <c r="GP488" i="30"/>
  <c r="GQ488" i="30"/>
  <c r="GR488" i="30"/>
  <c r="GS488" i="30"/>
  <c r="GT488" i="30"/>
  <c r="GU488" i="30"/>
  <c r="GV488" i="30"/>
  <c r="GW488" i="30"/>
  <c r="GX488" i="30"/>
  <c r="GY488" i="30"/>
  <c r="GZ488" i="30"/>
  <c r="HA488" i="30"/>
  <c r="HB488" i="30"/>
  <c r="HC488" i="30"/>
  <c r="HD488" i="30"/>
  <c r="HE488" i="30"/>
  <c r="HF488" i="30"/>
  <c r="HG488" i="30"/>
  <c r="HH488" i="30"/>
  <c r="HI488" i="30"/>
  <c r="HJ488" i="30"/>
  <c r="HK488" i="30"/>
  <c r="HL488" i="30"/>
  <c r="HM488" i="30"/>
  <c r="HN488" i="30"/>
  <c r="HO488" i="30"/>
  <c r="HP488" i="30"/>
  <c r="HQ488" i="30"/>
  <c r="HR488" i="30"/>
  <c r="HS488" i="30"/>
  <c r="HT488" i="30"/>
  <c r="HU488" i="30"/>
  <c r="HV488" i="30"/>
  <c r="HW488" i="30"/>
  <c r="HX488" i="30"/>
  <c r="HY488" i="30"/>
  <c r="HZ488" i="30"/>
  <c r="IA488" i="30"/>
  <c r="IB488" i="30"/>
  <c r="IC488" i="30"/>
  <c r="ID488" i="30"/>
  <c r="IE488" i="30"/>
  <c r="IF488" i="30"/>
  <c r="IG488" i="30"/>
  <c r="IH488" i="30"/>
  <c r="II488" i="30"/>
  <c r="IJ488" i="30"/>
  <c r="IK488" i="30"/>
  <c r="IL488" i="30"/>
  <c r="IM488" i="30"/>
  <c r="IN488" i="30"/>
  <c r="IO488" i="30"/>
  <c r="IP488" i="30"/>
  <c r="IQ488" i="30"/>
  <c r="IR488" i="30"/>
  <c r="IS488" i="30"/>
  <c r="IT488" i="30"/>
  <c r="IU488" i="30"/>
  <c r="IV488" i="30"/>
  <c r="A487" i="30"/>
  <c r="B487" i="30"/>
  <c r="C487" i="30"/>
  <c r="D487" i="30"/>
  <c r="E487" i="30"/>
  <c r="F487" i="30"/>
  <c r="G487" i="30"/>
  <c r="H487" i="30"/>
  <c r="I487" i="30"/>
  <c r="J487" i="30"/>
  <c r="K487" i="30"/>
  <c r="L487" i="30"/>
  <c r="M487" i="30"/>
  <c r="N487" i="30"/>
  <c r="O487" i="30"/>
  <c r="P487" i="30"/>
  <c r="Q487" i="30"/>
  <c r="R487" i="30"/>
  <c r="S487" i="30"/>
  <c r="T487" i="30"/>
  <c r="U487" i="30"/>
  <c r="V487" i="30"/>
  <c r="W487" i="30"/>
  <c r="X487" i="30"/>
  <c r="Y487" i="30"/>
  <c r="Z487" i="30"/>
  <c r="AA487" i="30"/>
  <c r="AB487" i="30"/>
  <c r="AC487" i="30"/>
  <c r="AD487" i="30"/>
  <c r="AE487" i="30"/>
  <c r="AF487" i="30"/>
  <c r="AG487" i="30"/>
  <c r="AH487" i="30"/>
  <c r="AI487" i="30"/>
  <c r="AJ487" i="30"/>
  <c r="AK487" i="30"/>
  <c r="AL487" i="30"/>
  <c r="AM487" i="30"/>
  <c r="AN487" i="30"/>
  <c r="AO487" i="30"/>
  <c r="AP487" i="30"/>
  <c r="AQ487" i="30"/>
  <c r="AR487" i="30"/>
  <c r="AS487" i="30"/>
  <c r="AT487" i="30"/>
  <c r="AU487" i="30"/>
  <c r="AV487" i="30"/>
  <c r="AW487" i="30"/>
  <c r="AX487" i="30"/>
  <c r="AY487" i="30"/>
  <c r="AZ487" i="30"/>
  <c r="BA487" i="30"/>
  <c r="BB487" i="30"/>
  <c r="BC487" i="30"/>
  <c r="BD487" i="30"/>
  <c r="BE487" i="30"/>
  <c r="BF487" i="30"/>
  <c r="BG487" i="30"/>
  <c r="BH487" i="30"/>
  <c r="BI487" i="30"/>
  <c r="BJ487" i="30"/>
  <c r="BK487" i="30"/>
  <c r="BL487" i="30"/>
  <c r="BM487" i="30"/>
  <c r="BN487" i="30"/>
  <c r="BO487" i="30"/>
  <c r="BP487" i="30"/>
  <c r="BQ487" i="30"/>
  <c r="BR487" i="30"/>
  <c r="BS487" i="30"/>
  <c r="BT487" i="30"/>
  <c r="BU487" i="30"/>
  <c r="BV487" i="30"/>
  <c r="BW487" i="30"/>
  <c r="BX487" i="30"/>
  <c r="BY487" i="30"/>
  <c r="BZ487" i="30"/>
  <c r="CA487" i="30"/>
  <c r="CB487" i="30"/>
  <c r="CC487" i="30"/>
  <c r="CD487" i="30"/>
  <c r="CE487" i="30"/>
  <c r="CF487" i="30"/>
  <c r="CG487" i="30"/>
  <c r="CH487" i="30"/>
  <c r="CI487" i="30"/>
  <c r="CJ487" i="30"/>
  <c r="CK487" i="30"/>
  <c r="CL487" i="30"/>
  <c r="CM487" i="30"/>
  <c r="CN487" i="30"/>
  <c r="CO487" i="30"/>
  <c r="CP487" i="30"/>
  <c r="CQ487" i="30"/>
  <c r="CR487" i="30"/>
  <c r="CS487" i="30"/>
  <c r="CT487" i="30"/>
  <c r="CU487" i="30"/>
  <c r="CV487" i="30"/>
  <c r="CW487" i="30"/>
  <c r="CX487" i="30"/>
  <c r="CY487" i="30"/>
  <c r="CZ487" i="30"/>
  <c r="DA487" i="30"/>
  <c r="DB487" i="30"/>
  <c r="DC487" i="30"/>
  <c r="DD487" i="30"/>
  <c r="DE487" i="30"/>
  <c r="DF487" i="30"/>
  <c r="DG487" i="30"/>
  <c r="DH487" i="30"/>
  <c r="DI487" i="30"/>
  <c r="DJ487" i="30"/>
  <c r="DK487" i="30"/>
  <c r="DL487" i="30"/>
  <c r="DM487" i="30"/>
  <c r="DN487" i="30"/>
  <c r="DO487" i="30"/>
  <c r="DP487" i="30"/>
  <c r="DQ487" i="30"/>
  <c r="DR487" i="30"/>
  <c r="DS487" i="30"/>
  <c r="DT487" i="30"/>
  <c r="DU487" i="30"/>
  <c r="DV487" i="30"/>
  <c r="DW487" i="30"/>
  <c r="DX487" i="30"/>
  <c r="DY487" i="30"/>
  <c r="DZ487" i="30"/>
  <c r="EA487" i="30"/>
  <c r="EB487" i="30"/>
  <c r="EC487" i="30"/>
  <c r="ED487" i="30"/>
  <c r="EE487" i="30"/>
  <c r="EF487" i="30"/>
  <c r="EG487" i="30"/>
  <c r="EH487" i="30"/>
  <c r="EI487" i="30"/>
  <c r="EJ487" i="30"/>
  <c r="EK487" i="30"/>
  <c r="EL487" i="30"/>
  <c r="EM487" i="30"/>
  <c r="EN487" i="30"/>
  <c r="EO487" i="30"/>
  <c r="EP487" i="30"/>
  <c r="EQ487" i="30"/>
  <c r="ER487" i="30"/>
  <c r="ES487" i="30"/>
  <c r="ET487" i="30"/>
  <c r="EU487" i="30"/>
  <c r="EV487" i="30"/>
  <c r="EW487" i="30"/>
  <c r="EX487" i="30"/>
  <c r="EY487" i="30"/>
  <c r="EZ487" i="30"/>
  <c r="FA487" i="30"/>
  <c r="FB487" i="30"/>
  <c r="FC487" i="30"/>
  <c r="FD487" i="30"/>
  <c r="FE487" i="30"/>
  <c r="FF487" i="30"/>
  <c r="FG487" i="30"/>
  <c r="FH487" i="30"/>
  <c r="FI487" i="30"/>
  <c r="FJ487" i="30"/>
  <c r="FK487" i="30"/>
  <c r="FL487" i="30"/>
  <c r="FM487" i="30"/>
  <c r="FN487" i="30"/>
  <c r="FO487" i="30"/>
  <c r="FP487" i="30"/>
  <c r="FQ487" i="30"/>
  <c r="FR487" i="30"/>
  <c r="FS487" i="30"/>
  <c r="FT487" i="30"/>
  <c r="FU487" i="30"/>
  <c r="FV487" i="30"/>
  <c r="FW487" i="30"/>
  <c r="FX487" i="30"/>
  <c r="FY487" i="30"/>
  <c r="FZ487" i="30"/>
  <c r="GA487" i="30"/>
  <c r="GB487" i="30"/>
  <c r="GC487" i="30"/>
  <c r="GD487" i="30"/>
  <c r="GE487" i="30"/>
  <c r="GF487" i="30"/>
  <c r="GG487" i="30"/>
  <c r="GH487" i="30"/>
  <c r="GI487" i="30"/>
  <c r="GJ487" i="30"/>
  <c r="GK487" i="30"/>
  <c r="GL487" i="30"/>
  <c r="GM487" i="30"/>
  <c r="GN487" i="30"/>
  <c r="GO487" i="30"/>
  <c r="GP487" i="30"/>
  <c r="GQ487" i="30"/>
  <c r="GR487" i="30"/>
  <c r="GS487" i="30"/>
  <c r="GT487" i="30"/>
  <c r="GU487" i="30"/>
  <c r="GV487" i="30"/>
  <c r="GW487" i="30"/>
  <c r="GX487" i="30"/>
  <c r="GY487" i="30"/>
  <c r="GZ487" i="30"/>
  <c r="HA487" i="30"/>
  <c r="HB487" i="30"/>
  <c r="HC487" i="30"/>
  <c r="HD487" i="30"/>
  <c r="HE487" i="30"/>
  <c r="HF487" i="30"/>
  <c r="HG487" i="30"/>
  <c r="HH487" i="30"/>
  <c r="HI487" i="30"/>
  <c r="HJ487" i="30"/>
  <c r="HK487" i="30"/>
  <c r="HL487" i="30"/>
  <c r="HM487" i="30"/>
  <c r="HN487" i="30"/>
  <c r="HO487" i="30"/>
  <c r="HP487" i="30"/>
  <c r="HQ487" i="30"/>
  <c r="HR487" i="30"/>
  <c r="HS487" i="30"/>
  <c r="HT487" i="30"/>
  <c r="HU487" i="30"/>
  <c r="HV487" i="30"/>
  <c r="HW487" i="30"/>
  <c r="HX487" i="30"/>
  <c r="HY487" i="30"/>
  <c r="HZ487" i="30"/>
  <c r="IA487" i="30"/>
  <c r="IB487" i="30"/>
  <c r="IC487" i="30"/>
  <c r="ID487" i="30"/>
  <c r="IE487" i="30"/>
  <c r="IF487" i="30"/>
  <c r="IG487" i="30"/>
  <c r="IH487" i="30"/>
  <c r="II487" i="30"/>
  <c r="IJ487" i="30"/>
  <c r="IK487" i="30"/>
  <c r="IL487" i="30"/>
  <c r="IM487" i="30"/>
  <c r="IN487" i="30"/>
  <c r="IO487" i="30"/>
  <c r="IP487" i="30"/>
  <c r="IQ487" i="30"/>
  <c r="IR487" i="30"/>
  <c r="IS487" i="30"/>
  <c r="IT487" i="30"/>
  <c r="IU487" i="30"/>
  <c r="IV487" i="30"/>
  <c r="A486" i="30"/>
  <c r="B486" i="30"/>
  <c r="C486" i="30"/>
  <c r="D486" i="30"/>
  <c r="E486" i="30"/>
  <c r="F486" i="30"/>
  <c r="G486" i="30"/>
  <c r="H486" i="30"/>
  <c r="I486" i="30"/>
  <c r="J486" i="30"/>
  <c r="K486" i="30"/>
  <c r="L486" i="30"/>
  <c r="M486" i="30"/>
  <c r="N486" i="30"/>
  <c r="O486" i="30"/>
  <c r="P486" i="30"/>
  <c r="Q486" i="30"/>
  <c r="R486" i="30"/>
  <c r="S486" i="30"/>
  <c r="T486" i="30"/>
  <c r="U486" i="30"/>
  <c r="V486" i="30"/>
  <c r="W486" i="30"/>
  <c r="X486" i="30"/>
  <c r="Y486" i="30"/>
  <c r="Z486" i="30"/>
  <c r="AA486" i="30"/>
  <c r="AB486" i="30"/>
  <c r="AC486" i="30"/>
  <c r="AD486" i="30"/>
  <c r="AE486" i="30"/>
  <c r="AF486" i="30"/>
  <c r="AG486" i="30"/>
  <c r="AH486" i="30"/>
  <c r="AI486" i="30"/>
  <c r="AJ486" i="30"/>
  <c r="AK486" i="30"/>
  <c r="AL486" i="30"/>
  <c r="AM486" i="30"/>
  <c r="AN486" i="30"/>
  <c r="AO486" i="30"/>
  <c r="AP486" i="30"/>
  <c r="AQ486" i="30"/>
  <c r="AR486" i="30"/>
  <c r="AS486" i="30"/>
  <c r="AT486" i="30"/>
  <c r="AU486" i="30"/>
  <c r="AV486" i="30"/>
  <c r="AW486" i="30"/>
  <c r="AX486" i="30"/>
  <c r="AY486" i="30"/>
  <c r="AZ486" i="30"/>
  <c r="BA486" i="30"/>
  <c r="BB486" i="30"/>
  <c r="BC486" i="30"/>
  <c r="BD486" i="30"/>
  <c r="BE486" i="30"/>
  <c r="BF486" i="30"/>
  <c r="BG486" i="30"/>
  <c r="BH486" i="30"/>
  <c r="BI486" i="30"/>
  <c r="BJ486" i="30"/>
  <c r="BK486" i="30"/>
  <c r="BL486" i="30"/>
  <c r="BM486" i="30"/>
  <c r="BN486" i="30"/>
  <c r="BO486" i="30"/>
  <c r="BP486" i="30"/>
  <c r="BQ486" i="30"/>
  <c r="BR486" i="30"/>
  <c r="BS486" i="30"/>
  <c r="BT486" i="30"/>
  <c r="BU486" i="30"/>
  <c r="BV486" i="30"/>
  <c r="BW486" i="30"/>
  <c r="BX486" i="30"/>
  <c r="BY486" i="30"/>
  <c r="BZ486" i="30"/>
  <c r="CA486" i="30"/>
  <c r="CB486" i="30"/>
  <c r="CC486" i="30"/>
  <c r="CD486" i="30"/>
  <c r="CE486" i="30"/>
  <c r="CF486" i="30"/>
  <c r="CG486" i="30"/>
  <c r="CH486" i="30"/>
  <c r="CI486" i="30"/>
  <c r="CJ486" i="30"/>
  <c r="CK486" i="30"/>
  <c r="CL486" i="30"/>
  <c r="CM486" i="30"/>
  <c r="CN486" i="30"/>
  <c r="CO486" i="30"/>
  <c r="CP486" i="30"/>
  <c r="CQ486" i="30"/>
  <c r="CR486" i="30"/>
  <c r="CS486" i="30"/>
  <c r="CT486" i="30"/>
  <c r="CU486" i="30"/>
  <c r="CV486" i="30"/>
  <c r="CW486" i="30"/>
  <c r="CX486" i="30"/>
  <c r="CY486" i="30"/>
  <c r="CZ486" i="30"/>
  <c r="DA486" i="30"/>
  <c r="DB486" i="30"/>
  <c r="DC486" i="30"/>
  <c r="DD486" i="30"/>
  <c r="DE486" i="30"/>
  <c r="DF486" i="30"/>
  <c r="DG486" i="30"/>
  <c r="DH486" i="30"/>
  <c r="DI486" i="30"/>
  <c r="DJ486" i="30"/>
  <c r="DK486" i="30"/>
  <c r="DL486" i="30"/>
  <c r="DM486" i="30"/>
  <c r="DN486" i="30"/>
  <c r="DO486" i="30"/>
  <c r="DP486" i="30"/>
  <c r="DQ486" i="30"/>
  <c r="DR486" i="30"/>
  <c r="DS486" i="30"/>
  <c r="DT486" i="30"/>
  <c r="DU486" i="30"/>
  <c r="DV486" i="30"/>
  <c r="DW486" i="30"/>
  <c r="DX486" i="30"/>
  <c r="DY486" i="30"/>
  <c r="DZ486" i="30"/>
  <c r="EA486" i="30"/>
  <c r="EB486" i="30"/>
  <c r="EC486" i="30"/>
  <c r="ED486" i="30"/>
  <c r="EE486" i="30"/>
  <c r="EF486" i="30"/>
  <c r="EG486" i="30"/>
  <c r="EH486" i="30"/>
  <c r="EI486" i="30"/>
  <c r="EJ486" i="30"/>
  <c r="EK486" i="30"/>
  <c r="EL486" i="30"/>
  <c r="EM486" i="30"/>
  <c r="EN486" i="30"/>
  <c r="EO486" i="30"/>
  <c r="EP486" i="30"/>
  <c r="EQ486" i="30"/>
  <c r="ER486" i="30"/>
  <c r="ES486" i="30"/>
  <c r="ET486" i="30"/>
  <c r="EU486" i="30"/>
  <c r="EV486" i="30"/>
  <c r="EW486" i="30"/>
  <c r="EX486" i="30"/>
  <c r="EY486" i="30"/>
  <c r="EZ486" i="30"/>
  <c r="FA486" i="30"/>
  <c r="FB486" i="30"/>
  <c r="FC486" i="30"/>
  <c r="FD486" i="30"/>
  <c r="FE486" i="30"/>
  <c r="FF486" i="30"/>
  <c r="FG486" i="30"/>
  <c r="FH486" i="30"/>
  <c r="FI486" i="30"/>
  <c r="FJ486" i="30"/>
  <c r="FK486" i="30"/>
  <c r="FL486" i="30"/>
  <c r="FM486" i="30"/>
  <c r="FN486" i="30"/>
  <c r="FO486" i="30"/>
  <c r="FP486" i="30"/>
  <c r="FQ486" i="30"/>
  <c r="FR486" i="30"/>
  <c r="FS486" i="30"/>
  <c r="FT486" i="30"/>
  <c r="FU486" i="30"/>
  <c r="FV486" i="30"/>
  <c r="FW486" i="30"/>
  <c r="FX486" i="30"/>
  <c r="FY486" i="30"/>
  <c r="FZ486" i="30"/>
  <c r="GA486" i="30"/>
  <c r="GB486" i="30"/>
  <c r="GC486" i="30"/>
  <c r="GD486" i="30"/>
  <c r="GE486" i="30"/>
  <c r="GF486" i="30"/>
  <c r="GG486" i="30"/>
  <c r="GH486" i="30"/>
  <c r="GI486" i="30"/>
  <c r="GJ486" i="30"/>
  <c r="GK486" i="30"/>
  <c r="GL486" i="30"/>
  <c r="GM486" i="30"/>
  <c r="GN486" i="30"/>
  <c r="GO486" i="30"/>
  <c r="GP486" i="30"/>
  <c r="GQ486" i="30"/>
  <c r="GR486" i="30"/>
  <c r="GS486" i="30"/>
  <c r="GT486" i="30"/>
  <c r="GU486" i="30"/>
  <c r="GV486" i="30"/>
  <c r="GW486" i="30"/>
  <c r="GX486" i="30"/>
  <c r="GY486" i="30"/>
  <c r="GZ486" i="30"/>
  <c r="HA486" i="30"/>
  <c r="HB486" i="30"/>
  <c r="HC486" i="30"/>
  <c r="HD486" i="30"/>
  <c r="HE486" i="30"/>
  <c r="HF486" i="30"/>
  <c r="HG486" i="30"/>
  <c r="HH486" i="30"/>
  <c r="HI486" i="30"/>
  <c r="HJ486" i="30"/>
  <c r="HK486" i="30"/>
  <c r="HL486" i="30"/>
  <c r="HM486" i="30"/>
  <c r="HN486" i="30"/>
  <c r="HO486" i="30"/>
  <c r="HP486" i="30"/>
  <c r="HQ486" i="30"/>
  <c r="HR486" i="30"/>
  <c r="HS486" i="30"/>
  <c r="HT486" i="30"/>
  <c r="HU486" i="30"/>
  <c r="HV486" i="30"/>
  <c r="HW486" i="30"/>
  <c r="HX486" i="30"/>
  <c r="HY486" i="30"/>
  <c r="HZ486" i="30"/>
  <c r="IA486" i="30"/>
  <c r="IB486" i="30"/>
  <c r="IC486" i="30"/>
  <c r="ID486" i="30"/>
  <c r="IE486" i="30"/>
  <c r="IF486" i="30"/>
  <c r="IG486" i="30"/>
  <c r="IH486" i="30"/>
  <c r="II486" i="30"/>
  <c r="IJ486" i="30"/>
  <c r="IK486" i="30"/>
  <c r="IL486" i="30"/>
  <c r="IM486" i="30"/>
  <c r="IN486" i="30"/>
  <c r="IO486" i="30"/>
  <c r="IP486" i="30"/>
  <c r="IQ486" i="30"/>
  <c r="IR486" i="30"/>
  <c r="IS486" i="30"/>
  <c r="IT486" i="30"/>
  <c r="IU486" i="30"/>
  <c r="IV486" i="30"/>
  <c r="A485" i="30"/>
  <c r="B485" i="30"/>
  <c r="C485" i="30"/>
  <c r="D485" i="30"/>
  <c r="E485" i="30"/>
  <c r="F485" i="30"/>
  <c r="G485" i="30"/>
  <c r="H485" i="30"/>
  <c r="I485" i="30"/>
  <c r="J485" i="30"/>
  <c r="K485" i="30"/>
  <c r="L485" i="30"/>
  <c r="M485" i="30"/>
  <c r="N485" i="30"/>
  <c r="O485" i="30"/>
  <c r="P485" i="30"/>
  <c r="Q485" i="30"/>
  <c r="R485" i="30"/>
  <c r="S485" i="30"/>
  <c r="T485" i="30"/>
  <c r="U485" i="30"/>
  <c r="V485" i="30"/>
  <c r="W485" i="30"/>
  <c r="X485" i="30"/>
  <c r="Y485" i="30"/>
  <c r="Z485" i="30"/>
  <c r="AA485" i="30"/>
  <c r="AB485" i="30"/>
  <c r="AC485" i="30"/>
  <c r="AD485" i="30"/>
  <c r="AE485" i="30"/>
  <c r="AF485" i="30"/>
  <c r="AG485" i="30"/>
  <c r="AH485" i="30"/>
  <c r="AI485" i="30"/>
  <c r="AJ485" i="30"/>
  <c r="AK485" i="30"/>
  <c r="AL485" i="30"/>
  <c r="AM485" i="30"/>
  <c r="AN485" i="30"/>
  <c r="AO485" i="30"/>
  <c r="AP485" i="30"/>
  <c r="AQ485" i="30"/>
  <c r="AR485" i="30"/>
  <c r="AS485" i="30"/>
  <c r="AT485" i="30"/>
  <c r="AU485" i="30"/>
  <c r="AV485" i="30"/>
  <c r="AW485" i="30"/>
  <c r="AX485" i="30"/>
  <c r="AY485" i="30"/>
  <c r="AZ485" i="30"/>
  <c r="BA485" i="30"/>
  <c r="BB485" i="30"/>
  <c r="BC485" i="30"/>
  <c r="BD485" i="30"/>
  <c r="BE485" i="30"/>
  <c r="BF485" i="30"/>
  <c r="BG485" i="30"/>
  <c r="BH485" i="30"/>
  <c r="BI485" i="30"/>
  <c r="BJ485" i="30"/>
  <c r="BK485" i="30"/>
  <c r="BL485" i="30"/>
  <c r="BM485" i="30"/>
  <c r="BN485" i="30"/>
  <c r="BO485" i="30"/>
  <c r="BP485" i="30"/>
  <c r="BQ485" i="30"/>
  <c r="BR485" i="30"/>
  <c r="BS485" i="30"/>
  <c r="BT485" i="30"/>
  <c r="BU485" i="30"/>
  <c r="BV485" i="30"/>
  <c r="BW485" i="30"/>
  <c r="BX485" i="30"/>
  <c r="BY485" i="30"/>
  <c r="BZ485" i="30"/>
  <c r="CA485" i="30"/>
  <c r="CB485" i="30"/>
  <c r="CC485" i="30"/>
  <c r="CD485" i="30"/>
  <c r="CE485" i="30"/>
  <c r="CF485" i="30"/>
  <c r="CG485" i="30"/>
  <c r="CH485" i="30"/>
  <c r="CI485" i="30"/>
  <c r="CJ485" i="30"/>
  <c r="CK485" i="30"/>
  <c r="CL485" i="30"/>
  <c r="CM485" i="30"/>
  <c r="CN485" i="30"/>
  <c r="CO485" i="30"/>
  <c r="CP485" i="30"/>
  <c r="CQ485" i="30"/>
  <c r="CR485" i="30"/>
  <c r="CS485" i="30"/>
  <c r="CT485" i="30"/>
  <c r="CU485" i="30"/>
  <c r="CV485" i="30"/>
  <c r="CW485" i="30"/>
  <c r="CX485" i="30"/>
  <c r="CY485" i="30"/>
  <c r="CZ485" i="30"/>
  <c r="DA485" i="30"/>
  <c r="DB485" i="30"/>
  <c r="DC485" i="30"/>
  <c r="DD485" i="30"/>
  <c r="DE485" i="30"/>
  <c r="DF485" i="30"/>
  <c r="DG485" i="30"/>
  <c r="DH485" i="30"/>
  <c r="DI485" i="30"/>
  <c r="DJ485" i="30"/>
  <c r="DK485" i="30"/>
  <c r="DL485" i="30"/>
  <c r="DM485" i="30"/>
  <c r="DN485" i="30"/>
  <c r="DO485" i="30"/>
  <c r="DP485" i="30"/>
  <c r="DQ485" i="30"/>
  <c r="DR485" i="30"/>
  <c r="DS485" i="30"/>
  <c r="DT485" i="30"/>
  <c r="DU485" i="30"/>
  <c r="DV485" i="30"/>
  <c r="DW485" i="30"/>
  <c r="DX485" i="30"/>
  <c r="DY485" i="30"/>
  <c r="DZ485" i="30"/>
  <c r="EA485" i="30"/>
  <c r="EB485" i="30"/>
  <c r="EC485" i="30"/>
  <c r="ED485" i="30"/>
  <c r="EE485" i="30"/>
  <c r="EF485" i="30"/>
  <c r="EG485" i="30"/>
  <c r="EH485" i="30"/>
  <c r="EI485" i="30"/>
  <c r="EJ485" i="30"/>
  <c r="EK485" i="30"/>
  <c r="EL485" i="30"/>
  <c r="EM485" i="30"/>
  <c r="EN485" i="30"/>
  <c r="EO485" i="30"/>
  <c r="EP485" i="30"/>
  <c r="EQ485" i="30"/>
  <c r="ER485" i="30"/>
  <c r="ES485" i="30"/>
  <c r="ET485" i="30"/>
  <c r="EU485" i="30"/>
  <c r="EV485" i="30"/>
  <c r="EW485" i="30"/>
  <c r="EX485" i="30"/>
  <c r="EY485" i="30"/>
  <c r="EZ485" i="30"/>
  <c r="FA485" i="30"/>
  <c r="FB485" i="30"/>
  <c r="FC485" i="30"/>
  <c r="FD485" i="30"/>
  <c r="FE485" i="30"/>
  <c r="FF485" i="30"/>
  <c r="FG485" i="30"/>
  <c r="FH485" i="30"/>
  <c r="FI485" i="30"/>
  <c r="FJ485" i="30"/>
  <c r="FK485" i="30"/>
  <c r="FL485" i="30"/>
  <c r="FM485" i="30"/>
  <c r="FN485" i="30"/>
  <c r="FO485" i="30"/>
  <c r="FP485" i="30"/>
  <c r="FQ485" i="30"/>
  <c r="FR485" i="30"/>
  <c r="FS485" i="30"/>
  <c r="FT485" i="30"/>
  <c r="FU485" i="30"/>
  <c r="FV485" i="30"/>
  <c r="FW485" i="30"/>
  <c r="FX485" i="30"/>
  <c r="FY485" i="30"/>
  <c r="FZ485" i="30"/>
  <c r="GA485" i="30"/>
  <c r="GB485" i="30"/>
  <c r="GC485" i="30"/>
  <c r="GD485" i="30"/>
  <c r="GE485" i="30"/>
  <c r="GF485" i="30"/>
  <c r="GG485" i="30"/>
  <c r="GH485" i="30"/>
  <c r="GI485" i="30"/>
  <c r="GJ485" i="30"/>
  <c r="GK485" i="30"/>
  <c r="GL485" i="30"/>
  <c r="GM485" i="30"/>
  <c r="GN485" i="30"/>
  <c r="GO485" i="30"/>
  <c r="GP485" i="30"/>
  <c r="GQ485" i="30"/>
  <c r="GR485" i="30"/>
  <c r="GS485" i="30"/>
  <c r="GT485" i="30"/>
  <c r="GU485" i="30"/>
  <c r="GV485" i="30"/>
  <c r="GW485" i="30"/>
  <c r="GX485" i="30"/>
  <c r="GY485" i="30"/>
  <c r="GZ485" i="30"/>
  <c r="HA485" i="30"/>
  <c r="HB485" i="30"/>
  <c r="HC485" i="30"/>
  <c r="HD485" i="30"/>
  <c r="HE485" i="30"/>
  <c r="HF485" i="30"/>
  <c r="HG485" i="30"/>
  <c r="HH485" i="30"/>
  <c r="HI485" i="30"/>
  <c r="HJ485" i="30"/>
  <c r="HK485" i="30"/>
  <c r="HL485" i="30"/>
  <c r="HM485" i="30"/>
  <c r="HN485" i="30"/>
  <c r="HO485" i="30"/>
  <c r="HP485" i="30"/>
  <c r="HQ485" i="30"/>
  <c r="HR485" i="30"/>
  <c r="HS485" i="30"/>
  <c r="HT485" i="30"/>
  <c r="HU485" i="30"/>
  <c r="HV485" i="30"/>
  <c r="HW485" i="30"/>
  <c r="HX485" i="30"/>
  <c r="HY485" i="30"/>
  <c r="HZ485" i="30"/>
  <c r="IA485" i="30"/>
  <c r="IB485" i="30"/>
  <c r="IC485" i="30"/>
  <c r="ID485" i="30"/>
  <c r="IE485" i="30"/>
  <c r="IF485" i="30"/>
  <c r="IG485" i="30"/>
  <c r="IH485" i="30"/>
  <c r="II485" i="30"/>
  <c r="IJ485" i="30"/>
  <c r="IK485" i="30"/>
  <c r="IL485" i="30"/>
  <c r="IM485" i="30"/>
  <c r="IN485" i="30"/>
  <c r="IO485" i="30"/>
  <c r="IP485" i="30"/>
  <c r="IQ485" i="30"/>
  <c r="IR485" i="30"/>
  <c r="IS485" i="30"/>
  <c r="IT485" i="30"/>
  <c r="IU485" i="30"/>
  <c r="IV485" i="30"/>
  <c r="A484" i="30"/>
  <c r="B484" i="30"/>
  <c r="C484" i="30"/>
  <c r="D484" i="30"/>
  <c r="E484" i="30"/>
  <c r="F484" i="30"/>
  <c r="G484" i="30"/>
  <c r="H484" i="30"/>
  <c r="I484" i="30"/>
  <c r="J484" i="30"/>
  <c r="K484" i="30"/>
  <c r="L484" i="30"/>
  <c r="M484" i="30"/>
  <c r="N484" i="30"/>
  <c r="O484" i="30"/>
  <c r="P484" i="30"/>
  <c r="Q484" i="30"/>
  <c r="R484" i="30"/>
  <c r="S484" i="30"/>
  <c r="T484" i="30"/>
  <c r="U484" i="30"/>
  <c r="V484" i="30"/>
  <c r="W484" i="30"/>
  <c r="X484" i="30"/>
  <c r="Y484" i="30"/>
  <c r="Z484" i="30"/>
  <c r="AA484" i="30"/>
  <c r="AB484" i="30"/>
  <c r="AC484" i="30"/>
  <c r="AD484" i="30"/>
  <c r="AE484" i="30"/>
  <c r="AF484" i="30"/>
  <c r="AG484" i="30"/>
  <c r="AH484" i="30"/>
  <c r="AI484" i="30"/>
  <c r="AJ484" i="30"/>
  <c r="AK484" i="30"/>
  <c r="AL484" i="30"/>
  <c r="AM484" i="30"/>
  <c r="AN484" i="30"/>
  <c r="AO484" i="30"/>
  <c r="AP484" i="30"/>
  <c r="AQ484" i="30"/>
  <c r="AR484" i="30"/>
  <c r="AS484" i="30"/>
  <c r="AT484" i="30"/>
  <c r="AU484" i="30"/>
  <c r="AV484" i="30"/>
  <c r="AW484" i="30"/>
  <c r="AX484" i="30"/>
  <c r="AY484" i="30"/>
  <c r="AZ484" i="30"/>
  <c r="BA484" i="30"/>
  <c r="BB484" i="30"/>
  <c r="BC484" i="30"/>
  <c r="BD484" i="30"/>
  <c r="BE484" i="30"/>
  <c r="BF484" i="30"/>
  <c r="BG484" i="30"/>
  <c r="BH484" i="30"/>
  <c r="BI484" i="30"/>
  <c r="BJ484" i="30"/>
  <c r="BK484" i="30"/>
  <c r="BL484" i="30"/>
  <c r="BM484" i="30"/>
  <c r="BN484" i="30"/>
  <c r="BO484" i="30"/>
  <c r="BP484" i="30"/>
  <c r="BQ484" i="30"/>
  <c r="BR484" i="30"/>
  <c r="BS484" i="30"/>
  <c r="BT484" i="30"/>
  <c r="BU484" i="30"/>
  <c r="BV484" i="30"/>
  <c r="BW484" i="30"/>
  <c r="BX484" i="30"/>
  <c r="BY484" i="30"/>
  <c r="BZ484" i="30"/>
  <c r="CA484" i="30"/>
  <c r="CB484" i="30"/>
  <c r="CC484" i="30"/>
  <c r="CD484" i="30"/>
  <c r="CE484" i="30"/>
  <c r="CF484" i="30"/>
  <c r="CG484" i="30"/>
  <c r="CH484" i="30"/>
  <c r="CI484" i="30"/>
  <c r="CJ484" i="30"/>
  <c r="CK484" i="30"/>
  <c r="CL484" i="30"/>
  <c r="CM484" i="30"/>
  <c r="CN484" i="30"/>
  <c r="CO484" i="30"/>
  <c r="CP484" i="30"/>
  <c r="CQ484" i="30"/>
  <c r="CR484" i="30"/>
  <c r="CS484" i="30"/>
  <c r="CT484" i="30"/>
  <c r="CU484" i="30"/>
  <c r="CV484" i="30"/>
  <c r="CW484" i="30"/>
  <c r="CX484" i="30"/>
  <c r="CY484" i="30"/>
  <c r="CZ484" i="30"/>
  <c r="DA484" i="30"/>
  <c r="DB484" i="30"/>
  <c r="DC484" i="30"/>
  <c r="DD484" i="30"/>
  <c r="DE484" i="30"/>
  <c r="DF484" i="30"/>
  <c r="DG484" i="30"/>
  <c r="DH484" i="30"/>
  <c r="DI484" i="30"/>
  <c r="DJ484" i="30"/>
  <c r="DK484" i="30"/>
  <c r="DL484" i="30"/>
  <c r="DM484" i="30"/>
  <c r="DN484" i="30"/>
  <c r="DO484" i="30"/>
  <c r="DP484" i="30"/>
  <c r="DQ484" i="30"/>
  <c r="DR484" i="30"/>
  <c r="DS484" i="30"/>
  <c r="DT484" i="30"/>
  <c r="DU484" i="30"/>
  <c r="DV484" i="30"/>
  <c r="DW484" i="30"/>
  <c r="DX484" i="30"/>
  <c r="DY484" i="30"/>
  <c r="DZ484" i="30"/>
  <c r="EA484" i="30"/>
  <c r="EB484" i="30"/>
  <c r="EC484" i="30"/>
  <c r="ED484" i="30"/>
  <c r="EE484" i="30"/>
  <c r="EF484" i="30"/>
  <c r="EG484" i="30"/>
  <c r="EH484" i="30"/>
  <c r="EI484" i="30"/>
  <c r="EJ484" i="30"/>
  <c r="EK484" i="30"/>
  <c r="EL484" i="30"/>
  <c r="EM484" i="30"/>
  <c r="EN484" i="30"/>
  <c r="EO484" i="30"/>
  <c r="EP484" i="30"/>
  <c r="EQ484" i="30"/>
  <c r="ER484" i="30"/>
  <c r="ES484" i="30"/>
  <c r="ET484" i="30"/>
  <c r="EU484" i="30"/>
  <c r="EV484" i="30"/>
  <c r="EW484" i="30"/>
  <c r="EX484" i="30"/>
  <c r="EY484" i="30"/>
  <c r="EZ484" i="30"/>
  <c r="FA484" i="30"/>
  <c r="FB484" i="30"/>
  <c r="FC484" i="30"/>
  <c r="FD484" i="30"/>
  <c r="FE484" i="30"/>
  <c r="FF484" i="30"/>
  <c r="FG484" i="30"/>
  <c r="FH484" i="30"/>
  <c r="FI484" i="30"/>
  <c r="FJ484" i="30"/>
  <c r="FK484" i="30"/>
  <c r="FL484" i="30"/>
  <c r="FM484" i="30"/>
  <c r="FN484" i="30"/>
  <c r="FO484" i="30"/>
  <c r="FP484" i="30"/>
  <c r="FQ484" i="30"/>
  <c r="FR484" i="30"/>
  <c r="FS484" i="30"/>
  <c r="FT484" i="30"/>
  <c r="FU484" i="30"/>
  <c r="FV484" i="30"/>
  <c r="FW484" i="30"/>
  <c r="FX484" i="30"/>
  <c r="FY484" i="30"/>
  <c r="FZ484" i="30"/>
  <c r="GA484" i="30"/>
  <c r="GB484" i="30"/>
  <c r="GC484" i="30"/>
  <c r="GD484" i="30"/>
  <c r="GE484" i="30"/>
  <c r="GF484" i="30"/>
  <c r="GG484" i="30"/>
  <c r="GH484" i="30"/>
  <c r="GI484" i="30"/>
  <c r="GJ484" i="30"/>
  <c r="GK484" i="30"/>
  <c r="GL484" i="30"/>
  <c r="GM484" i="30"/>
  <c r="GN484" i="30"/>
  <c r="GO484" i="30"/>
  <c r="GP484" i="30"/>
  <c r="GQ484" i="30"/>
  <c r="GR484" i="30"/>
  <c r="GS484" i="30"/>
  <c r="GT484" i="30"/>
  <c r="GU484" i="30"/>
  <c r="GV484" i="30"/>
  <c r="GW484" i="30"/>
  <c r="GX484" i="30"/>
  <c r="GY484" i="30"/>
  <c r="GZ484" i="30"/>
  <c r="HA484" i="30"/>
  <c r="HB484" i="30"/>
  <c r="HC484" i="30"/>
  <c r="HD484" i="30"/>
  <c r="HE484" i="30"/>
  <c r="HF484" i="30"/>
  <c r="HG484" i="30"/>
  <c r="HH484" i="30"/>
  <c r="HI484" i="30"/>
  <c r="HJ484" i="30"/>
  <c r="HK484" i="30"/>
  <c r="HL484" i="30"/>
  <c r="HM484" i="30"/>
  <c r="HN484" i="30"/>
  <c r="HO484" i="30"/>
  <c r="HP484" i="30"/>
  <c r="HQ484" i="30"/>
  <c r="HR484" i="30"/>
  <c r="HS484" i="30"/>
  <c r="HT484" i="30"/>
  <c r="HU484" i="30"/>
  <c r="HV484" i="30"/>
  <c r="HW484" i="30"/>
  <c r="HX484" i="30"/>
  <c r="HY484" i="30"/>
  <c r="HZ484" i="30"/>
  <c r="IA484" i="30"/>
  <c r="IB484" i="30"/>
  <c r="IC484" i="30"/>
  <c r="ID484" i="30"/>
  <c r="IE484" i="30"/>
  <c r="IF484" i="30"/>
  <c r="IG484" i="30"/>
  <c r="IH484" i="30"/>
  <c r="II484" i="30"/>
  <c r="IJ484" i="30"/>
  <c r="IK484" i="30"/>
  <c r="IL484" i="30"/>
  <c r="IM484" i="30"/>
  <c r="IN484" i="30"/>
  <c r="IO484" i="30"/>
  <c r="IP484" i="30"/>
  <c r="IQ484" i="30"/>
  <c r="IR484" i="30"/>
  <c r="IS484" i="30"/>
  <c r="IT484" i="30"/>
  <c r="IU484" i="30"/>
  <c r="IV484" i="30"/>
  <c r="A483" i="30"/>
  <c r="B483" i="30"/>
  <c r="C483" i="30"/>
  <c r="D483" i="30"/>
  <c r="E483" i="30"/>
  <c r="F483" i="30"/>
  <c r="G483" i="30"/>
  <c r="H483" i="30"/>
  <c r="I483" i="30"/>
  <c r="J483" i="30"/>
  <c r="K483" i="30"/>
  <c r="L483" i="30"/>
  <c r="M483" i="30"/>
  <c r="N483" i="30"/>
  <c r="O483" i="30"/>
  <c r="P483" i="30"/>
  <c r="Q483" i="30"/>
  <c r="R483" i="30"/>
  <c r="S483" i="30"/>
  <c r="T483" i="30"/>
  <c r="U483" i="30"/>
  <c r="V483" i="30"/>
  <c r="W483" i="30"/>
  <c r="X483" i="30"/>
  <c r="Y483" i="30"/>
  <c r="Z483" i="30"/>
  <c r="AA483" i="30"/>
  <c r="AB483" i="30"/>
  <c r="AC483" i="30"/>
  <c r="AD483" i="30"/>
  <c r="AE483" i="30"/>
  <c r="AF483" i="30"/>
  <c r="AG483" i="30"/>
  <c r="AH483" i="30"/>
  <c r="AI483" i="30"/>
  <c r="AJ483" i="30"/>
  <c r="AK483" i="30"/>
  <c r="AL483" i="30"/>
  <c r="AM483" i="30"/>
  <c r="AN483" i="30"/>
  <c r="AO483" i="30"/>
  <c r="AP483" i="30"/>
  <c r="AQ483" i="30"/>
  <c r="AR483" i="30"/>
  <c r="AS483" i="30"/>
  <c r="AT483" i="30"/>
  <c r="AU483" i="30"/>
  <c r="AV483" i="30"/>
  <c r="AW483" i="30"/>
  <c r="AX483" i="30"/>
  <c r="AY483" i="30"/>
  <c r="AZ483" i="30"/>
  <c r="BA483" i="30"/>
  <c r="BB483" i="30"/>
  <c r="BC483" i="30"/>
  <c r="BD483" i="30"/>
  <c r="BE483" i="30"/>
  <c r="BF483" i="30"/>
  <c r="BG483" i="30"/>
  <c r="BH483" i="30"/>
  <c r="BI483" i="30"/>
  <c r="BJ483" i="30"/>
  <c r="BK483" i="30"/>
  <c r="BL483" i="30"/>
  <c r="BM483" i="30"/>
  <c r="BN483" i="30"/>
  <c r="BO483" i="30"/>
  <c r="BP483" i="30"/>
  <c r="BQ483" i="30"/>
  <c r="BR483" i="30"/>
  <c r="BS483" i="30"/>
  <c r="BT483" i="30"/>
  <c r="BU483" i="30"/>
  <c r="BV483" i="30"/>
  <c r="BW483" i="30"/>
  <c r="BX483" i="30"/>
  <c r="BY483" i="30"/>
  <c r="BZ483" i="30"/>
  <c r="CA483" i="30"/>
  <c r="CB483" i="30"/>
  <c r="CC483" i="30"/>
  <c r="CD483" i="30"/>
  <c r="CE483" i="30"/>
  <c r="CF483" i="30"/>
  <c r="CG483" i="30"/>
  <c r="CH483" i="30"/>
  <c r="CI483" i="30"/>
  <c r="CJ483" i="30"/>
  <c r="CK483" i="30"/>
  <c r="CL483" i="30"/>
  <c r="CM483" i="30"/>
  <c r="CN483" i="30"/>
  <c r="CO483" i="30"/>
  <c r="CP483" i="30"/>
  <c r="CQ483" i="30"/>
  <c r="CR483" i="30"/>
  <c r="CS483" i="30"/>
  <c r="CT483" i="30"/>
  <c r="CU483" i="30"/>
  <c r="CV483" i="30"/>
  <c r="CW483" i="30"/>
  <c r="CX483" i="30"/>
  <c r="CY483" i="30"/>
  <c r="CZ483" i="30"/>
  <c r="DA483" i="30"/>
  <c r="DB483" i="30"/>
  <c r="DC483" i="30"/>
  <c r="DD483" i="30"/>
  <c r="DE483" i="30"/>
  <c r="DF483" i="30"/>
  <c r="DG483" i="30"/>
  <c r="DH483" i="30"/>
  <c r="DI483" i="30"/>
  <c r="DJ483" i="30"/>
  <c r="DK483" i="30"/>
  <c r="DL483" i="30"/>
  <c r="DM483" i="30"/>
  <c r="DN483" i="30"/>
  <c r="DO483" i="30"/>
  <c r="DP483" i="30"/>
  <c r="DQ483" i="30"/>
  <c r="DR483" i="30"/>
  <c r="DS483" i="30"/>
  <c r="DT483" i="30"/>
  <c r="DU483" i="30"/>
  <c r="DV483" i="30"/>
  <c r="DW483" i="30"/>
  <c r="DX483" i="30"/>
  <c r="DY483" i="30"/>
  <c r="DZ483" i="30"/>
  <c r="EA483" i="30"/>
  <c r="EB483" i="30"/>
  <c r="EC483" i="30"/>
  <c r="ED483" i="30"/>
  <c r="EE483" i="30"/>
  <c r="EF483" i="30"/>
  <c r="EG483" i="30"/>
  <c r="EH483" i="30"/>
  <c r="EI483" i="30"/>
  <c r="EJ483" i="30"/>
  <c r="EK483" i="30"/>
  <c r="EL483" i="30"/>
  <c r="EM483" i="30"/>
  <c r="EN483" i="30"/>
  <c r="EO483" i="30"/>
  <c r="EP483" i="30"/>
  <c r="EQ483" i="30"/>
  <c r="ER483" i="30"/>
  <c r="ES483" i="30"/>
  <c r="ET483" i="30"/>
  <c r="EU483" i="30"/>
  <c r="EV483" i="30"/>
  <c r="EW483" i="30"/>
  <c r="EX483" i="30"/>
  <c r="EY483" i="30"/>
  <c r="EZ483" i="30"/>
  <c r="FA483" i="30"/>
  <c r="FB483" i="30"/>
  <c r="FC483" i="30"/>
  <c r="FD483" i="30"/>
  <c r="FE483" i="30"/>
  <c r="FF483" i="30"/>
  <c r="FG483" i="30"/>
  <c r="FH483" i="30"/>
  <c r="FI483" i="30"/>
  <c r="FJ483" i="30"/>
  <c r="FK483" i="30"/>
  <c r="FL483" i="30"/>
  <c r="FM483" i="30"/>
  <c r="FN483" i="30"/>
  <c r="FO483" i="30"/>
  <c r="FP483" i="30"/>
  <c r="FQ483" i="30"/>
  <c r="FR483" i="30"/>
  <c r="FS483" i="30"/>
  <c r="FT483" i="30"/>
  <c r="FU483" i="30"/>
  <c r="FV483" i="30"/>
  <c r="FW483" i="30"/>
  <c r="FX483" i="30"/>
  <c r="FY483" i="30"/>
  <c r="FZ483" i="30"/>
  <c r="GA483" i="30"/>
  <c r="GB483" i="30"/>
  <c r="GC483" i="30"/>
  <c r="GD483" i="30"/>
  <c r="GE483" i="30"/>
  <c r="GF483" i="30"/>
  <c r="GG483" i="30"/>
  <c r="GH483" i="30"/>
  <c r="GI483" i="30"/>
  <c r="GJ483" i="30"/>
  <c r="GK483" i="30"/>
  <c r="GL483" i="30"/>
  <c r="GM483" i="30"/>
  <c r="GN483" i="30"/>
  <c r="GO483" i="30"/>
  <c r="GP483" i="30"/>
  <c r="GQ483" i="30"/>
  <c r="GR483" i="30"/>
  <c r="GS483" i="30"/>
  <c r="GT483" i="30"/>
  <c r="GU483" i="30"/>
  <c r="GV483" i="30"/>
  <c r="GW483" i="30"/>
  <c r="GX483" i="30"/>
  <c r="GY483" i="30"/>
  <c r="GZ483" i="30"/>
  <c r="HA483" i="30"/>
  <c r="HB483" i="30"/>
  <c r="HC483" i="30"/>
  <c r="HD483" i="30"/>
  <c r="HE483" i="30"/>
  <c r="HF483" i="30"/>
  <c r="HG483" i="30"/>
  <c r="HH483" i="30"/>
  <c r="HI483" i="30"/>
  <c r="HJ483" i="30"/>
  <c r="HK483" i="30"/>
  <c r="HL483" i="30"/>
  <c r="HM483" i="30"/>
  <c r="HN483" i="30"/>
  <c r="HO483" i="30"/>
  <c r="HP483" i="30"/>
  <c r="HQ483" i="30"/>
  <c r="HR483" i="30"/>
  <c r="HS483" i="30"/>
  <c r="HT483" i="30"/>
  <c r="HU483" i="30"/>
  <c r="HV483" i="30"/>
  <c r="HW483" i="30"/>
  <c r="HX483" i="30"/>
  <c r="HY483" i="30"/>
  <c r="HZ483" i="30"/>
  <c r="IA483" i="30"/>
  <c r="IB483" i="30"/>
  <c r="IC483" i="30"/>
  <c r="ID483" i="30"/>
  <c r="IE483" i="30"/>
  <c r="IF483" i="30"/>
  <c r="IG483" i="30"/>
  <c r="IH483" i="30"/>
  <c r="II483" i="30"/>
  <c r="IJ483" i="30"/>
  <c r="IK483" i="30"/>
  <c r="IL483" i="30"/>
  <c r="IM483" i="30"/>
  <c r="IN483" i="30"/>
  <c r="IO483" i="30"/>
  <c r="IP483" i="30"/>
  <c r="IQ483" i="30"/>
  <c r="IR483" i="30"/>
  <c r="IS483" i="30"/>
  <c r="IT483" i="30"/>
  <c r="IU483" i="30"/>
  <c r="IV483" i="30"/>
  <c r="A482" i="30"/>
  <c r="B482" i="30"/>
  <c r="C482" i="30"/>
  <c r="D482" i="30"/>
  <c r="E482" i="30"/>
  <c r="F482" i="30"/>
  <c r="G482" i="30"/>
  <c r="H482" i="30"/>
  <c r="I482" i="30"/>
  <c r="J482" i="30"/>
  <c r="K482" i="30"/>
  <c r="L482" i="30"/>
  <c r="M482" i="30"/>
  <c r="N482" i="30"/>
  <c r="O482" i="30"/>
  <c r="P482" i="30"/>
  <c r="Q482" i="30"/>
  <c r="R482" i="30"/>
  <c r="S482" i="30"/>
  <c r="T482" i="30"/>
  <c r="U482" i="30"/>
  <c r="V482" i="30"/>
  <c r="W482" i="30"/>
  <c r="X482" i="30"/>
  <c r="Y482" i="30"/>
  <c r="Z482" i="30"/>
  <c r="AA482" i="30"/>
  <c r="AB482" i="30"/>
  <c r="AC482" i="30"/>
  <c r="AD482" i="30"/>
  <c r="AE482" i="30"/>
  <c r="AF482" i="30"/>
  <c r="AG482" i="30"/>
  <c r="AH482" i="30"/>
  <c r="AI482" i="30"/>
  <c r="AJ482" i="30"/>
  <c r="AK482" i="30"/>
  <c r="AL482" i="30"/>
  <c r="AM482" i="30"/>
  <c r="AN482" i="30"/>
  <c r="AO482" i="30"/>
  <c r="AP482" i="30"/>
  <c r="AQ482" i="30"/>
  <c r="AR482" i="30"/>
  <c r="AS482" i="30"/>
  <c r="AT482" i="30"/>
  <c r="AU482" i="30"/>
  <c r="AV482" i="30"/>
  <c r="AW482" i="30"/>
  <c r="AX482" i="30"/>
  <c r="AY482" i="30"/>
  <c r="AZ482" i="30"/>
  <c r="BA482" i="30"/>
  <c r="BB482" i="30"/>
  <c r="BC482" i="30"/>
  <c r="BD482" i="30"/>
  <c r="BE482" i="30"/>
  <c r="BF482" i="30"/>
  <c r="BG482" i="30"/>
  <c r="BH482" i="30"/>
  <c r="BI482" i="30"/>
  <c r="BJ482" i="30"/>
  <c r="BK482" i="30"/>
  <c r="BL482" i="30"/>
  <c r="BM482" i="30"/>
  <c r="BN482" i="30"/>
  <c r="BO482" i="30"/>
  <c r="BP482" i="30"/>
  <c r="BQ482" i="30"/>
  <c r="BR482" i="30"/>
  <c r="BS482" i="30"/>
  <c r="BT482" i="30"/>
  <c r="BU482" i="30"/>
  <c r="BV482" i="30"/>
  <c r="BW482" i="30"/>
  <c r="BX482" i="30"/>
  <c r="BY482" i="30"/>
  <c r="BZ482" i="30"/>
  <c r="CA482" i="30"/>
  <c r="CB482" i="30"/>
  <c r="CC482" i="30"/>
  <c r="CD482" i="30"/>
  <c r="CE482" i="30"/>
  <c r="CF482" i="30"/>
  <c r="CG482" i="30"/>
  <c r="CH482" i="30"/>
  <c r="CI482" i="30"/>
  <c r="CJ482" i="30"/>
  <c r="CK482" i="30"/>
  <c r="CL482" i="30"/>
  <c r="CM482" i="30"/>
  <c r="CN482" i="30"/>
  <c r="CO482" i="30"/>
  <c r="CP482" i="30"/>
  <c r="CQ482" i="30"/>
  <c r="CR482" i="30"/>
  <c r="CS482" i="30"/>
  <c r="CT482" i="30"/>
  <c r="CU482" i="30"/>
  <c r="CV482" i="30"/>
  <c r="CW482" i="30"/>
  <c r="CX482" i="30"/>
  <c r="CY482" i="30"/>
  <c r="CZ482" i="30"/>
  <c r="DA482" i="30"/>
  <c r="DB482" i="30"/>
  <c r="DC482" i="30"/>
  <c r="DD482" i="30"/>
  <c r="DE482" i="30"/>
  <c r="DF482" i="30"/>
  <c r="DG482" i="30"/>
  <c r="DH482" i="30"/>
  <c r="DI482" i="30"/>
  <c r="DJ482" i="30"/>
  <c r="DK482" i="30"/>
  <c r="DL482" i="30"/>
  <c r="DM482" i="30"/>
  <c r="DN482" i="30"/>
  <c r="DO482" i="30"/>
  <c r="DP482" i="30"/>
  <c r="DQ482" i="30"/>
  <c r="DR482" i="30"/>
  <c r="DS482" i="30"/>
  <c r="DT482" i="30"/>
  <c r="DU482" i="30"/>
  <c r="DV482" i="30"/>
  <c r="DW482" i="30"/>
  <c r="DX482" i="30"/>
  <c r="DY482" i="30"/>
  <c r="DZ482" i="30"/>
  <c r="EA482" i="30"/>
  <c r="EB482" i="30"/>
  <c r="EC482" i="30"/>
  <c r="ED482" i="30"/>
  <c r="EE482" i="30"/>
  <c r="EF482" i="30"/>
  <c r="EG482" i="30"/>
  <c r="EH482" i="30"/>
  <c r="EI482" i="30"/>
  <c r="EJ482" i="30"/>
  <c r="EK482" i="30"/>
  <c r="EL482" i="30"/>
  <c r="EM482" i="30"/>
  <c r="EN482" i="30"/>
  <c r="EO482" i="30"/>
  <c r="EP482" i="30"/>
  <c r="EQ482" i="30"/>
  <c r="ER482" i="30"/>
  <c r="ES482" i="30"/>
  <c r="ET482" i="30"/>
  <c r="EU482" i="30"/>
  <c r="EV482" i="30"/>
  <c r="EW482" i="30"/>
  <c r="EX482" i="30"/>
  <c r="EY482" i="30"/>
  <c r="EZ482" i="30"/>
  <c r="FA482" i="30"/>
  <c r="FB482" i="30"/>
  <c r="FC482" i="30"/>
  <c r="FD482" i="30"/>
  <c r="FE482" i="30"/>
  <c r="FF482" i="30"/>
  <c r="FG482" i="30"/>
  <c r="FH482" i="30"/>
  <c r="FI482" i="30"/>
  <c r="FJ482" i="30"/>
  <c r="FK482" i="30"/>
  <c r="FL482" i="30"/>
  <c r="FM482" i="30"/>
  <c r="FN482" i="30"/>
  <c r="FO482" i="30"/>
  <c r="FP482" i="30"/>
  <c r="FQ482" i="30"/>
  <c r="FR482" i="30"/>
  <c r="FS482" i="30"/>
  <c r="FT482" i="30"/>
  <c r="FU482" i="30"/>
  <c r="FV482" i="30"/>
  <c r="FW482" i="30"/>
  <c r="FX482" i="30"/>
  <c r="FY482" i="30"/>
  <c r="FZ482" i="30"/>
  <c r="GA482" i="30"/>
  <c r="GB482" i="30"/>
  <c r="GC482" i="30"/>
  <c r="GD482" i="30"/>
  <c r="GE482" i="30"/>
  <c r="GF482" i="30"/>
  <c r="GG482" i="30"/>
  <c r="GH482" i="30"/>
  <c r="GI482" i="30"/>
  <c r="GJ482" i="30"/>
  <c r="GK482" i="30"/>
  <c r="GL482" i="30"/>
  <c r="GM482" i="30"/>
  <c r="GN482" i="30"/>
  <c r="GO482" i="30"/>
  <c r="GP482" i="30"/>
  <c r="GQ482" i="30"/>
  <c r="GR482" i="30"/>
  <c r="GS482" i="30"/>
  <c r="GT482" i="30"/>
  <c r="GU482" i="30"/>
  <c r="GV482" i="30"/>
  <c r="GW482" i="30"/>
  <c r="GX482" i="30"/>
  <c r="GY482" i="30"/>
  <c r="GZ482" i="30"/>
  <c r="HA482" i="30"/>
  <c r="HB482" i="30"/>
  <c r="HC482" i="30"/>
  <c r="HD482" i="30"/>
  <c r="HE482" i="30"/>
  <c r="HF482" i="30"/>
  <c r="HG482" i="30"/>
  <c r="HH482" i="30"/>
  <c r="HI482" i="30"/>
  <c r="HJ482" i="30"/>
  <c r="HK482" i="30"/>
  <c r="HL482" i="30"/>
  <c r="HM482" i="30"/>
  <c r="HN482" i="30"/>
  <c r="HO482" i="30"/>
  <c r="HP482" i="30"/>
  <c r="HQ482" i="30"/>
  <c r="HR482" i="30"/>
  <c r="HS482" i="30"/>
  <c r="HT482" i="30"/>
  <c r="HU482" i="30"/>
  <c r="HV482" i="30"/>
  <c r="HW482" i="30"/>
  <c r="HX482" i="30"/>
  <c r="HY482" i="30"/>
  <c r="HZ482" i="30"/>
  <c r="IA482" i="30"/>
  <c r="IB482" i="30"/>
  <c r="IC482" i="30"/>
  <c r="ID482" i="30"/>
  <c r="IE482" i="30"/>
  <c r="IF482" i="30"/>
  <c r="IG482" i="30"/>
  <c r="IH482" i="30"/>
  <c r="II482" i="30"/>
  <c r="IJ482" i="30"/>
  <c r="IK482" i="30"/>
  <c r="IL482" i="30"/>
  <c r="IM482" i="30"/>
  <c r="IN482" i="30"/>
  <c r="IO482" i="30"/>
  <c r="IP482" i="30"/>
  <c r="IQ482" i="30"/>
  <c r="IR482" i="30"/>
  <c r="IS482" i="30"/>
  <c r="IT482" i="30"/>
  <c r="IU482" i="30"/>
  <c r="IV482" i="30"/>
  <c r="A481" i="30"/>
  <c r="B481" i="30"/>
  <c r="C481" i="30"/>
  <c r="D481" i="30"/>
  <c r="E481" i="30"/>
  <c r="F481" i="30"/>
  <c r="G481" i="30"/>
  <c r="H481" i="30"/>
  <c r="I481" i="30"/>
  <c r="J481" i="30"/>
  <c r="K481" i="30"/>
  <c r="L481" i="30"/>
  <c r="M481" i="30"/>
  <c r="N481" i="30"/>
  <c r="O481" i="30"/>
  <c r="P481" i="30"/>
  <c r="Q481" i="30"/>
  <c r="R481" i="30"/>
  <c r="S481" i="30"/>
  <c r="T481" i="30"/>
  <c r="U481" i="30"/>
  <c r="V481" i="30"/>
  <c r="W481" i="30"/>
  <c r="X481" i="30"/>
  <c r="Y481" i="30"/>
  <c r="Z481" i="30"/>
  <c r="AA481" i="30"/>
  <c r="AB481" i="30"/>
  <c r="AC481" i="30"/>
  <c r="AD481" i="30"/>
  <c r="AE481" i="30"/>
  <c r="AF481" i="30"/>
  <c r="AG481" i="30"/>
  <c r="AH481" i="30"/>
  <c r="AI481" i="30"/>
  <c r="AJ481" i="30"/>
  <c r="AK481" i="30"/>
  <c r="AL481" i="30"/>
  <c r="AM481" i="30"/>
  <c r="AN481" i="30"/>
  <c r="AO481" i="30"/>
  <c r="AP481" i="30"/>
  <c r="AQ481" i="30"/>
  <c r="AR481" i="30"/>
  <c r="AS481" i="30"/>
  <c r="AT481" i="30"/>
  <c r="AU481" i="30"/>
  <c r="AV481" i="30"/>
  <c r="AW481" i="30"/>
  <c r="AX481" i="30"/>
  <c r="AY481" i="30"/>
  <c r="AZ481" i="30"/>
  <c r="BA481" i="30"/>
  <c r="BB481" i="30"/>
  <c r="BC481" i="30"/>
  <c r="BD481" i="30"/>
  <c r="BE481" i="30"/>
  <c r="BF481" i="30"/>
  <c r="BG481" i="30"/>
  <c r="BH481" i="30"/>
  <c r="BI481" i="30"/>
  <c r="BJ481" i="30"/>
  <c r="BK481" i="30"/>
  <c r="BL481" i="30"/>
  <c r="BM481" i="30"/>
  <c r="BN481" i="30"/>
  <c r="BO481" i="30"/>
  <c r="BP481" i="30"/>
  <c r="BQ481" i="30"/>
  <c r="BR481" i="30"/>
  <c r="BS481" i="30"/>
  <c r="BT481" i="30"/>
  <c r="BU481" i="30"/>
  <c r="BV481" i="30"/>
  <c r="BW481" i="30"/>
  <c r="BX481" i="30"/>
  <c r="BY481" i="30"/>
  <c r="BZ481" i="30"/>
  <c r="CA481" i="30"/>
  <c r="CB481" i="30"/>
  <c r="CC481" i="30"/>
  <c r="CD481" i="30"/>
  <c r="CE481" i="30"/>
  <c r="CF481" i="30"/>
  <c r="CG481" i="30"/>
  <c r="CH481" i="30"/>
  <c r="CI481" i="30"/>
  <c r="CJ481" i="30"/>
  <c r="CK481" i="30"/>
  <c r="CL481" i="30"/>
  <c r="CM481" i="30"/>
  <c r="CN481" i="30"/>
  <c r="CO481" i="30"/>
  <c r="CP481" i="30"/>
  <c r="CQ481" i="30"/>
  <c r="CR481" i="30"/>
  <c r="CS481" i="30"/>
  <c r="CT481" i="30"/>
  <c r="CU481" i="30"/>
  <c r="CV481" i="30"/>
  <c r="CW481" i="30"/>
  <c r="CX481" i="30"/>
  <c r="CY481" i="30"/>
  <c r="CZ481" i="30"/>
  <c r="DA481" i="30"/>
  <c r="DB481" i="30"/>
  <c r="DC481" i="30"/>
  <c r="DD481" i="30"/>
  <c r="DE481" i="30"/>
  <c r="DF481" i="30"/>
  <c r="DG481" i="30"/>
  <c r="DH481" i="30"/>
  <c r="DI481" i="30"/>
  <c r="DJ481" i="30"/>
  <c r="DK481" i="30"/>
  <c r="DL481" i="30"/>
  <c r="DM481" i="30"/>
  <c r="DN481" i="30"/>
  <c r="DO481" i="30"/>
  <c r="DP481" i="30"/>
  <c r="DQ481" i="30"/>
  <c r="DR481" i="30"/>
  <c r="DS481" i="30"/>
  <c r="DT481" i="30"/>
  <c r="DU481" i="30"/>
  <c r="DV481" i="30"/>
  <c r="DW481" i="30"/>
  <c r="DX481" i="30"/>
  <c r="DY481" i="30"/>
  <c r="DZ481" i="30"/>
  <c r="EA481" i="30"/>
  <c r="EB481" i="30"/>
  <c r="EC481" i="30"/>
  <c r="ED481" i="30"/>
  <c r="EE481" i="30"/>
  <c r="EF481" i="30"/>
  <c r="EG481" i="30"/>
  <c r="EH481" i="30"/>
  <c r="EI481" i="30"/>
  <c r="EJ481" i="30"/>
  <c r="EK481" i="30"/>
  <c r="EL481" i="30"/>
  <c r="EM481" i="30"/>
  <c r="EN481" i="30"/>
  <c r="EO481" i="30"/>
  <c r="EP481" i="30"/>
  <c r="EQ481" i="30"/>
  <c r="ER481" i="30"/>
  <c r="ES481" i="30"/>
  <c r="ET481" i="30"/>
  <c r="EU481" i="30"/>
  <c r="EV481" i="30"/>
  <c r="EW481" i="30"/>
  <c r="EX481" i="30"/>
  <c r="EY481" i="30"/>
  <c r="EZ481" i="30"/>
  <c r="FA481" i="30"/>
  <c r="FB481" i="30"/>
  <c r="FC481" i="30"/>
  <c r="FD481" i="30"/>
  <c r="FE481" i="30"/>
  <c r="FF481" i="30"/>
  <c r="FG481" i="30"/>
  <c r="FH481" i="30"/>
  <c r="FI481" i="30"/>
  <c r="FJ481" i="30"/>
  <c r="FK481" i="30"/>
  <c r="FL481" i="30"/>
  <c r="FM481" i="30"/>
  <c r="FN481" i="30"/>
  <c r="FO481" i="30"/>
  <c r="FP481" i="30"/>
  <c r="FQ481" i="30"/>
  <c r="FR481" i="30"/>
  <c r="FS481" i="30"/>
  <c r="FT481" i="30"/>
  <c r="FU481" i="30"/>
  <c r="FV481" i="30"/>
  <c r="FW481" i="30"/>
  <c r="FX481" i="30"/>
  <c r="FY481" i="30"/>
  <c r="FZ481" i="30"/>
  <c r="GA481" i="30"/>
  <c r="GB481" i="30"/>
  <c r="GC481" i="30"/>
  <c r="GD481" i="30"/>
  <c r="GE481" i="30"/>
  <c r="GF481" i="30"/>
  <c r="GG481" i="30"/>
  <c r="GH481" i="30"/>
  <c r="GI481" i="30"/>
  <c r="GJ481" i="30"/>
  <c r="GK481" i="30"/>
  <c r="GL481" i="30"/>
  <c r="GM481" i="30"/>
  <c r="GN481" i="30"/>
  <c r="GO481" i="30"/>
  <c r="GP481" i="30"/>
  <c r="GQ481" i="30"/>
  <c r="GR481" i="30"/>
  <c r="GS481" i="30"/>
  <c r="GT481" i="30"/>
  <c r="GU481" i="30"/>
  <c r="GV481" i="30"/>
  <c r="GW481" i="30"/>
  <c r="GX481" i="30"/>
  <c r="GY481" i="30"/>
  <c r="GZ481" i="30"/>
  <c r="HA481" i="30"/>
  <c r="HB481" i="30"/>
  <c r="HC481" i="30"/>
  <c r="HD481" i="30"/>
  <c r="HE481" i="30"/>
  <c r="HF481" i="30"/>
  <c r="HG481" i="30"/>
  <c r="HH481" i="30"/>
  <c r="HI481" i="30"/>
  <c r="HJ481" i="30"/>
  <c r="HK481" i="30"/>
  <c r="HL481" i="30"/>
  <c r="HM481" i="30"/>
  <c r="HN481" i="30"/>
  <c r="HO481" i="30"/>
  <c r="HP481" i="30"/>
  <c r="HQ481" i="30"/>
  <c r="HR481" i="30"/>
  <c r="HS481" i="30"/>
  <c r="HT481" i="30"/>
  <c r="HU481" i="30"/>
  <c r="HV481" i="30"/>
  <c r="HW481" i="30"/>
  <c r="HX481" i="30"/>
  <c r="HY481" i="30"/>
  <c r="HZ481" i="30"/>
  <c r="IA481" i="30"/>
  <c r="IB481" i="30"/>
  <c r="IC481" i="30"/>
  <c r="ID481" i="30"/>
  <c r="IE481" i="30"/>
  <c r="IF481" i="30"/>
  <c r="IG481" i="30"/>
  <c r="IH481" i="30"/>
  <c r="II481" i="30"/>
  <c r="IJ481" i="30"/>
  <c r="IK481" i="30"/>
  <c r="IL481" i="30"/>
  <c r="IM481" i="30"/>
  <c r="IN481" i="30"/>
  <c r="IO481" i="30"/>
  <c r="IP481" i="30"/>
  <c r="IQ481" i="30"/>
  <c r="IR481" i="30"/>
  <c r="IS481" i="30"/>
  <c r="IT481" i="30"/>
  <c r="IU481" i="30"/>
  <c r="IV481" i="30"/>
  <c r="A480" i="30"/>
  <c r="B480" i="30"/>
  <c r="C480" i="30"/>
  <c r="D480" i="30"/>
  <c r="E480" i="30"/>
  <c r="F480" i="30"/>
  <c r="G480" i="30"/>
  <c r="H480" i="30"/>
  <c r="I480" i="30"/>
  <c r="J480" i="30"/>
  <c r="K480" i="30"/>
  <c r="L480" i="30"/>
  <c r="M480" i="30"/>
  <c r="N480" i="30"/>
  <c r="O480" i="30"/>
  <c r="P480" i="30"/>
  <c r="Q480" i="30"/>
  <c r="R480" i="30"/>
  <c r="S480" i="30"/>
  <c r="T480" i="30"/>
  <c r="U480" i="30"/>
  <c r="V480" i="30"/>
  <c r="W480" i="30"/>
  <c r="X480" i="30"/>
  <c r="Y480" i="30"/>
  <c r="Z480" i="30"/>
  <c r="AA480" i="30"/>
  <c r="AB480" i="30"/>
  <c r="AC480" i="30"/>
  <c r="AD480" i="30"/>
  <c r="AE480" i="30"/>
  <c r="AF480" i="30"/>
  <c r="AG480" i="30"/>
  <c r="AH480" i="30"/>
  <c r="AI480" i="30"/>
  <c r="AJ480" i="30"/>
  <c r="AK480" i="30"/>
  <c r="AL480" i="30"/>
  <c r="AM480" i="30"/>
  <c r="AN480" i="30"/>
  <c r="AO480" i="30"/>
  <c r="AP480" i="30"/>
  <c r="AQ480" i="30"/>
  <c r="AR480" i="30"/>
  <c r="AS480" i="30"/>
  <c r="AT480" i="30"/>
  <c r="AU480" i="30"/>
  <c r="AV480" i="30"/>
  <c r="AW480" i="30"/>
  <c r="AX480" i="30"/>
  <c r="AY480" i="30"/>
  <c r="AZ480" i="30"/>
  <c r="BA480" i="30"/>
  <c r="BB480" i="30"/>
  <c r="BC480" i="30"/>
  <c r="BD480" i="30"/>
  <c r="BE480" i="30"/>
  <c r="BF480" i="30"/>
  <c r="BG480" i="30"/>
  <c r="BH480" i="30"/>
  <c r="BI480" i="30"/>
  <c r="BJ480" i="30"/>
  <c r="BK480" i="30"/>
  <c r="BL480" i="30"/>
  <c r="BM480" i="30"/>
  <c r="BN480" i="30"/>
  <c r="BO480" i="30"/>
  <c r="BP480" i="30"/>
  <c r="BQ480" i="30"/>
  <c r="BR480" i="30"/>
  <c r="BS480" i="30"/>
  <c r="BT480" i="30"/>
  <c r="BU480" i="30"/>
  <c r="BV480" i="30"/>
  <c r="BW480" i="30"/>
  <c r="BX480" i="30"/>
  <c r="BY480" i="30"/>
  <c r="BZ480" i="30"/>
  <c r="CA480" i="30"/>
  <c r="CB480" i="30"/>
  <c r="CC480" i="30"/>
  <c r="CD480" i="30"/>
  <c r="CE480" i="30"/>
  <c r="CF480" i="30"/>
  <c r="CG480" i="30"/>
  <c r="CH480" i="30"/>
  <c r="CI480" i="30"/>
  <c r="CJ480" i="30"/>
  <c r="CK480" i="30"/>
  <c r="CL480" i="30"/>
  <c r="CM480" i="30"/>
  <c r="CN480" i="30"/>
  <c r="CO480" i="30"/>
  <c r="CP480" i="30"/>
  <c r="CQ480" i="30"/>
  <c r="CR480" i="30"/>
  <c r="CS480" i="30"/>
  <c r="CT480" i="30"/>
  <c r="CU480" i="30"/>
  <c r="CV480" i="30"/>
  <c r="CW480" i="30"/>
  <c r="CX480" i="30"/>
  <c r="CY480" i="30"/>
  <c r="CZ480" i="30"/>
  <c r="DA480" i="30"/>
  <c r="DB480" i="30"/>
  <c r="DC480" i="30"/>
  <c r="DD480" i="30"/>
  <c r="DE480" i="30"/>
  <c r="DF480" i="30"/>
  <c r="DG480" i="30"/>
  <c r="DH480" i="30"/>
  <c r="DI480" i="30"/>
  <c r="DJ480" i="30"/>
  <c r="DK480" i="30"/>
  <c r="DL480" i="30"/>
  <c r="DM480" i="30"/>
  <c r="DN480" i="30"/>
  <c r="DO480" i="30"/>
  <c r="DP480" i="30"/>
  <c r="DQ480" i="30"/>
  <c r="DR480" i="30"/>
  <c r="DS480" i="30"/>
  <c r="DT480" i="30"/>
  <c r="DU480" i="30"/>
  <c r="DV480" i="30"/>
  <c r="DW480" i="30"/>
  <c r="DX480" i="30"/>
  <c r="DY480" i="30"/>
  <c r="DZ480" i="30"/>
  <c r="EA480" i="30"/>
  <c r="EB480" i="30"/>
  <c r="EC480" i="30"/>
  <c r="ED480" i="30"/>
  <c r="EE480" i="30"/>
  <c r="EF480" i="30"/>
  <c r="EG480" i="30"/>
  <c r="EH480" i="30"/>
  <c r="EI480" i="30"/>
  <c r="EJ480" i="30"/>
  <c r="EK480" i="30"/>
  <c r="EL480" i="30"/>
  <c r="EM480" i="30"/>
  <c r="EN480" i="30"/>
  <c r="EO480" i="30"/>
  <c r="EP480" i="30"/>
  <c r="EQ480" i="30"/>
  <c r="ER480" i="30"/>
  <c r="ES480" i="30"/>
  <c r="ET480" i="30"/>
  <c r="EU480" i="30"/>
  <c r="EV480" i="30"/>
  <c r="EW480" i="30"/>
  <c r="EX480" i="30"/>
  <c r="EY480" i="30"/>
  <c r="EZ480" i="30"/>
  <c r="FA480" i="30"/>
  <c r="FB480" i="30"/>
  <c r="FC480" i="30"/>
  <c r="FD480" i="30"/>
  <c r="FE480" i="30"/>
  <c r="FF480" i="30"/>
  <c r="FG480" i="30"/>
  <c r="FH480" i="30"/>
  <c r="FI480" i="30"/>
  <c r="FJ480" i="30"/>
  <c r="FK480" i="30"/>
  <c r="FL480" i="30"/>
  <c r="FM480" i="30"/>
  <c r="FN480" i="30"/>
  <c r="FO480" i="30"/>
  <c r="FP480" i="30"/>
  <c r="FQ480" i="30"/>
  <c r="FR480" i="30"/>
  <c r="FS480" i="30"/>
  <c r="FT480" i="30"/>
  <c r="FU480" i="30"/>
  <c r="FV480" i="30"/>
  <c r="FW480" i="30"/>
  <c r="FX480" i="30"/>
  <c r="FY480" i="30"/>
  <c r="FZ480" i="30"/>
  <c r="GA480" i="30"/>
  <c r="GB480" i="30"/>
  <c r="GC480" i="30"/>
  <c r="GD480" i="30"/>
  <c r="GE480" i="30"/>
  <c r="GF480" i="30"/>
  <c r="GG480" i="30"/>
  <c r="GH480" i="30"/>
  <c r="GI480" i="30"/>
  <c r="GJ480" i="30"/>
  <c r="GK480" i="30"/>
  <c r="GL480" i="30"/>
  <c r="GM480" i="30"/>
  <c r="GN480" i="30"/>
  <c r="GO480" i="30"/>
  <c r="GP480" i="30"/>
  <c r="GQ480" i="30"/>
  <c r="GR480" i="30"/>
  <c r="GS480" i="30"/>
  <c r="GT480" i="30"/>
  <c r="GU480" i="30"/>
  <c r="GV480" i="30"/>
  <c r="GW480" i="30"/>
  <c r="GX480" i="30"/>
  <c r="GY480" i="30"/>
  <c r="GZ480" i="30"/>
  <c r="HA480" i="30"/>
  <c r="HB480" i="30"/>
  <c r="HC480" i="30"/>
  <c r="HD480" i="30"/>
  <c r="HE480" i="30"/>
  <c r="HF480" i="30"/>
  <c r="HG480" i="30"/>
  <c r="HH480" i="30"/>
  <c r="HI480" i="30"/>
  <c r="HJ480" i="30"/>
  <c r="HK480" i="30"/>
  <c r="HL480" i="30"/>
  <c r="HM480" i="30"/>
  <c r="HN480" i="30"/>
  <c r="HO480" i="30"/>
  <c r="HP480" i="30"/>
  <c r="HQ480" i="30"/>
  <c r="HR480" i="30"/>
  <c r="HS480" i="30"/>
  <c r="HT480" i="30"/>
  <c r="HU480" i="30"/>
  <c r="HV480" i="30"/>
  <c r="HW480" i="30"/>
  <c r="HX480" i="30"/>
  <c r="HY480" i="30"/>
  <c r="HZ480" i="30"/>
  <c r="IA480" i="30"/>
  <c r="IB480" i="30"/>
  <c r="IC480" i="30"/>
  <c r="ID480" i="30"/>
  <c r="IE480" i="30"/>
  <c r="IF480" i="30"/>
  <c r="IG480" i="30"/>
  <c r="IH480" i="30"/>
  <c r="II480" i="30"/>
  <c r="IJ480" i="30"/>
  <c r="IK480" i="30"/>
  <c r="IL480" i="30"/>
  <c r="IM480" i="30"/>
  <c r="IN480" i="30"/>
  <c r="IO480" i="30"/>
  <c r="IP480" i="30"/>
  <c r="IQ480" i="30"/>
  <c r="IR480" i="30"/>
  <c r="IS480" i="30"/>
  <c r="IT480" i="30"/>
  <c r="IU480" i="30"/>
  <c r="IV480" i="30"/>
  <c r="A479" i="30"/>
  <c r="B479" i="30"/>
  <c r="C479" i="30"/>
  <c r="D479" i="30"/>
  <c r="E479" i="30"/>
  <c r="F479" i="30"/>
  <c r="G479" i="30"/>
  <c r="H479" i="30"/>
  <c r="I479" i="30"/>
  <c r="J479" i="30"/>
  <c r="K479" i="30"/>
  <c r="L479" i="30"/>
  <c r="M479" i="30"/>
  <c r="N479" i="30"/>
  <c r="O479" i="30"/>
  <c r="P479" i="30"/>
  <c r="Q479" i="30"/>
  <c r="R479" i="30"/>
  <c r="S479" i="30"/>
  <c r="T479" i="30"/>
  <c r="U479" i="30"/>
  <c r="V479" i="30"/>
  <c r="W479" i="30"/>
  <c r="X479" i="30"/>
  <c r="Y479" i="30"/>
  <c r="Z479" i="30"/>
  <c r="AA479" i="30"/>
  <c r="AB479" i="30"/>
  <c r="AC479" i="30"/>
  <c r="AD479" i="30"/>
  <c r="AE479" i="30"/>
  <c r="AF479" i="30"/>
  <c r="AG479" i="30"/>
  <c r="AH479" i="30"/>
  <c r="AI479" i="30"/>
  <c r="AJ479" i="30"/>
  <c r="AK479" i="30"/>
  <c r="AL479" i="30"/>
  <c r="AM479" i="30"/>
  <c r="AN479" i="30"/>
  <c r="AO479" i="30"/>
  <c r="AP479" i="30"/>
  <c r="AQ479" i="30"/>
  <c r="AR479" i="30"/>
  <c r="AS479" i="30"/>
  <c r="AT479" i="30"/>
  <c r="AU479" i="30"/>
  <c r="AV479" i="30"/>
  <c r="AW479" i="30"/>
  <c r="AX479" i="30"/>
  <c r="AY479" i="30"/>
  <c r="AZ479" i="30"/>
  <c r="BA479" i="30"/>
  <c r="BB479" i="30"/>
  <c r="BC479" i="30"/>
  <c r="BD479" i="30"/>
  <c r="BE479" i="30"/>
  <c r="BF479" i="30"/>
  <c r="BG479" i="30"/>
  <c r="BH479" i="30"/>
  <c r="BI479" i="30"/>
  <c r="BJ479" i="30"/>
  <c r="BK479" i="30"/>
  <c r="BL479" i="30"/>
  <c r="BM479" i="30"/>
  <c r="BN479" i="30"/>
  <c r="BO479" i="30"/>
  <c r="BP479" i="30"/>
  <c r="BQ479" i="30"/>
  <c r="BR479" i="30"/>
  <c r="BS479" i="30"/>
  <c r="BT479" i="30"/>
  <c r="BU479" i="30"/>
  <c r="BV479" i="30"/>
  <c r="BW479" i="30"/>
  <c r="BX479" i="30"/>
  <c r="BY479" i="30"/>
  <c r="BZ479" i="30"/>
  <c r="CA479" i="30"/>
  <c r="CB479" i="30"/>
  <c r="CC479" i="30"/>
  <c r="CD479" i="30"/>
  <c r="CE479" i="30"/>
  <c r="CF479" i="30"/>
  <c r="CG479" i="30"/>
  <c r="CH479" i="30"/>
  <c r="CI479" i="30"/>
  <c r="CJ479" i="30"/>
  <c r="CK479" i="30"/>
  <c r="CL479" i="30"/>
  <c r="CM479" i="30"/>
  <c r="CN479" i="30"/>
  <c r="CO479" i="30"/>
  <c r="CP479" i="30"/>
  <c r="CQ479" i="30"/>
  <c r="CR479" i="30"/>
  <c r="CS479" i="30"/>
  <c r="CT479" i="30"/>
  <c r="CU479" i="30"/>
  <c r="CV479" i="30"/>
  <c r="CW479" i="30"/>
  <c r="CX479" i="30"/>
  <c r="CY479" i="30"/>
  <c r="CZ479" i="30"/>
  <c r="DA479" i="30"/>
  <c r="DB479" i="30"/>
  <c r="DC479" i="30"/>
  <c r="DD479" i="30"/>
  <c r="DE479" i="30"/>
  <c r="DF479" i="30"/>
  <c r="DG479" i="30"/>
  <c r="DH479" i="30"/>
  <c r="DI479" i="30"/>
  <c r="DJ479" i="30"/>
  <c r="DK479" i="30"/>
  <c r="DL479" i="30"/>
  <c r="DM479" i="30"/>
  <c r="DN479" i="30"/>
  <c r="DO479" i="30"/>
  <c r="DP479" i="30"/>
  <c r="DQ479" i="30"/>
  <c r="DR479" i="30"/>
  <c r="DS479" i="30"/>
  <c r="DT479" i="30"/>
  <c r="DU479" i="30"/>
  <c r="DV479" i="30"/>
  <c r="DW479" i="30"/>
  <c r="DX479" i="30"/>
  <c r="DY479" i="30"/>
  <c r="DZ479" i="30"/>
  <c r="EA479" i="30"/>
  <c r="EB479" i="30"/>
  <c r="EC479" i="30"/>
  <c r="ED479" i="30"/>
  <c r="EE479" i="30"/>
  <c r="EF479" i="30"/>
  <c r="EG479" i="30"/>
  <c r="EH479" i="30"/>
  <c r="EI479" i="30"/>
  <c r="EJ479" i="30"/>
  <c r="EK479" i="30"/>
  <c r="EL479" i="30"/>
  <c r="EM479" i="30"/>
  <c r="EN479" i="30"/>
  <c r="EO479" i="30"/>
  <c r="EP479" i="30"/>
  <c r="EQ479" i="30"/>
  <c r="ER479" i="30"/>
  <c r="ES479" i="30"/>
  <c r="ET479" i="30"/>
  <c r="EU479" i="30"/>
  <c r="EV479" i="30"/>
  <c r="EW479" i="30"/>
  <c r="EX479" i="30"/>
  <c r="EY479" i="30"/>
  <c r="EZ479" i="30"/>
  <c r="FA479" i="30"/>
  <c r="FB479" i="30"/>
  <c r="FC479" i="30"/>
  <c r="FD479" i="30"/>
  <c r="FE479" i="30"/>
  <c r="FF479" i="30"/>
  <c r="FG479" i="30"/>
  <c r="FH479" i="30"/>
  <c r="FI479" i="30"/>
  <c r="FJ479" i="30"/>
  <c r="FK479" i="30"/>
  <c r="FL479" i="30"/>
  <c r="FM479" i="30"/>
  <c r="FN479" i="30"/>
  <c r="FO479" i="30"/>
  <c r="FP479" i="30"/>
  <c r="FQ479" i="30"/>
  <c r="FR479" i="30"/>
  <c r="FS479" i="30"/>
  <c r="FT479" i="30"/>
  <c r="FU479" i="30"/>
  <c r="FV479" i="30"/>
  <c r="FW479" i="30"/>
  <c r="FX479" i="30"/>
  <c r="FY479" i="30"/>
  <c r="FZ479" i="30"/>
  <c r="GA479" i="30"/>
  <c r="GB479" i="30"/>
  <c r="GC479" i="30"/>
  <c r="GD479" i="30"/>
  <c r="GE479" i="30"/>
  <c r="GF479" i="30"/>
  <c r="GG479" i="30"/>
  <c r="GH479" i="30"/>
  <c r="GI479" i="30"/>
  <c r="GJ479" i="30"/>
  <c r="GK479" i="30"/>
  <c r="GL479" i="30"/>
  <c r="GM479" i="30"/>
  <c r="GN479" i="30"/>
  <c r="GO479" i="30"/>
  <c r="GP479" i="30"/>
  <c r="GQ479" i="30"/>
  <c r="GR479" i="30"/>
  <c r="GS479" i="30"/>
  <c r="GT479" i="30"/>
  <c r="GU479" i="30"/>
  <c r="GV479" i="30"/>
  <c r="GW479" i="30"/>
  <c r="GX479" i="30"/>
  <c r="GY479" i="30"/>
  <c r="GZ479" i="30"/>
  <c r="HA479" i="30"/>
  <c r="HB479" i="30"/>
  <c r="HC479" i="30"/>
  <c r="HD479" i="30"/>
  <c r="HE479" i="30"/>
  <c r="HF479" i="30"/>
  <c r="HG479" i="30"/>
  <c r="HH479" i="30"/>
  <c r="HI479" i="30"/>
  <c r="HJ479" i="30"/>
  <c r="HK479" i="30"/>
  <c r="HL479" i="30"/>
  <c r="HM479" i="30"/>
  <c r="HN479" i="30"/>
  <c r="HO479" i="30"/>
  <c r="HP479" i="30"/>
  <c r="HQ479" i="30"/>
  <c r="HR479" i="30"/>
  <c r="HS479" i="30"/>
  <c r="HT479" i="30"/>
  <c r="HU479" i="30"/>
  <c r="HV479" i="30"/>
  <c r="HW479" i="30"/>
  <c r="HX479" i="30"/>
  <c r="HY479" i="30"/>
  <c r="HZ479" i="30"/>
  <c r="IA479" i="30"/>
  <c r="IB479" i="30"/>
  <c r="IC479" i="30"/>
  <c r="ID479" i="30"/>
  <c r="IE479" i="30"/>
  <c r="IF479" i="30"/>
  <c r="IG479" i="30"/>
  <c r="IH479" i="30"/>
  <c r="II479" i="30"/>
  <c r="IJ479" i="30"/>
  <c r="IK479" i="30"/>
  <c r="IL479" i="30"/>
  <c r="IM479" i="30"/>
  <c r="IN479" i="30"/>
  <c r="IO479" i="30"/>
  <c r="IP479" i="30"/>
  <c r="IQ479" i="30"/>
  <c r="IR479" i="30"/>
  <c r="IS479" i="30"/>
  <c r="IT479" i="30"/>
  <c r="IU479" i="30"/>
  <c r="IV479" i="30"/>
  <c r="A478" i="30"/>
  <c r="B478" i="30"/>
  <c r="C478" i="30"/>
  <c r="D478" i="30"/>
  <c r="E478" i="30"/>
  <c r="F478" i="30"/>
  <c r="G478" i="30"/>
  <c r="H478" i="30"/>
  <c r="I478" i="30"/>
  <c r="J478" i="30"/>
  <c r="K478" i="30"/>
  <c r="L478" i="30"/>
  <c r="M478" i="30"/>
  <c r="N478" i="30"/>
  <c r="O478" i="30"/>
  <c r="P478" i="30"/>
  <c r="Q478" i="30"/>
  <c r="R478" i="30"/>
  <c r="S478" i="30"/>
  <c r="T478" i="30"/>
  <c r="U478" i="30"/>
  <c r="V478" i="30"/>
  <c r="W478" i="30"/>
  <c r="X478" i="30"/>
  <c r="Y478" i="30"/>
  <c r="Z478" i="30"/>
  <c r="AA478" i="30"/>
  <c r="AB478" i="30"/>
  <c r="AC478" i="30"/>
  <c r="AD478" i="30"/>
  <c r="AE478" i="30"/>
  <c r="AF478" i="30"/>
  <c r="AG478" i="30"/>
  <c r="AH478" i="30"/>
  <c r="AI478" i="30"/>
  <c r="AJ478" i="30"/>
  <c r="AK478" i="30"/>
  <c r="AL478" i="30"/>
  <c r="AM478" i="30"/>
  <c r="AN478" i="30"/>
  <c r="AO478" i="30"/>
  <c r="AP478" i="30"/>
  <c r="AQ478" i="30"/>
  <c r="AR478" i="30"/>
  <c r="AS478" i="30"/>
  <c r="AT478" i="30"/>
  <c r="AU478" i="30"/>
  <c r="AV478" i="30"/>
  <c r="AW478" i="30"/>
  <c r="AX478" i="30"/>
  <c r="AY478" i="30"/>
  <c r="AZ478" i="30"/>
  <c r="BA478" i="30"/>
  <c r="BB478" i="30"/>
  <c r="BC478" i="30"/>
  <c r="BD478" i="30"/>
  <c r="BE478" i="30"/>
  <c r="BF478" i="30"/>
  <c r="BG478" i="30"/>
  <c r="BH478" i="30"/>
  <c r="BI478" i="30"/>
  <c r="BJ478" i="30"/>
  <c r="BK478" i="30"/>
  <c r="BL478" i="30"/>
  <c r="BM478" i="30"/>
  <c r="BN478" i="30"/>
  <c r="BO478" i="30"/>
  <c r="BP478" i="30"/>
  <c r="BQ478" i="30"/>
  <c r="BR478" i="30"/>
  <c r="BS478" i="30"/>
  <c r="BT478" i="30"/>
  <c r="BU478" i="30"/>
  <c r="BV478" i="30"/>
  <c r="BW478" i="30"/>
  <c r="BX478" i="30"/>
  <c r="BY478" i="30"/>
  <c r="BZ478" i="30"/>
  <c r="CA478" i="30"/>
  <c r="CB478" i="30"/>
  <c r="CC478" i="30"/>
  <c r="CD478" i="30"/>
  <c r="CE478" i="30"/>
  <c r="CF478" i="30"/>
  <c r="CG478" i="30"/>
  <c r="CH478" i="30"/>
  <c r="CI478" i="30"/>
  <c r="CJ478" i="30"/>
  <c r="CK478" i="30"/>
  <c r="CL478" i="30"/>
  <c r="CM478" i="30"/>
  <c r="CN478" i="30"/>
  <c r="CO478" i="30"/>
  <c r="CP478" i="30"/>
  <c r="CQ478" i="30"/>
  <c r="CR478" i="30"/>
  <c r="CS478" i="30"/>
  <c r="CT478" i="30"/>
  <c r="CU478" i="30"/>
  <c r="CV478" i="30"/>
  <c r="CW478" i="30"/>
  <c r="CX478" i="30"/>
  <c r="CY478" i="30"/>
  <c r="CZ478" i="30"/>
  <c r="DA478" i="30"/>
  <c r="DB478" i="30"/>
  <c r="DC478" i="30"/>
  <c r="DD478" i="30"/>
  <c r="DE478" i="30"/>
  <c r="DF478" i="30"/>
  <c r="DG478" i="30"/>
  <c r="DH478" i="30"/>
  <c r="DI478" i="30"/>
  <c r="DJ478" i="30"/>
  <c r="DK478" i="30"/>
  <c r="DL478" i="30"/>
  <c r="DM478" i="30"/>
  <c r="DN478" i="30"/>
  <c r="DO478" i="30"/>
  <c r="DP478" i="30"/>
  <c r="DQ478" i="30"/>
  <c r="DR478" i="30"/>
  <c r="DS478" i="30"/>
  <c r="DT478" i="30"/>
  <c r="DU478" i="30"/>
  <c r="DV478" i="30"/>
  <c r="DW478" i="30"/>
  <c r="DX478" i="30"/>
  <c r="DY478" i="30"/>
  <c r="DZ478" i="30"/>
  <c r="EA478" i="30"/>
  <c r="EB478" i="30"/>
  <c r="EC478" i="30"/>
  <c r="ED478" i="30"/>
  <c r="EE478" i="30"/>
  <c r="EF478" i="30"/>
  <c r="EG478" i="30"/>
  <c r="EH478" i="30"/>
  <c r="EI478" i="30"/>
  <c r="EJ478" i="30"/>
  <c r="EK478" i="30"/>
  <c r="EL478" i="30"/>
  <c r="EM478" i="30"/>
  <c r="EN478" i="30"/>
  <c r="EO478" i="30"/>
  <c r="EP478" i="30"/>
  <c r="EQ478" i="30"/>
  <c r="ER478" i="30"/>
  <c r="ES478" i="30"/>
  <c r="ET478" i="30"/>
  <c r="EU478" i="30"/>
  <c r="EV478" i="30"/>
  <c r="EW478" i="30"/>
  <c r="EX478" i="30"/>
  <c r="EY478" i="30"/>
  <c r="EZ478" i="30"/>
  <c r="FA478" i="30"/>
  <c r="FB478" i="30"/>
  <c r="FC478" i="30"/>
  <c r="FD478" i="30"/>
  <c r="FE478" i="30"/>
  <c r="FF478" i="30"/>
  <c r="FG478" i="30"/>
  <c r="FH478" i="30"/>
  <c r="FI478" i="30"/>
  <c r="FJ478" i="30"/>
  <c r="FK478" i="30"/>
  <c r="FL478" i="30"/>
  <c r="FM478" i="30"/>
  <c r="FN478" i="30"/>
  <c r="FO478" i="30"/>
  <c r="FP478" i="30"/>
  <c r="FQ478" i="30"/>
  <c r="FR478" i="30"/>
  <c r="FS478" i="30"/>
  <c r="FT478" i="30"/>
  <c r="FU478" i="30"/>
  <c r="FV478" i="30"/>
  <c r="FW478" i="30"/>
  <c r="FX478" i="30"/>
  <c r="FY478" i="30"/>
  <c r="FZ478" i="30"/>
  <c r="GA478" i="30"/>
  <c r="GB478" i="30"/>
  <c r="GC478" i="30"/>
  <c r="GD478" i="30"/>
  <c r="GE478" i="30"/>
  <c r="GF478" i="30"/>
  <c r="GG478" i="30"/>
  <c r="GH478" i="30"/>
  <c r="GI478" i="30"/>
  <c r="GJ478" i="30"/>
  <c r="GK478" i="30"/>
  <c r="GL478" i="30"/>
  <c r="GM478" i="30"/>
  <c r="GN478" i="30"/>
  <c r="GO478" i="30"/>
  <c r="GP478" i="30"/>
  <c r="GQ478" i="30"/>
  <c r="GR478" i="30"/>
  <c r="GS478" i="30"/>
  <c r="GT478" i="30"/>
  <c r="GU478" i="30"/>
  <c r="GV478" i="30"/>
  <c r="GW478" i="30"/>
  <c r="GX478" i="30"/>
  <c r="GY478" i="30"/>
  <c r="GZ478" i="30"/>
  <c r="HA478" i="30"/>
  <c r="HB478" i="30"/>
  <c r="HC478" i="30"/>
  <c r="HD478" i="30"/>
  <c r="HE478" i="30"/>
  <c r="HF478" i="30"/>
  <c r="HG478" i="30"/>
  <c r="HH478" i="30"/>
  <c r="HI478" i="30"/>
  <c r="HJ478" i="30"/>
  <c r="HK478" i="30"/>
  <c r="HL478" i="30"/>
  <c r="HM478" i="30"/>
  <c r="HN478" i="30"/>
  <c r="HO478" i="30"/>
  <c r="HP478" i="30"/>
  <c r="HQ478" i="30"/>
  <c r="HR478" i="30"/>
  <c r="HS478" i="30"/>
  <c r="HT478" i="30"/>
  <c r="HU478" i="30"/>
  <c r="HV478" i="30"/>
  <c r="HW478" i="30"/>
  <c r="HX478" i="30"/>
  <c r="HY478" i="30"/>
  <c r="HZ478" i="30"/>
  <c r="IA478" i="30"/>
  <c r="IB478" i="30"/>
  <c r="IC478" i="30"/>
  <c r="ID478" i="30"/>
  <c r="IE478" i="30"/>
  <c r="IF478" i="30"/>
  <c r="IG478" i="30"/>
  <c r="IH478" i="30"/>
  <c r="II478" i="30"/>
  <c r="IJ478" i="30"/>
  <c r="IK478" i="30"/>
  <c r="IL478" i="30"/>
  <c r="IM478" i="30"/>
  <c r="IN478" i="30"/>
  <c r="IO478" i="30"/>
  <c r="IP478" i="30"/>
  <c r="IQ478" i="30"/>
  <c r="IR478" i="30"/>
  <c r="IS478" i="30"/>
  <c r="IT478" i="30"/>
  <c r="IU478" i="30"/>
  <c r="IV478" i="30"/>
  <c r="A477" i="30"/>
  <c r="B477" i="30"/>
  <c r="C477" i="30"/>
  <c r="D477" i="30"/>
  <c r="E477" i="30"/>
  <c r="F477" i="30"/>
  <c r="G477" i="30"/>
  <c r="H477" i="30"/>
  <c r="I477" i="30"/>
  <c r="J477" i="30"/>
  <c r="K477" i="30"/>
  <c r="L477" i="30"/>
  <c r="M477" i="30"/>
  <c r="N477" i="30"/>
  <c r="O477" i="30"/>
  <c r="P477" i="30"/>
  <c r="Q477" i="30"/>
  <c r="R477" i="30"/>
  <c r="S477" i="30"/>
  <c r="T477" i="30"/>
  <c r="U477" i="30"/>
  <c r="V477" i="30"/>
  <c r="W477" i="30"/>
  <c r="X477" i="30"/>
  <c r="Y477" i="30"/>
  <c r="Z477" i="30"/>
  <c r="AA477" i="30"/>
  <c r="AB477" i="30"/>
  <c r="AC477" i="30"/>
  <c r="AD477" i="30"/>
  <c r="AE477" i="30"/>
  <c r="AF477" i="30"/>
  <c r="AG477" i="30"/>
  <c r="AH477" i="30"/>
  <c r="AI477" i="30"/>
  <c r="AJ477" i="30"/>
  <c r="AK477" i="30"/>
  <c r="AL477" i="30"/>
  <c r="AM477" i="30"/>
  <c r="AN477" i="30"/>
  <c r="AO477" i="30"/>
  <c r="AP477" i="30"/>
  <c r="AQ477" i="30"/>
  <c r="AR477" i="30"/>
  <c r="AS477" i="30"/>
  <c r="AT477" i="30"/>
  <c r="AU477" i="30"/>
  <c r="AV477" i="30"/>
  <c r="AW477" i="30"/>
  <c r="AX477" i="30"/>
  <c r="AY477" i="30"/>
  <c r="AZ477" i="30"/>
  <c r="BA477" i="30"/>
  <c r="BB477" i="30"/>
  <c r="BC477" i="30"/>
  <c r="BD477" i="30"/>
  <c r="BE477" i="30"/>
  <c r="BF477" i="30"/>
  <c r="BG477" i="30"/>
  <c r="BH477" i="30"/>
  <c r="BI477" i="30"/>
  <c r="BJ477" i="30"/>
  <c r="BK477" i="30"/>
  <c r="BL477" i="30"/>
  <c r="BM477" i="30"/>
  <c r="BN477" i="30"/>
  <c r="BO477" i="30"/>
  <c r="BP477" i="30"/>
  <c r="BQ477" i="30"/>
  <c r="BR477" i="30"/>
  <c r="BS477" i="30"/>
  <c r="BT477" i="30"/>
  <c r="BU477" i="30"/>
  <c r="BV477" i="30"/>
  <c r="BW477" i="30"/>
  <c r="BX477" i="30"/>
  <c r="BY477" i="30"/>
  <c r="BZ477" i="30"/>
  <c r="CA477" i="30"/>
  <c r="CB477" i="30"/>
  <c r="CC477" i="30"/>
  <c r="CD477" i="30"/>
  <c r="CE477" i="30"/>
  <c r="CF477" i="30"/>
  <c r="CG477" i="30"/>
  <c r="CH477" i="30"/>
  <c r="CI477" i="30"/>
  <c r="CJ477" i="30"/>
  <c r="CK477" i="30"/>
  <c r="CL477" i="30"/>
  <c r="CM477" i="30"/>
  <c r="CN477" i="30"/>
  <c r="CO477" i="30"/>
  <c r="CP477" i="30"/>
  <c r="CQ477" i="30"/>
  <c r="CR477" i="30"/>
  <c r="CS477" i="30"/>
  <c r="CT477" i="30"/>
  <c r="CU477" i="30"/>
  <c r="CV477" i="30"/>
  <c r="CW477" i="30"/>
  <c r="CX477" i="30"/>
  <c r="CY477" i="30"/>
  <c r="CZ477" i="30"/>
  <c r="DA477" i="30"/>
  <c r="DB477" i="30"/>
  <c r="DC477" i="30"/>
  <c r="DD477" i="30"/>
  <c r="DE477" i="30"/>
  <c r="DF477" i="30"/>
  <c r="DG477" i="30"/>
  <c r="DH477" i="30"/>
  <c r="DI477" i="30"/>
  <c r="DJ477" i="30"/>
  <c r="DK477" i="30"/>
  <c r="DL477" i="30"/>
  <c r="DM477" i="30"/>
  <c r="DN477" i="30"/>
  <c r="DO477" i="30"/>
  <c r="DP477" i="30"/>
  <c r="DQ477" i="30"/>
  <c r="DR477" i="30"/>
  <c r="DS477" i="30"/>
  <c r="DT477" i="30"/>
  <c r="DU477" i="30"/>
  <c r="DV477" i="30"/>
  <c r="DW477" i="30"/>
  <c r="DX477" i="30"/>
  <c r="DY477" i="30"/>
  <c r="DZ477" i="30"/>
  <c r="EA477" i="30"/>
  <c r="EB477" i="30"/>
  <c r="EC477" i="30"/>
  <c r="ED477" i="30"/>
  <c r="EE477" i="30"/>
  <c r="EF477" i="30"/>
  <c r="EG477" i="30"/>
  <c r="EH477" i="30"/>
  <c r="EI477" i="30"/>
  <c r="EJ477" i="30"/>
  <c r="EK477" i="30"/>
  <c r="EL477" i="30"/>
  <c r="EM477" i="30"/>
  <c r="EN477" i="30"/>
  <c r="EO477" i="30"/>
  <c r="EP477" i="30"/>
  <c r="EQ477" i="30"/>
  <c r="ER477" i="30"/>
  <c r="ES477" i="30"/>
  <c r="ET477" i="30"/>
  <c r="EU477" i="30"/>
  <c r="EV477" i="30"/>
  <c r="EW477" i="30"/>
  <c r="EX477" i="30"/>
  <c r="EY477" i="30"/>
  <c r="EZ477" i="30"/>
  <c r="FA477" i="30"/>
  <c r="FB477" i="30"/>
  <c r="FC477" i="30"/>
  <c r="FD477" i="30"/>
  <c r="FE477" i="30"/>
  <c r="FF477" i="30"/>
  <c r="FG477" i="30"/>
  <c r="FH477" i="30"/>
  <c r="FI477" i="30"/>
  <c r="FJ477" i="30"/>
  <c r="FK477" i="30"/>
  <c r="FL477" i="30"/>
  <c r="FM477" i="30"/>
  <c r="FN477" i="30"/>
  <c r="FO477" i="30"/>
  <c r="FP477" i="30"/>
  <c r="FQ477" i="30"/>
  <c r="FR477" i="30"/>
  <c r="FS477" i="30"/>
  <c r="FT477" i="30"/>
  <c r="FU477" i="30"/>
  <c r="FV477" i="30"/>
  <c r="FW477" i="30"/>
  <c r="FX477" i="30"/>
  <c r="FY477" i="30"/>
  <c r="FZ477" i="30"/>
  <c r="GA477" i="30"/>
  <c r="GB477" i="30"/>
  <c r="GC477" i="30"/>
  <c r="GD477" i="30"/>
  <c r="GE477" i="30"/>
  <c r="GF477" i="30"/>
  <c r="GG477" i="30"/>
  <c r="GH477" i="30"/>
  <c r="GI477" i="30"/>
  <c r="GJ477" i="30"/>
  <c r="GK477" i="30"/>
  <c r="GL477" i="30"/>
  <c r="GM477" i="30"/>
  <c r="GN477" i="30"/>
  <c r="GO477" i="30"/>
  <c r="GP477" i="30"/>
  <c r="GQ477" i="30"/>
  <c r="GR477" i="30"/>
  <c r="GS477" i="30"/>
  <c r="GT477" i="30"/>
  <c r="GU477" i="30"/>
  <c r="GV477" i="30"/>
  <c r="GW477" i="30"/>
  <c r="GX477" i="30"/>
  <c r="GY477" i="30"/>
  <c r="GZ477" i="30"/>
  <c r="HA477" i="30"/>
  <c r="HB477" i="30"/>
  <c r="HC477" i="30"/>
  <c r="HD477" i="30"/>
  <c r="HE477" i="30"/>
  <c r="HF477" i="30"/>
  <c r="HG477" i="30"/>
  <c r="HH477" i="30"/>
  <c r="HI477" i="30"/>
  <c r="HJ477" i="30"/>
  <c r="HK477" i="30"/>
  <c r="HL477" i="30"/>
  <c r="HM477" i="30"/>
  <c r="HN477" i="30"/>
  <c r="HO477" i="30"/>
  <c r="HP477" i="30"/>
  <c r="HQ477" i="30"/>
  <c r="HR477" i="30"/>
  <c r="HS477" i="30"/>
  <c r="HT477" i="30"/>
  <c r="HU477" i="30"/>
  <c r="HV477" i="30"/>
  <c r="HW477" i="30"/>
  <c r="HX477" i="30"/>
  <c r="HY477" i="30"/>
  <c r="HZ477" i="30"/>
  <c r="IA477" i="30"/>
  <c r="IB477" i="30"/>
  <c r="IC477" i="30"/>
  <c r="ID477" i="30"/>
  <c r="IE477" i="30"/>
  <c r="IF477" i="30"/>
  <c r="IG477" i="30"/>
  <c r="IH477" i="30"/>
  <c r="II477" i="30"/>
  <c r="IJ477" i="30"/>
  <c r="IK477" i="30"/>
  <c r="IL477" i="30"/>
  <c r="IM477" i="30"/>
  <c r="IN477" i="30"/>
  <c r="IO477" i="30"/>
  <c r="IP477" i="30"/>
  <c r="IQ477" i="30"/>
  <c r="IR477" i="30"/>
  <c r="IS477" i="30"/>
  <c r="IT477" i="30"/>
  <c r="IU477" i="30"/>
  <c r="IV477" i="30"/>
  <c r="A476" i="30"/>
  <c r="B476" i="30"/>
  <c r="C476" i="30"/>
  <c r="D476" i="30"/>
  <c r="E476" i="30"/>
  <c r="F476" i="30"/>
  <c r="G476" i="30"/>
  <c r="H476" i="30"/>
  <c r="I476" i="30"/>
  <c r="J476" i="30"/>
  <c r="K476" i="30"/>
  <c r="L476" i="30"/>
  <c r="M476" i="30"/>
  <c r="N476" i="30"/>
  <c r="O476" i="30"/>
  <c r="P476" i="30"/>
  <c r="Q476" i="30"/>
  <c r="R476" i="30"/>
  <c r="S476" i="30"/>
  <c r="T476" i="30"/>
  <c r="U476" i="30"/>
  <c r="V476" i="30"/>
  <c r="W476" i="30"/>
  <c r="X476" i="30"/>
  <c r="Y476" i="30"/>
  <c r="Z476" i="30"/>
  <c r="AA476" i="30"/>
  <c r="AB476" i="30"/>
  <c r="AC476" i="30"/>
  <c r="AD476" i="30"/>
  <c r="AE476" i="30"/>
  <c r="AF476" i="30"/>
  <c r="AG476" i="30"/>
  <c r="AH476" i="30"/>
  <c r="AI476" i="30"/>
  <c r="AJ476" i="30"/>
  <c r="AK476" i="30"/>
  <c r="AL476" i="30"/>
  <c r="AM476" i="30"/>
  <c r="AN476" i="30"/>
  <c r="AO476" i="30"/>
  <c r="AP476" i="30"/>
  <c r="AQ476" i="30"/>
  <c r="AR476" i="30"/>
  <c r="AS476" i="30"/>
  <c r="AT476" i="30"/>
  <c r="AU476" i="30"/>
  <c r="AV476" i="30"/>
  <c r="AW476" i="30"/>
  <c r="AX476" i="30"/>
  <c r="AY476" i="30"/>
  <c r="AZ476" i="30"/>
  <c r="BA476" i="30"/>
  <c r="BB476" i="30"/>
  <c r="BC476" i="30"/>
  <c r="BD476" i="30"/>
  <c r="BE476" i="30"/>
  <c r="BF476" i="30"/>
  <c r="BG476" i="30"/>
  <c r="BH476" i="30"/>
  <c r="BI476" i="30"/>
  <c r="BJ476" i="30"/>
  <c r="BK476" i="30"/>
  <c r="BL476" i="30"/>
  <c r="BM476" i="30"/>
  <c r="BN476" i="30"/>
  <c r="BO476" i="30"/>
  <c r="BP476" i="30"/>
  <c r="BQ476" i="30"/>
  <c r="BR476" i="30"/>
  <c r="BS476" i="30"/>
  <c r="BT476" i="30"/>
  <c r="BU476" i="30"/>
  <c r="BV476" i="30"/>
  <c r="BW476" i="30"/>
  <c r="BX476" i="30"/>
  <c r="BY476" i="30"/>
  <c r="BZ476" i="30"/>
  <c r="CA476" i="30"/>
  <c r="CB476" i="30"/>
  <c r="CC476" i="30"/>
  <c r="CD476" i="30"/>
  <c r="CE476" i="30"/>
  <c r="CF476" i="30"/>
  <c r="CG476" i="30"/>
  <c r="CH476" i="30"/>
  <c r="CI476" i="30"/>
  <c r="CJ476" i="30"/>
  <c r="CK476" i="30"/>
  <c r="CL476" i="30"/>
  <c r="CM476" i="30"/>
  <c r="CN476" i="30"/>
  <c r="CO476" i="30"/>
  <c r="CP476" i="30"/>
  <c r="CQ476" i="30"/>
  <c r="CR476" i="30"/>
  <c r="CS476" i="30"/>
  <c r="CT476" i="30"/>
  <c r="CU476" i="30"/>
  <c r="CV476" i="30"/>
  <c r="CW476" i="30"/>
  <c r="CX476" i="30"/>
  <c r="CY476" i="30"/>
  <c r="CZ476" i="30"/>
  <c r="DA476" i="30"/>
  <c r="DB476" i="30"/>
  <c r="DC476" i="30"/>
  <c r="DD476" i="30"/>
  <c r="DE476" i="30"/>
  <c r="DF476" i="30"/>
  <c r="DG476" i="30"/>
  <c r="DH476" i="30"/>
  <c r="DI476" i="30"/>
  <c r="DJ476" i="30"/>
  <c r="DK476" i="30"/>
  <c r="DL476" i="30"/>
  <c r="DM476" i="30"/>
  <c r="DN476" i="30"/>
  <c r="DO476" i="30"/>
  <c r="DP476" i="30"/>
  <c r="DQ476" i="30"/>
  <c r="DR476" i="30"/>
  <c r="DS476" i="30"/>
  <c r="DT476" i="30"/>
  <c r="DU476" i="30"/>
  <c r="DV476" i="30"/>
  <c r="DW476" i="30"/>
  <c r="DX476" i="30"/>
  <c r="DY476" i="30"/>
  <c r="DZ476" i="30"/>
  <c r="EA476" i="30"/>
  <c r="EB476" i="30"/>
  <c r="EC476" i="30"/>
  <c r="ED476" i="30"/>
  <c r="EE476" i="30"/>
  <c r="EF476" i="30"/>
  <c r="EG476" i="30"/>
  <c r="EH476" i="30"/>
  <c r="EI476" i="30"/>
  <c r="EJ476" i="30"/>
  <c r="EK476" i="30"/>
  <c r="EL476" i="30"/>
  <c r="EM476" i="30"/>
  <c r="EN476" i="30"/>
  <c r="EO476" i="30"/>
  <c r="EP476" i="30"/>
  <c r="EQ476" i="30"/>
  <c r="ER476" i="30"/>
  <c r="ES476" i="30"/>
  <c r="ET476" i="30"/>
  <c r="EU476" i="30"/>
  <c r="EV476" i="30"/>
  <c r="EW476" i="30"/>
  <c r="EX476" i="30"/>
  <c r="EY476" i="30"/>
  <c r="EZ476" i="30"/>
  <c r="FA476" i="30"/>
  <c r="FB476" i="30"/>
  <c r="FC476" i="30"/>
  <c r="FD476" i="30"/>
  <c r="FE476" i="30"/>
  <c r="FF476" i="30"/>
  <c r="FG476" i="30"/>
  <c r="FH476" i="30"/>
  <c r="FI476" i="30"/>
  <c r="FJ476" i="30"/>
  <c r="FK476" i="30"/>
  <c r="FL476" i="30"/>
  <c r="FM476" i="30"/>
  <c r="FN476" i="30"/>
  <c r="FO476" i="30"/>
  <c r="FP476" i="30"/>
  <c r="FQ476" i="30"/>
  <c r="FR476" i="30"/>
  <c r="FS476" i="30"/>
  <c r="FT476" i="30"/>
  <c r="FU476" i="30"/>
  <c r="FV476" i="30"/>
  <c r="FW476" i="30"/>
  <c r="FX476" i="30"/>
  <c r="FY476" i="30"/>
  <c r="FZ476" i="30"/>
  <c r="GA476" i="30"/>
  <c r="GB476" i="30"/>
  <c r="GC476" i="30"/>
  <c r="GD476" i="30"/>
  <c r="GE476" i="30"/>
  <c r="GF476" i="30"/>
  <c r="GG476" i="30"/>
  <c r="GH476" i="30"/>
  <c r="GI476" i="30"/>
  <c r="GJ476" i="30"/>
  <c r="GK476" i="30"/>
  <c r="GL476" i="30"/>
  <c r="GM476" i="30"/>
  <c r="GN476" i="30"/>
  <c r="GO476" i="30"/>
  <c r="GP476" i="30"/>
  <c r="GQ476" i="30"/>
  <c r="GR476" i="30"/>
  <c r="GS476" i="30"/>
  <c r="GT476" i="30"/>
  <c r="GU476" i="30"/>
  <c r="GV476" i="30"/>
  <c r="GW476" i="30"/>
  <c r="GX476" i="30"/>
  <c r="GY476" i="30"/>
  <c r="GZ476" i="30"/>
  <c r="HA476" i="30"/>
  <c r="HB476" i="30"/>
  <c r="HC476" i="30"/>
  <c r="HD476" i="30"/>
  <c r="HE476" i="30"/>
  <c r="HF476" i="30"/>
  <c r="HG476" i="30"/>
  <c r="HH476" i="30"/>
  <c r="HI476" i="30"/>
  <c r="HJ476" i="30"/>
  <c r="HK476" i="30"/>
  <c r="HL476" i="30"/>
  <c r="HM476" i="30"/>
  <c r="HN476" i="30"/>
  <c r="HO476" i="30"/>
  <c r="HP476" i="30"/>
  <c r="HQ476" i="30"/>
  <c r="HR476" i="30"/>
  <c r="HS476" i="30"/>
  <c r="HT476" i="30"/>
  <c r="HU476" i="30"/>
  <c r="HV476" i="30"/>
  <c r="HW476" i="30"/>
  <c r="HX476" i="30"/>
  <c r="HY476" i="30"/>
  <c r="HZ476" i="30"/>
  <c r="IA476" i="30"/>
  <c r="IB476" i="30"/>
  <c r="IC476" i="30"/>
  <c r="ID476" i="30"/>
  <c r="IE476" i="30"/>
  <c r="IF476" i="30"/>
  <c r="IG476" i="30"/>
  <c r="IH476" i="30"/>
  <c r="II476" i="30"/>
  <c r="IJ476" i="30"/>
  <c r="IK476" i="30"/>
  <c r="IL476" i="30"/>
  <c r="IM476" i="30"/>
  <c r="IN476" i="30"/>
  <c r="IO476" i="30"/>
  <c r="IP476" i="30"/>
  <c r="IQ476" i="30"/>
  <c r="IR476" i="30"/>
  <c r="IS476" i="30"/>
  <c r="IT476" i="30"/>
  <c r="IU476" i="30"/>
  <c r="IV476" i="30"/>
  <c r="A475" i="30"/>
  <c r="B475" i="30"/>
  <c r="C475" i="30"/>
  <c r="D475" i="30"/>
  <c r="E475" i="30"/>
  <c r="F475" i="30"/>
  <c r="G475" i="30"/>
  <c r="H475" i="30"/>
  <c r="I475" i="30"/>
  <c r="J475" i="30"/>
  <c r="K475" i="30"/>
  <c r="L475" i="30"/>
  <c r="M475" i="30"/>
  <c r="N475" i="30"/>
  <c r="O475" i="30"/>
  <c r="P475" i="30"/>
  <c r="Q475" i="30"/>
  <c r="R475" i="30"/>
  <c r="S475" i="30"/>
  <c r="T475" i="30"/>
  <c r="U475" i="30"/>
  <c r="V475" i="30"/>
  <c r="W475" i="30"/>
  <c r="X475" i="30"/>
  <c r="Y475" i="30"/>
  <c r="Z475" i="30"/>
  <c r="AA475" i="30"/>
  <c r="AB475" i="30"/>
  <c r="AC475" i="30"/>
  <c r="AD475" i="30"/>
  <c r="AE475" i="30"/>
  <c r="AF475" i="30"/>
  <c r="AG475" i="30"/>
  <c r="AH475" i="30"/>
  <c r="AI475" i="30"/>
  <c r="AJ475" i="30"/>
  <c r="AK475" i="30"/>
  <c r="AL475" i="30"/>
  <c r="AM475" i="30"/>
  <c r="AN475" i="30"/>
  <c r="AO475" i="30"/>
  <c r="AP475" i="30"/>
  <c r="AQ475" i="30"/>
  <c r="AR475" i="30"/>
  <c r="AS475" i="30"/>
  <c r="AT475" i="30"/>
  <c r="AU475" i="30"/>
  <c r="AV475" i="30"/>
  <c r="AW475" i="30"/>
  <c r="AX475" i="30"/>
  <c r="AY475" i="30"/>
  <c r="AZ475" i="30"/>
  <c r="BA475" i="30"/>
  <c r="BB475" i="30"/>
  <c r="BC475" i="30"/>
  <c r="BD475" i="30"/>
  <c r="BE475" i="30"/>
  <c r="BF475" i="30"/>
  <c r="BG475" i="30"/>
  <c r="BH475" i="30"/>
  <c r="BI475" i="30"/>
  <c r="BJ475" i="30"/>
  <c r="BK475" i="30"/>
  <c r="BL475" i="30"/>
  <c r="BM475" i="30"/>
  <c r="BN475" i="30"/>
  <c r="BO475" i="30"/>
  <c r="BP475" i="30"/>
  <c r="BQ475" i="30"/>
  <c r="BR475" i="30"/>
  <c r="BS475" i="30"/>
  <c r="BT475" i="30"/>
  <c r="BU475" i="30"/>
  <c r="BV475" i="30"/>
  <c r="BW475" i="30"/>
  <c r="BX475" i="30"/>
  <c r="BY475" i="30"/>
  <c r="BZ475" i="30"/>
  <c r="CA475" i="30"/>
  <c r="CB475" i="30"/>
  <c r="CC475" i="30"/>
  <c r="CD475" i="30"/>
  <c r="CE475" i="30"/>
  <c r="CF475" i="30"/>
  <c r="CG475" i="30"/>
  <c r="CH475" i="30"/>
  <c r="CI475" i="30"/>
  <c r="CJ475" i="30"/>
  <c r="CK475" i="30"/>
  <c r="CL475" i="30"/>
  <c r="CM475" i="30"/>
  <c r="CN475" i="30"/>
  <c r="CO475" i="30"/>
  <c r="CP475" i="30"/>
  <c r="CQ475" i="30"/>
  <c r="CR475" i="30"/>
  <c r="CS475" i="30"/>
  <c r="CT475" i="30"/>
  <c r="CU475" i="30"/>
  <c r="CV475" i="30"/>
  <c r="CW475" i="30"/>
  <c r="CX475" i="30"/>
  <c r="CY475" i="30"/>
  <c r="CZ475" i="30"/>
  <c r="DA475" i="30"/>
  <c r="DB475" i="30"/>
  <c r="DC475" i="30"/>
  <c r="DD475" i="30"/>
  <c r="DE475" i="30"/>
  <c r="DF475" i="30"/>
  <c r="DG475" i="30"/>
  <c r="DH475" i="30"/>
  <c r="DI475" i="30"/>
  <c r="DJ475" i="30"/>
  <c r="DK475" i="30"/>
  <c r="DL475" i="30"/>
  <c r="DM475" i="30"/>
  <c r="DN475" i="30"/>
  <c r="DO475" i="30"/>
  <c r="DP475" i="30"/>
  <c r="DQ475" i="30"/>
  <c r="DR475" i="30"/>
  <c r="DS475" i="30"/>
  <c r="DT475" i="30"/>
  <c r="DU475" i="30"/>
  <c r="DV475" i="30"/>
  <c r="DW475" i="30"/>
  <c r="DX475" i="30"/>
  <c r="DY475" i="30"/>
  <c r="DZ475" i="30"/>
  <c r="EA475" i="30"/>
  <c r="EB475" i="30"/>
  <c r="EC475" i="30"/>
  <c r="ED475" i="30"/>
  <c r="EE475" i="30"/>
  <c r="EF475" i="30"/>
  <c r="EG475" i="30"/>
  <c r="EH475" i="30"/>
  <c r="EI475" i="30"/>
  <c r="EJ475" i="30"/>
  <c r="EK475" i="30"/>
  <c r="EL475" i="30"/>
  <c r="EM475" i="30"/>
  <c r="EN475" i="30"/>
  <c r="EO475" i="30"/>
  <c r="EP475" i="30"/>
  <c r="EQ475" i="30"/>
  <c r="ER475" i="30"/>
  <c r="ES475" i="30"/>
  <c r="ET475" i="30"/>
  <c r="EU475" i="30"/>
  <c r="EV475" i="30"/>
  <c r="EW475" i="30"/>
  <c r="EX475" i="30"/>
  <c r="EY475" i="30"/>
  <c r="EZ475" i="30"/>
  <c r="FA475" i="30"/>
  <c r="FB475" i="30"/>
  <c r="FC475" i="30"/>
  <c r="FD475" i="30"/>
  <c r="FE475" i="30"/>
  <c r="FF475" i="30"/>
  <c r="FG475" i="30"/>
  <c r="FH475" i="30"/>
  <c r="FI475" i="30"/>
  <c r="FJ475" i="30"/>
  <c r="FK475" i="30"/>
  <c r="FL475" i="30"/>
  <c r="FM475" i="30"/>
  <c r="FN475" i="30"/>
  <c r="FO475" i="30"/>
  <c r="FP475" i="30"/>
  <c r="FQ475" i="30"/>
  <c r="FR475" i="30"/>
  <c r="FS475" i="30"/>
  <c r="FT475" i="30"/>
  <c r="FU475" i="30"/>
  <c r="FV475" i="30"/>
  <c r="FW475" i="30"/>
  <c r="FX475" i="30"/>
  <c r="FY475" i="30"/>
  <c r="FZ475" i="30"/>
  <c r="GA475" i="30"/>
  <c r="GB475" i="30"/>
  <c r="GC475" i="30"/>
  <c r="GD475" i="30"/>
  <c r="GE475" i="30"/>
  <c r="GF475" i="30"/>
  <c r="GG475" i="30"/>
  <c r="GH475" i="30"/>
  <c r="GI475" i="30"/>
  <c r="GJ475" i="30"/>
  <c r="GK475" i="30"/>
  <c r="GL475" i="30"/>
  <c r="GM475" i="30"/>
  <c r="GN475" i="30"/>
  <c r="GO475" i="30"/>
  <c r="GP475" i="30"/>
  <c r="GQ475" i="30"/>
  <c r="GR475" i="30"/>
  <c r="GS475" i="30"/>
  <c r="GT475" i="30"/>
  <c r="GU475" i="30"/>
  <c r="GV475" i="30"/>
  <c r="GW475" i="30"/>
  <c r="GX475" i="30"/>
  <c r="GY475" i="30"/>
  <c r="GZ475" i="30"/>
  <c r="HA475" i="30"/>
  <c r="HB475" i="30"/>
  <c r="HC475" i="30"/>
  <c r="HD475" i="30"/>
  <c r="HE475" i="30"/>
  <c r="HF475" i="30"/>
  <c r="HG475" i="30"/>
  <c r="HH475" i="30"/>
  <c r="HI475" i="30"/>
  <c r="HJ475" i="30"/>
  <c r="HK475" i="30"/>
  <c r="HL475" i="30"/>
  <c r="HM475" i="30"/>
  <c r="HN475" i="30"/>
  <c r="HO475" i="30"/>
  <c r="HP475" i="30"/>
  <c r="HQ475" i="30"/>
  <c r="HR475" i="30"/>
  <c r="HS475" i="30"/>
  <c r="HT475" i="30"/>
  <c r="HU475" i="30"/>
  <c r="HV475" i="30"/>
  <c r="HW475" i="30"/>
  <c r="HX475" i="30"/>
  <c r="HY475" i="30"/>
  <c r="HZ475" i="30"/>
  <c r="IA475" i="30"/>
  <c r="IB475" i="30"/>
  <c r="IC475" i="30"/>
  <c r="ID475" i="30"/>
  <c r="IE475" i="30"/>
  <c r="IF475" i="30"/>
  <c r="IG475" i="30"/>
  <c r="IH475" i="30"/>
  <c r="II475" i="30"/>
  <c r="IJ475" i="30"/>
  <c r="IK475" i="30"/>
  <c r="IL475" i="30"/>
  <c r="IM475" i="30"/>
  <c r="IN475" i="30"/>
  <c r="IO475" i="30"/>
  <c r="IP475" i="30"/>
  <c r="IQ475" i="30"/>
  <c r="IR475" i="30"/>
  <c r="IS475" i="30"/>
  <c r="IT475" i="30"/>
  <c r="IU475" i="30"/>
  <c r="IV475" i="30"/>
  <c r="A474" i="30"/>
  <c r="B474" i="30"/>
  <c r="C474" i="30"/>
  <c r="D474" i="30"/>
  <c r="E474" i="30"/>
  <c r="F474" i="30"/>
  <c r="G474" i="30"/>
  <c r="H474" i="30"/>
  <c r="I474" i="30"/>
  <c r="J474" i="30"/>
  <c r="K474" i="30"/>
  <c r="L474" i="30"/>
  <c r="M474" i="30"/>
  <c r="N474" i="30"/>
  <c r="O474" i="30"/>
  <c r="P474" i="30"/>
  <c r="Q474" i="30"/>
  <c r="R474" i="30"/>
  <c r="S474" i="30"/>
  <c r="T474" i="30"/>
  <c r="U474" i="30"/>
  <c r="V474" i="30"/>
  <c r="W474" i="30"/>
  <c r="X474" i="30"/>
  <c r="Y474" i="30"/>
  <c r="Z474" i="30"/>
  <c r="AA474" i="30"/>
  <c r="AB474" i="30"/>
  <c r="AC474" i="30"/>
  <c r="AD474" i="30"/>
  <c r="AE474" i="30"/>
  <c r="AF474" i="30"/>
  <c r="AG474" i="30"/>
  <c r="AH474" i="30"/>
  <c r="AI474" i="30"/>
  <c r="AJ474" i="30"/>
  <c r="AK474" i="30"/>
  <c r="AL474" i="30"/>
  <c r="AM474" i="30"/>
  <c r="AN474" i="30"/>
  <c r="AO474" i="30"/>
  <c r="AP474" i="30"/>
  <c r="AQ474" i="30"/>
  <c r="AR474" i="30"/>
  <c r="AS474" i="30"/>
  <c r="AT474" i="30"/>
  <c r="AU474" i="30"/>
  <c r="AV474" i="30"/>
  <c r="AW474" i="30"/>
  <c r="AX474" i="30"/>
  <c r="AY474" i="30"/>
  <c r="AZ474" i="30"/>
  <c r="BA474" i="30"/>
  <c r="BB474" i="30"/>
  <c r="BC474" i="30"/>
  <c r="BD474" i="30"/>
  <c r="BE474" i="30"/>
  <c r="BF474" i="30"/>
  <c r="BG474" i="30"/>
  <c r="BH474" i="30"/>
  <c r="BI474" i="30"/>
  <c r="BJ474" i="30"/>
  <c r="BK474" i="30"/>
  <c r="BL474" i="30"/>
  <c r="BM474" i="30"/>
  <c r="BN474" i="30"/>
  <c r="BO474" i="30"/>
  <c r="BP474" i="30"/>
  <c r="BQ474" i="30"/>
  <c r="BR474" i="30"/>
  <c r="BS474" i="30"/>
  <c r="BT474" i="30"/>
  <c r="BU474" i="30"/>
  <c r="BV474" i="30"/>
  <c r="BW474" i="30"/>
  <c r="BX474" i="30"/>
  <c r="BY474" i="30"/>
  <c r="BZ474" i="30"/>
  <c r="CA474" i="30"/>
  <c r="CB474" i="30"/>
  <c r="CC474" i="30"/>
  <c r="CD474" i="30"/>
  <c r="CE474" i="30"/>
  <c r="CF474" i="30"/>
  <c r="CG474" i="30"/>
  <c r="CH474" i="30"/>
  <c r="CI474" i="30"/>
  <c r="CJ474" i="30"/>
  <c r="CK474" i="30"/>
  <c r="CL474" i="30"/>
  <c r="CM474" i="30"/>
  <c r="CN474" i="30"/>
  <c r="CO474" i="30"/>
  <c r="CP474" i="30"/>
  <c r="CQ474" i="30"/>
  <c r="CR474" i="30"/>
  <c r="CS474" i="30"/>
  <c r="CT474" i="30"/>
  <c r="CU474" i="30"/>
  <c r="CV474" i="30"/>
  <c r="CW474" i="30"/>
  <c r="CX474" i="30"/>
  <c r="CY474" i="30"/>
  <c r="CZ474" i="30"/>
  <c r="DA474" i="30"/>
  <c r="DB474" i="30"/>
  <c r="DC474" i="30"/>
  <c r="DD474" i="30"/>
  <c r="DE474" i="30"/>
  <c r="DF474" i="30"/>
  <c r="DG474" i="30"/>
  <c r="DH474" i="30"/>
  <c r="DI474" i="30"/>
  <c r="DJ474" i="30"/>
  <c r="DK474" i="30"/>
  <c r="DL474" i="30"/>
  <c r="DM474" i="30"/>
  <c r="DN474" i="30"/>
  <c r="DO474" i="30"/>
  <c r="DP474" i="30"/>
  <c r="DQ474" i="30"/>
  <c r="DR474" i="30"/>
  <c r="DS474" i="30"/>
  <c r="DT474" i="30"/>
  <c r="DU474" i="30"/>
  <c r="DV474" i="30"/>
  <c r="DW474" i="30"/>
  <c r="DX474" i="30"/>
  <c r="DY474" i="30"/>
  <c r="DZ474" i="30"/>
  <c r="EA474" i="30"/>
  <c r="EB474" i="30"/>
  <c r="EC474" i="30"/>
  <c r="ED474" i="30"/>
  <c r="EE474" i="30"/>
  <c r="EF474" i="30"/>
  <c r="EG474" i="30"/>
  <c r="EH474" i="30"/>
  <c r="EI474" i="30"/>
  <c r="EJ474" i="30"/>
  <c r="EK474" i="30"/>
  <c r="EL474" i="30"/>
  <c r="EM474" i="30"/>
  <c r="EN474" i="30"/>
  <c r="EO474" i="30"/>
  <c r="EP474" i="30"/>
  <c r="EQ474" i="30"/>
  <c r="ER474" i="30"/>
  <c r="ES474" i="30"/>
  <c r="ET474" i="30"/>
  <c r="EU474" i="30"/>
  <c r="EV474" i="30"/>
  <c r="EW474" i="30"/>
  <c r="EX474" i="30"/>
  <c r="EY474" i="30"/>
  <c r="EZ474" i="30"/>
  <c r="FA474" i="30"/>
  <c r="FB474" i="30"/>
  <c r="FC474" i="30"/>
  <c r="FD474" i="30"/>
  <c r="FE474" i="30"/>
  <c r="FF474" i="30"/>
  <c r="FG474" i="30"/>
  <c r="FH474" i="30"/>
  <c r="FI474" i="30"/>
  <c r="FJ474" i="30"/>
  <c r="FK474" i="30"/>
  <c r="FL474" i="30"/>
  <c r="FM474" i="30"/>
  <c r="FN474" i="30"/>
  <c r="FO474" i="30"/>
  <c r="FP474" i="30"/>
  <c r="FQ474" i="30"/>
  <c r="FR474" i="30"/>
  <c r="FS474" i="30"/>
  <c r="FT474" i="30"/>
  <c r="FU474" i="30"/>
  <c r="FV474" i="30"/>
  <c r="FW474" i="30"/>
  <c r="FX474" i="30"/>
  <c r="FY474" i="30"/>
  <c r="FZ474" i="30"/>
  <c r="GA474" i="30"/>
  <c r="GB474" i="30"/>
  <c r="GC474" i="30"/>
  <c r="GD474" i="30"/>
  <c r="GE474" i="30"/>
  <c r="GF474" i="30"/>
  <c r="GG474" i="30"/>
  <c r="GH474" i="30"/>
  <c r="GI474" i="30"/>
  <c r="GJ474" i="30"/>
  <c r="GK474" i="30"/>
  <c r="GL474" i="30"/>
  <c r="GM474" i="30"/>
  <c r="GN474" i="30"/>
  <c r="GO474" i="30"/>
  <c r="GP474" i="30"/>
  <c r="GQ474" i="30"/>
  <c r="GR474" i="30"/>
  <c r="GS474" i="30"/>
  <c r="GT474" i="30"/>
  <c r="GU474" i="30"/>
  <c r="GV474" i="30"/>
  <c r="GW474" i="30"/>
  <c r="GX474" i="30"/>
  <c r="GY474" i="30"/>
  <c r="GZ474" i="30"/>
  <c r="HA474" i="30"/>
  <c r="HB474" i="30"/>
  <c r="HC474" i="30"/>
  <c r="HD474" i="30"/>
  <c r="HE474" i="30"/>
  <c r="HF474" i="30"/>
  <c r="HG474" i="30"/>
  <c r="HH474" i="30"/>
  <c r="HI474" i="30"/>
  <c r="HJ474" i="30"/>
  <c r="HK474" i="30"/>
  <c r="HL474" i="30"/>
  <c r="HM474" i="30"/>
  <c r="HN474" i="30"/>
  <c r="HO474" i="30"/>
  <c r="HP474" i="30"/>
  <c r="HQ474" i="30"/>
  <c r="HR474" i="30"/>
  <c r="HS474" i="30"/>
  <c r="HT474" i="30"/>
  <c r="HU474" i="30"/>
  <c r="HV474" i="30"/>
  <c r="HW474" i="30"/>
  <c r="HX474" i="30"/>
  <c r="HY474" i="30"/>
  <c r="HZ474" i="30"/>
  <c r="IA474" i="30"/>
  <c r="IB474" i="30"/>
  <c r="IC474" i="30"/>
  <c r="ID474" i="30"/>
  <c r="IE474" i="30"/>
  <c r="IF474" i="30"/>
  <c r="IG474" i="30"/>
  <c r="IH474" i="30"/>
  <c r="II474" i="30"/>
  <c r="IJ474" i="30"/>
  <c r="IK474" i="30"/>
  <c r="IL474" i="30"/>
  <c r="IM474" i="30"/>
  <c r="IN474" i="30"/>
  <c r="IO474" i="30"/>
  <c r="IP474" i="30"/>
  <c r="IQ474" i="30"/>
  <c r="IR474" i="30"/>
  <c r="IS474" i="30"/>
  <c r="IT474" i="30"/>
  <c r="IU474" i="30"/>
  <c r="IV474" i="30"/>
  <c r="A473" i="30"/>
  <c r="B473" i="30"/>
  <c r="C473" i="30"/>
  <c r="D473" i="30"/>
  <c r="E473" i="30"/>
  <c r="F473" i="30"/>
  <c r="G473" i="30"/>
  <c r="H473" i="30"/>
  <c r="I473" i="30"/>
  <c r="J473" i="30"/>
  <c r="K473" i="30"/>
  <c r="L473" i="30"/>
  <c r="M473" i="30"/>
  <c r="N473" i="30"/>
  <c r="O473" i="30"/>
  <c r="P473" i="30"/>
  <c r="Q473" i="30"/>
  <c r="R473" i="30"/>
  <c r="S473" i="30"/>
  <c r="T473" i="30"/>
  <c r="U473" i="30"/>
  <c r="V473" i="30"/>
  <c r="W473" i="30"/>
  <c r="X473" i="30"/>
  <c r="Y473" i="30"/>
  <c r="Z473" i="30"/>
  <c r="AA473" i="30"/>
  <c r="AB473" i="30"/>
  <c r="AC473" i="30"/>
  <c r="AD473" i="30"/>
  <c r="AE473" i="30"/>
  <c r="AF473" i="30"/>
  <c r="AG473" i="30"/>
  <c r="AH473" i="30"/>
  <c r="AI473" i="30"/>
  <c r="AJ473" i="30"/>
  <c r="AK473" i="30"/>
  <c r="AL473" i="30"/>
  <c r="AM473" i="30"/>
  <c r="AN473" i="30"/>
  <c r="AO473" i="30"/>
  <c r="AP473" i="30"/>
  <c r="AQ473" i="30"/>
  <c r="AR473" i="30"/>
  <c r="AS473" i="30"/>
  <c r="AT473" i="30"/>
  <c r="AU473" i="30"/>
  <c r="AV473" i="30"/>
  <c r="AW473" i="30"/>
  <c r="AX473" i="30"/>
  <c r="AY473" i="30"/>
  <c r="AZ473" i="30"/>
  <c r="BA473" i="30"/>
  <c r="BB473" i="30"/>
  <c r="BC473" i="30"/>
  <c r="BD473" i="30"/>
  <c r="BE473" i="30"/>
  <c r="BF473" i="30"/>
  <c r="BG473" i="30"/>
  <c r="BH473" i="30"/>
  <c r="BI473" i="30"/>
  <c r="BJ473" i="30"/>
  <c r="BK473" i="30"/>
  <c r="BL473" i="30"/>
  <c r="BM473" i="30"/>
  <c r="BN473" i="30"/>
  <c r="BO473" i="30"/>
  <c r="BP473" i="30"/>
  <c r="BQ473" i="30"/>
  <c r="BR473" i="30"/>
  <c r="BS473" i="30"/>
  <c r="BT473" i="30"/>
  <c r="BU473" i="30"/>
  <c r="BV473" i="30"/>
  <c r="BW473" i="30"/>
  <c r="BX473" i="30"/>
  <c r="BY473" i="30"/>
  <c r="BZ473" i="30"/>
  <c r="CA473" i="30"/>
  <c r="CB473" i="30"/>
  <c r="CC473" i="30"/>
  <c r="CD473" i="30"/>
  <c r="CE473" i="30"/>
  <c r="CF473" i="30"/>
  <c r="CG473" i="30"/>
  <c r="CH473" i="30"/>
  <c r="CI473" i="30"/>
  <c r="CJ473" i="30"/>
  <c r="CK473" i="30"/>
  <c r="CL473" i="30"/>
  <c r="CM473" i="30"/>
  <c r="CN473" i="30"/>
  <c r="CO473" i="30"/>
  <c r="CP473" i="30"/>
  <c r="CQ473" i="30"/>
  <c r="CR473" i="30"/>
  <c r="CS473" i="30"/>
  <c r="CT473" i="30"/>
  <c r="CU473" i="30"/>
  <c r="CV473" i="30"/>
  <c r="CW473" i="30"/>
  <c r="CX473" i="30"/>
  <c r="CY473" i="30"/>
  <c r="CZ473" i="30"/>
  <c r="DA473" i="30"/>
  <c r="DB473" i="30"/>
  <c r="DC473" i="30"/>
  <c r="DD473" i="30"/>
  <c r="DE473" i="30"/>
  <c r="DF473" i="30"/>
  <c r="DG473" i="30"/>
  <c r="DH473" i="30"/>
  <c r="DI473" i="30"/>
  <c r="DJ473" i="30"/>
  <c r="DK473" i="30"/>
  <c r="DL473" i="30"/>
  <c r="DM473" i="30"/>
  <c r="DN473" i="30"/>
  <c r="DO473" i="30"/>
  <c r="DP473" i="30"/>
  <c r="DQ473" i="30"/>
  <c r="DR473" i="30"/>
  <c r="DS473" i="30"/>
  <c r="DT473" i="30"/>
  <c r="DU473" i="30"/>
  <c r="DV473" i="30"/>
  <c r="DW473" i="30"/>
  <c r="DX473" i="30"/>
  <c r="DY473" i="30"/>
  <c r="DZ473" i="30"/>
  <c r="EA473" i="30"/>
  <c r="EB473" i="30"/>
  <c r="EC473" i="30"/>
  <c r="ED473" i="30"/>
  <c r="EE473" i="30"/>
  <c r="EF473" i="30"/>
  <c r="EG473" i="30"/>
  <c r="EH473" i="30"/>
  <c r="EI473" i="30"/>
  <c r="EJ473" i="30"/>
  <c r="EK473" i="30"/>
  <c r="EL473" i="30"/>
  <c r="EM473" i="30"/>
  <c r="EN473" i="30"/>
  <c r="EO473" i="30"/>
  <c r="EP473" i="30"/>
  <c r="EQ473" i="30"/>
  <c r="ER473" i="30"/>
  <c r="ES473" i="30"/>
  <c r="ET473" i="30"/>
  <c r="EU473" i="30"/>
  <c r="EV473" i="30"/>
  <c r="EW473" i="30"/>
  <c r="EX473" i="30"/>
  <c r="EY473" i="30"/>
  <c r="EZ473" i="30"/>
  <c r="FA473" i="30"/>
  <c r="FB473" i="30"/>
  <c r="FC473" i="30"/>
  <c r="FD473" i="30"/>
  <c r="FE473" i="30"/>
  <c r="FF473" i="30"/>
  <c r="FG473" i="30"/>
  <c r="FH473" i="30"/>
  <c r="FI473" i="30"/>
  <c r="FJ473" i="30"/>
  <c r="FK473" i="30"/>
  <c r="FL473" i="30"/>
  <c r="FM473" i="30"/>
  <c r="FN473" i="30"/>
  <c r="FO473" i="30"/>
  <c r="FP473" i="30"/>
  <c r="FQ473" i="30"/>
  <c r="FR473" i="30"/>
  <c r="FS473" i="30"/>
  <c r="FT473" i="30"/>
  <c r="FU473" i="30"/>
  <c r="FV473" i="30"/>
  <c r="FW473" i="30"/>
  <c r="FX473" i="30"/>
  <c r="FY473" i="30"/>
  <c r="FZ473" i="30"/>
  <c r="GA473" i="30"/>
  <c r="GB473" i="30"/>
  <c r="GC473" i="30"/>
  <c r="GD473" i="30"/>
  <c r="GE473" i="30"/>
  <c r="GF473" i="30"/>
  <c r="GG473" i="30"/>
  <c r="GH473" i="30"/>
  <c r="GI473" i="30"/>
  <c r="GJ473" i="30"/>
  <c r="GK473" i="30"/>
  <c r="GL473" i="30"/>
  <c r="GM473" i="30"/>
  <c r="GN473" i="30"/>
  <c r="GO473" i="30"/>
  <c r="GP473" i="30"/>
  <c r="GQ473" i="30"/>
  <c r="GR473" i="30"/>
  <c r="GS473" i="30"/>
  <c r="GT473" i="30"/>
  <c r="GU473" i="30"/>
  <c r="GV473" i="30"/>
  <c r="GW473" i="30"/>
  <c r="GX473" i="30"/>
  <c r="GY473" i="30"/>
  <c r="GZ473" i="30"/>
  <c r="HA473" i="30"/>
  <c r="HB473" i="30"/>
  <c r="HC473" i="30"/>
  <c r="HD473" i="30"/>
  <c r="HE473" i="30"/>
  <c r="HF473" i="30"/>
  <c r="HG473" i="30"/>
  <c r="HH473" i="30"/>
  <c r="HI473" i="30"/>
  <c r="HJ473" i="30"/>
  <c r="HK473" i="30"/>
  <c r="HL473" i="30"/>
  <c r="HM473" i="30"/>
  <c r="HN473" i="30"/>
  <c r="HO473" i="30"/>
  <c r="HP473" i="30"/>
  <c r="HQ473" i="30"/>
  <c r="HR473" i="30"/>
  <c r="HS473" i="30"/>
  <c r="HT473" i="30"/>
  <c r="HU473" i="30"/>
  <c r="HV473" i="30"/>
  <c r="HW473" i="30"/>
  <c r="HX473" i="30"/>
  <c r="HY473" i="30"/>
  <c r="HZ473" i="30"/>
  <c r="IA473" i="30"/>
  <c r="IB473" i="30"/>
  <c r="IC473" i="30"/>
  <c r="ID473" i="30"/>
  <c r="IE473" i="30"/>
  <c r="IF473" i="30"/>
  <c r="IG473" i="30"/>
  <c r="IH473" i="30"/>
  <c r="II473" i="30"/>
  <c r="IJ473" i="30"/>
  <c r="IK473" i="30"/>
  <c r="IL473" i="30"/>
  <c r="IM473" i="30"/>
  <c r="IN473" i="30"/>
  <c r="IO473" i="30"/>
  <c r="IP473" i="30"/>
  <c r="IQ473" i="30"/>
  <c r="IR473" i="30"/>
  <c r="IS473" i="30"/>
  <c r="IT473" i="30"/>
  <c r="IU473" i="30"/>
  <c r="IV473" i="30"/>
  <c r="A472" i="30"/>
  <c r="B472" i="30"/>
  <c r="C472" i="30"/>
  <c r="D472" i="30"/>
  <c r="E472" i="30"/>
  <c r="F472" i="30"/>
  <c r="G472" i="30"/>
  <c r="H472" i="30"/>
  <c r="I472" i="30"/>
  <c r="J472" i="30"/>
  <c r="K472" i="30"/>
  <c r="L472" i="30"/>
  <c r="M472" i="30"/>
  <c r="N472" i="30"/>
  <c r="O472" i="30"/>
  <c r="P472" i="30"/>
  <c r="Q472" i="30"/>
  <c r="R472" i="30"/>
  <c r="S472" i="30"/>
  <c r="T472" i="30"/>
  <c r="U472" i="30"/>
  <c r="V472" i="30"/>
  <c r="W472" i="30"/>
  <c r="X472" i="30"/>
  <c r="Y472" i="30"/>
  <c r="Z472" i="30"/>
  <c r="AA472" i="30"/>
  <c r="AB472" i="30"/>
  <c r="AC472" i="30"/>
  <c r="AD472" i="30"/>
  <c r="AE472" i="30"/>
  <c r="AF472" i="30"/>
  <c r="AG472" i="30"/>
  <c r="AH472" i="30"/>
  <c r="AI472" i="30"/>
  <c r="AJ472" i="30"/>
  <c r="AK472" i="30"/>
  <c r="AL472" i="30"/>
  <c r="AM472" i="30"/>
  <c r="AN472" i="30"/>
  <c r="AO472" i="30"/>
  <c r="AP472" i="30"/>
  <c r="AQ472" i="30"/>
  <c r="AR472" i="30"/>
  <c r="AS472" i="30"/>
  <c r="AT472" i="30"/>
  <c r="AU472" i="30"/>
  <c r="AV472" i="30"/>
  <c r="AW472" i="30"/>
  <c r="AX472" i="30"/>
  <c r="AY472" i="30"/>
  <c r="AZ472" i="30"/>
  <c r="BA472" i="30"/>
  <c r="BB472" i="30"/>
  <c r="BC472" i="30"/>
  <c r="BD472" i="30"/>
  <c r="BE472" i="30"/>
  <c r="BF472" i="30"/>
  <c r="BG472" i="30"/>
  <c r="BH472" i="30"/>
  <c r="BI472" i="30"/>
  <c r="BJ472" i="30"/>
  <c r="BK472" i="30"/>
  <c r="BL472" i="30"/>
  <c r="BM472" i="30"/>
  <c r="BN472" i="30"/>
  <c r="BO472" i="30"/>
  <c r="BP472" i="30"/>
  <c r="BQ472" i="30"/>
  <c r="BR472" i="30"/>
  <c r="BS472" i="30"/>
  <c r="BT472" i="30"/>
  <c r="BU472" i="30"/>
  <c r="BV472" i="30"/>
  <c r="BW472" i="30"/>
  <c r="BX472" i="30"/>
  <c r="BY472" i="30"/>
  <c r="BZ472" i="30"/>
  <c r="CA472" i="30"/>
  <c r="CB472" i="30"/>
  <c r="CC472" i="30"/>
  <c r="CD472" i="30"/>
  <c r="CE472" i="30"/>
  <c r="CF472" i="30"/>
  <c r="CG472" i="30"/>
  <c r="CH472" i="30"/>
  <c r="CI472" i="30"/>
  <c r="CJ472" i="30"/>
  <c r="CK472" i="30"/>
  <c r="CL472" i="30"/>
  <c r="CM472" i="30"/>
  <c r="CN472" i="30"/>
  <c r="CO472" i="30"/>
  <c r="CP472" i="30"/>
  <c r="CQ472" i="30"/>
  <c r="CR472" i="30"/>
  <c r="CS472" i="30"/>
  <c r="CT472" i="30"/>
  <c r="CU472" i="30"/>
  <c r="CV472" i="30"/>
  <c r="CW472" i="30"/>
  <c r="CX472" i="30"/>
  <c r="CY472" i="30"/>
  <c r="CZ472" i="30"/>
  <c r="DA472" i="30"/>
  <c r="DB472" i="30"/>
  <c r="DC472" i="30"/>
  <c r="DD472" i="30"/>
  <c r="DE472" i="30"/>
  <c r="DF472" i="30"/>
  <c r="DG472" i="30"/>
  <c r="DH472" i="30"/>
  <c r="DI472" i="30"/>
  <c r="DJ472" i="30"/>
  <c r="DK472" i="30"/>
  <c r="DL472" i="30"/>
  <c r="DM472" i="30"/>
  <c r="DN472" i="30"/>
  <c r="DO472" i="30"/>
  <c r="DP472" i="30"/>
  <c r="DQ472" i="30"/>
  <c r="DR472" i="30"/>
  <c r="DS472" i="30"/>
  <c r="DT472" i="30"/>
  <c r="DU472" i="30"/>
  <c r="DV472" i="30"/>
  <c r="DW472" i="30"/>
  <c r="DX472" i="30"/>
  <c r="DY472" i="30"/>
  <c r="DZ472" i="30"/>
  <c r="EA472" i="30"/>
  <c r="EB472" i="30"/>
  <c r="EC472" i="30"/>
  <c r="ED472" i="30"/>
  <c r="EE472" i="30"/>
  <c r="EF472" i="30"/>
  <c r="EG472" i="30"/>
  <c r="EH472" i="30"/>
  <c r="EI472" i="30"/>
  <c r="EJ472" i="30"/>
  <c r="EK472" i="30"/>
  <c r="EL472" i="30"/>
  <c r="EM472" i="30"/>
  <c r="EN472" i="30"/>
  <c r="EO472" i="30"/>
  <c r="EP472" i="30"/>
  <c r="EQ472" i="30"/>
  <c r="ER472" i="30"/>
  <c r="ES472" i="30"/>
  <c r="ET472" i="30"/>
  <c r="EU472" i="30"/>
  <c r="EV472" i="30"/>
  <c r="EW472" i="30"/>
  <c r="EX472" i="30"/>
  <c r="EY472" i="30"/>
  <c r="EZ472" i="30"/>
  <c r="FA472" i="30"/>
  <c r="FB472" i="30"/>
  <c r="FC472" i="30"/>
  <c r="FD472" i="30"/>
  <c r="FE472" i="30"/>
  <c r="FF472" i="30"/>
  <c r="FG472" i="30"/>
  <c r="FH472" i="30"/>
  <c r="FI472" i="30"/>
  <c r="FJ472" i="30"/>
  <c r="FK472" i="30"/>
  <c r="FL472" i="30"/>
  <c r="FM472" i="30"/>
  <c r="FN472" i="30"/>
  <c r="FO472" i="30"/>
  <c r="FP472" i="30"/>
  <c r="FQ472" i="30"/>
  <c r="FR472" i="30"/>
  <c r="FS472" i="30"/>
  <c r="FT472" i="30"/>
  <c r="FU472" i="30"/>
  <c r="FV472" i="30"/>
  <c r="FW472" i="30"/>
  <c r="FX472" i="30"/>
  <c r="FY472" i="30"/>
  <c r="FZ472" i="30"/>
  <c r="GA472" i="30"/>
  <c r="GB472" i="30"/>
  <c r="GC472" i="30"/>
  <c r="GD472" i="30"/>
  <c r="GE472" i="30"/>
  <c r="GF472" i="30"/>
  <c r="GG472" i="30"/>
  <c r="GH472" i="30"/>
  <c r="GI472" i="30"/>
  <c r="GJ472" i="30"/>
  <c r="GK472" i="30"/>
  <c r="GL472" i="30"/>
  <c r="GM472" i="30"/>
  <c r="GN472" i="30"/>
  <c r="GO472" i="30"/>
  <c r="GP472" i="30"/>
  <c r="GQ472" i="30"/>
  <c r="GR472" i="30"/>
  <c r="GS472" i="30"/>
  <c r="GT472" i="30"/>
  <c r="GU472" i="30"/>
  <c r="GV472" i="30"/>
  <c r="GW472" i="30"/>
  <c r="GX472" i="30"/>
  <c r="GY472" i="30"/>
  <c r="GZ472" i="30"/>
  <c r="HA472" i="30"/>
  <c r="HB472" i="30"/>
  <c r="HC472" i="30"/>
  <c r="HD472" i="30"/>
  <c r="HE472" i="30"/>
  <c r="HF472" i="30"/>
  <c r="HG472" i="30"/>
  <c r="HH472" i="30"/>
  <c r="HI472" i="30"/>
  <c r="HJ472" i="30"/>
  <c r="HK472" i="30"/>
  <c r="HL472" i="30"/>
  <c r="HM472" i="30"/>
  <c r="HN472" i="30"/>
  <c r="HO472" i="30"/>
  <c r="HP472" i="30"/>
  <c r="HQ472" i="30"/>
  <c r="HR472" i="30"/>
  <c r="HS472" i="30"/>
  <c r="HT472" i="30"/>
  <c r="HU472" i="30"/>
  <c r="HV472" i="30"/>
  <c r="HW472" i="30"/>
  <c r="HX472" i="30"/>
  <c r="HY472" i="30"/>
  <c r="HZ472" i="30"/>
  <c r="IA472" i="30"/>
  <c r="IB472" i="30"/>
  <c r="IC472" i="30"/>
  <c r="ID472" i="30"/>
  <c r="IE472" i="30"/>
  <c r="IF472" i="30"/>
  <c r="IG472" i="30"/>
  <c r="IH472" i="30"/>
  <c r="II472" i="30"/>
  <c r="IJ472" i="30"/>
  <c r="IK472" i="30"/>
  <c r="IL472" i="30"/>
  <c r="IM472" i="30"/>
  <c r="IN472" i="30"/>
  <c r="IO472" i="30"/>
  <c r="IP472" i="30"/>
  <c r="IQ472" i="30"/>
  <c r="IR472" i="30"/>
  <c r="IS472" i="30"/>
  <c r="IT472" i="30"/>
  <c r="IU472" i="30"/>
  <c r="IV472" i="30"/>
  <c r="A471" i="30"/>
  <c r="B471" i="30"/>
  <c r="C471" i="30"/>
  <c r="D471" i="30"/>
  <c r="E471" i="30"/>
  <c r="F471" i="30"/>
  <c r="G471" i="30"/>
  <c r="H471" i="30"/>
  <c r="I471" i="30"/>
  <c r="J471" i="30"/>
  <c r="K471" i="30"/>
  <c r="L471" i="30"/>
  <c r="M471" i="30"/>
  <c r="N471" i="30"/>
  <c r="O471" i="30"/>
  <c r="P471" i="30"/>
  <c r="Q471" i="30"/>
  <c r="R471" i="30"/>
  <c r="S471" i="30"/>
  <c r="T471" i="30"/>
  <c r="U471" i="30"/>
  <c r="V471" i="30"/>
  <c r="W471" i="30"/>
  <c r="X471" i="30"/>
  <c r="Y471" i="30"/>
  <c r="Z471" i="30"/>
  <c r="AA471" i="30"/>
  <c r="AB471" i="30"/>
  <c r="AC471" i="30"/>
  <c r="AD471" i="30"/>
  <c r="AE471" i="30"/>
  <c r="AF471" i="30"/>
  <c r="AG471" i="30"/>
  <c r="AH471" i="30"/>
  <c r="AI471" i="30"/>
  <c r="AJ471" i="30"/>
  <c r="AK471" i="30"/>
  <c r="AL471" i="30"/>
  <c r="AM471" i="30"/>
  <c r="AN471" i="30"/>
  <c r="AO471" i="30"/>
  <c r="AP471" i="30"/>
  <c r="AQ471" i="30"/>
  <c r="AR471" i="30"/>
  <c r="AS471" i="30"/>
  <c r="AT471" i="30"/>
  <c r="AU471" i="30"/>
  <c r="AV471" i="30"/>
  <c r="AW471" i="30"/>
  <c r="AX471" i="30"/>
  <c r="AY471" i="30"/>
  <c r="AZ471" i="30"/>
  <c r="BA471" i="30"/>
  <c r="BB471" i="30"/>
  <c r="BC471" i="30"/>
  <c r="BD471" i="30"/>
  <c r="BE471" i="30"/>
  <c r="BF471" i="30"/>
  <c r="BG471" i="30"/>
  <c r="BH471" i="30"/>
  <c r="BI471" i="30"/>
  <c r="BJ471" i="30"/>
  <c r="BK471" i="30"/>
  <c r="BL471" i="30"/>
  <c r="BM471" i="30"/>
  <c r="BN471" i="30"/>
  <c r="BO471" i="30"/>
  <c r="BP471" i="30"/>
  <c r="BQ471" i="30"/>
  <c r="BR471" i="30"/>
  <c r="BS471" i="30"/>
  <c r="BT471" i="30"/>
  <c r="BU471" i="30"/>
  <c r="BV471" i="30"/>
  <c r="BW471" i="30"/>
  <c r="BX471" i="30"/>
  <c r="BY471" i="30"/>
  <c r="BZ471" i="30"/>
  <c r="CA471" i="30"/>
  <c r="CB471" i="30"/>
  <c r="CC471" i="30"/>
  <c r="CD471" i="30"/>
  <c r="CE471" i="30"/>
  <c r="CF471" i="30"/>
  <c r="CG471" i="30"/>
  <c r="CH471" i="30"/>
  <c r="CI471" i="30"/>
  <c r="CJ471" i="30"/>
  <c r="CK471" i="30"/>
  <c r="CL471" i="30"/>
  <c r="CM471" i="30"/>
  <c r="CN471" i="30"/>
  <c r="CO471" i="30"/>
  <c r="CP471" i="30"/>
  <c r="CQ471" i="30"/>
  <c r="CR471" i="30"/>
  <c r="CS471" i="30"/>
  <c r="CT471" i="30"/>
  <c r="CU471" i="30"/>
  <c r="CV471" i="30"/>
  <c r="CW471" i="30"/>
  <c r="CX471" i="30"/>
  <c r="CY471" i="30"/>
  <c r="CZ471" i="30"/>
  <c r="DA471" i="30"/>
  <c r="DB471" i="30"/>
  <c r="DC471" i="30"/>
  <c r="DD471" i="30"/>
  <c r="DE471" i="30"/>
  <c r="DF471" i="30"/>
  <c r="DG471" i="30"/>
  <c r="DH471" i="30"/>
  <c r="DI471" i="30"/>
  <c r="DJ471" i="30"/>
  <c r="DK471" i="30"/>
  <c r="DL471" i="30"/>
  <c r="DM471" i="30"/>
  <c r="DN471" i="30"/>
  <c r="DO471" i="30"/>
  <c r="DP471" i="30"/>
  <c r="DQ471" i="30"/>
  <c r="DR471" i="30"/>
  <c r="DS471" i="30"/>
  <c r="DT471" i="30"/>
  <c r="DU471" i="30"/>
  <c r="DV471" i="30"/>
  <c r="DW471" i="30"/>
  <c r="DX471" i="30"/>
  <c r="DY471" i="30"/>
  <c r="DZ471" i="30"/>
  <c r="EA471" i="30"/>
  <c r="EB471" i="30"/>
  <c r="EC471" i="30"/>
  <c r="ED471" i="30"/>
  <c r="EE471" i="30"/>
  <c r="EF471" i="30"/>
  <c r="EG471" i="30"/>
  <c r="EH471" i="30"/>
  <c r="EI471" i="30"/>
  <c r="EJ471" i="30"/>
  <c r="EK471" i="30"/>
  <c r="EL471" i="30"/>
  <c r="EM471" i="30"/>
  <c r="EN471" i="30"/>
  <c r="EO471" i="30"/>
  <c r="EP471" i="30"/>
  <c r="EQ471" i="30"/>
  <c r="ER471" i="30"/>
  <c r="ES471" i="30"/>
  <c r="ET471" i="30"/>
  <c r="EU471" i="30"/>
  <c r="EV471" i="30"/>
  <c r="EW471" i="30"/>
  <c r="EX471" i="30"/>
  <c r="EY471" i="30"/>
  <c r="EZ471" i="30"/>
  <c r="FA471" i="30"/>
  <c r="FB471" i="30"/>
  <c r="FC471" i="30"/>
  <c r="FD471" i="30"/>
  <c r="FE471" i="30"/>
  <c r="FF471" i="30"/>
  <c r="FG471" i="30"/>
  <c r="FH471" i="30"/>
  <c r="FI471" i="30"/>
  <c r="FJ471" i="30"/>
  <c r="FK471" i="30"/>
  <c r="FL471" i="30"/>
  <c r="FM471" i="30"/>
  <c r="FN471" i="30"/>
  <c r="FO471" i="30"/>
  <c r="FP471" i="30"/>
  <c r="FQ471" i="30"/>
  <c r="FR471" i="30"/>
  <c r="FS471" i="30"/>
  <c r="FT471" i="30"/>
  <c r="FU471" i="30"/>
  <c r="FV471" i="30"/>
  <c r="FW471" i="30"/>
  <c r="FX471" i="30"/>
  <c r="FY471" i="30"/>
  <c r="FZ471" i="30"/>
  <c r="GA471" i="30"/>
  <c r="GB471" i="30"/>
  <c r="GC471" i="30"/>
  <c r="GD471" i="30"/>
  <c r="GE471" i="30"/>
  <c r="GF471" i="30"/>
  <c r="GG471" i="30"/>
  <c r="GH471" i="30"/>
  <c r="GI471" i="30"/>
  <c r="GJ471" i="30"/>
  <c r="GK471" i="30"/>
  <c r="GL471" i="30"/>
  <c r="GM471" i="30"/>
  <c r="GN471" i="30"/>
  <c r="GO471" i="30"/>
  <c r="GP471" i="30"/>
  <c r="GQ471" i="30"/>
  <c r="GR471" i="30"/>
  <c r="GS471" i="30"/>
  <c r="GT471" i="30"/>
  <c r="GU471" i="30"/>
  <c r="GV471" i="30"/>
  <c r="GW471" i="30"/>
  <c r="GX471" i="30"/>
  <c r="GY471" i="30"/>
  <c r="GZ471" i="30"/>
  <c r="HA471" i="30"/>
  <c r="HB471" i="30"/>
  <c r="HC471" i="30"/>
  <c r="HD471" i="30"/>
  <c r="HE471" i="30"/>
  <c r="HF471" i="30"/>
  <c r="HG471" i="30"/>
  <c r="HH471" i="30"/>
  <c r="HI471" i="30"/>
  <c r="HJ471" i="30"/>
  <c r="HK471" i="30"/>
  <c r="HL471" i="30"/>
  <c r="HM471" i="30"/>
  <c r="HN471" i="30"/>
  <c r="HO471" i="30"/>
  <c r="HP471" i="30"/>
  <c r="HQ471" i="30"/>
  <c r="HR471" i="30"/>
  <c r="HS471" i="30"/>
  <c r="HT471" i="30"/>
  <c r="HU471" i="30"/>
  <c r="HV471" i="30"/>
  <c r="HW471" i="30"/>
  <c r="HX471" i="30"/>
  <c r="HY471" i="30"/>
  <c r="HZ471" i="30"/>
  <c r="IA471" i="30"/>
  <c r="IB471" i="30"/>
  <c r="IC471" i="30"/>
  <c r="ID471" i="30"/>
  <c r="IE471" i="30"/>
  <c r="IF471" i="30"/>
  <c r="IG471" i="30"/>
  <c r="IH471" i="30"/>
  <c r="II471" i="30"/>
  <c r="IJ471" i="30"/>
  <c r="IK471" i="30"/>
  <c r="IL471" i="30"/>
  <c r="IM471" i="30"/>
  <c r="IN471" i="30"/>
  <c r="IO471" i="30"/>
  <c r="IP471" i="30"/>
  <c r="IQ471" i="30"/>
  <c r="IR471" i="30"/>
  <c r="IS471" i="30"/>
  <c r="IT471" i="30"/>
  <c r="IU471" i="30"/>
  <c r="IV471" i="30"/>
  <c r="A470" i="30"/>
  <c r="B470" i="30"/>
  <c r="C470" i="30"/>
  <c r="D470" i="30"/>
  <c r="E470" i="30"/>
  <c r="F470" i="30"/>
  <c r="G470" i="30"/>
  <c r="H470" i="30"/>
  <c r="I470" i="30"/>
  <c r="J470" i="30"/>
  <c r="K470" i="30"/>
  <c r="L470" i="30"/>
  <c r="M470" i="30"/>
  <c r="N470" i="30"/>
  <c r="O470" i="30"/>
  <c r="P470" i="30"/>
  <c r="Q470" i="30"/>
  <c r="R470" i="30"/>
  <c r="S470" i="30"/>
  <c r="T470" i="30"/>
  <c r="U470" i="30"/>
  <c r="V470" i="30"/>
  <c r="W470" i="30"/>
  <c r="X470" i="30"/>
  <c r="Y470" i="30"/>
  <c r="Z470" i="30"/>
  <c r="AA470" i="30"/>
  <c r="AB470" i="30"/>
  <c r="AC470" i="30"/>
  <c r="AD470" i="30"/>
  <c r="AE470" i="30"/>
  <c r="AF470" i="30"/>
  <c r="AG470" i="30"/>
  <c r="AH470" i="30"/>
  <c r="AI470" i="30"/>
  <c r="AJ470" i="30"/>
  <c r="AK470" i="30"/>
  <c r="AL470" i="30"/>
  <c r="AM470" i="30"/>
  <c r="AN470" i="30"/>
  <c r="AO470" i="30"/>
  <c r="AP470" i="30"/>
  <c r="AQ470" i="30"/>
  <c r="AR470" i="30"/>
  <c r="AS470" i="30"/>
  <c r="AT470" i="30"/>
  <c r="AU470" i="30"/>
  <c r="AV470" i="30"/>
  <c r="AW470" i="30"/>
  <c r="AX470" i="30"/>
  <c r="AY470" i="30"/>
  <c r="AZ470" i="30"/>
  <c r="BA470" i="30"/>
  <c r="BB470" i="30"/>
  <c r="BC470" i="30"/>
  <c r="BD470" i="30"/>
  <c r="BE470" i="30"/>
  <c r="BF470" i="30"/>
  <c r="BG470" i="30"/>
  <c r="BH470" i="30"/>
  <c r="BI470" i="30"/>
  <c r="BJ470" i="30"/>
  <c r="BK470" i="30"/>
  <c r="BL470" i="30"/>
  <c r="BM470" i="30"/>
  <c r="BN470" i="30"/>
  <c r="BO470" i="30"/>
  <c r="BP470" i="30"/>
  <c r="BQ470" i="30"/>
  <c r="BR470" i="30"/>
  <c r="BS470" i="30"/>
  <c r="BT470" i="30"/>
  <c r="BU470" i="30"/>
  <c r="BV470" i="30"/>
  <c r="BW470" i="30"/>
  <c r="BX470" i="30"/>
  <c r="BY470" i="30"/>
  <c r="BZ470" i="30"/>
  <c r="CA470" i="30"/>
  <c r="CB470" i="30"/>
  <c r="CC470" i="30"/>
  <c r="CD470" i="30"/>
  <c r="CE470" i="30"/>
  <c r="CF470" i="30"/>
  <c r="CG470" i="30"/>
  <c r="CH470" i="30"/>
  <c r="CI470" i="30"/>
  <c r="CJ470" i="30"/>
  <c r="CK470" i="30"/>
  <c r="CL470" i="30"/>
  <c r="CM470" i="30"/>
  <c r="CN470" i="30"/>
  <c r="CO470" i="30"/>
  <c r="CP470" i="30"/>
  <c r="CQ470" i="30"/>
  <c r="CR470" i="30"/>
  <c r="CS470" i="30"/>
  <c r="CT470" i="30"/>
  <c r="CU470" i="30"/>
  <c r="CV470" i="30"/>
  <c r="CW470" i="30"/>
  <c r="CX470" i="30"/>
  <c r="CY470" i="30"/>
  <c r="CZ470" i="30"/>
  <c r="DA470" i="30"/>
  <c r="DB470" i="30"/>
  <c r="DC470" i="30"/>
  <c r="DD470" i="30"/>
  <c r="DE470" i="30"/>
  <c r="DF470" i="30"/>
  <c r="DG470" i="30"/>
  <c r="DH470" i="30"/>
  <c r="DI470" i="30"/>
  <c r="DJ470" i="30"/>
  <c r="DK470" i="30"/>
  <c r="DL470" i="30"/>
  <c r="DM470" i="30"/>
  <c r="DN470" i="30"/>
  <c r="DO470" i="30"/>
  <c r="DP470" i="30"/>
  <c r="DQ470" i="30"/>
  <c r="DR470" i="30"/>
  <c r="DS470" i="30"/>
  <c r="DT470" i="30"/>
  <c r="DU470" i="30"/>
  <c r="DV470" i="30"/>
  <c r="DW470" i="30"/>
  <c r="DX470" i="30"/>
  <c r="DY470" i="30"/>
  <c r="DZ470" i="30"/>
  <c r="EA470" i="30"/>
  <c r="EB470" i="30"/>
  <c r="EC470" i="30"/>
  <c r="ED470" i="30"/>
  <c r="EE470" i="30"/>
  <c r="EF470" i="30"/>
  <c r="EG470" i="30"/>
  <c r="EH470" i="30"/>
  <c r="EI470" i="30"/>
  <c r="EJ470" i="30"/>
  <c r="EK470" i="30"/>
  <c r="EL470" i="30"/>
  <c r="EM470" i="30"/>
  <c r="EN470" i="30"/>
  <c r="EO470" i="30"/>
  <c r="EP470" i="30"/>
  <c r="EQ470" i="30"/>
  <c r="ER470" i="30"/>
  <c r="ES470" i="30"/>
  <c r="ET470" i="30"/>
  <c r="EU470" i="30"/>
  <c r="EV470" i="30"/>
  <c r="EW470" i="30"/>
  <c r="EX470" i="30"/>
  <c r="EY470" i="30"/>
  <c r="EZ470" i="30"/>
  <c r="FA470" i="30"/>
  <c r="FB470" i="30"/>
  <c r="FC470" i="30"/>
  <c r="FD470" i="30"/>
  <c r="FE470" i="30"/>
  <c r="FF470" i="30"/>
  <c r="FG470" i="30"/>
  <c r="FH470" i="30"/>
  <c r="FI470" i="30"/>
  <c r="FJ470" i="30"/>
  <c r="FK470" i="30"/>
  <c r="FL470" i="30"/>
  <c r="FM470" i="30"/>
  <c r="FN470" i="30"/>
  <c r="FO470" i="30"/>
  <c r="FP470" i="30"/>
  <c r="FQ470" i="30"/>
  <c r="FR470" i="30"/>
  <c r="FS470" i="30"/>
  <c r="FT470" i="30"/>
  <c r="FU470" i="30"/>
  <c r="FV470" i="30"/>
  <c r="FW470" i="30"/>
  <c r="FX470" i="30"/>
  <c r="FY470" i="30"/>
  <c r="FZ470" i="30"/>
  <c r="GA470" i="30"/>
  <c r="GB470" i="30"/>
  <c r="GC470" i="30"/>
  <c r="GD470" i="30"/>
  <c r="GE470" i="30"/>
  <c r="GF470" i="30"/>
  <c r="GG470" i="30"/>
  <c r="GH470" i="30"/>
  <c r="GI470" i="30"/>
  <c r="GJ470" i="30"/>
  <c r="GK470" i="30"/>
  <c r="GL470" i="30"/>
  <c r="GM470" i="30"/>
  <c r="GN470" i="30"/>
  <c r="GO470" i="30"/>
  <c r="GP470" i="30"/>
  <c r="GQ470" i="30"/>
  <c r="GR470" i="30"/>
  <c r="GS470" i="30"/>
  <c r="GT470" i="30"/>
  <c r="GU470" i="30"/>
  <c r="GV470" i="30"/>
  <c r="GW470" i="30"/>
  <c r="GX470" i="30"/>
  <c r="GY470" i="30"/>
  <c r="GZ470" i="30"/>
  <c r="HA470" i="30"/>
  <c r="HB470" i="30"/>
  <c r="HC470" i="30"/>
  <c r="HD470" i="30"/>
  <c r="HE470" i="30"/>
  <c r="HF470" i="30"/>
  <c r="HG470" i="30"/>
  <c r="HH470" i="30"/>
  <c r="HI470" i="30"/>
  <c r="HJ470" i="30"/>
  <c r="HK470" i="30"/>
  <c r="HL470" i="30"/>
  <c r="HM470" i="30"/>
  <c r="HN470" i="30"/>
  <c r="HO470" i="30"/>
  <c r="HP470" i="30"/>
  <c r="HQ470" i="30"/>
  <c r="HR470" i="30"/>
  <c r="HS470" i="30"/>
  <c r="HT470" i="30"/>
  <c r="HU470" i="30"/>
  <c r="HV470" i="30"/>
  <c r="HW470" i="30"/>
  <c r="HX470" i="30"/>
  <c r="HY470" i="30"/>
  <c r="HZ470" i="30"/>
  <c r="IA470" i="30"/>
  <c r="IB470" i="30"/>
  <c r="IC470" i="30"/>
  <c r="ID470" i="30"/>
  <c r="IE470" i="30"/>
  <c r="IF470" i="30"/>
  <c r="IG470" i="30"/>
  <c r="IH470" i="30"/>
  <c r="II470" i="30"/>
  <c r="IJ470" i="30"/>
  <c r="IK470" i="30"/>
  <c r="IL470" i="30"/>
  <c r="IM470" i="30"/>
  <c r="IN470" i="30"/>
  <c r="IO470" i="30"/>
  <c r="IP470" i="30"/>
  <c r="IQ470" i="30"/>
  <c r="IR470" i="30"/>
  <c r="IS470" i="30"/>
  <c r="IT470" i="30"/>
  <c r="IU470" i="30"/>
  <c r="IV470" i="30"/>
  <c r="A469" i="30"/>
  <c r="B469" i="30"/>
  <c r="C469" i="30"/>
  <c r="D469" i="30"/>
  <c r="E469" i="30"/>
  <c r="F469" i="30"/>
  <c r="G469" i="30"/>
  <c r="H469" i="30"/>
  <c r="I469" i="30"/>
  <c r="J469" i="30"/>
  <c r="K469" i="30"/>
  <c r="L469" i="30"/>
  <c r="M469" i="30"/>
  <c r="N469" i="30"/>
  <c r="O469" i="30"/>
  <c r="P469" i="30"/>
  <c r="Q469" i="30"/>
  <c r="R469" i="30"/>
  <c r="S469" i="30"/>
  <c r="T469" i="30"/>
  <c r="U469" i="30"/>
  <c r="V469" i="30"/>
  <c r="W469" i="30"/>
  <c r="X469" i="30"/>
  <c r="Y469" i="30"/>
  <c r="Z469" i="30"/>
  <c r="AA469" i="30"/>
  <c r="AB469" i="30"/>
  <c r="AC469" i="30"/>
  <c r="AD469" i="30"/>
  <c r="AE469" i="30"/>
  <c r="AF469" i="30"/>
  <c r="AG469" i="30"/>
  <c r="AH469" i="30"/>
  <c r="AI469" i="30"/>
  <c r="AJ469" i="30"/>
  <c r="AK469" i="30"/>
  <c r="AL469" i="30"/>
  <c r="AM469" i="30"/>
  <c r="AN469" i="30"/>
  <c r="AO469" i="30"/>
  <c r="AP469" i="30"/>
  <c r="AQ469" i="30"/>
  <c r="AR469" i="30"/>
  <c r="AS469" i="30"/>
  <c r="AT469" i="30"/>
  <c r="AU469" i="30"/>
  <c r="AV469" i="30"/>
  <c r="AW469" i="30"/>
  <c r="AX469" i="30"/>
  <c r="AY469" i="30"/>
  <c r="AZ469" i="30"/>
  <c r="BA469" i="30"/>
  <c r="BB469" i="30"/>
  <c r="BC469" i="30"/>
  <c r="BD469" i="30"/>
  <c r="BE469" i="30"/>
  <c r="BF469" i="30"/>
  <c r="BG469" i="30"/>
  <c r="BH469" i="30"/>
  <c r="BI469" i="30"/>
  <c r="BJ469" i="30"/>
  <c r="BK469" i="30"/>
  <c r="BL469" i="30"/>
  <c r="BM469" i="30"/>
  <c r="BN469" i="30"/>
  <c r="BO469" i="30"/>
  <c r="BP469" i="30"/>
  <c r="BQ469" i="30"/>
  <c r="BR469" i="30"/>
  <c r="BS469" i="30"/>
  <c r="BT469" i="30"/>
  <c r="BU469" i="30"/>
  <c r="BV469" i="30"/>
  <c r="BW469" i="30"/>
  <c r="BX469" i="30"/>
  <c r="BY469" i="30"/>
  <c r="BZ469" i="30"/>
  <c r="CA469" i="30"/>
  <c r="CB469" i="30"/>
  <c r="CC469" i="30"/>
  <c r="CD469" i="30"/>
  <c r="CE469" i="30"/>
  <c r="CF469" i="30"/>
  <c r="CG469" i="30"/>
  <c r="CH469" i="30"/>
  <c r="CI469" i="30"/>
  <c r="CJ469" i="30"/>
  <c r="CK469" i="30"/>
  <c r="CL469" i="30"/>
  <c r="CM469" i="30"/>
  <c r="CN469" i="30"/>
  <c r="CO469" i="30"/>
  <c r="CP469" i="30"/>
  <c r="CQ469" i="30"/>
  <c r="CR469" i="30"/>
  <c r="CS469" i="30"/>
  <c r="CT469" i="30"/>
  <c r="CU469" i="30"/>
  <c r="CV469" i="30"/>
  <c r="CW469" i="30"/>
  <c r="CX469" i="30"/>
  <c r="CY469" i="30"/>
  <c r="CZ469" i="30"/>
  <c r="DA469" i="30"/>
  <c r="DB469" i="30"/>
  <c r="DC469" i="30"/>
  <c r="DD469" i="30"/>
  <c r="DE469" i="30"/>
  <c r="DF469" i="30"/>
  <c r="DG469" i="30"/>
  <c r="DH469" i="30"/>
  <c r="DI469" i="30"/>
  <c r="DJ469" i="30"/>
  <c r="DK469" i="30"/>
  <c r="DL469" i="30"/>
  <c r="DM469" i="30"/>
  <c r="DN469" i="30"/>
  <c r="DO469" i="30"/>
  <c r="DP469" i="30"/>
  <c r="DQ469" i="30"/>
  <c r="DR469" i="30"/>
  <c r="DS469" i="30"/>
  <c r="DT469" i="30"/>
  <c r="DU469" i="30"/>
  <c r="DV469" i="30"/>
  <c r="DW469" i="30"/>
  <c r="DX469" i="30"/>
  <c r="DY469" i="30"/>
  <c r="DZ469" i="30"/>
  <c r="EA469" i="30"/>
  <c r="EB469" i="30"/>
  <c r="EC469" i="30"/>
  <c r="ED469" i="30"/>
  <c r="EE469" i="30"/>
  <c r="EF469" i="30"/>
  <c r="EG469" i="30"/>
  <c r="EH469" i="30"/>
  <c r="EI469" i="30"/>
  <c r="EJ469" i="30"/>
  <c r="EK469" i="30"/>
  <c r="EL469" i="30"/>
  <c r="EM469" i="30"/>
  <c r="EN469" i="30"/>
  <c r="EO469" i="30"/>
  <c r="EP469" i="30"/>
  <c r="EQ469" i="30"/>
  <c r="ER469" i="30"/>
  <c r="ES469" i="30"/>
  <c r="ET469" i="30"/>
  <c r="EU469" i="30"/>
  <c r="EV469" i="30"/>
  <c r="EW469" i="30"/>
  <c r="EX469" i="30"/>
  <c r="EY469" i="30"/>
  <c r="EZ469" i="30"/>
  <c r="FA469" i="30"/>
  <c r="FB469" i="30"/>
  <c r="FC469" i="30"/>
  <c r="FD469" i="30"/>
  <c r="FE469" i="30"/>
  <c r="FF469" i="30"/>
  <c r="FG469" i="30"/>
  <c r="FH469" i="30"/>
  <c r="FI469" i="30"/>
  <c r="FJ469" i="30"/>
  <c r="FK469" i="30"/>
  <c r="FL469" i="30"/>
  <c r="FM469" i="30"/>
  <c r="FN469" i="30"/>
  <c r="FO469" i="30"/>
  <c r="FP469" i="30"/>
  <c r="FQ469" i="30"/>
  <c r="FR469" i="30"/>
  <c r="FS469" i="30"/>
  <c r="FT469" i="30"/>
  <c r="FU469" i="30"/>
  <c r="FV469" i="30"/>
  <c r="FW469" i="30"/>
  <c r="FX469" i="30"/>
  <c r="FY469" i="30"/>
  <c r="FZ469" i="30"/>
  <c r="GA469" i="30"/>
  <c r="GB469" i="30"/>
  <c r="GC469" i="30"/>
  <c r="GD469" i="30"/>
  <c r="GE469" i="30"/>
  <c r="GF469" i="30"/>
  <c r="GG469" i="30"/>
  <c r="GH469" i="30"/>
  <c r="GI469" i="30"/>
  <c r="GJ469" i="30"/>
  <c r="GK469" i="30"/>
  <c r="GL469" i="30"/>
  <c r="GM469" i="30"/>
  <c r="GN469" i="30"/>
  <c r="GO469" i="30"/>
  <c r="GP469" i="30"/>
  <c r="GQ469" i="30"/>
  <c r="GR469" i="30"/>
  <c r="GS469" i="30"/>
  <c r="GT469" i="30"/>
  <c r="GU469" i="30"/>
  <c r="GV469" i="30"/>
  <c r="GW469" i="30"/>
  <c r="GX469" i="30"/>
  <c r="GY469" i="30"/>
  <c r="GZ469" i="30"/>
  <c r="HA469" i="30"/>
  <c r="HB469" i="30"/>
  <c r="HC469" i="30"/>
  <c r="HD469" i="30"/>
  <c r="HE469" i="30"/>
  <c r="HF469" i="30"/>
  <c r="HG469" i="30"/>
  <c r="HH469" i="30"/>
  <c r="HI469" i="30"/>
  <c r="HJ469" i="30"/>
  <c r="HK469" i="30"/>
  <c r="HL469" i="30"/>
  <c r="HM469" i="30"/>
  <c r="HN469" i="30"/>
  <c r="HO469" i="30"/>
  <c r="HP469" i="30"/>
  <c r="HQ469" i="30"/>
  <c r="HR469" i="30"/>
  <c r="HS469" i="30"/>
  <c r="HT469" i="30"/>
  <c r="HU469" i="30"/>
  <c r="HV469" i="30"/>
  <c r="HW469" i="30"/>
  <c r="HX469" i="30"/>
  <c r="HY469" i="30"/>
  <c r="HZ469" i="30"/>
  <c r="IA469" i="30"/>
  <c r="IB469" i="30"/>
  <c r="IC469" i="30"/>
  <c r="ID469" i="30"/>
  <c r="IE469" i="30"/>
  <c r="IF469" i="30"/>
  <c r="IG469" i="30"/>
  <c r="IH469" i="30"/>
  <c r="II469" i="30"/>
  <c r="IJ469" i="30"/>
  <c r="IK469" i="30"/>
  <c r="IL469" i="30"/>
  <c r="IM469" i="30"/>
  <c r="IN469" i="30"/>
  <c r="IO469" i="30"/>
  <c r="IP469" i="30"/>
  <c r="IQ469" i="30"/>
  <c r="IR469" i="30"/>
  <c r="IS469" i="30"/>
  <c r="IT469" i="30"/>
  <c r="IU469" i="30"/>
  <c r="IV469" i="30"/>
  <c r="A468" i="30"/>
  <c r="B468" i="30"/>
  <c r="C468" i="30"/>
  <c r="D468" i="30"/>
  <c r="E468" i="30"/>
  <c r="F468" i="30"/>
  <c r="G468" i="30"/>
  <c r="H468" i="30"/>
  <c r="I468" i="30"/>
  <c r="J468" i="30"/>
  <c r="K468" i="30"/>
  <c r="L468" i="30"/>
  <c r="M468" i="30"/>
  <c r="N468" i="30"/>
  <c r="O468" i="30"/>
  <c r="P468" i="30"/>
  <c r="Q468" i="30"/>
  <c r="R468" i="30"/>
  <c r="S468" i="30"/>
  <c r="T468" i="30"/>
  <c r="U468" i="30"/>
  <c r="V468" i="30"/>
  <c r="W468" i="30"/>
  <c r="X468" i="30"/>
  <c r="Y468" i="30"/>
  <c r="Z468" i="30"/>
  <c r="AA468" i="30"/>
  <c r="AB468" i="30"/>
  <c r="AC468" i="30"/>
  <c r="AD468" i="30"/>
  <c r="AE468" i="30"/>
  <c r="AF468" i="30"/>
  <c r="AG468" i="30"/>
  <c r="AH468" i="30"/>
  <c r="AI468" i="30"/>
  <c r="AJ468" i="30"/>
  <c r="AK468" i="30"/>
  <c r="AL468" i="30"/>
  <c r="AM468" i="30"/>
  <c r="AN468" i="30"/>
  <c r="AO468" i="30"/>
  <c r="AP468" i="30"/>
  <c r="AQ468" i="30"/>
  <c r="AR468" i="30"/>
  <c r="AS468" i="30"/>
  <c r="AT468" i="30"/>
  <c r="AU468" i="30"/>
  <c r="AV468" i="30"/>
  <c r="AW468" i="30"/>
  <c r="AX468" i="30"/>
  <c r="AY468" i="30"/>
  <c r="AZ468" i="30"/>
  <c r="BA468" i="30"/>
  <c r="BB468" i="30"/>
  <c r="BC468" i="30"/>
  <c r="BD468" i="30"/>
  <c r="BE468" i="30"/>
  <c r="BF468" i="30"/>
  <c r="BG468" i="30"/>
  <c r="BH468" i="30"/>
  <c r="BI468" i="30"/>
  <c r="BJ468" i="30"/>
  <c r="BK468" i="30"/>
  <c r="BL468" i="30"/>
  <c r="BM468" i="30"/>
  <c r="BN468" i="30"/>
  <c r="BO468" i="30"/>
  <c r="BP468" i="30"/>
  <c r="BQ468" i="30"/>
  <c r="BR468" i="30"/>
  <c r="BS468" i="30"/>
  <c r="BT468" i="30"/>
  <c r="BU468" i="30"/>
  <c r="BV468" i="30"/>
  <c r="BW468" i="30"/>
  <c r="BX468" i="30"/>
  <c r="BY468" i="30"/>
  <c r="BZ468" i="30"/>
  <c r="CA468" i="30"/>
  <c r="CB468" i="30"/>
  <c r="CC468" i="30"/>
  <c r="CD468" i="30"/>
  <c r="CE468" i="30"/>
  <c r="CF468" i="30"/>
  <c r="CG468" i="30"/>
  <c r="CH468" i="30"/>
  <c r="CI468" i="30"/>
  <c r="CJ468" i="30"/>
  <c r="CK468" i="30"/>
  <c r="CL468" i="30"/>
  <c r="CM468" i="30"/>
  <c r="CN468" i="30"/>
  <c r="CO468" i="30"/>
  <c r="CP468" i="30"/>
  <c r="CQ468" i="30"/>
  <c r="CR468" i="30"/>
  <c r="CS468" i="30"/>
  <c r="CT468" i="30"/>
  <c r="CU468" i="30"/>
  <c r="CV468" i="30"/>
  <c r="CW468" i="30"/>
  <c r="CX468" i="30"/>
  <c r="CY468" i="30"/>
  <c r="CZ468" i="30"/>
  <c r="DA468" i="30"/>
  <c r="DB468" i="30"/>
  <c r="DC468" i="30"/>
  <c r="DD468" i="30"/>
  <c r="DE468" i="30"/>
  <c r="DF468" i="30"/>
  <c r="DG468" i="30"/>
  <c r="DH468" i="30"/>
  <c r="DI468" i="30"/>
  <c r="DJ468" i="30"/>
  <c r="DK468" i="30"/>
  <c r="DL468" i="30"/>
  <c r="DM468" i="30"/>
  <c r="DN468" i="30"/>
  <c r="DO468" i="30"/>
  <c r="DP468" i="30"/>
  <c r="DQ468" i="30"/>
  <c r="DR468" i="30"/>
  <c r="DS468" i="30"/>
  <c r="DT468" i="30"/>
  <c r="DU468" i="30"/>
  <c r="DV468" i="30"/>
  <c r="DW468" i="30"/>
  <c r="DX468" i="30"/>
  <c r="DY468" i="30"/>
  <c r="DZ468" i="30"/>
  <c r="EA468" i="30"/>
  <c r="EB468" i="30"/>
  <c r="EC468" i="30"/>
  <c r="ED468" i="30"/>
  <c r="EE468" i="30"/>
  <c r="EF468" i="30"/>
  <c r="EG468" i="30"/>
  <c r="EH468" i="30"/>
  <c r="EI468" i="30"/>
  <c r="EJ468" i="30"/>
  <c r="EK468" i="30"/>
  <c r="EL468" i="30"/>
  <c r="EM468" i="30"/>
  <c r="EN468" i="30"/>
  <c r="EO468" i="30"/>
  <c r="EP468" i="30"/>
  <c r="EQ468" i="30"/>
  <c r="ER468" i="30"/>
  <c r="ES468" i="30"/>
  <c r="ET468" i="30"/>
  <c r="EU468" i="30"/>
  <c r="EV468" i="30"/>
  <c r="EW468" i="30"/>
  <c r="EX468" i="30"/>
  <c r="EY468" i="30"/>
  <c r="EZ468" i="30"/>
  <c r="FA468" i="30"/>
  <c r="FB468" i="30"/>
  <c r="FC468" i="30"/>
  <c r="FD468" i="30"/>
  <c r="FE468" i="30"/>
  <c r="FF468" i="30"/>
  <c r="FG468" i="30"/>
  <c r="FH468" i="30"/>
  <c r="FI468" i="30"/>
  <c r="FJ468" i="30"/>
  <c r="FK468" i="30"/>
  <c r="FL468" i="30"/>
  <c r="FM468" i="30"/>
  <c r="FN468" i="30"/>
  <c r="FO468" i="30"/>
  <c r="FP468" i="30"/>
  <c r="FQ468" i="30"/>
  <c r="FR468" i="30"/>
  <c r="FS468" i="30"/>
  <c r="FT468" i="30"/>
  <c r="FU468" i="30"/>
  <c r="FV468" i="30"/>
  <c r="FW468" i="30"/>
  <c r="FX468" i="30"/>
  <c r="FY468" i="30"/>
  <c r="FZ468" i="30"/>
  <c r="GA468" i="30"/>
  <c r="GB468" i="30"/>
  <c r="GC468" i="30"/>
  <c r="GD468" i="30"/>
  <c r="GE468" i="30"/>
  <c r="GF468" i="30"/>
  <c r="GG468" i="30"/>
  <c r="GH468" i="30"/>
  <c r="GI468" i="30"/>
  <c r="GJ468" i="30"/>
  <c r="GK468" i="30"/>
  <c r="GL468" i="30"/>
  <c r="GM468" i="30"/>
  <c r="GN468" i="30"/>
  <c r="GO468" i="30"/>
  <c r="GP468" i="30"/>
  <c r="GQ468" i="30"/>
  <c r="GR468" i="30"/>
  <c r="GS468" i="30"/>
  <c r="GT468" i="30"/>
  <c r="GU468" i="30"/>
  <c r="GV468" i="30"/>
  <c r="GW468" i="30"/>
  <c r="GX468" i="30"/>
  <c r="GY468" i="30"/>
  <c r="GZ468" i="30"/>
  <c r="HA468" i="30"/>
  <c r="HB468" i="30"/>
  <c r="HC468" i="30"/>
  <c r="HD468" i="30"/>
  <c r="HE468" i="30"/>
  <c r="HF468" i="30"/>
  <c r="HG468" i="30"/>
  <c r="HH468" i="30"/>
  <c r="HI468" i="30"/>
  <c r="HJ468" i="30"/>
  <c r="HK468" i="30"/>
  <c r="HL468" i="30"/>
  <c r="HM468" i="30"/>
  <c r="HN468" i="30"/>
  <c r="HO468" i="30"/>
  <c r="HP468" i="30"/>
  <c r="HQ468" i="30"/>
  <c r="HR468" i="30"/>
  <c r="HS468" i="30"/>
  <c r="HT468" i="30"/>
  <c r="HU468" i="30"/>
  <c r="HV468" i="30"/>
  <c r="HW468" i="30"/>
  <c r="HX468" i="30"/>
  <c r="HY468" i="30"/>
  <c r="HZ468" i="30"/>
  <c r="IA468" i="30"/>
  <c r="IB468" i="30"/>
  <c r="IC468" i="30"/>
  <c r="ID468" i="30"/>
  <c r="IE468" i="30"/>
  <c r="IF468" i="30"/>
  <c r="IG468" i="30"/>
  <c r="IH468" i="30"/>
  <c r="II468" i="30"/>
  <c r="IJ468" i="30"/>
  <c r="IK468" i="30"/>
  <c r="IL468" i="30"/>
  <c r="IM468" i="30"/>
  <c r="IN468" i="30"/>
  <c r="IO468" i="30"/>
  <c r="IP468" i="30"/>
  <c r="IQ468" i="30"/>
  <c r="IR468" i="30"/>
  <c r="IS468" i="30"/>
  <c r="IT468" i="30"/>
  <c r="IU468" i="30"/>
  <c r="IV468" i="30"/>
  <c r="A467" i="30"/>
  <c r="B467" i="30"/>
  <c r="C467" i="30"/>
  <c r="D467" i="30"/>
  <c r="E467" i="30"/>
  <c r="F467" i="30"/>
  <c r="G467" i="30"/>
  <c r="H467" i="30"/>
  <c r="I467" i="30"/>
  <c r="J467" i="30"/>
  <c r="K467" i="30"/>
  <c r="L467" i="30"/>
  <c r="M467" i="30"/>
  <c r="N467" i="30"/>
  <c r="O467" i="30"/>
  <c r="P467" i="30"/>
  <c r="Q467" i="30"/>
  <c r="R467" i="30"/>
  <c r="S467" i="30"/>
  <c r="T467" i="30"/>
  <c r="U467" i="30"/>
  <c r="V467" i="30"/>
  <c r="W467" i="30"/>
  <c r="X467" i="30"/>
  <c r="Y467" i="30"/>
  <c r="Z467" i="30"/>
  <c r="AA467" i="30"/>
  <c r="AB467" i="30"/>
  <c r="AC467" i="30"/>
  <c r="AD467" i="30"/>
  <c r="AE467" i="30"/>
  <c r="AF467" i="30"/>
  <c r="AG467" i="30"/>
  <c r="AH467" i="30"/>
  <c r="AI467" i="30"/>
  <c r="AJ467" i="30"/>
  <c r="AK467" i="30"/>
  <c r="AL467" i="30"/>
  <c r="AM467" i="30"/>
  <c r="AN467" i="30"/>
  <c r="AO467" i="30"/>
  <c r="AP467" i="30"/>
  <c r="AQ467" i="30"/>
  <c r="AR467" i="30"/>
  <c r="AS467" i="30"/>
  <c r="AT467" i="30"/>
  <c r="AU467" i="30"/>
  <c r="AV467" i="30"/>
  <c r="AW467" i="30"/>
  <c r="AX467" i="30"/>
  <c r="AY467" i="30"/>
  <c r="AZ467" i="30"/>
  <c r="BA467" i="30"/>
  <c r="BB467" i="30"/>
  <c r="BC467" i="30"/>
  <c r="BD467" i="30"/>
  <c r="BE467" i="30"/>
  <c r="BF467" i="30"/>
  <c r="BG467" i="30"/>
  <c r="BH467" i="30"/>
  <c r="BI467" i="30"/>
  <c r="BJ467" i="30"/>
  <c r="BK467" i="30"/>
  <c r="BL467" i="30"/>
  <c r="BM467" i="30"/>
  <c r="BN467" i="30"/>
  <c r="BO467" i="30"/>
  <c r="BP467" i="30"/>
  <c r="BQ467" i="30"/>
  <c r="BR467" i="30"/>
  <c r="BS467" i="30"/>
  <c r="BT467" i="30"/>
  <c r="BU467" i="30"/>
  <c r="BV467" i="30"/>
  <c r="BW467" i="30"/>
  <c r="BX467" i="30"/>
  <c r="BY467" i="30"/>
  <c r="BZ467" i="30"/>
  <c r="CA467" i="30"/>
  <c r="CB467" i="30"/>
  <c r="CC467" i="30"/>
  <c r="CD467" i="30"/>
  <c r="CE467" i="30"/>
  <c r="CF467" i="30"/>
  <c r="CG467" i="30"/>
  <c r="CH467" i="30"/>
  <c r="CI467" i="30"/>
  <c r="CJ467" i="30"/>
  <c r="CK467" i="30"/>
  <c r="CL467" i="30"/>
  <c r="CM467" i="30"/>
  <c r="CN467" i="30"/>
  <c r="CO467" i="30"/>
  <c r="CP467" i="30"/>
  <c r="CQ467" i="30"/>
  <c r="CR467" i="30"/>
  <c r="CS467" i="30"/>
  <c r="CT467" i="30"/>
  <c r="CU467" i="30"/>
  <c r="CV467" i="30"/>
  <c r="CW467" i="30"/>
  <c r="CX467" i="30"/>
  <c r="CY467" i="30"/>
  <c r="CZ467" i="30"/>
  <c r="DA467" i="30"/>
  <c r="DB467" i="30"/>
  <c r="DC467" i="30"/>
  <c r="DD467" i="30"/>
  <c r="DE467" i="30"/>
  <c r="DF467" i="30"/>
  <c r="DG467" i="30"/>
  <c r="DH467" i="30"/>
  <c r="DI467" i="30"/>
  <c r="DJ467" i="30"/>
  <c r="DK467" i="30"/>
  <c r="DL467" i="30"/>
  <c r="DM467" i="30"/>
  <c r="DN467" i="30"/>
  <c r="DO467" i="30"/>
  <c r="DP467" i="30"/>
  <c r="DQ467" i="30"/>
  <c r="DR467" i="30"/>
  <c r="DS467" i="30"/>
  <c r="DT467" i="30"/>
  <c r="DU467" i="30"/>
  <c r="DV467" i="30"/>
  <c r="DW467" i="30"/>
  <c r="DX467" i="30"/>
  <c r="DY467" i="30"/>
  <c r="DZ467" i="30"/>
  <c r="EA467" i="30"/>
  <c r="EB467" i="30"/>
  <c r="EC467" i="30"/>
  <c r="ED467" i="30"/>
  <c r="EE467" i="30"/>
  <c r="EF467" i="30"/>
  <c r="EG467" i="30"/>
  <c r="EH467" i="30"/>
  <c r="EI467" i="30"/>
  <c r="EJ467" i="30"/>
  <c r="EK467" i="30"/>
  <c r="EL467" i="30"/>
  <c r="EM467" i="30"/>
  <c r="EN467" i="30"/>
  <c r="EO467" i="30"/>
  <c r="EP467" i="30"/>
  <c r="EQ467" i="30"/>
  <c r="ER467" i="30"/>
  <c r="ES467" i="30"/>
  <c r="ET467" i="30"/>
  <c r="EU467" i="30"/>
  <c r="EV467" i="30"/>
  <c r="EW467" i="30"/>
  <c r="EX467" i="30"/>
  <c r="EY467" i="30"/>
  <c r="EZ467" i="30"/>
  <c r="FA467" i="30"/>
  <c r="FB467" i="30"/>
  <c r="FC467" i="30"/>
  <c r="FD467" i="30"/>
  <c r="FE467" i="30"/>
  <c r="FF467" i="30"/>
  <c r="FG467" i="30"/>
  <c r="FH467" i="30"/>
  <c r="FI467" i="30"/>
  <c r="FJ467" i="30"/>
  <c r="FK467" i="30"/>
  <c r="FL467" i="30"/>
  <c r="FM467" i="30"/>
  <c r="FN467" i="30"/>
  <c r="FO467" i="30"/>
  <c r="FP467" i="30"/>
  <c r="FQ467" i="30"/>
  <c r="FR467" i="30"/>
  <c r="FS467" i="30"/>
  <c r="FT467" i="30"/>
  <c r="FU467" i="30"/>
  <c r="FV467" i="30"/>
  <c r="FW467" i="30"/>
  <c r="FX467" i="30"/>
  <c r="FY467" i="30"/>
  <c r="FZ467" i="30"/>
  <c r="GA467" i="30"/>
  <c r="GB467" i="30"/>
  <c r="GC467" i="30"/>
  <c r="GD467" i="30"/>
  <c r="GE467" i="30"/>
  <c r="GF467" i="30"/>
  <c r="GG467" i="30"/>
  <c r="GH467" i="30"/>
  <c r="GI467" i="30"/>
  <c r="GJ467" i="30"/>
  <c r="GK467" i="30"/>
  <c r="GL467" i="30"/>
  <c r="GM467" i="30"/>
  <c r="GN467" i="30"/>
  <c r="GO467" i="30"/>
  <c r="GP467" i="30"/>
  <c r="GQ467" i="30"/>
  <c r="GR467" i="30"/>
  <c r="GS467" i="30"/>
  <c r="GT467" i="30"/>
  <c r="GU467" i="30"/>
  <c r="GV467" i="30"/>
  <c r="GW467" i="30"/>
  <c r="GX467" i="30"/>
  <c r="GY467" i="30"/>
  <c r="GZ467" i="30"/>
  <c r="HA467" i="30"/>
  <c r="HB467" i="30"/>
  <c r="HC467" i="30"/>
  <c r="HD467" i="30"/>
  <c r="HE467" i="30"/>
  <c r="HF467" i="30"/>
  <c r="HG467" i="30"/>
  <c r="HH467" i="30"/>
  <c r="HI467" i="30"/>
  <c r="HJ467" i="30"/>
  <c r="HK467" i="30"/>
  <c r="HL467" i="30"/>
  <c r="HM467" i="30"/>
  <c r="HN467" i="30"/>
  <c r="HO467" i="30"/>
  <c r="HP467" i="30"/>
  <c r="HQ467" i="30"/>
  <c r="HR467" i="30"/>
  <c r="HS467" i="30"/>
  <c r="HT467" i="30"/>
  <c r="HU467" i="30"/>
  <c r="HV467" i="30"/>
  <c r="HW467" i="30"/>
  <c r="HX467" i="30"/>
  <c r="HY467" i="30"/>
  <c r="HZ467" i="30"/>
  <c r="IA467" i="30"/>
  <c r="IB467" i="30"/>
  <c r="IC467" i="30"/>
  <c r="ID467" i="30"/>
  <c r="IE467" i="30"/>
  <c r="IF467" i="30"/>
  <c r="IG467" i="30"/>
  <c r="IH467" i="30"/>
  <c r="II467" i="30"/>
  <c r="IJ467" i="30"/>
  <c r="IK467" i="30"/>
  <c r="IL467" i="30"/>
  <c r="IM467" i="30"/>
  <c r="IN467" i="30"/>
  <c r="IO467" i="30"/>
  <c r="IP467" i="30"/>
  <c r="IQ467" i="30"/>
  <c r="IR467" i="30"/>
  <c r="IS467" i="30"/>
  <c r="IT467" i="30"/>
  <c r="IU467" i="30"/>
  <c r="IV467" i="30"/>
  <c r="A466" i="30"/>
  <c r="B466" i="30"/>
  <c r="C466" i="30"/>
  <c r="D466" i="30"/>
  <c r="E466" i="30"/>
  <c r="F466" i="30"/>
  <c r="G466" i="30"/>
  <c r="H466" i="30"/>
  <c r="I466" i="30"/>
  <c r="J466" i="30"/>
  <c r="K466" i="30"/>
  <c r="L466" i="30"/>
  <c r="M466" i="30"/>
  <c r="N466" i="30"/>
  <c r="O466" i="30"/>
  <c r="P466" i="30"/>
  <c r="Q466" i="30"/>
  <c r="R466" i="30"/>
  <c r="S466" i="30"/>
  <c r="T466" i="30"/>
  <c r="U466" i="30"/>
  <c r="V466" i="30"/>
  <c r="W466" i="30"/>
  <c r="X466" i="30"/>
  <c r="Y466" i="30"/>
  <c r="Z466" i="30"/>
  <c r="AA466" i="30"/>
  <c r="AB466" i="30"/>
  <c r="AC466" i="30"/>
  <c r="AD466" i="30"/>
  <c r="AE466" i="30"/>
  <c r="AF466" i="30"/>
  <c r="AG466" i="30"/>
  <c r="AH466" i="30"/>
  <c r="AI466" i="30"/>
  <c r="AJ466" i="30"/>
  <c r="AK466" i="30"/>
  <c r="AL466" i="30"/>
  <c r="AM466" i="30"/>
  <c r="AN466" i="30"/>
  <c r="AO466" i="30"/>
  <c r="AP466" i="30"/>
  <c r="AQ466" i="30"/>
  <c r="AR466" i="30"/>
  <c r="AS466" i="30"/>
  <c r="AT466" i="30"/>
  <c r="AU466" i="30"/>
  <c r="AV466" i="30"/>
  <c r="AW466" i="30"/>
  <c r="AX466" i="30"/>
  <c r="AY466" i="30"/>
  <c r="AZ466" i="30"/>
  <c r="BA466" i="30"/>
  <c r="BB466" i="30"/>
  <c r="BC466" i="30"/>
  <c r="BD466" i="30"/>
  <c r="BE466" i="30"/>
  <c r="BF466" i="30"/>
  <c r="BG466" i="30"/>
  <c r="BH466" i="30"/>
  <c r="BI466" i="30"/>
  <c r="BJ466" i="30"/>
  <c r="BK466" i="30"/>
  <c r="BL466" i="30"/>
  <c r="BM466" i="30"/>
  <c r="BN466" i="30"/>
  <c r="BO466" i="30"/>
  <c r="BP466" i="30"/>
  <c r="BQ466" i="30"/>
  <c r="BR466" i="30"/>
  <c r="BS466" i="30"/>
  <c r="BT466" i="30"/>
  <c r="BU466" i="30"/>
  <c r="BV466" i="30"/>
  <c r="BW466" i="30"/>
  <c r="BX466" i="30"/>
  <c r="BY466" i="30"/>
  <c r="BZ466" i="30"/>
  <c r="CA466" i="30"/>
  <c r="CB466" i="30"/>
  <c r="CC466" i="30"/>
  <c r="CD466" i="30"/>
  <c r="CE466" i="30"/>
  <c r="CF466" i="30"/>
  <c r="CG466" i="30"/>
  <c r="CH466" i="30"/>
  <c r="CI466" i="30"/>
  <c r="CJ466" i="30"/>
  <c r="CK466" i="30"/>
  <c r="CL466" i="30"/>
  <c r="CM466" i="30"/>
  <c r="CN466" i="30"/>
  <c r="CO466" i="30"/>
  <c r="CP466" i="30"/>
  <c r="CQ466" i="30"/>
  <c r="CR466" i="30"/>
  <c r="CS466" i="30"/>
  <c r="CT466" i="30"/>
  <c r="CU466" i="30"/>
  <c r="CV466" i="30"/>
  <c r="CW466" i="30"/>
  <c r="CX466" i="30"/>
  <c r="CY466" i="30"/>
  <c r="CZ466" i="30"/>
  <c r="DA466" i="30"/>
  <c r="DB466" i="30"/>
  <c r="DC466" i="30"/>
  <c r="DD466" i="30"/>
  <c r="DE466" i="30"/>
  <c r="DF466" i="30"/>
  <c r="DG466" i="30"/>
  <c r="DH466" i="30"/>
  <c r="DI466" i="30"/>
  <c r="DJ466" i="30"/>
  <c r="DK466" i="30"/>
  <c r="DL466" i="30"/>
  <c r="DM466" i="30"/>
  <c r="DN466" i="30"/>
  <c r="DO466" i="30"/>
  <c r="DP466" i="30"/>
  <c r="DQ466" i="30"/>
  <c r="DR466" i="30"/>
  <c r="DS466" i="30"/>
  <c r="DT466" i="30"/>
  <c r="DU466" i="30"/>
  <c r="DV466" i="30"/>
  <c r="DW466" i="30"/>
  <c r="DX466" i="30"/>
  <c r="DY466" i="30"/>
  <c r="DZ466" i="30"/>
  <c r="EA466" i="30"/>
  <c r="EB466" i="30"/>
  <c r="EC466" i="30"/>
  <c r="ED466" i="30"/>
  <c r="EE466" i="30"/>
  <c r="EF466" i="30"/>
  <c r="EG466" i="30"/>
  <c r="EH466" i="30"/>
  <c r="EI466" i="30"/>
  <c r="EJ466" i="30"/>
  <c r="EK466" i="30"/>
  <c r="EL466" i="30"/>
  <c r="EM466" i="30"/>
  <c r="EN466" i="30"/>
  <c r="EO466" i="30"/>
  <c r="EP466" i="30"/>
  <c r="EQ466" i="30"/>
  <c r="ER466" i="30"/>
  <c r="ES466" i="30"/>
  <c r="ET466" i="30"/>
  <c r="EU466" i="30"/>
  <c r="EV466" i="30"/>
  <c r="EW466" i="30"/>
  <c r="EX466" i="30"/>
  <c r="EY466" i="30"/>
  <c r="EZ466" i="30"/>
  <c r="FA466" i="30"/>
  <c r="FB466" i="30"/>
  <c r="FC466" i="30"/>
  <c r="FD466" i="30"/>
  <c r="FE466" i="30"/>
  <c r="FF466" i="30"/>
  <c r="FG466" i="30"/>
  <c r="FH466" i="30"/>
  <c r="FI466" i="30"/>
  <c r="FJ466" i="30"/>
  <c r="FK466" i="30"/>
  <c r="FL466" i="30"/>
  <c r="FM466" i="30"/>
  <c r="FN466" i="30"/>
  <c r="FO466" i="30"/>
  <c r="FP466" i="30"/>
  <c r="FQ466" i="30"/>
  <c r="FR466" i="30"/>
  <c r="FS466" i="30"/>
  <c r="FT466" i="30"/>
  <c r="FU466" i="30"/>
  <c r="FV466" i="30"/>
  <c r="FW466" i="30"/>
  <c r="FX466" i="30"/>
  <c r="FY466" i="30"/>
  <c r="FZ466" i="30"/>
  <c r="GA466" i="30"/>
  <c r="GB466" i="30"/>
  <c r="GC466" i="30"/>
  <c r="GD466" i="30"/>
  <c r="GE466" i="30"/>
  <c r="GF466" i="30"/>
  <c r="GG466" i="30"/>
  <c r="GH466" i="30"/>
  <c r="GI466" i="30"/>
  <c r="GJ466" i="30"/>
  <c r="GK466" i="30"/>
  <c r="GL466" i="30"/>
  <c r="GM466" i="30"/>
  <c r="GN466" i="30"/>
  <c r="GO466" i="30"/>
  <c r="GP466" i="30"/>
  <c r="GQ466" i="30"/>
  <c r="GR466" i="30"/>
  <c r="GS466" i="30"/>
  <c r="GT466" i="30"/>
  <c r="GU466" i="30"/>
  <c r="GV466" i="30"/>
  <c r="GW466" i="30"/>
  <c r="GX466" i="30"/>
  <c r="GY466" i="30"/>
  <c r="GZ466" i="30"/>
  <c r="HA466" i="30"/>
  <c r="HB466" i="30"/>
  <c r="HC466" i="30"/>
  <c r="HD466" i="30"/>
  <c r="HE466" i="30"/>
  <c r="HF466" i="30"/>
  <c r="HG466" i="30"/>
  <c r="HH466" i="30"/>
  <c r="HI466" i="30"/>
  <c r="HJ466" i="30"/>
  <c r="HK466" i="30"/>
  <c r="HL466" i="30"/>
  <c r="HM466" i="30"/>
  <c r="HN466" i="30"/>
  <c r="HO466" i="30"/>
  <c r="HP466" i="30"/>
  <c r="HQ466" i="30"/>
  <c r="HR466" i="30"/>
  <c r="HS466" i="30"/>
  <c r="HT466" i="30"/>
  <c r="HU466" i="30"/>
  <c r="HV466" i="30"/>
  <c r="HW466" i="30"/>
  <c r="HX466" i="30"/>
  <c r="HY466" i="30"/>
  <c r="HZ466" i="30"/>
  <c r="IA466" i="30"/>
  <c r="IB466" i="30"/>
  <c r="IC466" i="30"/>
  <c r="ID466" i="30"/>
  <c r="IE466" i="30"/>
  <c r="IF466" i="30"/>
  <c r="IG466" i="30"/>
  <c r="IH466" i="30"/>
  <c r="II466" i="30"/>
  <c r="IJ466" i="30"/>
  <c r="IK466" i="30"/>
  <c r="IL466" i="30"/>
  <c r="IM466" i="30"/>
  <c r="IN466" i="30"/>
  <c r="IO466" i="30"/>
  <c r="IP466" i="30"/>
  <c r="IQ466" i="30"/>
  <c r="IR466" i="30"/>
  <c r="IS466" i="30"/>
  <c r="IT466" i="30"/>
  <c r="IU466" i="30"/>
  <c r="IV466" i="30"/>
  <c r="A465" i="30"/>
  <c r="B465" i="30"/>
  <c r="C465" i="30"/>
  <c r="D465" i="30"/>
  <c r="E465" i="30"/>
  <c r="F465" i="30"/>
  <c r="G465" i="30"/>
  <c r="H465" i="30"/>
  <c r="I465" i="30"/>
  <c r="J465" i="30"/>
  <c r="K465" i="30"/>
  <c r="L465" i="30"/>
  <c r="M465" i="30"/>
  <c r="N465" i="30"/>
  <c r="O465" i="30"/>
  <c r="P465" i="30"/>
  <c r="Q465" i="30"/>
  <c r="R465" i="30"/>
  <c r="S465" i="30"/>
  <c r="T465" i="30"/>
  <c r="U465" i="30"/>
  <c r="V465" i="30"/>
  <c r="W465" i="30"/>
  <c r="X465" i="30"/>
  <c r="Y465" i="30"/>
  <c r="Z465" i="30"/>
  <c r="AA465" i="30"/>
  <c r="AB465" i="30"/>
  <c r="AC465" i="30"/>
  <c r="AD465" i="30"/>
  <c r="AE465" i="30"/>
  <c r="AF465" i="30"/>
  <c r="AG465" i="30"/>
  <c r="AH465" i="30"/>
  <c r="AI465" i="30"/>
  <c r="AJ465" i="30"/>
  <c r="AK465" i="30"/>
  <c r="AL465" i="30"/>
  <c r="AM465" i="30"/>
  <c r="AN465" i="30"/>
  <c r="AO465" i="30"/>
  <c r="AP465" i="30"/>
  <c r="AQ465" i="30"/>
  <c r="AR465" i="30"/>
  <c r="AS465" i="30"/>
  <c r="AT465" i="30"/>
  <c r="AU465" i="30"/>
  <c r="AV465" i="30"/>
  <c r="AW465" i="30"/>
  <c r="AX465" i="30"/>
  <c r="AY465" i="30"/>
  <c r="AZ465" i="30"/>
  <c r="BA465" i="30"/>
  <c r="BB465" i="30"/>
  <c r="BC465" i="30"/>
  <c r="BD465" i="30"/>
  <c r="BE465" i="30"/>
  <c r="BF465" i="30"/>
  <c r="BG465" i="30"/>
  <c r="BH465" i="30"/>
  <c r="BI465" i="30"/>
  <c r="BJ465" i="30"/>
  <c r="BK465" i="30"/>
  <c r="BL465" i="30"/>
  <c r="BM465" i="30"/>
  <c r="BN465" i="30"/>
  <c r="BO465" i="30"/>
  <c r="BP465" i="30"/>
  <c r="BQ465" i="30"/>
  <c r="BR465" i="30"/>
  <c r="BS465" i="30"/>
  <c r="BT465" i="30"/>
  <c r="BU465" i="30"/>
  <c r="BV465" i="30"/>
  <c r="BW465" i="30"/>
  <c r="BX465" i="30"/>
  <c r="BY465" i="30"/>
  <c r="BZ465" i="30"/>
  <c r="CA465" i="30"/>
  <c r="CB465" i="30"/>
  <c r="CC465" i="30"/>
  <c r="CD465" i="30"/>
  <c r="CE465" i="30"/>
  <c r="CF465" i="30"/>
  <c r="CG465" i="30"/>
  <c r="CH465" i="30"/>
  <c r="CI465" i="30"/>
  <c r="CJ465" i="30"/>
  <c r="CK465" i="30"/>
  <c r="CL465" i="30"/>
  <c r="CM465" i="30"/>
  <c r="CN465" i="30"/>
  <c r="CO465" i="30"/>
  <c r="CP465" i="30"/>
  <c r="CQ465" i="30"/>
  <c r="CR465" i="30"/>
  <c r="CS465" i="30"/>
  <c r="CT465" i="30"/>
  <c r="CU465" i="30"/>
  <c r="CV465" i="30"/>
  <c r="CW465" i="30"/>
  <c r="CX465" i="30"/>
  <c r="CY465" i="30"/>
  <c r="CZ465" i="30"/>
  <c r="DA465" i="30"/>
  <c r="DB465" i="30"/>
  <c r="DC465" i="30"/>
  <c r="DD465" i="30"/>
  <c r="DE465" i="30"/>
  <c r="DF465" i="30"/>
  <c r="DG465" i="30"/>
  <c r="DH465" i="30"/>
  <c r="DI465" i="30"/>
  <c r="DJ465" i="30"/>
  <c r="DK465" i="30"/>
  <c r="DL465" i="30"/>
  <c r="DM465" i="30"/>
  <c r="DN465" i="30"/>
  <c r="DO465" i="30"/>
  <c r="DP465" i="30"/>
  <c r="DQ465" i="30"/>
  <c r="DR465" i="30"/>
  <c r="DS465" i="30"/>
  <c r="DT465" i="30"/>
  <c r="DU465" i="30"/>
  <c r="DV465" i="30"/>
  <c r="DW465" i="30"/>
  <c r="DX465" i="30"/>
  <c r="DY465" i="30"/>
  <c r="DZ465" i="30"/>
  <c r="EA465" i="30"/>
  <c r="EB465" i="30"/>
  <c r="EC465" i="30"/>
  <c r="ED465" i="30"/>
  <c r="EE465" i="30"/>
  <c r="EF465" i="30"/>
  <c r="EG465" i="30"/>
  <c r="EH465" i="30"/>
  <c r="EI465" i="30"/>
  <c r="EJ465" i="30"/>
  <c r="EK465" i="30"/>
  <c r="EL465" i="30"/>
  <c r="EM465" i="30"/>
  <c r="EN465" i="30"/>
  <c r="EO465" i="30"/>
  <c r="EP465" i="30"/>
  <c r="EQ465" i="30"/>
  <c r="ER465" i="30"/>
  <c r="ES465" i="30"/>
  <c r="ET465" i="30"/>
  <c r="EU465" i="30"/>
  <c r="EV465" i="30"/>
  <c r="EW465" i="30"/>
  <c r="EX465" i="30"/>
  <c r="EY465" i="30"/>
  <c r="EZ465" i="30"/>
  <c r="FA465" i="30"/>
  <c r="FB465" i="30"/>
  <c r="FC465" i="30"/>
  <c r="FD465" i="30"/>
  <c r="FE465" i="30"/>
  <c r="FF465" i="30"/>
  <c r="FG465" i="30"/>
  <c r="FH465" i="30"/>
  <c r="FI465" i="30"/>
  <c r="FJ465" i="30"/>
  <c r="FK465" i="30"/>
  <c r="FL465" i="30"/>
  <c r="FM465" i="30"/>
  <c r="FN465" i="30"/>
  <c r="FO465" i="30"/>
  <c r="FP465" i="30"/>
  <c r="FQ465" i="30"/>
  <c r="FR465" i="30"/>
  <c r="FS465" i="30"/>
  <c r="FT465" i="30"/>
  <c r="FU465" i="30"/>
  <c r="FV465" i="30"/>
  <c r="FW465" i="30"/>
  <c r="FX465" i="30"/>
  <c r="FY465" i="30"/>
  <c r="FZ465" i="30"/>
  <c r="GA465" i="30"/>
  <c r="GB465" i="30"/>
  <c r="GC465" i="30"/>
  <c r="GD465" i="30"/>
  <c r="GE465" i="30"/>
  <c r="GF465" i="30"/>
  <c r="GG465" i="30"/>
  <c r="GH465" i="30"/>
  <c r="GI465" i="30"/>
  <c r="GJ465" i="30"/>
  <c r="GK465" i="30"/>
  <c r="GL465" i="30"/>
  <c r="GM465" i="30"/>
  <c r="GN465" i="30"/>
  <c r="GO465" i="30"/>
  <c r="GP465" i="30"/>
  <c r="GQ465" i="30"/>
  <c r="GR465" i="30"/>
  <c r="GS465" i="30"/>
  <c r="GT465" i="30"/>
  <c r="GU465" i="30"/>
  <c r="GV465" i="30"/>
  <c r="GW465" i="30"/>
  <c r="GX465" i="30"/>
  <c r="GY465" i="30"/>
  <c r="GZ465" i="30"/>
  <c r="HA465" i="30"/>
  <c r="HB465" i="30"/>
  <c r="HC465" i="30"/>
  <c r="HD465" i="30"/>
  <c r="HE465" i="30"/>
  <c r="HF465" i="30"/>
  <c r="HG465" i="30"/>
  <c r="HH465" i="30"/>
  <c r="HI465" i="30"/>
  <c r="HJ465" i="30"/>
  <c r="HK465" i="30"/>
  <c r="HL465" i="30"/>
  <c r="HM465" i="30"/>
  <c r="HN465" i="30"/>
  <c r="HO465" i="30"/>
  <c r="HP465" i="30"/>
  <c r="HQ465" i="30"/>
  <c r="HR465" i="30"/>
  <c r="HS465" i="30"/>
  <c r="HT465" i="30"/>
  <c r="HU465" i="30"/>
  <c r="HV465" i="30"/>
  <c r="HW465" i="30"/>
  <c r="HX465" i="30"/>
  <c r="HY465" i="30"/>
  <c r="HZ465" i="30"/>
  <c r="IA465" i="30"/>
  <c r="IB465" i="30"/>
  <c r="IC465" i="30"/>
  <c r="ID465" i="30"/>
  <c r="IE465" i="30"/>
  <c r="IF465" i="30"/>
  <c r="IG465" i="30"/>
  <c r="IH465" i="30"/>
  <c r="II465" i="30"/>
  <c r="IJ465" i="30"/>
  <c r="IK465" i="30"/>
  <c r="IL465" i="30"/>
  <c r="IM465" i="30"/>
  <c r="IN465" i="30"/>
  <c r="IO465" i="30"/>
  <c r="IP465" i="30"/>
  <c r="IQ465" i="30"/>
  <c r="IR465" i="30"/>
  <c r="IS465" i="30"/>
  <c r="IT465" i="30"/>
  <c r="IU465" i="30"/>
  <c r="IV465" i="30"/>
  <c r="A464" i="30"/>
  <c r="B464" i="30"/>
  <c r="C464" i="30"/>
  <c r="D464" i="30"/>
  <c r="E464" i="30"/>
  <c r="F464" i="30"/>
  <c r="G464" i="30"/>
  <c r="H464" i="30"/>
  <c r="I464" i="30"/>
  <c r="J464" i="30"/>
  <c r="K464" i="30"/>
  <c r="L464" i="30"/>
  <c r="M464" i="30"/>
  <c r="N464" i="30"/>
  <c r="O464" i="30"/>
  <c r="P464" i="30"/>
  <c r="Q464" i="30"/>
  <c r="R464" i="30"/>
  <c r="S464" i="30"/>
  <c r="T464" i="30"/>
  <c r="U464" i="30"/>
  <c r="V464" i="30"/>
  <c r="W464" i="30"/>
  <c r="X464" i="30"/>
  <c r="Y464" i="30"/>
  <c r="Z464" i="30"/>
  <c r="AA464" i="30"/>
  <c r="AB464" i="30"/>
  <c r="AC464" i="30"/>
  <c r="AD464" i="30"/>
  <c r="AE464" i="30"/>
  <c r="AF464" i="30"/>
  <c r="AG464" i="30"/>
  <c r="AH464" i="30"/>
  <c r="AI464" i="30"/>
  <c r="AJ464" i="30"/>
  <c r="AK464" i="30"/>
  <c r="AL464" i="30"/>
  <c r="AM464" i="30"/>
  <c r="AN464" i="30"/>
  <c r="AO464" i="30"/>
  <c r="AP464" i="30"/>
  <c r="AQ464" i="30"/>
  <c r="AR464" i="30"/>
  <c r="AS464" i="30"/>
  <c r="AT464" i="30"/>
  <c r="AU464" i="30"/>
  <c r="AV464" i="30"/>
  <c r="AW464" i="30"/>
  <c r="AX464" i="30"/>
  <c r="AY464" i="30"/>
  <c r="AZ464" i="30"/>
  <c r="BA464" i="30"/>
  <c r="BB464" i="30"/>
  <c r="BC464" i="30"/>
  <c r="BD464" i="30"/>
  <c r="BE464" i="30"/>
  <c r="BF464" i="30"/>
  <c r="BG464" i="30"/>
  <c r="BH464" i="30"/>
  <c r="BI464" i="30"/>
  <c r="BJ464" i="30"/>
  <c r="BK464" i="30"/>
  <c r="BL464" i="30"/>
  <c r="BM464" i="30"/>
  <c r="BN464" i="30"/>
  <c r="BO464" i="30"/>
  <c r="BP464" i="30"/>
  <c r="BQ464" i="30"/>
  <c r="BR464" i="30"/>
  <c r="BS464" i="30"/>
  <c r="BT464" i="30"/>
  <c r="BU464" i="30"/>
  <c r="BV464" i="30"/>
  <c r="BW464" i="30"/>
  <c r="BX464" i="30"/>
  <c r="BY464" i="30"/>
  <c r="BZ464" i="30"/>
  <c r="CA464" i="30"/>
  <c r="CB464" i="30"/>
  <c r="CC464" i="30"/>
  <c r="CD464" i="30"/>
  <c r="CE464" i="30"/>
  <c r="CF464" i="30"/>
  <c r="CG464" i="30"/>
  <c r="CH464" i="30"/>
  <c r="CI464" i="30"/>
  <c r="CJ464" i="30"/>
  <c r="CK464" i="30"/>
  <c r="CL464" i="30"/>
  <c r="CM464" i="30"/>
  <c r="CN464" i="30"/>
  <c r="CO464" i="30"/>
  <c r="CP464" i="30"/>
  <c r="CQ464" i="30"/>
  <c r="CR464" i="30"/>
  <c r="CS464" i="30"/>
  <c r="CT464" i="30"/>
  <c r="CU464" i="30"/>
  <c r="CV464" i="30"/>
  <c r="CW464" i="30"/>
  <c r="CX464" i="30"/>
  <c r="CY464" i="30"/>
  <c r="CZ464" i="30"/>
  <c r="DA464" i="30"/>
  <c r="DB464" i="30"/>
  <c r="DC464" i="30"/>
  <c r="DD464" i="30"/>
  <c r="DE464" i="30"/>
  <c r="DF464" i="30"/>
  <c r="DG464" i="30"/>
  <c r="DH464" i="30"/>
  <c r="DI464" i="30"/>
  <c r="DJ464" i="30"/>
  <c r="DK464" i="30"/>
  <c r="DL464" i="30"/>
  <c r="DM464" i="30"/>
  <c r="DN464" i="30"/>
  <c r="DO464" i="30"/>
  <c r="DP464" i="30"/>
  <c r="DQ464" i="30"/>
  <c r="DR464" i="30"/>
  <c r="DS464" i="30"/>
  <c r="DT464" i="30"/>
  <c r="DU464" i="30"/>
  <c r="DV464" i="30"/>
  <c r="DW464" i="30"/>
  <c r="DX464" i="30"/>
  <c r="DY464" i="30"/>
  <c r="DZ464" i="30"/>
  <c r="EA464" i="30"/>
  <c r="EB464" i="30"/>
  <c r="EC464" i="30"/>
  <c r="ED464" i="30"/>
  <c r="EE464" i="30"/>
  <c r="EF464" i="30"/>
  <c r="EG464" i="30"/>
  <c r="EH464" i="30"/>
  <c r="EI464" i="30"/>
  <c r="EJ464" i="30"/>
  <c r="EK464" i="30"/>
  <c r="EL464" i="30"/>
  <c r="EM464" i="30"/>
  <c r="EN464" i="30"/>
  <c r="EO464" i="30"/>
  <c r="EP464" i="30"/>
  <c r="EQ464" i="30"/>
  <c r="ER464" i="30"/>
  <c r="ES464" i="30"/>
  <c r="ET464" i="30"/>
  <c r="EU464" i="30"/>
  <c r="EV464" i="30"/>
  <c r="EW464" i="30"/>
  <c r="EX464" i="30"/>
  <c r="EY464" i="30"/>
  <c r="EZ464" i="30"/>
  <c r="FA464" i="30"/>
  <c r="FB464" i="30"/>
  <c r="FC464" i="30"/>
  <c r="FD464" i="30"/>
  <c r="FE464" i="30"/>
  <c r="FF464" i="30"/>
  <c r="FG464" i="30"/>
  <c r="FH464" i="30"/>
  <c r="FI464" i="30"/>
  <c r="FJ464" i="30"/>
  <c r="FK464" i="30"/>
  <c r="FL464" i="30"/>
  <c r="FM464" i="30"/>
  <c r="FN464" i="30"/>
  <c r="FO464" i="30"/>
  <c r="FP464" i="30"/>
  <c r="FQ464" i="30"/>
  <c r="FR464" i="30"/>
  <c r="FS464" i="30"/>
  <c r="FT464" i="30"/>
  <c r="FU464" i="30"/>
  <c r="FV464" i="30"/>
  <c r="FW464" i="30"/>
  <c r="FX464" i="30"/>
  <c r="FY464" i="30"/>
  <c r="FZ464" i="30"/>
  <c r="GA464" i="30"/>
  <c r="GB464" i="30"/>
  <c r="GC464" i="30"/>
  <c r="GD464" i="30"/>
  <c r="GE464" i="30"/>
  <c r="GF464" i="30"/>
  <c r="GG464" i="30"/>
  <c r="GH464" i="30"/>
  <c r="GI464" i="30"/>
  <c r="GJ464" i="30"/>
  <c r="GK464" i="30"/>
  <c r="GL464" i="30"/>
  <c r="GM464" i="30"/>
  <c r="GN464" i="30"/>
  <c r="GO464" i="30"/>
  <c r="GP464" i="30"/>
  <c r="GQ464" i="30"/>
  <c r="GR464" i="30"/>
  <c r="GS464" i="30"/>
  <c r="GT464" i="30"/>
  <c r="GU464" i="30"/>
  <c r="GV464" i="30"/>
  <c r="GW464" i="30"/>
  <c r="GX464" i="30"/>
  <c r="GY464" i="30"/>
  <c r="GZ464" i="30"/>
  <c r="HA464" i="30"/>
  <c r="HB464" i="30"/>
  <c r="HC464" i="30"/>
  <c r="HD464" i="30"/>
  <c r="HE464" i="30"/>
  <c r="HF464" i="30"/>
  <c r="HG464" i="30"/>
  <c r="HH464" i="30"/>
  <c r="HI464" i="30"/>
  <c r="HJ464" i="30"/>
  <c r="HK464" i="30"/>
  <c r="HL464" i="30"/>
  <c r="HM464" i="30"/>
  <c r="HN464" i="30"/>
  <c r="HO464" i="30"/>
  <c r="HP464" i="30"/>
  <c r="HQ464" i="30"/>
  <c r="HR464" i="30"/>
  <c r="HS464" i="30"/>
  <c r="HT464" i="30"/>
  <c r="HU464" i="30"/>
  <c r="HV464" i="30"/>
  <c r="HW464" i="30"/>
  <c r="HX464" i="30"/>
  <c r="HY464" i="30"/>
  <c r="HZ464" i="30"/>
  <c r="IA464" i="30"/>
  <c r="IB464" i="30"/>
  <c r="IC464" i="30"/>
  <c r="ID464" i="30"/>
  <c r="IE464" i="30"/>
  <c r="IF464" i="30"/>
  <c r="IG464" i="30"/>
  <c r="IH464" i="30"/>
  <c r="II464" i="30"/>
  <c r="IJ464" i="30"/>
  <c r="IK464" i="30"/>
  <c r="IL464" i="30"/>
  <c r="IM464" i="30"/>
  <c r="IN464" i="30"/>
  <c r="IO464" i="30"/>
  <c r="IP464" i="30"/>
  <c r="IQ464" i="30"/>
  <c r="IR464" i="30"/>
  <c r="IS464" i="30"/>
  <c r="IT464" i="30"/>
  <c r="IU464" i="30"/>
  <c r="IV464" i="30"/>
  <c r="A463" i="30"/>
  <c r="B463" i="30"/>
  <c r="C463" i="30"/>
  <c r="D463" i="30"/>
  <c r="E463" i="30"/>
  <c r="F463" i="30"/>
  <c r="G463" i="30"/>
  <c r="H463" i="30"/>
  <c r="I463" i="30"/>
  <c r="J463" i="30"/>
  <c r="K463" i="30"/>
  <c r="L463" i="30"/>
  <c r="M463" i="30"/>
  <c r="N463" i="30"/>
  <c r="O463" i="30"/>
  <c r="P463" i="30"/>
  <c r="Q463" i="30"/>
  <c r="R463" i="30"/>
  <c r="S463" i="30"/>
  <c r="T463" i="30"/>
  <c r="U463" i="30"/>
  <c r="V463" i="30"/>
  <c r="W463" i="30"/>
  <c r="X463" i="30"/>
  <c r="Y463" i="30"/>
  <c r="Z463" i="30"/>
  <c r="AA463" i="30"/>
  <c r="AB463" i="30"/>
  <c r="AC463" i="30"/>
  <c r="AD463" i="30"/>
  <c r="AE463" i="30"/>
  <c r="AF463" i="30"/>
  <c r="AG463" i="30"/>
  <c r="AH463" i="30"/>
  <c r="AI463" i="30"/>
  <c r="AJ463" i="30"/>
  <c r="AK463" i="30"/>
  <c r="AL463" i="30"/>
  <c r="AM463" i="30"/>
  <c r="AN463" i="30"/>
  <c r="AO463" i="30"/>
  <c r="AP463" i="30"/>
  <c r="AQ463" i="30"/>
  <c r="AR463" i="30"/>
  <c r="AS463" i="30"/>
  <c r="AT463" i="30"/>
  <c r="AU463" i="30"/>
  <c r="AV463" i="30"/>
  <c r="AW463" i="30"/>
  <c r="AX463" i="30"/>
  <c r="AY463" i="30"/>
  <c r="AZ463" i="30"/>
  <c r="BA463" i="30"/>
  <c r="BB463" i="30"/>
  <c r="BC463" i="30"/>
  <c r="BD463" i="30"/>
  <c r="BE463" i="30"/>
  <c r="BF463" i="30"/>
  <c r="BG463" i="30"/>
  <c r="BH463" i="30"/>
  <c r="BI463" i="30"/>
  <c r="BJ463" i="30"/>
  <c r="BK463" i="30"/>
  <c r="BL463" i="30"/>
  <c r="BM463" i="30"/>
  <c r="BN463" i="30"/>
  <c r="BO463" i="30"/>
  <c r="BP463" i="30"/>
  <c r="BQ463" i="30"/>
  <c r="BR463" i="30"/>
  <c r="BS463" i="30"/>
  <c r="BT463" i="30"/>
  <c r="BU463" i="30"/>
  <c r="BV463" i="30"/>
  <c r="BW463" i="30"/>
  <c r="BX463" i="30"/>
  <c r="BY463" i="30"/>
  <c r="BZ463" i="30"/>
  <c r="CA463" i="30"/>
  <c r="CB463" i="30"/>
  <c r="CC463" i="30"/>
  <c r="CD463" i="30"/>
  <c r="CE463" i="30"/>
  <c r="CF463" i="30"/>
  <c r="CG463" i="30"/>
  <c r="CH463" i="30"/>
  <c r="CI463" i="30"/>
  <c r="CJ463" i="30"/>
  <c r="CK463" i="30"/>
  <c r="CL463" i="30"/>
  <c r="CM463" i="30"/>
  <c r="CN463" i="30"/>
  <c r="CO463" i="30"/>
  <c r="CP463" i="30"/>
  <c r="CQ463" i="30"/>
  <c r="CR463" i="30"/>
  <c r="CS463" i="30"/>
  <c r="CT463" i="30"/>
  <c r="CU463" i="30"/>
  <c r="CV463" i="30"/>
  <c r="CW463" i="30"/>
  <c r="CX463" i="30"/>
  <c r="CY463" i="30"/>
  <c r="CZ463" i="30"/>
  <c r="DA463" i="30"/>
  <c r="DB463" i="30"/>
  <c r="DC463" i="30"/>
  <c r="DD463" i="30"/>
  <c r="DE463" i="30"/>
  <c r="DF463" i="30"/>
  <c r="DG463" i="30"/>
  <c r="DH463" i="30"/>
  <c r="DI463" i="30"/>
  <c r="DJ463" i="30"/>
  <c r="DK463" i="30"/>
  <c r="DL463" i="30"/>
  <c r="DM463" i="30"/>
  <c r="DN463" i="30"/>
  <c r="DO463" i="30"/>
  <c r="DP463" i="30"/>
  <c r="DQ463" i="30"/>
  <c r="DR463" i="30"/>
  <c r="DS463" i="30"/>
  <c r="DT463" i="30"/>
  <c r="DU463" i="30"/>
  <c r="DV463" i="30"/>
  <c r="DW463" i="30"/>
  <c r="DX463" i="30"/>
  <c r="DY463" i="30"/>
  <c r="DZ463" i="30"/>
  <c r="EA463" i="30"/>
  <c r="EB463" i="30"/>
  <c r="EC463" i="30"/>
  <c r="ED463" i="30"/>
  <c r="EE463" i="30"/>
  <c r="EF463" i="30"/>
  <c r="EG463" i="30"/>
  <c r="EH463" i="30"/>
  <c r="EI463" i="30"/>
  <c r="EJ463" i="30"/>
  <c r="EK463" i="30"/>
  <c r="EL463" i="30"/>
  <c r="EM463" i="30"/>
  <c r="EN463" i="30"/>
  <c r="EO463" i="30"/>
  <c r="EP463" i="30"/>
  <c r="EQ463" i="30"/>
  <c r="ER463" i="30"/>
  <c r="ES463" i="30"/>
  <c r="ET463" i="30"/>
  <c r="EU463" i="30"/>
  <c r="EV463" i="30"/>
  <c r="EW463" i="30"/>
  <c r="EX463" i="30"/>
  <c r="EY463" i="30"/>
  <c r="EZ463" i="30"/>
  <c r="FA463" i="30"/>
  <c r="FB463" i="30"/>
  <c r="FC463" i="30"/>
  <c r="FD463" i="30"/>
  <c r="FE463" i="30"/>
  <c r="FF463" i="30"/>
  <c r="FG463" i="30"/>
  <c r="FH463" i="30"/>
  <c r="FI463" i="30"/>
  <c r="FJ463" i="30"/>
  <c r="FK463" i="30"/>
  <c r="FL463" i="30"/>
  <c r="FM463" i="30"/>
  <c r="FN463" i="30"/>
  <c r="FO463" i="30"/>
  <c r="FP463" i="30"/>
  <c r="FQ463" i="30"/>
  <c r="FR463" i="30"/>
  <c r="FS463" i="30"/>
  <c r="FT463" i="30"/>
  <c r="FU463" i="30"/>
  <c r="FV463" i="30"/>
  <c r="FW463" i="30"/>
  <c r="FX463" i="30"/>
  <c r="FY463" i="30"/>
  <c r="FZ463" i="30"/>
  <c r="GA463" i="30"/>
  <c r="GB463" i="30"/>
  <c r="GC463" i="30"/>
  <c r="GD463" i="30"/>
  <c r="GE463" i="30"/>
  <c r="GF463" i="30"/>
  <c r="GG463" i="30"/>
  <c r="GH463" i="30"/>
  <c r="GI463" i="30"/>
  <c r="GJ463" i="30"/>
  <c r="GK463" i="30"/>
  <c r="GL463" i="30"/>
  <c r="GM463" i="30"/>
  <c r="GN463" i="30"/>
  <c r="GO463" i="30"/>
  <c r="GP463" i="30"/>
  <c r="GQ463" i="30"/>
  <c r="GR463" i="30"/>
  <c r="GS463" i="30"/>
  <c r="GT463" i="30"/>
  <c r="GU463" i="30"/>
  <c r="GV463" i="30"/>
  <c r="GW463" i="30"/>
  <c r="GX463" i="30"/>
  <c r="GY463" i="30"/>
  <c r="GZ463" i="30"/>
  <c r="HA463" i="30"/>
  <c r="HB463" i="30"/>
  <c r="HC463" i="30"/>
  <c r="HD463" i="30"/>
  <c r="HE463" i="30"/>
  <c r="HF463" i="30"/>
  <c r="HG463" i="30"/>
  <c r="HH463" i="30"/>
  <c r="HI463" i="30"/>
  <c r="HJ463" i="30"/>
  <c r="HK463" i="30"/>
  <c r="HL463" i="30"/>
  <c r="HM463" i="30"/>
  <c r="HN463" i="30"/>
  <c r="HO463" i="30"/>
  <c r="HP463" i="30"/>
  <c r="HQ463" i="30"/>
  <c r="HR463" i="30"/>
  <c r="HS463" i="30"/>
  <c r="HT463" i="30"/>
  <c r="HU463" i="30"/>
  <c r="HV463" i="30"/>
  <c r="HW463" i="30"/>
  <c r="HX463" i="30"/>
  <c r="HY463" i="30"/>
  <c r="HZ463" i="30"/>
  <c r="IA463" i="30"/>
  <c r="IB463" i="30"/>
  <c r="IC463" i="30"/>
  <c r="ID463" i="30"/>
  <c r="IE463" i="30"/>
  <c r="IF463" i="30"/>
  <c r="IG463" i="30"/>
  <c r="IH463" i="30"/>
  <c r="II463" i="30"/>
  <c r="IJ463" i="30"/>
  <c r="IK463" i="30"/>
  <c r="IL463" i="30"/>
  <c r="IM463" i="30"/>
  <c r="IN463" i="30"/>
  <c r="IO463" i="30"/>
  <c r="IP463" i="30"/>
  <c r="IQ463" i="30"/>
  <c r="IR463" i="30"/>
  <c r="IS463" i="30"/>
  <c r="IT463" i="30"/>
  <c r="IU463" i="30"/>
  <c r="IV463" i="30"/>
  <c r="A462" i="30"/>
  <c r="B462" i="30"/>
  <c r="C462" i="30"/>
  <c r="D462" i="30"/>
  <c r="E462" i="30"/>
  <c r="F462" i="30"/>
  <c r="G462" i="30"/>
  <c r="H462" i="30"/>
  <c r="I462" i="30"/>
  <c r="J462" i="30"/>
  <c r="K462" i="30"/>
  <c r="L462" i="30"/>
  <c r="M462" i="30"/>
  <c r="N462" i="30"/>
  <c r="O462" i="30"/>
  <c r="P462" i="30"/>
  <c r="Q462" i="30"/>
  <c r="R462" i="30"/>
  <c r="S462" i="30"/>
  <c r="T462" i="30"/>
  <c r="U462" i="30"/>
  <c r="V462" i="30"/>
  <c r="W462" i="30"/>
  <c r="X462" i="30"/>
  <c r="Y462" i="30"/>
  <c r="Z462" i="30"/>
  <c r="AA462" i="30"/>
  <c r="AB462" i="30"/>
  <c r="AC462" i="30"/>
  <c r="AD462" i="30"/>
  <c r="AE462" i="30"/>
  <c r="AF462" i="30"/>
  <c r="AG462" i="30"/>
  <c r="AH462" i="30"/>
  <c r="AI462" i="30"/>
  <c r="AJ462" i="30"/>
  <c r="AK462" i="30"/>
  <c r="AL462" i="30"/>
  <c r="AM462" i="30"/>
  <c r="AN462" i="30"/>
  <c r="AO462" i="30"/>
  <c r="AP462" i="30"/>
  <c r="AQ462" i="30"/>
  <c r="AR462" i="30"/>
  <c r="AS462" i="30"/>
  <c r="AT462" i="30"/>
  <c r="AU462" i="30"/>
  <c r="AV462" i="30"/>
  <c r="AW462" i="30"/>
  <c r="AX462" i="30"/>
  <c r="AY462" i="30"/>
  <c r="AZ462" i="30"/>
  <c r="BA462" i="30"/>
  <c r="BB462" i="30"/>
  <c r="BC462" i="30"/>
  <c r="BD462" i="30"/>
  <c r="BE462" i="30"/>
  <c r="BF462" i="30"/>
  <c r="BG462" i="30"/>
  <c r="BH462" i="30"/>
  <c r="BI462" i="30"/>
  <c r="BJ462" i="30"/>
  <c r="BK462" i="30"/>
  <c r="BL462" i="30"/>
  <c r="BM462" i="30"/>
  <c r="BN462" i="30"/>
  <c r="BO462" i="30"/>
  <c r="BP462" i="30"/>
  <c r="BQ462" i="30"/>
  <c r="BR462" i="30"/>
  <c r="BS462" i="30"/>
  <c r="BT462" i="30"/>
  <c r="BU462" i="30"/>
  <c r="BV462" i="30"/>
  <c r="BW462" i="30"/>
  <c r="BX462" i="30"/>
  <c r="BY462" i="30"/>
  <c r="BZ462" i="30"/>
  <c r="CA462" i="30"/>
  <c r="CB462" i="30"/>
  <c r="CC462" i="30"/>
  <c r="CD462" i="30"/>
  <c r="CE462" i="30"/>
  <c r="CF462" i="30"/>
  <c r="CG462" i="30"/>
  <c r="CH462" i="30"/>
  <c r="CI462" i="30"/>
  <c r="CJ462" i="30"/>
  <c r="CK462" i="30"/>
  <c r="CL462" i="30"/>
  <c r="CM462" i="30"/>
  <c r="CN462" i="30"/>
  <c r="CO462" i="30"/>
  <c r="CP462" i="30"/>
  <c r="CQ462" i="30"/>
  <c r="CR462" i="30"/>
  <c r="CS462" i="30"/>
  <c r="CT462" i="30"/>
  <c r="CU462" i="30"/>
  <c r="CV462" i="30"/>
  <c r="CW462" i="30"/>
  <c r="CX462" i="30"/>
  <c r="CY462" i="30"/>
  <c r="CZ462" i="30"/>
  <c r="DA462" i="30"/>
  <c r="DB462" i="30"/>
  <c r="DC462" i="30"/>
  <c r="DD462" i="30"/>
  <c r="DE462" i="30"/>
  <c r="DF462" i="30"/>
  <c r="DG462" i="30"/>
  <c r="DH462" i="30"/>
  <c r="DI462" i="30"/>
  <c r="DJ462" i="30"/>
  <c r="DK462" i="30"/>
  <c r="DL462" i="30"/>
  <c r="DM462" i="30"/>
  <c r="DN462" i="30"/>
  <c r="DO462" i="30"/>
  <c r="DP462" i="30"/>
  <c r="DQ462" i="30"/>
  <c r="DR462" i="30"/>
  <c r="DS462" i="30"/>
  <c r="DT462" i="30"/>
  <c r="DU462" i="30"/>
  <c r="DV462" i="30"/>
  <c r="DW462" i="30"/>
  <c r="DX462" i="30"/>
  <c r="DY462" i="30"/>
  <c r="DZ462" i="30"/>
  <c r="EA462" i="30"/>
  <c r="EB462" i="30"/>
  <c r="EC462" i="30"/>
  <c r="ED462" i="30"/>
  <c r="EE462" i="30"/>
  <c r="EF462" i="30"/>
  <c r="EG462" i="30"/>
  <c r="EH462" i="30"/>
  <c r="EI462" i="30"/>
  <c r="EJ462" i="30"/>
  <c r="EK462" i="30"/>
  <c r="EL462" i="30"/>
  <c r="EM462" i="30"/>
  <c r="EN462" i="30"/>
  <c r="EO462" i="30"/>
  <c r="EP462" i="30"/>
  <c r="EQ462" i="30"/>
  <c r="ER462" i="30"/>
  <c r="ES462" i="30"/>
  <c r="ET462" i="30"/>
  <c r="EU462" i="30"/>
  <c r="EV462" i="30"/>
  <c r="EW462" i="30"/>
  <c r="EX462" i="30"/>
  <c r="EY462" i="30"/>
  <c r="EZ462" i="30"/>
  <c r="FA462" i="30"/>
  <c r="FB462" i="30"/>
  <c r="FC462" i="30"/>
  <c r="FD462" i="30"/>
  <c r="FE462" i="30"/>
  <c r="FF462" i="30"/>
  <c r="FG462" i="30"/>
  <c r="FH462" i="30"/>
  <c r="FI462" i="30"/>
  <c r="FJ462" i="30"/>
  <c r="FK462" i="30"/>
  <c r="FL462" i="30"/>
  <c r="FM462" i="30"/>
  <c r="FN462" i="30"/>
  <c r="FO462" i="30"/>
  <c r="FP462" i="30"/>
  <c r="FQ462" i="30"/>
  <c r="FR462" i="30"/>
  <c r="FS462" i="30"/>
  <c r="FT462" i="30"/>
  <c r="FU462" i="30"/>
  <c r="FV462" i="30"/>
  <c r="FW462" i="30"/>
  <c r="FX462" i="30"/>
  <c r="FY462" i="30"/>
  <c r="FZ462" i="30"/>
  <c r="GA462" i="30"/>
  <c r="GB462" i="30"/>
  <c r="GC462" i="30"/>
  <c r="GD462" i="30"/>
  <c r="GE462" i="30"/>
  <c r="GF462" i="30"/>
  <c r="GG462" i="30"/>
  <c r="GH462" i="30"/>
  <c r="GI462" i="30"/>
  <c r="GJ462" i="30"/>
  <c r="GK462" i="30"/>
  <c r="GL462" i="30"/>
  <c r="GM462" i="30"/>
  <c r="GN462" i="30"/>
  <c r="GO462" i="30"/>
  <c r="GP462" i="30"/>
  <c r="GQ462" i="30"/>
  <c r="GR462" i="30"/>
  <c r="GS462" i="30"/>
  <c r="GT462" i="30"/>
  <c r="GU462" i="30"/>
  <c r="GV462" i="30"/>
  <c r="GW462" i="30"/>
  <c r="GX462" i="30"/>
  <c r="GY462" i="30"/>
  <c r="GZ462" i="30"/>
  <c r="HA462" i="30"/>
  <c r="HB462" i="30"/>
  <c r="HC462" i="30"/>
  <c r="HD462" i="30"/>
  <c r="HE462" i="30"/>
  <c r="HF462" i="30"/>
  <c r="HG462" i="30"/>
  <c r="HH462" i="30"/>
  <c r="HI462" i="30"/>
  <c r="HJ462" i="30"/>
  <c r="HK462" i="30"/>
  <c r="HL462" i="30"/>
  <c r="HM462" i="30"/>
  <c r="HN462" i="30"/>
  <c r="HO462" i="30"/>
  <c r="HP462" i="30"/>
  <c r="HQ462" i="30"/>
  <c r="HR462" i="30"/>
  <c r="HS462" i="30"/>
  <c r="HT462" i="30"/>
  <c r="HU462" i="30"/>
  <c r="HV462" i="30"/>
  <c r="HW462" i="30"/>
  <c r="HX462" i="30"/>
  <c r="HY462" i="30"/>
  <c r="HZ462" i="30"/>
  <c r="IA462" i="30"/>
  <c r="IB462" i="30"/>
  <c r="IC462" i="30"/>
  <c r="ID462" i="30"/>
  <c r="IE462" i="30"/>
  <c r="IF462" i="30"/>
  <c r="IG462" i="30"/>
  <c r="IH462" i="30"/>
  <c r="II462" i="30"/>
  <c r="IJ462" i="30"/>
  <c r="IK462" i="30"/>
  <c r="IL462" i="30"/>
  <c r="IM462" i="30"/>
  <c r="IN462" i="30"/>
  <c r="IO462" i="30"/>
  <c r="IP462" i="30"/>
  <c r="IQ462" i="30"/>
  <c r="IR462" i="30"/>
  <c r="IS462" i="30"/>
  <c r="IT462" i="30"/>
  <c r="IU462" i="30"/>
  <c r="IV462" i="30"/>
  <c r="A461" i="30"/>
  <c r="B461" i="30"/>
  <c r="C461" i="30"/>
  <c r="D461" i="30"/>
  <c r="E461" i="30"/>
  <c r="F461" i="30"/>
  <c r="G461" i="30"/>
  <c r="H461" i="30"/>
  <c r="I461" i="30"/>
  <c r="J461" i="30"/>
  <c r="K461" i="30"/>
  <c r="L461" i="30"/>
  <c r="M461" i="30"/>
  <c r="N461" i="30"/>
  <c r="O461" i="30"/>
  <c r="P461" i="30"/>
  <c r="Q461" i="30"/>
  <c r="R461" i="30"/>
  <c r="S461" i="30"/>
  <c r="T461" i="30"/>
  <c r="U461" i="30"/>
  <c r="V461" i="30"/>
  <c r="W461" i="30"/>
  <c r="X461" i="30"/>
  <c r="Y461" i="30"/>
  <c r="Z461" i="30"/>
  <c r="AA461" i="30"/>
  <c r="AB461" i="30"/>
  <c r="AC461" i="30"/>
  <c r="AD461" i="30"/>
  <c r="AE461" i="30"/>
  <c r="AF461" i="30"/>
  <c r="AG461" i="30"/>
  <c r="AH461" i="30"/>
  <c r="AI461" i="30"/>
  <c r="AJ461" i="30"/>
  <c r="AK461" i="30"/>
  <c r="AL461" i="30"/>
  <c r="AM461" i="30"/>
  <c r="AN461" i="30"/>
  <c r="AO461" i="30"/>
  <c r="AP461" i="30"/>
  <c r="AQ461" i="30"/>
  <c r="AR461" i="30"/>
  <c r="AS461" i="30"/>
  <c r="AT461" i="30"/>
  <c r="AU461" i="30"/>
  <c r="AV461" i="30"/>
  <c r="AW461" i="30"/>
  <c r="AX461" i="30"/>
  <c r="AY461" i="30"/>
  <c r="AZ461" i="30"/>
  <c r="BA461" i="30"/>
  <c r="BB461" i="30"/>
  <c r="BC461" i="30"/>
  <c r="BD461" i="30"/>
  <c r="BE461" i="30"/>
  <c r="BF461" i="30"/>
  <c r="BG461" i="30"/>
  <c r="BH461" i="30"/>
  <c r="BI461" i="30"/>
  <c r="BJ461" i="30"/>
  <c r="BK461" i="30"/>
  <c r="BL461" i="30"/>
  <c r="BM461" i="30"/>
  <c r="BN461" i="30"/>
  <c r="BO461" i="30"/>
  <c r="BP461" i="30"/>
  <c r="BQ461" i="30"/>
  <c r="BR461" i="30"/>
  <c r="BS461" i="30"/>
  <c r="BT461" i="30"/>
  <c r="BU461" i="30"/>
  <c r="BV461" i="30"/>
  <c r="BW461" i="30"/>
  <c r="BX461" i="30"/>
  <c r="BY461" i="30"/>
  <c r="BZ461" i="30"/>
  <c r="CA461" i="30"/>
  <c r="CB461" i="30"/>
  <c r="CC461" i="30"/>
  <c r="CD461" i="30"/>
  <c r="CE461" i="30"/>
  <c r="CF461" i="30"/>
  <c r="CG461" i="30"/>
  <c r="CH461" i="30"/>
  <c r="CI461" i="30"/>
  <c r="CJ461" i="30"/>
  <c r="CK461" i="30"/>
  <c r="CL461" i="30"/>
  <c r="CM461" i="30"/>
  <c r="CN461" i="30"/>
  <c r="CO461" i="30"/>
  <c r="CP461" i="30"/>
  <c r="CQ461" i="30"/>
  <c r="CR461" i="30"/>
  <c r="CS461" i="30"/>
  <c r="CT461" i="30"/>
  <c r="CU461" i="30"/>
  <c r="CV461" i="30"/>
  <c r="CW461" i="30"/>
  <c r="CX461" i="30"/>
  <c r="CY461" i="30"/>
  <c r="CZ461" i="30"/>
  <c r="DA461" i="30"/>
  <c r="DB461" i="30"/>
  <c r="DC461" i="30"/>
  <c r="DD461" i="30"/>
  <c r="DE461" i="30"/>
  <c r="DF461" i="30"/>
  <c r="DG461" i="30"/>
  <c r="DH461" i="30"/>
  <c r="DI461" i="30"/>
  <c r="DJ461" i="30"/>
  <c r="DK461" i="30"/>
  <c r="DL461" i="30"/>
  <c r="DM461" i="30"/>
  <c r="DN461" i="30"/>
  <c r="DO461" i="30"/>
  <c r="DP461" i="30"/>
  <c r="DQ461" i="30"/>
  <c r="DR461" i="30"/>
  <c r="DS461" i="30"/>
  <c r="DT461" i="30"/>
  <c r="DU461" i="30"/>
  <c r="DV461" i="30"/>
  <c r="DW461" i="30"/>
  <c r="DX461" i="30"/>
  <c r="DY461" i="30"/>
  <c r="DZ461" i="30"/>
  <c r="EA461" i="30"/>
  <c r="EB461" i="30"/>
  <c r="EC461" i="30"/>
  <c r="ED461" i="30"/>
  <c r="EE461" i="30"/>
  <c r="EF461" i="30"/>
  <c r="EG461" i="30"/>
  <c r="EH461" i="30"/>
  <c r="EI461" i="30"/>
  <c r="EJ461" i="30"/>
  <c r="EK461" i="30"/>
  <c r="EL461" i="30"/>
  <c r="EM461" i="30"/>
  <c r="EN461" i="30"/>
  <c r="EO461" i="30"/>
  <c r="EP461" i="30"/>
  <c r="EQ461" i="30"/>
  <c r="ER461" i="30"/>
  <c r="ES461" i="30"/>
  <c r="ET461" i="30"/>
  <c r="EU461" i="30"/>
  <c r="EV461" i="30"/>
  <c r="EW461" i="30"/>
  <c r="EX461" i="30"/>
  <c r="EY461" i="30"/>
  <c r="EZ461" i="30"/>
  <c r="FA461" i="30"/>
  <c r="FB461" i="30"/>
  <c r="FC461" i="30"/>
  <c r="FD461" i="30"/>
  <c r="FE461" i="30"/>
  <c r="FF461" i="30"/>
  <c r="FG461" i="30"/>
  <c r="FH461" i="30"/>
  <c r="FI461" i="30"/>
  <c r="FJ461" i="30"/>
  <c r="FK461" i="30"/>
  <c r="FL461" i="30"/>
  <c r="FM461" i="30"/>
  <c r="FN461" i="30"/>
  <c r="FO461" i="30"/>
  <c r="FP461" i="30"/>
  <c r="FQ461" i="30"/>
  <c r="FR461" i="30"/>
  <c r="FS461" i="30"/>
  <c r="FT461" i="30"/>
  <c r="FU461" i="30"/>
  <c r="FV461" i="30"/>
  <c r="FW461" i="30"/>
  <c r="FX461" i="30"/>
  <c r="FY461" i="30"/>
  <c r="FZ461" i="30"/>
  <c r="GA461" i="30"/>
  <c r="GB461" i="30"/>
  <c r="GC461" i="30"/>
  <c r="GD461" i="30"/>
  <c r="GE461" i="30"/>
  <c r="GF461" i="30"/>
  <c r="GG461" i="30"/>
  <c r="GH461" i="30"/>
  <c r="GI461" i="30"/>
  <c r="GJ461" i="30"/>
  <c r="GK461" i="30"/>
  <c r="GL461" i="30"/>
  <c r="GM461" i="30"/>
  <c r="GN461" i="30"/>
  <c r="GO461" i="30"/>
  <c r="GP461" i="30"/>
  <c r="GQ461" i="30"/>
  <c r="GR461" i="30"/>
  <c r="GS461" i="30"/>
  <c r="GT461" i="30"/>
  <c r="GU461" i="30"/>
  <c r="GV461" i="30"/>
  <c r="GW461" i="30"/>
  <c r="GX461" i="30"/>
  <c r="GY461" i="30"/>
  <c r="GZ461" i="30"/>
  <c r="HA461" i="30"/>
  <c r="HB461" i="30"/>
  <c r="HC461" i="30"/>
  <c r="HD461" i="30"/>
  <c r="HE461" i="30"/>
  <c r="HF461" i="30"/>
  <c r="HG461" i="30"/>
  <c r="HH461" i="30"/>
  <c r="HI461" i="30"/>
  <c r="HJ461" i="30"/>
  <c r="HK461" i="30"/>
  <c r="HL461" i="30"/>
  <c r="HM461" i="30"/>
  <c r="HN461" i="30"/>
  <c r="HO461" i="30"/>
  <c r="HP461" i="30"/>
  <c r="HQ461" i="30"/>
  <c r="HR461" i="30"/>
  <c r="HS461" i="30"/>
  <c r="HT461" i="30"/>
  <c r="HU461" i="30"/>
  <c r="HV461" i="30"/>
  <c r="HW461" i="30"/>
  <c r="HX461" i="30"/>
  <c r="HY461" i="30"/>
  <c r="HZ461" i="30"/>
  <c r="IA461" i="30"/>
  <c r="IB461" i="30"/>
  <c r="IC461" i="30"/>
  <c r="ID461" i="30"/>
  <c r="IE461" i="30"/>
  <c r="IF461" i="30"/>
  <c r="IG461" i="30"/>
  <c r="IH461" i="30"/>
  <c r="II461" i="30"/>
  <c r="IJ461" i="30"/>
  <c r="IK461" i="30"/>
  <c r="IL461" i="30"/>
  <c r="IM461" i="30"/>
  <c r="IN461" i="30"/>
  <c r="IO461" i="30"/>
  <c r="IP461" i="30"/>
  <c r="IQ461" i="30"/>
  <c r="IR461" i="30"/>
  <c r="IS461" i="30"/>
  <c r="IT461" i="30"/>
  <c r="IU461" i="30"/>
  <c r="IV461" i="30"/>
  <c r="A460" i="30"/>
  <c r="B460" i="30"/>
  <c r="C460" i="30"/>
  <c r="D460" i="30"/>
  <c r="E460" i="30"/>
  <c r="F460" i="30"/>
  <c r="G460" i="30"/>
  <c r="H460" i="30"/>
  <c r="I460" i="30"/>
  <c r="J460" i="30"/>
  <c r="K460" i="30"/>
  <c r="L460" i="30"/>
  <c r="M460" i="30"/>
  <c r="N460" i="30"/>
  <c r="O460" i="30"/>
  <c r="P460" i="30"/>
  <c r="Q460" i="30"/>
  <c r="R460" i="30"/>
  <c r="S460" i="30"/>
  <c r="T460" i="30"/>
  <c r="U460" i="30"/>
  <c r="V460" i="30"/>
  <c r="W460" i="30"/>
  <c r="X460" i="30"/>
  <c r="Y460" i="30"/>
  <c r="Z460" i="30"/>
  <c r="AA460" i="30"/>
  <c r="AB460" i="30"/>
  <c r="AC460" i="30"/>
  <c r="AD460" i="30"/>
  <c r="AE460" i="30"/>
  <c r="AF460" i="30"/>
  <c r="AG460" i="30"/>
  <c r="AH460" i="30"/>
  <c r="AI460" i="30"/>
  <c r="AJ460" i="30"/>
  <c r="AK460" i="30"/>
  <c r="AL460" i="30"/>
  <c r="AM460" i="30"/>
  <c r="AN460" i="30"/>
  <c r="AO460" i="30"/>
  <c r="AP460" i="30"/>
  <c r="AQ460" i="30"/>
  <c r="AR460" i="30"/>
  <c r="AS460" i="30"/>
  <c r="AT460" i="30"/>
  <c r="AU460" i="30"/>
  <c r="AV460" i="30"/>
  <c r="AW460" i="30"/>
  <c r="AX460" i="30"/>
  <c r="AY460" i="30"/>
  <c r="AZ460" i="30"/>
  <c r="BA460" i="30"/>
  <c r="BB460" i="30"/>
  <c r="BC460" i="30"/>
  <c r="BD460" i="30"/>
  <c r="BE460" i="30"/>
  <c r="BF460" i="30"/>
  <c r="BG460" i="30"/>
  <c r="BH460" i="30"/>
  <c r="BI460" i="30"/>
  <c r="BJ460" i="30"/>
  <c r="BK460" i="30"/>
  <c r="BL460" i="30"/>
  <c r="BM460" i="30"/>
  <c r="BN460" i="30"/>
  <c r="BO460" i="30"/>
  <c r="BP460" i="30"/>
  <c r="BQ460" i="30"/>
  <c r="BR460" i="30"/>
  <c r="BS460" i="30"/>
  <c r="BT460" i="30"/>
  <c r="BU460" i="30"/>
  <c r="BV460" i="30"/>
  <c r="BW460" i="30"/>
  <c r="BX460" i="30"/>
  <c r="BY460" i="30"/>
  <c r="BZ460" i="30"/>
  <c r="CA460" i="30"/>
  <c r="CB460" i="30"/>
  <c r="CC460" i="30"/>
  <c r="CD460" i="30"/>
  <c r="CE460" i="30"/>
  <c r="CF460" i="30"/>
  <c r="CG460" i="30"/>
  <c r="CH460" i="30"/>
  <c r="CI460" i="30"/>
  <c r="CJ460" i="30"/>
  <c r="CK460" i="30"/>
  <c r="CL460" i="30"/>
  <c r="CM460" i="30"/>
  <c r="CN460" i="30"/>
  <c r="CO460" i="30"/>
  <c r="CP460" i="30"/>
  <c r="CQ460" i="30"/>
  <c r="CR460" i="30"/>
  <c r="CS460" i="30"/>
  <c r="CT460" i="30"/>
  <c r="CU460" i="30"/>
  <c r="CV460" i="30"/>
  <c r="CW460" i="30"/>
  <c r="CX460" i="30"/>
  <c r="CY460" i="30"/>
  <c r="CZ460" i="30"/>
  <c r="DA460" i="30"/>
  <c r="DB460" i="30"/>
  <c r="DC460" i="30"/>
  <c r="DD460" i="30"/>
  <c r="DE460" i="30"/>
  <c r="DF460" i="30"/>
  <c r="DG460" i="30"/>
  <c r="DH460" i="30"/>
  <c r="DI460" i="30"/>
  <c r="DJ460" i="30"/>
  <c r="DK460" i="30"/>
  <c r="DL460" i="30"/>
  <c r="DM460" i="30"/>
  <c r="DN460" i="30"/>
  <c r="DO460" i="30"/>
  <c r="DP460" i="30"/>
  <c r="DQ460" i="30"/>
  <c r="DR460" i="30"/>
  <c r="DS460" i="30"/>
  <c r="DT460" i="30"/>
  <c r="DU460" i="30"/>
  <c r="DV460" i="30"/>
  <c r="DW460" i="30"/>
  <c r="DX460" i="30"/>
  <c r="DY460" i="30"/>
  <c r="DZ460" i="30"/>
  <c r="EA460" i="30"/>
  <c r="EB460" i="30"/>
  <c r="EC460" i="30"/>
  <c r="ED460" i="30"/>
  <c r="EE460" i="30"/>
  <c r="EF460" i="30"/>
  <c r="EG460" i="30"/>
  <c r="EH460" i="30"/>
  <c r="EI460" i="30"/>
  <c r="EJ460" i="30"/>
  <c r="EK460" i="30"/>
  <c r="EL460" i="30"/>
  <c r="EM460" i="30"/>
  <c r="EN460" i="30"/>
  <c r="EO460" i="30"/>
  <c r="EP460" i="30"/>
  <c r="EQ460" i="30"/>
  <c r="ER460" i="30"/>
  <c r="ES460" i="30"/>
  <c r="ET460" i="30"/>
  <c r="EU460" i="30"/>
  <c r="EV460" i="30"/>
  <c r="EW460" i="30"/>
  <c r="EX460" i="30"/>
  <c r="EY460" i="30"/>
  <c r="EZ460" i="30"/>
  <c r="FA460" i="30"/>
  <c r="FB460" i="30"/>
  <c r="FC460" i="30"/>
  <c r="FD460" i="30"/>
  <c r="FE460" i="30"/>
  <c r="FF460" i="30"/>
  <c r="FG460" i="30"/>
  <c r="FH460" i="30"/>
  <c r="FI460" i="30"/>
  <c r="FJ460" i="30"/>
  <c r="FK460" i="30"/>
  <c r="FL460" i="30"/>
  <c r="FM460" i="30"/>
  <c r="FN460" i="30"/>
  <c r="FO460" i="30"/>
  <c r="FP460" i="30"/>
  <c r="FQ460" i="30"/>
  <c r="FR460" i="30"/>
  <c r="FS460" i="30"/>
  <c r="FT460" i="30"/>
  <c r="FU460" i="30"/>
  <c r="FV460" i="30"/>
  <c r="FW460" i="30"/>
  <c r="FX460" i="30"/>
  <c r="FY460" i="30"/>
  <c r="FZ460" i="30"/>
  <c r="GA460" i="30"/>
  <c r="GB460" i="30"/>
  <c r="GC460" i="30"/>
  <c r="GD460" i="30"/>
  <c r="GE460" i="30"/>
  <c r="GF460" i="30"/>
  <c r="GG460" i="30"/>
  <c r="GH460" i="30"/>
  <c r="GI460" i="30"/>
  <c r="GJ460" i="30"/>
  <c r="GK460" i="30"/>
  <c r="GL460" i="30"/>
  <c r="GM460" i="30"/>
  <c r="GN460" i="30"/>
  <c r="GO460" i="30"/>
  <c r="GP460" i="30"/>
  <c r="GQ460" i="30"/>
  <c r="GR460" i="30"/>
  <c r="GS460" i="30"/>
  <c r="GT460" i="30"/>
  <c r="GU460" i="30"/>
  <c r="GV460" i="30"/>
  <c r="GW460" i="30"/>
  <c r="GX460" i="30"/>
  <c r="GY460" i="30"/>
  <c r="GZ460" i="30"/>
  <c r="HA460" i="30"/>
  <c r="HB460" i="30"/>
  <c r="HC460" i="30"/>
  <c r="HD460" i="30"/>
  <c r="HE460" i="30"/>
  <c r="HF460" i="30"/>
  <c r="HG460" i="30"/>
  <c r="HH460" i="30"/>
  <c r="HI460" i="30"/>
  <c r="HJ460" i="30"/>
  <c r="HK460" i="30"/>
  <c r="HL460" i="30"/>
  <c r="HM460" i="30"/>
  <c r="HN460" i="30"/>
  <c r="HO460" i="30"/>
  <c r="HP460" i="30"/>
  <c r="HQ460" i="30"/>
  <c r="HR460" i="30"/>
  <c r="HS460" i="30"/>
  <c r="HT460" i="30"/>
  <c r="HU460" i="30"/>
  <c r="HV460" i="30"/>
  <c r="HW460" i="30"/>
  <c r="HX460" i="30"/>
  <c r="HY460" i="30"/>
  <c r="HZ460" i="30"/>
  <c r="IA460" i="30"/>
  <c r="IB460" i="30"/>
  <c r="IC460" i="30"/>
  <c r="ID460" i="30"/>
  <c r="IE460" i="30"/>
  <c r="IF460" i="30"/>
  <c r="IG460" i="30"/>
  <c r="IH460" i="30"/>
  <c r="II460" i="30"/>
  <c r="IJ460" i="30"/>
  <c r="IK460" i="30"/>
  <c r="IL460" i="30"/>
  <c r="IM460" i="30"/>
  <c r="IN460" i="30"/>
  <c r="IO460" i="30"/>
  <c r="IP460" i="30"/>
  <c r="IQ460" i="30"/>
  <c r="IR460" i="30"/>
  <c r="IS460" i="30"/>
  <c r="IT460" i="30"/>
  <c r="IU460" i="30"/>
  <c r="IV460" i="30"/>
  <c r="A459" i="30"/>
  <c r="B459" i="30"/>
  <c r="C459" i="30"/>
  <c r="D459" i="30"/>
  <c r="E459" i="30"/>
  <c r="F459" i="30"/>
  <c r="G459" i="30"/>
  <c r="H459" i="30"/>
  <c r="I459" i="30"/>
  <c r="J459" i="30"/>
  <c r="K459" i="30"/>
  <c r="L459" i="30"/>
  <c r="M459" i="30"/>
  <c r="N459" i="30"/>
  <c r="O459" i="30"/>
  <c r="P459" i="30"/>
  <c r="Q459" i="30"/>
  <c r="R459" i="30"/>
  <c r="S459" i="30"/>
  <c r="T459" i="30"/>
  <c r="U459" i="30"/>
  <c r="V459" i="30"/>
  <c r="W459" i="30"/>
  <c r="X459" i="30"/>
  <c r="Y459" i="30"/>
  <c r="Z459" i="30"/>
  <c r="AA459" i="30"/>
  <c r="AB459" i="30"/>
  <c r="AC459" i="30"/>
  <c r="AD459" i="30"/>
  <c r="AE459" i="30"/>
  <c r="AF459" i="30"/>
  <c r="AG459" i="30"/>
  <c r="AH459" i="30"/>
  <c r="AI459" i="30"/>
  <c r="AJ459" i="30"/>
  <c r="AK459" i="30"/>
  <c r="AL459" i="30"/>
  <c r="AM459" i="30"/>
  <c r="AN459" i="30"/>
  <c r="AO459" i="30"/>
  <c r="AP459" i="30"/>
  <c r="AQ459" i="30"/>
  <c r="AR459" i="30"/>
  <c r="AS459" i="30"/>
  <c r="AT459" i="30"/>
  <c r="AU459" i="30"/>
  <c r="AV459" i="30"/>
  <c r="AW459" i="30"/>
  <c r="AX459" i="30"/>
  <c r="AY459" i="30"/>
  <c r="AZ459" i="30"/>
  <c r="BA459" i="30"/>
  <c r="BB459" i="30"/>
  <c r="BC459" i="30"/>
  <c r="BD459" i="30"/>
  <c r="BE459" i="30"/>
  <c r="BF459" i="30"/>
  <c r="BG459" i="30"/>
  <c r="BH459" i="30"/>
  <c r="BI459" i="30"/>
  <c r="BJ459" i="30"/>
  <c r="BK459" i="30"/>
  <c r="BL459" i="30"/>
  <c r="BM459" i="30"/>
  <c r="BN459" i="30"/>
  <c r="BO459" i="30"/>
  <c r="BP459" i="30"/>
  <c r="BQ459" i="30"/>
  <c r="BR459" i="30"/>
  <c r="BS459" i="30"/>
  <c r="BT459" i="30"/>
  <c r="BU459" i="30"/>
  <c r="BV459" i="30"/>
  <c r="BW459" i="30"/>
  <c r="BX459" i="30"/>
  <c r="BY459" i="30"/>
  <c r="BZ459" i="30"/>
  <c r="CA459" i="30"/>
  <c r="CB459" i="30"/>
  <c r="CC459" i="30"/>
  <c r="CD459" i="30"/>
  <c r="CE459" i="30"/>
  <c r="CF459" i="30"/>
  <c r="CG459" i="30"/>
  <c r="CH459" i="30"/>
  <c r="CI459" i="30"/>
  <c r="CJ459" i="30"/>
  <c r="CK459" i="30"/>
  <c r="CL459" i="30"/>
  <c r="CM459" i="30"/>
  <c r="CN459" i="30"/>
  <c r="CO459" i="30"/>
  <c r="CP459" i="30"/>
  <c r="CQ459" i="30"/>
  <c r="CR459" i="30"/>
  <c r="CS459" i="30"/>
  <c r="CT459" i="30"/>
  <c r="CU459" i="30"/>
  <c r="CV459" i="30"/>
  <c r="CW459" i="30"/>
  <c r="CX459" i="30"/>
  <c r="CY459" i="30"/>
  <c r="CZ459" i="30"/>
  <c r="DA459" i="30"/>
  <c r="DB459" i="30"/>
  <c r="DC459" i="30"/>
  <c r="DD459" i="30"/>
  <c r="DE459" i="30"/>
  <c r="DF459" i="30"/>
  <c r="DG459" i="30"/>
  <c r="DH459" i="30"/>
  <c r="DI459" i="30"/>
  <c r="DJ459" i="30"/>
  <c r="DK459" i="30"/>
  <c r="DL459" i="30"/>
  <c r="DM459" i="30"/>
  <c r="DN459" i="30"/>
  <c r="DO459" i="30"/>
  <c r="DP459" i="30"/>
  <c r="DQ459" i="30"/>
  <c r="DR459" i="30"/>
  <c r="DS459" i="30"/>
  <c r="DT459" i="30"/>
  <c r="DU459" i="30"/>
  <c r="DV459" i="30"/>
  <c r="DW459" i="30"/>
  <c r="DX459" i="30"/>
  <c r="DY459" i="30"/>
  <c r="DZ459" i="30"/>
  <c r="EA459" i="30"/>
  <c r="EB459" i="30"/>
  <c r="EC459" i="30"/>
  <c r="ED459" i="30"/>
  <c r="EE459" i="30"/>
  <c r="EF459" i="30"/>
  <c r="EG459" i="30"/>
  <c r="EH459" i="30"/>
  <c r="EI459" i="30"/>
  <c r="EJ459" i="30"/>
  <c r="EK459" i="30"/>
  <c r="EL459" i="30"/>
  <c r="EM459" i="30"/>
  <c r="EN459" i="30"/>
  <c r="EO459" i="30"/>
  <c r="EP459" i="30"/>
  <c r="EQ459" i="30"/>
  <c r="ER459" i="30"/>
  <c r="ES459" i="30"/>
  <c r="ET459" i="30"/>
  <c r="EU459" i="30"/>
  <c r="EV459" i="30"/>
  <c r="EW459" i="30"/>
  <c r="EX459" i="30"/>
  <c r="EY459" i="30"/>
  <c r="EZ459" i="30"/>
  <c r="FA459" i="30"/>
  <c r="FB459" i="30"/>
  <c r="FC459" i="30"/>
  <c r="FD459" i="30"/>
  <c r="FE459" i="30"/>
  <c r="FF459" i="30"/>
  <c r="FG459" i="30"/>
  <c r="FH459" i="30"/>
  <c r="FI459" i="30"/>
  <c r="FJ459" i="30"/>
  <c r="FK459" i="30"/>
  <c r="FL459" i="30"/>
  <c r="FM459" i="30"/>
  <c r="FN459" i="30"/>
  <c r="FO459" i="30"/>
  <c r="FP459" i="30"/>
  <c r="FQ459" i="30"/>
  <c r="FR459" i="30"/>
  <c r="FS459" i="30"/>
  <c r="FT459" i="30"/>
  <c r="FU459" i="30"/>
  <c r="FV459" i="30"/>
  <c r="FW459" i="30"/>
  <c r="FX459" i="30"/>
  <c r="FY459" i="30"/>
  <c r="FZ459" i="30"/>
  <c r="GA459" i="30"/>
  <c r="GB459" i="30"/>
  <c r="GC459" i="30"/>
  <c r="GD459" i="30"/>
  <c r="GE459" i="30"/>
  <c r="GF459" i="30"/>
  <c r="GG459" i="30"/>
  <c r="GH459" i="30"/>
  <c r="GI459" i="30"/>
  <c r="GJ459" i="30"/>
  <c r="GK459" i="30"/>
  <c r="GL459" i="30"/>
  <c r="GM459" i="30"/>
  <c r="GN459" i="30"/>
  <c r="GO459" i="30"/>
  <c r="GP459" i="30"/>
  <c r="GQ459" i="30"/>
  <c r="GR459" i="30"/>
  <c r="GS459" i="30"/>
  <c r="GT459" i="30"/>
  <c r="GU459" i="30"/>
  <c r="GV459" i="30"/>
  <c r="GW459" i="30"/>
  <c r="GX459" i="30"/>
  <c r="GY459" i="30"/>
  <c r="GZ459" i="30"/>
  <c r="HA459" i="30"/>
  <c r="HB459" i="30"/>
  <c r="HC459" i="30"/>
  <c r="HD459" i="30"/>
  <c r="HE459" i="30"/>
  <c r="HF459" i="30"/>
  <c r="HG459" i="30"/>
  <c r="HH459" i="30"/>
  <c r="HI459" i="30"/>
  <c r="HJ459" i="30"/>
  <c r="HK459" i="30"/>
  <c r="HL459" i="30"/>
  <c r="HM459" i="30"/>
  <c r="HN459" i="30"/>
  <c r="HO459" i="30"/>
  <c r="HP459" i="30"/>
  <c r="HQ459" i="30"/>
  <c r="HR459" i="30"/>
  <c r="HS459" i="30"/>
  <c r="HT459" i="30"/>
  <c r="HU459" i="30"/>
  <c r="HV459" i="30"/>
  <c r="HW459" i="30"/>
  <c r="HX459" i="30"/>
  <c r="HY459" i="30"/>
  <c r="HZ459" i="30"/>
  <c r="IA459" i="30"/>
  <c r="IB459" i="30"/>
  <c r="IC459" i="30"/>
  <c r="ID459" i="30"/>
  <c r="IE459" i="30"/>
  <c r="IF459" i="30"/>
  <c r="IG459" i="30"/>
  <c r="IH459" i="30"/>
  <c r="II459" i="30"/>
  <c r="IJ459" i="30"/>
  <c r="IK459" i="30"/>
  <c r="IL459" i="30"/>
  <c r="IM459" i="30"/>
  <c r="IN459" i="30"/>
  <c r="IO459" i="30"/>
  <c r="IP459" i="30"/>
  <c r="IQ459" i="30"/>
  <c r="IR459" i="30"/>
  <c r="IS459" i="30"/>
  <c r="IT459" i="30"/>
  <c r="IU459" i="30"/>
  <c r="IV459" i="30"/>
  <c r="A458" i="30"/>
  <c r="B458" i="30"/>
  <c r="C458" i="30"/>
  <c r="D458" i="30"/>
  <c r="E458" i="30"/>
  <c r="F458" i="30"/>
  <c r="G458" i="30"/>
  <c r="H458" i="30"/>
  <c r="I458" i="30"/>
  <c r="J458" i="30"/>
  <c r="K458" i="30"/>
  <c r="L458" i="30"/>
  <c r="M458" i="30"/>
  <c r="N458" i="30"/>
  <c r="O458" i="30"/>
  <c r="P458" i="30"/>
  <c r="Q458" i="30"/>
  <c r="R458" i="30"/>
  <c r="S458" i="30"/>
  <c r="T458" i="30"/>
  <c r="U458" i="30"/>
  <c r="V458" i="30"/>
  <c r="W458" i="30"/>
  <c r="X458" i="30"/>
  <c r="Y458" i="30"/>
  <c r="Z458" i="30"/>
  <c r="AA458" i="30"/>
  <c r="AB458" i="30"/>
  <c r="AC458" i="30"/>
  <c r="AD458" i="30"/>
  <c r="AE458" i="30"/>
  <c r="AF458" i="30"/>
  <c r="AG458" i="30"/>
  <c r="AH458" i="30"/>
  <c r="AI458" i="30"/>
  <c r="AJ458" i="30"/>
  <c r="AK458" i="30"/>
  <c r="AL458" i="30"/>
  <c r="AM458" i="30"/>
  <c r="AN458" i="30"/>
  <c r="AO458" i="30"/>
  <c r="AP458" i="30"/>
  <c r="AQ458" i="30"/>
  <c r="AR458" i="30"/>
  <c r="AS458" i="30"/>
  <c r="AT458" i="30"/>
  <c r="AU458" i="30"/>
  <c r="AV458" i="30"/>
  <c r="AW458" i="30"/>
  <c r="AX458" i="30"/>
  <c r="AY458" i="30"/>
  <c r="AZ458" i="30"/>
  <c r="BA458" i="30"/>
  <c r="BB458" i="30"/>
  <c r="BC458" i="30"/>
  <c r="BD458" i="30"/>
  <c r="BE458" i="30"/>
  <c r="BF458" i="30"/>
  <c r="BG458" i="30"/>
  <c r="BH458" i="30"/>
  <c r="BI458" i="30"/>
  <c r="BJ458" i="30"/>
  <c r="BK458" i="30"/>
  <c r="BL458" i="30"/>
  <c r="BM458" i="30"/>
  <c r="BN458" i="30"/>
  <c r="BO458" i="30"/>
  <c r="BP458" i="30"/>
  <c r="BQ458" i="30"/>
  <c r="BR458" i="30"/>
  <c r="BS458" i="30"/>
  <c r="BT458" i="30"/>
  <c r="BU458" i="30"/>
  <c r="BV458" i="30"/>
  <c r="BW458" i="30"/>
  <c r="BX458" i="30"/>
  <c r="BY458" i="30"/>
  <c r="BZ458" i="30"/>
  <c r="CA458" i="30"/>
  <c r="CB458" i="30"/>
  <c r="CC458" i="30"/>
  <c r="CD458" i="30"/>
  <c r="CE458" i="30"/>
  <c r="CF458" i="30"/>
  <c r="CG458" i="30"/>
  <c r="CH458" i="30"/>
  <c r="CI458" i="30"/>
  <c r="CJ458" i="30"/>
  <c r="CK458" i="30"/>
  <c r="CL458" i="30"/>
  <c r="CM458" i="30"/>
  <c r="CN458" i="30"/>
  <c r="CO458" i="30"/>
  <c r="CP458" i="30"/>
  <c r="CQ458" i="30"/>
  <c r="CR458" i="30"/>
  <c r="CS458" i="30"/>
  <c r="CT458" i="30"/>
  <c r="CU458" i="30"/>
  <c r="CV458" i="30"/>
  <c r="CW458" i="30"/>
  <c r="CX458" i="30"/>
  <c r="CY458" i="30"/>
  <c r="CZ458" i="30"/>
  <c r="DA458" i="30"/>
  <c r="DB458" i="30"/>
  <c r="DC458" i="30"/>
  <c r="DD458" i="30"/>
  <c r="DE458" i="30"/>
  <c r="DF458" i="30"/>
  <c r="DG458" i="30"/>
  <c r="DH458" i="30"/>
  <c r="DI458" i="30"/>
  <c r="DJ458" i="30"/>
  <c r="DK458" i="30"/>
  <c r="DL458" i="30"/>
  <c r="DM458" i="30"/>
  <c r="DN458" i="30"/>
  <c r="DO458" i="30"/>
  <c r="DP458" i="30"/>
  <c r="DQ458" i="30"/>
  <c r="DR458" i="30"/>
  <c r="DS458" i="30"/>
  <c r="DT458" i="30"/>
  <c r="DU458" i="30"/>
  <c r="DV458" i="30"/>
  <c r="DW458" i="30"/>
  <c r="DX458" i="30"/>
  <c r="DY458" i="30"/>
  <c r="DZ458" i="30"/>
  <c r="EA458" i="30"/>
  <c r="EB458" i="30"/>
  <c r="EC458" i="30"/>
  <c r="ED458" i="30"/>
  <c r="EE458" i="30"/>
  <c r="EF458" i="30"/>
  <c r="EG458" i="30"/>
  <c r="EH458" i="30"/>
  <c r="EI458" i="30"/>
  <c r="EJ458" i="30"/>
  <c r="EK458" i="30"/>
  <c r="EL458" i="30"/>
  <c r="EM458" i="30"/>
  <c r="EN458" i="30"/>
  <c r="EO458" i="30"/>
  <c r="EP458" i="30"/>
  <c r="EQ458" i="30"/>
  <c r="ER458" i="30"/>
  <c r="ES458" i="30"/>
  <c r="ET458" i="30"/>
  <c r="EU458" i="30"/>
  <c r="EV458" i="30"/>
  <c r="EW458" i="30"/>
  <c r="EX458" i="30"/>
  <c r="EY458" i="30"/>
  <c r="EZ458" i="30"/>
  <c r="FA458" i="30"/>
  <c r="FB458" i="30"/>
  <c r="FC458" i="30"/>
  <c r="FD458" i="30"/>
  <c r="FE458" i="30"/>
  <c r="FF458" i="30"/>
  <c r="FG458" i="30"/>
  <c r="FH458" i="30"/>
  <c r="FI458" i="30"/>
  <c r="FJ458" i="30"/>
  <c r="FK458" i="30"/>
  <c r="FL458" i="30"/>
  <c r="FM458" i="30"/>
  <c r="FN458" i="30"/>
  <c r="FO458" i="30"/>
  <c r="FP458" i="30"/>
  <c r="FQ458" i="30"/>
  <c r="FR458" i="30"/>
  <c r="FS458" i="30"/>
  <c r="FT458" i="30"/>
  <c r="FU458" i="30"/>
  <c r="FV458" i="30"/>
  <c r="FW458" i="30"/>
  <c r="FX458" i="30"/>
  <c r="FY458" i="30"/>
  <c r="FZ458" i="30"/>
  <c r="GA458" i="30"/>
  <c r="GB458" i="30"/>
  <c r="GC458" i="30"/>
  <c r="GD458" i="30"/>
  <c r="GE458" i="30"/>
  <c r="GF458" i="30"/>
  <c r="GG458" i="30"/>
  <c r="GH458" i="30"/>
  <c r="GI458" i="30"/>
  <c r="GJ458" i="30"/>
  <c r="GK458" i="30"/>
  <c r="GL458" i="30"/>
  <c r="GM458" i="30"/>
  <c r="GN458" i="30"/>
  <c r="GO458" i="30"/>
  <c r="GP458" i="30"/>
  <c r="GQ458" i="30"/>
  <c r="GR458" i="30"/>
  <c r="GS458" i="30"/>
  <c r="GT458" i="30"/>
  <c r="GU458" i="30"/>
  <c r="GV458" i="30"/>
  <c r="GW458" i="30"/>
  <c r="GX458" i="30"/>
  <c r="GY458" i="30"/>
  <c r="GZ458" i="30"/>
  <c r="HA458" i="30"/>
  <c r="HB458" i="30"/>
  <c r="HC458" i="30"/>
  <c r="HD458" i="30"/>
  <c r="HE458" i="30"/>
  <c r="HF458" i="30"/>
  <c r="HG458" i="30"/>
  <c r="HH458" i="30"/>
  <c r="HI458" i="30"/>
  <c r="HJ458" i="30"/>
  <c r="HK458" i="30"/>
  <c r="HL458" i="30"/>
  <c r="HM458" i="30"/>
  <c r="HN458" i="30"/>
  <c r="HO458" i="30"/>
  <c r="HP458" i="30"/>
  <c r="HQ458" i="30"/>
  <c r="HR458" i="30"/>
  <c r="HS458" i="30"/>
  <c r="HT458" i="30"/>
  <c r="HU458" i="30"/>
  <c r="HV458" i="30"/>
  <c r="HW458" i="30"/>
  <c r="HX458" i="30"/>
  <c r="HY458" i="30"/>
  <c r="HZ458" i="30"/>
  <c r="IA458" i="30"/>
  <c r="IB458" i="30"/>
  <c r="IC458" i="30"/>
  <c r="ID458" i="30"/>
  <c r="IE458" i="30"/>
  <c r="IF458" i="30"/>
  <c r="IG458" i="30"/>
  <c r="IH458" i="30"/>
  <c r="II458" i="30"/>
  <c r="IJ458" i="30"/>
  <c r="IK458" i="30"/>
  <c r="IL458" i="30"/>
  <c r="IM458" i="30"/>
  <c r="IN458" i="30"/>
  <c r="IO458" i="30"/>
  <c r="IP458" i="30"/>
  <c r="IQ458" i="30"/>
  <c r="IR458" i="30"/>
  <c r="IS458" i="30"/>
  <c r="IT458" i="30"/>
  <c r="IU458" i="30"/>
  <c r="IV458" i="30"/>
  <c r="A457" i="30"/>
  <c r="B457" i="30"/>
  <c r="C457" i="30"/>
  <c r="D457" i="30"/>
  <c r="E457" i="30"/>
  <c r="F457" i="30"/>
  <c r="G457" i="30"/>
  <c r="H457" i="30"/>
  <c r="I457" i="30"/>
  <c r="J457" i="30"/>
  <c r="K457" i="30"/>
  <c r="L457" i="30"/>
  <c r="M457" i="30"/>
  <c r="N457" i="30"/>
  <c r="O457" i="30"/>
  <c r="P457" i="30"/>
  <c r="Q457" i="30"/>
  <c r="R457" i="30"/>
  <c r="S457" i="30"/>
  <c r="T457" i="30"/>
  <c r="U457" i="30"/>
  <c r="V457" i="30"/>
  <c r="W457" i="30"/>
  <c r="X457" i="30"/>
  <c r="Y457" i="30"/>
  <c r="Z457" i="30"/>
  <c r="AA457" i="30"/>
  <c r="AB457" i="30"/>
  <c r="AC457" i="30"/>
  <c r="AD457" i="30"/>
  <c r="AE457" i="30"/>
  <c r="AF457" i="30"/>
  <c r="AG457" i="30"/>
  <c r="AH457" i="30"/>
  <c r="AI457" i="30"/>
  <c r="AJ457" i="30"/>
  <c r="AK457" i="30"/>
  <c r="AL457" i="30"/>
  <c r="AM457" i="30"/>
  <c r="AN457" i="30"/>
  <c r="AO457" i="30"/>
  <c r="AP457" i="30"/>
  <c r="AQ457" i="30"/>
  <c r="AR457" i="30"/>
  <c r="AS457" i="30"/>
  <c r="AT457" i="30"/>
  <c r="AU457" i="30"/>
  <c r="AV457" i="30"/>
  <c r="AW457" i="30"/>
  <c r="AX457" i="30"/>
  <c r="AY457" i="30"/>
  <c r="AZ457" i="30"/>
  <c r="BA457" i="30"/>
  <c r="BB457" i="30"/>
  <c r="BC457" i="30"/>
  <c r="BD457" i="30"/>
  <c r="BE457" i="30"/>
  <c r="BF457" i="30"/>
  <c r="BG457" i="30"/>
  <c r="BH457" i="30"/>
  <c r="BI457" i="30"/>
  <c r="BJ457" i="30"/>
  <c r="BK457" i="30"/>
  <c r="BL457" i="30"/>
  <c r="BM457" i="30"/>
  <c r="BN457" i="30"/>
  <c r="BO457" i="30"/>
  <c r="BP457" i="30"/>
  <c r="BQ457" i="30"/>
  <c r="BR457" i="30"/>
  <c r="BS457" i="30"/>
  <c r="BT457" i="30"/>
  <c r="BU457" i="30"/>
  <c r="BV457" i="30"/>
  <c r="BW457" i="30"/>
  <c r="BX457" i="30"/>
  <c r="BY457" i="30"/>
  <c r="BZ457" i="30"/>
  <c r="CA457" i="30"/>
  <c r="CB457" i="30"/>
  <c r="CC457" i="30"/>
  <c r="CD457" i="30"/>
  <c r="CE457" i="30"/>
  <c r="CF457" i="30"/>
  <c r="CG457" i="30"/>
  <c r="CH457" i="30"/>
  <c r="CI457" i="30"/>
  <c r="CJ457" i="30"/>
  <c r="CK457" i="30"/>
  <c r="CL457" i="30"/>
  <c r="CM457" i="30"/>
  <c r="CN457" i="30"/>
  <c r="CO457" i="30"/>
  <c r="CP457" i="30"/>
  <c r="CQ457" i="30"/>
  <c r="CR457" i="30"/>
  <c r="CS457" i="30"/>
  <c r="CT457" i="30"/>
  <c r="CU457" i="30"/>
  <c r="CV457" i="30"/>
  <c r="CW457" i="30"/>
  <c r="CX457" i="30"/>
  <c r="CY457" i="30"/>
  <c r="CZ457" i="30"/>
  <c r="DA457" i="30"/>
  <c r="DB457" i="30"/>
  <c r="DC457" i="30"/>
  <c r="DD457" i="30"/>
  <c r="DE457" i="30"/>
  <c r="DF457" i="30"/>
  <c r="DG457" i="30"/>
  <c r="DH457" i="30"/>
  <c r="DI457" i="30"/>
  <c r="DJ457" i="30"/>
  <c r="DK457" i="30"/>
  <c r="DL457" i="30"/>
  <c r="DM457" i="30"/>
  <c r="DN457" i="30"/>
  <c r="DO457" i="30"/>
  <c r="DP457" i="30"/>
  <c r="DQ457" i="30"/>
  <c r="DR457" i="30"/>
  <c r="DS457" i="30"/>
  <c r="DT457" i="30"/>
  <c r="DU457" i="30"/>
  <c r="DV457" i="30"/>
  <c r="DW457" i="30"/>
  <c r="DX457" i="30"/>
  <c r="DY457" i="30"/>
  <c r="DZ457" i="30"/>
  <c r="EA457" i="30"/>
  <c r="EB457" i="30"/>
  <c r="EC457" i="30"/>
  <c r="ED457" i="30"/>
  <c r="EE457" i="30"/>
  <c r="EF457" i="30"/>
  <c r="EG457" i="30"/>
  <c r="EH457" i="30"/>
  <c r="EI457" i="30"/>
  <c r="EJ457" i="30"/>
  <c r="EK457" i="30"/>
  <c r="EL457" i="30"/>
  <c r="EM457" i="30"/>
  <c r="EN457" i="30"/>
  <c r="EO457" i="30"/>
  <c r="EP457" i="30"/>
  <c r="EQ457" i="30"/>
  <c r="ER457" i="30"/>
  <c r="ES457" i="30"/>
  <c r="ET457" i="30"/>
  <c r="EU457" i="30"/>
  <c r="EV457" i="30"/>
  <c r="EW457" i="30"/>
  <c r="EX457" i="30"/>
  <c r="EY457" i="30"/>
  <c r="EZ457" i="30"/>
  <c r="FA457" i="30"/>
  <c r="FB457" i="30"/>
  <c r="FC457" i="30"/>
  <c r="FD457" i="30"/>
  <c r="FE457" i="30"/>
  <c r="FF457" i="30"/>
  <c r="FG457" i="30"/>
  <c r="FH457" i="30"/>
  <c r="FI457" i="30"/>
  <c r="FJ457" i="30"/>
  <c r="FK457" i="30"/>
  <c r="FL457" i="30"/>
  <c r="FM457" i="30"/>
  <c r="FN457" i="30"/>
  <c r="FO457" i="30"/>
  <c r="FP457" i="30"/>
  <c r="FQ457" i="30"/>
  <c r="FR457" i="30"/>
  <c r="FS457" i="30"/>
  <c r="FT457" i="30"/>
  <c r="FU457" i="30"/>
  <c r="FV457" i="30"/>
  <c r="FW457" i="30"/>
  <c r="FX457" i="30"/>
  <c r="FY457" i="30"/>
  <c r="FZ457" i="30"/>
  <c r="GA457" i="30"/>
  <c r="GB457" i="30"/>
  <c r="GC457" i="30"/>
  <c r="GD457" i="30"/>
  <c r="GE457" i="30"/>
  <c r="GF457" i="30"/>
  <c r="GG457" i="30"/>
  <c r="GH457" i="30"/>
  <c r="GI457" i="30"/>
  <c r="GJ457" i="30"/>
  <c r="GK457" i="30"/>
  <c r="GL457" i="30"/>
  <c r="GM457" i="30"/>
  <c r="GN457" i="30"/>
  <c r="GO457" i="30"/>
  <c r="GP457" i="30"/>
  <c r="GQ457" i="30"/>
  <c r="GR457" i="30"/>
  <c r="GS457" i="30"/>
  <c r="GT457" i="30"/>
  <c r="GU457" i="30"/>
  <c r="GV457" i="30"/>
  <c r="GW457" i="30"/>
  <c r="GX457" i="30"/>
  <c r="GY457" i="30"/>
  <c r="GZ457" i="30"/>
  <c r="HA457" i="30"/>
  <c r="HB457" i="30"/>
  <c r="HC457" i="30"/>
  <c r="HD457" i="30"/>
  <c r="HE457" i="30"/>
  <c r="HF457" i="30"/>
  <c r="HG457" i="30"/>
  <c r="HH457" i="30"/>
  <c r="HI457" i="30"/>
  <c r="HJ457" i="30"/>
  <c r="HK457" i="30"/>
  <c r="HL457" i="30"/>
  <c r="HM457" i="30"/>
  <c r="HN457" i="30"/>
  <c r="HO457" i="30"/>
  <c r="HP457" i="30"/>
  <c r="HQ457" i="30"/>
  <c r="HR457" i="30"/>
  <c r="HS457" i="30"/>
  <c r="HT457" i="30"/>
  <c r="HU457" i="30"/>
  <c r="HV457" i="30"/>
  <c r="HW457" i="30"/>
  <c r="HX457" i="30"/>
  <c r="HY457" i="30"/>
  <c r="HZ457" i="30"/>
  <c r="IA457" i="30"/>
  <c r="IB457" i="30"/>
  <c r="IC457" i="30"/>
  <c r="ID457" i="30"/>
  <c r="IE457" i="30"/>
  <c r="IF457" i="30"/>
  <c r="IG457" i="30"/>
  <c r="IH457" i="30"/>
  <c r="II457" i="30"/>
  <c r="IJ457" i="30"/>
  <c r="IK457" i="30"/>
  <c r="IL457" i="30"/>
  <c r="IM457" i="30"/>
  <c r="IN457" i="30"/>
  <c r="IO457" i="30"/>
  <c r="IP457" i="30"/>
  <c r="IQ457" i="30"/>
  <c r="IR457" i="30"/>
  <c r="IS457" i="30"/>
  <c r="IT457" i="30"/>
  <c r="IU457" i="30"/>
  <c r="IV457" i="30"/>
  <c r="A456" i="30"/>
  <c r="B456" i="30"/>
  <c r="C456" i="30"/>
  <c r="D456" i="30"/>
  <c r="E456" i="30"/>
  <c r="F456" i="30"/>
  <c r="G456" i="30"/>
  <c r="H456" i="30"/>
  <c r="I456" i="30"/>
  <c r="J456" i="30"/>
  <c r="K456" i="30"/>
  <c r="L456" i="30"/>
  <c r="M456" i="30"/>
  <c r="N456" i="30"/>
  <c r="O456" i="30"/>
  <c r="P456" i="30"/>
  <c r="Q456" i="30"/>
  <c r="R456" i="30"/>
  <c r="S456" i="30"/>
  <c r="T456" i="30"/>
  <c r="U456" i="30"/>
  <c r="V456" i="30"/>
  <c r="W456" i="30"/>
  <c r="X456" i="30"/>
  <c r="Y456" i="30"/>
  <c r="Z456" i="30"/>
  <c r="AA456" i="30"/>
  <c r="AB456" i="30"/>
  <c r="AC456" i="30"/>
  <c r="AD456" i="30"/>
  <c r="AE456" i="30"/>
  <c r="AF456" i="30"/>
  <c r="AG456" i="30"/>
  <c r="AH456" i="30"/>
  <c r="AI456" i="30"/>
  <c r="AJ456" i="30"/>
  <c r="AK456" i="30"/>
  <c r="AL456" i="30"/>
  <c r="AM456" i="30"/>
  <c r="AN456" i="30"/>
  <c r="AO456" i="30"/>
  <c r="AP456" i="30"/>
  <c r="AQ456" i="30"/>
  <c r="AR456" i="30"/>
  <c r="AS456" i="30"/>
  <c r="AT456" i="30"/>
  <c r="AU456" i="30"/>
  <c r="AV456" i="30"/>
  <c r="AW456" i="30"/>
  <c r="AX456" i="30"/>
  <c r="AY456" i="30"/>
  <c r="AZ456" i="30"/>
  <c r="BA456" i="30"/>
  <c r="BB456" i="30"/>
  <c r="BC456" i="30"/>
  <c r="BD456" i="30"/>
  <c r="BE456" i="30"/>
  <c r="BF456" i="30"/>
  <c r="BG456" i="30"/>
  <c r="BH456" i="30"/>
  <c r="BI456" i="30"/>
  <c r="BJ456" i="30"/>
  <c r="BK456" i="30"/>
  <c r="BL456" i="30"/>
  <c r="BM456" i="30"/>
  <c r="BN456" i="30"/>
  <c r="BO456" i="30"/>
  <c r="BP456" i="30"/>
  <c r="BQ456" i="30"/>
  <c r="BR456" i="30"/>
  <c r="BS456" i="30"/>
  <c r="BT456" i="30"/>
  <c r="BU456" i="30"/>
  <c r="BV456" i="30"/>
  <c r="BW456" i="30"/>
  <c r="BX456" i="30"/>
  <c r="BY456" i="30"/>
  <c r="BZ456" i="30"/>
  <c r="CA456" i="30"/>
  <c r="CB456" i="30"/>
  <c r="CC456" i="30"/>
  <c r="CD456" i="30"/>
  <c r="CE456" i="30"/>
  <c r="CF456" i="30"/>
  <c r="CG456" i="30"/>
  <c r="CH456" i="30"/>
  <c r="CI456" i="30"/>
  <c r="CJ456" i="30"/>
  <c r="CK456" i="30"/>
  <c r="CL456" i="30"/>
  <c r="CM456" i="30"/>
  <c r="CN456" i="30"/>
  <c r="CO456" i="30"/>
  <c r="CP456" i="30"/>
  <c r="CQ456" i="30"/>
  <c r="CR456" i="30"/>
  <c r="CS456" i="30"/>
  <c r="CT456" i="30"/>
  <c r="CU456" i="30"/>
  <c r="CV456" i="30"/>
  <c r="CW456" i="30"/>
  <c r="CX456" i="30"/>
  <c r="CY456" i="30"/>
  <c r="CZ456" i="30"/>
  <c r="DA456" i="30"/>
  <c r="DB456" i="30"/>
  <c r="DC456" i="30"/>
  <c r="DD456" i="30"/>
  <c r="DE456" i="30"/>
  <c r="DF456" i="30"/>
  <c r="DG456" i="30"/>
  <c r="DH456" i="30"/>
  <c r="DI456" i="30"/>
  <c r="DJ456" i="30"/>
  <c r="DK456" i="30"/>
  <c r="DL456" i="30"/>
  <c r="DM456" i="30"/>
  <c r="DN456" i="30"/>
  <c r="DO456" i="30"/>
  <c r="DP456" i="30"/>
  <c r="DQ456" i="30"/>
  <c r="DR456" i="30"/>
  <c r="DS456" i="30"/>
  <c r="DT456" i="30"/>
  <c r="DU456" i="30"/>
  <c r="DV456" i="30"/>
  <c r="DW456" i="30"/>
  <c r="DX456" i="30"/>
  <c r="DY456" i="30"/>
  <c r="DZ456" i="30"/>
  <c r="EA456" i="30"/>
  <c r="EB456" i="30"/>
  <c r="EC456" i="30"/>
  <c r="ED456" i="30"/>
  <c r="EE456" i="30"/>
  <c r="EF456" i="30"/>
  <c r="EG456" i="30"/>
  <c r="EH456" i="30"/>
  <c r="EI456" i="30"/>
  <c r="EJ456" i="30"/>
  <c r="EK456" i="30"/>
  <c r="EL456" i="30"/>
  <c r="EM456" i="30"/>
  <c r="EN456" i="30"/>
  <c r="EO456" i="30"/>
  <c r="EP456" i="30"/>
  <c r="EQ456" i="30"/>
  <c r="ER456" i="30"/>
  <c r="ES456" i="30"/>
  <c r="ET456" i="30"/>
  <c r="EU456" i="30"/>
  <c r="EV456" i="30"/>
  <c r="EW456" i="30"/>
  <c r="EX456" i="30"/>
  <c r="EY456" i="30"/>
  <c r="EZ456" i="30"/>
  <c r="FA456" i="30"/>
  <c r="FB456" i="30"/>
  <c r="FC456" i="30"/>
  <c r="FD456" i="30"/>
  <c r="FE456" i="30"/>
  <c r="FF456" i="30"/>
  <c r="FG456" i="30"/>
  <c r="FH456" i="30"/>
  <c r="FI456" i="30"/>
  <c r="FJ456" i="30"/>
  <c r="FK456" i="30"/>
  <c r="FL456" i="30"/>
  <c r="FM456" i="30"/>
  <c r="FN456" i="30"/>
  <c r="FO456" i="30"/>
  <c r="FP456" i="30"/>
  <c r="FQ456" i="30"/>
  <c r="FR456" i="30"/>
  <c r="FS456" i="30"/>
  <c r="FT456" i="30"/>
  <c r="FU456" i="30"/>
  <c r="FV456" i="30"/>
  <c r="FW456" i="30"/>
  <c r="FX456" i="30"/>
  <c r="FY456" i="30"/>
  <c r="FZ456" i="30"/>
  <c r="GA456" i="30"/>
  <c r="GB456" i="30"/>
  <c r="GC456" i="30"/>
  <c r="GD456" i="30"/>
  <c r="GE456" i="30"/>
  <c r="GF456" i="30"/>
  <c r="GG456" i="30"/>
  <c r="GH456" i="30"/>
  <c r="GI456" i="30"/>
  <c r="GJ456" i="30"/>
  <c r="GK456" i="30"/>
  <c r="GL456" i="30"/>
  <c r="GM456" i="30"/>
  <c r="GN456" i="30"/>
  <c r="GO456" i="30"/>
  <c r="GP456" i="30"/>
  <c r="GQ456" i="30"/>
  <c r="GR456" i="30"/>
  <c r="GS456" i="30"/>
  <c r="GT456" i="30"/>
  <c r="GU456" i="30"/>
  <c r="GV456" i="30"/>
  <c r="GW456" i="30"/>
  <c r="GX456" i="30"/>
  <c r="GY456" i="30"/>
  <c r="GZ456" i="30"/>
  <c r="HA456" i="30"/>
  <c r="HB456" i="30"/>
  <c r="HC456" i="30"/>
  <c r="HD456" i="30"/>
  <c r="HE456" i="30"/>
  <c r="HF456" i="30"/>
  <c r="HG456" i="30"/>
  <c r="HH456" i="30"/>
  <c r="HI456" i="30"/>
  <c r="HJ456" i="30"/>
  <c r="HK456" i="30"/>
  <c r="HL456" i="30"/>
  <c r="HM456" i="30"/>
  <c r="HN456" i="30"/>
  <c r="HO456" i="30"/>
  <c r="HP456" i="30"/>
  <c r="HQ456" i="30"/>
  <c r="HR456" i="30"/>
  <c r="HS456" i="30"/>
  <c r="HT456" i="30"/>
  <c r="HU456" i="30"/>
  <c r="HV456" i="30"/>
  <c r="HW456" i="30"/>
  <c r="HX456" i="30"/>
  <c r="HY456" i="30"/>
  <c r="HZ456" i="30"/>
  <c r="IA456" i="30"/>
  <c r="IB456" i="30"/>
  <c r="IC456" i="30"/>
  <c r="ID456" i="30"/>
  <c r="IE456" i="30"/>
  <c r="IF456" i="30"/>
  <c r="IG456" i="30"/>
  <c r="IH456" i="30"/>
  <c r="II456" i="30"/>
  <c r="IJ456" i="30"/>
  <c r="IK456" i="30"/>
  <c r="IL456" i="30"/>
  <c r="IM456" i="30"/>
  <c r="IN456" i="30"/>
  <c r="IO456" i="30"/>
  <c r="IP456" i="30"/>
  <c r="IQ456" i="30"/>
  <c r="IR456" i="30"/>
  <c r="IS456" i="30"/>
  <c r="IT456" i="30"/>
  <c r="IU456" i="30"/>
  <c r="IV456" i="30"/>
  <c r="A455" i="30"/>
  <c r="B455" i="30"/>
  <c r="C455" i="30"/>
  <c r="D455" i="30"/>
  <c r="E455" i="30"/>
  <c r="F455" i="30"/>
  <c r="G455" i="30"/>
  <c r="H455" i="30"/>
  <c r="I455" i="30"/>
  <c r="J455" i="30"/>
  <c r="K455" i="30"/>
  <c r="L455" i="30"/>
  <c r="M455" i="30"/>
  <c r="N455" i="30"/>
  <c r="O455" i="30"/>
  <c r="P455" i="30"/>
  <c r="Q455" i="30"/>
  <c r="R455" i="30"/>
  <c r="S455" i="30"/>
  <c r="T455" i="30"/>
  <c r="U455" i="30"/>
  <c r="V455" i="30"/>
  <c r="W455" i="30"/>
  <c r="X455" i="30"/>
  <c r="Y455" i="30"/>
  <c r="Z455" i="30"/>
  <c r="AA455" i="30"/>
  <c r="AB455" i="30"/>
  <c r="AC455" i="30"/>
  <c r="AD455" i="30"/>
  <c r="AE455" i="30"/>
  <c r="AF455" i="30"/>
  <c r="AG455" i="30"/>
  <c r="AH455" i="30"/>
  <c r="AI455" i="30"/>
  <c r="AJ455" i="30"/>
  <c r="AK455" i="30"/>
  <c r="AL455" i="30"/>
  <c r="AM455" i="30"/>
  <c r="AN455" i="30"/>
  <c r="AO455" i="30"/>
  <c r="AP455" i="30"/>
  <c r="AQ455" i="30"/>
  <c r="AR455" i="30"/>
  <c r="AS455" i="30"/>
  <c r="AT455" i="30"/>
  <c r="AU455" i="30"/>
  <c r="AV455" i="30"/>
  <c r="AW455" i="30"/>
  <c r="AX455" i="30"/>
  <c r="AY455" i="30"/>
  <c r="AZ455" i="30"/>
  <c r="BA455" i="30"/>
  <c r="BB455" i="30"/>
  <c r="BC455" i="30"/>
  <c r="BD455" i="30"/>
  <c r="BE455" i="30"/>
  <c r="BF455" i="30"/>
  <c r="BG455" i="30"/>
  <c r="BH455" i="30"/>
  <c r="BI455" i="30"/>
  <c r="BJ455" i="30"/>
  <c r="BK455" i="30"/>
  <c r="BL455" i="30"/>
  <c r="BM455" i="30"/>
  <c r="BN455" i="30"/>
  <c r="BO455" i="30"/>
  <c r="BP455" i="30"/>
  <c r="BQ455" i="30"/>
  <c r="BR455" i="30"/>
  <c r="BS455" i="30"/>
  <c r="BT455" i="30"/>
  <c r="BU455" i="30"/>
  <c r="BV455" i="30"/>
  <c r="BW455" i="30"/>
  <c r="BX455" i="30"/>
  <c r="BY455" i="30"/>
  <c r="BZ455" i="30"/>
  <c r="CA455" i="30"/>
  <c r="CB455" i="30"/>
  <c r="CC455" i="30"/>
  <c r="CD455" i="30"/>
  <c r="CE455" i="30"/>
  <c r="CF455" i="30"/>
  <c r="CG455" i="30"/>
  <c r="CH455" i="30"/>
  <c r="CI455" i="30"/>
  <c r="CJ455" i="30"/>
  <c r="CK455" i="30"/>
  <c r="CL455" i="30"/>
  <c r="CM455" i="30"/>
  <c r="CN455" i="30"/>
  <c r="CO455" i="30"/>
  <c r="CP455" i="30"/>
  <c r="CQ455" i="30"/>
  <c r="CR455" i="30"/>
  <c r="CS455" i="30"/>
  <c r="CT455" i="30"/>
  <c r="CU455" i="30"/>
  <c r="CV455" i="30"/>
  <c r="CW455" i="30"/>
  <c r="CX455" i="30"/>
  <c r="CY455" i="30"/>
  <c r="CZ455" i="30"/>
  <c r="DA455" i="30"/>
  <c r="DB455" i="30"/>
  <c r="DC455" i="30"/>
  <c r="DD455" i="30"/>
  <c r="DE455" i="30"/>
  <c r="DF455" i="30"/>
  <c r="DG455" i="30"/>
  <c r="DH455" i="30"/>
  <c r="DI455" i="30"/>
  <c r="DJ455" i="30"/>
  <c r="DK455" i="30"/>
  <c r="DL455" i="30"/>
  <c r="DM455" i="30"/>
  <c r="DN455" i="30"/>
  <c r="DO455" i="30"/>
  <c r="DP455" i="30"/>
  <c r="DQ455" i="30"/>
  <c r="DR455" i="30"/>
  <c r="DS455" i="30"/>
  <c r="DT455" i="30"/>
  <c r="DU455" i="30"/>
  <c r="DV455" i="30"/>
  <c r="DW455" i="30"/>
  <c r="DX455" i="30"/>
  <c r="DY455" i="30"/>
  <c r="DZ455" i="30"/>
  <c r="EA455" i="30"/>
  <c r="EB455" i="30"/>
  <c r="EC455" i="30"/>
  <c r="ED455" i="30"/>
  <c r="EE455" i="30"/>
  <c r="EF455" i="30"/>
  <c r="EG455" i="30"/>
  <c r="EH455" i="30"/>
  <c r="EI455" i="30"/>
  <c r="EJ455" i="30"/>
  <c r="EK455" i="30"/>
  <c r="EL455" i="30"/>
  <c r="EM455" i="30"/>
  <c r="EN455" i="30"/>
  <c r="EO455" i="30"/>
  <c r="EP455" i="30"/>
  <c r="EQ455" i="30"/>
  <c r="ER455" i="30"/>
  <c r="ES455" i="30"/>
  <c r="ET455" i="30"/>
  <c r="EU455" i="30"/>
  <c r="EV455" i="30"/>
  <c r="EW455" i="30"/>
  <c r="EX455" i="30"/>
  <c r="EY455" i="30"/>
  <c r="EZ455" i="30"/>
  <c r="FA455" i="30"/>
  <c r="FB455" i="30"/>
  <c r="FC455" i="30"/>
  <c r="FD455" i="30"/>
  <c r="FE455" i="30"/>
  <c r="FF455" i="30"/>
  <c r="FG455" i="30"/>
  <c r="FH455" i="30"/>
  <c r="FI455" i="30"/>
  <c r="FJ455" i="30"/>
  <c r="FK455" i="30"/>
  <c r="FL455" i="30"/>
  <c r="FM455" i="30"/>
  <c r="FN455" i="30"/>
  <c r="FO455" i="30"/>
  <c r="FP455" i="30"/>
  <c r="FQ455" i="30"/>
  <c r="FR455" i="30"/>
  <c r="FS455" i="30"/>
  <c r="FT455" i="30"/>
  <c r="FU455" i="30"/>
  <c r="FV455" i="30"/>
  <c r="FW455" i="30"/>
  <c r="FX455" i="30"/>
  <c r="FY455" i="30"/>
  <c r="FZ455" i="30"/>
  <c r="GA455" i="30"/>
  <c r="GB455" i="30"/>
  <c r="GC455" i="30"/>
  <c r="GD455" i="30"/>
  <c r="GE455" i="30"/>
  <c r="GF455" i="30"/>
  <c r="GG455" i="30"/>
  <c r="GH455" i="30"/>
  <c r="GI455" i="30"/>
  <c r="GJ455" i="30"/>
  <c r="GK455" i="30"/>
  <c r="GL455" i="30"/>
  <c r="GM455" i="30"/>
  <c r="GN455" i="30"/>
  <c r="GO455" i="30"/>
  <c r="GP455" i="30"/>
  <c r="GQ455" i="30"/>
  <c r="GR455" i="30"/>
  <c r="GS455" i="30"/>
  <c r="GT455" i="30"/>
  <c r="GU455" i="30"/>
  <c r="GV455" i="30"/>
  <c r="GW455" i="30"/>
  <c r="GX455" i="30"/>
  <c r="GY455" i="30"/>
  <c r="GZ455" i="30"/>
  <c r="HA455" i="30"/>
  <c r="HB455" i="30"/>
  <c r="HC455" i="30"/>
  <c r="HD455" i="30"/>
  <c r="HE455" i="30"/>
  <c r="HF455" i="30"/>
  <c r="HG455" i="30"/>
  <c r="HH455" i="30"/>
  <c r="HI455" i="30"/>
  <c r="HJ455" i="30"/>
  <c r="HK455" i="30"/>
  <c r="HL455" i="30"/>
  <c r="HM455" i="30"/>
  <c r="HN455" i="30"/>
  <c r="HO455" i="30"/>
  <c r="HP455" i="30"/>
  <c r="HQ455" i="30"/>
  <c r="HR455" i="30"/>
  <c r="HS455" i="30"/>
  <c r="HT455" i="30"/>
  <c r="HU455" i="30"/>
  <c r="HV455" i="30"/>
  <c r="HW455" i="30"/>
  <c r="HX455" i="30"/>
  <c r="HY455" i="30"/>
  <c r="HZ455" i="30"/>
  <c r="IA455" i="30"/>
  <c r="IB455" i="30"/>
  <c r="IC455" i="30"/>
  <c r="ID455" i="30"/>
  <c r="IE455" i="30"/>
  <c r="IF455" i="30"/>
  <c r="IG455" i="30"/>
  <c r="IH455" i="30"/>
  <c r="II455" i="30"/>
  <c r="IJ455" i="30"/>
  <c r="IK455" i="30"/>
  <c r="IL455" i="30"/>
  <c r="IM455" i="30"/>
  <c r="IN455" i="30"/>
  <c r="IO455" i="30"/>
  <c r="IP455" i="30"/>
  <c r="IQ455" i="30"/>
  <c r="IR455" i="30"/>
  <c r="IS455" i="30"/>
  <c r="IT455" i="30"/>
  <c r="IU455" i="30"/>
  <c r="IV455" i="30"/>
  <c r="A454" i="30"/>
  <c r="B454" i="30"/>
  <c r="C454" i="30"/>
  <c r="D454" i="30"/>
  <c r="E454" i="30"/>
  <c r="F454" i="30"/>
  <c r="G454" i="30"/>
  <c r="H454" i="30"/>
  <c r="I454" i="30"/>
  <c r="J454" i="30"/>
  <c r="K454" i="30"/>
  <c r="L454" i="30"/>
  <c r="M454" i="30"/>
  <c r="N454" i="30"/>
  <c r="O454" i="30"/>
  <c r="P454" i="30"/>
  <c r="Q454" i="30"/>
  <c r="R454" i="30"/>
  <c r="S454" i="30"/>
  <c r="T454" i="30"/>
  <c r="U454" i="30"/>
  <c r="V454" i="30"/>
  <c r="W454" i="30"/>
  <c r="X454" i="30"/>
  <c r="Y454" i="30"/>
  <c r="Z454" i="30"/>
  <c r="AA454" i="30"/>
  <c r="AB454" i="30"/>
  <c r="AC454" i="30"/>
  <c r="AD454" i="30"/>
  <c r="AE454" i="30"/>
  <c r="AF454" i="30"/>
  <c r="AG454" i="30"/>
  <c r="AH454" i="30"/>
  <c r="AI454" i="30"/>
  <c r="AJ454" i="30"/>
  <c r="AK454" i="30"/>
  <c r="AL454" i="30"/>
  <c r="AM454" i="30"/>
  <c r="AN454" i="30"/>
  <c r="AO454" i="30"/>
  <c r="AP454" i="30"/>
  <c r="AQ454" i="30"/>
  <c r="AR454" i="30"/>
  <c r="AS454" i="30"/>
  <c r="AT454" i="30"/>
  <c r="AU454" i="30"/>
  <c r="AV454" i="30"/>
  <c r="AW454" i="30"/>
  <c r="AX454" i="30"/>
  <c r="AY454" i="30"/>
  <c r="AZ454" i="30"/>
  <c r="BA454" i="30"/>
  <c r="BB454" i="30"/>
  <c r="BC454" i="30"/>
  <c r="BD454" i="30"/>
  <c r="BE454" i="30"/>
  <c r="BF454" i="30"/>
  <c r="BG454" i="30"/>
  <c r="BH454" i="30"/>
  <c r="BI454" i="30"/>
  <c r="BJ454" i="30"/>
  <c r="BK454" i="30"/>
  <c r="BL454" i="30"/>
  <c r="BM454" i="30"/>
  <c r="BN454" i="30"/>
  <c r="BO454" i="30"/>
  <c r="BP454" i="30"/>
  <c r="BQ454" i="30"/>
  <c r="BR454" i="30"/>
  <c r="BS454" i="30"/>
  <c r="BT454" i="30"/>
  <c r="BU454" i="30"/>
  <c r="BV454" i="30"/>
  <c r="BW454" i="30"/>
  <c r="BX454" i="30"/>
  <c r="BY454" i="30"/>
  <c r="BZ454" i="30"/>
  <c r="CA454" i="30"/>
  <c r="CB454" i="30"/>
  <c r="CC454" i="30"/>
  <c r="CD454" i="30"/>
  <c r="CE454" i="30"/>
  <c r="CF454" i="30"/>
  <c r="CG454" i="30"/>
  <c r="CH454" i="30"/>
  <c r="CI454" i="30"/>
  <c r="CJ454" i="30"/>
  <c r="CK454" i="30"/>
  <c r="CL454" i="30"/>
  <c r="CM454" i="30"/>
  <c r="CN454" i="30"/>
  <c r="CO454" i="30"/>
  <c r="CP454" i="30"/>
  <c r="CQ454" i="30"/>
  <c r="CR454" i="30"/>
  <c r="CS454" i="30"/>
  <c r="CT454" i="30"/>
  <c r="CU454" i="30"/>
  <c r="CV454" i="30"/>
  <c r="CW454" i="30"/>
  <c r="CX454" i="30"/>
  <c r="CY454" i="30"/>
  <c r="CZ454" i="30"/>
  <c r="DA454" i="30"/>
  <c r="DB454" i="30"/>
  <c r="DC454" i="30"/>
  <c r="DD454" i="30"/>
  <c r="DE454" i="30"/>
  <c r="DF454" i="30"/>
  <c r="DG454" i="30"/>
  <c r="DH454" i="30"/>
  <c r="DI454" i="30"/>
  <c r="DJ454" i="30"/>
  <c r="DK454" i="30"/>
  <c r="DL454" i="30"/>
  <c r="DM454" i="30"/>
  <c r="DN454" i="30"/>
  <c r="DO454" i="30"/>
  <c r="DP454" i="30"/>
  <c r="DQ454" i="30"/>
  <c r="DR454" i="30"/>
  <c r="DS454" i="30"/>
  <c r="DT454" i="30"/>
  <c r="DU454" i="30"/>
  <c r="DV454" i="30"/>
  <c r="DW454" i="30"/>
  <c r="DX454" i="30"/>
  <c r="DY454" i="30"/>
  <c r="DZ454" i="30"/>
  <c r="EA454" i="30"/>
  <c r="EB454" i="30"/>
  <c r="EC454" i="30"/>
  <c r="ED454" i="30"/>
  <c r="EE454" i="30"/>
  <c r="EF454" i="30"/>
  <c r="EG454" i="30"/>
  <c r="EH454" i="30"/>
  <c r="EI454" i="30"/>
  <c r="EJ454" i="30"/>
  <c r="EK454" i="30"/>
  <c r="EL454" i="30"/>
  <c r="EM454" i="30"/>
  <c r="EN454" i="30"/>
  <c r="EO454" i="30"/>
  <c r="EP454" i="30"/>
  <c r="EQ454" i="30"/>
  <c r="ER454" i="30"/>
  <c r="ES454" i="30"/>
  <c r="ET454" i="30"/>
  <c r="EU454" i="30"/>
  <c r="EV454" i="30"/>
  <c r="EW454" i="30"/>
  <c r="EX454" i="30"/>
  <c r="EY454" i="30"/>
  <c r="EZ454" i="30"/>
  <c r="FA454" i="30"/>
  <c r="FB454" i="30"/>
  <c r="FC454" i="30"/>
  <c r="FD454" i="30"/>
  <c r="FE454" i="30"/>
  <c r="FF454" i="30"/>
  <c r="FG454" i="30"/>
  <c r="FH454" i="30"/>
  <c r="FI454" i="30"/>
  <c r="FJ454" i="30"/>
  <c r="FK454" i="30"/>
  <c r="FL454" i="30"/>
  <c r="FM454" i="30"/>
  <c r="FN454" i="30"/>
  <c r="FO454" i="30"/>
  <c r="FP454" i="30"/>
  <c r="FQ454" i="30"/>
  <c r="FR454" i="30"/>
  <c r="FS454" i="30"/>
  <c r="FT454" i="30"/>
  <c r="FU454" i="30"/>
  <c r="FV454" i="30"/>
  <c r="FW454" i="30"/>
  <c r="FX454" i="30"/>
  <c r="FY454" i="30"/>
  <c r="FZ454" i="30"/>
  <c r="GA454" i="30"/>
  <c r="GB454" i="30"/>
  <c r="GC454" i="30"/>
  <c r="GD454" i="30"/>
  <c r="GE454" i="30"/>
  <c r="GF454" i="30"/>
  <c r="GG454" i="30"/>
  <c r="GH454" i="30"/>
  <c r="GI454" i="30"/>
  <c r="GJ454" i="30"/>
  <c r="GK454" i="30"/>
  <c r="GL454" i="30"/>
  <c r="GM454" i="30"/>
  <c r="GN454" i="30"/>
  <c r="GO454" i="30"/>
  <c r="GP454" i="30"/>
  <c r="GQ454" i="30"/>
  <c r="GR454" i="30"/>
  <c r="GS454" i="30"/>
  <c r="GT454" i="30"/>
  <c r="GU454" i="30"/>
  <c r="GV454" i="30"/>
  <c r="GW454" i="30"/>
  <c r="GX454" i="30"/>
  <c r="GY454" i="30"/>
  <c r="GZ454" i="30"/>
  <c r="HA454" i="30"/>
  <c r="HB454" i="30"/>
  <c r="HC454" i="30"/>
  <c r="HD454" i="30"/>
  <c r="HE454" i="30"/>
  <c r="HF454" i="30"/>
  <c r="HG454" i="30"/>
  <c r="HH454" i="30"/>
  <c r="HI454" i="30"/>
  <c r="HJ454" i="30"/>
  <c r="HK454" i="30"/>
  <c r="HL454" i="30"/>
  <c r="HM454" i="30"/>
  <c r="HN454" i="30"/>
  <c r="HO454" i="30"/>
  <c r="HP454" i="30"/>
  <c r="HQ454" i="30"/>
  <c r="HR454" i="30"/>
  <c r="HS454" i="30"/>
  <c r="HT454" i="30"/>
  <c r="HU454" i="30"/>
  <c r="HV454" i="30"/>
  <c r="HW454" i="30"/>
  <c r="HX454" i="30"/>
  <c r="HY454" i="30"/>
  <c r="HZ454" i="30"/>
  <c r="IA454" i="30"/>
  <c r="IB454" i="30"/>
  <c r="IC454" i="30"/>
  <c r="ID454" i="30"/>
  <c r="IE454" i="30"/>
  <c r="IF454" i="30"/>
  <c r="IG454" i="30"/>
  <c r="IH454" i="30"/>
  <c r="II454" i="30"/>
  <c r="IJ454" i="30"/>
  <c r="IK454" i="30"/>
  <c r="IL454" i="30"/>
  <c r="IM454" i="30"/>
  <c r="IN454" i="30"/>
  <c r="IO454" i="30"/>
  <c r="IP454" i="30"/>
  <c r="IQ454" i="30"/>
  <c r="IR454" i="30"/>
  <c r="IS454" i="30"/>
  <c r="IT454" i="30"/>
  <c r="IU454" i="30"/>
  <c r="IV454" i="30"/>
  <c r="A453" i="30"/>
  <c r="B453" i="30"/>
  <c r="C453" i="30"/>
  <c r="D453" i="30"/>
  <c r="E453" i="30"/>
  <c r="F453" i="30"/>
  <c r="G453" i="30"/>
  <c r="H453" i="30"/>
  <c r="I453" i="30"/>
  <c r="J453" i="30"/>
  <c r="K453" i="30"/>
  <c r="L453" i="30"/>
  <c r="M453" i="30"/>
  <c r="N453" i="30"/>
  <c r="O453" i="30"/>
  <c r="P453" i="30"/>
  <c r="Q453" i="30"/>
  <c r="R453" i="30"/>
  <c r="S453" i="30"/>
  <c r="T453" i="30"/>
  <c r="U453" i="30"/>
  <c r="V453" i="30"/>
  <c r="W453" i="30"/>
  <c r="X453" i="30"/>
  <c r="Y453" i="30"/>
  <c r="Z453" i="30"/>
  <c r="AA453" i="30"/>
  <c r="AB453" i="30"/>
  <c r="AC453" i="30"/>
  <c r="AD453" i="30"/>
  <c r="AE453" i="30"/>
  <c r="AF453" i="30"/>
  <c r="AG453" i="30"/>
  <c r="AH453" i="30"/>
  <c r="AI453" i="30"/>
  <c r="AJ453" i="30"/>
  <c r="AK453" i="30"/>
  <c r="AL453" i="30"/>
  <c r="AM453" i="30"/>
  <c r="AN453" i="30"/>
  <c r="AO453" i="30"/>
  <c r="AP453" i="30"/>
  <c r="AQ453" i="30"/>
  <c r="AR453" i="30"/>
  <c r="AS453" i="30"/>
  <c r="AT453" i="30"/>
  <c r="AU453" i="30"/>
  <c r="AV453" i="30"/>
  <c r="AW453" i="30"/>
  <c r="AX453" i="30"/>
  <c r="AY453" i="30"/>
  <c r="AZ453" i="30"/>
  <c r="BA453" i="30"/>
  <c r="BB453" i="30"/>
  <c r="BC453" i="30"/>
  <c r="BD453" i="30"/>
  <c r="BE453" i="30"/>
  <c r="BF453" i="30"/>
  <c r="BG453" i="30"/>
  <c r="BH453" i="30"/>
  <c r="BI453" i="30"/>
  <c r="BJ453" i="30"/>
  <c r="BK453" i="30"/>
  <c r="BL453" i="30"/>
  <c r="BM453" i="30"/>
  <c r="BN453" i="30"/>
  <c r="BO453" i="30"/>
  <c r="BP453" i="30"/>
  <c r="BQ453" i="30"/>
  <c r="BR453" i="30"/>
  <c r="BS453" i="30"/>
  <c r="BT453" i="30"/>
  <c r="BU453" i="30"/>
  <c r="BV453" i="30"/>
  <c r="BW453" i="30"/>
  <c r="BX453" i="30"/>
  <c r="BY453" i="30"/>
  <c r="BZ453" i="30"/>
  <c r="CA453" i="30"/>
  <c r="CB453" i="30"/>
  <c r="CC453" i="30"/>
  <c r="CD453" i="30"/>
  <c r="CE453" i="30"/>
  <c r="CF453" i="30"/>
  <c r="CG453" i="30"/>
  <c r="CH453" i="30"/>
  <c r="CI453" i="30"/>
  <c r="CJ453" i="30"/>
  <c r="CK453" i="30"/>
  <c r="CL453" i="30"/>
  <c r="CM453" i="30"/>
  <c r="CN453" i="30"/>
  <c r="CO453" i="30"/>
  <c r="CP453" i="30"/>
  <c r="CQ453" i="30"/>
  <c r="CR453" i="30"/>
  <c r="CS453" i="30"/>
  <c r="CT453" i="30"/>
  <c r="CU453" i="30"/>
  <c r="CV453" i="30"/>
  <c r="CW453" i="30"/>
  <c r="CX453" i="30"/>
  <c r="CY453" i="30"/>
  <c r="CZ453" i="30"/>
  <c r="DA453" i="30"/>
  <c r="DB453" i="30"/>
  <c r="DC453" i="30"/>
  <c r="DD453" i="30"/>
  <c r="DE453" i="30"/>
  <c r="DF453" i="30"/>
  <c r="DG453" i="30"/>
  <c r="DH453" i="30"/>
  <c r="DI453" i="30"/>
  <c r="DJ453" i="30"/>
  <c r="DK453" i="30"/>
  <c r="DL453" i="30"/>
  <c r="DM453" i="30"/>
  <c r="DN453" i="30"/>
  <c r="DO453" i="30"/>
  <c r="DP453" i="30"/>
  <c r="DQ453" i="30"/>
  <c r="DR453" i="30"/>
  <c r="DS453" i="30"/>
  <c r="DT453" i="30"/>
  <c r="DU453" i="30"/>
  <c r="DV453" i="30"/>
  <c r="DW453" i="30"/>
  <c r="DX453" i="30"/>
  <c r="DY453" i="30"/>
  <c r="DZ453" i="30"/>
  <c r="EA453" i="30"/>
  <c r="EB453" i="30"/>
  <c r="EC453" i="30"/>
  <c r="ED453" i="30"/>
  <c r="EE453" i="30"/>
  <c r="EF453" i="30"/>
  <c r="EG453" i="30"/>
  <c r="EH453" i="30"/>
  <c r="EI453" i="30"/>
  <c r="EJ453" i="30"/>
  <c r="EK453" i="30"/>
  <c r="EL453" i="30"/>
  <c r="EM453" i="30"/>
  <c r="EN453" i="30"/>
  <c r="EO453" i="30"/>
  <c r="EP453" i="30"/>
  <c r="EQ453" i="30"/>
  <c r="ER453" i="30"/>
  <c r="ES453" i="30"/>
  <c r="ET453" i="30"/>
  <c r="EU453" i="30"/>
  <c r="EV453" i="30"/>
  <c r="EW453" i="30"/>
  <c r="EX453" i="30"/>
  <c r="EY453" i="30"/>
  <c r="EZ453" i="30"/>
  <c r="FA453" i="30"/>
  <c r="FB453" i="30"/>
  <c r="FC453" i="30"/>
  <c r="FD453" i="30"/>
  <c r="FE453" i="30"/>
  <c r="FF453" i="30"/>
  <c r="FG453" i="30"/>
  <c r="FH453" i="30"/>
  <c r="FI453" i="30"/>
  <c r="FJ453" i="30"/>
  <c r="FK453" i="30"/>
  <c r="FL453" i="30"/>
  <c r="FM453" i="30"/>
  <c r="FN453" i="30"/>
  <c r="FO453" i="30"/>
  <c r="FP453" i="30"/>
  <c r="FQ453" i="30"/>
  <c r="FR453" i="30"/>
  <c r="FS453" i="30"/>
  <c r="FT453" i="30"/>
  <c r="FU453" i="30"/>
  <c r="FV453" i="30"/>
  <c r="FW453" i="30"/>
  <c r="FX453" i="30"/>
  <c r="FY453" i="30"/>
  <c r="FZ453" i="30"/>
  <c r="GA453" i="30"/>
  <c r="GB453" i="30"/>
  <c r="GC453" i="30"/>
  <c r="GD453" i="30"/>
  <c r="GE453" i="30"/>
  <c r="GF453" i="30"/>
  <c r="GG453" i="30"/>
  <c r="GH453" i="30"/>
  <c r="GI453" i="30"/>
  <c r="GJ453" i="30"/>
  <c r="GK453" i="30"/>
  <c r="GL453" i="30"/>
  <c r="GM453" i="30"/>
  <c r="GN453" i="30"/>
  <c r="GO453" i="30"/>
  <c r="GP453" i="30"/>
  <c r="GQ453" i="30"/>
  <c r="GR453" i="30"/>
  <c r="GS453" i="30"/>
  <c r="GT453" i="30"/>
  <c r="GU453" i="30"/>
  <c r="GV453" i="30"/>
  <c r="GW453" i="30"/>
  <c r="GX453" i="30"/>
  <c r="GY453" i="30"/>
  <c r="GZ453" i="30"/>
  <c r="HA453" i="30"/>
  <c r="HB453" i="30"/>
  <c r="HC453" i="30"/>
  <c r="HD453" i="30"/>
  <c r="HE453" i="30"/>
  <c r="HF453" i="30"/>
  <c r="HG453" i="30"/>
  <c r="HH453" i="30"/>
  <c r="HI453" i="30"/>
  <c r="HJ453" i="30"/>
  <c r="HK453" i="30"/>
  <c r="HL453" i="30"/>
  <c r="HM453" i="30"/>
  <c r="HN453" i="30"/>
  <c r="HO453" i="30"/>
  <c r="HP453" i="30"/>
  <c r="HQ453" i="30"/>
  <c r="HR453" i="30"/>
  <c r="HS453" i="30"/>
  <c r="HT453" i="30"/>
  <c r="HU453" i="30"/>
  <c r="HV453" i="30"/>
  <c r="HW453" i="30"/>
  <c r="HX453" i="30"/>
  <c r="HY453" i="30"/>
  <c r="HZ453" i="30"/>
  <c r="IA453" i="30"/>
  <c r="IB453" i="30"/>
  <c r="IC453" i="30"/>
  <c r="ID453" i="30"/>
  <c r="IE453" i="30"/>
  <c r="IF453" i="30"/>
  <c r="IG453" i="30"/>
  <c r="IH453" i="30"/>
  <c r="II453" i="30"/>
  <c r="IJ453" i="30"/>
  <c r="IK453" i="30"/>
  <c r="IL453" i="30"/>
  <c r="IM453" i="30"/>
  <c r="IN453" i="30"/>
  <c r="IO453" i="30"/>
  <c r="IP453" i="30"/>
  <c r="IQ453" i="30"/>
  <c r="IR453" i="30"/>
  <c r="IS453" i="30"/>
  <c r="IT453" i="30"/>
  <c r="IU453" i="30"/>
  <c r="IV453" i="30"/>
  <c r="A452" i="30"/>
  <c r="B452" i="30"/>
  <c r="C452" i="30"/>
  <c r="D452" i="30"/>
  <c r="E452" i="30"/>
  <c r="F452" i="30"/>
  <c r="G452" i="30"/>
  <c r="H452" i="30"/>
  <c r="I452" i="30"/>
  <c r="J452" i="30"/>
  <c r="K452" i="30"/>
  <c r="L452" i="30"/>
  <c r="M452" i="30"/>
  <c r="N452" i="30"/>
  <c r="O452" i="30"/>
  <c r="P452" i="30"/>
  <c r="Q452" i="30"/>
  <c r="R452" i="30"/>
  <c r="S452" i="30"/>
  <c r="T452" i="30"/>
  <c r="U452" i="30"/>
  <c r="V452" i="30"/>
  <c r="W452" i="30"/>
  <c r="X452" i="30"/>
  <c r="Y452" i="30"/>
  <c r="Z452" i="30"/>
  <c r="AA452" i="30"/>
  <c r="AB452" i="30"/>
  <c r="AC452" i="30"/>
  <c r="AD452" i="30"/>
  <c r="AE452" i="30"/>
  <c r="AF452" i="30"/>
  <c r="AG452" i="30"/>
  <c r="AH452" i="30"/>
  <c r="AI452" i="30"/>
  <c r="AJ452" i="30"/>
  <c r="AK452" i="30"/>
  <c r="AL452" i="30"/>
  <c r="AM452" i="30"/>
  <c r="AN452" i="30"/>
  <c r="AO452" i="30"/>
  <c r="AP452" i="30"/>
  <c r="AQ452" i="30"/>
  <c r="AR452" i="30"/>
  <c r="AS452" i="30"/>
  <c r="AT452" i="30"/>
  <c r="AU452" i="30"/>
  <c r="AV452" i="30"/>
  <c r="AW452" i="30"/>
  <c r="AX452" i="30"/>
  <c r="AY452" i="30"/>
  <c r="AZ452" i="30"/>
  <c r="BA452" i="30"/>
  <c r="BB452" i="30"/>
  <c r="BC452" i="30"/>
  <c r="BD452" i="30"/>
  <c r="BE452" i="30"/>
  <c r="BF452" i="30"/>
  <c r="BG452" i="30"/>
  <c r="BH452" i="30"/>
  <c r="BI452" i="30"/>
  <c r="BJ452" i="30"/>
  <c r="BK452" i="30"/>
  <c r="BL452" i="30"/>
  <c r="BM452" i="30"/>
  <c r="BN452" i="30"/>
  <c r="BO452" i="30"/>
  <c r="BP452" i="30"/>
  <c r="BQ452" i="30"/>
  <c r="BR452" i="30"/>
  <c r="BS452" i="30"/>
  <c r="BT452" i="30"/>
  <c r="BU452" i="30"/>
  <c r="BV452" i="30"/>
  <c r="BW452" i="30"/>
  <c r="BX452" i="30"/>
  <c r="BY452" i="30"/>
  <c r="BZ452" i="30"/>
  <c r="CA452" i="30"/>
  <c r="CB452" i="30"/>
  <c r="CC452" i="30"/>
  <c r="CD452" i="30"/>
  <c r="CE452" i="30"/>
  <c r="CF452" i="30"/>
  <c r="CG452" i="30"/>
  <c r="CH452" i="30"/>
  <c r="CI452" i="30"/>
  <c r="CJ452" i="30"/>
  <c r="CK452" i="30"/>
  <c r="CL452" i="30"/>
  <c r="CM452" i="30"/>
  <c r="CN452" i="30"/>
  <c r="CO452" i="30"/>
  <c r="CP452" i="30"/>
  <c r="CQ452" i="30"/>
  <c r="CR452" i="30"/>
  <c r="CS452" i="30"/>
  <c r="CT452" i="30"/>
  <c r="CU452" i="30"/>
  <c r="CV452" i="30"/>
  <c r="CW452" i="30"/>
  <c r="CX452" i="30"/>
  <c r="CY452" i="30"/>
  <c r="CZ452" i="30"/>
  <c r="DA452" i="30"/>
  <c r="DB452" i="30"/>
  <c r="DC452" i="30"/>
  <c r="DD452" i="30"/>
  <c r="DE452" i="30"/>
  <c r="DF452" i="30"/>
  <c r="DG452" i="30"/>
  <c r="DH452" i="30"/>
  <c r="DI452" i="30"/>
  <c r="DJ452" i="30"/>
  <c r="DK452" i="30"/>
  <c r="DL452" i="30"/>
  <c r="DM452" i="30"/>
  <c r="DN452" i="30"/>
  <c r="DO452" i="30"/>
  <c r="DP452" i="30"/>
  <c r="DQ452" i="30"/>
  <c r="DR452" i="30"/>
  <c r="DS452" i="30"/>
  <c r="DT452" i="30"/>
  <c r="DU452" i="30"/>
  <c r="DV452" i="30"/>
  <c r="DW452" i="30"/>
  <c r="DX452" i="30"/>
  <c r="DY452" i="30"/>
  <c r="DZ452" i="30"/>
  <c r="EA452" i="30"/>
  <c r="EB452" i="30"/>
  <c r="EC452" i="30"/>
  <c r="ED452" i="30"/>
  <c r="EE452" i="30"/>
  <c r="EF452" i="30"/>
  <c r="EG452" i="30"/>
  <c r="EH452" i="30"/>
  <c r="EI452" i="30"/>
  <c r="EJ452" i="30"/>
  <c r="EK452" i="30"/>
  <c r="EL452" i="30"/>
  <c r="EM452" i="30"/>
  <c r="EN452" i="30"/>
  <c r="EO452" i="30"/>
  <c r="EP452" i="30"/>
  <c r="EQ452" i="30"/>
  <c r="ER452" i="30"/>
  <c r="ES452" i="30"/>
  <c r="ET452" i="30"/>
  <c r="EU452" i="30"/>
  <c r="EV452" i="30"/>
  <c r="EW452" i="30"/>
  <c r="EX452" i="30"/>
  <c r="EY452" i="30"/>
  <c r="EZ452" i="30"/>
  <c r="FA452" i="30"/>
  <c r="FB452" i="30"/>
  <c r="FC452" i="30"/>
  <c r="FD452" i="30"/>
  <c r="FE452" i="30"/>
  <c r="FF452" i="30"/>
  <c r="FG452" i="30"/>
  <c r="FH452" i="30"/>
  <c r="FI452" i="30"/>
  <c r="FJ452" i="30"/>
  <c r="FK452" i="30"/>
  <c r="FL452" i="30"/>
  <c r="FM452" i="30"/>
  <c r="FN452" i="30"/>
  <c r="FO452" i="30"/>
  <c r="FP452" i="30"/>
  <c r="FQ452" i="30"/>
  <c r="FR452" i="30"/>
  <c r="FS452" i="30"/>
  <c r="FT452" i="30"/>
  <c r="FU452" i="30"/>
  <c r="FV452" i="30"/>
  <c r="FW452" i="30"/>
  <c r="FX452" i="30"/>
  <c r="FY452" i="30"/>
  <c r="FZ452" i="30"/>
  <c r="GA452" i="30"/>
  <c r="GB452" i="30"/>
  <c r="GC452" i="30"/>
  <c r="GD452" i="30"/>
  <c r="GE452" i="30"/>
  <c r="GF452" i="30"/>
  <c r="GG452" i="30"/>
  <c r="GH452" i="30"/>
  <c r="GI452" i="30"/>
  <c r="GJ452" i="30"/>
  <c r="GK452" i="30"/>
  <c r="GL452" i="30"/>
  <c r="GM452" i="30"/>
  <c r="GN452" i="30"/>
  <c r="GO452" i="30"/>
  <c r="GP452" i="30"/>
  <c r="GQ452" i="30"/>
  <c r="GR452" i="30"/>
  <c r="GS452" i="30"/>
  <c r="GT452" i="30"/>
  <c r="GU452" i="30"/>
  <c r="GV452" i="30"/>
  <c r="GW452" i="30"/>
  <c r="GX452" i="30"/>
  <c r="GY452" i="30"/>
  <c r="GZ452" i="30"/>
  <c r="HA452" i="30"/>
  <c r="HB452" i="30"/>
  <c r="HC452" i="30"/>
  <c r="HD452" i="30"/>
  <c r="HE452" i="30"/>
  <c r="HF452" i="30"/>
  <c r="HG452" i="30"/>
  <c r="HH452" i="30"/>
  <c r="HI452" i="30"/>
  <c r="HJ452" i="30"/>
  <c r="HK452" i="30"/>
  <c r="HL452" i="30"/>
  <c r="HM452" i="30"/>
  <c r="HN452" i="30"/>
  <c r="HO452" i="30"/>
  <c r="HP452" i="30"/>
  <c r="HQ452" i="30"/>
  <c r="HR452" i="30"/>
  <c r="HS452" i="30"/>
  <c r="HT452" i="30"/>
  <c r="HU452" i="30"/>
  <c r="HV452" i="30"/>
  <c r="HW452" i="30"/>
  <c r="HX452" i="30"/>
  <c r="HY452" i="30"/>
  <c r="HZ452" i="30"/>
  <c r="IA452" i="30"/>
  <c r="IB452" i="30"/>
  <c r="IC452" i="30"/>
  <c r="ID452" i="30"/>
  <c r="IE452" i="30"/>
  <c r="IF452" i="30"/>
  <c r="IG452" i="30"/>
  <c r="IH452" i="30"/>
  <c r="II452" i="30"/>
  <c r="IJ452" i="30"/>
  <c r="IK452" i="30"/>
  <c r="IL452" i="30"/>
  <c r="IM452" i="30"/>
  <c r="IN452" i="30"/>
  <c r="IO452" i="30"/>
  <c r="IP452" i="30"/>
  <c r="IQ452" i="30"/>
  <c r="IR452" i="30"/>
  <c r="IS452" i="30"/>
  <c r="IT452" i="30"/>
  <c r="IU452" i="30"/>
  <c r="IV452" i="30"/>
  <c r="A451" i="30"/>
  <c r="B451" i="30"/>
  <c r="C451" i="30"/>
  <c r="D451" i="30"/>
  <c r="E451" i="30"/>
  <c r="F451" i="30"/>
  <c r="G451" i="30"/>
  <c r="H451" i="30"/>
  <c r="I451" i="30"/>
  <c r="J451" i="30"/>
  <c r="K451" i="30"/>
  <c r="L451" i="30"/>
  <c r="M451" i="30"/>
  <c r="N451" i="30"/>
  <c r="O451" i="30"/>
  <c r="P451" i="30"/>
  <c r="Q451" i="30"/>
  <c r="R451" i="30"/>
  <c r="S451" i="30"/>
  <c r="T451" i="30"/>
  <c r="U451" i="30"/>
  <c r="V451" i="30"/>
  <c r="W451" i="30"/>
  <c r="X451" i="30"/>
  <c r="Y451" i="30"/>
  <c r="Z451" i="30"/>
  <c r="AA451" i="30"/>
  <c r="AB451" i="30"/>
  <c r="AC451" i="30"/>
  <c r="AD451" i="30"/>
  <c r="AE451" i="30"/>
  <c r="AF451" i="30"/>
  <c r="AG451" i="30"/>
  <c r="AH451" i="30"/>
  <c r="AI451" i="30"/>
  <c r="AJ451" i="30"/>
  <c r="AK451" i="30"/>
  <c r="AL451" i="30"/>
  <c r="AM451" i="30"/>
  <c r="AN451" i="30"/>
  <c r="AO451" i="30"/>
  <c r="AP451" i="30"/>
  <c r="AQ451" i="30"/>
  <c r="AR451" i="30"/>
  <c r="AS451" i="30"/>
  <c r="AT451" i="30"/>
  <c r="AU451" i="30"/>
  <c r="AV451" i="30"/>
  <c r="AW451" i="30"/>
  <c r="AX451" i="30"/>
  <c r="AY451" i="30"/>
  <c r="AZ451" i="30"/>
  <c r="BA451" i="30"/>
  <c r="BB451" i="30"/>
  <c r="BC451" i="30"/>
  <c r="BD451" i="30"/>
  <c r="BE451" i="30"/>
  <c r="BF451" i="30"/>
  <c r="BG451" i="30"/>
  <c r="BH451" i="30"/>
  <c r="BI451" i="30"/>
  <c r="BJ451" i="30"/>
  <c r="BK451" i="30"/>
  <c r="BL451" i="30"/>
  <c r="BM451" i="30"/>
  <c r="BN451" i="30"/>
  <c r="BO451" i="30"/>
  <c r="BP451" i="30"/>
  <c r="BQ451" i="30"/>
  <c r="BR451" i="30"/>
  <c r="BS451" i="30"/>
  <c r="BT451" i="30"/>
  <c r="BU451" i="30"/>
  <c r="BV451" i="30"/>
  <c r="BW451" i="30"/>
  <c r="BX451" i="30"/>
  <c r="BY451" i="30"/>
  <c r="BZ451" i="30"/>
  <c r="CA451" i="30"/>
  <c r="CB451" i="30"/>
  <c r="CC451" i="30"/>
  <c r="CD451" i="30"/>
  <c r="CE451" i="30"/>
  <c r="CF451" i="30"/>
  <c r="CG451" i="30"/>
  <c r="CH451" i="30"/>
  <c r="CI451" i="30"/>
  <c r="CJ451" i="30"/>
  <c r="CK451" i="30"/>
  <c r="CL451" i="30"/>
  <c r="CM451" i="30"/>
  <c r="CN451" i="30"/>
  <c r="CO451" i="30"/>
  <c r="CP451" i="30"/>
  <c r="CQ451" i="30"/>
  <c r="CR451" i="30"/>
  <c r="CS451" i="30"/>
  <c r="CT451" i="30"/>
  <c r="CU451" i="30"/>
  <c r="CV451" i="30"/>
  <c r="CW451" i="30"/>
  <c r="CX451" i="30"/>
  <c r="CY451" i="30"/>
  <c r="CZ451" i="30"/>
  <c r="DA451" i="30"/>
  <c r="DB451" i="30"/>
  <c r="DC451" i="30"/>
  <c r="DD451" i="30"/>
  <c r="DE451" i="30"/>
  <c r="DF451" i="30"/>
  <c r="DG451" i="30"/>
  <c r="DH451" i="30"/>
  <c r="DI451" i="30"/>
  <c r="DJ451" i="30"/>
  <c r="DK451" i="30"/>
  <c r="DL451" i="30"/>
  <c r="DM451" i="30"/>
  <c r="DN451" i="30"/>
  <c r="DO451" i="30"/>
  <c r="DP451" i="30"/>
  <c r="DQ451" i="30"/>
  <c r="DR451" i="30"/>
  <c r="DS451" i="30"/>
  <c r="DT451" i="30"/>
  <c r="DU451" i="30"/>
  <c r="DV451" i="30"/>
  <c r="DW451" i="30"/>
  <c r="DX451" i="30"/>
  <c r="DY451" i="30"/>
  <c r="DZ451" i="30"/>
  <c r="EA451" i="30"/>
  <c r="EB451" i="30"/>
  <c r="EC451" i="30"/>
  <c r="ED451" i="30"/>
  <c r="EE451" i="30"/>
  <c r="EF451" i="30"/>
  <c r="EG451" i="30"/>
  <c r="EH451" i="30"/>
  <c r="EI451" i="30"/>
  <c r="EJ451" i="30"/>
  <c r="EK451" i="30"/>
  <c r="EL451" i="30"/>
  <c r="EM451" i="30"/>
  <c r="EN451" i="30"/>
  <c r="EO451" i="30"/>
  <c r="EP451" i="30"/>
  <c r="EQ451" i="30"/>
  <c r="ER451" i="30"/>
  <c r="ES451" i="30"/>
  <c r="ET451" i="30"/>
  <c r="EU451" i="30"/>
  <c r="EV451" i="30"/>
  <c r="EW451" i="30"/>
  <c r="EX451" i="30"/>
  <c r="EY451" i="30"/>
  <c r="EZ451" i="30"/>
  <c r="FA451" i="30"/>
  <c r="FB451" i="30"/>
  <c r="FC451" i="30"/>
  <c r="FD451" i="30"/>
  <c r="FE451" i="30"/>
  <c r="FF451" i="30"/>
  <c r="FG451" i="30"/>
  <c r="FH451" i="30"/>
  <c r="FI451" i="30"/>
  <c r="FJ451" i="30"/>
  <c r="FK451" i="30"/>
  <c r="FL451" i="30"/>
  <c r="FM451" i="30"/>
  <c r="FN451" i="30"/>
  <c r="FO451" i="30"/>
  <c r="FP451" i="30"/>
  <c r="FQ451" i="30"/>
  <c r="FR451" i="30"/>
  <c r="FS451" i="30"/>
  <c r="FT451" i="30"/>
  <c r="FU451" i="30"/>
  <c r="FV451" i="30"/>
  <c r="FW451" i="30"/>
  <c r="FX451" i="30"/>
  <c r="FY451" i="30"/>
  <c r="FZ451" i="30"/>
  <c r="GA451" i="30"/>
  <c r="GB451" i="30"/>
  <c r="GC451" i="30"/>
  <c r="GD451" i="30"/>
  <c r="GE451" i="30"/>
  <c r="GF451" i="30"/>
  <c r="GG451" i="30"/>
  <c r="GH451" i="30"/>
  <c r="GI451" i="30"/>
  <c r="GJ451" i="30"/>
  <c r="GK451" i="30"/>
  <c r="GL451" i="30"/>
  <c r="GM451" i="30"/>
  <c r="GN451" i="30"/>
  <c r="GO451" i="30"/>
  <c r="GP451" i="30"/>
  <c r="GQ451" i="30"/>
  <c r="GR451" i="30"/>
  <c r="GS451" i="30"/>
  <c r="GT451" i="30"/>
  <c r="GU451" i="30"/>
  <c r="GV451" i="30"/>
  <c r="GW451" i="30"/>
  <c r="GX451" i="30"/>
  <c r="GY451" i="30"/>
  <c r="GZ451" i="30"/>
  <c r="HA451" i="30"/>
  <c r="HB451" i="30"/>
  <c r="HC451" i="30"/>
  <c r="HD451" i="30"/>
  <c r="HE451" i="30"/>
  <c r="HF451" i="30"/>
  <c r="HG451" i="30"/>
  <c r="HH451" i="30"/>
  <c r="HI451" i="30"/>
  <c r="HJ451" i="30"/>
  <c r="HK451" i="30"/>
  <c r="HL451" i="30"/>
  <c r="HM451" i="30"/>
  <c r="HN451" i="30"/>
  <c r="HO451" i="30"/>
  <c r="HP451" i="30"/>
  <c r="HQ451" i="30"/>
  <c r="HR451" i="30"/>
  <c r="HS451" i="30"/>
  <c r="HT451" i="30"/>
  <c r="HU451" i="30"/>
  <c r="HV451" i="30"/>
  <c r="HW451" i="30"/>
  <c r="HX451" i="30"/>
  <c r="HY451" i="30"/>
  <c r="HZ451" i="30"/>
  <c r="IA451" i="30"/>
  <c r="IB451" i="30"/>
  <c r="IC451" i="30"/>
  <c r="ID451" i="30"/>
  <c r="IE451" i="30"/>
  <c r="IF451" i="30"/>
  <c r="IG451" i="30"/>
  <c r="IH451" i="30"/>
  <c r="II451" i="30"/>
  <c r="IJ451" i="30"/>
  <c r="IK451" i="30"/>
  <c r="IL451" i="30"/>
  <c r="IM451" i="30"/>
  <c r="IN451" i="30"/>
  <c r="IO451" i="30"/>
  <c r="IP451" i="30"/>
  <c r="IQ451" i="30"/>
  <c r="IR451" i="30"/>
  <c r="IS451" i="30"/>
  <c r="IT451" i="30"/>
  <c r="IU451" i="30"/>
  <c r="IV451" i="30"/>
  <c r="A450" i="30"/>
  <c r="B450" i="30"/>
  <c r="C450" i="30"/>
  <c r="D450" i="30"/>
  <c r="E450" i="30"/>
  <c r="F450" i="30"/>
  <c r="G450" i="30"/>
  <c r="H450" i="30"/>
  <c r="I450" i="30"/>
  <c r="J450" i="30"/>
  <c r="K450" i="30"/>
  <c r="L450" i="30"/>
  <c r="M450" i="30"/>
  <c r="N450" i="30"/>
  <c r="O450" i="30"/>
  <c r="P450" i="30"/>
  <c r="Q450" i="30"/>
  <c r="R450" i="30"/>
  <c r="S450" i="30"/>
  <c r="T450" i="30"/>
  <c r="U450" i="30"/>
  <c r="V450" i="30"/>
  <c r="W450" i="30"/>
  <c r="X450" i="30"/>
  <c r="Y450" i="30"/>
  <c r="Z450" i="30"/>
  <c r="AA450" i="30"/>
  <c r="AB450" i="30"/>
  <c r="AC450" i="30"/>
  <c r="AD450" i="30"/>
  <c r="AE450" i="30"/>
  <c r="AF450" i="30"/>
  <c r="AG450" i="30"/>
  <c r="AH450" i="30"/>
  <c r="AI450" i="30"/>
  <c r="AJ450" i="30"/>
  <c r="AK450" i="30"/>
  <c r="AL450" i="30"/>
  <c r="AM450" i="30"/>
  <c r="AN450" i="30"/>
  <c r="AO450" i="30"/>
  <c r="AP450" i="30"/>
  <c r="AQ450" i="30"/>
  <c r="AR450" i="30"/>
  <c r="AS450" i="30"/>
  <c r="AT450" i="30"/>
  <c r="AU450" i="30"/>
  <c r="AV450" i="30"/>
  <c r="AW450" i="30"/>
  <c r="AX450" i="30"/>
  <c r="AY450" i="30"/>
  <c r="AZ450" i="30"/>
  <c r="BA450" i="30"/>
  <c r="BB450" i="30"/>
  <c r="BC450" i="30"/>
  <c r="BD450" i="30"/>
  <c r="BE450" i="30"/>
  <c r="BF450" i="30"/>
  <c r="BG450" i="30"/>
  <c r="BH450" i="30"/>
  <c r="BI450" i="30"/>
  <c r="BJ450" i="30"/>
  <c r="BK450" i="30"/>
  <c r="BL450" i="30"/>
  <c r="BM450" i="30"/>
  <c r="BN450" i="30"/>
  <c r="BO450" i="30"/>
  <c r="BP450" i="30"/>
  <c r="BQ450" i="30"/>
  <c r="BR450" i="30"/>
  <c r="BS450" i="30"/>
  <c r="BT450" i="30"/>
  <c r="BU450" i="30"/>
  <c r="BV450" i="30"/>
  <c r="BW450" i="30"/>
  <c r="BX450" i="30"/>
  <c r="BY450" i="30"/>
  <c r="BZ450" i="30"/>
  <c r="CA450" i="30"/>
  <c r="CB450" i="30"/>
  <c r="CC450" i="30"/>
  <c r="CD450" i="30"/>
  <c r="CE450" i="30"/>
  <c r="CF450" i="30"/>
  <c r="CG450" i="30"/>
  <c r="CH450" i="30"/>
  <c r="CI450" i="30"/>
  <c r="CJ450" i="30"/>
  <c r="CK450" i="30"/>
  <c r="CL450" i="30"/>
  <c r="CM450" i="30"/>
  <c r="CN450" i="30"/>
  <c r="CO450" i="30"/>
  <c r="CP450" i="30"/>
  <c r="CQ450" i="30"/>
  <c r="CR450" i="30"/>
  <c r="CS450" i="30"/>
  <c r="CT450" i="30"/>
  <c r="CU450" i="30"/>
  <c r="CV450" i="30"/>
  <c r="CW450" i="30"/>
  <c r="CX450" i="30"/>
  <c r="CY450" i="30"/>
  <c r="CZ450" i="30"/>
  <c r="DA450" i="30"/>
  <c r="DB450" i="30"/>
  <c r="DC450" i="30"/>
  <c r="DD450" i="30"/>
  <c r="DE450" i="30"/>
  <c r="DF450" i="30"/>
  <c r="DG450" i="30"/>
  <c r="DH450" i="30"/>
  <c r="DI450" i="30"/>
  <c r="DJ450" i="30"/>
  <c r="DK450" i="30"/>
  <c r="DL450" i="30"/>
  <c r="DM450" i="30"/>
  <c r="DN450" i="30"/>
  <c r="DO450" i="30"/>
  <c r="DP450" i="30"/>
  <c r="DQ450" i="30"/>
  <c r="DR450" i="30"/>
  <c r="DS450" i="30"/>
  <c r="DT450" i="30"/>
  <c r="DU450" i="30"/>
  <c r="DV450" i="30"/>
  <c r="DW450" i="30"/>
  <c r="DX450" i="30"/>
  <c r="DY450" i="30"/>
  <c r="DZ450" i="30"/>
  <c r="EA450" i="30"/>
  <c r="EB450" i="30"/>
  <c r="EC450" i="30"/>
  <c r="ED450" i="30"/>
  <c r="EE450" i="30"/>
  <c r="EF450" i="30"/>
  <c r="EG450" i="30"/>
  <c r="EH450" i="30"/>
  <c r="EI450" i="30"/>
  <c r="EJ450" i="30"/>
  <c r="EK450" i="30"/>
  <c r="EL450" i="30"/>
  <c r="EM450" i="30"/>
  <c r="EN450" i="30"/>
  <c r="EO450" i="30"/>
  <c r="EP450" i="30"/>
  <c r="EQ450" i="30"/>
  <c r="ER450" i="30"/>
  <c r="ES450" i="30"/>
  <c r="ET450" i="30"/>
  <c r="EU450" i="30"/>
  <c r="EV450" i="30"/>
  <c r="EW450" i="30"/>
  <c r="EX450" i="30"/>
  <c r="EY450" i="30"/>
  <c r="EZ450" i="30"/>
  <c r="FA450" i="30"/>
  <c r="FB450" i="30"/>
  <c r="FC450" i="30"/>
  <c r="FD450" i="30"/>
  <c r="FE450" i="30"/>
  <c r="FF450" i="30"/>
  <c r="FG450" i="30"/>
  <c r="FH450" i="30"/>
  <c r="FI450" i="30"/>
  <c r="FJ450" i="30"/>
  <c r="FK450" i="30"/>
  <c r="FL450" i="30"/>
  <c r="FM450" i="30"/>
  <c r="FN450" i="30"/>
  <c r="FO450" i="30"/>
  <c r="FP450" i="30"/>
  <c r="FQ450" i="30"/>
  <c r="FR450" i="30"/>
  <c r="FS450" i="30"/>
  <c r="FT450" i="30"/>
  <c r="FU450" i="30"/>
  <c r="FV450" i="30"/>
  <c r="FW450" i="30"/>
  <c r="FX450" i="30"/>
  <c r="FY450" i="30"/>
  <c r="FZ450" i="30"/>
  <c r="GA450" i="30"/>
  <c r="GB450" i="30"/>
  <c r="GC450" i="30"/>
  <c r="GD450" i="30"/>
  <c r="GE450" i="30"/>
  <c r="GF450" i="30"/>
  <c r="GG450" i="30"/>
  <c r="GH450" i="30"/>
  <c r="GI450" i="30"/>
  <c r="GJ450" i="30"/>
  <c r="GK450" i="30"/>
  <c r="GL450" i="30"/>
  <c r="GM450" i="30"/>
  <c r="GN450" i="30"/>
  <c r="GO450" i="30"/>
  <c r="GP450" i="30"/>
  <c r="GQ450" i="30"/>
  <c r="GR450" i="30"/>
  <c r="GS450" i="30"/>
  <c r="GT450" i="30"/>
  <c r="GU450" i="30"/>
  <c r="GV450" i="30"/>
  <c r="GW450" i="30"/>
  <c r="GX450" i="30"/>
  <c r="GY450" i="30"/>
  <c r="GZ450" i="30"/>
  <c r="HA450" i="30"/>
  <c r="HB450" i="30"/>
  <c r="HC450" i="30"/>
  <c r="HD450" i="30"/>
  <c r="HE450" i="30"/>
  <c r="HF450" i="30"/>
  <c r="HG450" i="30"/>
  <c r="HH450" i="30"/>
  <c r="HI450" i="30"/>
  <c r="HJ450" i="30"/>
  <c r="HK450" i="30"/>
  <c r="HL450" i="30"/>
  <c r="HM450" i="30"/>
  <c r="HN450" i="30"/>
  <c r="HO450" i="30"/>
  <c r="HP450" i="30"/>
  <c r="HQ450" i="30"/>
  <c r="HR450" i="30"/>
  <c r="HS450" i="30"/>
  <c r="HT450" i="30"/>
  <c r="HU450" i="30"/>
  <c r="HV450" i="30"/>
  <c r="HW450" i="30"/>
  <c r="HX450" i="30"/>
  <c r="HY450" i="30"/>
  <c r="HZ450" i="30"/>
  <c r="IA450" i="30"/>
  <c r="IB450" i="30"/>
  <c r="IC450" i="30"/>
  <c r="ID450" i="30"/>
  <c r="IE450" i="30"/>
  <c r="IF450" i="30"/>
  <c r="IG450" i="30"/>
  <c r="IH450" i="30"/>
  <c r="II450" i="30"/>
  <c r="IJ450" i="30"/>
  <c r="IK450" i="30"/>
  <c r="IL450" i="30"/>
  <c r="IM450" i="30"/>
  <c r="IN450" i="30"/>
  <c r="IO450" i="30"/>
  <c r="IP450" i="30"/>
  <c r="IQ450" i="30"/>
  <c r="IR450" i="30"/>
  <c r="IS450" i="30"/>
  <c r="IT450" i="30"/>
  <c r="IU450" i="30"/>
  <c r="IV450" i="30"/>
  <c r="A449" i="30"/>
  <c r="B449" i="30"/>
  <c r="C449" i="30"/>
  <c r="D449" i="30"/>
  <c r="E449" i="30"/>
  <c r="F449" i="30"/>
  <c r="G449" i="30"/>
  <c r="H449" i="30"/>
  <c r="I449" i="30"/>
  <c r="J449" i="30"/>
  <c r="K449" i="30"/>
  <c r="L449" i="30"/>
  <c r="M449" i="30"/>
  <c r="N449" i="30"/>
  <c r="O449" i="30"/>
  <c r="P449" i="30"/>
  <c r="Q449" i="30"/>
  <c r="R449" i="30"/>
  <c r="S449" i="30"/>
  <c r="T449" i="30"/>
  <c r="U449" i="30"/>
  <c r="V449" i="30"/>
  <c r="W449" i="30"/>
  <c r="X449" i="30"/>
  <c r="Y449" i="30"/>
  <c r="Z449" i="30"/>
  <c r="AA449" i="30"/>
  <c r="AB449" i="30"/>
  <c r="AC449" i="30"/>
  <c r="AD449" i="30"/>
  <c r="AE449" i="30"/>
  <c r="AF449" i="30"/>
  <c r="AG449" i="30"/>
  <c r="AH449" i="30"/>
  <c r="AI449" i="30"/>
  <c r="AJ449" i="30"/>
  <c r="AK449" i="30"/>
  <c r="AL449" i="30"/>
  <c r="AM449" i="30"/>
  <c r="AN449" i="30"/>
  <c r="AO449" i="30"/>
  <c r="AP449" i="30"/>
  <c r="AQ449" i="30"/>
  <c r="AR449" i="30"/>
  <c r="AS449" i="30"/>
  <c r="AT449" i="30"/>
  <c r="AU449" i="30"/>
  <c r="AV449" i="30"/>
  <c r="AW449" i="30"/>
  <c r="AX449" i="30"/>
  <c r="AY449" i="30"/>
  <c r="AZ449" i="30"/>
  <c r="BA449" i="30"/>
  <c r="BB449" i="30"/>
  <c r="BC449" i="30"/>
  <c r="BD449" i="30"/>
  <c r="BE449" i="30"/>
  <c r="BF449" i="30"/>
  <c r="BG449" i="30"/>
  <c r="BH449" i="30"/>
  <c r="BI449" i="30"/>
  <c r="BJ449" i="30"/>
  <c r="BK449" i="30"/>
  <c r="BL449" i="30"/>
  <c r="BM449" i="30"/>
  <c r="BN449" i="30"/>
  <c r="BO449" i="30"/>
  <c r="BP449" i="30"/>
  <c r="BQ449" i="30"/>
  <c r="BR449" i="30"/>
  <c r="BS449" i="30"/>
  <c r="BT449" i="30"/>
  <c r="BU449" i="30"/>
  <c r="BV449" i="30"/>
  <c r="BW449" i="30"/>
  <c r="BX449" i="30"/>
  <c r="BY449" i="30"/>
  <c r="BZ449" i="30"/>
  <c r="CA449" i="30"/>
  <c r="CB449" i="30"/>
  <c r="CC449" i="30"/>
  <c r="CD449" i="30"/>
  <c r="CE449" i="30"/>
  <c r="CF449" i="30"/>
  <c r="CG449" i="30"/>
  <c r="CH449" i="30"/>
  <c r="CI449" i="30"/>
  <c r="CJ449" i="30"/>
  <c r="CK449" i="30"/>
  <c r="CL449" i="30"/>
  <c r="CM449" i="30"/>
  <c r="CN449" i="30"/>
  <c r="CO449" i="30"/>
  <c r="CP449" i="30"/>
  <c r="CQ449" i="30"/>
  <c r="CR449" i="30"/>
  <c r="CS449" i="30"/>
  <c r="CT449" i="30"/>
  <c r="CU449" i="30"/>
  <c r="CV449" i="30"/>
  <c r="CW449" i="30"/>
  <c r="CX449" i="30"/>
  <c r="CY449" i="30"/>
  <c r="CZ449" i="30"/>
  <c r="DA449" i="30"/>
  <c r="DB449" i="30"/>
  <c r="DC449" i="30"/>
  <c r="DD449" i="30"/>
  <c r="DE449" i="30"/>
  <c r="DF449" i="30"/>
  <c r="DG449" i="30"/>
  <c r="DH449" i="30"/>
  <c r="DI449" i="30"/>
  <c r="DJ449" i="30"/>
  <c r="DK449" i="30"/>
  <c r="DL449" i="30"/>
  <c r="DM449" i="30"/>
  <c r="DN449" i="30"/>
  <c r="DO449" i="30"/>
  <c r="DP449" i="30"/>
  <c r="DQ449" i="30"/>
  <c r="DR449" i="30"/>
  <c r="DS449" i="30"/>
  <c r="DT449" i="30"/>
  <c r="DU449" i="30"/>
  <c r="DV449" i="30"/>
  <c r="DW449" i="30"/>
  <c r="DX449" i="30"/>
  <c r="DY449" i="30"/>
  <c r="DZ449" i="30"/>
  <c r="EA449" i="30"/>
  <c r="EB449" i="30"/>
  <c r="EC449" i="30"/>
  <c r="ED449" i="30"/>
  <c r="EE449" i="30"/>
  <c r="EF449" i="30"/>
  <c r="EG449" i="30"/>
  <c r="EH449" i="30"/>
  <c r="EI449" i="30"/>
  <c r="EJ449" i="30"/>
  <c r="EK449" i="30"/>
  <c r="EL449" i="30"/>
  <c r="EM449" i="30"/>
  <c r="EN449" i="30"/>
  <c r="EO449" i="30"/>
  <c r="EP449" i="30"/>
  <c r="EQ449" i="30"/>
  <c r="ER449" i="30"/>
  <c r="ES449" i="30"/>
  <c r="ET449" i="30"/>
  <c r="EU449" i="30"/>
  <c r="EV449" i="30"/>
  <c r="EW449" i="30"/>
  <c r="EX449" i="30"/>
  <c r="EY449" i="30"/>
  <c r="EZ449" i="30"/>
  <c r="FA449" i="30"/>
  <c r="FB449" i="30"/>
  <c r="FC449" i="30"/>
  <c r="FD449" i="30"/>
  <c r="FE449" i="30"/>
  <c r="FF449" i="30"/>
  <c r="FG449" i="30"/>
  <c r="FH449" i="30"/>
  <c r="FI449" i="30"/>
  <c r="FJ449" i="30"/>
  <c r="FK449" i="30"/>
  <c r="FL449" i="30"/>
  <c r="FM449" i="30"/>
  <c r="FN449" i="30"/>
  <c r="FO449" i="30"/>
  <c r="FP449" i="30"/>
  <c r="FQ449" i="30"/>
  <c r="FR449" i="30"/>
  <c r="FS449" i="30"/>
  <c r="FT449" i="30"/>
  <c r="FU449" i="30"/>
  <c r="FV449" i="30"/>
  <c r="FW449" i="30"/>
  <c r="FX449" i="30"/>
  <c r="FY449" i="30"/>
  <c r="FZ449" i="30"/>
  <c r="GA449" i="30"/>
  <c r="GB449" i="30"/>
  <c r="GC449" i="30"/>
  <c r="GD449" i="30"/>
  <c r="GE449" i="30"/>
  <c r="GF449" i="30"/>
  <c r="GG449" i="30"/>
  <c r="GH449" i="30"/>
  <c r="GI449" i="30"/>
  <c r="GJ449" i="30"/>
  <c r="GK449" i="30"/>
  <c r="GL449" i="30"/>
  <c r="GM449" i="30"/>
  <c r="GN449" i="30"/>
  <c r="GO449" i="30"/>
  <c r="GP449" i="30"/>
  <c r="GQ449" i="30"/>
  <c r="GR449" i="30"/>
  <c r="GS449" i="30"/>
  <c r="GT449" i="30"/>
  <c r="GU449" i="30"/>
  <c r="GV449" i="30"/>
  <c r="GW449" i="30"/>
  <c r="GX449" i="30"/>
  <c r="GY449" i="30"/>
  <c r="GZ449" i="30"/>
  <c r="HA449" i="30"/>
  <c r="HB449" i="30"/>
  <c r="HC449" i="30"/>
  <c r="HD449" i="30"/>
  <c r="HE449" i="30"/>
  <c r="HF449" i="30"/>
  <c r="HG449" i="30"/>
  <c r="HH449" i="30"/>
  <c r="HI449" i="30"/>
  <c r="HJ449" i="30"/>
  <c r="HK449" i="30"/>
  <c r="HL449" i="30"/>
  <c r="HM449" i="30"/>
  <c r="HN449" i="30"/>
  <c r="HO449" i="30"/>
  <c r="HP449" i="30"/>
  <c r="HQ449" i="30"/>
  <c r="HR449" i="30"/>
  <c r="HS449" i="30"/>
  <c r="HT449" i="30"/>
  <c r="HU449" i="30"/>
  <c r="HV449" i="30"/>
  <c r="HW449" i="30"/>
  <c r="HX449" i="30"/>
  <c r="HY449" i="30"/>
  <c r="HZ449" i="30"/>
  <c r="IA449" i="30"/>
  <c r="IB449" i="30"/>
  <c r="IC449" i="30"/>
  <c r="ID449" i="30"/>
  <c r="IE449" i="30"/>
  <c r="IF449" i="30"/>
  <c r="IG449" i="30"/>
  <c r="IH449" i="30"/>
  <c r="II449" i="30"/>
  <c r="IJ449" i="30"/>
  <c r="IK449" i="30"/>
  <c r="IL449" i="30"/>
  <c r="IM449" i="30"/>
  <c r="IN449" i="30"/>
  <c r="IO449" i="30"/>
  <c r="IP449" i="30"/>
  <c r="IQ449" i="30"/>
  <c r="IR449" i="30"/>
  <c r="IS449" i="30"/>
  <c r="IT449" i="30"/>
  <c r="IU449" i="30"/>
  <c r="IV449" i="30"/>
  <c r="A448" i="30"/>
  <c r="B448" i="30"/>
  <c r="C448" i="30"/>
  <c r="D448" i="30"/>
  <c r="E448" i="30"/>
  <c r="F448" i="30"/>
  <c r="G448" i="30"/>
  <c r="H448" i="30"/>
  <c r="I448" i="30"/>
  <c r="J448" i="30"/>
  <c r="K448" i="30"/>
  <c r="L448" i="30"/>
  <c r="M448" i="30"/>
  <c r="N448" i="30"/>
  <c r="O448" i="30"/>
  <c r="P448" i="30"/>
  <c r="Q448" i="30"/>
  <c r="R448" i="30"/>
  <c r="S448" i="30"/>
  <c r="T448" i="30"/>
  <c r="U448" i="30"/>
  <c r="V448" i="30"/>
  <c r="W448" i="30"/>
  <c r="X448" i="30"/>
  <c r="Y448" i="30"/>
  <c r="Z448" i="30"/>
  <c r="AA448" i="30"/>
  <c r="AB448" i="30"/>
  <c r="AC448" i="30"/>
  <c r="AD448" i="30"/>
  <c r="AE448" i="30"/>
  <c r="AF448" i="30"/>
  <c r="AG448" i="30"/>
  <c r="AH448" i="30"/>
  <c r="AI448" i="30"/>
  <c r="AJ448" i="30"/>
  <c r="AK448" i="30"/>
  <c r="AL448" i="30"/>
  <c r="AM448" i="30"/>
  <c r="AN448" i="30"/>
  <c r="AO448" i="30"/>
  <c r="AP448" i="30"/>
  <c r="AQ448" i="30"/>
  <c r="AR448" i="30"/>
  <c r="AS448" i="30"/>
  <c r="AT448" i="30"/>
  <c r="AU448" i="30"/>
  <c r="AV448" i="30"/>
  <c r="AW448" i="30"/>
  <c r="AX448" i="30"/>
  <c r="AY448" i="30"/>
  <c r="AZ448" i="30"/>
  <c r="BA448" i="30"/>
  <c r="BB448" i="30"/>
  <c r="BC448" i="30"/>
  <c r="BD448" i="30"/>
  <c r="BE448" i="30"/>
  <c r="BF448" i="30"/>
  <c r="BG448" i="30"/>
  <c r="BH448" i="30"/>
  <c r="BI448" i="30"/>
  <c r="BJ448" i="30"/>
  <c r="BK448" i="30"/>
  <c r="BL448" i="30"/>
  <c r="BM448" i="30"/>
  <c r="BN448" i="30"/>
  <c r="BO448" i="30"/>
  <c r="BP448" i="30"/>
  <c r="BQ448" i="30"/>
  <c r="BR448" i="30"/>
  <c r="BS448" i="30"/>
  <c r="BT448" i="30"/>
  <c r="BU448" i="30"/>
  <c r="BV448" i="30"/>
  <c r="BW448" i="30"/>
  <c r="BX448" i="30"/>
  <c r="BY448" i="30"/>
  <c r="BZ448" i="30"/>
  <c r="CA448" i="30"/>
  <c r="CB448" i="30"/>
  <c r="CC448" i="30"/>
  <c r="CD448" i="30"/>
  <c r="CE448" i="30"/>
  <c r="CF448" i="30"/>
  <c r="CG448" i="30"/>
  <c r="CH448" i="30"/>
  <c r="CI448" i="30"/>
  <c r="CJ448" i="30"/>
  <c r="CK448" i="30"/>
  <c r="CL448" i="30"/>
  <c r="CM448" i="30"/>
  <c r="CN448" i="30"/>
  <c r="CO448" i="30"/>
  <c r="CP448" i="30"/>
  <c r="CQ448" i="30"/>
  <c r="CR448" i="30"/>
  <c r="CS448" i="30"/>
  <c r="CT448" i="30"/>
  <c r="CU448" i="30"/>
  <c r="CV448" i="30"/>
  <c r="CW448" i="30"/>
  <c r="CX448" i="30"/>
  <c r="CY448" i="30"/>
  <c r="CZ448" i="30"/>
  <c r="DA448" i="30"/>
  <c r="DB448" i="30"/>
  <c r="DC448" i="30"/>
  <c r="DD448" i="30"/>
  <c r="DE448" i="30"/>
  <c r="DF448" i="30"/>
  <c r="DG448" i="30"/>
  <c r="DH448" i="30"/>
  <c r="DI448" i="30"/>
  <c r="DJ448" i="30"/>
  <c r="DK448" i="30"/>
  <c r="DL448" i="30"/>
  <c r="DM448" i="30"/>
  <c r="DN448" i="30"/>
  <c r="DO448" i="30"/>
  <c r="DP448" i="30"/>
  <c r="DQ448" i="30"/>
  <c r="DR448" i="30"/>
  <c r="DS448" i="30"/>
  <c r="DT448" i="30"/>
  <c r="DU448" i="30"/>
  <c r="DV448" i="30"/>
  <c r="DW448" i="30"/>
  <c r="DX448" i="30"/>
  <c r="DY448" i="30"/>
  <c r="DZ448" i="30"/>
  <c r="EA448" i="30"/>
  <c r="EB448" i="30"/>
  <c r="EC448" i="30"/>
  <c r="ED448" i="30"/>
  <c r="EE448" i="30"/>
  <c r="EF448" i="30"/>
  <c r="EG448" i="30"/>
  <c r="EH448" i="30"/>
  <c r="EI448" i="30"/>
  <c r="EJ448" i="30"/>
  <c r="EK448" i="30"/>
  <c r="EL448" i="30"/>
  <c r="EM448" i="30"/>
  <c r="EN448" i="30"/>
  <c r="EO448" i="30"/>
  <c r="EP448" i="30"/>
  <c r="EQ448" i="30"/>
  <c r="ER448" i="30"/>
  <c r="ES448" i="30"/>
  <c r="ET448" i="30"/>
  <c r="EU448" i="30"/>
  <c r="EV448" i="30"/>
  <c r="EW448" i="30"/>
  <c r="EX448" i="30"/>
  <c r="EY448" i="30"/>
  <c r="EZ448" i="30"/>
  <c r="FA448" i="30"/>
  <c r="FB448" i="30"/>
  <c r="FC448" i="30"/>
  <c r="FD448" i="30"/>
  <c r="FE448" i="30"/>
  <c r="FF448" i="30"/>
  <c r="FG448" i="30"/>
  <c r="FH448" i="30"/>
  <c r="FI448" i="30"/>
  <c r="FJ448" i="30"/>
  <c r="FK448" i="30"/>
  <c r="FL448" i="30"/>
  <c r="FM448" i="30"/>
  <c r="FN448" i="30"/>
  <c r="FO448" i="30"/>
  <c r="FP448" i="30"/>
  <c r="FQ448" i="30"/>
  <c r="FR448" i="30"/>
  <c r="FS448" i="30"/>
  <c r="FT448" i="30"/>
  <c r="FU448" i="30"/>
  <c r="FV448" i="30"/>
  <c r="FW448" i="30"/>
  <c r="FX448" i="30"/>
  <c r="FY448" i="30"/>
  <c r="FZ448" i="30"/>
  <c r="GA448" i="30"/>
  <c r="GB448" i="30"/>
  <c r="GC448" i="30"/>
  <c r="GD448" i="30"/>
  <c r="GE448" i="30"/>
  <c r="GF448" i="30"/>
  <c r="GG448" i="30"/>
  <c r="GH448" i="30"/>
  <c r="GI448" i="30"/>
  <c r="GJ448" i="30"/>
  <c r="GK448" i="30"/>
  <c r="GL448" i="30"/>
  <c r="GM448" i="30"/>
  <c r="GN448" i="30"/>
  <c r="GO448" i="30"/>
  <c r="GP448" i="30"/>
  <c r="GQ448" i="30"/>
  <c r="GR448" i="30"/>
  <c r="GS448" i="30"/>
  <c r="GT448" i="30"/>
  <c r="GU448" i="30"/>
  <c r="GV448" i="30"/>
  <c r="GW448" i="30"/>
  <c r="GX448" i="30"/>
  <c r="GY448" i="30"/>
  <c r="GZ448" i="30"/>
  <c r="HA448" i="30"/>
  <c r="HB448" i="30"/>
  <c r="HC448" i="30"/>
  <c r="HD448" i="30"/>
  <c r="HE448" i="30"/>
  <c r="HF448" i="30"/>
  <c r="HG448" i="30"/>
  <c r="HH448" i="30"/>
  <c r="HI448" i="30"/>
  <c r="HJ448" i="30"/>
  <c r="HK448" i="30"/>
  <c r="HL448" i="30"/>
  <c r="HM448" i="30"/>
  <c r="HN448" i="30"/>
  <c r="HO448" i="30"/>
  <c r="HP448" i="30"/>
  <c r="HQ448" i="30"/>
  <c r="HR448" i="30"/>
  <c r="HS448" i="30"/>
  <c r="HT448" i="30"/>
  <c r="HU448" i="30"/>
  <c r="HV448" i="30"/>
  <c r="HW448" i="30"/>
  <c r="HX448" i="30"/>
  <c r="HY448" i="30"/>
  <c r="HZ448" i="30"/>
  <c r="IA448" i="30"/>
  <c r="IB448" i="30"/>
  <c r="IC448" i="30"/>
  <c r="ID448" i="30"/>
  <c r="IE448" i="30"/>
  <c r="IF448" i="30"/>
  <c r="IG448" i="30"/>
  <c r="IH448" i="30"/>
  <c r="II448" i="30"/>
  <c r="IJ448" i="30"/>
  <c r="IK448" i="30"/>
  <c r="IL448" i="30"/>
  <c r="IM448" i="30"/>
  <c r="IN448" i="30"/>
  <c r="IO448" i="30"/>
  <c r="IP448" i="30"/>
  <c r="IQ448" i="30"/>
  <c r="IR448" i="30"/>
  <c r="IS448" i="30"/>
  <c r="IT448" i="30"/>
  <c r="IU448" i="30"/>
  <c r="IV448" i="30"/>
  <c r="A447" i="30"/>
  <c r="B447" i="30"/>
  <c r="C447" i="30"/>
  <c r="D447" i="30"/>
  <c r="E447" i="30"/>
  <c r="F447" i="30"/>
  <c r="G447" i="30"/>
  <c r="H447" i="30"/>
  <c r="I447" i="30"/>
  <c r="J447" i="30"/>
  <c r="K447" i="30"/>
  <c r="L447" i="30"/>
  <c r="M447" i="30"/>
  <c r="N447" i="30"/>
  <c r="O447" i="30"/>
  <c r="P447" i="30"/>
  <c r="Q447" i="30"/>
  <c r="R447" i="30"/>
  <c r="S447" i="30"/>
  <c r="T447" i="30"/>
  <c r="U447" i="30"/>
  <c r="V447" i="30"/>
  <c r="W447" i="30"/>
  <c r="X447" i="30"/>
  <c r="Y447" i="30"/>
  <c r="Z447" i="30"/>
  <c r="AA447" i="30"/>
  <c r="AB447" i="30"/>
  <c r="AC447" i="30"/>
  <c r="AD447" i="30"/>
  <c r="AE447" i="30"/>
  <c r="AF447" i="30"/>
  <c r="AG447" i="30"/>
  <c r="AH447" i="30"/>
  <c r="AI447" i="30"/>
  <c r="AJ447" i="30"/>
  <c r="AK447" i="30"/>
  <c r="AL447" i="30"/>
  <c r="AM447" i="30"/>
  <c r="AN447" i="30"/>
  <c r="AO447" i="30"/>
  <c r="AP447" i="30"/>
  <c r="AQ447" i="30"/>
  <c r="AR447" i="30"/>
  <c r="AS447" i="30"/>
  <c r="AT447" i="30"/>
  <c r="AU447" i="30"/>
  <c r="AV447" i="30"/>
  <c r="AW447" i="30"/>
  <c r="AX447" i="30"/>
  <c r="AY447" i="30"/>
  <c r="AZ447" i="30"/>
  <c r="BA447" i="30"/>
  <c r="BB447" i="30"/>
  <c r="BC447" i="30"/>
  <c r="BD447" i="30"/>
  <c r="BE447" i="30"/>
  <c r="BF447" i="30"/>
  <c r="BG447" i="30"/>
  <c r="BH447" i="30"/>
  <c r="BI447" i="30"/>
  <c r="BJ447" i="30"/>
  <c r="BK447" i="30"/>
  <c r="BL447" i="30"/>
  <c r="BM447" i="30"/>
  <c r="BN447" i="30"/>
  <c r="BO447" i="30"/>
  <c r="BP447" i="30"/>
  <c r="BQ447" i="30"/>
  <c r="BR447" i="30"/>
  <c r="BS447" i="30"/>
  <c r="BT447" i="30"/>
  <c r="BU447" i="30"/>
  <c r="BV447" i="30"/>
  <c r="BW447" i="30"/>
  <c r="BX447" i="30"/>
  <c r="BY447" i="30"/>
  <c r="BZ447" i="30"/>
  <c r="CA447" i="30"/>
  <c r="CB447" i="30"/>
  <c r="CC447" i="30"/>
  <c r="CD447" i="30"/>
  <c r="CE447" i="30"/>
  <c r="CF447" i="30"/>
  <c r="CG447" i="30"/>
  <c r="CH447" i="30"/>
  <c r="CI447" i="30"/>
  <c r="CJ447" i="30"/>
  <c r="CK447" i="30"/>
  <c r="CL447" i="30"/>
  <c r="CM447" i="30"/>
  <c r="CN447" i="30"/>
  <c r="CO447" i="30"/>
  <c r="CP447" i="30"/>
  <c r="CQ447" i="30"/>
  <c r="CR447" i="30"/>
  <c r="CS447" i="30"/>
  <c r="CT447" i="30"/>
  <c r="CU447" i="30"/>
  <c r="CV447" i="30"/>
  <c r="CW447" i="30"/>
  <c r="CX447" i="30"/>
  <c r="CY447" i="30"/>
  <c r="CZ447" i="30"/>
  <c r="DA447" i="30"/>
  <c r="DB447" i="30"/>
  <c r="DC447" i="30"/>
  <c r="DD447" i="30"/>
  <c r="DE447" i="30"/>
  <c r="DF447" i="30"/>
  <c r="DG447" i="30"/>
  <c r="DH447" i="30"/>
  <c r="DI447" i="30"/>
  <c r="DJ447" i="30"/>
  <c r="DK447" i="30"/>
  <c r="DL447" i="30"/>
  <c r="DM447" i="30"/>
  <c r="DN447" i="30"/>
  <c r="DO447" i="30"/>
  <c r="DP447" i="30"/>
  <c r="DQ447" i="30"/>
  <c r="DR447" i="30"/>
  <c r="DS447" i="30"/>
  <c r="DT447" i="30"/>
  <c r="DU447" i="30"/>
  <c r="DV447" i="30"/>
  <c r="DW447" i="30"/>
  <c r="DX447" i="30"/>
  <c r="DY447" i="30"/>
  <c r="DZ447" i="30"/>
  <c r="EA447" i="30"/>
  <c r="EB447" i="30"/>
  <c r="EC447" i="30"/>
  <c r="ED447" i="30"/>
  <c r="EE447" i="30"/>
  <c r="EF447" i="30"/>
  <c r="EG447" i="30"/>
  <c r="EH447" i="30"/>
  <c r="EI447" i="30"/>
  <c r="EJ447" i="30"/>
  <c r="EK447" i="30"/>
  <c r="EL447" i="30"/>
  <c r="EM447" i="30"/>
  <c r="EN447" i="30"/>
  <c r="EO447" i="30"/>
  <c r="EP447" i="30"/>
  <c r="EQ447" i="30"/>
  <c r="ER447" i="30"/>
  <c r="ES447" i="30"/>
  <c r="ET447" i="30"/>
  <c r="EU447" i="30"/>
  <c r="EV447" i="30"/>
  <c r="EW447" i="30"/>
  <c r="EX447" i="30"/>
  <c r="EY447" i="30"/>
  <c r="EZ447" i="30"/>
  <c r="FA447" i="30"/>
  <c r="FB447" i="30"/>
  <c r="FC447" i="30"/>
  <c r="FD447" i="30"/>
  <c r="FE447" i="30"/>
  <c r="FF447" i="30"/>
  <c r="FG447" i="30"/>
  <c r="FH447" i="30"/>
  <c r="FI447" i="30"/>
  <c r="FJ447" i="30"/>
  <c r="FK447" i="30"/>
  <c r="FL447" i="30"/>
  <c r="FM447" i="30"/>
  <c r="FN447" i="30"/>
  <c r="FO447" i="30"/>
  <c r="FP447" i="30"/>
  <c r="FQ447" i="30"/>
  <c r="FR447" i="30"/>
  <c r="FS447" i="30"/>
  <c r="FT447" i="30"/>
  <c r="FU447" i="30"/>
  <c r="FV447" i="30"/>
  <c r="FW447" i="30"/>
  <c r="FX447" i="30"/>
  <c r="FY447" i="30"/>
  <c r="FZ447" i="30"/>
  <c r="GA447" i="30"/>
  <c r="GB447" i="30"/>
  <c r="GC447" i="30"/>
  <c r="GD447" i="30"/>
  <c r="GE447" i="30"/>
  <c r="GF447" i="30"/>
  <c r="GG447" i="30"/>
  <c r="GH447" i="30"/>
  <c r="GI447" i="30"/>
  <c r="GJ447" i="30"/>
  <c r="GK447" i="30"/>
  <c r="GL447" i="30"/>
  <c r="GM447" i="30"/>
  <c r="GN447" i="30"/>
  <c r="GO447" i="30"/>
  <c r="GP447" i="30"/>
  <c r="GQ447" i="30"/>
  <c r="GR447" i="30"/>
  <c r="GS447" i="30"/>
  <c r="GT447" i="30"/>
  <c r="GU447" i="30"/>
  <c r="GV447" i="30"/>
  <c r="GW447" i="30"/>
  <c r="GX447" i="30"/>
  <c r="GY447" i="30"/>
  <c r="GZ447" i="30"/>
  <c r="HA447" i="30"/>
  <c r="HB447" i="30"/>
  <c r="HC447" i="30"/>
  <c r="HD447" i="30"/>
  <c r="HE447" i="30"/>
  <c r="HF447" i="30"/>
  <c r="HG447" i="30"/>
  <c r="HH447" i="30"/>
  <c r="HI447" i="30"/>
  <c r="HJ447" i="30"/>
  <c r="HK447" i="30"/>
  <c r="HL447" i="30"/>
  <c r="HM447" i="30"/>
  <c r="HN447" i="30"/>
  <c r="HO447" i="30"/>
  <c r="HP447" i="30"/>
  <c r="HQ447" i="30"/>
  <c r="HR447" i="30"/>
  <c r="HS447" i="30"/>
  <c r="HT447" i="30"/>
  <c r="HU447" i="30"/>
  <c r="HV447" i="30"/>
  <c r="HW447" i="30"/>
  <c r="HX447" i="30"/>
  <c r="HY447" i="30"/>
  <c r="HZ447" i="30"/>
  <c r="IA447" i="30"/>
  <c r="IB447" i="30"/>
  <c r="IC447" i="30"/>
  <c r="ID447" i="30"/>
  <c r="IE447" i="30"/>
  <c r="IF447" i="30"/>
  <c r="IG447" i="30"/>
  <c r="IH447" i="30"/>
  <c r="II447" i="30"/>
  <c r="IJ447" i="30"/>
  <c r="IK447" i="30"/>
  <c r="IL447" i="30"/>
  <c r="IM447" i="30"/>
  <c r="IN447" i="30"/>
  <c r="IO447" i="30"/>
  <c r="IP447" i="30"/>
  <c r="IQ447" i="30"/>
  <c r="IR447" i="30"/>
  <c r="IS447" i="30"/>
  <c r="IT447" i="30"/>
  <c r="IU447" i="30"/>
  <c r="IV447" i="30"/>
  <c r="A446" i="30"/>
  <c r="B446" i="30"/>
  <c r="C446" i="30"/>
  <c r="D446" i="30"/>
  <c r="E446" i="30"/>
  <c r="F446" i="30"/>
  <c r="G446" i="30"/>
  <c r="H446" i="30"/>
  <c r="I446" i="30"/>
  <c r="J446" i="30"/>
  <c r="K446" i="30"/>
  <c r="L446" i="30"/>
  <c r="M446" i="30"/>
  <c r="N446" i="30"/>
  <c r="O446" i="30"/>
  <c r="P446" i="30"/>
  <c r="Q446" i="30"/>
  <c r="R446" i="30"/>
  <c r="S446" i="30"/>
  <c r="T446" i="30"/>
  <c r="U446" i="30"/>
  <c r="V446" i="30"/>
  <c r="W446" i="30"/>
  <c r="X446" i="30"/>
  <c r="Y446" i="30"/>
  <c r="Z446" i="30"/>
  <c r="AA446" i="30"/>
  <c r="AB446" i="30"/>
  <c r="AC446" i="30"/>
  <c r="AD446" i="30"/>
  <c r="AE446" i="30"/>
  <c r="AF446" i="30"/>
  <c r="AG446" i="30"/>
  <c r="AH446" i="30"/>
  <c r="AI446" i="30"/>
  <c r="AJ446" i="30"/>
  <c r="AK446" i="30"/>
  <c r="AL446" i="30"/>
  <c r="AM446" i="30"/>
  <c r="AN446" i="30"/>
  <c r="AO446" i="30"/>
  <c r="AP446" i="30"/>
  <c r="AQ446" i="30"/>
  <c r="AR446" i="30"/>
  <c r="AS446" i="30"/>
  <c r="AT446" i="30"/>
  <c r="AU446" i="30"/>
  <c r="AV446" i="30"/>
  <c r="AW446" i="30"/>
  <c r="AX446" i="30"/>
  <c r="AY446" i="30"/>
  <c r="AZ446" i="30"/>
  <c r="BA446" i="30"/>
  <c r="BB446" i="30"/>
  <c r="BC446" i="30"/>
  <c r="BD446" i="30"/>
  <c r="BE446" i="30"/>
  <c r="BF446" i="30"/>
  <c r="BG446" i="30"/>
  <c r="BH446" i="30"/>
  <c r="BI446" i="30"/>
  <c r="BJ446" i="30"/>
  <c r="BK446" i="30"/>
  <c r="BL446" i="30"/>
  <c r="BM446" i="30"/>
  <c r="BN446" i="30"/>
  <c r="BO446" i="30"/>
  <c r="BP446" i="30"/>
  <c r="BQ446" i="30"/>
  <c r="BR446" i="30"/>
  <c r="BS446" i="30"/>
  <c r="BT446" i="30"/>
  <c r="BU446" i="30"/>
  <c r="BV446" i="30"/>
  <c r="BW446" i="30"/>
  <c r="BX446" i="30"/>
  <c r="BY446" i="30"/>
  <c r="BZ446" i="30"/>
  <c r="CA446" i="30"/>
  <c r="CB446" i="30"/>
  <c r="CC446" i="30"/>
  <c r="CD446" i="30"/>
  <c r="CE446" i="30"/>
  <c r="CF446" i="30"/>
  <c r="CG446" i="30"/>
  <c r="CH446" i="30"/>
  <c r="CI446" i="30"/>
  <c r="CJ446" i="30"/>
  <c r="CK446" i="30"/>
  <c r="CL446" i="30"/>
  <c r="CM446" i="30"/>
  <c r="CN446" i="30"/>
  <c r="CO446" i="30"/>
  <c r="CP446" i="30"/>
  <c r="CQ446" i="30"/>
  <c r="CR446" i="30"/>
  <c r="CS446" i="30"/>
  <c r="CT446" i="30"/>
  <c r="CU446" i="30"/>
  <c r="CV446" i="30"/>
  <c r="CW446" i="30"/>
  <c r="CX446" i="30"/>
  <c r="CY446" i="30"/>
  <c r="CZ446" i="30"/>
  <c r="DA446" i="30"/>
  <c r="DB446" i="30"/>
  <c r="DC446" i="30"/>
  <c r="DD446" i="30"/>
  <c r="DE446" i="30"/>
  <c r="DF446" i="30"/>
  <c r="DG446" i="30"/>
  <c r="DH446" i="30"/>
  <c r="DI446" i="30"/>
  <c r="DJ446" i="30"/>
  <c r="DK446" i="30"/>
  <c r="DL446" i="30"/>
  <c r="DM446" i="30"/>
  <c r="DN446" i="30"/>
  <c r="DO446" i="30"/>
  <c r="DP446" i="30"/>
  <c r="DQ446" i="30"/>
  <c r="DR446" i="30"/>
  <c r="DS446" i="30"/>
  <c r="DT446" i="30"/>
  <c r="DU446" i="30"/>
  <c r="DV446" i="30"/>
  <c r="DW446" i="30"/>
  <c r="DX446" i="30"/>
  <c r="DY446" i="30"/>
  <c r="DZ446" i="30"/>
  <c r="EA446" i="30"/>
  <c r="EB446" i="30"/>
  <c r="EC446" i="30"/>
  <c r="ED446" i="30"/>
  <c r="EE446" i="30"/>
  <c r="EF446" i="30"/>
  <c r="EG446" i="30"/>
  <c r="EH446" i="30"/>
  <c r="EI446" i="30"/>
  <c r="EJ446" i="30"/>
  <c r="EK446" i="30"/>
  <c r="EL446" i="30"/>
  <c r="EM446" i="30"/>
  <c r="EN446" i="30"/>
  <c r="EO446" i="30"/>
  <c r="EP446" i="30"/>
  <c r="EQ446" i="30"/>
  <c r="ER446" i="30"/>
  <c r="ES446" i="30"/>
  <c r="ET446" i="30"/>
  <c r="EU446" i="30"/>
  <c r="EV446" i="30"/>
  <c r="EW446" i="30"/>
  <c r="EX446" i="30"/>
  <c r="EY446" i="30"/>
  <c r="EZ446" i="30"/>
  <c r="FA446" i="30"/>
  <c r="FB446" i="30"/>
  <c r="FC446" i="30"/>
  <c r="FD446" i="30"/>
  <c r="FE446" i="30"/>
  <c r="FF446" i="30"/>
  <c r="FG446" i="30"/>
  <c r="FH446" i="30"/>
  <c r="FI446" i="30"/>
  <c r="FJ446" i="30"/>
  <c r="FK446" i="30"/>
  <c r="FL446" i="30"/>
  <c r="FM446" i="30"/>
  <c r="FN446" i="30"/>
  <c r="FO446" i="30"/>
  <c r="FP446" i="30"/>
  <c r="FQ446" i="30"/>
  <c r="FR446" i="30"/>
  <c r="FS446" i="30"/>
  <c r="FT446" i="30"/>
  <c r="FU446" i="30"/>
  <c r="FV446" i="30"/>
  <c r="FW446" i="30"/>
  <c r="FX446" i="30"/>
  <c r="FY446" i="30"/>
  <c r="FZ446" i="30"/>
  <c r="GA446" i="30"/>
  <c r="GB446" i="30"/>
  <c r="GC446" i="30"/>
  <c r="GD446" i="30"/>
  <c r="GE446" i="30"/>
  <c r="GF446" i="30"/>
  <c r="GG446" i="30"/>
  <c r="GH446" i="30"/>
  <c r="GI446" i="30"/>
  <c r="GJ446" i="30"/>
  <c r="GK446" i="30"/>
  <c r="GL446" i="30"/>
  <c r="GM446" i="30"/>
  <c r="GN446" i="30"/>
  <c r="GO446" i="30"/>
  <c r="GP446" i="30"/>
  <c r="GQ446" i="30"/>
  <c r="GR446" i="30"/>
  <c r="GS446" i="30"/>
  <c r="GT446" i="30"/>
  <c r="GU446" i="30"/>
  <c r="GV446" i="30"/>
  <c r="GW446" i="30"/>
  <c r="GX446" i="30"/>
  <c r="GY446" i="30"/>
  <c r="GZ446" i="30"/>
  <c r="HA446" i="30"/>
  <c r="HB446" i="30"/>
  <c r="HC446" i="30"/>
  <c r="HD446" i="30"/>
  <c r="HE446" i="30"/>
  <c r="HF446" i="30"/>
  <c r="HG446" i="30"/>
  <c r="HH446" i="30"/>
  <c r="HI446" i="30"/>
  <c r="HJ446" i="30"/>
  <c r="HK446" i="30"/>
  <c r="HL446" i="30"/>
  <c r="HM446" i="30"/>
  <c r="HN446" i="30"/>
  <c r="HO446" i="30"/>
  <c r="HP446" i="30"/>
  <c r="HQ446" i="30"/>
  <c r="HR446" i="30"/>
  <c r="HS446" i="30"/>
  <c r="HT446" i="30"/>
  <c r="HU446" i="30"/>
  <c r="HV446" i="30"/>
  <c r="HW446" i="30"/>
  <c r="HX446" i="30"/>
  <c r="HY446" i="30"/>
  <c r="HZ446" i="30"/>
  <c r="IA446" i="30"/>
  <c r="IB446" i="30"/>
  <c r="IC446" i="30"/>
  <c r="ID446" i="30"/>
  <c r="IE446" i="30"/>
  <c r="IF446" i="30"/>
  <c r="IG446" i="30"/>
  <c r="IH446" i="30"/>
  <c r="II446" i="30"/>
  <c r="IJ446" i="30"/>
  <c r="IK446" i="30"/>
  <c r="IL446" i="30"/>
  <c r="IM446" i="30"/>
  <c r="IN446" i="30"/>
  <c r="IO446" i="30"/>
  <c r="IP446" i="30"/>
  <c r="IQ446" i="30"/>
  <c r="IR446" i="30"/>
  <c r="IS446" i="30"/>
  <c r="IT446" i="30"/>
  <c r="IU446" i="30"/>
  <c r="IV446" i="30"/>
  <c r="A445" i="30"/>
  <c r="B445" i="30"/>
  <c r="C445" i="30"/>
  <c r="D445" i="30"/>
  <c r="E445" i="30"/>
  <c r="F445" i="30"/>
  <c r="G445" i="30"/>
  <c r="H445" i="30"/>
  <c r="I445" i="30"/>
  <c r="J445" i="30"/>
  <c r="K445" i="30"/>
  <c r="L445" i="30"/>
  <c r="M445" i="30"/>
  <c r="N445" i="30"/>
  <c r="O445" i="30"/>
  <c r="P445" i="30"/>
  <c r="Q445" i="30"/>
  <c r="R445" i="30"/>
  <c r="S445" i="30"/>
  <c r="T445" i="30"/>
  <c r="U445" i="30"/>
  <c r="V445" i="30"/>
  <c r="W445" i="30"/>
  <c r="X445" i="30"/>
  <c r="Y445" i="30"/>
  <c r="Z445" i="30"/>
  <c r="AA445" i="30"/>
  <c r="AB445" i="30"/>
  <c r="AC445" i="30"/>
  <c r="AD445" i="30"/>
  <c r="AE445" i="30"/>
  <c r="AF445" i="30"/>
  <c r="AG445" i="30"/>
  <c r="AH445" i="30"/>
  <c r="AI445" i="30"/>
  <c r="AJ445" i="30"/>
  <c r="AK445" i="30"/>
  <c r="AL445" i="30"/>
  <c r="AM445" i="30"/>
  <c r="AN445" i="30"/>
  <c r="AO445" i="30"/>
  <c r="AP445" i="30"/>
  <c r="AQ445" i="30"/>
  <c r="AR445" i="30"/>
  <c r="AS445" i="30"/>
  <c r="AT445" i="30"/>
  <c r="AU445" i="30"/>
  <c r="AV445" i="30"/>
  <c r="AW445" i="30"/>
  <c r="AX445" i="30"/>
  <c r="AY445" i="30"/>
  <c r="AZ445" i="30"/>
  <c r="BA445" i="30"/>
  <c r="BB445" i="30"/>
  <c r="BC445" i="30"/>
  <c r="BD445" i="30"/>
  <c r="BE445" i="30"/>
  <c r="BF445" i="30"/>
  <c r="BG445" i="30"/>
  <c r="BH445" i="30"/>
  <c r="BI445" i="30"/>
  <c r="BJ445" i="30"/>
  <c r="BK445" i="30"/>
  <c r="BL445" i="30"/>
  <c r="BM445" i="30"/>
  <c r="BN445" i="30"/>
  <c r="BO445" i="30"/>
  <c r="BP445" i="30"/>
  <c r="BQ445" i="30"/>
  <c r="BR445" i="30"/>
  <c r="BS445" i="30"/>
  <c r="BT445" i="30"/>
  <c r="BU445" i="30"/>
  <c r="BV445" i="30"/>
  <c r="BW445" i="30"/>
  <c r="BX445" i="30"/>
  <c r="BY445" i="30"/>
  <c r="BZ445" i="30"/>
  <c r="CA445" i="30"/>
  <c r="CB445" i="30"/>
  <c r="CC445" i="30"/>
  <c r="CD445" i="30"/>
  <c r="CE445" i="30"/>
  <c r="CF445" i="30"/>
  <c r="CG445" i="30"/>
  <c r="CH445" i="30"/>
  <c r="CI445" i="30"/>
  <c r="CJ445" i="30"/>
  <c r="CK445" i="30"/>
  <c r="CL445" i="30"/>
  <c r="CM445" i="30"/>
  <c r="CN445" i="30"/>
  <c r="CO445" i="30"/>
  <c r="CP445" i="30"/>
  <c r="CQ445" i="30"/>
  <c r="CR445" i="30"/>
  <c r="CS445" i="30"/>
  <c r="CT445" i="30"/>
  <c r="CU445" i="30"/>
  <c r="CV445" i="30"/>
  <c r="CW445" i="30"/>
  <c r="CX445" i="30"/>
  <c r="CY445" i="30"/>
  <c r="CZ445" i="30"/>
  <c r="DA445" i="30"/>
  <c r="DB445" i="30"/>
  <c r="DC445" i="30"/>
  <c r="DD445" i="30"/>
  <c r="DE445" i="30"/>
  <c r="DF445" i="30"/>
  <c r="DG445" i="30"/>
  <c r="DH445" i="30"/>
  <c r="DI445" i="30"/>
  <c r="DJ445" i="30"/>
  <c r="DK445" i="30"/>
  <c r="DL445" i="30"/>
  <c r="DM445" i="30"/>
  <c r="DN445" i="30"/>
  <c r="DO445" i="30"/>
  <c r="DP445" i="30"/>
  <c r="DQ445" i="30"/>
  <c r="DR445" i="30"/>
  <c r="DS445" i="30"/>
  <c r="DT445" i="30"/>
  <c r="DU445" i="30"/>
  <c r="DV445" i="30"/>
  <c r="DW445" i="30"/>
  <c r="DX445" i="30"/>
  <c r="DY445" i="30"/>
  <c r="DZ445" i="30"/>
  <c r="EA445" i="30"/>
  <c r="EB445" i="30"/>
  <c r="EC445" i="30"/>
  <c r="ED445" i="30"/>
  <c r="EE445" i="30"/>
  <c r="EF445" i="30"/>
  <c r="EG445" i="30"/>
  <c r="EH445" i="30"/>
  <c r="EI445" i="30"/>
  <c r="EJ445" i="30"/>
  <c r="EK445" i="30"/>
  <c r="EL445" i="30"/>
  <c r="EM445" i="30"/>
  <c r="EN445" i="30"/>
  <c r="EO445" i="30"/>
  <c r="EP445" i="30"/>
  <c r="EQ445" i="30"/>
  <c r="ER445" i="30"/>
  <c r="ES445" i="30"/>
  <c r="ET445" i="30"/>
  <c r="EU445" i="30"/>
  <c r="EV445" i="30"/>
  <c r="EW445" i="30"/>
  <c r="EX445" i="30"/>
  <c r="EY445" i="30"/>
  <c r="EZ445" i="30"/>
  <c r="FA445" i="30"/>
  <c r="FB445" i="30"/>
  <c r="FC445" i="30"/>
  <c r="FD445" i="30"/>
  <c r="FE445" i="30"/>
  <c r="FF445" i="30"/>
  <c r="FG445" i="30"/>
  <c r="FH445" i="30"/>
  <c r="FI445" i="30"/>
  <c r="FJ445" i="30"/>
  <c r="FK445" i="30"/>
  <c r="FL445" i="30"/>
  <c r="FM445" i="30"/>
  <c r="FN445" i="30"/>
  <c r="FO445" i="30"/>
  <c r="FP445" i="30"/>
  <c r="FQ445" i="30"/>
  <c r="FR445" i="30"/>
  <c r="FS445" i="30"/>
  <c r="FT445" i="30"/>
  <c r="FU445" i="30"/>
  <c r="FV445" i="30"/>
  <c r="FW445" i="30"/>
  <c r="FX445" i="30"/>
  <c r="FY445" i="30"/>
  <c r="FZ445" i="30"/>
  <c r="GA445" i="30"/>
  <c r="GB445" i="30"/>
  <c r="GC445" i="30"/>
  <c r="GD445" i="30"/>
  <c r="GE445" i="30"/>
  <c r="GF445" i="30"/>
  <c r="GG445" i="30"/>
  <c r="GH445" i="30"/>
  <c r="GI445" i="30"/>
  <c r="GJ445" i="30"/>
  <c r="GK445" i="30"/>
  <c r="GL445" i="30"/>
  <c r="GM445" i="30"/>
  <c r="GN445" i="30"/>
  <c r="GO445" i="30"/>
  <c r="GP445" i="30"/>
  <c r="GQ445" i="30"/>
  <c r="GR445" i="30"/>
  <c r="GS445" i="30"/>
  <c r="GT445" i="30"/>
  <c r="GU445" i="30"/>
  <c r="GV445" i="30"/>
  <c r="GW445" i="30"/>
  <c r="GX445" i="30"/>
  <c r="GY445" i="30"/>
  <c r="GZ445" i="30"/>
  <c r="HA445" i="30"/>
  <c r="HB445" i="30"/>
  <c r="HC445" i="30"/>
  <c r="HD445" i="30"/>
  <c r="HE445" i="30"/>
  <c r="HF445" i="30"/>
  <c r="HG445" i="30"/>
  <c r="HH445" i="30"/>
  <c r="HI445" i="30"/>
  <c r="HJ445" i="30"/>
  <c r="HK445" i="30"/>
  <c r="HL445" i="30"/>
  <c r="HM445" i="30"/>
  <c r="HN445" i="30"/>
  <c r="HO445" i="30"/>
  <c r="HP445" i="30"/>
  <c r="HQ445" i="30"/>
  <c r="HR445" i="30"/>
  <c r="HS445" i="30"/>
  <c r="HT445" i="30"/>
  <c r="HU445" i="30"/>
  <c r="HV445" i="30"/>
  <c r="HW445" i="30"/>
  <c r="HX445" i="30"/>
  <c r="HY445" i="30"/>
  <c r="HZ445" i="30"/>
  <c r="IA445" i="30"/>
  <c r="IB445" i="30"/>
  <c r="IC445" i="30"/>
  <c r="ID445" i="30"/>
  <c r="IE445" i="30"/>
  <c r="IF445" i="30"/>
  <c r="IG445" i="30"/>
  <c r="IH445" i="30"/>
  <c r="II445" i="30"/>
  <c r="IJ445" i="30"/>
  <c r="IK445" i="30"/>
  <c r="IL445" i="30"/>
  <c r="IM445" i="30"/>
  <c r="IN445" i="30"/>
  <c r="IO445" i="30"/>
  <c r="IP445" i="30"/>
  <c r="IQ445" i="30"/>
  <c r="IR445" i="30"/>
  <c r="IS445" i="30"/>
  <c r="IT445" i="30"/>
  <c r="IU445" i="30"/>
  <c r="IV445" i="30"/>
  <c r="A444" i="30"/>
  <c r="B444" i="30"/>
  <c r="C444" i="30"/>
  <c r="D444" i="30"/>
  <c r="E444" i="30"/>
  <c r="F444" i="30"/>
  <c r="G444" i="30"/>
  <c r="H444" i="30"/>
  <c r="I444" i="30"/>
  <c r="J444" i="30"/>
  <c r="K444" i="30"/>
  <c r="L444" i="30"/>
  <c r="M444" i="30"/>
  <c r="N444" i="30"/>
  <c r="O444" i="30"/>
  <c r="P444" i="30"/>
  <c r="Q444" i="30"/>
  <c r="R444" i="30"/>
  <c r="S444" i="30"/>
  <c r="T444" i="30"/>
  <c r="U444" i="30"/>
  <c r="V444" i="30"/>
  <c r="W444" i="30"/>
  <c r="X444" i="30"/>
  <c r="Y444" i="30"/>
  <c r="Z444" i="30"/>
  <c r="AA444" i="30"/>
  <c r="AB444" i="30"/>
  <c r="AC444" i="30"/>
  <c r="AD444" i="30"/>
  <c r="AE444" i="30"/>
  <c r="AF444" i="30"/>
  <c r="AG444" i="30"/>
  <c r="AH444" i="30"/>
  <c r="AI444" i="30"/>
  <c r="AJ444" i="30"/>
  <c r="AK444" i="30"/>
  <c r="AL444" i="30"/>
  <c r="AM444" i="30"/>
  <c r="AN444" i="30"/>
  <c r="AO444" i="30"/>
  <c r="AP444" i="30"/>
  <c r="AQ444" i="30"/>
  <c r="AR444" i="30"/>
  <c r="AS444" i="30"/>
  <c r="AT444" i="30"/>
  <c r="AU444" i="30"/>
  <c r="AV444" i="30"/>
  <c r="AW444" i="30"/>
  <c r="AX444" i="30"/>
  <c r="AY444" i="30"/>
  <c r="AZ444" i="30"/>
  <c r="BA444" i="30"/>
  <c r="BB444" i="30"/>
  <c r="BC444" i="30"/>
  <c r="BD444" i="30"/>
  <c r="BE444" i="30"/>
  <c r="BF444" i="30"/>
  <c r="BG444" i="30"/>
  <c r="BH444" i="30"/>
  <c r="BI444" i="30"/>
  <c r="BJ444" i="30"/>
  <c r="BK444" i="30"/>
  <c r="BL444" i="30"/>
  <c r="BM444" i="30"/>
  <c r="BN444" i="30"/>
  <c r="BO444" i="30"/>
  <c r="BP444" i="30"/>
  <c r="BQ444" i="30"/>
  <c r="BR444" i="30"/>
  <c r="BS444" i="30"/>
  <c r="BT444" i="30"/>
  <c r="BU444" i="30"/>
  <c r="BV444" i="30"/>
  <c r="BW444" i="30"/>
  <c r="BX444" i="30"/>
  <c r="BY444" i="30"/>
  <c r="BZ444" i="30"/>
  <c r="CA444" i="30"/>
  <c r="CB444" i="30"/>
  <c r="CC444" i="30"/>
  <c r="CD444" i="30"/>
  <c r="CE444" i="30"/>
  <c r="CF444" i="30"/>
  <c r="CG444" i="30"/>
  <c r="CH444" i="30"/>
  <c r="CI444" i="30"/>
  <c r="CJ444" i="30"/>
  <c r="CK444" i="30"/>
  <c r="CL444" i="30"/>
  <c r="CM444" i="30"/>
  <c r="CN444" i="30"/>
  <c r="CO444" i="30"/>
  <c r="CP444" i="30"/>
  <c r="CQ444" i="30"/>
  <c r="CR444" i="30"/>
  <c r="CS444" i="30"/>
  <c r="CT444" i="30"/>
  <c r="CU444" i="30"/>
  <c r="CV444" i="30"/>
  <c r="CW444" i="30"/>
  <c r="CX444" i="30"/>
  <c r="CY444" i="30"/>
  <c r="CZ444" i="30"/>
  <c r="DA444" i="30"/>
  <c r="DB444" i="30"/>
  <c r="DC444" i="30"/>
  <c r="DD444" i="30"/>
  <c r="DE444" i="30"/>
  <c r="DF444" i="30"/>
  <c r="DG444" i="30"/>
  <c r="DH444" i="30"/>
  <c r="DI444" i="30"/>
  <c r="DJ444" i="30"/>
  <c r="DK444" i="30"/>
  <c r="DL444" i="30"/>
  <c r="DM444" i="30"/>
  <c r="DN444" i="30"/>
  <c r="DO444" i="30"/>
  <c r="DP444" i="30"/>
  <c r="DQ444" i="30"/>
  <c r="DR444" i="30"/>
  <c r="DS444" i="30"/>
  <c r="DT444" i="30"/>
  <c r="DU444" i="30"/>
  <c r="DV444" i="30"/>
  <c r="DW444" i="30"/>
  <c r="DX444" i="30"/>
  <c r="DY444" i="30"/>
  <c r="DZ444" i="30"/>
  <c r="EA444" i="30"/>
  <c r="EB444" i="30"/>
  <c r="EC444" i="30"/>
  <c r="ED444" i="30"/>
  <c r="EE444" i="30"/>
  <c r="EF444" i="30"/>
  <c r="EG444" i="30"/>
  <c r="EH444" i="30"/>
  <c r="EI444" i="30"/>
  <c r="EJ444" i="30"/>
  <c r="EK444" i="30"/>
  <c r="EL444" i="30"/>
  <c r="EM444" i="30"/>
  <c r="EN444" i="30"/>
  <c r="EO444" i="30"/>
  <c r="EP444" i="30"/>
  <c r="EQ444" i="30"/>
  <c r="ER444" i="30"/>
  <c r="ES444" i="30"/>
  <c r="ET444" i="30"/>
  <c r="EU444" i="30"/>
  <c r="EV444" i="30"/>
  <c r="EW444" i="30"/>
  <c r="EX444" i="30"/>
  <c r="EY444" i="30"/>
  <c r="EZ444" i="30"/>
  <c r="FA444" i="30"/>
  <c r="FB444" i="30"/>
  <c r="FC444" i="30"/>
  <c r="FD444" i="30"/>
  <c r="FE444" i="30"/>
  <c r="FF444" i="30"/>
  <c r="FG444" i="30"/>
  <c r="FH444" i="30"/>
  <c r="FI444" i="30"/>
  <c r="FJ444" i="30"/>
  <c r="FK444" i="30"/>
  <c r="FL444" i="30"/>
  <c r="FM444" i="30"/>
  <c r="FN444" i="30"/>
  <c r="FO444" i="30"/>
  <c r="FP444" i="30"/>
  <c r="FQ444" i="30"/>
  <c r="FR444" i="30"/>
  <c r="FS444" i="30"/>
  <c r="FT444" i="30"/>
  <c r="FU444" i="30"/>
  <c r="FV444" i="30"/>
  <c r="FW444" i="30"/>
  <c r="FX444" i="30"/>
  <c r="FY444" i="30"/>
  <c r="FZ444" i="30"/>
  <c r="GA444" i="30"/>
  <c r="GB444" i="30"/>
  <c r="GC444" i="30"/>
  <c r="GD444" i="30"/>
  <c r="GE444" i="30"/>
  <c r="GF444" i="30"/>
  <c r="GG444" i="30"/>
  <c r="GH444" i="30"/>
  <c r="GI444" i="30"/>
  <c r="GJ444" i="30"/>
  <c r="GK444" i="30"/>
  <c r="GL444" i="30"/>
  <c r="GM444" i="30"/>
  <c r="GN444" i="30"/>
  <c r="GO444" i="30"/>
  <c r="GP444" i="30"/>
  <c r="GQ444" i="30"/>
  <c r="GR444" i="30"/>
  <c r="GS444" i="30"/>
  <c r="GT444" i="30"/>
  <c r="GU444" i="30"/>
  <c r="GV444" i="30"/>
  <c r="GW444" i="30"/>
  <c r="GX444" i="30"/>
  <c r="GY444" i="30"/>
  <c r="GZ444" i="30"/>
  <c r="HA444" i="30"/>
  <c r="HB444" i="30"/>
  <c r="HC444" i="30"/>
  <c r="HD444" i="30"/>
  <c r="HE444" i="30"/>
  <c r="HF444" i="30"/>
  <c r="HG444" i="30"/>
  <c r="HH444" i="30"/>
  <c r="HI444" i="30"/>
  <c r="HJ444" i="30"/>
  <c r="HK444" i="30"/>
  <c r="HL444" i="30"/>
  <c r="HM444" i="30"/>
  <c r="HN444" i="30"/>
  <c r="HO444" i="30"/>
  <c r="HP444" i="30"/>
  <c r="HQ444" i="30"/>
  <c r="HR444" i="30"/>
  <c r="HS444" i="30"/>
  <c r="HT444" i="30"/>
  <c r="HU444" i="30"/>
  <c r="HV444" i="30"/>
  <c r="HW444" i="30"/>
  <c r="HX444" i="30"/>
  <c r="HY444" i="30"/>
  <c r="HZ444" i="30"/>
  <c r="IA444" i="30"/>
  <c r="IB444" i="30"/>
  <c r="IC444" i="30"/>
  <c r="ID444" i="30"/>
  <c r="IE444" i="30"/>
  <c r="IF444" i="30"/>
  <c r="IG444" i="30"/>
  <c r="IH444" i="30"/>
  <c r="II444" i="30"/>
  <c r="IJ444" i="30"/>
  <c r="IK444" i="30"/>
  <c r="IL444" i="30"/>
  <c r="IM444" i="30"/>
  <c r="IN444" i="30"/>
  <c r="IO444" i="30"/>
  <c r="IP444" i="30"/>
  <c r="IQ444" i="30"/>
  <c r="IR444" i="30"/>
  <c r="IS444" i="30"/>
  <c r="IT444" i="30"/>
  <c r="IU444" i="30"/>
  <c r="IV444" i="30"/>
  <c r="A443" i="30"/>
  <c r="B443" i="30"/>
  <c r="C443" i="30"/>
  <c r="D443" i="30"/>
  <c r="E443" i="30"/>
  <c r="F443" i="30"/>
  <c r="G443" i="30"/>
  <c r="H443" i="30"/>
  <c r="I443" i="30"/>
  <c r="J443" i="30"/>
  <c r="K443" i="30"/>
  <c r="L443" i="30"/>
  <c r="M443" i="30"/>
  <c r="N443" i="30"/>
  <c r="O443" i="30"/>
  <c r="P443" i="30"/>
  <c r="Q443" i="30"/>
  <c r="R443" i="30"/>
  <c r="S443" i="30"/>
  <c r="T443" i="30"/>
  <c r="U443" i="30"/>
  <c r="V443" i="30"/>
  <c r="W443" i="30"/>
  <c r="X443" i="30"/>
  <c r="Y443" i="30"/>
  <c r="Z443" i="30"/>
  <c r="AA443" i="30"/>
  <c r="AB443" i="30"/>
  <c r="AC443" i="30"/>
  <c r="AD443" i="30"/>
  <c r="AE443" i="30"/>
  <c r="AF443" i="30"/>
  <c r="AG443" i="30"/>
  <c r="AH443" i="30"/>
  <c r="AI443" i="30"/>
  <c r="AJ443" i="30"/>
  <c r="AK443" i="30"/>
  <c r="AL443" i="30"/>
  <c r="AM443" i="30"/>
  <c r="AN443" i="30"/>
  <c r="AO443" i="30"/>
  <c r="AP443" i="30"/>
  <c r="AQ443" i="30"/>
  <c r="AR443" i="30"/>
  <c r="AS443" i="30"/>
  <c r="AT443" i="30"/>
  <c r="AU443" i="30"/>
  <c r="AV443" i="30"/>
  <c r="AW443" i="30"/>
  <c r="AX443" i="30"/>
  <c r="AY443" i="30"/>
  <c r="AZ443" i="30"/>
  <c r="BA443" i="30"/>
  <c r="BB443" i="30"/>
  <c r="BC443" i="30"/>
  <c r="BD443" i="30"/>
  <c r="BE443" i="30"/>
  <c r="BF443" i="30"/>
  <c r="BG443" i="30"/>
  <c r="BH443" i="30"/>
  <c r="BI443" i="30"/>
  <c r="BJ443" i="30"/>
  <c r="BK443" i="30"/>
  <c r="BL443" i="30"/>
  <c r="BM443" i="30"/>
  <c r="BN443" i="30"/>
  <c r="BO443" i="30"/>
  <c r="BP443" i="30"/>
  <c r="BQ443" i="30"/>
  <c r="BR443" i="30"/>
  <c r="BS443" i="30"/>
  <c r="BT443" i="30"/>
  <c r="BU443" i="30"/>
  <c r="BV443" i="30"/>
  <c r="BW443" i="30"/>
  <c r="BX443" i="30"/>
  <c r="BY443" i="30"/>
  <c r="BZ443" i="30"/>
  <c r="CA443" i="30"/>
  <c r="CB443" i="30"/>
  <c r="CC443" i="30"/>
  <c r="CD443" i="30"/>
  <c r="CE443" i="30"/>
  <c r="CF443" i="30"/>
  <c r="CG443" i="30"/>
  <c r="CH443" i="30"/>
  <c r="CI443" i="30"/>
  <c r="CJ443" i="30"/>
  <c r="CK443" i="30"/>
  <c r="CL443" i="30"/>
  <c r="CM443" i="30"/>
  <c r="CN443" i="30"/>
  <c r="CO443" i="30"/>
  <c r="CP443" i="30"/>
  <c r="CQ443" i="30"/>
  <c r="CR443" i="30"/>
  <c r="CS443" i="30"/>
  <c r="CT443" i="30"/>
  <c r="CU443" i="30"/>
  <c r="CV443" i="30"/>
  <c r="CW443" i="30"/>
  <c r="CX443" i="30"/>
  <c r="CY443" i="30"/>
  <c r="CZ443" i="30"/>
  <c r="DA443" i="30"/>
  <c r="DB443" i="30"/>
  <c r="DC443" i="30"/>
  <c r="DD443" i="30"/>
  <c r="DE443" i="30"/>
  <c r="DF443" i="30"/>
  <c r="DG443" i="30"/>
  <c r="DH443" i="30"/>
  <c r="DI443" i="30"/>
  <c r="DJ443" i="30"/>
  <c r="DK443" i="30"/>
  <c r="DL443" i="30"/>
  <c r="DM443" i="30"/>
  <c r="DN443" i="30"/>
  <c r="DO443" i="30"/>
  <c r="DP443" i="30"/>
  <c r="DQ443" i="30"/>
  <c r="DR443" i="30"/>
  <c r="DS443" i="30"/>
  <c r="DT443" i="30"/>
  <c r="DU443" i="30"/>
  <c r="DV443" i="30"/>
  <c r="DW443" i="30"/>
  <c r="DX443" i="30"/>
  <c r="DY443" i="30"/>
  <c r="DZ443" i="30"/>
  <c r="EA443" i="30"/>
  <c r="EB443" i="30"/>
  <c r="EC443" i="30"/>
  <c r="ED443" i="30"/>
  <c r="EE443" i="30"/>
  <c r="EF443" i="30"/>
  <c r="EG443" i="30"/>
  <c r="EH443" i="30"/>
  <c r="EI443" i="30"/>
  <c r="EJ443" i="30"/>
  <c r="EK443" i="30"/>
  <c r="EL443" i="30"/>
  <c r="EM443" i="30"/>
  <c r="EN443" i="30"/>
  <c r="EO443" i="30"/>
  <c r="EP443" i="30"/>
  <c r="EQ443" i="30"/>
  <c r="ER443" i="30"/>
  <c r="ES443" i="30"/>
  <c r="ET443" i="30"/>
  <c r="EU443" i="30"/>
  <c r="EV443" i="30"/>
  <c r="EW443" i="30"/>
  <c r="EX443" i="30"/>
  <c r="EY443" i="30"/>
  <c r="EZ443" i="30"/>
  <c r="FA443" i="30"/>
  <c r="FB443" i="30"/>
  <c r="FC443" i="30"/>
  <c r="FD443" i="30"/>
  <c r="FE443" i="30"/>
  <c r="FF443" i="30"/>
  <c r="FG443" i="30"/>
  <c r="FH443" i="30"/>
  <c r="FI443" i="30"/>
  <c r="FJ443" i="30"/>
  <c r="FK443" i="30"/>
  <c r="FL443" i="30"/>
  <c r="FM443" i="30"/>
  <c r="FN443" i="30"/>
  <c r="FO443" i="30"/>
  <c r="FP443" i="30"/>
  <c r="FQ443" i="30"/>
  <c r="FR443" i="30"/>
  <c r="FS443" i="30"/>
  <c r="FT443" i="30"/>
  <c r="FU443" i="30"/>
  <c r="FV443" i="30"/>
  <c r="FW443" i="30"/>
  <c r="FX443" i="30"/>
  <c r="FY443" i="30"/>
  <c r="FZ443" i="30"/>
  <c r="GA443" i="30"/>
  <c r="GB443" i="30"/>
  <c r="GC443" i="30"/>
  <c r="GD443" i="30"/>
  <c r="GE443" i="30"/>
  <c r="GF443" i="30"/>
  <c r="GG443" i="30"/>
  <c r="GH443" i="30"/>
  <c r="GI443" i="30"/>
  <c r="GJ443" i="30"/>
  <c r="GK443" i="30"/>
  <c r="GL443" i="30"/>
  <c r="GM443" i="30"/>
  <c r="GN443" i="30"/>
  <c r="GO443" i="30"/>
  <c r="GP443" i="30"/>
  <c r="GQ443" i="30"/>
  <c r="GR443" i="30"/>
  <c r="GS443" i="30"/>
  <c r="GT443" i="30"/>
  <c r="GU443" i="30"/>
  <c r="GV443" i="30"/>
  <c r="GW443" i="30"/>
  <c r="GX443" i="30"/>
  <c r="GY443" i="30"/>
  <c r="GZ443" i="30"/>
  <c r="HA443" i="30"/>
  <c r="HB443" i="30"/>
  <c r="HC443" i="30"/>
  <c r="HD443" i="30"/>
  <c r="HE443" i="30"/>
  <c r="HF443" i="30"/>
  <c r="HG443" i="30"/>
  <c r="HH443" i="30"/>
  <c r="HI443" i="30"/>
  <c r="HJ443" i="30"/>
  <c r="HK443" i="30"/>
  <c r="HL443" i="30"/>
  <c r="HM443" i="30"/>
  <c r="HN443" i="30"/>
  <c r="HO443" i="30"/>
  <c r="HP443" i="30"/>
  <c r="HQ443" i="30"/>
  <c r="HR443" i="30"/>
  <c r="HS443" i="30"/>
  <c r="HT443" i="30"/>
  <c r="HU443" i="30"/>
  <c r="HV443" i="30"/>
  <c r="HW443" i="30"/>
  <c r="HX443" i="30"/>
  <c r="HY443" i="30"/>
  <c r="HZ443" i="30"/>
  <c r="IA443" i="30"/>
  <c r="IB443" i="30"/>
  <c r="IC443" i="30"/>
  <c r="ID443" i="30"/>
  <c r="IE443" i="30"/>
  <c r="IF443" i="30"/>
  <c r="IG443" i="30"/>
  <c r="IH443" i="30"/>
  <c r="II443" i="30"/>
  <c r="IJ443" i="30"/>
  <c r="IK443" i="30"/>
  <c r="IL443" i="30"/>
  <c r="IM443" i="30"/>
  <c r="IN443" i="30"/>
  <c r="IO443" i="30"/>
  <c r="IP443" i="30"/>
  <c r="IQ443" i="30"/>
  <c r="IR443" i="30"/>
  <c r="IS443" i="30"/>
  <c r="IT443" i="30"/>
  <c r="IU443" i="30"/>
  <c r="IV443" i="30"/>
  <c r="A442" i="30"/>
  <c r="B442" i="30"/>
  <c r="C442" i="30"/>
  <c r="D442" i="30"/>
  <c r="E442" i="30"/>
  <c r="F442" i="30"/>
  <c r="G442" i="30"/>
  <c r="H442" i="30"/>
  <c r="I442" i="30"/>
  <c r="J442" i="30"/>
  <c r="K442" i="30"/>
  <c r="L442" i="30"/>
  <c r="M442" i="30"/>
  <c r="N442" i="30"/>
  <c r="O442" i="30"/>
  <c r="P442" i="30"/>
  <c r="Q442" i="30"/>
  <c r="R442" i="30"/>
  <c r="S442" i="30"/>
  <c r="T442" i="30"/>
  <c r="U442" i="30"/>
  <c r="V442" i="30"/>
  <c r="W442" i="30"/>
  <c r="X442" i="30"/>
  <c r="Y442" i="30"/>
  <c r="Z442" i="30"/>
  <c r="AA442" i="30"/>
  <c r="AB442" i="30"/>
  <c r="AC442" i="30"/>
  <c r="AD442" i="30"/>
  <c r="AE442" i="30"/>
  <c r="AF442" i="30"/>
  <c r="AG442" i="30"/>
  <c r="AH442" i="30"/>
  <c r="AI442" i="30"/>
  <c r="AJ442" i="30"/>
  <c r="AK442" i="30"/>
  <c r="AL442" i="30"/>
  <c r="AM442" i="30"/>
  <c r="AN442" i="30"/>
  <c r="AO442" i="30"/>
  <c r="AP442" i="30"/>
  <c r="AQ442" i="30"/>
  <c r="AR442" i="30"/>
  <c r="AS442" i="30"/>
  <c r="AT442" i="30"/>
  <c r="AU442" i="30"/>
  <c r="AV442" i="30"/>
  <c r="AW442" i="30"/>
  <c r="AX442" i="30"/>
  <c r="AY442" i="30"/>
  <c r="AZ442" i="30"/>
  <c r="BA442" i="30"/>
  <c r="BB442" i="30"/>
  <c r="BC442" i="30"/>
  <c r="BD442" i="30"/>
  <c r="BE442" i="30"/>
  <c r="BF442" i="30"/>
  <c r="BG442" i="30"/>
  <c r="BH442" i="30"/>
  <c r="BI442" i="30"/>
  <c r="BJ442" i="30"/>
  <c r="BK442" i="30"/>
  <c r="BL442" i="30"/>
  <c r="BM442" i="30"/>
  <c r="BN442" i="30"/>
  <c r="BO442" i="30"/>
  <c r="BP442" i="30"/>
  <c r="BQ442" i="30"/>
  <c r="BR442" i="30"/>
  <c r="BS442" i="30"/>
  <c r="BT442" i="30"/>
  <c r="BU442" i="30"/>
  <c r="BV442" i="30"/>
  <c r="BW442" i="30"/>
  <c r="BX442" i="30"/>
  <c r="BY442" i="30"/>
  <c r="BZ442" i="30"/>
  <c r="CA442" i="30"/>
  <c r="CB442" i="30"/>
  <c r="CC442" i="30"/>
  <c r="CD442" i="30"/>
  <c r="CE442" i="30"/>
  <c r="CF442" i="30"/>
  <c r="CG442" i="30"/>
  <c r="CH442" i="30"/>
  <c r="CI442" i="30"/>
  <c r="CJ442" i="30"/>
  <c r="CK442" i="30"/>
  <c r="CL442" i="30"/>
  <c r="CM442" i="30"/>
  <c r="CN442" i="30"/>
  <c r="CO442" i="30"/>
  <c r="CP442" i="30"/>
  <c r="CQ442" i="30"/>
  <c r="CR442" i="30"/>
  <c r="CS442" i="30"/>
  <c r="CT442" i="30"/>
  <c r="CU442" i="30"/>
  <c r="CV442" i="30"/>
  <c r="CW442" i="30"/>
  <c r="CX442" i="30"/>
  <c r="CY442" i="30"/>
  <c r="CZ442" i="30"/>
  <c r="DA442" i="30"/>
  <c r="DB442" i="30"/>
  <c r="DC442" i="30"/>
  <c r="DD442" i="30"/>
  <c r="DE442" i="30"/>
  <c r="DF442" i="30"/>
  <c r="DG442" i="30"/>
  <c r="DH442" i="30"/>
  <c r="DI442" i="30"/>
  <c r="DJ442" i="30"/>
  <c r="DK442" i="30"/>
  <c r="DL442" i="30"/>
  <c r="DM442" i="30"/>
  <c r="DN442" i="30"/>
  <c r="DO442" i="30"/>
  <c r="DP442" i="30"/>
  <c r="DQ442" i="30"/>
  <c r="DR442" i="30"/>
  <c r="DS442" i="30"/>
  <c r="DT442" i="30"/>
  <c r="DU442" i="30"/>
  <c r="DV442" i="30"/>
  <c r="DW442" i="30"/>
  <c r="DX442" i="30"/>
  <c r="DY442" i="30"/>
  <c r="DZ442" i="30"/>
  <c r="EA442" i="30"/>
  <c r="EB442" i="30"/>
  <c r="EC442" i="30"/>
  <c r="ED442" i="30"/>
  <c r="EE442" i="30"/>
  <c r="EF442" i="30"/>
  <c r="EG442" i="30"/>
  <c r="EH442" i="30"/>
  <c r="EI442" i="30"/>
  <c r="EJ442" i="30"/>
  <c r="EK442" i="30"/>
  <c r="EL442" i="30"/>
  <c r="EM442" i="30"/>
  <c r="EN442" i="30"/>
  <c r="EO442" i="30"/>
  <c r="EP442" i="30"/>
  <c r="EQ442" i="30"/>
  <c r="ER442" i="30"/>
  <c r="ES442" i="30"/>
  <c r="ET442" i="30"/>
  <c r="EU442" i="30"/>
  <c r="EV442" i="30"/>
  <c r="EW442" i="30"/>
  <c r="EX442" i="30"/>
  <c r="EY442" i="30"/>
  <c r="EZ442" i="30"/>
  <c r="FA442" i="30"/>
  <c r="FB442" i="30"/>
  <c r="FC442" i="30"/>
  <c r="FD442" i="30"/>
  <c r="FE442" i="30"/>
  <c r="FF442" i="30"/>
  <c r="FG442" i="30"/>
  <c r="FH442" i="30"/>
  <c r="FI442" i="30"/>
  <c r="FJ442" i="30"/>
  <c r="FK442" i="30"/>
  <c r="FL442" i="30"/>
  <c r="FM442" i="30"/>
  <c r="FN442" i="30"/>
  <c r="FO442" i="30"/>
  <c r="FP442" i="30"/>
  <c r="FQ442" i="30"/>
  <c r="FR442" i="30"/>
  <c r="FS442" i="30"/>
  <c r="FT442" i="30"/>
  <c r="FU442" i="30"/>
  <c r="FV442" i="30"/>
  <c r="FW442" i="30"/>
  <c r="FX442" i="30"/>
  <c r="FY442" i="30"/>
  <c r="FZ442" i="30"/>
  <c r="GA442" i="30"/>
  <c r="GB442" i="30"/>
  <c r="GC442" i="30"/>
  <c r="GD442" i="30"/>
  <c r="GE442" i="30"/>
  <c r="GF442" i="30"/>
  <c r="GG442" i="30"/>
  <c r="GH442" i="30"/>
  <c r="GI442" i="30"/>
  <c r="GJ442" i="30"/>
  <c r="GK442" i="30"/>
  <c r="GL442" i="30"/>
  <c r="GM442" i="30"/>
  <c r="GN442" i="30"/>
  <c r="GO442" i="30"/>
  <c r="GP442" i="30"/>
  <c r="GQ442" i="30"/>
  <c r="GR442" i="30"/>
  <c r="GS442" i="30"/>
  <c r="GT442" i="30"/>
  <c r="GU442" i="30"/>
  <c r="GV442" i="30"/>
  <c r="GW442" i="30"/>
  <c r="GX442" i="30"/>
  <c r="GY442" i="30"/>
  <c r="GZ442" i="30"/>
  <c r="HA442" i="30"/>
  <c r="HB442" i="30"/>
  <c r="HC442" i="30"/>
  <c r="HD442" i="30"/>
  <c r="HE442" i="30"/>
  <c r="HF442" i="30"/>
  <c r="HG442" i="30"/>
  <c r="HH442" i="30"/>
  <c r="HI442" i="30"/>
  <c r="HJ442" i="30"/>
  <c r="HK442" i="30"/>
  <c r="HL442" i="30"/>
  <c r="HM442" i="30"/>
  <c r="HN442" i="30"/>
  <c r="HO442" i="30"/>
  <c r="HP442" i="30"/>
  <c r="HQ442" i="30"/>
  <c r="HR442" i="30"/>
  <c r="HS442" i="30"/>
  <c r="HT442" i="30"/>
  <c r="HU442" i="30"/>
  <c r="HV442" i="30"/>
  <c r="HW442" i="30"/>
  <c r="HX442" i="30"/>
  <c r="HY442" i="30"/>
  <c r="HZ442" i="30"/>
  <c r="IA442" i="30"/>
  <c r="IB442" i="30"/>
  <c r="IC442" i="30"/>
  <c r="ID442" i="30"/>
  <c r="IE442" i="30"/>
  <c r="IF442" i="30"/>
  <c r="IG442" i="30"/>
  <c r="IH442" i="30"/>
  <c r="II442" i="30"/>
  <c r="IJ442" i="30"/>
  <c r="IK442" i="30"/>
  <c r="IL442" i="30"/>
  <c r="IM442" i="30"/>
  <c r="IN442" i="30"/>
  <c r="IO442" i="30"/>
  <c r="IP442" i="30"/>
  <c r="IQ442" i="30"/>
  <c r="IR442" i="30"/>
  <c r="IS442" i="30"/>
  <c r="IT442" i="30"/>
  <c r="IU442" i="30"/>
  <c r="IV442" i="30"/>
  <c r="A441" i="30"/>
  <c r="B441" i="30"/>
  <c r="C441" i="30"/>
  <c r="D441" i="30"/>
  <c r="E441" i="30"/>
  <c r="F441" i="30"/>
  <c r="G441" i="30"/>
  <c r="H441" i="30"/>
  <c r="I441" i="30"/>
  <c r="J441" i="30"/>
  <c r="K441" i="30"/>
  <c r="L441" i="30"/>
  <c r="M441" i="30"/>
  <c r="N441" i="30"/>
  <c r="O441" i="30"/>
  <c r="P441" i="30"/>
  <c r="Q441" i="30"/>
  <c r="R441" i="30"/>
  <c r="S441" i="30"/>
  <c r="T441" i="30"/>
  <c r="U441" i="30"/>
  <c r="V441" i="30"/>
  <c r="W441" i="30"/>
  <c r="X441" i="30"/>
  <c r="Y441" i="30"/>
  <c r="Z441" i="30"/>
  <c r="AA441" i="30"/>
  <c r="AB441" i="30"/>
  <c r="AC441" i="30"/>
  <c r="AD441" i="30"/>
  <c r="AE441" i="30"/>
  <c r="AF441" i="30"/>
  <c r="AG441" i="30"/>
  <c r="AH441" i="30"/>
  <c r="AI441" i="30"/>
  <c r="AJ441" i="30"/>
  <c r="AK441" i="30"/>
  <c r="AL441" i="30"/>
  <c r="AM441" i="30"/>
  <c r="AN441" i="30"/>
  <c r="AO441" i="30"/>
  <c r="AP441" i="30"/>
  <c r="AQ441" i="30"/>
  <c r="AR441" i="30"/>
  <c r="AS441" i="30"/>
  <c r="AT441" i="30"/>
  <c r="AU441" i="30"/>
  <c r="AV441" i="30"/>
  <c r="AW441" i="30"/>
  <c r="AX441" i="30"/>
  <c r="AY441" i="30"/>
  <c r="AZ441" i="30"/>
  <c r="BA441" i="30"/>
  <c r="BB441" i="30"/>
  <c r="BC441" i="30"/>
  <c r="BD441" i="30"/>
  <c r="BE441" i="30"/>
  <c r="BF441" i="30"/>
  <c r="BG441" i="30"/>
  <c r="BH441" i="30"/>
  <c r="BI441" i="30"/>
  <c r="BJ441" i="30"/>
  <c r="BK441" i="30"/>
  <c r="BL441" i="30"/>
  <c r="BM441" i="30"/>
  <c r="BN441" i="30"/>
  <c r="BO441" i="30"/>
  <c r="BP441" i="30"/>
  <c r="BQ441" i="30"/>
  <c r="BR441" i="30"/>
  <c r="BS441" i="30"/>
  <c r="BT441" i="30"/>
  <c r="BU441" i="30"/>
  <c r="BV441" i="30"/>
  <c r="BW441" i="30"/>
  <c r="BX441" i="30"/>
  <c r="BY441" i="30"/>
  <c r="BZ441" i="30"/>
  <c r="CA441" i="30"/>
  <c r="CB441" i="30"/>
  <c r="CC441" i="30"/>
  <c r="CD441" i="30"/>
  <c r="CE441" i="30"/>
  <c r="CF441" i="30"/>
  <c r="CG441" i="30"/>
  <c r="CH441" i="30"/>
  <c r="CI441" i="30"/>
  <c r="CJ441" i="30"/>
  <c r="CK441" i="30"/>
  <c r="CL441" i="30"/>
  <c r="CM441" i="30"/>
  <c r="CN441" i="30"/>
  <c r="CO441" i="30"/>
  <c r="CP441" i="30"/>
  <c r="CQ441" i="30"/>
  <c r="CR441" i="30"/>
  <c r="CS441" i="30"/>
  <c r="CT441" i="30"/>
  <c r="CU441" i="30"/>
  <c r="CV441" i="30"/>
  <c r="CW441" i="30"/>
  <c r="CX441" i="30"/>
  <c r="CY441" i="30"/>
  <c r="CZ441" i="30"/>
  <c r="DA441" i="30"/>
  <c r="DB441" i="30"/>
  <c r="DC441" i="30"/>
  <c r="DD441" i="30"/>
  <c r="DE441" i="30"/>
  <c r="DF441" i="30"/>
  <c r="DG441" i="30"/>
  <c r="DH441" i="30"/>
  <c r="DI441" i="30"/>
  <c r="DJ441" i="30"/>
  <c r="DK441" i="30"/>
  <c r="DL441" i="30"/>
  <c r="DM441" i="30"/>
  <c r="DN441" i="30"/>
  <c r="DO441" i="30"/>
  <c r="DP441" i="30"/>
  <c r="DQ441" i="30"/>
  <c r="DR441" i="30"/>
  <c r="DS441" i="30"/>
  <c r="DT441" i="30"/>
  <c r="DU441" i="30"/>
  <c r="DV441" i="30"/>
  <c r="DW441" i="30"/>
  <c r="DX441" i="30"/>
  <c r="DY441" i="30"/>
  <c r="DZ441" i="30"/>
  <c r="EA441" i="30"/>
  <c r="EB441" i="30"/>
  <c r="EC441" i="30"/>
  <c r="ED441" i="30"/>
  <c r="EE441" i="30"/>
  <c r="EF441" i="30"/>
  <c r="EG441" i="30"/>
  <c r="EH441" i="30"/>
  <c r="EI441" i="30"/>
  <c r="EJ441" i="30"/>
  <c r="EK441" i="30"/>
  <c r="EL441" i="30"/>
  <c r="EM441" i="30"/>
  <c r="EN441" i="30"/>
  <c r="EO441" i="30"/>
  <c r="EP441" i="30"/>
  <c r="EQ441" i="30"/>
  <c r="ER441" i="30"/>
  <c r="ES441" i="30"/>
  <c r="ET441" i="30"/>
  <c r="EU441" i="30"/>
  <c r="EV441" i="30"/>
  <c r="EW441" i="30"/>
  <c r="EX441" i="30"/>
  <c r="EY441" i="30"/>
  <c r="EZ441" i="30"/>
  <c r="FA441" i="30"/>
  <c r="FB441" i="30"/>
  <c r="FC441" i="30"/>
  <c r="FD441" i="30"/>
  <c r="FE441" i="30"/>
  <c r="FF441" i="30"/>
  <c r="FG441" i="30"/>
  <c r="FH441" i="30"/>
  <c r="FI441" i="30"/>
  <c r="FJ441" i="30"/>
  <c r="FK441" i="30"/>
  <c r="FL441" i="30"/>
  <c r="FM441" i="30"/>
  <c r="FN441" i="30"/>
  <c r="FO441" i="30"/>
  <c r="FP441" i="30"/>
  <c r="FQ441" i="30"/>
  <c r="FR441" i="30"/>
  <c r="FS441" i="30"/>
  <c r="FT441" i="30"/>
  <c r="FU441" i="30"/>
  <c r="FV441" i="30"/>
  <c r="FW441" i="30"/>
  <c r="FX441" i="30"/>
  <c r="FY441" i="30"/>
  <c r="FZ441" i="30"/>
  <c r="GA441" i="30"/>
  <c r="GB441" i="30"/>
  <c r="GC441" i="30"/>
  <c r="GD441" i="30"/>
  <c r="GE441" i="30"/>
  <c r="GF441" i="30"/>
  <c r="GG441" i="30"/>
  <c r="GH441" i="30"/>
  <c r="GI441" i="30"/>
  <c r="GJ441" i="30"/>
  <c r="GK441" i="30"/>
  <c r="GL441" i="30"/>
  <c r="GM441" i="30"/>
  <c r="GN441" i="30"/>
  <c r="GO441" i="30"/>
  <c r="GP441" i="30"/>
  <c r="GQ441" i="30"/>
  <c r="GR441" i="30"/>
  <c r="GS441" i="30"/>
  <c r="GT441" i="30"/>
  <c r="GU441" i="30"/>
  <c r="GV441" i="30"/>
  <c r="GW441" i="30"/>
  <c r="GX441" i="30"/>
  <c r="GY441" i="30"/>
  <c r="GZ441" i="30"/>
  <c r="HA441" i="30"/>
  <c r="HB441" i="30"/>
  <c r="HC441" i="30"/>
  <c r="HD441" i="30"/>
  <c r="HE441" i="30"/>
  <c r="HF441" i="30"/>
  <c r="HG441" i="30"/>
  <c r="HH441" i="30"/>
  <c r="HI441" i="30"/>
  <c r="HJ441" i="30"/>
  <c r="HK441" i="30"/>
  <c r="HL441" i="30"/>
  <c r="HM441" i="30"/>
  <c r="HN441" i="30"/>
  <c r="HO441" i="30"/>
  <c r="HP441" i="30"/>
  <c r="HQ441" i="30"/>
  <c r="HR441" i="30"/>
  <c r="HS441" i="30"/>
  <c r="HT441" i="30"/>
  <c r="HU441" i="30"/>
  <c r="HV441" i="30"/>
  <c r="HW441" i="30"/>
  <c r="HX441" i="30"/>
  <c r="HY441" i="30"/>
  <c r="HZ441" i="30"/>
  <c r="IA441" i="30"/>
  <c r="IB441" i="30"/>
  <c r="IC441" i="30"/>
  <c r="ID441" i="30"/>
  <c r="IE441" i="30"/>
  <c r="IF441" i="30"/>
  <c r="IG441" i="30"/>
  <c r="IH441" i="30"/>
  <c r="II441" i="30"/>
  <c r="IJ441" i="30"/>
  <c r="IK441" i="30"/>
  <c r="IL441" i="30"/>
  <c r="IM441" i="30"/>
  <c r="IN441" i="30"/>
  <c r="IO441" i="30"/>
  <c r="IP441" i="30"/>
  <c r="IQ441" i="30"/>
  <c r="IR441" i="30"/>
  <c r="IS441" i="30"/>
  <c r="IT441" i="30"/>
  <c r="IU441" i="30"/>
  <c r="IV441" i="30"/>
  <c r="A440" i="30"/>
  <c r="B440" i="30"/>
  <c r="C440" i="30"/>
  <c r="D440" i="30"/>
  <c r="E440" i="30"/>
  <c r="F440" i="30"/>
  <c r="G440" i="30"/>
  <c r="H440" i="30"/>
  <c r="I440" i="30"/>
  <c r="J440" i="30"/>
  <c r="K440" i="30"/>
  <c r="L440" i="30"/>
  <c r="M440" i="30"/>
  <c r="N440" i="30"/>
  <c r="O440" i="30"/>
  <c r="P440" i="30"/>
  <c r="Q440" i="30"/>
  <c r="R440" i="30"/>
  <c r="S440" i="30"/>
  <c r="T440" i="30"/>
  <c r="U440" i="30"/>
  <c r="V440" i="30"/>
  <c r="W440" i="30"/>
  <c r="X440" i="30"/>
  <c r="Y440" i="30"/>
  <c r="Z440" i="30"/>
  <c r="AA440" i="30"/>
  <c r="AB440" i="30"/>
  <c r="AC440" i="30"/>
  <c r="AD440" i="30"/>
  <c r="AE440" i="30"/>
  <c r="AF440" i="30"/>
  <c r="AG440" i="30"/>
  <c r="AH440" i="30"/>
  <c r="AI440" i="30"/>
  <c r="AJ440" i="30"/>
  <c r="AK440" i="30"/>
  <c r="AL440" i="30"/>
  <c r="AM440" i="30"/>
  <c r="AN440" i="30"/>
  <c r="AO440" i="30"/>
  <c r="AP440" i="30"/>
  <c r="AQ440" i="30"/>
  <c r="AR440" i="30"/>
  <c r="AS440" i="30"/>
  <c r="AT440" i="30"/>
  <c r="AU440" i="30"/>
  <c r="AV440" i="30"/>
  <c r="AW440" i="30"/>
  <c r="AX440" i="30"/>
  <c r="AY440" i="30"/>
  <c r="AZ440" i="30"/>
  <c r="BA440" i="30"/>
  <c r="BB440" i="30"/>
  <c r="BC440" i="30"/>
  <c r="BD440" i="30"/>
  <c r="BE440" i="30"/>
  <c r="BF440" i="30"/>
  <c r="BG440" i="30"/>
  <c r="BH440" i="30"/>
  <c r="BI440" i="30"/>
  <c r="BJ440" i="30"/>
  <c r="BK440" i="30"/>
  <c r="BL440" i="30"/>
  <c r="BM440" i="30"/>
  <c r="BN440" i="30"/>
  <c r="BO440" i="30"/>
  <c r="BP440" i="30"/>
  <c r="BQ440" i="30"/>
  <c r="BR440" i="30"/>
  <c r="BS440" i="30"/>
  <c r="BT440" i="30"/>
  <c r="BU440" i="30"/>
  <c r="BV440" i="30"/>
  <c r="BW440" i="30"/>
  <c r="BX440" i="30"/>
  <c r="BY440" i="30"/>
  <c r="BZ440" i="30"/>
  <c r="CA440" i="30"/>
  <c r="CB440" i="30"/>
  <c r="CC440" i="30"/>
  <c r="CD440" i="30"/>
  <c r="CE440" i="30"/>
  <c r="CF440" i="30"/>
  <c r="CG440" i="30"/>
  <c r="CH440" i="30"/>
  <c r="CI440" i="30"/>
  <c r="CJ440" i="30"/>
  <c r="CK440" i="30"/>
  <c r="CL440" i="30"/>
  <c r="CM440" i="30"/>
  <c r="CN440" i="30"/>
  <c r="CO440" i="30"/>
  <c r="CP440" i="30"/>
  <c r="CQ440" i="30"/>
  <c r="CR440" i="30"/>
  <c r="CS440" i="30"/>
  <c r="CT440" i="30"/>
  <c r="CU440" i="30"/>
  <c r="CV440" i="30"/>
  <c r="CW440" i="30"/>
  <c r="CX440" i="30"/>
  <c r="CY440" i="30"/>
  <c r="CZ440" i="30"/>
  <c r="DA440" i="30"/>
  <c r="DB440" i="30"/>
  <c r="DC440" i="30"/>
  <c r="DD440" i="30"/>
  <c r="DE440" i="30"/>
  <c r="DF440" i="30"/>
  <c r="DG440" i="30"/>
  <c r="DH440" i="30"/>
  <c r="DI440" i="30"/>
  <c r="DJ440" i="30"/>
  <c r="DK440" i="30"/>
  <c r="DL440" i="30"/>
  <c r="DM440" i="30"/>
  <c r="DN440" i="30"/>
  <c r="DO440" i="30"/>
  <c r="DP440" i="30"/>
  <c r="DQ440" i="30"/>
  <c r="DR440" i="30"/>
  <c r="DS440" i="30"/>
  <c r="DT440" i="30"/>
  <c r="DU440" i="30"/>
  <c r="DV440" i="30"/>
  <c r="DW440" i="30"/>
  <c r="DX440" i="30"/>
  <c r="DY440" i="30"/>
  <c r="DZ440" i="30"/>
  <c r="EA440" i="30"/>
  <c r="EB440" i="30"/>
  <c r="EC440" i="30"/>
  <c r="ED440" i="30"/>
  <c r="EE440" i="30"/>
  <c r="EF440" i="30"/>
  <c r="EG440" i="30"/>
  <c r="EH440" i="30"/>
  <c r="EI440" i="30"/>
  <c r="EJ440" i="30"/>
  <c r="EK440" i="30"/>
  <c r="EL440" i="30"/>
  <c r="EM440" i="30"/>
  <c r="EN440" i="30"/>
  <c r="EO440" i="30"/>
  <c r="EP440" i="30"/>
  <c r="EQ440" i="30"/>
  <c r="ER440" i="30"/>
  <c r="ES440" i="30"/>
  <c r="ET440" i="30"/>
  <c r="EU440" i="30"/>
  <c r="EV440" i="30"/>
  <c r="EW440" i="30"/>
  <c r="EX440" i="30"/>
  <c r="EY440" i="30"/>
  <c r="EZ440" i="30"/>
  <c r="FA440" i="30"/>
  <c r="FB440" i="30"/>
  <c r="FC440" i="30"/>
  <c r="FD440" i="30"/>
  <c r="FE440" i="30"/>
  <c r="FF440" i="30"/>
  <c r="FG440" i="30"/>
  <c r="FH440" i="30"/>
  <c r="FI440" i="30"/>
  <c r="FJ440" i="30"/>
  <c r="FK440" i="30"/>
  <c r="FL440" i="30"/>
  <c r="FM440" i="30"/>
  <c r="FN440" i="30"/>
  <c r="FO440" i="30"/>
  <c r="FP440" i="30"/>
  <c r="FQ440" i="30"/>
  <c r="FR440" i="30"/>
  <c r="FS440" i="30"/>
  <c r="FT440" i="30"/>
  <c r="FU440" i="30"/>
  <c r="FV440" i="30"/>
  <c r="FW440" i="30"/>
  <c r="FX440" i="30"/>
  <c r="FY440" i="30"/>
  <c r="FZ440" i="30"/>
  <c r="GA440" i="30"/>
  <c r="GB440" i="30"/>
  <c r="GC440" i="30"/>
  <c r="GD440" i="30"/>
  <c r="GE440" i="30"/>
  <c r="GF440" i="30"/>
  <c r="GG440" i="30"/>
  <c r="GH440" i="30"/>
  <c r="GI440" i="30"/>
  <c r="GJ440" i="30"/>
  <c r="GK440" i="30"/>
  <c r="GL440" i="30"/>
  <c r="GM440" i="30"/>
  <c r="GN440" i="30"/>
  <c r="GO440" i="30"/>
  <c r="GP440" i="30"/>
  <c r="GQ440" i="30"/>
  <c r="GR440" i="30"/>
  <c r="GS440" i="30"/>
  <c r="GT440" i="30"/>
  <c r="GU440" i="30"/>
  <c r="GV440" i="30"/>
  <c r="GW440" i="30"/>
  <c r="GX440" i="30"/>
  <c r="GY440" i="30"/>
  <c r="GZ440" i="30"/>
  <c r="HA440" i="30"/>
  <c r="HB440" i="30"/>
  <c r="HC440" i="30"/>
  <c r="HD440" i="30"/>
  <c r="HE440" i="30"/>
  <c r="HF440" i="30"/>
  <c r="HG440" i="30"/>
  <c r="HH440" i="30"/>
  <c r="HI440" i="30"/>
  <c r="HJ440" i="30"/>
  <c r="HK440" i="30"/>
  <c r="HL440" i="30"/>
  <c r="HM440" i="30"/>
  <c r="HN440" i="30"/>
  <c r="HO440" i="30"/>
  <c r="HP440" i="30"/>
  <c r="HQ440" i="30"/>
  <c r="HR440" i="30"/>
  <c r="HS440" i="30"/>
  <c r="HT440" i="30"/>
  <c r="HU440" i="30"/>
  <c r="HV440" i="30"/>
  <c r="HW440" i="30"/>
  <c r="HX440" i="30"/>
  <c r="HY440" i="30"/>
  <c r="HZ440" i="30"/>
  <c r="IA440" i="30"/>
  <c r="IB440" i="30"/>
  <c r="IC440" i="30"/>
  <c r="ID440" i="30"/>
  <c r="IE440" i="30"/>
  <c r="IF440" i="30"/>
  <c r="IG440" i="30"/>
  <c r="IH440" i="30"/>
  <c r="II440" i="30"/>
  <c r="IJ440" i="30"/>
  <c r="IK440" i="30"/>
  <c r="IL440" i="30"/>
  <c r="IM440" i="30"/>
  <c r="IN440" i="30"/>
  <c r="IO440" i="30"/>
  <c r="IP440" i="30"/>
  <c r="IQ440" i="30"/>
  <c r="IR440" i="30"/>
  <c r="IS440" i="30"/>
  <c r="IT440" i="30"/>
  <c r="IU440" i="30"/>
  <c r="IV440" i="30"/>
  <c r="A439" i="30"/>
  <c r="B439" i="30"/>
  <c r="C439" i="30"/>
  <c r="D439" i="30"/>
  <c r="E439" i="30"/>
  <c r="F439" i="30"/>
  <c r="G439" i="30"/>
  <c r="H439" i="30"/>
  <c r="I439" i="30"/>
  <c r="J439" i="30"/>
  <c r="K439" i="30"/>
  <c r="L439" i="30"/>
  <c r="M439" i="30"/>
  <c r="N439" i="30"/>
  <c r="O439" i="30"/>
  <c r="P439" i="30"/>
  <c r="Q439" i="30"/>
  <c r="R439" i="30"/>
  <c r="S439" i="30"/>
  <c r="T439" i="30"/>
  <c r="U439" i="30"/>
  <c r="V439" i="30"/>
  <c r="W439" i="30"/>
  <c r="X439" i="30"/>
  <c r="Y439" i="30"/>
  <c r="Z439" i="30"/>
  <c r="AA439" i="30"/>
  <c r="AB439" i="30"/>
  <c r="AC439" i="30"/>
  <c r="AD439" i="30"/>
  <c r="AE439" i="30"/>
  <c r="AF439" i="30"/>
  <c r="AG439" i="30"/>
  <c r="AH439" i="30"/>
  <c r="AI439" i="30"/>
  <c r="AJ439" i="30"/>
  <c r="AK439" i="30"/>
  <c r="AL439" i="30"/>
  <c r="AM439" i="30"/>
  <c r="AN439" i="30"/>
  <c r="AO439" i="30"/>
  <c r="AP439" i="30"/>
  <c r="AQ439" i="30"/>
  <c r="AR439" i="30"/>
  <c r="AS439" i="30"/>
  <c r="AT439" i="30"/>
  <c r="AU439" i="30"/>
  <c r="AV439" i="30"/>
  <c r="AW439" i="30"/>
  <c r="AX439" i="30"/>
  <c r="AY439" i="30"/>
  <c r="AZ439" i="30"/>
  <c r="BA439" i="30"/>
  <c r="BB439" i="30"/>
  <c r="BC439" i="30"/>
  <c r="BD439" i="30"/>
  <c r="BE439" i="30"/>
  <c r="BF439" i="30"/>
  <c r="BG439" i="30"/>
  <c r="BH439" i="30"/>
  <c r="BI439" i="30"/>
  <c r="BJ439" i="30"/>
  <c r="BK439" i="30"/>
  <c r="BL439" i="30"/>
  <c r="BM439" i="30"/>
  <c r="BN439" i="30"/>
  <c r="BO439" i="30"/>
  <c r="BP439" i="30"/>
  <c r="BQ439" i="30"/>
  <c r="BR439" i="30"/>
  <c r="BS439" i="30"/>
  <c r="BT439" i="30"/>
  <c r="BU439" i="30"/>
  <c r="BV439" i="30"/>
  <c r="BW439" i="30"/>
  <c r="BX439" i="30"/>
  <c r="BY439" i="30"/>
  <c r="BZ439" i="30"/>
  <c r="CA439" i="30"/>
  <c r="CB439" i="30"/>
  <c r="CC439" i="30"/>
  <c r="CD439" i="30"/>
  <c r="CE439" i="30"/>
  <c r="CF439" i="30"/>
  <c r="CG439" i="30"/>
  <c r="CH439" i="30"/>
  <c r="CI439" i="30"/>
  <c r="CJ439" i="30"/>
  <c r="CK439" i="30"/>
  <c r="CL439" i="30"/>
  <c r="CM439" i="30"/>
  <c r="CN439" i="30"/>
  <c r="CO439" i="30"/>
  <c r="CP439" i="30"/>
  <c r="CQ439" i="30"/>
  <c r="CR439" i="30"/>
  <c r="CS439" i="30"/>
  <c r="CT439" i="30"/>
  <c r="CU439" i="30"/>
  <c r="CV439" i="30"/>
  <c r="CW439" i="30"/>
  <c r="CX439" i="30"/>
  <c r="CY439" i="30"/>
  <c r="CZ439" i="30"/>
  <c r="DA439" i="30"/>
  <c r="DB439" i="30"/>
  <c r="DC439" i="30"/>
  <c r="DD439" i="30"/>
  <c r="DE439" i="30"/>
  <c r="DF439" i="30"/>
  <c r="DG439" i="30"/>
  <c r="DH439" i="30"/>
  <c r="DI439" i="30"/>
  <c r="DJ439" i="30"/>
  <c r="DK439" i="30"/>
  <c r="DL439" i="30"/>
  <c r="DM439" i="30"/>
  <c r="DN439" i="30"/>
  <c r="DO439" i="30"/>
  <c r="DP439" i="30"/>
  <c r="DQ439" i="30"/>
  <c r="DR439" i="30"/>
  <c r="DS439" i="30"/>
  <c r="DT439" i="30"/>
  <c r="DU439" i="30"/>
  <c r="DV439" i="30"/>
  <c r="DW439" i="30"/>
  <c r="DX439" i="30"/>
  <c r="DY439" i="30"/>
  <c r="DZ439" i="30"/>
  <c r="EA439" i="30"/>
  <c r="EB439" i="30"/>
  <c r="EC439" i="30"/>
  <c r="ED439" i="30"/>
  <c r="EE439" i="30"/>
  <c r="EF439" i="30"/>
  <c r="EG439" i="30"/>
  <c r="EH439" i="30"/>
  <c r="EI439" i="30"/>
  <c r="EJ439" i="30"/>
  <c r="EK439" i="30"/>
  <c r="EL439" i="30"/>
  <c r="EM439" i="30"/>
  <c r="EN439" i="30"/>
  <c r="EO439" i="30"/>
  <c r="EP439" i="30"/>
  <c r="EQ439" i="30"/>
  <c r="ER439" i="30"/>
  <c r="ES439" i="30"/>
  <c r="ET439" i="30"/>
  <c r="EU439" i="30"/>
  <c r="EV439" i="30"/>
  <c r="EW439" i="30"/>
  <c r="EX439" i="30"/>
  <c r="EY439" i="30"/>
  <c r="EZ439" i="30"/>
  <c r="FA439" i="30"/>
  <c r="FB439" i="30"/>
  <c r="FC439" i="30"/>
  <c r="FD439" i="30"/>
  <c r="FE439" i="30"/>
  <c r="FF439" i="30"/>
  <c r="FG439" i="30"/>
  <c r="FH439" i="30"/>
  <c r="FI439" i="30"/>
  <c r="FJ439" i="30"/>
  <c r="FK439" i="30"/>
  <c r="FL439" i="30"/>
  <c r="FM439" i="30"/>
  <c r="FN439" i="30"/>
  <c r="FO439" i="30"/>
  <c r="FP439" i="30"/>
  <c r="FQ439" i="30"/>
  <c r="FR439" i="30"/>
  <c r="FS439" i="30"/>
  <c r="FT439" i="30"/>
  <c r="FU439" i="30"/>
  <c r="FV439" i="30"/>
  <c r="FW439" i="30"/>
  <c r="FX439" i="30"/>
  <c r="FY439" i="30"/>
  <c r="FZ439" i="30"/>
  <c r="GA439" i="30"/>
  <c r="GB439" i="30"/>
  <c r="GC439" i="30"/>
  <c r="GD439" i="30"/>
  <c r="GE439" i="30"/>
  <c r="GF439" i="30"/>
  <c r="GG439" i="30"/>
  <c r="GH439" i="30"/>
  <c r="GI439" i="30"/>
  <c r="GJ439" i="30"/>
  <c r="GK439" i="30"/>
  <c r="GL439" i="30"/>
  <c r="GM439" i="30"/>
  <c r="GN439" i="30"/>
  <c r="GO439" i="30"/>
  <c r="GP439" i="30"/>
  <c r="GQ439" i="30"/>
  <c r="GR439" i="30"/>
  <c r="GS439" i="30"/>
  <c r="GT439" i="30"/>
  <c r="GU439" i="30"/>
  <c r="GV439" i="30"/>
  <c r="GW439" i="30"/>
  <c r="GX439" i="30"/>
  <c r="GY439" i="30"/>
  <c r="GZ439" i="30"/>
  <c r="HA439" i="30"/>
  <c r="HB439" i="30"/>
  <c r="HC439" i="30"/>
  <c r="HD439" i="30"/>
  <c r="HE439" i="30"/>
  <c r="HF439" i="30"/>
  <c r="HG439" i="30"/>
  <c r="HH439" i="30"/>
  <c r="HI439" i="30"/>
  <c r="HJ439" i="30"/>
  <c r="HK439" i="30"/>
  <c r="HL439" i="30"/>
  <c r="HM439" i="30"/>
  <c r="HN439" i="30"/>
  <c r="HO439" i="30"/>
  <c r="HP439" i="30"/>
  <c r="HQ439" i="30"/>
  <c r="HR439" i="30"/>
  <c r="HS439" i="30"/>
  <c r="HT439" i="30"/>
  <c r="HU439" i="30"/>
  <c r="HV439" i="30"/>
  <c r="HW439" i="30"/>
  <c r="HX439" i="30"/>
  <c r="HY439" i="30"/>
  <c r="HZ439" i="30"/>
  <c r="IA439" i="30"/>
  <c r="IB439" i="30"/>
  <c r="IC439" i="30"/>
  <c r="ID439" i="30"/>
  <c r="IE439" i="30"/>
  <c r="IF439" i="30"/>
  <c r="IG439" i="30"/>
  <c r="IH439" i="30"/>
  <c r="II439" i="30"/>
  <c r="IJ439" i="30"/>
  <c r="IK439" i="30"/>
  <c r="IL439" i="30"/>
  <c r="IM439" i="30"/>
  <c r="IN439" i="30"/>
  <c r="IO439" i="30"/>
  <c r="IP439" i="30"/>
  <c r="IQ439" i="30"/>
  <c r="IR439" i="30"/>
  <c r="IS439" i="30"/>
  <c r="IT439" i="30"/>
  <c r="IU439" i="30"/>
  <c r="IV439" i="30"/>
  <c r="A438" i="30"/>
  <c r="B438" i="30"/>
  <c r="C438" i="30"/>
  <c r="D438" i="30"/>
  <c r="E438" i="30"/>
  <c r="F438" i="30"/>
  <c r="G438" i="30"/>
  <c r="H438" i="30"/>
  <c r="I438" i="30"/>
  <c r="J438" i="30"/>
  <c r="K438" i="30"/>
  <c r="L438" i="30"/>
  <c r="M438" i="30"/>
  <c r="N438" i="30"/>
  <c r="O438" i="30"/>
  <c r="P438" i="30"/>
  <c r="Q438" i="30"/>
  <c r="R438" i="30"/>
  <c r="S438" i="30"/>
  <c r="T438" i="30"/>
  <c r="U438" i="30"/>
  <c r="V438" i="30"/>
  <c r="W438" i="30"/>
  <c r="X438" i="30"/>
  <c r="Y438" i="30"/>
  <c r="Z438" i="30"/>
  <c r="AA438" i="30"/>
  <c r="AB438" i="30"/>
  <c r="AC438" i="30"/>
  <c r="AD438" i="30"/>
  <c r="AE438" i="30"/>
  <c r="AF438" i="30"/>
  <c r="AG438" i="30"/>
  <c r="AH438" i="30"/>
  <c r="AI438" i="30"/>
  <c r="AJ438" i="30"/>
  <c r="AK438" i="30"/>
  <c r="AL438" i="30"/>
  <c r="AM438" i="30"/>
  <c r="AN438" i="30"/>
  <c r="AO438" i="30"/>
  <c r="AP438" i="30"/>
  <c r="AQ438" i="30"/>
  <c r="AR438" i="30"/>
  <c r="AS438" i="30"/>
  <c r="AT438" i="30"/>
  <c r="AU438" i="30"/>
  <c r="AV438" i="30"/>
  <c r="AW438" i="30"/>
  <c r="AX438" i="30"/>
  <c r="AY438" i="30"/>
  <c r="AZ438" i="30"/>
  <c r="BA438" i="30"/>
  <c r="BB438" i="30"/>
  <c r="BC438" i="30"/>
  <c r="BD438" i="30"/>
  <c r="BE438" i="30"/>
  <c r="BF438" i="30"/>
  <c r="BG438" i="30"/>
  <c r="BH438" i="30"/>
  <c r="BI438" i="30"/>
  <c r="BJ438" i="30"/>
  <c r="BK438" i="30"/>
  <c r="BL438" i="30"/>
  <c r="BM438" i="30"/>
  <c r="BN438" i="30"/>
  <c r="BO438" i="30"/>
  <c r="BP438" i="30"/>
  <c r="BQ438" i="30"/>
  <c r="BR438" i="30"/>
  <c r="BS438" i="30"/>
  <c r="BT438" i="30"/>
  <c r="BU438" i="30"/>
  <c r="BV438" i="30"/>
  <c r="BW438" i="30"/>
  <c r="BX438" i="30"/>
  <c r="BY438" i="30"/>
  <c r="BZ438" i="30"/>
  <c r="CA438" i="30"/>
  <c r="CB438" i="30"/>
  <c r="CC438" i="30"/>
  <c r="CD438" i="30"/>
  <c r="CE438" i="30"/>
  <c r="CF438" i="30"/>
  <c r="CG438" i="30"/>
  <c r="CH438" i="30"/>
  <c r="CI438" i="30"/>
  <c r="CJ438" i="30"/>
  <c r="CK438" i="30"/>
  <c r="CL438" i="30"/>
  <c r="CM438" i="30"/>
  <c r="CN438" i="30"/>
  <c r="CO438" i="30"/>
  <c r="CP438" i="30"/>
  <c r="CQ438" i="30"/>
  <c r="CR438" i="30"/>
  <c r="CS438" i="30"/>
  <c r="CT438" i="30"/>
  <c r="CU438" i="30"/>
  <c r="CV438" i="30"/>
  <c r="CW438" i="30"/>
  <c r="CX438" i="30"/>
  <c r="CY438" i="30"/>
  <c r="CZ438" i="30"/>
  <c r="DA438" i="30"/>
  <c r="DB438" i="30"/>
  <c r="DC438" i="30"/>
  <c r="DD438" i="30"/>
  <c r="DE438" i="30"/>
  <c r="DF438" i="30"/>
  <c r="DG438" i="30"/>
  <c r="DH438" i="30"/>
  <c r="DI438" i="30"/>
  <c r="DJ438" i="30"/>
  <c r="DK438" i="30"/>
  <c r="DL438" i="30"/>
  <c r="DM438" i="30"/>
  <c r="DN438" i="30"/>
  <c r="DO438" i="30"/>
  <c r="DP438" i="30"/>
  <c r="DQ438" i="30"/>
  <c r="DR438" i="30"/>
  <c r="DS438" i="30"/>
  <c r="DT438" i="30"/>
  <c r="DU438" i="30"/>
  <c r="DV438" i="30"/>
  <c r="DW438" i="30"/>
  <c r="DX438" i="30"/>
  <c r="DY438" i="30"/>
  <c r="DZ438" i="30"/>
  <c r="EA438" i="30"/>
  <c r="EB438" i="30"/>
  <c r="EC438" i="30"/>
  <c r="ED438" i="30"/>
  <c r="EE438" i="30"/>
  <c r="EF438" i="30"/>
  <c r="EG438" i="30"/>
  <c r="EH438" i="30"/>
  <c r="EI438" i="30"/>
  <c r="EJ438" i="30"/>
  <c r="EK438" i="30"/>
  <c r="EL438" i="30"/>
  <c r="EM438" i="30"/>
  <c r="EN438" i="30"/>
  <c r="EO438" i="30"/>
  <c r="EP438" i="30"/>
  <c r="EQ438" i="30"/>
  <c r="ER438" i="30"/>
  <c r="ES438" i="30"/>
  <c r="ET438" i="30"/>
  <c r="EU438" i="30"/>
  <c r="EV438" i="30"/>
  <c r="EW438" i="30"/>
  <c r="EX438" i="30"/>
  <c r="EY438" i="30"/>
  <c r="EZ438" i="30"/>
  <c r="FA438" i="30"/>
  <c r="FB438" i="30"/>
  <c r="FC438" i="30"/>
  <c r="FD438" i="30"/>
  <c r="FE438" i="30"/>
  <c r="FF438" i="30"/>
  <c r="FG438" i="30"/>
  <c r="FH438" i="30"/>
  <c r="FI438" i="30"/>
  <c r="FJ438" i="30"/>
  <c r="FK438" i="30"/>
  <c r="FL438" i="30"/>
  <c r="FM438" i="30"/>
  <c r="FN438" i="30"/>
  <c r="FO438" i="30"/>
  <c r="FP438" i="30"/>
  <c r="FQ438" i="30"/>
  <c r="FR438" i="30"/>
  <c r="FS438" i="30"/>
  <c r="FT438" i="30"/>
  <c r="FU438" i="30"/>
  <c r="FV438" i="30"/>
  <c r="FW438" i="30"/>
  <c r="FX438" i="30"/>
  <c r="FY438" i="30"/>
  <c r="FZ438" i="30"/>
  <c r="GA438" i="30"/>
  <c r="GB438" i="30"/>
  <c r="GC438" i="30"/>
  <c r="GD438" i="30"/>
  <c r="GE438" i="30"/>
  <c r="GF438" i="30"/>
  <c r="GG438" i="30"/>
  <c r="GH438" i="30"/>
  <c r="GI438" i="30"/>
  <c r="GJ438" i="30"/>
  <c r="GK438" i="30"/>
  <c r="GL438" i="30"/>
  <c r="GM438" i="30"/>
  <c r="GN438" i="30"/>
  <c r="GO438" i="30"/>
  <c r="GP438" i="30"/>
  <c r="GQ438" i="30"/>
  <c r="GR438" i="30"/>
  <c r="GS438" i="30"/>
  <c r="GT438" i="30"/>
  <c r="GU438" i="30"/>
  <c r="GV438" i="30"/>
  <c r="GW438" i="30"/>
  <c r="GX438" i="30"/>
  <c r="GY438" i="30"/>
  <c r="GZ438" i="30"/>
  <c r="HA438" i="30"/>
  <c r="HB438" i="30"/>
  <c r="HC438" i="30"/>
  <c r="HD438" i="30"/>
  <c r="HE438" i="30"/>
  <c r="HF438" i="30"/>
  <c r="HG438" i="30"/>
  <c r="HH438" i="30"/>
  <c r="HI438" i="30"/>
  <c r="HJ438" i="30"/>
  <c r="HK438" i="30"/>
  <c r="HL438" i="30"/>
  <c r="HM438" i="30"/>
  <c r="HN438" i="30"/>
  <c r="HO438" i="30"/>
  <c r="HP438" i="30"/>
  <c r="HQ438" i="30"/>
  <c r="HR438" i="30"/>
  <c r="HS438" i="30"/>
  <c r="HT438" i="30"/>
  <c r="HU438" i="30"/>
  <c r="HV438" i="30"/>
  <c r="HW438" i="30"/>
  <c r="HX438" i="30"/>
  <c r="HY438" i="30"/>
  <c r="HZ438" i="30"/>
  <c r="IA438" i="30"/>
  <c r="IB438" i="30"/>
  <c r="IC438" i="30"/>
  <c r="ID438" i="30"/>
  <c r="IE438" i="30"/>
  <c r="IF438" i="30"/>
  <c r="IG438" i="30"/>
  <c r="IH438" i="30"/>
  <c r="II438" i="30"/>
  <c r="IJ438" i="30"/>
  <c r="IK438" i="30"/>
  <c r="IL438" i="30"/>
  <c r="IM438" i="30"/>
  <c r="IN438" i="30"/>
  <c r="IO438" i="30"/>
  <c r="IP438" i="30"/>
  <c r="IQ438" i="30"/>
  <c r="IR438" i="30"/>
  <c r="IS438" i="30"/>
  <c r="IT438" i="30"/>
  <c r="IU438" i="30"/>
  <c r="IV438" i="30"/>
  <c r="A437" i="30"/>
  <c r="B437" i="30"/>
  <c r="C437" i="30"/>
  <c r="D437" i="30"/>
  <c r="E437" i="30"/>
  <c r="F437" i="30"/>
  <c r="G437" i="30"/>
  <c r="H437" i="30"/>
  <c r="I437" i="30"/>
  <c r="J437" i="30"/>
  <c r="K437" i="30"/>
  <c r="L437" i="30"/>
  <c r="M437" i="30"/>
  <c r="N437" i="30"/>
  <c r="O437" i="30"/>
  <c r="P437" i="30"/>
  <c r="Q437" i="30"/>
  <c r="R437" i="30"/>
  <c r="S437" i="30"/>
  <c r="T437" i="30"/>
  <c r="U437" i="30"/>
  <c r="V437" i="30"/>
  <c r="W437" i="30"/>
  <c r="X437" i="30"/>
  <c r="Y437" i="30"/>
  <c r="Z437" i="30"/>
  <c r="AA437" i="30"/>
  <c r="AB437" i="30"/>
  <c r="AC437" i="30"/>
  <c r="AD437" i="30"/>
  <c r="AE437" i="30"/>
  <c r="AF437" i="30"/>
  <c r="AG437" i="30"/>
  <c r="AH437" i="30"/>
  <c r="AI437" i="30"/>
  <c r="AJ437" i="30"/>
  <c r="AK437" i="30"/>
  <c r="AL437" i="30"/>
  <c r="AM437" i="30"/>
  <c r="AN437" i="30"/>
  <c r="AO437" i="30"/>
  <c r="AP437" i="30"/>
  <c r="AQ437" i="30"/>
  <c r="AR437" i="30"/>
  <c r="AS437" i="30"/>
  <c r="AT437" i="30"/>
  <c r="AU437" i="30"/>
  <c r="AV437" i="30"/>
  <c r="AW437" i="30"/>
  <c r="AX437" i="30"/>
  <c r="AY437" i="30"/>
  <c r="AZ437" i="30"/>
  <c r="BA437" i="30"/>
  <c r="BB437" i="30"/>
  <c r="BC437" i="30"/>
  <c r="BD437" i="30"/>
  <c r="BE437" i="30"/>
  <c r="BF437" i="30"/>
  <c r="BG437" i="30"/>
  <c r="BH437" i="30"/>
  <c r="BI437" i="30"/>
  <c r="BJ437" i="30"/>
  <c r="BK437" i="30"/>
  <c r="BL437" i="30"/>
  <c r="BM437" i="30"/>
  <c r="BN437" i="30"/>
  <c r="BO437" i="30"/>
  <c r="BP437" i="30"/>
  <c r="BQ437" i="30"/>
  <c r="BR437" i="30"/>
  <c r="BS437" i="30"/>
  <c r="BT437" i="30"/>
  <c r="BU437" i="30"/>
  <c r="BV437" i="30"/>
  <c r="BW437" i="30"/>
  <c r="BX437" i="30"/>
  <c r="BY437" i="30"/>
  <c r="BZ437" i="30"/>
  <c r="CA437" i="30"/>
  <c r="CB437" i="30"/>
  <c r="CC437" i="30"/>
  <c r="CD437" i="30"/>
  <c r="CE437" i="30"/>
  <c r="CF437" i="30"/>
  <c r="CG437" i="30"/>
  <c r="CH437" i="30"/>
  <c r="CI437" i="30"/>
  <c r="CJ437" i="30"/>
  <c r="CK437" i="30"/>
  <c r="CL437" i="30"/>
  <c r="CM437" i="30"/>
  <c r="CN437" i="30"/>
  <c r="CO437" i="30"/>
  <c r="CP437" i="30"/>
  <c r="CQ437" i="30"/>
  <c r="CR437" i="30"/>
  <c r="CS437" i="30"/>
  <c r="CT437" i="30"/>
  <c r="CU437" i="30"/>
  <c r="CV437" i="30"/>
  <c r="CW437" i="30"/>
  <c r="CX437" i="30"/>
  <c r="CY437" i="30"/>
  <c r="CZ437" i="30"/>
  <c r="DA437" i="30"/>
  <c r="DB437" i="30"/>
  <c r="DC437" i="30"/>
  <c r="DD437" i="30"/>
  <c r="DE437" i="30"/>
  <c r="DF437" i="30"/>
  <c r="DG437" i="30"/>
  <c r="DH437" i="30"/>
  <c r="DI437" i="30"/>
  <c r="DJ437" i="30"/>
  <c r="DK437" i="30"/>
  <c r="DL437" i="30"/>
  <c r="DM437" i="30"/>
  <c r="DN437" i="30"/>
  <c r="DO437" i="30"/>
  <c r="DP437" i="30"/>
  <c r="DQ437" i="30"/>
  <c r="DR437" i="30"/>
  <c r="DS437" i="30"/>
  <c r="DT437" i="30"/>
  <c r="DU437" i="30"/>
  <c r="DV437" i="30"/>
  <c r="DW437" i="30"/>
  <c r="DX437" i="30"/>
  <c r="DY437" i="30"/>
  <c r="DZ437" i="30"/>
  <c r="EA437" i="30"/>
  <c r="EB437" i="30"/>
  <c r="EC437" i="30"/>
  <c r="ED437" i="30"/>
  <c r="EE437" i="30"/>
  <c r="EF437" i="30"/>
  <c r="EG437" i="30"/>
  <c r="EH437" i="30"/>
  <c r="EI437" i="30"/>
  <c r="EJ437" i="30"/>
  <c r="EK437" i="30"/>
  <c r="EL437" i="30"/>
  <c r="EM437" i="30"/>
  <c r="EN437" i="30"/>
  <c r="EO437" i="30"/>
  <c r="EP437" i="30"/>
  <c r="EQ437" i="30"/>
  <c r="ER437" i="30"/>
  <c r="ES437" i="30"/>
  <c r="ET437" i="30"/>
  <c r="EU437" i="30"/>
  <c r="EV437" i="30"/>
  <c r="EW437" i="30"/>
  <c r="EX437" i="30"/>
  <c r="EY437" i="30"/>
  <c r="EZ437" i="30"/>
  <c r="FA437" i="30"/>
  <c r="FB437" i="30"/>
  <c r="FC437" i="30"/>
  <c r="FD437" i="30"/>
  <c r="FE437" i="30"/>
  <c r="FF437" i="30"/>
  <c r="FG437" i="30"/>
  <c r="FH437" i="30"/>
  <c r="FI437" i="30"/>
  <c r="FJ437" i="30"/>
  <c r="FK437" i="30"/>
  <c r="FL437" i="30"/>
  <c r="FM437" i="30"/>
  <c r="FN437" i="30"/>
  <c r="FO437" i="30"/>
  <c r="FP437" i="30"/>
  <c r="FQ437" i="30"/>
  <c r="FR437" i="30"/>
  <c r="FS437" i="30"/>
  <c r="FT437" i="30"/>
  <c r="FU437" i="30"/>
  <c r="FV437" i="30"/>
  <c r="FW437" i="30"/>
  <c r="FX437" i="30"/>
  <c r="FY437" i="30"/>
  <c r="FZ437" i="30"/>
  <c r="GA437" i="30"/>
  <c r="GB437" i="30"/>
  <c r="GC437" i="30"/>
  <c r="GD437" i="30"/>
  <c r="GE437" i="30"/>
  <c r="GF437" i="30"/>
  <c r="GG437" i="30"/>
  <c r="GH437" i="30"/>
  <c r="GI437" i="30"/>
  <c r="GJ437" i="30"/>
  <c r="GK437" i="30"/>
  <c r="GL437" i="30"/>
  <c r="GM437" i="30"/>
  <c r="GN437" i="30"/>
  <c r="GO437" i="30"/>
  <c r="GP437" i="30"/>
  <c r="GQ437" i="30"/>
  <c r="GR437" i="30"/>
  <c r="GS437" i="30"/>
  <c r="GT437" i="30"/>
  <c r="GU437" i="30"/>
  <c r="GV437" i="30"/>
  <c r="GW437" i="30"/>
  <c r="GX437" i="30"/>
  <c r="GY437" i="30"/>
  <c r="GZ437" i="30"/>
  <c r="HA437" i="30"/>
  <c r="HB437" i="30"/>
  <c r="HC437" i="30"/>
  <c r="HD437" i="30"/>
  <c r="HE437" i="30"/>
  <c r="HF437" i="30"/>
  <c r="HG437" i="30"/>
  <c r="HH437" i="30"/>
  <c r="HI437" i="30"/>
  <c r="HJ437" i="30"/>
  <c r="HK437" i="30"/>
  <c r="HL437" i="30"/>
  <c r="HM437" i="30"/>
  <c r="HN437" i="30"/>
  <c r="HO437" i="30"/>
  <c r="HP437" i="30"/>
  <c r="HQ437" i="30"/>
  <c r="HR437" i="30"/>
  <c r="HS437" i="30"/>
  <c r="HT437" i="30"/>
  <c r="HU437" i="30"/>
  <c r="HV437" i="30"/>
  <c r="HW437" i="30"/>
  <c r="HX437" i="30"/>
  <c r="HY437" i="30"/>
  <c r="HZ437" i="30"/>
  <c r="IA437" i="30"/>
  <c r="IB437" i="30"/>
  <c r="IC437" i="30"/>
  <c r="ID437" i="30"/>
  <c r="IE437" i="30"/>
  <c r="IF437" i="30"/>
  <c r="IG437" i="30"/>
  <c r="IH437" i="30"/>
  <c r="II437" i="30"/>
  <c r="IJ437" i="30"/>
  <c r="IK437" i="30"/>
  <c r="IL437" i="30"/>
  <c r="IM437" i="30"/>
  <c r="IN437" i="30"/>
  <c r="IO437" i="30"/>
  <c r="IP437" i="30"/>
  <c r="IQ437" i="30"/>
  <c r="IR437" i="30"/>
  <c r="IS437" i="30"/>
  <c r="IT437" i="30"/>
  <c r="IU437" i="30"/>
  <c r="IV437" i="30"/>
  <c r="A436" i="30"/>
  <c r="B436" i="30"/>
  <c r="C436" i="30"/>
  <c r="D436" i="30"/>
  <c r="E436" i="30"/>
  <c r="F436" i="30"/>
  <c r="G436" i="30"/>
  <c r="H436" i="30"/>
  <c r="I436" i="30"/>
  <c r="J436" i="30"/>
  <c r="K436" i="30"/>
  <c r="L436" i="30"/>
  <c r="M436" i="30"/>
  <c r="N436" i="30"/>
  <c r="O436" i="30"/>
  <c r="P436" i="30"/>
  <c r="Q436" i="30"/>
  <c r="R436" i="30"/>
  <c r="S436" i="30"/>
  <c r="T436" i="30"/>
  <c r="U436" i="30"/>
  <c r="V436" i="30"/>
  <c r="W436" i="30"/>
  <c r="X436" i="30"/>
  <c r="Y436" i="30"/>
  <c r="Z436" i="30"/>
  <c r="AA436" i="30"/>
  <c r="AB436" i="30"/>
  <c r="AC436" i="30"/>
  <c r="AD436" i="30"/>
  <c r="AE436" i="30"/>
  <c r="AF436" i="30"/>
  <c r="AG436" i="30"/>
  <c r="AH436" i="30"/>
  <c r="AI436" i="30"/>
  <c r="AJ436" i="30"/>
  <c r="AK436" i="30"/>
  <c r="AL436" i="30"/>
  <c r="AM436" i="30"/>
  <c r="AN436" i="30"/>
  <c r="AO436" i="30"/>
  <c r="AP436" i="30"/>
  <c r="AQ436" i="30"/>
  <c r="AR436" i="30"/>
  <c r="AS436" i="30"/>
  <c r="AT436" i="30"/>
  <c r="AU436" i="30"/>
  <c r="AV436" i="30"/>
  <c r="AW436" i="30"/>
  <c r="AX436" i="30"/>
  <c r="AY436" i="30"/>
  <c r="AZ436" i="30"/>
  <c r="BA436" i="30"/>
  <c r="BB436" i="30"/>
  <c r="BC436" i="30"/>
  <c r="BD436" i="30"/>
  <c r="BE436" i="30"/>
  <c r="BF436" i="30"/>
  <c r="BG436" i="30"/>
  <c r="BH436" i="30"/>
  <c r="BI436" i="30"/>
  <c r="BJ436" i="30"/>
  <c r="BK436" i="30"/>
  <c r="BL436" i="30"/>
  <c r="BM436" i="30"/>
  <c r="BN436" i="30"/>
  <c r="BO436" i="30"/>
  <c r="BP436" i="30"/>
  <c r="BQ436" i="30"/>
  <c r="BR436" i="30"/>
  <c r="BS436" i="30"/>
  <c r="BT436" i="30"/>
  <c r="BU436" i="30"/>
  <c r="BV436" i="30"/>
  <c r="BW436" i="30"/>
  <c r="BX436" i="30"/>
  <c r="BY436" i="30"/>
  <c r="BZ436" i="30"/>
  <c r="CA436" i="30"/>
  <c r="CB436" i="30"/>
  <c r="CC436" i="30"/>
  <c r="CD436" i="30"/>
  <c r="CE436" i="30"/>
  <c r="CF436" i="30"/>
  <c r="CG436" i="30"/>
  <c r="CH436" i="30"/>
  <c r="CI436" i="30"/>
  <c r="CJ436" i="30"/>
  <c r="CK436" i="30"/>
  <c r="CL436" i="30"/>
  <c r="CM436" i="30"/>
  <c r="CN436" i="30"/>
  <c r="CO436" i="30"/>
  <c r="CP436" i="30"/>
  <c r="CQ436" i="30"/>
  <c r="CR436" i="30"/>
  <c r="CS436" i="30"/>
  <c r="CT436" i="30"/>
  <c r="CU436" i="30"/>
  <c r="CV436" i="30"/>
  <c r="CW436" i="30"/>
  <c r="CX436" i="30"/>
  <c r="CY436" i="30"/>
  <c r="CZ436" i="30"/>
  <c r="DA436" i="30"/>
  <c r="DB436" i="30"/>
  <c r="DC436" i="30"/>
  <c r="DD436" i="30"/>
  <c r="DE436" i="30"/>
  <c r="DF436" i="30"/>
  <c r="DG436" i="30"/>
  <c r="DH436" i="30"/>
  <c r="DI436" i="30"/>
  <c r="DJ436" i="30"/>
  <c r="DK436" i="30"/>
  <c r="DL436" i="30"/>
  <c r="DM436" i="30"/>
  <c r="DN436" i="30"/>
  <c r="DO436" i="30"/>
  <c r="DP436" i="30"/>
  <c r="DQ436" i="30"/>
  <c r="DR436" i="30"/>
  <c r="DS436" i="30"/>
  <c r="DT436" i="30"/>
  <c r="DU436" i="30"/>
  <c r="DV436" i="30"/>
  <c r="DW436" i="30"/>
  <c r="DX436" i="30"/>
  <c r="DY436" i="30"/>
  <c r="DZ436" i="30"/>
  <c r="EA436" i="30"/>
  <c r="EB436" i="30"/>
  <c r="EC436" i="30"/>
  <c r="ED436" i="30"/>
  <c r="EE436" i="30"/>
  <c r="EF436" i="30"/>
  <c r="EG436" i="30"/>
  <c r="EH436" i="30"/>
  <c r="EI436" i="30"/>
  <c r="EJ436" i="30"/>
  <c r="EK436" i="30"/>
  <c r="EL436" i="30"/>
  <c r="EM436" i="30"/>
  <c r="EN436" i="30"/>
  <c r="EO436" i="30"/>
  <c r="EP436" i="30"/>
  <c r="EQ436" i="30"/>
  <c r="ER436" i="30"/>
  <c r="ES436" i="30"/>
  <c r="ET436" i="30"/>
  <c r="EU436" i="30"/>
  <c r="EV436" i="30"/>
  <c r="EW436" i="30"/>
  <c r="EX436" i="30"/>
  <c r="EY436" i="30"/>
  <c r="EZ436" i="30"/>
  <c r="FA436" i="30"/>
  <c r="FB436" i="30"/>
  <c r="FC436" i="30"/>
  <c r="FD436" i="30"/>
  <c r="FE436" i="30"/>
  <c r="FF436" i="30"/>
  <c r="FG436" i="30"/>
  <c r="FH436" i="30"/>
  <c r="FI436" i="30"/>
  <c r="FJ436" i="30"/>
  <c r="FK436" i="30"/>
  <c r="FL436" i="30"/>
  <c r="FM436" i="30"/>
  <c r="FN436" i="30"/>
  <c r="FO436" i="30"/>
  <c r="FP436" i="30"/>
  <c r="FQ436" i="30"/>
  <c r="FR436" i="30"/>
  <c r="FS436" i="30"/>
  <c r="FT436" i="30"/>
  <c r="FU436" i="30"/>
  <c r="FV436" i="30"/>
  <c r="FW436" i="30"/>
  <c r="FX436" i="30"/>
  <c r="FY436" i="30"/>
  <c r="FZ436" i="30"/>
  <c r="GA436" i="30"/>
  <c r="GB436" i="30"/>
  <c r="GC436" i="30"/>
  <c r="GD436" i="30"/>
  <c r="GE436" i="30"/>
  <c r="GF436" i="30"/>
  <c r="GG436" i="30"/>
  <c r="GH436" i="30"/>
  <c r="GI436" i="30"/>
  <c r="GJ436" i="30"/>
  <c r="GK436" i="30"/>
  <c r="GL436" i="30"/>
  <c r="GM436" i="30"/>
  <c r="GN436" i="30"/>
  <c r="GO436" i="30"/>
  <c r="GP436" i="30"/>
  <c r="GQ436" i="30"/>
  <c r="GR436" i="30"/>
  <c r="GS436" i="30"/>
  <c r="GT436" i="30"/>
  <c r="GU436" i="30"/>
  <c r="GV436" i="30"/>
  <c r="GW436" i="30"/>
  <c r="GX436" i="30"/>
  <c r="GY436" i="30"/>
  <c r="GZ436" i="30"/>
  <c r="HA436" i="30"/>
  <c r="HB436" i="30"/>
  <c r="HC436" i="30"/>
  <c r="HD436" i="30"/>
  <c r="HE436" i="30"/>
  <c r="HF436" i="30"/>
  <c r="HG436" i="30"/>
  <c r="HH436" i="30"/>
  <c r="HI436" i="30"/>
  <c r="HJ436" i="30"/>
  <c r="HK436" i="30"/>
  <c r="HL436" i="30"/>
  <c r="HM436" i="30"/>
  <c r="HN436" i="30"/>
  <c r="HO436" i="30"/>
  <c r="HP436" i="30"/>
  <c r="HQ436" i="30"/>
  <c r="HR436" i="30"/>
  <c r="HS436" i="30"/>
  <c r="HT436" i="30"/>
  <c r="HU436" i="30"/>
  <c r="HV436" i="30"/>
  <c r="HW436" i="30"/>
  <c r="HX436" i="30"/>
  <c r="HY436" i="30"/>
  <c r="HZ436" i="30"/>
  <c r="IA436" i="30"/>
  <c r="IB436" i="30"/>
  <c r="IC436" i="30"/>
  <c r="ID436" i="30"/>
  <c r="IE436" i="30"/>
  <c r="IF436" i="30"/>
  <c r="IG436" i="30"/>
  <c r="IH436" i="30"/>
  <c r="II436" i="30"/>
  <c r="IJ436" i="30"/>
  <c r="IK436" i="30"/>
  <c r="IL436" i="30"/>
  <c r="IM436" i="30"/>
  <c r="IN436" i="30"/>
  <c r="IO436" i="30"/>
  <c r="IP436" i="30"/>
  <c r="IQ436" i="30"/>
  <c r="IR436" i="30"/>
  <c r="IS436" i="30"/>
  <c r="IT436" i="30"/>
  <c r="IU436" i="30"/>
  <c r="IV436" i="30"/>
  <c r="A435" i="30"/>
  <c r="B435" i="30"/>
  <c r="C435" i="30"/>
  <c r="D435" i="30"/>
  <c r="E435" i="30"/>
  <c r="F435" i="30"/>
  <c r="G435" i="30"/>
  <c r="H435" i="30"/>
  <c r="I435" i="30"/>
  <c r="J435" i="30"/>
  <c r="K435" i="30"/>
  <c r="L435" i="30"/>
  <c r="M435" i="30"/>
  <c r="N435" i="30"/>
  <c r="O435" i="30"/>
  <c r="P435" i="30"/>
  <c r="Q435" i="30"/>
  <c r="R435" i="30"/>
  <c r="S435" i="30"/>
  <c r="T435" i="30"/>
  <c r="U435" i="30"/>
  <c r="V435" i="30"/>
  <c r="W435" i="30"/>
  <c r="X435" i="30"/>
  <c r="Y435" i="30"/>
  <c r="Z435" i="30"/>
  <c r="AA435" i="30"/>
  <c r="AB435" i="30"/>
  <c r="AC435" i="30"/>
  <c r="AD435" i="30"/>
  <c r="AE435" i="30"/>
  <c r="AF435" i="30"/>
  <c r="AG435" i="30"/>
  <c r="AH435" i="30"/>
  <c r="AI435" i="30"/>
  <c r="AJ435" i="30"/>
  <c r="AK435" i="30"/>
  <c r="AL435" i="30"/>
  <c r="AM435" i="30"/>
  <c r="AN435" i="30"/>
  <c r="AO435" i="30"/>
  <c r="AP435" i="30"/>
  <c r="AQ435" i="30"/>
  <c r="AR435" i="30"/>
  <c r="AS435" i="30"/>
  <c r="AT435" i="30"/>
  <c r="AU435" i="30"/>
  <c r="AV435" i="30"/>
  <c r="AW435" i="30"/>
  <c r="AX435" i="30"/>
  <c r="AY435" i="30"/>
  <c r="AZ435" i="30"/>
  <c r="BA435" i="30"/>
  <c r="BB435" i="30"/>
  <c r="BC435" i="30"/>
  <c r="BD435" i="30"/>
  <c r="BE435" i="30"/>
  <c r="BF435" i="30"/>
  <c r="BG435" i="30"/>
  <c r="BH435" i="30"/>
  <c r="BI435" i="30"/>
  <c r="BJ435" i="30"/>
  <c r="BK435" i="30"/>
  <c r="BL435" i="30"/>
  <c r="BM435" i="30"/>
  <c r="BN435" i="30"/>
  <c r="BO435" i="30"/>
  <c r="BP435" i="30"/>
  <c r="BQ435" i="30"/>
  <c r="BR435" i="30"/>
  <c r="BS435" i="30"/>
  <c r="BT435" i="30"/>
  <c r="BU435" i="30"/>
  <c r="BV435" i="30"/>
  <c r="BW435" i="30"/>
  <c r="BX435" i="30"/>
  <c r="BY435" i="30"/>
  <c r="BZ435" i="30"/>
  <c r="CA435" i="30"/>
  <c r="CB435" i="30"/>
  <c r="CC435" i="30"/>
  <c r="CD435" i="30"/>
  <c r="CE435" i="30"/>
  <c r="CF435" i="30"/>
  <c r="CG435" i="30"/>
  <c r="CH435" i="30"/>
  <c r="CI435" i="30"/>
  <c r="CJ435" i="30"/>
  <c r="CK435" i="30"/>
  <c r="CL435" i="30"/>
  <c r="CM435" i="30"/>
  <c r="CN435" i="30"/>
  <c r="CO435" i="30"/>
  <c r="CP435" i="30"/>
  <c r="CQ435" i="30"/>
  <c r="CR435" i="30"/>
  <c r="CS435" i="30"/>
  <c r="CT435" i="30"/>
  <c r="CU435" i="30"/>
  <c r="CV435" i="30"/>
  <c r="CW435" i="30"/>
  <c r="CX435" i="30"/>
  <c r="CY435" i="30"/>
  <c r="CZ435" i="30"/>
  <c r="DA435" i="30"/>
  <c r="DB435" i="30"/>
  <c r="DC435" i="30"/>
  <c r="DD435" i="30"/>
  <c r="DE435" i="30"/>
  <c r="DF435" i="30"/>
  <c r="DG435" i="30"/>
  <c r="DH435" i="30"/>
  <c r="DI435" i="30"/>
  <c r="DJ435" i="30"/>
  <c r="DK435" i="30"/>
  <c r="DL435" i="30"/>
  <c r="DM435" i="30"/>
  <c r="DN435" i="30"/>
  <c r="DO435" i="30"/>
  <c r="DP435" i="30"/>
  <c r="DQ435" i="30"/>
  <c r="DR435" i="30"/>
  <c r="DS435" i="30"/>
  <c r="DT435" i="30"/>
  <c r="DU435" i="30"/>
  <c r="DV435" i="30"/>
  <c r="DW435" i="30"/>
  <c r="DX435" i="30"/>
  <c r="DY435" i="30"/>
  <c r="DZ435" i="30"/>
  <c r="EA435" i="30"/>
  <c r="EB435" i="30"/>
  <c r="EC435" i="30"/>
  <c r="ED435" i="30"/>
  <c r="EE435" i="30"/>
  <c r="EF435" i="30"/>
  <c r="EG435" i="30"/>
  <c r="EH435" i="30"/>
  <c r="EI435" i="30"/>
  <c r="EJ435" i="30"/>
  <c r="EK435" i="30"/>
  <c r="EL435" i="30"/>
  <c r="EM435" i="30"/>
  <c r="EN435" i="30"/>
  <c r="EO435" i="30"/>
  <c r="EP435" i="30"/>
  <c r="EQ435" i="30"/>
  <c r="ER435" i="30"/>
  <c r="ES435" i="30"/>
  <c r="ET435" i="30"/>
  <c r="EU435" i="30"/>
  <c r="EV435" i="30"/>
  <c r="EW435" i="30"/>
  <c r="EX435" i="30"/>
  <c r="EY435" i="30"/>
  <c r="EZ435" i="30"/>
  <c r="FA435" i="30"/>
  <c r="FB435" i="30"/>
  <c r="FC435" i="30"/>
  <c r="FD435" i="30"/>
  <c r="FE435" i="30"/>
  <c r="FF435" i="30"/>
  <c r="FG435" i="30"/>
  <c r="FH435" i="30"/>
  <c r="FI435" i="30"/>
  <c r="FJ435" i="30"/>
  <c r="FK435" i="30"/>
  <c r="FL435" i="30"/>
  <c r="FM435" i="30"/>
  <c r="FN435" i="30"/>
  <c r="FO435" i="30"/>
  <c r="FP435" i="30"/>
  <c r="FQ435" i="30"/>
  <c r="FR435" i="30"/>
  <c r="FS435" i="30"/>
  <c r="FT435" i="30"/>
  <c r="FU435" i="30"/>
  <c r="FV435" i="30"/>
  <c r="FW435" i="30"/>
  <c r="FX435" i="30"/>
  <c r="FY435" i="30"/>
  <c r="FZ435" i="30"/>
  <c r="GA435" i="30"/>
  <c r="GB435" i="30"/>
  <c r="GC435" i="30"/>
  <c r="GD435" i="30"/>
  <c r="GE435" i="30"/>
  <c r="GF435" i="30"/>
  <c r="GG435" i="30"/>
  <c r="GH435" i="30"/>
  <c r="GI435" i="30"/>
  <c r="GJ435" i="30"/>
  <c r="GK435" i="30"/>
  <c r="GL435" i="30"/>
  <c r="GM435" i="30"/>
  <c r="GN435" i="30"/>
  <c r="GO435" i="30"/>
  <c r="GP435" i="30"/>
  <c r="GQ435" i="30"/>
  <c r="GR435" i="30"/>
  <c r="GS435" i="30"/>
  <c r="GT435" i="30"/>
  <c r="GU435" i="30"/>
  <c r="GV435" i="30"/>
  <c r="GW435" i="30"/>
  <c r="GX435" i="30"/>
  <c r="GY435" i="30"/>
  <c r="GZ435" i="30"/>
  <c r="HA435" i="30"/>
  <c r="HB435" i="30"/>
  <c r="HC435" i="30"/>
  <c r="HD435" i="30"/>
  <c r="HE435" i="30"/>
  <c r="HF435" i="30"/>
  <c r="HG435" i="30"/>
  <c r="HH435" i="30"/>
  <c r="HI435" i="30"/>
  <c r="HJ435" i="30"/>
  <c r="HK435" i="30"/>
  <c r="HL435" i="30"/>
  <c r="HM435" i="30"/>
  <c r="HN435" i="30"/>
  <c r="HO435" i="30"/>
  <c r="HP435" i="30"/>
  <c r="HQ435" i="30"/>
  <c r="HR435" i="30"/>
  <c r="HS435" i="30"/>
  <c r="HT435" i="30"/>
  <c r="HU435" i="30"/>
  <c r="HV435" i="30"/>
  <c r="HW435" i="30"/>
  <c r="HX435" i="30"/>
  <c r="HY435" i="30"/>
  <c r="HZ435" i="30"/>
  <c r="IA435" i="30"/>
  <c r="IB435" i="30"/>
  <c r="IC435" i="30"/>
  <c r="ID435" i="30"/>
  <c r="IE435" i="30"/>
  <c r="IF435" i="30"/>
  <c r="IG435" i="30"/>
  <c r="IH435" i="30"/>
  <c r="II435" i="30"/>
  <c r="IJ435" i="30"/>
  <c r="IK435" i="30"/>
  <c r="IL435" i="30"/>
  <c r="IM435" i="30"/>
  <c r="IN435" i="30"/>
  <c r="IO435" i="30"/>
  <c r="IP435" i="30"/>
  <c r="IQ435" i="30"/>
  <c r="IR435" i="30"/>
  <c r="IS435" i="30"/>
  <c r="IT435" i="30"/>
  <c r="IU435" i="30"/>
  <c r="IV435" i="30"/>
  <c r="A434" i="30"/>
  <c r="B434" i="30"/>
  <c r="C434" i="30"/>
  <c r="D434" i="30"/>
  <c r="E434" i="30"/>
  <c r="F434" i="30"/>
  <c r="G434" i="30"/>
  <c r="H434" i="30"/>
  <c r="I434" i="30"/>
  <c r="J434" i="30"/>
  <c r="K434" i="30"/>
  <c r="L434" i="30"/>
  <c r="M434" i="30"/>
  <c r="N434" i="30"/>
  <c r="O434" i="30"/>
  <c r="P434" i="30"/>
  <c r="Q434" i="30"/>
  <c r="R434" i="30"/>
  <c r="S434" i="30"/>
  <c r="T434" i="30"/>
  <c r="U434" i="30"/>
  <c r="V434" i="30"/>
  <c r="W434" i="30"/>
  <c r="X434" i="30"/>
  <c r="Y434" i="30"/>
  <c r="Z434" i="30"/>
  <c r="AA434" i="30"/>
  <c r="AB434" i="30"/>
  <c r="AC434" i="30"/>
  <c r="AD434" i="30"/>
  <c r="AE434" i="30"/>
  <c r="AF434" i="30"/>
  <c r="AG434" i="30"/>
  <c r="AH434" i="30"/>
  <c r="AI434" i="30"/>
  <c r="AJ434" i="30"/>
  <c r="AK434" i="30"/>
  <c r="AL434" i="30"/>
  <c r="AM434" i="30"/>
  <c r="AN434" i="30"/>
  <c r="AO434" i="30"/>
  <c r="AP434" i="30"/>
  <c r="AQ434" i="30"/>
  <c r="AR434" i="30"/>
  <c r="AS434" i="30"/>
  <c r="AT434" i="30"/>
  <c r="AU434" i="30"/>
  <c r="AV434" i="30"/>
  <c r="AW434" i="30"/>
  <c r="AX434" i="30"/>
  <c r="AY434" i="30"/>
  <c r="AZ434" i="30"/>
  <c r="BA434" i="30"/>
  <c r="BB434" i="30"/>
  <c r="BC434" i="30"/>
  <c r="BD434" i="30"/>
  <c r="BE434" i="30"/>
  <c r="BF434" i="30"/>
  <c r="BG434" i="30"/>
  <c r="BH434" i="30"/>
  <c r="BI434" i="30"/>
  <c r="BJ434" i="30"/>
  <c r="BK434" i="30"/>
  <c r="BL434" i="30"/>
  <c r="BM434" i="30"/>
  <c r="BN434" i="30"/>
  <c r="BO434" i="30"/>
  <c r="BP434" i="30"/>
  <c r="BQ434" i="30"/>
  <c r="BR434" i="30"/>
  <c r="BS434" i="30"/>
  <c r="BT434" i="30"/>
  <c r="BU434" i="30"/>
  <c r="BV434" i="30"/>
  <c r="BW434" i="30"/>
  <c r="BX434" i="30"/>
  <c r="BY434" i="30"/>
  <c r="BZ434" i="30"/>
  <c r="CA434" i="30"/>
  <c r="CB434" i="30"/>
  <c r="CC434" i="30"/>
  <c r="CD434" i="30"/>
  <c r="CE434" i="30"/>
  <c r="CF434" i="30"/>
  <c r="CG434" i="30"/>
  <c r="CH434" i="30"/>
  <c r="CI434" i="30"/>
  <c r="CJ434" i="30"/>
  <c r="CK434" i="30"/>
  <c r="CL434" i="30"/>
  <c r="CM434" i="30"/>
  <c r="CN434" i="30"/>
  <c r="CO434" i="30"/>
  <c r="CP434" i="30"/>
  <c r="CQ434" i="30"/>
  <c r="CR434" i="30"/>
  <c r="CS434" i="30"/>
  <c r="CT434" i="30"/>
  <c r="CU434" i="30"/>
  <c r="CV434" i="30"/>
  <c r="CW434" i="30"/>
  <c r="CX434" i="30"/>
  <c r="CY434" i="30"/>
  <c r="CZ434" i="30"/>
  <c r="DA434" i="30"/>
  <c r="DB434" i="30"/>
  <c r="DC434" i="30"/>
  <c r="DD434" i="30"/>
  <c r="DE434" i="30"/>
  <c r="DF434" i="30"/>
  <c r="DG434" i="30"/>
  <c r="DH434" i="30"/>
  <c r="DI434" i="30"/>
  <c r="DJ434" i="30"/>
  <c r="DK434" i="30"/>
  <c r="DL434" i="30"/>
  <c r="DM434" i="30"/>
  <c r="DN434" i="30"/>
  <c r="DO434" i="30"/>
  <c r="DP434" i="30"/>
  <c r="DQ434" i="30"/>
  <c r="DR434" i="30"/>
  <c r="DS434" i="30"/>
  <c r="DT434" i="30"/>
  <c r="DU434" i="30"/>
  <c r="DV434" i="30"/>
  <c r="DW434" i="30"/>
  <c r="DX434" i="30"/>
  <c r="DY434" i="30"/>
  <c r="DZ434" i="30"/>
  <c r="EA434" i="30"/>
  <c r="EB434" i="30"/>
  <c r="EC434" i="30"/>
  <c r="ED434" i="30"/>
  <c r="EE434" i="30"/>
  <c r="EF434" i="30"/>
  <c r="EG434" i="30"/>
  <c r="EH434" i="30"/>
  <c r="EI434" i="30"/>
  <c r="EJ434" i="30"/>
  <c r="EK434" i="30"/>
  <c r="EL434" i="30"/>
  <c r="EM434" i="30"/>
  <c r="EN434" i="30"/>
  <c r="EO434" i="30"/>
  <c r="EP434" i="30"/>
  <c r="EQ434" i="30"/>
  <c r="ER434" i="30"/>
  <c r="ES434" i="30"/>
  <c r="ET434" i="30"/>
  <c r="EU434" i="30"/>
  <c r="EV434" i="30"/>
  <c r="EW434" i="30"/>
  <c r="EX434" i="30"/>
  <c r="EY434" i="30"/>
  <c r="EZ434" i="30"/>
  <c r="FA434" i="30"/>
  <c r="FB434" i="30"/>
  <c r="FC434" i="30"/>
  <c r="FD434" i="30"/>
  <c r="FE434" i="30"/>
  <c r="FF434" i="30"/>
  <c r="FG434" i="30"/>
  <c r="FH434" i="30"/>
  <c r="FI434" i="30"/>
  <c r="FJ434" i="30"/>
  <c r="FK434" i="30"/>
  <c r="FL434" i="30"/>
  <c r="FM434" i="30"/>
  <c r="FN434" i="30"/>
  <c r="FO434" i="30"/>
  <c r="FP434" i="30"/>
  <c r="FQ434" i="30"/>
  <c r="FR434" i="30"/>
  <c r="FS434" i="30"/>
  <c r="FT434" i="30"/>
  <c r="FU434" i="30"/>
  <c r="FV434" i="30"/>
  <c r="FW434" i="30"/>
  <c r="FX434" i="30"/>
  <c r="FY434" i="30"/>
  <c r="FZ434" i="30"/>
  <c r="GA434" i="30"/>
  <c r="GB434" i="30"/>
  <c r="GC434" i="30"/>
  <c r="GD434" i="30"/>
  <c r="GE434" i="30"/>
  <c r="GF434" i="30"/>
  <c r="GG434" i="30"/>
  <c r="GH434" i="30"/>
  <c r="GI434" i="30"/>
  <c r="GJ434" i="30"/>
  <c r="GK434" i="30"/>
  <c r="GL434" i="30"/>
  <c r="GM434" i="30"/>
  <c r="GN434" i="30"/>
  <c r="GO434" i="30"/>
  <c r="GP434" i="30"/>
  <c r="GQ434" i="30"/>
  <c r="GR434" i="30"/>
  <c r="GS434" i="30"/>
  <c r="GT434" i="30"/>
  <c r="GU434" i="30"/>
  <c r="GV434" i="30"/>
  <c r="GW434" i="30"/>
  <c r="GX434" i="30"/>
  <c r="GY434" i="30"/>
  <c r="GZ434" i="30"/>
  <c r="HA434" i="30"/>
  <c r="HB434" i="30"/>
  <c r="HC434" i="30"/>
  <c r="HD434" i="30"/>
  <c r="HE434" i="30"/>
  <c r="HF434" i="30"/>
  <c r="HG434" i="30"/>
  <c r="HH434" i="30"/>
  <c r="HI434" i="30"/>
  <c r="HJ434" i="30"/>
  <c r="HK434" i="30"/>
  <c r="HL434" i="30"/>
  <c r="HM434" i="30"/>
  <c r="HN434" i="30"/>
  <c r="HO434" i="30"/>
  <c r="HP434" i="30"/>
  <c r="HQ434" i="30"/>
  <c r="HR434" i="30"/>
  <c r="HS434" i="30"/>
  <c r="HT434" i="30"/>
  <c r="HU434" i="30"/>
  <c r="HV434" i="30"/>
  <c r="HW434" i="30"/>
  <c r="HX434" i="30"/>
  <c r="HY434" i="30"/>
  <c r="HZ434" i="30"/>
  <c r="IA434" i="30"/>
  <c r="IB434" i="30"/>
  <c r="IC434" i="30"/>
  <c r="ID434" i="30"/>
  <c r="IE434" i="30"/>
  <c r="IF434" i="30"/>
  <c r="IG434" i="30"/>
  <c r="IH434" i="30"/>
  <c r="II434" i="30"/>
  <c r="IJ434" i="30"/>
  <c r="IK434" i="30"/>
  <c r="IL434" i="30"/>
  <c r="IM434" i="30"/>
  <c r="IN434" i="30"/>
  <c r="IO434" i="30"/>
  <c r="IP434" i="30"/>
  <c r="IQ434" i="30"/>
  <c r="IR434" i="30"/>
  <c r="IS434" i="30"/>
  <c r="IT434" i="30"/>
  <c r="IU434" i="30"/>
  <c r="IV434" i="30"/>
  <c r="A433" i="30"/>
  <c r="B433" i="30"/>
  <c r="C433" i="30"/>
  <c r="D433" i="30"/>
  <c r="E433" i="30"/>
  <c r="F433" i="30"/>
  <c r="G433" i="30"/>
  <c r="H433" i="30"/>
  <c r="I433" i="30"/>
  <c r="J433" i="30"/>
  <c r="K433" i="30"/>
  <c r="L433" i="30"/>
  <c r="M433" i="30"/>
  <c r="N433" i="30"/>
  <c r="O433" i="30"/>
  <c r="P433" i="30"/>
  <c r="Q433" i="30"/>
  <c r="R433" i="30"/>
  <c r="S433" i="30"/>
  <c r="T433" i="30"/>
  <c r="U433" i="30"/>
  <c r="V433" i="30"/>
  <c r="W433" i="30"/>
  <c r="X433" i="30"/>
  <c r="Y433" i="30"/>
  <c r="Z433" i="30"/>
  <c r="AA433" i="30"/>
  <c r="AB433" i="30"/>
  <c r="AC433" i="30"/>
  <c r="AD433" i="30"/>
  <c r="AE433" i="30"/>
  <c r="AF433" i="30"/>
  <c r="AG433" i="30"/>
  <c r="AH433" i="30"/>
  <c r="AI433" i="30"/>
  <c r="AJ433" i="30"/>
  <c r="AK433" i="30"/>
  <c r="AL433" i="30"/>
  <c r="AM433" i="30"/>
  <c r="AN433" i="30"/>
  <c r="AO433" i="30"/>
  <c r="AP433" i="30"/>
  <c r="AQ433" i="30"/>
  <c r="AR433" i="30"/>
  <c r="AS433" i="30"/>
  <c r="AT433" i="30"/>
  <c r="AU433" i="30"/>
  <c r="AV433" i="30"/>
  <c r="AW433" i="30"/>
  <c r="AX433" i="30"/>
  <c r="AY433" i="30"/>
  <c r="AZ433" i="30"/>
  <c r="BA433" i="30"/>
  <c r="BB433" i="30"/>
  <c r="BC433" i="30"/>
  <c r="BD433" i="30"/>
  <c r="BE433" i="30"/>
  <c r="BF433" i="30"/>
  <c r="BG433" i="30"/>
  <c r="BH433" i="30"/>
  <c r="BI433" i="30"/>
  <c r="BJ433" i="30"/>
  <c r="BK433" i="30"/>
  <c r="BL433" i="30"/>
  <c r="BM433" i="30"/>
  <c r="BN433" i="30"/>
  <c r="BO433" i="30"/>
  <c r="BP433" i="30"/>
  <c r="BQ433" i="30"/>
  <c r="BR433" i="30"/>
  <c r="BS433" i="30"/>
  <c r="BT433" i="30"/>
  <c r="BU433" i="30"/>
  <c r="BV433" i="30"/>
  <c r="BW433" i="30"/>
  <c r="BX433" i="30"/>
  <c r="BY433" i="30"/>
  <c r="BZ433" i="30"/>
  <c r="CA433" i="30"/>
  <c r="CB433" i="30"/>
  <c r="CC433" i="30"/>
  <c r="CD433" i="30"/>
  <c r="CE433" i="30"/>
  <c r="CF433" i="30"/>
  <c r="CG433" i="30"/>
  <c r="CH433" i="30"/>
  <c r="CI433" i="30"/>
  <c r="CJ433" i="30"/>
  <c r="CK433" i="30"/>
  <c r="CL433" i="30"/>
  <c r="CM433" i="30"/>
  <c r="CN433" i="30"/>
  <c r="CO433" i="30"/>
  <c r="CP433" i="30"/>
  <c r="CQ433" i="30"/>
  <c r="CR433" i="30"/>
  <c r="CS433" i="30"/>
  <c r="CT433" i="30"/>
  <c r="CU433" i="30"/>
  <c r="CV433" i="30"/>
  <c r="CW433" i="30"/>
  <c r="CX433" i="30"/>
  <c r="CY433" i="30"/>
  <c r="CZ433" i="30"/>
  <c r="DA433" i="30"/>
  <c r="DB433" i="30"/>
  <c r="DC433" i="30"/>
  <c r="DD433" i="30"/>
  <c r="DE433" i="30"/>
  <c r="DF433" i="30"/>
  <c r="DG433" i="30"/>
  <c r="DH433" i="30"/>
  <c r="DI433" i="30"/>
  <c r="DJ433" i="30"/>
  <c r="DK433" i="30"/>
  <c r="DL433" i="30"/>
  <c r="DM433" i="30"/>
  <c r="DN433" i="30"/>
  <c r="DO433" i="30"/>
  <c r="DP433" i="30"/>
  <c r="DQ433" i="30"/>
  <c r="DR433" i="30"/>
  <c r="DS433" i="30"/>
  <c r="DT433" i="30"/>
  <c r="DU433" i="30"/>
  <c r="DV433" i="30"/>
  <c r="DW433" i="30"/>
  <c r="DX433" i="30"/>
  <c r="DY433" i="30"/>
  <c r="DZ433" i="30"/>
  <c r="EA433" i="30"/>
  <c r="EB433" i="30"/>
  <c r="EC433" i="30"/>
  <c r="ED433" i="30"/>
  <c r="EE433" i="30"/>
  <c r="EF433" i="30"/>
  <c r="EG433" i="30"/>
  <c r="EH433" i="30"/>
  <c r="EI433" i="30"/>
  <c r="EJ433" i="30"/>
  <c r="EK433" i="30"/>
  <c r="EL433" i="30"/>
  <c r="EM433" i="30"/>
  <c r="EN433" i="30"/>
  <c r="EO433" i="30"/>
  <c r="EP433" i="30"/>
  <c r="EQ433" i="30"/>
  <c r="ER433" i="30"/>
  <c r="ES433" i="30"/>
  <c r="ET433" i="30"/>
  <c r="EU433" i="30"/>
  <c r="EV433" i="30"/>
  <c r="EW433" i="30"/>
  <c r="EX433" i="30"/>
  <c r="EY433" i="30"/>
  <c r="EZ433" i="30"/>
  <c r="FA433" i="30"/>
  <c r="FB433" i="30"/>
  <c r="FC433" i="30"/>
  <c r="FD433" i="30"/>
  <c r="FE433" i="30"/>
  <c r="FF433" i="30"/>
  <c r="FG433" i="30"/>
  <c r="FH433" i="30"/>
  <c r="FI433" i="30"/>
  <c r="FJ433" i="30"/>
  <c r="FK433" i="30"/>
  <c r="FL433" i="30"/>
  <c r="FM433" i="30"/>
  <c r="FN433" i="30"/>
  <c r="FO433" i="30"/>
  <c r="FP433" i="30"/>
  <c r="FQ433" i="30"/>
  <c r="FR433" i="30"/>
  <c r="FS433" i="30"/>
  <c r="FT433" i="30"/>
  <c r="FU433" i="30"/>
  <c r="FV433" i="30"/>
  <c r="FW433" i="30"/>
  <c r="FX433" i="30"/>
  <c r="FY433" i="30"/>
  <c r="FZ433" i="30"/>
  <c r="GA433" i="30"/>
  <c r="GB433" i="30"/>
  <c r="GC433" i="30"/>
  <c r="GD433" i="30"/>
  <c r="GE433" i="30"/>
  <c r="GF433" i="30"/>
  <c r="GG433" i="30"/>
  <c r="GH433" i="30"/>
  <c r="GI433" i="30"/>
  <c r="GJ433" i="30"/>
  <c r="GK433" i="30"/>
  <c r="GL433" i="30"/>
  <c r="GM433" i="30"/>
  <c r="GN433" i="30"/>
  <c r="GO433" i="30"/>
  <c r="GP433" i="30"/>
  <c r="GQ433" i="30"/>
  <c r="GR433" i="30"/>
  <c r="GS433" i="30"/>
  <c r="GT433" i="30"/>
  <c r="GU433" i="30"/>
  <c r="GV433" i="30"/>
  <c r="GW433" i="30"/>
  <c r="GX433" i="30"/>
  <c r="GY433" i="30"/>
  <c r="GZ433" i="30"/>
  <c r="HA433" i="30"/>
  <c r="HB433" i="30"/>
  <c r="HC433" i="30"/>
  <c r="HD433" i="30"/>
  <c r="HE433" i="30"/>
  <c r="HF433" i="30"/>
  <c r="HG433" i="30"/>
  <c r="HH433" i="30"/>
  <c r="HI433" i="30"/>
  <c r="HJ433" i="30"/>
  <c r="HK433" i="30"/>
  <c r="HL433" i="30"/>
  <c r="HM433" i="30"/>
  <c r="HN433" i="30"/>
  <c r="HO433" i="30"/>
  <c r="HP433" i="30"/>
  <c r="HQ433" i="30"/>
  <c r="HR433" i="30"/>
  <c r="HS433" i="30"/>
  <c r="HT433" i="30"/>
  <c r="HU433" i="30"/>
  <c r="HV433" i="30"/>
  <c r="HW433" i="30"/>
  <c r="HX433" i="30"/>
  <c r="HY433" i="30"/>
  <c r="HZ433" i="30"/>
  <c r="IA433" i="30"/>
  <c r="IB433" i="30"/>
  <c r="IC433" i="30"/>
  <c r="ID433" i="30"/>
  <c r="IE433" i="30"/>
  <c r="IF433" i="30"/>
  <c r="IG433" i="30"/>
  <c r="IH433" i="30"/>
  <c r="II433" i="30"/>
  <c r="IJ433" i="30"/>
  <c r="IK433" i="30"/>
  <c r="IL433" i="30"/>
  <c r="IM433" i="30"/>
  <c r="IN433" i="30"/>
  <c r="IO433" i="30"/>
  <c r="IP433" i="30"/>
  <c r="IQ433" i="30"/>
  <c r="IR433" i="30"/>
  <c r="IS433" i="30"/>
  <c r="IT433" i="30"/>
  <c r="IU433" i="30"/>
  <c r="IV433" i="30"/>
  <c r="A432" i="30"/>
  <c r="B432" i="30"/>
  <c r="C432" i="30"/>
  <c r="D432" i="30"/>
  <c r="E432" i="30"/>
  <c r="F432" i="30"/>
  <c r="G432" i="30"/>
  <c r="H432" i="30"/>
  <c r="I432" i="30"/>
  <c r="J432" i="30"/>
  <c r="K432" i="30"/>
  <c r="L432" i="30"/>
  <c r="M432" i="30"/>
  <c r="N432" i="30"/>
  <c r="O432" i="30"/>
  <c r="P432" i="30"/>
  <c r="Q432" i="30"/>
  <c r="R432" i="30"/>
  <c r="S432" i="30"/>
  <c r="T432" i="30"/>
  <c r="U432" i="30"/>
  <c r="V432" i="30"/>
  <c r="W432" i="30"/>
  <c r="X432" i="30"/>
  <c r="Y432" i="30"/>
  <c r="Z432" i="30"/>
  <c r="AA432" i="30"/>
  <c r="AB432" i="30"/>
  <c r="AC432" i="30"/>
  <c r="AD432" i="30"/>
  <c r="AE432" i="30"/>
  <c r="AF432" i="30"/>
  <c r="AG432" i="30"/>
  <c r="AH432" i="30"/>
  <c r="AI432" i="30"/>
  <c r="AJ432" i="30"/>
  <c r="AK432" i="30"/>
  <c r="AL432" i="30"/>
  <c r="AM432" i="30"/>
  <c r="AN432" i="30"/>
  <c r="AO432" i="30"/>
  <c r="AP432" i="30"/>
  <c r="AQ432" i="30"/>
  <c r="AR432" i="30"/>
  <c r="AS432" i="30"/>
  <c r="AT432" i="30"/>
  <c r="AU432" i="30"/>
  <c r="AV432" i="30"/>
  <c r="AW432" i="30"/>
  <c r="AX432" i="30"/>
  <c r="AY432" i="30"/>
  <c r="AZ432" i="30"/>
  <c r="BA432" i="30"/>
  <c r="BB432" i="30"/>
  <c r="BC432" i="30"/>
  <c r="BD432" i="30"/>
  <c r="BE432" i="30"/>
  <c r="BF432" i="30"/>
  <c r="BG432" i="30"/>
  <c r="BH432" i="30"/>
  <c r="BI432" i="30"/>
  <c r="BJ432" i="30"/>
  <c r="BK432" i="30"/>
  <c r="BL432" i="30"/>
  <c r="BM432" i="30"/>
  <c r="BN432" i="30"/>
  <c r="BO432" i="30"/>
  <c r="BP432" i="30"/>
  <c r="BQ432" i="30"/>
  <c r="BR432" i="30"/>
  <c r="BS432" i="30"/>
  <c r="BT432" i="30"/>
  <c r="BU432" i="30"/>
  <c r="BV432" i="30"/>
  <c r="BW432" i="30"/>
  <c r="BX432" i="30"/>
  <c r="BY432" i="30"/>
  <c r="BZ432" i="30"/>
  <c r="CA432" i="30"/>
  <c r="CB432" i="30"/>
  <c r="CC432" i="30"/>
  <c r="CD432" i="30"/>
  <c r="CE432" i="30"/>
  <c r="CF432" i="30"/>
  <c r="CG432" i="30"/>
  <c r="CH432" i="30"/>
  <c r="CI432" i="30"/>
  <c r="CJ432" i="30"/>
  <c r="CK432" i="30"/>
  <c r="CL432" i="30"/>
  <c r="CM432" i="30"/>
  <c r="CN432" i="30"/>
  <c r="CO432" i="30"/>
  <c r="CP432" i="30"/>
  <c r="CQ432" i="30"/>
  <c r="CR432" i="30"/>
  <c r="CS432" i="30"/>
  <c r="CT432" i="30"/>
  <c r="CU432" i="30"/>
  <c r="CV432" i="30"/>
  <c r="CW432" i="30"/>
  <c r="CX432" i="30"/>
  <c r="CY432" i="30"/>
  <c r="CZ432" i="30"/>
  <c r="DA432" i="30"/>
  <c r="DB432" i="30"/>
  <c r="DC432" i="30"/>
  <c r="DD432" i="30"/>
  <c r="DE432" i="30"/>
  <c r="DF432" i="30"/>
  <c r="DG432" i="30"/>
  <c r="DH432" i="30"/>
  <c r="DI432" i="30"/>
  <c r="DJ432" i="30"/>
  <c r="DK432" i="30"/>
  <c r="DL432" i="30"/>
  <c r="DM432" i="30"/>
  <c r="DN432" i="30"/>
  <c r="DO432" i="30"/>
  <c r="DP432" i="30"/>
  <c r="DQ432" i="30"/>
  <c r="DR432" i="30"/>
  <c r="DS432" i="30"/>
  <c r="DT432" i="30"/>
  <c r="DU432" i="30"/>
  <c r="DV432" i="30"/>
  <c r="DW432" i="30"/>
  <c r="DX432" i="30"/>
  <c r="DY432" i="30"/>
  <c r="DZ432" i="30"/>
  <c r="EA432" i="30"/>
  <c r="EB432" i="30"/>
  <c r="EC432" i="30"/>
  <c r="ED432" i="30"/>
  <c r="EE432" i="30"/>
  <c r="EF432" i="30"/>
  <c r="EG432" i="30"/>
  <c r="EH432" i="30"/>
  <c r="EI432" i="30"/>
  <c r="EJ432" i="30"/>
  <c r="EK432" i="30"/>
  <c r="EL432" i="30"/>
  <c r="EM432" i="30"/>
  <c r="EN432" i="30"/>
  <c r="EO432" i="30"/>
  <c r="EP432" i="30"/>
  <c r="EQ432" i="30"/>
  <c r="ER432" i="30"/>
  <c r="ES432" i="30"/>
  <c r="ET432" i="30"/>
  <c r="EU432" i="30"/>
  <c r="EV432" i="30"/>
  <c r="EW432" i="30"/>
  <c r="EX432" i="30"/>
  <c r="EY432" i="30"/>
  <c r="EZ432" i="30"/>
  <c r="FA432" i="30"/>
  <c r="FB432" i="30"/>
  <c r="FC432" i="30"/>
  <c r="FD432" i="30"/>
  <c r="FE432" i="30"/>
  <c r="FF432" i="30"/>
  <c r="FG432" i="30"/>
  <c r="FH432" i="30"/>
  <c r="FI432" i="30"/>
  <c r="FJ432" i="30"/>
  <c r="FK432" i="30"/>
  <c r="FL432" i="30"/>
  <c r="FM432" i="30"/>
  <c r="FN432" i="30"/>
  <c r="FO432" i="30"/>
  <c r="FP432" i="30"/>
  <c r="FQ432" i="30"/>
  <c r="FR432" i="30"/>
  <c r="FS432" i="30"/>
  <c r="FT432" i="30"/>
  <c r="FU432" i="30"/>
  <c r="FV432" i="30"/>
  <c r="FW432" i="30"/>
  <c r="FX432" i="30"/>
  <c r="FY432" i="30"/>
  <c r="FZ432" i="30"/>
  <c r="GA432" i="30"/>
  <c r="GB432" i="30"/>
  <c r="GC432" i="30"/>
  <c r="GD432" i="30"/>
  <c r="GE432" i="30"/>
  <c r="GF432" i="30"/>
  <c r="GG432" i="30"/>
  <c r="GH432" i="30"/>
  <c r="GI432" i="30"/>
  <c r="GJ432" i="30"/>
  <c r="GK432" i="30"/>
  <c r="GL432" i="30"/>
  <c r="GM432" i="30"/>
  <c r="GN432" i="30"/>
  <c r="GO432" i="30"/>
  <c r="GP432" i="30"/>
  <c r="GQ432" i="30"/>
  <c r="GR432" i="30"/>
  <c r="GS432" i="30"/>
  <c r="GT432" i="30"/>
  <c r="GU432" i="30"/>
  <c r="GV432" i="30"/>
  <c r="GW432" i="30"/>
  <c r="GX432" i="30"/>
  <c r="GY432" i="30"/>
  <c r="GZ432" i="30"/>
  <c r="HA432" i="30"/>
  <c r="HB432" i="30"/>
  <c r="HC432" i="30"/>
  <c r="HD432" i="30"/>
  <c r="HE432" i="30"/>
  <c r="HF432" i="30"/>
  <c r="HG432" i="30"/>
  <c r="HH432" i="30"/>
  <c r="HI432" i="30"/>
  <c r="HJ432" i="30"/>
  <c r="HK432" i="30"/>
  <c r="HL432" i="30"/>
  <c r="HM432" i="30"/>
  <c r="HN432" i="30"/>
  <c r="HO432" i="30"/>
  <c r="HP432" i="30"/>
  <c r="HQ432" i="30"/>
  <c r="HR432" i="30"/>
  <c r="HS432" i="30"/>
  <c r="HT432" i="30"/>
  <c r="HU432" i="30"/>
  <c r="HV432" i="30"/>
  <c r="HW432" i="30"/>
  <c r="HX432" i="30"/>
  <c r="HY432" i="30"/>
  <c r="HZ432" i="30"/>
  <c r="IA432" i="30"/>
  <c r="IB432" i="30"/>
  <c r="IC432" i="30"/>
  <c r="ID432" i="30"/>
  <c r="IE432" i="30"/>
  <c r="IF432" i="30"/>
  <c r="IG432" i="30"/>
  <c r="IH432" i="30"/>
  <c r="II432" i="30"/>
  <c r="IJ432" i="30"/>
  <c r="IK432" i="30"/>
  <c r="IL432" i="30"/>
  <c r="IM432" i="30"/>
  <c r="IN432" i="30"/>
  <c r="IO432" i="30"/>
  <c r="IP432" i="30"/>
  <c r="IQ432" i="30"/>
  <c r="IR432" i="30"/>
  <c r="IS432" i="30"/>
  <c r="IT432" i="30"/>
  <c r="IU432" i="30"/>
  <c r="IV432" i="30"/>
  <c r="A431" i="30"/>
  <c r="B431" i="30"/>
  <c r="C431" i="30"/>
  <c r="D431" i="30"/>
  <c r="E431" i="30"/>
  <c r="F431" i="30"/>
  <c r="G431" i="30"/>
  <c r="H431" i="30"/>
  <c r="I431" i="30"/>
  <c r="J431" i="30"/>
  <c r="K431" i="30"/>
  <c r="L431" i="30"/>
  <c r="M431" i="30"/>
  <c r="N431" i="30"/>
  <c r="O431" i="30"/>
  <c r="P431" i="30"/>
  <c r="Q431" i="30"/>
  <c r="R431" i="30"/>
  <c r="S431" i="30"/>
  <c r="T431" i="30"/>
  <c r="U431" i="30"/>
  <c r="V431" i="30"/>
  <c r="W431" i="30"/>
  <c r="X431" i="30"/>
  <c r="Y431" i="30"/>
  <c r="Z431" i="30"/>
  <c r="AA431" i="30"/>
  <c r="AB431" i="30"/>
  <c r="AC431" i="30"/>
  <c r="AD431" i="30"/>
  <c r="AE431" i="30"/>
  <c r="AF431" i="30"/>
  <c r="AG431" i="30"/>
  <c r="AH431" i="30"/>
  <c r="AI431" i="30"/>
  <c r="AJ431" i="30"/>
  <c r="AK431" i="30"/>
  <c r="AL431" i="30"/>
  <c r="AM431" i="30"/>
  <c r="AN431" i="30"/>
  <c r="AO431" i="30"/>
  <c r="AP431" i="30"/>
  <c r="AQ431" i="30"/>
  <c r="AR431" i="30"/>
  <c r="AS431" i="30"/>
  <c r="AT431" i="30"/>
  <c r="AU431" i="30"/>
  <c r="AV431" i="30"/>
  <c r="AW431" i="30"/>
  <c r="AX431" i="30"/>
  <c r="AY431" i="30"/>
  <c r="AZ431" i="30"/>
  <c r="BA431" i="30"/>
  <c r="BB431" i="30"/>
  <c r="BC431" i="30"/>
  <c r="BD431" i="30"/>
  <c r="BE431" i="30"/>
  <c r="BF431" i="30"/>
  <c r="BG431" i="30"/>
  <c r="BH431" i="30"/>
  <c r="BI431" i="30"/>
  <c r="BJ431" i="30"/>
  <c r="BK431" i="30"/>
  <c r="BL431" i="30"/>
  <c r="BM431" i="30"/>
  <c r="BN431" i="30"/>
  <c r="BO431" i="30"/>
  <c r="BP431" i="30"/>
  <c r="BQ431" i="30"/>
  <c r="BR431" i="30"/>
  <c r="BS431" i="30"/>
  <c r="BT431" i="30"/>
  <c r="BU431" i="30"/>
  <c r="BV431" i="30"/>
  <c r="BW431" i="30"/>
  <c r="BX431" i="30"/>
  <c r="BY431" i="30"/>
  <c r="BZ431" i="30"/>
  <c r="CA431" i="30"/>
  <c r="CB431" i="30"/>
  <c r="CC431" i="30"/>
  <c r="CD431" i="30"/>
  <c r="CE431" i="30"/>
  <c r="CF431" i="30"/>
  <c r="CG431" i="30"/>
  <c r="CH431" i="30"/>
  <c r="CI431" i="30"/>
  <c r="CJ431" i="30"/>
  <c r="CK431" i="30"/>
  <c r="CL431" i="30"/>
  <c r="CM431" i="30"/>
  <c r="CN431" i="30"/>
  <c r="CO431" i="30"/>
  <c r="CP431" i="30"/>
  <c r="CQ431" i="30"/>
  <c r="CR431" i="30"/>
  <c r="CS431" i="30"/>
  <c r="CT431" i="30"/>
  <c r="CU431" i="30"/>
  <c r="CV431" i="30"/>
  <c r="CW431" i="30"/>
  <c r="CX431" i="30"/>
  <c r="CY431" i="30"/>
  <c r="CZ431" i="30"/>
  <c r="DA431" i="30"/>
  <c r="DB431" i="30"/>
  <c r="DC431" i="30"/>
  <c r="DD431" i="30"/>
  <c r="DE431" i="30"/>
  <c r="DF431" i="30"/>
  <c r="DG431" i="30"/>
  <c r="DH431" i="30"/>
  <c r="DI431" i="30"/>
  <c r="DJ431" i="30"/>
  <c r="DK431" i="30"/>
  <c r="DL431" i="30"/>
  <c r="DM431" i="30"/>
  <c r="DN431" i="30"/>
  <c r="DO431" i="30"/>
  <c r="DP431" i="30"/>
  <c r="DQ431" i="30"/>
  <c r="DR431" i="30"/>
  <c r="DS431" i="30"/>
  <c r="DT431" i="30"/>
  <c r="DU431" i="30"/>
  <c r="DV431" i="30"/>
  <c r="DW431" i="30"/>
  <c r="DX431" i="30"/>
  <c r="DY431" i="30"/>
  <c r="DZ431" i="30"/>
  <c r="EA431" i="30"/>
  <c r="EB431" i="30"/>
  <c r="EC431" i="30"/>
  <c r="ED431" i="30"/>
  <c r="EE431" i="30"/>
  <c r="EF431" i="30"/>
  <c r="EG431" i="30"/>
  <c r="EH431" i="30"/>
  <c r="EI431" i="30"/>
  <c r="EJ431" i="30"/>
  <c r="EK431" i="30"/>
  <c r="EL431" i="30"/>
  <c r="EM431" i="30"/>
  <c r="EN431" i="30"/>
  <c r="EO431" i="30"/>
  <c r="EP431" i="30"/>
  <c r="EQ431" i="30"/>
  <c r="ER431" i="30"/>
  <c r="ES431" i="30"/>
  <c r="ET431" i="30"/>
  <c r="EU431" i="30"/>
  <c r="EV431" i="30"/>
  <c r="EW431" i="30"/>
  <c r="EX431" i="30"/>
  <c r="EY431" i="30"/>
  <c r="EZ431" i="30"/>
  <c r="FA431" i="30"/>
  <c r="FB431" i="30"/>
  <c r="FC431" i="30"/>
  <c r="FD431" i="30"/>
  <c r="FE431" i="30"/>
  <c r="FF431" i="30"/>
  <c r="FG431" i="30"/>
  <c r="FH431" i="30"/>
  <c r="FI431" i="30"/>
  <c r="FJ431" i="30"/>
  <c r="FK431" i="30"/>
  <c r="FL431" i="30"/>
  <c r="FM431" i="30"/>
  <c r="FN431" i="30"/>
  <c r="FO431" i="30"/>
  <c r="FP431" i="30"/>
  <c r="FQ431" i="30"/>
  <c r="FR431" i="30"/>
  <c r="FS431" i="30"/>
  <c r="FT431" i="30"/>
  <c r="FU431" i="30"/>
  <c r="FV431" i="30"/>
  <c r="FW431" i="30"/>
  <c r="FX431" i="30"/>
  <c r="FY431" i="30"/>
  <c r="FZ431" i="30"/>
  <c r="GA431" i="30"/>
  <c r="GB431" i="30"/>
  <c r="GC431" i="30"/>
  <c r="GD431" i="30"/>
  <c r="GE431" i="30"/>
  <c r="GF431" i="30"/>
  <c r="GG431" i="30"/>
  <c r="GH431" i="30"/>
  <c r="GI431" i="30"/>
  <c r="GJ431" i="30"/>
  <c r="GK431" i="30"/>
  <c r="GL431" i="30"/>
  <c r="GM431" i="30"/>
  <c r="GN431" i="30"/>
  <c r="GO431" i="30"/>
  <c r="GP431" i="30"/>
  <c r="GQ431" i="30"/>
  <c r="GR431" i="30"/>
  <c r="GS431" i="30"/>
  <c r="GT431" i="30"/>
  <c r="GU431" i="30"/>
  <c r="GV431" i="30"/>
  <c r="GW431" i="30"/>
  <c r="GX431" i="30"/>
  <c r="GY431" i="30"/>
  <c r="GZ431" i="30"/>
  <c r="HA431" i="30"/>
  <c r="HB431" i="30"/>
  <c r="HC431" i="30"/>
  <c r="HD431" i="30"/>
  <c r="HE431" i="30"/>
  <c r="HF431" i="30"/>
  <c r="HG431" i="30"/>
  <c r="HH431" i="30"/>
  <c r="HI431" i="30"/>
  <c r="HJ431" i="30"/>
  <c r="HK431" i="30"/>
  <c r="HL431" i="30"/>
  <c r="HM431" i="30"/>
  <c r="HN431" i="30"/>
  <c r="HO431" i="30"/>
  <c r="HP431" i="30"/>
  <c r="HQ431" i="30"/>
  <c r="HR431" i="30"/>
  <c r="HS431" i="30"/>
  <c r="HT431" i="30"/>
  <c r="HU431" i="30"/>
  <c r="HV431" i="30"/>
  <c r="HW431" i="30"/>
  <c r="HX431" i="30"/>
  <c r="HY431" i="30"/>
  <c r="HZ431" i="30"/>
  <c r="IA431" i="30"/>
  <c r="IB431" i="30"/>
  <c r="IC431" i="30"/>
  <c r="ID431" i="30"/>
  <c r="IE431" i="30"/>
  <c r="IF431" i="30"/>
  <c r="IG431" i="30"/>
  <c r="IH431" i="30"/>
  <c r="II431" i="30"/>
  <c r="IJ431" i="30"/>
  <c r="IK431" i="30"/>
  <c r="IL431" i="30"/>
  <c r="IM431" i="30"/>
  <c r="IN431" i="30"/>
  <c r="IO431" i="30"/>
  <c r="IP431" i="30"/>
  <c r="IQ431" i="30"/>
  <c r="IR431" i="30"/>
  <c r="IS431" i="30"/>
  <c r="IT431" i="30"/>
  <c r="IU431" i="30"/>
  <c r="IV431" i="30"/>
  <c r="A430" i="30"/>
  <c r="B430" i="30"/>
  <c r="C430" i="30"/>
  <c r="D430" i="30"/>
  <c r="E430" i="30"/>
  <c r="F430" i="30"/>
  <c r="G430" i="30"/>
  <c r="H430" i="30"/>
  <c r="I430" i="30"/>
  <c r="J430" i="30"/>
  <c r="K430" i="30"/>
  <c r="L430" i="30"/>
  <c r="M430" i="30"/>
  <c r="N430" i="30"/>
  <c r="O430" i="30"/>
  <c r="P430" i="30"/>
  <c r="Q430" i="30"/>
  <c r="R430" i="30"/>
  <c r="S430" i="30"/>
  <c r="T430" i="30"/>
  <c r="U430" i="30"/>
  <c r="V430" i="30"/>
  <c r="W430" i="30"/>
  <c r="X430" i="30"/>
  <c r="Y430" i="30"/>
  <c r="Z430" i="30"/>
  <c r="AA430" i="30"/>
  <c r="AB430" i="30"/>
  <c r="AC430" i="30"/>
  <c r="AD430" i="30"/>
  <c r="AE430" i="30"/>
  <c r="AF430" i="30"/>
  <c r="AG430" i="30"/>
  <c r="AH430" i="30"/>
  <c r="AI430" i="30"/>
  <c r="AJ430" i="30"/>
  <c r="AK430" i="30"/>
  <c r="AL430" i="30"/>
  <c r="AM430" i="30"/>
  <c r="AN430" i="30"/>
  <c r="AO430" i="30"/>
  <c r="AP430" i="30"/>
  <c r="AQ430" i="30"/>
  <c r="AR430" i="30"/>
  <c r="AS430" i="30"/>
  <c r="AT430" i="30"/>
  <c r="AU430" i="30"/>
  <c r="AV430" i="30"/>
  <c r="AW430" i="30"/>
  <c r="AX430" i="30"/>
  <c r="AY430" i="30"/>
  <c r="AZ430" i="30"/>
  <c r="BA430" i="30"/>
  <c r="BB430" i="30"/>
  <c r="BC430" i="30"/>
  <c r="BD430" i="30"/>
  <c r="BE430" i="30"/>
  <c r="BF430" i="30"/>
  <c r="BG430" i="30"/>
  <c r="BH430" i="30"/>
  <c r="BI430" i="30"/>
  <c r="BJ430" i="30"/>
  <c r="BK430" i="30"/>
  <c r="BL430" i="30"/>
  <c r="BM430" i="30"/>
  <c r="BN430" i="30"/>
  <c r="BO430" i="30"/>
  <c r="BP430" i="30"/>
  <c r="BQ430" i="30"/>
  <c r="BR430" i="30"/>
  <c r="BS430" i="30"/>
  <c r="BT430" i="30"/>
  <c r="BU430" i="30"/>
  <c r="BV430" i="30"/>
  <c r="BW430" i="30"/>
  <c r="BX430" i="30"/>
  <c r="BY430" i="30"/>
  <c r="BZ430" i="30"/>
  <c r="CA430" i="30"/>
  <c r="CB430" i="30"/>
  <c r="CC430" i="30"/>
  <c r="CD430" i="30"/>
  <c r="CE430" i="30"/>
  <c r="CF430" i="30"/>
  <c r="CG430" i="30"/>
  <c r="CH430" i="30"/>
  <c r="CI430" i="30"/>
  <c r="CJ430" i="30"/>
  <c r="CK430" i="30"/>
  <c r="CL430" i="30"/>
  <c r="CM430" i="30"/>
  <c r="CN430" i="30"/>
  <c r="CO430" i="30"/>
  <c r="CP430" i="30"/>
  <c r="CQ430" i="30"/>
  <c r="CR430" i="30"/>
  <c r="CS430" i="30"/>
  <c r="CT430" i="30"/>
  <c r="CU430" i="30"/>
  <c r="CV430" i="30"/>
  <c r="CW430" i="30"/>
  <c r="CX430" i="30"/>
  <c r="CY430" i="30"/>
  <c r="CZ430" i="30"/>
  <c r="DA430" i="30"/>
  <c r="DB430" i="30"/>
  <c r="DC430" i="30"/>
  <c r="DD430" i="30"/>
  <c r="DE430" i="30"/>
  <c r="DF430" i="30"/>
  <c r="DG430" i="30"/>
  <c r="DH430" i="30"/>
  <c r="DI430" i="30"/>
  <c r="DJ430" i="30"/>
  <c r="DK430" i="30"/>
  <c r="DL430" i="30"/>
  <c r="DM430" i="30"/>
  <c r="DN430" i="30"/>
  <c r="DO430" i="30"/>
  <c r="DP430" i="30"/>
  <c r="DQ430" i="30"/>
  <c r="DR430" i="30"/>
  <c r="DS430" i="30"/>
  <c r="DT430" i="30"/>
  <c r="DU430" i="30"/>
  <c r="DV430" i="30"/>
  <c r="DW430" i="30"/>
  <c r="DX430" i="30"/>
  <c r="DY430" i="30"/>
  <c r="DZ430" i="30"/>
  <c r="EA430" i="30"/>
  <c r="EB430" i="30"/>
  <c r="EC430" i="30"/>
  <c r="ED430" i="30"/>
  <c r="EE430" i="30"/>
  <c r="EF430" i="30"/>
  <c r="EG430" i="30"/>
  <c r="EH430" i="30"/>
  <c r="EI430" i="30"/>
  <c r="EJ430" i="30"/>
  <c r="EK430" i="30"/>
  <c r="EL430" i="30"/>
  <c r="EM430" i="30"/>
  <c r="EN430" i="30"/>
  <c r="EO430" i="30"/>
  <c r="EP430" i="30"/>
  <c r="EQ430" i="30"/>
  <c r="ER430" i="30"/>
  <c r="ES430" i="30"/>
  <c r="ET430" i="30"/>
  <c r="EU430" i="30"/>
  <c r="EV430" i="30"/>
  <c r="EW430" i="30"/>
  <c r="EX430" i="30"/>
  <c r="EY430" i="30"/>
  <c r="EZ430" i="30"/>
  <c r="FA430" i="30"/>
  <c r="FB430" i="30"/>
  <c r="FC430" i="30"/>
  <c r="FD430" i="30"/>
  <c r="FE430" i="30"/>
  <c r="FF430" i="30"/>
  <c r="FG430" i="30"/>
  <c r="FH430" i="30"/>
  <c r="FI430" i="30"/>
  <c r="FJ430" i="30"/>
  <c r="FK430" i="30"/>
  <c r="FL430" i="30"/>
  <c r="FM430" i="30"/>
  <c r="FN430" i="30"/>
  <c r="FO430" i="30"/>
  <c r="FP430" i="30"/>
  <c r="FQ430" i="30"/>
  <c r="FR430" i="30"/>
  <c r="FS430" i="30"/>
  <c r="FT430" i="30"/>
  <c r="FU430" i="30"/>
  <c r="FV430" i="30"/>
  <c r="FW430" i="30"/>
  <c r="FX430" i="30"/>
  <c r="FY430" i="30"/>
  <c r="FZ430" i="30"/>
  <c r="GA430" i="30"/>
  <c r="GB430" i="30"/>
  <c r="GC430" i="30"/>
  <c r="GD430" i="30"/>
  <c r="GE430" i="30"/>
  <c r="GF430" i="30"/>
  <c r="GG430" i="30"/>
  <c r="GH430" i="30"/>
  <c r="GI430" i="30"/>
  <c r="GJ430" i="30"/>
  <c r="GK430" i="30"/>
  <c r="GL430" i="30"/>
  <c r="GM430" i="30"/>
  <c r="GN430" i="30"/>
  <c r="GO430" i="30"/>
  <c r="GP430" i="30"/>
  <c r="GQ430" i="30"/>
  <c r="GR430" i="30"/>
  <c r="GS430" i="30"/>
  <c r="GT430" i="30"/>
  <c r="GU430" i="30"/>
  <c r="GV430" i="30"/>
  <c r="GW430" i="30"/>
  <c r="GX430" i="30"/>
  <c r="GY430" i="30"/>
  <c r="GZ430" i="30"/>
  <c r="HA430" i="30"/>
  <c r="HB430" i="30"/>
  <c r="HC430" i="30"/>
  <c r="HD430" i="30"/>
  <c r="HE430" i="30"/>
  <c r="HF430" i="30"/>
  <c r="HG430" i="30"/>
  <c r="HH430" i="30"/>
  <c r="HI430" i="30"/>
  <c r="HJ430" i="30"/>
  <c r="HK430" i="30"/>
  <c r="HL430" i="30"/>
  <c r="HM430" i="30"/>
  <c r="HN430" i="30"/>
  <c r="HO430" i="30"/>
  <c r="HP430" i="30"/>
  <c r="HQ430" i="30"/>
  <c r="HR430" i="30"/>
  <c r="HS430" i="30"/>
  <c r="HT430" i="30"/>
  <c r="HU430" i="30"/>
  <c r="HV430" i="30"/>
  <c r="HW430" i="30"/>
  <c r="HX430" i="30"/>
  <c r="HY430" i="30"/>
  <c r="HZ430" i="30"/>
  <c r="IA430" i="30"/>
  <c r="IB430" i="30"/>
  <c r="IC430" i="30"/>
  <c r="ID430" i="30"/>
  <c r="IE430" i="30"/>
  <c r="IF430" i="30"/>
  <c r="IG430" i="30"/>
  <c r="IH430" i="30"/>
  <c r="II430" i="30"/>
  <c r="IJ430" i="30"/>
  <c r="IK430" i="30"/>
  <c r="IL430" i="30"/>
  <c r="IM430" i="30"/>
  <c r="IN430" i="30"/>
  <c r="IO430" i="30"/>
  <c r="IP430" i="30"/>
  <c r="IQ430" i="30"/>
  <c r="IR430" i="30"/>
  <c r="IS430" i="30"/>
  <c r="IT430" i="30"/>
  <c r="IU430" i="30"/>
  <c r="IV430" i="30"/>
  <c r="A429" i="30"/>
  <c r="B429" i="30"/>
  <c r="C429" i="30"/>
  <c r="D429" i="30"/>
  <c r="E429" i="30"/>
  <c r="F429" i="30"/>
  <c r="G429" i="30"/>
  <c r="H429" i="30"/>
  <c r="I429" i="30"/>
  <c r="J429" i="30"/>
  <c r="K429" i="30"/>
  <c r="L429" i="30"/>
  <c r="M429" i="30"/>
  <c r="N429" i="30"/>
  <c r="O429" i="30"/>
  <c r="P429" i="30"/>
  <c r="Q429" i="30"/>
  <c r="R429" i="30"/>
  <c r="S429" i="30"/>
  <c r="T429" i="30"/>
  <c r="U429" i="30"/>
  <c r="V429" i="30"/>
  <c r="W429" i="30"/>
  <c r="X429" i="30"/>
  <c r="Y429" i="30"/>
  <c r="Z429" i="30"/>
  <c r="AA429" i="30"/>
  <c r="AB429" i="30"/>
  <c r="AC429" i="30"/>
  <c r="AD429" i="30"/>
  <c r="AE429" i="30"/>
  <c r="AF429" i="30"/>
  <c r="AG429" i="30"/>
  <c r="AH429" i="30"/>
  <c r="AI429" i="30"/>
  <c r="AJ429" i="30"/>
  <c r="AK429" i="30"/>
  <c r="AL429" i="30"/>
  <c r="AM429" i="30"/>
  <c r="AN429" i="30"/>
  <c r="AO429" i="30"/>
  <c r="AP429" i="30"/>
  <c r="AQ429" i="30"/>
  <c r="AR429" i="30"/>
  <c r="AS429" i="30"/>
  <c r="AT429" i="30"/>
  <c r="AU429" i="30"/>
  <c r="AV429" i="30"/>
  <c r="AW429" i="30"/>
  <c r="AX429" i="30"/>
  <c r="AY429" i="30"/>
  <c r="AZ429" i="30"/>
  <c r="BA429" i="30"/>
  <c r="BB429" i="30"/>
  <c r="BC429" i="30"/>
  <c r="BD429" i="30"/>
  <c r="BE429" i="30"/>
  <c r="BF429" i="30"/>
  <c r="BG429" i="30"/>
  <c r="BH429" i="30"/>
  <c r="BI429" i="30"/>
  <c r="BJ429" i="30"/>
  <c r="BK429" i="30"/>
  <c r="BL429" i="30"/>
  <c r="BM429" i="30"/>
  <c r="BN429" i="30"/>
  <c r="BO429" i="30"/>
  <c r="BP429" i="30"/>
  <c r="BQ429" i="30"/>
  <c r="BR429" i="30"/>
  <c r="BS429" i="30"/>
  <c r="BT429" i="30"/>
  <c r="BU429" i="30"/>
  <c r="BV429" i="30"/>
  <c r="BW429" i="30"/>
  <c r="BX429" i="30"/>
  <c r="BY429" i="30"/>
  <c r="BZ429" i="30"/>
  <c r="CA429" i="30"/>
  <c r="CB429" i="30"/>
  <c r="CC429" i="30"/>
  <c r="CD429" i="30"/>
  <c r="CE429" i="30"/>
  <c r="CF429" i="30"/>
  <c r="CG429" i="30"/>
  <c r="CH429" i="30"/>
  <c r="CI429" i="30"/>
  <c r="CJ429" i="30"/>
  <c r="CK429" i="30"/>
  <c r="CL429" i="30"/>
  <c r="CM429" i="30"/>
  <c r="CN429" i="30"/>
  <c r="CO429" i="30"/>
  <c r="CP429" i="30"/>
  <c r="CQ429" i="30"/>
  <c r="CR429" i="30"/>
  <c r="CS429" i="30"/>
  <c r="CT429" i="30"/>
  <c r="CU429" i="30"/>
  <c r="CV429" i="30"/>
  <c r="CW429" i="30"/>
  <c r="CX429" i="30"/>
  <c r="CY429" i="30"/>
  <c r="CZ429" i="30"/>
  <c r="DA429" i="30"/>
  <c r="DB429" i="30"/>
  <c r="DC429" i="30"/>
  <c r="DD429" i="30"/>
  <c r="DE429" i="30"/>
  <c r="DF429" i="30"/>
  <c r="DG429" i="30"/>
  <c r="DH429" i="30"/>
  <c r="DI429" i="30"/>
  <c r="DJ429" i="30"/>
  <c r="DK429" i="30"/>
  <c r="DL429" i="30"/>
  <c r="DM429" i="30"/>
  <c r="DN429" i="30"/>
  <c r="DO429" i="30"/>
  <c r="DP429" i="30"/>
  <c r="DQ429" i="30"/>
  <c r="DR429" i="30"/>
  <c r="DS429" i="30"/>
  <c r="DT429" i="30"/>
  <c r="DU429" i="30"/>
  <c r="DV429" i="30"/>
  <c r="DW429" i="30"/>
  <c r="DX429" i="30"/>
  <c r="DY429" i="30"/>
  <c r="DZ429" i="30"/>
  <c r="EA429" i="30"/>
  <c r="EB429" i="30"/>
  <c r="EC429" i="30"/>
  <c r="ED429" i="30"/>
  <c r="EE429" i="30"/>
  <c r="EF429" i="30"/>
  <c r="EG429" i="30"/>
  <c r="EH429" i="30"/>
  <c r="EI429" i="30"/>
  <c r="EJ429" i="30"/>
  <c r="EK429" i="30"/>
  <c r="EL429" i="30"/>
  <c r="EM429" i="30"/>
  <c r="EN429" i="30"/>
  <c r="EO429" i="30"/>
  <c r="EP429" i="30"/>
  <c r="EQ429" i="30"/>
  <c r="ER429" i="30"/>
  <c r="ES429" i="30"/>
  <c r="ET429" i="30"/>
  <c r="EU429" i="30"/>
  <c r="EV429" i="30"/>
  <c r="EW429" i="30"/>
  <c r="EX429" i="30"/>
  <c r="EY429" i="30"/>
  <c r="EZ429" i="30"/>
  <c r="FA429" i="30"/>
  <c r="FB429" i="30"/>
  <c r="FC429" i="30"/>
  <c r="FD429" i="30"/>
  <c r="FE429" i="30"/>
  <c r="FF429" i="30"/>
  <c r="FG429" i="30"/>
  <c r="FH429" i="30"/>
  <c r="FI429" i="30"/>
  <c r="FJ429" i="30"/>
  <c r="FK429" i="30"/>
  <c r="FL429" i="30"/>
  <c r="FM429" i="30"/>
  <c r="FN429" i="30"/>
  <c r="FO429" i="30"/>
  <c r="FP429" i="30"/>
  <c r="FQ429" i="30"/>
  <c r="FR429" i="30"/>
  <c r="FS429" i="30"/>
  <c r="FT429" i="30"/>
  <c r="FU429" i="30"/>
  <c r="FV429" i="30"/>
  <c r="FW429" i="30"/>
  <c r="FX429" i="30"/>
  <c r="FY429" i="30"/>
  <c r="FZ429" i="30"/>
  <c r="GA429" i="30"/>
  <c r="GB429" i="30"/>
  <c r="GC429" i="30"/>
  <c r="GD429" i="30"/>
  <c r="GE429" i="30"/>
  <c r="GF429" i="30"/>
  <c r="GG429" i="30"/>
  <c r="GH429" i="30"/>
  <c r="GI429" i="30"/>
  <c r="GJ429" i="30"/>
  <c r="GK429" i="30"/>
  <c r="GL429" i="30"/>
  <c r="GM429" i="30"/>
  <c r="GN429" i="30"/>
  <c r="GO429" i="30"/>
  <c r="GP429" i="30"/>
  <c r="GQ429" i="30"/>
  <c r="GR429" i="30"/>
  <c r="GS429" i="30"/>
  <c r="GT429" i="30"/>
  <c r="GU429" i="30"/>
  <c r="GV429" i="30"/>
  <c r="GW429" i="30"/>
  <c r="GX429" i="30"/>
  <c r="GY429" i="30"/>
  <c r="GZ429" i="30"/>
  <c r="HA429" i="30"/>
  <c r="HB429" i="30"/>
  <c r="HC429" i="30"/>
  <c r="HD429" i="30"/>
  <c r="HE429" i="30"/>
  <c r="HF429" i="30"/>
  <c r="HG429" i="30"/>
  <c r="HH429" i="30"/>
  <c r="HI429" i="30"/>
  <c r="HJ429" i="30"/>
  <c r="HK429" i="30"/>
  <c r="HL429" i="30"/>
  <c r="HM429" i="30"/>
  <c r="HN429" i="30"/>
  <c r="HO429" i="30"/>
  <c r="HP429" i="30"/>
  <c r="HQ429" i="30"/>
  <c r="HR429" i="30"/>
  <c r="HS429" i="30"/>
  <c r="HT429" i="30"/>
  <c r="HU429" i="30"/>
  <c r="HV429" i="30"/>
  <c r="HW429" i="30"/>
  <c r="HX429" i="30"/>
  <c r="HY429" i="30"/>
  <c r="HZ429" i="30"/>
  <c r="IA429" i="30"/>
  <c r="IB429" i="30"/>
  <c r="IC429" i="30"/>
  <c r="ID429" i="30"/>
  <c r="IE429" i="30"/>
  <c r="IF429" i="30"/>
  <c r="IG429" i="30"/>
  <c r="IH429" i="30"/>
  <c r="II429" i="30"/>
  <c r="IJ429" i="30"/>
  <c r="IK429" i="30"/>
  <c r="IL429" i="30"/>
  <c r="IM429" i="30"/>
  <c r="IN429" i="30"/>
  <c r="IO429" i="30"/>
  <c r="IP429" i="30"/>
  <c r="IQ429" i="30"/>
  <c r="IR429" i="30"/>
  <c r="IS429" i="30"/>
  <c r="IT429" i="30"/>
  <c r="IU429" i="30"/>
  <c r="IV429" i="30"/>
  <c r="A428" i="30"/>
  <c r="B428" i="30"/>
  <c r="C428" i="30"/>
  <c r="D428" i="30"/>
  <c r="E428" i="30"/>
  <c r="F428" i="30"/>
  <c r="G428" i="30"/>
  <c r="H428" i="30"/>
  <c r="I428" i="30"/>
  <c r="J428" i="30"/>
  <c r="K428" i="30"/>
  <c r="L428" i="30"/>
  <c r="M428" i="30"/>
  <c r="N428" i="30"/>
  <c r="O428" i="30"/>
  <c r="P428" i="30"/>
  <c r="Q428" i="30"/>
  <c r="R428" i="30"/>
  <c r="S428" i="30"/>
  <c r="T428" i="30"/>
  <c r="U428" i="30"/>
  <c r="V428" i="30"/>
  <c r="W428" i="30"/>
  <c r="X428" i="30"/>
  <c r="Y428" i="30"/>
  <c r="Z428" i="30"/>
  <c r="AA428" i="30"/>
  <c r="AB428" i="30"/>
  <c r="AC428" i="30"/>
  <c r="AD428" i="30"/>
  <c r="AE428" i="30"/>
  <c r="AF428" i="30"/>
  <c r="AG428" i="30"/>
  <c r="AH428" i="30"/>
  <c r="AI428" i="30"/>
  <c r="AJ428" i="30"/>
  <c r="AK428" i="30"/>
  <c r="AL428" i="30"/>
  <c r="AM428" i="30"/>
  <c r="AN428" i="30"/>
  <c r="AO428" i="30"/>
  <c r="AP428" i="30"/>
  <c r="AQ428" i="30"/>
  <c r="AR428" i="30"/>
  <c r="AS428" i="30"/>
  <c r="AT428" i="30"/>
  <c r="AU428" i="30"/>
  <c r="AV428" i="30"/>
  <c r="AW428" i="30"/>
  <c r="AX428" i="30"/>
  <c r="AY428" i="30"/>
  <c r="AZ428" i="30"/>
  <c r="BA428" i="30"/>
  <c r="BB428" i="30"/>
  <c r="BC428" i="30"/>
  <c r="BD428" i="30"/>
  <c r="BE428" i="30"/>
  <c r="BF428" i="30"/>
  <c r="BG428" i="30"/>
  <c r="BH428" i="30"/>
  <c r="BI428" i="30"/>
  <c r="BJ428" i="30"/>
  <c r="BK428" i="30"/>
  <c r="BL428" i="30"/>
  <c r="BM428" i="30"/>
  <c r="BN428" i="30"/>
  <c r="BO428" i="30"/>
  <c r="BP428" i="30"/>
  <c r="BQ428" i="30"/>
  <c r="BR428" i="30"/>
  <c r="BS428" i="30"/>
  <c r="BT428" i="30"/>
  <c r="BU428" i="30"/>
  <c r="BV428" i="30"/>
  <c r="BW428" i="30"/>
  <c r="BX428" i="30"/>
  <c r="BY428" i="30"/>
  <c r="BZ428" i="30"/>
  <c r="CA428" i="30"/>
  <c r="CB428" i="30"/>
  <c r="CC428" i="30"/>
  <c r="CD428" i="30"/>
  <c r="CE428" i="30"/>
  <c r="CF428" i="30"/>
  <c r="CG428" i="30"/>
  <c r="CH428" i="30"/>
  <c r="CI428" i="30"/>
  <c r="CJ428" i="30"/>
  <c r="CK428" i="30"/>
  <c r="CL428" i="30"/>
  <c r="CM428" i="30"/>
  <c r="CN428" i="30"/>
  <c r="CO428" i="30"/>
  <c r="CP428" i="30"/>
  <c r="CQ428" i="30"/>
  <c r="CR428" i="30"/>
  <c r="CS428" i="30"/>
  <c r="CT428" i="30"/>
  <c r="CU428" i="30"/>
  <c r="CV428" i="30"/>
  <c r="CW428" i="30"/>
  <c r="CX428" i="30"/>
  <c r="CY428" i="30"/>
  <c r="CZ428" i="30"/>
  <c r="DA428" i="30"/>
  <c r="DB428" i="30"/>
  <c r="DC428" i="30"/>
  <c r="DD428" i="30"/>
  <c r="DE428" i="30"/>
  <c r="DF428" i="30"/>
  <c r="DG428" i="30"/>
  <c r="DH428" i="30"/>
  <c r="DI428" i="30"/>
  <c r="DJ428" i="30"/>
  <c r="DK428" i="30"/>
  <c r="DL428" i="30"/>
  <c r="DM428" i="30"/>
  <c r="DN428" i="30"/>
  <c r="DO428" i="30"/>
  <c r="DP428" i="30"/>
  <c r="DQ428" i="30"/>
  <c r="DR428" i="30"/>
  <c r="DS428" i="30"/>
  <c r="DT428" i="30"/>
  <c r="DU428" i="30"/>
  <c r="DV428" i="30"/>
  <c r="DW428" i="30"/>
  <c r="DX428" i="30"/>
  <c r="DY428" i="30"/>
  <c r="DZ428" i="30"/>
  <c r="EA428" i="30"/>
  <c r="EB428" i="30"/>
  <c r="EC428" i="30"/>
  <c r="ED428" i="30"/>
  <c r="EE428" i="30"/>
  <c r="EF428" i="30"/>
  <c r="EG428" i="30"/>
  <c r="EH428" i="30"/>
  <c r="EI428" i="30"/>
  <c r="EJ428" i="30"/>
  <c r="EK428" i="30"/>
  <c r="EL428" i="30"/>
  <c r="EM428" i="30"/>
  <c r="EN428" i="30"/>
  <c r="EO428" i="30"/>
  <c r="EP428" i="30"/>
  <c r="EQ428" i="30"/>
  <c r="ER428" i="30"/>
  <c r="ES428" i="30"/>
  <c r="ET428" i="30"/>
  <c r="EU428" i="30"/>
  <c r="EV428" i="30"/>
  <c r="EW428" i="30"/>
  <c r="EX428" i="30"/>
  <c r="EY428" i="30"/>
  <c r="EZ428" i="30"/>
  <c r="FA428" i="30"/>
  <c r="FB428" i="30"/>
  <c r="FC428" i="30"/>
  <c r="FD428" i="30"/>
  <c r="FE428" i="30"/>
  <c r="FF428" i="30"/>
  <c r="FG428" i="30"/>
  <c r="FH428" i="30"/>
  <c r="FI428" i="30"/>
  <c r="FJ428" i="30"/>
  <c r="FK428" i="30"/>
  <c r="FL428" i="30"/>
  <c r="FM428" i="30"/>
  <c r="FN428" i="30"/>
  <c r="FO428" i="30"/>
  <c r="FP428" i="30"/>
  <c r="FQ428" i="30"/>
  <c r="FR428" i="30"/>
  <c r="FS428" i="30"/>
  <c r="FT428" i="30"/>
  <c r="FU428" i="30"/>
  <c r="FV428" i="30"/>
  <c r="FW428" i="30"/>
  <c r="FX428" i="30"/>
  <c r="FY428" i="30"/>
  <c r="FZ428" i="30"/>
  <c r="GA428" i="30"/>
  <c r="GB428" i="30"/>
  <c r="GC428" i="30"/>
  <c r="GD428" i="30"/>
  <c r="GE428" i="30"/>
  <c r="GF428" i="30"/>
  <c r="GG428" i="30"/>
  <c r="GH428" i="30"/>
  <c r="GI428" i="30"/>
  <c r="GJ428" i="30"/>
  <c r="GK428" i="30"/>
  <c r="GL428" i="30"/>
  <c r="GM428" i="30"/>
  <c r="GN428" i="30"/>
  <c r="GO428" i="30"/>
  <c r="GP428" i="30"/>
  <c r="GQ428" i="30"/>
  <c r="GR428" i="30"/>
  <c r="GS428" i="30"/>
  <c r="GT428" i="30"/>
  <c r="GU428" i="30"/>
  <c r="GV428" i="30"/>
  <c r="GW428" i="30"/>
  <c r="GX428" i="30"/>
  <c r="GY428" i="30"/>
  <c r="GZ428" i="30"/>
  <c r="HA428" i="30"/>
  <c r="HB428" i="30"/>
  <c r="HC428" i="30"/>
  <c r="HD428" i="30"/>
  <c r="HE428" i="30"/>
  <c r="HF428" i="30"/>
  <c r="HG428" i="30"/>
  <c r="HH428" i="30"/>
  <c r="HI428" i="30"/>
  <c r="HJ428" i="30"/>
  <c r="HK428" i="30"/>
  <c r="HL428" i="30"/>
  <c r="HM428" i="30"/>
  <c r="HN428" i="30"/>
  <c r="HO428" i="30"/>
  <c r="HP428" i="30"/>
  <c r="HQ428" i="30"/>
  <c r="HR428" i="30"/>
  <c r="HS428" i="30"/>
  <c r="HT428" i="30"/>
  <c r="HU428" i="30"/>
  <c r="HV428" i="30"/>
  <c r="HW428" i="30"/>
  <c r="HX428" i="30"/>
  <c r="HY428" i="30"/>
  <c r="HZ428" i="30"/>
  <c r="IA428" i="30"/>
  <c r="IB428" i="30"/>
  <c r="IC428" i="30"/>
  <c r="ID428" i="30"/>
  <c r="IE428" i="30"/>
  <c r="IF428" i="30"/>
  <c r="IG428" i="30"/>
  <c r="IH428" i="30"/>
  <c r="II428" i="30"/>
  <c r="IJ428" i="30"/>
  <c r="IK428" i="30"/>
  <c r="IL428" i="30"/>
  <c r="IM428" i="30"/>
  <c r="IN428" i="30"/>
  <c r="IO428" i="30"/>
  <c r="IP428" i="30"/>
  <c r="IQ428" i="30"/>
  <c r="IR428" i="30"/>
  <c r="IS428" i="30"/>
  <c r="IT428" i="30"/>
  <c r="IU428" i="30"/>
  <c r="IV428" i="30"/>
  <c r="A427" i="30"/>
  <c r="B427" i="30"/>
  <c r="C427" i="30"/>
  <c r="D427" i="30"/>
  <c r="E427" i="30"/>
  <c r="F427" i="30"/>
  <c r="G427" i="30"/>
  <c r="H427" i="30"/>
  <c r="I427" i="30"/>
  <c r="J427" i="30"/>
  <c r="K427" i="30"/>
  <c r="L427" i="30"/>
  <c r="M427" i="30"/>
  <c r="N427" i="30"/>
  <c r="O427" i="30"/>
  <c r="P427" i="30"/>
  <c r="Q427" i="30"/>
  <c r="R427" i="30"/>
  <c r="S427" i="30"/>
  <c r="T427" i="30"/>
  <c r="U427" i="30"/>
  <c r="V427" i="30"/>
  <c r="W427" i="30"/>
  <c r="X427" i="30"/>
  <c r="Y427" i="30"/>
  <c r="Z427" i="30"/>
  <c r="AA427" i="30"/>
  <c r="AB427" i="30"/>
  <c r="AC427" i="30"/>
  <c r="AD427" i="30"/>
  <c r="AE427" i="30"/>
  <c r="AF427" i="30"/>
  <c r="AG427" i="30"/>
  <c r="AH427" i="30"/>
  <c r="AI427" i="30"/>
  <c r="AJ427" i="30"/>
  <c r="AK427" i="30"/>
  <c r="AL427" i="30"/>
  <c r="AM427" i="30"/>
  <c r="AN427" i="30"/>
  <c r="AO427" i="30"/>
  <c r="AP427" i="30"/>
  <c r="AQ427" i="30"/>
  <c r="AR427" i="30"/>
  <c r="AS427" i="30"/>
  <c r="AT427" i="30"/>
  <c r="AU427" i="30"/>
  <c r="AV427" i="30"/>
  <c r="AW427" i="30"/>
  <c r="AX427" i="30"/>
  <c r="AY427" i="30"/>
  <c r="AZ427" i="30"/>
  <c r="BA427" i="30"/>
  <c r="BB427" i="30"/>
  <c r="BC427" i="30"/>
  <c r="BD427" i="30"/>
  <c r="BE427" i="30"/>
  <c r="BF427" i="30"/>
  <c r="BG427" i="30"/>
  <c r="BH427" i="30"/>
  <c r="BI427" i="30"/>
  <c r="BJ427" i="30"/>
  <c r="BK427" i="30"/>
  <c r="BL427" i="30"/>
  <c r="BM427" i="30"/>
  <c r="BN427" i="30"/>
  <c r="BO427" i="30"/>
  <c r="BP427" i="30"/>
  <c r="BQ427" i="30"/>
  <c r="BR427" i="30"/>
  <c r="BS427" i="30"/>
  <c r="BT427" i="30"/>
  <c r="BU427" i="30"/>
  <c r="BV427" i="30"/>
  <c r="BW427" i="30"/>
  <c r="BX427" i="30"/>
  <c r="BY427" i="30"/>
  <c r="BZ427" i="30"/>
  <c r="CA427" i="30"/>
  <c r="CB427" i="30"/>
  <c r="CC427" i="30"/>
  <c r="CD427" i="30"/>
  <c r="CE427" i="30"/>
  <c r="CF427" i="30"/>
  <c r="CG427" i="30"/>
  <c r="CH427" i="30"/>
  <c r="CI427" i="30"/>
  <c r="CJ427" i="30"/>
  <c r="CK427" i="30"/>
  <c r="CL427" i="30"/>
  <c r="CM427" i="30"/>
  <c r="CN427" i="30"/>
  <c r="CO427" i="30"/>
  <c r="CP427" i="30"/>
  <c r="CQ427" i="30"/>
  <c r="CR427" i="30"/>
  <c r="CS427" i="30"/>
  <c r="CT427" i="30"/>
  <c r="CU427" i="30"/>
  <c r="CV427" i="30"/>
  <c r="CW427" i="30"/>
  <c r="CX427" i="30"/>
  <c r="CY427" i="30"/>
  <c r="CZ427" i="30"/>
  <c r="DA427" i="30"/>
  <c r="DB427" i="30"/>
  <c r="DC427" i="30"/>
  <c r="DD427" i="30"/>
  <c r="DE427" i="30"/>
  <c r="DF427" i="30"/>
  <c r="DG427" i="30"/>
  <c r="DH427" i="30"/>
  <c r="DI427" i="30"/>
  <c r="DJ427" i="30"/>
  <c r="DK427" i="30"/>
  <c r="DL427" i="30"/>
  <c r="DM427" i="30"/>
  <c r="DN427" i="30"/>
  <c r="DO427" i="30"/>
  <c r="DP427" i="30"/>
  <c r="DQ427" i="30"/>
  <c r="DR427" i="30"/>
  <c r="DS427" i="30"/>
  <c r="DT427" i="30"/>
  <c r="DU427" i="30"/>
  <c r="DV427" i="30"/>
  <c r="DW427" i="30"/>
  <c r="DX427" i="30"/>
  <c r="DY427" i="30"/>
  <c r="DZ427" i="30"/>
  <c r="EA427" i="30"/>
  <c r="EB427" i="30"/>
  <c r="EC427" i="30"/>
  <c r="ED427" i="30"/>
  <c r="EE427" i="30"/>
  <c r="EF427" i="30"/>
  <c r="EG427" i="30"/>
  <c r="EH427" i="30"/>
  <c r="EI427" i="30"/>
  <c r="EJ427" i="30"/>
  <c r="EK427" i="30"/>
  <c r="EL427" i="30"/>
  <c r="EM427" i="30"/>
  <c r="EN427" i="30"/>
  <c r="EO427" i="30"/>
  <c r="EP427" i="30"/>
  <c r="EQ427" i="30"/>
  <c r="ER427" i="30"/>
  <c r="ES427" i="30"/>
  <c r="ET427" i="30"/>
  <c r="EU427" i="30"/>
  <c r="EV427" i="30"/>
  <c r="EW427" i="30"/>
  <c r="EX427" i="30"/>
  <c r="EY427" i="30"/>
  <c r="EZ427" i="30"/>
  <c r="FA427" i="30"/>
  <c r="FB427" i="30"/>
  <c r="FC427" i="30"/>
  <c r="FD427" i="30"/>
  <c r="FE427" i="30"/>
  <c r="FF427" i="30"/>
  <c r="FG427" i="30"/>
  <c r="FH427" i="30"/>
  <c r="FI427" i="30"/>
  <c r="FJ427" i="30"/>
  <c r="FK427" i="30"/>
  <c r="FL427" i="30"/>
  <c r="FM427" i="30"/>
  <c r="FN427" i="30"/>
  <c r="FO427" i="30"/>
  <c r="FP427" i="30"/>
  <c r="FQ427" i="30"/>
  <c r="FR427" i="30"/>
  <c r="FS427" i="30"/>
  <c r="FT427" i="30"/>
  <c r="FU427" i="30"/>
  <c r="FV427" i="30"/>
  <c r="FW427" i="30"/>
  <c r="FX427" i="30"/>
  <c r="FY427" i="30"/>
  <c r="FZ427" i="30"/>
  <c r="GA427" i="30"/>
  <c r="GB427" i="30"/>
  <c r="GC427" i="30"/>
  <c r="GD427" i="30"/>
  <c r="GE427" i="30"/>
  <c r="GF427" i="30"/>
  <c r="GG427" i="30"/>
  <c r="GH427" i="30"/>
  <c r="GI427" i="30"/>
  <c r="GJ427" i="30"/>
  <c r="GK427" i="30"/>
  <c r="GL427" i="30"/>
  <c r="GM427" i="30"/>
  <c r="GN427" i="30"/>
  <c r="GO427" i="30"/>
  <c r="GP427" i="30"/>
  <c r="GQ427" i="30"/>
  <c r="GR427" i="30"/>
  <c r="GS427" i="30"/>
  <c r="GT427" i="30"/>
  <c r="GU427" i="30"/>
  <c r="GV427" i="30"/>
  <c r="GW427" i="30"/>
  <c r="GX427" i="30"/>
  <c r="GY427" i="30"/>
  <c r="GZ427" i="30"/>
  <c r="HA427" i="30"/>
  <c r="HB427" i="30"/>
  <c r="HC427" i="30"/>
  <c r="HD427" i="30"/>
  <c r="HE427" i="30"/>
  <c r="HF427" i="30"/>
  <c r="HG427" i="30"/>
  <c r="HH427" i="30"/>
  <c r="HI427" i="30"/>
  <c r="HJ427" i="30"/>
  <c r="HK427" i="30"/>
  <c r="HL427" i="30"/>
  <c r="HM427" i="30"/>
  <c r="HN427" i="30"/>
  <c r="HO427" i="30"/>
  <c r="HP427" i="30"/>
  <c r="HQ427" i="30"/>
  <c r="HR427" i="30"/>
  <c r="HS427" i="30"/>
  <c r="HT427" i="30"/>
  <c r="HU427" i="30"/>
  <c r="HV427" i="30"/>
  <c r="HW427" i="30"/>
  <c r="HX427" i="30"/>
  <c r="HY427" i="30"/>
  <c r="HZ427" i="30"/>
  <c r="IA427" i="30"/>
  <c r="IB427" i="30"/>
  <c r="IC427" i="30"/>
  <c r="ID427" i="30"/>
  <c r="IE427" i="30"/>
  <c r="IF427" i="30"/>
  <c r="IG427" i="30"/>
  <c r="IH427" i="30"/>
  <c r="II427" i="30"/>
  <c r="IJ427" i="30"/>
  <c r="IK427" i="30"/>
  <c r="IL427" i="30"/>
  <c r="IM427" i="30"/>
  <c r="IN427" i="30"/>
  <c r="IO427" i="30"/>
  <c r="IP427" i="30"/>
  <c r="IQ427" i="30"/>
  <c r="IR427" i="30"/>
  <c r="IS427" i="30"/>
  <c r="IT427" i="30"/>
  <c r="IU427" i="30"/>
  <c r="IV427" i="30"/>
  <c r="A426" i="30"/>
  <c r="B426" i="30"/>
  <c r="C426" i="30"/>
  <c r="D426" i="30"/>
  <c r="E426" i="30"/>
  <c r="F426" i="30"/>
  <c r="G426" i="30"/>
  <c r="H426" i="30"/>
  <c r="I426" i="30"/>
  <c r="J426" i="30"/>
  <c r="K426" i="30"/>
  <c r="L426" i="30"/>
  <c r="M426" i="30"/>
  <c r="N426" i="30"/>
  <c r="O426" i="30"/>
  <c r="P426" i="30"/>
  <c r="Q426" i="30"/>
  <c r="R426" i="30"/>
  <c r="S426" i="30"/>
  <c r="T426" i="30"/>
  <c r="U426" i="30"/>
  <c r="V426" i="30"/>
  <c r="W426" i="30"/>
  <c r="X426" i="30"/>
  <c r="Y426" i="30"/>
  <c r="Z426" i="30"/>
  <c r="AA426" i="30"/>
  <c r="AB426" i="30"/>
  <c r="AC426" i="30"/>
  <c r="AD426" i="30"/>
  <c r="AE426" i="30"/>
  <c r="AF426" i="30"/>
  <c r="AG426" i="30"/>
  <c r="AH426" i="30"/>
  <c r="AI426" i="30"/>
  <c r="AJ426" i="30"/>
  <c r="AK426" i="30"/>
  <c r="AL426" i="30"/>
  <c r="AM426" i="30"/>
  <c r="AN426" i="30"/>
  <c r="AO426" i="30"/>
  <c r="AP426" i="30"/>
  <c r="AQ426" i="30"/>
  <c r="AR426" i="30"/>
  <c r="AS426" i="30"/>
  <c r="AT426" i="30"/>
  <c r="AU426" i="30"/>
  <c r="AV426" i="30"/>
  <c r="AW426" i="30"/>
  <c r="AX426" i="30"/>
  <c r="AY426" i="30"/>
  <c r="AZ426" i="30"/>
  <c r="BA426" i="30"/>
  <c r="BB426" i="30"/>
  <c r="BC426" i="30"/>
  <c r="BD426" i="30"/>
  <c r="BE426" i="30"/>
  <c r="BF426" i="30"/>
  <c r="BG426" i="30"/>
  <c r="BH426" i="30"/>
  <c r="BI426" i="30"/>
  <c r="BJ426" i="30"/>
  <c r="BK426" i="30"/>
  <c r="BL426" i="30"/>
  <c r="BM426" i="30"/>
  <c r="BN426" i="30"/>
  <c r="BO426" i="30"/>
  <c r="BP426" i="30"/>
  <c r="BQ426" i="30"/>
  <c r="BR426" i="30"/>
  <c r="BS426" i="30"/>
  <c r="BT426" i="30"/>
  <c r="BU426" i="30"/>
  <c r="BV426" i="30"/>
  <c r="BW426" i="30"/>
  <c r="BX426" i="30"/>
  <c r="BY426" i="30"/>
  <c r="BZ426" i="30"/>
  <c r="CA426" i="30"/>
  <c r="CB426" i="30"/>
  <c r="CC426" i="30"/>
  <c r="CD426" i="30"/>
  <c r="CE426" i="30"/>
  <c r="CF426" i="30"/>
  <c r="CG426" i="30"/>
  <c r="CH426" i="30"/>
  <c r="CI426" i="30"/>
  <c r="CJ426" i="30"/>
  <c r="CK426" i="30"/>
  <c r="CL426" i="30"/>
  <c r="CM426" i="30"/>
  <c r="CN426" i="30"/>
  <c r="CO426" i="30"/>
  <c r="CP426" i="30"/>
  <c r="CQ426" i="30"/>
  <c r="CR426" i="30"/>
  <c r="CS426" i="30"/>
  <c r="CT426" i="30"/>
  <c r="CU426" i="30"/>
  <c r="CV426" i="30"/>
  <c r="CW426" i="30"/>
  <c r="CX426" i="30"/>
  <c r="CY426" i="30"/>
  <c r="CZ426" i="30"/>
  <c r="DA426" i="30"/>
  <c r="DB426" i="30"/>
  <c r="DC426" i="30"/>
  <c r="DD426" i="30"/>
  <c r="DE426" i="30"/>
  <c r="DF426" i="30"/>
  <c r="DG426" i="30"/>
  <c r="DH426" i="30"/>
  <c r="DI426" i="30"/>
  <c r="DJ426" i="30"/>
  <c r="DK426" i="30"/>
  <c r="DL426" i="30"/>
  <c r="DM426" i="30"/>
  <c r="DN426" i="30"/>
  <c r="DO426" i="30"/>
  <c r="DP426" i="30"/>
  <c r="DQ426" i="30"/>
  <c r="DR426" i="30"/>
  <c r="DS426" i="30"/>
  <c r="DT426" i="30"/>
  <c r="DU426" i="30"/>
  <c r="DV426" i="30"/>
  <c r="DW426" i="30"/>
  <c r="DX426" i="30"/>
  <c r="DY426" i="30"/>
  <c r="DZ426" i="30"/>
  <c r="EA426" i="30"/>
  <c r="EB426" i="30"/>
  <c r="EC426" i="30"/>
  <c r="ED426" i="30"/>
  <c r="EE426" i="30"/>
  <c r="EF426" i="30"/>
  <c r="EG426" i="30"/>
  <c r="EH426" i="30"/>
  <c r="EI426" i="30"/>
  <c r="EJ426" i="30"/>
  <c r="EK426" i="30"/>
  <c r="EL426" i="30"/>
  <c r="EM426" i="30"/>
  <c r="EN426" i="30"/>
  <c r="EO426" i="30"/>
  <c r="EP426" i="30"/>
  <c r="EQ426" i="30"/>
  <c r="ER426" i="30"/>
  <c r="ES426" i="30"/>
  <c r="ET426" i="30"/>
  <c r="EU426" i="30"/>
  <c r="EV426" i="30"/>
  <c r="EW426" i="30"/>
  <c r="EX426" i="30"/>
  <c r="EY426" i="30"/>
  <c r="EZ426" i="30"/>
  <c r="FA426" i="30"/>
  <c r="FB426" i="30"/>
  <c r="FC426" i="30"/>
  <c r="FD426" i="30"/>
  <c r="FE426" i="30"/>
  <c r="FF426" i="30"/>
  <c r="FG426" i="30"/>
  <c r="FH426" i="30"/>
  <c r="FI426" i="30"/>
  <c r="FJ426" i="30"/>
  <c r="FK426" i="30"/>
  <c r="FL426" i="30"/>
  <c r="FM426" i="30"/>
  <c r="FN426" i="30"/>
  <c r="FO426" i="30"/>
  <c r="FP426" i="30"/>
  <c r="FQ426" i="30"/>
  <c r="FR426" i="30"/>
  <c r="FS426" i="30"/>
  <c r="FT426" i="30"/>
  <c r="FU426" i="30"/>
  <c r="FV426" i="30"/>
  <c r="FW426" i="30"/>
  <c r="FX426" i="30"/>
  <c r="FY426" i="30"/>
  <c r="FZ426" i="30"/>
  <c r="GA426" i="30"/>
  <c r="GB426" i="30"/>
  <c r="GC426" i="30"/>
  <c r="GD426" i="30"/>
  <c r="GE426" i="30"/>
  <c r="GF426" i="30"/>
  <c r="GG426" i="30"/>
  <c r="GH426" i="30"/>
  <c r="GI426" i="30"/>
  <c r="GJ426" i="30"/>
  <c r="GK426" i="30"/>
  <c r="GL426" i="30"/>
  <c r="GM426" i="30"/>
  <c r="GN426" i="30"/>
  <c r="GO426" i="30"/>
  <c r="GP426" i="30"/>
  <c r="GQ426" i="30"/>
  <c r="GR426" i="30"/>
  <c r="GS426" i="30"/>
  <c r="GT426" i="30"/>
  <c r="GU426" i="30"/>
  <c r="GV426" i="30"/>
  <c r="GW426" i="30"/>
  <c r="GX426" i="30"/>
  <c r="GY426" i="30"/>
  <c r="GZ426" i="30"/>
  <c r="HA426" i="30"/>
  <c r="HB426" i="30"/>
  <c r="HC426" i="30"/>
  <c r="HD426" i="30"/>
  <c r="HE426" i="30"/>
  <c r="HF426" i="30"/>
  <c r="HG426" i="30"/>
  <c r="HH426" i="30"/>
  <c r="HI426" i="30"/>
  <c r="HJ426" i="30"/>
  <c r="HK426" i="30"/>
  <c r="HL426" i="30"/>
  <c r="HM426" i="30"/>
  <c r="HN426" i="30"/>
  <c r="HO426" i="30"/>
  <c r="HP426" i="30"/>
  <c r="HQ426" i="30"/>
  <c r="HR426" i="30"/>
  <c r="HS426" i="30"/>
  <c r="HT426" i="30"/>
  <c r="HU426" i="30"/>
  <c r="HV426" i="30"/>
  <c r="HW426" i="30"/>
  <c r="HX426" i="30"/>
  <c r="HY426" i="30"/>
  <c r="HZ426" i="30"/>
  <c r="IA426" i="30"/>
  <c r="IB426" i="30"/>
  <c r="IC426" i="30"/>
  <c r="ID426" i="30"/>
  <c r="IE426" i="30"/>
  <c r="IF426" i="30"/>
  <c r="IG426" i="30"/>
  <c r="IH426" i="30"/>
  <c r="II426" i="30"/>
  <c r="IJ426" i="30"/>
  <c r="IK426" i="30"/>
  <c r="IL426" i="30"/>
  <c r="IM426" i="30"/>
  <c r="IN426" i="30"/>
  <c r="IO426" i="30"/>
  <c r="IP426" i="30"/>
  <c r="IQ426" i="30"/>
  <c r="IR426" i="30"/>
  <c r="IS426" i="30"/>
  <c r="IT426" i="30"/>
  <c r="IU426" i="30"/>
  <c r="IV426" i="30"/>
  <c r="A425" i="30"/>
  <c r="B425" i="30"/>
  <c r="C425" i="30"/>
  <c r="D425" i="30"/>
  <c r="E425" i="30"/>
  <c r="F425" i="30"/>
  <c r="G425" i="30"/>
  <c r="H425" i="30"/>
  <c r="I425" i="30"/>
  <c r="J425" i="30"/>
  <c r="K425" i="30"/>
  <c r="L425" i="30"/>
  <c r="M425" i="30"/>
  <c r="N425" i="30"/>
  <c r="O425" i="30"/>
  <c r="P425" i="30"/>
  <c r="Q425" i="30"/>
  <c r="R425" i="30"/>
  <c r="S425" i="30"/>
  <c r="T425" i="30"/>
  <c r="U425" i="30"/>
  <c r="V425" i="30"/>
  <c r="W425" i="30"/>
  <c r="X425" i="30"/>
  <c r="Y425" i="30"/>
  <c r="Z425" i="30"/>
  <c r="AA425" i="30"/>
  <c r="AB425" i="30"/>
  <c r="AC425" i="30"/>
  <c r="AD425" i="30"/>
  <c r="AE425" i="30"/>
  <c r="AF425" i="30"/>
  <c r="AG425" i="30"/>
  <c r="AH425" i="30"/>
  <c r="AI425" i="30"/>
  <c r="AJ425" i="30"/>
  <c r="AK425" i="30"/>
  <c r="AL425" i="30"/>
  <c r="AM425" i="30"/>
  <c r="AN425" i="30"/>
  <c r="AO425" i="30"/>
  <c r="AP425" i="30"/>
  <c r="AQ425" i="30"/>
  <c r="AR425" i="30"/>
  <c r="AS425" i="30"/>
  <c r="AT425" i="30"/>
  <c r="AU425" i="30"/>
  <c r="AV425" i="30"/>
  <c r="AW425" i="30"/>
  <c r="AX425" i="30"/>
  <c r="AY425" i="30"/>
  <c r="AZ425" i="30"/>
  <c r="BA425" i="30"/>
  <c r="BB425" i="30"/>
  <c r="BC425" i="30"/>
  <c r="BD425" i="30"/>
  <c r="BE425" i="30"/>
  <c r="BF425" i="30"/>
  <c r="BG425" i="30"/>
  <c r="BH425" i="30"/>
  <c r="BI425" i="30"/>
  <c r="BJ425" i="30"/>
  <c r="BK425" i="30"/>
  <c r="BL425" i="30"/>
  <c r="BM425" i="30"/>
  <c r="BN425" i="30"/>
  <c r="BO425" i="30"/>
  <c r="BP425" i="30"/>
  <c r="BQ425" i="30"/>
  <c r="BR425" i="30"/>
  <c r="BS425" i="30"/>
  <c r="BT425" i="30"/>
  <c r="BU425" i="30"/>
  <c r="BV425" i="30"/>
  <c r="BW425" i="30"/>
  <c r="BX425" i="30"/>
  <c r="BY425" i="30"/>
  <c r="BZ425" i="30"/>
  <c r="CA425" i="30"/>
  <c r="CB425" i="30"/>
  <c r="CC425" i="30"/>
  <c r="CD425" i="30"/>
  <c r="CE425" i="30"/>
  <c r="CF425" i="30"/>
  <c r="CG425" i="30"/>
  <c r="CH425" i="30"/>
  <c r="CI425" i="30"/>
  <c r="CJ425" i="30"/>
  <c r="CK425" i="30"/>
  <c r="CL425" i="30"/>
  <c r="CM425" i="30"/>
  <c r="CN425" i="30"/>
  <c r="CO425" i="30"/>
  <c r="CP425" i="30"/>
  <c r="CQ425" i="30"/>
  <c r="CR425" i="30"/>
  <c r="CS425" i="30"/>
  <c r="CT425" i="30"/>
  <c r="CU425" i="30"/>
  <c r="CV425" i="30"/>
  <c r="CW425" i="30"/>
  <c r="CX425" i="30"/>
  <c r="CY425" i="30"/>
  <c r="CZ425" i="30"/>
  <c r="DA425" i="30"/>
  <c r="DB425" i="30"/>
  <c r="DC425" i="30"/>
  <c r="DD425" i="30"/>
  <c r="DE425" i="30"/>
  <c r="DF425" i="30"/>
  <c r="DG425" i="30"/>
  <c r="DH425" i="30"/>
  <c r="DI425" i="30"/>
  <c r="DJ425" i="30"/>
  <c r="DK425" i="30"/>
  <c r="DL425" i="30"/>
  <c r="DM425" i="30"/>
  <c r="DN425" i="30"/>
  <c r="DO425" i="30"/>
  <c r="DP425" i="30"/>
  <c r="DQ425" i="30"/>
  <c r="DR425" i="30"/>
  <c r="DS425" i="30"/>
  <c r="DT425" i="30"/>
  <c r="DU425" i="30"/>
  <c r="DV425" i="30"/>
  <c r="DW425" i="30"/>
  <c r="DX425" i="30"/>
  <c r="DY425" i="30"/>
  <c r="DZ425" i="30"/>
  <c r="EA425" i="30"/>
  <c r="EB425" i="30"/>
  <c r="EC425" i="30"/>
  <c r="ED425" i="30"/>
  <c r="EE425" i="30"/>
  <c r="EF425" i="30"/>
  <c r="EG425" i="30"/>
  <c r="EH425" i="30"/>
  <c r="EI425" i="30"/>
  <c r="EJ425" i="30"/>
  <c r="EK425" i="30"/>
  <c r="EL425" i="30"/>
  <c r="EM425" i="30"/>
  <c r="EN425" i="30"/>
  <c r="EO425" i="30"/>
  <c r="EP425" i="30"/>
  <c r="EQ425" i="30"/>
  <c r="ER425" i="30"/>
  <c r="ES425" i="30"/>
  <c r="ET425" i="30"/>
  <c r="EU425" i="30"/>
  <c r="EV425" i="30"/>
  <c r="EW425" i="30"/>
  <c r="EX425" i="30"/>
  <c r="EY425" i="30"/>
  <c r="EZ425" i="30"/>
  <c r="FA425" i="30"/>
  <c r="FB425" i="30"/>
  <c r="FC425" i="30"/>
  <c r="FD425" i="30"/>
  <c r="FE425" i="30"/>
  <c r="FF425" i="30"/>
  <c r="FG425" i="30"/>
  <c r="FH425" i="30"/>
  <c r="FI425" i="30"/>
  <c r="FJ425" i="30"/>
  <c r="FK425" i="30"/>
  <c r="FL425" i="30"/>
  <c r="FM425" i="30"/>
  <c r="FN425" i="30"/>
  <c r="FO425" i="30"/>
  <c r="FP425" i="30"/>
  <c r="FQ425" i="30"/>
  <c r="FR425" i="30"/>
  <c r="FS425" i="30"/>
  <c r="FT425" i="30"/>
  <c r="FU425" i="30"/>
  <c r="FV425" i="30"/>
  <c r="FW425" i="30"/>
  <c r="FX425" i="30"/>
  <c r="FY425" i="30"/>
  <c r="FZ425" i="30"/>
  <c r="GA425" i="30"/>
  <c r="GB425" i="30"/>
  <c r="GC425" i="30"/>
  <c r="GD425" i="30"/>
  <c r="GE425" i="30"/>
  <c r="GF425" i="30"/>
  <c r="GG425" i="30"/>
  <c r="GH425" i="30"/>
  <c r="GI425" i="30"/>
  <c r="GJ425" i="30"/>
  <c r="GK425" i="30"/>
  <c r="GL425" i="30"/>
  <c r="GM425" i="30"/>
  <c r="GN425" i="30"/>
  <c r="GO425" i="30"/>
  <c r="GP425" i="30"/>
  <c r="GQ425" i="30"/>
  <c r="GR425" i="30"/>
  <c r="GS425" i="30"/>
  <c r="GT425" i="30"/>
  <c r="GU425" i="30"/>
  <c r="GV425" i="30"/>
  <c r="GW425" i="30"/>
  <c r="GX425" i="30"/>
  <c r="GY425" i="30"/>
  <c r="GZ425" i="30"/>
  <c r="HA425" i="30"/>
  <c r="HB425" i="30"/>
  <c r="HC425" i="30"/>
  <c r="HD425" i="30"/>
  <c r="HE425" i="30"/>
  <c r="HF425" i="30"/>
  <c r="HG425" i="30"/>
  <c r="HH425" i="30"/>
  <c r="HI425" i="30"/>
  <c r="HJ425" i="30"/>
  <c r="HK425" i="30"/>
  <c r="HL425" i="30"/>
  <c r="HM425" i="30"/>
  <c r="HN425" i="30"/>
  <c r="HO425" i="30"/>
  <c r="HP425" i="30"/>
  <c r="HQ425" i="30"/>
  <c r="HR425" i="30"/>
  <c r="HS425" i="30"/>
  <c r="HT425" i="30"/>
  <c r="HU425" i="30"/>
  <c r="HV425" i="30"/>
  <c r="HW425" i="30"/>
  <c r="HX425" i="30"/>
  <c r="HY425" i="30"/>
  <c r="HZ425" i="30"/>
  <c r="IA425" i="30"/>
  <c r="IB425" i="30"/>
  <c r="IC425" i="30"/>
  <c r="ID425" i="30"/>
  <c r="IE425" i="30"/>
  <c r="IF425" i="30"/>
  <c r="IG425" i="30"/>
  <c r="IH425" i="30"/>
  <c r="II425" i="30"/>
  <c r="IJ425" i="30"/>
  <c r="IK425" i="30"/>
  <c r="IL425" i="30"/>
  <c r="IM425" i="30"/>
  <c r="IN425" i="30"/>
  <c r="IO425" i="30"/>
  <c r="IP425" i="30"/>
  <c r="IQ425" i="30"/>
  <c r="IR425" i="30"/>
  <c r="IS425" i="30"/>
  <c r="IT425" i="30"/>
  <c r="IU425" i="30"/>
  <c r="IV425" i="30"/>
  <c r="A424" i="30"/>
  <c r="B424" i="30"/>
  <c r="C424" i="30"/>
  <c r="D424" i="30"/>
  <c r="E424" i="30"/>
  <c r="F424" i="30"/>
  <c r="G424" i="30"/>
  <c r="H424" i="30"/>
  <c r="I424" i="30"/>
  <c r="J424" i="30"/>
  <c r="K424" i="30"/>
  <c r="L424" i="30"/>
  <c r="M424" i="30"/>
  <c r="N424" i="30"/>
  <c r="O424" i="30"/>
  <c r="P424" i="30"/>
  <c r="Q424" i="30"/>
  <c r="R424" i="30"/>
  <c r="S424" i="30"/>
  <c r="T424" i="30"/>
  <c r="U424" i="30"/>
  <c r="V424" i="30"/>
  <c r="W424" i="30"/>
  <c r="X424" i="30"/>
  <c r="Y424" i="30"/>
  <c r="Z424" i="30"/>
  <c r="AA424" i="30"/>
  <c r="AB424" i="30"/>
  <c r="AC424" i="30"/>
  <c r="AD424" i="30"/>
  <c r="AE424" i="30"/>
  <c r="AF424" i="30"/>
  <c r="AG424" i="30"/>
  <c r="AH424" i="30"/>
  <c r="AI424" i="30"/>
  <c r="AJ424" i="30"/>
  <c r="AK424" i="30"/>
  <c r="AL424" i="30"/>
  <c r="AM424" i="30"/>
  <c r="AN424" i="30"/>
  <c r="AO424" i="30"/>
  <c r="AP424" i="30"/>
  <c r="AQ424" i="30"/>
  <c r="AR424" i="30"/>
  <c r="AS424" i="30"/>
  <c r="AT424" i="30"/>
  <c r="AU424" i="30"/>
  <c r="AV424" i="30"/>
  <c r="AW424" i="30"/>
  <c r="AX424" i="30"/>
  <c r="AY424" i="30"/>
  <c r="AZ424" i="30"/>
  <c r="BA424" i="30"/>
  <c r="BB424" i="30"/>
  <c r="BC424" i="30"/>
  <c r="BD424" i="30"/>
  <c r="BE424" i="30"/>
  <c r="BF424" i="30"/>
  <c r="BG424" i="30"/>
  <c r="BH424" i="30"/>
  <c r="BI424" i="30"/>
  <c r="BJ424" i="30"/>
  <c r="BK424" i="30"/>
  <c r="BL424" i="30"/>
  <c r="BM424" i="30"/>
  <c r="BN424" i="30"/>
  <c r="BO424" i="30"/>
  <c r="BP424" i="30"/>
  <c r="BQ424" i="30"/>
  <c r="BR424" i="30"/>
  <c r="BS424" i="30"/>
  <c r="BT424" i="30"/>
  <c r="BU424" i="30"/>
  <c r="BV424" i="30"/>
  <c r="BW424" i="30"/>
  <c r="BX424" i="30"/>
  <c r="BY424" i="30"/>
  <c r="BZ424" i="30"/>
  <c r="CA424" i="30"/>
  <c r="CB424" i="30"/>
  <c r="CC424" i="30"/>
  <c r="CD424" i="30"/>
  <c r="CE424" i="30"/>
  <c r="CF424" i="30"/>
  <c r="CG424" i="30"/>
  <c r="CH424" i="30"/>
  <c r="CI424" i="30"/>
  <c r="CJ424" i="30"/>
  <c r="CK424" i="30"/>
  <c r="CL424" i="30"/>
  <c r="CM424" i="30"/>
  <c r="CN424" i="30"/>
  <c r="CO424" i="30"/>
  <c r="CP424" i="30"/>
  <c r="CQ424" i="30"/>
  <c r="CR424" i="30"/>
  <c r="CS424" i="30"/>
  <c r="CT424" i="30"/>
  <c r="CU424" i="30"/>
  <c r="CV424" i="30"/>
  <c r="CW424" i="30"/>
  <c r="CX424" i="30"/>
  <c r="CY424" i="30"/>
  <c r="CZ424" i="30"/>
  <c r="DA424" i="30"/>
  <c r="DB424" i="30"/>
  <c r="DC424" i="30"/>
  <c r="DD424" i="30"/>
  <c r="DE424" i="30"/>
  <c r="DF424" i="30"/>
  <c r="DG424" i="30"/>
  <c r="DH424" i="30"/>
  <c r="DI424" i="30"/>
  <c r="DJ424" i="30"/>
  <c r="DK424" i="30"/>
  <c r="DL424" i="30"/>
  <c r="DM424" i="30"/>
  <c r="DN424" i="30"/>
  <c r="DO424" i="30"/>
  <c r="DP424" i="30"/>
  <c r="DQ424" i="30"/>
  <c r="DR424" i="30"/>
  <c r="DS424" i="30"/>
  <c r="DT424" i="30"/>
  <c r="DU424" i="30"/>
  <c r="DV424" i="30"/>
  <c r="DW424" i="30"/>
  <c r="DX424" i="30"/>
  <c r="DY424" i="30"/>
  <c r="DZ424" i="30"/>
  <c r="EA424" i="30"/>
  <c r="EB424" i="30"/>
  <c r="EC424" i="30"/>
  <c r="ED424" i="30"/>
  <c r="EE424" i="30"/>
  <c r="EF424" i="30"/>
  <c r="EG424" i="30"/>
  <c r="EH424" i="30"/>
  <c r="EI424" i="30"/>
  <c r="EJ424" i="30"/>
  <c r="EK424" i="30"/>
  <c r="EL424" i="30"/>
  <c r="EM424" i="30"/>
  <c r="EN424" i="30"/>
  <c r="EO424" i="30"/>
  <c r="EP424" i="30"/>
  <c r="EQ424" i="30"/>
  <c r="ER424" i="30"/>
  <c r="ES424" i="30"/>
  <c r="ET424" i="30"/>
  <c r="EU424" i="30"/>
  <c r="EV424" i="30"/>
  <c r="EW424" i="30"/>
  <c r="EX424" i="30"/>
  <c r="EY424" i="30"/>
  <c r="EZ424" i="30"/>
  <c r="FA424" i="30"/>
  <c r="FB424" i="30"/>
  <c r="FC424" i="30"/>
  <c r="FD424" i="30"/>
  <c r="FE424" i="30"/>
  <c r="FF424" i="30"/>
  <c r="FG424" i="30"/>
  <c r="FH424" i="30"/>
  <c r="FI424" i="30"/>
  <c r="FJ424" i="30"/>
  <c r="FK424" i="30"/>
  <c r="FL424" i="30"/>
  <c r="FM424" i="30"/>
  <c r="FN424" i="30"/>
  <c r="FO424" i="30"/>
  <c r="FP424" i="30"/>
  <c r="FQ424" i="30"/>
  <c r="FR424" i="30"/>
  <c r="FS424" i="30"/>
  <c r="FT424" i="30"/>
  <c r="FU424" i="30"/>
  <c r="FV424" i="30"/>
  <c r="FW424" i="30"/>
  <c r="FX424" i="30"/>
  <c r="FY424" i="30"/>
  <c r="FZ424" i="30"/>
  <c r="GA424" i="30"/>
  <c r="GB424" i="30"/>
  <c r="GC424" i="30"/>
  <c r="GD424" i="30"/>
  <c r="GE424" i="30"/>
  <c r="GF424" i="30"/>
  <c r="GG424" i="30"/>
  <c r="GH424" i="30"/>
  <c r="GI424" i="30"/>
  <c r="GJ424" i="30"/>
  <c r="GK424" i="30"/>
  <c r="GL424" i="30"/>
  <c r="GM424" i="30"/>
  <c r="GN424" i="30"/>
  <c r="GO424" i="30"/>
  <c r="GP424" i="30"/>
  <c r="GQ424" i="30"/>
  <c r="GR424" i="30"/>
  <c r="GS424" i="30"/>
  <c r="GT424" i="30"/>
  <c r="GU424" i="30"/>
  <c r="GV424" i="30"/>
  <c r="GW424" i="30"/>
  <c r="GX424" i="30"/>
  <c r="GY424" i="30"/>
  <c r="GZ424" i="30"/>
  <c r="HA424" i="30"/>
  <c r="HB424" i="30"/>
  <c r="HC424" i="30"/>
  <c r="HD424" i="30"/>
  <c r="HE424" i="30"/>
  <c r="HF424" i="30"/>
  <c r="HG424" i="30"/>
  <c r="HH424" i="30"/>
  <c r="HI424" i="30"/>
  <c r="HJ424" i="30"/>
  <c r="HK424" i="30"/>
  <c r="HL424" i="30"/>
  <c r="HM424" i="30"/>
  <c r="HN424" i="30"/>
  <c r="HO424" i="30"/>
  <c r="HP424" i="30"/>
  <c r="HQ424" i="30"/>
  <c r="HR424" i="30"/>
  <c r="HS424" i="30"/>
  <c r="HT424" i="30"/>
  <c r="HU424" i="30"/>
  <c r="HV424" i="30"/>
  <c r="HW424" i="30"/>
  <c r="HX424" i="30"/>
  <c r="HY424" i="30"/>
  <c r="HZ424" i="30"/>
  <c r="IA424" i="30"/>
  <c r="IB424" i="30"/>
  <c r="IC424" i="30"/>
  <c r="ID424" i="30"/>
  <c r="IE424" i="30"/>
  <c r="IF424" i="30"/>
  <c r="IG424" i="30"/>
  <c r="IH424" i="30"/>
  <c r="II424" i="30"/>
  <c r="IJ424" i="30"/>
  <c r="IK424" i="30"/>
  <c r="IL424" i="30"/>
  <c r="IM424" i="30"/>
  <c r="IN424" i="30"/>
  <c r="IO424" i="30"/>
  <c r="IP424" i="30"/>
  <c r="IQ424" i="30"/>
  <c r="IR424" i="30"/>
  <c r="IS424" i="30"/>
  <c r="IT424" i="30"/>
  <c r="IU424" i="30"/>
  <c r="IV424" i="30"/>
  <c r="A423" i="30"/>
  <c r="B423" i="30"/>
  <c r="C423" i="30"/>
  <c r="D423" i="30"/>
  <c r="E423" i="30"/>
  <c r="F423" i="30"/>
  <c r="G423" i="30"/>
  <c r="H423" i="30"/>
  <c r="I423" i="30"/>
  <c r="J423" i="30"/>
  <c r="K423" i="30"/>
  <c r="L423" i="30"/>
  <c r="M423" i="30"/>
  <c r="N423" i="30"/>
  <c r="O423" i="30"/>
  <c r="P423" i="30"/>
  <c r="Q423" i="30"/>
  <c r="R423" i="30"/>
  <c r="S423" i="30"/>
  <c r="T423" i="30"/>
  <c r="U423" i="30"/>
  <c r="V423" i="30"/>
  <c r="W423" i="30"/>
  <c r="X423" i="30"/>
  <c r="Y423" i="30"/>
  <c r="Z423" i="30"/>
  <c r="AA423" i="30"/>
  <c r="AB423" i="30"/>
  <c r="AC423" i="30"/>
  <c r="AD423" i="30"/>
  <c r="AE423" i="30"/>
  <c r="AF423" i="30"/>
  <c r="AG423" i="30"/>
  <c r="AH423" i="30"/>
  <c r="AI423" i="30"/>
  <c r="AJ423" i="30"/>
  <c r="AK423" i="30"/>
  <c r="AL423" i="30"/>
  <c r="AM423" i="30"/>
  <c r="AN423" i="30"/>
  <c r="AO423" i="30"/>
  <c r="AP423" i="30"/>
  <c r="AQ423" i="30"/>
  <c r="AR423" i="30"/>
  <c r="AS423" i="30"/>
  <c r="AT423" i="30"/>
  <c r="AU423" i="30"/>
  <c r="AV423" i="30"/>
  <c r="AW423" i="30"/>
  <c r="AX423" i="30"/>
  <c r="AY423" i="30"/>
  <c r="AZ423" i="30"/>
  <c r="BA423" i="30"/>
  <c r="BB423" i="30"/>
  <c r="BC423" i="30"/>
  <c r="BD423" i="30"/>
  <c r="BE423" i="30"/>
  <c r="BF423" i="30"/>
  <c r="BG423" i="30"/>
  <c r="BH423" i="30"/>
  <c r="BI423" i="30"/>
  <c r="BJ423" i="30"/>
  <c r="BK423" i="30"/>
  <c r="BL423" i="30"/>
  <c r="BM423" i="30"/>
  <c r="BN423" i="30"/>
  <c r="BO423" i="30"/>
  <c r="BP423" i="30"/>
  <c r="BQ423" i="30"/>
  <c r="BR423" i="30"/>
  <c r="BS423" i="30"/>
  <c r="BT423" i="30"/>
  <c r="BU423" i="30"/>
  <c r="BV423" i="30"/>
  <c r="BW423" i="30"/>
  <c r="BX423" i="30"/>
  <c r="BY423" i="30"/>
  <c r="BZ423" i="30"/>
  <c r="CA423" i="30"/>
  <c r="CB423" i="30"/>
  <c r="CC423" i="30"/>
  <c r="CD423" i="30"/>
  <c r="CE423" i="30"/>
  <c r="CF423" i="30"/>
  <c r="CG423" i="30"/>
  <c r="CH423" i="30"/>
  <c r="CI423" i="30"/>
  <c r="CJ423" i="30"/>
  <c r="CK423" i="30"/>
  <c r="CL423" i="30"/>
  <c r="CM423" i="30"/>
  <c r="CN423" i="30"/>
  <c r="CO423" i="30"/>
  <c r="CP423" i="30"/>
  <c r="CQ423" i="30"/>
  <c r="CR423" i="30"/>
  <c r="CS423" i="30"/>
  <c r="CT423" i="30"/>
  <c r="CU423" i="30"/>
  <c r="CV423" i="30"/>
  <c r="CW423" i="30"/>
  <c r="CX423" i="30"/>
  <c r="CY423" i="30"/>
  <c r="CZ423" i="30"/>
  <c r="DA423" i="30"/>
  <c r="DB423" i="30"/>
  <c r="DC423" i="30"/>
  <c r="DD423" i="30"/>
  <c r="DE423" i="30"/>
  <c r="DF423" i="30"/>
  <c r="DG423" i="30"/>
  <c r="DH423" i="30"/>
  <c r="DI423" i="30"/>
  <c r="DJ423" i="30"/>
  <c r="DK423" i="30"/>
  <c r="DL423" i="30"/>
  <c r="DM423" i="30"/>
  <c r="DN423" i="30"/>
  <c r="DO423" i="30"/>
  <c r="DP423" i="30"/>
  <c r="DQ423" i="30"/>
  <c r="DR423" i="30"/>
  <c r="DS423" i="30"/>
  <c r="DT423" i="30"/>
  <c r="DU423" i="30"/>
  <c r="DV423" i="30"/>
  <c r="DW423" i="30"/>
  <c r="DX423" i="30"/>
  <c r="DY423" i="30"/>
  <c r="DZ423" i="30"/>
  <c r="EA423" i="30"/>
  <c r="EB423" i="30"/>
  <c r="EC423" i="30"/>
  <c r="ED423" i="30"/>
  <c r="EE423" i="30"/>
  <c r="EF423" i="30"/>
  <c r="EG423" i="30"/>
  <c r="EH423" i="30"/>
  <c r="EI423" i="30"/>
  <c r="EJ423" i="30"/>
  <c r="EK423" i="30"/>
  <c r="EL423" i="30"/>
  <c r="EM423" i="30"/>
  <c r="EN423" i="30"/>
  <c r="EO423" i="30"/>
  <c r="EP423" i="30"/>
  <c r="EQ423" i="30"/>
  <c r="ER423" i="30"/>
  <c r="ES423" i="30"/>
  <c r="ET423" i="30"/>
  <c r="EU423" i="30"/>
  <c r="EV423" i="30"/>
  <c r="EW423" i="30"/>
  <c r="EX423" i="30"/>
  <c r="EY423" i="30"/>
  <c r="EZ423" i="30"/>
  <c r="FA423" i="30"/>
  <c r="FB423" i="30"/>
  <c r="FC423" i="30"/>
  <c r="FD423" i="30"/>
  <c r="FE423" i="30"/>
  <c r="FF423" i="30"/>
  <c r="FG423" i="30"/>
  <c r="FH423" i="30"/>
  <c r="FI423" i="30"/>
  <c r="FJ423" i="30"/>
  <c r="FK423" i="30"/>
  <c r="FL423" i="30"/>
  <c r="FM423" i="30"/>
  <c r="FN423" i="30"/>
  <c r="FO423" i="30"/>
  <c r="FP423" i="30"/>
  <c r="FQ423" i="30"/>
  <c r="FR423" i="30"/>
  <c r="FS423" i="30"/>
  <c r="FT423" i="30"/>
  <c r="FU423" i="30"/>
  <c r="FV423" i="30"/>
  <c r="FW423" i="30"/>
  <c r="FX423" i="30"/>
  <c r="FY423" i="30"/>
  <c r="FZ423" i="30"/>
  <c r="GA423" i="30"/>
  <c r="GB423" i="30"/>
  <c r="GC423" i="30"/>
  <c r="GD423" i="30"/>
  <c r="GE423" i="30"/>
  <c r="GF423" i="30"/>
  <c r="GG423" i="30"/>
  <c r="GH423" i="30"/>
  <c r="GI423" i="30"/>
  <c r="GJ423" i="30"/>
  <c r="GK423" i="30"/>
  <c r="GL423" i="30"/>
  <c r="GM423" i="30"/>
  <c r="GN423" i="30"/>
  <c r="GO423" i="30"/>
  <c r="GP423" i="30"/>
  <c r="GQ423" i="30"/>
  <c r="GR423" i="30"/>
  <c r="GS423" i="30"/>
  <c r="GT423" i="30"/>
  <c r="GU423" i="30"/>
  <c r="GV423" i="30"/>
  <c r="GW423" i="30"/>
  <c r="GX423" i="30"/>
  <c r="GY423" i="30"/>
  <c r="GZ423" i="30"/>
  <c r="HA423" i="30"/>
  <c r="HB423" i="30"/>
  <c r="HC423" i="30"/>
  <c r="HD423" i="30"/>
  <c r="HE423" i="30"/>
  <c r="HF423" i="30"/>
  <c r="HG423" i="30"/>
  <c r="HH423" i="30"/>
  <c r="HI423" i="30"/>
  <c r="HJ423" i="30"/>
  <c r="HK423" i="30"/>
  <c r="HL423" i="30"/>
  <c r="HM423" i="30"/>
  <c r="HN423" i="30"/>
  <c r="HO423" i="30"/>
  <c r="HP423" i="30"/>
  <c r="HQ423" i="30"/>
  <c r="HR423" i="30"/>
  <c r="HS423" i="30"/>
  <c r="HT423" i="30"/>
  <c r="HU423" i="30"/>
  <c r="HV423" i="30"/>
  <c r="HW423" i="30"/>
  <c r="HX423" i="30"/>
  <c r="HY423" i="30"/>
  <c r="HZ423" i="30"/>
  <c r="IA423" i="30"/>
  <c r="IB423" i="30"/>
  <c r="IC423" i="30"/>
  <c r="ID423" i="30"/>
  <c r="IE423" i="30"/>
  <c r="IF423" i="30"/>
  <c r="IG423" i="30"/>
  <c r="IH423" i="30"/>
  <c r="II423" i="30"/>
  <c r="IJ423" i="30"/>
  <c r="IK423" i="30"/>
  <c r="IL423" i="30"/>
  <c r="IM423" i="30"/>
  <c r="IN423" i="30"/>
  <c r="IO423" i="30"/>
  <c r="IP423" i="30"/>
  <c r="IQ423" i="30"/>
  <c r="IR423" i="30"/>
  <c r="IS423" i="30"/>
  <c r="IT423" i="30"/>
  <c r="IU423" i="30"/>
  <c r="IV423" i="30"/>
  <c r="A422" i="30"/>
  <c r="B422" i="30"/>
  <c r="C422" i="30"/>
  <c r="D422" i="30"/>
  <c r="E422" i="30"/>
  <c r="F422" i="30"/>
  <c r="G422" i="30"/>
  <c r="H422" i="30"/>
  <c r="I422" i="30"/>
  <c r="J422" i="30"/>
  <c r="K422" i="30"/>
  <c r="L422" i="30"/>
  <c r="M422" i="30"/>
  <c r="N422" i="30"/>
  <c r="O422" i="30"/>
  <c r="P422" i="30"/>
  <c r="Q422" i="30"/>
  <c r="R422" i="30"/>
  <c r="S422" i="30"/>
  <c r="T422" i="30"/>
  <c r="U422" i="30"/>
  <c r="V422" i="30"/>
  <c r="W422" i="30"/>
  <c r="X422" i="30"/>
  <c r="Y422" i="30"/>
  <c r="Z422" i="30"/>
  <c r="AA422" i="30"/>
  <c r="AB422" i="30"/>
  <c r="AC422" i="30"/>
  <c r="AD422" i="30"/>
  <c r="AE422" i="30"/>
  <c r="AF422" i="30"/>
  <c r="AG422" i="30"/>
  <c r="AH422" i="30"/>
  <c r="AI422" i="30"/>
  <c r="AJ422" i="30"/>
  <c r="AK422" i="30"/>
  <c r="AL422" i="30"/>
  <c r="AM422" i="30"/>
  <c r="AN422" i="30"/>
  <c r="AO422" i="30"/>
  <c r="AP422" i="30"/>
  <c r="AQ422" i="30"/>
  <c r="AR422" i="30"/>
  <c r="AS422" i="30"/>
  <c r="AT422" i="30"/>
  <c r="AU422" i="30"/>
  <c r="AV422" i="30"/>
  <c r="AW422" i="30"/>
  <c r="AX422" i="30"/>
  <c r="AY422" i="30"/>
  <c r="AZ422" i="30"/>
  <c r="BA422" i="30"/>
  <c r="BB422" i="30"/>
  <c r="BC422" i="30"/>
  <c r="BD422" i="30"/>
  <c r="BE422" i="30"/>
  <c r="BF422" i="30"/>
  <c r="BG422" i="30"/>
  <c r="BH422" i="30"/>
  <c r="BI422" i="30"/>
  <c r="BJ422" i="30"/>
  <c r="BK422" i="30"/>
  <c r="BL422" i="30"/>
  <c r="BM422" i="30"/>
  <c r="BN422" i="30"/>
  <c r="BO422" i="30"/>
  <c r="BP422" i="30"/>
  <c r="BQ422" i="30"/>
  <c r="BR422" i="30"/>
  <c r="BS422" i="30"/>
  <c r="BT422" i="30"/>
  <c r="BU422" i="30"/>
  <c r="BV422" i="30"/>
  <c r="BW422" i="30"/>
  <c r="BX422" i="30"/>
  <c r="BY422" i="30"/>
  <c r="BZ422" i="30"/>
  <c r="CA422" i="30"/>
  <c r="CB422" i="30"/>
  <c r="CC422" i="30"/>
  <c r="CD422" i="30"/>
  <c r="CE422" i="30"/>
  <c r="CF422" i="30"/>
  <c r="CG422" i="30"/>
  <c r="CH422" i="30"/>
  <c r="CI422" i="30"/>
  <c r="CJ422" i="30"/>
  <c r="CK422" i="30"/>
  <c r="CL422" i="30"/>
  <c r="CM422" i="30"/>
  <c r="CN422" i="30"/>
  <c r="CO422" i="30"/>
  <c r="CP422" i="30"/>
  <c r="CQ422" i="30"/>
  <c r="CR422" i="30"/>
  <c r="CS422" i="30"/>
  <c r="CT422" i="30"/>
  <c r="CU422" i="30"/>
  <c r="CV422" i="30"/>
  <c r="CW422" i="30"/>
  <c r="CX422" i="30"/>
  <c r="CY422" i="30"/>
  <c r="CZ422" i="30"/>
  <c r="DA422" i="30"/>
  <c r="DB422" i="30"/>
  <c r="DC422" i="30"/>
  <c r="DD422" i="30"/>
  <c r="DE422" i="30"/>
  <c r="DF422" i="30"/>
  <c r="DG422" i="30"/>
  <c r="DH422" i="30"/>
  <c r="DI422" i="30"/>
  <c r="DJ422" i="30"/>
  <c r="DK422" i="30"/>
  <c r="DL422" i="30"/>
  <c r="DM422" i="30"/>
  <c r="DN422" i="30"/>
  <c r="DO422" i="30"/>
  <c r="DP422" i="30"/>
  <c r="DQ422" i="30"/>
  <c r="DR422" i="30"/>
  <c r="DS422" i="30"/>
  <c r="DT422" i="30"/>
  <c r="DU422" i="30"/>
  <c r="DV422" i="30"/>
  <c r="DW422" i="30"/>
  <c r="DX422" i="30"/>
  <c r="DY422" i="30"/>
  <c r="DZ422" i="30"/>
  <c r="EA422" i="30"/>
  <c r="EB422" i="30"/>
  <c r="EC422" i="30"/>
  <c r="ED422" i="30"/>
  <c r="EE422" i="30"/>
  <c r="EF422" i="30"/>
  <c r="EG422" i="30"/>
  <c r="EH422" i="30"/>
  <c r="EI422" i="30"/>
  <c r="EJ422" i="30"/>
  <c r="EK422" i="30"/>
  <c r="EL422" i="30"/>
  <c r="EM422" i="30"/>
  <c r="EN422" i="30"/>
  <c r="EO422" i="30"/>
  <c r="EP422" i="30"/>
  <c r="EQ422" i="30"/>
  <c r="ER422" i="30"/>
  <c r="ES422" i="30"/>
  <c r="ET422" i="30"/>
  <c r="EU422" i="30"/>
  <c r="EV422" i="30"/>
  <c r="EW422" i="30"/>
  <c r="EX422" i="30"/>
  <c r="EY422" i="30"/>
  <c r="EZ422" i="30"/>
  <c r="FA422" i="30"/>
  <c r="FB422" i="30"/>
  <c r="FC422" i="30"/>
  <c r="FD422" i="30"/>
  <c r="FE422" i="30"/>
  <c r="FF422" i="30"/>
  <c r="FG422" i="30"/>
  <c r="FH422" i="30"/>
  <c r="FI422" i="30"/>
  <c r="FJ422" i="30"/>
  <c r="FK422" i="30"/>
  <c r="FL422" i="30"/>
  <c r="FM422" i="30"/>
  <c r="FN422" i="30"/>
  <c r="FO422" i="30"/>
  <c r="FP422" i="30"/>
  <c r="FQ422" i="30"/>
  <c r="FR422" i="30"/>
  <c r="FS422" i="30"/>
  <c r="FT422" i="30"/>
  <c r="FU422" i="30"/>
  <c r="FV422" i="30"/>
  <c r="FW422" i="30"/>
  <c r="FX422" i="30"/>
  <c r="FY422" i="30"/>
  <c r="FZ422" i="30"/>
  <c r="GA422" i="30"/>
  <c r="GB422" i="30"/>
  <c r="GC422" i="30"/>
  <c r="GD422" i="30"/>
  <c r="GE422" i="30"/>
  <c r="GF422" i="30"/>
  <c r="GG422" i="30"/>
  <c r="GH422" i="30"/>
  <c r="GI422" i="30"/>
  <c r="GJ422" i="30"/>
  <c r="GK422" i="30"/>
  <c r="GL422" i="30"/>
  <c r="GM422" i="30"/>
  <c r="GN422" i="30"/>
  <c r="GO422" i="30"/>
  <c r="GP422" i="30"/>
  <c r="GQ422" i="30"/>
  <c r="GR422" i="30"/>
  <c r="GS422" i="30"/>
  <c r="GT422" i="30"/>
  <c r="GU422" i="30"/>
  <c r="GV422" i="30"/>
  <c r="GW422" i="30"/>
  <c r="GX422" i="30"/>
  <c r="GY422" i="30"/>
  <c r="GZ422" i="30"/>
  <c r="HA422" i="30"/>
  <c r="HB422" i="30"/>
  <c r="HC422" i="30"/>
  <c r="HD422" i="30"/>
  <c r="HE422" i="30"/>
  <c r="HF422" i="30"/>
  <c r="HG422" i="30"/>
  <c r="HH422" i="30"/>
  <c r="HI422" i="30"/>
  <c r="HJ422" i="30"/>
  <c r="HK422" i="30"/>
  <c r="HL422" i="30"/>
  <c r="HM422" i="30"/>
  <c r="HN422" i="30"/>
  <c r="HO422" i="30"/>
  <c r="HP422" i="30"/>
  <c r="HQ422" i="30"/>
  <c r="HR422" i="30"/>
  <c r="HS422" i="30"/>
  <c r="HT422" i="30"/>
  <c r="HU422" i="30"/>
  <c r="HV422" i="30"/>
  <c r="HW422" i="30"/>
  <c r="HX422" i="30"/>
  <c r="HY422" i="30"/>
  <c r="HZ422" i="30"/>
  <c r="IA422" i="30"/>
  <c r="IB422" i="30"/>
  <c r="IC422" i="30"/>
  <c r="ID422" i="30"/>
  <c r="IE422" i="30"/>
  <c r="IF422" i="30"/>
  <c r="IG422" i="30"/>
  <c r="IH422" i="30"/>
  <c r="II422" i="30"/>
  <c r="IJ422" i="30"/>
  <c r="IK422" i="30"/>
  <c r="IL422" i="30"/>
  <c r="IM422" i="30"/>
  <c r="IN422" i="30"/>
  <c r="IO422" i="30"/>
  <c r="IP422" i="30"/>
  <c r="IQ422" i="30"/>
  <c r="IR422" i="30"/>
  <c r="IS422" i="30"/>
  <c r="IT422" i="30"/>
  <c r="IU422" i="30"/>
  <c r="IV422" i="30"/>
  <c r="A421" i="30"/>
  <c r="B421" i="30"/>
  <c r="C421" i="30"/>
  <c r="D421" i="30"/>
  <c r="E421" i="30"/>
  <c r="F421" i="30"/>
  <c r="G421" i="30"/>
  <c r="H421" i="30"/>
  <c r="I421" i="30"/>
  <c r="J421" i="30"/>
  <c r="K421" i="30"/>
  <c r="L421" i="30"/>
  <c r="M421" i="30"/>
  <c r="N421" i="30"/>
  <c r="O421" i="30"/>
  <c r="P421" i="30"/>
  <c r="Q421" i="30"/>
  <c r="R421" i="30"/>
  <c r="S421" i="30"/>
  <c r="T421" i="30"/>
  <c r="U421" i="30"/>
  <c r="V421" i="30"/>
  <c r="W421" i="30"/>
  <c r="X421" i="30"/>
  <c r="Y421" i="30"/>
  <c r="Z421" i="30"/>
  <c r="AA421" i="30"/>
  <c r="AB421" i="30"/>
  <c r="AC421" i="30"/>
  <c r="AD421" i="30"/>
  <c r="AE421" i="30"/>
  <c r="AF421" i="30"/>
  <c r="AG421" i="30"/>
  <c r="AH421" i="30"/>
  <c r="AI421" i="30"/>
  <c r="AJ421" i="30"/>
  <c r="AK421" i="30"/>
  <c r="AL421" i="30"/>
  <c r="AM421" i="30"/>
  <c r="AN421" i="30"/>
  <c r="AO421" i="30"/>
  <c r="AP421" i="30"/>
  <c r="AQ421" i="30"/>
  <c r="AR421" i="30"/>
  <c r="AS421" i="30"/>
  <c r="AT421" i="30"/>
  <c r="AU421" i="30"/>
  <c r="AV421" i="30"/>
  <c r="AW421" i="30"/>
  <c r="AX421" i="30"/>
  <c r="AY421" i="30"/>
  <c r="AZ421" i="30"/>
  <c r="BA421" i="30"/>
  <c r="BB421" i="30"/>
  <c r="BC421" i="30"/>
  <c r="BD421" i="30"/>
  <c r="BE421" i="30"/>
  <c r="BF421" i="30"/>
  <c r="BG421" i="30"/>
  <c r="BH421" i="30"/>
  <c r="BI421" i="30"/>
  <c r="BJ421" i="30"/>
  <c r="BK421" i="30"/>
  <c r="BL421" i="30"/>
  <c r="BM421" i="30"/>
  <c r="BN421" i="30"/>
  <c r="BO421" i="30"/>
  <c r="BP421" i="30"/>
  <c r="BQ421" i="30"/>
  <c r="BR421" i="30"/>
  <c r="BS421" i="30"/>
  <c r="BT421" i="30"/>
  <c r="BU421" i="30"/>
  <c r="BV421" i="30"/>
  <c r="BW421" i="30"/>
  <c r="BX421" i="30"/>
  <c r="BY421" i="30"/>
  <c r="BZ421" i="30"/>
  <c r="CA421" i="30"/>
  <c r="CB421" i="30"/>
  <c r="CC421" i="30"/>
  <c r="CD421" i="30"/>
  <c r="CE421" i="30"/>
  <c r="CF421" i="30"/>
  <c r="CG421" i="30"/>
  <c r="CH421" i="30"/>
  <c r="CI421" i="30"/>
  <c r="CJ421" i="30"/>
  <c r="CK421" i="30"/>
  <c r="CL421" i="30"/>
  <c r="CM421" i="30"/>
  <c r="CN421" i="30"/>
  <c r="CO421" i="30"/>
  <c r="CP421" i="30"/>
  <c r="CQ421" i="30"/>
  <c r="CR421" i="30"/>
  <c r="CS421" i="30"/>
  <c r="CT421" i="30"/>
  <c r="CU421" i="30"/>
  <c r="CV421" i="30"/>
  <c r="CW421" i="30"/>
  <c r="CX421" i="30"/>
  <c r="CY421" i="30"/>
  <c r="CZ421" i="30"/>
  <c r="DA421" i="30"/>
  <c r="DB421" i="30"/>
  <c r="DC421" i="30"/>
  <c r="DD421" i="30"/>
  <c r="DE421" i="30"/>
  <c r="DF421" i="30"/>
  <c r="DG421" i="30"/>
  <c r="DH421" i="30"/>
  <c r="DI421" i="30"/>
  <c r="DJ421" i="30"/>
  <c r="DK421" i="30"/>
  <c r="DL421" i="30"/>
  <c r="DM421" i="30"/>
  <c r="DN421" i="30"/>
  <c r="DO421" i="30"/>
  <c r="DP421" i="30"/>
  <c r="DQ421" i="30"/>
  <c r="DR421" i="30"/>
  <c r="DS421" i="30"/>
  <c r="DT421" i="30"/>
  <c r="DU421" i="30"/>
  <c r="DV421" i="30"/>
  <c r="DW421" i="30"/>
  <c r="DX421" i="30"/>
  <c r="DY421" i="30"/>
  <c r="DZ421" i="30"/>
  <c r="EA421" i="30"/>
  <c r="EB421" i="30"/>
  <c r="EC421" i="30"/>
  <c r="ED421" i="30"/>
  <c r="EE421" i="30"/>
  <c r="EF421" i="30"/>
  <c r="EG421" i="30"/>
  <c r="EH421" i="30"/>
  <c r="EI421" i="30"/>
  <c r="EJ421" i="30"/>
  <c r="EK421" i="30"/>
  <c r="EL421" i="30"/>
  <c r="EM421" i="30"/>
  <c r="EN421" i="30"/>
  <c r="EO421" i="30"/>
  <c r="EP421" i="30"/>
  <c r="EQ421" i="30"/>
  <c r="ER421" i="30"/>
  <c r="ES421" i="30"/>
  <c r="ET421" i="30"/>
  <c r="EU421" i="30"/>
  <c r="EV421" i="30"/>
  <c r="EW421" i="30"/>
  <c r="EX421" i="30"/>
  <c r="EY421" i="30"/>
  <c r="EZ421" i="30"/>
  <c r="FA421" i="30"/>
  <c r="FB421" i="30"/>
  <c r="FC421" i="30"/>
  <c r="FD421" i="30"/>
  <c r="FE421" i="30"/>
  <c r="FF421" i="30"/>
  <c r="FG421" i="30"/>
  <c r="FH421" i="30"/>
  <c r="FI421" i="30"/>
  <c r="FJ421" i="30"/>
  <c r="FK421" i="30"/>
  <c r="FL421" i="30"/>
  <c r="FM421" i="30"/>
  <c r="FN421" i="30"/>
  <c r="FO421" i="30"/>
  <c r="FP421" i="30"/>
  <c r="FQ421" i="30"/>
  <c r="FR421" i="30"/>
  <c r="FS421" i="30"/>
  <c r="FT421" i="30"/>
  <c r="FU421" i="30"/>
  <c r="FV421" i="30"/>
  <c r="FW421" i="30"/>
  <c r="FX421" i="30"/>
  <c r="FY421" i="30"/>
  <c r="FZ421" i="30"/>
  <c r="GA421" i="30"/>
  <c r="GB421" i="30"/>
  <c r="GC421" i="30"/>
  <c r="GD421" i="30"/>
  <c r="GE421" i="30"/>
  <c r="GF421" i="30"/>
  <c r="GG421" i="30"/>
  <c r="GH421" i="30"/>
  <c r="GI421" i="30"/>
  <c r="GJ421" i="30"/>
  <c r="GK421" i="30"/>
  <c r="GL421" i="30"/>
  <c r="GM421" i="30"/>
  <c r="GN421" i="30"/>
  <c r="GO421" i="30"/>
  <c r="GP421" i="30"/>
  <c r="GQ421" i="30"/>
  <c r="GR421" i="30"/>
  <c r="GS421" i="30"/>
  <c r="GT421" i="30"/>
  <c r="GU421" i="30"/>
  <c r="GV421" i="30"/>
  <c r="GW421" i="30"/>
  <c r="GX421" i="30"/>
  <c r="GY421" i="30"/>
  <c r="GZ421" i="30"/>
  <c r="HA421" i="30"/>
  <c r="HB421" i="30"/>
  <c r="HC421" i="30"/>
  <c r="HD421" i="30"/>
  <c r="HE421" i="30"/>
  <c r="HF421" i="30"/>
  <c r="HG421" i="30"/>
  <c r="HH421" i="30"/>
  <c r="HI421" i="30"/>
  <c r="HJ421" i="30"/>
  <c r="HK421" i="30"/>
  <c r="HL421" i="30"/>
  <c r="HM421" i="30"/>
  <c r="HN421" i="30"/>
  <c r="HO421" i="30"/>
  <c r="HP421" i="30"/>
  <c r="HQ421" i="30"/>
  <c r="HR421" i="30"/>
  <c r="HS421" i="30"/>
  <c r="HT421" i="30"/>
  <c r="HU421" i="30"/>
  <c r="HV421" i="30"/>
  <c r="HW421" i="30"/>
  <c r="HX421" i="30"/>
  <c r="HY421" i="30"/>
  <c r="HZ421" i="30"/>
  <c r="IA421" i="30"/>
  <c r="IB421" i="30"/>
  <c r="IC421" i="30"/>
  <c r="ID421" i="30"/>
  <c r="IE421" i="30"/>
  <c r="IF421" i="30"/>
  <c r="IG421" i="30"/>
  <c r="IH421" i="30"/>
  <c r="II421" i="30"/>
  <c r="IJ421" i="30"/>
  <c r="IK421" i="30"/>
  <c r="IL421" i="30"/>
  <c r="IM421" i="30"/>
  <c r="IN421" i="30"/>
  <c r="IO421" i="30"/>
  <c r="IP421" i="30"/>
  <c r="IQ421" i="30"/>
  <c r="IR421" i="30"/>
  <c r="IS421" i="30"/>
  <c r="IT421" i="30"/>
  <c r="IU421" i="30"/>
  <c r="IV421" i="30"/>
  <c r="A420" i="30"/>
  <c r="B420" i="30"/>
  <c r="C420" i="30"/>
  <c r="D420" i="30"/>
  <c r="E420" i="30"/>
  <c r="F420" i="30"/>
  <c r="G420" i="30"/>
  <c r="H420" i="30"/>
  <c r="I420" i="30"/>
  <c r="J420" i="30"/>
  <c r="K420" i="30"/>
  <c r="L420" i="30"/>
  <c r="M420" i="30"/>
  <c r="N420" i="30"/>
  <c r="O420" i="30"/>
  <c r="P420" i="30"/>
  <c r="Q420" i="30"/>
  <c r="R420" i="30"/>
  <c r="S420" i="30"/>
  <c r="T420" i="30"/>
  <c r="U420" i="30"/>
  <c r="V420" i="30"/>
  <c r="W420" i="30"/>
  <c r="X420" i="30"/>
  <c r="Y420" i="30"/>
  <c r="Z420" i="30"/>
  <c r="AA420" i="30"/>
  <c r="AB420" i="30"/>
  <c r="AC420" i="30"/>
  <c r="AD420" i="30"/>
  <c r="AE420" i="30"/>
  <c r="AF420" i="30"/>
  <c r="AG420" i="30"/>
  <c r="AH420" i="30"/>
  <c r="AI420" i="30"/>
  <c r="AJ420" i="30"/>
  <c r="AK420" i="30"/>
  <c r="AL420" i="30"/>
  <c r="AM420" i="30"/>
  <c r="AN420" i="30"/>
  <c r="AO420" i="30"/>
  <c r="AP420" i="30"/>
  <c r="AQ420" i="30"/>
  <c r="AR420" i="30"/>
  <c r="AS420" i="30"/>
  <c r="AT420" i="30"/>
  <c r="AU420" i="30"/>
  <c r="AV420" i="30"/>
  <c r="AW420" i="30"/>
  <c r="AX420" i="30"/>
  <c r="AY420" i="30"/>
  <c r="AZ420" i="30"/>
  <c r="BA420" i="30"/>
  <c r="BB420" i="30"/>
  <c r="BC420" i="30"/>
  <c r="BD420" i="30"/>
  <c r="BE420" i="30"/>
  <c r="BF420" i="30"/>
  <c r="BG420" i="30"/>
  <c r="BH420" i="30"/>
  <c r="BI420" i="30"/>
  <c r="BJ420" i="30"/>
  <c r="BK420" i="30"/>
  <c r="BL420" i="30"/>
  <c r="BM420" i="30"/>
  <c r="BN420" i="30"/>
  <c r="BO420" i="30"/>
  <c r="BP420" i="30"/>
  <c r="BQ420" i="30"/>
  <c r="BR420" i="30"/>
  <c r="BS420" i="30"/>
  <c r="BT420" i="30"/>
  <c r="BU420" i="30"/>
  <c r="BV420" i="30"/>
  <c r="BW420" i="30"/>
  <c r="BX420" i="30"/>
  <c r="BY420" i="30"/>
  <c r="BZ420" i="30"/>
  <c r="CA420" i="30"/>
  <c r="CB420" i="30"/>
  <c r="CC420" i="30"/>
  <c r="CD420" i="30"/>
  <c r="CE420" i="30"/>
  <c r="CF420" i="30"/>
  <c r="CG420" i="30"/>
  <c r="CH420" i="30"/>
  <c r="CI420" i="30"/>
  <c r="CJ420" i="30"/>
  <c r="CK420" i="30"/>
  <c r="CL420" i="30"/>
  <c r="CM420" i="30"/>
  <c r="CN420" i="30"/>
  <c r="CO420" i="30"/>
  <c r="CP420" i="30"/>
  <c r="CQ420" i="30"/>
  <c r="CR420" i="30"/>
  <c r="CS420" i="30"/>
  <c r="CT420" i="30"/>
  <c r="CU420" i="30"/>
  <c r="CV420" i="30"/>
  <c r="CW420" i="30"/>
  <c r="CX420" i="30"/>
  <c r="CY420" i="30"/>
  <c r="CZ420" i="30"/>
  <c r="DA420" i="30"/>
  <c r="DB420" i="30"/>
  <c r="DC420" i="30"/>
  <c r="DD420" i="30"/>
  <c r="DE420" i="30"/>
  <c r="DF420" i="30"/>
  <c r="DG420" i="30"/>
  <c r="DH420" i="30"/>
  <c r="DI420" i="30"/>
  <c r="DJ420" i="30"/>
  <c r="DK420" i="30"/>
  <c r="DL420" i="30"/>
  <c r="DM420" i="30"/>
  <c r="DN420" i="30"/>
  <c r="DO420" i="30"/>
  <c r="DP420" i="30"/>
  <c r="DQ420" i="30"/>
  <c r="DR420" i="30"/>
  <c r="DS420" i="30"/>
  <c r="DT420" i="30"/>
  <c r="DU420" i="30"/>
  <c r="DV420" i="30"/>
  <c r="DW420" i="30"/>
  <c r="DX420" i="30"/>
  <c r="DY420" i="30"/>
  <c r="DZ420" i="30"/>
  <c r="EA420" i="30"/>
  <c r="EB420" i="30"/>
  <c r="EC420" i="30"/>
  <c r="ED420" i="30"/>
  <c r="EE420" i="30"/>
  <c r="EF420" i="30"/>
  <c r="EG420" i="30"/>
  <c r="EH420" i="30"/>
  <c r="EI420" i="30"/>
  <c r="EJ420" i="30"/>
  <c r="EK420" i="30"/>
  <c r="EL420" i="30"/>
  <c r="EM420" i="30"/>
  <c r="EN420" i="30"/>
  <c r="EO420" i="30"/>
  <c r="EP420" i="30"/>
  <c r="EQ420" i="30"/>
  <c r="ER420" i="30"/>
  <c r="ES420" i="30"/>
  <c r="ET420" i="30"/>
  <c r="EU420" i="30"/>
  <c r="EV420" i="30"/>
  <c r="EW420" i="30"/>
  <c r="EX420" i="30"/>
  <c r="EY420" i="30"/>
  <c r="EZ420" i="30"/>
  <c r="FA420" i="30"/>
  <c r="FB420" i="30"/>
  <c r="FC420" i="30"/>
  <c r="FD420" i="30"/>
  <c r="FE420" i="30"/>
  <c r="FF420" i="30"/>
  <c r="FG420" i="30"/>
  <c r="FH420" i="30"/>
  <c r="FI420" i="30"/>
  <c r="FJ420" i="30"/>
  <c r="FK420" i="30"/>
  <c r="FL420" i="30"/>
  <c r="FM420" i="30"/>
  <c r="FN420" i="30"/>
  <c r="FO420" i="30"/>
  <c r="FP420" i="30"/>
  <c r="FQ420" i="30"/>
  <c r="FR420" i="30"/>
  <c r="FS420" i="30"/>
  <c r="FT420" i="30"/>
  <c r="FU420" i="30"/>
  <c r="FV420" i="30"/>
  <c r="FW420" i="30"/>
  <c r="FX420" i="30"/>
  <c r="FY420" i="30"/>
  <c r="FZ420" i="30"/>
  <c r="GA420" i="30"/>
  <c r="GB420" i="30"/>
  <c r="GC420" i="30"/>
  <c r="GD420" i="30"/>
  <c r="GE420" i="30"/>
  <c r="GF420" i="30"/>
  <c r="GG420" i="30"/>
  <c r="GH420" i="30"/>
  <c r="GI420" i="30"/>
  <c r="GJ420" i="30"/>
  <c r="GK420" i="30"/>
  <c r="GL420" i="30"/>
  <c r="GM420" i="30"/>
  <c r="GN420" i="30"/>
  <c r="GO420" i="30"/>
  <c r="GP420" i="30"/>
  <c r="GQ420" i="30"/>
  <c r="GR420" i="30"/>
  <c r="GS420" i="30"/>
  <c r="GT420" i="30"/>
  <c r="GU420" i="30"/>
  <c r="GV420" i="30"/>
  <c r="GW420" i="30"/>
  <c r="GX420" i="30"/>
  <c r="GY420" i="30"/>
  <c r="GZ420" i="30"/>
  <c r="HA420" i="30"/>
  <c r="HB420" i="30"/>
  <c r="HC420" i="30"/>
  <c r="HD420" i="30"/>
  <c r="HE420" i="30"/>
  <c r="HF420" i="30"/>
  <c r="HG420" i="30"/>
  <c r="HH420" i="30"/>
  <c r="HI420" i="30"/>
  <c r="HJ420" i="30"/>
  <c r="HK420" i="30"/>
  <c r="HL420" i="30"/>
  <c r="HM420" i="30"/>
  <c r="HN420" i="30"/>
  <c r="HO420" i="30"/>
  <c r="HP420" i="30"/>
  <c r="HQ420" i="30"/>
  <c r="HR420" i="30"/>
  <c r="HS420" i="30"/>
  <c r="HT420" i="30"/>
  <c r="HU420" i="30"/>
  <c r="HV420" i="30"/>
  <c r="HW420" i="30"/>
  <c r="HX420" i="30"/>
  <c r="HY420" i="30"/>
  <c r="HZ420" i="30"/>
  <c r="IA420" i="30"/>
  <c r="IB420" i="30"/>
  <c r="IC420" i="30"/>
  <c r="ID420" i="30"/>
  <c r="IE420" i="30"/>
  <c r="IF420" i="30"/>
  <c r="IG420" i="30"/>
  <c r="IH420" i="30"/>
  <c r="II420" i="30"/>
  <c r="IJ420" i="30"/>
  <c r="IK420" i="30"/>
  <c r="IL420" i="30"/>
  <c r="IM420" i="30"/>
  <c r="IN420" i="30"/>
  <c r="IO420" i="30"/>
  <c r="IP420" i="30"/>
  <c r="IQ420" i="30"/>
  <c r="IR420" i="30"/>
  <c r="IS420" i="30"/>
  <c r="IT420" i="30"/>
  <c r="IU420" i="30"/>
  <c r="IV420" i="30"/>
  <c r="A419" i="30"/>
  <c r="B419" i="30"/>
  <c r="C419" i="30"/>
  <c r="D419" i="30"/>
  <c r="E419" i="30"/>
  <c r="F419" i="30"/>
  <c r="G419" i="30"/>
  <c r="H419" i="30"/>
  <c r="I419" i="30"/>
  <c r="J419" i="30"/>
  <c r="K419" i="30"/>
  <c r="L419" i="30"/>
  <c r="M419" i="30"/>
  <c r="N419" i="30"/>
  <c r="O419" i="30"/>
  <c r="P419" i="30"/>
  <c r="Q419" i="30"/>
  <c r="R419" i="30"/>
  <c r="S419" i="30"/>
  <c r="T419" i="30"/>
  <c r="U419" i="30"/>
  <c r="V419" i="30"/>
  <c r="W419" i="30"/>
  <c r="X419" i="30"/>
  <c r="Y419" i="30"/>
  <c r="Z419" i="30"/>
  <c r="AA419" i="30"/>
  <c r="AB419" i="30"/>
  <c r="AC419" i="30"/>
  <c r="AD419" i="30"/>
  <c r="AE419" i="30"/>
  <c r="AF419" i="30"/>
  <c r="AG419" i="30"/>
  <c r="AH419" i="30"/>
  <c r="AI419" i="30"/>
  <c r="AJ419" i="30"/>
  <c r="AK419" i="30"/>
  <c r="AL419" i="30"/>
  <c r="AM419" i="30"/>
  <c r="AN419" i="30"/>
  <c r="AO419" i="30"/>
  <c r="AP419" i="30"/>
  <c r="AQ419" i="30"/>
  <c r="AR419" i="30"/>
  <c r="AS419" i="30"/>
  <c r="AT419" i="30"/>
  <c r="AU419" i="30"/>
  <c r="AV419" i="30"/>
  <c r="AW419" i="30"/>
  <c r="AX419" i="30"/>
  <c r="AY419" i="30"/>
  <c r="AZ419" i="30"/>
  <c r="BA419" i="30"/>
  <c r="BB419" i="30"/>
  <c r="BC419" i="30"/>
  <c r="BD419" i="30"/>
  <c r="BE419" i="30"/>
  <c r="BF419" i="30"/>
  <c r="BG419" i="30"/>
  <c r="BH419" i="30"/>
  <c r="BI419" i="30"/>
  <c r="BJ419" i="30"/>
  <c r="BK419" i="30"/>
  <c r="BL419" i="30"/>
  <c r="BM419" i="30"/>
  <c r="BN419" i="30"/>
  <c r="BO419" i="30"/>
  <c r="BP419" i="30"/>
  <c r="BQ419" i="30"/>
  <c r="BR419" i="30"/>
  <c r="BS419" i="30"/>
  <c r="BT419" i="30"/>
  <c r="BU419" i="30"/>
  <c r="BV419" i="30"/>
  <c r="BW419" i="30"/>
  <c r="BX419" i="30"/>
  <c r="BY419" i="30"/>
  <c r="BZ419" i="30"/>
  <c r="CA419" i="30"/>
  <c r="CB419" i="30"/>
  <c r="CC419" i="30"/>
  <c r="CD419" i="30"/>
  <c r="CE419" i="30"/>
  <c r="CF419" i="30"/>
  <c r="CG419" i="30"/>
  <c r="CH419" i="30"/>
  <c r="CI419" i="30"/>
  <c r="CJ419" i="30"/>
  <c r="CK419" i="30"/>
  <c r="CL419" i="30"/>
  <c r="CM419" i="30"/>
  <c r="CN419" i="30"/>
  <c r="CO419" i="30"/>
  <c r="CP419" i="30"/>
  <c r="CQ419" i="30"/>
  <c r="CR419" i="30"/>
  <c r="CS419" i="30"/>
  <c r="CT419" i="30"/>
  <c r="CU419" i="30"/>
  <c r="CV419" i="30"/>
  <c r="CW419" i="30"/>
  <c r="CX419" i="30"/>
  <c r="CY419" i="30"/>
  <c r="CZ419" i="30"/>
  <c r="DA419" i="30"/>
  <c r="DB419" i="30"/>
  <c r="DC419" i="30"/>
  <c r="DD419" i="30"/>
  <c r="DE419" i="30"/>
  <c r="DF419" i="30"/>
  <c r="DG419" i="30"/>
  <c r="DH419" i="30"/>
  <c r="DI419" i="30"/>
  <c r="DJ419" i="30"/>
  <c r="DK419" i="30"/>
  <c r="DL419" i="30"/>
  <c r="DM419" i="30"/>
  <c r="DN419" i="30"/>
  <c r="DO419" i="30"/>
  <c r="DP419" i="30"/>
  <c r="DQ419" i="30"/>
  <c r="DR419" i="30"/>
  <c r="DS419" i="30"/>
  <c r="DT419" i="30"/>
  <c r="DU419" i="30"/>
  <c r="DV419" i="30"/>
  <c r="DW419" i="30"/>
  <c r="DX419" i="30"/>
  <c r="DY419" i="30"/>
  <c r="DZ419" i="30"/>
  <c r="EA419" i="30"/>
  <c r="EB419" i="30"/>
  <c r="EC419" i="30"/>
  <c r="ED419" i="30"/>
  <c r="EE419" i="30"/>
  <c r="EF419" i="30"/>
  <c r="EG419" i="30"/>
  <c r="EH419" i="30"/>
  <c r="EI419" i="30"/>
  <c r="EJ419" i="30"/>
  <c r="EK419" i="30"/>
  <c r="EL419" i="30"/>
  <c r="EM419" i="30"/>
  <c r="EN419" i="30"/>
  <c r="EO419" i="30"/>
  <c r="EP419" i="30"/>
  <c r="EQ419" i="30"/>
  <c r="ER419" i="30"/>
  <c r="ES419" i="30"/>
  <c r="ET419" i="30"/>
  <c r="EU419" i="30"/>
  <c r="EV419" i="30"/>
  <c r="EW419" i="30"/>
  <c r="EX419" i="30"/>
  <c r="EY419" i="30"/>
  <c r="EZ419" i="30"/>
  <c r="FA419" i="30"/>
  <c r="FB419" i="30"/>
  <c r="FC419" i="30"/>
  <c r="FD419" i="30"/>
  <c r="FE419" i="30"/>
  <c r="FF419" i="30"/>
  <c r="FG419" i="30"/>
  <c r="FH419" i="30"/>
  <c r="FI419" i="30"/>
  <c r="FJ419" i="30"/>
  <c r="FK419" i="30"/>
  <c r="FL419" i="30"/>
  <c r="FM419" i="30"/>
  <c r="FN419" i="30"/>
  <c r="FO419" i="30"/>
  <c r="FP419" i="30"/>
  <c r="FQ419" i="30"/>
  <c r="FR419" i="30"/>
  <c r="FS419" i="30"/>
  <c r="FT419" i="30"/>
  <c r="FU419" i="30"/>
  <c r="FV419" i="30"/>
  <c r="FW419" i="30"/>
  <c r="FX419" i="30"/>
  <c r="FY419" i="30"/>
  <c r="FZ419" i="30"/>
  <c r="GA419" i="30"/>
  <c r="GB419" i="30"/>
  <c r="GC419" i="30"/>
  <c r="GD419" i="30"/>
  <c r="GE419" i="30"/>
  <c r="GF419" i="30"/>
  <c r="GG419" i="30"/>
  <c r="GH419" i="30"/>
  <c r="GI419" i="30"/>
  <c r="GJ419" i="30"/>
  <c r="GK419" i="30"/>
  <c r="GL419" i="30"/>
  <c r="GM419" i="30"/>
  <c r="GN419" i="30"/>
  <c r="GO419" i="30"/>
  <c r="GP419" i="30"/>
  <c r="GQ419" i="30"/>
  <c r="GR419" i="30"/>
  <c r="GS419" i="30"/>
  <c r="GT419" i="30"/>
  <c r="GU419" i="30"/>
  <c r="GV419" i="30"/>
  <c r="GW419" i="30"/>
  <c r="GX419" i="30"/>
  <c r="GY419" i="30"/>
  <c r="GZ419" i="30"/>
  <c r="HA419" i="30"/>
  <c r="HB419" i="30"/>
  <c r="HC419" i="30"/>
  <c r="HD419" i="30"/>
  <c r="HE419" i="30"/>
  <c r="HF419" i="30"/>
  <c r="HG419" i="30"/>
  <c r="HH419" i="30"/>
  <c r="HI419" i="30"/>
  <c r="HJ419" i="30"/>
  <c r="HK419" i="30"/>
  <c r="HL419" i="30"/>
  <c r="HM419" i="30"/>
  <c r="HN419" i="30"/>
  <c r="HO419" i="30"/>
  <c r="HP419" i="30"/>
  <c r="HQ419" i="30"/>
  <c r="HR419" i="30"/>
  <c r="HS419" i="30"/>
  <c r="HT419" i="30"/>
  <c r="HU419" i="30"/>
  <c r="HV419" i="30"/>
  <c r="HW419" i="30"/>
  <c r="HX419" i="30"/>
  <c r="HY419" i="30"/>
  <c r="HZ419" i="30"/>
  <c r="IA419" i="30"/>
  <c r="IB419" i="30"/>
  <c r="IC419" i="30"/>
  <c r="ID419" i="30"/>
  <c r="IE419" i="30"/>
  <c r="IF419" i="30"/>
  <c r="IG419" i="30"/>
  <c r="IH419" i="30"/>
  <c r="II419" i="30"/>
  <c r="IJ419" i="30"/>
  <c r="IK419" i="30"/>
  <c r="IL419" i="30"/>
  <c r="IM419" i="30"/>
  <c r="IN419" i="30"/>
  <c r="IO419" i="30"/>
  <c r="IP419" i="30"/>
  <c r="IQ419" i="30"/>
  <c r="IR419" i="30"/>
  <c r="IS419" i="30"/>
  <c r="IT419" i="30"/>
  <c r="IU419" i="30"/>
  <c r="IV419" i="30"/>
  <c r="A418" i="30"/>
  <c r="B418" i="30"/>
  <c r="C418" i="30"/>
  <c r="D418" i="30"/>
  <c r="E418" i="30"/>
  <c r="F418" i="30"/>
  <c r="G418" i="30"/>
  <c r="H418" i="30"/>
  <c r="I418" i="30"/>
  <c r="J418" i="30"/>
  <c r="K418" i="30"/>
  <c r="L418" i="30"/>
  <c r="M418" i="30"/>
  <c r="N418" i="30"/>
  <c r="O418" i="30"/>
  <c r="P418" i="30"/>
  <c r="Q418" i="30"/>
  <c r="R418" i="30"/>
  <c r="S418" i="30"/>
  <c r="T418" i="30"/>
  <c r="U418" i="30"/>
  <c r="V418" i="30"/>
  <c r="W418" i="30"/>
  <c r="X418" i="30"/>
  <c r="Y418" i="30"/>
  <c r="Z418" i="30"/>
  <c r="AA418" i="30"/>
  <c r="AB418" i="30"/>
  <c r="AC418" i="30"/>
  <c r="AD418" i="30"/>
  <c r="AE418" i="30"/>
  <c r="AF418" i="30"/>
  <c r="AG418" i="30"/>
  <c r="AH418" i="30"/>
  <c r="AI418" i="30"/>
  <c r="AJ418" i="30"/>
  <c r="AK418" i="30"/>
  <c r="AL418" i="30"/>
  <c r="AM418" i="30"/>
  <c r="AN418" i="30"/>
  <c r="AO418" i="30"/>
  <c r="AP418" i="30"/>
  <c r="AQ418" i="30"/>
  <c r="AR418" i="30"/>
  <c r="AS418" i="30"/>
  <c r="AT418" i="30"/>
  <c r="AU418" i="30"/>
  <c r="AV418" i="30"/>
  <c r="AW418" i="30"/>
  <c r="AX418" i="30"/>
  <c r="AY418" i="30"/>
  <c r="AZ418" i="30"/>
  <c r="BA418" i="30"/>
  <c r="BB418" i="30"/>
  <c r="BC418" i="30"/>
  <c r="BD418" i="30"/>
  <c r="BE418" i="30"/>
  <c r="BF418" i="30"/>
  <c r="BG418" i="30"/>
  <c r="BH418" i="30"/>
  <c r="BI418" i="30"/>
  <c r="BJ418" i="30"/>
  <c r="BK418" i="30"/>
  <c r="BL418" i="30"/>
  <c r="BM418" i="30"/>
  <c r="BN418" i="30"/>
  <c r="BO418" i="30"/>
  <c r="BP418" i="30"/>
  <c r="BQ418" i="30"/>
  <c r="BR418" i="30"/>
  <c r="BS418" i="30"/>
  <c r="BT418" i="30"/>
  <c r="BU418" i="30"/>
  <c r="BV418" i="30"/>
  <c r="BW418" i="30"/>
  <c r="BX418" i="30"/>
  <c r="BY418" i="30"/>
  <c r="BZ418" i="30"/>
  <c r="CA418" i="30"/>
  <c r="CB418" i="30"/>
  <c r="CC418" i="30"/>
  <c r="CD418" i="30"/>
  <c r="CE418" i="30"/>
  <c r="CF418" i="30"/>
  <c r="CG418" i="30"/>
  <c r="CH418" i="30"/>
  <c r="CI418" i="30"/>
  <c r="CJ418" i="30"/>
  <c r="CK418" i="30"/>
  <c r="CL418" i="30"/>
  <c r="CM418" i="30"/>
  <c r="CN418" i="30"/>
  <c r="CO418" i="30"/>
  <c r="CP418" i="30"/>
  <c r="CQ418" i="30"/>
  <c r="CR418" i="30"/>
  <c r="CS418" i="30"/>
  <c r="CT418" i="30"/>
  <c r="CU418" i="30"/>
  <c r="CV418" i="30"/>
  <c r="CW418" i="30"/>
  <c r="CX418" i="30"/>
  <c r="CY418" i="30"/>
  <c r="CZ418" i="30"/>
  <c r="DA418" i="30"/>
  <c r="DB418" i="30"/>
  <c r="DC418" i="30"/>
  <c r="DD418" i="30"/>
  <c r="DE418" i="30"/>
  <c r="DF418" i="30"/>
  <c r="DG418" i="30"/>
  <c r="DH418" i="30"/>
  <c r="DI418" i="30"/>
  <c r="DJ418" i="30"/>
  <c r="DK418" i="30"/>
  <c r="DL418" i="30"/>
  <c r="DM418" i="30"/>
  <c r="DN418" i="30"/>
  <c r="DO418" i="30"/>
  <c r="DP418" i="30"/>
  <c r="DQ418" i="30"/>
  <c r="DR418" i="30"/>
  <c r="DS418" i="30"/>
  <c r="DT418" i="30"/>
  <c r="DU418" i="30"/>
  <c r="DV418" i="30"/>
  <c r="DW418" i="30"/>
  <c r="DX418" i="30"/>
  <c r="DY418" i="30"/>
  <c r="DZ418" i="30"/>
  <c r="EA418" i="30"/>
  <c r="EB418" i="30"/>
  <c r="EC418" i="30"/>
  <c r="ED418" i="30"/>
  <c r="EE418" i="30"/>
  <c r="EF418" i="30"/>
  <c r="EG418" i="30"/>
  <c r="EH418" i="30"/>
  <c r="EI418" i="30"/>
  <c r="EJ418" i="30"/>
  <c r="EK418" i="30"/>
  <c r="EL418" i="30"/>
  <c r="EM418" i="30"/>
  <c r="EN418" i="30"/>
  <c r="EO418" i="30"/>
  <c r="EP418" i="30"/>
  <c r="EQ418" i="30"/>
  <c r="ER418" i="30"/>
  <c r="ES418" i="30"/>
  <c r="ET418" i="30"/>
  <c r="EU418" i="30"/>
  <c r="EV418" i="30"/>
  <c r="EW418" i="30"/>
  <c r="EX418" i="30"/>
  <c r="EY418" i="30"/>
  <c r="EZ418" i="30"/>
  <c r="FA418" i="30"/>
  <c r="FB418" i="30"/>
  <c r="FC418" i="30"/>
  <c r="FD418" i="30"/>
  <c r="FE418" i="30"/>
  <c r="FF418" i="30"/>
  <c r="FG418" i="30"/>
  <c r="FH418" i="30"/>
  <c r="FI418" i="30"/>
  <c r="FJ418" i="30"/>
  <c r="FK418" i="30"/>
  <c r="FL418" i="30"/>
  <c r="FM418" i="30"/>
  <c r="FN418" i="30"/>
  <c r="FO418" i="30"/>
  <c r="FP418" i="30"/>
  <c r="FQ418" i="30"/>
  <c r="FR418" i="30"/>
  <c r="FS418" i="30"/>
  <c r="FT418" i="30"/>
  <c r="FU418" i="30"/>
  <c r="FV418" i="30"/>
  <c r="FW418" i="30"/>
  <c r="FX418" i="30"/>
  <c r="FY418" i="30"/>
  <c r="FZ418" i="30"/>
  <c r="GA418" i="30"/>
  <c r="GB418" i="30"/>
  <c r="GC418" i="30"/>
  <c r="GD418" i="30"/>
  <c r="GE418" i="30"/>
  <c r="GF418" i="30"/>
  <c r="GG418" i="30"/>
  <c r="GH418" i="30"/>
  <c r="GI418" i="30"/>
  <c r="GJ418" i="30"/>
  <c r="GK418" i="30"/>
  <c r="GL418" i="30"/>
  <c r="GM418" i="30"/>
  <c r="GN418" i="30"/>
  <c r="GO418" i="30"/>
  <c r="GP418" i="30"/>
  <c r="GQ418" i="30"/>
  <c r="GR418" i="30"/>
  <c r="GS418" i="30"/>
  <c r="GT418" i="30"/>
  <c r="GU418" i="30"/>
  <c r="GV418" i="30"/>
  <c r="GW418" i="30"/>
  <c r="GX418" i="30"/>
  <c r="GY418" i="30"/>
  <c r="GZ418" i="30"/>
  <c r="HA418" i="30"/>
  <c r="HB418" i="30"/>
  <c r="HC418" i="30"/>
  <c r="HD418" i="30"/>
  <c r="HE418" i="30"/>
  <c r="HF418" i="30"/>
  <c r="HG418" i="30"/>
  <c r="HH418" i="30"/>
  <c r="HI418" i="30"/>
  <c r="HJ418" i="30"/>
  <c r="HK418" i="30"/>
  <c r="HL418" i="30"/>
  <c r="HM418" i="30"/>
  <c r="HN418" i="30"/>
  <c r="HO418" i="30"/>
  <c r="HP418" i="30"/>
  <c r="HQ418" i="30"/>
  <c r="HR418" i="30"/>
  <c r="HS418" i="30"/>
  <c r="HT418" i="30"/>
  <c r="HU418" i="30"/>
  <c r="HV418" i="30"/>
  <c r="HW418" i="30"/>
  <c r="HX418" i="30"/>
  <c r="HY418" i="30"/>
  <c r="HZ418" i="30"/>
  <c r="IA418" i="30"/>
  <c r="IB418" i="30"/>
  <c r="IC418" i="30"/>
  <c r="ID418" i="30"/>
  <c r="IE418" i="30"/>
  <c r="IF418" i="30"/>
  <c r="IG418" i="30"/>
  <c r="IH418" i="30"/>
  <c r="II418" i="30"/>
  <c r="IJ418" i="30"/>
  <c r="IK418" i="30"/>
  <c r="IL418" i="30"/>
  <c r="IM418" i="30"/>
  <c r="IN418" i="30"/>
  <c r="IO418" i="30"/>
  <c r="IP418" i="30"/>
  <c r="IQ418" i="30"/>
  <c r="IR418" i="30"/>
  <c r="IS418" i="30"/>
  <c r="IT418" i="30"/>
  <c r="IU418" i="30"/>
  <c r="IV418" i="30"/>
  <c r="A417" i="30"/>
  <c r="B417" i="30"/>
  <c r="C417" i="30"/>
  <c r="D417" i="30"/>
  <c r="E417" i="30"/>
  <c r="F417" i="30"/>
  <c r="G417" i="30"/>
  <c r="H417" i="30"/>
  <c r="I417" i="30"/>
  <c r="J417" i="30"/>
  <c r="K417" i="30"/>
  <c r="L417" i="30"/>
  <c r="M417" i="30"/>
  <c r="N417" i="30"/>
  <c r="O417" i="30"/>
  <c r="P417" i="30"/>
  <c r="Q417" i="30"/>
  <c r="R417" i="30"/>
  <c r="S417" i="30"/>
  <c r="T417" i="30"/>
  <c r="U417" i="30"/>
  <c r="V417" i="30"/>
  <c r="W417" i="30"/>
  <c r="X417" i="30"/>
  <c r="Y417" i="30"/>
  <c r="Z417" i="30"/>
  <c r="AA417" i="30"/>
  <c r="AB417" i="30"/>
  <c r="AC417" i="30"/>
  <c r="AD417" i="30"/>
  <c r="AE417" i="30"/>
  <c r="AF417" i="30"/>
  <c r="AG417" i="30"/>
  <c r="AH417" i="30"/>
  <c r="AI417" i="30"/>
  <c r="AJ417" i="30"/>
  <c r="AK417" i="30"/>
  <c r="AL417" i="30"/>
  <c r="AM417" i="30"/>
  <c r="AN417" i="30"/>
  <c r="AO417" i="30"/>
  <c r="AP417" i="30"/>
  <c r="AQ417" i="30"/>
  <c r="AR417" i="30"/>
  <c r="AS417" i="30"/>
  <c r="AT417" i="30"/>
  <c r="AU417" i="30"/>
  <c r="AV417" i="30"/>
  <c r="AW417" i="30"/>
  <c r="AX417" i="30"/>
  <c r="AY417" i="30"/>
  <c r="AZ417" i="30"/>
  <c r="BA417" i="30"/>
  <c r="BB417" i="30"/>
  <c r="BC417" i="30"/>
  <c r="BD417" i="30"/>
  <c r="BE417" i="30"/>
  <c r="BF417" i="30"/>
  <c r="BG417" i="30"/>
  <c r="BH417" i="30"/>
  <c r="BI417" i="30"/>
  <c r="BJ417" i="30"/>
  <c r="BK417" i="30"/>
  <c r="BL417" i="30"/>
  <c r="BM417" i="30"/>
  <c r="BN417" i="30"/>
  <c r="BO417" i="30"/>
  <c r="BP417" i="30"/>
  <c r="BQ417" i="30"/>
  <c r="BR417" i="30"/>
  <c r="BS417" i="30"/>
  <c r="BT417" i="30"/>
  <c r="BU417" i="30"/>
  <c r="BV417" i="30"/>
  <c r="BW417" i="30"/>
  <c r="BX417" i="30"/>
  <c r="BY417" i="30"/>
  <c r="BZ417" i="30"/>
  <c r="CA417" i="30"/>
  <c r="CB417" i="30"/>
  <c r="CC417" i="30"/>
  <c r="CD417" i="30"/>
  <c r="CE417" i="30"/>
  <c r="CF417" i="30"/>
  <c r="CG417" i="30"/>
  <c r="CH417" i="30"/>
  <c r="CI417" i="30"/>
  <c r="CJ417" i="30"/>
  <c r="CK417" i="30"/>
  <c r="CL417" i="30"/>
  <c r="CM417" i="30"/>
  <c r="CN417" i="30"/>
  <c r="CO417" i="30"/>
  <c r="CP417" i="30"/>
  <c r="CQ417" i="30"/>
  <c r="CR417" i="30"/>
  <c r="CS417" i="30"/>
  <c r="CT417" i="30"/>
  <c r="CU417" i="30"/>
  <c r="CV417" i="30"/>
  <c r="CW417" i="30"/>
  <c r="CX417" i="30"/>
  <c r="CY417" i="30"/>
  <c r="CZ417" i="30"/>
  <c r="DA417" i="30"/>
  <c r="DB417" i="30"/>
  <c r="DC417" i="30"/>
  <c r="DD417" i="30"/>
  <c r="DE417" i="30"/>
  <c r="DF417" i="30"/>
  <c r="DG417" i="30"/>
  <c r="DH417" i="30"/>
  <c r="DI417" i="30"/>
  <c r="DJ417" i="30"/>
  <c r="DK417" i="30"/>
  <c r="DL417" i="30"/>
  <c r="DM417" i="30"/>
  <c r="DN417" i="30"/>
  <c r="DO417" i="30"/>
  <c r="DP417" i="30"/>
  <c r="DQ417" i="30"/>
  <c r="DR417" i="30"/>
  <c r="DS417" i="30"/>
  <c r="DT417" i="30"/>
  <c r="DU417" i="30"/>
  <c r="DV417" i="30"/>
  <c r="DW417" i="30"/>
  <c r="DX417" i="30"/>
  <c r="DY417" i="30"/>
  <c r="DZ417" i="30"/>
  <c r="EA417" i="30"/>
  <c r="EB417" i="30"/>
  <c r="EC417" i="30"/>
  <c r="ED417" i="30"/>
  <c r="EE417" i="30"/>
  <c r="EF417" i="30"/>
  <c r="EG417" i="30"/>
  <c r="EH417" i="30"/>
  <c r="EI417" i="30"/>
  <c r="EJ417" i="30"/>
  <c r="EK417" i="30"/>
  <c r="EL417" i="30"/>
  <c r="EM417" i="30"/>
  <c r="EN417" i="30"/>
  <c r="EO417" i="30"/>
  <c r="EP417" i="30"/>
  <c r="EQ417" i="30"/>
  <c r="ER417" i="30"/>
  <c r="ES417" i="30"/>
  <c r="ET417" i="30"/>
  <c r="EU417" i="30"/>
  <c r="EV417" i="30"/>
  <c r="EW417" i="30"/>
  <c r="EX417" i="30"/>
  <c r="EY417" i="30"/>
  <c r="EZ417" i="30"/>
  <c r="FA417" i="30"/>
  <c r="FB417" i="30"/>
  <c r="FC417" i="30"/>
  <c r="FD417" i="30"/>
  <c r="FE417" i="30"/>
  <c r="FF417" i="30"/>
  <c r="FG417" i="30"/>
  <c r="FH417" i="30"/>
  <c r="FI417" i="30"/>
  <c r="FJ417" i="30"/>
  <c r="FK417" i="30"/>
  <c r="FL417" i="30"/>
  <c r="FM417" i="30"/>
  <c r="FN417" i="30"/>
  <c r="FO417" i="30"/>
  <c r="FP417" i="30"/>
  <c r="FQ417" i="30"/>
  <c r="FR417" i="30"/>
  <c r="FS417" i="30"/>
  <c r="FT417" i="30"/>
  <c r="FU417" i="30"/>
  <c r="FV417" i="30"/>
  <c r="FW417" i="30"/>
  <c r="FX417" i="30"/>
  <c r="FY417" i="30"/>
  <c r="FZ417" i="30"/>
  <c r="GA417" i="30"/>
  <c r="GB417" i="30"/>
  <c r="GC417" i="30"/>
  <c r="GD417" i="30"/>
  <c r="GE417" i="30"/>
  <c r="GF417" i="30"/>
  <c r="GG417" i="30"/>
  <c r="GH417" i="30"/>
  <c r="GI417" i="30"/>
  <c r="GJ417" i="30"/>
  <c r="GK417" i="30"/>
  <c r="GL417" i="30"/>
  <c r="GM417" i="30"/>
  <c r="GN417" i="30"/>
  <c r="GO417" i="30"/>
  <c r="GP417" i="30"/>
  <c r="GQ417" i="30"/>
  <c r="GR417" i="30"/>
  <c r="GS417" i="30"/>
  <c r="GT417" i="30"/>
  <c r="GU417" i="30"/>
  <c r="GV417" i="30"/>
  <c r="GW417" i="30"/>
  <c r="GX417" i="30"/>
  <c r="GY417" i="30"/>
  <c r="GZ417" i="30"/>
  <c r="HA417" i="30"/>
  <c r="HB417" i="30"/>
  <c r="HC417" i="30"/>
  <c r="HD417" i="30"/>
  <c r="HE417" i="30"/>
  <c r="HF417" i="30"/>
  <c r="HG417" i="30"/>
  <c r="HH417" i="30"/>
  <c r="HI417" i="30"/>
  <c r="HJ417" i="30"/>
  <c r="HK417" i="30"/>
  <c r="HL417" i="30"/>
  <c r="HM417" i="30"/>
  <c r="HN417" i="30"/>
  <c r="HO417" i="30"/>
  <c r="HP417" i="30"/>
  <c r="HQ417" i="30"/>
  <c r="HR417" i="30"/>
  <c r="HS417" i="30"/>
  <c r="HT417" i="30"/>
  <c r="HU417" i="30"/>
  <c r="HV417" i="30"/>
  <c r="HW417" i="30"/>
  <c r="HX417" i="30"/>
  <c r="HY417" i="30"/>
  <c r="HZ417" i="30"/>
  <c r="IA417" i="30"/>
  <c r="IB417" i="30"/>
  <c r="IC417" i="30"/>
  <c r="ID417" i="30"/>
  <c r="IE417" i="30"/>
  <c r="IF417" i="30"/>
  <c r="IG417" i="30"/>
  <c r="IH417" i="30"/>
  <c r="II417" i="30"/>
  <c r="IJ417" i="30"/>
  <c r="IK417" i="30"/>
  <c r="IL417" i="30"/>
  <c r="IM417" i="30"/>
  <c r="IN417" i="30"/>
  <c r="IO417" i="30"/>
  <c r="IP417" i="30"/>
  <c r="IQ417" i="30"/>
  <c r="IR417" i="30"/>
  <c r="IS417" i="30"/>
  <c r="IT417" i="30"/>
  <c r="IU417" i="30"/>
  <c r="IV417" i="30"/>
  <c r="A416" i="30"/>
  <c r="B416" i="30"/>
  <c r="C416" i="30"/>
  <c r="D416" i="30"/>
  <c r="E416" i="30"/>
  <c r="F416" i="30"/>
  <c r="G416" i="30"/>
  <c r="H416" i="30"/>
  <c r="I416" i="30"/>
  <c r="J416" i="30"/>
  <c r="K416" i="30"/>
  <c r="L416" i="30"/>
  <c r="M416" i="30"/>
  <c r="N416" i="30"/>
  <c r="O416" i="30"/>
  <c r="P416" i="30"/>
  <c r="Q416" i="30"/>
  <c r="R416" i="30"/>
  <c r="S416" i="30"/>
  <c r="T416" i="30"/>
  <c r="U416" i="30"/>
  <c r="V416" i="30"/>
  <c r="W416" i="30"/>
  <c r="X416" i="30"/>
  <c r="Y416" i="30"/>
  <c r="Z416" i="30"/>
  <c r="AA416" i="30"/>
  <c r="AB416" i="30"/>
  <c r="AC416" i="30"/>
  <c r="AD416" i="30"/>
  <c r="AE416" i="30"/>
  <c r="AF416" i="30"/>
  <c r="AG416" i="30"/>
  <c r="AH416" i="30"/>
  <c r="AI416" i="30"/>
  <c r="AJ416" i="30"/>
  <c r="AK416" i="30"/>
  <c r="AL416" i="30"/>
  <c r="AM416" i="30"/>
  <c r="AN416" i="30"/>
  <c r="AO416" i="30"/>
  <c r="AP416" i="30"/>
  <c r="AQ416" i="30"/>
  <c r="AR416" i="30"/>
  <c r="AS416" i="30"/>
  <c r="AT416" i="30"/>
  <c r="AU416" i="30"/>
  <c r="AV416" i="30"/>
  <c r="AW416" i="30"/>
  <c r="AX416" i="30"/>
  <c r="AY416" i="30"/>
  <c r="AZ416" i="30"/>
  <c r="BA416" i="30"/>
  <c r="BB416" i="30"/>
  <c r="BC416" i="30"/>
  <c r="BD416" i="30"/>
  <c r="BE416" i="30"/>
  <c r="BF416" i="30"/>
  <c r="BG416" i="30"/>
  <c r="BH416" i="30"/>
  <c r="BI416" i="30"/>
  <c r="BJ416" i="30"/>
  <c r="BK416" i="30"/>
  <c r="BL416" i="30"/>
  <c r="BM416" i="30"/>
  <c r="BN416" i="30"/>
  <c r="BO416" i="30"/>
  <c r="BP416" i="30"/>
  <c r="BQ416" i="30"/>
  <c r="BR416" i="30"/>
  <c r="BS416" i="30"/>
  <c r="BT416" i="30"/>
  <c r="BU416" i="30"/>
  <c r="BV416" i="30"/>
  <c r="BW416" i="30"/>
  <c r="BX416" i="30"/>
  <c r="BY416" i="30"/>
  <c r="BZ416" i="30"/>
  <c r="CA416" i="30"/>
  <c r="CB416" i="30"/>
  <c r="CC416" i="30"/>
  <c r="CD416" i="30"/>
  <c r="CE416" i="30"/>
  <c r="CF416" i="30"/>
  <c r="CG416" i="30"/>
  <c r="CH416" i="30"/>
  <c r="CI416" i="30"/>
  <c r="CJ416" i="30"/>
  <c r="CK416" i="30"/>
  <c r="CL416" i="30"/>
  <c r="CM416" i="30"/>
  <c r="CN416" i="30"/>
  <c r="CO416" i="30"/>
  <c r="CP416" i="30"/>
  <c r="CQ416" i="30"/>
  <c r="CR416" i="30"/>
  <c r="CS416" i="30"/>
  <c r="CT416" i="30"/>
  <c r="CU416" i="30"/>
  <c r="CV416" i="30"/>
  <c r="CW416" i="30"/>
  <c r="CX416" i="30"/>
  <c r="CY416" i="30"/>
  <c r="CZ416" i="30"/>
  <c r="DA416" i="30"/>
  <c r="DB416" i="30"/>
  <c r="DC416" i="30"/>
  <c r="DD416" i="30"/>
  <c r="DE416" i="30"/>
  <c r="DF416" i="30"/>
  <c r="DG416" i="30"/>
  <c r="DH416" i="30"/>
  <c r="DI416" i="30"/>
  <c r="DJ416" i="30"/>
  <c r="DK416" i="30"/>
  <c r="DL416" i="30"/>
  <c r="DM416" i="30"/>
  <c r="DN416" i="30"/>
  <c r="DO416" i="30"/>
  <c r="DP416" i="30"/>
  <c r="DQ416" i="30"/>
  <c r="DR416" i="30"/>
  <c r="DS416" i="30"/>
  <c r="DT416" i="30"/>
  <c r="DU416" i="30"/>
  <c r="DV416" i="30"/>
  <c r="DW416" i="30"/>
  <c r="DX416" i="30"/>
  <c r="DY416" i="30"/>
  <c r="DZ416" i="30"/>
  <c r="EA416" i="30"/>
  <c r="EB416" i="30"/>
  <c r="EC416" i="30"/>
  <c r="ED416" i="30"/>
  <c r="EE416" i="30"/>
  <c r="EF416" i="30"/>
  <c r="EG416" i="30"/>
  <c r="EH416" i="30"/>
  <c r="EI416" i="30"/>
  <c r="EJ416" i="30"/>
  <c r="EK416" i="30"/>
  <c r="EL416" i="30"/>
  <c r="EM416" i="30"/>
  <c r="EN416" i="30"/>
  <c r="EO416" i="30"/>
  <c r="EP416" i="30"/>
  <c r="EQ416" i="30"/>
  <c r="ER416" i="30"/>
  <c r="ES416" i="30"/>
  <c r="ET416" i="30"/>
  <c r="EU416" i="30"/>
  <c r="EV416" i="30"/>
  <c r="EW416" i="30"/>
  <c r="EX416" i="30"/>
  <c r="EY416" i="30"/>
  <c r="EZ416" i="30"/>
  <c r="FA416" i="30"/>
  <c r="FB416" i="30"/>
  <c r="FC416" i="30"/>
  <c r="FD416" i="30"/>
  <c r="FE416" i="30"/>
  <c r="FF416" i="30"/>
  <c r="FG416" i="30"/>
  <c r="FH416" i="30"/>
  <c r="FI416" i="30"/>
  <c r="FJ416" i="30"/>
  <c r="FK416" i="30"/>
  <c r="FL416" i="30"/>
  <c r="FM416" i="30"/>
  <c r="FN416" i="30"/>
  <c r="FO416" i="30"/>
  <c r="FP416" i="30"/>
  <c r="FQ416" i="30"/>
  <c r="FR416" i="30"/>
  <c r="FS416" i="30"/>
  <c r="FT416" i="30"/>
  <c r="FU416" i="30"/>
  <c r="FV416" i="30"/>
  <c r="FW416" i="30"/>
  <c r="FX416" i="30"/>
  <c r="FY416" i="30"/>
  <c r="FZ416" i="30"/>
  <c r="GA416" i="30"/>
  <c r="GB416" i="30"/>
  <c r="GC416" i="30"/>
  <c r="GD416" i="30"/>
  <c r="GE416" i="30"/>
  <c r="GF416" i="30"/>
  <c r="GG416" i="30"/>
  <c r="GH416" i="30"/>
  <c r="GI416" i="30"/>
  <c r="GJ416" i="30"/>
  <c r="GK416" i="30"/>
  <c r="GL416" i="30"/>
  <c r="GM416" i="30"/>
  <c r="GN416" i="30"/>
  <c r="GO416" i="30"/>
  <c r="GP416" i="30"/>
  <c r="GQ416" i="30"/>
  <c r="GR416" i="30"/>
  <c r="GS416" i="30"/>
  <c r="GT416" i="30"/>
  <c r="GU416" i="30"/>
  <c r="GV416" i="30"/>
  <c r="GW416" i="30"/>
  <c r="GX416" i="30"/>
  <c r="GY416" i="30"/>
  <c r="GZ416" i="30"/>
  <c r="HA416" i="30"/>
  <c r="HB416" i="30"/>
  <c r="HC416" i="30"/>
  <c r="HD416" i="30"/>
  <c r="HE416" i="30"/>
  <c r="HF416" i="30"/>
  <c r="HG416" i="30"/>
  <c r="HH416" i="30"/>
  <c r="HI416" i="30"/>
  <c r="HJ416" i="30"/>
  <c r="HK416" i="30"/>
  <c r="HL416" i="30"/>
  <c r="HM416" i="30"/>
  <c r="HN416" i="30"/>
  <c r="HO416" i="30"/>
  <c r="HP416" i="30"/>
  <c r="HQ416" i="30"/>
  <c r="HR416" i="30"/>
  <c r="HS416" i="30"/>
  <c r="HT416" i="30"/>
  <c r="HU416" i="30"/>
  <c r="HV416" i="30"/>
  <c r="HW416" i="30"/>
  <c r="HX416" i="30"/>
  <c r="HY416" i="30"/>
  <c r="HZ416" i="30"/>
  <c r="IA416" i="30"/>
  <c r="IB416" i="30"/>
  <c r="IC416" i="30"/>
  <c r="ID416" i="30"/>
  <c r="IE416" i="30"/>
  <c r="IF416" i="30"/>
  <c r="IG416" i="30"/>
  <c r="IH416" i="30"/>
  <c r="II416" i="30"/>
  <c r="IJ416" i="30"/>
  <c r="IK416" i="30"/>
  <c r="IL416" i="30"/>
  <c r="IM416" i="30"/>
  <c r="IN416" i="30"/>
  <c r="IO416" i="30"/>
  <c r="IP416" i="30"/>
  <c r="IQ416" i="30"/>
  <c r="IR416" i="30"/>
  <c r="IS416" i="30"/>
  <c r="IT416" i="30"/>
  <c r="IU416" i="30"/>
  <c r="IV416" i="30"/>
  <c r="A415" i="30"/>
  <c r="B415" i="30"/>
  <c r="C415" i="30"/>
  <c r="D415" i="30"/>
  <c r="E415" i="30"/>
  <c r="F415" i="30"/>
  <c r="G415" i="30"/>
  <c r="H415" i="30"/>
  <c r="I415" i="30"/>
  <c r="J415" i="30"/>
  <c r="K415" i="30"/>
  <c r="L415" i="30"/>
  <c r="M415" i="30"/>
  <c r="N415" i="30"/>
  <c r="O415" i="30"/>
  <c r="P415" i="30"/>
  <c r="Q415" i="30"/>
  <c r="R415" i="30"/>
  <c r="S415" i="30"/>
  <c r="T415" i="30"/>
  <c r="U415" i="30"/>
  <c r="V415" i="30"/>
  <c r="W415" i="30"/>
  <c r="X415" i="30"/>
  <c r="Y415" i="30"/>
  <c r="Z415" i="30"/>
  <c r="AA415" i="30"/>
  <c r="AB415" i="30"/>
  <c r="AC415" i="30"/>
  <c r="AD415" i="30"/>
  <c r="AE415" i="30"/>
  <c r="AF415" i="30"/>
  <c r="AG415" i="30"/>
  <c r="AH415" i="30"/>
  <c r="AI415" i="30"/>
  <c r="AJ415" i="30"/>
  <c r="AK415" i="30"/>
  <c r="AL415" i="30"/>
  <c r="AM415" i="30"/>
  <c r="AN415" i="30"/>
  <c r="AO415" i="30"/>
  <c r="AP415" i="30"/>
  <c r="AQ415" i="30"/>
  <c r="AR415" i="30"/>
  <c r="AS415" i="30"/>
  <c r="AT415" i="30"/>
  <c r="AU415" i="30"/>
  <c r="AV415" i="30"/>
  <c r="AW415" i="30"/>
  <c r="AX415" i="30"/>
  <c r="AY415" i="30"/>
  <c r="AZ415" i="30"/>
  <c r="BA415" i="30"/>
  <c r="BB415" i="30"/>
  <c r="BC415" i="30"/>
  <c r="BD415" i="30"/>
  <c r="BE415" i="30"/>
  <c r="BF415" i="30"/>
  <c r="BG415" i="30"/>
  <c r="BH415" i="30"/>
  <c r="BI415" i="30"/>
  <c r="BJ415" i="30"/>
  <c r="BK415" i="30"/>
  <c r="BL415" i="30"/>
  <c r="BM415" i="30"/>
  <c r="BN415" i="30"/>
  <c r="BO415" i="30"/>
  <c r="BP415" i="30"/>
  <c r="BQ415" i="30"/>
  <c r="BR415" i="30"/>
  <c r="BS415" i="30"/>
  <c r="BT415" i="30"/>
  <c r="BU415" i="30"/>
  <c r="BV415" i="30"/>
  <c r="BW415" i="30"/>
  <c r="BX415" i="30"/>
  <c r="BY415" i="30"/>
  <c r="BZ415" i="30"/>
  <c r="CA415" i="30"/>
  <c r="CB415" i="30"/>
  <c r="CC415" i="30"/>
  <c r="CD415" i="30"/>
  <c r="CE415" i="30"/>
  <c r="CF415" i="30"/>
  <c r="CG415" i="30"/>
  <c r="CH415" i="30"/>
  <c r="CI415" i="30"/>
  <c r="CJ415" i="30"/>
  <c r="CK415" i="30"/>
  <c r="CL415" i="30"/>
  <c r="CM415" i="30"/>
  <c r="CN415" i="30"/>
  <c r="CO415" i="30"/>
  <c r="CP415" i="30"/>
  <c r="CQ415" i="30"/>
  <c r="CR415" i="30"/>
  <c r="CS415" i="30"/>
  <c r="CT415" i="30"/>
  <c r="CU415" i="30"/>
  <c r="CV415" i="30"/>
  <c r="CW415" i="30"/>
  <c r="CX415" i="30"/>
  <c r="CY415" i="30"/>
  <c r="CZ415" i="30"/>
  <c r="DA415" i="30"/>
  <c r="DB415" i="30"/>
  <c r="DC415" i="30"/>
  <c r="DD415" i="30"/>
  <c r="DE415" i="30"/>
  <c r="DF415" i="30"/>
  <c r="DG415" i="30"/>
  <c r="DH415" i="30"/>
  <c r="DI415" i="30"/>
  <c r="DJ415" i="30"/>
  <c r="DK415" i="30"/>
  <c r="DL415" i="30"/>
  <c r="DM415" i="30"/>
  <c r="DN415" i="30"/>
  <c r="DO415" i="30"/>
  <c r="DP415" i="30"/>
  <c r="DQ415" i="30"/>
  <c r="DR415" i="30"/>
  <c r="DS415" i="30"/>
  <c r="DT415" i="30"/>
  <c r="DU415" i="30"/>
  <c r="DV415" i="30"/>
  <c r="DW415" i="30"/>
  <c r="DX415" i="30"/>
  <c r="DY415" i="30"/>
  <c r="DZ415" i="30"/>
  <c r="EA415" i="30"/>
  <c r="EB415" i="30"/>
  <c r="EC415" i="30"/>
  <c r="ED415" i="30"/>
  <c r="EE415" i="30"/>
  <c r="EF415" i="30"/>
  <c r="EG415" i="30"/>
  <c r="EH415" i="30"/>
  <c r="EI415" i="30"/>
  <c r="EJ415" i="30"/>
  <c r="EK415" i="30"/>
  <c r="EL415" i="30"/>
  <c r="EM415" i="30"/>
  <c r="EN415" i="30"/>
  <c r="EO415" i="30"/>
  <c r="EP415" i="30"/>
  <c r="EQ415" i="30"/>
  <c r="ER415" i="30"/>
  <c r="ES415" i="30"/>
  <c r="ET415" i="30"/>
  <c r="EU415" i="30"/>
  <c r="EV415" i="30"/>
  <c r="EW415" i="30"/>
  <c r="EX415" i="30"/>
  <c r="EY415" i="30"/>
  <c r="EZ415" i="30"/>
  <c r="FA415" i="30"/>
  <c r="FB415" i="30"/>
  <c r="FC415" i="30"/>
  <c r="FD415" i="30"/>
  <c r="FE415" i="30"/>
  <c r="FF415" i="30"/>
  <c r="FG415" i="30"/>
  <c r="FH415" i="30"/>
  <c r="FI415" i="30"/>
  <c r="FJ415" i="30"/>
  <c r="FK415" i="30"/>
  <c r="FL415" i="30"/>
  <c r="FM415" i="30"/>
  <c r="FN415" i="30"/>
  <c r="FO415" i="30"/>
  <c r="FP415" i="30"/>
  <c r="FQ415" i="30"/>
  <c r="FR415" i="30"/>
  <c r="FS415" i="30"/>
  <c r="FT415" i="30"/>
  <c r="FU415" i="30"/>
  <c r="FV415" i="30"/>
  <c r="FW415" i="30"/>
  <c r="FX415" i="30"/>
  <c r="FY415" i="30"/>
  <c r="FZ415" i="30"/>
  <c r="GA415" i="30"/>
  <c r="GB415" i="30"/>
  <c r="GC415" i="30"/>
  <c r="GD415" i="30"/>
  <c r="GE415" i="30"/>
  <c r="GF415" i="30"/>
  <c r="GG415" i="30"/>
  <c r="GH415" i="30"/>
  <c r="GI415" i="30"/>
  <c r="GJ415" i="30"/>
  <c r="GK415" i="30"/>
  <c r="GL415" i="30"/>
  <c r="GM415" i="30"/>
  <c r="GN415" i="30"/>
  <c r="GO415" i="30"/>
  <c r="GP415" i="30"/>
  <c r="GQ415" i="30"/>
  <c r="GR415" i="30"/>
  <c r="GS415" i="30"/>
  <c r="GT415" i="30"/>
  <c r="GU415" i="30"/>
  <c r="GV415" i="30"/>
  <c r="GW415" i="30"/>
  <c r="GX415" i="30"/>
  <c r="GY415" i="30"/>
  <c r="GZ415" i="30"/>
  <c r="HA415" i="30"/>
  <c r="HB415" i="30"/>
  <c r="HC415" i="30"/>
  <c r="HD415" i="30"/>
  <c r="HE415" i="30"/>
  <c r="HF415" i="30"/>
  <c r="HG415" i="30"/>
  <c r="HH415" i="30"/>
  <c r="HI415" i="30"/>
  <c r="HJ415" i="30"/>
  <c r="HK415" i="30"/>
  <c r="HL415" i="30"/>
  <c r="HM415" i="30"/>
  <c r="HN415" i="30"/>
  <c r="HO415" i="30"/>
  <c r="HP415" i="30"/>
  <c r="HQ415" i="30"/>
  <c r="HR415" i="30"/>
  <c r="HS415" i="30"/>
  <c r="HT415" i="30"/>
  <c r="HU415" i="30"/>
  <c r="HV415" i="30"/>
  <c r="HW415" i="30"/>
  <c r="HX415" i="30"/>
  <c r="HY415" i="30"/>
  <c r="HZ415" i="30"/>
  <c r="IA415" i="30"/>
  <c r="IB415" i="30"/>
  <c r="IC415" i="30"/>
  <c r="ID415" i="30"/>
  <c r="IE415" i="30"/>
  <c r="IF415" i="30"/>
  <c r="IG415" i="30"/>
  <c r="IH415" i="30"/>
  <c r="II415" i="30"/>
  <c r="IJ415" i="30"/>
  <c r="IK415" i="30"/>
  <c r="IL415" i="30"/>
  <c r="IM415" i="30"/>
  <c r="IN415" i="30"/>
  <c r="IO415" i="30"/>
  <c r="IP415" i="30"/>
  <c r="IQ415" i="30"/>
  <c r="IR415" i="30"/>
  <c r="IS415" i="30"/>
  <c r="IT415" i="30"/>
  <c r="IU415" i="30"/>
  <c r="IV415" i="30"/>
  <c r="A414" i="30"/>
  <c r="B414" i="30"/>
  <c r="C414" i="30"/>
  <c r="D414" i="30"/>
  <c r="E414" i="30"/>
  <c r="F414" i="30"/>
  <c r="G414" i="30"/>
  <c r="H414" i="30"/>
  <c r="I414" i="30"/>
  <c r="J414" i="30"/>
  <c r="K414" i="30"/>
  <c r="L414" i="30"/>
  <c r="M414" i="30"/>
  <c r="N414" i="30"/>
  <c r="O414" i="30"/>
  <c r="P414" i="30"/>
  <c r="Q414" i="30"/>
  <c r="R414" i="30"/>
  <c r="S414" i="30"/>
  <c r="T414" i="30"/>
  <c r="U414" i="30"/>
  <c r="V414" i="30"/>
  <c r="W414" i="30"/>
  <c r="X414" i="30"/>
  <c r="Y414" i="30"/>
  <c r="Z414" i="30"/>
  <c r="AA414" i="30"/>
  <c r="AB414" i="30"/>
  <c r="AC414" i="30"/>
  <c r="AD414" i="30"/>
  <c r="AE414" i="30"/>
  <c r="AF414" i="30"/>
  <c r="AG414" i="30"/>
  <c r="AH414" i="30"/>
  <c r="AI414" i="30"/>
  <c r="AJ414" i="30"/>
  <c r="AK414" i="30"/>
  <c r="AL414" i="30"/>
  <c r="AM414" i="30"/>
  <c r="AN414" i="30"/>
  <c r="AO414" i="30"/>
  <c r="AP414" i="30"/>
  <c r="AQ414" i="30"/>
  <c r="AR414" i="30"/>
  <c r="AS414" i="30"/>
  <c r="AT414" i="30"/>
  <c r="AU414" i="30"/>
  <c r="AV414" i="30"/>
  <c r="AW414" i="30"/>
  <c r="AX414" i="30"/>
  <c r="AY414" i="30"/>
  <c r="AZ414" i="30"/>
  <c r="BA414" i="30"/>
  <c r="BB414" i="30"/>
  <c r="BC414" i="30"/>
  <c r="BD414" i="30"/>
  <c r="BE414" i="30"/>
  <c r="BF414" i="30"/>
  <c r="BG414" i="30"/>
  <c r="BH414" i="30"/>
  <c r="BI414" i="30"/>
  <c r="BJ414" i="30"/>
  <c r="BK414" i="30"/>
  <c r="BL414" i="30"/>
  <c r="BM414" i="30"/>
  <c r="BN414" i="30"/>
  <c r="BO414" i="30"/>
  <c r="BP414" i="30"/>
  <c r="BQ414" i="30"/>
  <c r="BR414" i="30"/>
  <c r="BS414" i="30"/>
  <c r="BT414" i="30"/>
  <c r="BU414" i="30"/>
  <c r="BV414" i="30"/>
  <c r="BW414" i="30"/>
  <c r="BX414" i="30"/>
  <c r="BY414" i="30"/>
  <c r="BZ414" i="30"/>
  <c r="CA414" i="30"/>
  <c r="CB414" i="30"/>
  <c r="CC414" i="30"/>
  <c r="CD414" i="30"/>
  <c r="CE414" i="30"/>
  <c r="CF414" i="30"/>
  <c r="CG414" i="30"/>
  <c r="CH414" i="30"/>
  <c r="CI414" i="30"/>
  <c r="CJ414" i="30"/>
  <c r="CK414" i="30"/>
  <c r="CL414" i="30"/>
  <c r="CM414" i="30"/>
  <c r="CN414" i="30"/>
  <c r="CO414" i="30"/>
  <c r="CP414" i="30"/>
  <c r="CQ414" i="30"/>
  <c r="CR414" i="30"/>
  <c r="CS414" i="30"/>
  <c r="CT414" i="30"/>
  <c r="CU414" i="30"/>
  <c r="CV414" i="30"/>
  <c r="CW414" i="30"/>
  <c r="CX414" i="30"/>
  <c r="CY414" i="30"/>
  <c r="CZ414" i="30"/>
  <c r="DA414" i="30"/>
  <c r="DB414" i="30"/>
  <c r="DC414" i="30"/>
  <c r="DD414" i="30"/>
  <c r="DE414" i="30"/>
  <c r="DF414" i="30"/>
  <c r="DG414" i="30"/>
  <c r="DH414" i="30"/>
  <c r="DI414" i="30"/>
  <c r="DJ414" i="30"/>
  <c r="DK414" i="30"/>
  <c r="DL414" i="30"/>
  <c r="DM414" i="30"/>
  <c r="DN414" i="30"/>
  <c r="DO414" i="30"/>
  <c r="DP414" i="30"/>
  <c r="DQ414" i="30"/>
  <c r="DR414" i="30"/>
  <c r="DS414" i="30"/>
  <c r="DT414" i="30"/>
  <c r="DU414" i="30"/>
  <c r="DV414" i="30"/>
  <c r="DW414" i="30"/>
  <c r="DX414" i="30"/>
  <c r="DY414" i="30"/>
  <c r="DZ414" i="30"/>
  <c r="EA414" i="30"/>
  <c r="EB414" i="30"/>
  <c r="EC414" i="30"/>
  <c r="ED414" i="30"/>
  <c r="EE414" i="30"/>
  <c r="EF414" i="30"/>
  <c r="EG414" i="30"/>
  <c r="EH414" i="30"/>
  <c r="EI414" i="30"/>
  <c r="EJ414" i="30"/>
  <c r="EK414" i="30"/>
  <c r="EL414" i="30"/>
  <c r="EM414" i="30"/>
  <c r="EN414" i="30"/>
  <c r="EO414" i="30"/>
  <c r="EP414" i="30"/>
  <c r="EQ414" i="30"/>
  <c r="ER414" i="30"/>
  <c r="ES414" i="30"/>
  <c r="ET414" i="30"/>
  <c r="EU414" i="30"/>
  <c r="EV414" i="30"/>
  <c r="EW414" i="30"/>
  <c r="EX414" i="30"/>
  <c r="EY414" i="30"/>
  <c r="EZ414" i="30"/>
  <c r="FA414" i="30"/>
  <c r="FB414" i="30"/>
  <c r="FC414" i="30"/>
  <c r="FD414" i="30"/>
  <c r="FE414" i="30"/>
  <c r="FF414" i="30"/>
  <c r="FG414" i="30"/>
  <c r="FH414" i="30"/>
  <c r="FI414" i="30"/>
  <c r="FJ414" i="30"/>
  <c r="FK414" i="30"/>
  <c r="FL414" i="30"/>
  <c r="FM414" i="30"/>
  <c r="FN414" i="30"/>
  <c r="FO414" i="30"/>
  <c r="FP414" i="30"/>
  <c r="FQ414" i="30"/>
  <c r="FR414" i="30"/>
  <c r="FS414" i="30"/>
  <c r="FT414" i="30"/>
  <c r="FU414" i="30"/>
  <c r="FV414" i="30"/>
  <c r="FW414" i="30"/>
  <c r="FX414" i="30"/>
  <c r="FY414" i="30"/>
  <c r="FZ414" i="30"/>
  <c r="GA414" i="30"/>
  <c r="GB414" i="30"/>
  <c r="GC414" i="30"/>
  <c r="GD414" i="30"/>
  <c r="GE414" i="30"/>
  <c r="GF414" i="30"/>
  <c r="GG414" i="30"/>
  <c r="GH414" i="30"/>
  <c r="GI414" i="30"/>
  <c r="GJ414" i="30"/>
  <c r="GK414" i="30"/>
  <c r="GL414" i="30"/>
  <c r="GM414" i="30"/>
  <c r="GN414" i="30"/>
  <c r="GO414" i="30"/>
  <c r="GP414" i="30"/>
  <c r="GQ414" i="30"/>
  <c r="GR414" i="30"/>
  <c r="GS414" i="30"/>
  <c r="GT414" i="30"/>
  <c r="GU414" i="30"/>
  <c r="GV414" i="30"/>
  <c r="GW414" i="30"/>
  <c r="GX414" i="30"/>
  <c r="GY414" i="30"/>
  <c r="GZ414" i="30"/>
  <c r="HA414" i="30"/>
  <c r="HB414" i="30"/>
  <c r="HC414" i="30"/>
  <c r="HD414" i="30"/>
  <c r="HE414" i="30"/>
  <c r="HF414" i="30"/>
  <c r="HG414" i="30"/>
  <c r="HH414" i="30"/>
  <c r="HI414" i="30"/>
  <c r="HJ414" i="30"/>
  <c r="HK414" i="30"/>
  <c r="HL414" i="30"/>
  <c r="HM414" i="30"/>
  <c r="HN414" i="30"/>
  <c r="HO414" i="30"/>
  <c r="HP414" i="30"/>
  <c r="HQ414" i="30"/>
  <c r="HR414" i="30"/>
  <c r="HS414" i="30"/>
  <c r="HT414" i="30"/>
  <c r="HU414" i="30"/>
  <c r="HV414" i="30"/>
  <c r="HW414" i="30"/>
  <c r="HX414" i="30"/>
  <c r="HY414" i="30"/>
  <c r="HZ414" i="30"/>
  <c r="IA414" i="30"/>
  <c r="IB414" i="30"/>
  <c r="IC414" i="30"/>
  <c r="ID414" i="30"/>
  <c r="IE414" i="30"/>
  <c r="IF414" i="30"/>
  <c r="IG414" i="30"/>
  <c r="IH414" i="30"/>
  <c r="II414" i="30"/>
  <c r="IJ414" i="30"/>
  <c r="IK414" i="30"/>
  <c r="IL414" i="30"/>
  <c r="IM414" i="30"/>
  <c r="IN414" i="30"/>
  <c r="IO414" i="30"/>
  <c r="IP414" i="30"/>
  <c r="IQ414" i="30"/>
  <c r="IR414" i="30"/>
  <c r="IS414" i="30"/>
  <c r="IT414" i="30"/>
  <c r="IU414" i="30"/>
  <c r="IV414" i="30"/>
  <c r="A413" i="30"/>
  <c r="B413" i="30"/>
  <c r="C413" i="30"/>
  <c r="D413" i="30"/>
  <c r="E413" i="30"/>
  <c r="F413" i="30"/>
  <c r="G413" i="30"/>
  <c r="H413" i="30"/>
  <c r="I413" i="30"/>
  <c r="J413" i="30"/>
  <c r="K413" i="30"/>
  <c r="L413" i="30"/>
  <c r="M413" i="30"/>
  <c r="N413" i="30"/>
  <c r="O413" i="30"/>
  <c r="P413" i="30"/>
  <c r="Q413" i="30"/>
  <c r="R413" i="30"/>
  <c r="S413" i="30"/>
  <c r="T413" i="30"/>
  <c r="U413" i="30"/>
  <c r="V413" i="30"/>
  <c r="W413" i="30"/>
  <c r="X413" i="30"/>
  <c r="Y413" i="30"/>
  <c r="Z413" i="30"/>
  <c r="AA413" i="30"/>
  <c r="AB413" i="30"/>
  <c r="AC413" i="30"/>
  <c r="AD413" i="30"/>
  <c r="AE413" i="30"/>
  <c r="AF413" i="30"/>
  <c r="AG413" i="30"/>
  <c r="AH413" i="30"/>
  <c r="AI413" i="30"/>
  <c r="AJ413" i="30"/>
  <c r="AK413" i="30"/>
  <c r="AL413" i="30"/>
  <c r="AM413" i="30"/>
  <c r="AN413" i="30"/>
  <c r="AO413" i="30"/>
  <c r="AP413" i="30"/>
  <c r="AQ413" i="30"/>
  <c r="AR413" i="30"/>
  <c r="AS413" i="30"/>
  <c r="AT413" i="30"/>
  <c r="AU413" i="30"/>
  <c r="AV413" i="30"/>
  <c r="AW413" i="30"/>
  <c r="AX413" i="30"/>
  <c r="AY413" i="30"/>
  <c r="AZ413" i="30"/>
  <c r="BA413" i="30"/>
  <c r="BB413" i="30"/>
  <c r="BC413" i="30"/>
  <c r="BD413" i="30"/>
  <c r="BE413" i="30"/>
  <c r="BF413" i="30"/>
  <c r="BG413" i="30"/>
  <c r="BH413" i="30"/>
  <c r="BI413" i="30"/>
  <c r="BJ413" i="30"/>
  <c r="BK413" i="30"/>
  <c r="BL413" i="30"/>
  <c r="BM413" i="30"/>
  <c r="BN413" i="30"/>
  <c r="BO413" i="30"/>
  <c r="BP413" i="30"/>
  <c r="BQ413" i="30"/>
  <c r="BR413" i="30"/>
  <c r="BS413" i="30"/>
  <c r="BT413" i="30"/>
  <c r="BU413" i="30"/>
  <c r="BV413" i="30"/>
  <c r="BW413" i="30"/>
  <c r="BX413" i="30"/>
  <c r="BY413" i="30"/>
  <c r="BZ413" i="30"/>
  <c r="CA413" i="30"/>
  <c r="CB413" i="30"/>
  <c r="CC413" i="30"/>
  <c r="CD413" i="30"/>
  <c r="CE413" i="30"/>
  <c r="CF413" i="30"/>
  <c r="CG413" i="30"/>
  <c r="CH413" i="30"/>
  <c r="CI413" i="30"/>
  <c r="CJ413" i="30"/>
  <c r="CK413" i="30"/>
  <c r="CL413" i="30"/>
  <c r="CM413" i="30"/>
  <c r="CN413" i="30"/>
  <c r="CO413" i="30"/>
  <c r="CP413" i="30"/>
  <c r="CQ413" i="30"/>
  <c r="CR413" i="30"/>
  <c r="CS413" i="30"/>
  <c r="CT413" i="30"/>
  <c r="CU413" i="30"/>
  <c r="CV413" i="30"/>
  <c r="CW413" i="30"/>
  <c r="CX413" i="30"/>
  <c r="CY413" i="30"/>
  <c r="CZ413" i="30"/>
  <c r="DA413" i="30"/>
  <c r="DB413" i="30"/>
  <c r="DC413" i="30"/>
  <c r="DD413" i="30"/>
  <c r="DE413" i="30"/>
  <c r="DF413" i="30"/>
  <c r="DG413" i="30"/>
  <c r="DH413" i="30"/>
  <c r="DI413" i="30"/>
  <c r="DJ413" i="30"/>
  <c r="DK413" i="30"/>
  <c r="DL413" i="30"/>
  <c r="DM413" i="30"/>
  <c r="DN413" i="30"/>
  <c r="DO413" i="30"/>
  <c r="DP413" i="30"/>
  <c r="DQ413" i="30"/>
  <c r="DR413" i="30"/>
  <c r="DS413" i="30"/>
  <c r="DT413" i="30"/>
  <c r="DU413" i="30"/>
  <c r="DV413" i="30"/>
  <c r="DW413" i="30"/>
  <c r="DX413" i="30"/>
  <c r="DY413" i="30"/>
  <c r="DZ413" i="30"/>
  <c r="EA413" i="30"/>
  <c r="EB413" i="30"/>
  <c r="EC413" i="30"/>
  <c r="ED413" i="30"/>
  <c r="EE413" i="30"/>
  <c r="EF413" i="30"/>
  <c r="EG413" i="30"/>
  <c r="EH413" i="30"/>
  <c r="EI413" i="30"/>
  <c r="EJ413" i="30"/>
  <c r="EK413" i="30"/>
  <c r="EL413" i="30"/>
  <c r="EM413" i="30"/>
  <c r="EN413" i="30"/>
  <c r="EO413" i="30"/>
  <c r="EP413" i="30"/>
  <c r="EQ413" i="30"/>
  <c r="ER413" i="30"/>
  <c r="ES413" i="30"/>
  <c r="ET413" i="30"/>
  <c r="EU413" i="30"/>
  <c r="EV413" i="30"/>
  <c r="EW413" i="30"/>
  <c r="EX413" i="30"/>
  <c r="EY413" i="30"/>
  <c r="EZ413" i="30"/>
  <c r="FA413" i="30"/>
  <c r="FB413" i="30"/>
  <c r="FC413" i="30"/>
  <c r="FD413" i="30"/>
  <c r="FE413" i="30"/>
  <c r="FF413" i="30"/>
  <c r="FG413" i="30"/>
  <c r="FH413" i="30"/>
  <c r="FI413" i="30"/>
  <c r="FJ413" i="30"/>
  <c r="FK413" i="30"/>
  <c r="FL413" i="30"/>
  <c r="FM413" i="30"/>
  <c r="FN413" i="30"/>
  <c r="FO413" i="30"/>
  <c r="FP413" i="30"/>
  <c r="FQ413" i="30"/>
  <c r="FR413" i="30"/>
  <c r="FS413" i="30"/>
  <c r="FT413" i="30"/>
  <c r="FU413" i="30"/>
  <c r="FV413" i="30"/>
  <c r="FW413" i="30"/>
  <c r="FX413" i="30"/>
  <c r="FY413" i="30"/>
  <c r="FZ413" i="30"/>
  <c r="GA413" i="30"/>
  <c r="GB413" i="30"/>
  <c r="GC413" i="30"/>
  <c r="GD413" i="30"/>
  <c r="GE413" i="30"/>
  <c r="GF413" i="30"/>
  <c r="GG413" i="30"/>
  <c r="GH413" i="30"/>
  <c r="GI413" i="30"/>
  <c r="GJ413" i="30"/>
  <c r="GK413" i="30"/>
  <c r="GL413" i="30"/>
  <c r="GM413" i="30"/>
  <c r="GN413" i="30"/>
  <c r="GO413" i="30"/>
  <c r="GP413" i="30"/>
  <c r="GQ413" i="30"/>
  <c r="GR413" i="30"/>
  <c r="GS413" i="30"/>
  <c r="GT413" i="30"/>
  <c r="GU413" i="30"/>
  <c r="GV413" i="30"/>
  <c r="GW413" i="30"/>
  <c r="GX413" i="30"/>
  <c r="GY413" i="30"/>
  <c r="GZ413" i="30"/>
  <c r="HA413" i="30"/>
  <c r="HB413" i="30"/>
  <c r="HC413" i="30"/>
  <c r="HD413" i="30"/>
  <c r="HE413" i="30"/>
  <c r="HF413" i="30"/>
  <c r="HG413" i="30"/>
  <c r="HH413" i="30"/>
  <c r="HI413" i="30"/>
  <c r="HJ413" i="30"/>
  <c r="HK413" i="30"/>
  <c r="HL413" i="30"/>
  <c r="HM413" i="30"/>
  <c r="HN413" i="30"/>
  <c r="HO413" i="30"/>
  <c r="HP413" i="30"/>
  <c r="HQ413" i="30"/>
  <c r="HR413" i="30"/>
  <c r="HS413" i="30"/>
  <c r="HT413" i="30"/>
  <c r="HU413" i="30"/>
  <c r="HV413" i="30"/>
  <c r="HW413" i="30"/>
  <c r="HX413" i="30"/>
  <c r="HY413" i="30"/>
  <c r="HZ413" i="30"/>
  <c r="IA413" i="30"/>
  <c r="IB413" i="30"/>
  <c r="IC413" i="30"/>
  <c r="ID413" i="30"/>
  <c r="IE413" i="30"/>
  <c r="IF413" i="30"/>
  <c r="IG413" i="30"/>
  <c r="IH413" i="30"/>
  <c r="II413" i="30"/>
  <c r="IJ413" i="30"/>
  <c r="IK413" i="30"/>
  <c r="IL413" i="30"/>
  <c r="IM413" i="30"/>
  <c r="IN413" i="30"/>
  <c r="IO413" i="30"/>
  <c r="IP413" i="30"/>
  <c r="IQ413" i="30"/>
  <c r="IR413" i="30"/>
  <c r="IS413" i="30"/>
  <c r="IT413" i="30"/>
  <c r="IU413" i="30"/>
  <c r="IV413" i="30"/>
  <c r="A412" i="30"/>
  <c r="B412" i="30"/>
  <c r="C412" i="30"/>
  <c r="D412" i="30"/>
  <c r="E412" i="30"/>
  <c r="F412" i="30"/>
  <c r="G412" i="30"/>
  <c r="H412" i="30"/>
  <c r="I412" i="30"/>
  <c r="J412" i="30"/>
  <c r="K412" i="30"/>
  <c r="L412" i="30"/>
  <c r="M412" i="30"/>
  <c r="N412" i="30"/>
  <c r="O412" i="30"/>
  <c r="P412" i="30"/>
  <c r="Q412" i="30"/>
  <c r="R412" i="30"/>
  <c r="S412" i="30"/>
  <c r="T412" i="30"/>
  <c r="U412" i="30"/>
  <c r="V412" i="30"/>
  <c r="W412" i="30"/>
  <c r="X412" i="30"/>
  <c r="Y412" i="30"/>
  <c r="Z412" i="30"/>
  <c r="AA412" i="30"/>
  <c r="AB412" i="30"/>
  <c r="AC412" i="30"/>
  <c r="AD412" i="30"/>
  <c r="AE412" i="30"/>
  <c r="AF412" i="30"/>
  <c r="AG412" i="30"/>
  <c r="AH412" i="30"/>
  <c r="AI412" i="30"/>
  <c r="AJ412" i="30"/>
  <c r="AK412" i="30"/>
  <c r="AL412" i="30"/>
  <c r="AM412" i="30"/>
  <c r="AN412" i="30"/>
  <c r="AO412" i="30"/>
  <c r="AP412" i="30"/>
  <c r="AQ412" i="30"/>
  <c r="AR412" i="30"/>
  <c r="AS412" i="30"/>
  <c r="AT412" i="30"/>
  <c r="AU412" i="30"/>
  <c r="AV412" i="30"/>
  <c r="AW412" i="30"/>
  <c r="AX412" i="30"/>
  <c r="AY412" i="30"/>
  <c r="AZ412" i="30"/>
  <c r="BA412" i="30"/>
  <c r="BB412" i="30"/>
  <c r="BC412" i="30"/>
  <c r="BD412" i="30"/>
  <c r="BE412" i="30"/>
  <c r="BF412" i="30"/>
  <c r="BG412" i="30"/>
  <c r="BH412" i="30"/>
  <c r="BI412" i="30"/>
  <c r="BJ412" i="30"/>
  <c r="BK412" i="30"/>
  <c r="BL412" i="30"/>
  <c r="BM412" i="30"/>
  <c r="BN412" i="30"/>
  <c r="BO412" i="30"/>
  <c r="BP412" i="30"/>
  <c r="BQ412" i="30"/>
  <c r="BR412" i="30"/>
  <c r="BS412" i="30"/>
  <c r="BT412" i="30"/>
  <c r="BU412" i="30"/>
  <c r="BV412" i="30"/>
  <c r="BW412" i="30"/>
  <c r="BX412" i="30"/>
  <c r="BY412" i="30"/>
  <c r="BZ412" i="30"/>
  <c r="CA412" i="30"/>
  <c r="CB412" i="30"/>
  <c r="CC412" i="30"/>
  <c r="CD412" i="30"/>
  <c r="CE412" i="30"/>
  <c r="CF412" i="30"/>
  <c r="CG412" i="30"/>
  <c r="CH412" i="30"/>
  <c r="CI412" i="30"/>
  <c r="CJ412" i="30"/>
  <c r="CK412" i="30"/>
  <c r="CL412" i="30"/>
  <c r="CM412" i="30"/>
  <c r="CN412" i="30"/>
  <c r="CO412" i="30"/>
  <c r="CP412" i="30"/>
  <c r="CQ412" i="30"/>
  <c r="CR412" i="30"/>
  <c r="CS412" i="30"/>
  <c r="CT412" i="30"/>
  <c r="CU412" i="30"/>
  <c r="CV412" i="30"/>
  <c r="CW412" i="30"/>
  <c r="CX412" i="30"/>
  <c r="CY412" i="30"/>
  <c r="CZ412" i="30"/>
  <c r="DA412" i="30"/>
  <c r="DB412" i="30"/>
  <c r="DC412" i="30"/>
  <c r="DD412" i="30"/>
  <c r="DE412" i="30"/>
  <c r="DF412" i="30"/>
  <c r="DG412" i="30"/>
  <c r="DH412" i="30"/>
  <c r="DI412" i="30"/>
  <c r="DJ412" i="30"/>
  <c r="DK412" i="30"/>
  <c r="DL412" i="30"/>
  <c r="DM412" i="30"/>
  <c r="DN412" i="30"/>
  <c r="DO412" i="30"/>
  <c r="DP412" i="30"/>
  <c r="DQ412" i="30"/>
  <c r="DR412" i="30"/>
  <c r="DS412" i="30"/>
  <c r="DT412" i="30"/>
  <c r="DU412" i="30"/>
  <c r="DV412" i="30"/>
  <c r="DW412" i="30"/>
  <c r="DX412" i="30"/>
  <c r="DY412" i="30"/>
  <c r="DZ412" i="30"/>
  <c r="EA412" i="30"/>
  <c r="EB412" i="30"/>
  <c r="EC412" i="30"/>
  <c r="ED412" i="30"/>
  <c r="EE412" i="30"/>
  <c r="EF412" i="30"/>
  <c r="EG412" i="30"/>
  <c r="EH412" i="30"/>
  <c r="EI412" i="30"/>
  <c r="EJ412" i="30"/>
  <c r="EK412" i="30"/>
  <c r="EL412" i="30"/>
  <c r="EM412" i="30"/>
  <c r="EN412" i="30"/>
  <c r="EO412" i="30"/>
  <c r="EP412" i="30"/>
  <c r="EQ412" i="30"/>
  <c r="ER412" i="30"/>
  <c r="ES412" i="30"/>
  <c r="ET412" i="30"/>
  <c r="EU412" i="30"/>
  <c r="EV412" i="30"/>
  <c r="EW412" i="30"/>
  <c r="EX412" i="30"/>
  <c r="EY412" i="30"/>
  <c r="EZ412" i="30"/>
  <c r="FA412" i="30"/>
  <c r="FB412" i="30"/>
  <c r="FC412" i="30"/>
  <c r="FD412" i="30"/>
  <c r="FE412" i="30"/>
  <c r="FF412" i="30"/>
  <c r="FG412" i="30"/>
  <c r="FH412" i="30"/>
  <c r="FI412" i="30"/>
  <c r="FJ412" i="30"/>
  <c r="FK412" i="30"/>
  <c r="FL412" i="30"/>
  <c r="FM412" i="30"/>
  <c r="FN412" i="30"/>
  <c r="FO412" i="30"/>
  <c r="FP412" i="30"/>
  <c r="FQ412" i="30"/>
  <c r="FR412" i="30"/>
  <c r="FS412" i="30"/>
  <c r="FT412" i="30"/>
  <c r="FU412" i="30"/>
  <c r="FV412" i="30"/>
  <c r="FW412" i="30"/>
  <c r="FX412" i="30"/>
  <c r="FY412" i="30"/>
  <c r="FZ412" i="30"/>
  <c r="GA412" i="30"/>
  <c r="GB412" i="30"/>
  <c r="GC412" i="30"/>
  <c r="GD412" i="30"/>
  <c r="GE412" i="30"/>
  <c r="GF412" i="30"/>
  <c r="GG412" i="30"/>
  <c r="GH412" i="30"/>
  <c r="GI412" i="30"/>
  <c r="GJ412" i="30"/>
  <c r="GK412" i="30"/>
  <c r="GL412" i="30"/>
  <c r="GM412" i="30"/>
  <c r="GN412" i="30"/>
  <c r="GO412" i="30"/>
  <c r="GP412" i="30"/>
  <c r="GQ412" i="30"/>
  <c r="GR412" i="30"/>
  <c r="GS412" i="30"/>
  <c r="GT412" i="30"/>
  <c r="GU412" i="30"/>
  <c r="GV412" i="30"/>
  <c r="GW412" i="30"/>
  <c r="GX412" i="30"/>
  <c r="GY412" i="30"/>
  <c r="GZ412" i="30"/>
  <c r="HA412" i="30"/>
  <c r="HB412" i="30"/>
  <c r="HC412" i="30"/>
  <c r="HD412" i="30"/>
  <c r="HE412" i="30"/>
  <c r="HF412" i="30"/>
  <c r="HG412" i="30"/>
  <c r="HH412" i="30"/>
  <c r="HI412" i="30"/>
  <c r="HJ412" i="30"/>
  <c r="HK412" i="30"/>
  <c r="HL412" i="30"/>
  <c r="HM412" i="30"/>
  <c r="HN412" i="30"/>
  <c r="HO412" i="30"/>
  <c r="HP412" i="30"/>
  <c r="HQ412" i="30"/>
  <c r="HR412" i="30"/>
  <c r="HS412" i="30"/>
  <c r="HT412" i="30"/>
  <c r="HU412" i="30"/>
  <c r="HV412" i="30"/>
  <c r="HW412" i="30"/>
  <c r="HX412" i="30"/>
  <c r="HY412" i="30"/>
  <c r="HZ412" i="30"/>
  <c r="IA412" i="30"/>
  <c r="IB412" i="30"/>
  <c r="IC412" i="30"/>
  <c r="ID412" i="30"/>
  <c r="IE412" i="30"/>
  <c r="IF412" i="30"/>
  <c r="IG412" i="30"/>
  <c r="IH412" i="30"/>
  <c r="II412" i="30"/>
  <c r="IJ412" i="30"/>
  <c r="IK412" i="30"/>
  <c r="IL412" i="30"/>
  <c r="IM412" i="30"/>
  <c r="IN412" i="30"/>
  <c r="IO412" i="30"/>
  <c r="IP412" i="30"/>
  <c r="IQ412" i="30"/>
  <c r="IR412" i="30"/>
  <c r="IS412" i="30"/>
  <c r="IT412" i="30"/>
  <c r="IU412" i="30"/>
  <c r="IV412" i="30"/>
  <c r="A411" i="30"/>
  <c r="B411" i="30"/>
  <c r="C411" i="30"/>
  <c r="D411" i="30"/>
  <c r="E411" i="30"/>
  <c r="F411" i="30"/>
  <c r="G411" i="30"/>
  <c r="H411" i="30"/>
  <c r="I411" i="30"/>
  <c r="J411" i="30"/>
  <c r="K411" i="30"/>
  <c r="L411" i="30"/>
  <c r="M411" i="30"/>
  <c r="N411" i="30"/>
  <c r="O411" i="30"/>
  <c r="P411" i="30"/>
  <c r="Q411" i="30"/>
  <c r="R411" i="30"/>
  <c r="S411" i="30"/>
  <c r="T411" i="30"/>
  <c r="U411" i="30"/>
  <c r="V411" i="30"/>
  <c r="W411" i="30"/>
  <c r="X411" i="30"/>
  <c r="Y411" i="30"/>
  <c r="Z411" i="30"/>
  <c r="AA411" i="30"/>
  <c r="AB411" i="30"/>
  <c r="AC411" i="30"/>
  <c r="AD411" i="30"/>
  <c r="AE411" i="30"/>
  <c r="AF411" i="30"/>
  <c r="AG411" i="30"/>
  <c r="AH411" i="30"/>
  <c r="AI411" i="30"/>
  <c r="AJ411" i="30"/>
  <c r="AK411" i="30"/>
  <c r="AL411" i="30"/>
  <c r="AM411" i="30"/>
  <c r="AN411" i="30"/>
  <c r="AO411" i="30"/>
  <c r="AP411" i="30"/>
  <c r="AQ411" i="30"/>
  <c r="AR411" i="30"/>
  <c r="AS411" i="30"/>
  <c r="AT411" i="30"/>
  <c r="AU411" i="30"/>
  <c r="AV411" i="30"/>
  <c r="AW411" i="30"/>
  <c r="AX411" i="30"/>
  <c r="AY411" i="30"/>
  <c r="AZ411" i="30"/>
  <c r="BA411" i="30"/>
  <c r="BB411" i="30"/>
  <c r="BC411" i="30"/>
  <c r="BD411" i="30"/>
  <c r="BE411" i="30"/>
  <c r="BF411" i="30"/>
  <c r="BG411" i="30"/>
  <c r="BH411" i="30"/>
  <c r="BI411" i="30"/>
  <c r="BJ411" i="30"/>
  <c r="BK411" i="30"/>
  <c r="BL411" i="30"/>
  <c r="BM411" i="30"/>
  <c r="BN411" i="30"/>
  <c r="BO411" i="30"/>
  <c r="BP411" i="30"/>
  <c r="BQ411" i="30"/>
  <c r="BR411" i="30"/>
  <c r="BS411" i="30"/>
  <c r="BT411" i="30"/>
  <c r="BU411" i="30"/>
  <c r="BV411" i="30"/>
  <c r="BW411" i="30"/>
  <c r="BX411" i="30"/>
  <c r="BY411" i="30"/>
  <c r="BZ411" i="30"/>
  <c r="CA411" i="30"/>
  <c r="CB411" i="30"/>
  <c r="CC411" i="30"/>
  <c r="CD411" i="30"/>
  <c r="CE411" i="30"/>
  <c r="CF411" i="30"/>
  <c r="CG411" i="30"/>
  <c r="CH411" i="30"/>
  <c r="CI411" i="30"/>
  <c r="CJ411" i="30"/>
  <c r="CK411" i="30"/>
  <c r="CL411" i="30"/>
  <c r="CM411" i="30"/>
  <c r="CN411" i="30"/>
  <c r="CO411" i="30"/>
  <c r="CP411" i="30"/>
  <c r="CQ411" i="30"/>
  <c r="CR411" i="30"/>
  <c r="CS411" i="30"/>
  <c r="CT411" i="30"/>
  <c r="CU411" i="30"/>
  <c r="CV411" i="30"/>
  <c r="CW411" i="30"/>
  <c r="CX411" i="30"/>
  <c r="CY411" i="30"/>
  <c r="CZ411" i="30"/>
  <c r="DA411" i="30"/>
  <c r="DB411" i="30"/>
  <c r="DC411" i="30"/>
  <c r="DD411" i="30"/>
  <c r="DE411" i="30"/>
  <c r="DF411" i="30"/>
  <c r="DG411" i="30"/>
  <c r="DH411" i="30"/>
  <c r="DI411" i="30"/>
  <c r="DJ411" i="30"/>
  <c r="DK411" i="30"/>
  <c r="DL411" i="30"/>
  <c r="DM411" i="30"/>
  <c r="DN411" i="30"/>
  <c r="DO411" i="30"/>
  <c r="DP411" i="30"/>
  <c r="DQ411" i="30"/>
  <c r="DR411" i="30"/>
  <c r="DS411" i="30"/>
  <c r="DT411" i="30"/>
  <c r="DU411" i="30"/>
  <c r="DV411" i="30"/>
  <c r="DW411" i="30"/>
  <c r="DX411" i="30"/>
  <c r="DY411" i="30"/>
  <c r="DZ411" i="30"/>
  <c r="EA411" i="30"/>
  <c r="EB411" i="30"/>
  <c r="EC411" i="30"/>
  <c r="ED411" i="30"/>
  <c r="EE411" i="30"/>
  <c r="EF411" i="30"/>
  <c r="EG411" i="30"/>
  <c r="EH411" i="30"/>
  <c r="EI411" i="30"/>
  <c r="EJ411" i="30"/>
  <c r="EK411" i="30"/>
  <c r="EL411" i="30"/>
  <c r="EM411" i="30"/>
  <c r="EN411" i="30"/>
  <c r="EO411" i="30"/>
  <c r="EP411" i="30"/>
  <c r="EQ411" i="30"/>
  <c r="ER411" i="30"/>
  <c r="ES411" i="30"/>
  <c r="ET411" i="30"/>
  <c r="EU411" i="30"/>
  <c r="EV411" i="30"/>
  <c r="EW411" i="30"/>
  <c r="EX411" i="30"/>
  <c r="EY411" i="30"/>
  <c r="EZ411" i="30"/>
  <c r="FA411" i="30"/>
  <c r="FB411" i="30"/>
  <c r="FC411" i="30"/>
  <c r="FD411" i="30"/>
  <c r="FE411" i="30"/>
  <c r="FF411" i="30"/>
  <c r="FG411" i="30"/>
  <c r="FH411" i="30"/>
  <c r="FI411" i="30"/>
  <c r="FJ411" i="30"/>
  <c r="FK411" i="30"/>
  <c r="FL411" i="30"/>
  <c r="FM411" i="30"/>
  <c r="FN411" i="30"/>
  <c r="FO411" i="30"/>
  <c r="FP411" i="30"/>
  <c r="FQ411" i="30"/>
  <c r="FR411" i="30"/>
  <c r="FS411" i="30"/>
  <c r="FT411" i="30"/>
  <c r="FU411" i="30"/>
  <c r="FV411" i="30"/>
  <c r="FW411" i="30"/>
  <c r="FX411" i="30"/>
  <c r="FY411" i="30"/>
  <c r="FZ411" i="30"/>
  <c r="GA411" i="30"/>
  <c r="GB411" i="30"/>
  <c r="GC411" i="30"/>
  <c r="GD411" i="30"/>
  <c r="GE411" i="30"/>
  <c r="GF411" i="30"/>
  <c r="GG411" i="30"/>
  <c r="GH411" i="30"/>
  <c r="GI411" i="30"/>
  <c r="GJ411" i="30"/>
  <c r="GK411" i="30"/>
  <c r="GL411" i="30"/>
  <c r="GM411" i="30"/>
  <c r="GN411" i="30"/>
  <c r="GO411" i="30"/>
  <c r="GP411" i="30"/>
  <c r="GQ411" i="30"/>
  <c r="GR411" i="30"/>
  <c r="GS411" i="30"/>
  <c r="GT411" i="30"/>
  <c r="GU411" i="30"/>
  <c r="GV411" i="30"/>
  <c r="GW411" i="30"/>
  <c r="GX411" i="30"/>
  <c r="GY411" i="30"/>
  <c r="GZ411" i="30"/>
  <c r="HA411" i="30"/>
  <c r="HB411" i="30"/>
  <c r="HC411" i="30"/>
  <c r="HD411" i="30"/>
  <c r="HE411" i="30"/>
  <c r="HF411" i="30"/>
  <c r="HG411" i="30"/>
  <c r="HH411" i="30"/>
  <c r="HI411" i="30"/>
  <c r="HJ411" i="30"/>
  <c r="HK411" i="30"/>
  <c r="HL411" i="30"/>
  <c r="HM411" i="30"/>
  <c r="HN411" i="30"/>
  <c r="HO411" i="30"/>
  <c r="HP411" i="30"/>
  <c r="HQ411" i="30"/>
  <c r="HR411" i="30"/>
  <c r="HS411" i="30"/>
  <c r="HT411" i="30"/>
  <c r="HU411" i="30"/>
  <c r="HV411" i="30"/>
  <c r="HW411" i="30"/>
  <c r="HX411" i="30"/>
  <c r="HY411" i="30"/>
  <c r="HZ411" i="30"/>
  <c r="IA411" i="30"/>
  <c r="IB411" i="30"/>
  <c r="IC411" i="30"/>
  <c r="ID411" i="30"/>
  <c r="IE411" i="30"/>
  <c r="IF411" i="30"/>
  <c r="IG411" i="30"/>
  <c r="IH411" i="30"/>
  <c r="II411" i="30"/>
  <c r="IJ411" i="30"/>
  <c r="IK411" i="30"/>
  <c r="IL411" i="30"/>
  <c r="IM411" i="30"/>
  <c r="IN411" i="30"/>
  <c r="IO411" i="30"/>
  <c r="IP411" i="30"/>
  <c r="IQ411" i="30"/>
  <c r="IR411" i="30"/>
  <c r="IS411" i="30"/>
  <c r="IT411" i="30"/>
  <c r="IU411" i="30"/>
  <c r="IV411" i="30"/>
  <c r="A410" i="30"/>
  <c r="B410" i="30"/>
  <c r="C410" i="30"/>
  <c r="D410" i="30"/>
  <c r="E410" i="30"/>
  <c r="F410" i="30"/>
  <c r="G410" i="30"/>
  <c r="H410" i="30"/>
  <c r="I410" i="30"/>
  <c r="J410" i="30"/>
  <c r="K410" i="30"/>
  <c r="L410" i="30"/>
  <c r="M410" i="30"/>
  <c r="N410" i="30"/>
  <c r="O410" i="30"/>
  <c r="P410" i="30"/>
  <c r="Q410" i="30"/>
  <c r="R410" i="30"/>
  <c r="S410" i="30"/>
  <c r="T410" i="30"/>
  <c r="U410" i="30"/>
  <c r="V410" i="30"/>
  <c r="W410" i="30"/>
  <c r="X410" i="30"/>
  <c r="Y410" i="30"/>
  <c r="Z410" i="30"/>
  <c r="AA410" i="30"/>
  <c r="AB410" i="30"/>
  <c r="AC410" i="30"/>
  <c r="AD410" i="30"/>
  <c r="AE410" i="30"/>
  <c r="AF410" i="30"/>
  <c r="AG410" i="30"/>
  <c r="AH410" i="30"/>
  <c r="AI410" i="30"/>
  <c r="AJ410" i="30"/>
  <c r="AK410" i="30"/>
  <c r="AL410" i="30"/>
  <c r="AM410" i="30"/>
  <c r="AN410" i="30"/>
  <c r="AO410" i="30"/>
  <c r="AP410" i="30"/>
  <c r="AQ410" i="30"/>
  <c r="AR410" i="30"/>
  <c r="AS410" i="30"/>
  <c r="AT410" i="30"/>
  <c r="AU410" i="30"/>
  <c r="AV410" i="30"/>
  <c r="AW410" i="30"/>
  <c r="AX410" i="30"/>
  <c r="AY410" i="30"/>
  <c r="AZ410" i="30"/>
  <c r="BA410" i="30"/>
  <c r="BB410" i="30"/>
  <c r="BC410" i="30"/>
  <c r="BD410" i="30"/>
  <c r="BE410" i="30"/>
  <c r="BF410" i="30"/>
  <c r="BG410" i="30"/>
  <c r="BH410" i="30"/>
  <c r="BI410" i="30"/>
  <c r="BJ410" i="30"/>
  <c r="BK410" i="30"/>
  <c r="BL410" i="30"/>
  <c r="BM410" i="30"/>
  <c r="BN410" i="30"/>
  <c r="BO410" i="30"/>
  <c r="BP410" i="30"/>
  <c r="BQ410" i="30"/>
  <c r="BR410" i="30"/>
  <c r="BS410" i="30"/>
  <c r="BT410" i="30"/>
  <c r="BU410" i="30"/>
  <c r="BV410" i="30"/>
  <c r="BW410" i="30"/>
  <c r="BX410" i="30"/>
  <c r="BY410" i="30"/>
  <c r="BZ410" i="30"/>
  <c r="CA410" i="30"/>
  <c r="CB410" i="30"/>
  <c r="CC410" i="30"/>
  <c r="CD410" i="30"/>
  <c r="CE410" i="30"/>
  <c r="CF410" i="30"/>
  <c r="CG410" i="30"/>
  <c r="CH410" i="30"/>
  <c r="CI410" i="30"/>
  <c r="CJ410" i="30"/>
  <c r="CK410" i="30"/>
  <c r="CL410" i="30"/>
  <c r="CM410" i="30"/>
  <c r="CN410" i="30"/>
  <c r="CO410" i="30"/>
  <c r="CP410" i="30"/>
  <c r="CQ410" i="30"/>
  <c r="CR410" i="30"/>
  <c r="CS410" i="30"/>
  <c r="CT410" i="30"/>
  <c r="CU410" i="30"/>
  <c r="CV410" i="30"/>
  <c r="CW410" i="30"/>
  <c r="CX410" i="30"/>
  <c r="CY410" i="30"/>
  <c r="CZ410" i="30"/>
  <c r="DA410" i="30"/>
  <c r="DB410" i="30"/>
  <c r="DC410" i="30"/>
  <c r="DD410" i="30"/>
  <c r="DE410" i="30"/>
  <c r="DF410" i="30"/>
  <c r="DG410" i="30"/>
  <c r="DH410" i="30"/>
  <c r="DI410" i="30"/>
  <c r="DJ410" i="30"/>
  <c r="DK410" i="30"/>
  <c r="DL410" i="30"/>
  <c r="DM410" i="30"/>
  <c r="DN410" i="30"/>
  <c r="DO410" i="30"/>
  <c r="DP410" i="30"/>
  <c r="DQ410" i="30"/>
  <c r="DR410" i="30"/>
  <c r="DS410" i="30"/>
  <c r="DT410" i="30"/>
  <c r="DU410" i="30"/>
  <c r="DV410" i="30"/>
  <c r="DW410" i="30"/>
  <c r="DX410" i="30"/>
  <c r="DY410" i="30"/>
  <c r="DZ410" i="30"/>
  <c r="EA410" i="30"/>
  <c r="EB410" i="30"/>
  <c r="EC410" i="30"/>
  <c r="ED410" i="30"/>
  <c r="EE410" i="30"/>
  <c r="EF410" i="30"/>
  <c r="EG410" i="30"/>
  <c r="EH410" i="30"/>
  <c r="EI410" i="30"/>
  <c r="EJ410" i="30"/>
  <c r="EK410" i="30"/>
  <c r="EL410" i="30"/>
  <c r="EM410" i="30"/>
  <c r="EN410" i="30"/>
  <c r="EO410" i="30"/>
  <c r="EP410" i="30"/>
  <c r="EQ410" i="30"/>
  <c r="ER410" i="30"/>
  <c r="ES410" i="30"/>
  <c r="ET410" i="30"/>
  <c r="EU410" i="30"/>
  <c r="EV410" i="30"/>
  <c r="EW410" i="30"/>
  <c r="EX410" i="30"/>
  <c r="EY410" i="30"/>
  <c r="EZ410" i="30"/>
  <c r="FA410" i="30"/>
  <c r="FB410" i="30"/>
  <c r="FC410" i="30"/>
  <c r="FD410" i="30"/>
  <c r="FE410" i="30"/>
  <c r="FF410" i="30"/>
  <c r="FG410" i="30"/>
  <c r="FH410" i="30"/>
  <c r="FI410" i="30"/>
  <c r="FJ410" i="30"/>
  <c r="FK410" i="30"/>
  <c r="FL410" i="30"/>
  <c r="FM410" i="30"/>
  <c r="FN410" i="30"/>
  <c r="FO410" i="30"/>
  <c r="FP410" i="30"/>
  <c r="FQ410" i="30"/>
  <c r="FR410" i="30"/>
  <c r="FS410" i="30"/>
  <c r="FT410" i="30"/>
  <c r="FU410" i="30"/>
  <c r="FV410" i="30"/>
  <c r="FW410" i="30"/>
  <c r="FX410" i="30"/>
  <c r="FY410" i="30"/>
  <c r="FZ410" i="30"/>
  <c r="GA410" i="30"/>
  <c r="GB410" i="30"/>
  <c r="GC410" i="30"/>
  <c r="GD410" i="30"/>
  <c r="GE410" i="30"/>
  <c r="GF410" i="30"/>
  <c r="GG410" i="30"/>
  <c r="GH410" i="30"/>
  <c r="GI410" i="30"/>
  <c r="GJ410" i="30"/>
  <c r="GK410" i="30"/>
  <c r="GL410" i="30"/>
  <c r="GM410" i="30"/>
  <c r="GN410" i="30"/>
  <c r="GO410" i="30"/>
  <c r="GP410" i="30"/>
  <c r="GQ410" i="30"/>
  <c r="GR410" i="30"/>
  <c r="GS410" i="30"/>
  <c r="GT410" i="30"/>
  <c r="GU410" i="30"/>
  <c r="GV410" i="30"/>
  <c r="GW410" i="30"/>
  <c r="GX410" i="30"/>
  <c r="GY410" i="30"/>
  <c r="GZ410" i="30"/>
  <c r="HA410" i="30"/>
  <c r="HB410" i="30"/>
  <c r="HC410" i="30"/>
  <c r="HD410" i="30"/>
  <c r="HE410" i="30"/>
  <c r="HF410" i="30"/>
  <c r="HG410" i="30"/>
  <c r="HH410" i="30"/>
  <c r="HI410" i="30"/>
  <c r="HJ410" i="30"/>
  <c r="HK410" i="30"/>
  <c r="HL410" i="30"/>
  <c r="HM410" i="30"/>
  <c r="HN410" i="30"/>
  <c r="HO410" i="30"/>
  <c r="HP410" i="30"/>
  <c r="HQ410" i="30"/>
  <c r="HR410" i="30"/>
  <c r="HS410" i="30"/>
  <c r="HT410" i="30"/>
  <c r="HU410" i="30"/>
  <c r="HV410" i="30"/>
  <c r="HW410" i="30"/>
  <c r="HX410" i="30"/>
  <c r="HY410" i="30"/>
  <c r="HZ410" i="30"/>
  <c r="IA410" i="30"/>
  <c r="IB410" i="30"/>
  <c r="IC410" i="30"/>
  <c r="ID410" i="30"/>
  <c r="IE410" i="30"/>
  <c r="IF410" i="30"/>
  <c r="IG410" i="30"/>
  <c r="IH410" i="30"/>
  <c r="II410" i="30"/>
  <c r="IJ410" i="30"/>
  <c r="IK410" i="30"/>
  <c r="IL410" i="30"/>
  <c r="IM410" i="30"/>
  <c r="IN410" i="30"/>
  <c r="IO410" i="30"/>
  <c r="IP410" i="30"/>
  <c r="IQ410" i="30"/>
  <c r="IR410" i="30"/>
  <c r="IS410" i="30"/>
  <c r="IT410" i="30"/>
  <c r="IU410" i="30"/>
  <c r="IV410" i="30"/>
  <c r="A409" i="30"/>
  <c r="B409" i="30"/>
  <c r="C409" i="30"/>
  <c r="D409" i="30"/>
  <c r="E409" i="30"/>
  <c r="F409" i="30"/>
  <c r="G409" i="30"/>
  <c r="H409" i="30"/>
  <c r="I409" i="30"/>
  <c r="J409" i="30"/>
  <c r="K409" i="30"/>
  <c r="L409" i="30"/>
  <c r="M409" i="30"/>
  <c r="N409" i="30"/>
  <c r="O409" i="30"/>
  <c r="P409" i="30"/>
  <c r="Q409" i="30"/>
  <c r="R409" i="30"/>
  <c r="S409" i="30"/>
  <c r="T409" i="30"/>
  <c r="U409" i="30"/>
  <c r="V409" i="30"/>
  <c r="W409" i="30"/>
  <c r="X409" i="30"/>
  <c r="Y409" i="30"/>
  <c r="Z409" i="30"/>
  <c r="AA409" i="30"/>
  <c r="AB409" i="30"/>
  <c r="AC409" i="30"/>
  <c r="AD409" i="30"/>
  <c r="AE409" i="30"/>
  <c r="AF409" i="30"/>
  <c r="AG409" i="30"/>
  <c r="AH409" i="30"/>
  <c r="AI409" i="30"/>
  <c r="AJ409" i="30"/>
  <c r="AK409" i="30"/>
  <c r="AL409" i="30"/>
  <c r="AM409" i="30"/>
  <c r="AN409" i="30"/>
  <c r="AO409" i="30"/>
  <c r="AP409" i="30"/>
  <c r="AQ409" i="30"/>
  <c r="AR409" i="30"/>
  <c r="AS409" i="30"/>
  <c r="AT409" i="30"/>
  <c r="AU409" i="30"/>
  <c r="AV409" i="30"/>
  <c r="AW409" i="30"/>
  <c r="AX409" i="30"/>
  <c r="AY409" i="30"/>
  <c r="AZ409" i="30"/>
  <c r="BA409" i="30"/>
  <c r="BB409" i="30"/>
  <c r="BC409" i="30"/>
  <c r="BD409" i="30"/>
  <c r="BE409" i="30"/>
  <c r="BF409" i="30"/>
  <c r="BG409" i="30"/>
  <c r="BH409" i="30"/>
  <c r="BI409" i="30"/>
  <c r="BJ409" i="30"/>
  <c r="BK409" i="30"/>
  <c r="BL409" i="30"/>
  <c r="BM409" i="30"/>
  <c r="BN409" i="30"/>
  <c r="BO409" i="30"/>
  <c r="BP409" i="30"/>
  <c r="BQ409" i="30"/>
  <c r="BR409" i="30"/>
  <c r="BS409" i="30"/>
  <c r="BT409" i="30"/>
  <c r="BU409" i="30"/>
  <c r="BV409" i="30"/>
  <c r="BW409" i="30"/>
  <c r="BX409" i="30"/>
  <c r="BY409" i="30"/>
  <c r="BZ409" i="30"/>
  <c r="CA409" i="30"/>
  <c r="CB409" i="30"/>
  <c r="CC409" i="30"/>
  <c r="CD409" i="30"/>
  <c r="CE409" i="30"/>
  <c r="CF409" i="30"/>
  <c r="CG409" i="30"/>
  <c r="CH409" i="30"/>
  <c r="CI409" i="30"/>
  <c r="CJ409" i="30"/>
  <c r="CK409" i="30"/>
  <c r="CL409" i="30"/>
  <c r="CM409" i="30"/>
  <c r="CN409" i="30"/>
  <c r="CO409" i="30"/>
  <c r="CP409" i="30"/>
  <c r="CQ409" i="30"/>
  <c r="CR409" i="30"/>
  <c r="CS409" i="30"/>
  <c r="CT409" i="30"/>
  <c r="CU409" i="30"/>
  <c r="CV409" i="30"/>
  <c r="CW409" i="30"/>
  <c r="CX409" i="30"/>
  <c r="CY409" i="30"/>
  <c r="CZ409" i="30"/>
  <c r="DA409" i="30"/>
  <c r="DB409" i="30"/>
  <c r="DC409" i="30"/>
  <c r="DD409" i="30"/>
  <c r="DE409" i="30"/>
  <c r="DF409" i="30"/>
  <c r="DG409" i="30"/>
  <c r="DH409" i="30"/>
  <c r="DI409" i="30"/>
  <c r="DJ409" i="30"/>
  <c r="DK409" i="30"/>
  <c r="DL409" i="30"/>
  <c r="DM409" i="30"/>
  <c r="DN409" i="30"/>
  <c r="DO409" i="30"/>
  <c r="DP409" i="30"/>
  <c r="DQ409" i="30"/>
  <c r="DR409" i="30"/>
  <c r="DS409" i="30"/>
  <c r="DT409" i="30"/>
  <c r="DU409" i="30"/>
  <c r="DV409" i="30"/>
  <c r="DW409" i="30"/>
  <c r="DX409" i="30"/>
  <c r="DY409" i="30"/>
  <c r="DZ409" i="30"/>
  <c r="EA409" i="30"/>
  <c r="EB409" i="30"/>
  <c r="EC409" i="30"/>
  <c r="ED409" i="30"/>
  <c r="EE409" i="30"/>
  <c r="EF409" i="30"/>
  <c r="EG409" i="30"/>
  <c r="EH409" i="30"/>
  <c r="EI409" i="30"/>
  <c r="EJ409" i="30"/>
  <c r="EK409" i="30"/>
  <c r="EL409" i="30"/>
  <c r="EM409" i="30"/>
  <c r="EN409" i="30"/>
  <c r="EO409" i="30"/>
  <c r="EP409" i="30"/>
  <c r="EQ409" i="30"/>
  <c r="ER409" i="30"/>
  <c r="ES409" i="30"/>
  <c r="ET409" i="30"/>
  <c r="EU409" i="30"/>
  <c r="EV409" i="30"/>
  <c r="EW409" i="30"/>
  <c r="EX409" i="30"/>
  <c r="EY409" i="30"/>
  <c r="EZ409" i="30"/>
  <c r="FA409" i="30"/>
  <c r="FB409" i="30"/>
  <c r="FC409" i="30"/>
  <c r="FD409" i="30"/>
  <c r="FE409" i="30"/>
  <c r="FF409" i="30"/>
  <c r="FG409" i="30"/>
  <c r="FH409" i="30"/>
  <c r="FI409" i="30"/>
  <c r="FJ409" i="30"/>
  <c r="FK409" i="30"/>
  <c r="FL409" i="30"/>
  <c r="FM409" i="30"/>
  <c r="FN409" i="30"/>
  <c r="FO409" i="30"/>
  <c r="FP409" i="30"/>
  <c r="FQ409" i="30"/>
  <c r="FR409" i="30"/>
  <c r="FS409" i="30"/>
  <c r="FT409" i="30"/>
  <c r="FU409" i="30"/>
  <c r="FV409" i="30"/>
  <c r="FW409" i="30"/>
  <c r="FX409" i="30"/>
  <c r="FY409" i="30"/>
  <c r="FZ409" i="30"/>
  <c r="GA409" i="30"/>
  <c r="GB409" i="30"/>
  <c r="GC409" i="30"/>
  <c r="GD409" i="30"/>
  <c r="GE409" i="30"/>
  <c r="GF409" i="30"/>
  <c r="GG409" i="30"/>
  <c r="GH409" i="30"/>
  <c r="GI409" i="30"/>
  <c r="GJ409" i="30"/>
  <c r="GK409" i="30"/>
  <c r="GL409" i="30"/>
  <c r="GM409" i="30"/>
  <c r="GN409" i="30"/>
  <c r="GO409" i="30"/>
  <c r="GP409" i="30"/>
  <c r="GQ409" i="30"/>
  <c r="GR409" i="30"/>
  <c r="GS409" i="30"/>
  <c r="GT409" i="30"/>
  <c r="GU409" i="30"/>
  <c r="GV409" i="30"/>
  <c r="GW409" i="30"/>
  <c r="GX409" i="30"/>
  <c r="GY409" i="30"/>
  <c r="GZ409" i="30"/>
  <c r="HA409" i="30"/>
  <c r="HB409" i="30"/>
  <c r="HC409" i="30"/>
  <c r="HD409" i="30"/>
  <c r="HE409" i="30"/>
  <c r="HF409" i="30"/>
  <c r="HG409" i="30"/>
  <c r="HH409" i="30"/>
  <c r="HI409" i="30"/>
  <c r="HJ409" i="30"/>
  <c r="HK409" i="30"/>
  <c r="HL409" i="30"/>
  <c r="HM409" i="30"/>
  <c r="HN409" i="30"/>
  <c r="HO409" i="30"/>
  <c r="HP409" i="30"/>
  <c r="HQ409" i="30"/>
  <c r="HR409" i="30"/>
  <c r="HS409" i="30"/>
  <c r="HT409" i="30"/>
  <c r="HU409" i="30"/>
  <c r="HV409" i="30"/>
  <c r="HW409" i="30"/>
  <c r="HX409" i="30"/>
  <c r="HY409" i="30"/>
  <c r="HZ409" i="30"/>
  <c r="IA409" i="30"/>
  <c r="IB409" i="30"/>
  <c r="IC409" i="30"/>
  <c r="ID409" i="30"/>
  <c r="IE409" i="30"/>
  <c r="IF409" i="30"/>
  <c r="IG409" i="30"/>
  <c r="IH409" i="30"/>
  <c r="II409" i="30"/>
  <c r="IJ409" i="30"/>
  <c r="IK409" i="30"/>
  <c r="IL409" i="30"/>
  <c r="IM409" i="30"/>
  <c r="IN409" i="30"/>
  <c r="IO409" i="30"/>
  <c r="IP409" i="30"/>
  <c r="IQ409" i="30"/>
  <c r="IR409" i="30"/>
  <c r="IS409" i="30"/>
  <c r="IT409" i="30"/>
  <c r="IU409" i="30"/>
  <c r="IV409" i="30"/>
  <c r="A408" i="30"/>
  <c r="B408" i="30"/>
  <c r="C408" i="30"/>
  <c r="D408" i="30"/>
  <c r="E408" i="30"/>
  <c r="F408" i="30"/>
  <c r="G408" i="30"/>
  <c r="H408" i="30"/>
  <c r="I408" i="30"/>
  <c r="J408" i="30"/>
  <c r="K408" i="30"/>
  <c r="L408" i="30"/>
  <c r="M408" i="30"/>
  <c r="N408" i="30"/>
  <c r="O408" i="30"/>
  <c r="P408" i="30"/>
  <c r="Q408" i="30"/>
  <c r="R408" i="30"/>
  <c r="S408" i="30"/>
  <c r="T408" i="30"/>
  <c r="U408" i="30"/>
  <c r="V408" i="30"/>
  <c r="W408" i="30"/>
  <c r="X408" i="30"/>
  <c r="Y408" i="30"/>
  <c r="Z408" i="30"/>
  <c r="AA408" i="30"/>
  <c r="AB408" i="30"/>
  <c r="AC408" i="30"/>
  <c r="AD408" i="30"/>
  <c r="AE408" i="30"/>
  <c r="AF408" i="30"/>
  <c r="AG408" i="30"/>
  <c r="AH408" i="30"/>
  <c r="AI408" i="30"/>
  <c r="AJ408" i="30"/>
  <c r="AK408" i="30"/>
  <c r="AL408" i="30"/>
  <c r="AM408" i="30"/>
  <c r="AN408" i="30"/>
  <c r="AO408" i="30"/>
  <c r="AP408" i="30"/>
  <c r="AQ408" i="30"/>
  <c r="AR408" i="30"/>
  <c r="AS408" i="30"/>
  <c r="AT408" i="30"/>
  <c r="AU408" i="30"/>
  <c r="AV408" i="30"/>
  <c r="AW408" i="30"/>
  <c r="AX408" i="30"/>
  <c r="AY408" i="30"/>
  <c r="AZ408" i="30"/>
  <c r="BA408" i="30"/>
  <c r="BB408" i="30"/>
  <c r="BC408" i="30"/>
  <c r="BD408" i="30"/>
  <c r="BE408" i="30"/>
  <c r="BF408" i="30"/>
  <c r="BG408" i="30"/>
  <c r="BH408" i="30"/>
  <c r="BI408" i="30"/>
  <c r="BJ408" i="30"/>
  <c r="BK408" i="30"/>
  <c r="BL408" i="30"/>
  <c r="BM408" i="30"/>
  <c r="BN408" i="30"/>
  <c r="BO408" i="30"/>
  <c r="BP408" i="30"/>
  <c r="BQ408" i="30"/>
  <c r="BR408" i="30"/>
  <c r="BS408" i="30"/>
  <c r="BT408" i="30"/>
  <c r="BU408" i="30"/>
  <c r="BV408" i="30"/>
  <c r="BW408" i="30"/>
  <c r="BX408" i="30"/>
  <c r="BY408" i="30"/>
  <c r="BZ408" i="30"/>
  <c r="CA408" i="30"/>
  <c r="CB408" i="30"/>
  <c r="CC408" i="30"/>
  <c r="CD408" i="30"/>
  <c r="CE408" i="30"/>
  <c r="CF408" i="30"/>
  <c r="CG408" i="30"/>
  <c r="CH408" i="30"/>
  <c r="CI408" i="30"/>
  <c r="CJ408" i="30"/>
  <c r="CK408" i="30"/>
  <c r="CL408" i="30"/>
  <c r="CM408" i="30"/>
  <c r="CN408" i="30"/>
  <c r="CO408" i="30"/>
  <c r="CP408" i="30"/>
  <c r="CQ408" i="30"/>
  <c r="CR408" i="30"/>
  <c r="CS408" i="30"/>
  <c r="CT408" i="30"/>
  <c r="CU408" i="30"/>
  <c r="CV408" i="30"/>
  <c r="CW408" i="30"/>
  <c r="CX408" i="30"/>
  <c r="CY408" i="30"/>
  <c r="CZ408" i="30"/>
  <c r="DA408" i="30"/>
  <c r="DB408" i="30"/>
  <c r="DC408" i="30"/>
  <c r="DD408" i="30"/>
  <c r="DE408" i="30"/>
  <c r="DF408" i="30"/>
  <c r="DG408" i="30"/>
  <c r="DH408" i="30"/>
  <c r="DI408" i="30"/>
  <c r="DJ408" i="30"/>
  <c r="DK408" i="30"/>
  <c r="DL408" i="30"/>
  <c r="DM408" i="30"/>
  <c r="DN408" i="30"/>
  <c r="DO408" i="30"/>
  <c r="DP408" i="30"/>
  <c r="DQ408" i="30"/>
  <c r="DR408" i="30"/>
  <c r="DS408" i="30"/>
  <c r="DT408" i="30"/>
  <c r="DU408" i="30"/>
  <c r="DV408" i="30"/>
  <c r="DW408" i="30"/>
  <c r="DX408" i="30"/>
  <c r="DY408" i="30"/>
  <c r="DZ408" i="30"/>
  <c r="EA408" i="30"/>
  <c r="EB408" i="30"/>
  <c r="EC408" i="30"/>
  <c r="ED408" i="30"/>
  <c r="EE408" i="30"/>
  <c r="EF408" i="30"/>
  <c r="EG408" i="30"/>
  <c r="EH408" i="30"/>
  <c r="EI408" i="30"/>
  <c r="EJ408" i="30"/>
  <c r="EK408" i="30"/>
  <c r="EL408" i="30"/>
  <c r="EM408" i="30"/>
  <c r="EN408" i="30"/>
  <c r="EO408" i="30"/>
  <c r="EP408" i="30"/>
  <c r="EQ408" i="30"/>
  <c r="ER408" i="30"/>
  <c r="ES408" i="30"/>
  <c r="ET408" i="30"/>
  <c r="EU408" i="30"/>
  <c r="EV408" i="30"/>
  <c r="EW408" i="30"/>
  <c r="EX408" i="30"/>
  <c r="EY408" i="30"/>
  <c r="EZ408" i="30"/>
  <c r="FA408" i="30"/>
  <c r="FB408" i="30"/>
  <c r="FC408" i="30"/>
  <c r="FD408" i="30"/>
  <c r="FE408" i="30"/>
  <c r="FF408" i="30"/>
  <c r="FG408" i="30"/>
  <c r="FH408" i="30"/>
  <c r="FI408" i="30"/>
  <c r="FJ408" i="30"/>
  <c r="FK408" i="30"/>
  <c r="FL408" i="30"/>
  <c r="FM408" i="30"/>
  <c r="FN408" i="30"/>
  <c r="FO408" i="30"/>
  <c r="FP408" i="30"/>
  <c r="FQ408" i="30"/>
  <c r="FR408" i="30"/>
  <c r="FS408" i="30"/>
  <c r="FT408" i="30"/>
  <c r="FU408" i="30"/>
  <c r="FV408" i="30"/>
  <c r="FW408" i="30"/>
  <c r="FX408" i="30"/>
  <c r="FY408" i="30"/>
  <c r="FZ408" i="30"/>
  <c r="GA408" i="30"/>
  <c r="GB408" i="30"/>
  <c r="GC408" i="30"/>
  <c r="GD408" i="30"/>
  <c r="GE408" i="30"/>
  <c r="GF408" i="30"/>
  <c r="GG408" i="30"/>
  <c r="GH408" i="30"/>
  <c r="GI408" i="30"/>
  <c r="GJ408" i="30"/>
  <c r="GK408" i="30"/>
  <c r="GL408" i="30"/>
  <c r="GM408" i="30"/>
  <c r="GN408" i="30"/>
  <c r="GO408" i="30"/>
  <c r="GP408" i="30"/>
  <c r="GQ408" i="30"/>
  <c r="GR408" i="30"/>
  <c r="GS408" i="30"/>
  <c r="GT408" i="30"/>
  <c r="GU408" i="30"/>
  <c r="GV408" i="30"/>
  <c r="GW408" i="30"/>
  <c r="GX408" i="30"/>
  <c r="GY408" i="30"/>
  <c r="GZ408" i="30"/>
  <c r="HA408" i="30"/>
  <c r="HB408" i="30"/>
  <c r="HC408" i="30"/>
  <c r="HD408" i="30"/>
  <c r="HE408" i="30"/>
  <c r="HF408" i="30"/>
  <c r="HG408" i="30"/>
  <c r="HH408" i="30"/>
  <c r="HI408" i="30"/>
  <c r="HJ408" i="30"/>
  <c r="HK408" i="30"/>
  <c r="HL408" i="30"/>
  <c r="HM408" i="30"/>
  <c r="HN408" i="30"/>
  <c r="HO408" i="30"/>
  <c r="HP408" i="30"/>
  <c r="HQ408" i="30"/>
  <c r="HR408" i="30"/>
  <c r="HS408" i="30"/>
  <c r="HT408" i="30"/>
  <c r="HU408" i="30"/>
  <c r="HV408" i="30"/>
  <c r="HW408" i="30"/>
  <c r="HX408" i="30"/>
  <c r="HY408" i="30"/>
  <c r="HZ408" i="30"/>
  <c r="IA408" i="30"/>
  <c r="IB408" i="30"/>
  <c r="IC408" i="30"/>
  <c r="ID408" i="30"/>
  <c r="IE408" i="30"/>
  <c r="IF408" i="30"/>
  <c r="IG408" i="30"/>
  <c r="IH408" i="30"/>
  <c r="II408" i="30"/>
  <c r="IJ408" i="30"/>
  <c r="IK408" i="30"/>
  <c r="IL408" i="30"/>
  <c r="IM408" i="30"/>
  <c r="IN408" i="30"/>
  <c r="IO408" i="30"/>
  <c r="IP408" i="30"/>
  <c r="IQ408" i="30"/>
  <c r="IR408" i="30"/>
  <c r="IS408" i="30"/>
  <c r="IT408" i="30"/>
  <c r="IU408" i="30"/>
  <c r="IV408" i="30"/>
  <c r="A407" i="30"/>
  <c r="B407" i="30"/>
  <c r="C407" i="30"/>
  <c r="D407" i="30"/>
  <c r="E407" i="30"/>
  <c r="F407" i="30"/>
  <c r="G407" i="30"/>
  <c r="H407" i="30"/>
  <c r="I407" i="30"/>
  <c r="J407" i="30"/>
  <c r="K407" i="30"/>
  <c r="L407" i="30"/>
  <c r="M407" i="30"/>
  <c r="N407" i="30"/>
  <c r="O407" i="30"/>
  <c r="P407" i="30"/>
  <c r="Q407" i="30"/>
  <c r="R407" i="30"/>
  <c r="S407" i="30"/>
  <c r="T407" i="30"/>
  <c r="U407" i="30"/>
  <c r="V407" i="30"/>
  <c r="W407" i="30"/>
  <c r="X407" i="30"/>
  <c r="Y407" i="30"/>
  <c r="Z407" i="30"/>
  <c r="AA407" i="30"/>
  <c r="AB407" i="30"/>
  <c r="AC407" i="30"/>
  <c r="AD407" i="30"/>
  <c r="AE407" i="30"/>
  <c r="AF407" i="30"/>
  <c r="AG407" i="30"/>
  <c r="AH407" i="30"/>
  <c r="AI407" i="30"/>
  <c r="AJ407" i="30"/>
  <c r="AK407" i="30"/>
  <c r="AL407" i="30"/>
  <c r="AM407" i="30"/>
  <c r="AN407" i="30"/>
  <c r="AO407" i="30"/>
  <c r="AP407" i="30"/>
  <c r="AQ407" i="30"/>
  <c r="AR407" i="30"/>
  <c r="AS407" i="30"/>
  <c r="AT407" i="30"/>
  <c r="AU407" i="30"/>
  <c r="AV407" i="30"/>
  <c r="AW407" i="30"/>
  <c r="AX407" i="30"/>
  <c r="AY407" i="30"/>
  <c r="AZ407" i="30"/>
  <c r="BA407" i="30"/>
  <c r="BB407" i="30"/>
  <c r="BC407" i="30"/>
  <c r="BD407" i="30"/>
  <c r="BE407" i="30"/>
  <c r="BF407" i="30"/>
  <c r="BG407" i="30"/>
  <c r="BH407" i="30"/>
  <c r="BI407" i="30"/>
  <c r="BJ407" i="30"/>
  <c r="BK407" i="30"/>
  <c r="BL407" i="30"/>
  <c r="BM407" i="30"/>
  <c r="BN407" i="30"/>
  <c r="BO407" i="30"/>
  <c r="BP407" i="30"/>
  <c r="BQ407" i="30"/>
  <c r="BR407" i="30"/>
  <c r="BS407" i="30"/>
  <c r="BT407" i="30"/>
  <c r="BU407" i="30"/>
  <c r="BV407" i="30"/>
  <c r="BW407" i="30"/>
  <c r="BX407" i="30"/>
  <c r="BY407" i="30"/>
  <c r="BZ407" i="30"/>
  <c r="CA407" i="30"/>
  <c r="CB407" i="30"/>
  <c r="CC407" i="30"/>
  <c r="CD407" i="30"/>
  <c r="CE407" i="30"/>
  <c r="CF407" i="30"/>
  <c r="CG407" i="30"/>
  <c r="CH407" i="30"/>
  <c r="CI407" i="30"/>
  <c r="CJ407" i="30"/>
  <c r="CK407" i="30"/>
  <c r="CL407" i="30"/>
  <c r="CM407" i="30"/>
  <c r="CN407" i="30"/>
  <c r="CO407" i="30"/>
  <c r="CP407" i="30"/>
  <c r="CQ407" i="30"/>
  <c r="CR407" i="30"/>
  <c r="CS407" i="30"/>
  <c r="CT407" i="30"/>
  <c r="CU407" i="30"/>
  <c r="CV407" i="30"/>
  <c r="CW407" i="30"/>
  <c r="CX407" i="30"/>
  <c r="CY407" i="30"/>
  <c r="CZ407" i="30"/>
  <c r="DA407" i="30"/>
  <c r="DB407" i="30"/>
  <c r="DC407" i="30"/>
  <c r="DD407" i="30"/>
  <c r="DE407" i="30"/>
  <c r="DF407" i="30"/>
  <c r="DG407" i="30"/>
  <c r="DH407" i="30"/>
  <c r="DI407" i="30"/>
  <c r="DJ407" i="30"/>
  <c r="DK407" i="30"/>
  <c r="DL407" i="30"/>
  <c r="DM407" i="30"/>
  <c r="DN407" i="30"/>
  <c r="DO407" i="30"/>
  <c r="DP407" i="30"/>
  <c r="DQ407" i="30"/>
  <c r="DR407" i="30"/>
  <c r="DS407" i="30"/>
  <c r="DT407" i="30"/>
  <c r="DU407" i="30"/>
  <c r="DV407" i="30"/>
  <c r="DW407" i="30"/>
  <c r="DX407" i="30"/>
  <c r="DY407" i="30"/>
  <c r="DZ407" i="30"/>
  <c r="EA407" i="30"/>
  <c r="EB407" i="30"/>
  <c r="EC407" i="30"/>
  <c r="ED407" i="30"/>
  <c r="EE407" i="30"/>
  <c r="EF407" i="30"/>
  <c r="EG407" i="30"/>
  <c r="EH407" i="30"/>
  <c r="EI407" i="30"/>
  <c r="EJ407" i="30"/>
  <c r="EK407" i="30"/>
  <c r="EL407" i="30"/>
  <c r="EM407" i="30"/>
  <c r="EN407" i="30"/>
  <c r="EO407" i="30"/>
  <c r="EP407" i="30"/>
  <c r="EQ407" i="30"/>
  <c r="ER407" i="30"/>
  <c r="ES407" i="30"/>
  <c r="ET407" i="30"/>
  <c r="EU407" i="30"/>
  <c r="EV407" i="30"/>
  <c r="EW407" i="30"/>
  <c r="EX407" i="30"/>
  <c r="EY407" i="30"/>
  <c r="EZ407" i="30"/>
  <c r="FA407" i="30"/>
  <c r="FB407" i="30"/>
  <c r="FC407" i="30"/>
  <c r="FD407" i="30"/>
  <c r="FE407" i="30"/>
  <c r="FF407" i="30"/>
  <c r="FG407" i="30"/>
  <c r="FH407" i="30"/>
  <c r="FI407" i="30"/>
  <c r="FJ407" i="30"/>
  <c r="FK407" i="30"/>
  <c r="FL407" i="30"/>
  <c r="FM407" i="30"/>
  <c r="FN407" i="30"/>
  <c r="FO407" i="30"/>
  <c r="FP407" i="30"/>
  <c r="FQ407" i="30"/>
  <c r="FR407" i="30"/>
  <c r="FS407" i="30"/>
  <c r="FT407" i="30"/>
  <c r="FU407" i="30"/>
  <c r="FV407" i="30"/>
  <c r="FW407" i="30"/>
  <c r="FX407" i="30"/>
  <c r="FY407" i="30"/>
  <c r="FZ407" i="30"/>
  <c r="GA407" i="30"/>
  <c r="GB407" i="30"/>
  <c r="GC407" i="30"/>
  <c r="GD407" i="30"/>
  <c r="GE407" i="30"/>
  <c r="GF407" i="30"/>
  <c r="GG407" i="30"/>
  <c r="GH407" i="30"/>
  <c r="GI407" i="30"/>
  <c r="GJ407" i="30"/>
  <c r="GK407" i="30"/>
  <c r="GL407" i="30"/>
  <c r="GM407" i="30"/>
  <c r="GN407" i="30"/>
  <c r="GO407" i="30"/>
  <c r="GP407" i="30"/>
  <c r="GQ407" i="30"/>
  <c r="GR407" i="30"/>
  <c r="GS407" i="30"/>
  <c r="GT407" i="30"/>
  <c r="GU407" i="30"/>
  <c r="GV407" i="30"/>
  <c r="GW407" i="30"/>
  <c r="GX407" i="30"/>
  <c r="GY407" i="30"/>
  <c r="GZ407" i="30"/>
  <c r="HA407" i="30"/>
  <c r="HB407" i="30"/>
  <c r="HC407" i="30"/>
  <c r="HD407" i="30"/>
  <c r="HE407" i="30"/>
  <c r="HF407" i="30"/>
  <c r="HG407" i="30"/>
  <c r="HH407" i="30"/>
  <c r="HI407" i="30"/>
  <c r="HJ407" i="30"/>
  <c r="HK407" i="30"/>
  <c r="HL407" i="30"/>
  <c r="HM407" i="30"/>
  <c r="HN407" i="30"/>
  <c r="HO407" i="30"/>
  <c r="HP407" i="30"/>
  <c r="HQ407" i="30"/>
  <c r="HR407" i="30"/>
  <c r="HS407" i="30"/>
  <c r="HT407" i="30"/>
  <c r="HU407" i="30"/>
  <c r="HV407" i="30"/>
  <c r="HW407" i="30"/>
  <c r="HX407" i="30"/>
  <c r="HY407" i="30"/>
  <c r="HZ407" i="30"/>
  <c r="IA407" i="30"/>
  <c r="IB407" i="30"/>
  <c r="IC407" i="30"/>
  <c r="ID407" i="30"/>
  <c r="IE407" i="30"/>
  <c r="IF407" i="30"/>
  <c r="IG407" i="30"/>
  <c r="IH407" i="30"/>
  <c r="II407" i="30"/>
  <c r="IJ407" i="30"/>
  <c r="IK407" i="30"/>
  <c r="IL407" i="30"/>
  <c r="IM407" i="30"/>
  <c r="IN407" i="30"/>
  <c r="IO407" i="30"/>
  <c r="IP407" i="30"/>
  <c r="IQ407" i="30"/>
  <c r="IR407" i="30"/>
  <c r="IS407" i="30"/>
  <c r="IT407" i="30"/>
  <c r="IU407" i="30"/>
  <c r="IV407" i="30"/>
  <c r="A406" i="30"/>
  <c r="B406" i="30"/>
  <c r="C406" i="30"/>
  <c r="D406" i="30"/>
  <c r="E406" i="30"/>
  <c r="F406" i="30"/>
  <c r="G406" i="30"/>
  <c r="H406" i="30"/>
  <c r="I406" i="30"/>
  <c r="J406" i="30"/>
  <c r="K406" i="30"/>
  <c r="L406" i="30"/>
  <c r="M406" i="30"/>
  <c r="N406" i="30"/>
  <c r="O406" i="30"/>
  <c r="P406" i="30"/>
  <c r="Q406" i="30"/>
  <c r="R406" i="30"/>
  <c r="S406" i="30"/>
  <c r="T406" i="30"/>
  <c r="U406" i="30"/>
  <c r="V406" i="30"/>
  <c r="W406" i="30"/>
  <c r="X406" i="30"/>
  <c r="Y406" i="30"/>
  <c r="Z406" i="30"/>
  <c r="AA406" i="30"/>
  <c r="AB406" i="30"/>
  <c r="AC406" i="30"/>
  <c r="AD406" i="30"/>
  <c r="AE406" i="30"/>
  <c r="AF406" i="30"/>
  <c r="AG406" i="30"/>
  <c r="AH406" i="30"/>
  <c r="AI406" i="30"/>
  <c r="AJ406" i="30"/>
  <c r="AK406" i="30"/>
  <c r="AL406" i="30"/>
  <c r="AM406" i="30"/>
  <c r="AN406" i="30"/>
  <c r="AO406" i="30"/>
  <c r="AP406" i="30"/>
  <c r="AQ406" i="30"/>
  <c r="AR406" i="30"/>
  <c r="AS406" i="30"/>
  <c r="AT406" i="30"/>
  <c r="AU406" i="30"/>
  <c r="AV406" i="30"/>
  <c r="AW406" i="30"/>
  <c r="AX406" i="30"/>
  <c r="AY406" i="30"/>
  <c r="AZ406" i="30"/>
  <c r="BA406" i="30"/>
  <c r="BB406" i="30"/>
  <c r="BC406" i="30"/>
  <c r="BD406" i="30"/>
  <c r="BE406" i="30"/>
  <c r="BF406" i="30"/>
  <c r="BG406" i="30"/>
  <c r="BH406" i="30"/>
  <c r="BI406" i="30"/>
  <c r="BJ406" i="30"/>
  <c r="BK406" i="30"/>
  <c r="BL406" i="30"/>
  <c r="BM406" i="30"/>
  <c r="BN406" i="30"/>
  <c r="BO406" i="30"/>
  <c r="BP406" i="30"/>
  <c r="BQ406" i="30"/>
  <c r="BR406" i="30"/>
  <c r="BS406" i="30"/>
  <c r="BT406" i="30"/>
  <c r="BU406" i="30"/>
  <c r="BV406" i="30"/>
  <c r="BW406" i="30"/>
  <c r="BX406" i="30"/>
  <c r="BY406" i="30"/>
  <c r="BZ406" i="30"/>
  <c r="CA406" i="30"/>
  <c r="CB406" i="30"/>
  <c r="CC406" i="30"/>
  <c r="CD406" i="30"/>
  <c r="CE406" i="30"/>
  <c r="CF406" i="30"/>
  <c r="CG406" i="30"/>
  <c r="CH406" i="30"/>
  <c r="CI406" i="30"/>
  <c r="CJ406" i="30"/>
  <c r="CK406" i="30"/>
  <c r="CL406" i="30"/>
  <c r="CM406" i="30"/>
  <c r="CN406" i="30"/>
  <c r="CO406" i="30"/>
  <c r="CP406" i="30"/>
  <c r="CQ406" i="30"/>
  <c r="CR406" i="30"/>
  <c r="CS406" i="30"/>
  <c r="CT406" i="30"/>
  <c r="CU406" i="30"/>
  <c r="CV406" i="30"/>
  <c r="CW406" i="30"/>
  <c r="CX406" i="30"/>
  <c r="CY406" i="30"/>
  <c r="CZ406" i="30"/>
  <c r="DA406" i="30"/>
  <c r="DB406" i="30"/>
  <c r="DC406" i="30"/>
  <c r="DD406" i="30"/>
  <c r="DE406" i="30"/>
  <c r="DF406" i="30"/>
  <c r="DG406" i="30"/>
  <c r="DH406" i="30"/>
  <c r="DI406" i="30"/>
  <c r="DJ406" i="30"/>
  <c r="DK406" i="30"/>
  <c r="DL406" i="30"/>
  <c r="DM406" i="30"/>
  <c r="DN406" i="30"/>
  <c r="DO406" i="30"/>
  <c r="DP406" i="30"/>
  <c r="DQ406" i="30"/>
  <c r="DR406" i="30"/>
  <c r="DS406" i="30"/>
  <c r="DT406" i="30"/>
  <c r="DU406" i="30"/>
  <c r="DV406" i="30"/>
  <c r="DW406" i="30"/>
  <c r="DX406" i="30"/>
  <c r="DY406" i="30"/>
  <c r="DZ406" i="30"/>
  <c r="EA406" i="30"/>
  <c r="EB406" i="30"/>
  <c r="EC406" i="30"/>
  <c r="ED406" i="30"/>
  <c r="EE406" i="30"/>
  <c r="EF406" i="30"/>
  <c r="EG406" i="30"/>
  <c r="EH406" i="30"/>
  <c r="EI406" i="30"/>
  <c r="EJ406" i="30"/>
  <c r="EK406" i="30"/>
  <c r="EL406" i="30"/>
  <c r="EM406" i="30"/>
  <c r="EN406" i="30"/>
  <c r="EO406" i="30"/>
  <c r="EP406" i="30"/>
  <c r="EQ406" i="30"/>
  <c r="ER406" i="30"/>
  <c r="ES406" i="30"/>
  <c r="ET406" i="30"/>
  <c r="EU406" i="30"/>
  <c r="EV406" i="30"/>
  <c r="EW406" i="30"/>
  <c r="EX406" i="30"/>
  <c r="EY406" i="30"/>
  <c r="EZ406" i="30"/>
  <c r="FA406" i="30"/>
  <c r="FB406" i="30"/>
  <c r="FC406" i="30"/>
  <c r="FD406" i="30"/>
  <c r="FE406" i="30"/>
  <c r="FF406" i="30"/>
  <c r="FG406" i="30"/>
  <c r="FH406" i="30"/>
  <c r="FI406" i="30"/>
  <c r="FJ406" i="30"/>
  <c r="FK406" i="30"/>
  <c r="FL406" i="30"/>
  <c r="FM406" i="30"/>
  <c r="FN406" i="30"/>
  <c r="FO406" i="30"/>
  <c r="FP406" i="30"/>
  <c r="FQ406" i="30"/>
  <c r="FR406" i="30"/>
  <c r="FS406" i="30"/>
  <c r="FT406" i="30"/>
  <c r="FU406" i="30"/>
  <c r="FV406" i="30"/>
  <c r="FW406" i="30"/>
  <c r="FX406" i="30"/>
  <c r="FY406" i="30"/>
  <c r="FZ406" i="30"/>
  <c r="GA406" i="30"/>
  <c r="GB406" i="30"/>
  <c r="GC406" i="30"/>
  <c r="GD406" i="30"/>
  <c r="GE406" i="30"/>
  <c r="GF406" i="30"/>
  <c r="GG406" i="30"/>
  <c r="GH406" i="30"/>
  <c r="GI406" i="30"/>
  <c r="GJ406" i="30"/>
  <c r="GK406" i="30"/>
  <c r="GL406" i="30"/>
  <c r="GM406" i="30"/>
  <c r="GN406" i="30"/>
  <c r="GO406" i="30"/>
  <c r="GP406" i="30"/>
  <c r="GQ406" i="30"/>
  <c r="GR406" i="30"/>
  <c r="GS406" i="30"/>
  <c r="GT406" i="30"/>
  <c r="GU406" i="30"/>
  <c r="GV406" i="30"/>
  <c r="GW406" i="30"/>
  <c r="GX406" i="30"/>
  <c r="GY406" i="30"/>
  <c r="GZ406" i="30"/>
  <c r="HA406" i="30"/>
  <c r="HB406" i="30"/>
  <c r="HC406" i="30"/>
  <c r="HD406" i="30"/>
  <c r="HE406" i="30"/>
  <c r="HF406" i="30"/>
  <c r="HG406" i="30"/>
  <c r="HH406" i="30"/>
  <c r="HI406" i="30"/>
  <c r="HJ406" i="30"/>
  <c r="HK406" i="30"/>
  <c r="HL406" i="30"/>
  <c r="HM406" i="30"/>
  <c r="HN406" i="30"/>
  <c r="HO406" i="30"/>
  <c r="HP406" i="30"/>
  <c r="HQ406" i="30"/>
  <c r="HR406" i="30"/>
  <c r="HS406" i="30"/>
  <c r="HT406" i="30"/>
  <c r="HU406" i="30"/>
  <c r="HV406" i="30"/>
  <c r="HW406" i="30"/>
  <c r="HX406" i="30"/>
  <c r="HY406" i="30"/>
  <c r="HZ406" i="30"/>
  <c r="IA406" i="30"/>
  <c r="IB406" i="30"/>
  <c r="IC406" i="30"/>
  <c r="ID406" i="30"/>
  <c r="IE406" i="30"/>
  <c r="IF406" i="30"/>
  <c r="IG406" i="30"/>
  <c r="IH406" i="30"/>
  <c r="II406" i="30"/>
  <c r="IJ406" i="30"/>
  <c r="IK406" i="30"/>
  <c r="IL406" i="30"/>
  <c r="IM406" i="30"/>
  <c r="IN406" i="30"/>
  <c r="IO406" i="30"/>
  <c r="IP406" i="30"/>
  <c r="IQ406" i="30"/>
  <c r="IR406" i="30"/>
  <c r="IS406" i="30"/>
  <c r="IT406" i="30"/>
  <c r="IU406" i="30"/>
  <c r="IV406" i="30"/>
  <c r="A405" i="30"/>
  <c r="B405" i="30"/>
  <c r="C405" i="30"/>
  <c r="D405" i="30"/>
  <c r="E405" i="30"/>
  <c r="F405" i="30"/>
  <c r="G405" i="30"/>
  <c r="H405" i="30"/>
  <c r="I405" i="30"/>
  <c r="J405" i="30"/>
  <c r="K405" i="30"/>
  <c r="L405" i="30"/>
  <c r="M405" i="30"/>
  <c r="N405" i="30"/>
  <c r="O405" i="30"/>
  <c r="P405" i="30"/>
  <c r="Q405" i="30"/>
  <c r="R405" i="30"/>
  <c r="S405" i="30"/>
  <c r="T405" i="30"/>
  <c r="U405" i="30"/>
  <c r="V405" i="30"/>
  <c r="W405" i="30"/>
  <c r="X405" i="30"/>
  <c r="Y405" i="30"/>
  <c r="Z405" i="30"/>
  <c r="AA405" i="30"/>
  <c r="AB405" i="30"/>
  <c r="AC405" i="30"/>
  <c r="AD405" i="30"/>
  <c r="AE405" i="30"/>
  <c r="AF405" i="30"/>
  <c r="AG405" i="30"/>
  <c r="AH405" i="30"/>
  <c r="AI405" i="30"/>
  <c r="AJ405" i="30"/>
  <c r="AK405" i="30"/>
  <c r="AL405" i="30"/>
  <c r="AM405" i="30"/>
  <c r="AN405" i="30"/>
  <c r="AO405" i="30"/>
  <c r="AP405" i="30"/>
  <c r="AQ405" i="30"/>
  <c r="AR405" i="30"/>
  <c r="AS405" i="30"/>
  <c r="AT405" i="30"/>
  <c r="AU405" i="30"/>
  <c r="AV405" i="30"/>
  <c r="AW405" i="30"/>
  <c r="AX405" i="30"/>
  <c r="AY405" i="30"/>
  <c r="AZ405" i="30"/>
  <c r="BA405" i="30"/>
  <c r="BB405" i="30"/>
  <c r="BC405" i="30"/>
  <c r="BD405" i="30"/>
  <c r="BE405" i="30"/>
  <c r="BF405" i="30"/>
  <c r="BG405" i="30"/>
  <c r="BH405" i="30"/>
  <c r="BI405" i="30"/>
  <c r="BJ405" i="30"/>
  <c r="BK405" i="30"/>
  <c r="BL405" i="30"/>
  <c r="BM405" i="30"/>
  <c r="BN405" i="30"/>
  <c r="BO405" i="30"/>
  <c r="BP405" i="30"/>
  <c r="BQ405" i="30"/>
  <c r="BR405" i="30"/>
  <c r="BS405" i="30"/>
  <c r="BT405" i="30"/>
  <c r="BU405" i="30"/>
  <c r="BV405" i="30"/>
  <c r="BW405" i="30"/>
  <c r="BX405" i="30"/>
  <c r="BY405" i="30"/>
  <c r="BZ405" i="30"/>
  <c r="CA405" i="30"/>
  <c r="CB405" i="30"/>
  <c r="CC405" i="30"/>
  <c r="CD405" i="30"/>
  <c r="CE405" i="30"/>
  <c r="CF405" i="30"/>
  <c r="CG405" i="30"/>
  <c r="CH405" i="30"/>
  <c r="CI405" i="30"/>
  <c r="CJ405" i="30"/>
  <c r="CK405" i="30"/>
  <c r="CL405" i="30"/>
  <c r="CM405" i="30"/>
  <c r="CN405" i="30"/>
  <c r="CO405" i="30"/>
  <c r="CP405" i="30"/>
  <c r="CQ405" i="30"/>
  <c r="CR405" i="30"/>
  <c r="CS405" i="30"/>
  <c r="CT405" i="30"/>
  <c r="CU405" i="30"/>
  <c r="CV405" i="30"/>
  <c r="CW405" i="30"/>
  <c r="CX405" i="30"/>
  <c r="CY405" i="30"/>
  <c r="CZ405" i="30"/>
  <c r="DA405" i="30"/>
  <c r="DB405" i="30"/>
  <c r="DC405" i="30"/>
  <c r="DD405" i="30"/>
  <c r="DE405" i="30"/>
  <c r="DF405" i="30"/>
  <c r="DG405" i="30"/>
  <c r="DH405" i="30"/>
  <c r="DI405" i="30"/>
  <c r="DJ405" i="30"/>
  <c r="DK405" i="30"/>
  <c r="DL405" i="30"/>
  <c r="DM405" i="30"/>
  <c r="DN405" i="30"/>
  <c r="DO405" i="30"/>
  <c r="DP405" i="30"/>
  <c r="DQ405" i="30"/>
  <c r="DR405" i="30"/>
  <c r="DS405" i="30"/>
  <c r="DT405" i="30"/>
  <c r="DU405" i="30"/>
  <c r="DV405" i="30"/>
  <c r="DW405" i="30"/>
  <c r="DX405" i="30"/>
  <c r="DY405" i="30"/>
  <c r="DZ405" i="30"/>
  <c r="EA405" i="30"/>
  <c r="EB405" i="30"/>
  <c r="EC405" i="30"/>
  <c r="ED405" i="30"/>
  <c r="EE405" i="30"/>
  <c r="EF405" i="30"/>
  <c r="EG405" i="30"/>
  <c r="EH405" i="30"/>
  <c r="EI405" i="30"/>
  <c r="EJ405" i="30"/>
  <c r="EK405" i="30"/>
  <c r="EL405" i="30"/>
  <c r="EM405" i="30"/>
  <c r="EN405" i="30"/>
  <c r="EO405" i="30"/>
  <c r="EP405" i="30"/>
  <c r="EQ405" i="30"/>
  <c r="ER405" i="30"/>
  <c r="ES405" i="30"/>
  <c r="ET405" i="30"/>
  <c r="EU405" i="30"/>
  <c r="EV405" i="30"/>
  <c r="EW405" i="30"/>
  <c r="EX405" i="30"/>
  <c r="EY405" i="30"/>
  <c r="EZ405" i="30"/>
  <c r="FA405" i="30"/>
  <c r="FB405" i="30"/>
  <c r="FC405" i="30"/>
  <c r="FD405" i="30"/>
  <c r="FE405" i="30"/>
  <c r="FF405" i="30"/>
  <c r="FG405" i="30"/>
  <c r="FH405" i="30"/>
  <c r="FI405" i="30"/>
  <c r="FJ405" i="30"/>
  <c r="FK405" i="30"/>
  <c r="FL405" i="30"/>
  <c r="FM405" i="30"/>
  <c r="FN405" i="30"/>
  <c r="FO405" i="30"/>
  <c r="FP405" i="30"/>
  <c r="FQ405" i="30"/>
  <c r="FR405" i="30"/>
  <c r="FS405" i="30"/>
  <c r="FT405" i="30"/>
  <c r="FU405" i="30"/>
  <c r="FV405" i="30"/>
  <c r="FW405" i="30"/>
  <c r="FX405" i="30"/>
  <c r="FY405" i="30"/>
  <c r="FZ405" i="30"/>
  <c r="GA405" i="30"/>
  <c r="GB405" i="30"/>
  <c r="GC405" i="30"/>
  <c r="GD405" i="30"/>
  <c r="GE405" i="30"/>
  <c r="GF405" i="30"/>
  <c r="GG405" i="30"/>
  <c r="GH405" i="30"/>
  <c r="GI405" i="30"/>
  <c r="GJ405" i="30"/>
  <c r="GK405" i="30"/>
  <c r="GL405" i="30"/>
  <c r="GM405" i="30"/>
  <c r="GN405" i="30"/>
  <c r="GO405" i="30"/>
  <c r="GP405" i="30"/>
  <c r="GQ405" i="30"/>
  <c r="GR405" i="30"/>
  <c r="GS405" i="30"/>
  <c r="GT405" i="30"/>
  <c r="GU405" i="30"/>
  <c r="GV405" i="30"/>
  <c r="GW405" i="30"/>
  <c r="GX405" i="30"/>
  <c r="GY405" i="30"/>
  <c r="GZ405" i="30"/>
  <c r="HA405" i="30"/>
  <c r="HB405" i="30"/>
  <c r="HC405" i="30"/>
  <c r="HD405" i="30"/>
  <c r="HE405" i="30"/>
  <c r="HF405" i="30"/>
  <c r="HG405" i="30"/>
  <c r="HH405" i="30"/>
  <c r="HI405" i="30"/>
  <c r="HJ405" i="30"/>
  <c r="HK405" i="30"/>
  <c r="HL405" i="30"/>
  <c r="HM405" i="30"/>
  <c r="HN405" i="30"/>
  <c r="HO405" i="30"/>
  <c r="HP405" i="30"/>
  <c r="HQ405" i="30"/>
  <c r="HR405" i="30"/>
  <c r="HS405" i="30"/>
  <c r="HT405" i="30"/>
  <c r="HU405" i="30"/>
  <c r="HV405" i="30"/>
  <c r="HW405" i="30"/>
  <c r="HX405" i="30"/>
  <c r="HY405" i="30"/>
  <c r="HZ405" i="30"/>
  <c r="IA405" i="30"/>
  <c r="IB405" i="30"/>
  <c r="IC405" i="30"/>
  <c r="ID405" i="30"/>
  <c r="IE405" i="30"/>
  <c r="IF405" i="30"/>
  <c r="IG405" i="30"/>
  <c r="IH405" i="30"/>
  <c r="II405" i="30"/>
  <c r="IJ405" i="30"/>
  <c r="IK405" i="30"/>
  <c r="IL405" i="30"/>
  <c r="IM405" i="30"/>
  <c r="IN405" i="30"/>
  <c r="IO405" i="30"/>
  <c r="IP405" i="30"/>
  <c r="IQ405" i="30"/>
  <c r="IR405" i="30"/>
  <c r="IS405" i="30"/>
  <c r="IT405" i="30"/>
  <c r="IU405" i="30"/>
  <c r="IV405" i="30"/>
  <c r="A404" i="30"/>
  <c r="B404" i="30"/>
  <c r="C404" i="30"/>
  <c r="D404" i="30"/>
  <c r="E404" i="30"/>
  <c r="F404" i="30"/>
  <c r="G404" i="30"/>
  <c r="H404" i="30"/>
  <c r="I404" i="30"/>
  <c r="J404" i="30"/>
  <c r="K404" i="30"/>
  <c r="L404" i="30"/>
  <c r="M404" i="30"/>
  <c r="N404" i="30"/>
  <c r="O404" i="30"/>
  <c r="P404" i="30"/>
  <c r="Q404" i="30"/>
  <c r="R404" i="30"/>
  <c r="S404" i="30"/>
  <c r="T404" i="30"/>
  <c r="U404" i="30"/>
  <c r="V404" i="30"/>
  <c r="W404" i="30"/>
  <c r="X404" i="30"/>
  <c r="Y404" i="30"/>
  <c r="Z404" i="30"/>
  <c r="AA404" i="30"/>
  <c r="AB404" i="30"/>
  <c r="AC404" i="30"/>
  <c r="AD404" i="30"/>
  <c r="AE404" i="30"/>
  <c r="AF404" i="30"/>
  <c r="AG404" i="30"/>
  <c r="AH404" i="30"/>
  <c r="AI404" i="30"/>
  <c r="AJ404" i="30"/>
  <c r="AK404" i="30"/>
  <c r="AL404" i="30"/>
  <c r="AM404" i="30"/>
  <c r="AN404" i="30"/>
  <c r="AO404" i="30"/>
  <c r="AP404" i="30"/>
  <c r="AQ404" i="30"/>
  <c r="AR404" i="30"/>
  <c r="AS404" i="30"/>
  <c r="AT404" i="30"/>
  <c r="AU404" i="30"/>
  <c r="AV404" i="30"/>
  <c r="AW404" i="30"/>
  <c r="AX404" i="30"/>
  <c r="AY404" i="30"/>
  <c r="AZ404" i="30"/>
  <c r="BA404" i="30"/>
  <c r="BB404" i="30"/>
  <c r="BC404" i="30"/>
  <c r="BD404" i="30"/>
  <c r="BE404" i="30"/>
  <c r="BF404" i="30"/>
  <c r="BG404" i="30"/>
  <c r="BH404" i="30"/>
  <c r="BI404" i="30"/>
  <c r="BJ404" i="30"/>
  <c r="BK404" i="30"/>
  <c r="BL404" i="30"/>
  <c r="BM404" i="30"/>
  <c r="BN404" i="30"/>
  <c r="BO404" i="30"/>
  <c r="BP404" i="30"/>
  <c r="BQ404" i="30"/>
  <c r="BR404" i="30"/>
  <c r="BS404" i="30"/>
  <c r="BT404" i="30"/>
  <c r="BU404" i="30"/>
  <c r="BV404" i="30"/>
  <c r="BW404" i="30"/>
  <c r="BX404" i="30"/>
  <c r="BY404" i="30"/>
  <c r="BZ404" i="30"/>
  <c r="CA404" i="30"/>
  <c r="CB404" i="30"/>
  <c r="CC404" i="30"/>
  <c r="CD404" i="30"/>
  <c r="CE404" i="30"/>
  <c r="CF404" i="30"/>
  <c r="CG404" i="30"/>
  <c r="CH404" i="30"/>
  <c r="CI404" i="30"/>
  <c r="CJ404" i="30"/>
  <c r="CK404" i="30"/>
  <c r="CL404" i="30"/>
  <c r="CM404" i="30"/>
  <c r="CN404" i="30"/>
  <c r="CO404" i="30"/>
  <c r="CP404" i="30"/>
  <c r="CQ404" i="30"/>
  <c r="CR404" i="30"/>
  <c r="CS404" i="30"/>
  <c r="CT404" i="30"/>
  <c r="CU404" i="30"/>
  <c r="CV404" i="30"/>
  <c r="CW404" i="30"/>
  <c r="CX404" i="30"/>
  <c r="CY404" i="30"/>
  <c r="CZ404" i="30"/>
  <c r="DA404" i="30"/>
  <c r="DB404" i="30"/>
  <c r="DC404" i="30"/>
  <c r="DD404" i="30"/>
  <c r="DE404" i="30"/>
  <c r="DF404" i="30"/>
  <c r="DG404" i="30"/>
  <c r="DH404" i="30"/>
  <c r="DI404" i="30"/>
  <c r="DJ404" i="30"/>
  <c r="DK404" i="30"/>
  <c r="DL404" i="30"/>
  <c r="DM404" i="30"/>
  <c r="DN404" i="30"/>
  <c r="DO404" i="30"/>
  <c r="DP404" i="30"/>
  <c r="DQ404" i="30"/>
  <c r="DR404" i="30"/>
  <c r="DS404" i="30"/>
  <c r="DT404" i="30"/>
  <c r="DU404" i="30"/>
  <c r="DV404" i="30"/>
  <c r="DW404" i="30"/>
  <c r="DX404" i="30"/>
  <c r="DY404" i="30"/>
  <c r="DZ404" i="30"/>
  <c r="EA404" i="30"/>
  <c r="EB404" i="30"/>
  <c r="EC404" i="30"/>
  <c r="ED404" i="30"/>
  <c r="EE404" i="30"/>
  <c r="EF404" i="30"/>
  <c r="EG404" i="30"/>
  <c r="EH404" i="30"/>
  <c r="EI404" i="30"/>
  <c r="EJ404" i="30"/>
  <c r="EK404" i="30"/>
  <c r="EL404" i="30"/>
  <c r="EM404" i="30"/>
  <c r="EN404" i="30"/>
  <c r="EO404" i="30"/>
  <c r="EP404" i="30"/>
  <c r="EQ404" i="30"/>
  <c r="ER404" i="30"/>
  <c r="ES404" i="30"/>
  <c r="ET404" i="30"/>
  <c r="EU404" i="30"/>
  <c r="EV404" i="30"/>
  <c r="EW404" i="30"/>
  <c r="EX404" i="30"/>
  <c r="EY404" i="30"/>
  <c r="EZ404" i="30"/>
  <c r="FA404" i="30"/>
  <c r="FB404" i="30"/>
  <c r="FC404" i="30"/>
  <c r="FD404" i="30"/>
  <c r="FE404" i="30"/>
  <c r="FF404" i="30"/>
  <c r="FG404" i="30"/>
  <c r="FH404" i="30"/>
  <c r="FI404" i="30"/>
  <c r="FJ404" i="30"/>
  <c r="FK404" i="30"/>
  <c r="FL404" i="30"/>
  <c r="FM404" i="30"/>
  <c r="FN404" i="30"/>
  <c r="FO404" i="30"/>
  <c r="FP404" i="30"/>
  <c r="FQ404" i="30"/>
  <c r="FR404" i="30"/>
  <c r="FS404" i="30"/>
  <c r="FT404" i="30"/>
  <c r="FU404" i="30"/>
  <c r="FV404" i="30"/>
  <c r="FW404" i="30"/>
  <c r="FX404" i="30"/>
  <c r="FY404" i="30"/>
  <c r="FZ404" i="30"/>
  <c r="GA404" i="30"/>
  <c r="GB404" i="30"/>
  <c r="GC404" i="30"/>
  <c r="GD404" i="30"/>
  <c r="GE404" i="30"/>
  <c r="GF404" i="30"/>
  <c r="GG404" i="30"/>
  <c r="GH404" i="30"/>
  <c r="GI404" i="30"/>
  <c r="GJ404" i="30"/>
  <c r="GK404" i="30"/>
  <c r="GL404" i="30"/>
  <c r="GM404" i="30"/>
  <c r="GN404" i="30"/>
  <c r="GO404" i="30"/>
  <c r="GP404" i="30"/>
  <c r="GQ404" i="30"/>
  <c r="GR404" i="30"/>
  <c r="GS404" i="30"/>
  <c r="GT404" i="30"/>
  <c r="GU404" i="30"/>
  <c r="GV404" i="30"/>
  <c r="GW404" i="30"/>
  <c r="GX404" i="30"/>
  <c r="GY404" i="30"/>
  <c r="GZ404" i="30"/>
  <c r="HA404" i="30"/>
  <c r="HB404" i="30"/>
  <c r="HC404" i="30"/>
  <c r="HD404" i="30"/>
  <c r="HE404" i="30"/>
  <c r="HF404" i="30"/>
  <c r="HG404" i="30"/>
  <c r="HH404" i="30"/>
  <c r="HI404" i="30"/>
  <c r="HJ404" i="30"/>
  <c r="HK404" i="30"/>
  <c r="HL404" i="30"/>
  <c r="HM404" i="30"/>
  <c r="HN404" i="30"/>
  <c r="HO404" i="30"/>
  <c r="HP404" i="30"/>
  <c r="HQ404" i="30"/>
  <c r="HR404" i="30"/>
  <c r="HS404" i="30"/>
  <c r="HT404" i="30"/>
  <c r="HU404" i="30"/>
  <c r="HV404" i="30"/>
  <c r="HW404" i="30"/>
  <c r="HX404" i="30"/>
  <c r="HY404" i="30"/>
  <c r="HZ404" i="30"/>
  <c r="IA404" i="30"/>
  <c r="IB404" i="30"/>
  <c r="IC404" i="30"/>
  <c r="ID404" i="30"/>
  <c r="IE404" i="30"/>
  <c r="IF404" i="30"/>
  <c r="IG404" i="30"/>
  <c r="IH404" i="30"/>
  <c r="II404" i="30"/>
  <c r="IJ404" i="30"/>
  <c r="IK404" i="30"/>
  <c r="IL404" i="30"/>
  <c r="IM404" i="30"/>
  <c r="IN404" i="30"/>
  <c r="IO404" i="30"/>
  <c r="IP404" i="30"/>
  <c r="IQ404" i="30"/>
  <c r="IR404" i="30"/>
  <c r="IS404" i="30"/>
  <c r="IT404" i="30"/>
  <c r="IU404" i="30"/>
  <c r="IV404" i="30"/>
  <c r="A403" i="30"/>
  <c r="B403" i="30"/>
  <c r="C403" i="30"/>
  <c r="D403" i="30"/>
  <c r="E403" i="30"/>
  <c r="F403" i="30"/>
  <c r="G403" i="30"/>
  <c r="H403" i="30"/>
  <c r="I403" i="30"/>
  <c r="J403" i="30"/>
  <c r="K403" i="30"/>
  <c r="L403" i="30"/>
  <c r="M403" i="30"/>
  <c r="N403" i="30"/>
  <c r="O403" i="30"/>
  <c r="P403" i="30"/>
  <c r="Q403" i="30"/>
  <c r="R403" i="30"/>
  <c r="S403" i="30"/>
  <c r="T403" i="30"/>
  <c r="U403" i="30"/>
  <c r="V403" i="30"/>
  <c r="W403" i="30"/>
  <c r="X403" i="30"/>
  <c r="Y403" i="30"/>
  <c r="Z403" i="30"/>
  <c r="AA403" i="30"/>
  <c r="AB403" i="30"/>
  <c r="AC403" i="30"/>
  <c r="AD403" i="30"/>
  <c r="AE403" i="30"/>
  <c r="AF403" i="30"/>
  <c r="AG403" i="30"/>
  <c r="AH403" i="30"/>
  <c r="AI403" i="30"/>
  <c r="AJ403" i="30"/>
  <c r="AK403" i="30"/>
  <c r="AL403" i="30"/>
  <c r="AM403" i="30"/>
  <c r="AN403" i="30"/>
  <c r="AO403" i="30"/>
  <c r="AP403" i="30"/>
  <c r="AQ403" i="30"/>
  <c r="AR403" i="30"/>
  <c r="AS403" i="30"/>
  <c r="AT403" i="30"/>
  <c r="AU403" i="30"/>
  <c r="AV403" i="30"/>
  <c r="AW403" i="30"/>
  <c r="AX403" i="30"/>
  <c r="AY403" i="30"/>
  <c r="AZ403" i="30"/>
  <c r="BA403" i="30"/>
  <c r="BB403" i="30"/>
  <c r="BC403" i="30"/>
  <c r="BD403" i="30"/>
  <c r="BE403" i="30"/>
  <c r="BF403" i="30"/>
  <c r="BG403" i="30"/>
  <c r="BH403" i="30"/>
  <c r="BI403" i="30"/>
  <c r="BJ403" i="30"/>
  <c r="BK403" i="30"/>
  <c r="BL403" i="30"/>
  <c r="BM403" i="30"/>
  <c r="BN403" i="30"/>
  <c r="BO403" i="30"/>
  <c r="BP403" i="30"/>
  <c r="BQ403" i="30"/>
  <c r="BR403" i="30"/>
  <c r="BS403" i="30"/>
  <c r="BT403" i="30"/>
  <c r="BU403" i="30"/>
  <c r="BV403" i="30"/>
  <c r="BW403" i="30"/>
  <c r="BX403" i="30"/>
  <c r="BY403" i="30"/>
  <c r="BZ403" i="30"/>
  <c r="CA403" i="30"/>
  <c r="CB403" i="30"/>
  <c r="CC403" i="30"/>
  <c r="CD403" i="30"/>
  <c r="CE403" i="30"/>
  <c r="CF403" i="30"/>
  <c r="CG403" i="30"/>
  <c r="CH403" i="30"/>
  <c r="CI403" i="30"/>
  <c r="CJ403" i="30"/>
  <c r="CK403" i="30"/>
  <c r="CL403" i="30"/>
  <c r="CM403" i="30"/>
  <c r="CN403" i="30"/>
  <c r="CO403" i="30"/>
  <c r="CP403" i="30"/>
  <c r="CQ403" i="30"/>
  <c r="CR403" i="30"/>
  <c r="CS403" i="30"/>
  <c r="CT403" i="30"/>
  <c r="CU403" i="30"/>
  <c r="CV403" i="30"/>
  <c r="CW403" i="30"/>
  <c r="CX403" i="30"/>
  <c r="CY403" i="30"/>
  <c r="CZ403" i="30"/>
  <c r="DA403" i="30"/>
  <c r="DB403" i="30"/>
  <c r="DC403" i="30"/>
  <c r="DD403" i="30"/>
  <c r="DE403" i="30"/>
  <c r="DF403" i="30"/>
  <c r="DG403" i="30"/>
  <c r="DH403" i="30"/>
  <c r="DI403" i="30"/>
  <c r="DJ403" i="30"/>
  <c r="DK403" i="30"/>
  <c r="DL403" i="30"/>
  <c r="DM403" i="30"/>
  <c r="DN403" i="30"/>
  <c r="DO403" i="30"/>
  <c r="DP403" i="30"/>
  <c r="DQ403" i="30"/>
  <c r="DR403" i="30"/>
  <c r="DS403" i="30"/>
  <c r="DT403" i="30"/>
  <c r="DU403" i="30"/>
  <c r="DV403" i="30"/>
  <c r="DW403" i="30"/>
  <c r="DX403" i="30"/>
  <c r="DY403" i="30"/>
  <c r="DZ403" i="30"/>
  <c r="EA403" i="30"/>
  <c r="EB403" i="30"/>
  <c r="EC403" i="30"/>
  <c r="ED403" i="30"/>
  <c r="EE403" i="30"/>
  <c r="EF403" i="30"/>
  <c r="EG403" i="30"/>
  <c r="EH403" i="30"/>
  <c r="EI403" i="30"/>
  <c r="EJ403" i="30"/>
  <c r="EK403" i="30"/>
  <c r="EL403" i="30"/>
  <c r="EM403" i="30"/>
  <c r="EN403" i="30"/>
  <c r="EO403" i="30"/>
  <c r="EP403" i="30"/>
  <c r="EQ403" i="30"/>
  <c r="ER403" i="30"/>
  <c r="ES403" i="30"/>
  <c r="ET403" i="30"/>
  <c r="EU403" i="30"/>
  <c r="EV403" i="30"/>
  <c r="EW403" i="30"/>
  <c r="EX403" i="30"/>
  <c r="EY403" i="30"/>
  <c r="EZ403" i="30"/>
  <c r="FA403" i="30"/>
  <c r="FB403" i="30"/>
  <c r="FC403" i="30"/>
  <c r="FD403" i="30"/>
  <c r="FE403" i="30"/>
  <c r="FF403" i="30"/>
  <c r="FG403" i="30"/>
  <c r="FH403" i="30"/>
  <c r="FI403" i="30"/>
  <c r="FJ403" i="30"/>
  <c r="FK403" i="30"/>
  <c r="FL403" i="30"/>
  <c r="FM403" i="30"/>
  <c r="FN403" i="30"/>
  <c r="FO403" i="30"/>
  <c r="FP403" i="30"/>
  <c r="FQ403" i="30"/>
  <c r="FR403" i="30"/>
  <c r="FS403" i="30"/>
  <c r="FT403" i="30"/>
  <c r="FU403" i="30"/>
  <c r="FV403" i="30"/>
  <c r="FW403" i="30"/>
  <c r="FX403" i="30"/>
  <c r="FY403" i="30"/>
  <c r="FZ403" i="30"/>
  <c r="GA403" i="30"/>
  <c r="GB403" i="30"/>
  <c r="GC403" i="30"/>
  <c r="GD403" i="30"/>
  <c r="GE403" i="30"/>
  <c r="GF403" i="30"/>
  <c r="GG403" i="30"/>
  <c r="GH403" i="30"/>
  <c r="GI403" i="30"/>
  <c r="GJ403" i="30"/>
  <c r="GK403" i="30"/>
  <c r="GL403" i="30"/>
  <c r="GM403" i="30"/>
  <c r="GN403" i="30"/>
  <c r="GO403" i="30"/>
  <c r="GP403" i="30"/>
  <c r="GQ403" i="30"/>
  <c r="GR403" i="30"/>
  <c r="GS403" i="30"/>
  <c r="GT403" i="30"/>
  <c r="GU403" i="30"/>
  <c r="GV403" i="30"/>
  <c r="GW403" i="30"/>
  <c r="GX403" i="30"/>
  <c r="GY403" i="30"/>
  <c r="GZ403" i="30"/>
  <c r="HA403" i="30"/>
  <c r="HB403" i="30"/>
  <c r="HC403" i="30"/>
  <c r="HD403" i="30"/>
  <c r="HE403" i="30"/>
  <c r="HF403" i="30"/>
  <c r="HG403" i="30"/>
  <c r="HH403" i="30"/>
  <c r="HI403" i="30"/>
  <c r="HJ403" i="30"/>
  <c r="HK403" i="30"/>
  <c r="HL403" i="30"/>
  <c r="HM403" i="30"/>
  <c r="HN403" i="30"/>
  <c r="HO403" i="30"/>
  <c r="HP403" i="30"/>
  <c r="HQ403" i="30"/>
  <c r="HR403" i="30"/>
  <c r="HS403" i="30"/>
  <c r="HT403" i="30"/>
  <c r="HU403" i="30"/>
  <c r="HV403" i="30"/>
  <c r="HW403" i="30"/>
  <c r="HX403" i="30"/>
  <c r="HY403" i="30"/>
  <c r="HZ403" i="30"/>
  <c r="IA403" i="30"/>
  <c r="IB403" i="30"/>
  <c r="IC403" i="30"/>
  <c r="ID403" i="30"/>
  <c r="IE403" i="30"/>
  <c r="IF403" i="30"/>
  <c r="IG403" i="30"/>
  <c r="IH403" i="30"/>
  <c r="II403" i="30"/>
  <c r="IJ403" i="30"/>
  <c r="IK403" i="30"/>
  <c r="IL403" i="30"/>
  <c r="IM403" i="30"/>
  <c r="IN403" i="30"/>
  <c r="IO403" i="30"/>
  <c r="IP403" i="30"/>
  <c r="IQ403" i="30"/>
  <c r="IR403" i="30"/>
  <c r="IS403" i="30"/>
  <c r="IT403" i="30"/>
  <c r="IU403" i="30"/>
  <c r="IV403" i="30"/>
  <c r="A402" i="30"/>
  <c r="B402" i="30"/>
  <c r="C402" i="30"/>
  <c r="D402" i="30"/>
  <c r="E402" i="30"/>
  <c r="F402" i="30"/>
  <c r="G402" i="30"/>
  <c r="H402" i="30"/>
  <c r="I402" i="30"/>
  <c r="J402" i="30"/>
  <c r="K402" i="30"/>
  <c r="L402" i="30"/>
  <c r="M402" i="30"/>
  <c r="N402" i="30"/>
  <c r="O402" i="30"/>
  <c r="P402" i="30"/>
  <c r="Q402" i="30"/>
  <c r="R402" i="30"/>
  <c r="S402" i="30"/>
  <c r="T402" i="30"/>
  <c r="U402" i="30"/>
  <c r="V402" i="30"/>
  <c r="W402" i="30"/>
  <c r="X402" i="30"/>
  <c r="Y402" i="30"/>
  <c r="Z402" i="30"/>
  <c r="AA402" i="30"/>
  <c r="AB402" i="30"/>
  <c r="AC402" i="30"/>
  <c r="AD402" i="30"/>
  <c r="AE402" i="30"/>
  <c r="AF402" i="30"/>
  <c r="AG402" i="30"/>
  <c r="AH402" i="30"/>
  <c r="AI402" i="30"/>
  <c r="AJ402" i="30"/>
  <c r="AK402" i="30"/>
  <c r="AL402" i="30"/>
  <c r="AM402" i="30"/>
  <c r="AN402" i="30"/>
  <c r="AO402" i="30"/>
  <c r="AP402" i="30"/>
  <c r="AQ402" i="30"/>
  <c r="AR402" i="30"/>
  <c r="AS402" i="30"/>
  <c r="AT402" i="30"/>
  <c r="AU402" i="30"/>
  <c r="AV402" i="30"/>
  <c r="AW402" i="30"/>
  <c r="AX402" i="30"/>
  <c r="AY402" i="30"/>
  <c r="AZ402" i="30"/>
  <c r="BA402" i="30"/>
  <c r="BB402" i="30"/>
  <c r="BC402" i="30"/>
  <c r="BD402" i="30"/>
  <c r="BE402" i="30"/>
  <c r="BF402" i="30"/>
  <c r="BG402" i="30"/>
  <c r="BH402" i="30"/>
  <c r="BI402" i="30"/>
  <c r="BJ402" i="30"/>
  <c r="BK402" i="30"/>
  <c r="BL402" i="30"/>
  <c r="BM402" i="30"/>
  <c r="BN402" i="30"/>
  <c r="BO402" i="30"/>
  <c r="BP402" i="30"/>
  <c r="BQ402" i="30"/>
  <c r="BR402" i="30"/>
  <c r="BS402" i="30"/>
  <c r="BT402" i="30"/>
  <c r="BU402" i="30"/>
  <c r="BV402" i="30"/>
  <c r="BW402" i="30"/>
  <c r="BX402" i="30"/>
  <c r="BY402" i="30"/>
  <c r="BZ402" i="30"/>
  <c r="CA402" i="30"/>
  <c r="CB402" i="30"/>
  <c r="CC402" i="30"/>
  <c r="CD402" i="30"/>
  <c r="CE402" i="30"/>
  <c r="CF402" i="30"/>
  <c r="CG402" i="30"/>
  <c r="CH402" i="30"/>
  <c r="CI402" i="30"/>
  <c r="CJ402" i="30"/>
  <c r="CK402" i="30"/>
  <c r="CL402" i="30"/>
  <c r="CM402" i="30"/>
  <c r="CN402" i="30"/>
  <c r="CO402" i="30"/>
  <c r="CP402" i="30"/>
  <c r="CQ402" i="30"/>
  <c r="CR402" i="30"/>
  <c r="CS402" i="30"/>
  <c r="CT402" i="30"/>
  <c r="CU402" i="30"/>
  <c r="CV402" i="30"/>
  <c r="CW402" i="30"/>
  <c r="CX402" i="30"/>
  <c r="CY402" i="30"/>
  <c r="CZ402" i="30"/>
  <c r="DA402" i="30"/>
  <c r="DB402" i="30"/>
  <c r="DC402" i="30"/>
  <c r="DD402" i="30"/>
  <c r="DE402" i="30"/>
  <c r="DF402" i="30"/>
  <c r="DG402" i="30"/>
  <c r="DH402" i="30"/>
  <c r="DI402" i="30"/>
  <c r="DJ402" i="30"/>
  <c r="DK402" i="30"/>
  <c r="DL402" i="30"/>
  <c r="DM402" i="30"/>
  <c r="DN402" i="30"/>
  <c r="DO402" i="30"/>
  <c r="DP402" i="30"/>
  <c r="DQ402" i="30"/>
  <c r="DR402" i="30"/>
  <c r="DS402" i="30"/>
  <c r="DT402" i="30"/>
  <c r="DU402" i="30"/>
  <c r="DV402" i="30"/>
  <c r="DW402" i="30"/>
  <c r="DX402" i="30"/>
  <c r="DY402" i="30"/>
  <c r="DZ402" i="30"/>
  <c r="EA402" i="30"/>
  <c r="EB402" i="30"/>
  <c r="EC402" i="30"/>
  <c r="ED402" i="30"/>
  <c r="EE402" i="30"/>
  <c r="EF402" i="30"/>
  <c r="EG402" i="30"/>
  <c r="EH402" i="30"/>
  <c r="EI402" i="30"/>
  <c r="EJ402" i="30"/>
  <c r="EK402" i="30"/>
  <c r="EL402" i="30"/>
  <c r="EM402" i="30"/>
  <c r="EN402" i="30"/>
  <c r="EO402" i="30"/>
  <c r="EP402" i="30"/>
  <c r="EQ402" i="30"/>
  <c r="ER402" i="30"/>
  <c r="ES402" i="30"/>
  <c r="ET402" i="30"/>
  <c r="EU402" i="30"/>
  <c r="EV402" i="30"/>
  <c r="EW402" i="30"/>
  <c r="EX402" i="30"/>
  <c r="EY402" i="30"/>
  <c r="EZ402" i="30"/>
  <c r="FA402" i="30"/>
  <c r="FB402" i="30"/>
  <c r="FC402" i="30"/>
  <c r="FD402" i="30"/>
  <c r="FE402" i="30"/>
  <c r="FF402" i="30"/>
  <c r="FG402" i="30"/>
  <c r="FH402" i="30"/>
  <c r="FI402" i="30"/>
  <c r="FJ402" i="30"/>
  <c r="FK402" i="30"/>
  <c r="FL402" i="30"/>
  <c r="FM402" i="30"/>
  <c r="FN402" i="30"/>
  <c r="FO402" i="30"/>
  <c r="FP402" i="30"/>
  <c r="FQ402" i="30"/>
  <c r="FR402" i="30"/>
  <c r="FS402" i="30"/>
  <c r="FT402" i="30"/>
  <c r="FU402" i="30"/>
  <c r="FV402" i="30"/>
  <c r="FW402" i="30"/>
  <c r="FX402" i="30"/>
  <c r="FY402" i="30"/>
  <c r="FZ402" i="30"/>
  <c r="GA402" i="30"/>
  <c r="GB402" i="30"/>
  <c r="GC402" i="30"/>
  <c r="GD402" i="30"/>
  <c r="GE402" i="30"/>
  <c r="GF402" i="30"/>
  <c r="GG402" i="30"/>
  <c r="GH402" i="30"/>
  <c r="GI402" i="30"/>
  <c r="GJ402" i="30"/>
  <c r="GK402" i="30"/>
  <c r="GL402" i="30"/>
  <c r="GM402" i="30"/>
  <c r="GN402" i="30"/>
  <c r="GO402" i="30"/>
  <c r="GP402" i="30"/>
  <c r="GQ402" i="30"/>
  <c r="GR402" i="30"/>
  <c r="GS402" i="30"/>
  <c r="GT402" i="30"/>
  <c r="GU402" i="30"/>
  <c r="GV402" i="30"/>
  <c r="GW402" i="30"/>
  <c r="GX402" i="30"/>
  <c r="GY402" i="30"/>
  <c r="GZ402" i="30"/>
  <c r="HA402" i="30"/>
  <c r="HB402" i="30"/>
  <c r="HC402" i="30"/>
  <c r="HD402" i="30"/>
  <c r="HE402" i="30"/>
  <c r="HF402" i="30"/>
  <c r="HG402" i="30"/>
  <c r="HH402" i="30"/>
  <c r="HI402" i="30"/>
  <c r="HJ402" i="30"/>
  <c r="HK402" i="30"/>
  <c r="HL402" i="30"/>
  <c r="HM402" i="30"/>
  <c r="HN402" i="30"/>
  <c r="HO402" i="30"/>
  <c r="HP402" i="30"/>
  <c r="HQ402" i="30"/>
  <c r="HR402" i="30"/>
  <c r="HS402" i="30"/>
  <c r="HT402" i="30"/>
  <c r="HU402" i="30"/>
  <c r="HV402" i="30"/>
  <c r="HW402" i="30"/>
  <c r="HX402" i="30"/>
  <c r="HY402" i="30"/>
  <c r="HZ402" i="30"/>
  <c r="IA402" i="30"/>
  <c r="IB402" i="30"/>
  <c r="IC402" i="30"/>
  <c r="ID402" i="30"/>
  <c r="IE402" i="30"/>
  <c r="IF402" i="30"/>
  <c r="IG402" i="30"/>
  <c r="IH402" i="30"/>
  <c r="II402" i="30"/>
  <c r="IJ402" i="30"/>
  <c r="IK402" i="30"/>
  <c r="IL402" i="30"/>
  <c r="IM402" i="30"/>
  <c r="IN402" i="30"/>
  <c r="IO402" i="30"/>
  <c r="IP402" i="30"/>
  <c r="IQ402" i="30"/>
  <c r="IR402" i="30"/>
  <c r="IS402" i="30"/>
  <c r="IT402" i="30"/>
  <c r="IU402" i="30"/>
  <c r="IV402" i="30"/>
  <c r="A401" i="30"/>
  <c r="B401" i="30"/>
  <c r="C401" i="30"/>
  <c r="D401" i="30"/>
  <c r="E401" i="30"/>
  <c r="F401" i="30"/>
  <c r="G401" i="30"/>
  <c r="H401" i="30"/>
  <c r="I401" i="30"/>
  <c r="J401" i="30"/>
  <c r="K401" i="30"/>
  <c r="L401" i="30"/>
  <c r="M401" i="30"/>
  <c r="N401" i="30"/>
  <c r="O401" i="30"/>
  <c r="P401" i="30"/>
  <c r="Q401" i="30"/>
  <c r="R401" i="30"/>
  <c r="S401" i="30"/>
  <c r="T401" i="30"/>
  <c r="U401" i="30"/>
  <c r="V401" i="30"/>
  <c r="W401" i="30"/>
  <c r="X401" i="30"/>
  <c r="Y401" i="30"/>
  <c r="Z401" i="30"/>
  <c r="AA401" i="30"/>
  <c r="AB401" i="30"/>
  <c r="AC401" i="30"/>
  <c r="AD401" i="30"/>
  <c r="AE401" i="30"/>
  <c r="AF401" i="30"/>
  <c r="AG401" i="30"/>
  <c r="AH401" i="30"/>
  <c r="AI401" i="30"/>
  <c r="AJ401" i="30"/>
  <c r="AK401" i="30"/>
  <c r="AL401" i="30"/>
  <c r="AM401" i="30"/>
  <c r="AN401" i="30"/>
  <c r="AO401" i="30"/>
  <c r="AP401" i="30"/>
  <c r="AQ401" i="30"/>
  <c r="AR401" i="30"/>
  <c r="AS401" i="30"/>
  <c r="AT401" i="30"/>
  <c r="AU401" i="30"/>
  <c r="AV401" i="30"/>
  <c r="AW401" i="30"/>
  <c r="AX401" i="30"/>
  <c r="AY401" i="30"/>
  <c r="AZ401" i="30"/>
  <c r="BA401" i="30"/>
  <c r="BB401" i="30"/>
  <c r="BC401" i="30"/>
  <c r="BD401" i="30"/>
  <c r="BE401" i="30"/>
  <c r="BF401" i="30"/>
  <c r="BG401" i="30"/>
  <c r="BH401" i="30"/>
  <c r="BI401" i="30"/>
  <c r="BJ401" i="30"/>
  <c r="BK401" i="30"/>
  <c r="BL401" i="30"/>
  <c r="BM401" i="30"/>
  <c r="BN401" i="30"/>
  <c r="BO401" i="30"/>
  <c r="BP401" i="30"/>
  <c r="BQ401" i="30"/>
  <c r="BR401" i="30"/>
  <c r="BS401" i="30"/>
  <c r="BT401" i="30"/>
  <c r="BU401" i="30"/>
  <c r="BV401" i="30"/>
  <c r="BW401" i="30"/>
  <c r="BX401" i="30"/>
  <c r="BY401" i="30"/>
  <c r="BZ401" i="30"/>
  <c r="CA401" i="30"/>
  <c r="CB401" i="30"/>
  <c r="CC401" i="30"/>
  <c r="CD401" i="30"/>
  <c r="CE401" i="30"/>
  <c r="CF401" i="30"/>
  <c r="CG401" i="30"/>
  <c r="CH401" i="30"/>
  <c r="CI401" i="30"/>
  <c r="CJ401" i="30"/>
  <c r="CK401" i="30"/>
  <c r="CL401" i="30"/>
  <c r="CM401" i="30"/>
  <c r="CN401" i="30"/>
  <c r="CO401" i="30"/>
  <c r="CP401" i="30"/>
  <c r="CQ401" i="30"/>
  <c r="CR401" i="30"/>
  <c r="CS401" i="30"/>
  <c r="CT401" i="30"/>
  <c r="CU401" i="30"/>
  <c r="CV401" i="30"/>
  <c r="CW401" i="30"/>
  <c r="CX401" i="30"/>
  <c r="CY401" i="30"/>
  <c r="CZ401" i="30"/>
  <c r="DA401" i="30"/>
  <c r="DB401" i="30"/>
  <c r="DC401" i="30"/>
  <c r="DD401" i="30"/>
  <c r="DE401" i="30"/>
  <c r="DF401" i="30"/>
  <c r="DG401" i="30"/>
  <c r="DH401" i="30"/>
  <c r="DI401" i="30"/>
  <c r="DJ401" i="30"/>
  <c r="DK401" i="30"/>
  <c r="DL401" i="30"/>
  <c r="DM401" i="30"/>
  <c r="DN401" i="30"/>
  <c r="DO401" i="30"/>
  <c r="DP401" i="30"/>
  <c r="DQ401" i="30"/>
  <c r="DR401" i="30"/>
  <c r="DS401" i="30"/>
  <c r="DT401" i="30"/>
  <c r="DU401" i="30"/>
  <c r="DV401" i="30"/>
  <c r="DW401" i="30"/>
  <c r="DX401" i="30"/>
  <c r="DY401" i="30"/>
  <c r="DZ401" i="30"/>
  <c r="EA401" i="30"/>
  <c r="EB401" i="30"/>
  <c r="EC401" i="30"/>
  <c r="ED401" i="30"/>
  <c r="EE401" i="30"/>
  <c r="EF401" i="30"/>
  <c r="EG401" i="30"/>
  <c r="EH401" i="30"/>
  <c r="EI401" i="30"/>
  <c r="EJ401" i="30"/>
  <c r="EK401" i="30"/>
  <c r="EL401" i="30"/>
  <c r="EM401" i="30"/>
  <c r="EN401" i="30"/>
  <c r="EO401" i="30"/>
  <c r="EP401" i="30"/>
  <c r="EQ401" i="30"/>
  <c r="ER401" i="30"/>
  <c r="ES401" i="30"/>
  <c r="ET401" i="30"/>
  <c r="EU401" i="30"/>
  <c r="EV401" i="30"/>
  <c r="EW401" i="30"/>
  <c r="EX401" i="30"/>
  <c r="EY401" i="30"/>
  <c r="EZ401" i="30"/>
  <c r="FA401" i="30"/>
  <c r="FB401" i="30"/>
  <c r="FC401" i="30"/>
  <c r="FD401" i="30"/>
  <c r="FE401" i="30"/>
  <c r="FF401" i="30"/>
  <c r="FG401" i="30"/>
  <c r="FH401" i="30"/>
  <c r="FI401" i="30"/>
  <c r="FJ401" i="30"/>
  <c r="FK401" i="30"/>
  <c r="FL401" i="30"/>
  <c r="FM401" i="30"/>
  <c r="FN401" i="30"/>
  <c r="FO401" i="30"/>
  <c r="FP401" i="30"/>
  <c r="FQ401" i="30"/>
  <c r="FR401" i="30"/>
  <c r="FS401" i="30"/>
  <c r="FT401" i="30"/>
  <c r="FU401" i="30"/>
  <c r="FV401" i="30"/>
  <c r="FW401" i="30"/>
  <c r="FX401" i="30"/>
  <c r="FY401" i="30"/>
  <c r="FZ401" i="30"/>
  <c r="GA401" i="30"/>
  <c r="GB401" i="30"/>
  <c r="GC401" i="30"/>
  <c r="GD401" i="30"/>
  <c r="GE401" i="30"/>
  <c r="GF401" i="30"/>
  <c r="GG401" i="30"/>
  <c r="GH401" i="30"/>
  <c r="GI401" i="30"/>
  <c r="GJ401" i="30"/>
  <c r="GK401" i="30"/>
  <c r="GL401" i="30"/>
  <c r="GM401" i="30"/>
  <c r="GN401" i="30"/>
  <c r="GO401" i="30"/>
  <c r="GP401" i="30"/>
  <c r="GQ401" i="30"/>
  <c r="GR401" i="30"/>
  <c r="GS401" i="30"/>
  <c r="GT401" i="30"/>
  <c r="GU401" i="30"/>
  <c r="GV401" i="30"/>
  <c r="GW401" i="30"/>
  <c r="GX401" i="30"/>
  <c r="GY401" i="30"/>
  <c r="GZ401" i="30"/>
  <c r="HA401" i="30"/>
  <c r="HB401" i="30"/>
  <c r="HC401" i="30"/>
  <c r="HD401" i="30"/>
  <c r="HE401" i="30"/>
  <c r="HF401" i="30"/>
  <c r="HG401" i="30"/>
  <c r="HH401" i="30"/>
  <c r="HI401" i="30"/>
  <c r="HJ401" i="30"/>
  <c r="HK401" i="30"/>
  <c r="HL401" i="30"/>
  <c r="HM401" i="30"/>
  <c r="HN401" i="30"/>
  <c r="HO401" i="30"/>
  <c r="HP401" i="30"/>
  <c r="HQ401" i="30"/>
  <c r="HR401" i="30"/>
  <c r="HS401" i="30"/>
  <c r="HT401" i="30"/>
  <c r="HU401" i="30"/>
  <c r="HV401" i="30"/>
  <c r="HW401" i="30"/>
  <c r="HX401" i="30"/>
  <c r="HY401" i="30"/>
  <c r="HZ401" i="30"/>
  <c r="IA401" i="30"/>
  <c r="IB401" i="30"/>
  <c r="IC401" i="30"/>
  <c r="ID401" i="30"/>
  <c r="IE401" i="30"/>
  <c r="IF401" i="30"/>
  <c r="IG401" i="30"/>
  <c r="IH401" i="30"/>
  <c r="II401" i="30"/>
  <c r="IJ401" i="30"/>
  <c r="IK401" i="30"/>
  <c r="IL401" i="30"/>
  <c r="IM401" i="30"/>
  <c r="IN401" i="30"/>
  <c r="IO401" i="30"/>
  <c r="IP401" i="30"/>
  <c r="IQ401" i="30"/>
  <c r="IR401" i="30"/>
  <c r="IS401" i="30"/>
  <c r="IT401" i="30"/>
  <c r="IU401" i="30"/>
  <c r="IV401" i="30"/>
  <c r="A400" i="30"/>
  <c r="B400" i="30"/>
  <c r="C400" i="30"/>
  <c r="D400" i="30"/>
  <c r="E400" i="30"/>
  <c r="F400" i="30"/>
  <c r="G400" i="30"/>
  <c r="H400" i="30"/>
  <c r="I400" i="30"/>
  <c r="J400" i="30"/>
  <c r="K400" i="30"/>
  <c r="L400" i="30"/>
  <c r="M400" i="30"/>
  <c r="N400" i="30"/>
  <c r="O400" i="30"/>
  <c r="P400" i="30"/>
  <c r="Q400" i="30"/>
  <c r="R400" i="30"/>
  <c r="S400" i="30"/>
  <c r="T400" i="30"/>
  <c r="U400" i="30"/>
  <c r="V400" i="30"/>
  <c r="W400" i="30"/>
  <c r="X400" i="30"/>
  <c r="Y400" i="30"/>
  <c r="Z400" i="30"/>
  <c r="AA400" i="30"/>
  <c r="AB400" i="30"/>
  <c r="AC400" i="30"/>
  <c r="AD400" i="30"/>
  <c r="AE400" i="30"/>
  <c r="AF400" i="30"/>
  <c r="AG400" i="30"/>
  <c r="AH400" i="30"/>
  <c r="AI400" i="30"/>
  <c r="AJ400" i="30"/>
  <c r="AK400" i="30"/>
  <c r="AL400" i="30"/>
  <c r="AM400" i="30"/>
  <c r="AN400" i="30"/>
  <c r="AO400" i="30"/>
  <c r="AP400" i="30"/>
  <c r="AQ400" i="30"/>
  <c r="AR400" i="30"/>
  <c r="AS400" i="30"/>
  <c r="AT400" i="30"/>
  <c r="AU400" i="30"/>
  <c r="AV400" i="30"/>
  <c r="AW400" i="30"/>
  <c r="AX400" i="30"/>
  <c r="AY400" i="30"/>
  <c r="AZ400" i="30"/>
  <c r="BA400" i="30"/>
  <c r="BB400" i="30"/>
  <c r="BC400" i="30"/>
  <c r="BD400" i="30"/>
  <c r="BE400" i="30"/>
  <c r="BF400" i="30"/>
  <c r="BG400" i="30"/>
  <c r="BH400" i="30"/>
  <c r="BI400" i="30"/>
  <c r="BJ400" i="30"/>
  <c r="BK400" i="30"/>
  <c r="BL400" i="30"/>
  <c r="BM400" i="30"/>
  <c r="BN400" i="30"/>
  <c r="BO400" i="30"/>
  <c r="BP400" i="30"/>
  <c r="BQ400" i="30"/>
  <c r="BR400" i="30"/>
  <c r="BS400" i="30"/>
  <c r="BT400" i="30"/>
  <c r="BU400" i="30"/>
  <c r="BV400" i="30"/>
  <c r="BW400" i="30"/>
  <c r="BX400" i="30"/>
  <c r="BY400" i="30"/>
  <c r="BZ400" i="30"/>
  <c r="CA400" i="30"/>
  <c r="CB400" i="30"/>
  <c r="CC400" i="30"/>
  <c r="CD400" i="30"/>
  <c r="CE400" i="30"/>
  <c r="CF400" i="30"/>
  <c r="CG400" i="30"/>
  <c r="CH400" i="30"/>
  <c r="CI400" i="30"/>
  <c r="CJ400" i="30"/>
  <c r="CK400" i="30"/>
  <c r="CL400" i="30"/>
  <c r="CM400" i="30"/>
  <c r="CN400" i="30"/>
  <c r="CO400" i="30"/>
  <c r="CP400" i="30"/>
  <c r="CQ400" i="30"/>
  <c r="CR400" i="30"/>
  <c r="CS400" i="30"/>
  <c r="CT400" i="30"/>
  <c r="CU400" i="30"/>
  <c r="CV400" i="30"/>
  <c r="CW400" i="30"/>
  <c r="CX400" i="30"/>
  <c r="CY400" i="30"/>
  <c r="CZ400" i="30"/>
  <c r="DA400" i="30"/>
  <c r="DB400" i="30"/>
  <c r="DC400" i="30"/>
  <c r="DD400" i="30"/>
  <c r="DE400" i="30"/>
  <c r="DF400" i="30"/>
  <c r="DG400" i="30"/>
  <c r="DH400" i="30"/>
  <c r="DI400" i="30"/>
  <c r="DJ400" i="30"/>
  <c r="DK400" i="30"/>
  <c r="DL400" i="30"/>
  <c r="DM400" i="30"/>
  <c r="DN400" i="30"/>
  <c r="DO400" i="30"/>
  <c r="DP400" i="30"/>
  <c r="DQ400" i="30"/>
  <c r="DR400" i="30"/>
  <c r="DS400" i="30"/>
  <c r="DT400" i="30"/>
  <c r="DU400" i="30"/>
  <c r="DV400" i="30"/>
  <c r="DW400" i="30"/>
  <c r="DX400" i="30"/>
  <c r="DY400" i="30"/>
  <c r="DZ400" i="30"/>
  <c r="EA400" i="30"/>
  <c r="EB400" i="30"/>
  <c r="EC400" i="30"/>
  <c r="ED400" i="30"/>
  <c r="EE400" i="30"/>
  <c r="EF400" i="30"/>
  <c r="EG400" i="30"/>
  <c r="EH400" i="30"/>
  <c r="EI400" i="30"/>
  <c r="EJ400" i="30"/>
  <c r="EK400" i="30"/>
  <c r="EL400" i="30"/>
  <c r="EM400" i="30"/>
  <c r="EN400" i="30"/>
  <c r="EO400" i="30"/>
  <c r="EP400" i="30"/>
  <c r="EQ400" i="30"/>
  <c r="ER400" i="30"/>
  <c r="ES400" i="30"/>
  <c r="ET400" i="30"/>
  <c r="EU400" i="30"/>
  <c r="EV400" i="30"/>
  <c r="EW400" i="30"/>
  <c r="EX400" i="30"/>
  <c r="EY400" i="30"/>
  <c r="EZ400" i="30"/>
  <c r="FA400" i="30"/>
  <c r="FB400" i="30"/>
  <c r="FC400" i="30"/>
  <c r="FD400" i="30"/>
  <c r="FE400" i="30"/>
  <c r="FF400" i="30"/>
  <c r="FG400" i="30"/>
  <c r="FH400" i="30"/>
  <c r="FI400" i="30"/>
  <c r="FJ400" i="30"/>
  <c r="FK400" i="30"/>
  <c r="FL400" i="30"/>
  <c r="FM400" i="30"/>
  <c r="FN400" i="30"/>
  <c r="FO400" i="30"/>
  <c r="FP400" i="30"/>
  <c r="FQ400" i="30"/>
  <c r="FR400" i="30"/>
  <c r="FS400" i="30"/>
  <c r="FT400" i="30"/>
  <c r="FU400" i="30"/>
  <c r="FV400" i="30"/>
  <c r="FW400" i="30"/>
  <c r="FX400" i="30"/>
  <c r="FY400" i="30"/>
  <c r="FZ400" i="30"/>
  <c r="GA400" i="30"/>
  <c r="GB400" i="30"/>
  <c r="GC400" i="30"/>
  <c r="GD400" i="30"/>
  <c r="GE400" i="30"/>
  <c r="GF400" i="30"/>
  <c r="GG400" i="30"/>
  <c r="GH400" i="30"/>
  <c r="GI400" i="30"/>
  <c r="GJ400" i="30"/>
  <c r="GK400" i="30"/>
  <c r="GL400" i="30"/>
  <c r="GM400" i="30"/>
  <c r="GN400" i="30"/>
  <c r="GO400" i="30"/>
  <c r="GP400" i="30"/>
  <c r="GQ400" i="30"/>
  <c r="GR400" i="30"/>
  <c r="GS400" i="30"/>
  <c r="GT400" i="30"/>
  <c r="GU400" i="30"/>
  <c r="GV400" i="30"/>
  <c r="GW400" i="30"/>
  <c r="GX400" i="30"/>
  <c r="GY400" i="30"/>
  <c r="GZ400" i="30"/>
  <c r="HA400" i="30"/>
  <c r="HB400" i="30"/>
  <c r="HC400" i="30"/>
  <c r="HD400" i="30"/>
  <c r="HE400" i="30"/>
  <c r="HF400" i="30"/>
  <c r="HG400" i="30"/>
  <c r="HH400" i="30"/>
  <c r="HI400" i="30"/>
  <c r="HJ400" i="30"/>
  <c r="HK400" i="30"/>
  <c r="HL400" i="30"/>
  <c r="HM400" i="30"/>
  <c r="HN400" i="30"/>
  <c r="HO400" i="30"/>
  <c r="HP400" i="30"/>
  <c r="HQ400" i="30"/>
  <c r="HR400" i="30"/>
  <c r="HS400" i="30"/>
  <c r="HT400" i="30"/>
  <c r="HU400" i="30"/>
  <c r="HV400" i="30"/>
  <c r="HW400" i="30"/>
  <c r="HX400" i="30"/>
  <c r="HY400" i="30"/>
  <c r="HZ400" i="30"/>
  <c r="IA400" i="30"/>
  <c r="IB400" i="30"/>
  <c r="IC400" i="30"/>
  <c r="ID400" i="30"/>
  <c r="IE400" i="30"/>
  <c r="IF400" i="30"/>
  <c r="IG400" i="30"/>
  <c r="IH400" i="30"/>
  <c r="II400" i="30"/>
  <c r="IJ400" i="30"/>
  <c r="IK400" i="30"/>
  <c r="IL400" i="30"/>
  <c r="IM400" i="30"/>
  <c r="IN400" i="30"/>
  <c r="IO400" i="30"/>
  <c r="IP400" i="30"/>
  <c r="IQ400" i="30"/>
  <c r="IR400" i="30"/>
  <c r="IS400" i="30"/>
  <c r="IT400" i="30"/>
  <c r="IU400" i="30"/>
  <c r="IV400" i="30"/>
  <c r="A399" i="30"/>
  <c r="B399" i="30"/>
  <c r="C399" i="30"/>
  <c r="D399" i="30"/>
  <c r="E399" i="30"/>
  <c r="F399" i="30"/>
  <c r="G399" i="30"/>
  <c r="H399" i="30"/>
  <c r="I399" i="30"/>
  <c r="J399" i="30"/>
  <c r="K399" i="30"/>
  <c r="L399" i="30"/>
  <c r="M399" i="30"/>
  <c r="N399" i="30"/>
  <c r="O399" i="30"/>
  <c r="P399" i="30"/>
  <c r="Q399" i="30"/>
  <c r="R399" i="30"/>
  <c r="S399" i="30"/>
  <c r="T399" i="30"/>
  <c r="U399" i="30"/>
  <c r="V399" i="30"/>
  <c r="W399" i="30"/>
  <c r="X399" i="30"/>
  <c r="Y399" i="30"/>
  <c r="Z399" i="30"/>
  <c r="AA399" i="30"/>
  <c r="AB399" i="30"/>
  <c r="AC399" i="30"/>
  <c r="AD399" i="30"/>
  <c r="AE399" i="30"/>
  <c r="AF399" i="30"/>
  <c r="AG399" i="30"/>
  <c r="AH399" i="30"/>
  <c r="AI399" i="30"/>
  <c r="AJ399" i="30"/>
  <c r="AK399" i="30"/>
  <c r="AL399" i="30"/>
  <c r="AM399" i="30"/>
  <c r="AN399" i="30"/>
  <c r="AO399" i="30"/>
  <c r="AP399" i="30"/>
  <c r="AQ399" i="30"/>
  <c r="AR399" i="30"/>
  <c r="AS399" i="30"/>
  <c r="AT399" i="30"/>
  <c r="AU399" i="30"/>
  <c r="AV399" i="30"/>
  <c r="AW399" i="30"/>
  <c r="AX399" i="30"/>
  <c r="AY399" i="30"/>
  <c r="AZ399" i="30"/>
  <c r="BA399" i="30"/>
  <c r="BB399" i="30"/>
  <c r="BC399" i="30"/>
  <c r="BD399" i="30"/>
  <c r="BE399" i="30"/>
  <c r="BF399" i="30"/>
  <c r="BG399" i="30"/>
  <c r="BH399" i="30"/>
  <c r="BI399" i="30"/>
  <c r="BJ399" i="30"/>
  <c r="BK399" i="30"/>
  <c r="BL399" i="30"/>
  <c r="BM399" i="30"/>
  <c r="BN399" i="30"/>
  <c r="BO399" i="30"/>
  <c r="BP399" i="30"/>
  <c r="BQ399" i="30"/>
  <c r="BR399" i="30"/>
  <c r="BS399" i="30"/>
  <c r="BT399" i="30"/>
  <c r="BU399" i="30"/>
  <c r="BV399" i="30"/>
  <c r="BW399" i="30"/>
  <c r="BX399" i="30"/>
  <c r="BY399" i="30"/>
  <c r="BZ399" i="30"/>
  <c r="CA399" i="30"/>
  <c r="CB399" i="30"/>
  <c r="CC399" i="30"/>
  <c r="CD399" i="30"/>
  <c r="CE399" i="30"/>
  <c r="CF399" i="30"/>
  <c r="CG399" i="30"/>
  <c r="CH399" i="30"/>
  <c r="CI399" i="30"/>
  <c r="CJ399" i="30"/>
  <c r="CK399" i="30"/>
  <c r="CL399" i="30"/>
  <c r="CM399" i="30"/>
  <c r="CN399" i="30"/>
  <c r="CO399" i="30"/>
  <c r="CP399" i="30"/>
  <c r="CQ399" i="30"/>
  <c r="CR399" i="30"/>
  <c r="CS399" i="30"/>
  <c r="CT399" i="30"/>
  <c r="CU399" i="30"/>
  <c r="CV399" i="30"/>
  <c r="CW399" i="30"/>
  <c r="CX399" i="30"/>
  <c r="CY399" i="30"/>
  <c r="CZ399" i="30"/>
  <c r="DA399" i="30"/>
  <c r="DB399" i="30"/>
  <c r="DC399" i="30"/>
  <c r="DD399" i="30"/>
  <c r="DE399" i="30"/>
  <c r="DF399" i="30"/>
  <c r="DG399" i="30"/>
  <c r="DH399" i="30"/>
  <c r="DI399" i="30"/>
  <c r="DJ399" i="30"/>
  <c r="DK399" i="30"/>
  <c r="DL399" i="30"/>
  <c r="DM399" i="30"/>
  <c r="DN399" i="30"/>
  <c r="DO399" i="30"/>
  <c r="DP399" i="30"/>
  <c r="DQ399" i="30"/>
  <c r="DR399" i="30"/>
  <c r="DS399" i="30"/>
  <c r="DT399" i="30"/>
  <c r="DU399" i="30"/>
  <c r="DV399" i="30"/>
  <c r="DW399" i="30"/>
  <c r="DX399" i="30"/>
  <c r="DY399" i="30"/>
  <c r="DZ399" i="30"/>
  <c r="EA399" i="30"/>
  <c r="EB399" i="30"/>
  <c r="EC399" i="30"/>
  <c r="ED399" i="30"/>
  <c r="EE399" i="30"/>
  <c r="EF399" i="30"/>
  <c r="EG399" i="30"/>
  <c r="EH399" i="30"/>
  <c r="EI399" i="30"/>
  <c r="EJ399" i="30"/>
  <c r="EK399" i="30"/>
  <c r="EL399" i="30"/>
  <c r="EM399" i="30"/>
  <c r="EN399" i="30"/>
  <c r="EO399" i="30"/>
  <c r="EP399" i="30"/>
  <c r="EQ399" i="30"/>
  <c r="ER399" i="30"/>
  <c r="ES399" i="30"/>
  <c r="ET399" i="30"/>
  <c r="EU399" i="30"/>
  <c r="EV399" i="30"/>
  <c r="EW399" i="30"/>
  <c r="EX399" i="30"/>
  <c r="EY399" i="30"/>
  <c r="EZ399" i="30"/>
  <c r="FA399" i="30"/>
  <c r="FB399" i="30"/>
  <c r="FC399" i="30"/>
  <c r="FD399" i="30"/>
  <c r="FE399" i="30"/>
  <c r="FF399" i="30"/>
  <c r="FG399" i="30"/>
  <c r="FH399" i="30"/>
  <c r="FI399" i="30"/>
  <c r="FJ399" i="30"/>
  <c r="FK399" i="30"/>
  <c r="FL399" i="30"/>
  <c r="FM399" i="30"/>
  <c r="FN399" i="30"/>
  <c r="FO399" i="30"/>
  <c r="FP399" i="30"/>
  <c r="FQ399" i="30"/>
  <c r="FR399" i="30"/>
  <c r="FS399" i="30"/>
  <c r="FT399" i="30"/>
  <c r="FU399" i="30"/>
  <c r="FV399" i="30"/>
  <c r="FW399" i="30"/>
  <c r="FX399" i="30"/>
  <c r="FY399" i="30"/>
  <c r="FZ399" i="30"/>
  <c r="GA399" i="30"/>
  <c r="GB399" i="30"/>
  <c r="GC399" i="30"/>
  <c r="GD399" i="30"/>
  <c r="GE399" i="30"/>
  <c r="GF399" i="30"/>
  <c r="GG399" i="30"/>
  <c r="GH399" i="30"/>
  <c r="GI399" i="30"/>
  <c r="GJ399" i="30"/>
  <c r="GK399" i="30"/>
  <c r="GL399" i="30"/>
  <c r="GM399" i="30"/>
  <c r="GN399" i="30"/>
  <c r="GO399" i="30"/>
  <c r="GP399" i="30"/>
  <c r="GQ399" i="30"/>
  <c r="GR399" i="30"/>
  <c r="GS399" i="30"/>
  <c r="GT399" i="30"/>
  <c r="GU399" i="30"/>
  <c r="GV399" i="30"/>
  <c r="GW399" i="30"/>
  <c r="GX399" i="30"/>
  <c r="GY399" i="30"/>
  <c r="GZ399" i="30"/>
  <c r="HA399" i="30"/>
  <c r="HB399" i="30"/>
  <c r="HC399" i="30"/>
  <c r="HD399" i="30"/>
  <c r="HE399" i="30"/>
  <c r="HF399" i="30"/>
  <c r="HG399" i="30"/>
  <c r="HH399" i="30"/>
  <c r="HI399" i="30"/>
  <c r="HJ399" i="30"/>
  <c r="HK399" i="30"/>
  <c r="HL399" i="30"/>
  <c r="HM399" i="30"/>
  <c r="HN399" i="30"/>
  <c r="HO399" i="30"/>
  <c r="HP399" i="30"/>
  <c r="HQ399" i="30"/>
  <c r="HR399" i="30"/>
  <c r="HS399" i="30"/>
  <c r="HT399" i="30"/>
  <c r="HU399" i="30"/>
  <c r="HV399" i="30"/>
  <c r="HW399" i="30"/>
  <c r="HX399" i="30"/>
  <c r="HY399" i="30"/>
  <c r="HZ399" i="30"/>
  <c r="IA399" i="30"/>
  <c r="IB399" i="30"/>
  <c r="IC399" i="30"/>
  <c r="ID399" i="30"/>
  <c r="IE399" i="30"/>
  <c r="IF399" i="30"/>
  <c r="IG399" i="30"/>
  <c r="IH399" i="30"/>
  <c r="II399" i="30"/>
  <c r="IJ399" i="30"/>
  <c r="IK399" i="30"/>
  <c r="IL399" i="30"/>
  <c r="IM399" i="30"/>
  <c r="IN399" i="30"/>
  <c r="IO399" i="30"/>
  <c r="IP399" i="30"/>
  <c r="IQ399" i="30"/>
  <c r="IR399" i="30"/>
  <c r="IS399" i="30"/>
  <c r="IT399" i="30"/>
  <c r="IU399" i="30"/>
  <c r="IV399" i="30"/>
  <c r="A398" i="30"/>
  <c r="B398" i="30"/>
  <c r="C398" i="30"/>
  <c r="D398" i="30"/>
  <c r="E398" i="30"/>
  <c r="F398" i="30"/>
  <c r="G398" i="30"/>
  <c r="H398" i="30"/>
  <c r="I398" i="30"/>
  <c r="J398" i="30"/>
  <c r="K398" i="30"/>
  <c r="L398" i="30"/>
  <c r="M398" i="30"/>
  <c r="N398" i="30"/>
  <c r="O398" i="30"/>
  <c r="P398" i="30"/>
  <c r="Q398" i="30"/>
  <c r="R398" i="30"/>
  <c r="S398" i="30"/>
  <c r="T398" i="30"/>
  <c r="U398" i="30"/>
  <c r="V398" i="30"/>
  <c r="W398" i="30"/>
  <c r="X398" i="30"/>
  <c r="Y398" i="30"/>
  <c r="Z398" i="30"/>
  <c r="AA398" i="30"/>
  <c r="AB398" i="30"/>
  <c r="AC398" i="30"/>
  <c r="AD398" i="30"/>
  <c r="AE398" i="30"/>
  <c r="AF398" i="30"/>
  <c r="AG398" i="30"/>
  <c r="AH398" i="30"/>
  <c r="AI398" i="30"/>
  <c r="AJ398" i="30"/>
  <c r="AK398" i="30"/>
  <c r="AL398" i="30"/>
  <c r="AM398" i="30"/>
  <c r="AN398" i="30"/>
  <c r="AO398" i="30"/>
  <c r="AP398" i="30"/>
  <c r="AQ398" i="30"/>
  <c r="AR398" i="30"/>
  <c r="AS398" i="30"/>
  <c r="AT398" i="30"/>
  <c r="AU398" i="30"/>
  <c r="AV398" i="30"/>
  <c r="AW398" i="30"/>
  <c r="AX398" i="30"/>
  <c r="AY398" i="30"/>
  <c r="AZ398" i="30"/>
  <c r="BA398" i="30"/>
  <c r="BB398" i="30"/>
  <c r="BC398" i="30"/>
  <c r="BD398" i="30"/>
  <c r="BE398" i="30"/>
  <c r="BF398" i="30"/>
  <c r="BG398" i="30"/>
  <c r="BH398" i="30"/>
  <c r="BI398" i="30"/>
  <c r="BJ398" i="30"/>
  <c r="BK398" i="30"/>
  <c r="BL398" i="30"/>
  <c r="BM398" i="30"/>
  <c r="BN398" i="30"/>
  <c r="BO398" i="30"/>
  <c r="BP398" i="30"/>
  <c r="BQ398" i="30"/>
  <c r="BR398" i="30"/>
  <c r="BS398" i="30"/>
  <c r="BT398" i="30"/>
  <c r="BU398" i="30"/>
  <c r="BV398" i="30"/>
  <c r="BW398" i="30"/>
  <c r="BX398" i="30"/>
  <c r="BY398" i="30"/>
  <c r="BZ398" i="30"/>
  <c r="CA398" i="30"/>
  <c r="CB398" i="30"/>
  <c r="CC398" i="30"/>
  <c r="CD398" i="30"/>
  <c r="CE398" i="30"/>
  <c r="CF398" i="30"/>
  <c r="CG398" i="30"/>
  <c r="CH398" i="30"/>
  <c r="CI398" i="30"/>
  <c r="CJ398" i="30"/>
  <c r="CK398" i="30"/>
  <c r="CL398" i="30"/>
  <c r="CM398" i="30"/>
  <c r="CN398" i="30"/>
  <c r="CO398" i="30"/>
  <c r="CP398" i="30"/>
  <c r="CQ398" i="30"/>
  <c r="CR398" i="30"/>
  <c r="CS398" i="30"/>
  <c r="CT398" i="30"/>
  <c r="CU398" i="30"/>
  <c r="CV398" i="30"/>
  <c r="CW398" i="30"/>
  <c r="CX398" i="30"/>
  <c r="CY398" i="30"/>
  <c r="CZ398" i="30"/>
  <c r="DA398" i="30"/>
  <c r="DB398" i="30"/>
  <c r="DC398" i="30"/>
  <c r="DD398" i="30"/>
  <c r="DE398" i="30"/>
  <c r="DF398" i="30"/>
  <c r="DG398" i="30"/>
  <c r="DH398" i="30"/>
  <c r="DI398" i="30"/>
  <c r="DJ398" i="30"/>
  <c r="DK398" i="30"/>
  <c r="DL398" i="30"/>
  <c r="DM398" i="30"/>
  <c r="DN398" i="30"/>
  <c r="DO398" i="30"/>
  <c r="DP398" i="30"/>
  <c r="DQ398" i="30"/>
  <c r="DR398" i="30"/>
  <c r="DS398" i="30"/>
  <c r="DT398" i="30"/>
  <c r="DU398" i="30"/>
  <c r="DV398" i="30"/>
  <c r="DW398" i="30"/>
  <c r="DX398" i="30"/>
  <c r="DY398" i="30"/>
  <c r="DZ398" i="30"/>
  <c r="EA398" i="30"/>
  <c r="EB398" i="30"/>
  <c r="EC398" i="30"/>
  <c r="ED398" i="30"/>
  <c r="EE398" i="30"/>
  <c r="EF398" i="30"/>
  <c r="EG398" i="30"/>
  <c r="EH398" i="30"/>
  <c r="EI398" i="30"/>
  <c r="EJ398" i="30"/>
  <c r="EK398" i="30"/>
  <c r="EL398" i="30"/>
  <c r="EM398" i="30"/>
  <c r="EN398" i="30"/>
  <c r="EO398" i="30"/>
  <c r="EP398" i="30"/>
  <c r="EQ398" i="30"/>
  <c r="ER398" i="30"/>
  <c r="ES398" i="30"/>
  <c r="ET398" i="30"/>
  <c r="EU398" i="30"/>
  <c r="EV398" i="30"/>
  <c r="EW398" i="30"/>
  <c r="EX398" i="30"/>
  <c r="EY398" i="30"/>
  <c r="EZ398" i="30"/>
  <c r="FA398" i="30"/>
  <c r="FB398" i="30"/>
  <c r="FC398" i="30"/>
  <c r="FD398" i="30"/>
  <c r="FE398" i="30"/>
  <c r="FF398" i="30"/>
  <c r="FG398" i="30"/>
  <c r="FH398" i="30"/>
  <c r="FI398" i="30"/>
  <c r="FJ398" i="30"/>
  <c r="FK398" i="30"/>
  <c r="FL398" i="30"/>
  <c r="FM398" i="30"/>
  <c r="FN398" i="30"/>
  <c r="FO398" i="30"/>
  <c r="FP398" i="30"/>
  <c r="FQ398" i="30"/>
  <c r="FR398" i="30"/>
  <c r="FS398" i="30"/>
  <c r="FT398" i="30"/>
  <c r="FU398" i="30"/>
  <c r="FV398" i="30"/>
  <c r="FW398" i="30"/>
  <c r="FX398" i="30"/>
  <c r="FY398" i="30"/>
  <c r="FZ398" i="30"/>
  <c r="GA398" i="30"/>
  <c r="GB398" i="30"/>
  <c r="GC398" i="30"/>
  <c r="GD398" i="30"/>
  <c r="GE398" i="30"/>
  <c r="GF398" i="30"/>
  <c r="GG398" i="30"/>
  <c r="GH398" i="30"/>
  <c r="GI398" i="30"/>
  <c r="GJ398" i="30"/>
  <c r="GK398" i="30"/>
  <c r="GL398" i="30"/>
  <c r="GM398" i="30"/>
  <c r="GN398" i="30"/>
  <c r="GO398" i="30"/>
  <c r="GP398" i="30"/>
  <c r="GQ398" i="30"/>
  <c r="GR398" i="30"/>
  <c r="GS398" i="30"/>
  <c r="GT398" i="30"/>
  <c r="GU398" i="30"/>
  <c r="GV398" i="30"/>
  <c r="GW398" i="30"/>
  <c r="GX398" i="30"/>
  <c r="GY398" i="30"/>
  <c r="GZ398" i="30"/>
  <c r="HA398" i="30"/>
  <c r="HB398" i="30"/>
  <c r="HC398" i="30"/>
  <c r="HD398" i="30"/>
  <c r="HE398" i="30"/>
  <c r="HF398" i="30"/>
  <c r="HG398" i="30"/>
  <c r="HH398" i="30"/>
  <c r="HI398" i="30"/>
  <c r="HJ398" i="30"/>
  <c r="HK398" i="30"/>
  <c r="HL398" i="30"/>
  <c r="HM398" i="30"/>
  <c r="HN398" i="30"/>
  <c r="HO398" i="30"/>
  <c r="HP398" i="30"/>
  <c r="HQ398" i="30"/>
  <c r="HR398" i="30"/>
  <c r="HS398" i="30"/>
  <c r="HT398" i="30"/>
  <c r="HU398" i="30"/>
  <c r="HV398" i="30"/>
  <c r="HW398" i="30"/>
  <c r="HX398" i="30"/>
  <c r="HY398" i="30"/>
  <c r="HZ398" i="30"/>
  <c r="IA398" i="30"/>
  <c r="IB398" i="30"/>
  <c r="IC398" i="30"/>
  <c r="ID398" i="30"/>
  <c r="IE398" i="30"/>
  <c r="IF398" i="30"/>
  <c r="IG398" i="30"/>
  <c r="IH398" i="30"/>
  <c r="II398" i="30"/>
  <c r="IJ398" i="30"/>
  <c r="IK398" i="30"/>
  <c r="IL398" i="30"/>
  <c r="IM398" i="30"/>
  <c r="IN398" i="30"/>
  <c r="IO398" i="30"/>
  <c r="IP398" i="30"/>
  <c r="IQ398" i="30"/>
  <c r="IR398" i="30"/>
  <c r="IS398" i="30"/>
  <c r="IT398" i="30"/>
  <c r="IU398" i="30"/>
  <c r="IV398" i="30"/>
  <c r="A397" i="30"/>
  <c r="B397" i="30"/>
  <c r="C397" i="30"/>
  <c r="D397" i="30"/>
  <c r="E397" i="30"/>
  <c r="F397" i="30"/>
  <c r="G397" i="30"/>
  <c r="H397" i="30"/>
  <c r="I397" i="30"/>
  <c r="J397" i="30"/>
  <c r="K397" i="30"/>
  <c r="L397" i="30"/>
  <c r="M397" i="30"/>
  <c r="N397" i="30"/>
  <c r="O397" i="30"/>
  <c r="P397" i="30"/>
  <c r="Q397" i="30"/>
  <c r="R397" i="30"/>
  <c r="S397" i="30"/>
  <c r="T397" i="30"/>
  <c r="U397" i="30"/>
  <c r="V397" i="30"/>
  <c r="W397" i="30"/>
  <c r="X397" i="30"/>
  <c r="Y397" i="30"/>
  <c r="Z397" i="30"/>
  <c r="AA397" i="30"/>
  <c r="AB397" i="30"/>
  <c r="AC397" i="30"/>
  <c r="AD397" i="30"/>
  <c r="AE397" i="30"/>
  <c r="AF397" i="30"/>
  <c r="AG397" i="30"/>
  <c r="AH397" i="30"/>
  <c r="AI397" i="30"/>
  <c r="AJ397" i="30"/>
  <c r="AK397" i="30"/>
  <c r="AL397" i="30"/>
  <c r="AM397" i="30"/>
  <c r="AN397" i="30"/>
  <c r="AO397" i="30"/>
  <c r="AP397" i="30"/>
  <c r="AQ397" i="30"/>
  <c r="AR397" i="30"/>
  <c r="AS397" i="30"/>
  <c r="AT397" i="30"/>
  <c r="AU397" i="30"/>
  <c r="AV397" i="30"/>
  <c r="AW397" i="30"/>
  <c r="AX397" i="30"/>
  <c r="AY397" i="30"/>
  <c r="AZ397" i="30"/>
  <c r="BA397" i="30"/>
  <c r="BB397" i="30"/>
  <c r="BC397" i="30"/>
  <c r="BD397" i="30"/>
  <c r="BE397" i="30"/>
  <c r="BF397" i="30"/>
  <c r="BG397" i="30"/>
  <c r="BH397" i="30"/>
  <c r="BI397" i="30"/>
  <c r="BJ397" i="30"/>
  <c r="BK397" i="30"/>
  <c r="BL397" i="30"/>
  <c r="BM397" i="30"/>
  <c r="BN397" i="30"/>
  <c r="BO397" i="30"/>
  <c r="BP397" i="30"/>
  <c r="BQ397" i="30"/>
  <c r="BR397" i="30"/>
  <c r="BS397" i="30"/>
  <c r="BT397" i="30"/>
  <c r="BU397" i="30"/>
  <c r="BV397" i="30"/>
  <c r="BW397" i="30"/>
  <c r="BX397" i="30"/>
  <c r="BY397" i="30"/>
  <c r="BZ397" i="30"/>
  <c r="CA397" i="30"/>
  <c r="CB397" i="30"/>
  <c r="CC397" i="30"/>
  <c r="CD397" i="30"/>
  <c r="CE397" i="30"/>
  <c r="CF397" i="30"/>
  <c r="CG397" i="30"/>
  <c r="CH397" i="30"/>
  <c r="CI397" i="30"/>
  <c r="CJ397" i="30"/>
  <c r="CK397" i="30"/>
  <c r="CL397" i="30"/>
  <c r="CM397" i="30"/>
  <c r="CN397" i="30"/>
  <c r="CO397" i="30"/>
  <c r="CP397" i="30"/>
  <c r="CQ397" i="30"/>
  <c r="CR397" i="30"/>
  <c r="CS397" i="30"/>
  <c r="CT397" i="30"/>
  <c r="CU397" i="30"/>
  <c r="CV397" i="30"/>
  <c r="CW397" i="30"/>
  <c r="CX397" i="30"/>
  <c r="CY397" i="30"/>
  <c r="CZ397" i="30"/>
  <c r="DA397" i="30"/>
  <c r="DB397" i="30"/>
  <c r="DC397" i="30"/>
  <c r="DD397" i="30"/>
  <c r="DE397" i="30"/>
  <c r="DF397" i="30"/>
  <c r="DG397" i="30"/>
  <c r="DH397" i="30"/>
  <c r="DI397" i="30"/>
  <c r="DJ397" i="30"/>
  <c r="DK397" i="30"/>
  <c r="DL397" i="30"/>
  <c r="DM397" i="30"/>
  <c r="DN397" i="30"/>
  <c r="DO397" i="30"/>
  <c r="DP397" i="30"/>
  <c r="DQ397" i="30"/>
  <c r="DR397" i="30"/>
  <c r="DS397" i="30"/>
  <c r="DT397" i="30"/>
  <c r="DU397" i="30"/>
  <c r="DV397" i="30"/>
  <c r="DW397" i="30"/>
  <c r="DX397" i="30"/>
  <c r="DY397" i="30"/>
  <c r="DZ397" i="30"/>
  <c r="EA397" i="30"/>
  <c r="EB397" i="30"/>
  <c r="EC397" i="30"/>
  <c r="ED397" i="30"/>
  <c r="EE397" i="30"/>
  <c r="EF397" i="30"/>
  <c r="EG397" i="30"/>
  <c r="EH397" i="30"/>
  <c r="EI397" i="30"/>
  <c r="EJ397" i="30"/>
  <c r="EK397" i="30"/>
  <c r="EL397" i="30"/>
  <c r="EM397" i="30"/>
  <c r="EN397" i="30"/>
  <c r="EO397" i="30"/>
  <c r="EP397" i="30"/>
  <c r="EQ397" i="30"/>
  <c r="ER397" i="30"/>
  <c r="ES397" i="30"/>
  <c r="ET397" i="30"/>
  <c r="EU397" i="30"/>
  <c r="EV397" i="30"/>
  <c r="EW397" i="30"/>
  <c r="EX397" i="30"/>
  <c r="EY397" i="30"/>
  <c r="EZ397" i="30"/>
  <c r="FA397" i="30"/>
  <c r="FB397" i="30"/>
  <c r="FC397" i="30"/>
  <c r="FD397" i="30"/>
  <c r="FE397" i="30"/>
  <c r="FF397" i="30"/>
  <c r="FG397" i="30"/>
  <c r="FH397" i="30"/>
  <c r="FI397" i="30"/>
  <c r="FJ397" i="30"/>
  <c r="FK397" i="30"/>
  <c r="FL397" i="30"/>
  <c r="FM397" i="30"/>
  <c r="FN397" i="30"/>
  <c r="FO397" i="30"/>
  <c r="FP397" i="30"/>
  <c r="FQ397" i="30"/>
  <c r="FR397" i="30"/>
  <c r="FS397" i="30"/>
  <c r="FT397" i="30"/>
  <c r="FU397" i="30"/>
  <c r="FV397" i="30"/>
  <c r="FW397" i="30"/>
  <c r="FX397" i="30"/>
  <c r="FY397" i="30"/>
  <c r="FZ397" i="30"/>
  <c r="GA397" i="30"/>
  <c r="GB397" i="30"/>
  <c r="GC397" i="30"/>
  <c r="GD397" i="30"/>
  <c r="GE397" i="30"/>
  <c r="GF397" i="30"/>
  <c r="GG397" i="30"/>
  <c r="GH397" i="30"/>
  <c r="GI397" i="30"/>
  <c r="GJ397" i="30"/>
  <c r="GK397" i="30"/>
  <c r="GL397" i="30"/>
  <c r="GM397" i="30"/>
  <c r="GN397" i="30"/>
  <c r="GO397" i="30"/>
  <c r="GP397" i="30"/>
  <c r="GQ397" i="30"/>
  <c r="GR397" i="30"/>
  <c r="GS397" i="30"/>
  <c r="GT397" i="30"/>
  <c r="GU397" i="30"/>
  <c r="GV397" i="30"/>
  <c r="GW397" i="30"/>
  <c r="GX397" i="30"/>
  <c r="GY397" i="30"/>
  <c r="GZ397" i="30"/>
  <c r="HA397" i="30"/>
  <c r="HB397" i="30"/>
  <c r="HC397" i="30"/>
  <c r="HD397" i="30"/>
  <c r="HE397" i="30"/>
  <c r="HF397" i="30"/>
  <c r="HG397" i="30"/>
  <c r="HH397" i="30"/>
  <c r="HI397" i="30"/>
  <c r="HJ397" i="30"/>
  <c r="HK397" i="30"/>
  <c r="HL397" i="30"/>
  <c r="HM397" i="30"/>
  <c r="HN397" i="30"/>
  <c r="HO397" i="30"/>
  <c r="HP397" i="30"/>
  <c r="HQ397" i="30"/>
  <c r="HR397" i="30"/>
  <c r="HS397" i="30"/>
  <c r="HT397" i="30"/>
  <c r="HU397" i="30"/>
  <c r="HV397" i="30"/>
  <c r="HW397" i="30"/>
  <c r="HX397" i="30"/>
  <c r="HY397" i="30"/>
  <c r="HZ397" i="30"/>
  <c r="IA397" i="30"/>
  <c r="IB397" i="30"/>
  <c r="IC397" i="30"/>
  <c r="ID397" i="30"/>
  <c r="IE397" i="30"/>
  <c r="IF397" i="30"/>
  <c r="IG397" i="30"/>
  <c r="IH397" i="30"/>
  <c r="II397" i="30"/>
  <c r="IJ397" i="30"/>
  <c r="IK397" i="30"/>
  <c r="IL397" i="30"/>
  <c r="IM397" i="30"/>
  <c r="IN397" i="30"/>
  <c r="IO397" i="30"/>
  <c r="IP397" i="30"/>
  <c r="IQ397" i="30"/>
  <c r="IR397" i="30"/>
  <c r="IS397" i="30"/>
  <c r="IT397" i="30"/>
  <c r="IU397" i="30"/>
  <c r="IV397" i="30"/>
  <c r="A396" i="30"/>
  <c r="B396" i="30"/>
  <c r="C396" i="30"/>
  <c r="D396" i="30"/>
  <c r="E396" i="30"/>
  <c r="F396" i="30"/>
  <c r="G396" i="30"/>
  <c r="H396" i="30"/>
  <c r="I396" i="30"/>
  <c r="J396" i="30"/>
  <c r="K396" i="30"/>
  <c r="L396" i="30"/>
  <c r="M396" i="30"/>
  <c r="N396" i="30"/>
  <c r="O396" i="30"/>
  <c r="P396" i="30"/>
  <c r="Q396" i="30"/>
  <c r="R396" i="30"/>
  <c r="S396" i="30"/>
  <c r="T396" i="30"/>
  <c r="U396" i="30"/>
  <c r="V396" i="30"/>
  <c r="W396" i="30"/>
  <c r="X396" i="30"/>
  <c r="Y396" i="30"/>
  <c r="Z396" i="30"/>
  <c r="AA396" i="30"/>
  <c r="AB396" i="30"/>
  <c r="AC396" i="30"/>
  <c r="AD396" i="30"/>
  <c r="AE396" i="30"/>
  <c r="AF396" i="30"/>
  <c r="AG396" i="30"/>
  <c r="AH396" i="30"/>
  <c r="AI396" i="30"/>
  <c r="AJ396" i="30"/>
  <c r="AK396" i="30"/>
  <c r="AL396" i="30"/>
  <c r="AM396" i="30"/>
  <c r="AN396" i="30"/>
  <c r="AO396" i="30"/>
  <c r="AP396" i="30"/>
  <c r="AQ396" i="30"/>
  <c r="AR396" i="30"/>
  <c r="AS396" i="30"/>
  <c r="AT396" i="30"/>
  <c r="AU396" i="30"/>
  <c r="AV396" i="30"/>
  <c r="AW396" i="30"/>
  <c r="AX396" i="30"/>
  <c r="AY396" i="30"/>
  <c r="AZ396" i="30"/>
  <c r="BA396" i="30"/>
  <c r="BB396" i="30"/>
  <c r="BC396" i="30"/>
  <c r="BD396" i="30"/>
  <c r="BE396" i="30"/>
  <c r="BF396" i="30"/>
  <c r="BG396" i="30"/>
  <c r="BH396" i="30"/>
  <c r="BI396" i="30"/>
  <c r="BJ396" i="30"/>
  <c r="BK396" i="30"/>
  <c r="BL396" i="30"/>
  <c r="BM396" i="30"/>
  <c r="BN396" i="30"/>
  <c r="BO396" i="30"/>
  <c r="BP396" i="30"/>
  <c r="BQ396" i="30"/>
  <c r="BR396" i="30"/>
  <c r="BS396" i="30"/>
  <c r="BT396" i="30"/>
  <c r="BU396" i="30"/>
  <c r="BV396" i="30"/>
  <c r="BW396" i="30"/>
  <c r="BX396" i="30"/>
  <c r="BY396" i="30"/>
  <c r="BZ396" i="30"/>
  <c r="CA396" i="30"/>
  <c r="CB396" i="30"/>
  <c r="CC396" i="30"/>
  <c r="CD396" i="30"/>
  <c r="CE396" i="30"/>
  <c r="CF396" i="30"/>
  <c r="CG396" i="30"/>
  <c r="CH396" i="30"/>
  <c r="CI396" i="30"/>
  <c r="CJ396" i="30"/>
  <c r="CK396" i="30"/>
  <c r="CL396" i="30"/>
  <c r="CM396" i="30"/>
  <c r="CN396" i="30"/>
  <c r="CO396" i="30"/>
  <c r="CP396" i="30"/>
  <c r="CQ396" i="30"/>
  <c r="CR396" i="30"/>
  <c r="CS396" i="30"/>
  <c r="CT396" i="30"/>
  <c r="CU396" i="30"/>
  <c r="CV396" i="30"/>
  <c r="CW396" i="30"/>
  <c r="CX396" i="30"/>
  <c r="CY396" i="30"/>
  <c r="CZ396" i="30"/>
  <c r="DA396" i="30"/>
  <c r="DB396" i="30"/>
  <c r="DC396" i="30"/>
  <c r="DD396" i="30"/>
  <c r="DE396" i="30"/>
  <c r="DF396" i="30"/>
  <c r="DG396" i="30"/>
  <c r="DH396" i="30"/>
  <c r="DI396" i="30"/>
  <c r="DJ396" i="30"/>
  <c r="DK396" i="30"/>
  <c r="DL396" i="30"/>
  <c r="DM396" i="30"/>
  <c r="DN396" i="30"/>
  <c r="DO396" i="30"/>
  <c r="DP396" i="30"/>
  <c r="DQ396" i="30"/>
  <c r="DR396" i="30"/>
  <c r="DS396" i="30"/>
  <c r="DT396" i="30"/>
  <c r="DU396" i="30"/>
  <c r="DV396" i="30"/>
  <c r="DW396" i="30"/>
  <c r="DX396" i="30"/>
  <c r="DY396" i="30"/>
  <c r="DZ396" i="30"/>
  <c r="EA396" i="30"/>
  <c r="EB396" i="30"/>
  <c r="EC396" i="30"/>
  <c r="ED396" i="30"/>
  <c r="EE396" i="30"/>
  <c r="EF396" i="30"/>
  <c r="EG396" i="30"/>
  <c r="EH396" i="30"/>
  <c r="EI396" i="30"/>
  <c r="EJ396" i="30"/>
  <c r="EK396" i="30"/>
  <c r="EL396" i="30"/>
  <c r="EM396" i="30"/>
  <c r="EN396" i="30"/>
  <c r="EO396" i="30"/>
  <c r="EP396" i="30"/>
  <c r="EQ396" i="30"/>
  <c r="ER396" i="30"/>
  <c r="ES396" i="30"/>
  <c r="ET396" i="30"/>
  <c r="EU396" i="30"/>
  <c r="EV396" i="30"/>
  <c r="EW396" i="30"/>
  <c r="EX396" i="30"/>
  <c r="EY396" i="30"/>
  <c r="EZ396" i="30"/>
  <c r="FA396" i="30"/>
  <c r="FB396" i="30"/>
  <c r="FC396" i="30"/>
  <c r="FD396" i="30"/>
  <c r="FE396" i="30"/>
  <c r="FF396" i="30"/>
  <c r="FG396" i="30"/>
  <c r="FH396" i="30"/>
  <c r="FI396" i="30"/>
  <c r="FJ396" i="30"/>
  <c r="FK396" i="30"/>
  <c r="FL396" i="30"/>
  <c r="FM396" i="30"/>
  <c r="FN396" i="30"/>
  <c r="FO396" i="30"/>
  <c r="FP396" i="30"/>
  <c r="FQ396" i="30"/>
  <c r="FR396" i="30"/>
  <c r="FS396" i="30"/>
  <c r="FT396" i="30"/>
  <c r="FU396" i="30"/>
  <c r="FV396" i="30"/>
  <c r="FW396" i="30"/>
  <c r="FX396" i="30"/>
  <c r="FY396" i="30"/>
  <c r="FZ396" i="30"/>
  <c r="GA396" i="30"/>
  <c r="GB396" i="30"/>
  <c r="GC396" i="30"/>
  <c r="GD396" i="30"/>
  <c r="GE396" i="30"/>
  <c r="GF396" i="30"/>
  <c r="GG396" i="30"/>
  <c r="GH396" i="30"/>
  <c r="GI396" i="30"/>
  <c r="GJ396" i="30"/>
  <c r="GK396" i="30"/>
  <c r="GL396" i="30"/>
  <c r="GM396" i="30"/>
  <c r="GN396" i="30"/>
  <c r="GO396" i="30"/>
  <c r="GP396" i="30"/>
  <c r="GQ396" i="30"/>
  <c r="GR396" i="30"/>
  <c r="GS396" i="30"/>
  <c r="GT396" i="30"/>
  <c r="GU396" i="30"/>
  <c r="GV396" i="30"/>
  <c r="GW396" i="30"/>
  <c r="GX396" i="30"/>
  <c r="GY396" i="30"/>
  <c r="GZ396" i="30"/>
  <c r="HA396" i="30"/>
  <c r="HB396" i="30"/>
  <c r="HC396" i="30"/>
  <c r="HD396" i="30"/>
  <c r="HE396" i="30"/>
  <c r="HF396" i="30"/>
  <c r="HG396" i="30"/>
  <c r="HH396" i="30"/>
  <c r="HI396" i="30"/>
  <c r="HJ396" i="30"/>
  <c r="HK396" i="30"/>
  <c r="HL396" i="30"/>
  <c r="HM396" i="30"/>
  <c r="HN396" i="30"/>
  <c r="HO396" i="30"/>
  <c r="HP396" i="30"/>
  <c r="HQ396" i="30"/>
  <c r="HR396" i="30"/>
  <c r="HS396" i="30"/>
  <c r="HT396" i="30"/>
  <c r="HU396" i="30"/>
  <c r="HV396" i="30"/>
  <c r="HW396" i="30"/>
  <c r="HX396" i="30"/>
  <c r="HY396" i="30"/>
  <c r="HZ396" i="30"/>
  <c r="IA396" i="30"/>
  <c r="IB396" i="30"/>
  <c r="IC396" i="30"/>
  <c r="ID396" i="30"/>
  <c r="IE396" i="30"/>
  <c r="IF396" i="30"/>
  <c r="IG396" i="30"/>
  <c r="IH396" i="30"/>
  <c r="II396" i="30"/>
  <c r="IJ396" i="30"/>
  <c r="IK396" i="30"/>
  <c r="IL396" i="30"/>
  <c r="IM396" i="30"/>
  <c r="IN396" i="30"/>
  <c r="IO396" i="30"/>
  <c r="IP396" i="30"/>
  <c r="IQ396" i="30"/>
  <c r="IR396" i="30"/>
  <c r="IS396" i="30"/>
  <c r="IT396" i="30"/>
  <c r="IU396" i="30"/>
  <c r="IV396" i="30"/>
  <c r="A395" i="30"/>
  <c r="B395" i="30"/>
  <c r="C395" i="30"/>
  <c r="D395" i="30"/>
  <c r="E395" i="30"/>
  <c r="F395" i="30"/>
  <c r="G395" i="30"/>
  <c r="H395" i="30"/>
  <c r="I395" i="30"/>
  <c r="J395" i="30"/>
  <c r="K395" i="30"/>
  <c r="L395" i="30"/>
  <c r="M395" i="30"/>
  <c r="N395" i="30"/>
  <c r="O395" i="30"/>
  <c r="P395" i="30"/>
  <c r="Q395" i="30"/>
  <c r="R395" i="30"/>
  <c r="S395" i="30"/>
  <c r="T395" i="30"/>
  <c r="U395" i="30"/>
  <c r="V395" i="30"/>
  <c r="W395" i="30"/>
  <c r="X395" i="30"/>
  <c r="Y395" i="30"/>
  <c r="Z395" i="30"/>
  <c r="AA395" i="30"/>
  <c r="AB395" i="30"/>
  <c r="AC395" i="30"/>
  <c r="AD395" i="30"/>
  <c r="AE395" i="30"/>
  <c r="AF395" i="30"/>
  <c r="AG395" i="30"/>
  <c r="AH395" i="30"/>
  <c r="AI395" i="30"/>
  <c r="AJ395" i="30"/>
  <c r="AK395" i="30"/>
  <c r="AL395" i="30"/>
  <c r="AM395" i="30"/>
  <c r="AN395" i="30"/>
  <c r="AO395" i="30"/>
  <c r="AP395" i="30"/>
  <c r="AQ395" i="30"/>
  <c r="AR395" i="30"/>
  <c r="AS395" i="30"/>
  <c r="AT395" i="30"/>
  <c r="AU395" i="30"/>
  <c r="AV395" i="30"/>
  <c r="AW395" i="30"/>
  <c r="AX395" i="30"/>
  <c r="AY395" i="30"/>
  <c r="AZ395" i="30"/>
  <c r="BA395" i="30"/>
  <c r="BB395" i="30"/>
  <c r="BC395" i="30"/>
  <c r="BD395" i="30"/>
  <c r="BE395" i="30"/>
  <c r="BF395" i="30"/>
  <c r="BG395" i="30"/>
  <c r="BH395" i="30"/>
  <c r="BI395" i="30"/>
  <c r="BJ395" i="30"/>
  <c r="BK395" i="30"/>
  <c r="BL395" i="30"/>
  <c r="BM395" i="30"/>
  <c r="BN395" i="30"/>
  <c r="BO395" i="30"/>
  <c r="BP395" i="30"/>
  <c r="BQ395" i="30"/>
  <c r="BR395" i="30"/>
  <c r="BS395" i="30"/>
  <c r="BT395" i="30"/>
  <c r="BU395" i="30"/>
  <c r="BV395" i="30"/>
  <c r="BW395" i="30"/>
  <c r="BX395" i="30"/>
  <c r="BY395" i="30"/>
  <c r="BZ395" i="30"/>
  <c r="CA395" i="30"/>
  <c r="CB395" i="30"/>
  <c r="CC395" i="30"/>
  <c r="CD395" i="30"/>
  <c r="CE395" i="30"/>
  <c r="CF395" i="30"/>
  <c r="CG395" i="30"/>
  <c r="CH395" i="30"/>
  <c r="CI395" i="30"/>
  <c r="CJ395" i="30"/>
  <c r="CK395" i="30"/>
  <c r="CL395" i="30"/>
  <c r="CM395" i="30"/>
  <c r="CN395" i="30"/>
  <c r="CO395" i="30"/>
  <c r="CP395" i="30"/>
  <c r="CQ395" i="30"/>
  <c r="CR395" i="30"/>
  <c r="CS395" i="30"/>
  <c r="CT395" i="30"/>
  <c r="CU395" i="30"/>
  <c r="CV395" i="30"/>
  <c r="CW395" i="30"/>
  <c r="CX395" i="30"/>
  <c r="CY395" i="30"/>
  <c r="CZ395" i="30"/>
  <c r="DA395" i="30"/>
  <c r="DB395" i="30"/>
  <c r="DC395" i="30"/>
  <c r="DD395" i="30"/>
  <c r="DE395" i="30"/>
  <c r="DF395" i="30"/>
  <c r="DG395" i="30"/>
  <c r="DH395" i="30"/>
  <c r="DI395" i="30"/>
  <c r="DJ395" i="30"/>
  <c r="DK395" i="30"/>
  <c r="DL395" i="30"/>
  <c r="DM395" i="30"/>
  <c r="DN395" i="30"/>
  <c r="DO395" i="30"/>
  <c r="DP395" i="30"/>
  <c r="DQ395" i="30"/>
  <c r="DR395" i="30"/>
  <c r="DS395" i="30"/>
  <c r="DT395" i="30"/>
  <c r="DU395" i="30"/>
  <c r="DV395" i="30"/>
  <c r="DW395" i="30"/>
  <c r="DX395" i="30"/>
  <c r="DY395" i="30"/>
  <c r="DZ395" i="30"/>
  <c r="EA395" i="30"/>
  <c r="EB395" i="30"/>
  <c r="EC395" i="30"/>
  <c r="ED395" i="30"/>
  <c r="EE395" i="30"/>
  <c r="EF395" i="30"/>
  <c r="EG395" i="30"/>
  <c r="EH395" i="30"/>
  <c r="EI395" i="30"/>
  <c r="EJ395" i="30"/>
  <c r="EK395" i="30"/>
  <c r="EL395" i="30"/>
  <c r="EM395" i="30"/>
  <c r="EN395" i="30"/>
  <c r="EO395" i="30"/>
  <c r="EP395" i="30"/>
  <c r="EQ395" i="30"/>
  <c r="ER395" i="30"/>
  <c r="ES395" i="30"/>
  <c r="ET395" i="30"/>
  <c r="EU395" i="30"/>
  <c r="EV395" i="30"/>
  <c r="EW395" i="30"/>
  <c r="EX395" i="30"/>
  <c r="EY395" i="30"/>
  <c r="EZ395" i="30"/>
  <c r="FA395" i="30"/>
  <c r="FB395" i="30"/>
  <c r="FC395" i="30"/>
  <c r="FD395" i="30"/>
  <c r="FE395" i="30"/>
  <c r="FF395" i="30"/>
  <c r="FG395" i="30"/>
  <c r="FH395" i="30"/>
  <c r="FI395" i="30"/>
  <c r="FJ395" i="30"/>
  <c r="FK395" i="30"/>
  <c r="FL395" i="30"/>
  <c r="FM395" i="30"/>
  <c r="FN395" i="30"/>
  <c r="FO395" i="30"/>
  <c r="FP395" i="30"/>
  <c r="FQ395" i="30"/>
  <c r="FR395" i="30"/>
  <c r="FS395" i="30"/>
  <c r="FT395" i="30"/>
  <c r="FU395" i="30"/>
  <c r="FV395" i="30"/>
  <c r="FW395" i="30"/>
  <c r="FX395" i="30"/>
  <c r="FY395" i="30"/>
  <c r="FZ395" i="30"/>
  <c r="GA395" i="30"/>
  <c r="GB395" i="30"/>
  <c r="GC395" i="30"/>
  <c r="GD395" i="30"/>
  <c r="GE395" i="30"/>
  <c r="GF395" i="30"/>
  <c r="GG395" i="30"/>
  <c r="GH395" i="30"/>
  <c r="GI395" i="30"/>
  <c r="GJ395" i="30"/>
  <c r="GK395" i="30"/>
  <c r="GL395" i="30"/>
  <c r="GM395" i="30"/>
  <c r="GN395" i="30"/>
  <c r="GO395" i="30"/>
  <c r="GP395" i="30"/>
  <c r="GQ395" i="30"/>
  <c r="GR395" i="30"/>
  <c r="GS395" i="30"/>
  <c r="GT395" i="30"/>
  <c r="GU395" i="30"/>
  <c r="GV395" i="30"/>
  <c r="GW395" i="30"/>
  <c r="GX395" i="30"/>
  <c r="GY395" i="30"/>
  <c r="GZ395" i="30"/>
  <c r="HA395" i="30"/>
  <c r="HB395" i="30"/>
  <c r="HC395" i="30"/>
  <c r="HD395" i="30"/>
  <c r="HE395" i="30"/>
  <c r="HF395" i="30"/>
  <c r="HG395" i="30"/>
  <c r="HH395" i="30"/>
  <c r="HI395" i="30"/>
  <c r="HJ395" i="30"/>
  <c r="HK395" i="30"/>
  <c r="HL395" i="30"/>
  <c r="HM395" i="30"/>
  <c r="HN395" i="30"/>
  <c r="HO395" i="30"/>
  <c r="HP395" i="30"/>
  <c r="HQ395" i="30"/>
  <c r="HR395" i="30"/>
  <c r="HS395" i="30"/>
  <c r="HT395" i="30"/>
  <c r="HU395" i="30"/>
  <c r="HV395" i="30"/>
  <c r="HW395" i="30"/>
  <c r="HX395" i="30"/>
  <c r="HY395" i="30"/>
  <c r="HZ395" i="30"/>
  <c r="IA395" i="30"/>
  <c r="IB395" i="30"/>
  <c r="IC395" i="30"/>
  <c r="ID395" i="30"/>
  <c r="IE395" i="30"/>
  <c r="IF395" i="30"/>
  <c r="IG395" i="30"/>
  <c r="IH395" i="30"/>
  <c r="II395" i="30"/>
  <c r="IJ395" i="30"/>
  <c r="IK395" i="30"/>
  <c r="IL395" i="30"/>
  <c r="IM395" i="30"/>
  <c r="IN395" i="30"/>
  <c r="IO395" i="30"/>
  <c r="IP395" i="30"/>
  <c r="IQ395" i="30"/>
  <c r="IR395" i="30"/>
  <c r="IS395" i="30"/>
  <c r="IT395" i="30"/>
  <c r="IU395" i="30"/>
  <c r="IV395" i="30"/>
  <c r="A394" i="30"/>
  <c r="B394" i="30"/>
  <c r="C394" i="30"/>
  <c r="D394" i="30"/>
  <c r="E394" i="30"/>
  <c r="F394" i="30"/>
  <c r="G394" i="30"/>
  <c r="H394" i="30"/>
  <c r="I394" i="30"/>
  <c r="J394" i="30"/>
  <c r="K394" i="30"/>
  <c r="L394" i="30"/>
  <c r="M394" i="30"/>
  <c r="N394" i="30"/>
  <c r="O394" i="30"/>
  <c r="P394" i="30"/>
  <c r="Q394" i="30"/>
  <c r="R394" i="30"/>
  <c r="S394" i="30"/>
  <c r="T394" i="30"/>
  <c r="U394" i="30"/>
  <c r="V394" i="30"/>
  <c r="W394" i="30"/>
  <c r="X394" i="30"/>
  <c r="Y394" i="30"/>
  <c r="Z394" i="30"/>
  <c r="AA394" i="30"/>
  <c r="AB394" i="30"/>
  <c r="AC394" i="30"/>
  <c r="AD394" i="30"/>
  <c r="AE394" i="30"/>
  <c r="AF394" i="30"/>
  <c r="AG394" i="30"/>
  <c r="AH394" i="30"/>
  <c r="AI394" i="30"/>
  <c r="AJ394" i="30"/>
  <c r="AK394" i="30"/>
  <c r="AL394" i="30"/>
  <c r="AM394" i="30"/>
  <c r="AN394" i="30"/>
  <c r="AO394" i="30"/>
  <c r="AP394" i="30"/>
  <c r="AQ394" i="30"/>
  <c r="AR394" i="30"/>
  <c r="AS394" i="30"/>
  <c r="AT394" i="30"/>
  <c r="AU394" i="30"/>
  <c r="AV394" i="30"/>
  <c r="AW394" i="30"/>
  <c r="AX394" i="30"/>
  <c r="AY394" i="30"/>
  <c r="AZ394" i="30"/>
  <c r="BA394" i="30"/>
  <c r="BB394" i="30"/>
  <c r="BC394" i="30"/>
  <c r="BD394" i="30"/>
  <c r="BE394" i="30"/>
  <c r="BF394" i="30"/>
  <c r="BG394" i="30"/>
  <c r="BH394" i="30"/>
  <c r="BI394" i="30"/>
  <c r="BJ394" i="30"/>
  <c r="BK394" i="30"/>
  <c r="BL394" i="30"/>
  <c r="BM394" i="30"/>
  <c r="BN394" i="30"/>
  <c r="BO394" i="30"/>
  <c r="BP394" i="30"/>
  <c r="BQ394" i="30"/>
  <c r="BR394" i="30"/>
  <c r="BS394" i="30"/>
  <c r="BT394" i="30"/>
  <c r="BU394" i="30"/>
  <c r="BV394" i="30"/>
  <c r="BW394" i="30"/>
  <c r="BX394" i="30"/>
  <c r="BY394" i="30"/>
  <c r="BZ394" i="30"/>
  <c r="CA394" i="30"/>
  <c r="CB394" i="30"/>
  <c r="CC394" i="30"/>
  <c r="CD394" i="30"/>
  <c r="CE394" i="30"/>
  <c r="CF394" i="30"/>
  <c r="CG394" i="30"/>
  <c r="CH394" i="30"/>
  <c r="CI394" i="30"/>
  <c r="CJ394" i="30"/>
  <c r="CK394" i="30"/>
  <c r="CL394" i="30"/>
  <c r="CM394" i="30"/>
  <c r="CN394" i="30"/>
  <c r="CO394" i="30"/>
  <c r="CP394" i="30"/>
  <c r="CQ394" i="30"/>
  <c r="CR394" i="30"/>
  <c r="CS394" i="30"/>
  <c r="CT394" i="30"/>
  <c r="CU394" i="30"/>
  <c r="CV394" i="30"/>
  <c r="CW394" i="30"/>
  <c r="CX394" i="30"/>
  <c r="CY394" i="30"/>
  <c r="CZ394" i="30"/>
  <c r="DA394" i="30"/>
  <c r="DB394" i="30"/>
  <c r="DC394" i="30"/>
  <c r="DD394" i="30"/>
  <c r="DE394" i="30"/>
  <c r="DF394" i="30"/>
  <c r="DG394" i="30"/>
  <c r="DH394" i="30"/>
  <c r="DI394" i="30"/>
  <c r="DJ394" i="30"/>
  <c r="DK394" i="30"/>
  <c r="DL394" i="30"/>
  <c r="DM394" i="30"/>
  <c r="DN394" i="30"/>
  <c r="DO394" i="30"/>
  <c r="DP394" i="30"/>
  <c r="DQ394" i="30"/>
  <c r="DR394" i="30"/>
  <c r="DS394" i="30"/>
  <c r="DT394" i="30"/>
  <c r="DU394" i="30"/>
  <c r="DV394" i="30"/>
  <c r="DW394" i="30"/>
  <c r="DX394" i="30"/>
  <c r="DY394" i="30"/>
  <c r="DZ394" i="30"/>
  <c r="EA394" i="30"/>
  <c r="EB394" i="30"/>
  <c r="EC394" i="30"/>
  <c r="ED394" i="30"/>
  <c r="EE394" i="30"/>
  <c r="EF394" i="30"/>
  <c r="EG394" i="30"/>
  <c r="EH394" i="30"/>
  <c r="EI394" i="30"/>
  <c r="EJ394" i="30"/>
  <c r="EK394" i="30"/>
  <c r="EL394" i="30"/>
  <c r="EM394" i="30"/>
  <c r="EN394" i="30"/>
  <c r="EO394" i="30"/>
  <c r="EP394" i="30"/>
  <c r="EQ394" i="30"/>
  <c r="ER394" i="30"/>
  <c r="ES394" i="30"/>
  <c r="ET394" i="30"/>
  <c r="EU394" i="30"/>
  <c r="EV394" i="30"/>
  <c r="EW394" i="30"/>
  <c r="EX394" i="30"/>
  <c r="EY394" i="30"/>
  <c r="EZ394" i="30"/>
  <c r="FA394" i="30"/>
  <c r="FB394" i="30"/>
  <c r="FC394" i="30"/>
  <c r="FD394" i="30"/>
  <c r="FE394" i="30"/>
  <c r="FF394" i="30"/>
  <c r="FG394" i="30"/>
  <c r="FH394" i="30"/>
  <c r="FI394" i="30"/>
  <c r="FJ394" i="30"/>
  <c r="FK394" i="30"/>
  <c r="FL394" i="30"/>
  <c r="FM394" i="30"/>
  <c r="FN394" i="30"/>
  <c r="FO394" i="30"/>
  <c r="FP394" i="30"/>
  <c r="FQ394" i="30"/>
  <c r="FR394" i="30"/>
  <c r="FS394" i="30"/>
  <c r="FT394" i="30"/>
  <c r="FU394" i="30"/>
  <c r="FV394" i="30"/>
  <c r="FW394" i="30"/>
  <c r="FX394" i="30"/>
  <c r="FY394" i="30"/>
  <c r="FZ394" i="30"/>
  <c r="GA394" i="30"/>
  <c r="GB394" i="30"/>
  <c r="GC394" i="30"/>
  <c r="GD394" i="30"/>
  <c r="GE394" i="30"/>
  <c r="GF394" i="30"/>
  <c r="GG394" i="30"/>
  <c r="GH394" i="30"/>
  <c r="GI394" i="30"/>
  <c r="GJ394" i="30"/>
  <c r="GK394" i="30"/>
  <c r="GL394" i="30"/>
  <c r="GM394" i="30"/>
  <c r="GN394" i="30"/>
  <c r="GO394" i="30"/>
  <c r="GP394" i="30"/>
  <c r="GQ394" i="30"/>
  <c r="GR394" i="30"/>
  <c r="GS394" i="30"/>
  <c r="GT394" i="30"/>
  <c r="GU394" i="30"/>
  <c r="GV394" i="30"/>
  <c r="GW394" i="30"/>
  <c r="GX394" i="30"/>
  <c r="GY394" i="30"/>
  <c r="GZ394" i="30"/>
  <c r="HA394" i="30"/>
  <c r="HB394" i="30"/>
  <c r="HC394" i="30"/>
  <c r="HD394" i="30"/>
  <c r="HE394" i="30"/>
  <c r="HF394" i="30"/>
  <c r="HG394" i="30"/>
  <c r="HH394" i="30"/>
  <c r="HI394" i="30"/>
  <c r="HJ394" i="30"/>
  <c r="HK394" i="30"/>
  <c r="HL394" i="30"/>
  <c r="HM394" i="30"/>
  <c r="HN394" i="30"/>
  <c r="HO394" i="30"/>
  <c r="HP394" i="30"/>
  <c r="HQ394" i="30"/>
  <c r="HR394" i="30"/>
  <c r="HS394" i="30"/>
  <c r="HT394" i="30"/>
  <c r="HU394" i="30"/>
  <c r="HV394" i="30"/>
  <c r="HW394" i="30"/>
  <c r="HX394" i="30"/>
  <c r="HY394" i="30"/>
  <c r="HZ394" i="30"/>
  <c r="IA394" i="30"/>
  <c r="IB394" i="30"/>
  <c r="IC394" i="30"/>
  <c r="ID394" i="30"/>
  <c r="IE394" i="30"/>
  <c r="IF394" i="30"/>
  <c r="IG394" i="30"/>
  <c r="IH394" i="30"/>
  <c r="II394" i="30"/>
  <c r="IJ394" i="30"/>
  <c r="IK394" i="30"/>
  <c r="IL394" i="30"/>
  <c r="IM394" i="30"/>
  <c r="IN394" i="30"/>
  <c r="IO394" i="30"/>
  <c r="IP394" i="30"/>
  <c r="IQ394" i="30"/>
  <c r="IR394" i="30"/>
  <c r="IS394" i="30"/>
  <c r="IT394" i="30"/>
  <c r="IU394" i="30"/>
  <c r="IV394" i="30"/>
  <c r="A393" i="30"/>
  <c r="B393" i="30"/>
  <c r="C393" i="30"/>
  <c r="D393" i="30"/>
  <c r="E393" i="30"/>
  <c r="F393" i="30"/>
  <c r="G393" i="30"/>
  <c r="H393" i="30"/>
  <c r="I393" i="30"/>
  <c r="J393" i="30"/>
  <c r="K393" i="30"/>
  <c r="L393" i="30"/>
  <c r="M393" i="30"/>
  <c r="N393" i="30"/>
  <c r="O393" i="30"/>
  <c r="P393" i="30"/>
  <c r="Q393" i="30"/>
  <c r="R393" i="30"/>
  <c r="S393" i="30"/>
  <c r="T393" i="30"/>
  <c r="U393" i="30"/>
  <c r="V393" i="30"/>
  <c r="W393" i="30"/>
  <c r="X393" i="30"/>
  <c r="Y393" i="30"/>
  <c r="Z393" i="30"/>
  <c r="AA393" i="30"/>
  <c r="AB393" i="30"/>
  <c r="AC393" i="30"/>
  <c r="AD393" i="30"/>
  <c r="AE393" i="30"/>
  <c r="AF393" i="30"/>
  <c r="AG393" i="30"/>
  <c r="AH393" i="30"/>
  <c r="AI393" i="30"/>
  <c r="AJ393" i="30"/>
  <c r="AK393" i="30"/>
  <c r="AL393" i="30"/>
  <c r="AM393" i="30"/>
  <c r="AN393" i="30"/>
  <c r="AO393" i="30"/>
  <c r="AP393" i="30"/>
  <c r="AQ393" i="30"/>
  <c r="AR393" i="30"/>
  <c r="AS393" i="30"/>
  <c r="AT393" i="30"/>
  <c r="AU393" i="30"/>
  <c r="AV393" i="30"/>
  <c r="AW393" i="30"/>
  <c r="AX393" i="30"/>
  <c r="AY393" i="30"/>
  <c r="AZ393" i="30"/>
  <c r="BA393" i="30"/>
  <c r="BB393" i="30"/>
  <c r="BC393" i="30"/>
  <c r="BD393" i="30"/>
  <c r="BE393" i="30"/>
  <c r="BF393" i="30"/>
  <c r="BG393" i="30"/>
  <c r="BH393" i="30"/>
  <c r="BI393" i="30"/>
  <c r="BJ393" i="30"/>
  <c r="BK393" i="30"/>
  <c r="BL393" i="30"/>
  <c r="BM393" i="30"/>
  <c r="BN393" i="30"/>
  <c r="BO393" i="30"/>
  <c r="BP393" i="30"/>
  <c r="BQ393" i="30"/>
  <c r="BR393" i="30"/>
  <c r="BS393" i="30"/>
  <c r="BT393" i="30"/>
  <c r="BU393" i="30"/>
  <c r="BV393" i="30"/>
  <c r="BW393" i="30"/>
  <c r="BX393" i="30"/>
  <c r="BY393" i="30"/>
  <c r="BZ393" i="30"/>
  <c r="CA393" i="30"/>
  <c r="CB393" i="30"/>
  <c r="CC393" i="30"/>
  <c r="CD393" i="30"/>
  <c r="CE393" i="30"/>
  <c r="CF393" i="30"/>
  <c r="CG393" i="30"/>
  <c r="CH393" i="30"/>
  <c r="CI393" i="30"/>
  <c r="CJ393" i="30"/>
  <c r="CK393" i="30"/>
  <c r="CL393" i="30"/>
  <c r="CM393" i="30"/>
  <c r="CN393" i="30"/>
  <c r="CO393" i="30"/>
  <c r="CP393" i="30"/>
  <c r="CQ393" i="30"/>
  <c r="CR393" i="30"/>
  <c r="CS393" i="30"/>
  <c r="CT393" i="30"/>
  <c r="CU393" i="30"/>
  <c r="CV393" i="30"/>
  <c r="CW393" i="30"/>
  <c r="CX393" i="30"/>
  <c r="CY393" i="30"/>
  <c r="CZ393" i="30"/>
  <c r="DA393" i="30"/>
  <c r="DB393" i="30"/>
  <c r="DC393" i="30"/>
  <c r="DD393" i="30"/>
  <c r="DE393" i="30"/>
  <c r="DF393" i="30"/>
  <c r="DG393" i="30"/>
  <c r="DH393" i="30"/>
  <c r="DI393" i="30"/>
  <c r="DJ393" i="30"/>
  <c r="DK393" i="30"/>
  <c r="DL393" i="30"/>
  <c r="DM393" i="30"/>
  <c r="DN393" i="30"/>
  <c r="DO393" i="30"/>
  <c r="DP393" i="30"/>
  <c r="DQ393" i="30"/>
  <c r="DR393" i="30"/>
  <c r="DS393" i="30"/>
  <c r="DT393" i="30"/>
  <c r="DU393" i="30"/>
  <c r="DV393" i="30"/>
  <c r="DW393" i="30"/>
  <c r="DX393" i="30"/>
  <c r="DY393" i="30"/>
  <c r="DZ393" i="30"/>
  <c r="EA393" i="30"/>
  <c r="EB393" i="30"/>
  <c r="EC393" i="30"/>
  <c r="ED393" i="30"/>
  <c r="EE393" i="30"/>
  <c r="EF393" i="30"/>
  <c r="EG393" i="30"/>
  <c r="EH393" i="30"/>
  <c r="EI393" i="30"/>
  <c r="EJ393" i="30"/>
  <c r="EK393" i="30"/>
  <c r="EL393" i="30"/>
  <c r="EM393" i="30"/>
  <c r="EN393" i="30"/>
  <c r="EO393" i="30"/>
  <c r="EP393" i="30"/>
  <c r="EQ393" i="30"/>
  <c r="ER393" i="30"/>
  <c r="ES393" i="30"/>
  <c r="ET393" i="30"/>
  <c r="EU393" i="30"/>
  <c r="EV393" i="30"/>
  <c r="EW393" i="30"/>
  <c r="EX393" i="30"/>
  <c r="EY393" i="30"/>
  <c r="EZ393" i="30"/>
  <c r="FA393" i="30"/>
  <c r="FB393" i="30"/>
  <c r="FC393" i="30"/>
  <c r="FD393" i="30"/>
  <c r="FE393" i="30"/>
  <c r="FF393" i="30"/>
  <c r="FG393" i="30"/>
  <c r="FH393" i="30"/>
  <c r="FI393" i="30"/>
  <c r="FJ393" i="30"/>
  <c r="FK393" i="30"/>
  <c r="FL393" i="30"/>
  <c r="FM393" i="30"/>
  <c r="FN393" i="30"/>
  <c r="FO393" i="30"/>
  <c r="FP393" i="30"/>
  <c r="FQ393" i="30"/>
  <c r="FR393" i="30"/>
  <c r="FS393" i="30"/>
  <c r="FT393" i="30"/>
  <c r="FU393" i="30"/>
  <c r="FV393" i="30"/>
  <c r="FW393" i="30"/>
  <c r="FX393" i="30"/>
  <c r="FY393" i="30"/>
  <c r="FZ393" i="30"/>
  <c r="GA393" i="30"/>
  <c r="GB393" i="30"/>
  <c r="GC393" i="30"/>
  <c r="GD393" i="30"/>
  <c r="GE393" i="30"/>
  <c r="GF393" i="30"/>
  <c r="GG393" i="30"/>
  <c r="GH393" i="30"/>
  <c r="GI393" i="30"/>
  <c r="GJ393" i="30"/>
  <c r="GK393" i="30"/>
  <c r="GL393" i="30"/>
  <c r="GM393" i="30"/>
  <c r="GN393" i="30"/>
  <c r="GO393" i="30"/>
  <c r="GP393" i="30"/>
  <c r="GQ393" i="30"/>
  <c r="GR393" i="30"/>
  <c r="GS393" i="30"/>
  <c r="GT393" i="30"/>
  <c r="GU393" i="30"/>
  <c r="GV393" i="30"/>
  <c r="GW393" i="30"/>
  <c r="GX393" i="30"/>
  <c r="GY393" i="30"/>
  <c r="GZ393" i="30"/>
  <c r="HA393" i="30"/>
  <c r="HB393" i="30"/>
  <c r="HC393" i="30"/>
  <c r="HD393" i="30"/>
  <c r="HE393" i="30"/>
  <c r="HF393" i="30"/>
  <c r="HG393" i="30"/>
  <c r="HH393" i="30"/>
  <c r="HI393" i="30"/>
  <c r="HJ393" i="30"/>
  <c r="HK393" i="30"/>
  <c r="HL393" i="30"/>
  <c r="HM393" i="30"/>
  <c r="HN393" i="30"/>
  <c r="HO393" i="30"/>
  <c r="HP393" i="30"/>
  <c r="HQ393" i="30"/>
  <c r="HR393" i="30"/>
  <c r="HS393" i="30"/>
  <c r="HT393" i="30"/>
  <c r="HU393" i="30"/>
  <c r="HV393" i="30"/>
  <c r="HW393" i="30"/>
  <c r="HX393" i="30"/>
  <c r="HY393" i="30"/>
  <c r="HZ393" i="30"/>
  <c r="IA393" i="30"/>
  <c r="IB393" i="30"/>
  <c r="IC393" i="30"/>
  <c r="ID393" i="30"/>
  <c r="IE393" i="30"/>
  <c r="IF393" i="30"/>
  <c r="IG393" i="30"/>
  <c r="IH393" i="30"/>
  <c r="II393" i="30"/>
  <c r="IJ393" i="30"/>
  <c r="IK393" i="30"/>
  <c r="IL393" i="30"/>
  <c r="IM393" i="30"/>
  <c r="IN393" i="30"/>
  <c r="IO393" i="30"/>
  <c r="IP393" i="30"/>
  <c r="IQ393" i="30"/>
  <c r="IR393" i="30"/>
  <c r="IS393" i="30"/>
  <c r="IT393" i="30"/>
  <c r="IU393" i="30"/>
  <c r="IV393" i="30"/>
  <c r="A392" i="30"/>
  <c r="B392" i="30"/>
  <c r="C392" i="30"/>
  <c r="D392" i="30"/>
  <c r="E392" i="30"/>
  <c r="F392" i="30"/>
  <c r="G392" i="30"/>
  <c r="H392" i="30"/>
  <c r="I392" i="30"/>
  <c r="J392" i="30"/>
  <c r="K392" i="30"/>
  <c r="L392" i="30"/>
  <c r="M392" i="30"/>
  <c r="N392" i="30"/>
  <c r="O392" i="30"/>
  <c r="P392" i="30"/>
  <c r="Q392" i="30"/>
  <c r="R392" i="30"/>
  <c r="S392" i="30"/>
  <c r="T392" i="30"/>
  <c r="U392" i="30"/>
  <c r="V392" i="30"/>
  <c r="W392" i="30"/>
  <c r="X392" i="30"/>
  <c r="Y392" i="30"/>
  <c r="Z392" i="30"/>
  <c r="AA392" i="30"/>
  <c r="AB392" i="30"/>
  <c r="AC392" i="30"/>
  <c r="AD392" i="30"/>
  <c r="AE392" i="30"/>
  <c r="AF392" i="30"/>
  <c r="AG392" i="30"/>
  <c r="AH392" i="30"/>
  <c r="AI392" i="30"/>
  <c r="AJ392" i="30"/>
  <c r="AK392" i="30"/>
  <c r="AL392" i="30"/>
  <c r="AM392" i="30"/>
  <c r="AN392" i="30"/>
  <c r="AO392" i="30"/>
  <c r="AP392" i="30"/>
  <c r="AQ392" i="30"/>
  <c r="AR392" i="30"/>
  <c r="AS392" i="30"/>
  <c r="AT392" i="30"/>
  <c r="AU392" i="30"/>
  <c r="AV392" i="30"/>
  <c r="AW392" i="30"/>
  <c r="AX392" i="30"/>
  <c r="AY392" i="30"/>
  <c r="AZ392" i="30"/>
  <c r="BA392" i="30"/>
  <c r="BB392" i="30"/>
  <c r="BC392" i="30"/>
  <c r="BD392" i="30"/>
  <c r="BE392" i="30"/>
  <c r="BF392" i="30"/>
  <c r="BG392" i="30"/>
  <c r="BH392" i="30"/>
  <c r="BI392" i="30"/>
  <c r="BJ392" i="30"/>
  <c r="BK392" i="30"/>
  <c r="BL392" i="30"/>
  <c r="BM392" i="30"/>
  <c r="BN392" i="30"/>
  <c r="BO392" i="30"/>
  <c r="BP392" i="30"/>
  <c r="BQ392" i="30"/>
  <c r="BR392" i="30"/>
  <c r="BS392" i="30"/>
  <c r="BT392" i="30"/>
  <c r="BU392" i="30"/>
  <c r="BV392" i="30"/>
  <c r="BW392" i="30"/>
  <c r="BX392" i="30"/>
  <c r="BY392" i="30"/>
  <c r="BZ392" i="30"/>
  <c r="CA392" i="30"/>
  <c r="CB392" i="30"/>
  <c r="CC392" i="30"/>
  <c r="CD392" i="30"/>
  <c r="CE392" i="30"/>
  <c r="CF392" i="30"/>
  <c r="CG392" i="30"/>
  <c r="CH392" i="30"/>
  <c r="CI392" i="30"/>
  <c r="CJ392" i="30"/>
  <c r="CK392" i="30"/>
  <c r="CL392" i="30"/>
  <c r="CM392" i="30"/>
  <c r="CN392" i="30"/>
  <c r="CO392" i="30"/>
  <c r="CP392" i="30"/>
  <c r="CQ392" i="30"/>
  <c r="CR392" i="30"/>
  <c r="CS392" i="30"/>
  <c r="CT392" i="30"/>
  <c r="CU392" i="30"/>
  <c r="CV392" i="30"/>
  <c r="CW392" i="30"/>
  <c r="CX392" i="30"/>
  <c r="CY392" i="30"/>
  <c r="CZ392" i="30"/>
  <c r="DA392" i="30"/>
  <c r="DB392" i="30"/>
  <c r="DC392" i="30"/>
  <c r="DD392" i="30"/>
  <c r="DE392" i="30"/>
  <c r="DF392" i="30"/>
  <c r="DG392" i="30"/>
  <c r="DH392" i="30"/>
  <c r="DI392" i="30"/>
  <c r="DJ392" i="30"/>
  <c r="DK392" i="30"/>
  <c r="DL392" i="30"/>
  <c r="DM392" i="30"/>
  <c r="DN392" i="30"/>
  <c r="DO392" i="30"/>
  <c r="DP392" i="30"/>
  <c r="DQ392" i="30"/>
  <c r="DR392" i="30"/>
  <c r="DS392" i="30"/>
  <c r="DT392" i="30"/>
  <c r="DU392" i="30"/>
  <c r="DV392" i="30"/>
  <c r="DW392" i="30"/>
  <c r="DX392" i="30"/>
  <c r="DY392" i="30"/>
  <c r="DZ392" i="30"/>
  <c r="EA392" i="30"/>
  <c r="EB392" i="30"/>
  <c r="EC392" i="30"/>
  <c r="ED392" i="30"/>
  <c r="EE392" i="30"/>
  <c r="EF392" i="30"/>
  <c r="EG392" i="30"/>
  <c r="EH392" i="30"/>
  <c r="EI392" i="30"/>
  <c r="EJ392" i="30"/>
  <c r="EK392" i="30"/>
  <c r="EL392" i="30"/>
  <c r="EM392" i="30"/>
  <c r="EN392" i="30"/>
  <c r="EO392" i="30"/>
  <c r="EP392" i="30"/>
  <c r="EQ392" i="30"/>
  <c r="ER392" i="30"/>
  <c r="ES392" i="30"/>
  <c r="ET392" i="30"/>
  <c r="EU392" i="30"/>
  <c r="EV392" i="30"/>
  <c r="EW392" i="30"/>
  <c r="EX392" i="30"/>
  <c r="EY392" i="30"/>
  <c r="EZ392" i="30"/>
  <c r="FA392" i="30"/>
  <c r="FB392" i="30"/>
  <c r="FC392" i="30"/>
  <c r="FD392" i="30"/>
  <c r="FE392" i="30"/>
  <c r="FF392" i="30"/>
  <c r="FG392" i="30"/>
  <c r="FH392" i="30"/>
  <c r="FI392" i="30"/>
  <c r="FJ392" i="30"/>
  <c r="FK392" i="30"/>
  <c r="FL392" i="30"/>
  <c r="FM392" i="30"/>
  <c r="FN392" i="30"/>
  <c r="FO392" i="30"/>
  <c r="FP392" i="30"/>
  <c r="FQ392" i="30"/>
  <c r="FR392" i="30"/>
  <c r="FS392" i="30"/>
  <c r="FT392" i="30"/>
  <c r="FU392" i="30"/>
  <c r="FV392" i="30"/>
  <c r="FW392" i="30"/>
  <c r="FX392" i="30"/>
  <c r="FY392" i="30"/>
  <c r="FZ392" i="30"/>
  <c r="GA392" i="30"/>
  <c r="GB392" i="30"/>
  <c r="GC392" i="30"/>
  <c r="GD392" i="30"/>
  <c r="GE392" i="30"/>
  <c r="GF392" i="30"/>
  <c r="GG392" i="30"/>
  <c r="GH392" i="30"/>
  <c r="GI392" i="30"/>
  <c r="GJ392" i="30"/>
  <c r="GK392" i="30"/>
  <c r="GL392" i="30"/>
  <c r="GM392" i="30"/>
  <c r="GN392" i="30"/>
  <c r="GO392" i="30"/>
  <c r="GP392" i="30"/>
  <c r="GQ392" i="30"/>
  <c r="GR392" i="30"/>
  <c r="GS392" i="30"/>
  <c r="GT392" i="30"/>
  <c r="GU392" i="30"/>
  <c r="GV392" i="30"/>
  <c r="GW392" i="30"/>
  <c r="GX392" i="30"/>
  <c r="GY392" i="30"/>
  <c r="GZ392" i="30"/>
  <c r="HA392" i="30"/>
  <c r="HB392" i="30"/>
  <c r="HC392" i="30"/>
  <c r="HD392" i="30"/>
  <c r="HE392" i="30"/>
  <c r="HF392" i="30"/>
  <c r="HG392" i="30"/>
  <c r="HH392" i="30"/>
  <c r="HI392" i="30"/>
  <c r="HJ392" i="30"/>
  <c r="HK392" i="30"/>
  <c r="HL392" i="30"/>
  <c r="HM392" i="30"/>
  <c r="HN392" i="30"/>
  <c r="HO392" i="30"/>
  <c r="HP392" i="30"/>
  <c r="HQ392" i="30"/>
  <c r="HR392" i="30"/>
  <c r="HS392" i="30"/>
  <c r="HT392" i="30"/>
  <c r="HU392" i="30"/>
  <c r="HV392" i="30"/>
  <c r="HW392" i="30"/>
  <c r="HX392" i="30"/>
  <c r="HY392" i="30"/>
  <c r="HZ392" i="30"/>
  <c r="IA392" i="30"/>
  <c r="IB392" i="30"/>
  <c r="IC392" i="30"/>
  <c r="ID392" i="30"/>
  <c r="IE392" i="30"/>
  <c r="IF392" i="30"/>
  <c r="IG392" i="30"/>
  <c r="IH392" i="30"/>
  <c r="II392" i="30"/>
  <c r="IJ392" i="30"/>
  <c r="IK392" i="30"/>
  <c r="IL392" i="30"/>
  <c r="IM392" i="30"/>
  <c r="IN392" i="30"/>
  <c r="IO392" i="30"/>
  <c r="IP392" i="30"/>
  <c r="IQ392" i="30"/>
  <c r="IR392" i="30"/>
  <c r="IS392" i="30"/>
  <c r="IT392" i="30"/>
  <c r="IU392" i="30"/>
  <c r="IV392" i="30"/>
  <c r="A391" i="30"/>
  <c r="B391" i="30"/>
  <c r="C391" i="30"/>
  <c r="D391" i="30"/>
  <c r="E391" i="30"/>
  <c r="F391" i="30"/>
  <c r="G391" i="30"/>
  <c r="H391" i="30"/>
  <c r="I391" i="30"/>
  <c r="J391" i="30"/>
  <c r="K391" i="30"/>
  <c r="L391" i="30"/>
  <c r="M391" i="30"/>
  <c r="N391" i="30"/>
  <c r="O391" i="30"/>
  <c r="P391" i="30"/>
  <c r="Q391" i="30"/>
  <c r="R391" i="30"/>
  <c r="S391" i="30"/>
  <c r="T391" i="30"/>
  <c r="U391" i="30"/>
  <c r="V391" i="30"/>
  <c r="W391" i="30"/>
  <c r="X391" i="30"/>
  <c r="Y391" i="30"/>
  <c r="Z391" i="30"/>
  <c r="AA391" i="30"/>
  <c r="AB391" i="30"/>
  <c r="AC391" i="30"/>
  <c r="AD391" i="30"/>
  <c r="AE391" i="30"/>
  <c r="AF391" i="30"/>
  <c r="AG391" i="30"/>
  <c r="AH391" i="30"/>
  <c r="AI391" i="30"/>
  <c r="AJ391" i="30"/>
  <c r="AK391" i="30"/>
  <c r="AL391" i="30"/>
  <c r="AM391" i="30"/>
  <c r="AN391" i="30"/>
  <c r="AO391" i="30"/>
  <c r="AP391" i="30"/>
  <c r="AQ391" i="30"/>
  <c r="AR391" i="30"/>
  <c r="AS391" i="30"/>
  <c r="AT391" i="30"/>
  <c r="AU391" i="30"/>
  <c r="AV391" i="30"/>
  <c r="AW391" i="30"/>
  <c r="AX391" i="30"/>
  <c r="AY391" i="30"/>
  <c r="AZ391" i="30"/>
  <c r="BA391" i="30"/>
  <c r="BB391" i="30"/>
  <c r="BC391" i="30"/>
  <c r="BD391" i="30"/>
  <c r="BE391" i="30"/>
  <c r="BF391" i="30"/>
  <c r="BG391" i="30"/>
  <c r="BH391" i="30"/>
  <c r="BI391" i="30"/>
  <c r="BJ391" i="30"/>
  <c r="BK391" i="30"/>
  <c r="BL391" i="30"/>
  <c r="BM391" i="30"/>
  <c r="BN391" i="30"/>
  <c r="BO391" i="30"/>
  <c r="BP391" i="30"/>
  <c r="BQ391" i="30"/>
  <c r="BR391" i="30"/>
  <c r="BS391" i="30"/>
  <c r="BT391" i="30"/>
  <c r="BU391" i="30"/>
  <c r="BV391" i="30"/>
  <c r="BW391" i="30"/>
  <c r="BX391" i="30"/>
  <c r="BY391" i="30"/>
  <c r="BZ391" i="30"/>
  <c r="CA391" i="30"/>
  <c r="CB391" i="30"/>
  <c r="CC391" i="30"/>
  <c r="CD391" i="30"/>
  <c r="CE391" i="30"/>
  <c r="CF391" i="30"/>
  <c r="CG391" i="30"/>
  <c r="CH391" i="30"/>
  <c r="CI391" i="30"/>
  <c r="CJ391" i="30"/>
  <c r="CK391" i="30"/>
  <c r="CL391" i="30"/>
  <c r="CM391" i="30"/>
  <c r="CN391" i="30"/>
  <c r="CO391" i="30"/>
  <c r="CP391" i="30"/>
  <c r="CQ391" i="30"/>
  <c r="CR391" i="30"/>
  <c r="CS391" i="30"/>
  <c r="CT391" i="30"/>
  <c r="CU391" i="30"/>
  <c r="CV391" i="30"/>
  <c r="CW391" i="30"/>
  <c r="CX391" i="30"/>
  <c r="CY391" i="30"/>
  <c r="CZ391" i="30"/>
  <c r="DA391" i="30"/>
  <c r="DB391" i="30"/>
  <c r="DC391" i="30"/>
  <c r="DD391" i="30"/>
  <c r="DE391" i="30"/>
  <c r="DF391" i="30"/>
  <c r="DG391" i="30"/>
  <c r="DH391" i="30"/>
  <c r="DI391" i="30"/>
  <c r="DJ391" i="30"/>
  <c r="DK391" i="30"/>
  <c r="DL391" i="30"/>
  <c r="DM391" i="30"/>
  <c r="DN391" i="30"/>
  <c r="DO391" i="30"/>
  <c r="DP391" i="30"/>
  <c r="DQ391" i="30"/>
  <c r="DR391" i="30"/>
  <c r="DS391" i="30"/>
  <c r="DT391" i="30"/>
  <c r="DU391" i="30"/>
  <c r="DV391" i="30"/>
  <c r="DW391" i="30"/>
  <c r="DX391" i="30"/>
  <c r="DY391" i="30"/>
  <c r="DZ391" i="30"/>
  <c r="EA391" i="30"/>
  <c r="EB391" i="30"/>
  <c r="EC391" i="30"/>
  <c r="ED391" i="30"/>
  <c r="EE391" i="30"/>
  <c r="EF391" i="30"/>
  <c r="EG391" i="30"/>
  <c r="EH391" i="30"/>
  <c r="EI391" i="30"/>
  <c r="EJ391" i="30"/>
  <c r="EK391" i="30"/>
  <c r="EL391" i="30"/>
  <c r="EM391" i="30"/>
  <c r="EN391" i="30"/>
  <c r="EO391" i="30"/>
  <c r="EP391" i="30"/>
  <c r="EQ391" i="30"/>
  <c r="ER391" i="30"/>
  <c r="ES391" i="30"/>
  <c r="ET391" i="30"/>
  <c r="EU391" i="30"/>
  <c r="EV391" i="30"/>
  <c r="EW391" i="30"/>
  <c r="EX391" i="30"/>
  <c r="EY391" i="30"/>
  <c r="EZ391" i="30"/>
  <c r="FA391" i="30"/>
  <c r="FB391" i="30"/>
  <c r="FC391" i="30"/>
  <c r="FD391" i="30"/>
  <c r="FE391" i="30"/>
  <c r="FF391" i="30"/>
  <c r="FG391" i="30"/>
  <c r="FH391" i="30"/>
  <c r="FI391" i="30"/>
  <c r="FJ391" i="30"/>
  <c r="FK391" i="30"/>
  <c r="FL391" i="30"/>
  <c r="FM391" i="30"/>
  <c r="FN391" i="30"/>
  <c r="FO391" i="30"/>
  <c r="FP391" i="30"/>
  <c r="FQ391" i="30"/>
  <c r="FR391" i="30"/>
  <c r="FS391" i="30"/>
  <c r="FT391" i="30"/>
  <c r="FU391" i="30"/>
  <c r="FV391" i="30"/>
  <c r="FW391" i="30"/>
  <c r="FX391" i="30"/>
  <c r="FY391" i="30"/>
  <c r="FZ391" i="30"/>
  <c r="GA391" i="30"/>
  <c r="GB391" i="30"/>
  <c r="GC391" i="30"/>
  <c r="GD391" i="30"/>
  <c r="GE391" i="30"/>
  <c r="GF391" i="30"/>
  <c r="GG391" i="30"/>
  <c r="GH391" i="30"/>
  <c r="GI391" i="30"/>
  <c r="GJ391" i="30"/>
  <c r="GK391" i="30"/>
  <c r="GL391" i="30"/>
  <c r="GM391" i="30"/>
  <c r="GN391" i="30"/>
  <c r="GO391" i="30"/>
  <c r="GP391" i="30"/>
  <c r="GQ391" i="30"/>
  <c r="GR391" i="30"/>
  <c r="GS391" i="30"/>
  <c r="GT391" i="30"/>
  <c r="GU391" i="30"/>
  <c r="GV391" i="30"/>
  <c r="GW391" i="30"/>
  <c r="GX391" i="30"/>
  <c r="GY391" i="30"/>
  <c r="GZ391" i="30"/>
  <c r="HA391" i="30"/>
  <c r="HB391" i="30"/>
  <c r="HC391" i="30"/>
  <c r="HD391" i="30"/>
  <c r="HE391" i="30"/>
  <c r="HF391" i="30"/>
  <c r="HG391" i="30"/>
  <c r="HH391" i="30"/>
  <c r="HI391" i="30"/>
  <c r="HJ391" i="30"/>
  <c r="HK391" i="30"/>
  <c r="HL391" i="30"/>
  <c r="HM391" i="30"/>
  <c r="HN391" i="30"/>
  <c r="HO391" i="30"/>
  <c r="HP391" i="30"/>
  <c r="HQ391" i="30"/>
  <c r="HR391" i="30"/>
  <c r="HS391" i="30"/>
  <c r="HT391" i="30"/>
  <c r="HU391" i="30"/>
  <c r="HV391" i="30"/>
  <c r="HW391" i="30"/>
  <c r="HX391" i="30"/>
  <c r="HY391" i="30"/>
  <c r="HZ391" i="30"/>
  <c r="IA391" i="30"/>
  <c r="IB391" i="30"/>
  <c r="IC391" i="30"/>
  <c r="ID391" i="30"/>
  <c r="IE391" i="30"/>
  <c r="IF391" i="30"/>
  <c r="IG391" i="30"/>
  <c r="IH391" i="30"/>
  <c r="II391" i="30"/>
  <c r="IJ391" i="30"/>
  <c r="IK391" i="30"/>
  <c r="IL391" i="30"/>
  <c r="IM391" i="30"/>
  <c r="IN391" i="30"/>
  <c r="IO391" i="30"/>
  <c r="IP391" i="30"/>
  <c r="IQ391" i="30"/>
  <c r="IR391" i="30"/>
  <c r="IS391" i="30"/>
  <c r="IT391" i="30"/>
  <c r="IU391" i="30"/>
  <c r="IV391" i="30"/>
  <c r="A390" i="30"/>
  <c r="B390" i="30"/>
  <c r="C390" i="30"/>
  <c r="D390" i="30"/>
  <c r="E390" i="30"/>
  <c r="F390" i="30"/>
  <c r="G390" i="30"/>
  <c r="H390" i="30"/>
  <c r="I390" i="30"/>
  <c r="J390" i="30"/>
  <c r="K390" i="30"/>
  <c r="L390" i="30"/>
  <c r="M390" i="30"/>
  <c r="N390" i="30"/>
  <c r="O390" i="30"/>
  <c r="P390" i="30"/>
  <c r="Q390" i="30"/>
  <c r="R390" i="30"/>
  <c r="S390" i="30"/>
  <c r="T390" i="30"/>
  <c r="U390" i="30"/>
  <c r="V390" i="30"/>
  <c r="W390" i="30"/>
  <c r="X390" i="30"/>
  <c r="Y390" i="30"/>
  <c r="Z390" i="30"/>
  <c r="AA390" i="30"/>
  <c r="AB390" i="30"/>
  <c r="AC390" i="30"/>
  <c r="AD390" i="30"/>
  <c r="AE390" i="30"/>
  <c r="AF390" i="30"/>
  <c r="AG390" i="30"/>
  <c r="AH390" i="30"/>
  <c r="AI390" i="30"/>
  <c r="AJ390" i="30"/>
  <c r="AK390" i="30"/>
  <c r="AL390" i="30"/>
  <c r="AM390" i="30"/>
  <c r="AN390" i="30"/>
  <c r="AO390" i="30"/>
  <c r="AP390" i="30"/>
  <c r="AQ390" i="30"/>
  <c r="AR390" i="30"/>
  <c r="AS390" i="30"/>
  <c r="AT390" i="30"/>
  <c r="AU390" i="30"/>
  <c r="AV390" i="30"/>
  <c r="AW390" i="30"/>
  <c r="AX390" i="30"/>
  <c r="AY390" i="30"/>
  <c r="AZ390" i="30"/>
  <c r="BA390" i="30"/>
  <c r="BB390" i="30"/>
  <c r="BC390" i="30"/>
  <c r="BD390" i="30"/>
  <c r="BE390" i="30"/>
  <c r="BF390" i="30"/>
  <c r="BG390" i="30"/>
  <c r="BH390" i="30"/>
  <c r="BI390" i="30"/>
  <c r="BJ390" i="30"/>
  <c r="BK390" i="30"/>
  <c r="BL390" i="30"/>
  <c r="BM390" i="30"/>
  <c r="BN390" i="30"/>
  <c r="BO390" i="30"/>
  <c r="BP390" i="30"/>
  <c r="BQ390" i="30"/>
  <c r="BR390" i="30"/>
  <c r="BS390" i="30"/>
  <c r="BT390" i="30"/>
  <c r="BU390" i="30"/>
  <c r="BV390" i="30"/>
  <c r="BW390" i="30"/>
  <c r="BX390" i="30"/>
  <c r="BY390" i="30"/>
  <c r="BZ390" i="30"/>
  <c r="CA390" i="30"/>
  <c r="CB390" i="30"/>
  <c r="CC390" i="30"/>
  <c r="CD390" i="30"/>
  <c r="CE390" i="30"/>
  <c r="CF390" i="30"/>
  <c r="CG390" i="30"/>
  <c r="CH390" i="30"/>
  <c r="CI390" i="30"/>
  <c r="CJ390" i="30"/>
  <c r="CK390" i="30"/>
  <c r="CL390" i="30"/>
  <c r="CM390" i="30"/>
  <c r="CN390" i="30"/>
  <c r="CO390" i="30"/>
  <c r="CP390" i="30"/>
  <c r="CQ390" i="30"/>
  <c r="CR390" i="30"/>
  <c r="CS390" i="30"/>
  <c r="CT390" i="30"/>
  <c r="CU390" i="30"/>
  <c r="CV390" i="30"/>
  <c r="CW390" i="30"/>
  <c r="CX390" i="30"/>
  <c r="CY390" i="30"/>
  <c r="CZ390" i="30"/>
  <c r="DA390" i="30"/>
  <c r="DB390" i="30"/>
  <c r="DC390" i="30"/>
  <c r="DD390" i="30"/>
  <c r="DE390" i="30"/>
  <c r="DF390" i="30"/>
  <c r="DG390" i="30"/>
  <c r="DH390" i="30"/>
  <c r="DI390" i="30"/>
  <c r="DJ390" i="30"/>
  <c r="DK390" i="30"/>
  <c r="DL390" i="30"/>
  <c r="DM390" i="30"/>
  <c r="DN390" i="30"/>
  <c r="DO390" i="30"/>
  <c r="DP390" i="30"/>
  <c r="DQ390" i="30"/>
  <c r="DR390" i="30"/>
  <c r="DS390" i="30"/>
  <c r="DT390" i="30"/>
  <c r="DU390" i="30"/>
  <c r="DV390" i="30"/>
  <c r="DW390" i="30"/>
  <c r="DX390" i="30"/>
  <c r="DY390" i="30"/>
  <c r="DZ390" i="30"/>
  <c r="EA390" i="30"/>
  <c r="EB390" i="30"/>
  <c r="EC390" i="30"/>
  <c r="ED390" i="30"/>
  <c r="EE390" i="30"/>
  <c r="EF390" i="30"/>
  <c r="EG390" i="30"/>
  <c r="EH390" i="30"/>
  <c r="EI390" i="30"/>
  <c r="EJ390" i="30"/>
  <c r="EK390" i="30"/>
  <c r="EL390" i="30"/>
  <c r="EM390" i="30"/>
  <c r="EN390" i="30"/>
  <c r="EO390" i="30"/>
  <c r="EP390" i="30"/>
  <c r="EQ390" i="30"/>
  <c r="ER390" i="30"/>
  <c r="ES390" i="30"/>
  <c r="ET390" i="30"/>
  <c r="EU390" i="30"/>
  <c r="EV390" i="30"/>
  <c r="EW390" i="30"/>
  <c r="EX390" i="30"/>
  <c r="EY390" i="30"/>
  <c r="EZ390" i="30"/>
  <c r="FA390" i="30"/>
  <c r="FB390" i="30"/>
  <c r="FC390" i="30"/>
  <c r="FD390" i="30"/>
  <c r="FE390" i="30"/>
  <c r="FF390" i="30"/>
  <c r="FG390" i="30"/>
  <c r="FH390" i="30"/>
  <c r="FI390" i="30"/>
  <c r="FJ390" i="30"/>
  <c r="FK390" i="30"/>
  <c r="FL390" i="30"/>
  <c r="FM390" i="30"/>
  <c r="FN390" i="30"/>
  <c r="FO390" i="30"/>
  <c r="FP390" i="30"/>
  <c r="FQ390" i="30"/>
  <c r="FR390" i="30"/>
  <c r="FS390" i="30"/>
  <c r="FT390" i="30"/>
  <c r="FU390" i="30"/>
  <c r="FV390" i="30"/>
  <c r="FW390" i="30"/>
  <c r="FX390" i="30"/>
  <c r="FY390" i="30"/>
  <c r="FZ390" i="30"/>
  <c r="GA390" i="30"/>
  <c r="GB390" i="30"/>
  <c r="GC390" i="30"/>
  <c r="GD390" i="30"/>
  <c r="GE390" i="30"/>
  <c r="GF390" i="30"/>
  <c r="GG390" i="30"/>
  <c r="GH390" i="30"/>
  <c r="GI390" i="30"/>
  <c r="GJ390" i="30"/>
  <c r="GK390" i="30"/>
  <c r="GL390" i="30"/>
  <c r="GM390" i="30"/>
  <c r="GN390" i="30"/>
  <c r="GO390" i="30"/>
  <c r="GP390" i="30"/>
  <c r="GQ390" i="30"/>
  <c r="GR390" i="30"/>
  <c r="GS390" i="30"/>
  <c r="GT390" i="30"/>
  <c r="GU390" i="30"/>
  <c r="GV390" i="30"/>
  <c r="GW390" i="30"/>
  <c r="GX390" i="30"/>
  <c r="GY390" i="30"/>
  <c r="GZ390" i="30"/>
  <c r="HA390" i="30"/>
  <c r="HB390" i="30"/>
  <c r="HC390" i="30"/>
  <c r="HD390" i="30"/>
  <c r="HE390" i="30"/>
  <c r="HF390" i="30"/>
  <c r="HG390" i="30"/>
  <c r="HH390" i="30"/>
  <c r="HI390" i="30"/>
  <c r="HJ390" i="30"/>
  <c r="HK390" i="30"/>
  <c r="HL390" i="30"/>
  <c r="HM390" i="30"/>
  <c r="HN390" i="30"/>
  <c r="HO390" i="30"/>
  <c r="HP390" i="30"/>
  <c r="HQ390" i="30"/>
  <c r="HR390" i="30"/>
  <c r="HS390" i="30"/>
  <c r="HT390" i="30"/>
  <c r="HU390" i="30"/>
  <c r="HV390" i="30"/>
  <c r="HW390" i="30"/>
  <c r="HX390" i="30"/>
  <c r="HY390" i="30"/>
  <c r="HZ390" i="30"/>
  <c r="IA390" i="30"/>
  <c r="IB390" i="30"/>
  <c r="IC390" i="30"/>
  <c r="ID390" i="30"/>
  <c r="IE390" i="30"/>
  <c r="IF390" i="30"/>
  <c r="IG390" i="30"/>
  <c r="IH390" i="30"/>
  <c r="II390" i="30"/>
  <c r="IJ390" i="30"/>
  <c r="IK390" i="30"/>
  <c r="IL390" i="30"/>
  <c r="IM390" i="30"/>
  <c r="IN390" i="30"/>
  <c r="IO390" i="30"/>
  <c r="IP390" i="30"/>
  <c r="IQ390" i="30"/>
  <c r="IR390" i="30"/>
  <c r="IS390" i="30"/>
  <c r="IT390" i="30"/>
  <c r="IU390" i="30"/>
  <c r="IV390" i="30"/>
  <c r="A389" i="30"/>
  <c r="B389" i="30"/>
  <c r="C389" i="30"/>
  <c r="D389" i="30"/>
  <c r="E389" i="30"/>
  <c r="F389" i="30"/>
  <c r="G389" i="30"/>
  <c r="H389" i="30"/>
  <c r="I389" i="30"/>
  <c r="J389" i="30"/>
  <c r="K389" i="30"/>
  <c r="L389" i="30"/>
  <c r="M389" i="30"/>
  <c r="N389" i="30"/>
  <c r="O389" i="30"/>
  <c r="P389" i="30"/>
  <c r="Q389" i="30"/>
  <c r="R389" i="30"/>
  <c r="S389" i="30"/>
  <c r="T389" i="30"/>
  <c r="U389" i="30"/>
  <c r="V389" i="30"/>
  <c r="W389" i="30"/>
  <c r="X389" i="30"/>
  <c r="Y389" i="30"/>
  <c r="Z389" i="30"/>
  <c r="AA389" i="30"/>
  <c r="AB389" i="30"/>
  <c r="AC389" i="30"/>
  <c r="AD389" i="30"/>
  <c r="AE389" i="30"/>
  <c r="AF389" i="30"/>
  <c r="AG389" i="30"/>
  <c r="AH389" i="30"/>
  <c r="AI389" i="30"/>
  <c r="AJ389" i="30"/>
  <c r="AK389" i="30"/>
  <c r="AL389" i="30"/>
  <c r="AM389" i="30"/>
  <c r="AN389" i="30"/>
  <c r="AO389" i="30"/>
  <c r="AP389" i="30"/>
  <c r="AQ389" i="30"/>
  <c r="AR389" i="30"/>
  <c r="AS389" i="30"/>
  <c r="AT389" i="30"/>
  <c r="AU389" i="30"/>
  <c r="AV389" i="30"/>
  <c r="AW389" i="30"/>
  <c r="AX389" i="30"/>
  <c r="AY389" i="30"/>
  <c r="AZ389" i="30"/>
  <c r="BA389" i="30"/>
  <c r="BB389" i="30"/>
  <c r="BC389" i="30"/>
  <c r="BD389" i="30"/>
  <c r="BE389" i="30"/>
  <c r="BF389" i="30"/>
  <c r="BG389" i="30"/>
  <c r="BH389" i="30"/>
  <c r="BI389" i="30"/>
  <c r="BJ389" i="30"/>
  <c r="BK389" i="30"/>
  <c r="BL389" i="30"/>
  <c r="BM389" i="30"/>
  <c r="BN389" i="30"/>
  <c r="BO389" i="30"/>
  <c r="BP389" i="30"/>
  <c r="BQ389" i="30"/>
  <c r="BR389" i="30"/>
  <c r="BS389" i="30"/>
  <c r="BT389" i="30"/>
  <c r="BU389" i="30"/>
  <c r="BV389" i="30"/>
  <c r="BW389" i="30"/>
  <c r="BX389" i="30"/>
  <c r="BY389" i="30"/>
  <c r="BZ389" i="30"/>
  <c r="CA389" i="30"/>
  <c r="CB389" i="30"/>
  <c r="CC389" i="30"/>
  <c r="CD389" i="30"/>
  <c r="CE389" i="30"/>
  <c r="CF389" i="30"/>
  <c r="CG389" i="30"/>
  <c r="CH389" i="30"/>
  <c r="CI389" i="30"/>
  <c r="CJ389" i="30"/>
  <c r="CK389" i="30"/>
  <c r="CL389" i="30"/>
  <c r="CM389" i="30"/>
  <c r="CN389" i="30"/>
  <c r="CO389" i="30"/>
  <c r="CP389" i="30"/>
  <c r="CQ389" i="30"/>
  <c r="CR389" i="30"/>
  <c r="CS389" i="30"/>
  <c r="CT389" i="30"/>
  <c r="CU389" i="30"/>
  <c r="CV389" i="30"/>
  <c r="CW389" i="30"/>
  <c r="CX389" i="30"/>
  <c r="CY389" i="30"/>
  <c r="CZ389" i="30"/>
  <c r="DA389" i="30"/>
  <c r="DB389" i="30"/>
  <c r="DC389" i="30"/>
  <c r="DD389" i="30"/>
  <c r="DE389" i="30"/>
  <c r="DF389" i="30"/>
  <c r="DG389" i="30"/>
  <c r="DH389" i="30"/>
  <c r="DI389" i="30"/>
  <c r="DJ389" i="30"/>
  <c r="DK389" i="30"/>
  <c r="DL389" i="30"/>
  <c r="DM389" i="30"/>
  <c r="DN389" i="30"/>
  <c r="DO389" i="30"/>
  <c r="DP389" i="30"/>
  <c r="DQ389" i="30"/>
  <c r="DR389" i="30"/>
  <c r="DS389" i="30"/>
  <c r="DT389" i="30"/>
  <c r="DU389" i="30"/>
  <c r="DV389" i="30"/>
  <c r="DW389" i="30"/>
  <c r="DX389" i="30"/>
  <c r="DY389" i="30"/>
  <c r="DZ389" i="30"/>
  <c r="EA389" i="30"/>
  <c r="EB389" i="30"/>
  <c r="EC389" i="30"/>
  <c r="ED389" i="30"/>
  <c r="EE389" i="30"/>
  <c r="EF389" i="30"/>
  <c r="EG389" i="30"/>
  <c r="EH389" i="30"/>
  <c r="EI389" i="30"/>
  <c r="EJ389" i="30"/>
  <c r="EK389" i="30"/>
  <c r="EL389" i="30"/>
  <c r="EM389" i="30"/>
  <c r="EN389" i="30"/>
  <c r="EO389" i="30"/>
  <c r="EP389" i="30"/>
  <c r="EQ389" i="30"/>
  <c r="ER389" i="30"/>
  <c r="ES389" i="30"/>
  <c r="ET389" i="30"/>
  <c r="EU389" i="30"/>
  <c r="EV389" i="30"/>
  <c r="EW389" i="30"/>
  <c r="EX389" i="30"/>
  <c r="EY389" i="30"/>
  <c r="EZ389" i="30"/>
  <c r="FA389" i="30"/>
  <c r="FB389" i="30"/>
  <c r="FC389" i="30"/>
  <c r="FD389" i="30"/>
  <c r="FE389" i="30"/>
  <c r="FF389" i="30"/>
  <c r="FG389" i="30"/>
  <c r="FH389" i="30"/>
  <c r="FI389" i="30"/>
  <c r="FJ389" i="30"/>
  <c r="FK389" i="30"/>
  <c r="FL389" i="30"/>
  <c r="FM389" i="30"/>
  <c r="FN389" i="30"/>
  <c r="FO389" i="30"/>
  <c r="FP389" i="30"/>
  <c r="FQ389" i="30"/>
  <c r="FR389" i="30"/>
  <c r="FS389" i="30"/>
  <c r="FT389" i="30"/>
  <c r="FU389" i="30"/>
  <c r="FV389" i="30"/>
  <c r="FW389" i="30"/>
  <c r="FX389" i="30"/>
  <c r="FY389" i="30"/>
  <c r="FZ389" i="30"/>
  <c r="GA389" i="30"/>
  <c r="GB389" i="30"/>
  <c r="GC389" i="30"/>
  <c r="GD389" i="30"/>
  <c r="GE389" i="30"/>
  <c r="GF389" i="30"/>
  <c r="GG389" i="30"/>
  <c r="GH389" i="30"/>
  <c r="GI389" i="30"/>
  <c r="GJ389" i="30"/>
  <c r="GK389" i="30"/>
  <c r="GL389" i="30"/>
  <c r="GM389" i="30"/>
  <c r="GN389" i="30"/>
  <c r="GO389" i="30"/>
  <c r="GP389" i="30"/>
  <c r="GQ389" i="30"/>
  <c r="GR389" i="30"/>
  <c r="GS389" i="30"/>
  <c r="GT389" i="30"/>
  <c r="GU389" i="30"/>
  <c r="GV389" i="30"/>
  <c r="GW389" i="30"/>
  <c r="GX389" i="30"/>
  <c r="GY389" i="30"/>
  <c r="GZ389" i="30"/>
  <c r="HA389" i="30"/>
  <c r="HB389" i="30"/>
  <c r="HC389" i="30"/>
  <c r="HD389" i="30"/>
  <c r="HE389" i="30"/>
  <c r="HF389" i="30"/>
  <c r="HG389" i="30"/>
  <c r="HH389" i="30"/>
  <c r="HI389" i="30"/>
  <c r="HJ389" i="30"/>
  <c r="HK389" i="30"/>
  <c r="HL389" i="30"/>
  <c r="HM389" i="30"/>
  <c r="HN389" i="30"/>
  <c r="HO389" i="30"/>
  <c r="HP389" i="30"/>
  <c r="HQ389" i="30"/>
  <c r="HR389" i="30"/>
  <c r="HS389" i="30"/>
  <c r="HT389" i="30"/>
  <c r="HU389" i="30"/>
  <c r="HV389" i="30"/>
  <c r="HW389" i="30"/>
  <c r="HX389" i="30"/>
  <c r="HY389" i="30"/>
  <c r="HZ389" i="30"/>
  <c r="IA389" i="30"/>
  <c r="IB389" i="30"/>
  <c r="IC389" i="30"/>
  <c r="ID389" i="30"/>
  <c r="IE389" i="30"/>
  <c r="IF389" i="30"/>
  <c r="IG389" i="30"/>
  <c r="IH389" i="30"/>
  <c r="II389" i="30"/>
  <c r="IJ389" i="30"/>
  <c r="IK389" i="30"/>
  <c r="IL389" i="30"/>
  <c r="IM389" i="30"/>
  <c r="IN389" i="30"/>
  <c r="IO389" i="30"/>
  <c r="IP389" i="30"/>
  <c r="IQ389" i="30"/>
  <c r="IR389" i="30"/>
  <c r="IS389" i="30"/>
  <c r="IT389" i="30"/>
  <c r="IU389" i="30"/>
  <c r="IV389" i="30"/>
  <c r="A388" i="30"/>
  <c r="B388" i="30"/>
  <c r="C388" i="30"/>
  <c r="D388" i="30"/>
  <c r="E388" i="30"/>
  <c r="F388" i="30"/>
  <c r="G388" i="30"/>
  <c r="H388" i="30"/>
  <c r="I388" i="30"/>
  <c r="J388" i="30"/>
  <c r="K388" i="30"/>
  <c r="L388" i="30"/>
  <c r="M388" i="30"/>
  <c r="N388" i="30"/>
  <c r="O388" i="30"/>
  <c r="P388" i="30"/>
  <c r="Q388" i="30"/>
  <c r="R388" i="30"/>
  <c r="S388" i="30"/>
  <c r="T388" i="30"/>
  <c r="U388" i="30"/>
  <c r="V388" i="30"/>
  <c r="W388" i="30"/>
  <c r="X388" i="30"/>
  <c r="Y388" i="30"/>
  <c r="Z388" i="30"/>
  <c r="AA388" i="30"/>
  <c r="AB388" i="30"/>
  <c r="AC388" i="30"/>
  <c r="AD388" i="30"/>
  <c r="AE388" i="30"/>
  <c r="AF388" i="30"/>
  <c r="AG388" i="30"/>
  <c r="AH388" i="30"/>
  <c r="AI388" i="30"/>
  <c r="AJ388" i="30"/>
  <c r="AK388" i="30"/>
  <c r="AL388" i="30"/>
  <c r="AM388" i="30"/>
  <c r="AN388" i="30"/>
  <c r="AO388" i="30"/>
  <c r="AP388" i="30"/>
  <c r="AQ388" i="30"/>
  <c r="AR388" i="30"/>
  <c r="AS388" i="30"/>
  <c r="AT388" i="30"/>
  <c r="AU388" i="30"/>
  <c r="AV388" i="30"/>
  <c r="AW388" i="30"/>
  <c r="AX388" i="30"/>
  <c r="AY388" i="30"/>
  <c r="AZ388" i="30"/>
  <c r="BA388" i="30"/>
  <c r="BB388" i="30"/>
  <c r="BC388" i="30"/>
  <c r="BD388" i="30"/>
  <c r="BE388" i="30"/>
  <c r="BF388" i="30"/>
  <c r="BG388" i="30"/>
  <c r="BH388" i="30"/>
  <c r="BI388" i="30"/>
  <c r="BJ388" i="30"/>
  <c r="BK388" i="30"/>
  <c r="BL388" i="30"/>
  <c r="BM388" i="30"/>
  <c r="BN388" i="30"/>
  <c r="BO388" i="30"/>
  <c r="BP388" i="30"/>
  <c r="BQ388" i="30"/>
  <c r="BR388" i="30"/>
  <c r="BS388" i="30"/>
  <c r="BT388" i="30"/>
  <c r="BU388" i="30"/>
  <c r="BV388" i="30"/>
  <c r="BW388" i="30"/>
  <c r="BX388" i="30"/>
  <c r="BY388" i="30"/>
  <c r="BZ388" i="30"/>
  <c r="CA388" i="30"/>
  <c r="CB388" i="30"/>
  <c r="CC388" i="30"/>
  <c r="CD388" i="30"/>
  <c r="CE388" i="30"/>
  <c r="CF388" i="30"/>
  <c r="CG388" i="30"/>
  <c r="CH388" i="30"/>
  <c r="CI388" i="30"/>
  <c r="CJ388" i="30"/>
  <c r="CK388" i="30"/>
  <c r="CL388" i="30"/>
  <c r="CM388" i="30"/>
  <c r="CN388" i="30"/>
  <c r="CO388" i="30"/>
  <c r="CP388" i="30"/>
  <c r="CQ388" i="30"/>
  <c r="CR388" i="30"/>
  <c r="CS388" i="30"/>
  <c r="CT388" i="30"/>
  <c r="CU388" i="30"/>
  <c r="CV388" i="30"/>
  <c r="CW388" i="30"/>
  <c r="CX388" i="30"/>
  <c r="CY388" i="30"/>
  <c r="CZ388" i="30"/>
  <c r="DA388" i="30"/>
  <c r="DB388" i="30"/>
  <c r="DC388" i="30"/>
  <c r="DD388" i="30"/>
  <c r="DE388" i="30"/>
  <c r="DF388" i="30"/>
  <c r="DG388" i="30"/>
  <c r="DH388" i="30"/>
  <c r="DI388" i="30"/>
  <c r="DJ388" i="30"/>
  <c r="DK388" i="30"/>
  <c r="DL388" i="30"/>
  <c r="DM388" i="30"/>
  <c r="DN388" i="30"/>
  <c r="DO388" i="30"/>
  <c r="DP388" i="30"/>
  <c r="DQ388" i="30"/>
  <c r="DR388" i="30"/>
  <c r="DS388" i="30"/>
  <c r="DT388" i="30"/>
  <c r="DU388" i="30"/>
  <c r="DV388" i="30"/>
  <c r="DW388" i="30"/>
  <c r="DX388" i="30"/>
  <c r="DY388" i="30"/>
  <c r="DZ388" i="30"/>
  <c r="EA388" i="30"/>
  <c r="EB388" i="30"/>
  <c r="EC388" i="30"/>
  <c r="ED388" i="30"/>
  <c r="EE388" i="30"/>
  <c r="EF388" i="30"/>
  <c r="EG388" i="30"/>
  <c r="EH388" i="30"/>
  <c r="EI388" i="30"/>
  <c r="EJ388" i="30"/>
  <c r="EK388" i="30"/>
  <c r="EL388" i="30"/>
  <c r="EM388" i="30"/>
  <c r="EN388" i="30"/>
  <c r="EO388" i="30"/>
  <c r="EP388" i="30"/>
  <c r="EQ388" i="30"/>
  <c r="ER388" i="30"/>
  <c r="ES388" i="30"/>
  <c r="ET388" i="30"/>
  <c r="EU388" i="30"/>
  <c r="EV388" i="30"/>
  <c r="EW388" i="30"/>
  <c r="EX388" i="30"/>
  <c r="EY388" i="30"/>
  <c r="EZ388" i="30"/>
  <c r="FA388" i="30"/>
  <c r="FB388" i="30"/>
  <c r="FC388" i="30"/>
  <c r="FD388" i="30"/>
  <c r="FE388" i="30"/>
  <c r="FF388" i="30"/>
  <c r="FG388" i="30"/>
  <c r="FH388" i="30"/>
  <c r="FI388" i="30"/>
  <c r="FJ388" i="30"/>
  <c r="FK388" i="30"/>
  <c r="FL388" i="30"/>
  <c r="FM388" i="30"/>
  <c r="FN388" i="30"/>
  <c r="FO388" i="30"/>
  <c r="FP388" i="30"/>
  <c r="FQ388" i="30"/>
  <c r="FR388" i="30"/>
  <c r="FS388" i="30"/>
  <c r="FT388" i="30"/>
  <c r="FU388" i="30"/>
  <c r="FV388" i="30"/>
  <c r="FW388" i="30"/>
  <c r="FX388" i="30"/>
  <c r="FY388" i="30"/>
  <c r="FZ388" i="30"/>
  <c r="GA388" i="30"/>
  <c r="GB388" i="30"/>
  <c r="GC388" i="30"/>
  <c r="GD388" i="30"/>
  <c r="GE388" i="30"/>
  <c r="GF388" i="30"/>
  <c r="GG388" i="30"/>
  <c r="GH388" i="30"/>
  <c r="GI388" i="30"/>
  <c r="GJ388" i="30"/>
  <c r="GK388" i="30"/>
  <c r="GL388" i="30"/>
  <c r="GM388" i="30"/>
  <c r="GN388" i="30"/>
  <c r="GO388" i="30"/>
  <c r="GP388" i="30"/>
  <c r="GQ388" i="30"/>
  <c r="GR388" i="30"/>
  <c r="GS388" i="30"/>
  <c r="GT388" i="30"/>
  <c r="GU388" i="30"/>
  <c r="GV388" i="30"/>
  <c r="GW388" i="30"/>
  <c r="GX388" i="30"/>
  <c r="GY388" i="30"/>
  <c r="GZ388" i="30"/>
  <c r="HA388" i="30"/>
  <c r="HB388" i="30"/>
  <c r="HC388" i="30"/>
  <c r="HD388" i="30"/>
  <c r="HE388" i="30"/>
  <c r="HF388" i="30"/>
  <c r="HG388" i="30"/>
  <c r="HH388" i="30"/>
  <c r="HI388" i="30"/>
  <c r="HJ388" i="30"/>
  <c r="HK388" i="30"/>
  <c r="HL388" i="30"/>
  <c r="HM388" i="30"/>
  <c r="HN388" i="30"/>
  <c r="HO388" i="30"/>
  <c r="HP388" i="30"/>
  <c r="HQ388" i="30"/>
  <c r="HR388" i="30"/>
  <c r="HS388" i="30"/>
  <c r="HT388" i="30"/>
  <c r="HU388" i="30"/>
  <c r="HV388" i="30"/>
  <c r="HW388" i="30"/>
  <c r="HX388" i="30"/>
  <c r="HY388" i="30"/>
  <c r="HZ388" i="30"/>
  <c r="IA388" i="30"/>
  <c r="IB388" i="30"/>
  <c r="IC388" i="30"/>
  <c r="ID388" i="30"/>
  <c r="IE388" i="30"/>
  <c r="IF388" i="30"/>
  <c r="IG388" i="30"/>
  <c r="IH388" i="30"/>
  <c r="II388" i="30"/>
  <c r="IJ388" i="30"/>
  <c r="IK388" i="30"/>
  <c r="IL388" i="30"/>
  <c r="IM388" i="30"/>
  <c r="IN388" i="30"/>
  <c r="IO388" i="30"/>
  <c r="IP388" i="30"/>
  <c r="IQ388" i="30"/>
  <c r="IR388" i="30"/>
  <c r="IS388" i="30"/>
  <c r="IT388" i="30"/>
  <c r="IU388" i="30"/>
  <c r="IV388" i="30"/>
  <c r="A387" i="30"/>
  <c r="B387" i="30"/>
  <c r="C387" i="30"/>
  <c r="D387" i="30"/>
  <c r="E387" i="30"/>
  <c r="F387" i="30"/>
  <c r="G387" i="30"/>
  <c r="H387" i="30"/>
  <c r="I387" i="30"/>
  <c r="J387" i="30"/>
  <c r="K387" i="30"/>
  <c r="L387" i="30"/>
  <c r="M387" i="30"/>
  <c r="N387" i="30"/>
  <c r="O387" i="30"/>
  <c r="P387" i="30"/>
  <c r="Q387" i="30"/>
  <c r="R387" i="30"/>
  <c r="S387" i="30"/>
  <c r="T387" i="30"/>
  <c r="U387" i="30"/>
  <c r="V387" i="30"/>
  <c r="W387" i="30"/>
  <c r="X387" i="30"/>
  <c r="Y387" i="30"/>
  <c r="Z387" i="30"/>
  <c r="AA387" i="30"/>
  <c r="AB387" i="30"/>
  <c r="AC387" i="30"/>
  <c r="AD387" i="30"/>
  <c r="AE387" i="30"/>
  <c r="AF387" i="30"/>
  <c r="AG387" i="30"/>
  <c r="AH387" i="30"/>
  <c r="AI387" i="30"/>
  <c r="AJ387" i="30"/>
  <c r="AK387" i="30"/>
  <c r="AL387" i="30"/>
  <c r="AM387" i="30"/>
  <c r="AN387" i="30"/>
  <c r="AO387" i="30"/>
  <c r="AP387" i="30"/>
  <c r="AQ387" i="30"/>
  <c r="AR387" i="30"/>
  <c r="AS387" i="30"/>
  <c r="AT387" i="30"/>
  <c r="AU387" i="30"/>
  <c r="AV387" i="30"/>
  <c r="AW387" i="30"/>
  <c r="AX387" i="30"/>
  <c r="AY387" i="30"/>
  <c r="AZ387" i="30"/>
  <c r="BA387" i="30"/>
  <c r="BB387" i="30"/>
  <c r="BC387" i="30"/>
  <c r="BD387" i="30"/>
  <c r="BE387" i="30"/>
  <c r="BF387" i="30"/>
  <c r="BG387" i="30"/>
  <c r="BH387" i="30"/>
  <c r="BI387" i="30"/>
  <c r="BJ387" i="30"/>
  <c r="BK387" i="30"/>
  <c r="BL387" i="30"/>
  <c r="BM387" i="30"/>
  <c r="BN387" i="30"/>
  <c r="BO387" i="30"/>
  <c r="BP387" i="30"/>
  <c r="BQ387" i="30"/>
  <c r="BR387" i="30"/>
  <c r="BS387" i="30"/>
  <c r="BT387" i="30"/>
  <c r="BU387" i="30"/>
  <c r="BV387" i="30"/>
  <c r="BW387" i="30"/>
  <c r="BX387" i="30"/>
  <c r="BY387" i="30"/>
  <c r="BZ387" i="30"/>
  <c r="CA387" i="30"/>
  <c r="CB387" i="30"/>
  <c r="CC387" i="30"/>
  <c r="CD387" i="30"/>
  <c r="CE387" i="30"/>
  <c r="CF387" i="30"/>
  <c r="CG387" i="30"/>
  <c r="CH387" i="30"/>
  <c r="CI387" i="30"/>
  <c r="CJ387" i="30"/>
  <c r="CK387" i="30"/>
  <c r="CL387" i="30"/>
  <c r="CM387" i="30"/>
  <c r="CN387" i="30"/>
  <c r="CO387" i="30"/>
  <c r="CP387" i="30"/>
  <c r="CQ387" i="30"/>
  <c r="CR387" i="30"/>
  <c r="CS387" i="30"/>
  <c r="CT387" i="30"/>
  <c r="CU387" i="30"/>
  <c r="CV387" i="30"/>
  <c r="CW387" i="30"/>
  <c r="CX387" i="30"/>
  <c r="CY387" i="30"/>
  <c r="CZ387" i="30"/>
  <c r="DA387" i="30"/>
  <c r="DB387" i="30"/>
  <c r="DC387" i="30"/>
  <c r="DD387" i="30"/>
  <c r="DE387" i="30"/>
  <c r="DF387" i="30"/>
  <c r="DG387" i="30"/>
  <c r="DH387" i="30"/>
  <c r="DI387" i="30"/>
  <c r="DJ387" i="30"/>
  <c r="DK387" i="30"/>
  <c r="DL387" i="30"/>
  <c r="DM387" i="30"/>
  <c r="DN387" i="30"/>
  <c r="DO387" i="30"/>
  <c r="DP387" i="30"/>
  <c r="DQ387" i="30"/>
  <c r="DR387" i="30"/>
  <c r="DS387" i="30"/>
  <c r="DT387" i="30"/>
  <c r="DU387" i="30"/>
  <c r="DV387" i="30"/>
  <c r="DW387" i="30"/>
  <c r="DX387" i="30"/>
  <c r="DY387" i="30"/>
  <c r="DZ387" i="30"/>
  <c r="EA387" i="30"/>
  <c r="EB387" i="30"/>
  <c r="EC387" i="30"/>
  <c r="ED387" i="30"/>
  <c r="EE387" i="30"/>
  <c r="EF387" i="30"/>
  <c r="EG387" i="30"/>
  <c r="EH387" i="30"/>
  <c r="EI387" i="30"/>
  <c r="EJ387" i="30"/>
  <c r="EK387" i="30"/>
  <c r="EL387" i="30"/>
  <c r="EM387" i="30"/>
  <c r="EN387" i="30"/>
  <c r="EO387" i="30"/>
  <c r="EP387" i="30"/>
  <c r="EQ387" i="30"/>
  <c r="ER387" i="30"/>
  <c r="ES387" i="30"/>
  <c r="ET387" i="30"/>
  <c r="EU387" i="30"/>
  <c r="EV387" i="30"/>
  <c r="EW387" i="30"/>
  <c r="EX387" i="30"/>
  <c r="EY387" i="30"/>
  <c r="EZ387" i="30"/>
  <c r="FA387" i="30"/>
  <c r="FB387" i="30"/>
  <c r="FC387" i="30"/>
  <c r="FD387" i="30"/>
  <c r="FE387" i="30"/>
  <c r="FF387" i="30"/>
  <c r="FG387" i="30"/>
  <c r="FH387" i="30"/>
  <c r="FI387" i="30"/>
  <c r="FJ387" i="30"/>
  <c r="FK387" i="30"/>
  <c r="FL387" i="30"/>
  <c r="FM387" i="30"/>
  <c r="FN387" i="30"/>
  <c r="FO387" i="30"/>
  <c r="FP387" i="30"/>
  <c r="FQ387" i="30"/>
  <c r="FR387" i="30"/>
  <c r="FS387" i="30"/>
  <c r="FT387" i="30"/>
  <c r="FU387" i="30"/>
  <c r="FV387" i="30"/>
  <c r="FW387" i="30"/>
  <c r="FX387" i="30"/>
  <c r="FY387" i="30"/>
  <c r="FZ387" i="30"/>
  <c r="GA387" i="30"/>
  <c r="GB387" i="30"/>
  <c r="GC387" i="30"/>
  <c r="GD387" i="30"/>
  <c r="GE387" i="30"/>
  <c r="GF387" i="30"/>
  <c r="GG387" i="30"/>
  <c r="GH387" i="30"/>
  <c r="GI387" i="30"/>
  <c r="GJ387" i="30"/>
  <c r="GK387" i="30"/>
  <c r="GL387" i="30"/>
  <c r="GM387" i="30"/>
  <c r="GN387" i="30"/>
  <c r="GO387" i="30"/>
  <c r="GP387" i="30"/>
  <c r="GQ387" i="30"/>
  <c r="GR387" i="30"/>
  <c r="GS387" i="30"/>
  <c r="GT387" i="30"/>
  <c r="GU387" i="30"/>
  <c r="GV387" i="30"/>
  <c r="GW387" i="30"/>
  <c r="GX387" i="30"/>
  <c r="GY387" i="30"/>
  <c r="GZ387" i="30"/>
  <c r="HA387" i="30"/>
  <c r="HB387" i="30"/>
  <c r="HC387" i="30"/>
  <c r="HD387" i="30"/>
  <c r="HE387" i="30"/>
  <c r="HF387" i="30"/>
  <c r="HG387" i="30"/>
  <c r="HH387" i="30"/>
  <c r="HI387" i="30"/>
  <c r="HJ387" i="30"/>
  <c r="HK387" i="30"/>
  <c r="HL387" i="30"/>
  <c r="HM387" i="30"/>
  <c r="HN387" i="30"/>
  <c r="HO387" i="30"/>
  <c r="HP387" i="30"/>
  <c r="HQ387" i="30"/>
  <c r="HR387" i="30"/>
  <c r="HS387" i="30"/>
  <c r="HT387" i="30"/>
  <c r="HU387" i="30"/>
  <c r="HV387" i="30"/>
  <c r="HW387" i="30"/>
  <c r="HX387" i="30"/>
  <c r="HY387" i="30"/>
  <c r="HZ387" i="30"/>
  <c r="IA387" i="30"/>
  <c r="IB387" i="30"/>
  <c r="IC387" i="30"/>
  <c r="ID387" i="30"/>
  <c r="IE387" i="30"/>
  <c r="IF387" i="30"/>
  <c r="IG387" i="30"/>
  <c r="IH387" i="30"/>
  <c r="II387" i="30"/>
  <c r="IJ387" i="30"/>
  <c r="IK387" i="30"/>
  <c r="IL387" i="30"/>
  <c r="IM387" i="30"/>
  <c r="IN387" i="30"/>
  <c r="IO387" i="30"/>
  <c r="IP387" i="30"/>
  <c r="IQ387" i="30"/>
  <c r="IR387" i="30"/>
  <c r="IS387" i="30"/>
  <c r="IT387" i="30"/>
  <c r="IU387" i="30"/>
  <c r="IV387" i="30"/>
  <c r="A386" i="30"/>
  <c r="B386" i="30"/>
  <c r="C386" i="30"/>
  <c r="D386" i="30"/>
  <c r="E386" i="30"/>
  <c r="F386" i="30"/>
  <c r="G386" i="30"/>
  <c r="H386" i="30"/>
  <c r="I386" i="30"/>
  <c r="J386" i="30"/>
  <c r="K386" i="30"/>
  <c r="L386" i="30"/>
  <c r="M386" i="30"/>
  <c r="N386" i="30"/>
  <c r="O386" i="30"/>
  <c r="P386" i="30"/>
  <c r="Q386" i="30"/>
  <c r="R386" i="30"/>
  <c r="S386" i="30"/>
  <c r="T386" i="30"/>
  <c r="U386" i="30"/>
  <c r="V386" i="30"/>
  <c r="W386" i="30"/>
  <c r="X386" i="30"/>
  <c r="Y386" i="30"/>
  <c r="Z386" i="30"/>
  <c r="AA386" i="30"/>
  <c r="AB386" i="30"/>
  <c r="AC386" i="30"/>
  <c r="AD386" i="30"/>
  <c r="AE386" i="30"/>
  <c r="AF386" i="30"/>
  <c r="AG386" i="30"/>
  <c r="AH386" i="30"/>
  <c r="AI386" i="30"/>
  <c r="AJ386" i="30"/>
  <c r="AK386" i="30"/>
  <c r="AL386" i="30"/>
  <c r="AM386" i="30"/>
  <c r="AN386" i="30"/>
  <c r="AO386" i="30"/>
  <c r="AP386" i="30"/>
  <c r="AQ386" i="30"/>
  <c r="AR386" i="30"/>
  <c r="AS386" i="30"/>
  <c r="AT386" i="30"/>
  <c r="AU386" i="30"/>
  <c r="AV386" i="30"/>
  <c r="AW386" i="30"/>
  <c r="AX386" i="30"/>
  <c r="AY386" i="30"/>
  <c r="AZ386" i="30"/>
  <c r="BA386" i="30"/>
  <c r="BB386" i="30"/>
  <c r="BC386" i="30"/>
  <c r="BD386" i="30"/>
  <c r="BE386" i="30"/>
  <c r="BF386" i="30"/>
  <c r="BG386" i="30"/>
  <c r="BH386" i="30"/>
  <c r="BI386" i="30"/>
  <c r="BJ386" i="30"/>
  <c r="BK386" i="30"/>
  <c r="BL386" i="30"/>
  <c r="BM386" i="30"/>
  <c r="BN386" i="30"/>
  <c r="BO386" i="30"/>
  <c r="BP386" i="30"/>
  <c r="BQ386" i="30"/>
  <c r="BR386" i="30"/>
  <c r="BS386" i="30"/>
  <c r="BT386" i="30"/>
  <c r="BU386" i="30"/>
  <c r="BV386" i="30"/>
  <c r="BW386" i="30"/>
  <c r="BX386" i="30"/>
  <c r="BY386" i="30"/>
  <c r="BZ386" i="30"/>
  <c r="CA386" i="30"/>
  <c r="CB386" i="30"/>
  <c r="CC386" i="30"/>
  <c r="CD386" i="30"/>
  <c r="CE386" i="30"/>
  <c r="CF386" i="30"/>
  <c r="CG386" i="30"/>
  <c r="CH386" i="30"/>
  <c r="CI386" i="30"/>
  <c r="CJ386" i="30"/>
  <c r="CK386" i="30"/>
  <c r="CL386" i="30"/>
  <c r="CM386" i="30"/>
  <c r="CN386" i="30"/>
  <c r="CO386" i="30"/>
  <c r="CP386" i="30"/>
  <c r="CQ386" i="30"/>
  <c r="CR386" i="30"/>
  <c r="CS386" i="30"/>
  <c r="CT386" i="30"/>
  <c r="CU386" i="30"/>
  <c r="CV386" i="30"/>
  <c r="CW386" i="30"/>
  <c r="CX386" i="30"/>
  <c r="CY386" i="30"/>
  <c r="CZ386" i="30"/>
  <c r="DA386" i="30"/>
  <c r="DB386" i="30"/>
  <c r="DC386" i="30"/>
  <c r="DD386" i="30"/>
  <c r="DE386" i="30"/>
  <c r="DF386" i="30"/>
  <c r="DG386" i="30"/>
  <c r="DH386" i="30"/>
  <c r="DI386" i="30"/>
  <c r="DJ386" i="30"/>
  <c r="DK386" i="30"/>
  <c r="DL386" i="30"/>
  <c r="DM386" i="30"/>
  <c r="DN386" i="30"/>
  <c r="DO386" i="30"/>
  <c r="DP386" i="30"/>
  <c r="DQ386" i="30"/>
  <c r="DR386" i="30"/>
  <c r="DS386" i="30"/>
  <c r="DT386" i="30"/>
  <c r="DU386" i="30"/>
  <c r="DV386" i="30"/>
  <c r="DW386" i="30"/>
  <c r="DX386" i="30"/>
  <c r="DY386" i="30"/>
  <c r="DZ386" i="30"/>
  <c r="EA386" i="30"/>
  <c r="EB386" i="30"/>
  <c r="EC386" i="30"/>
  <c r="ED386" i="30"/>
  <c r="EE386" i="30"/>
  <c r="EF386" i="30"/>
  <c r="EG386" i="30"/>
  <c r="EH386" i="30"/>
  <c r="EI386" i="30"/>
  <c r="EJ386" i="30"/>
  <c r="EK386" i="30"/>
  <c r="EL386" i="30"/>
  <c r="EM386" i="30"/>
  <c r="EN386" i="30"/>
  <c r="EO386" i="30"/>
  <c r="EP386" i="30"/>
  <c r="EQ386" i="30"/>
  <c r="ER386" i="30"/>
  <c r="ES386" i="30"/>
  <c r="ET386" i="30"/>
  <c r="EU386" i="30"/>
  <c r="EV386" i="30"/>
  <c r="EW386" i="30"/>
  <c r="EX386" i="30"/>
  <c r="EY386" i="30"/>
  <c r="EZ386" i="30"/>
  <c r="FA386" i="30"/>
  <c r="FB386" i="30"/>
  <c r="FC386" i="30"/>
  <c r="FD386" i="30"/>
  <c r="FE386" i="30"/>
  <c r="FF386" i="30"/>
  <c r="FG386" i="30"/>
  <c r="FH386" i="30"/>
  <c r="FI386" i="30"/>
  <c r="FJ386" i="30"/>
  <c r="FK386" i="30"/>
  <c r="FL386" i="30"/>
  <c r="FM386" i="30"/>
  <c r="FN386" i="30"/>
  <c r="FO386" i="30"/>
  <c r="FP386" i="30"/>
  <c r="FQ386" i="30"/>
  <c r="FR386" i="30"/>
  <c r="FS386" i="30"/>
  <c r="FT386" i="30"/>
  <c r="FU386" i="30"/>
  <c r="FV386" i="30"/>
  <c r="FW386" i="30"/>
  <c r="FX386" i="30"/>
  <c r="FY386" i="30"/>
  <c r="FZ386" i="30"/>
  <c r="GA386" i="30"/>
  <c r="GB386" i="30"/>
  <c r="GC386" i="30"/>
  <c r="GD386" i="30"/>
  <c r="GE386" i="30"/>
  <c r="GF386" i="30"/>
  <c r="GG386" i="30"/>
  <c r="GH386" i="30"/>
  <c r="GI386" i="30"/>
  <c r="GJ386" i="30"/>
  <c r="GK386" i="30"/>
  <c r="GL386" i="30"/>
  <c r="GM386" i="30"/>
  <c r="GN386" i="30"/>
  <c r="GO386" i="30"/>
  <c r="GP386" i="30"/>
  <c r="GQ386" i="30"/>
  <c r="GR386" i="30"/>
  <c r="GS386" i="30"/>
  <c r="GT386" i="30"/>
  <c r="GU386" i="30"/>
  <c r="GV386" i="30"/>
  <c r="GW386" i="30"/>
  <c r="GX386" i="30"/>
  <c r="GY386" i="30"/>
  <c r="GZ386" i="30"/>
  <c r="HA386" i="30"/>
  <c r="HB386" i="30"/>
  <c r="HC386" i="30"/>
  <c r="HD386" i="30"/>
  <c r="HE386" i="30"/>
  <c r="HF386" i="30"/>
  <c r="HG386" i="30"/>
  <c r="HH386" i="30"/>
  <c r="HI386" i="30"/>
  <c r="HJ386" i="30"/>
  <c r="HK386" i="30"/>
  <c r="HL386" i="30"/>
  <c r="HM386" i="30"/>
  <c r="HN386" i="30"/>
  <c r="HO386" i="30"/>
  <c r="HP386" i="30"/>
  <c r="HQ386" i="30"/>
  <c r="HR386" i="30"/>
  <c r="HS386" i="30"/>
  <c r="HT386" i="30"/>
  <c r="HU386" i="30"/>
  <c r="HV386" i="30"/>
  <c r="HW386" i="30"/>
  <c r="HX386" i="30"/>
  <c r="HY386" i="30"/>
  <c r="HZ386" i="30"/>
  <c r="IA386" i="30"/>
  <c r="IB386" i="30"/>
  <c r="IC386" i="30"/>
  <c r="ID386" i="30"/>
  <c r="IE386" i="30"/>
  <c r="IF386" i="30"/>
  <c r="IG386" i="30"/>
  <c r="IH386" i="30"/>
  <c r="II386" i="30"/>
  <c r="IJ386" i="30"/>
  <c r="IK386" i="30"/>
  <c r="IL386" i="30"/>
  <c r="IM386" i="30"/>
  <c r="IN386" i="30"/>
  <c r="IO386" i="30"/>
  <c r="IP386" i="30"/>
  <c r="IQ386" i="30"/>
  <c r="IR386" i="30"/>
  <c r="IS386" i="30"/>
  <c r="IT386" i="30"/>
  <c r="IU386" i="30"/>
  <c r="IV386" i="30"/>
  <c r="A385" i="30"/>
  <c r="B385" i="30"/>
  <c r="C385" i="30"/>
  <c r="D385" i="30"/>
  <c r="E385" i="30"/>
  <c r="F385" i="30"/>
  <c r="G385" i="30"/>
  <c r="H385" i="30"/>
  <c r="I385" i="30"/>
  <c r="J385" i="30"/>
  <c r="K385" i="30"/>
  <c r="L385" i="30"/>
  <c r="M385" i="30"/>
  <c r="N385" i="30"/>
  <c r="O385" i="30"/>
  <c r="P385" i="30"/>
  <c r="Q385" i="30"/>
  <c r="R385" i="30"/>
  <c r="S385" i="30"/>
  <c r="T385" i="30"/>
  <c r="U385" i="30"/>
  <c r="V385" i="30"/>
  <c r="W385" i="30"/>
  <c r="X385" i="30"/>
  <c r="Y385" i="30"/>
  <c r="Z385" i="30"/>
  <c r="AA385" i="30"/>
  <c r="AB385" i="30"/>
  <c r="AC385" i="30"/>
  <c r="AD385" i="30"/>
  <c r="AE385" i="30"/>
  <c r="AF385" i="30"/>
  <c r="AG385" i="30"/>
  <c r="AH385" i="30"/>
  <c r="AI385" i="30"/>
  <c r="AJ385" i="30"/>
  <c r="AK385" i="30"/>
  <c r="AL385" i="30"/>
  <c r="AM385" i="30"/>
  <c r="AN385" i="30"/>
  <c r="AO385" i="30"/>
  <c r="AP385" i="30"/>
  <c r="AQ385" i="30"/>
  <c r="AR385" i="30"/>
  <c r="AS385" i="30"/>
  <c r="AT385" i="30"/>
  <c r="AU385" i="30"/>
  <c r="AV385" i="30"/>
  <c r="AW385" i="30"/>
  <c r="AX385" i="30"/>
  <c r="AY385" i="30"/>
  <c r="AZ385" i="30"/>
  <c r="BA385" i="30"/>
  <c r="BB385" i="30"/>
  <c r="BC385" i="30"/>
  <c r="BD385" i="30"/>
  <c r="BE385" i="30"/>
  <c r="BF385" i="30"/>
  <c r="BG385" i="30"/>
  <c r="BH385" i="30"/>
  <c r="BI385" i="30"/>
  <c r="BJ385" i="30"/>
  <c r="BK385" i="30"/>
  <c r="BL385" i="30"/>
  <c r="BM385" i="30"/>
  <c r="BN385" i="30"/>
  <c r="BO385" i="30"/>
  <c r="BP385" i="30"/>
  <c r="BQ385" i="30"/>
  <c r="BR385" i="30"/>
  <c r="BS385" i="30"/>
  <c r="BT385" i="30"/>
  <c r="BU385" i="30"/>
  <c r="BV385" i="30"/>
  <c r="BW385" i="30"/>
  <c r="BX385" i="30"/>
  <c r="BY385" i="30"/>
  <c r="BZ385" i="30"/>
  <c r="CA385" i="30"/>
  <c r="CB385" i="30"/>
  <c r="CC385" i="30"/>
  <c r="CD385" i="30"/>
  <c r="CE385" i="30"/>
  <c r="CF385" i="30"/>
  <c r="CG385" i="30"/>
  <c r="CH385" i="30"/>
  <c r="CI385" i="30"/>
  <c r="CJ385" i="30"/>
  <c r="CK385" i="30"/>
  <c r="CL385" i="30"/>
  <c r="CM385" i="30"/>
  <c r="CN385" i="30"/>
  <c r="CO385" i="30"/>
  <c r="CP385" i="30"/>
  <c r="CQ385" i="30"/>
  <c r="CR385" i="30"/>
  <c r="CS385" i="30"/>
  <c r="CT385" i="30"/>
  <c r="CU385" i="30"/>
  <c r="CV385" i="30"/>
  <c r="CW385" i="30"/>
  <c r="CX385" i="30"/>
  <c r="CY385" i="30"/>
  <c r="CZ385" i="30"/>
  <c r="DA385" i="30"/>
  <c r="DB385" i="30"/>
  <c r="DC385" i="30"/>
  <c r="DD385" i="30"/>
  <c r="DE385" i="30"/>
  <c r="DF385" i="30"/>
  <c r="DG385" i="30"/>
  <c r="DH385" i="30"/>
  <c r="DI385" i="30"/>
  <c r="DJ385" i="30"/>
  <c r="DK385" i="30"/>
  <c r="DL385" i="30"/>
  <c r="DM385" i="30"/>
  <c r="DN385" i="30"/>
  <c r="DO385" i="30"/>
  <c r="DP385" i="30"/>
  <c r="DQ385" i="30"/>
  <c r="DR385" i="30"/>
  <c r="DS385" i="30"/>
  <c r="DT385" i="30"/>
  <c r="DU385" i="30"/>
  <c r="DV385" i="30"/>
  <c r="DW385" i="30"/>
  <c r="DX385" i="30"/>
  <c r="DY385" i="30"/>
  <c r="DZ385" i="30"/>
  <c r="EA385" i="30"/>
  <c r="EB385" i="30"/>
  <c r="EC385" i="30"/>
  <c r="ED385" i="30"/>
  <c r="EE385" i="30"/>
  <c r="EF385" i="30"/>
  <c r="EG385" i="30"/>
  <c r="EH385" i="30"/>
  <c r="EI385" i="30"/>
  <c r="EJ385" i="30"/>
  <c r="EK385" i="30"/>
  <c r="EL385" i="30"/>
  <c r="EM385" i="30"/>
  <c r="EN385" i="30"/>
  <c r="EO385" i="30"/>
  <c r="EP385" i="30"/>
  <c r="EQ385" i="30"/>
  <c r="ER385" i="30"/>
  <c r="ES385" i="30"/>
  <c r="ET385" i="30"/>
  <c r="EU385" i="30"/>
  <c r="EV385" i="30"/>
  <c r="EW385" i="30"/>
  <c r="EX385" i="30"/>
  <c r="EY385" i="30"/>
  <c r="EZ385" i="30"/>
  <c r="FA385" i="30"/>
  <c r="FB385" i="30"/>
  <c r="FC385" i="30"/>
  <c r="FD385" i="30"/>
  <c r="FE385" i="30"/>
  <c r="FF385" i="30"/>
  <c r="FG385" i="30"/>
  <c r="FH385" i="30"/>
  <c r="FI385" i="30"/>
  <c r="FJ385" i="30"/>
  <c r="FK385" i="30"/>
  <c r="FL385" i="30"/>
  <c r="FM385" i="30"/>
  <c r="FN385" i="30"/>
  <c r="FO385" i="30"/>
  <c r="FP385" i="30"/>
  <c r="FQ385" i="30"/>
  <c r="FR385" i="30"/>
  <c r="FS385" i="30"/>
  <c r="FT385" i="30"/>
  <c r="FU385" i="30"/>
  <c r="FV385" i="30"/>
  <c r="FW385" i="30"/>
  <c r="FX385" i="30"/>
  <c r="FY385" i="30"/>
  <c r="FZ385" i="30"/>
  <c r="GA385" i="30"/>
  <c r="GB385" i="30"/>
  <c r="GC385" i="30"/>
  <c r="GD385" i="30"/>
  <c r="GE385" i="30"/>
  <c r="GF385" i="30"/>
  <c r="GG385" i="30"/>
  <c r="GH385" i="30"/>
  <c r="GI385" i="30"/>
  <c r="GJ385" i="30"/>
  <c r="GK385" i="30"/>
  <c r="GL385" i="30"/>
  <c r="GM385" i="30"/>
  <c r="GN385" i="30"/>
  <c r="GO385" i="30"/>
  <c r="GP385" i="30"/>
  <c r="GQ385" i="30"/>
  <c r="GR385" i="30"/>
  <c r="GS385" i="30"/>
  <c r="GT385" i="30"/>
  <c r="GU385" i="30"/>
  <c r="GV385" i="30"/>
  <c r="GW385" i="30"/>
  <c r="GX385" i="30"/>
  <c r="GY385" i="30"/>
  <c r="GZ385" i="30"/>
  <c r="HA385" i="30"/>
  <c r="HB385" i="30"/>
  <c r="HC385" i="30"/>
  <c r="HD385" i="30"/>
  <c r="HE385" i="30"/>
  <c r="HF385" i="30"/>
  <c r="HG385" i="30"/>
  <c r="HH385" i="30"/>
  <c r="HI385" i="30"/>
  <c r="HJ385" i="30"/>
  <c r="HK385" i="30"/>
  <c r="HL385" i="30"/>
  <c r="HM385" i="30"/>
  <c r="HN385" i="30"/>
  <c r="HO385" i="30"/>
  <c r="HP385" i="30"/>
  <c r="HQ385" i="30"/>
  <c r="HR385" i="30"/>
  <c r="HS385" i="30"/>
  <c r="HT385" i="30"/>
  <c r="HU385" i="30"/>
  <c r="HV385" i="30"/>
  <c r="HW385" i="30"/>
  <c r="HX385" i="30"/>
  <c r="HY385" i="30"/>
  <c r="HZ385" i="30"/>
  <c r="IA385" i="30"/>
  <c r="IB385" i="30"/>
  <c r="IC385" i="30"/>
  <c r="ID385" i="30"/>
  <c r="IE385" i="30"/>
  <c r="IF385" i="30"/>
  <c r="IG385" i="30"/>
  <c r="IH385" i="30"/>
  <c r="II385" i="30"/>
  <c r="IJ385" i="30"/>
  <c r="IK385" i="30"/>
  <c r="IL385" i="30"/>
  <c r="IM385" i="30"/>
  <c r="IN385" i="30"/>
  <c r="IO385" i="30"/>
  <c r="IP385" i="30"/>
  <c r="IQ385" i="30"/>
  <c r="IR385" i="30"/>
  <c r="IS385" i="30"/>
  <c r="IT385" i="30"/>
  <c r="IU385" i="30"/>
  <c r="IV385" i="30"/>
  <c r="A384" i="30"/>
  <c r="B384" i="30"/>
  <c r="C384" i="30"/>
  <c r="D384" i="30"/>
  <c r="E384" i="30"/>
  <c r="F384" i="30"/>
  <c r="G384" i="30"/>
  <c r="H384" i="30"/>
  <c r="I384" i="30"/>
  <c r="J384" i="30"/>
  <c r="K384" i="30"/>
  <c r="L384" i="30"/>
  <c r="M384" i="30"/>
  <c r="N384" i="30"/>
  <c r="O384" i="30"/>
  <c r="P384" i="30"/>
  <c r="Q384" i="30"/>
  <c r="R384" i="30"/>
  <c r="S384" i="30"/>
  <c r="T384" i="30"/>
  <c r="U384" i="30"/>
  <c r="V384" i="30"/>
  <c r="W384" i="30"/>
  <c r="X384" i="30"/>
  <c r="Y384" i="30"/>
  <c r="Z384" i="30"/>
  <c r="AA384" i="30"/>
  <c r="AB384" i="30"/>
  <c r="AC384" i="30"/>
  <c r="AD384" i="30"/>
  <c r="AE384" i="30"/>
  <c r="AF384" i="30"/>
  <c r="AG384" i="30"/>
  <c r="AH384" i="30"/>
  <c r="AI384" i="30"/>
  <c r="AJ384" i="30"/>
  <c r="AK384" i="30"/>
  <c r="AL384" i="30"/>
  <c r="AM384" i="30"/>
  <c r="AN384" i="30"/>
  <c r="AO384" i="30"/>
  <c r="AP384" i="30"/>
  <c r="AQ384" i="30"/>
  <c r="AR384" i="30"/>
  <c r="AS384" i="30"/>
  <c r="AT384" i="30"/>
  <c r="AU384" i="30"/>
  <c r="AV384" i="30"/>
  <c r="AW384" i="30"/>
  <c r="AX384" i="30"/>
  <c r="AY384" i="30"/>
  <c r="AZ384" i="30"/>
  <c r="BA384" i="30"/>
  <c r="BB384" i="30"/>
  <c r="BC384" i="30"/>
  <c r="BD384" i="30"/>
  <c r="BE384" i="30"/>
  <c r="BF384" i="30"/>
  <c r="BG384" i="30"/>
  <c r="BH384" i="30"/>
  <c r="BI384" i="30"/>
  <c r="BJ384" i="30"/>
  <c r="BK384" i="30"/>
  <c r="BL384" i="30"/>
  <c r="BM384" i="30"/>
  <c r="BN384" i="30"/>
  <c r="BO384" i="30"/>
  <c r="BP384" i="30"/>
  <c r="BQ384" i="30"/>
  <c r="BR384" i="30"/>
  <c r="BS384" i="30"/>
  <c r="BT384" i="30"/>
  <c r="BU384" i="30"/>
  <c r="BV384" i="30"/>
  <c r="BW384" i="30"/>
  <c r="BX384" i="30"/>
  <c r="BY384" i="30"/>
  <c r="BZ384" i="30"/>
  <c r="CA384" i="30"/>
  <c r="CB384" i="30"/>
  <c r="CC384" i="30"/>
  <c r="CD384" i="30"/>
  <c r="CE384" i="30"/>
  <c r="CF384" i="30"/>
  <c r="CG384" i="30"/>
  <c r="CH384" i="30"/>
  <c r="CI384" i="30"/>
  <c r="CJ384" i="30"/>
  <c r="CK384" i="30"/>
  <c r="CL384" i="30"/>
  <c r="CM384" i="30"/>
  <c r="CN384" i="30"/>
  <c r="CO384" i="30"/>
  <c r="CP384" i="30"/>
  <c r="CQ384" i="30"/>
  <c r="CR384" i="30"/>
  <c r="CS384" i="30"/>
  <c r="CT384" i="30"/>
  <c r="CU384" i="30"/>
  <c r="CV384" i="30"/>
  <c r="CW384" i="30"/>
  <c r="CX384" i="30"/>
  <c r="CY384" i="30"/>
  <c r="CZ384" i="30"/>
  <c r="DA384" i="30"/>
  <c r="DB384" i="30"/>
  <c r="DC384" i="30"/>
  <c r="DD384" i="30"/>
  <c r="DE384" i="30"/>
  <c r="DF384" i="30"/>
  <c r="DG384" i="30"/>
  <c r="DH384" i="30"/>
  <c r="DI384" i="30"/>
  <c r="DJ384" i="30"/>
  <c r="DK384" i="30"/>
  <c r="DL384" i="30"/>
  <c r="DM384" i="30"/>
  <c r="DN384" i="30"/>
  <c r="DO384" i="30"/>
  <c r="DP384" i="30"/>
  <c r="DQ384" i="30"/>
  <c r="DR384" i="30"/>
  <c r="DS384" i="30"/>
  <c r="DT384" i="30"/>
  <c r="DU384" i="30"/>
  <c r="DV384" i="30"/>
  <c r="DW384" i="30"/>
  <c r="DX384" i="30"/>
  <c r="DY384" i="30"/>
  <c r="DZ384" i="30"/>
  <c r="EA384" i="30"/>
  <c r="EB384" i="30"/>
  <c r="EC384" i="30"/>
  <c r="ED384" i="30"/>
  <c r="EE384" i="30"/>
  <c r="EF384" i="30"/>
  <c r="EG384" i="30"/>
  <c r="EH384" i="30"/>
  <c r="EI384" i="30"/>
  <c r="EJ384" i="30"/>
  <c r="EK384" i="30"/>
  <c r="EL384" i="30"/>
  <c r="EM384" i="30"/>
  <c r="EN384" i="30"/>
  <c r="EO384" i="30"/>
  <c r="EP384" i="30"/>
  <c r="EQ384" i="30"/>
  <c r="ER384" i="30"/>
  <c r="ES384" i="30"/>
  <c r="ET384" i="30"/>
  <c r="EU384" i="30"/>
  <c r="EV384" i="30"/>
  <c r="EW384" i="30"/>
  <c r="EX384" i="30"/>
  <c r="EY384" i="30"/>
  <c r="EZ384" i="30"/>
  <c r="FA384" i="30"/>
  <c r="FB384" i="30"/>
  <c r="FC384" i="30"/>
  <c r="FD384" i="30"/>
  <c r="FE384" i="30"/>
  <c r="FF384" i="30"/>
  <c r="FG384" i="30"/>
  <c r="FH384" i="30"/>
  <c r="FI384" i="30"/>
  <c r="FJ384" i="30"/>
  <c r="FK384" i="30"/>
  <c r="FL384" i="30"/>
  <c r="FM384" i="30"/>
  <c r="FN384" i="30"/>
  <c r="FO384" i="30"/>
  <c r="FP384" i="30"/>
  <c r="FQ384" i="30"/>
  <c r="FR384" i="30"/>
  <c r="FS384" i="30"/>
  <c r="FT384" i="30"/>
  <c r="FU384" i="30"/>
  <c r="FV384" i="30"/>
  <c r="FW384" i="30"/>
  <c r="FX384" i="30"/>
  <c r="FY384" i="30"/>
  <c r="FZ384" i="30"/>
  <c r="GA384" i="30"/>
  <c r="GB384" i="30"/>
  <c r="GC384" i="30"/>
  <c r="GD384" i="30"/>
  <c r="GE384" i="30"/>
  <c r="GF384" i="30"/>
  <c r="GG384" i="30"/>
  <c r="GH384" i="30"/>
  <c r="GI384" i="30"/>
  <c r="GJ384" i="30"/>
  <c r="GK384" i="30"/>
  <c r="GL384" i="30"/>
  <c r="GM384" i="30"/>
  <c r="GN384" i="30"/>
  <c r="GO384" i="30"/>
  <c r="GP384" i="30"/>
  <c r="GQ384" i="30"/>
  <c r="GR384" i="30"/>
  <c r="GS384" i="30"/>
  <c r="GT384" i="30"/>
  <c r="GU384" i="30"/>
  <c r="GV384" i="30"/>
  <c r="GW384" i="30"/>
  <c r="GX384" i="30"/>
  <c r="GY384" i="30"/>
  <c r="GZ384" i="30"/>
  <c r="HA384" i="30"/>
  <c r="HB384" i="30"/>
  <c r="HC384" i="30"/>
  <c r="HD384" i="30"/>
  <c r="HE384" i="30"/>
  <c r="HF384" i="30"/>
  <c r="HG384" i="30"/>
  <c r="HH384" i="30"/>
  <c r="HI384" i="30"/>
  <c r="HJ384" i="30"/>
  <c r="HK384" i="30"/>
  <c r="HL384" i="30"/>
  <c r="HM384" i="30"/>
  <c r="HN384" i="30"/>
  <c r="HO384" i="30"/>
  <c r="HP384" i="30"/>
  <c r="HQ384" i="30"/>
  <c r="HR384" i="30"/>
  <c r="HS384" i="30"/>
  <c r="HT384" i="30"/>
  <c r="HU384" i="30"/>
  <c r="HV384" i="30"/>
  <c r="HW384" i="30"/>
  <c r="HX384" i="30"/>
  <c r="HY384" i="30"/>
  <c r="HZ384" i="30"/>
  <c r="IA384" i="30"/>
  <c r="IB384" i="30"/>
  <c r="IC384" i="30"/>
  <c r="ID384" i="30"/>
  <c r="IE384" i="30"/>
  <c r="IF384" i="30"/>
  <c r="IG384" i="30"/>
  <c r="IH384" i="30"/>
  <c r="II384" i="30"/>
  <c r="IJ384" i="30"/>
  <c r="IK384" i="30"/>
  <c r="IL384" i="30"/>
  <c r="IM384" i="30"/>
  <c r="IN384" i="30"/>
  <c r="IO384" i="30"/>
  <c r="IP384" i="30"/>
  <c r="IQ384" i="30"/>
  <c r="IR384" i="30"/>
  <c r="IS384" i="30"/>
  <c r="IT384" i="30"/>
  <c r="IU384" i="30"/>
  <c r="IV384" i="30"/>
  <c r="A383" i="30"/>
  <c r="B383" i="30"/>
  <c r="C383" i="30"/>
  <c r="D383" i="30"/>
  <c r="E383" i="30"/>
  <c r="F383" i="30"/>
  <c r="G383" i="30"/>
  <c r="H383" i="30"/>
  <c r="I383" i="30"/>
  <c r="J383" i="30"/>
  <c r="K383" i="30"/>
  <c r="L383" i="30"/>
  <c r="M383" i="30"/>
  <c r="N383" i="30"/>
  <c r="O383" i="30"/>
  <c r="P383" i="30"/>
  <c r="Q383" i="30"/>
  <c r="R383" i="30"/>
  <c r="S383" i="30"/>
  <c r="T383" i="30"/>
  <c r="U383" i="30"/>
  <c r="V383" i="30"/>
  <c r="W383" i="30"/>
  <c r="X383" i="30"/>
  <c r="Y383" i="30"/>
  <c r="Z383" i="30"/>
  <c r="AA383" i="30"/>
  <c r="AB383" i="30"/>
  <c r="AC383" i="30"/>
  <c r="AD383" i="30"/>
  <c r="AE383" i="30"/>
  <c r="AF383" i="30"/>
  <c r="AG383" i="30"/>
  <c r="AH383" i="30"/>
  <c r="AI383" i="30"/>
  <c r="AJ383" i="30"/>
  <c r="AK383" i="30"/>
  <c r="AL383" i="30"/>
  <c r="AM383" i="30"/>
  <c r="AN383" i="30"/>
  <c r="AO383" i="30"/>
  <c r="AP383" i="30"/>
  <c r="AQ383" i="30"/>
  <c r="AR383" i="30"/>
  <c r="AS383" i="30"/>
  <c r="AT383" i="30"/>
  <c r="AU383" i="30"/>
  <c r="AV383" i="30"/>
  <c r="AW383" i="30"/>
  <c r="AX383" i="30"/>
  <c r="AY383" i="30"/>
  <c r="AZ383" i="30"/>
  <c r="BA383" i="30"/>
  <c r="BB383" i="30"/>
  <c r="BC383" i="30"/>
  <c r="BD383" i="30"/>
  <c r="BE383" i="30"/>
  <c r="BF383" i="30"/>
  <c r="BG383" i="30"/>
  <c r="BH383" i="30"/>
  <c r="BI383" i="30"/>
  <c r="BJ383" i="30"/>
  <c r="BK383" i="30"/>
  <c r="BL383" i="30"/>
  <c r="BM383" i="30"/>
  <c r="BN383" i="30"/>
  <c r="BO383" i="30"/>
  <c r="BP383" i="30"/>
  <c r="BQ383" i="30"/>
  <c r="BR383" i="30"/>
  <c r="BS383" i="30"/>
  <c r="BT383" i="30"/>
  <c r="BU383" i="30"/>
  <c r="BV383" i="30"/>
  <c r="BW383" i="30"/>
  <c r="BX383" i="30"/>
  <c r="BY383" i="30"/>
  <c r="BZ383" i="30"/>
  <c r="CA383" i="30"/>
  <c r="CB383" i="30"/>
  <c r="CC383" i="30"/>
  <c r="CD383" i="30"/>
  <c r="CE383" i="30"/>
  <c r="CF383" i="30"/>
  <c r="CG383" i="30"/>
  <c r="CH383" i="30"/>
  <c r="CI383" i="30"/>
  <c r="CJ383" i="30"/>
  <c r="CK383" i="30"/>
  <c r="CL383" i="30"/>
  <c r="CM383" i="30"/>
  <c r="CN383" i="30"/>
  <c r="CO383" i="30"/>
  <c r="CP383" i="30"/>
  <c r="CQ383" i="30"/>
  <c r="CR383" i="30"/>
  <c r="CS383" i="30"/>
  <c r="CT383" i="30"/>
  <c r="CU383" i="30"/>
  <c r="CV383" i="30"/>
  <c r="CW383" i="30"/>
  <c r="CX383" i="30"/>
  <c r="CY383" i="30"/>
  <c r="CZ383" i="30"/>
  <c r="DA383" i="30"/>
  <c r="DB383" i="30"/>
  <c r="DC383" i="30"/>
  <c r="DD383" i="30"/>
  <c r="DE383" i="30"/>
  <c r="DF383" i="30"/>
  <c r="DG383" i="30"/>
  <c r="DH383" i="30"/>
  <c r="DI383" i="30"/>
  <c r="DJ383" i="30"/>
  <c r="DK383" i="30"/>
  <c r="DL383" i="30"/>
  <c r="DM383" i="30"/>
  <c r="DN383" i="30"/>
  <c r="DO383" i="30"/>
  <c r="DP383" i="30"/>
  <c r="DQ383" i="30"/>
  <c r="DR383" i="30"/>
  <c r="DS383" i="30"/>
  <c r="DT383" i="30"/>
  <c r="DU383" i="30"/>
  <c r="DV383" i="30"/>
  <c r="DW383" i="30"/>
  <c r="DX383" i="30"/>
  <c r="DY383" i="30"/>
  <c r="DZ383" i="30"/>
  <c r="EA383" i="30"/>
  <c r="EB383" i="30"/>
  <c r="EC383" i="30"/>
  <c r="ED383" i="30"/>
  <c r="EE383" i="30"/>
  <c r="EF383" i="30"/>
  <c r="EG383" i="30"/>
  <c r="EH383" i="30"/>
  <c r="EI383" i="30"/>
  <c r="EJ383" i="30"/>
  <c r="EK383" i="30"/>
  <c r="EL383" i="30"/>
  <c r="EM383" i="30"/>
  <c r="EN383" i="30"/>
  <c r="EO383" i="30"/>
  <c r="EP383" i="30"/>
  <c r="EQ383" i="30"/>
  <c r="ER383" i="30"/>
  <c r="ES383" i="30"/>
  <c r="ET383" i="30"/>
  <c r="EU383" i="30"/>
  <c r="EV383" i="30"/>
  <c r="EW383" i="30"/>
  <c r="EX383" i="30"/>
  <c r="EY383" i="30"/>
  <c r="EZ383" i="30"/>
  <c r="FA383" i="30"/>
  <c r="FB383" i="30"/>
  <c r="FC383" i="30"/>
  <c r="FD383" i="30"/>
  <c r="FE383" i="30"/>
  <c r="FF383" i="30"/>
  <c r="FG383" i="30"/>
  <c r="FH383" i="30"/>
  <c r="FI383" i="30"/>
  <c r="FJ383" i="30"/>
  <c r="FK383" i="30"/>
  <c r="FL383" i="30"/>
  <c r="FM383" i="30"/>
  <c r="FN383" i="30"/>
  <c r="FO383" i="30"/>
  <c r="FP383" i="30"/>
  <c r="FQ383" i="30"/>
  <c r="FR383" i="30"/>
  <c r="FS383" i="30"/>
  <c r="FT383" i="30"/>
  <c r="FU383" i="30"/>
  <c r="FV383" i="30"/>
  <c r="FW383" i="30"/>
  <c r="FX383" i="30"/>
  <c r="FY383" i="30"/>
  <c r="FZ383" i="30"/>
  <c r="GA383" i="30"/>
  <c r="GB383" i="30"/>
  <c r="GC383" i="30"/>
  <c r="GD383" i="30"/>
  <c r="GE383" i="30"/>
  <c r="GF383" i="30"/>
  <c r="GG383" i="30"/>
  <c r="GH383" i="30"/>
  <c r="GI383" i="30"/>
  <c r="GJ383" i="30"/>
  <c r="GK383" i="30"/>
  <c r="GL383" i="30"/>
  <c r="GM383" i="30"/>
  <c r="GN383" i="30"/>
  <c r="GO383" i="30"/>
  <c r="GP383" i="30"/>
  <c r="GQ383" i="30"/>
  <c r="GR383" i="30"/>
  <c r="GS383" i="30"/>
  <c r="GT383" i="30"/>
  <c r="GU383" i="30"/>
  <c r="GV383" i="30"/>
  <c r="GW383" i="30"/>
  <c r="GX383" i="30"/>
  <c r="GY383" i="30"/>
  <c r="GZ383" i="30"/>
  <c r="HA383" i="30"/>
  <c r="HB383" i="30"/>
  <c r="HC383" i="30"/>
  <c r="HD383" i="30"/>
  <c r="HE383" i="30"/>
  <c r="HF383" i="30"/>
  <c r="HG383" i="30"/>
  <c r="HH383" i="30"/>
  <c r="HI383" i="30"/>
  <c r="HJ383" i="30"/>
  <c r="HK383" i="30"/>
  <c r="HL383" i="30"/>
  <c r="HM383" i="30"/>
  <c r="HN383" i="30"/>
  <c r="HO383" i="30"/>
  <c r="HP383" i="30"/>
  <c r="HQ383" i="30"/>
  <c r="HR383" i="30"/>
  <c r="HS383" i="30"/>
  <c r="HT383" i="30"/>
  <c r="HU383" i="30"/>
  <c r="HV383" i="30"/>
  <c r="HW383" i="30"/>
  <c r="HX383" i="30"/>
  <c r="HY383" i="30"/>
  <c r="HZ383" i="30"/>
  <c r="IA383" i="30"/>
  <c r="IB383" i="30"/>
  <c r="IC383" i="30"/>
  <c r="ID383" i="30"/>
  <c r="IE383" i="30"/>
  <c r="IF383" i="30"/>
  <c r="IG383" i="30"/>
  <c r="IH383" i="30"/>
  <c r="II383" i="30"/>
  <c r="IJ383" i="30"/>
  <c r="IK383" i="30"/>
  <c r="IL383" i="30"/>
  <c r="IM383" i="30"/>
  <c r="IN383" i="30"/>
  <c r="IO383" i="30"/>
  <c r="IP383" i="30"/>
  <c r="IQ383" i="30"/>
  <c r="IR383" i="30"/>
  <c r="IS383" i="30"/>
  <c r="IT383" i="30"/>
  <c r="IU383" i="30"/>
  <c r="IV383" i="30"/>
  <c r="A382" i="30"/>
  <c r="B382" i="30"/>
  <c r="C382" i="30"/>
  <c r="D382" i="30"/>
  <c r="E382" i="30"/>
  <c r="F382" i="30"/>
  <c r="G382" i="30"/>
  <c r="H382" i="30"/>
  <c r="I382" i="30"/>
  <c r="J382" i="30"/>
  <c r="K382" i="30"/>
  <c r="L382" i="30"/>
  <c r="M382" i="30"/>
  <c r="N382" i="30"/>
  <c r="O382" i="30"/>
  <c r="P382" i="30"/>
  <c r="Q382" i="30"/>
  <c r="R382" i="30"/>
  <c r="S382" i="30"/>
  <c r="T382" i="30"/>
  <c r="U382" i="30"/>
  <c r="V382" i="30"/>
  <c r="W382" i="30"/>
  <c r="X382" i="30"/>
  <c r="Y382" i="30"/>
  <c r="Z382" i="30"/>
  <c r="AA382" i="30"/>
  <c r="AB382" i="30"/>
  <c r="AC382" i="30"/>
  <c r="AD382" i="30"/>
  <c r="AE382" i="30"/>
  <c r="AF382" i="30"/>
  <c r="AG382" i="30"/>
  <c r="AH382" i="30"/>
  <c r="AI382" i="30"/>
  <c r="AJ382" i="30"/>
  <c r="AK382" i="30"/>
  <c r="AL382" i="30"/>
  <c r="AM382" i="30"/>
  <c r="AN382" i="30"/>
  <c r="AO382" i="30"/>
  <c r="AP382" i="30"/>
  <c r="AQ382" i="30"/>
  <c r="AR382" i="30"/>
  <c r="AS382" i="30"/>
  <c r="AT382" i="30"/>
  <c r="AU382" i="30"/>
  <c r="AV382" i="30"/>
  <c r="AW382" i="30"/>
  <c r="AX382" i="30"/>
  <c r="AY382" i="30"/>
  <c r="AZ382" i="30"/>
  <c r="BA382" i="30"/>
  <c r="BB382" i="30"/>
  <c r="BC382" i="30"/>
  <c r="BD382" i="30"/>
  <c r="BE382" i="30"/>
  <c r="BF382" i="30"/>
  <c r="BG382" i="30"/>
  <c r="BH382" i="30"/>
  <c r="BI382" i="30"/>
  <c r="BJ382" i="30"/>
  <c r="BK382" i="30"/>
  <c r="BL382" i="30"/>
  <c r="BM382" i="30"/>
  <c r="BN382" i="30"/>
  <c r="BO382" i="30"/>
  <c r="BP382" i="30"/>
  <c r="BQ382" i="30"/>
  <c r="BR382" i="30"/>
  <c r="BS382" i="30"/>
  <c r="BT382" i="30"/>
  <c r="BU382" i="30"/>
  <c r="BV382" i="30"/>
  <c r="BW382" i="30"/>
  <c r="BX382" i="30"/>
  <c r="BY382" i="30"/>
  <c r="BZ382" i="30"/>
  <c r="CA382" i="30"/>
  <c r="CB382" i="30"/>
  <c r="CC382" i="30"/>
  <c r="CD382" i="30"/>
  <c r="CE382" i="30"/>
  <c r="CF382" i="30"/>
  <c r="CG382" i="30"/>
  <c r="CH382" i="30"/>
  <c r="CI382" i="30"/>
  <c r="CJ382" i="30"/>
  <c r="CK382" i="30"/>
  <c r="CL382" i="30"/>
  <c r="CM382" i="30"/>
  <c r="CN382" i="30"/>
  <c r="CO382" i="30"/>
  <c r="CP382" i="30"/>
  <c r="CQ382" i="30"/>
  <c r="CR382" i="30"/>
  <c r="CS382" i="30"/>
  <c r="CT382" i="30"/>
  <c r="CU382" i="30"/>
  <c r="CV382" i="30"/>
  <c r="CW382" i="30"/>
  <c r="CX382" i="30"/>
  <c r="CY382" i="30"/>
  <c r="CZ382" i="30"/>
  <c r="DA382" i="30"/>
  <c r="DB382" i="30"/>
  <c r="DC382" i="30"/>
  <c r="DD382" i="30"/>
  <c r="DE382" i="30"/>
  <c r="DF382" i="30"/>
  <c r="DG382" i="30"/>
  <c r="DH382" i="30"/>
  <c r="DI382" i="30"/>
  <c r="DJ382" i="30"/>
  <c r="DK382" i="30"/>
  <c r="DL382" i="30"/>
  <c r="DM382" i="30"/>
  <c r="DN382" i="30"/>
  <c r="DO382" i="30"/>
  <c r="DP382" i="30"/>
  <c r="DQ382" i="30"/>
  <c r="DR382" i="30"/>
  <c r="DS382" i="30"/>
  <c r="DT382" i="30"/>
  <c r="DU382" i="30"/>
  <c r="DV382" i="30"/>
  <c r="DW382" i="30"/>
  <c r="DX382" i="30"/>
  <c r="DY382" i="30"/>
  <c r="DZ382" i="30"/>
  <c r="EA382" i="30"/>
  <c r="EB382" i="30"/>
  <c r="EC382" i="30"/>
  <c r="ED382" i="30"/>
  <c r="EE382" i="30"/>
  <c r="EF382" i="30"/>
  <c r="EG382" i="30"/>
  <c r="EH382" i="30"/>
  <c r="EI382" i="30"/>
  <c r="EJ382" i="30"/>
  <c r="EK382" i="30"/>
  <c r="EL382" i="30"/>
  <c r="EM382" i="30"/>
  <c r="EN382" i="30"/>
  <c r="EO382" i="30"/>
  <c r="EP382" i="30"/>
  <c r="EQ382" i="30"/>
  <c r="ER382" i="30"/>
  <c r="ES382" i="30"/>
  <c r="ET382" i="30"/>
  <c r="EU382" i="30"/>
  <c r="EV382" i="30"/>
  <c r="EW382" i="30"/>
  <c r="EX382" i="30"/>
  <c r="EY382" i="30"/>
  <c r="EZ382" i="30"/>
  <c r="FA382" i="30"/>
  <c r="FB382" i="30"/>
  <c r="FC382" i="30"/>
  <c r="FD382" i="30"/>
  <c r="FE382" i="30"/>
  <c r="FF382" i="30"/>
  <c r="FG382" i="30"/>
  <c r="FH382" i="30"/>
  <c r="FI382" i="30"/>
  <c r="FJ382" i="30"/>
  <c r="FK382" i="30"/>
  <c r="FL382" i="30"/>
  <c r="FM382" i="30"/>
  <c r="FN382" i="30"/>
  <c r="FO382" i="30"/>
  <c r="FP382" i="30"/>
  <c r="FQ382" i="30"/>
  <c r="FR382" i="30"/>
  <c r="FS382" i="30"/>
  <c r="FT382" i="30"/>
  <c r="FU382" i="30"/>
  <c r="FV382" i="30"/>
  <c r="FW382" i="30"/>
  <c r="FX382" i="30"/>
  <c r="FY382" i="30"/>
  <c r="FZ382" i="30"/>
  <c r="GA382" i="30"/>
  <c r="GB382" i="30"/>
  <c r="GC382" i="30"/>
  <c r="GD382" i="30"/>
  <c r="GE382" i="30"/>
  <c r="GF382" i="30"/>
  <c r="GG382" i="30"/>
  <c r="GH382" i="30"/>
  <c r="GI382" i="30"/>
  <c r="GJ382" i="30"/>
  <c r="GK382" i="30"/>
  <c r="GL382" i="30"/>
  <c r="GM382" i="30"/>
  <c r="GN382" i="30"/>
  <c r="GO382" i="30"/>
  <c r="GP382" i="30"/>
  <c r="GQ382" i="30"/>
  <c r="GR382" i="30"/>
  <c r="GS382" i="30"/>
  <c r="GT382" i="30"/>
  <c r="GU382" i="30"/>
  <c r="GV382" i="30"/>
  <c r="GW382" i="30"/>
  <c r="GX382" i="30"/>
  <c r="GY382" i="30"/>
  <c r="GZ382" i="30"/>
  <c r="HA382" i="30"/>
  <c r="HB382" i="30"/>
  <c r="HC382" i="30"/>
  <c r="HD382" i="30"/>
  <c r="HE382" i="30"/>
  <c r="HF382" i="30"/>
  <c r="HG382" i="30"/>
  <c r="HH382" i="30"/>
  <c r="HI382" i="30"/>
  <c r="HJ382" i="30"/>
  <c r="HK382" i="30"/>
  <c r="HL382" i="30"/>
  <c r="HM382" i="30"/>
  <c r="HN382" i="30"/>
  <c r="HO382" i="30"/>
  <c r="HP382" i="30"/>
  <c r="HQ382" i="30"/>
  <c r="HR382" i="30"/>
  <c r="HS382" i="30"/>
  <c r="HT382" i="30"/>
  <c r="HU382" i="30"/>
  <c r="HV382" i="30"/>
  <c r="HW382" i="30"/>
  <c r="HX382" i="30"/>
  <c r="HY382" i="30"/>
  <c r="HZ382" i="30"/>
  <c r="IA382" i="30"/>
  <c r="IB382" i="30"/>
  <c r="IC382" i="30"/>
  <c r="ID382" i="30"/>
  <c r="IE382" i="30"/>
  <c r="IF382" i="30"/>
  <c r="IG382" i="30"/>
  <c r="IH382" i="30"/>
  <c r="II382" i="30"/>
  <c r="IJ382" i="30"/>
  <c r="IK382" i="30"/>
  <c r="IL382" i="30"/>
  <c r="IM382" i="30"/>
  <c r="IN382" i="30"/>
  <c r="IO382" i="30"/>
  <c r="IP382" i="30"/>
  <c r="IQ382" i="30"/>
  <c r="IR382" i="30"/>
  <c r="IS382" i="30"/>
  <c r="IT382" i="30"/>
  <c r="IU382" i="30"/>
  <c r="IV382" i="30"/>
  <c r="A381" i="30"/>
  <c r="B381" i="30"/>
  <c r="C381" i="30"/>
  <c r="D381" i="30"/>
  <c r="E381" i="30"/>
  <c r="F381" i="30"/>
  <c r="G381" i="30"/>
  <c r="H381" i="30"/>
  <c r="I381" i="30"/>
  <c r="J381" i="30"/>
  <c r="K381" i="30"/>
  <c r="L381" i="30"/>
  <c r="M381" i="30"/>
  <c r="N381" i="30"/>
  <c r="O381" i="30"/>
  <c r="P381" i="30"/>
  <c r="Q381" i="30"/>
  <c r="R381" i="30"/>
  <c r="S381" i="30"/>
  <c r="T381" i="30"/>
  <c r="U381" i="30"/>
  <c r="V381" i="30"/>
  <c r="W381" i="30"/>
  <c r="X381" i="30"/>
  <c r="Y381" i="30"/>
  <c r="Z381" i="30"/>
  <c r="AA381" i="30"/>
  <c r="AB381" i="30"/>
  <c r="AC381" i="30"/>
  <c r="AD381" i="30"/>
  <c r="AE381" i="30"/>
  <c r="AF381" i="30"/>
  <c r="AG381" i="30"/>
  <c r="AH381" i="30"/>
  <c r="AI381" i="30"/>
  <c r="AJ381" i="30"/>
  <c r="AK381" i="30"/>
  <c r="AL381" i="30"/>
  <c r="AM381" i="30"/>
  <c r="AN381" i="30"/>
  <c r="AO381" i="30"/>
  <c r="AP381" i="30"/>
  <c r="AQ381" i="30"/>
  <c r="AR381" i="30"/>
  <c r="AS381" i="30"/>
  <c r="AT381" i="30"/>
  <c r="AU381" i="30"/>
  <c r="AV381" i="30"/>
  <c r="AW381" i="30"/>
  <c r="AX381" i="30"/>
  <c r="AY381" i="30"/>
  <c r="AZ381" i="30"/>
  <c r="BA381" i="30"/>
  <c r="BB381" i="30"/>
  <c r="BC381" i="30"/>
  <c r="BD381" i="30"/>
  <c r="BE381" i="30"/>
  <c r="BF381" i="30"/>
  <c r="BG381" i="30"/>
  <c r="BH381" i="30"/>
  <c r="BI381" i="30"/>
  <c r="BJ381" i="30"/>
  <c r="BK381" i="30"/>
  <c r="BL381" i="30"/>
  <c r="BM381" i="30"/>
  <c r="BN381" i="30"/>
  <c r="BO381" i="30"/>
  <c r="BP381" i="30"/>
  <c r="BQ381" i="30"/>
  <c r="BR381" i="30"/>
  <c r="BS381" i="30"/>
  <c r="BT381" i="30"/>
  <c r="BU381" i="30"/>
  <c r="BV381" i="30"/>
  <c r="BW381" i="30"/>
  <c r="BX381" i="30"/>
  <c r="BY381" i="30"/>
  <c r="BZ381" i="30"/>
  <c r="CA381" i="30"/>
  <c r="CB381" i="30"/>
  <c r="CC381" i="30"/>
  <c r="CD381" i="30"/>
  <c r="CE381" i="30"/>
  <c r="CF381" i="30"/>
  <c r="CG381" i="30"/>
  <c r="CH381" i="30"/>
  <c r="CI381" i="30"/>
  <c r="CJ381" i="30"/>
  <c r="CK381" i="30"/>
  <c r="CL381" i="30"/>
  <c r="CM381" i="30"/>
  <c r="CN381" i="30"/>
  <c r="CO381" i="30"/>
  <c r="CP381" i="30"/>
  <c r="CQ381" i="30"/>
  <c r="CR381" i="30"/>
  <c r="CS381" i="30"/>
  <c r="CT381" i="30"/>
  <c r="CU381" i="30"/>
  <c r="CV381" i="30"/>
  <c r="CW381" i="30"/>
  <c r="CX381" i="30"/>
  <c r="CY381" i="30"/>
  <c r="CZ381" i="30"/>
  <c r="DA381" i="30"/>
  <c r="DB381" i="30"/>
  <c r="DC381" i="30"/>
  <c r="DD381" i="30"/>
  <c r="DE381" i="30"/>
  <c r="DF381" i="30"/>
  <c r="DG381" i="30"/>
  <c r="DH381" i="30"/>
  <c r="DI381" i="30"/>
  <c r="DJ381" i="30"/>
  <c r="DK381" i="30"/>
  <c r="DL381" i="30"/>
  <c r="DM381" i="30"/>
  <c r="DN381" i="30"/>
  <c r="DO381" i="30"/>
  <c r="DP381" i="30"/>
  <c r="DQ381" i="30"/>
  <c r="DR381" i="30"/>
  <c r="DS381" i="30"/>
  <c r="DT381" i="30"/>
  <c r="DU381" i="30"/>
  <c r="DV381" i="30"/>
  <c r="DW381" i="30"/>
  <c r="DX381" i="30"/>
  <c r="DY381" i="30"/>
  <c r="DZ381" i="30"/>
  <c r="EA381" i="30"/>
  <c r="EB381" i="30"/>
  <c r="EC381" i="30"/>
  <c r="ED381" i="30"/>
  <c r="EE381" i="30"/>
  <c r="EF381" i="30"/>
  <c r="EG381" i="30"/>
  <c r="EH381" i="30"/>
  <c r="EI381" i="30"/>
  <c r="EJ381" i="30"/>
  <c r="EK381" i="30"/>
  <c r="EL381" i="30"/>
  <c r="EM381" i="30"/>
  <c r="EN381" i="30"/>
  <c r="EO381" i="30"/>
  <c r="EP381" i="30"/>
  <c r="EQ381" i="30"/>
  <c r="ER381" i="30"/>
  <c r="ES381" i="30"/>
  <c r="ET381" i="30"/>
  <c r="EU381" i="30"/>
  <c r="EV381" i="30"/>
  <c r="EW381" i="30"/>
  <c r="EX381" i="30"/>
  <c r="EY381" i="30"/>
  <c r="EZ381" i="30"/>
  <c r="FA381" i="30"/>
  <c r="FB381" i="30"/>
  <c r="FC381" i="30"/>
  <c r="FD381" i="30"/>
  <c r="FE381" i="30"/>
  <c r="FF381" i="30"/>
  <c r="FG381" i="30"/>
  <c r="FH381" i="30"/>
  <c r="FI381" i="30"/>
  <c r="FJ381" i="30"/>
  <c r="FK381" i="30"/>
  <c r="FL381" i="30"/>
  <c r="FM381" i="30"/>
  <c r="FN381" i="30"/>
  <c r="FO381" i="30"/>
  <c r="FP381" i="30"/>
  <c r="FQ381" i="30"/>
  <c r="FR381" i="30"/>
  <c r="FS381" i="30"/>
  <c r="FT381" i="30"/>
  <c r="FU381" i="30"/>
  <c r="FV381" i="30"/>
  <c r="FW381" i="30"/>
  <c r="FX381" i="30"/>
  <c r="FY381" i="30"/>
  <c r="FZ381" i="30"/>
  <c r="GA381" i="30"/>
  <c r="GB381" i="30"/>
  <c r="GC381" i="30"/>
  <c r="GD381" i="30"/>
  <c r="GE381" i="30"/>
  <c r="GF381" i="30"/>
  <c r="GG381" i="30"/>
  <c r="GH381" i="30"/>
  <c r="GI381" i="30"/>
  <c r="GJ381" i="30"/>
  <c r="GK381" i="30"/>
  <c r="GL381" i="30"/>
  <c r="GM381" i="30"/>
  <c r="GN381" i="30"/>
  <c r="GO381" i="30"/>
  <c r="GP381" i="30"/>
  <c r="GQ381" i="30"/>
  <c r="GR381" i="30"/>
  <c r="GS381" i="30"/>
  <c r="GT381" i="30"/>
  <c r="GU381" i="30"/>
  <c r="GV381" i="30"/>
  <c r="GW381" i="30"/>
  <c r="GX381" i="30"/>
  <c r="GY381" i="30"/>
  <c r="GZ381" i="30"/>
  <c r="HA381" i="30"/>
  <c r="HB381" i="30"/>
  <c r="HC381" i="30"/>
  <c r="HD381" i="30"/>
  <c r="HE381" i="30"/>
  <c r="HF381" i="30"/>
  <c r="HG381" i="30"/>
  <c r="HH381" i="30"/>
  <c r="HI381" i="30"/>
  <c r="HJ381" i="30"/>
  <c r="HK381" i="30"/>
  <c r="HL381" i="30"/>
  <c r="HM381" i="30"/>
  <c r="HN381" i="30"/>
  <c r="HO381" i="30"/>
  <c r="HP381" i="30"/>
  <c r="HQ381" i="30"/>
  <c r="HR381" i="30"/>
  <c r="HS381" i="30"/>
  <c r="HT381" i="30"/>
  <c r="HU381" i="30"/>
  <c r="HV381" i="30"/>
  <c r="HW381" i="30"/>
  <c r="HX381" i="30"/>
  <c r="HY381" i="30"/>
  <c r="HZ381" i="30"/>
  <c r="IA381" i="30"/>
  <c r="IB381" i="30"/>
  <c r="IC381" i="30"/>
  <c r="ID381" i="30"/>
  <c r="IE381" i="30"/>
  <c r="IF381" i="30"/>
  <c r="IG381" i="30"/>
  <c r="IH381" i="30"/>
  <c r="II381" i="30"/>
  <c r="IJ381" i="30"/>
  <c r="IK381" i="30"/>
  <c r="IL381" i="30"/>
  <c r="IM381" i="30"/>
  <c r="IN381" i="30"/>
  <c r="IO381" i="30"/>
  <c r="IP381" i="30"/>
  <c r="IQ381" i="30"/>
  <c r="IR381" i="30"/>
  <c r="IS381" i="30"/>
  <c r="IT381" i="30"/>
  <c r="IU381" i="30"/>
  <c r="IV381" i="30"/>
  <c r="A380" i="30"/>
  <c r="B380" i="30"/>
  <c r="C380" i="30"/>
  <c r="D380" i="30"/>
  <c r="E380" i="30"/>
  <c r="F380" i="30"/>
  <c r="G380" i="30"/>
  <c r="H380" i="30"/>
  <c r="I380" i="30"/>
  <c r="J380" i="30"/>
  <c r="K380" i="30"/>
  <c r="L380" i="30"/>
  <c r="M380" i="30"/>
  <c r="N380" i="30"/>
  <c r="O380" i="30"/>
  <c r="P380" i="30"/>
  <c r="Q380" i="30"/>
  <c r="R380" i="30"/>
  <c r="S380" i="30"/>
  <c r="T380" i="30"/>
  <c r="U380" i="30"/>
  <c r="V380" i="30"/>
  <c r="W380" i="30"/>
  <c r="X380" i="30"/>
  <c r="Y380" i="30"/>
  <c r="Z380" i="30"/>
  <c r="AA380" i="30"/>
  <c r="AB380" i="30"/>
  <c r="AC380" i="30"/>
  <c r="AD380" i="30"/>
  <c r="AE380" i="30"/>
  <c r="AF380" i="30"/>
  <c r="AG380" i="30"/>
  <c r="AH380" i="30"/>
  <c r="AI380" i="30"/>
  <c r="AJ380" i="30"/>
  <c r="AK380" i="30"/>
  <c r="AL380" i="30"/>
  <c r="AM380" i="30"/>
  <c r="AN380" i="30"/>
  <c r="AO380" i="30"/>
  <c r="AP380" i="30"/>
  <c r="AQ380" i="30"/>
  <c r="AR380" i="30"/>
  <c r="AS380" i="30"/>
  <c r="AT380" i="30"/>
  <c r="AU380" i="30"/>
  <c r="AV380" i="30"/>
  <c r="AW380" i="30"/>
  <c r="AX380" i="30"/>
  <c r="AY380" i="30"/>
  <c r="AZ380" i="30"/>
  <c r="BA380" i="30"/>
  <c r="BB380" i="30"/>
  <c r="BC380" i="30"/>
  <c r="BD380" i="30"/>
  <c r="BE380" i="30"/>
  <c r="BF380" i="30"/>
  <c r="BG380" i="30"/>
  <c r="BH380" i="30"/>
  <c r="BI380" i="30"/>
  <c r="BJ380" i="30"/>
  <c r="BK380" i="30"/>
  <c r="BL380" i="30"/>
  <c r="BM380" i="30"/>
  <c r="BN380" i="30"/>
  <c r="BO380" i="30"/>
  <c r="BP380" i="30"/>
  <c r="BQ380" i="30"/>
  <c r="BR380" i="30"/>
  <c r="BS380" i="30"/>
  <c r="BT380" i="30"/>
  <c r="BU380" i="30"/>
  <c r="BV380" i="30"/>
  <c r="BW380" i="30"/>
  <c r="BX380" i="30"/>
  <c r="BY380" i="30"/>
  <c r="BZ380" i="30"/>
  <c r="CA380" i="30"/>
  <c r="CB380" i="30"/>
  <c r="CC380" i="30"/>
  <c r="CD380" i="30"/>
  <c r="CE380" i="30"/>
  <c r="CF380" i="30"/>
  <c r="CG380" i="30"/>
  <c r="CH380" i="30"/>
  <c r="CI380" i="30"/>
  <c r="CJ380" i="30"/>
  <c r="CK380" i="30"/>
  <c r="CL380" i="30"/>
  <c r="CM380" i="30"/>
  <c r="CN380" i="30"/>
  <c r="CO380" i="30"/>
  <c r="CP380" i="30"/>
  <c r="CQ380" i="30"/>
  <c r="CR380" i="30"/>
  <c r="CS380" i="30"/>
  <c r="CT380" i="30"/>
  <c r="CU380" i="30"/>
  <c r="CV380" i="30"/>
  <c r="CW380" i="30"/>
  <c r="CX380" i="30"/>
  <c r="CY380" i="30"/>
  <c r="CZ380" i="30"/>
  <c r="DA380" i="30"/>
  <c r="DB380" i="30"/>
  <c r="DC380" i="30"/>
  <c r="DD380" i="30"/>
  <c r="DE380" i="30"/>
  <c r="DF380" i="30"/>
  <c r="DG380" i="30"/>
  <c r="DH380" i="30"/>
  <c r="DI380" i="30"/>
  <c r="DJ380" i="30"/>
  <c r="DK380" i="30"/>
  <c r="DL380" i="30"/>
  <c r="DM380" i="30"/>
  <c r="DN380" i="30"/>
  <c r="DO380" i="30"/>
  <c r="DP380" i="30"/>
  <c r="DQ380" i="30"/>
  <c r="DR380" i="30"/>
  <c r="DS380" i="30"/>
  <c r="DT380" i="30"/>
  <c r="DU380" i="30"/>
  <c r="DV380" i="30"/>
  <c r="DW380" i="30"/>
  <c r="DX380" i="30"/>
  <c r="DY380" i="30"/>
  <c r="DZ380" i="30"/>
  <c r="EA380" i="30"/>
  <c r="EB380" i="30"/>
  <c r="EC380" i="30"/>
  <c r="ED380" i="30"/>
  <c r="EE380" i="30"/>
  <c r="EF380" i="30"/>
  <c r="EG380" i="30"/>
  <c r="EH380" i="30"/>
  <c r="EI380" i="30"/>
  <c r="EJ380" i="30"/>
  <c r="EK380" i="30"/>
  <c r="EL380" i="30"/>
  <c r="EM380" i="30"/>
  <c r="EN380" i="30"/>
  <c r="EO380" i="30"/>
  <c r="EP380" i="30"/>
  <c r="EQ380" i="30"/>
  <c r="ER380" i="30"/>
  <c r="ES380" i="30"/>
  <c r="ET380" i="30"/>
  <c r="EU380" i="30"/>
  <c r="EV380" i="30"/>
  <c r="EW380" i="30"/>
  <c r="EX380" i="30"/>
  <c r="EY380" i="30"/>
  <c r="EZ380" i="30"/>
  <c r="FA380" i="30"/>
  <c r="FB380" i="30"/>
  <c r="FC380" i="30"/>
  <c r="FD380" i="30"/>
  <c r="FE380" i="30"/>
  <c r="FF380" i="30"/>
  <c r="FG380" i="30"/>
  <c r="FH380" i="30"/>
  <c r="FI380" i="30"/>
  <c r="FJ380" i="30"/>
  <c r="FK380" i="30"/>
  <c r="FL380" i="30"/>
  <c r="FM380" i="30"/>
  <c r="FN380" i="30"/>
  <c r="FO380" i="30"/>
  <c r="FP380" i="30"/>
  <c r="FQ380" i="30"/>
  <c r="FR380" i="30"/>
  <c r="FS380" i="30"/>
  <c r="FT380" i="30"/>
  <c r="FU380" i="30"/>
  <c r="FV380" i="30"/>
  <c r="FW380" i="30"/>
  <c r="FX380" i="30"/>
  <c r="FY380" i="30"/>
  <c r="FZ380" i="30"/>
  <c r="GA380" i="30"/>
  <c r="GB380" i="30"/>
  <c r="GC380" i="30"/>
  <c r="GD380" i="30"/>
  <c r="GE380" i="30"/>
  <c r="GF380" i="30"/>
  <c r="GG380" i="30"/>
  <c r="GH380" i="30"/>
  <c r="GI380" i="30"/>
  <c r="GJ380" i="30"/>
  <c r="GK380" i="30"/>
  <c r="GL380" i="30"/>
  <c r="GM380" i="30"/>
  <c r="GN380" i="30"/>
  <c r="GO380" i="30"/>
  <c r="GP380" i="30"/>
  <c r="GQ380" i="30"/>
  <c r="GR380" i="30"/>
  <c r="GS380" i="30"/>
  <c r="GT380" i="30"/>
  <c r="GU380" i="30"/>
  <c r="GV380" i="30"/>
  <c r="GW380" i="30"/>
  <c r="GX380" i="30"/>
  <c r="GY380" i="30"/>
  <c r="GZ380" i="30"/>
  <c r="HA380" i="30"/>
  <c r="HB380" i="30"/>
  <c r="HC380" i="30"/>
  <c r="HD380" i="30"/>
  <c r="HE380" i="30"/>
  <c r="HF380" i="30"/>
  <c r="HG380" i="30"/>
  <c r="HH380" i="30"/>
  <c r="HI380" i="30"/>
  <c r="HJ380" i="30"/>
  <c r="HK380" i="30"/>
  <c r="HL380" i="30"/>
  <c r="HM380" i="30"/>
  <c r="HN380" i="30"/>
  <c r="HO380" i="30"/>
  <c r="HP380" i="30"/>
  <c r="HQ380" i="30"/>
  <c r="HR380" i="30"/>
  <c r="HS380" i="30"/>
  <c r="HT380" i="30"/>
  <c r="HU380" i="30"/>
  <c r="HV380" i="30"/>
  <c r="HW380" i="30"/>
  <c r="HX380" i="30"/>
  <c r="HY380" i="30"/>
  <c r="HZ380" i="30"/>
  <c r="IA380" i="30"/>
  <c r="IB380" i="30"/>
  <c r="IC380" i="30"/>
  <c r="ID380" i="30"/>
  <c r="IE380" i="30"/>
  <c r="IF380" i="30"/>
  <c r="IG380" i="30"/>
  <c r="IH380" i="30"/>
  <c r="II380" i="30"/>
  <c r="IJ380" i="30"/>
  <c r="IK380" i="30"/>
  <c r="IL380" i="30"/>
  <c r="IM380" i="30"/>
  <c r="IN380" i="30"/>
  <c r="IO380" i="30"/>
  <c r="IP380" i="30"/>
  <c r="IQ380" i="30"/>
  <c r="IR380" i="30"/>
  <c r="IS380" i="30"/>
  <c r="IT380" i="30"/>
  <c r="IU380" i="30"/>
  <c r="IV380" i="30"/>
  <c r="A379" i="30"/>
  <c r="B379" i="30"/>
  <c r="C379" i="30"/>
  <c r="D379" i="30"/>
  <c r="E379" i="30"/>
  <c r="F379" i="30"/>
  <c r="G379" i="30"/>
  <c r="H379" i="30"/>
  <c r="I379" i="30"/>
  <c r="J379" i="30"/>
  <c r="K379" i="30"/>
  <c r="L379" i="30"/>
  <c r="M379" i="30"/>
  <c r="N379" i="30"/>
  <c r="O379" i="30"/>
  <c r="P379" i="30"/>
  <c r="Q379" i="30"/>
  <c r="R379" i="30"/>
  <c r="S379" i="30"/>
  <c r="T379" i="30"/>
  <c r="U379" i="30"/>
  <c r="V379" i="30"/>
  <c r="W379" i="30"/>
  <c r="X379" i="30"/>
  <c r="Y379" i="30"/>
  <c r="Z379" i="30"/>
  <c r="AA379" i="30"/>
  <c r="AB379" i="30"/>
  <c r="AC379" i="30"/>
  <c r="AD379" i="30"/>
  <c r="AE379" i="30"/>
  <c r="AF379" i="30"/>
  <c r="AG379" i="30"/>
  <c r="AH379" i="30"/>
  <c r="AI379" i="30"/>
  <c r="AJ379" i="30"/>
  <c r="AK379" i="30"/>
  <c r="AL379" i="30"/>
  <c r="AM379" i="30"/>
  <c r="AN379" i="30"/>
  <c r="AO379" i="30"/>
  <c r="AP379" i="30"/>
  <c r="AQ379" i="30"/>
  <c r="AR379" i="30"/>
  <c r="AS379" i="30"/>
  <c r="AT379" i="30"/>
  <c r="AU379" i="30"/>
  <c r="AV379" i="30"/>
  <c r="AW379" i="30"/>
  <c r="AX379" i="30"/>
  <c r="AY379" i="30"/>
  <c r="AZ379" i="30"/>
  <c r="BA379" i="30"/>
  <c r="BB379" i="30"/>
  <c r="BC379" i="30"/>
  <c r="BD379" i="30"/>
  <c r="BE379" i="30"/>
  <c r="BF379" i="30"/>
  <c r="BG379" i="30"/>
  <c r="BH379" i="30"/>
  <c r="BI379" i="30"/>
  <c r="BJ379" i="30"/>
  <c r="BK379" i="30"/>
  <c r="BL379" i="30"/>
  <c r="BM379" i="30"/>
  <c r="BN379" i="30"/>
  <c r="BO379" i="30"/>
  <c r="BP379" i="30"/>
  <c r="BQ379" i="30"/>
  <c r="BR379" i="30"/>
  <c r="BS379" i="30"/>
  <c r="BT379" i="30"/>
  <c r="BU379" i="30"/>
  <c r="BV379" i="30"/>
  <c r="BW379" i="30"/>
  <c r="BX379" i="30"/>
  <c r="BY379" i="30"/>
  <c r="BZ379" i="30"/>
  <c r="CA379" i="30"/>
  <c r="CB379" i="30"/>
  <c r="CC379" i="30"/>
  <c r="CD379" i="30"/>
  <c r="CE379" i="30"/>
  <c r="CF379" i="30"/>
  <c r="CG379" i="30"/>
  <c r="CH379" i="30"/>
  <c r="CI379" i="30"/>
  <c r="CJ379" i="30"/>
  <c r="CK379" i="30"/>
  <c r="CL379" i="30"/>
  <c r="CM379" i="30"/>
  <c r="CN379" i="30"/>
  <c r="CO379" i="30"/>
  <c r="CP379" i="30"/>
  <c r="CQ379" i="30"/>
  <c r="CR379" i="30"/>
  <c r="CS379" i="30"/>
  <c r="CT379" i="30"/>
  <c r="CU379" i="30"/>
  <c r="CV379" i="30"/>
  <c r="CW379" i="30"/>
  <c r="CX379" i="30"/>
  <c r="CY379" i="30"/>
  <c r="CZ379" i="30"/>
  <c r="DA379" i="30"/>
  <c r="DB379" i="30"/>
  <c r="DC379" i="30"/>
  <c r="DD379" i="30"/>
  <c r="DE379" i="30"/>
  <c r="DF379" i="30"/>
  <c r="DG379" i="30"/>
  <c r="DH379" i="30"/>
  <c r="DI379" i="30"/>
  <c r="DJ379" i="30"/>
  <c r="DK379" i="30"/>
  <c r="DL379" i="30"/>
  <c r="DM379" i="30"/>
  <c r="DN379" i="30"/>
  <c r="DO379" i="30"/>
  <c r="DP379" i="30"/>
  <c r="DQ379" i="30"/>
  <c r="DR379" i="30"/>
  <c r="DS379" i="30"/>
  <c r="DT379" i="30"/>
  <c r="DU379" i="30"/>
  <c r="DV379" i="30"/>
  <c r="DW379" i="30"/>
  <c r="DX379" i="30"/>
  <c r="DY379" i="30"/>
  <c r="DZ379" i="30"/>
  <c r="EA379" i="30"/>
  <c r="EB379" i="30"/>
  <c r="EC379" i="30"/>
  <c r="ED379" i="30"/>
  <c r="EE379" i="30"/>
  <c r="EF379" i="30"/>
  <c r="EG379" i="30"/>
  <c r="EH379" i="30"/>
  <c r="EI379" i="30"/>
  <c r="EJ379" i="30"/>
  <c r="EK379" i="30"/>
  <c r="EL379" i="30"/>
  <c r="EM379" i="30"/>
  <c r="EN379" i="30"/>
  <c r="EO379" i="30"/>
  <c r="EP379" i="30"/>
  <c r="EQ379" i="30"/>
  <c r="ER379" i="30"/>
  <c r="ES379" i="30"/>
  <c r="ET379" i="30"/>
  <c r="EU379" i="30"/>
  <c r="EV379" i="30"/>
  <c r="EW379" i="30"/>
  <c r="EX379" i="30"/>
  <c r="EY379" i="30"/>
  <c r="EZ379" i="30"/>
  <c r="FA379" i="30"/>
  <c r="FB379" i="30"/>
  <c r="FC379" i="30"/>
  <c r="FD379" i="30"/>
  <c r="FE379" i="30"/>
  <c r="FF379" i="30"/>
  <c r="FG379" i="30"/>
  <c r="FH379" i="30"/>
  <c r="FI379" i="30"/>
  <c r="FJ379" i="30"/>
  <c r="FK379" i="30"/>
  <c r="FL379" i="30"/>
  <c r="FM379" i="30"/>
  <c r="FN379" i="30"/>
  <c r="FO379" i="30"/>
  <c r="FP379" i="30"/>
  <c r="FQ379" i="30"/>
  <c r="FR379" i="30"/>
  <c r="FS379" i="30"/>
  <c r="FT379" i="30"/>
  <c r="FU379" i="30"/>
  <c r="FV379" i="30"/>
  <c r="FW379" i="30"/>
  <c r="FX379" i="30"/>
  <c r="FY379" i="30"/>
  <c r="FZ379" i="30"/>
  <c r="GA379" i="30"/>
  <c r="GB379" i="30"/>
  <c r="GC379" i="30"/>
  <c r="GD379" i="30"/>
  <c r="GE379" i="30"/>
  <c r="GF379" i="30"/>
  <c r="GG379" i="30"/>
  <c r="GH379" i="30"/>
  <c r="GI379" i="30"/>
  <c r="GJ379" i="30"/>
  <c r="GK379" i="30"/>
  <c r="GL379" i="30"/>
  <c r="GM379" i="30"/>
  <c r="GN379" i="30"/>
  <c r="GO379" i="30"/>
  <c r="GP379" i="30"/>
  <c r="GQ379" i="30"/>
  <c r="GR379" i="30"/>
  <c r="GS379" i="30"/>
  <c r="GT379" i="30"/>
  <c r="GU379" i="30"/>
  <c r="GV379" i="30"/>
  <c r="GW379" i="30"/>
  <c r="GX379" i="30"/>
  <c r="GY379" i="30"/>
  <c r="GZ379" i="30"/>
  <c r="HA379" i="30"/>
  <c r="HB379" i="30"/>
  <c r="HC379" i="30"/>
  <c r="HD379" i="30"/>
  <c r="HE379" i="30"/>
  <c r="HF379" i="30"/>
  <c r="HG379" i="30"/>
  <c r="HH379" i="30"/>
  <c r="HI379" i="30"/>
  <c r="HJ379" i="30"/>
  <c r="HK379" i="30"/>
  <c r="HL379" i="30"/>
  <c r="HM379" i="30"/>
  <c r="HN379" i="30"/>
  <c r="HO379" i="30"/>
  <c r="HP379" i="30"/>
  <c r="HQ379" i="30"/>
  <c r="HR379" i="30"/>
  <c r="HS379" i="30"/>
  <c r="HT379" i="30"/>
  <c r="HU379" i="30"/>
  <c r="HV379" i="30"/>
  <c r="HW379" i="30"/>
  <c r="HX379" i="30"/>
  <c r="HY379" i="30"/>
  <c r="HZ379" i="30"/>
  <c r="IA379" i="30"/>
  <c r="IB379" i="30"/>
  <c r="IC379" i="30"/>
  <c r="ID379" i="30"/>
  <c r="IE379" i="30"/>
  <c r="IF379" i="30"/>
  <c r="IG379" i="30"/>
  <c r="IH379" i="30"/>
  <c r="II379" i="30"/>
  <c r="IJ379" i="30"/>
  <c r="IK379" i="30"/>
  <c r="IL379" i="30"/>
  <c r="IM379" i="30"/>
  <c r="IN379" i="30"/>
  <c r="IO379" i="30"/>
  <c r="IP379" i="30"/>
  <c r="IQ379" i="30"/>
  <c r="IR379" i="30"/>
  <c r="IS379" i="30"/>
  <c r="IT379" i="30"/>
  <c r="IU379" i="30"/>
  <c r="IV379" i="30"/>
  <c r="A378" i="30"/>
  <c r="B378" i="30"/>
  <c r="C378" i="30"/>
  <c r="D378" i="30"/>
  <c r="E378" i="30"/>
  <c r="F378" i="30"/>
  <c r="G378" i="30"/>
  <c r="H378" i="30"/>
  <c r="I378" i="30"/>
  <c r="J378" i="30"/>
  <c r="K378" i="30"/>
  <c r="L378" i="30"/>
  <c r="M378" i="30"/>
  <c r="N378" i="30"/>
  <c r="O378" i="30"/>
  <c r="P378" i="30"/>
  <c r="Q378" i="30"/>
  <c r="R378" i="30"/>
  <c r="S378" i="30"/>
  <c r="T378" i="30"/>
  <c r="U378" i="30"/>
  <c r="V378" i="30"/>
  <c r="W378" i="30"/>
  <c r="X378" i="30"/>
  <c r="Y378" i="30"/>
  <c r="Z378" i="30"/>
  <c r="AA378" i="30"/>
  <c r="AB378" i="30"/>
  <c r="AC378" i="30"/>
  <c r="AD378" i="30"/>
  <c r="AE378" i="30"/>
  <c r="AF378" i="30"/>
  <c r="AG378" i="30"/>
  <c r="AH378" i="30"/>
  <c r="AI378" i="30"/>
  <c r="AJ378" i="30"/>
  <c r="AK378" i="30"/>
  <c r="AL378" i="30"/>
  <c r="AM378" i="30"/>
  <c r="AN378" i="30"/>
  <c r="AO378" i="30"/>
  <c r="AP378" i="30"/>
  <c r="AQ378" i="30"/>
  <c r="AR378" i="30"/>
  <c r="AS378" i="30"/>
  <c r="AT378" i="30"/>
  <c r="AU378" i="30"/>
  <c r="AV378" i="30"/>
  <c r="AW378" i="30"/>
  <c r="AX378" i="30"/>
  <c r="AY378" i="30"/>
  <c r="AZ378" i="30"/>
  <c r="BA378" i="30"/>
  <c r="BB378" i="30"/>
  <c r="BC378" i="30"/>
  <c r="BD378" i="30"/>
  <c r="BE378" i="30"/>
  <c r="BF378" i="30"/>
  <c r="BG378" i="30"/>
  <c r="BH378" i="30"/>
  <c r="BI378" i="30"/>
  <c r="BJ378" i="30"/>
  <c r="BK378" i="30"/>
  <c r="BL378" i="30"/>
  <c r="BM378" i="30"/>
  <c r="BN378" i="30"/>
  <c r="BO378" i="30"/>
  <c r="BP378" i="30"/>
  <c r="BQ378" i="30"/>
  <c r="BR378" i="30"/>
  <c r="BS378" i="30"/>
  <c r="BT378" i="30"/>
  <c r="BU378" i="30"/>
  <c r="BV378" i="30"/>
  <c r="BW378" i="30"/>
  <c r="BX378" i="30"/>
  <c r="BY378" i="30"/>
  <c r="BZ378" i="30"/>
  <c r="CA378" i="30"/>
  <c r="CB378" i="30"/>
  <c r="CC378" i="30"/>
  <c r="CD378" i="30"/>
  <c r="CE378" i="30"/>
  <c r="CF378" i="30"/>
  <c r="CG378" i="30"/>
  <c r="CH378" i="30"/>
  <c r="CI378" i="30"/>
  <c r="CJ378" i="30"/>
  <c r="CK378" i="30"/>
  <c r="CL378" i="30"/>
  <c r="CM378" i="30"/>
  <c r="CN378" i="30"/>
  <c r="CO378" i="30"/>
  <c r="CP378" i="30"/>
  <c r="CQ378" i="30"/>
  <c r="CR378" i="30"/>
  <c r="CS378" i="30"/>
  <c r="CT378" i="30"/>
  <c r="CU378" i="30"/>
  <c r="CV378" i="30"/>
  <c r="CW378" i="30"/>
  <c r="CX378" i="30"/>
  <c r="CY378" i="30"/>
  <c r="CZ378" i="30"/>
  <c r="DA378" i="30"/>
  <c r="DB378" i="30"/>
  <c r="DC378" i="30"/>
  <c r="DD378" i="30"/>
  <c r="DE378" i="30"/>
  <c r="DF378" i="30"/>
  <c r="DG378" i="30"/>
  <c r="DH378" i="30"/>
  <c r="DI378" i="30"/>
  <c r="DJ378" i="30"/>
  <c r="DK378" i="30"/>
  <c r="DL378" i="30"/>
  <c r="DM378" i="30"/>
  <c r="DN378" i="30"/>
  <c r="DO378" i="30"/>
  <c r="DP378" i="30"/>
  <c r="DQ378" i="30"/>
  <c r="DR378" i="30"/>
  <c r="DS378" i="30"/>
  <c r="DT378" i="30"/>
  <c r="DU378" i="30"/>
  <c r="DV378" i="30"/>
  <c r="DW378" i="30"/>
  <c r="DX378" i="30"/>
  <c r="DY378" i="30"/>
  <c r="DZ378" i="30"/>
  <c r="EA378" i="30"/>
  <c r="EB378" i="30"/>
  <c r="EC378" i="30"/>
  <c r="ED378" i="30"/>
  <c r="EE378" i="30"/>
  <c r="EF378" i="30"/>
  <c r="EG378" i="30"/>
  <c r="EH378" i="30"/>
  <c r="EI378" i="30"/>
  <c r="EJ378" i="30"/>
  <c r="EK378" i="30"/>
  <c r="EL378" i="30"/>
  <c r="EM378" i="30"/>
  <c r="EN378" i="30"/>
  <c r="EO378" i="30"/>
  <c r="EP378" i="30"/>
  <c r="EQ378" i="30"/>
  <c r="ER378" i="30"/>
  <c r="ES378" i="30"/>
  <c r="ET378" i="30"/>
  <c r="EU378" i="30"/>
  <c r="EV378" i="30"/>
  <c r="EW378" i="30"/>
  <c r="EX378" i="30"/>
  <c r="EY378" i="30"/>
  <c r="EZ378" i="30"/>
  <c r="FA378" i="30"/>
  <c r="FB378" i="30"/>
  <c r="FC378" i="30"/>
  <c r="FD378" i="30"/>
  <c r="FE378" i="30"/>
  <c r="FF378" i="30"/>
  <c r="FG378" i="30"/>
  <c r="FH378" i="30"/>
  <c r="FI378" i="30"/>
  <c r="FJ378" i="30"/>
  <c r="FK378" i="30"/>
  <c r="FL378" i="30"/>
  <c r="FM378" i="30"/>
  <c r="FN378" i="30"/>
  <c r="FO378" i="30"/>
  <c r="FP378" i="30"/>
  <c r="FQ378" i="30"/>
  <c r="FR378" i="30"/>
  <c r="FS378" i="30"/>
  <c r="FT378" i="30"/>
  <c r="FU378" i="30"/>
  <c r="FV378" i="30"/>
  <c r="FW378" i="30"/>
  <c r="FX378" i="30"/>
  <c r="FY378" i="30"/>
  <c r="FZ378" i="30"/>
  <c r="GA378" i="30"/>
  <c r="GB378" i="30"/>
  <c r="GC378" i="30"/>
  <c r="GD378" i="30"/>
  <c r="GE378" i="30"/>
  <c r="GF378" i="30"/>
  <c r="GG378" i="30"/>
  <c r="GH378" i="30"/>
  <c r="GI378" i="30"/>
  <c r="GJ378" i="30"/>
  <c r="GK378" i="30"/>
  <c r="GL378" i="30"/>
  <c r="GM378" i="30"/>
  <c r="GN378" i="30"/>
  <c r="GO378" i="30"/>
  <c r="GP378" i="30"/>
  <c r="GQ378" i="30"/>
  <c r="GR378" i="30"/>
  <c r="GS378" i="30"/>
  <c r="GT378" i="30"/>
  <c r="GU378" i="30"/>
  <c r="GV378" i="30"/>
  <c r="GW378" i="30"/>
  <c r="GX378" i="30"/>
  <c r="GY378" i="30"/>
  <c r="GZ378" i="30"/>
  <c r="HA378" i="30"/>
  <c r="HB378" i="30"/>
  <c r="HC378" i="30"/>
  <c r="HD378" i="30"/>
  <c r="HE378" i="30"/>
  <c r="HF378" i="30"/>
  <c r="HG378" i="30"/>
  <c r="HH378" i="30"/>
  <c r="HI378" i="30"/>
  <c r="HJ378" i="30"/>
  <c r="HK378" i="30"/>
  <c r="HL378" i="30"/>
  <c r="HM378" i="30"/>
  <c r="HN378" i="30"/>
  <c r="HO378" i="30"/>
  <c r="HP378" i="30"/>
  <c r="HQ378" i="30"/>
  <c r="HR378" i="30"/>
  <c r="HS378" i="30"/>
  <c r="HT378" i="30"/>
  <c r="HU378" i="30"/>
  <c r="HV378" i="30"/>
  <c r="HW378" i="30"/>
  <c r="HX378" i="30"/>
  <c r="HY378" i="30"/>
  <c r="HZ378" i="30"/>
  <c r="IA378" i="30"/>
  <c r="IB378" i="30"/>
  <c r="IC378" i="30"/>
  <c r="ID378" i="30"/>
  <c r="IE378" i="30"/>
  <c r="IF378" i="30"/>
  <c r="IG378" i="30"/>
  <c r="IH378" i="30"/>
  <c r="II378" i="30"/>
  <c r="IJ378" i="30"/>
  <c r="IK378" i="30"/>
  <c r="IL378" i="30"/>
  <c r="IM378" i="30"/>
  <c r="IN378" i="30"/>
  <c r="IO378" i="30"/>
  <c r="IP378" i="30"/>
  <c r="IQ378" i="30"/>
  <c r="IR378" i="30"/>
  <c r="IS378" i="30"/>
  <c r="IT378" i="30"/>
  <c r="IU378" i="30"/>
  <c r="IV378" i="30"/>
  <c r="A377" i="30"/>
  <c r="B377" i="30"/>
  <c r="C377" i="30"/>
  <c r="D377" i="30"/>
  <c r="E377" i="30"/>
  <c r="F377" i="30"/>
  <c r="G377" i="30"/>
  <c r="H377" i="30"/>
  <c r="I377" i="30"/>
  <c r="J377" i="30"/>
  <c r="K377" i="30"/>
  <c r="L377" i="30"/>
  <c r="M377" i="30"/>
  <c r="N377" i="30"/>
  <c r="O377" i="30"/>
  <c r="P377" i="30"/>
  <c r="Q377" i="30"/>
  <c r="R377" i="30"/>
  <c r="S377" i="30"/>
  <c r="T377" i="30"/>
  <c r="U377" i="30"/>
  <c r="V377" i="30"/>
  <c r="W377" i="30"/>
  <c r="X377" i="30"/>
  <c r="Y377" i="30"/>
  <c r="Z377" i="30"/>
  <c r="AA377" i="30"/>
  <c r="AB377" i="30"/>
  <c r="AC377" i="30"/>
  <c r="AD377" i="30"/>
  <c r="AE377" i="30"/>
  <c r="AF377" i="30"/>
  <c r="AG377" i="30"/>
  <c r="AH377" i="30"/>
  <c r="AI377" i="30"/>
  <c r="AJ377" i="30"/>
  <c r="AK377" i="30"/>
  <c r="AL377" i="30"/>
  <c r="AM377" i="30"/>
  <c r="AN377" i="30"/>
  <c r="AO377" i="30"/>
  <c r="AP377" i="30"/>
  <c r="AQ377" i="30"/>
  <c r="AR377" i="30"/>
  <c r="AS377" i="30"/>
  <c r="AT377" i="30"/>
  <c r="AU377" i="30"/>
  <c r="AV377" i="30"/>
  <c r="AW377" i="30"/>
  <c r="AX377" i="30"/>
  <c r="AY377" i="30"/>
  <c r="AZ377" i="30"/>
  <c r="BA377" i="30"/>
  <c r="BB377" i="30"/>
  <c r="BC377" i="30"/>
  <c r="BD377" i="30"/>
  <c r="BE377" i="30"/>
  <c r="BF377" i="30"/>
  <c r="BG377" i="30"/>
  <c r="BH377" i="30"/>
  <c r="BI377" i="30"/>
  <c r="BJ377" i="30"/>
  <c r="BK377" i="30"/>
  <c r="BL377" i="30"/>
  <c r="BM377" i="30"/>
  <c r="BN377" i="30"/>
  <c r="BO377" i="30"/>
  <c r="BP377" i="30"/>
  <c r="BQ377" i="30"/>
  <c r="BR377" i="30"/>
  <c r="BS377" i="30"/>
  <c r="BT377" i="30"/>
  <c r="BU377" i="30"/>
  <c r="BV377" i="30"/>
  <c r="BW377" i="30"/>
  <c r="BX377" i="30"/>
  <c r="BY377" i="30"/>
  <c r="BZ377" i="30"/>
  <c r="CA377" i="30"/>
  <c r="CB377" i="30"/>
  <c r="CC377" i="30"/>
  <c r="CD377" i="30"/>
  <c r="CE377" i="30"/>
  <c r="CF377" i="30"/>
  <c r="CG377" i="30"/>
  <c r="CH377" i="30"/>
  <c r="CI377" i="30"/>
  <c r="CJ377" i="30"/>
  <c r="CK377" i="30"/>
  <c r="CL377" i="30"/>
  <c r="CM377" i="30"/>
  <c r="CN377" i="30"/>
  <c r="CO377" i="30"/>
  <c r="CP377" i="30"/>
  <c r="CQ377" i="30"/>
  <c r="CR377" i="30"/>
  <c r="CS377" i="30"/>
  <c r="CT377" i="30"/>
  <c r="CU377" i="30"/>
  <c r="CV377" i="30"/>
  <c r="CW377" i="30"/>
  <c r="CX377" i="30"/>
  <c r="CY377" i="30"/>
  <c r="CZ377" i="30"/>
  <c r="DA377" i="30"/>
  <c r="DB377" i="30"/>
  <c r="DC377" i="30"/>
  <c r="DD377" i="30"/>
  <c r="DE377" i="30"/>
  <c r="DF377" i="30"/>
  <c r="DG377" i="30"/>
  <c r="DH377" i="30"/>
  <c r="DI377" i="30"/>
  <c r="DJ377" i="30"/>
  <c r="DK377" i="30"/>
  <c r="DL377" i="30"/>
  <c r="DM377" i="30"/>
  <c r="DN377" i="30"/>
  <c r="DO377" i="30"/>
  <c r="DP377" i="30"/>
  <c r="DQ377" i="30"/>
  <c r="DR377" i="30"/>
  <c r="DS377" i="30"/>
  <c r="DT377" i="30"/>
  <c r="DU377" i="30"/>
  <c r="DV377" i="30"/>
  <c r="DW377" i="30"/>
  <c r="DX377" i="30"/>
  <c r="DY377" i="30"/>
  <c r="DZ377" i="30"/>
  <c r="EA377" i="30"/>
  <c r="EB377" i="30"/>
  <c r="EC377" i="30"/>
  <c r="ED377" i="30"/>
  <c r="EE377" i="30"/>
  <c r="EF377" i="30"/>
  <c r="EG377" i="30"/>
  <c r="EH377" i="30"/>
  <c r="EI377" i="30"/>
  <c r="EJ377" i="30"/>
  <c r="EK377" i="30"/>
  <c r="EL377" i="30"/>
  <c r="EM377" i="30"/>
  <c r="EN377" i="30"/>
  <c r="EO377" i="30"/>
  <c r="EP377" i="30"/>
  <c r="EQ377" i="30"/>
  <c r="ER377" i="30"/>
  <c r="ES377" i="30"/>
  <c r="ET377" i="30"/>
  <c r="EU377" i="30"/>
  <c r="EV377" i="30"/>
  <c r="EW377" i="30"/>
  <c r="EX377" i="30"/>
  <c r="EY377" i="30"/>
  <c r="EZ377" i="30"/>
  <c r="FA377" i="30"/>
  <c r="FB377" i="30"/>
  <c r="FC377" i="30"/>
  <c r="FD377" i="30"/>
  <c r="FE377" i="30"/>
  <c r="FF377" i="30"/>
  <c r="FG377" i="30"/>
  <c r="FH377" i="30"/>
  <c r="FI377" i="30"/>
  <c r="FJ377" i="30"/>
  <c r="FK377" i="30"/>
  <c r="FL377" i="30"/>
  <c r="FM377" i="30"/>
  <c r="FN377" i="30"/>
  <c r="FO377" i="30"/>
  <c r="FP377" i="30"/>
  <c r="FQ377" i="30"/>
  <c r="FR377" i="30"/>
  <c r="FS377" i="30"/>
  <c r="FT377" i="30"/>
  <c r="FU377" i="30"/>
  <c r="FV377" i="30"/>
  <c r="FW377" i="30"/>
  <c r="FX377" i="30"/>
  <c r="FY377" i="30"/>
  <c r="FZ377" i="30"/>
  <c r="GA377" i="30"/>
  <c r="GB377" i="30"/>
  <c r="GC377" i="30"/>
  <c r="GD377" i="30"/>
  <c r="GE377" i="30"/>
  <c r="GF377" i="30"/>
  <c r="GG377" i="30"/>
  <c r="GH377" i="30"/>
  <c r="GI377" i="30"/>
  <c r="GJ377" i="30"/>
  <c r="GK377" i="30"/>
  <c r="GL377" i="30"/>
  <c r="GM377" i="30"/>
  <c r="GN377" i="30"/>
  <c r="GO377" i="30"/>
  <c r="GP377" i="30"/>
  <c r="GQ377" i="30"/>
  <c r="GR377" i="30"/>
  <c r="GS377" i="30"/>
  <c r="GT377" i="30"/>
  <c r="GU377" i="30"/>
  <c r="GV377" i="30"/>
  <c r="GW377" i="30"/>
  <c r="GX377" i="30"/>
  <c r="GY377" i="30"/>
  <c r="GZ377" i="30"/>
  <c r="HA377" i="30"/>
  <c r="HB377" i="30"/>
  <c r="HC377" i="30"/>
  <c r="HD377" i="30"/>
  <c r="HE377" i="30"/>
  <c r="HF377" i="30"/>
  <c r="HG377" i="30"/>
  <c r="HH377" i="30"/>
  <c r="HI377" i="30"/>
  <c r="HJ377" i="30"/>
  <c r="HK377" i="30"/>
  <c r="HL377" i="30"/>
  <c r="HM377" i="30"/>
  <c r="HN377" i="30"/>
  <c r="HO377" i="30"/>
  <c r="HP377" i="30"/>
  <c r="HQ377" i="30"/>
  <c r="HR377" i="30"/>
  <c r="HS377" i="30"/>
  <c r="HT377" i="30"/>
  <c r="HU377" i="30"/>
  <c r="HV377" i="30"/>
  <c r="HW377" i="30"/>
  <c r="HX377" i="30"/>
  <c r="HY377" i="30"/>
  <c r="HZ377" i="30"/>
  <c r="IA377" i="30"/>
  <c r="IB377" i="30"/>
  <c r="IC377" i="30"/>
  <c r="ID377" i="30"/>
  <c r="IE377" i="30"/>
  <c r="IF377" i="30"/>
  <c r="IG377" i="30"/>
  <c r="IH377" i="30"/>
  <c r="II377" i="30"/>
  <c r="IJ377" i="30"/>
  <c r="IK377" i="30"/>
  <c r="IL377" i="30"/>
  <c r="IM377" i="30"/>
  <c r="IN377" i="30"/>
  <c r="IO377" i="30"/>
  <c r="IP377" i="30"/>
  <c r="IQ377" i="30"/>
  <c r="IR377" i="30"/>
  <c r="IS377" i="30"/>
  <c r="IT377" i="30"/>
  <c r="IU377" i="30"/>
  <c r="IV377" i="30"/>
  <c r="A376" i="30"/>
  <c r="B376" i="30"/>
  <c r="C376" i="30"/>
  <c r="D376" i="30"/>
  <c r="E376" i="30"/>
  <c r="F376" i="30"/>
  <c r="G376" i="30"/>
  <c r="H376" i="30"/>
  <c r="I376" i="30"/>
  <c r="J376" i="30"/>
  <c r="K376" i="30"/>
  <c r="L376" i="30"/>
  <c r="M376" i="30"/>
  <c r="N376" i="30"/>
  <c r="O376" i="30"/>
  <c r="P376" i="30"/>
  <c r="Q376" i="30"/>
  <c r="R376" i="30"/>
  <c r="S376" i="30"/>
  <c r="T376" i="30"/>
  <c r="U376" i="30"/>
  <c r="V376" i="30"/>
  <c r="W376" i="30"/>
  <c r="X376" i="30"/>
  <c r="Y376" i="30"/>
  <c r="Z376" i="30"/>
  <c r="AA376" i="30"/>
  <c r="AB376" i="30"/>
  <c r="AC376" i="30"/>
  <c r="AD376" i="30"/>
  <c r="AE376" i="30"/>
  <c r="AF376" i="30"/>
  <c r="AG376" i="30"/>
  <c r="AH376" i="30"/>
  <c r="AI376" i="30"/>
  <c r="AJ376" i="30"/>
  <c r="AK376" i="30"/>
  <c r="AL376" i="30"/>
  <c r="AM376" i="30"/>
  <c r="AN376" i="30"/>
  <c r="AO376" i="30"/>
  <c r="AP376" i="30"/>
  <c r="AQ376" i="30"/>
  <c r="AR376" i="30"/>
  <c r="AS376" i="30"/>
  <c r="AT376" i="30"/>
  <c r="AU376" i="30"/>
  <c r="AV376" i="30"/>
  <c r="AW376" i="30"/>
  <c r="AX376" i="30"/>
  <c r="AY376" i="30"/>
  <c r="AZ376" i="30"/>
  <c r="BA376" i="30"/>
  <c r="BB376" i="30"/>
  <c r="BC376" i="30"/>
  <c r="BD376" i="30"/>
  <c r="BE376" i="30"/>
  <c r="BF376" i="30"/>
  <c r="BG376" i="30"/>
  <c r="BH376" i="30"/>
  <c r="BI376" i="30"/>
  <c r="BJ376" i="30"/>
  <c r="BK376" i="30"/>
  <c r="BL376" i="30"/>
  <c r="BM376" i="30"/>
  <c r="BN376" i="30"/>
  <c r="BO376" i="30"/>
  <c r="BP376" i="30"/>
  <c r="BQ376" i="30"/>
  <c r="BR376" i="30"/>
  <c r="BS376" i="30"/>
  <c r="BT376" i="30"/>
  <c r="BU376" i="30"/>
  <c r="BV376" i="30"/>
  <c r="BW376" i="30"/>
  <c r="BX376" i="30"/>
  <c r="BY376" i="30"/>
  <c r="BZ376" i="30"/>
  <c r="CA376" i="30"/>
  <c r="CB376" i="30"/>
  <c r="CC376" i="30"/>
  <c r="CD376" i="30"/>
  <c r="CE376" i="30"/>
  <c r="CF376" i="30"/>
  <c r="CG376" i="30"/>
  <c r="CH376" i="30"/>
  <c r="CI376" i="30"/>
  <c r="CJ376" i="30"/>
  <c r="CK376" i="30"/>
  <c r="CL376" i="30"/>
  <c r="CM376" i="30"/>
  <c r="CN376" i="30"/>
  <c r="CO376" i="30"/>
  <c r="CP376" i="30"/>
  <c r="CQ376" i="30"/>
  <c r="CR376" i="30"/>
  <c r="CS376" i="30"/>
  <c r="CT376" i="30"/>
  <c r="CU376" i="30"/>
  <c r="CV376" i="30"/>
  <c r="CW376" i="30"/>
  <c r="CX376" i="30"/>
  <c r="CY376" i="30"/>
  <c r="CZ376" i="30"/>
  <c r="DA376" i="30"/>
  <c r="DB376" i="30"/>
  <c r="DC376" i="30"/>
  <c r="DD376" i="30"/>
  <c r="DE376" i="30"/>
  <c r="DF376" i="30"/>
  <c r="DG376" i="30"/>
  <c r="DH376" i="30"/>
  <c r="DI376" i="30"/>
  <c r="DJ376" i="30"/>
  <c r="DK376" i="30"/>
  <c r="DL376" i="30"/>
  <c r="DM376" i="30"/>
  <c r="DN376" i="30"/>
  <c r="DO376" i="30"/>
  <c r="DP376" i="30"/>
  <c r="DQ376" i="30"/>
  <c r="DR376" i="30"/>
  <c r="DS376" i="30"/>
  <c r="DT376" i="30"/>
  <c r="DU376" i="30"/>
  <c r="DV376" i="30"/>
  <c r="DW376" i="30"/>
  <c r="DX376" i="30"/>
  <c r="DY376" i="30"/>
  <c r="DZ376" i="30"/>
  <c r="EA376" i="30"/>
  <c r="EB376" i="30"/>
  <c r="EC376" i="30"/>
  <c r="ED376" i="30"/>
  <c r="EE376" i="30"/>
  <c r="EF376" i="30"/>
  <c r="EG376" i="30"/>
  <c r="EH376" i="30"/>
  <c r="EI376" i="30"/>
  <c r="EJ376" i="30"/>
  <c r="EK376" i="30"/>
  <c r="EL376" i="30"/>
  <c r="EM376" i="30"/>
  <c r="EN376" i="30"/>
  <c r="EO376" i="30"/>
  <c r="EP376" i="30"/>
  <c r="EQ376" i="30"/>
  <c r="ER376" i="30"/>
  <c r="ES376" i="30"/>
  <c r="ET376" i="30"/>
  <c r="EU376" i="30"/>
  <c r="EV376" i="30"/>
  <c r="EW376" i="30"/>
  <c r="EX376" i="30"/>
  <c r="EY376" i="30"/>
  <c r="EZ376" i="30"/>
  <c r="FA376" i="30"/>
  <c r="FB376" i="30"/>
  <c r="FC376" i="30"/>
  <c r="FD376" i="30"/>
  <c r="FE376" i="30"/>
  <c r="FF376" i="30"/>
  <c r="FG376" i="30"/>
  <c r="FH376" i="30"/>
  <c r="FI376" i="30"/>
  <c r="FJ376" i="30"/>
  <c r="FK376" i="30"/>
  <c r="FL376" i="30"/>
  <c r="FM376" i="30"/>
  <c r="FN376" i="30"/>
  <c r="FO376" i="30"/>
  <c r="FP376" i="30"/>
  <c r="FQ376" i="30"/>
  <c r="FR376" i="30"/>
  <c r="FS376" i="30"/>
  <c r="FT376" i="30"/>
  <c r="FU376" i="30"/>
  <c r="FV376" i="30"/>
  <c r="FW376" i="30"/>
  <c r="FX376" i="30"/>
  <c r="FY376" i="30"/>
  <c r="FZ376" i="30"/>
  <c r="GA376" i="30"/>
  <c r="GB376" i="30"/>
  <c r="GC376" i="30"/>
  <c r="GD376" i="30"/>
  <c r="GE376" i="30"/>
  <c r="GF376" i="30"/>
  <c r="GG376" i="30"/>
  <c r="GH376" i="30"/>
  <c r="GI376" i="30"/>
  <c r="GJ376" i="30"/>
  <c r="GK376" i="30"/>
  <c r="GL376" i="30"/>
  <c r="GM376" i="30"/>
  <c r="GN376" i="30"/>
  <c r="GO376" i="30"/>
  <c r="GP376" i="30"/>
  <c r="GQ376" i="30"/>
  <c r="GR376" i="30"/>
  <c r="GS376" i="30"/>
  <c r="GT376" i="30"/>
  <c r="GU376" i="30"/>
  <c r="GV376" i="30"/>
  <c r="GW376" i="30"/>
  <c r="GX376" i="30"/>
  <c r="GY376" i="30"/>
  <c r="GZ376" i="30"/>
  <c r="HA376" i="30"/>
  <c r="HB376" i="30"/>
  <c r="HC376" i="30"/>
  <c r="HD376" i="30"/>
  <c r="HE376" i="30"/>
  <c r="HF376" i="30"/>
  <c r="HG376" i="30"/>
  <c r="HH376" i="30"/>
  <c r="HI376" i="30"/>
  <c r="HJ376" i="30"/>
  <c r="HK376" i="30"/>
  <c r="HL376" i="30"/>
  <c r="HM376" i="30"/>
  <c r="HN376" i="30"/>
  <c r="HO376" i="30"/>
  <c r="HP376" i="30"/>
  <c r="HQ376" i="30"/>
  <c r="HR376" i="30"/>
  <c r="HS376" i="30"/>
  <c r="HT376" i="30"/>
  <c r="HU376" i="30"/>
  <c r="HV376" i="30"/>
  <c r="HW376" i="30"/>
  <c r="HX376" i="30"/>
  <c r="HY376" i="30"/>
  <c r="HZ376" i="30"/>
  <c r="IA376" i="30"/>
  <c r="IB376" i="30"/>
  <c r="IC376" i="30"/>
  <c r="ID376" i="30"/>
  <c r="IE376" i="30"/>
  <c r="IF376" i="30"/>
  <c r="IG376" i="30"/>
  <c r="IH376" i="30"/>
  <c r="II376" i="30"/>
  <c r="IJ376" i="30"/>
  <c r="IK376" i="30"/>
  <c r="IL376" i="30"/>
  <c r="IM376" i="30"/>
  <c r="IN376" i="30"/>
  <c r="IO376" i="30"/>
  <c r="IP376" i="30"/>
  <c r="IQ376" i="30"/>
  <c r="IR376" i="30"/>
  <c r="IS376" i="30"/>
  <c r="IT376" i="30"/>
  <c r="IU376" i="30"/>
  <c r="IV376" i="30"/>
  <c r="A375" i="30"/>
  <c r="B375" i="30"/>
  <c r="C375" i="30"/>
  <c r="D375" i="30"/>
  <c r="E375" i="30"/>
  <c r="F375" i="30"/>
  <c r="G375" i="30"/>
  <c r="H375" i="30"/>
  <c r="I375" i="30"/>
  <c r="J375" i="30"/>
  <c r="K375" i="30"/>
  <c r="L375" i="30"/>
  <c r="M375" i="30"/>
  <c r="N375" i="30"/>
  <c r="O375" i="30"/>
  <c r="P375" i="30"/>
  <c r="Q375" i="30"/>
  <c r="R375" i="30"/>
  <c r="S375" i="30"/>
  <c r="T375" i="30"/>
  <c r="U375" i="30"/>
  <c r="V375" i="30"/>
  <c r="W375" i="30"/>
  <c r="X375" i="30"/>
  <c r="Y375" i="30"/>
  <c r="Z375" i="30"/>
  <c r="AA375" i="30"/>
  <c r="AB375" i="30"/>
  <c r="AC375" i="30"/>
  <c r="AD375" i="30"/>
  <c r="AE375" i="30"/>
  <c r="AF375" i="30"/>
  <c r="AG375" i="30"/>
  <c r="AH375" i="30"/>
  <c r="AI375" i="30"/>
  <c r="AJ375" i="30"/>
  <c r="AK375" i="30"/>
  <c r="AL375" i="30"/>
  <c r="AM375" i="30"/>
  <c r="AN375" i="30"/>
  <c r="AO375" i="30"/>
  <c r="AP375" i="30"/>
  <c r="AQ375" i="30"/>
  <c r="AR375" i="30"/>
  <c r="AS375" i="30"/>
  <c r="AT375" i="30"/>
  <c r="AU375" i="30"/>
  <c r="AV375" i="30"/>
  <c r="AW375" i="30"/>
  <c r="AX375" i="30"/>
  <c r="AY375" i="30"/>
  <c r="AZ375" i="30"/>
  <c r="BA375" i="30"/>
  <c r="BB375" i="30"/>
  <c r="BC375" i="30"/>
  <c r="BD375" i="30"/>
  <c r="BE375" i="30"/>
  <c r="BF375" i="30"/>
  <c r="BG375" i="30"/>
  <c r="BH375" i="30"/>
  <c r="BI375" i="30"/>
  <c r="BJ375" i="30"/>
  <c r="BK375" i="30"/>
  <c r="BL375" i="30"/>
  <c r="BM375" i="30"/>
  <c r="BN375" i="30"/>
  <c r="BO375" i="30"/>
  <c r="BP375" i="30"/>
  <c r="BQ375" i="30"/>
  <c r="BR375" i="30"/>
  <c r="BS375" i="30"/>
  <c r="BT375" i="30"/>
  <c r="BU375" i="30"/>
  <c r="BV375" i="30"/>
  <c r="BW375" i="30"/>
  <c r="BX375" i="30"/>
  <c r="BY375" i="30"/>
  <c r="BZ375" i="30"/>
  <c r="CA375" i="30"/>
  <c r="CB375" i="30"/>
  <c r="CC375" i="30"/>
  <c r="CD375" i="30"/>
  <c r="CE375" i="30"/>
  <c r="CF375" i="30"/>
  <c r="CG375" i="30"/>
  <c r="CH375" i="30"/>
  <c r="CI375" i="30"/>
  <c r="CJ375" i="30"/>
  <c r="CK375" i="30"/>
  <c r="CL375" i="30"/>
  <c r="CM375" i="30"/>
  <c r="CN375" i="30"/>
  <c r="CO375" i="30"/>
  <c r="CP375" i="30"/>
  <c r="CQ375" i="30"/>
  <c r="CR375" i="30"/>
  <c r="CS375" i="30"/>
  <c r="CT375" i="30"/>
  <c r="CU375" i="30"/>
  <c r="CV375" i="30"/>
  <c r="CW375" i="30"/>
  <c r="CX375" i="30"/>
  <c r="CY375" i="30"/>
  <c r="CZ375" i="30"/>
  <c r="DA375" i="30"/>
  <c r="DB375" i="30"/>
  <c r="DC375" i="30"/>
  <c r="DD375" i="30"/>
  <c r="DE375" i="30"/>
  <c r="DF375" i="30"/>
  <c r="DG375" i="30"/>
  <c r="DH375" i="30"/>
  <c r="DI375" i="30"/>
  <c r="DJ375" i="30"/>
  <c r="DK375" i="30"/>
  <c r="DL375" i="30"/>
  <c r="DM375" i="30"/>
  <c r="DN375" i="30"/>
  <c r="DO375" i="30"/>
  <c r="DP375" i="30"/>
  <c r="DQ375" i="30"/>
  <c r="DR375" i="30"/>
  <c r="DS375" i="30"/>
  <c r="DT375" i="30"/>
  <c r="DU375" i="30"/>
  <c r="DV375" i="30"/>
  <c r="DW375" i="30"/>
  <c r="DX375" i="30"/>
  <c r="DY375" i="30"/>
  <c r="DZ375" i="30"/>
  <c r="EA375" i="30"/>
  <c r="EB375" i="30"/>
  <c r="EC375" i="30"/>
  <c r="ED375" i="30"/>
  <c r="EE375" i="30"/>
  <c r="EF375" i="30"/>
  <c r="EG375" i="30"/>
  <c r="EH375" i="30"/>
  <c r="EI375" i="30"/>
  <c r="A374" i="30"/>
  <c r="B374" i="30"/>
  <c r="C374" i="30"/>
  <c r="D374" i="30"/>
  <c r="E374" i="30"/>
  <c r="F374" i="30"/>
  <c r="G374" i="30"/>
  <c r="H374" i="30"/>
  <c r="I374" i="30"/>
  <c r="J374" i="30"/>
  <c r="K374" i="30"/>
  <c r="L374" i="30"/>
  <c r="M374" i="30"/>
  <c r="N374" i="30"/>
  <c r="O374" i="30"/>
  <c r="P374" i="30"/>
  <c r="Q374" i="30"/>
  <c r="R374" i="30"/>
  <c r="S374" i="30"/>
  <c r="T374" i="30"/>
  <c r="U374" i="30"/>
  <c r="V374" i="30"/>
  <c r="W374" i="30"/>
  <c r="X374" i="30"/>
  <c r="Y374" i="30"/>
  <c r="Z374" i="30"/>
  <c r="AA374" i="30"/>
  <c r="AB374" i="30"/>
  <c r="AC374" i="30"/>
  <c r="AD374" i="30"/>
  <c r="AE374" i="30"/>
  <c r="AF374" i="30"/>
  <c r="AG374" i="30"/>
  <c r="AH374" i="30"/>
  <c r="AI374" i="30"/>
  <c r="AJ374" i="30"/>
  <c r="AK374" i="30"/>
  <c r="AL374" i="30"/>
  <c r="AM374" i="30"/>
  <c r="AN374" i="30"/>
  <c r="AO374" i="30"/>
  <c r="AP374" i="30"/>
  <c r="AQ374" i="30"/>
  <c r="AR374" i="30"/>
  <c r="AS374" i="30"/>
  <c r="AT374" i="30"/>
  <c r="AU374" i="30"/>
  <c r="AV374" i="30"/>
  <c r="AW374" i="30"/>
  <c r="AX374" i="30"/>
  <c r="AY374" i="30"/>
  <c r="AZ374" i="30"/>
  <c r="BA374" i="30"/>
  <c r="BB374" i="30"/>
  <c r="BC374" i="30"/>
  <c r="BD374" i="30"/>
  <c r="BE374" i="30"/>
  <c r="BF374" i="30"/>
  <c r="BG374" i="30"/>
  <c r="BH374" i="30"/>
  <c r="BI374" i="30"/>
  <c r="BJ374" i="30"/>
  <c r="BK374" i="30"/>
  <c r="BL374" i="30"/>
  <c r="BM374" i="30"/>
  <c r="BN374" i="30"/>
  <c r="BO374" i="30"/>
  <c r="BP374" i="30"/>
  <c r="BQ374" i="30"/>
  <c r="BR374" i="30"/>
  <c r="BS374" i="30"/>
  <c r="BT374" i="30"/>
  <c r="BU374" i="30"/>
  <c r="BV374" i="30"/>
  <c r="BW374" i="30"/>
  <c r="BX374" i="30"/>
  <c r="BY374" i="30"/>
  <c r="BZ374" i="30"/>
  <c r="CA374" i="30"/>
  <c r="CB374" i="30"/>
  <c r="CC374" i="30"/>
  <c r="CD374" i="30"/>
  <c r="CE374" i="30"/>
  <c r="CF374" i="30"/>
  <c r="CG374" i="30"/>
  <c r="CH374" i="30"/>
  <c r="CI374" i="30"/>
  <c r="CJ374" i="30"/>
  <c r="CK374" i="30"/>
  <c r="CL374" i="30"/>
  <c r="CM374" i="30"/>
  <c r="CN374" i="30"/>
  <c r="CO374" i="30"/>
  <c r="CP374" i="30"/>
  <c r="CQ374" i="30"/>
  <c r="CR374" i="30"/>
  <c r="CS374" i="30"/>
  <c r="CT374" i="30"/>
  <c r="CU374" i="30"/>
  <c r="CV374" i="30"/>
  <c r="CW374" i="30"/>
  <c r="CX374" i="30"/>
  <c r="CY374" i="30"/>
  <c r="CZ374" i="30"/>
  <c r="DA374" i="30"/>
  <c r="DB374" i="30"/>
  <c r="DC374" i="30"/>
  <c r="DD374" i="30"/>
  <c r="DE374" i="30"/>
  <c r="DF374" i="30"/>
  <c r="DG374" i="30"/>
  <c r="DH374" i="30"/>
  <c r="DI374" i="30"/>
  <c r="DJ374" i="30"/>
  <c r="DK374" i="30"/>
  <c r="DL374" i="30"/>
  <c r="DM374" i="30"/>
  <c r="DN374" i="30"/>
  <c r="DO374" i="30"/>
  <c r="DP374" i="30"/>
  <c r="DQ374" i="30"/>
  <c r="DR374" i="30"/>
  <c r="DS374" i="30"/>
  <c r="DT374" i="30"/>
  <c r="DU374" i="30"/>
  <c r="DV374" i="30"/>
  <c r="DW374" i="30"/>
  <c r="DX374" i="30"/>
  <c r="DY374" i="30"/>
  <c r="DZ374" i="30"/>
  <c r="EA374" i="30"/>
  <c r="EB374" i="30"/>
  <c r="EC374" i="30"/>
  <c r="ED374" i="30"/>
  <c r="EE374" i="30"/>
  <c r="EF374" i="30"/>
  <c r="EG374" i="30"/>
  <c r="EH374" i="30"/>
  <c r="EI374" i="30"/>
  <c r="EJ374" i="30"/>
  <c r="EK374" i="30"/>
  <c r="EL374" i="30"/>
  <c r="EM374" i="30"/>
  <c r="EN374" i="30"/>
  <c r="EO374" i="30"/>
  <c r="EP374" i="30"/>
  <c r="EQ374" i="30"/>
  <c r="ER374" i="30"/>
  <c r="ES374" i="30"/>
  <c r="ET374" i="30"/>
  <c r="EU374" i="30"/>
  <c r="EV374" i="30"/>
  <c r="EW374" i="30"/>
  <c r="EX374" i="30"/>
  <c r="EY374" i="30"/>
  <c r="EZ374" i="30"/>
  <c r="FA374" i="30"/>
  <c r="FB374" i="30"/>
  <c r="FC374" i="30"/>
  <c r="FD374" i="30"/>
  <c r="FE374" i="30"/>
  <c r="FF374" i="30"/>
  <c r="FG374" i="30"/>
  <c r="FH374" i="30"/>
  <c r="FI374" i="30"/>
  <c r="FJ374" i="30"/>
  <c r="FK374" i="30"/>
  <c r="FL374" i="30"/>
  <c r="FM374" i="30"/>
  <c r="FN374" i="30"/>
  <c r="FO374" i="30"/>
  <c r="FP374" i="30"/>
  <c r="FQ374" i="30"/>
  <c r="FR374" i="30"/>
  <c r="FS374" i="30"/>
  <c r="FT374" i="30"/>
  <c r="FU374" i="30"/>
  <c r="FV374" i="30"/>
  <c r="FW374" i="30"/>
  <c r="FX374" i="30"/>
  <c r="FY374" i="30"/>
  <c r="FZ374" i="30"/>
  <c r="GA374" i="30"/>
  <c r="GB374" i="30"/>
  <c r="GC374" i="30"/>
  <c r="GD374" i="30"/>
  <c r="GE374" i="30"/>
  <c r="GF374" i="30"/>
  <c r="GG374" i="30"/>
  <c r="GH374" i="30"/>
  <c r="GI374" i="30"/>
  <c r="GJ374" i="30"/>
  <c r="GK374" i="30"/>
  <c r="GL374" i="30"/>
  <c r="GM374" i="30"/>
  <c r="GN374" i="30"/>
  <c r="GO374" i="30"/>
  <c r="GP374" i="30"/>
  <c r="GQ374" i="30"/>
  <c r="GR374" i="30"/>
  <c r="GS374" i="30"/>
  <c r="GT374" i="30"/>
  <c r="GU374" i="30"/>
  <c r="GV374" i="30"/>
  <c r="GW374" i="30"/>
  <c r="GX374" i="30"/>
  <c r="GY374" i="30"/>
  <c r="GZ374" i="30"/>
  <c r="HA374" i="30"/>
  <c r="HB374" i="30"/>
  <c r="HC374" i="30"/>
  <c r="HD374" i="30"/>
  <c r="HE374" i="30"/>
  <c r="HF374" i="30"/>
  <c r="HG374" i="30"/>
  <c r="HH374" i="30"/>
  <c r="HI374" i="30"/>
  <c r="HJ374" i="30"/>
  <c r="HK374" i="30"/>
  <c r="HL374" i="30"/>
  <c r="HM374" i="30"/>
  <c r="HN374" i="30"/>
  <c r="HO374" i="30"/>
  <c r="HP374" i="30"/>
  <c r="HQ374" i="30"/>
  <c r="HR374" i="30"/>
  <c r="HS374" i="30"/>
  <c r="HT374" i="30"/>
  <c r="HU374" i="30"/>
  <c r="HV374" i="30"/>
  <c r="HW374" i="30"/>
  <c r="HX374" i="30"/>
  <c r="HY374" i="30"/>
  <c r="HZ374" i="30"/>
  <c r="IA374" i="30"/>
  <c r="IB374" i="30"/>
  <c r="IC374" i="30"/>
  <c r="ID374" i="30"/>
  <c r="IE374" i="30"/>
  <c r="IF374" i="30"/>
  <c r="IG374" i="30"/>
  <c r="IH374" i="30"/>
  <c r="II374" i="30"/>
  <c r="IJ374" i="30"/>
  <c r="IK374" i="30"/>
  <c r="IL374" i="30"/>
  <c r="IM374" i="30"/>
  <c r="IN374" i="30"/>
  <c r="IO374" i="30"/>
  <c r="IP374" i="30"/>
  <c r="IQ374" i="30"/>
  <c r="IR374" i="30"/>
  <c r="IS374" i="30"/>
  <c r="IT374" i="30"/>
  <c r="IU374" i="30"/>
  <c r="IV374" i="30"/>
  <c r="A373" i="30"/>
  <c r="B373" i="30"/>
  <c r="C373" i="30"/>
  <c r="D373" i="30"/>
  <c r="E373" i="30"/>
  <c r="F373" i="30"/>
  <c r="G373" i="30"/>
  <c r="H373" i="30"/>
  <c r="I373" i="30"/>
  <c r="J373" i="30"/>
  <c r="K373" i="30"/>
  <c r="L373" i="30"/>
  <c r="M373" i="30"/>
  <c r="N373" i="30"/>
  <c r="O373" i="30"/>
  <c r="P373" i="30"/>
  <c r="Q373" i="30"/>
  <c r="R373" i="30"/>
  <c r="S373" i="30"/>
  <c r="T373" i="30"/>
  <c r="U373" i="30"/>
  <c r="V373" i="30"/>
  <c r="W373" i="30"/>
  <c r="X373" i="30"/>
  <c r="Y373" i="30"/>
  <c r="Z373" i="30"/>
  <c r="AA373" i="30"/>
  <c r="AB373" i="30"/>
  <c r="AC373" i="30"/>
  <c r="AD373" i="30"/>
  <c r="AE373" i="30"/>
  <c r="AF373" i="30"/>
  <c r="AG373" i="30"/>
  <c r="AH373" i="30"/>
  <c r="AI373" i="30"/>
  <c r="AJ373" i="30"/>
  <c r="AK373" i="30"/>
  <c r="AL373" i="30"/>
  <c r="AM373" i="30"/>
  <c r="AN373" i="30"/>
  <c r="AO373" i="30"/>
  <c r="AP373" i="30"/>
  <c r="AQ373" i="30"/>
  <c r="AR373" i="30"/>
  <c r="AS373" i="30"/>
  <c r="AT373" i="30"/>
  <c r="AU373" i="30"/>
  <c r="AV373" i="30"/>
  <c r="AW373" i="30"/>
  <c r="AX373" i="30"/>
  <c r="AY373" i="30"/>
  <c r="AZ373" i="30"/>
  <c r="BA373" i="30"/>
  <c r="BB373" i="30"/>
  <c r="BC373" i="30"/>
  <c r="BD373" i="30"/>
  <c r="BE373" i="30"/>
  <c r="BF373" i="30"/>
  <c r="BG373" i="30"/>
  <c r="BH373" i="30"/>
  <c r="BI373" i="30"/>
  <c r="BJ373" i="30"/>
  <c r="BK373" i="30"/>
  <c r="BL373" i="30"/>
  <c r="BM373" i="30"/>
  <c r="BN373" i="30"/>
  <c r="BO373" i="30"/>
  <c r="BP373" i="30"/>
  <c r="BQ373" i="30"/>
  <c r="BR373" i="30"/>
  <c r="BS373" i="30"/>
  <c r="BT373" i="30"/>
  <c r="BU373" i="30"/>
  <c r="BV373" i="30"/>
  <c r="BW373" i="30"/>
  <c r="BX373" i="30"/>
  <c r="BY373" i="30"/>
  <c r="BZ373" i="30"/>
  <c r="CA373" i="30"/>
  <c r="CB373" i="30"/>
  <c r="CC373" i="30"/>
  <c r="CD373" i="30"/>
  <c r="CE373" i="30"/>
  <c r="CF373" i="30"/>
  <c r="CG373" i="30"/>
  <c r="CH373" i="30"/>
  <c r="CI373" i="30"/>
  <c r="CJ373" i="30"/>
  <c r="CK373" i="30"/>
  <c r="CL373" i="30"/>
  <c r="CM373" i="30"/>
  <c r="CN373" i="30"/>
  <c r="CO373" i="30"/>
  <c r="CP373" i="30"/>
  <c r="CQ373" i="30"/>
  <c r="CR373" i="30"/>
  <c r="CS373" i="30"/>
  <c r="CT373" i="30"/>
  <c r="CU373" i="30"/>
  <c r="CV373" i="30"/>
  <c r="CW373" i="30"/>
  <c r="CX373" i="30"/>
  <c r="CY373" i="30"/>
  <c r="CZ373" i="30"/>
  <c r="DA373" i="30"/>
  <c r="DB373" i="30"/>
  <c r="DC373" i="30"/>
  <c r="DD373" i="30"/>
  <c r="DE373" i="30"/>
  <c r="DF373" i="30"/>
  <c r="DG373" i="30"/>
  <c r="DH373" i="30"/>
  <c r="DI373" i="30"/>
  <c r="DJ373" i="30"/>
  <c r="DK373" i="30"/>
  <c r="DL373" i="30"/>
  <c r="DM373" i="30"/>
  <c r="DN373" i="30"/>
  <c r="DO373" i="30"/>
  <c r="DP373" i="30"/>
  <c r="DQ373" i="30"/>
  <c r="DR373" i="30"/>
  <c r="DS373" i="30"/>
  <c r="DT373" i="30"/>
  <c r="DU373" i="30"/>
  <c r="DV373" i="30"/>
  <c r="DW373" i="30"/>
  <c r="DX373" i="30"/>
  <c r="DY373" i="30"/>
  <c r="DZ373" i="30"/>
  <c r="EA373" i="30"/>
  <c r="EB373" i="30"/>
  <c r="EC373" i="30"/>
  <c r="ED373" i="30"/>
  <c r="EE373" i="30"/>
  <c r="EF373" i="30"/>
  <c r="EG373" i="30"/>
  <c r="EH373" i="30"/>
  <c r="EI373" i="30"/>
  <c r="EJ373" i="30"/>
  <c r="EK373" i="30"/>
  <c r="EL373" i="30"/>
  <c r="EM373" i="30"/>
  <c r="EN373" i="30"/>
  <c r="EO373" i="30"/>
  <c r="EP373" i="30"/>
  <c r="EQ373" i="30"/>
  <c r="ER373" i="30"/>
  <c r="ES373" i="30"/>
  <c r="ET373" i="30"/>
  <c r="EU373" i="30"/>
  <c r="EV373" i="30"/>
  <c r="EW373" i="30"/>
  <c r="EX373" i="30"/>
  <c r="EY373" i="30"/>
  <c r="EZ373" i="30"/>
  <c r="FA373" i="30"/>
  <c r="FB373" i="30"/>
  <c r="FC373" i="30"/>
  <c r="FD373" i="30"/>
  <c r="FE373" i="30"/>
  <c r="FF373" i="30"/>
  <c r="FG373" i="30"/>
  <c r="FH373" i="30"/>
  <c r="FI373" i="30"/>
  <c r="FJ373" i="30"/>
  <c r="FK373" i="30"/>
  <c r="FL373" i="30"/>
  <c r="FM373" i="30"/>
  <c r="FN373" i="30"/>
  <c r="FO373" i="30"/>
  <c r="FP373" i="30"/>
  <c r="FQ373" i="30"/>
  <c r="FR373" i="30"/>
  <c r="FS373" i="30"/>
  <c r="FT373" i="30"/>
  <c r="FU373" i="30"/>
  <c r="FV373" i="30"/>
  <c r="FW373" i="30"/>
  <c r="FX373" i="30"/>
  <c r="FY373" i="30"/>
  <c r="FZ373" i="30"/>
  <c r="GA373" i="30"/>
  <c r="GB373" i="30"/>
  <c r="GC373" i="30"/>
  <c r="GD373" i="30"/>
  <c r="GE373" i="30"/>
  <c r="GF373" i="30"/>
  <c r="GG373" i="30"/>
  <c r="GH373" i="30"/>
  <c r="GI373" i="30"/>
  <c r="GJ373" i="30"/>
  <c r="GK373" i="30"/>
  <c r="GL373" i="30"/>
  <c r="GM373" i="30"/>
  <c r="GN373" i="30"/>
  <c r="GO373" i="30"/>
  <c r="GP373" i="30"/>
  <c r="GQ373" i="30"/>
  <c r="GR373" i="30"/>
  <c r="GS373" i="30"/>
  <c r="GT373" i="30"/>
  <c r="GU373" i="30"/>
  <c r="GV373" i="30"/>
  <c r="GW373" i="30"/>
  <c r="GX373" i="30"/>
  <c r="GY373" i="30"/>
  <c r="GZ373" i="30"/>
  <c r="HA373" i="30"/>
  <c r="HB373" i="30"/>
  <c r="HC373" i="30"/>
  <c r="HD373" i="30"/>
  <c r="HE373" i="30"/>
  <c r="HF373" i="30"/>
  <c r="HG373" i="30"/>
  <c r="HH373" i="30"/>
  <c r="HI373" i="30"/>
  <c r="HJ373" i="30"/>
  <c r="HK373" i="30"/>
  <c r="HL373" i="30"/>
  <c r="HM373" i="30"/>
  <c r="HN373" i="30"/>
  <c r="HO373" i="30"/>
  <c r="HP373" i="30"/>
  <c r="HQ373" i="30"/>
  <c r="HR373" i="30"/>
  <c r="HS373" i="30"/>
  <c r="HT373" i="30"/>
  <c r="HU373" i="30"/>
  <c r="HV373" i="30"/>
  <c r="HW373" i="30"/>
  <c r="HX373" i="30"/>
  <c r="HY373" i="30"/>
  <c r="HZ373" i="30"/>
  <c r="IA373" i="30"/>
  <c r="IB373" i="30"/>
  <c r="IC373" i="30"/>
  <c r="ID373" i="30"/>
  <c r="IE373" i="30"/>
  <c r="IF373" i="30"/>
  <c r="IG373" i="30"/>
  <c r="IH373" i="30"/>
  <c r="II373" i="30"/>
  <c r="IJ373" i="30"/>
  <c r="IK373" i="30"/>
  <c r="IL373" i="30"/>
  <c r="IM373" i="30"/>
  <c r="IN373" i="30"/>
  <c r="IO373" i="30"/>
  <c r="IP373" i="30"/>
  <c r="IQ373" i="30"/>
  <c r="IR373" i="30"/>
  <c r="IS373" i="30"/>
  <c r="IT373" i="30"/>
  <c r="IU373" i="30"/>
  <c r="IV373" i="30"/>
  <c r="A372" i="30"/>
  <c r="B372" i="30"/>
  <c r="C372" i="30"/>
  <c r="D372" i="30"/>
  <c r="E372" i="30"/>
  <c r="F372" i="30"/>
  <c r="G372" i="30"/>
  <c r="H372" i="30"/>
  <c r="I372" i="30"/>
  <c r="J372" i="30"/>
  <c r="K372" i="30"/>
  <c r="L372" i="30"/>
  <c r="M372" i="30"/>
  <c r="N372" i="30"/>
  <c r="O372" i="30"/>
  <c r="P372" i="30"/>
  <c r="Q372" i="30"/>
  <c r="R372" i="30"/>
  <c r="S372" i="30"/>
  <c r="T372" i="30"/>
  <c r="U372" i="30"/>
  <c r="V372" i="30"/>
  <c r="W372" i="30"/>
  <c r="X372" i="30"/>
  <c r="Y372" i="30"/>
  <c r="Z372" i="30"/>
  <c r="AA372" i="30"/>
  <c r="AB372" i="30"/>
  <c r="AC372" i="30"/>
  <c r="AD372" i="30"/>
  <c r="AE372" i="30"/>
  <c r="AF372" i="30"/>
  <c r="AG372" i="30"/>
  <c r="AH372" i="30"/>
  <c r="AI372" i="30"/>
  <c r="AJ372" i="30"/>
  <c r="AK372" i="30"/>
  <c r="AL372" i="30"/>
  <c r="AM372" i="30"/>
  <c r="AN372" i="30"/>
  <c r="AO372" i="30"/>
  <c r="AP372" i="30"/>
  <c r="AQ372" i="30"/>
  <c r="AR372" i="30"/>
  <c r="AS372" i="30"/>
  <c r="AT372" i="30"/>
  <c r="AU372" i="30"/>
  <c r="AV372" i="30"/>
  <c r="AW372" i="30"/>
  <c r="AX372" i="30"/>
  <c r="AY372" i="30"/>
  <c r="AZ372" i="30"/>
  <c r="BA372" i="30"/>
  <c r="BB372" i="30"/>
  <c r="BC372" i="30"/>
  <c r="BD372" i="30"/>
  <c r="BE372" i="30"/>
  <c r="BF372" i="30"/>
  <c r="BG372" i="30"/>
  <c r="BH372" i="30"/>
  <c r="BI372" i="30"/>
  <c r="BJ372" i="30"/>
  <c r="BK372" i="30"/>
  <c r="BL372" i="30"/>
  <c r="BM372" i="30"/>
  <c r="BN372" i="30"/>
  <c r="BO372" i="30"/>
  <c r="BP372" i="30"/>
  <c r="BQ372" i="30"/>
  <c r="BR372" i="30"/>
  <c r="BS372" i="30"/>
  <c r="BT372" i="30"/>
  <c r="BU372" i="30"/>
  <c r="BV372" i="30"/>
  <c r="BW372" i="30"/>
  <c r="BX372" i="30"/>
  <c r="BY372" i="30"/>
  <c r="BZ372" i="30"/>
  <c r="CA372" i="30"/>
  <c r="CB372" i="30"/>
  <c r="CC372" i="30"/>
  <c r="CD372" i="30"/>
  <c r="CE372" i="30"/>
  <c r="CF372" i="30"/>
  <c r="CG372" i="30"/>
  <c r="CH372" i="30"/>
  <c r="CI372" i="30"/>
  <c r="CJ372" i="30"/>
  <c r="CK372" i="30"/>
  <c r="CL372" i="30"/>
  <c r="CM372" i="30"/>
  <c r="CN372" i="30"/>
  <c r="CO372" i="30"/>
  <c r="CP372" i="30"/>
  <c r="CQ372" i="30"/>
  <c r="CR372" i="30"/>
  <c r="CS372" i="30"/>
  <c r="CT372" i="30"/>
  <c r="CU372" i="30"/>
  <c r="CV372" i="30"/>
  <c r="CW372" i="30"/>
  <c r="CX372" i="30"/>
  <c r="CY372" i="30"/>
  <c r="CZ372" i="30"/>
  <c r="DA372" i="30"/>
  <c r="DB372" i="30"/>
  <c r="DC372" i="30"/>
  <c r="DD372" i="30"/>
  <c r="DE372" i="30"/>
  <c r="DF372" i="30"/>
  <c r="DG372" i="30"/>
  <c r="DH372" i="30"/>
  <c r="DI372" i="30"/>
  <c r="DJ372" i="30"/>
  <c r="DK372" i="30"/>
  <c r="DL372" i="30"/>
  <c r="DM372" i="30"/>
  <c r="DN372" i="30"/>
  <c r="DO372" i="30"/>
  <c r="DP372" i="30"/>
  <c r="DQ372" i="30"/>
  <c r="DR372" i="30"/>
  <c r="DS372" i="30"/>
  <c r="DT372" i="30"/>
  <c r="DU372" i="30"/>
  <c r="DV372" i="30"/>
  <c r="DW372" i="30"/>
  <c r="DX372" i="30"/>
  <c r="DY372" i="30"/>
  <c r="DZ372" i="30"/>
  <c r="EA372" i="30"/>
  <c r="EB372" i="30"/>
  <c r="EC372" i="30"/>
  <c r="ED372" i="30"/>
  <c r="EE372" i="30"/>
  <c r="EF372" i="30"/>
  <c r="EG372" i="30"/>
  <c r="EH372" i="30"/>
  <c r="EI372" i="30"/>
  <c r="EJ372" i="30"/>
  <c r="EK372" i="30"/>
  <c r="EL372" i="30"/>
  <c r="EM372" i="30"/>
  <c r="EN372" i="30"/>
  <c r="EO372" i="30"/>
  <c r="EP372" i="30"/>
  <c r="EQ372" i="30"/>
  <c r="ER372" i="30"/>
  <c r="ES372" i="30"/>
  <c r="ET372" i="30"/>
  <c r="EU372" i="30"/>
  <c r="EV372" i="30"/>
  <c r="EW372" i="30"/>
  <c r="EX372" i="30"/>
  <c r="EY372" i="30"/>
  <c r="EZ372" i="30"/>
  <c r="FA372" i="30"/>
  <c r="FB372" i="30"/>
  <c r="FC372" i="30"/>
  <c r="FD372" i="30"/>
  <c r="FE372" i="30"/>
  <c r="FF372" i="30"/>
  <c r="FG372" i="30"/>
  <c r="FH372" i="30"/>
  <c r="FI372" i="30"/>
  <c r="FJ372" i="30"/>
  <c r="FK372" i="30"/>
  <c r="FL372" i="30"/>
  <c r="FM372" i="30"/>
  <c r="FN372" i="30"/>
  <c r="FO372" i="30"/>
  <c r="FP372" i="30"/>
  <c r="FQ372" i="30"/>
  <c r="FR372" i="30"/>
  <c r="FS372" i="30"/>
  <c r="FT372" i="30"/>
  <c r="FU372" i="30"/>
  <c r="FV372" i="30"/>
  <c r="FW372" i="30"/>
  <c r="FX372" i="30"/>
  <c r="FY372" i="30"/>
  <c r="FZ372" i="30"/>
  <c r="GA372" i="30"/>
  <c r="GB372" i="30"/>
  <c r="GC372" i="30"/>
  <c r="GD372" i="30"/>
  <c r="GE372" i="30"/>
  <c r="GF372" i="30"/>
  <c r="GG372" i="30"/>
  <c r="GH372" i="30"/>
  <c r="GI372" i="30"/>
  <c r="GJ372" i="30"/>
  <c r="GK372" i="30"/>
  <c r="GL372" i="30"/>
  <c r="GM372" i="30"/>
  <c r="GN372" i="30"/>
  <c r="GO372" i="30"/>
  <c r="GP372" i="30"/>
  <c r="GQ372" i="30"/>
  <c r="GR372" i="30"/>
  <c r="GS372" i="30"/>
  <c r="GT372" i="30"/>
  <c r="GU372" i="30"/>
  <c r="GV372" i="30"/>
  <c r="GW372" i="30"/>
  <c r="GX372" i="30"/>
  <c r="GY372" i="30"/>
  <c r="GZ372" i="30"/>
  <c r="HA372" i="30"/>
  <c r="HB372" i="30"/>
  <c r="HC372" i="30"/>
  <c r="HD372" i="30"/>
  <c r="HE372" i="30"/>
  <c r="HF372" i="30"/>
  <c r="HG372" i="30"/>
  <c r="HH372" i="30"/>
  <c r="HI372" i="30"/>
  <c r="HJ372" i="30"/>
  <c r="HK372" i="30"/>
  <c r="HL372" i="30"/>
  <c r="HM372" i="30"/>
  <c r="HN372" i="30"/>
  <c r="HO372" i="30"/>
  <c r="HP372" i="30"/>
  <c r="HQ372" i="30"/>
  <c r="HR372" i="30"/>
  <c r="HS372" i="30"/>
  <c r="HT372" i="30"/>
  <c r="HU372" i="30"/>
  <c r="HV372" i="30"/>
  <c r="HW372" i="30"/>
  <c r="HX372" i="30"/>
  <c r="HY372" i="30"/>
  <c r="HZ372" i="30"/>
  <c r="IA372" i="30"/>
  <c r="IB372" i="30"/>
  <c r="IC372" i="30"/>
  <c r="ID372" i="30"/>
  <c r="IE372" i="30"/>
  <c r="IF372" i="30"/>
  <c r="IG372" i="30"/>
  <c r="IH372" i="30"/>
  <c r="II372" i="30"/>
  <c r="IJ372" i="30"/>
  <c r="IK372" i="30"/>
  <c r="IL372" i="30"/>
  <c r="IM372" i="30"/>
  <c r="IN372" i="30"/>
  <c r="IO372" i="30"/>
  <c r="IP372" i="30"/>
  <c r="IQ372" i="30"/>
  <c r="IR372" i="30"/>
  <c r="IS372" i="30"/>
  <c r="IT372" i="30"/>
  <c r="IU372" i="30"/>
  <c r="IV372" i="30"/>
  <c r="A371" i="30"/>
  <c r="B371" i="30"/>
  <c r="C371" i="30"/>
  <c r="D371" i="30"/>
  <c r="E371" i="30"/>
  <c r="F371" i="30"/>
  <c r="G371" i="30"/>
  <c r="H371" i="30"/>
  <c r="I371" i="30"/>
  <c r="J371" i="30"/>
  <c r="K371" i="30"/>
  <c r="L371" i="30"/>
  <c r="M371" i="30"/>
  <c r="N371" i="30"/>
  <c r="O371" i="30"/>
  <c r="P371" i="30"/>
  <c r="Q371" i="30"/>
  <c r="R371" i="30"/>
  <c r="S371" i="30"/>
  <c r="T371" i="30"/>
  <c r="U371" i="30"/>
  <c r="V371" i="30"/>
  <c r="W371" i="30"/>
  <c r="X371" i="30"/>
  <c r="Y371" i="30"/>
  <c r="Z371" i="30"/>
  <c r="AA371" i="30"/>
  <c r="AB371" i="30"/>
  <c r="AC371" i="30"/>
  <c r="AD371" i="30"/>
  <c r="AE371" i="30"/>
  <c r="AF371" i="30"/>
  <c r="AG371" i="30"/>
  <c r="AH371" i="30"/>
  <c r="AI371" i="30"/>
  <c r="AJ371" i="30"/>
  <c r="AK371" i="30"/>
  <c r="AL371" i="30"/>
  <c r="AM371" i="30"/>
  <c r="AN371" i="30"/>
  <c r="AO371" i="30"/>
  <c r="AP371" i="30"/>
  <c r="AQ371" i="30"/>
  <c r="AR371" i="30"/>
  <c r="AS371" i="30"/>
  <c r="AT371" i="30"/>
  <c r="AU371" i="30"/>
  <c r="AV371" i="30"/>
  <c r="AW371" i="30"/>
  <c r="AX371" i="30"/>
  <c r="AY371" i="30"/>
  <c r="AZ371" i="30"/>
  <c r="BA371" i="30"/>
  <c r="BB371" i="30"/>
  <c r="BC371" i="30"/>
  <c r="BD371" i="30"/>
  <c r="BE371" i="30"/>
  <c r="BF371" i="30"/>
  <c r="BG371" i="30"/>
  <c r="BH371" i="30"/>
  <c r="BI371" i="30"/>
  <c r="BJ371" i="30"/>
  <c r="BK371" i="30"/>
  <c r="BL371" i="30"/>
  <c r="BM371" i="30"/>
  <c r="BN371" i="30"/>
  <c r="BO371" i="30"/>
  <c r="BP371" i="30"/>
  <c r="BQ371" i="30"/>
  <c r="BR371" i="30"/>
  <c r="BS371" i="30"/>
  <c r="BT371" i="30"/>
  <c r="BU371" i="30"/>
  <c r="BV371" i="30"/>
  <c r="BW371" i="30"/>
  <c r="BX371" i="30"/>
  <c r="BY371" i="30"/>
  <c r="BZ371" i="30"/>
  <c r="CA371" i="30"/>
  <c r="CB371" i="30"/>
  <c r="CC371" i="30"/>
  <c r="CD371" i="30"/>
  <c r="CE371" i="30"/>
  <c r="CF371" i="30"/>
  <c r="CG371" i="30"/>
  <c r="CH371" i="30"/>
  <c r="CI371" i="30"/>
  <c r="CJ371" i="30"/>
  <c r="CK371" i="30"/>
  <c r="CL371" i="30"/>
  <c r="CM371" i="30"/>
  <c r="CN371" i="30"/>
  <c r="CO371" i="30"/>
  <c r="CP371" i="30"/>
  <c r="CQ371" i="30"/>
  <c r="CR371" i="30"/>
  <c r="CS371" i="30"/>
  <c r="CT371" i="30"/>
  <c r="CU371" i="30"/>
  <c r="CV371" i="30"/>
  <c r="CW371" i="30"/>
  <c r="CX371" i="30"/>
  <c r="CY371" i="30"/>
  <c r="CZ371" i="30"/>
  <c r="DA371" i="30"/>
  <c r="DB371" i="30"/>
  <c r="DC371" i="30"/>
  <c r="DD371" i="30"/>
  <c r="DE371" i="30"/>
  <c r="DF371" i="30"/>
  <c r="DG371" i="30"/>
  <c r="DH371" i="30"/>
  <c r="DI371" i="30"/>
  <c r="DJ371" i="30"/>
  <c r="DK371" i="30"/>
  <c r="DL371" i="30"/>
  <c r="DM371" i="30"/>
  <c r="DN371" i="30"/>
  <c r="DO371" i="30"/>
  <c r="DP371" i="30"/>
  <c r="DQ371" i="30"/>
  <c r="DR371" i="30"/>
  <c r="DS371" i="30"/>
  <c r="DT371" i="30"/>
  <c r="DU371" i="30"/>
  <c r="DV371" i="30"/>
  <c r="DW371" i="30"/>
  <c r="DX371" i="30"/>
  <c r="DY371" i="30"/>
  <c r="DZ371" i="30"/>
  <c r="EA371" i="30"/>
  <c r="EB371" i="30"/>
  <c r="EC371" i="30"/>
  <c r="ED371" i="30"/>
  <c r="EE371" i="30"/>
  <c r="EF371" i="30"/>
  <c r="EG371" i="30"/>
  <c r="EH371" i="30"/>
  <c r="EI371" i="30"/>
  <c r="EJ371" i="30"/>
  <c r="EK371" i="30"/>
  <c r="EL371" i="30"/>
  <c r="EM371" i="30"/>
  <c r="EN371" i="30"/>
  <c r="EO371" i="30"/>
  <c r="EP371" i="30"/>
  <c r="EQ371" i="30"/>
  <c r="ER371" i="30"/>
  <c r="ES371" i="30"/>
  <c r="ET371" i="30"/>
  <c r="EU371" i="30"/>
  <c r="EV371" i="30"/>
  <c r="EW371" i="30"/>
  <c r="EX371" i="30"/>
  <c r="EY371" i="30"/>
  <c r="EZ371" i="30"/>
  <c r="FA371" i="30"/>
  <c r="FB371" i="30"/>
  <c r="FC371" i="30"/>
  <c r="FD371" i="30"/>
  <c r="FE371" i="30"/>
  <c r="FF371" i="30"/>
  <c r="FG371" i="30"/>
  <c r="FH371" i="30"/>
  <c r="FI371" i="30"/>
  <c r="FJ371" i="30"/>
  <c r="FK371" i="30"/>
  <c r="FL371" i="30"/>
  <c r="FM371" i="30"/>
  <c r="FN371" i="30"/>
  <c r="FO371" i="30"/>
  <c r="FP371" i="30"/>
  <c r="FQ371" i="30"/>
  <c r="FR371" i="30"/>
  <c r="FS371" i="30"/>
  <c r="FT371" i="30"/>
  <c r="FU371" i="30"/>
  <c r="FV371" i="30"/>
  <c r="FW371" i="30"/>
  <c r="FX371" i="30"/>
  <c r="FY371" i="30"/>
  <c r="FZ371" i="30"/>
  <c r="GA371" i="30"/>
  <c r="GB371" i="30"/>
  <c r="GC371" i="30"/>
  <c r="GD371" i="30"/>
  <c r="GE371" i="30"/>
  <c r="GF371" i="30"/>
  <c r="GG371" i="30"/>
  <c r="GH371" i="30"/>
  <c r="GI371" i="30"/>
  <c r="GJ371" i="30"/>
  <c r="GK371" i="30"/>
  <c r="GL371" i="30"/>
  <c r="GM371" i="30"/>
  <c r="GN371" i="30"/>
  <c r="GO371" i="30"/>
  <c r="GP371" i="30"/>
  <c r="GQ371" i="30"/>
  <c r="GR371" i="30"/>
  <c r="GS371" i="30"/>
  <c r="GT371" i="30"/>
  <c r="GU371" i="30"/>
  <c r="GV371" i="30"/>
  <c r="GW371" i="30"/>
  <c r="GX371" i="30"/>
  <c r="GY371" i="30"/>
  <c r="GZ371" i="30"/>
  <c r="HA371" i="30"/>
  <c r="HB371" i="30"/>
  <c r="HC371" i="30"/>
  <c r="HD371" i="30"/>
  <c r="HE371" i="30"/>
  <c r="HF371" i="30"/>
  <c r="HG371" i="30"/>
  <c r="HH371" i="30"/>
  <c r="HI371" i="30"/>
  <c r="HJ371" i="30"/>
  <c r="HK371" i="30"/>
  <c r="HL371" i="30"/>
  <c r="HM371" i="30"/>
  <c r="HN371" i="30"/>
  <c r="HO371" i="30"/>
  <c r="HP371" i="30"/>
  <c r="HQ371" i="30"/>
  <c r="HR371" i="30"/>
  <c r="HS371" i="30"/>
  <c r="HT371" i="30"/>
  <c r="HU371" i="30"/>
  <c r="HV371" i="30"/>
  <c r="HW371" i="30"/>
  <c r="HX371" i="30"/>
  <c r="HY371" i="30"/>
  <c r="HZ371" i="30"/>
  <c r="IA371" i="30"/>
  <c r="IB371" i="30"/>
  <c r="IC371" i="30"/>
  <c r="ID371" i="30"/>
  <c r="IE371" i="30"/>
  <c r="IF371" i="30"/>
  <c r="IG371" i="30"/>
  <c r="IH371" i="30"/>
  <c r="II371" i="30"/>
  <c r="IJ371" i="30"/>
  <c r="IK371" i="30"/>
  <c r="IL371" i="30"/>
  <c r="IM371" i="30"/>
  <c r="IN371" i="30"/>
  <c r="IO371" i="30"/>
  <c r="IP371" i="30"/>
  <c r="IQ371" i="30"/>
  <c r="IR371" i="30"/>
  <c r="IS371" i="30"/>
  <c r="IT371" i="30"/>
  <c r="IU371" i="30"/>
  <c r="IV371" i="30"/>
  <c r="A370" i="30"/>
  <c r="B370" i="30"/>
  <c r="C370" i="30"/>
  <c r="D370" i="30"/>
  <c r="E370" i="30"/>
  <c r="F370" i="30"/>
  <c r="G370" i="30"/>
  <c r="H370" i="30"/>
  <c r="I370" i="30"/>
  <c r="J370" i="30"/>
  <c r="K370" i="30"/>
  <c r="L370" i="30"/>
  <c r="M370" i="30"/>
  <c r="N370" i="30"/>
  <c r="O370" i="30"/>
  <c r="P370" i="30"/>
  <c r="Q370" i="30"/>
  <c r="R370" i="30"/>
  <c r="S370" i="30"/>
  <c r="T370" i="30"/>
  <c r="U370" i="30"/>
  <c r="V370" i="30"/>
  <c r="W370" i="30"/>
  <c r="X370" i="30"/>
  <c r="Y370" i="30"/>
  <c r="Z370" i="30"/>
  <c r="AA370" i="30"/>
  <c r="AB370" i="30"/>
  <c r="AC370" i="30"/>
  <c r="AD370" i="30"/>
  <c r="AE370" i="30"/>
  <c r="AF370" i="30"/>
  <c r="AG370" i="30"/>
  <c r="AH370" i="30"/>
  <c r="AI370" i="30"/>
  <c r="AJ370" i="30"/>
  <c r="AK370" i="30"/>
  <c r="AL370" i="30"/>
  <c r="AM370" i="30"/>
  <c r="AN370" i="30"/>
  <c r="AO370" i="30"/>
  <c r="AP370" i="30"/>
  <c r="AQ370" i="30"/>
  <c r="AR370" i="30"/>
  <c r="AS370" i="30"/>
  <c r="AT370" i="30"/>
  <c r="AU370" i="30"/>
  <c r="AV370" i="30"/>
  <c r="AW370" i="30"/>
  <c r="AX370" i="30"/>
  <c r="AY370" i="30"/>
  <c r="AZ370" i="30"/>
  <c r="BA370" i="30"/>
  <c r="BB370" i="30"/>
  <c r="BC370" i="30"/>
  <c r="BD370" i="30"/>
  <c r="BE370" i="30"/>
  <c r="BF370" i="30"/>
  <c r="BG370" i="30"/>
  <c r="BH370" i="30"/>
  <c r="BI370" i="30"/>
  <c r="BJ370" i="30"/>
  <c r="BK370" i="30"/>
  <c r="BL370" i="30"/>
  <c r="BM370" i="30"/>
  <c r="BN370" i="30"/>
  <c r="BO370" i="30"/>
  <c r="BP370" i="30"/>
  <c r="BQ370" i="30"/>
  <c r="BR370" i="30"/>
  <c r="BS370" i="30"/>
  <c r="BT370" i="30"/>
  <c r="BU370" i="30"/>
  <c r="BV370" i="30"/>
  <c r="BW370" i="30"/>
  <c r="BX370" i="30"/>
  <c r="BY370" i="30"/>
  <c r="BZ370" i="30"/>
  <c r="CA370" i="30"/>
  <c r="CB370" i="30"/>
  <c r="CC370" i="30"/>
  <c r="CD370" i="30"/>
  <c r="CE370" i="30"/>
  <c r="CF370" i="30"/>
  <c r="CG370" i="30"/>
  <c r="CH370" i="30"/>
  <c r="CI370" i="30"/>
  <c r="CJ370" i="30"/>
  <c r="CK370" i="30"/>
  <c r="CL370" i="30"/>
  <c r="CM370" i="30"/>
  <c r="CN370" i="30"/>
  <c r="CO370" i="30"/>
  <c r="CP370" i="30"/>
  <c r="CQ370" i="30"/>
  <c r="CR370" i="30"/>
  <c r="CS370" i="30"/>
  <c r="CT370" i="30"/>
  <c r="CU370" i="30"/>
  <c r="CV370" i="30"/>
  <c r="CW370" i="30"/>
  <c r="CX370" i="30"/>
  <c r="CY370" i="30"/>
  <c r="CZ370" i="30"/>
  <c r="DA370" i="30"/>
  <c r="DB370" i="30"/>
  <c r="DC370" i="30"/>
  <c r="DD370" i="30"/>
  <c r="DE370" i="30"/>
  <c r="DF370" i="30"/>
  <c r="DG370" i="30"/>
  <c r="DH370" i="30"/>
  <c r="DI370" i="30"/>
  <c r="DJ370" i="30"/>
  <c r="DK370" i="30"/>
  <c r="DL370" i="30"/>
  <c r="DM370" i="30"/>
  <c r="DN370" i="30"/>
  <c r="DO370" i="30"/>
  <c r="DP370" i="30"/>
  <c r="DQ370" i="30"/>
  <c r="DR370" i="30"/>
  <c r="DS370" i="30"/>
  <c r="DT370" i="30"/>
  <c r="DU370" i="30"/>
  <c r="DV370" i="30"/>
  <c r="DW370" i="30"/>
  <c r="DX370" i="30"/>
  <c r="DY370" i="30"/>
  <c r="DZ370" i="30"/>
  <c r="EA370" i="30"/>
  <c r="EB370" i="30"/>
  <c r="EC370" i="30"/>
  <c r="ED370" i="30"/>
  <c r="EE370" i="30"/>
  <c r="EF370" i="30"/>
  <c r="EG370" i="30"/>
  <c r="EH370" i="30"/>
  <c r="EI370" i="30"/>
  <c r="EJ370" i="30"/>
  <c r="EK370" i="30"/>
  <c r="EL370" i="30"/>
  <c r="EM370" i="30"/>
  <c r="EN370" i="30"/>
  <c r="EO370" i="30"/>
  <c r="EP370" i="30"/>
  <c r="EQ370" i="30"/>
  <c r="ER370" i="30"/>
  <c r="ES370" i="30"/>
  <c r="ET370" i="30"/>
  <c r="EU370" i="30"/>
  <c r="EV370" i="30"/>
  <c r="EW370" i="30"/>
  <c r="EX370" i="30"/>
  <c r="EY370" i="30"/>
  <c r="EZ370" i="30"/>
  <c r="FA370" i="30"/>
  <c r="FB370" i="30"/>
  <c r="FC370" i="30"/>
  <c r="FD370" i="30"/>
  <c r="FE370" i="30"/>
  <c r="FF370" i="30"/>
  <c r="FG370" i="30"/>
  <c r="FH370" i="30"/>
  <c r="FI370" i="30"/>
  <c r="FJ370" i="30"/>
  <c r="FK370" i="30"/>
  <c r="FL370" i="30"/>
  <c r="FM370" i="30"/>
  <c r="FN370" i="30"/>
  <c r="FO370" i="30"/>
  <c r="FP370" i="30"/>
  <c r="FQ370" i="30"/>
  <c r="FR370" i="30"/>
  <c r="FS370" i="30"/>
  <c r="FT370" i="30"/>
  <c r="FU370" i="30"/>
  <c r="FV370" i="30"/>
  <c r="FW370" i="30"/>
  <c r="FX370" i="30"/>
  <c r="FY370" i="30"/>
  <c r="FZ370" i="30"/>
  <c r="GA370" i="30"/>
  <c r="GB370" i="30"/>
  <c r="GC370" i="30"/>
  <c r="GD370" i="30"/>
  <c r="GE370" i="30"/>
  <c r="GF370" i="30"/>
  <c r="GG370" i="30"/>
  <c r="GH370" i="30"/>
  <c r="GI370" i="30"/>
  <c r="GJ370" i="30"/>
  <c r="GK370" i="30"/>
  <c r="GL370" i="30"/>
  <c r="GM370" i="30"/>
  <c r="GN370" i="30"/>
  <c r="GO370" i="30"/>
  <c r="GP370" i="30"/>
  <c r="GQ370" i="30"/>
  <c r="GR370" i="30"/>
  <c r="GS370" i="30"/>
  <c r="GT370" i="30"/>
  <c r="GU370" i="30"/>
  <c r="GV370" i="30"/>
  <c r="GW370" i="30"/>
  <c r="GX370" i="30"/>
  <c r="GY370" i="30"/>
  <c r="GZ370" i="30"/>
  <c r="HA370" i="30"/>
  <c r="HB370" i="30"/>
  <c r="HC370" i="30"/>
  <c r="HD370" i="30"/>
  <c r="HE370" i="30"/>
  <c r="HF370" i="30"/>
  <c r="HG370" i="30"/>
  <c r="HH370" i="30"/>
  <c r="HI370" i="30"/>
  <c r="HJ370" i="30"/>
  <c r="HK370" i="30"/>
  <c r="HL370" i="30"/>
  <c r="HM370" i="30"/>
  <c r="HN370" i="30"/>
  <c r="HO370" i="30"/>
  <c r="HP370" i="30"/>
  <c r="HQ370" i="30"/>
  <c r="HR370" i="30"/>
  <c r="HS370" i="30"/>
  <c r="HT370" i="30"/>
  <c r="HU370" i="30"/>
  <c r="HV370" i="30"/>
  <c r="HW370" i="30"/>
  <c r="HX370" i="30"/>
  <c r="HY370" i="30"/>
  <c r="HZ370" i="30"/>
  <c r="IA370" i="30"/>
  <c r="IB370" i="30"/>
  <c r="IC370" i="30"/>
  <c r="ID370" i="30"/>
  <c r="IE370" i="30"/>
  <c r="IF370" i="30"/>
  <c r="IG370" i="30"/>
  <c r="IH370" i="30"/>
  <c r="II370" i="30"/>
  <c r="IJ370" i="30"/>
  <c r="IK370" i="30"/>
  <c r="IL370" i="30"/>
  <c r="IM370" i="30"/>
  <c r="IN370" i="30"/>
  <c r="IO370" i="30"/>
  <c r="IP370" i="30"/>
  <c r="IQ370" i="30"/>
  <c r="IR370" i="30"/>
  <c r="IS370" i="30"/>
  <c r="IT370" i="30"/>
  <c r="IU370" i="30"/>
  <c r="IV370" i="30"/>
  <c r="A369" i="30"/>
  <c r="B369" i="30"/>
  <c r="C369" i="30"/>
  <c r="D369" i="30"/>
  <c r="E369" i="30"/>
  <c r="F369" i="30"/>
  <c r="G369" i="30"/>
  <c r="H369" i="30"/>
  <c r="I369" i="30"/>
  <c r="J369" i="30"/>
  <c r="K369" i="30"/>
  <c r="L369" i="30"/>
  <c r="M369" i="30"/>
  <c r="N369" i="30"/>
  <c r="O369" i="30"/>
  <c r="P369" i="30"/>
  <c r="Q369" i="30"/>
  <c r="R369" i="30"/>
  <c r="S369" i="30"/>
  <c r="T369" i="30"/>
  <c r="U369" i="30"/>
  <c r="V369" i="30"/>
  <c r="W369" i="30"/>
  <c r="X369" i="30"/>
  <c r="Y369" i="30"/>
  <c r="Z369" i="30"/>
  <c r="AA369" i="30"/>
  <c r="AB369" i="30"/>
  <c r="AC369" i="30"/>
  <c r="AD369" i="30"/>
  <c r="AE369" i="30"/>
  <c r="AF369" i="30"/>
  <c r="AG369" i="30"/>
  <c r="AH369" i="30"/>
  <c r="AI369" i="30"/>
  <c r="AJ369" i="30"/>
  <c r="AK369" i="30"/>
  <c r="AL369" i="30"/>
  <c r="AM369" i="30"/>
  <c r="AN369" i="30"/>
  <c r="AO369" i="30"/>
  <c r="AP369" i="30"/>
  <c r="AQ369" i="30"/>
  <c r="AR369" i="30"/>
  <c r="AS369" i="30"/>
  <c r="AT369" i="30"/>
  <c r="AU369" i="30"/>
  <c r="AV369" i="30"/>
  <c r="AW369" i="30"/>
  <c r="AX369" i="30"/>
  <c r="AY369" i="30"/>
  <c r="AZ369" i="30"/>
  <c r="BA369" i="30"/>
  <c r="BB369" i="30"/>
  <c r="BC369" i="30"/>
  <c r="BD369" i="30"/>
  <c r="BE369" i="30"/>
  <c r="BF369" i="30"/>
  <c r="BG369" i="30"/>
  <c r="BH369" i="30"/>
  <c r="BI369" i="30"/>
  <c r="BJ369" i="30"/>
  <c r="BK369" i="30"/>
  <c r="BL369" i="30"/>
  <c r="BM369" i="30"/>
  <c r="BN369" i="30"/>
  <c r="BO369" i="30"/>
  <c r="BP369" i="30"/>
  <c r="BQ369" i="30"/>
  <c r="BR369" i="30"/>
  <c r="BS369" i="30"/>
  <c r="BT369" i="30"/>
  <c r="BU369" i="30"/>
  <c r="BV369" i="30"/>
  <c r="BW369" i="30"/>
  <c r="BX369" i="30"/>
  <c r="BY369" i="30"/>
  <c r="BZ369" i="30"/>
  <c r="CA369" i="30"/>
  <c r="CB369" i="30"/>
  <c r="CC369" i="30"/>
  <c r="CD369" i="30"/>
  <c r="CE369" i="30"/>
  <c r="CF369" i="30"/>
  <c r="CG369" i="30"/>
  <c r="CH369" i="30"/>
  <c r="CI369" i="30"/>
  <c r="CJ369" i="30"/>
  <c r="CK369" i="30"/>
  <c r="CL369" i="30"/>
  <c r="CM369" i="30"/>
  <c r="CN369" i="30"/>
  <c r="CO369" i="30"/>
  <c r="CP369" i="30"/>
  <c r="CQ369" i="30"/>
  <c r="CR369" i="30"/>
  <c r="CS369" i="30"/>
  <c r="CT369" i="30"/>
  <c r="CU369" i="30"/>
  <c r="CV369" i="30"/>
  <c r="CW369" i="30"/>
  <c r="CX369" i="30"/>
  <c r="CY369" i="30"/>
  <c r="CZ369" i="30"/>
  <c r="DA369" i="30"/>
  <c r="DB369" i="30"/>
  <c r="DC369" i="30"/>
  <c r="DD369" i="30"/>
  <c r="DE369" i="30"/>
  <c r="DF369" i="30"/>
  <c r="DG369" i="30"/>
  <c r="DH369" i="30"/>
  <c r="DI369" i="30"/>
  <c r="DJ369" i="30"/>
  <c r="DK369" i="30"/>
  <c r="DL369" i="30"/>
  <c r="DM369" i="30"/>
  <c r="DN369" i="30"/>
  <c r="DO369" i="30"/>
  <c r="DP369" i="30"/>
  <c r="DQ369" i="30"/>
  <c r="DR369" i="30"/>
  <c r="DS369" i="30"/>
  <c r="DT369" i="30"/>
  <c r="DU369" i="30"/>
  <c r="DV369" i="30"/>
  <c r="DW369" i="30"/>
  <c r="DX369" i="30"/>
  <c r="DY369" i="30"/>
  <c r="DZ369" i="30"/>
  <c r="EA369" i="30"/>
  <c r="EB369" i="30"/>
  <c r="EC369" i="30"/>
  <c r="ED369" i="30"/>
  <c r="EE369" i="30"/>
  <c r="EF369" i="30"/>
  <c r="EG369" i="30"/>
  <c r="EH369" i="30"/>
  <c r="EI369" i="30"/>
  <c r="EJ369" i="30"/>
  <c r="EK369" i="30"/>
  <c r="EL369" i="30"/>
  <c r="EM369" i="30"/>
  <c r="EN369" i="30"/>
  <c r="EO369" i="30"/>
  <c r="EP369" i="30"/>
  <c r="EQ369" i="30"/>
  <c r="ER369" i="30"/>
  <c r="ES369" i="30"/>
  <c r="ET369" i="30"/>
  <c r="EU369" i="30"/>
  <c r="EV369" i="30"/>
  <c r="EW369" i="30"/>
  <c r="EX369" i="30"/>
  <c r="EY369" i="30"/>
  <c r="EZ369" i="30"/>
  <c r="FA369" i="30"/>
  <c r="FB369" i="30"/>
  <c r="FC369" i="30"/>
  <c r="FD369" i="30"/>
  <c r="FE369" i="30"/>
  <c r="FF369" i="30"/>
  <c r="FG369" i="30"/>
  <c r="FH369" i="30"/>
  <c r="FI369" i="30"/>
  <c r="FJ369" i="30"/>
  <c r="FK369" i="30"/>
  <c r="FL369" i="30"/>
  <c r="FM369" i="30"/>
  <c r="FN369" i="30"/>
  <c r="FO369" i="30"/>
  <c r="FP369" i="30"/>
  <c r="FQ369" i="30"/>
  <c r="FR369" i="30"/>
  <c r="FS369" i="30"/>
  <c r="FT369" i="30"/>
  <c r="FU369" i="30"/>
  <c r="FV369" i="30"/>
  <c r="FW369" i="30"/>
  <c r="FX369" i="30"/>
  <c r="FY369" i="30"/>
  <c r="FZ369" i="30"/>
  <c r="GA369" i="30"/>
  <c r="GB369" i="30"/>
  <c r="GC369" i="30"/>
  <c r="GD369" i="30"/>
  <c r="GE369" i="30"/>
  <c r="GF369" i="30"/>
  <c r="GG369" i="30"/>
  <c r="GH369" i="30"/>
  <c r="GI369" i="30"/>
  <c r="GJ369" i="30"/>
  <c r="GK369" i="30"/>
  <c r="GL369" i="30"/>
  <c r="GM369" i="30"/>
  <c r="GN369" i="30"/>
  <c r="GO369" i="30"/>
  <c r="GP369" i="30"/>
  <c r="GQ369" i="30"/>
  <c r="GR369" i="30"/>
  <c r="GS369" i="30"/>
  <c r="GT369" i="30"/>
  <c r="GU369" i="30"/>
  <c r="GV369" i="30"/>
  <c r="GW369" i="30"/>
  <c r="GX369" i="30"/>
  <c r="GY369" i="30"/>
  <c r="GZ369" i="30"/>
  <c r="HA369" i="30"/>
  <c r="HB369" i="30"/>
  <c r="HC369" i="30"/>
  <c r="HD369" i="30"/>
  <c r="HE369" i="30"/>
  <c r="HF369" i="30"/>
  <c r="HG369" i="30"/>
  <c r="HH369" i="30"/>
  <c r="HI369" i="30"/>
  <c r="HJ369" i="30"/>
  <c r="HK369" i="30"/>
  <c r="HL369" i="30"/>
  <c r="HM369" i="30"/>
  <c r="HN369" i="30"/>
  <c r="HO369" i="30"/>
  <c r="HP369" i="30"/>
  <c r="HQ369" i="30"/>
  <c r="HR369" i="30"/>
  <c r="HS369" i="30"/>
  <c r="HT369" i="30"/>
  <c r="HU369" i="30"/>
  <c r="HV369" i="30"/>
  <c r="HW369" i="30"/>
  <c r="HX369" i="30"/>
  <c r="HY369" i="30"/>
  <c r="HZ369" i="30"/>
  <c r="IA369" i="30"/>
  <c r="IB369" i="30"/>
  <c r="IC369" i="30"/>
  <c r="ID369" i="30"/>
  <c r="IE369" i="30"/>
  <c r="IF369" i="30"/>
  <c r="IG369" i="30"/>
  <c r="IH369" i="30"/>
  <c r="II369" i="30"/>
  <c r="IJ369" i="30"/>
  <c r="IK369" i="30"/>
  <c r="IL369" i="30"/>
  <c r="IM369" i="30"/>
  <c r="IN369" i="30"/>
  <c r="IO369" i="30"/>
  <c r="IP369" i="30"/>
  <c r="IQ369" i="30"/>
  <c r="IR369" i="30"/>
  <c r="IS369" i="30"/>
  <c r="IT369" i="30"/>
  <c r="IU369" i="30"/>
  <c r="IV369" i="30"/>
  <c r="A368" i="30"/>
  <c r="B368" i="30"/>
  <c r="C368" i="30"/>
  <c r="D368" i="30"/>
  <c r="E368" i="30"/>
  <c r="F368" i="30"/>
  <c r="G368" i="30"/>
  <c r="H368" i="30"/>
  <c r="I368" i="30"/>
  <c r="J368" i="30"/>
  <c r="K368" i="30"/>
  <c r="L368" i="30"/>
  <c r="M368" i="30"/>
  <c r="N368" i="30"/>
  <c r="O368" i="30"/>
  <c r="P368" i="30"/>
  <c r="Q368" i="30"/>
  <c r="R368" i="30"/>
  <c r="S368" i="30"/>
  <c r="T368" i="30"/>
  <c r="U368" i="30"/>
  <c r="V368" i="30"/>
  <c r="W368" i="30"/>
  <c r="X368" i="30"/>
  <c r="Y368" i="30"/>
  <c r="Z368" i="30"/>
  <c r="AA368" i="30"/>
  <c r="AB368" i="30"/>
  <c r="AC368" i="30"/>
  <c r="AD368" i="30"/>
  <c r="AE368" i="30"/>
  <c r="AF368" i="30"/>
  <c r="AG368" i="30"/>
  <c r="AH368" i="30"/>
  <c r="AI368" i="30"/>
  <c r="AJ368" i="30"/>
  <c r="AK368" i="30"/>
  <c r="AL368" i="30"/>
  <c r="AM368" i="30"/>
  <c r="AN368" i="30"/>
  <c r="AO368" i="30"/>
  <c r="AP368" i="30"/>
  <c r="AQ368" i="30"/>
  <c r="AR368" i="30"/>
  <c r="AS368" i="30"/>
  <c r="AT368" i="30"/>
  <c r="AU368" i="30"/>
  <c r="AV368" i="30"/>
  <c r="AW368" i="30"/>
  <c r="AX368" i="30"/>
  <c r="AY368" i="30"/>
  <c r="AZ368" i="30"/>
  <c r="BA368" i="30"/>
  <c r="BB368" i="30"/>
  <c r="BC368" i="30"/>
  <c r="BD368" i="30"/>
  <c r="BE368" i="30"/>
  <c r="BF368" i="30"/>
  <c r="BG368" i="30"/>
  <c r="BH368" i="30"/>
  <c r="BI368" i="30"/>
  <c r="BJ368" i="30"/>
  <c r="BK368" i="30"/>
  <c r="BL368" i="30"/>
  <c r="BM368" i="30"/>
  <c r="BN368" i="30"/>
  <c r="BO368" i="30"/>
  <c r="BP368" i="30"/>
  <c r="BQ368" i="30"/>
  <c r="BR368" i="30"/>
  <c r="BS368" i="30"/>
  <c r="BT368" i="30"/>
  <c r="BU368" i="30"/>
  <c r="BV368" i="30"/>
  <c r="BW368" i="30"/>
  <c r="BX368" i="30"/>
  <c r="BY368" i="30"/>
  <c r="BZ368" i="30"/>
  <c r="CA368" i="30"/>
  <c r="CB368" i="30"/>
  <c r="CC368" i="30"/>
  <c r="CD368" i="30"/>
  <c r="CE368" i="30"/>
  <c r="CF368" i="30"/>
  <c r="CG368" i="30"/>
  <c r="CH368" i="30"/>
  <c r="CI368" i="30"/>
  <c r="CJ368" i="30"/>
  <c r="CK368" i="30"/>
  <c r="CL368" i="30"/>
  <c r="CM368" i="30"/>
  <c r="CN368" i="30"/>
  <c r="CO368" i="30"/>
  <c r="CP368" i="30"/>
  <c r="CQ368" i="30"/>
  <c r="CR368" i="30"/>
  <c r="CS368" i="30"/>
  <c r="CT368" i="30"/>
  <c r="CU368" i="30"/>
  <c r="CV368" i="30"/>
  <c r="CW368" i="30"/>
  <c r="CX368" i="30"/>
  <c r="CY368" i="30"/>
  <c r="CZ368" i="30"/>
  <c r="DA368" i="30"/>
  <c r="DB368" i="30"/>
  <c r="DC368" i="30"/>
  <c r="DD368" i="30"/>
  <c r="DE368" i="30"/>
  <c r="DF368" i="30"/>
  <c r="DG368" i="30"/>
  <c r="DH368" i="30"/>
  <c r="DI368" i="30"/>
  <c r="DJ368" i="30"/>
  <c r="DK368" i="30"/>
  <c r="DL368" i="30"/>
  <c r="DM368" i="30"/>
  <c r="DN368" i="30"/>
  <c r="DO368" i="30"/>
  <c r="DP368" i="30"/>
  <c r="DQ368" i="30"/>
  <c r="DR368" i="30"/>
  <c r="DS368" i="30"/>
  <c r="DT368" i="30"/>
  <c r="DU368" i="30"/>
  <c r="DV368" i="30"/>
  <c r="DW368" i="30"/>
  <c r="DX368" i="30"/>
  <c r="DY368" i="30"/>
  <c r="DZ368" i="30"/>
  <c r="EA368" i="30"/>
  <c r="EB368" i="30"/>
  <c r="EC368" i="30"/>
  <c r="ED368" i="30"/>
  <c r="EE368" i="30"/>
  <c r="EF368" i="30"/>
  <c r="EG368" i="30"/>
  <c r="EH368" i="30"/>
  <c r="EI368" i="30"/>
  <c r="EJ368" i="30"/>
  <c r="EK368" i="30"/>
  <c r="EL368" i="30"/>
  <c r="EM368" i="30"/>
  <c r="EN368" i="30"/>
  <c r="EO368" i="30"/>
  <c r="EP368" i="30"/>
  <c r="EQ368" i="30"/>
  <c r="ER368" i="30"/>
  <c r="ES368" i="30"/>
  <c r="ET368" i="30"/>
  <c r="EU368" i="30"/>
  <c r="EV368" i="30"/>
  <c r="EW368" i="30"/>
  <c r="EX368" i="30"/>
  <c r="EY368" i="30"/>
  <c r="EZ368" i="30"/>
  <c r="FA368" i="30"/>
  <c r="FB368" i="30"/>
  <c r="FC368" i="30"/>
  <c r="FD368" i="30"/>
  <c r="FE368" i="30"/>
  <c r="FF368" i="30"/>
  <c r="FG368" i="30"/>
  <c r="FH368" i="30"/>
  <c r="FI368" i="30"/>
  <c r="FJ368" i="30"/>
  <c r="FK368" i="30"/>
  <c r="FL368" i="30"/>
  <c r="FM368" i="30"/>
  <c r="FN368" i="30"/>
  <c r="FO368" i="30"/>
  <c r="FP368" i="30"/>
  <c r="FQ368" i="30"/>
  <c r="FR368" i="30"/>
  <c r="FS368" i="30"/>
  <c r="FT368" i="30"/>
  <c r="FU368" i="30"/>
  <c r="FV368" i="30"/>
  <c r="FW368" i="30"/>
  <c r="FX368" i="30"/>
  <c r="FY368" i="30"/>
  <c r="FZ368" i="30"/>
  <c r="GA368" i="30"/>
  <c r="GB368" i="30"/>
  <c r="GC368" i="30"/>
  <c r="GD368" i="30"/>
  <c r="GE368" i="30"/>
  <c r="GF368" i="30"/>
  <c r="GG368" i="30"/>
  <c r="GH368" i="30"/>
  <c r="GI368" i="30"/>
  <c r="GJ368" i="30"/>
  <c r="GK368" i="30"/>
  <c r="GL368" i="30"/>
  <c r="GM368" i="30"/>
  <c r="GN368" i="30"/>
  <c r="GO368" i="30"/>
  <c r="GP368" i="30"/>
  <c r="GQ368" i="30"/>
  <c r="GR368" i="30"/>
  <c r="GS368" i="30"/>
  <c r="GT368" i="30"/>
  <c r="GU368" i="30"/>
  <c r="GV368" i="30"/>
  <c r="GW368" i="30"/>
  <c r="GX368" i="30"/>
  <c r="GY368" i="30"/>
  <c r="GZ368" i="30"/>
  <c r="HA368" i="30"/>
  <c r="HB368" i="30"/>
  <c r="HC368" i="30"/>
  <c r="HD368" i="30"/>
  <c r="HE368" i="30"/>
  <c r="HF368" i="30"/>
  <c r="HG368" i="30"/>
  <c r="HH368" i="30"/>
  <c r="HI368" i="30"/>
  <c r="HJ368" i="30"/>
  <c r="HK368" i="30"/>
  <c r="HL368" i="30"/>
  <c r="HM368" i="30"/>
  <c r="HN368" i="30"/>
  <c r="HO368" i="30"/>
  <c r="HP368" i="30"/>
  <c r="HQ368" i="30"/>
  <c r="HR368" i="30"/>
  <c r="HS368" i="30"/>
  <c r="HT368" i="30"/>
  <c r="HU368" i="30"/>
  <c r="HV368" i="30"/>
  <c r="HW368" i="30"/>
  <c r="HX368" i="30"/>
  <c r="HY368" i="30"/>
  <c r="HZ368" i="30"/>
  <c r="IA368" i="30"/>
  <c r="IB368" i="30"/>
  <c r="IC368" i="30"/>
  <c r="ID368" i="30"/>
  <c r="IE368" i="30"/>
  <c r="IF368" i="30"/>
  <c r="IG368" i="30"/>
  <c r="IH368" i="30"/>
  <c r="II368" i="30"/>
  <c r="IJ368" i="30"/>
  <c r="IK368" i="30"/>
  <c r="IL368" i="30"/>
  <c r="IM368" i="30"/>
  <c r="IN368" i="30"/>
  <c r="IO368" i="30"/>
  <c r="IP368" i="30"/>
  <c r="IQ368" i="30"/>
  <c r="IR368" i="30"/>
  <c r="IS368" i="30"/>
  <c r="IT368" i="30"/>
  <c r="IU368" i="30"/>
  <c r="IV368" i="30"/>
  <c r="A367" i="30"/>
  <c r="B367" i="30"/>
  <c r="C367" i="30"/>
  <c r="D367" i="30"/>
  <c r="E367" i="30"/>
  <c r="F367" i="30"/>
  <c r="G367" i="30"/>
  <c r="H367" i="30"/>
  <c r="I367" i="30"/>
  <c r="J367" i="30"/>
  <c r="K367" i="30"/>
  <c r="L367" i="30"/>
  <c r="M367" i="30"/>
  <c r="N367" i="30"/>
  <c r="O367" i="30"/>
  <c r="P367" i="30"/>
  <c r="Q367" i="30"/>
  <c r="R367" i="30"/>
  <c r="S367" i="30"/>
  <c r="T367" i="30"/>
  <c r="U367" i="30"/>
  <c r="V367" i="30"/>
  <c r="W367" i="30"/>
  <c r="X367" i="30"/>
  <c r="Y367" i="30"/>
  <c r="Z367" i="30"/>
  <c r="AA367" i="30"/>
  <c r="AB367" i="30"/>
  <c r="AC367" i="30"/>
  <c r="AD367" i="30"/>
  <c r="AE367" i="30"/>
  <c r="AF367" i="30"/>
  <c r="AG367" i="30"/>
  <c r="AH367" i="30"/>
  <c r="AI367" i="30"/>
  <c r="AJ367" i="30"/>
  <c r="AK367" i="30"/>
  <c r="AL367" i="30"/>
  <c r="AM367" i="30"/>
  <c r="AN367" i="30"/>
  <c r="AO367" i="30"/>
  <c r="AP367" i="30"/>
  <c r="AQ367" i="30"/>
  <c r="AR367" i="30"/>
  <c r="AS367" i="30"/>
  <c r="AT367" i="30"/>
  <c r="AU367" i="30"/>
  <c r="AV367" i="30"/>
  <c r="AW367" i="30"/>
  <c r="AX367" i="30"/>
  <c r="AY367" i="30"/>
  <c r="AZ367" i="30"/>
  <c r="BA367" i="30"/>
  <c r="BB367" i="30"/>
  <c r="BC367" i="30"/>
  <c r="BD367" i="30"/>
  <c r="BE367" i="30"/>
  <c r="BF367" i="30"/>
  <c r="BG367" i="30"/>
  <c r="BH367" i="30"/>
  <c r="BI367" i="30"/>
  <c r="BJ367" i="30"/>
  <c r="BK367" i="30"/>
  <c r="BL367" i="30"/>
  <c r="BM367" i="30"/>
  <c r="BN367" i="30"/>
  <c r="BO367" i="30"/>
  <c r="BP367" i="30"/>
  <c r="BQ367" i="30"/>
  <c r="BR367" i="30"/>
  <c r="BS367" i="30"/>
  <c r="BT367" i="30"/>
  <c r="BU367" i="30"/>
  <c r="BV367" i="30"/>
  <c r="BW367" i="30"/>
  <c r="BX367" i="30"/>
  <c r="BY367" i="30"/>
  <c r="BZ367" i="30"/>
  <c r="CA367" i="30"/>
  <c r="CB367" i="30"/>
  <c r="CC367" i="30"/>
  <c r="CD367" i="30"/>
  <c r="CE367" i="30"/>
  <c r="CF367" i="30"/>
  <c r="CG367" i="30"/>
  <c r="CH367" i="30"/>
  <c r="CI367" i="30"/>
  <c r="CJ367" i="30"/>
  <c r="CK367" i="30"/>
  <c r="CL367" i="30"/>
  <c r="CM367" i="30"/>
  <c r="CN367" i="30"/>
  <c r="CO367" i="30"/>
  <c r="CP367" i="30"/>
  <c r="CQ367" i="30"/>
  <c r="CR367" i="30"/>
  <c r="CS367" i="30"/>
  <c r="CT367" i="30"/>
  <c r="CU367" i="30"/>
  <c r="CV367" i="30"/>
  <c r="CW367" i="30"/>
  <c r="CX367" i="30"/>
  <c r="CY367" i="30"/>
  <c r="CZ367" i="30"/>
  <c r="DA367" i="30"/>
  <c r="DB367" i="30"/>
  <c r="DC367" i="30"/>
  <c r="DD367" i="30"/>
  <c r="DE367" i="30"/>
  <c r="DF367" i="30"/>
  <c r="DG367" i="30"/>
  <c r="DH367" i="30"/>
  <c r="DI367" i="30"/>
  <c r="DJ367" i="30"/>
  <c r="DK367" i="30"/>
  <c r="DL367" i="30"/>
  <c r="DM367" i="30"/>
  <c r="DN367" i="30"/>
  <c r="DO367" i="30"/>
  <c r="DP367" i="30"/>
  <c r="DQ367" i="30"/>
  <c r="DR367" i="30"/>
  <c r="DS367" i="30"/>
  <c r="DT367" i="30"/>
  <c r="DU367" i="30"/>
  <c r="DV367" i="30"/>
  <c r="DW367" i="30"/>
  <c r="DX367" i="30"/>
  <c r="DY367" i="30"/>
  <c r="DZ367" i="30"/>
  <c r="EA367" i="30"/>
  <c r="EB367" i="30"/>
  <c r="EC367" i="30"/>
  <c r="ED367" i="30"/>
  <c r="EE367" i="30"/>
  <c r="EF367" i="30"/>
  <c r="EG367" i="30"/>
  <c r="EH367" i="30"/>
  <c r="EI367" i="30"/>
  <c r="EJ367" i="30"/>
  <c r="EK367" i="30"/>
  <c r="EL367" i="30"/>
  <c r="EM367" i="30"/>
  <c r="EN367" i="30"/>
  <c r="EO367" i="30"/>
  <c r="EP367" i="30"/>
  <c r="EQ367" i="30"/>
  <c r="ER367" i="30"/>
  <c r="ES367" i="30"/>
  <c r="ET367" i="30"/>
  <c r="EU367" i="30"/>
  <c r="EV367" i="30"/>
  <c r="EW367" i="30"/>
  <c r="EX367" i="30"/>
  <c r="EY367" i="30"/>
  <c r="EZ367" i="30"/>
  <c r="FA367" i="30"/>
  <c r="FB367" i="30"/>
  <c r="FC367" i="30"/>
  <c r="FD367" i="30"/>
  <c r="FE367" i="30"/>
  <c r="FF367" i="30"/>
  <c r="FG367" i="30"/>
  <c r="FH367" i="30"/>
  <c r="FI367" i="30"/>
  <c r="FJ367" i="30"/>
  <c r="FK367" i="30"/>
  <c r="FL367" i="30"/>
  <c r="FM367" i="30"/>
  <c r="FN367" i="30"/>
  <c r="FO367" i="30"/>
  <c r="FP367" i="30"/>
  <c r="FQ367" i="30"/>
  <c r="FR367" i="30"/>
  <c r="FS367" i="30"/>
  <c r="FT367" i="30"/>
  <c r="FU367" i="30"/>
  <c r="FV367" i="30"/>
  <c r="FW367" i="30"/>
  <c r="FX367" i="30"/>
  <c r="FY367" i="30"/>
  <c r="FZ367" i="30"/>
  <c r="GA367" i="30"/>
  <c r="GB367" i="30"/>
  <c r="GC367" i="30"/>
  <c r="GD367" i="30"/>
  <c r="GE367" i="30"/>
  <c r="GF367" i="30"/>
  <c r="GG367" i="30"/>
  <c r="GH367" i="30"/>
  <c r="GI367" i="30"/>
  <c r="GJ367" i="30"/>
  <c r="GK367" i="30"/>
  <c r="GL367" i="30"/>
  <c r="GM367" i="30"/>
  <c r="GN367" i="30"/>
  <c r="GO367" i="30"/>
  <c r="GP367" i="30"/>
  <c r="GQ367" i="30"/>
  <c r="GR367" i="30"/>
  <c r="GS367" i="30"/>
  <c r="GT367" i="30"/>
  <c r="GU367" i="30"/>
  <c r="GV367" i="30"/>
  <c r="GW367" i="30"/>
  <c r="GX367" i="30"/>
  <c r="GY367" i="30"/>
  <c r="GZ367" i="30"/>
  <c r="HA367" i="30"/>
  <c r="HB367" i="30"/>
  <c r="HC367" i="30"/>
  <c r="HD367" i="30"/>
  <c r="HE367" i="30"/>
  <c r="HF367" i="30"/>
  <c r="HG367" i="30"/>
  <c r="HH367" i="30"/>
  <c r="HI367" i="30"/>
  <c r="HJ367" i="30"/>
  <c r="HK367" i="30"/>
  <c r="HL367" i="30"/>
  <c r="HM367" i="30"/>
  <c r="HN367" i="30"/>
  <c r="HO367" i="30"/>
  <c r="HP367" i="30"/>
  <c r="HQ367" i="30"/>
  <c r="HR367" i="30"/>
  <c r="HS367" i="30"/>
  <c r="HT367" i="30"/>
  <c r="HU367" i="30"/>
  <c r="HV367" i="30"/>
  <c r="HW367" i="30"/>
  <c r="HX367" i="30"/>
  <c r="HY367" i="30"/>
  <c r="HZ367" i="30"/>
  <c r="IA367" i="30"/>
  <c r="IB367" i="30"/>
  <c r="IC367" i="30"/>
  <c r="ID367" i="30"/>
  <c r="IE367" i="30"/>
  <c r="IF367" i="30"/>
  <c r="IG367" i="30"/>
  <c r="IH367" i="30"/>
  <c r="II367" i="30"/>
  <c r="IJ367" i="30"/>
  <c r="IK367" i="30"/>
  <c r="IL367" i="30"/>
  <c r="IM367" i="30"/>
  <c r="IN367" i="30"/>
  <c r="IO367" i="30"/>
  <c r="IP367" i="30"/>
  <c r="IQ367" i="30"/>
  <c r="IR367" i="30"/>
  <c r="IS367" i="30"/>
  <c r="IT367" i="30"/>
  <c r="IU367" i="30"/>
  <c r="IV367" i="30"/>
  <c r="A366" i="30"/>
  <c r="B366" i="30"/>
  <c r="C366" i="30"/>
  <c r="D366" i="30"/>
  <c r="E366" i="30"/>
  <c r="F366" i="30"/>
  <c r="G366" i="30"/>
  <c r="H366" i="30"/>
  <c r="I366" i="30"/>
  <c r="J366" i="30"/>
  <c r="K366" i="30"/>
  <c r="L366" i="30"/>
  <c r="M366" i="30"/>
  <c r="N366" i="30"/>
  <c r="O366" i="30"/>
  <c r="P366" i="30"/>
  <c r="Q366" i="30"/>
  <c r="R366" i="30"/>
  <c r="S366" i="30"/>
  <c r="T366" i="30"/>
  <c r="U366" i="30"/>
  <c r="V366" i="30"/>
  <c r="W366" i="30"/>
  <c r="X366" i="30"/>
  <c r="Y366" i="30"/>
  <c r="Z366" i="30"/>
  <c r="AA366" i="30"/>
  <c r="AB366" i="30"/>
  <c r="AC366" i="30"/>
  <c r="AD366" i="30"/>
  <c r="AE366" i="30"/>
  <c r="AF366" i="30"/>
  <c r="AG366" i="30"/>
  <c r="AH366" i="30"/>
  <c r="AI366" i="30"/>
  <c r="AJ366" i="30"/>
  <c r="AK366" i="30"/>
  <c r="AL366" i="30"/>
  <c r="AM366" i="30"/>
  <c r="AN366" i="30"/>
  <c r="AO366" i="30"/>
  <c r="AP366" i="30"/>
  <c r="AQ366" i="30"/>
  <c r="AR366" i="30"/>
  <c r="AS366" i="30"/>
  <c r="AT366" i="30"/>
  <c r="AU366" i="30"/>
  <c r="AV366" i="30"/>
  <c r="AW366" i="30"/>
  <c r="AX366" i="30"/>
  <c r="AY366" i="30"/>
  <c r="AZ366" i="30"/>
  <c r="BA366" i="30"/>
  <c r="BB366" i="30"/>
  <c r="BC366" i="30"/>
  <c r="BD366" i="30"/>
  <c r="BE366" i="30"/>
  <c r="BF366" i="30"/>
  <c r="BG366" i="30"/>
  <c r="BH366" i="30"/>
  <c r="BI366" i="30"/>
  <c r="BJ366" i="30"/>
  <c r="BK366" i="30"/>
  <c r="BL366" i="30"/>
  <c r="BM366" i="30"/>
  <c r="BN366" i="30"/>
  <c r="BO366" i="30"/>
  <c r="BP366" i="30"/>
  <c r="BQ366" i="30"/>
  <c r="BR366" i="30"/>
  <c r="BS366" i="30"/>
  <c r="BT366" i="30"/>
  <c r="BU366" i="30"/>
  <c r="BV366" i="30"/>
  <c r="BW366" i="30"/>
  <c r="BX366" i="30"/>
  <c r="BY366" i="30"/>
  <c r="BZ366" i="30"/>
  <c r="CA366" i="30"/>
  <c r="CB366" i="30"/>
  <c r="CC366" i="30"/>
  <c r="CD366" i="30"/>
  <c r="CE366" i="30"/>
  <c r="CF366" i="30"/>
  <c r="CG366" i="30"/>
  <c r="CH366" i="30"/>
  <c r="CI366" i="30"/>
  <c r="CJ366" i="30"/>
  <c r="CK366" i="30"/>
  <c r="CL366" i="30"/>
  <c r="CM366" i="30"/>
  <c r="CN366" i="30"/>
  <c r="CO366" i="30"/>
  <c r="CP366" i="30"/>
  <c r="CQ366" i="30"/>
  <c r="CR366" i="30"/>
  <c r="CS366" i="30"/>
  <c r="CT366" i="30"/>
  <c r="CU366" i="30"/>
  <c r="CV366" i="30"/>
  <c r="CW366" i="30"/>
  <c r="CX366" i="30"/>
  <c r="CY366" i="30"/>
  <c r="CZ366" i="30"/>
  <c r="DA366" i="30"/>
  <c r="DB366" i="30"/>
  <c r="DC366" i="30"/>
  <c r="DD366" i="30"/>
  <c r="DE366" i="30"/>
  <c r="DF366" i="30"/>
  <c r="DG366" i="30"/>
  <c r="DH366" i="30"/>
  <c r="DI366" i="30"/>
  <c r="DJ366" i="30"/>
  <c r="DK366" i="30"/>
  <c r="DL366" i="30"/>
  <c r="DM366" i="30"/>
  <c r="DN366" i="30"/>
  <c r="DO366" i="30"/>
  <c r="DP366" i="30"/>
  <c r="DQ366" i="30"/>
  <c r="DR366" i="30"/>
  <c r="DS366" i="30"/>
  <c r="DT366" i="30"/>
  <c r="DU366" i="30"/>
  <c r="DV366" i="30"/>
  <c r="DW366" i="30"/>
  <c r="DX366" i="30"/>
  <c r="DY366" i="30"/>
  <c r="DZ366" i="30"/>
  <c r="EA366" i="30"/>
  <c r="EB366" i="30"/>
  <c r="EC366" i="30"/>
  <c r="ED366" i="30"/>
  <c r="EE366" i="30"/>
  <c r="EF366" i="30"/>
  <c r="EG366" i="30"/>
  <c r="EH366" i="30"/>
  <c r="EI366" i="30"/>
  <c r="EJ366" i="30"/>
  <c r="EK366" i="30"/>
  <c r="EL366" i="30"/>
  <c r="EM366" i="30"/>
  <c r="EN366" i="30"/>
  <c r="EO366" i="30"/>
  <c r="EP366" i="30"/>
  <c r="EQ366" i="30"/>
  <c r="ER366" i="30"/>
  <c r="ES366" i="30"/>
  <c r="ET366" i="30"/>
  <c r="EU366" i="30"/>
  <c r="EV366" i="30"/>
  <c r="EW366" i="30"/>
  <c r="EX366" i="30"/>
  <c r="EY366" i="30"/>
  <c r="EZ366" i="30"/>
  <c r="FA366" i="30"/>
  <c r="FB366" i="30"/>
  <c r="FC366" i="30"/>
  <c r="FD366" i="30"/>
  <c r="FE366" i="30"/>
  <c r="FF366" i="30"/>
  <c r="FG366" i="30"/>
  <c r="FH366" i="30"/>
  <c r="FI366" i="30"/>
  <c r="FJ366" i="30"/>
  <c r="FK366" i="30"/>
  <c r="FL366" i="30"/>
  <c r="FM366" i="30"/>
  <c r="FN366" i="30"/>
  <c r="FO366" i="30"/>
  <c r="FP366" i="30"/>
  <c r="FQ366" i="30"/>
  <c r="FR366" i="30"/>
  <c r="FS366" i="30"/>
  <c r="FT366" i="30"/>
  <c r="FU366" i="30"/>
  <c r="FV366" i="30"/>
  <c r="FW366" i="30"/>
  <c r="FX366" i="30"/>
  <c r="FY366" i="30"/>
  <c r="FZ366" i="30"/>
  <c r="GA366" i="30"/>
  <c r="GB366" i="30"/>
  <c r="GC366" i="30"/>
  <c r="GD366" i="30"/>
  <c r="GE366" i="30"/>
  <c r="GF366" i="30"/>
  <c r="GG366" i="30"/>
  <c r="GH366" i="30"/>
  <c r="GI366" i="30"/>
  <c r="GJ366" i="30"/>
  <c r="GK366" i="30"/>
  <c r="GL366" i="30"/>
  <c r="GM366" i="30"/>
  <c r="GN366" i="30"/>
  <c r="GO366" i="30"/>
  <c r="GP366" i="30"/>
  <c r="GQ366" i="30"/>
  <c r="GR366" i="30"/>
  <c r="GS366" i="30"/>
  <c r="GT366" i="30"/>
  <c r="GU366" i="30"/>
  <c r="GV366" i="30"/>
  <c r="GW366" i="30"/>
  <c r="GX366" i="30"/>
  <c r="GY366" i="30"/>
  <c r="GZ366" i="30"/>
  <c r="HA366" i="30"/>
  <c r="HB366" i="30"/>
  <c r="HC366" i="30"/>
  <c r="HD366" i="30"/>
  <c r="HE366" i="30"/>
  <c r="HF366" i="30"/>
  <c r="HG366" i="30"/>
  <c r="HH366" i="30"/>
  <c r="HI366" i="30"/>
  <c r="HJ366" i="30"/>
  <c r="HK366" i="30"/>
  <c r="HL366" i="30"/>
  <c r="HM366" i="30"/>
  <c r="HN366" i="30"/>
  <c r="HO366" i="30"/>
  <c r="HP366" i="30"/>
  <c r="HQ366" i="30"/>
  <c r="HR366" i="30"/>
  <c r="HS366" i="30"/>
  <c r="HT366" i="30"/>
  <c r="HU366" i="30"/>
  <c r="HV366" i="30"/>
  <c r="HW366" i="30"/>
  <c r="HX366" i="30"/>
  <c r="HY366" i="30"/>
  <c r="HZ366" i="30"/>
  <c r="IA366" i="30"/>
  <c r="IB366" i="30"/>
  <c r="IC366" i="30"/>
  <c r="ID366" i="30"/>
  <c r="IE366" i="30"/>
  <c r="IF366" i="30"/>
  <c r="IG366" i="30"/>
  <c r="IH366" i="30"/>
  <c r="II366" i="30"/>
  <c r="IJ366" i="30"/>
  <c r="IK366" i="30"/>
  <c r="IL366" i="30"/>
  <c r="IM366" i="30"/>
  <c r="IN366" i="30"/>
  <c r="IO366" i="30"/>
  <c r="IP366" i="30"/>
  <c r="IQ366" i="30"/>
  <c r="IR366" i="30"/>
  <c r="IS366" i="30"/>
  <c r="IT366" i="30"/>
  <c r="IU366" i="30"/>
  <c r="IV366" i="30"/>
  <c r="A365" i="30"/>
  <c r="B365" i="30"/>
  <c r="C365" i="30"/>
  <c r="D365" i="30"/>
  <c r="E365" i="30"/>
  <c r="F365" i="30"/>
  <c r="G365" i="30"/>
  <c r="H365" i="30"/>
  <c r="I365" i="30"/>
  <c r="J365" i="30"/>
  <c r="K365" i="30"/>
  <c r="L365" i="30"/>
  <c r="M365" i="30"/>
  <c r="N365" i="30"/>
  <c r="O365" i="30"/>
  <c r="P365" i="30"/>
  <c r="Q365" i="30"/>
  <c r="R365" i="30"/>
  <c r="S365" i="30"/>
  <c r="T365" i="30"/>
  <c r="U365" i="30"/>
  <c r="V365" i="30"/>
  <c r="W365" i="30"/>
  <c r="X365" i="30"/>
  <c r="Y365" i="30"/>
  <c r="Z365" i="30"/>
  <c r="AA365" i="30"/>
  <c r="AB365" i="30"/>
  <c r="AC365" i="30"/>
  <c r="AD365" i="30"/>
  <c r="AE365" i="30"/>
  <c r="AF365" i="30"/>
  <c r="AG365" i="30"/>
  <c r="AH365" i="30"/>
  <c r="AI365" i="30"/>
  <c r="AJ365" i="30"/>
  <c r="AK365" i="30"/>
  <c r="AL365" i="30"/>
  <c r="AM365" i="30"/>
  <c r="AN365" i="30"/>
  <c r="AO365" i="30"/>
  <c r="AP365" i="30"/>
  <c r="AQ365" i="30"/>
  <c r="AR365" i="30"/>
  <c r="AS365" i="30"/>
  <c r="AT365" i="30"/>
  <c r="AU365" i="30"/>
  <c r="AV365" i="30"/>
  <c r="AW365" i="30"/>
  <c r="AX365" i="30"/>
  <c r="AY365" i="30"/>
  <c r="AZ365" i="30"/>
  <c r="BA365" i="30"/>
  <c r="BB365" i="30"/>
  <c r="BC365" i="30"/>
  <c r="BD365" i="30"/>
  <c r="BE365" i="30"/>
  <c r="BF365" i="30"/>
  <c r="BG365" i="30"/>
  <c r="BH365" i="30"/>
  <c r="BI365" i="30"/>
  <c r="BJ365" i="30"/>
  <c r="BK365" i="30"/>
  <c r="BL365" i="30"/>
  <c r="BM365" i="30"/>
  <c r="BN365" i="30"/>
  <c r="BO365" i="30"/>
  <c r="BP365" i="30"/>
  <c r="BQ365" i="30"/>
  <c r="BR365" i="30"/>
  <c r="BS365" i="30"/>
  <c r="BT365" i="30"/>
  <c r="BU365" i="30"/>
  <c r="BV365" i="30"/>
  <c r="BW365" i="30"/>
  <c r="BX365" i="30"/>
  <c r="BY365" i="30"/>
  <c r="BZ365" i="30"/>
  <c r="CA365" i="30"/>
  <c r="CB365" i="30"/>
  <c r="CC365" i="30"/>
  <c r="CD365" i="30"/>
  <c r="CE365" i="30"/>
  <c r="CF365" i="30"/>
  <c r="CG365" i="30"/>
  <c r="CH365" i="30"/>
  <c r="CI365" i="30"/>
  <c r="CJ365" i="30"/>
  <c r="CK365" i="30"/>
  <c r="CL365" i="30"/>
  <c r="CM365" i="30"/>
  <c r="CN365" i="30"/>
  <c r="CO365" i="30"/>
  <c r="CP365" i="30"/>
  <c r="CQ365" i="30"/>
  <c r="CR365" i="30"/>
  <c r="CS365" i="30"/>
  <c r="CT365" i="30"/>
  <c r="CU365" i="30"/>
  <c r="CV365" i="30"/>
  <c r="CW365" i="30"/>
  <c r="CX365" i="30"/>
  <c r="CY365" i="30"/>
  <c r="CZ365" i="30"/>
  <c r="DA365" i="30"/>
  <c r="DB365" i="30"/>
  <c r="DC365" i="30"/>
  <c r="DD365" i="30"/>
  <c r="DE365" i="30"/>
  <c r="DF365" i="30"/>
  <c r="DG365" i="30"/>
  <c r="DH365" i="30"/>
  <c r="DI365" i="30"/>
  <c r="DJ365" i="30"/>
  <c r="DK365" i="30"/>
  <c r="DL365" i="30"/>
  <c r="DM365" i="30"/>
  <c r="DN365" i="30"/>
  <c r="DO365" i="30"/>
  <c r="DP365" i="30"/>
  <c r="DQ365" i="30"/>
  <c r="DR365" i="30"/>
  <c r="DS365" i="30"/>
  <c r="DT365" i="30"/>
  <c r="DU365" i="30"/>
  <c r="DV365" i="30"/>
  <c r="DW365" i="30"/>
  <c r="DX365" i="30"/>
  <c r="DY365" i="30"/>
  <c r="DZ365" i="30"/>
  <c r="EA365" i="30"/>
  <c r="EB365" i="30"/>
  <c r="EC365" i="30"/>
  <c r="ED365" i="30"/>
  <c r="EE365" i="30"/>
  <c r="EF365" i="30"/>
  <c r="EG365" i="30"/>
  <c r="EH365" i="30"/>
  <c r="EI365" i="30"/>
  <c r="EJ365" i="30"/>
  <c r="EK365" i="30"/>
  <c r="EL365" i="30"/>
  <c r="EM365" i="30"/>
  <c r="EN365" i="30"/>
  <c r="EO365" i="30"/>
  <c r="EP365" i="30"/>
  <c r="EQ365" i="30"/>
  <c r="ER365" i="30"/>
  <c r="ES365" i="30"/>
  <c r="ET365" i="30"/>
  <c r="EU365" i="30"/>
  <c r="EV365" i="30"/>
  <c r="EW365" i="30"/>
  <c r="EX365" i="30"/>
  <c r="EY365" i="30"/>
  <c r="EZ365" i="30"/>
  <c r="FA365" i="30"/>
  <c r="FB365" i="30"/>
  <c r="FC365" i="30"/>
  <c r="FD365" i="30"/>
  <c r="FE365" i="30"/>
  <c r="FF365" i="30"/>
  <c r="FG365" i="30"/>
  <c r="FH365" i="30"/>
  <c r="FI365" i="30"/>
  <c r="FJ365" i="30"/>
  <c r="FK365" i="30"/>
  <c r="FL365" i="30"/>
  <c r="FM365" i="30"/>
  <c r="FN365" i="30"/>
  <c r="FO365" i="30"/>
  <c r="FP365" i="30"/>
  <c r="FQ365" i="30"/>
  <c r="FR365" i="30"/>
  <c r="FS365" i="30"/>
  <c r="FT365" i="30"/>
  <c r="FU365" i="30"/>
  <c r="FV365" i="30"/>
  <c r="FW365" i="30"/>
  <c r="FX365" i="30"/>
  <c r="FY365" i="30"/>
  <c r="FZ365" i="30"/>
  <c r="GA365" i="30"/>
  <c r="GB365" i="30"/>
  <c r="GC365" i="30"/>
  <c r="GD365" i="30"/>
  <c r="GE365" i="30"/>
  <c r="GF365" i="30"/>
  <c r="GG365" i="30"/>
  <c r="GH365" i="30"/>
  <c r="GI365" i="30"/>
  <c r="GJ365" i="30"/>
  <c r="GK365" i="30"/>
  <c r="GL365" i="30"/>
  <c r="GM365" i="30"/>
  <c r="GN365" i="30"/>
  <c r="GO365" i="30"/>
  <c r="GP365" i="30"/>
  <c r="GQ365" i="30"/>
  <c r="GR365" i="30"/>
  <c r="GS365" i="30"/>
  <c r="GT365" i="30"/>
  <c r="GU365" i="30"/>
  <c r="GV365" i="30"/>
  <c r="GW365" i="30"/>
  <c r="GX365" i="30"/>
  <c r="GY365" i="30"/>
  <c r="GZ365" i="30"/>
  <c r="HA365" i="30"/>
  <c r="HB365" i="30"/>
  <c r="HC365" i="30"/>
  <c r="HD365" i="30"/>
  <c r="HE365" i="30"/>
  <c r="HF365" i="30"/>
  <c r="HG365" i="30"/>
  <c r="HH365" i="30"/>
  <c r="HI365" i="30"/>
  <c r="HJ365" i="30"/>
  <c r="HK365" i="30"/>
  <c r="HL365" i="30"/>
  <c r="HM365" i="30"/>
  <c r="HN365" i="30"/>
  <c r="HO365" i="30"/>
  <c r="HP365" i="30"/>
  <c r="HQ365" i="30"/>
  <c r="HR365" i="30"/>
  <c r="HS365" i="30"/>
  <c r="HT365" i="30"/>
  <c r="HU365" i="30"/>
  <c r="HV365" i="30"/>
  <c r="HW365" i="30"/>
  <c r="HX365" i="30"/>
  <c r="HY365" i="30"/>
  <c r="HZ365" i="30"/>
  <c r="IA365" i="30"/>
  <c r="IB365" i="30"/>
  <c r="IC365" i="30"/>
  <c r="ID365" i="30"/>
  <c r="IE365" i="30"/>
  <c r="IF365" i="30"/>
  <c r="IG365" i="30"/>
  <c r="IH365" i="30"/>
  <c r="II365" i="30"/>
  <c r="IJ365" i="30"/>
  <c r="IK365" i="30"/>
  <c r="IL365" i="30"/>
  <c r="IM365" i="30"/>
  <c r="IN365" i="30"/>
  <c r="IO365" i="30"/>
  <c r="IP365" i="30"/>
  <c r="IQ365" i="30"/>
  <c r="IR365" i="30"/>
  <c r="IS365" i="30"/>
  <c r="IT365" i="30"/>
  <c r="IU365" i="30"/>
  <c r="IV365" i="30"/>
  <c r="A364" i="30"/>
  <c r="B364" i="30"/>
  <c r="C364" i="30"/>
  <c r="D364" i="30"/>
  <c r="E364" i="30"/>
  <c r="F364" i="30"/>
  <c r="G364" i="30"/>
  <c r="H364" i="30"/>
  <c r="I364" i="30"/>
  <c r="J364" i="30"/>
  <c r="K364" i="30"/>
  <c r="L364" i="30"/>
  <c r="M364" i="30"/>
  <c r="N364" i="30"/>
  <c r="O364" i="30"/>
  <c r="P364" i="30"/>
  <c r="Q364" i="30"/>
  <c r="R364" i="30"/>
  <c r="S364" i="30"/>
  <c r="T364" i="30"/>
  <c r="U364" i="30"/>
  <c r="V364" i="30"/>
  <c r="W364" i="30"/>
  <c r="X364" i="30"/>
  <c r="Y364" i="30"/>
  <c r="Z364" i="30"/>
  <c r="AA364" i="30"/>
  <c r="AB364" i="30"/>
  <c r="AC364" i="30"/>
  <c r="AD364" i="30"/>
  <c r="AE364" i="30"/>
  <c r="AF364" i="30"/>
  <c r="AG364" i="30"/>
  <c r="AH364" i="30"/>
  <c r="AI364" i="30"/>
  <c r="AJ364" i="30"/>
  <c r="AK364" i="30"/>
  <c r="AL364" i="30"/>
  <c r="AM364" i="30"/>
  <c r="AN364" i="30"/>
  <c r="AO364" i="30"/>
  <c r="AP364" i="30"/>
  <c r="AQ364" i="30"/>
  <c r="AR364" i="30"/>
  <c r="AS364" i="30"/>
  <c r="AT364" i="30"/>
  <c r="AU364" i="30"/>
  <c r="AV364" i="30"/>
  <c r="AW364" i="30"/>
  <c r="AX364" i="30"/>
  <c r="AY364" i="30"/>
  <c r="AZ364" i="30"/>
  <c r="BA364" i="30"/>
  <c r="BB364" i="30"/>
  <c r="BC364" i="30"/>
  <c r="BD364" i="30"/>
  <c r="BE364" i="30"/>
  <c r="BF364" i="30"/>
  <c r="BG364" i="30"/>
  <c r="BH364" i="30"/>
  <c r="BI364" i="30"/>
  <c r="BJ364" i="30"/>
  <c r="BK364" i="30"/>
  <c r="BL364" i="30"/>
  <c r="BM364" i="30"/>
  <c r="BN364" i="30"/>
  <c r="BO364" i="30"/>
  <c r="BP364" i="30"/>
  <c r="BQ364" i="30"/>
  <c r="BR364" i="30"/>
  <c r="BS364" i="30"/>
  <c r="BT364" i="30"/>
  <c r="BU364" i="30"/>
  <c r="BV364" i="30"/>
  <c r="BW364" i="30"/>
  <c r="BX364" i="30"/>
  <c r="BY364" i="30"/>
  <c r="BZ364" i="30"/>
  <c r="CA364" i="30"/>
  <c r="CB364" i="30"/>
  <c r="CC364" i="30"/>
  <c r="CD364" i="30"/>
  <c r="CE364" i="30"/>
  <c r="CF364" i="30"/>
  <c r="CG364" i="30"/>
  <c r="CH364" i="30"/>
  <c r="CI364" i="30"/>
  <c r="CJ364" i="30"/>
  <c r="CK364" i="30"/>
  <c r="CL364" i="30"/>
  <c r="CM364" i="30"/>
  <c r="CN364" i="30"/>
  <c r="CO364" i="30"/>
  <c r="CP364" i="30"/>
  <c r="CQ364" i="30"/>
  <c r="CR364" i="30"/>
  <c r="CS364" i="30"/>
  <c r="CT364" i="30"/>
  <c r="CU364" i="30"/>
  <c r="CV364" i="30"/>
  <c r="CW364" i="30"/>
  <c r="CX364" i="30"/>
  <c r="CY364" i="30"/>
  <c r="CZ364" i="30"/>
  <c r="DA364" i="30"/>
  <c r="DB364" i="30"/>
  <c r="DC364" i="30"/>
  <c r="DD364" i="30"/>
  <c r="DE364" i="30"/>
  <c r="DF364" i="30"/>
  <c r="DG364" i="30"/>
  <c r="DH364" i="30"/>
  <c r="DI364" i="30"/>
  <c r="DJ364" i="30"/>
  <c r="DK364" i="30"/>
  <c r="DL364" i="30"/>
  <c r="DM364" i="30"/>
  <c r="DN364" i="30"/>
  <c r="DO364" i="30"/>
  <c r="DP364" i="30"/>
  <c r="DQ364" i="30"/>
  <c r="DR364" i="30"/>
  <c r="DS364" i="30"/>
  <c r="DT364" i="30"/>
  <c r="DU364" i="30"/>
  <c r="DV364" i="30"/>
  <c r="DW364" i="30"/>
  <c r="DX364" i="30"/>
  <c r="DY364" i="30"/>
  <c r="DZ364" i="30"/>
  <c r="EA364" i="30"/>
  <c r="EB364" i="30"/>
  <c r="EC364" i="30"/>
  <c r="ED364" i="30"/>
  <c r="EE364" i="30"/>
  <c r="EF364" i="30"/>
  <c r="EG364" i="30"/>
  <c r="EH364" i="30"/>
  <c r="EI364" i="30"/>
  <c r="EJ364" i="30"/>
  <c r="EK364" i="30"/>
  <c r="EL364" i="30"/>
  <c r="EM364" i="30"/>
  <c r="EN364" i="30"/>
  <c r="EO364" i="30"/>
  <c r="EP364" i="30"/>
  <c r="EQ364" i="30"/>
  <c r="ER364" i="30"/>
  <c r="ES364" i="30"/>
  <c r="ET364" i="30"/>
  <c r="EU364" i="30"/>
  <c r="EV364" i="30"/>
  <c r="EW364" i="30"/>
  <c r="EX364" i="30"/>
  <c r="EY364" i="30"/>
  <c r="EZ364" i="30"/>
  <c r="FA364" i="30"/>
  <c r="FB364" i="30"/>
  <c r="FC364" i="30"/>
  <c r="FD364" i="30"/>
  <c r="FE364" i="30"/>
  <c r="FF364" i="30"/>
  <c r="FG364" i="30"/>
  <c r="FH364" i="30"/>
  <c r="FI364" i="30"/>
  <c r="FJ364" i="30"/>
  <c r="FK364" i="30"/>
  <c r="FL364" i="30"/>
  <c r="FM364" i="30"/>
  <c r="FN364" i="30"/>
  <c r="FO364" i="30"/>
  <c r="FP364" i="30"/>
  <c r="FQ364" i="30"/>
  <c r="FR364" i="30"/>
  <c r="FS364" i="30"/>
  <c r="FT364" i="30"/>
  <c r="FU364" i="30"/>
  <c r="FV364" i="30"/>
  <c r="FW364" i="30"/>
  <c r="FX364" i="30"/>
  <c r="FY364" i="30"/>
  <c r="FZ364" i="30"/>
  <c r="GA364" i="30"/>
  <c r="GB364" i="30"/>
  <c r="GC364" i="30"/>
  <c r="GD364" i="30"/>
  <c r="GE364" i="30"/>
  <c r="GF364" i="30"/>
  <c r="GG364" i="30"/>
  <c r="GH364" i="30"/>
  <c r="GI364" i="30"/>
  <c r="GJ364" i="30"/>
  <c r="GK364" i="30"/>
  <c r="GL364" i="30"/>
  <c r="GM364" i="30"/>
  <c r="GN364" i="30"/>
  <c r="GO364" i="30"/>
  <c r="GP364" i="30"/>
  <c r="GQ364" i="30"/>
  <c r="GR364" i="30"/>
  <c r="GS364" i="30"/>
  <c r="GT364" i="30"/>
  <c r="GU364" i="30"/>
  <c r="GV364" i="30"/>
  <c r="GW364" i="30"/>
  <c r="GX364" i="30"/>
  <c r="GY364" i="30"/>
  <c r="GZ364" i="30"/>
  <c r="HA364" i="30"/>
  <c r="HB364" i="30"/>
  <c r="HC364" i="30"/>
  <c r="HD364" i="30"/>
  <c r="HE364" i="30"/>
  <c r="HF364" i="30"/>
  <c r="HG364" i="30"/>
  <c r="HH364" i="30"/>
  <c r="HI364" i="30"/>
  <c r="HJ364" i="30"/>
  <c r="HK364" i="30"/>
  <c r="HL364" i="30"/>
  <c r="HM364" i="30"/>
  <c r="HN364" i="30"/>
  <c r="HO364" i="30"/>
  <c r="HP364" i="30"/>
  <c r="HQ364" i="30"/>
  <c r="HR364" i="30"/>
  <c r="HS364" i="30"/>
  <c r="HT364" i="30"/>
  <c r="HU364" i="30"/>
  <c r="HV364" i="30"/>
  <c r="HW364" i="30"/>
  <c r="HX364" i="30"/>
  <c r="HY364" i="30"/>
  <c r="HZ364" i="30"/>
  <c r="IA364" i="30"/>
  <c r="IB364" i="30"/>
  <c r="IC364" i="30"/>
  <c r="ID364" i="30"/>
  <c r="IE364" i="30"/>
  <c r="IF364" i="30"/>
  <c r="IG364" i="30"/>
  <c r="IH364" i="30"/>
  <c r="II364" i="30"/>
  <c r="IJ364" i="30"/>
  <c r="IK364" i="30"/>
  <c r="IL364" i="30"/>
  <c r="IM364" i="30"/>
  <c r="IN364" i="30"/>
  <c r="IO364" i="30"/>
  <c r="IP364" i="30"/>
  <c r="IQ364" i="30"/>
  <c r="IR364" i="30"/>
  <c r="IS364" i="30"/>
  <c r="IT364" i="30"/>
  <c r="IU364" i="30"/>
  <c r="IV364" i="30"/>
  <c r="A363" i="30"/>
  <c r="B363" i="30"/>
  <c r="C363" i="30"/>
  <c r="D363" i="30"/>
  <c r="E363" i="30"/>
  <c r="F363" i="30"/>
  <c r="G363" i="30"/>
  <c r="H363" i="30"/>
  <c r="I363" i="30"/>
  <c r="J363" i="30"/>
  <c r="K363" i="30"/>
  <c r="L363" i="30"/>
  <c r="M363" i="30"/>
  <c r="N363" i="30"/>
  <c r="O363" i="30"/>
  <c r="P363" i="30"/>
  <c r="Q363" i="30"/>
  <c r="R363" i="30"/>
  <c r="S363" i="30"/>
  <c r="T363" i="30"/>
  <c r="U363" i="30"/>
  <c r="V363" i="30"/>
  <c r="W363" i="30"/>
  <c r="X363" i="30"/>
  <c r="Y363" i="30"/>
  <c r="Z363" i="30"/>
  <c r="AA363" i="30"/>
  <c r="AB363" i="30"/>
  <c r="AC363" i="30"/>
  <c r="AD363" i="30"/>
  <c r="AE363" i="30"/>
  <c r="AF363" i="30"/>
  <c r="AG363" i="30"/>
  <c r="AH363" i="30"/>
  <c r="AI363" i="30"/>
  <c r="AJ363" i="30"/>
  <c r="AK363" i="30"/>
  <c r="AL363" i="30"/>
  <c r="AM363" i="30"/>
  <c r="AN363" i="30"/>
  <c r="AO363" i="30"/>
  <c r="AP363" i="30"/>
  <c r="AQ363" i="30"/>
  <c r="AR363" i="30"/>
  <c r="AS363" i="30"/>
  <c r="AT363" i="30"/>
  <c r="AU363" i="30"/>
  <c r="AV363" i="30"/>
  <c r="AW363" i="30"/>
  <c r="AX363" i="30"/>
  <c r="AY363" i="30"/>
  <c r="AZ363" i="30"/>
  <c r="BA363" i="30"/>
  <c r="BB363" i="30"/>
  <c r="BC363" i="30"/>
  <c r="BD363" i="30"/>
  <c r="BE363" i="30"/>
  <c r="BF363" i="30"/>
  <c r="BG363" i="30"/>
  <c r="BH363" i="30"/>
  <c r="BI363" i="30"/>
  <c r="BJ363" i="30"/>
  <c r="BK363" i="30"/>
  <c r="BL363" i="30"/>
  <c r="BM363" i="30"/>
  <c r="BN363" i="30"/>
  <c r="BO363" i="30"/>
  <c r="BP363" i="30"/>
  <c r="BQ363" i="30"/>
  <c r="BR363" i="30"/>
  <c r="BS363" i="30"/>
  <c r="BT363" i="30"/>
  <c r="BU363" i="30"/>
  <c r="BV363" i="30"/>
  <c r="BW363" i="30"/>
  <c r="BX363" i="30"/>
  <c r="BY363" i="30"/>
  <c r="BZ363" i="30"/>
  <c r="CA363" i="30"/>
  <c r="CB363" i="30"/>
  <c r="CC363" i="30"/>
  <c r="CD363" i="30"/>
  <c r="CE363" i="30"/>
  <c r="CF363" i="30"/>
  <c r="CG363" i="30"/>
  <c r="CH363" i="30"/>
  <c r="CI363" i="30"/>
  <c r="CJ363" i="30"/>
  <c r="CK363" i="30"/>
  <c r="CL363" i="30"/>
  <c r="CM363" i="30"/>
  <c r="CN363" i="30"/>
  <c r="CO363" i="30"/>
  <c r="CP363" i="30"/>
  <c r="CQ363" i="30"/>
  <c r="CR363" i="30"/>
  <c r="CS363" i="30"/>
  <c r="CT363" i="30"/>
  <c r="CU363" i="30"/>
  <c r="CV363" i="30"/>
  <c r="CW363" i="30"/>
  <c r="CX363" i="30"/>
  <c r="CY363" i="30"/>
  <c r="CZ363" i="30"/>
  <c r="DA363" i="30"/>
  <c r="DB363" i="30"/>
  <c r="DC363" i="30"/>
  <c r="DD363" i="30"/>
  <c r="DE363" i="30"/>
  <c r="DF363" i="30"/>
  <c r="DG363" i="30"/>
  <c r="DH363" i="30"/>
  <c r="DI363" i="30"/>
  <c r="DJ363" i="30"/>
  <c r="DK363" i="30"/>
  <c r="DL363" i="30"/>
  <c r="DM363" i="30"/>
  <c r="DN363" i="30"/>
  <c r="DO363" i="30"/>
  <c r="DP363" i="30"/>
  <c r="DQ363" i="30"/>
  <c r="DR363" i="30"/>
  <c r="DS363" i="30"/>
  <c r="DT363" i="30"/>
  <c r="DU363" i="30"/>
  <c r="DV363" i="30"/>
  <c r="DW363" i="30"/>
  <c r="DX363" i="30"/>
  <c r="DY363" i="30"/>
  <c r="DZ363" i="30"/>
  <c r="EA363" i="30"/>
  <c r="EB363" i="30"/>
  <c r="EC363" i="30"/>
  <c r="ED363" i="30"/>
  <c r="EE363" i="30"/>
  <c r="EF363" i="30"/>
  <c r="EG363" i="30"/>
  <c r="EH363" i="30"/>
  <c r="EI363" i="30"/>
  <c r="EJ363" i="30"/>
  <c r="EK363" i="30"/>
  <c r="EL363" i="30"/>
  <c r="EM363" i="30"/>
  <c r="EN363" i="30"/>
  <c r="EO363" i="30"/>
  <c r="EP363" i="30"/>
  <c r="EQ363" i="30"/>
  <c r="ER363" i="30"/>
  <c r="ES363" i="30"/>
  <c r="ET363" i="30"/>
  <c r="EU363" i="30"/>
  <c r="EV363" i="30"/>
  <c r="EW363" i="30"/>
  <c r="EX363" i="30"/>
  <c r="EY363" i="30"/>
  <c r="EZ363" i="30"/>
  <c r="FA363" i="30"/>
  <c r="FB363" i="30"/>
  <c r="FC363" i="30"/>
  <c r="FD363" i="30"/>
  <c r="FE363" i="30"/>
  <c r="FF363" i="30"/>
  <c r="FG363" i="30"/>
  <c r="FH363" i="30"/>
  <c r="FI363" i="30"/>
  <c r="FJ363" i="30"/>
  <c r="FK363" i="30"/>
  <c r="FL363" i="30"/>
  <c r="FM363" i="30"/>
  <c r="FN363" i="30"/>
  <c r="FO363" i="30"/>
  <c r="FP363" i="30"/>
  <c r="FQ363" i="30"/>
  <c r="FR363" i="30"/>
  <c r="FS363" i="30"/>
  <c r="FT363" i="30"/>
  <c r="FU363" i="30"/>
  <c r="FV363" i="30"/>
  <c r="FW363" i="30"/>
  <c r="FX363" i="30"/>
  <c r="FY363" i="30"/>
  <c r="FZ363" i="30"/>
  <c r="GA363" i="30"/>
  <c r="GB363" i="30"/>
  <c r="GC363" i="30"/>
  <c r="GD363" i="30"/>
  <c r="GE363" i="30"/>
  <c r="GF363" i="30"/>
  <c r="GG363" i="30"/>
  <c r="GH363" i="30"/>
  <c r="GI363" i="30"/>
  <c r="GJ363" i="30"/>
  <c r="GK363" i="30"/>
  <c r="GL363" i="30"/>
  <c r="GM363" i="30"/>
  <c r="GN363" i="30"/>
  <c r="GO363" i="30"/>
  <c r="GP363" i="30"/>
  <c r="GQ363" i="30"/>
  <c r="GR363" i="30"/>
  <c r="GS363" i="30"/>
  <c r="GT363" i="30"/>
  <c r="GU363" i="30"/>
  <c r="GV363" i="30"/>
  <c r="GW363" i="30"/>
  <c r="GX363" i="30"/>
  <c r="GY363" i="30"/>
  <c r="GZ363" i="30"/>
  <c r="HA363" i="30"/>
  <c r="HB363" i="30"/>
  <c r="HC363" i="30"/>
  <c r="HD363" i="30"/>
  <c r="HE363" i="30"/>
  <c r="HF363" i="30"/>
  <c r="HG363" i="30"/>
  <c r="HH363" i="30"/>
  <c r="HI363" i="30"/>
  <c r="HJ363" i="30"/>
  <c r="HK363" i="30"/>
  <c r="HL363" i="30"/>
  <c r="HM363" i="30"/>
  <c r="HN363" i="30"/>
  <c r="HO363" i="30"/>
  <c r="HP363" i="30"/>
  <c r="HQ363" i="30"/>
  <c r="HR363" i="30"/>
  <c r="HS363" i="30"/>
  <c r="HT363" i="30"/>
  <c r="HU363" i="30"/>
  <c r="HV363" i="30"/>
  <c r="HW363" i="30"/>
  <c r="HX363" i="30"/>
  <c r="HY363" i="30"/>
  <c r="HZ363" i="30"/>
  <c r="IA363" i="30"/>
  <c r="IB363" i="30"/>
  <c r="IC363" i="30"/>
  <c r="ID363" i="30"/>
  <c r="IE363" i="30"/>
  <c r="IF363" i="30"/>
  <c r="IG363" i="30"/>
  <c r="IH363" i="30"/>
  <c r="II363" i="30"/>
  <c r="IJ363" i="30"/>
  <c r="IK363" i="30"/>
  <c r="IL363" i="30"/>
  <c r="IM363" i="30"/>
  <c r="IN363" i="30"/>
  <c r="IO363" i="30"/>
  <c r="IP363" i="30"/>
  <c r="IQ363" i="30"/>
  <c r="IR363" i="30"/>
  <c r="IS363" i="30"/>
  <c r="IT363" i="30"/>
  <c r="IU363" i="30"/>
  <c r="IV363" i="30"/>
  <c r="A362" i="30"/>
  <c r="B362" i="30"/>
  <c r="C362" i="30"/>
  <c r="D362" i="30"/>
  <c r="E362" i="30"/>
  <c r="F362" i="30"/>
  <c r="G362" i="30"/>
  <c r="H362" i="30"/>
  <c r="I362" i="30"/>
  <c r="J362" i="30"/>
  <c r="K362" i="30"/>
  <c r="L362" i="30"/>
  <c r="M362" i="30"/>
  <c r="N362" i="30"/>
  <c r="O362" i="30"/>
  <c r="P362" i="30"/>
  <c r="Q362" i="30"/>
  <c r="R362" i="30"/>
  <c r="S362" i="30"/>
  <c r="T362" i="30"/>
  <c r="U362" i="30"/>
  <c r="V362" i="30"/>
  <c r="W362" i="30"/>
  <c r="X362" i="30"/>
  <c r="Y362" i="30"/>
  <c r="Z362" i="30"/>
  <c r="AA362" i="30"/>
  <c r="AB362" i="30"/>
  <c r="AC362" i="30"/>
  <c r="AD362" i="30"/>
  <c r="AE362" i="30"/>
  <c r="AF362" i="30"/>
  <c r="AG362" i="30"/>
  <c r="AH362" i="30"/>
  <c r="AI362" i="30"/>
  <c r="AJ362" i="30"/>
  <c r="AK362" i="30"/>
  <c r="AL362" i="30"/>
  <c r="AM362" i="30"/>
  <c r="AN362" i="30"/>
  <c r="AO362" i="30"/>
  <c r="AP362" i="30"/>
  <c r="AQ362" i="30"/>
  <c r="AR362" i="30"/>
  <c r="AS362" i="30"/>
  <c r="AT362" i="30"/>
  <c r="AU362" i="30"/>
  <c r="AV362" i="30"/>
  <c r="AW362" i="30"/>
  <c r="AX362" i="30"/>
  <c r="AY362" i="30"/>
  <c r="AZ362" i="30"/>
  <c r="BA362" i="30"/>
  <c r="BB362" i="30"/>
  <c r="BC362" i="30"/>
  <c r="BD362" i="30"/>
  <c r="BE362" i="30"/>
  <c r="BF362" i="30"/>
  <c r="BG362" i="30"/>
  <c r="BH362" i="30"/>
  <c r="BI362" i="30"/>
  <c r="BJ362" i="30"/>
  <c r="BK362" i="30"/>
  <c r="BL362" i="30"/>
  <c r="BM362" i="30"/>
  <c r="BN362" i="30"/>
  <c r="BO362" i="30"/>
  <c r="BP362" i="30"/>
  <c r="BQ362" i="30"/>
  <c r="BR362" i="30"/>
  <c r="BS362" i="30"/>
  <c r="BT362" i="30"/>
  <c r="BU362" i="30"/>
  <c r="BV362" i="30"/>
  <c r="BW362" i="30"/>
  <c r="BX362" i="30"/>
  <c r="BY362" i="30"/>
  <c r="BZ362" i="30"/>
  <c r="CA362" i="30"/>
  <c r="CB362" i="30"/>
  <c r="CC362" i="30"/>
  <c r="CD362" i="30"/>
  <c r="CE362" i="30"/>
  <c r="CF362" i="30"/>
  <c r="CG362" i="30"/>
  <c r="CH362" i="30"/>
  <c r="CI362" i="30"/>
  <c r="CJ362" i="30"/>
  <c r="CK362" i="30"/>
  <c r="CL362" i="30"/>
  <c r="CM362" i="30"/>
  <c r="CN362" i="30"/>
  <c r="CO362" i="30"/>
  <c r="CP362" i="30"/>
  <c r="CQ362" i="30"/>
  <c r="CR362" i="30"/>
  <c r="CS362" i="30"/>
  <c r="CT362" i="30"/>
  <c r="CU362" i="30"/>
  <c r="CV362" i="30"/>
  <c r="CW362" i="30"/>
  <c r="CX362" i="30"/>
  <c r="CY362" i="30"/>
  <c r="CZ362" i="30"/>
  <c r="DA362" i="30"/>
  <c r="DB362" i="30"/>
  <c r="DC362" i="30"/>
  <c r="DD362" i="30"/>
  <c r="DE362" i="30"/>
  <c r="DF362" i="30"/>
  <c r="DG362" i="30"/>
  <c r="DH362" i="30"/>
  <c r="DI362" i="30"/>
  <c r="DJ362" i="30"/>
  <c r="DK362" i="30"/>
  <c r="DL362" i="30"/>
  <c r="DM362" i="30"/>
  <c r="DN362" i="30"/>
  <c r="DO362" i="30"/>
  <c r="DP362" i="30"/>
  <c r="DQ362" i="30"/>
  <c r="DR362" i="30"/>
  <c r="DS362" i="30"/>
  <c r="DT362" i="30"/>
  <c r="DU362" i="30"/>
  <c r="DV362" i="30"/>
  <c r="DW362" i="30"/>
  <c r="DX362" i="30"/>
  <c r="DY362" i="30"/>
  <c r="DZ362" i="30"/>
  <c r="EA362" i="30"/>
  <c r="EB362" i="30"/>
  <c r="EC362" i="30"/>
  <c r="ED362" i="30"/>
  <c r="EE362" i="30"/>
  <c r="EF362" i="30"/>
  <c r="EG362" i="30"/>
  <c r="EH362" i="30"/>
  <c r="EI362" i="30"/>
  <c r="EJ362" i="30"/>
  <c r="EK362" i="30"/>
  <c r="EL362" i="30"/>
  <c r="EM362" i="30"/>
  <c r="EN362" i="30"/>
  <c r="EO362" i="30"/>
  <c r="EP362" i="30"/>
  <c r="EQ362" i="30"/>
  <c r="ER362" i="30"/>
  <c r="ES362" i="30"/>
  <c r="ET362" i="30"/>
  <c r="EU362" i="30"/>
  <c r="EV362" i="30"/>
  <c r="EW362" i="30"/>
  <c r="EX362" i="30"/>
  <c r="EY362" i="30"/>
  <c r="EZ362" i="30"/>
  <c r="FA362" i="30"/>
  <c r="FB362" i="30"/>
  <c r="FC362" i="30"/>
  <c r="FD362" i="30"/>
  <c r="FE362" i="30"/>
  <c r="FF362" i="30"/>
  <c r="FG362" i="30"/>
  <c r="FH362" i="30"/>
  <c r="FI362" i="30"/>
  <c r="FJ362" i="30"/>
  <c r="FK362" i="30"/>
  <c r="FL362" i="30"/>
  <c r="FM362" i="30"/>
  <c r="FN362" i="30"/>
  <c r="FO362" i="30"/>
  <c r="FP362" i="30"/>
  <c r="FQ362" i="30"/>
  <c r="FR362" i="30"/>
  <c r="FS362" i="30"/>
  <c r="FT362" i="30"/>
  <c r="FU362" i="30"/>
  <c r="FV362" i="30"/>
  <c r="FW362" i="30"/>
  <c r="FX362" i="30"/>
  <c r="FY362" i="30"/>
  <c r="FZ362" i="30"/>
  <c r="GA362" i="30"/>
  <c r="GB362" i="30"/>
  <c r="GC362" i="30"/>
  <c r="GD362" i="30"/>
  <c r="GE362" i="30"/>
  <c r="GF362" i="30"/>
  <c r="GG362" i="30"/>
  <c r="GH362" i="30"/>
  <c r="GI362" i="30"/>
  <c r="GJ362" i="30"/>
  <c r="GK362" i="30"/>
  <c r="GL362" i="30"/>
  <c r="GM362" i="30"/>
  <c r="GN362" i="30"/>
  <c r="GO362" i="30"/>
  <c r="GP362" i="30"/>
  <c r="GQ362" i="30"/>
  <c r="GR362" i="30"/>
  <c r="GS362" i="30"/>
  <c r="GT362" i="30"/>
  <c r="GU362" i="30"/>
  <c r="GV362" i="30"/>
  <c r="GW362" i="30"/>
  <c r="GX362" i="30"/>
  <c r="GY362" i="30"/>
  <c r="GZ362" i="30"/>
  <c r="HA362" i="30"/>
  <c r="HB362" i="30"/>
  <c r="HC362" i="30"/>
  <c r="HD362" i="30"/>
  <c r="HE362" i="30"/>
  <c r="HF362" i="30"/>
  <c r="HG362" i="30"/>
  <c r="HH362" i="30"/>
  <c r="HI362" i="30"/>
  <c r="HJ362" i="30"/>
  <c r="HK362" i="30"/>
  <c r="HL362" i="30"/>
  <c r="HM362" i="30"/>
  <c r="HN362" i="30"/>
  <c r="HO362" i="30"/>
  <c r="HP362" i="30"/>
  <c r="HQ362" i="30"/>
  <c r="HR362" i="30"/>
  <c r="HS362" i="30"/>
  <c r="HT362" i="30"/>
  <c r="HU362" i="30"/>
  <c r="HV362" i="30"/>
  <c r="HW362" i="30"/>
  <c r="HX362" i="30"/>
  <c r="HY362" i="30"/>
  <c r="HZ362" i="30"/>
  <c r="IA362" i="30"/>
  <c r="IB362" i="30"/>
  <c r="IC362" i="30"/>
  <c r="ID362" i="30"/>
  <c r="IE362" i="30"/>
  <c r="IF362" i="30"/>
  <c r="IG362" i="30"/>
  <c r="IH362" i="30"/>
  <c r="II362" i="30"/>
  <c r="IJ362" i="30"/>
  <c r="IK362" i="30"/>
  <c r="IL362" i="30"/>
  <c r="IM362" i="30"/>
  <c r="IN362" i="30"/>
  <c r="IO362" i="30"/>
  <c r="IP362" i="30"/>
  <c r="IQ362" i="30"/>
  <c r="IR362" i="30"/>
  <c r="IS362" i="30"/>
  <c r="IT362" i="30"/>
  <c r="IU362" i="30"/>
  <c r="IV362" i="30"/>
  <c r="A361" i="30"/>
  <c r="B361" i="30"/>
  <c r="C361" i="30"/>
  <c r="D361" i="30"/>
  <c r="E361" i="30"/>
  <c r="F361" i="30"/>
  <c r="G361" i="30"/>
  <c r="H361" i="30"/>
  <c r="I361" i="30"/>
  <c r="J361" i="30"/>
  <c r="K361" i="30"/>
  <c r="L361" i="30"/>
  <c r="M361" i="30"/>
  <c r="N361" i="30"/>
  <c r="O361" i="30"/>
  <c r="P361" i="30"/>
  <c r="Q361" i="30"/>
  <c r="R361" i="30"/>
  <c r="S361" i="30"/>
  <c r="T361" i="30"/>
  <c r="U361" i="30"/>
  <c r="V361" i="30"/>
  <c r="W361" i="30"/>
  <c r="X361" i="30"/>
  <c r="Y361" i="30"/>
  <c r="Z361" i="30"/>
  <c r="AA361" i="30"/>
  <c r="AB361" i="30"/>
  <c r="AC361" i="30"/>
  <c r="AD361" i="30"/>
  <c r="AE361" i="30"/>
  <c r="AF361" i="30"/>
  <c r="AG361" i="30"/>
  <c r="AH361" i="30"/>
  <c r="AI361" i="30"/>
  <c r="AJ361" i="30"/>
  <c r="AK361" i="30"/>
  <c r="AL361" i="30"/>
  <c r="AM361" i="30"/>
  <c r="AN361" i="30"/>
  <c r="AO361" i="30"/>
  <c r="AP361" i="30"/>
  <c r="AQ361" i="30"/>
  <c r="AR361" i="30"/>
  <c r="AS361" i="30"/>
  <c r="AT361" i="30"/>
  <c r="AU361" i="30"/>
  <c r="AV361" i="30"/>
  <c r="AW361" i="30"/>
  <c r="AX361" i="30"/>
  <c r="AY361" i="30"/>
  <c r="AZ361" i="30"/>
  <c r="BA361" i="30"/>
  <c r="BB361" i="30"/>
  <c r="BC361" i="30"/>
  <c r="BD361" i="30"/>
  <c r="BE361" i="30"/>
  <c r="BF361" i="30"/>
  <c r="BG361" i="30"/>
  <c r="BH361" i="30"/>
  <c r="BI361" i="30"/>
  <c r="BJ361" i="30"/>
  <c r="BK361" i="30"/>
  <c r="BL361" i="30"/>
  <c r="BM361" i="30"/>
  <c r="BN361" i="30"/>
  <c r="BO361" i="30"/>
  <c r="BP361" i="30"/>
  <c r="BQ361" i="30"/>
  <c r="BR361" i="30"/>
  <c r="BS361" i="30"/>
  <c r="BT361" i="30"/>
  <c r="BU361" i="30"/>
  <c r="BV361" i="30"/>
  <c r="BW361" i="30"/>
  <c r="BX361" i="30"/>
  <c r="BY361" i="30"/>
  <c r="BZ361" i="30"/>
  <c r="CA361" i="30"/>
  <c r="CB361" i="30"/>
  <c r="CC361" i="30"/>
  <c r="CD361" i="30"/>
  <c r="CE361" i="30"/>
  <c r="CF361" i="30"/>
  <c r="CG361" i="30"/>
  <c r="CH361" i="30"/>
  <c r="CI361" i="30"/>
  <c r="CJ361" i="30"/>
  <c r="CK361" i="30"/>
  <c r="CL361" i="30"/>
  <c r="CM361" i="30"/>
  <c r="CN361" i="30"/>
  <c r="CO361" i="30"/>
  <c r="CP361" i="30"/>
  <c r="CQ361" i="30"/>
  <c r="CR361" i="30"/>
  <c r="CS361" i="30"/>
  <c r="CT361" i="30"/>
  <c r="CU361" i="30"/>
  <c r="CV361" i="30"/>
  <c r="CW361" i="30"/>
  <c r="CX361" i="30"/>
  <c r="CY361" i="30"/>
  <c r="CZ361" i="30"/>
  <c r="DA361" i="30"/>
  <c r="DB361" i="30"/>
  <c r="DC361" i="30"/>
  <c r="DD361" i="30"/>
  <c r="DE361" i="30"/>
  <c r="DF361" i="30"/>
  <c r="DG361" i="30"/>
  <c r="DH361" i="30"/>
  <c r="DI361" i="30"/>
  <c r="DJ361" i="30"/>
  <c r="DK361" i="30"/>
  <c r="DL361" i="30"/>
  <c r="DM361" i="30"/>
  <c r="DN361" i="30"/>
  <c r="DO361" i="30"/>
  <c r="DP361" i="30"/>
  <c r="DQ361" i="30"/>
  <c r="DR361" i="30"/>
  <c r="DS361" i="30"/>
  <c r="DT361" i="30"/>
  <c r="DU361" i="30"/>
  <c r="DV361" i="30"/>
  <c r="DW361" i="30"/>
  <c r="DX361" i="30"/>
  <c r="DY361" i="30"/>
  <c r="DZ361" i="30"/>
  <c r="EA361" i="30"/>
  <c r="EB361" i="30"/>
  <c r="EC361" i="30"/>
  <c r="ED361" i="30"/>
  <c r="EE361" i="30"/>
  <c r="EF361" i="30"/>
  <c r="EG361" i="30"/>
  <c r="EH361" i="30"/>
  <c r="EI361" i="30"/>
  <c r="EJ361" i="30"/>
  <c r="EK361" i="30"/>
  <c r="EL361" i="30"/>
  <c r="EM361" i="30"/>
  <c r="EN361" i="30"/>
  <c r="EO361" i="30"/>
  <c r="EP361" i="30"/>
  <c r="EQ361" i="30"/>
  <c r="ER361" i="30"/>
  <c r="ES361" i="30"/>
  <c r="ET361" i="30"/>
  <c r="EU361" i="30"/>
  <c r="EV361" i="30"/>
  <c r="EW361" i="30"/>
  <c r="EX361" i="30"/>
  <c r="EY361" i="30"/>
  <c r="EZ361" i="30"/>
  <c r="FA361" i="30"/>
  <c r="FB361" i="30"/>
  <c r="FC361" i="30"/>
  <c r="FD361" i="30"/>
  <c r="FE361" i="30"/>
  <c r="FF361" i="30"/>
  <c r="FG361" i="30"/>
  <c r="FH361" i="30"/>
  <c r="FI361" i="30"/>
  <c r="FJ361" i="30"/>
  <c r="FK361" i="30"/>
  <c r="FL361" i="30"/>
  <c r="FM361" i="30"/>
  <c r="FN361" i="30"/>
  <c r="FO361" i="30"/>
  <c r="FP361" i="30"/>
  <c r="FQ361" i="30"/>
  <c r="FR361" i="30"/>
  <c r="FS361" i="30"/>
  <c r="FT361" i="30"/>
  <c r="FU361" i="30"/>
  <c r="FV361" i="30"/>
  <c r="FW361" i="30"/>
  <c r="FX361" i="30"/>
  <c r="FY361" i="30"/>
  <c r="FZ361" i="30"/>
  <c r="GA361" i="30"/>
  <c r="GB361" i="30"/>
  <c r="GC361" i="30"/>
  <c r="GD361" i="30"/>
  <c r="GE361" i="30"/>
  <c r="GF361" i="30"/>
  <c r="GG361" i="30"/>
  <c r="GH361" i="30"/>
  <c r="GI361" i="30"/>
  <c r="GJ361" i="30"/>
  <c r="GK361" i="30"/>
  <c r="GL361" i="30"/>
  <c r="GM361" i="30"/>
  <c r="GN361" i="30"/>
  <c r="GO361" i="30"/>
  <c r="GP361" i="30"/>
  <c r="GQ361" i="30"/>
  <c r="GR361" i="30"/>
  <c r="GS361" i="30"/>
  <c r="GT361" i="30"/>
  <c r="GU361" i="30"/>
  <c r="GV361" i="30"/>
  <c r="GW361" i="30"/>
  <c r="GX361" i="30"/>
  <c r="GY361" i="30"/>
  <c r="GZ361" i="30"/>
  <c r="HA361" i="30"/>
  <c r="HB361" i="30"/>
  <c r="HC361" i="30"/>
  <c r="HD361" i="30"/>
  <c r="HE361" i="30"/>
  <c r="HF361" i="30"/>
  <c r="HG361" i="30"/>
  <c r="HH361" i="30"/>
  <c r="HI361" i="30"/>
  <c r="HJ361" i="30"/>
  <c r="HK361" i="30"/>
  <c r="HL361" i="30"/>
  <c r="HM361" i="30"/>
  <c r="HN361" i="30"/>
  <c r="HO361" i="30"/>
  <c r="HP361" i="30"/>
  <c r="HQ361" i="30"/>
  <c r="HR361" i="30"/>
  <c r="HS361" i="30"/>
  <c r="HT361" i="30"/>
  <c r="HU361" i="30"/>
  <c r="HV361" i="30"/>
  <c r="HW361" i="30"/>
  <c r="HX361" i="30"/>
  <c r="HY361" i="30"/>
  <c r="HZ361" i="30"/>
  <c r="IA361" i="30"/>
  <c r="IB361" i="30"/>
  <c r="IC361" i="30"/>
  <c r="ID361" i="30"/>
  <c r="IE361" i="30"/>
  <c r="IF361" i="30"/>
  <c r="IG361" i="30"/>
  <c r="IH361" i="30"/>
  <c r="II361" i="30"/>
  <c r="IJ361" i="30"/>
  <c r="IK361" i="30"/>
  <c r="IL361" i="30"/>
  <c r="IM361" i="30"/>
  <c r="IN361" i="30"/>
  <c r="IO361" i="30"/>
  <c r="IP361" i="30"/>
  <c r="IQ361" i="30"/>
  <c r="IR361" i="30"/>
  <c r="IS361" i="30"/>
  <c r="IT361" i="30"/>
  <c r="IU361" i="30"/>
  <c r="IV361" i="30"/>
  <c r="A360" i="30"/>
  <c r="B360" i="30"/>
  <c r="C360" i="30"/>
  <c r="D360" i="30"/>
  <c r="E360" i="30"/>
  <c r="F360" i="30"/>
  <c r="G360" i="30"/>
  <c r="H360" i="30"/>
  <c r="I360" i="30"/>
  <c r="J360" i="30"/>
  <c r="K360" i="30"/>
  <c r="L360" i="30"/>
  <c r="M360" i="30"/>
  <c r="N360" i="30"/>
  <c r="O360" i="30"/>
  <c r="P360" i="30"/>
  <c r="Q360" i="30"/>
  <c r="R360" i="30"/>
  <c r="S360" i="30"/>
  <c r="T360" i="30"/>
  <c r="U360" i="30"/>
  <c r="V360" i="30"/>
  <c r="W360" i="30"/>
  <c r="X360" i="30"/>
  <c r="Y360" i="30"/>
  <c r="Z360" i="30"/>
  <c r="AA360" i="30"/>
  <c r="AB360" i="30"/>
  <c r="AC360" i="30"/>
  <c r="AD360" i="30"/>
  <c r="AE360" i="30"/>
  <c r="AF360" i="30"/>
  <c r="AG360" i="30"/>
  <c r="AH360" i="30"/>
  <c r="AI360" i="30"/>
  <c r="AJ360" i="30"/>
  <c r="AK360" i="30"/>
  <c r="AL360" i="30"/>
  <c r="AM360" i="30"/>
  <c r="AN360" i="30"/>
  <c r="AO360" i="30"/>
  <c r="AP360" i="30"/>
  <c r="AQ360" i="30"/>
  <c r="AR360" i="30"/>
  <c r="AS360" i="30"/>
  <c r="AT360" i="30"/>
  <c r="AU360" i="30"/>
  <c r="AV360" i="30"/>
  <c r="AW360" i="30"/>
  <c r="AX360" i="30"/>
  <c r="AY360" i="30"/>
  <c r="AZ360" i="30"/>
  <c r="BA360" i="30"/>
  <c r="BB360" i="30"/>
  <c r="BC360" i="30"/>
  <c r="BD360" i="30"/>
  <c r="BE360" i="30"/>
  <c r="BF360" i="30"/>
  <c r="BG360" i="30"/>
  <c r="BH360" i="30"/>
  <c r="BI360" i="30"/>
  <c r="BJ360" i="30"/>
  <c r="BK360" i="30"/>
  <c r="BL360" i="30"/>
  <c r="BM360" i="30"/>
  <c r="BN360" i="30"/>
  <c r="BO360" i="30"/>
  <c r="BP360" i="30"/>
  <c r="BQ360" i="30"/>
  <c r="BR360" i="30"/>
  <c r="BS360" i="30"/>
  <c r="BT360" i="30"/>
  <c r="BU360" i="30"/>
  <c r="BV360" i="30"/>
  <c r="BW360" i="30"/>
  <c r="BX360" i="30"/>
  <c r="BY360" i="30"/>
  <c r="BZ360" i="30"/>
  <c r="CA360" i="30"/>
  <c r="CB360" i="30"/>
  <c r="CC360" i="30"/>
  <c r="CD360" i="30"/>
  <c r="CE360" i="30"/>
  <c r="CF360" i="30"/>
  <c r="CG360" i="30"/>
  <c r="CH360" i="30"/>
  <c r="CI360" i="30"/>
  <c r="CJ360" i="30"/>
  <c r="CK360" i="30"/>
  <c r="CL360" i="30"/>
  <c r="CM360" i="30"/>
  <c r="CN360" i="30"/>
  <c r="CO360" i="30"/>
  <c r="CP360" i="30"/>
  <c r="CQ360" i="30"/>
  <c r="CR360" i="30"/>
  <c r="CS360" i="30"/>
  <c r="CT360" i="30"/>
  <c r="CU360" i="30"/>
  <c r="CV360" i="30"/>
  <c r="CW360" i="30"/>
  <c r="CX360" i="30"/>
  <c r="CY360" i="30"/>
  <c r="CZ360" i="30"/>
  <c r="DA360" i="30"/>
  <c r="DB360" i="30"/>
  <c r="DC360" i="30"/>
  <c r="DD360" i="30"/>
  <c r="DE360" i="30"/>
  <c r="DF360" i="30"/>
  <c r="DG360" i="30"/>
  <c r="DH360" i="30"/>
  <c r="DI360" i="30"/>
  <c r="DJ360" i="30"/>
  <c r="DK360" i="30"/>
  <c r="DL360" i="30"/>
  <c r="DM360" i="30"/>
  <c r="DN360" i="30"/>
  <c r="DO360" i="30"/>
  <c r="DP360" i="30"/>
  <c r="DQ360" i="30"/>
  <c r="DR360" i="30"/>
  <c r="DS360" i="30"/>
  <c r="DT360" i="30"/>
  <c r="DU360" i="30"/>
  <c r="DV360" i="30"/>
  <c r="DW360" i="30"/>
  <c r="DX360" i="30"/>
  <c r="DY360" i="30"/>
  <c r="DZ360" i="30"/>
  <c r="EA360" i="30"/>
  <c r="EB360" i="30"/>
  <c r="EC360" i="30"/>
  <c r="ED360" i="30"/>
  <c r="EE360" i="30"/>
  <c r="EF360" i="30"/>
  <c r="EG360" i="30"/>
  <c r="EH360" i="30"/>
  <c r="EI360" i="30"/>
  <c r="EJ360" i="30"/>
  <c r="EK360" i="30"/>
  <c r="EL360" i="30"/>
  <c r="EM360" i="30"/>
  <c r="EN360" i="30"/>
  <c r="EO360" i="30"/>
  <c r="EP360" i="30"/>
  <c r="EQ360" i="30"/>
  <c r="ER360" i="30"/>
  <c r="ES360" i="30"/>
  <c r="ET360" i="30"/>
  <c r="EU360" i="30"/>
  <c r="EV360" i="30"/>
  <c r="EW360" i="30"/>
  <c r="EX360" i="30"/>
  <c r="EY360" i="30"/>
  <c r="EZ360" i="30"/>
  <c r="FA360" i="30"/>
  <c r="FB360" i="30"/>
  <c r="FC360" i="30"/>
  <c r="FD360" i="30"/>
  <c r="FE360" i="30"/>
  <c r="FF360" i="30"/>
  <c r="FG360" i="30"/>
  <c r="FH360" i="30"/>
  <c r="FI360" i="30"/>
  <c r="FJ360" i="30"/>
  <c r="FK360" i="30"/>
  <c r="FL360" i="30"/>
  <c r="FM360" i="30"/>
  <c r="FN360" i="30"/>
  <c r="FO360" i="30"/>
  <c r="FP360" i="30"/>
  <c r="FQ360" i="30"/>
  <c r="FR360" i="30"/>
  <c r="FS360" i="30"/>
  <c r="FT360" i="30"/>
  <c r="FU360" i="30"/>
  <c r="FV360" i="30"/>
  <c r="FW360" i="30"/>
  <c r="FX360" i="30"/>
  <c r="FY360" i="30"/>
  <c r="FZ360" i="30"/>
  <c r="GA360" i="30"/>
  <c r="GB360" i="30"/>
  <c r="GC360" i="30"/>
  <c r="GD360" i="30"/>
  <c r="GE360" i="30"/>
  <c r="GF360" i="30"/>
  <c r="GG360" i="30"/>
  <c r="GH360" i="30"/>
  <c r="GI360" i="30"/>
  <c r="GJ360" i="30"/>
  <c r="GK360" i="30"/>
  <c r="GL360" i="30"/>
  <c r="GM360" i="30"/>
  <c r="GN360" i="30"/>
  <c r="GO360" i="30"/>
  <c r="GP360" i="30"/>
  <c r="GQ360" i="30"/>
  <c r="GR360" i="30"/>
  <c r="GS360" i="30"/>
  <c r="GT360" i="30"/>
  <c r="GU360" i="30"/>
  <c r="GV360" i="30"/>
  <c r="GW360" i="30"/>
  <c r="GX360" i="30"/>
  <c r="GY360" i="30"/>
  <c r="GZ360" i="30"/>
  <c r="HA360" i="30"/>
  <c r="HB360" i="30"/>
  <c r="HC360" i="30"/>
  <c r="HD360" i="30"/>
  <c r="HE360" i="30"/>
  <c r="HF360" i="30"/>
  <c r="HG360" i="30"/>
  <c r="HH360" i="30"/>
  <c r="HI360" i="30"/>
  <c r="HJ360" i="30"/>
  <c r="HK360" i="30"/>
  <c r="HL360" i="30"/>
  <c r="HM360" i="30"/>
  <c r="HN360" i="30"/>
  <c r="HO360" i="30"/>
  <c r="HP360" i="30"/>
  <c r="HQ360" i="30"/>
  <c r="HR360" i="30"/>
  <c r="HS360" i="30"/>
  <c r="HT360" i="30"/>
  <c r="HU360" i="30"/>
  <c r="HV360" i="30"/>
  <c r="HW360" i="30"/>
  <c r="HX360" i="30"/>
  <c r="HY360" i="30"/>
  <c r="HZ360" i="30"/>
  <c r="IA360" i="30"/>
  <c r="IB360" i="30"/>
  <c r="IC360" i="30"/>
  <c r="ID360" i="30"/>
  <c r="IE360" i="30"/>
  <c r="IF360" i="30"/>
  <c r="IG360" i="30"/>
  <c r="IH360" i="30"/>
  <c r="II360" i="30"/>
  <c r="IJ360" i="30"/>
  <c r="IK360" i="30"/>
  <c r="IL360" i="30"/>
  <c r="IM360" i="30"/>
  <c r="IN360" i="30"/>
  <c r="IO360" i="30"/>
  <c r="IP360" i="30"/>
  <c r="IQ360" i="30"/>
  <c r="IR360" i="30"/>
  <c r="IS360" i="30"/>
  <c r="IT360" i="30"/>
  <c r="IU360" i="30"/>
  <c r="IV360" i="30"/>
  <c r="A359" i="30"/>
  <c r="B359" i="30"/>
  <c r="C359" i="30"/>
  <c r="D359" i="30"/>
  <c r="E359" i="30"/>
  <c r="F359" i="30"/>
  <c r="G359" i="30"/>
  <c r="H359" i="30"/>
  <c r="I359" i="30"/>
  <c r="J359" i="30"/>
  <c r="K359" i="30"/>
  <c r="L359" i="30"/>
  <c r="M359" i="30"/>
  <c r="N359" i="30"/>
  <c r="O359" i="30"/>
  <c r="P359" i="30"/>
  <c r="Q359" i="30"/>
  <c r="R359" i="30"/>
  <c r="S359" i="30"/>
  <c r="T359" i="30"/>
  <c r="U359" i="30"/>
  <c r="V359" i="30"/>
  <c r="W359" i="30"/>
  <c r="X359" i="30"/>
  <c r="Y359" i="30"/>
  <c r="Z359" i="30"/>
  <c r="AA359" i="30"/>
  <c r="AB359" i="30"/>
  <c r="AC359" i="30"/>
  <c r="AD359" i="30"/>
  <c r="AE359" i="30"/>
  <c r="AF359" i="30"/>
  <c r="AG359" i="30"/>
  <c r="AH359" i="30"/>
  <c r="AI359" i="30"/>
  <c r="AJ359" i="30"/>
  <c r="AK359" i="30"/>
  <c r="AL359" i="30"/>
  <c r="AM359" i="30"/>
  <c r="AN359" i="30"/>
  <c r="AO359" i="30"/>
  <c r="AP359" i="30"/>
  <c r="AQ359" i="30"/>
  <c r="AR359" i="30"/>
  <c r="AS359" i="30"/>
  <c r="AT359" i="30"/>
  <c r="AU359" i="30"/>
  <c r="AV359" i="30"/>
  <c r="AW359" i="30"/>
  <c r="AX359" i="30"/>
  <c r="AY359" i="30"/>
  <c r="AZ359" i="30"/>
  <c r="BA359" i="30"/>
  <c r="BB359" i="30"/>
  <c r="BC359" i="30"/>
  <c r="BD359" i="30"/>
  <c r="BE359" i="30"/>
  <c r="BF359" i="30"/>
  <c r="BG359" i="30"/>
  <c r="BH359" i="30"/>
  <c r="BI359" i="30"/>
  <c r="BJ359" i="30"/>
  <c r="BK359" i="30"/>
  <c r="BL359" i="30"/>
  <c r="BM359" i="30"/>
  <c r="BN359" i="30"/>
  <c r="BO359" i="30"/>
  <c r="BP359" i="30"/>
  <c r="BQ359" i="30"/>
  <c r="BR359" i="30"/>
  <c r="BS359" i="30"/>
  <c r="BT359" i="30"/>
  <c r="BU359" i="30"/>
  <c r="BV359" i="30"/>
  <c r="BW359" i="30"/>
  <c r="BX359" i="30"/>
  <c r="BY359" i="30"/>
  <c r="BZ359" i="30"/>
  <c r="CA359" i="30"/>
  <c r="CB359" i="30"/>
  <c r="CC359" i="30"/>
  <c r="CD359" i="30"/>
  <c r="CE359" i="30"/>
  <c r="CF359" i="30"/>
  <c r="CG359" i="30"/>
  <c r="CH359" i="30"/>
  <c r="CI359" i="30"/>
  <c r="CJ359" i="30"/>
  <c r="CK359" i="30"/>
  <c r="CL359" i="30"/>
  <c r="CM359" i="30"/>
  <c r="CN359" i="30"/>
  <c r="CO359" i="30"/>
  <c r="CP359" i="30"/>
  <c r="CQ359" i="30"/>
  <c r="CR359" i="30"/>
  <c r="CS359" i="30"/>
  <c r="CT359" i="30"/>
  <c r="CU359" i="30"/>
  <c r="CV359" i="30"/>
  <c r="CW359" i="30"/>
  <c r="CX359" i="30"/>
  <c r="CY359" i="30"/>
  <c r="CZ359" i="30"/>
  <c r="DA359" i="30"/>
  <c r="DB359" i="30"/>
  <c r="DC359" i="30"/>
  <c r="DD359" i="30"/>
  <c r="DE359" i="30"/>
  <c r="DF359" i="30"/>
  <c r="DG359" i="30"/>
  <c r="DH359" i="30"/>
  <c r="DI359" i="30"/>
  <c r="DJ359" i="30"/>
  <c r="DK359" i="30"/>
  <c r="DL359" i="30"/>
  <c r="DM359" i="30"/>
  <c r="DN359" i="30"/>
  <c r="DO359" i="30"/>
  <c r="DP359" i="30"/>
  <c r="DQ359" i="30"/>
  <c r="DR359" i="30"/>
  <c r="DS359" i="30"/>
  <c r="DT359" i="30"/>
  <c r="DU359" i="30"/>
  <c r="DV359" i="30"/>
  <c r="DW359" i="30"/>
  <c r="DX359" i="30"/>
  <c r="DY359" i="30"/>
  <c r="DZ359" i="30"/>
  <c r="EA359" i="30"/>
  <c r="EB359" i="30"/>
  <c r="EC359" i="30"/>
  <c r="ED359" i="30"/>
  <c r="EE359" i="30"/>
  <c r="EF359" i="30"/>
  <c r="EG359" i="30"/>
  <c r="EH359" i="30"/>
  <c r="EI359" i="30"/>
  <c r="EJ359" i="30"/>
  <c r="EK359" i="30"/>
  <c r="EL359" i="30"/>
  <c r="EM359" i="30"/>
  <c r="EN359" i="30"/>
  <c r="EO359" i="30"/>
  <c r="EP359" i="30"/>
  <c r="EQ359" i="30"/>
  <c r="ER359" i="30"/>
  <c r="ES359" i="30"/>
  <c r="ET359" i="30"/>
  <c r="EU359" i="30"/>
  <c r="EV359" i="30"/>
  <c r="EW359" i="30"/>
  <c r="EX359" i="30"/>
  <c r="EY359" i="30"/>
  <c r="EZ359" i="30"/>
  <c r="FA359" i="30"/>
  <c r="FB359" i="30"/>
  <c r="FC359" i="30"/>
  <c r="FD359" i="30"/>
  <c r="FE359" i="30"/>
  <c r="FF359" i="30"/>
  <c r="FG359" i="30"/>
  <c r="FH359" i="30"/>
  <c r="FI359" i="30"/>
  <c r="FJ359" i="30"/>
  <c r="FK359" i="30"/>
  <c r="FL359" i="30"/>
  <c r="FM359" i="30"/>
  <c r="FN359" i="30"/>
  <c r="FO359" i="30"/>
  <c r="FP359" i="30"/>
  <c r="FQ359" i="30"/>
  <c r="FR359" i="30"/>
  <c r="FS359" i="30"/>
  <c r="FT359" i="30"/>
  <c r="FU359" i="30"/>
  <c r="FV359" i="30"/>
  <c r="FW359" i="30"/>
  <c r="FX359" i="30"/>
  <c r="FY359" i="30"/>
  <c r="FZ359" i="30"/>
  <c r="GA359" i="30"/>
  <c r="GB359" i="30"/>
  <c r="GC359" i="30"/>
  <c r="GD359" i="30"/>
  <c r="GE359" i="30"/>
  <c r="GF359" i="30"/>
  <c r="GG359" i="30"/>
  <c r="GH359" i="30"/>
  <c r="GI359" i="30"/>
  <c r="GJ359" i="30"/>
  <c r="GK359" i="30"/>
  <c r="GL359" i="30"/>
  <c r="GM359" i="30"/>
  <c r="GN359" i="30"/>
  <c r="GO359" i="30"/>
  <c r="GP359" i="30"/>
  <c r="GQ359" i="30"/>
  <c r="GR359" i="30"/>
  <c r="GS359" i="30"/>
  <c r="GT359" i="30"/>
  <c r="GU359" i="30"/>
  <c r="GV359" i="30"/>
  <c r="GW359" i="30"/>
  <c r="GX359" i="30"/>
  <c r="GY359" i="30"/>
  <c r="GZ359" i="30"/>
  <c r="HA359" i="30"/>
  <c r="HB359" i="30"/>
  <c r="HC359" i="30"/>
  <c r="HD359" i="30"/>
  <c r="HE359" i="30"/>
  <c r="HF359" i="30"/>
  <c r="HG359" i="30"/>
  <c r="HH359" i="30"/>
  <c r="HI359" i="30"/>
  <c r="HJ359" i="30"/>
  <c r="HK359" i="30"/>
  <c r="HL359" i="30"/>
  <c r="HM359" i="30"/>
  <c r="HN359" i="30"/>
  <c r="HO359" i="30"/>
  <c r="HP359" i="30"/>
  <c r="HQ359" i="30"/>
  <c r="HR359" i="30"/>
  <c r="HS359" i="30"/>
  <c r="HT359" i="30"/>
  <c r="HU359" i="30"/>
  <c r="HV359" i="30"/>
  <c r="HW359" i="30"/>
  <c r="HX359" i="30"/>
  <c r="HY359" i="30"/>
  <c r="HZ359" i="30"/>
  <c r="IA359" i="30"/>
  <c r="IB359" i="30"/>
  <c r="IC359" i="30"/>
  <c r="ID359" i="30"/>
  <c r="IE359" i="30"/>
  <c r="IF359" i="30"/>
  <c r="IG359" i="30"/>
  <c r="IH359" i="30"/>
  <c r="II359" i="30"/>
  <c r="IJ359" i="30"/>
  <c r="IK359" i="30"/>
  <c r="IL359" i="30"/>
  <c r="IM359" i="30"/>
  <c r="IN359" i="30"/>
  <c r="IO359" i="30"/>
  <c r="IP359" i="30"/>
  <c r="IQ359" i="30"/>
  <c r="IR359" i="30"/>
  <c r="IS359" i="30"/>
  <c r="IT359" i="30"/>
  <c r="IU359" i="30"/>
  <c r="IV359" i="30"/>
  <c r="A358" i="30"/>
  <c r="B358" i="30"/>
  <c r="C358" i="30"/>
  <c r="D358" i="30"/>
  <c r="E358" i="30"/>
  <c r="F358" i="30"/>
  <c r="G358" i="30"/>
  <c r="H358" i="30"/>
  <c r="I358" i="30"/>
  <c r="J358" i="30"/>
  <c r="K358" i="30"/>
  <c r="L358" i="30"/>
  <c r="M358" i="30"/>
  <c r="N358" i="30"/>
  <c r="O358" i="30"/>
  <c r="P358" i="30"/>
  <c r="Q358" i="30"/>
  <c r="R358" i="30"/>
  <c r="S358" i="30"/>
  <c r="T358" i="30"/>
  <c r="U358" i="30"/>
  <c r="V358" i="30"/>
  <c r="W358" i="30"/>
  <c r="X358" i="30"/>
  <c r="Y358" i="30"/>
  <c r="Z358" i="30"/>
  <c r="AA358" i="30"/>
  <c r="AB358" i="30"/>
  <c r="AC358" i="30"/>
  <c r="AD358" i="30"/>
  <c r="AE358" i="30"/>
  <c r="AF358" i="30"/>
  <c r="AG358" i="30"/>
  <c r="AH358" i="30"/>
  <c r="AI358" i="30"/>
  <c r="AJ358" i="30"/>
  <c r="AK358" i="30"/>
  <c r="AL358" i="30"/>
  <c r="AM358" i="30"/>
  <c r="AN358" i="30"/>
  <c r="AO358" i="30"/>
  <c r="AP358" i="30"/>
  <c r="AQ358" i="30"/>
  <c r="AR358" i="30"/>
  <c r="AS358" i="30"/>
  <c r="AT358" i="30"/>
  <c r="AU358" i="30"/>
  <c r="AV358" i="30"/>
  <c r="AW358" i="30"/>
  <c r="AX358" i="30"/>
  <c r="AY358" i="30"/>
  <c r="AZ358" i="30"/>
  <c r="BA358" i="30"/>
  <c r="BB358" i="30"/>
  <c r="BC358" i="30"/>
  <c r="BD358" i="30"/>
  <c r="BE358" i="30"/>
  <c r="BF358" i="30"/>
  <c r="BG358" i="30"/>
  <c r="BH358" i="30"/>
  <c r="BI358" i="30"/>
  <c r="BJ358" i="30"/>
  <c r="BK358" i="30"/>
  <c r="BL358" i="30"/>
  <c r="BM358" i="30"/>
  <c r="BN358" i="30"/>
  <c r="BO358" i="30"/>
  <c r="BP358" i="30"/>
  <c r="BQ358" i="30"/>
  <c r="BR358" i="30"/>
  <c r="BS358" i="30"/>
  <c r="BT358" i="30"/>
  <c r="BU358" i="30"/>
  <c r="BV358" i="30"/>
  <c r="BW358" i="30"/>
  <c r="BX358" i="30"/>
  <c r="BY358" i="30"/>
  <c r="BZ358" i="30"/>
  <c r="CA358" i="30"/>
  <c r="CB358" i="30"/>
  <c r="CC358" i="30"/>
  <c r="CD358" i="30"/>
  <c r="CE358" i="30"/>
  <c r="CF358" i="30"/>
  <c r="CG358" i="30"/>
  <c r="CH358" i="30"/>
  <c r="CI358" i="30"/>
  <c r="CJ358" i="30"/>
  <c r="CK358" i="30"/>
  <c r="CL358" i="30"/>
  <c r="CM358" i="30"/>
  <c r="CN358" i="30"/>
  <c r="CO358" i="30"/>
  <c r="CP358" i="30"/>
  <c r="CQ358" i="30"/>
  <c r="CR358" i="30"/>
  <c r="CS358" i="30"/>
  <c r="CT358" i="30"/>
  <c r="CU358" i="30"/>
  <c r="CV358" i="30"/>
  <c r="CW358" i="30"/>
  <c r="CX358" i="30"/>
  <c r="CY358" i="30"/>
  <c r="CZ358" i="30"/>
  <c r="DA358" i="30"/>
  <c r="DB358" i="30"/>
  <c r="DC358" i="30"/>
  <c r="DD358" i="30"/>
  <c r="DE358" i="30"/>
  <c r="DF358" i="30"/>
  <c r="DG358" i="30"/>
  <c r="DH358" i="30"/>
  <c r="DI358" i="30"/>
  <c r="DJ358" i="30"/>
  <c r="DK358" i="30"/>
  <c r="DL358" i="30"/>
  <c r="DM358" i="30"/>
  <c r="DN358" i="30"/>
  <c r="DO358" i="30"/>
  <c r="DP358" i="30"/>
  <c r="DQ358" i="30"/>
  <c r="DR358" i="30"/>
  <c r="DS358" i="30"/>
  <c r="DT358" i="30"/>
  <c r="DU358" i="30"/>
  <c r="DV358" i="30"/>
  <c r="DW358" i="30"/>
  <c r="DX358" i="30"/>
  <c r="DY358" i="30"/>
  <c r="DZ358" i="30"/>
  <c r="EA358" i="30"/>
  <c r="EB358" i="30"/>
  <c r="EC358" i="30"/>
  <c r="ED358" i="30"/>
  <c r="EE358" i="30"/>
  <c r="EF358" i="30"/>
  <c r="EG358" i="30"/>
  <c r="EH358" i="30"/>
  <c r="EI358" i="30"/>
  <c r="EJ358" i="30"/>
  <c r="EK358" i="30"/>
  <c r="EL358" i="30"/>
  <c r="EM358" i="30"/>
  <c r="EN358" i="30"/>
  <c r="EO358" i="30"/>
  <c r="EP358" i="30"/>
  <c r="EQ358" i="30"/>
  <c r="ER358" i="30"/>
  <c r="ES358" i="30"/>
  <c r="ET358" i="30"/>
  <c r="EU358" i="30"/>
  <c r="EV358" i="30"/>
  <c r="EW358" i="30"/>
  <c r="EX358" i="30"/>
  <c r="EY358" i="30"/>
  <c r="EZ358" i="30"/>
  <c r="FA358" i="30"/>
  <c r="FB358" i="30"/>
  <c r="FC358" i="30"/>
  <c r="FD358" i="30"/>
  <c r="FE358" i="30"/>
  <c r="FF358" i="30"/>
  <c r="FG358" i="30"/>
  <c r="FH358" i="30"/>
  <c r="FI358" i="30"/>
  <c r="FJ358" i="30"/>
  <c r="FK358" i="30"/>
  <c r="FL358" i="30"/>
  <c r="FM358" i="30"/>
  <c r="FN358" i="30"/>
  <c r="FO358" i="30"/>
  <c r="FP358" i="30"/>
  <c r="FQ358" i="30"/>
  <c r="FR358" i="30"/>
  <c r="FS358" i="30"/>
  <c r="FT358" i="30"/>
  <c r="FU358" i="30"/>
  <c r="FV358" i="30"/>
  <c r="FW358" i="30"/>
  <c r="FX358" i="30"/>
  <c r="FY358" i="30"/>
  <c r="FZ358" i="30"/>
  <c r="GA358" i="30"/>
  <c r="GB358" i="30"/>
  <c r="GC358" i="30"/>
  <c r="GD358" i="30"/>
  <c r="GE358" i="30"/>
  <c r="GF358" i="30"/>
  <c r="GG358" i="30"/>
  <c r="GH358" i="30"/>
  <c r="GI358" i="30"/>
  <c r="GJ358" i="30"/>
  <c r="GK358" i="30"/>
  <c r="GL358" i="30"/>
  <c r="GM358" i="30"/>
  <c r="GN358" i="30"/>
  <c r="GO358" i="30"/>
  <c r="GP358" i="30"/>
  <c r="GQ358" i="30"/>
  <c r="GR358" i="30"/>
  <c r="GS358" i="30"/>
  <c r="GT358" i="30"/>
  <c r="GU358" i="30"/>
  <c r="GV358" i="30"/>
  <c r="GW358" i="30"/>
  <c r="GX358" i="30"/>
  <c r="GY358" i="30"/>
  <c r="GZ358" i="30"/>
  <c r="HA358" i="30"/>
  <c r="HB358" i="30"/>
  <c r="HC358" i="30"/>
  <c r="HD358" i="30"/>
  <c r="HE358" i="30"/>
  <c r="HF358" i="30"/>
  <c r="HG358" i="30"/>
  <c r="HH358" i="30"/>
  <c r="HI358" i="30"/>
  <c r="HJ358" i="30"/>
  <c r="HK358" i="30"/>
  <c r="HL358" i="30"/>
  <c r="HM358" i="30"/>
  <c r="HN358" i="30"/>
  <c r="HO358" i="30"/>
  <c r="HP358" i="30"/>
  <c r="HQ358" i="30"/>
  <c r="HR358" i="30"/>
  <c r="HS358" i="30"/>
  <c r="HT358" i="30"/>
  <c r="HU358" i="30"/>
  <c r="HV358" i="30"/>
  <c r="HW358" i="30"/>
  <c r="HX358" i="30"/>
  <c r="HY358" i="30"/>
  <c r="HZ358" i="30"/>
  <c r="IA358" i="30"/>
  <c r="IB358" i="30"/>
  <c r="IC358" i="30"/>
  <c r="ID358" i="30"/>
  <c r="IE358" i="30"/>
  <c r="IF358" i="30"/>
  <c r="IG358" i="30"/>
  <c r="IH358" i="30"/>
  <c r="II358" i="30"/>
  <c r="IJ358" i="30"/>
  <c r="IK358" i="30"/>
  <c r="IL358" i="30"/>
  <c r="IM358" i="30"/>
  <c r="IN358" i="30"/>
  <c r="IO358" i="30"/>
  <c r="IP358" i="30"/>
  <c r="IQ358" i="30"/>
  <c r="IR358" i="30"/>
  <c r="IS358" i="30"/>
  <c r="IT358" i="30"/>
  <c r="IU358" i="30"/>
  <c r="IV358" i="30"/>
  <c r="A357" i="30"/>
  <c r="B357" i="30"/>
  <c r="C357" i="30"/>
  <c r="D357" i="30"/>
  <c r="E357" i="30"/>
  <c r="F357" i="30"/>
  <c r="G357" i="30"/>
  <c r="H357" i="30"/>
  <c r="I357" i="30"/>
  <c r="J357" i="30"/>
  <c r="K357" i="30"/>
  <c r="L357" i="30"/>
  <c r="M357" i="30"/>
  <c r="N357" i="30"/>
  <c r="O357" i="30"/>
  <c r="P357" i="30"/>
  <c r="Q357" i="30"/>
  <c r="R357" i="30"/>
  <c r="S357" i="30"/>
  <c r="T357" i="30"/>
  <c r="U357" i="30"/>
  <c r="V357" i="30"/>
  <c r="W357" i="30"/>
  <c r="X357" i="30"/>
  <c r="Y357" i="30"/>
  <c r="Z357" i="30"/>
  <c r="AA357" i="30"/>
  <c r="AB357" i="30"/>
  <c r="AC357" i="30"/>
  <c r="AD357" i="30"/>
  <c r="AE357" i="30"/>
  <c r="AF357" i="30"/>
  <c r="AG357" i="30"/>
  <c r="AH357" i="30"/>
  <c r="AI357" i="30"/>
  <c r="AJ357" i="30"/>
  <c r="AK357" i="30"/>
  <c r="AL357" i="30"/>
  <c r="AM357" i="30"/>
  <c r="AN357" i="30"/>
  <c r="AO357" i="30"/>
  <c r="AP357" i="30"/>
  <c r="AQ357" i="30"/>
  <c r="AR357" i="30"/>
  <c r="AS357" i="30"/>
  <c r="AT357" i="30"/>
  <c r="AU357" i="30"/>
  <c r="AV357" i="30"/>
  <c r="AW357" i="30"/>
  <c r="AX357" i="30"/>
  <c r="AY357" i="30"/>
  <c r="AZ357" i="30"/>
  <c r="BA357" i="30"/>
  <c r="BB357" i="30"/>
  <c r="BC357" i="30"/>
  <c r="BD357" i="30"/>
  <c r="BE357" i="30"/>
  <c r="BF357" i="30"/>
  <c r="BG357" i="30"/>
  <c r="BH357" i="30"/>
  <c r="BI357" i="30"/>
  <c r="BJ357" i="30"/>
  <c r="BK357" i="30"/>
  <c r="BL357" i="30"/>
  <c r="BM357" i="30"/>
  <c r="BN357" i="30"/>
  <c r="BO357" i="30"/>
  <c r="BP357" i="30"/>
  <c r="BQ357" i="30"/>
  <c r="BR357" i="30"/>
  <c r="BS357" i="30"/>
  <c r="BT357" i="30"/>
  <c r="BU357" i="30"/>
  <c r="BV357" i="30"/>
  <c r="BW357" i="30"/>
  <c r="BX357" i="30"/>
  <c r="BY357" i="30"/>
  <c r="BZ357" i="30"/>
  <c r="CA357" i="30"/>
  <c r="CB357" i="30"/>
  <c r="CC357" i="30"/>
  <c r="CD357" i="30"/>
  <c r="CE357" i="30"/>
  <c r="CF357" i="30"/>
  <c r="CG357" i="30"/>
  <c r="CH357" i="30"/>
  <c r="CI357" i="30"/>
  <c r="CJ357" i="30"/>
  <c r="CK357" i="30"/>
  <c r="CL357" i="30"/>
  <c r="CM357" i="30"/>
  <c r="CN357" i="30"/>
  <c r="CO357" i="30"/>
  <c r="CP357" i="30"/>
  <c r="CQ357" i="30"/>
  <c r="CR357" i="30"/>
  <c r="CS357" i="30"/>
  <c r="CT357" i="30"/>
  <c r="CU357" i="30"/>
  <c r="CV357" i="30"/>
  <c r="CW357" i="30"/>
  <c r="CX357" i="30"/>
  <c r="CY357" i="30"/>
  <c r="CZ357" i="30"/>
  <c r="DA357" i="30"/>
  <c r="DB357" i="30"/>
  <c r="DC357" i="30"/>
  <c r="DD357" i="30"/>
  <c r="DE357" i="30"/>
  <c r="DF357" i="30"/>
  <c r="DG357" i="30"/>
  <c r="DH357" i="30"/>
  <c r="DI357" i="30"/>
  <c r="DJ357" i="30"/>
  <c r="DK357" i="30"/>
  <c r="DL357" i="30"/>
  <c r="DM357" i="30"/>
  <c r="DN357" i="30"/>
  <c r="DO357" i="30"/>
  <c r="DP357" i="30"/>
  <c r="DQ357" i="30"/>
  <c r="DR357" i="30"/>
  <c r="DS357" i="30"/>
  <c r="DT357" i="30"/>
  <c r="DU357" i="30"/>
  <c r="DV357" i="30"/>
  <c r="DW357" i="30"/>
  <c r="DX357" i="30"/>
  <c r="DY357" i="30"/>
  <c r="DZ357" i="30"/>
  <c r="EA357" i="30"/>
  <c r="EB357" i="30"/>
  <c r="EC357" i="30"/>
  <c r="ED357" i="30"/>
  <c r="EE357" i="30"/>
  <c r="EF357" i="30"/>
  <c r="EG357" i="30"/>
  <c r="EH357" i="30"/>
  <c r="EI357" i="30"/>
  <c r="EJ357" i="30"/>
  <c r="EK357" i="30"/>
  <c r="EL357" i="30"/>
  <c r="EM357" i="30"/>
  <c r="EN357" i="30"/>
  <c r="EO357" i="30"/>
  <c r="EP357" i="30"/>
  <c r="EQ357" i="30"/>
  <c r="ER357" i="30"/>
  <c r="ES357" i="30"/>
  <c r="ET357" i="30"/>
  <c r="EU357" i="30"/>
  <c r="EV357" i="30"/>
  <c r="EW357" i="30"/>
  <c r="EX357" i="30"/>
  <c r="EY357" i="30"/>
  <c r="EZ357" i="30"/>
  <c r="FA357" i="30"/>
  <c r="FB357" i="30"/>
  <c r="FC357" i="30"/>
  <c r="FD357" i="30"/>
  <c r="FE357" i="30"/>
  <c r="FF357" i="30"/>
  <c r="FG357" i="30"/>
  <c r="FH357" i="30"/>
  <c r="FI357" i="30"/>
  <c r="FJ357" i="30"/>
  <c r="FK357" i="30"/>
  <c r="FL357" i="30"/>
  <c r="FM357" i="30"/>
  <c r="FN357" i="30"/>
  <c r="FO357" i="30"/>
  <c r="FP357" i="30"/>
  <c r="FQ357" i="30"/>
  <c r="FR357" i="30"/>
  <c r="FS357" i="30"/>
  <c r="FT357" i="30"/>
  <c r="FU357" i="30"/>
  <c r="FV357" i="30"/>
  <c r="FW357" i="30"/>
  <c r="FX357" i="30"/>
  <c r="FY357" i="30"/>
  <c r="FZ357" i="30"/>
  <c r="GA357" i="30"/>
  <c r="GB357" i="30"/>
  <c r="GC357" i="30"/>
  <c r="GD357" i="30"/>
  <c r="GE357" i="30"/>
  <c r="GF357" i="30"/>
  <c r="GG357" i="30"/>
  <c r="GH357" i="30"/>
  <c r="GI357" i="30"/>
  <c r="GJ357" i="30"/>
  <c r="GK357" i="30"/>
  <c r="GL357" i="30"/>
  <c r="GM357" i="30"/>
  <c r="GN357" i="30"/>
  <c r="GO357" i="30"/>
  <c r="GP357" i="30"/>
  <c r="GQ357" i="30"/>
  <c r="GR357" i="30"/>
  <c r="GS357" i="30"/>
  <c r="GT357" i="30"/>
  <c r="GU357" i="30"/>
  <c r="GV357" i="30"/>
  <c r="GW357" i="30"/>
  <c r="GX357" i="30"/>
  <c r="GY357" i="30"/>
  <c r="GZ357" i="30"/>
  <c r="HA357" i="30"/>
  <c r="HB357" i="30"/>
  <c r="HC357" i="30"/>
  <c r="HD357" i="30"/>
  <c r="HE357" i="30"/>
  <c r="HF357" i="30"/>
  <c r="HG357" i="30"/>
  <c r="HH357" i="30"/>
  <c r="HI357" i="30"/>
  <c r="HJ357" i="30"/>
  <c r="HK357" i="30"/>
  <c r="HL357" i="30"/>
  <c r="HM357" i="30"/>
  <c r="HN357" i="30"/>
  <c r="HO357" i="30"/>
  <c r="HP357" i="30"/>
  <c r="HQ357" i="30"/>
  <c r="HR357" i="30"/>
  <c r="HS357" i="30"/>
  <c r="HT357" i="30"/>
  <c r="HU357" i="30"/>
  <c r="HV357" i="30"/>
  <c r="HW357" i="30"/>
  <c r="HX357" i="30"/>
  <c r="HY357" i="30"/>
  <c r="HZ357" i="30"/>
  <c r="IA357" i="30"/>
  <c r="IB357" i="30"/>
  <c r="IC357" i="30"/>
  <c r="ID357" i="30"/>
  <c r="IE357" i="30"/>
  <c r="IF357" i="30"/>
  <c r="IG357" i="30"/>
  <c r="IH357" i="30"/>
  <c r="II357" i="30"/>
  <c r="IJ357" i="30"/>
  <c r="IK357" i="30"/>
  <c r="IL357" i="30"/>
  <c r="IM357" i="30"/>
  <c r="IN357" i="30"/>
  <c r="IO357" i="30"/>
  <c r="IP357" i="30"/>
  <c r="IQ357" i="30"/>
  <c r="IR357" i="30"/>
  <c r="IS357" i="30"/>
  <c r="IT357" i="30"/>
  <c r="IU357" i="30"/>
  <c r="IV357" i="30"/>
  <c r="A356" i="30"/>
  <c r="B356" i="30"/>
  <c r="C356" i="30"/>
  <c r="D356" i="30"/>
  <c r="E356" i="30"/>
  <c r="F356" i="30"/>
  <c r="G356" i="30"/>
  <c r="H356" i="30"/>
  <c r="I356" i="30"/>
  <c r="J356" i="30"/>
  <c r="K356" i="30"/>
  <c r="L356" i="30"/>
  <c r="M356" i="30"/>
  <c r="N356" i="30"/>
  <c r="O356" i="30"/>
  <c r="P356" i="30"/>
  <c r="Q356" i="30"/>
  <c r="R356" i="30"/>
  <c r="S356" i="30"/>
  <c r="T356" i="30"/>
  <c r="U356" i="30"/>
  <c r="V356" i="30"/>
  <c r="W356" i="30"/>
  <c r="X356" i="30"/>
  <c r="Y356" i="30"/>
  <c r="Z356" i="30"/>
  <c r="AA356" i="30"/>
  <c r="AB356" i="30"/>
  <c r="AC356" i="30"/>
  <c r="AD356" i="30"/>
  <c r="AE356" i="30"/>
  <c r="AF356" i="30"/>
  <c r="AG356" i="30"/>
  <c r="AH356" i="30"/>
  <c r="AI356" i="30"/>
  <c r="AJ356" i="30"/>
  <c r="AK356" i="30"/>
  <c r="AL356" i="30"/>
  <c r="AM356" i="30"/>
  <c r="AN356" i="30"/>
  <c r="AO356" i="30"/>
  <c r="AP356" i="30"/>
  <c r="AQ356" i="30"/>
  <c r="AR356" i="30"/>
  <c r="AS356" i="30"/>
  <c r="AT356" i="30"/>
  <c r="AU356" i="30"/>
  <c r="AV356" i="30"/>
  <c r="AW356" i="30"/>
  <c r="AX356" i="30"/>
  <c r="AY356" i="30"/>
  <c r="AZ356" i="30"/>
  <c r="BA356" i="30"/>
  <c r="BB356" i="30"/>
  <c r="BC356" i="30"/>
  <c r="BD356" i="30"/>
  <c r="BE356" i="30"/>
  <c r="BF356" i="30"/>
  <c r="BG356" i="30"/>
  <c r="BH356" i="30"/>
  <c r="BI356" i="30"/>
  <c r="BJ356" i="30"/>
  <c r="BK356" i="30"/>
  <c r="BL356" i="30"/>
  <c r="BM356" i="30"/>
  <c r="BN356" i="30"/>
  <c r="BO356" i="30"/>
  <c r="BP356" i="30"/>
  <c r="BQ356" i="30"/>
  <c r="BR356" i="30"/>
  <c r="BS356" i="30"/>
  <c r="BT356" i="30"/>
  <c r="BU356" i="30"/>
  <c r="BV356" i="30"/>
  <c r="BW356" i="30"/>
  <c r="BX356" i="30"/>
  <c r="BY356" i="30"/>
  <c r="BZ356" i="30"/>
  <c r="CA356" i="30"/>
  <c r="CB356" i="30"/>
  <c r="CC356" i="30"/>
  <c r="CD356" i="30"/>
  <c r="CE356" i="30"/>
  <c r="CF356" i="30"/>
  <c r="CG356" i="30"/>
  <c r="CH356" i="30"/>
  <c r="CI356" i="30"/>
  <c r="CJ356" i="30"/>
  <c r="CK356" i="30"/>
  <c r="CL356" i="30"/>
  <c r="CM356" i="30"/>
  <c r="CN356" i="30"/>
  <c r="CO356" i="30"/>
  <c r="CP356" i="30"/>
  <c r="CQ356" i="30"/>
  <c r="CR356" i="30"/>
  <c r="CS356" i="30"/>
  <c r="CT356" i="30"/>
  <c r="CU356" i="30"/>
  <c r="CV356" i="30"/>
  <c r="CW356" i="30"/>
  <c r="CX356" i="30"/>
  <c r="CY356" i="30"/>
  <c r="CZ356" i="30"/>
  <c r="DA356" i="30"/>
  <c r="DB356" i="30"/>
  <c r="DC356" i="30"/>
  <c r="DD356" i="30"/>
  <c r="DE356" i="30"/>
  <c r="DF356" i="30"/>
  <c r="DG356" i="30"/>
  <c r="DH356" i="30"/>
  <c r="DI356" i="30"/>
  <c r="DJ356" i="30"/>
  <c r="DK356" i="30"/>
  <c r="DL356" i="30"/>
  <c r="DM356" i="30"/>
  <c r="DN356" i="30"/>
  <c r="DO356" i="30"/>
  <c r="DP356" i="30"/>
  <c r="DQ356" i="30"/>
  <c r="DR356" i="30"/>
  <c r="DS356" i="30"/>
  <c r="DT356" i="30"/>
  <c r="DU356" i="30"/>
  <c r="DV356" i="30"/>
  <c r="DW356" i="30"/>
  <c r="DX356" i="30"/>
  <c r="DY356" i="30"/>
  <c r="DZ356" i="30"/>
  <c r="EA356" i="30"/>
  <c r="EB356" i="30"/>
  <c r="EC356" i="30"/>
  <c r="ED356" i="30"/>
  <c r="EE356" i="30"/>
  <c r="EF356" i="30"/>
  <c r="EG356" i="30"/>
  <c r="EH356" i="30"/>
  <c r="EI356" i="30"/>
  <c r="EJ356" i="30"/>
  <c r="EK356" i="30"/>
  <c r="EL356" i="30"/>
  <c r="EM356" i="30"/>
  <c r="EN356" i="30"/>
  <c r="EO356" i="30"/>
  <c r="EP356" i="30"/>
  <c r="EQ356" i="30"/>
  <c r="ER356" i="30"/>
  <c r="ES356" i="30"/>
  <c r="ET356" i="30"/>
  <c r="EU356" i="30"/>
  <c r="EV356" i="30"/>
  <c r="EW356" i="30"/>
  <c r="EX356" i="30"/>
  <c r="EY356" i="30"/>
  <c r="EZ356" i="30"/>
  <c r="FA356" i="30"/>
  <c r="FB356" i="30"/>
  <c r="FC356" i="30"/>
  <c r="FD356" i="30"/>
  <c r="FE356" i="30"/>
  <c r="FF356" i="30"/>
  <c r="FG356" i="30"/>
  <c r="FH356" i="30"/>
  <c r="FI356" i="30"/>
  <c r="FJ356" i="30"/>
  <c r="FK356" i="30"/>
  <c r="FL356" i="30"/>
  <c r="FM356" i="30"/>
  <c r="FN356" i="30"/>
  <c r="FO356" i="30"/>
  <c r="FP356" i="30"/>
  <c r="FQ356" i="30"/>
  <c r="FR356" i="30"/>
  <c r="FS356" i="30"/>
  <c r="FT356" i="30"/>
  <c r="FU356" i="30"/>
  <c r="FV356" i="30"/>
  <c r="FW356" i="30"/>
  <c r="FX356" i="30"/>
  <c r="FY356" i="30"/>
  <c r="FZ356" i="30"/>
  <c r="GA356" i="30"/>
  <c r="GB356" i="30"/>
  <c r="GC356" i="30"/>
  <c r="GD356" i="30"/>
  <c r="GE356" i="30"/>
  <c r="GF356" i="30"/>
  <c r="GG356" i="30"/>
  <c r="GH356" i="30"/>
  <c r="GI356" i="30"/>
  <c r="GJ356" i="30"/>
  <c r="GK356" i="30"/>
  <c r="GL356" i="30"/>
  <c r="GM356" i="30"/>
  <c r="GN356" i="30"/>
  <c r="GO356" i="30"/>
  <c r="GP356" i="30"/>
  <c r="GQ356" i="30"/>
  <c r="GR356" i="30"/>
  <c r="GS356" i="30"/>
  <c r="GT356" i="30"/>
  <c r="GU356" i="30"/>
  <c r="GV356" i="30"/>
  <c r="GW356" i="30"/>
  <c r="GX356" i="30"/>
  <c r="GY356" i="30"/>
  <c r="GZ356" i="30"/>
  <c r="HA356" i="30"/>
  <c r="HB356" i="30"/>
  <c r="HC356" i="30"/>
  <c r="HD356" i="30"/>
  <c r="HE356" i="30"/>
  <c r="HF356" i="30"/>
  <c r="HG356" i="30"/>
  <c r="HH356" i="30"/>
  <c r="HI356" i="30"/>
  <c r="HJ356" i="30"/>
  <c r="HK356" i="30"/>
  <c r="HL356" i="30"/>
  <c r="HM356" i="30"/>
  <c r="HN356" i="30"/>
  <c r="HO356" i="30"/>
  <c r="HP356" i="30"/>
  <c r="HQ356" i="30"/>
  <c r="HR356" i="30"/>
  <c r="HS356" i="30"/>
  <c r="HT356" i="30"/>
  <c r="HU356" i="30"/>
  <c r="HV356" i="30"/>
  <c r="HW356" i="30"/>
  <c r="HX356" i="30"/>
  <c r="HY356" i="30"/>
  <c r="HZ356" i="30"/>
  <c r="IA356" i="30"/>
  <c r="IB356" i="30"/>
  <c r="IC356" i="30"/>
  <c r="ID356" i="30"/>
  <c r="IE356" i="30"/>
  <c r="IF356" i="30"/>
  <c r="IG356" i="30"/>
  <c r="IH356" i="30"/>
  <c r="II356" i="30"/>
  <c r="IJ356" i="30"/>
  <c r="IK356" i="30"/>
  <c r="IL356" i="30"/>
  <c r="IM356" i="30"/>
  <c r="IN356" i="30"/>
  <c r="IO356" i="30"/>
  <c r="IP356" i="30"/>
  <c r="IQ356" i="30"/>
  <c r="IR356" i="30"/>
  <c r="IS356" i="30"/>
  <c r="IT356" i="30"/>
  <c r="IU356" i="30"/>
  <c r="IV356" i="30"/>
  <c r="A355" i="30"/>
  <c r="B355" i="30"/>
  <c r="C355" i="30"/>
  <c r="D355" i="30"/>
  <c r="E355" i="30"/>
  <c r="F355" i="30"/>
  <c r="G355" i="30"/>
  <c r="H355" i="30"/>
  <c r="I355" i="30"/>
  <c r="J355" i="30"/>
  <c r="K355" i="30"/>
  <c r="L355" i="30"/>
  <c r="M355" i="30"/>
  <c r="N355" i="30"/>
  <c r="O355" i="30"/>
  <c r="P355" i="30"/>
  <c r="Q355" i="30"/>
  <c r="R355" i="30"/>
  <c r="S355" i="30"/>
  <c r="T355" i="30"/>
  <c r="U355" i="30"/>
  <c r="V355" i="30"/>
  <c r="W355" i="30"/>
  <c r="X355" i="30"/>
  <c r="Y355" i="30"/>
  <c r="Z355" i="30"/>
  <c r="AA355" i="30"/>
  <c r="AB355" i="30"/>
  <c r="AC355" i="30"/>
  <c r="AD355" i="30"/>
  <c r="AE355" i="30"/>
  <c r="AF355" i="30"/>
  <c r="AG355" i="30"/>
  <c r="AH355" i="30"/>
  <c r="AI355" i="30"/>
  <c r="AJ355" i="30"/>
  <c r="AK355" i="30"/>
  <c r="AL355" i="30"/>
  <c r="AM355" i="30"/>
  <c r="AN355" i="30"/>
  <c r="AO355" i="30"/>
  <c r="AP355" i="30"/>
  <c r="AQ355" i="30"/>
  <c r="AR355" i="30"/>
  <c r="AS355" i="30"/>
  <c r="AT355" i="30"/>
  <c r="AU355" i="30"/>
  <c r="AV355" i="30"/>
  <c r="AW355" i="30"/>
  <c r="AX355" i="30"/>
  <c r="AY355" i="30"/>
  <c r="AZ355" i="30"/>
  <c r="BA355" i="30"/>
  <c r="BB355" i="30"/>
  <c r="BC355" i="30"/>
  <c r="BD355" i="30"/>
  <c r="BE355" i="30"/>
  <c r="BF355" i="30"/>
  <c r="BG355" i="30"/>
  <c r="BH355" i="30"/>
  <c r="BI355" i="30"/>
  <c r="BJ355" i="30"/>
  <c r="BK355" i="30"/>
  <c r="BL355" i="30"/>
  <c r="BM355" i="30"/>
  <c r="BN355" i="30"/>
  <c r="BO355" i="30"/>
  <c r="BP355" i="30"/>
  <c r="BQ355" i="30"/>
  <c r="BR355" i="30"/>
  <c r="BS355" i="30"/>
  <c r="BT355" i="30"/>
  <c r="BU355" i="30"/>
  <c r="BV355" i="30"/>
  <c r="BW355" i="30"/>
  <c r="BX355" i="30"/>
  <c r="BY355" i="30"/>
  <c r="BZ355" i="30"/>
  <c r="CA355" i="30"/>
  <c r="CB355" i="30"/>
  <c r="CC355" i="30"/>
  <c r="CD355" i="30"/>
  <c r="CE355" i="30"/>
  <c r="CF355" i="30"/>
  <c r="CG355" i="30"/>
  <c r="CH355" i="30"/>
  <c r="CI355" i="30"/>
  <c r="CJ355" i="30"/>
  <c r="CK355" i="30"/>
  <c r="CL355" i="30"/>
  <c r="CM355" i="30"/>
  <c r="CN355" i="30"/>
  <c r="CO355" i="30"/>
  <c r="CP355" i="30"/>
  <c r="CQ355" i="30"/>
  <c r="CR355" i="30"/>
  <c r="CS355" i="30"/>
  <c r="CT355" i="30"/>
  <c r="CU355" i="30"/>
  <c r="CV355" i="30"/>
  <c r="CW355" i="30"/>
  <c r="CX355" i="30"/>
  <c r="CY355" i="30"/>
  <c r="CZ355" i="30"/>
  <c r="DA355" i="30"/>
  <c r="DB355" i="30"/>
  <c r="DC355" i="30"/>
  <c r="DD355" i="30"/>
  <c r="DE355" i="30"/>
  <c r="DF355" i="30"/>
  <c r="DG355" i="30"/>
  <c r="DH355" i="30"/>
  <c r="DI355" i="30"/>
  <c r="DJ355" i="30"/>
  <c r="DK355" i="30"/>
  <c r="DL355" i="30"/>
  <c r="DM355" i="30"/>
  <c r="DN355" i="30"/>
  <c r="DO355" i="30"/>
  <c r="DP355" i="30"/>
  <c r="DQ355" i="30"/>
  <c r="DR355" i="30"/>
  <c r="DS355" i="30"/>
  <c r="DT355" i="30"/>
  <c r="DU355" i="30"/>
  <c r="DV355" i="30"/>
  <c r="DW355" i="30"/>
  <c r="DX355" i="30"/>
  <c r="DY355" i="30"/>
  <c r="DZ355" i="30"/>
  <c r="EA355" i="30"/>
  <c r="EB355" i="30"/>
  <c r="EC355" i="30"/>
  <c r="ED355" i="30"/>
  <c r="EE355" i="30"/>
  <c r="EF355" i="30"/>
  <c r="EG355" i="30"/>
  <c r="EH355" i="30"/>
  <c r="EI355" i="30"/>
  <c r="EJ355" i="30"/>
  <c r="EK355" i="30"/>
  <c r="EL355" i="30"/>
  <c r="EM355" i="30"/>
  <c r="EN355" i="30"/>
  <c r="EO355" i="30"/>
  <c r="EP355" i="30"/>
  <c r="EQ355" i="30"/>
  <c r="ER355" i="30"/>
  <c r="ES355" i="30"/>
  <c r="ET355" i="30"/>
  <c r="EU355" i="30"/>
  <c r="EV355" i="30"/>
  <c r="EW355" i="30"/>
  <c r="EX355" i="30"/>
  <c r="EY355" i="30"/>
  <c r="EZ355" i="30"/>
  <c r="FA355" i="30"/>
  <c r="FB355" i="30"/>
  <c r="FC355" i="30"/>
  <c r="FD355" i="30"/>
  <c r="FE355" i="30"/>
  <c r="FF355" i="30"/>
  <c r="FG355" i="30"/>
  <c r="FH355" i="30"/>
  <c r="FI355" i="30"/>
  <c r="FJ355" i="30"/>
  <c r="FK355" i="30"/>
  <c r="FL355" i="30"/>
  <c r="FM355" i="30"/>
  <c r="FN355" i="30"/>
  <c r="FO355" i="30"/>
  <c r="FP355" i="30"/>
  <c r="FQ355" i="30"/>
  <c r="FR355" i="30"/>
  <c r="FS355" i="30"/>
  <c r="FT355" i="30"/>
  <c r="FU355" i="30"/>
  <c r="FV355" i="30"/>
  <c r="FW355" i="30"/>
  <c r="FX355" i="30"/>
  <c r="FY355" i="30"/>
  <c r="FZ355" i="30"/>
  <c r="GA355" i="30"/>
  <c r="GB355" i="30"/>
  <c r="GC355" i="30"/>
  <c r="GD355" i="30"/>
  <c r="GE355" i="30"/>
  <c r="GF355" i="30"/>
  <c r="GG355" i="30"/>
  <c r="GH355" i="30"/>
  <c r="GI355" i="30"/>
  <c r="GJ355" i="30"/>
  <c r="GK355" i="30"/>
  <c r="GL355" i="30"/>
  <c r="GM355" i="30"/>
  <c r="GN355" i="30"/>
  <c r="GO355" i="30"/>
  <c r="GP355" i="30"/>
  <c r="GQ355" i="30"/>
  <c r="GR355" i="30"/>
  <c r="GS355" i="30"/>
  <c r="GT355" i="30"/>
  <c r="GU355" i="30"/>
  <c r="GV355" i="30"/>
  <c r="GW355" i="30"/>
  <c r="GX355" i="30"/>
  <c r="GY355" i="30"/>
  <c r="GZ355" i="30"/>
  <c r="HA355" i="30"/>
  <c r="HB355" i="30"/>
  <c r="HC355" i="30"/>
  <c r="HD355" i="30"/>
  <c r="HE355" i="30"/>
  <c r="HF355" i="30"/>
  <c r="HG355" i="30"/>
  <c r="HH355" i="30"/>
  <c r="HI355" i="30"/>
  <c r="HJ355" i="30"/>
  <c r="HK355" i="30"/>
  <c r="HL355" i="30"/>
  <c r="HM355" i="30"/>
  <c r="HN355" i="30"/>
  <c r="HO355" i="30"/>
  <c r="HP355" i="30"/>
  <c r="HQ355" i="30"/>
  <c r="HR355" i="30"/>
  <c r="HS355" i="30"/>
  <c r="HT355" i="30"/>
  <c r="HU355" i="30"/>
  <c r="HV355" i="30"/>
  <c r="HW355" i="30"/>
  <c r="HX355" i="30"/>
  <c r="HY355" i="30"/>
  <c r="HZ355" i="30"/>
  <c r="IA355" i="30"/>
  <c r="IB355" i="30"/>
  <c r="IC355" i="30"/>
  <c r="ID355" i="30"/>
  <c r="IE355" i="30"/>
  <c r="IF355" i="30"/>
  <c r="IG355" i="30"/>
  <c r="IH355" i="30"/>
  <c r="II355" i="30"/>
  <c r="IJ355" i="30"/>
  <c r="IK355" i="30"/>
  <c r="IL355" i="30"/>
  <c r="IM355" i="30"/>
  <c r="IN355" i="30"/>
  <c r="IO355" i="30"/>
  <c r="IP355" i="30"/>
  <c r="IQ355" i="30"/>
  <c r="IR355" i="30"/>
  <c r="IS355" i="30"/>
  <c r="IT355" i="30"/>
  <c r="IU355" i="30"/>
  <c r="IV355" i="30"/>
  <c r="A354" i="30"/>
  <c r="B354" i="30"/>
  <c r="C354" i="30"/>
  <c r="D354" i="30"/>
  <c r="E354" i="30"/>
  <c r="F354" i="30"/>
  <c r="G354" i="30"/>
  <c r="H354" i="30"/>
  <c r="I354" i="30"/>
  <c r="J354" i="30"/>
  <c r="K354" i="30"/>
  <c r="L354" i="30"/>
  <c r="M354" i="30"/>
  <c r="N354" i="30"/>
  <c r="O354" i="30"/>
  <c r="P354" i="30"/>
  <c r="Q354" i="30"/>
  <c r="R354" i="30"/>
  <c r="S354" i="30"/>
  <c r="T354" i="30"/>
  <c r="U354" i="30"/>
  <c r="V354" i="30"/>
  <c r="W354" i="30"/>
  <c r="X354" i="30"/>
  <c r="Y354" i="30"/>
  <c r="Z354" i="30"/>
  <c r="AA354" i="30"/>
  <c r="AB354" i="30"/>
  <c r="AC354" i="30"/>
  <c r="AD354" i="30"/>
  <c r="AE354" i="30"/>
  <c r="AF354" i="30"/>
  <c r="AG354" i="30"/>
  <c r="AH354" i="30"/>
  <c r="AI354" i="30"/>
  <c r="AJ354" i="30"/>
  <c r="AK354" i="30"/>
  <c r="AL354" i="30"/>
  <c r="AM354" i="30"/>
  <c r="AN354" i="30"/>
  <c r="AO354" i="30"/>
  <c r="AP354" i="30"/>
  <c r="AQ354" i="30"/>
  <c r="AR354" i="30"/>
  <c r="AS354" i="30"/>
  <c r="AT354" i="30"/>
  <c r="AU354" i="30"/>
  <c r="AV354" i="30"/>
  <c r="AW354" i="30"/>
  <c r="AX354" i="30"/>
  <c r="AY354" i="30"/>
  <c r="AZ354" i="30"/>
  <c r="BA354" i="30"/>
  <c r="BB354" i="30"/>
  <c r="BC354" i="30"/>
  <c r="BD354" i="30"/>
  <c r="BE354" i="30"/>
  <c r="BF354" i="30"/>
  <c r="BG354" i="30"/>
  <c r="BH354" i="30"/>
  <c r="BI354" i="30"/>
  <c r="BJ354" i="30"/>
  <c r="BK354" i="30"/>
  <c r="BL354" i="30"/>
  <c r="BM354" i="30"/>
  <c r="BN354" i="30"/>
  <c r="BO354" i="30"/>
  <c r="BP354" i="30"/>
  <c r="BQ354" i="30"/>
  <c r="BR354" i="30"/>
  <c r="BS354" i="30"/>
  <c r="BT354" i="30"/>
  <c r="BU354" i="30"/>
  <c r="BV354" i="30"/>
  <c r="BW354" i="30"/>
  <c r="BX354" i="30"/>
  <c r="BY354" i="30"/>
  <c r="BZ354" i="30"/>
  <c r="CA354" i="30"/>
  <c r="CB354" i="30"/>
  <c r="CC354" i="30"/>
  <c r="CD354" i="30"/>
  <c r="CE354" i="30"/>
  <c r="CF354" i="30"/>
  <c r="CG354" i="30"/>
  <c r="CH354" i="30"/>
  <c r="CI354" i="30"/>
  <c r="CJ354" i="30"/>
  <c r="CK354" i="30"/>
  <c r="CL354" i="30"/>
  <c r="CM354" i="30"/>
  <c r="CN354" i="30"/>
  <c r="CO354" i="30"/>
  <c r="CP354" i="30"/>
  <c r="CQ354" i="30"/>
  <c r="CR354" i="30"/>
  <c r="CS354" i="30"/>
  <c r="CT354" i="30"/>
  <c r="CU354" i="30"/>
  <c r="CV354" i="30"/>
  <c r="CW354" i="30"/>
  <c r="CX354" i="30"/>
  <c r="CY354" i="30"/>
  <c r="CZ354" i="30"/>
  <c r="DA354" i="30"/>
  <c r="DB354" i="30"/>
  <c r="DC354" i="30"/>
  <c r="DD354" i="30"/>
  <c r="DE354" i="30"/>
  <c r="DF354" i="30"/>
  <c r="DG354" i="30"/>
  <c r="DH354" i="30"/>
  <c r="DI354" i="30"/>
  <c r="DJ354" i="30"/>
  <c r="DK354" i="30"/>
  <c r="DL354" i="30"/>
  <c r="DM354" i="30"/>
  <c r="DN354" i="30"/>
  <c r="DO354" i="30"/>
  <c r="DP354" i="30"/>
  <c r="DQ354" i="30"/>
  <c r="DR354" i="30"/>
  <c r="DS354" i="30"/>
  <c r="DT354" i="30"/>
  <c r="DU354" i="30"/>
  <c r="DV354" i="30"/>
  <c r="DW354" i="30"/>
  <c r="DX354" i="30"/>
  <c r="DY354" i="30"/>
  <c r="DZ354" i="30"/>
  <c r="EA354" i="30"/>
  <c r="EB354" i="30"/>
  <c r="EC354" i="30"/>
  <c r="ED354" i="30"/>
  <c r="EE354" i="30"/>
  <c r="EF354" i="30"/>
  <c r="EG354" i="30"/>
  <c r="EH354" i="30"/>
  <c r="EI354" i="30"/>
  <c r="EJ354" i="30"/>
  <c r="EK354" i="30"/>
  <c r="EL354" i="30"/>
  <c r="EM354" i="30"/>
  <c r="EN354" i="30"/>
  <c r="EO354" i="30"/>
  <c r="EP354" i="30"/>
  <c r="EQ354" i="30"/>
  <c r="ER354" i="30"/>
  <c r="ES354" i="30"/>
  <c r="ET354" i="30"/>
  <c r="EU354" i="30"/>
  <c r="EV354" i="30"/>
  <c r="EW354" i="30"/>
  <c r="EX354" i="30"/>
  <c r="EY354" i="30"/>
  <c r="EZ354" i="30"/>
  <c r="FA354" i="30"/>
  <c r="FB354" i="30"/>
  <c r="FC354" i="30"/>
  <c r="FD354" i="30"/>
  <c r="FE354" i="30"/>
  <c r="FF354" i="30"/>
  <c r="FG354" i="30"/>
  <c r="FH354" i="30"/>
  <c r="FI354" i="30"/>
  <c r="FJ354" i="30"/>
  <c r="FK354" i="30"/>
  <c r="FL354" i="30"/>
  <c r="FM354" i="30"/>
  <c r="FN354" i="30"/>
  <c r="FO354" i="30"/>
  <c r="FP354" i="30"/>
  <c r="FQ354" i="30"/>
  <c r="FR354" i="30"/>
  <c r="FS354" i="30"/>
  <c r="FT354" i="30"/>
  <c r="FU354" i="30"/>
  <c r="FV354" i="30"/>
  <c r="FW354" i="30"/>
  <c r="FX354" i="30"/>
  <c r="FY354" i="30"/>
  <c r="FZ354" i="30"/>
  <c r="GA354" i="30"/>
  <c r="GB354" i="30"/>
  <c r="GC354" i="30"/>
  <c r="GD354" i="30"/>
  <c r="GE354" i="30"/>
  <c r="GF354" i="30"/>
  <c r="GG354" i="30"/>
  <c r="GH354" i="30"/>
  <c r="GI354" i="30"/>
  <c r="GJ354" i="30"/>
  <c r="GK354" i="30"/>
  <c r="GL354" i="30"/>
  <c r="GM354" i="30"/>
  <c r="GN354" i="30"/>
  <c r="GO354" i="30"/>
  <c r="GP354" i="30"/>
  <c r="GQ354" i="30"/>
  <c r="GR354" i="30"/>
  <c r="GS354" i="30"/>
  <c r="GT354" i="30"/>
  <c r="GU354" i="30"/>
  <c r="GV354" i="30"/>
  <c r="GW354" i="30"/>
  <c r="GX354" i="30"/>
  <c r="GY354" i="30"/>
  <c r="GZ354" i="30"/>
  <c r="HA354" i="30"/>
  <c r="HB354" i="30"/>
  <c r="HC354" i="30"/>
  <c r="HD354" i="30"/>
  <c r="HE354" i="30"/>
  <c r="HF354" i="30"/>
  <c r="HG354" i="30"/>
  <c r="HH354" i="30"/>
  <c r="HI354" i="30"/>
  <c r="HJ354" i="30"/>
  <c r="HK354" i="30"/>
  <c r="HL354" i="30"/>
  <c r="HM354" i="30"/>
  <c r="HN354" i="30"/>
  <c r="HO354" i="30"/>
  <c r="HP354" i="30"/>
  <c r="HQ354" i="30"/>
  <c r="HR354" i="30"/>
  <c r="HS354" i="30"/>
  <c r="HT354" i="30"/>
  <c r="HU354" i="30"/>
  <c r="HV354" i="30"/>
  <c r="HW354" i="30"/>
  <c r="HX354" i="30"/>
  <c r="HY354" i="30"/>
  <c r="HZ354" i="30"/>
  <c r="IA354" i="30"/>
  <c r="IB354" i="30"/>
  <c r="IC354" i="30"/>
  <c r="ID354" i="30"/>
  <c r="IE354" i="30"/>
  <c r="IF354" i="30"/>
  <c r="IG354" i="30"/>
  <c r="IH354" i="30"/>
  <c r="II354" i="30"/>
  <c r="IJ354" i="30"/>
  <c r="IK354" i="30"/>
  <c r="IL354" i="30"/>
  <c r="IM354" i="30"/>
  <c r="IN354" i="30"/>
  <c r="IO354" i="30"/>
  <c r="IP354" i="30"/>
  <c r="IQ354" i="30"/>
  <c r="IR354" i="30"/>
  <c r="IS354" i="30"/>
  <c r="IT354" i="30"/>
  <c r="IU354" i="30"/>
  <c r="IV354" i="30"/>
  <c r="A353" i="30"/>
  <c r="B353" i="30"/>
  <c r="C353" i="30"/>
  <c r="D353" i="30"/>
  <c r="E353" i="30"/>
  <c r="F353" i="30"/>
  <c r="G353" i="30"/>
  <c r="H353" i="30"/>
  <c r="I353" i="30"/>
  <c r="J353" i="30"/>
  <c r="K353" i="30"/>
  <c r="L353" i="30"/>
  <c r="M353" i="30"/>
  <c r="N353" i="30"/>
  <c r="O353" i="30"/>
  <c r="P353" i="30"/>
  <c r="Q353" i="30"/>
  <c r="R353" i="30"/>
  <c r="S353" i="30"/>
  <c r="T353" i="30"/>
  <c r="U353" i="30"/>
  <c r="V353" i="30"/>
  <c r="W353" i="30"/>
  <c r="X353" i="30"/>
  <c r="Y353" i="30"/>
  <c r="Z353" i="30"/>
  <c r="AA353" i="30"/>
  <c r="AB353" i="30"/>
  <c r="AC353" i="30"/>
  <c r="AD353" i="30"/>
  <c r="AE353" i="30"/>
  <c r="AF353" i="30"/>
  <c r="AG353" i="30"/>
  <c r="AH353" i="30"/>
  <c r="AI353" i="30"/>
  <c r="AJ353" i="30"/>
  <c r="AK353" i="30"/>
  <c r="AL353" i="30"/>
  <c r="AM353" i="30"/>
  <c r="AN353" i="30"/>
  <c r="AO353" i="30"/>
  <c r="AP353" i="30"/>
  <c r="AQ353" i="30"/>
  <c r="AR353" i="30"/>
  <c r="AS353" i="30"/>
  <c r="AT353" i="30"/>
  <c r="AU353" i="30"/>
  <c r="AV353" i="30"/>
  <c r="AW353" i="30"/>
  <c r="AX353" i="30"/>
  <c r="AY353" i="30"/>
  <c r="AZ353" i="30"/>
  <c r="BA353" i="30"/>
  <c r="BB353" i="30"/>
  <c r="BC353" i="30"/>
  <c r="BD353" i="30"/>
  <c r="BE353" i="30"/>
  <c r="BF353" i="30"/>
  <c r="BG353" i="30"/>
  <c r="BH353" i="30"/>
  <c r="BI353" i="30"/>
  <c r="BJ353" i="30"/>
  <c r="BK353" i="30"/>
  <c r="BL353" i="30"/>
  <c r="BM353" i="30"/>
  <c r="BN353" i="30"/>
  <c r="BO353" i="30"/>
  <c r="BP353" i="30"/>
  <c r="BQ353" i="30"/>
  <c r="BR353" i="30"/>
  <c r="BS353" i="30"/>
  <c r="BT353" i="30"/>
  <c r="BU353" i="30"/>
  <c r="BV353" i="30"/>
  <c r="BW353" i="30"/>
  <c r="BX353" i="30"/>
  <c r="BY353" i="30"/>
  <c r="BZ353" i="30"/>
  <c r="CA353" i="30"/>
  <c r="CB353" i="30"/>
  <c r="CC353" i="30"/>
  <c r="CD353" i="30"/>
  <c r="CE353" i="30"/>
  <c r="CF353" i="30"/>
  <c r="CG353" i="30"/>
  <c r="CH353" i="30"/>
  <c r="CI353" i="30"/>
  <c r="CJ353" i="30"/>
  <c r="CK353" i="30"/>
  <c r="CL353" i="30"/>
  <c r="CM353" i="30"/>
  <c r="CN353" i="30"/>
  <c r="CO353" i="30"/>
  <c r="CP353" i="30"/>
  <c r="CQ353" i="30"/>
  <c r="CR353" i="30"/>
  <c r="CS353" i="30"/>
  <c r="CT353" i="30"/>
  <c r="CU353" i="30"/>
  <c r="CV353" i="30"/>
  <c r="CW353" i="30"/>
  <c r="CX353" i="30"/>
  <c r="CY353" i="30"/>
  <c r="CZ353" i="30"/>
  <c r="DA353" i="30"/>
  <c r="DB353" i="30"/>
  <c r="DC353" i="30"/>
  <c r="DD353" i="30"/>
  <c r="DE353" i="30"/>
  <c r="DF353" i="30"/>
  <c r="DG353" i="30"/>
  <c r="DH353" i="30"/>
  <c r="DI353" i="30"/>
  <c r="DJ353" i="30"/>
  <c r="DK353" i="30"/>
  <c r="DL353" i="30"/>
  <c r="DM353" i="30"/>
  <c r="DN353" i="30"/>
  <c r="DO353" i="30"/>
  <c r="DP353" i="30"/>
  <c r="DQ353" i="30"/>
  <c r="DR353" i="30"/>
  <c r="DS353" i="30"/>
  <c r="DT353" i="30"/>
  <c r="DU353" i="30"/>
  <c r="DV353" i="30"/>
  <c r="DW353" i="30"/>
  <c r="DX353" i="30"/>
  <c r="DY353" i="30"/>
  <c r="DZ353" i="30"/>
  <c r="EA353" i="30"/>
  <c r="EB353" i="30"/>
  <c r="EC353" i="30"/>
  <c r="ED353" i="30"/>
  <c r="EE353" i="30"/>
  <c r="EF353" i="30"/>
  <c r="EG353" i="30"/>
  <c r="EH353" i="30"/>
  <c r="EI353" i="30"/>
  <c r="EJ353" i="30"/>
  <c r="EK353" i="30"/>
  <c r="EL353" i="30"/>
  <c r="EM353" i="30"/>
  <c r="EN353" i="30"/>
  <c r="EO353" i="30"/>
  <c r="EP353" i="30"/>
  <c r="EQ353" i="30"/>
  <c r="ER353" i="30"/>
  <c r="ES353" i="30"/>
  <c r="ET353" i="30"/>
  <c r="EU353" i="30"/>
  <c r="EV353" i="30"/>
  <c r="EW353" i="30"/>
  <c r="EX353" i="30"/>
  <c r="EY353" i="30"/>
  <c r="EZ353" i="30"/>
  <c r="FA353" i="30"/>
  <c r="FB353" i="30"/>
  <c r="FC353" i="30"/>
  <c r="FD353" i="30"/>
  <c r="FE353" i="30"/>
  <c r="FF353" i="30"/>
  <c r="FG353" i="30"/>
  <c r="FH353" i="30"/>
  <c r="FI353" i="30"/>
  <c r="FJ353" i="30"/>
  <c r="FK353" i="30"/>
  <c r="FL353" i="30"/>
  <c r="FM353" i="30"/>
  <c r="FN353" i="30"/>
  <c r="FO353" i="30"/>
  <c r="FP353" i="30"/>
  <c r="FQ353" i="30"/>
  <c r="FR353" i="30"/>
  <c r="FS353" i="30"/>
  <c r="FT353" i="30"/>
  <c r="FU353" i="30"/>
  <c r="FV353" i="30"/>
  <c r="FW353" i="30"/>
  <c r="FX353" i="30"/>
  <c r="FY353" i="30"/>
  <c r="FZ353" i="30"/>
  <c r="GA353" i="30"/>
  <c r="GB353" i="30"/>
  <c r="GC353" i="30"/>
  <c r="GD353" i="30"/>
  <c r="GE353" i="30"/>
  <c r="GF353" i="30"/>
  <c r="GG353" i="30"/>
  <c r="GH353" i="30"/>
  <c r="GI353" i="30"/>
  <c r="GJ353" i="30"/>
  <c r="GK353" i="30"/>
  <c r="GL353" i="30"/>
  <c r="GM353" i="30"/>
  <c r="GN353" i="30"/>
  <c r="GO353" i="30"/>
  <c r="GP353" i="30"/>
  <c r="GQ353" i="30"/>
  <c r="GR353" i="30"/>
  <c r="GS353" i="30"/>
  <c r="GT353" i="30"/>
  <c r="GU353" i="30"/>
  <c r="GV353" i="30"/>
  <c r="GW353" i="30"/>
  <c r="GX353" i="30"/>
  <c r="GY353" i="30"/>
  <c r="GZ353" i="30"/>
  <c r="HA353" i="30"/>
  <c r="HB353" i="30"/>
  <c r="HC353" i="30"/>
  <c r="HD353" i="30"/>
  <c r="HE353" i="30"/>
  <c r="HF353" i="30"/>
  <c r="HG353" i="30"/>
  <c r="HH353" i="30"/>
  <c r="HI353" i="30"/>
  <c r="HJ353" i="30"/>
  <c r="HK353" i="30"/>
  <c r="HL353" i="30"/>
  <c r="HM353" i="30"/>
  <c r="HN353" i="30"/>
  <c r="HO353" i="30"/>
  <c r="HP353" i="30"/>
  <c r="HQ353" i="30"/>
  <c r="HR353" i="30"/>
  <c r="HS353" i="30"/>
  <c r="HT353" i="30"/>
  <c r="HU353" i="30"/>
  <c r="HV353" i="30"/>
  <c r="HW353" i="30"/>
  <c r="HX353" i="30"/>
  <c r="HY353" i="30"/>
  <c r="HZ353" i="30"/>
  <c r="IA353" i="30"/>
  <c r="IB353" i="30"/>
  <c r="IC353" i="30"/>
  <c r="ID353" i="30"/>
  <c r="IE353" i="30"/>
  <c r="IF353" i="30"/>
  <c r="IG353" i="30"/>
  <c r="IH353" i="30"/>
  <c r="II353" i="30"/>
  <c r="IJ353" i="30"/>
  <c r="IK353" i="30"/>
  <c r="IL353" i="30"/>
  <c r="IM353" i="30"/>
  <c r="IN353" i="30"/>
  <c r="IO353" i="30"/>
  <c r="IP353" i="30"/>
  <c r="IQ353" i="30"/>
  <c r="IR353" i="30"/>
  <c r="IS353" i="30"/>
  <c r="IT353" i="30"/>
  <c r="IU353" i="30"/>
  <c r="IV353" i="30"/>
  <c r="A352" i="30"/>
  <c r="B352" i="30"/>
  <c r="C352" i="30"/>
  <c r="D352" i="30"/>
  <c r="E352" i="30"/>
  <c r="F352" i="30"/>
  <c r="G352" i="30"/>
  <c r="H352" i="30"/>
  <c r="I352" i="30"/>
  <c r="J352" i="30"/>
  <c r="K352" i="30"/>
  <c r="L352" i="30"/>
  <c r="M352" i="30"/>
  <c r="N352" i="30"/>
  <c r="O352" i="30"/>
  <c r="P352" i="30"/>
  <c r="Q352" i="30"/>
  <c r="R352" i="30"/>
  <c r="S352" i="30"/>
  <c r="T352" i="30"/>
  <c r="U352" i="30"/>
  <c r="V352" i="30"/>
  <c r="W352" i="30"/>
  <c r="X352" i="30"/>
  <c r="Y352" i="30"/>
  <c r="Z352" i="30"/>
  <c r="AA352" i="30"/>
  <c r="AB352" i="30"/>
  <c r="AC352" i="30"/>
  <c r="AD352" i="30"/>
  <c r="AE352" i="30"/>
  <c r="AF352" i="30"/>
  <c r="AG352" i="30"/>
  <c r="AH352" i="30"/>
  <c r="AI352" i="30"/>
  <c r="AJ352" i="30"/>
  <c r="AK352" i="30"/>
  <c r="AL352" i="30"/>
  <c r="AM352" i="30"/>
  <c r="AN352" i="30"/>
  <c r="AO352" i="30"/>
  <c r="AP352" i="30"/>
  <c r="AQ352" i="30"/>
  <c r="AR352" i="30"/>
  <c r="AS352" i="30"/>
  <c r="AT352" i="30"/>
  <c r="AU352" i="30"/>
  <c r="AV352" i="30"/>
  <c r="AW352" i="30"/>
  <c r="AX352" i="30"/>
  <c r="AY352" i="30"/>
  <c r="AZ352" i="30"/>
  <c r="BA352" i="30"/>
  <c r="BB352" i="30"/>
  <c r="BC352" i="30"/>
  <c r="BD352" i="30"/>
  <c r="BE352" i="30"/>
  <c r="BF352" i="30"/>
  <c r="BG352" i="30"/>
  <c r="BH352" i="30"/>
  <c r="BI352" i="30"/>
  <c r="BJ352" i="30"/>
  <c r="BK352" i="30"/>
  <c r="BL352" i="30"/>
  <c r="BM352" i="30"/>
  <c r="BN352" i="30"/>
  <c r="BO352" i="30"/>
  <c r="BP352" i="30"/>
  <c r="BQ352" i="30"/>
  <c r="BR352" i="30"/>
  <c r="BS352" i="30"/>
  <c r="BT352" i="30"/>
  <c r="BU352" i="30"/>
  <c r="BV352" i="30"/>
  <c r="BW352" i="30"/>
  <c r="BX352" i="30"/>
  <c r="BY352" i="30"/>
  <c r="BZ352" i="30"/>
  <c r="CA352" i="30"/>
  <c r="CB352" i="30"/>
  <c r="CC352" i="30"/>
  <c r="CD352" i="30"/>
  <c r="CE352" i="30"/>
  <c r="CF352" i="30"/>
  <c r="CG352" i="30"/>
  <c r="CH352" i="30"/>
  <c r="CI352" i="30"/>
  <c r="CJ352" i="30"/>
  <c r="CK352" i="30"/>
  <c r="CL352" i="30"/>
  <c r="CM352" i="30"/>
  <c r="CN352" i="30"/>
  <c r="CO352" i="30"/>
  <c r="CP352" i="30"/>
  <c r="CQ352" i="30"/>
  <c r="CR352" i="30"/>
  <c r="CS352" i="30"/>
  <c r="CT352" i="30"/>
  <c r="CU352" i="30"/>
  <c r="CV352" i="30"/>
  <c r="CW352" i="30"/>
  <c r="CX352" i="30"/>
  <c r="CY352" i="30"/>
  <c r="CZ352" i="30"/>
  <c r="DA352" i="30"/>
  <c r="DB352" i="30"/>
  <c r="DC352" i="30"/>
  <c r="DD352" i="30"/>
  <c r="DE352" i="30"/>
  <c r="DF352" i="30"/>
  <c r="DG352" i="30"/>
  <c r="DH352" i="30"/>
  <c r="DI352" i="30"/>
  <c r="DJ352" i="30"/>
  <c r="DK352" i="30"/>
  <c r="DL352" i="30"/>
  <c r="DM352" i="30"/>
  <c r="DN352" i="30"/>
  <c r="DO352" i="30"/>
  <c r="DP352" i="30"/>
  <c r="DQ352" i="30"/>
  <c r="DR352" i="30"/>
  <c r="DS352" i="30"/>
  <c r="DT352" i="30"/>
  <c r="DU352" i="30"/>
  <c r="DV352" i="30"/>
  <c r="DW352" i="30"/>
  <c r="DX352" i="30"/>
  <c r="DY352" i="30"/>
  <c r="DZ352" i="30"/>
  <c r="EA352" i="30"/>
  <c r="EB352" i="30"/>
  <c r="EC352" i="30"/>
  <c r="ED352" i="30"/>
  <c r="EE352" i="30"/>
  <c r="EF352" i="30"/>
  <c r="EG352" i="30"/>
  <c r="EH352" i="30"/>
  <c r="EI352" i="30"/>
  <c r="EJ352" i="30"/>
  <c r="EK352" i="30"/>
  <c r="EL352" i="30"/>
  <c r="EM352" i="30"/>
  <c r="EN352" i="30"/>
  <c r="EO352" i="30"/>
  <c r="EP352" i="30"/>
  <c r="EQ352" i="30"/>
  <c r="ER352" i="30"/>
  <c r="ES352" i="30"/>
  <c r="ET352" i="30"/>
  <c r="EU352" i="30"/>
  <c r="EV352" i="30"/>
  <c r="EW352" i="30"/>
  <c r="EX352" i="30"/>
  <c r="EY352" i="30"/>
  <c r="EZ352" i="30"/>
  <c r="FA352" i="30"/>
  <c r="FB352" i="30"/>
  <c r="FC352" i="30"/>
  <c r="FD352" i="30"/>
  <c r="FE352" i="30"/>
  <c r="FF352" i="30"/>
  <c r="FG352" i="30"/>
  <c r="FH352" i="30"/>
  <c r="FI352" i="30"/>
  <c r="FJ352" i="30"/>
  <c r="FK352" i="30"/>
  <c r="FL352" i="30"/>
  <c r="FM352" i="30"/>
  <c r="FN352" i="30"/>
  <c r="FO352" i="30"/>
  <c r="FP352" i="30"/>
  <c r="FQ352" i="30"/>
  <c r="FR352" i="30"/>
  <c r="FS352" i="30"/>
  <c r="FT352" i="30"/>
  <c r="FU352" i="30"/>
  <c r="FV352" i="30"/>
  <c r="FW352" i="30"/>
  <c r="FX352" i="30"/>
  <c r="FY352" i="30"/>
  <c r="FZ352" i="30"/>
  <c r="GA352" i="30"/>
  <c r="GB352" i="30"/>
  <c r="GC352" i="30"/>
  <c r="GD352" i="30"/>
  <c r="GE352" i="30"/>
  <c r="GF352" i="30"/>
  <c r="GG352" i="30"/>
  <c r="GH352" i="30"/>
  <c r="GI352" i="30"/>
  <c r="GJ352" i="30"/>
  <c r="GK352" i="30"/>
  <c r="GL352" i="30"/>
  <c r="GM352" i="30"/>
  <c r="GN352" i="30"/>
  <c r="GO352" i="30"/>
  <c r="GP352" i="30"/>
  <c r="GQ352" i="30"/>
  <c r="GR352" i="30"/>
  <c r="GS352" i="30"/>
  <c r="GT352" i="30"/>
  <c r="GU352" i="30"/>
  <c r="GV352" i="30"/>
  <c r="GW352" i="30"/>
  <c r="GX352" i="30"/>
  <c r="GY352" i="30"/>
  <c r="GZ352" i="30"/>
  <c r="HA352" i="30"/>
  <c r="HB352" i="30"/>
  <c r="HC352" i="30"/>
  <c r="HD352" i="30"/>
  <c r="HE352" i="30"/>
  <c r="HF352" i="30"/>
  <c r="HG352" i="30"/>
  <c r="HH352" i="30"/>
  <c r="HI352" i="30"/>
  <c r="HJ352" i="30"/>
  <c r="HK352" i="30"/>
  <c r="HL352" i="30"/>
  <c r="HM352" i="30"/>
  <c r="HN352" i="30"/>
  <c r="HO352" i="30"/>
  <c r="HP352" i="30"/>
  <c r="HQ352" i="30"/>
  <c r="HR352" i="30"/>
  <c r="HS352" i="30"/>
  <c r="HT352" i="30"/>
  <c r="HU352" i="30"/>
  <c r="HV352" i="30"/>
  <c r="HW352" i="30"/>
  <c r="HX352" i="30"/>
  <c r="HY352" i="30"/>
  <c r="HZ352" i="30"/>
  <c r="IA352" i="30"/>
  <c r="IB352" i="30"/>
  <c r="IC352" i="30"/>
  <c r="ID352" i="30"/>
  <c r="IE352" i="30"/>
  <c r="IF352" i="30"/>
  <c r="IG352" i="30"/>
  <c r="IH352" i="30"/>
  <c r="II352" i="30"/>
  <c r="IJ352" i="30"/>
  <c r="IK352" i="30"/>
  <c r="IL352" i="30"/>
  <c r="IM352" i="30"/>
  <c r="IN352" i="30"/>
  <c r="IO352" i="30"/>
  <c r="IP352" i="30"/>
  <c r="IQ352" i="30"/>
  <c r="IR352" i="30"/>
  <c r="IS352" i="30"/>
  <c r="IT352" i="30"/>
  <c r="IU352" i="30"/>
  <c r="IV352" i="30"/>
  <c r="A351" i="30"/>
  <c r="B351" i="30"/>
  <c r="C351" i="30"/>
  <c r="D351" i="30"/>
  <c r="E351" i="30"/>
  <c r="F351" i="30"/>
  <c r="G351" i="30"/>
  <c r="H351" i="30"/>
  <c r="I351" i="30"/>
  <c r="J351" i="30"/>
  <c r="K351" i="30"/>
  <c r="L351" i="30"/>
  <c r="M351" i="30"/>
  <c r="N351" i="30"/>
  <c r="O351" i="30"/>
  <c r="P351" i="30"/>
  <c r="Q351" i="30"/>
  <c r="R351" i="30"/>
  <c r="S351" i="30"/>
  <c r="T351" i="30"/>
  <c r="U351" i="30"/>
  <c r="V351" i="30"/>
  <c r="W351" i="30"/>
  <c r="X351" i="30"/>
  <c r="Y351" i="30"/>
  <c r="Z351" i="30"/>
  <c r="AA351" i="30"/>
  <c r="AB351" i="30"/>
  <c r="AC351" i="30"/>
  <c r="AD351" i="30"/>
  <c r="AE351" i="30"/>
  <c r="AF351" i="30"/>
  <c r="AG351" i="30"/>
  <c r="AH351" i="30"/>
  <c r="AI351" i="30"/>
  <c r="AJ351" i="30"/>
  <c r="AK351" i="30"/>
  <c r="AL351" i="30"/>
  <c r="AM351" i="30"/>
  <c r="AN351" i="30"/>
  <c r="AO351" i="30"/>
  <c r="AP351" i="30"/>
  <c r="AQ351" i="30"/>
  <c r="AR351" i="30"/>
  <c r="AS351" i="30"/>
  <c r="AT351" i="30"/>
  <c r="AU351" i="30"/>
  <c r="AV351" i="30"/>
  <c r="AW351" i="30"/>
  <c r="AX351" i="30"/>
  <c r="AY351" i="30"/>
  <c r="AZ351" i="30"/>
  <c r="BA351" i="30"/>
  <c r="BB351" i="30"/>
  <c r="BC351" i="30"/>
  <c r="BD351" i="30"/>
  <c r="BE351" i="30"/>
  <c r="BF351" i="30"/>
  <c r="BG351" i="30"/>
  <c r="BH351" i="30"/>
  <c r="BI351" i="30"/>
  <c r="BJ351" i="30"/>
  <c r="BK351" i="30"/>
  <c r="BL351" i="30"/>
  <c r="BM351" i="30"/>
  <c r="BN351" i="30"/>
  <c r="BO351" i="30"/>
  <c r="BP351" i="30"/>
  <c r="BQ351" i="30"/>
  <c r="BR351" i="30"/>
  <c r="BS351" i="30"/>
  <c r="BT351" i="30"/>
  <c r="BU351" i="30"/>
  <c r="BV351" i="30"/>
  <c r="BW351" i="30"/>
  <c r="BX351" i="30"/>
  <c r="BY351" i="30"/>
  <c r="BZ351" i="30"/>
  <c r="CA351" i="30"/>
  <c r="CB351" i="30"/>
  <c r="CC351" i="30"/>
  <c r="CD351" i="30"/>
  <c r="CE351" i="30"/>
  <c r="CF351" i="30"/>
  <c r="CG351" i="30"/>
  <c r="CH351" i="30"/>
  <c r="CI351" i="30"/>
  <c r="CJ351" i="30"/>
  <c r="CK351" i="30"/>
  <c r="CL351" i="30"/>
  <c r="CM351" i="30"/>
  <c r="CN351" i="30"/>
  <c r="CO351" i="30"/>
  <c r="CP351" i="30"/>
  <c r="CQ351" i="30"/>
  <c r="CR351" i="30"/>
  <c r="CS351" i="30"/>
  <c r="CT351" i="30"/>
  <c r="CU351" i="30"/>
  <c r="CV351" i="30"/>
  <c r="CW351" i="30"/>
  <c r="CX351" i="30"/>
  <c r="CY351" i="30"/>
  <c r="CZ351" i="30"/>
  <c r="DA351" i="30"/>
  <c r="DB351" i="30"/>
  <c r="DC351" i="30"/>
  <c r="DD351" i="30"/>
  <c r="DE351" i="30"/>
  <c r="DF351" i="30"/>
  <c r="DG351" i="30"/>
  <c r="DH351" i="30"/>
  <c r="DI351" i="30"/>
  <c r="DJ351" i="30"/>
  <c r="DK351" i="30"/>
  <c r="DL351" i="30"/>
  <c r="DM351" i="30"/>
  <c r="DN351" i="30"/>
  <c r="DO351" i="30"/>
  <c r="DP351" i="30"/>
  <c r="DQ351" i="30"/>
  <c r="DR351" i="30"/>
  <c r="DS351" i="30"/>
  <c r="DT351" i="30"/>
  <c r="DU351" i="30"/>
  <c r="DV351" i="30"/>
  <c r="DW351" i="30"/>
  <c r="DX351" i="30"/>
  <c r="DY351" i="30"/>
  <c r="DZ351" i="30"/>
  <c r="EA351" i="30"/>
  <c r="EB351" i="30"/>
  <c r="EC351" i="30"/>
  <c r="ED351" i="30"/>
  <c r="EE351" i="30"/>
  <c r="EF351" i="30"/>
  <c r="EG351" i="30"/>
  <c r="EH351" i="30"/>
  <c r="EI351" i="30"/>
  <c r="EJ351" i="30"/>
  <c r="EK351" i="30"/>
  <c r="EL351" i="30"/>
  <c r="EM351" i="30"/>
  <c r="EN351" i="30"/>
  <c r="EO351" i="30"/>
  <c r="EP351" i="30"/>
  <c r="EQ351" i="30"/>
  <c r="ER351" i="30"/>
  <c r="ES351" i="30"/>
  <c r="ET351" i="30"/>
  <c r="EU351" i="30"/>
  <c r="EV351" i="30"/>
  <c r="EW351" i="30"/>
  <c r="EX351" i="30"/>
  <c r="EY351" i="30"/>
  <c r="EZ351" i="30"/>
  <c r="FA351" i="30"/>
  <c r="FB351" i="30"/>
  <c r="FC351" i="30"/>
  <c r="FD351" i="30"/>
  <c r="FE351" i="30"/>
  <c r="FF351" i="30"/>
  <c r="FG351" i="30"/>
  <c r="FH351" i="30"/>
  <c r="FI351" i="30"/>
  <c r="FJ351" i="30"/>
  <c r="FK351" i="30"/>
  <c r="FL351" i="30"/>
  <c r="FM351" i="30"/>
  <c r="FN351" i="30"/>
  <c r="FO351" i="30"/>
  <c r="FP351" i="30"/>
  <c r="FQ351" i="30"/>
  <c r="FR351" i="30"/>
  <c r="FS351" i="30"/>
  <c r="FT351" i="30"/>
  <c r="FU351" i="30"/>
  <c r="FV351" i="30"/>
  <c r="FW351" i="30"/>
  <c r="FX351" i="30"/>
  <c r="FY351" i="30"/>
  <c r="FZ351" i="30"/>
  <c r="GA351" i="30"/>
  <c r="GB351" i="30"/>
  <c r="GC351" i="30"/>
  <c r="GD351" i="30"/>
  <c r="GE351" i="30"/>
  <c r="GF351" i="30"/>
  <c r="GG351" i="30"/>
  <c r="GH351" i="30"/>
  <c r="GI351" i="30"/>
  <c r="GJ351" i="30"/>
  <c r="GK351" i="30"/>
  <c r="GL351" i="30"/>
  <c r="GM351" i="30"/>
  <c r="GN351" i="30"/>
  <c r="GO351" i="30"/>
  <c r="GP351" i="30"/>
  <c r="GQ351" i="30"/>
  <c r="GR351" i="30"/>
  <c r="GS351" i="30"/>
  <c r="GT351" i="30"/>
  <c r="GU351" i="30"/>
  <c r="GV351" i="30"/>
  <c r="GW351" i="30"/>
  <c r="GX351" i="30"/>
  <c r="GY351" i="30"/>
  <c r="GZ351" i="30"/>
  <c r="HA351" i="30"/>
  <c r="HB351" i="30"/>
  <c r="HC351" i="30"/>
  <c r="HD351" i="30"/>
  <c r="HE351" i="30"/>
  <c r="HF351" i="30"/>
  <c r="HG351" i="30"/>
  <c r="HH351" i="30"/>
  <c r="HI351" i="30"/>
  <c r="HJ351" i="30"/>
  <c r="HK351" i="30"/>
  <c r="HL351" i="30"/>
  <c r="HM351" i="30"/>
  <c r="HN351" i="30"/>
  <c r="HO351" i="30"/>
  <c r="HP351" i="30"/>
  <c r="HQ351" i="30"/>
  <c r="HR351" i="30"/>
  <c r="HS351" i="30"/>
  <c r="HT351" i="30"/>
  <c r="HU351" i="30"/>
  <c r="HV351" i="30"/>
  <c r="HW351" i="30"/>
  <c r="HX351" i="30"/>
  <c r="HY351" i="30"/>
  <c r="HZ351" i="30"/>
  <c r="IA351" i="30"/>
  <c r="IB351" i="30"/>
  <c r="IC351" i="30"/>
  <c r="ID351" i="30"/>
  <c r="IE351" i="30"/>
  <c r="IF351" i="30"/>
  <c r="IG351" i="30"/>
  <c r="IH351" i="30"/>
  <c r="II351" i="30"/>
  <c r="IJ351" i="30"/>
  <c r="IK351" i="30"/>
  <c r="IL351" i="30"/>
  <c r="IM351" i="30"/>
  <c r="IN351" i="30"/>
  <c r="IO351" i="30"/>
  <c r="IP351" i="30"/>
  <c r="IQ351" i="30"/>
  <c r="IR351" i="30"/>
  <c r="IS351" i="30"/>
  <c r="IT351" i="30"/>
  <c r="IU351" i="30"/>
  <c r="IV351" i="30"/>
  <c r="A350" i="30"/>
  <c r="B350" i="30"/>
  <c r="C350" i="30"/>
  <c r="D350" i="30"/>
  <c r="E350" i="30"/>
  <c r="F350" i="30"/>
  <c r="G350" i="30"/>
  <c r="H350" i="30"/>
  <c r="I350" i="30"/>
  <c r="J350" i="30"/>
  <c r="K350" i="30"/>
  <c r="L350" i="30"/>
  <c r="M350" i="30"/>
  <c r="N350" i="30"/>
  <c r="O350" i="30"/>
  <c r="P350" i="30"/>
  <c r="Q350" i="30"/>
  <c r="R350" i="30"/>
  <c r="S350" i="30"/>
  <c r="T350" i="30"/>
  <c r="U350" i="30"/>
  <c r="V350" i="30"/>
  <c r="W350" i="30"/>
  <c r="X350" i="30"/>
  <c r="Y350" i="30"/>
  <c r="Z350" i="30"/>
  <c r="AA350" i="30"/>
  <c r="AB350" i="30"/>
  <c r="AC350" i="30"/>
  <c r="AD350" i="30"/>
  <c r="AE350" i="30"/>
  <c r="AF350" i="30"/>
  <c r="AG350" i="30"/>
  <c r="AH350" i="30"/>
  <c r="AI350" i="30"/>
  <c r="AJ350" i="30"/>
  <c r="AK350" i="30"/>
  <c r="AL350" i="30"/>
  <c r="AM350" i="30"/>
  <c r="AN350" i="30"/>
  <c r="AO350" i="30"/>
  <c r="AP350" i="30"/>
  <c r="AQ350" i="30"/>
  <c r="AR350" i="30"/>
  <c r="AS350" i="30"/>
  <c r="AT350" i="30"/>
  <c r="AU350" i="30"/>
  <c r="AV350" i="30"/>
  <c r="AW350" i="30"/>
  <c r="AX350" i="30"/>
  <c r="AY350" i="30"/>
  <c r="AZ350" i="30"/>
  <c r="BA350" i="30"/>
  <c r="BB350" i="30"/>
  <c r="BC350" i="30"/>
  <c r="BD350" i="30"/>
  <c r="BE350" i="30"/>
  <c r="BF350" i="30"/>
  <c r="BG350" i="30"/>
  <c r="BH350" i="30"/>
  <c r="BI350" i="30"/>
  <c r="BJ350" i="30"/>
  <c r="BK350" i="30"/>
  <c r="BL350" i="30"/>
  <c r="BM350" i="30"/>
  <c r="BN350" i="30"/>
  <c r="BO350" i="30"/>
  <c r="BP350" i="30"/>
  <c r="BQ350" i="30"/>
  <c r="BR350" i="30"/>
  <c r="BS350" i="30"/>
  <c r="BT350" i="30"/>
  <c r="BU350" i="30"/>
  <c r="BV350" i="30"/>
  <c r="BW350" i="30"/>
  <c r="BX350" i="30"/>
  <c r="BY350" i="30"/>
  <c r="BZ350" i="30"/>
  <c r="CA350" i="30"/>
  <c r="CB350" i="30"/>
  <c r="CC350" i="30"/>
  <c r="CD350" i="30"/>
  <c r="CE350" i="30"/>
  <c r="CF350" i="30"/>
  <c r="CG350" i="30"/>
  <c r="CH350" i="30"/>
  <c r="CI350" i="30"/>
  <c r="CJ350" i="30"/>
  <c r="CK350" i="30"/>
  <c r="CL350" i="30"/>
  <c r="CM350" i="30"/>
  <c r="CN350" i="30"/>
  <c r="CO350" i="30"/>
  <c r="CP350" i="30"/>
  <c r="CQ350" i="30"/>
  <c r="CR350" i="30"/>
  <c r="CS350" i="30"/>
  <c r="CT350" i="30"/>
  <c r="CU350" i="30"/>
  <c r="CV350" i="30"/>
  <c r="CW350" i="30"/>
  <c r="CX350" i="30"/>
  <c r="CY350" i="30"/>
  <c r="CZ350" i="30"/>
  <c r="DA350" i="30"/>
  <c r="DB350" i="30"/>
  <c r="DC350" i="30"/>
  <c r="DD350" i="30"/>
  <c r="DE350" i="30"/>
  <c r="DF350" i="30"/>
  <c r="DG350" i="30"/>
  <c r="DH350" i="30"/>
  <c r="DI350" i="30"/>
  <c r="DJ350" i="30"/>
  <c r="DK350" i="30"/>
  <c r="DL350" i="30"/>
  <c r="DM350" i="30"/>
  <c r="DN350" i="30"/>
  <c r="DO350" i="30"/>
  <c r="DP350" i="30"/>
  <c r="DQ350" i="30"/>
  <c r="DR350" i="30"/>
  <c r="DS350" i="30"/>
  <c r="DT350" i="30"/>
  <c r="DU350" i="30"/>
  <c r="DV350" i="30"/>
  <c r="DW350" i="30"/>
  <c r="DX350" i="30"/>
  <c r="DY350" i="30"/>
  <c r="DZ350" i="30"/>
  <c r="EA350" i="30"/>
  <c r="EB350" i="30"/>
  <c r="EC350" i="30"/>
  <c r="ED350" i="30"/>
  <c r="EE350" i="30"/>
  <c r="EF350" i="30"/>
  <c r="EG350" i="30"/>
  <c r="EH350" i="30"/>
  <c r="EI350" i="30"/>
  <c r="EJ350" i="30"/>
  <c r="EK350" i="30"/>
  <c r="EL350" i="30"/>
  <c r="EM350" i="30"/>
  <c r="EN350" i="30"/>
  <c r="EO350" i="30"/>
  <c r="EP350" i="30"/>
  <c r="EQ350" i="30"/>
  <c r="ER350" i="30"/>
  <c r="ES350" i="30"/>
  <c r="ET350" i="30"/>
  <c r="EU350" i="30"/>
  <c r="EV350" i="30"/>
  <c r="EW350" i="30"/>
  <c r="EX350" i="30"/>
  <c r="EY350" i="30"/>
  <c r="EZ350" i="30"/>
  <c r="FA350" i="30"/>
  <c r="FB350" i="30"/>
  <c r="FC350" i="30"/>
  <c r="FD350" i="30"/>
  <c r="FE350" i="30"/>
  <c r="FF350" i="30"/>
  <c r="FG350" i="30"/>
  <c r="FH350" i="30"/>
  <c r="FI350" i="30"/>
  <c r="FJ350" i="30"/>
  <c r="FK350" i="30"/>
  <c r="FL350" i="30"/>
  <c r="FM350" i="30"/>
  <c r="FN350" i="30"/>
  <c r="FO350" i="30"/>
  <c r="FP350" i="30"/>
  <c r="FQ350" i="30"/>
  <c r="FR350" i="30"/>
  <c r="FS350" i="30"/>
  <c r="FT350" i="30"/>
  <c r="FU350" i="30"/>
  <c r="FV350" i="30"/>
  <c r="FW350" i="30"/>
  <c r="FX350" i="30"/>
  <c r="FY350" i="30"/>
  <c r="FZ350" i="30"/>
  <c r="GA350" i="30"/>
  <c r="GB350" i="30"/>
  <c r="GC350" i="30"/>
  <c r="GD350" i="30"/>
  <c r="GE350" i="30"/>
  <c r="GF350" i="30"/>
  <c r="GG350" i="30"/>
  <c r="GH350" i="30"/>
  <c r="GI350" i="30"/>
  <c r="GJ350" i="30"/>
  <c r="GK350" i="30"/>
  <c r="GL350" i="30"/>
  <c r="GM350" i="30"/>
  <c r="GN350" i="30"/>
  <c r="GO350" i="30"/>
  <c r="GP350" i="30"/>
  <c r="GQ350" i="30"/>
  <c r="GR350" i="30"/>
  <c r="GS350" i="30"/>
  <c r="GT350" i="30"/>
  <c r="GU350" i="30"/>
  <c r="GV350" i="30"/>
  <c r="GW350" i="30"/>
  <c r="GX350" i="30"/>
  <c r="GY350" i="30"/>
  <c r="GZ350" i="30"/>
  <c r="HA350" i="30"/>
  <c r="HB350" i="30"/>
  <c r="HC350" i="30"/>
  <c r="HD350" i="30"/>
  <c r="HE350" i="30"/>
  <c r="HF350" i="30"/>
  <c r="HG350" i="30"/>
  <c r="HH350" i="30"/>
  <c r="HI350" i="30"/>
  <c r="HJ350" i="30"/>
  <c r="HK350" i="30"/>
  <c r="HL350" i="30"/>
  <c r="HM350" i="30"/>
  <c r="HN350" i="30"/>
  <c r="HO350" i="30"/>
  <c r="HP350" i="30"/>
  <c r="HQ350" i="30"/>
  <c r="HR350" i="30"/>
  <c r="HS350" i="30"/>
  <c r="HT350" i="30"/>
  <c r="HU350" i="30"/>
  <c r="HV350" i="30"/>
  <c r="HW350" i="30"/>
  <c r="HX350" i="30"/>
  <c r="HY350" i="30"/>
  <c r="HZ350" i="30"/>
  <c r="IA350" i="30"/>
  <c r="IB350" i="30"/>
  <c r="IC350" i="30"/>
  <c r="ID350" i="30"/>
  <c r="IE350" i="30"/>
  <c r="IF350" i="30"/>
  <c r="IG350" i="30"/>
  <c r="IH350" i="30"/>
  <c r="II350" i="30"/>
  <c r="IJ350" i="30"/>
  <c r="IK350" i="30"/>
  <c r="IL350" i="30"/>
  <c r="IM350" i="30"/>
  <c r="IN350" i="30"/>
  <c r="IO350" i="30"/>
  <c r="IP350" i="30"/>
  <c r="IQ350" i="30"/>
  <c r="IR350" i="30"/>
  <c r="IS350" i="30"/>
  <c r="IT350" i="30"/>
  <c r="IU350" i="30"/>
  <c r="IV350" i="30"/>
  <c r="A349" i="30"/>
  <c r="B349" i="30"/>
  <c r="C349" i="30"/>
  <c r="D349" i="30"/>
  <c r="E349" i="30"/>
  <c r="F349" i="30"/>
  <c r="G349" i="30"/>
  <c r="H349" i="30"/>
  <c r="I349" i="30"/>
  <c r="J349" i="30"/>
  <c r="K349" i="30"/>
  <c r="L349" i="30"/>
  <c r="M349" i="30"/>
  <c r="N349" i="30"/>
  <c r="O349" i="30"/>
  <c r="P349" i="30"/>
  <c r="Q349" i="30"/>
  <c r="R349" i="30"/>
  <c r="S349" i="30"/>
  <c r="T349" i="30"/>
  <c r="U349" i="30"/>
  <c r="V349" i="30"/>
  <c r="W349" i="30"/>
  <c r="X349" i="30"/>
  <c r="Y349" i="30"/>
  <c r="Z349" i="30"/>
  <c r="AA349" i="30"/>
  <c r="AB349" i="30"/>
  <c r="AC349" i="30"/>
  <c r="AD349" i="30"/>
  <c r="AE349" i="30"/>
  <c r="AF349" i="30"/>
  <c r="AG349" i="30"/>
  <c r="AH349" i="30"/>
  <c r="AI349" i="30"/>
  <c r="AJ349" i="30"/>
  <c r="AK349" i="30"/>
  <c r="AL349" i="30"/>
  <c r="AM349" i="30"/>
  <c r="AN349" i="30"/>
  <c r="AO349" i="30"/>
  <c r="AP349" i="30"/>
  <c r="AQ349" i="30"/>
  <c r="AR349" i="30"/>
  <c r="AS349" i="30"/>
  <c r="AT349" i="30"/>
  <c r="AU349" i="30"/>
  <c r="AV349" i="30"/>
  <c r="AW349" i="30"/>
  <c r="AX349" i="30"/>
  <c r="AY349" i="30"/>
  <c r="AZ349" i="30"/>
  <c r="BA349" i="30"/>
  <c r="BB349" i="30"/>
  <c r="BC349" i="30"/>
  <c r="BD349" i="30"/>
  <c r="BE349" i="30"/>
  <c r="BF349" i="30"/>
  <c r="BG349" i="30"/>
  <c r="BH349" i="30"/>
  <c r="BI349" i="30"/>
  <c r="BJ349" i="30"/>
  <c r="BK349" i="30"/>
  <c r="BL349" i="30"/>
  <c r="BM349" i="30"/>
  <c r="BN349" i="30"/>
  <c r="BO349" i="30"/>
  <c r="BP349" i="30"/>
  <c r="BQ349" i="30"/>
  <c r="BR349" i="30"/>
  <c r="BS349" i="30"/>
  <c r="BT349" i="30"/>
  <c r="BU349" i="30"/>
  <c r="BV349" i="30"/>
  <c r="BW349" i="30"/>
  <c r="BX349" i="30"/>
  <c r="BY349" i="30"/>
  <c r="BZ349" i="30"/>
  <c r="CA349" i="30"/>
  <c r="CB349" i="30"/>
  <c r="CC349" i="30"/>
  <c r="CD349" i="30"/>
  <c r="CE349" i="30"/>
  <c r="CF349" i="30"/>
  <c r="CG349" i="30"/>
  <c r="CH349" i="30"/>
  <c r="CI349" i="30"/>
  <c r="CJ349" i="30"/>
  <c r="CK349" i="30"/>
  <c r="CL349" i="30"/>
  <c r="CM349" i="30"/>
  <c r="CN349" i="30"/>
  <c r="CO349" i="30"/>
  <c r="CP349" i="30"/>
  <c r="CQ349" i="30"/>
  <c r="CR349" i="30"/>
  <c r="CS349" i="30"/>
  <c r="CT349" i="30"/>
  <c r="CU349" i="30"/>
  <c r="CV349" i="30"/>
  <c r="CW349" i="30"/>
  <c r="CX349" i="30"/>
  <c r="CY349" i="30"/>
  <c r="CZ349" i="30"/>
  <c r="DA349" i="30"/>
  <c r="DB349" i="30"/>
  <c r="DC349" i="30"/>
  <c r="DD349" i="30"/>
  <c r="DE349" i="30"/>
  <c r="DF349" i="30"/>
  <c r="DG349" i="30"/>
  <c r="DH349" i="30"/>
  <c r="DI349" i="30"/>
  <c r="DJ349" i="30"/>
  <c r="DK349" i="30"/>
  <c r="DL349" i="30"/>
  <c r="DM349" i="30"/>
  <c r="DN349" i="30"/>
  <c r="DO349" i="30"/>
  <c r="DP349" i="30"/>
  <c r="DQ349" i="30"/>
  <c r="DR349" i="30"/>
  <c r="DS349" i="30"/>
  <c r="DT349" i="30"/>
  <c r="DU349" i="30"/>
  <c r="DV349" i="30"/>
  <c r="DW349" i="30"/>
  <c r="DX349" i="30"/>
  <c r="DY349" i="30"/>
  <c r="DZ349" i="30"/>
  <c r="EA349" i="30"/>
  <c r="EB349" i="30"/>
  <c r="EC349" i="30"/>
  <c r="ED349" i="30"/>
  <c r="EE349" i="30"/>
  <c r="EF349" i="30"/>
  <c r="EG349" i="30"/>
  <c r="EH349" i="30"/>
  <c r="EI349" i="30"/>
  <c r="EJ349" i="30"/>
  <c r="EK349" i="30"/>
  <c r="EL349" i="30"/>
  <c r="EM349" i="30"/>
  <c r="EN349" i="30"/>
  <c r="EO349" i="30"/>
  <c r="EP349" i="30"/>
  <c r="EQ349" i="30"/>
  <c r="ER349" i="30"/>
  <c r="ES349" i="30"/>
  <c r="ET349" i="30"/>
  <c r="EU349" i="30"/>
  <c r="EV349" i="30"/>
  <c r="EW349" i="30"/>
  <c r="EX349" i="30"/>
  <c r="EY349" i="30"/>
  <c r="EZ349" i="30"/>
  <c r="FA349" i="30"/>
  <c r="FB349" i="30"/>
  <c r="FC349" i="30"/>
  <c r="FD349" i="30"/>
  <c r="FE349" i="30"/>
  <c r="FF349" i="30"/>
  <c r="FG349" i="30"/>
  <c r="FH349" i="30"/>
  <c r="FI349" i="30"/>
  <c r="FJ349" i="30"/>
  <c r="FK349" i="30"/>
  <c r="FL349" i="30"/>
  <c r="FM349" i="30"/>
  <c r="FN349" i="30"/>
  <c r="FO349" i="30"/>
  <c r="FP349" i="30"/>
  <c r="FQ349" i="30"/>
  <c r="FR349" i="30"/>
  <c r="FS349" i="30"/>
  <c r="FT349" i="30"/>
  <c r="FU349" i="30"/>
  <c r="FV349" i="30"/>
  <c r="FW349" i="30"/>
  <c r="FX349" i="30"/>
  <c r="FY349" i="30"/>
  <c r="FZ349" i="30"/>
  <c r="GA349" i="30"/>
  <c r="GB349" i="30"/>
  <c r="GC349" i="30"/>
  <c r="GD349" i="30"/>
  <c r="GE349" i="30"/>
  <c r="GF349" i="30"/>
  <c r="GG349" i="30"/>
  <c r="GH349" i="30"/>
  <c r="GI349" i="30"/>
  <c r="GJ349" i="30"/>
  <c r="GK349" i="30"/>
  <c r="GL349" i="30"/>
  <c r="GM349" i="30"/>
  <c r="GN349" i="30"/>
  <c r="GO349" i="30"/>
  <c r="GP349" i="30"/>
  <c r="GQ349" i="30"/>
  <c r="GR349" i="30"/>
  <c r="GS349" i="30"/>
  <c r="GT349" i="30"/>
  <c r="GU349" i="30"/>
  <c r="GV349" i="30"/>
  <c r="GW349" i="30"/>
  <c r="GX349" i="30"/>
  <c r="GY349" i="30"/>
  <c r="GZ349" i="30"/>
  <c r="HA349" i="30"/>
  <c r="HB349" i="30"/>
  <c r="HC349" i="30"/>
  <c r="HD349" i="30"/>
  <c r="HE349" i="30"/>
  <c r="HF349" i="30"/>
  <c r="HG349" i="30"/>
  <c r="HH349" i="30"/>
  <c r="HI349" i="30"/>
  <c r="HJ349" i="30"/>
  <c r="HK349" i="30"/>
  <c r="HL349" i="30"/>
  <c r="HM349" i="30"/>
  <c r="HN349" i="30"/>
  <c r="HO349" i="30"/>
  <c r="HP349" i="30"/>
  <c r="HQ349" i="30"/>
  <c r="HR349" i="30"/>
  <c r="HS349" i="30"/>
  <c r="HT349" i="30"/>
  <c r="HU349" i="30"/>
  <c r="HV349" i="30"/>
  <c r="HW349" i="30"/>
  <c r="HX349" i="30"/>
  <c r="HY349" i="30"/>
  <c r="HZ349" i="30"/>
  <c r="IA349" i="30"/>
  <c r="IB349" i="30"/>
  <c r="IC349" i="30"/>
  <c r="ID349" i="30"/>
  <c r="IE349" i="30"/>
  <c r="IF349" i="30"/>
  <c r="IG349" i="30"/>
  <c r="IH349" i="30"/>
  <c r="II349" i="30"/>
  <c r="IJ349" i="30"/>
  <c r="IK349" i="30"/>
  <c r="IL349" i="30"/>
  <c r="IM349" i="30"/>
  <c r="IN349" i="30"/>
  <c r="IO349" i="30"/>
  <c r="IP349" i="30"/>
  <c r="IQ349" i="30"/>
  <c r="IR349" i="30"/>
  <c r="IS349" i="30"/>
  <c r="IT349" i="30"/>
  <c r="IU349" i="30"/>
  <c r="IV349" i="30"/>
  <c r="A348" i="30"/>
  <c r="B348" i="30"/>
  <c r="C348" i="30"/>
  <c r="D348" i="30"/>
  <c r="E348" i="30"/>
  <c r="F348" i="30"/>
  <c r="G348" i="30"/>
  <c r="H348" i="30"/>
  <c r="I348" i="30"/>
  <c r="J348" i="30"/>
  <c r="K348" i="30"/>
  <c r="L348" i="30"/>
  <c r="M348" i="30"/>
  <c r="N348" i="30"/>
  <c r="O348" i="30"/>
  <c r="P348" i="30"/>
  <c r="Q348" i="30"/>
  <c r="R348" i="30"/>
  <c r="S348" i="30"/>
  <c r="T348" i="30"/>
  <c r="U348" i="30"/>
  <c r="V348" i="30"/>
  <c r="W348" i="30"/>
  <c r="X348" i="30"/>
  <c r="Y348" i="30"/>
  <c r="Z348" i="30"/>
  <c r="AA348" i="30"/>
  <c r="AB348" i="30"/>
  <c r="AC348" i="30"/>
  <c r="AD348" i="30"/>
  <c r="AE348" i="30"/>
  <c r="AF348" i="30"/>
  <c r="AG348" i="30"/>
  <c r="AH348" i="30"/>
  <c r="AI348" i="30"/>
  <c r="AJ348" i="30"/>
  <c r="AK348" i="30"/>
  <c r="AL348" i="30"/>
  <c r="AM348" i="30"/>
  <c r="AN348" i="30"/>
  <c r="AO348" i="30"/>
  <c r="AP348" i="30"/>
  <c r="AQ348" i="30"/>
  <c r="AR348" i="30"/>
  <c r="AS348" i="30"/>
  <c r="AT348" i="30"/>
  <c r="AU348" i="30"/>
  <c r="AV348" i="30"/>
  <c r="AW348" i="30"/>
  <c r="AX348" i="30"/>
  <c r="AY348" i="30"/>
  <c r="AZ348" i="30"/>
  <c r="BA348" i="30"/>
  <c r="BB348" i="30"/>
  <c r="BC348" i="30"/>
  <c r="BD348" i="30"/>
  <c r="BE348" i="30"/>
  <c r="BF348" i="30"/>
  <c r="BG348" i="30"/>
  <c r="BH348" i="30"/>
  <c r="BI348" i="30"/>
  <c r="BJ348" i="30"/>
  <c r="BK348" i="30"/>
  <c r="BL348" i="30"/>
  <c r="BM348" i="30"/>
  <c r="BN348" i="30"/>
  <c r="BO348" i="30"/>
  <c r="BP348" i="30"/>
  <c r="BQ348" i="30"/>
  <c r="BR348" i="30"/>
  <c r="BS348" i="30"/>
  <c r="BT348" i="30"/>
  <c r="BU348" i="30"/>
  <c r="BV348" i="30"/>
  <c r="BW348" i="30"/>
  <c r="BX348" i="30"/>
  <c r="BY348" i="30"/>
  <c r="BZ348" i="30"/>
  <c r="CA348" i="30"/>
  <c r="CB348" i="30"/>
  <c r="CC348" i="30"/>
  <c r="CD348" i="30"/>
  <c r="CE348" i="30"/>
  <c r="CF348" i="30"/>
  <c r="CG348" i="30"/>
  <c r="CH348" i="30"/>
  <c r="CI348" i="30"/>
  <c r="CJ348" i="30"/>
  <c r="CK348" i="30"/>
  <c r="CL348" i="30"/>
  <c r="CM348" i="30"/>
  <c r="CN348" i="30"/>
  <c r="CO348" i="30"/>
  <c r="CP348" i="30"/>
  <c r="CQ348" i="30"/>
  <c r="CR348" i="30"/>
  <c r="CS348" i="30"/>
  <c r="CT348" i="30"/>
  <c r="CU348" i="30"/>
  <c r="CV348" i="30"/>
  <c r="CW348" i="30"/>
  <c r="CX348" i="30"/>
  <c r="CY348" i="30"/>
  <c r="CZ348" i="30"/>
  <c r="DA348" i="30"/>
  <c r="DB348" i="30"/>
  <c r="DC348" i="30"/>
  <c r="DD348" i="30"/>
  <c r="DE348" i="30"/>
  <c r="DF348" i="30"/>
  <c r="DG348" i="30"/>
  <c r="DH348" i="30"/>
  <c r="DI348" i="30"/>
  <c r="DJ348" i="30"/>
  <c r="DK348" i="30"/>
  <c r="DL348" i="30"/>
  <c r="DM348" i="30"/>
  <c r="DN348" i="30"/>
  <c r="DO348" i="30"/>
  <c r="DP348" i="30"/>
  <c r="DQ348" i="30"/>
  <c r="DR348" i="30"/>
  <c r="DS348" i="30"/>
  <c r="DT348" i="30"/>
  <c r="DU348" i="30"/>
  <c r="DV348" i="30"/>
  <c r="DW348" i="30"/>
  <c r="DX348" i="30"/>
  <c r="DY348" i="30"/>
  <c r="DZ348" i="30"/>
  <c r="EA348" i="30"/>
  <c r="EB348" i="30"/>
  <c r="EC348" i="30"/>
  <c r="ED348" i="30"/>
  <c r="EE348" i="30"/>
  <c r="EF348" i="30"/>
  <c r="EG348" i="30"/>
  <c r="EH348" i="30"/>
  <c r="EI348" i="30"/>
  <c r="EJ348" i="30"/>
  <c r="EK348" i="30"/>
  <c r="EL348" i="30"/>
  <c r="EM348" i="30"/>
  <c r="EN348" i="30"/>
  <c r="EO348" i="30"/>
  <c r="EP348" i="30"/>
  <c r="EQ348" i="30"/>
  <c r="ER348" i="30"/>
  <c r="ES348" i="30"/>
  <c r="ET348" i="30"/>
  <c r="EU348" i="30"/>
  <c r="EV348" i="30"/>
  <c r="EW348" i="30"/>
  <c r="EX348" i="30"/>
  <c r="EY348" i="30"/>
  <c r="EZ348" i="30"/>
  <c r="FA348" i="30"/>
  <c r="FB348" i="30"/>
  <c r="FC348" i="30"/>
  <c r="FD348" i="30"/>
  <c r="FE348" i="30"/>
  <c r="FF348" i="30"/>
  <c r="FG348" i="30"/>
  <c r="FH348" i="30"/>
  <c r="FI348" i="30"/>
  <c r="FJ348" i="30"/>
  <c r="FK348" i="30"/>
  <c r="FL348" i="30"/>
  <c r="FM348" i="30"/>
  <c r="FN348" i="30"/>
  <c r="FO348" i="30"/>
  <c r="FP348" i="30"/>
  <c r="FQ348" i="30"/>
  <c r="FR348" i="30"/>
  <c r="FS348" i="30"/>
  <c r="FT348" i="30"/>
  <c r="FU348" i="30"/>
  <c r="FV348" i="30"/>
  <c r="FW348" i="30"/>
  <c r="FX348" i="30"/>
  <c r="FY348" i="30"/>
  <c r="FZ348" i="30"/>
  <c r="GA348" i="30"/>
  <c r="GB348" i="30"/>
  <c r="GC348" i="30"/>
  <c r="GD348" i="30"/>
  <c r="GE348" i="30"/>
  <c r="GF348" i="30"/>
  <c r="GG348" i="30"/>
  <c r="GH348" i="30"/>
  <c r="GI348" i="30"/>
  <c r="GJ348" i="30"/>
  <c r="GK348" i="30"/>
  <c r="GL348" i="30"/>
  <c r="GM348" i="30"/>
  <c r="GN348" i="30"/>
  <c r="GO348" i="30"/>
  <c r="GP348" i="30"/>
  <c r="GQ348" i="30"/>
  <c r="GR348" i="30"/>
  <c r="GS348" i="30"/>
  <c r="GT348" i="30"/>
  <c r="GU348" i="30"/>
  <c r="GV348" i="30"/>
  <c r="GW348" i="30"/>
  <c r="GX348" i="30"/>
  <c r="GY348" i="30"/>
  <c r="GZ348" i="30"/>
  <c r="HA348" i="30"/>
  <c r="HB348" i="30"/>
  <c r="HC348" i="30"/>
  <c r="HD348" i="30"/>
  <c r="HE348" i="30"/>
  <c r="HF348" i="30"/>
  <c r="HG348" i="30"/>
  <c r="HH348" i="30"/>
  <c r="HI348" i="30"/>
  <c r="HJ348" i="30"/>
  <c r="HK348" i="30"/>
  <c r="HL348" i="30"/>
  <c r="HM348" i="30"/>
  <c r="HN348" i="30"/>
  <c r="HO348" i="30"/>
  <c r="HP348" i="30"/>
  <c r="HQ348" i="30"/>
  <c r="HR348" i="30"/>
  <c r="HS348" i="30"/>
  <c r="HT348" i="30"/>
  <c r="HU348" i="30"/>
  <c r="HV348" i="30"/>
  <c r="HW348" i="30"/>
  <c r="HX348" i="30"/>
  <c r="HY348" i="30"/>
  <c r="HZ348" i="30"/>
  <c r="IA348" i="30"/>
  <c r="IB348" i="30"/>
  <c r="IC348" i="30"/>
  <c r="ID348" i="30"/>
  <c r="IE348" i="30"/>
  <c r="IF348" i="30"/>
  <c r="IG348" i="30"/>
  <c r="IH348" i="30"/>
  <c r="II348" i="30"/>
  <c r="IJ348" i="30"/>
  <c r="IK348" i="30"/>
  <c r="IL348" i="30"/>
  <c r="IM348" i="30"/>
  <c r="IN348" i="30"/>
  <c r="IO348" i="30"/>
  <c r="IP348" i="30"/>
  <c r="IQ348" i="30"/>
  <c r="IR348" i="30"/>
  <c r="IS348" i="30"/>
  <c r="IT348" i="30"/>
  <c r="IU348" i="30"/>
  <c r="IV348" i="30"/>
  <c r="A347" i="30"/>
  <c r="B347" i="30"/>
  <c r="C347" i="30"/>
  <c r="D347" i="30"/>
  <c r="E347" i="30"/>
  <c r="F347" i="30"/>
  <c r="G347" i="30"/>
  <c r="H347" i="30"/>
  <c r="I347" i="30"/>
  <c r="J347" i="30"/>
  <c r="K347" i="30"/>
  <c r="L347" i="30"/>
  <c r="M347" i="30"/>
  <c r="N347" i="30"/>
  <c r="O347" i="30"/>
  <c r="P347" i="30"/>
  <c r="Q347" i="30"/>
  <c r="R347" i="30"/>
  <c r="S347" i="30"/>
  <c r="T347" i="30"/>
  <c r="U347" i="30"/>
  <c r="V347" i="30"/>
  <c r="W347" i="30"/>
  <c r="X347" i="30"/>
  <c r="Y347" i="30"/>
  <c r="Z347" i="30"/>
  <c r="AA347" i="30"/>
  <c r="AB347" i="30"/>
  <c r="AC347" i="30"/>
  <c r="AD347" i="30"/>
  <c r="AE347" i="30"/>
  <c r="AF347" i="30"/>
  <c r="AG347" i="30"/>
  <c r="AH347" i="30"/>
  <c r="AI347" i="30"/>
  <c r="AJ347" i="30"/>
  <c r="AK347" i="30"/>
  <c r="AL347" i="30"/>
  <c r="AM347" i="30"/>
  <c r="AN347" i="30"/>
  <c r="AO347" i="30"/>
  <c r="AP347" i="30"/>
  <c r="AQ347" i="30"/>
  <c r="AR347" i="30"/>
  <c r="AS347" i="30"/>
  <c r="AT347" i="30"/>
  <c r="AU347" i="30"/>
  <c r="AV347" i="30"/>
  <c r="AW347" i="30"/>
  <c r="AX347" i="30"/>
  <c r="AY347" i="30"/>
  <c r="AZ347" i="30"/>
  <c r="BA347" i="30"/>
  <c r="BB347" i="30"/>
  <c r="BC347" i="30"/>
  <c r="BD347" i="30"/>
  <c r="BE347" i="30"/>
  <c r="BF347" i="30"/>
  <c r="BG347" i="30"/>
  <c r="BH347" i="30"/>
  <c r="BI347" i="30"/>
  <c r="BJ347" i="30"/>
  <c r="BK347" i="30"/>
  <c r="BL347" i="30"/>
  <c r="BM347" i="30"/>
  <c r="BN347" i="30"/>
  <c r="BO347" i="30"/>
  <c r="BP347" i="30"/>
  <c r="BQ347" i="30"/>
  <c r="BR347" i="30"/>
  <c r="BS347" i="30"/>
  <c r="BT347" i="30"/>
  <c r="BU347" i="30"/>
  <c r="BV347" i="30"/>
  <c r="BW347" i="30"/>
  <c r="BX347" i="30"/>
  <c r="BY347" i="30"/>
  <c r="BZ347" i="30"/>
  <c r="CA347" i="30"/>
  <c r="CB347" i="30"/>
  <c r="CC347" i="30"/>
  <c r="CD347" i="30"/>
  <c r="CE347" i="30"/>
  <c r="CF347" i="30"/>
  <c r="CG347" i="30"/>
  <c r="CH347" i="30"/>
  <c r="CI347" i="30"/>
  <c r="CJ347" i="30"/>
  <c r="CK347" i="30"/>
  <c r="CL347" i="30"/>
  <c r="CM347" i="30"/>
  <c r="CN347" i="30"/>
  <c r="CO347" i="30"/>
  <c r="CP347" i="30"/>
  <c r="CQ347" i="30"/>
  <c r="CR347" i="30"/>
  <c r="CS347" i="30"/>
  <c r="CT347" i="30"/>
  <c r="CU347" i="30"/>
  <c r="CV347" i="30"/>
  <c r="CW347" i="30"/>
  <c r="CX347" i="30"/>
  <c r="CY347" i="30"/>
  <c r="CZ347" i="30"/>
  <c r="DA347" i="30"/>
  <c r="DB347" i="30"/>
  <c r="DC347" i="30"/>
  <c r="DD347" i="30"/>
  <c r="DE347" i="30"/>
  <c r="DF347" i="30"/>
  <c r="DG347" i="30"/>
  <c r="DH347" i="30"/>
  <c r="DI347" i="30"/>
  <c r="DJ347" i="30"/>
  <c r="DK347" i="30"/>
  <c r="DL347" i="30"/>
  <c r="DM347" i="30"/>
  <c r="DN347" i="30"/>
  <c r="DO347" i="30"/>
  <c r="DP347" i="30"/>
  <c r="DQ347" i="30"/>
  <c r="DR347" i="30"/>
  <c r="DS347" i="30"/>
  <c r="DT347" i="30"/>
  <c r="DU347" i="30"/>
  <c r="DV347" i="30"/>
  <c r="DW347" i="30"/>
  <c r="DX347" i="30"/>
  <c r="DY347" i="30"/>
  <c r="DZ347" i="30"/>
  <c r="EA347" i="30"/>
  <c r="EB347" i="30"/>
  <c r="EC347" i="30"/>
  <c r="ED347" i="30"/>
  <c r="EE347" i="30"/>
  <c r="EF347" i="30"/>
  <c r="EG347" i="30"/>
  <c r="EH347" i="30"/>
  <c r="EI347" i="30"/>
  <c r="EJ347" i="30"/>
  <c r="EK347" i="30"/>
  <c r="EL347" i="30"/>
  <c r="EM347" i="30"/>
  <c r="EN347" i="30"/>
  <c r="EO347" i="30"/>
  <c r="EP347" i="30"/>
  <c r="EQ347" i="30"/>
  <c r="ER347" i="30"/>
  <c r="ES347" i="30"/>
  <c r="ET347" i="30"/>
  <c r="EU347" i="30"/>
  <c r="EV347" i="30"/>
  <c r="EW347" i="30"/>
  <c r="EX347" i="30"/>
  <c r="EY347" i="30"/>
  <c r="EZ347" i="30"/>
  <c r="FA347" i="30"/>
  <c r="FB347" i="30"/>
  <c r="FC347" i="30"/>
  <c r="FD347" i="30"/>
  <c r="FE347" i="30"/>
  <c r="FF347" i="30"/>
  <c r="FG347" i="30"/>
  <c r="FH347" i="30"/>
  <c r="FI347" i="30"/>
  <c r="FJ347" i="30"/>
  <c r="FK347" i="30"/>
  <c r="FL347" i="30"/>
  <c r="FM347" i="30"/>
  <c r="FN347" i="30"/>
  <c r="FO347" i="30"/>
  <c r="FP347" i="30"/>
  <c r="FQ347" i="30"/>
  <c r="FR347" i="30"/>
  <c r="FS347" i="30"/>
  <c r="FT347" i="30"/>
  <c r="FU347" i="30"/>
  <c r="FV347" i="30"/>
  <c r="FW347" i="30"/>
  <c r="FX347" i="30"/>
  <c r="FY347" i="30"/>
  <c r="FZ347" i="30"/>
  <c r="GA347" i="30"/>
  <c r="GB347" i="30"/>
  <c r="GC347" i="30"/>
  <c r="GD347" i="30"/>
  <c r="GE347" i="30"/>
  <c r="GF347" i="30"/>
  <c r="GG347" i="30"/>
  <c r="GH347" i="30"/>
  <c r="GI347" i="30"/>
  <c r="GJ347" i="30"/>
  <c r="GK347" i="30"/>
  <c r="GL347" i="30"/>
  <c r="GM347" i="30"/>
  <c r="GN347" i="30"/>
  <c r="GO347" i="30"/>
  <c r="GP347" i="30"/>
  <c r="GQ347" i="30"/>
  <c r="GR347" i="30"/>
  <c r="GS347" i="30"/>
  <c r="GT347" i="30"/>
  <c r="GU347" i="30"/>
  <c r="GV347" i="30"/>
  <c r="GW347" i="30"/>
  <c r="GX347" i="30"/>
  <c r="GY347" i="30"/>
  <c r="GZ347" i="30"/>
  <c r="HA347" i="30"/>
  <c r="HB347" i="30"/>
  <c r="HC347" i="30"/>
  <c r="HD347" i="30"/>
  <c r="HE347" i="30"/>
  <c r="HF347" i="30"/>
  <c r="HG347" i="30"/>
  <c r="HH347" i="30"/>
  <c r="HI347" i="30"/>
  <c r="HJ347" i="30"/>
  <c r="HK347" i="30"/>
  <c r="HL347" i="30"/>
  <c r="HM347" i="30"/>
  <c r="HN347" i="30"/>
  <c r="HO347" i="30"/>
  <c r="HP347" i="30"/>
  <c r="HQ347" i="30"/>
  <c r="HR347" i="30"/>
  <c r="HS347" i="30"/>
  <c r="HT347" i="30"/>
  <c r="HU347" i="30"/>
  <c r="HV347" i="30"/>
  <c r="HW347" i="30"/>
  <c r="HX347" i="30"/>
  <c r="HY347" i="30"/>
  <c r="HZ347" i="30"/>
  <c r="IA347" i="30"/>
  <c r="IB347" i="30"/>
  <c r="IC347" i="30"/>
  <c r="ID347" i="30"/>
  <c r="IE347" i="30"/>
  <c r="IF347" i="30"/>
  <c r="IG347" i="30"/>
  <c r="IH347" i="30"/>
  <c r="II347" i="30"/>
  <c r="IJ347" i="30"/>
  <c r="IK347" i="30"/>
  <c r="IL347" i="30"/>
  <c r="IM347" i="30"/>
  <c r="IN347" i="30"/>
  <c r="IO347" i="30"/>
  <c r="IP347" i="30"/>
  <c r="IQ347" i="30"/>
  <c r="IR347" i="30"/>
  <c r="IS347" i="30"/>
  <c r="IT347" i="30"/>
  <c r="IU347" i="30"/>
  <c r="IV347" i="30"/>
  <c r="A346" i="30"/>
  <c r="B346" i="30"/>
  <c r="C346" i="30"/>
  <c r="D346" i="30"/>
  <c r="E346" i="30"/>
  <c r="F346" i="30"/>
  <c r="G346" i="30"/>
  <c r="H346" i="30"/>
  <c r="I346" i="30"/>
  <c r="J346" i="30"/>
  <c r="K346" i="30"/>
  <c r="L346" i="30"/>
  <c r="M346" i="30"/>
  <c r="N346" i="30"/>
  <c r="O346" i="30"/>
  <c r="P346" i="30"/>
  <c r="Q346" i="30"/>
  <c r="R346" i="30"/>
  <c r="S346" i="30"/>
  <c r="T346" i="30"/>
  <c r="U346" i="30"/>
  <c r="V346" i="30"/>
  <c r="W346" i="30"/>
  <c r="X346" i="30"/>
  <c r="Y346" i="30"/>
  <c r="Z346" i="30"/>
  <c r="AA346" i="30"/>
  <c r="AB346" i="30"/>
  <c r="AC346" i="30"/>
  <c r="AD346" i="30"/>
  <c r="AE346" i="30"/>
  <c r="AF346" i="30"/>
  <c r="AG346" i="30"/>
  <c r="AH346" i="30"/>
  <c r="AI346" i="30"/>
  <c r="AJ346" i="30"/>
  <c r="AK346" i="30"/>
  <c r="AL346" i="30"/>
  <c r="AM346" i="30"/>
  <c r="AN346" i="30"/>
  <c r="AO346" i="30"/>
  <c r="AP346" i="30"/>
  <c r="AQ346" i="30"/>
  <c r="AR346" i="30"/>
  <c r="AS346" i="30"/>
  <c r="AT346" i="30"/>
  <c r="AU346" i="30"/>
  <c r="AV346" i="30"/>
  <c r="AW346" i="30"/>
  <c r="AX346" i="30"/>
  <c r="AY346" i="30"/>
  <c r="AZ346" i="30"/>
  <c r="BA346" i="30"/>
  <c r="BB346" i="30"/>
  <c r="BC346" i="30"/>
  <c r="BD346" i="30"/>
  <c r="BE346" i="30"/>
  <c r="BF346" i="30"/>
  <c r="BG346" i="30"/>
  <c r="BH346" i="30"/>
  <c r="BI346" i="30"/>
  <c r="BJ346" i="30"/>
  <c r="BK346" i="30"/>
  <c r="BL346" i="30"/>
  <c r="BM346" i="30"/>
  <c r="BN346" i="30"/>
  <c r="BO346" i="30"/>
  <c r="BP346" i="30"/>
  <c r="BQ346" i="30"/>
  <c r="BR346" i="30"/>
  <c r="BS346" i="30"/>
  <c r="BT346" i="30"/>
  <c r="BU346" i="30"/>
  <c r="BV346" i="30"/>
  <c r="BW346" i="30"/>
  <c r="BX346" i="30"/>
  <c r="BY346" i="30"/>
  <c r="BZ346" i="30"/>
  <c r="CA346" i="30"/>
  <c r="CB346" i="30"/>
  <c r="CC346" i="30"/>
  <c r="CD346" i="30"/>
  <c r="CE346" i="30"/>
  <c r="CF346" i="30"/>
  <c r="CG346" i="30"/>
  <c r="CH346" i="30"/>
  <c r="CI346" i="30"/>
  <c r="CJ346" i="30"/>
  <c r="CK346" i="30"/>
  <c r="CL346" i="30"/>
  <c r="CM346" i="30"/>
  <c r="CN346" i="30"/>
  <c r="CO346" i="30"/>
  <c r="CP346" i="30"/>
  <c r="CQ346" i="30"/>
  <c r="CR346" i="30"/>
  <c r="CS346" i="30"/>
  <c r="CT346" i="30"/>
  <c r="CU346" i="30"/>
  <c r="CV346" i="30"/>
  <c r="CW346" i="30"/>
  <c r="CX346" i="30"/>
  <c r="CY346" i="30"/>
  <c r="CZ346" i="30"/>
  <c r="DA346" i="30"/>
  <c r="DB346" i="30"/>
  <c r="DC346" i="30"/>
  <c r="DD346" i="30"/>
  <c r="DE346" i="30"/>
  <c r="DF346" i="30"/>
  <c r="DG346" i="30"/>
  <c r="DH346" i="30"/>
  <c r="DI346" i="30"/>
  <c r="DJ346" i="30"/>
  <c r="DK346" i="30"/>
  <c r="DL346" i="30"/>
  <c r="DM346" i="30"/>
  <c r="DN346" i="30"/>
  <c r="DO346" i="30"/>
  <c r="DP346" i="30"/>
  <c r="DQ346" i="30"/>
  <c r="DR346" i="30"/>
  <c r="DS346" i="30"/>
  <c r="DT346" i="30"/>
  <c r="DU346" i="30"/>
  <c r="DV346" i="30"/>
  <c r="DW346" i="30"/>
  <c r="DX346" i="30"/>
  <c r="DY346" i="30"/>
  <c r="DZ346" i="30"/>
  <c r="EA346" i="30"/>
  <c r="EB346" i="30"/>
  <c r="EC346" i="30"/>
  <c r="ED346" i="30"/>
  <c r="EE346" i="30"/>
  <c r="EF346" i="30"/>
  <c r="EG346" i="30"/>
  <c r="EH346" i="30"/>
  <c r="EI346" i="30"/>
  <c r="EJ346" i="30"/>
  <c r="EK346" i="30"/>
  <c r="EL346" i="30"/>
  <c r="EM346" i="30"/>
  <c r="EN346" i="30"/>
  <c r="EO346" i="30"/>
  <c r="EP346" i="30"/>
  <c r="EQ346" i="30"/>
  <c r="ER346" i="30"/>
  <c r="ES346" i="30"/>
  <c r="ET346" i="30"/>
  <c r="EU346" i="30"/>
  <c r="EV346" i="30"/>
  <c r="EW346" i="30"/>
  <c r="EX346" i="30"/>
  <c r="EY346" i="30"/>
  <c r="EZ346" i="30"/>
  <c r="FA346" i="30"/>
  <c r="FB346" i="30"/>
  <c r="FC346" i="30"/>
  <c r="FD346" i="30"/>
  <c r="FE346" i="30"/>
  <c r="FF346" i="30"/>
  <c r="FG346" i="30"/>
  <c r="FH346" i="30"/>
  <c r="FI346" i="30"/>
  <c r="FJ346" i="30"/>
  <c r="FK346" i="30"/>
  <c r="FL346" i="30"/>
  <c r="FM346" i="30"/>
  <c r="FN346" i="30"/>
  <c r="FO346" i="30"/>
  <c r="FP346" i="30"/>
  <c r="FQ346" i="30"/>
  <c r="FR346" i="30"/>
  <c r="FS346" i="30"/>
  <c r="FT346" i="30"/>
  <c r="FU346" i="30"/>
  <c r="FV346" i="30"/>
  <c r="FW346" i="30"/>
  <c r="FX346" i="30"/>
  <c r="FY346" i="30"/>
  <c r="FZ346" i="30"/>
  <c r="GA346" i="30"/>
  <c r="GB346" i="30"/>
  <c r="GC346" i="30"/>
  <c r="GD346" i="30"/>
  <c r="GE346" i="30"/>
  <c r="GF346" i="30"/>
  <c r="GG346" i="30"/>
  <c r="GH346" i="30"/>
  <c r="GI346" i="30"/>
  <c r="GJ346" i="30"/>
  <c r="GK346" i="30"/>
  <c r="GL346" i="30"/>
  <c r="GM346" i="30"/>
  <c r="GN346" i="30"/>
  <c r="GO346" i="30"/>
  <c r="GP346" i="30"/>
  <c r="GQ346" i="30"/>
  <c r="GR346" i="30"/>
  <c r="GS346" i="30"/>
  <c r="GT346" i="30"/>
  <c r="GU346" i="30"/>
  <c r="GV346" i="30"/>
  <c r="GW346" i="30"/>
  <c r="GX346" i="30"/>
  <c r="GY346" i="30"/>
  <c r="GZ346" i="30"/>
  <c r="HA346" i="30"/>
  <c r="HB346" i="30"/>
  <c r="HC346" i="30"/>
  <c r="HD346" i="30"/>
  <c r="HE346" i="30"/>
  <c r="HF346" i="30"/>
  <c r="HG346" i="30"/>
  <c r="HH346" i="30"/>
  <c r="HI346" i="30"/>
  <c r="HJ346" i="30"/>
  <c r="HK346" i="30"/>
  <c r="HL346" i="30"/>
  <c r="HM346" i="30"/>
  <c r="HN346" i="30"/>
  <c r="HO346" i="30"/>
  <c r="HP346" i="30"/>
  <c r="HQ346" i="30"/>
  <c r="HR346" i="30"/>
  <c r="HS346" i="30"/>
  <c r="HT346" i="30"/>
  <c r="HU346" i="30"/>
  <c r="HV346" i="30"/>
  <c r="HW346" i="30"/>
  <c r="HX346" i="30"/>
  <c r="HY346" i="30"/>
  <c r="HZ346" i="30"/>
  <c r="IA346" i="30"/>
  <c r="IB346" i="30"/>
  <c r="IC346" i="30"/>
  <c r="ID346" i="30"/>
  <c r="IE346" i="30"/>
  <c r="IF346" i="30"/>
  <c r="IG346" i="30"/>
  <c r="IH346" i="30"/>
  <c r="II346" i="30"/>
  <c r="IJ346" i="30"/>
  <c r="IK346" i="30"/>
  <c r="IL346" i="30"/>
  <c r="IM346" i="30"/>
  <c r="IN346" i="30"/>
  <c r="IO346" i="30"/>
  <c r="IP346" i="30"/>
  <c r="IQ346" i="30"/>
  <c r="IR346" i="30"/>
  <c r="IS346" i="30"/>
  <c r="IT346" i="30"/>
  <c r="IU346" i="30"/>
  <c r="IV346" i="30"/>
  <c r="A345" i="30"/>
  <c r="B345" i="30"/>
  <c r="C345" i="30"/>
  <c r="D345" i="30"/>
  <c r="E345" i="30"/>
  <c r="F345" i="30"/>
  <c r="G345" i="30"/>
  <c r="H345" i="30"/>
  <c r="I345" i="30"/>
  <c r="J345" i="30"/>
  <c r="K345" i="30"/>
  <c r="L345" i="30"/>
  <c r="M345" i="30"/>
  <c r="N345" i="30"/>
  <c r="O345" i="30"/>
  <c r="P345" i="30"/>
  <c r="Q345" i="30"/>
  <c r="R345" i="30"/>
  <c r="S345" i="30"/>
  <c r="T345" i="30"/>
  <c r="U345" i="30"/>
  <c r="V345" i="30"/>
  <c r="W345" i="30"/>
  <c r="X345" i="30"/>
  <c r="Y345" i="30"/>
  <c r="Z345" i="30"/>
  <c r="AA345" i="30"/>
  <c r="AB345" i="30"/>
  <c r="AC345" i="30"/>
  <c r="AD345" i="30"/>
  <c r="AE345" i="30"/>
  <c r="AF345" i="30"/>
  <c r="AG345" i="30"/>
  <c r="AH345" i="30"/>
  <c r="AI345" i="30"/>
  <c r="AJ345" i="30"/>
  <c r="AK345" i="30"/>
  <c r="AL345" i="30"/>
  <c r="AM345" i="30"/>
  <c r="AN345" i="30"/>
  <c r="AO345" i="30"/>
  <c r="AP345" i="30"/>
  <c r="AQ345" i="30"/>
  <c r="AR345" i="30"/>
  <c r="AS345" i="30"/>
  <c r="AT345" i="30"/>
  <c r="AU345" i="30"/>
  <c r="AV345" i="30"/>
  <c r="AW345" i="30"/>
  <c r="AX345" i="30"/>
  <c r="AY345" i="30"/>
  <c r="AZ345" i="30"/>
  <c r="BA345" i="30"/>
  <c r="BB345" i="30"/>
  <c r="BC345" i="30"/>
  <c r="BD345" i="30"/>
  <c r="BE345" i="30"/>
  <c r="BF345" i="30"/>
  <c r="BG345" i="30"/>
  <c r="BH345" i="30"/>
  <c r="BI345" i="30"/>
  <c r="BJ345" i="30"/>
  <c r="BK345" i="30"/>
  <c r="BL345" i="30"/>
  <c r="BM345" i="30"/>
  <c r="BN345" i="30"/>
  <c r="BO345" i="30"/>
  <c r="BP345" i="30"/>
  <c r="BQ345" i="30"/>
  <c r="BR345" i="30"/>
  <c r="BS345" i="30"/>
  <c r="BT345" i="30"/>
  <c r="BU345" i="30"/>
  <c r="BV345" i="30"/>
  <c r="BW345" i="30"/>
  <c r="BX345" i="30"/>
  <c r="BY345" i="30"/>
  <c r="BZ345" i="30"/>
  <c r="CA345" i="30"/>
  <c r="CB345" i="30"/>
  <c r="CC345" i="30"/>
  <c r="CD345" i="30"/>
  <c r="CE345" i="30"/>
  <c r="CF345" i="30"/>
  <c r="CG345" i="30"/>
  <c r="CH345" i="30"/>
  <c r="CI345" i="30"/>
  <c r="CJ345" i="30"/>
  <c r="CK345" i="30"/>
  <c r="CL345" i="30"/>
  <c r="CM345" i="30"/>
  <c r="CN345" i="30"/>
  <c r="CO345" i="30"/>
  <c r="CP345" i="30"/>
  <c r="CQ345" i="30"/>
  <c r="CR345" i="30"/>
  <c r="CS345" i="30"/>
  <c r="CT345" i="30"/>
  <c r="CU345" i="30"/>
  <c r="CV345" i="30"/>
  <c r="CW345" i="30"/>
  <c r="CX345" i="30"/>
  <c r="CY345" i="30"/>
  <c r="CZ345" i="30"/>
  <c r="DA345" i="30"/>
  <c r="DB345" i="30"/>
  <c r="DC345" i="30"/>
  <c r="DD345" i="30"/>
  <c r="DE345" i="30"/>
  <c r="DF345" i="30"/>
  <c r="DG345" i="30"/>
  <c r="DH345" i="30"/>
  <c r="DI345" i="30"/>
  <c r="DJ345" i="30"/>
  <c r="DK345" i="30"/>
  <c r="DL345" i="30"/>
  <c r="DM345" i="30"/>
  <c r="DN345" i="30"/>
  <c r="DO345" i="30"/>
  <c r="DP345" i="30"/>
  <c r="DQ345" i="30"/>
  <c r="DR345" i="30"/>
  <c r="DS345" i="30"/>
  <c r="DT345" i="30"/>
  <c r="DU345" i="30"/>
  <c r="DV345" i="30"/>
  <c r="DW345" i="30"/>
  <c r="DX345" i="30"/>
  <c r="DY345" i="30"/>
  <c r="DZ345" i="30"/>
  <c r="EA345" i="30"/>
  <c r="EB345" i="30"/>
  <c r="EC345" i="30"/>
  <c r="ED345" i="30"/>
  <c r="EE345" i="30"/>
  <c r="EF345" i="30"/>
  <c r="EG345" i="30"/>
  <c r="EH345" i="30"/>
  <c r="EI345" i="30"/>
  <c r="EJ345" i="30"/>
  <c r="EK345" i="30"/>
  <c r="EL345" i="30"/>
  <c r="EM345" i="30"/>
  <c r="EN345" i="30"/>
  <c r="EO345" i="30"/>
  <c r="EP345" i="30"/>
  <c r="EQ345" i="30"/>
  <c r="ER345" i="30"/>
  <c r="ES345" i="30"/>
  <c r="ET345" i="30"/>
  <c r="EU345" i="30"/>
  <c r="EV345" i="30"/>
  <c r="EW345" i="30"/>
  <c r="EX345" i="30"/>
  <c r="EY345" i="30"/>
  <c r="EZ345" i="30"/>
  <c r="FA345" i="30"/>
  <c r="FB345" i="30"/>
  <c r="FC345" i="30"/>
  <c r="FD345" i="30"/>
  <c r="FE345" i="30"/>
  <c r="FF345" i="30"/>
  <c r="FG345" i="30"/>
  <c r="FH345" i="30"/>
  <c r="FI345" i="30"/>
  <c r="FJ345" i="30"/>
  <c r="FK345" i="30"/>
  <c r="FL345" i="30"/>
  <c r="FM345" i="30"/>
  <c r="FN345" i="30"/>
  <c r="FO345" i="30"/>
  <c r="FP345" i="30"/>
  <c r="FQ345" i="30"/>
  <c r="FR345" i="30"/>
  <c r="FS345" i="30"/>
  <c r="FT345" i="30"/>
  <c r="FU345" i="30"/>
  <c r="FV345" i="30"/>
  <c r="FW345" i="30"/>
  <c r="FX345" i="30"/>
  <c r="FY345" i="30"/>
  <c r="FZ345" i="30"/>
  <c r="GA345" i="30"/>
  <c r="GB345" i="30"/>
  <c r="GC345" i="30"/>
  <c r="GD345" i="30"/>
  <c r="GE345" i="30"/>
  <c r="GF345" i="30"/>
  <c r="GG345" i="30"/>
  <c r="GH345" i="30"/>
  <c r="GI345" i="30"/>
  <c r="GJ345" i="30"/>
  <c r="GK345" i="30"/>
  <c r="GL345" i="30"/>
  <c r="GM345" i="30"/>
  <c r="GN345" i="30"/>
  <c r="GO345" i="30"/>
  <c r="GP345" i="30"/>
  <c r="GQ345" i="30"/>
  <c r="GR345" i="30"/>
  <c r="GS345" i="30"/>
  <c r="GT345" i="30"/>
  <c r="GU345" i="30"/>
  <c r="GV345" i="30"/>
  <c r="GW345" i="30"/>
  <c r="GX345" i="30"/>
  <c r="GY345" i="30"/>
  <c r="GZ345" i="30"/>
  <c r="HA345" i="30"/>
  <c r="HB345" i="30"/>
  <c r="HC345" i="30"/>
  <c r="HD345" i="30"/>
  <c r="HE345" i="30"/>
  <c r="HF345" i="30"/>
  <c r="HG345" i="30"/>
  <c r="HH345" i="30"/>
  <c r="HI345" i="30"/>
  <c r="HJ345" i="30"/>
  <c r="HK345" i="30"/>
  <c r="HL345" i="30"/>
  <c r="HM345" i="30"/>
  <c r="HN345" i="30"/>
  <c r="HO345" i="30"/>
  <c r="HP345" i="30"/>
  <c r="HQ345" i="30"/>
  <c r="HR345" i="30"/>
  <c r="HS345" i="30"/>
  <c r="HT345" i="30"/>
  <c r="HU345" i="30"/>
  <c r="HV345" i="30"/>
  <c r="HW345" i="30"/>
  <c r="HX345" i="30"/>
  <c r="HY345" i="30"/>
  <c r="HZ345" i="30"/>
  <c r="IA345" i="30"/>
  <c r="IB345" i="30"/>
  <c r="IC345" i="30"/>
  <c r="ID345" i="30"/>
  <c r="IE345" i="30"/>
  <c r="IF345" i="30"/>
  <c r="IG345" i="30"/>
  <c r="IH345" i="30"/>
  <c r="II345" i="30"/>
  <c r="IJ345" i="30"/>
  <c r="IK345" i="30"/>
  <c r="IL345" i="30"/>
  <c r="IM345" i="30"/>
  <c r="IN345" i="30"/>
  <c r="IO345" i="30"/>
  <c r="IP345" i="30"/>
  <c r="IQ345" i="30"/>
  <c r="IR345" i="30"/>
  <c r="IS345" i="30"/>
  <c r="IT345" i="30"/>
  <c r="IU345" i="30"/>
  <c r="IV345" i="30"/>
  <c r="A344" i="30"/>
  <c r="B344" i="30"/>
  <c r="C344" i="30"/>
  <c r="D344" i="30"/>
  <c r="E344" i="30"/>
  <c r="F344" i="30"/>
  <c r="G344" i="30"/>
  <c r="H344" i="30"/>
  <c r="I344" i="30"/>
  <c r="J344" i="30"/>
  <c r="K344" i="30"/>
  <c r="L344" i="30"/>
  <c r="M344" i="30"/>
  <c r="N344" i="30"/>
  <c r="O344" i="30"/>
  <c r="P344" i="30"/>
  <c r="Q344" i="30"/>
  <c r="R344" i="30"/>
  <c r="S344" i="30"/>
  <c r="T344" i="30"/>
  <c r="U344" i="30"/>
  <c r="V344" i="30"/>
  <c r="W344" i="30"/>
  <c r="X344" i="30"/>
  <c r="Y344" i="30"/>
  <c r="Z344" i="30"/>
  <c r="AA344" i="30"/>
  <c r="AB344" i="30"/>
  <c r="AC344" i="30"/>
  <c r="AD344" i="30"/>
  <c r="AE344" i="30"/>
  <c r="AF344" i="30"/>
  <c r="AG344" i="30"/>
  <c r="AH344" i="30"/>
  <c r="AI344" i="30"/>
  <c r="AJ344" i="30"/>
  <c r="AK344" i="30"/>
  <c r="AL344" i="30"/>
  <c r="AM344" i="30"/>
  <c r="AN344" i="30"/>
  <c r="AO344" i="30"/>
  <c r="AP344" i="30"/>
  <c r="AQ344" i="30"/>
  <c r="AR344" i="30"/>
  <c r="AS344" i="30"/>
  <c r="AT344" i="30"/>
  <c r="AU344" i="30"/>
  <c r="AV344" i="30"/>
  <c r="AW344" i="30"/>
  <c r="AX344" i="30"/>
  <c r="AY344" i="30"/>
  <c r="AZ344" i="30"/>
  <c r="BA344" i="30"/>
  <c r="BB344" i="30"/>
  <c r="BC344" i="30"/>
  <c r="BD344" i="30"/>
  <c r="BE344" i="30"/>
  <c r="BF344" i="30"/>
  <c r="BG344" i="30"/>
  <c r="BH344" i="30"/>
  <c r="BI344" i="30"/>
  <c r="BJ344" i="30"/>
  <c r="BK344" i="30"/>
  <c r="BL344" i="30"/>
  <c r="BM344" i="30"/>
  <c r="BN344" i="30"/>
  <c r="BO344" i="30"/>
  <c r="BP344" i="30"/>
  <c r="BQ344" i="30"/>
  <c r="BR344" i="30"/>
  <c r="BS344" i="30"/>
  <c r="BT344" i="30"/>
  <c r="BU344" i="30"/>
  <c r="BV344" i="30"/>
  <c r="BW344" i="30"/>
  <c r="BX344" i="30"/>
  <c r="BY344" i="30"/>
  <c r="BZ344" i="30"/>
  <c r="CA344" i="30"/>
  <c r="CB344" i="30"/>
  <c r="CC344" i="30"/>
  <c r="CD344" i="30"/>
  <c r="CE344" i="30"/>
  <c r="CF344" i="30"/>
  <c r="CG344" i="30"/>
  <c r="CH344" i="30"/>
  <c r="CI344" i="30"/>
  <c r="CJ344" i="30"/>
  <c r="CK344" i="30"/>
  <c r="CL344" i="30"/>
  <c r="CM344" i="30"/>
  <c r="CN344" i="30"/>
  <c r="CO344" i="30"/>
  <c r="CP344" i="30"/>
  <c r="CQ344" i="30"/>
  <c r="CR344" i="30"/>
  <c r="CS344" i="30"/>
  <c r="CT344" i="30"/>
  <c r="CU344" i="30"/>
  <c r="CV344" i="30"/>
  <c r="CW344" i="30"/>
  <c r="CX344" i="30"/>
  <c r="CY344" i="30"/>
  <c r="CZ344" i="30"/>
  <c r="DA344" i="30"/>
  <c r="DB344" i="30"/>
  <c r="DC344" i="30"/>
  <c r="DD344" i="30"/>
  <c r="DE344" i="30"/>
  <c r="DF344" i="30"/>
  <c r="DG344" i="30"/>
  <c r="DH344" i="30"/>
  <c r="DI344" i="30"/>
  <c r="DJ344" i="30"/>
  <c r="DK344" i="30"/>
  <c r="DL344" i="30"/>
  <c r="DM344" i="30"/>
  <c r="DN344" i="30"/>
  <c r="DO344" i="30"/>
  <c r="DP344" i="30"/>
  <c r="DQ344" i="30"/>
  <c r="DR344" i="30"/>
  <c r="DS344" i="30"/>
  <c r="DT344" i="30"/>
  <c r="DU344" i="30"/>
  <c r="DV344" i="30"/>
  <c r="DW344" i="30"/>
  <c r="DX344" i="30"/>
  <c r="DY344" i="30"/>
  <c r="DZ344" i="30"/>
  <c r="EA344" i="30"/>
  <c r="EB344" i="30"/>
  <c r="EC344" i="30"/>
  <c r="ED344" i="30"/>
  <c r="EE344" i="30"/>
  <c r="EF344" i="30"/>
  <c r="EG344" i="30"/>
  <c r="EH344" i="30"/>
  <c r="EI344" i="30"/>
  <c r="EJ344" i="30"/>
  <c r="EK344" i="30"/>
  <c r="EL344" i="30"/>
  <c r="EM344" i="30"/>
  <c r="EN344" i="30"/>
  <c r="EO344" i="30"/>
  <c r="EP344" i="30"/>
  <c r="EQ344" i="30"/>
  <c r="ER344" i="30"/>
  <c r="ES344" i="30"/>
  <c r="ET344" i="30"/>
  <c r="EU344" i="30"/>
  <c r="EV344" i="30"/>
  <c r="EW344" i="30"/>
  <c r="EX344" i="30"/>
  <c r="EY344" i="30"/>
  <c r="EZ344" i="30"/>
  <c r="FA344" i="30"/>
  <c r="FB344" i="30"/>
  <c r="FC344" i="30"/>
  <c r="FD344" i="30"/>
  <c r="FE344" i="30"/>
  <c r="FF344" i="30"/>
  <c r="FG344" i="30"/>
  <c r="FH344" i="30"/>
  <c r="FI344" i="30"/>
  <c r="FJ344" i="30"/>
  <c r="FK344" i="30"/>
  <c r="FL344" i="30"/>
  <c r="FM344" i="30"/>
  <c r="FN344" i="30"/>
  <c r="FO344" i="30"/>
  <c r="FP344" i="30"/>
  <c r="FQ344" i="30"/>
  <c r="FR344" i="30"/>
  <c r="FS344" i="30"/>
  <c r="FT344" i="30"/>
  <c r="FU344" i="30"/>
  <c r="FV344" i="30"/>
  <c r="FW344" i="30"/>
  <c r="FX344" i="30"/>
  <c r="FY344" i="30"/>
  <c r="FZ344" i="30"/>
  <c r="GA344" i="30"/>
  <c r="GB344" i="30"/>
  <c r="GC344" i="30"/>
  <c r="GD344" i="30"/>
  <c r="GE344" i="30"/>
  <c r="GF344" i="30"/>
  <c r="GG344" i="30"/>
  <c r="GH344" i="30"/>
  <c r="GI344" i="30"/>
  <c r="GJ344" i="30"/>
  <c r="GK344" i="30"/>
  <c r="GL344" i="30"/>
  <c r="GM344" i="30"/>
  <c r="GN344" i="30"/>
  <c r="GO344" i="30"/>
  <c r="GP344" i="30"/>
  <c r="GQ344" i="30"/>
  <c r="GR344" i="30"/>
  <c r="GS344" i="30"/>
  <c r="GT344" i="30"/>
  <c r="GU344" i="30"/>
  <c r="GV344" i="30"/>
  <c r="GW344" i="30"/>
  <c r="GX344" i="30"/>
  <c r="GY344" i="30"/>
  <c r="GZ344" i="30"/>
  <c r="HA344" i="30"/>
  <c r="HB344" i="30"/>
  <c r="HC344" i="30"/>
  <c r="HD344" i="30"/>
  <c r="HE344" i="30"/>
  <c r="HF344" i="30"/>
  <c r="HG344" i="30"/>
  <c r="HH344" i="30"/>
  <c r="HI344" i="30"/>
  <c r="HJ344" i="30"/>
  <c r="HK344" i="30"/>
  <c r="HL344" i="30"/>
  <c r="HM344" i="30"/>
  <c r="HN344" i="30"/>
  <c r="HO344" i="30"/>
  <c r="HP344" i="30"/>
  <c r="HQ344" i="30"/>
  <c r="HR344" i="30"/>
  <c r="HS344" i="30"/>
  <c r="HT344" i="30"/>
  <c r="HU344" i="30"/>
  <c r="HV344" i="30"/>
  <c r="HW344" i="30"/>
  <c r="HX344" i="30"/>
  <c r="HY344" i="30"/>
  <c r="HZ344" i="30"/>
  <c r="IA344" i="30"/>
  <c r="IB344" i="30"/>
  <c r="IC344" i="30"/>
  <c r="ID344" i="30"/>
  <c r="IE344" i="30"/>
  <c r="IF344" i="30"/>
  <c r="IG344" i="30"/>
  <c r="IH344" i="30"/>
  <c r="II344" i="30"/>
  <c r="IJ344" i="30"/>
  <c r="IK344" i="30"/>
  <c r="IL344" i="30"/>
  <c r="IM344" i="30"/>
  <c r="IN344" i="30"/>
  <c r="IO344" i="30"/>
  <c r="IP344" i="30"/>
  <c r="IQ344" i="30"/>
  <c r="IR344" i="30"/>
  <c r="IS344" i="30"/>
  <c r="IT344" i="30"/>
  <c r="IU344" i="30"/>
  <c r="IV344" i="30"/>
  <c r="A343" i="30"/>
  <c r="B343" i="30"/>
  <c r="C343" i="30"/>
  <c r="D343" i="30"/>
  <c r="E343" i="30"/>
  <c r="F343" i="30"/>
  <c r="G343" i="30"/>
  <c r="H343" i="30"/>
  <c r="I343" i="30"/>
  <c r="J343" i="30"/>
  <c r="K343" i="30"/>
  <c r="L343" i="30"/>
  <c r="M343" i="30"/>
  <c r="N343" i="30"/>
  <c r="O343" i="30"/>
  <c r="P343" i="30"/>
  <c r="Q343" i="30"/>
  <c r="R343" i="30"/>
  <c r="S343" i="30"/>
  <c r="T343" i="30"/>
  <c r="U343" i="30"/>
  <c r="V343" i="30"/>
  <c r="W343" i="30"/>
  <c r="X343" i="30"/>
  <c r="Y343" i="30"/>
  <c r="Z343" i="30"/>
  <c r="AA343" i="30"/>
  <c r="AB343" i="30"/>
  <c r="AC343" i="30"/>
  <c r="AD343" i="30"/>
  <c r="AE343" i="30"/>
  <c r="AF343" i="30"/>
  <c r="AG343" i="30"/>
  <c r="AH343" i="30"/>
  <c r="AI343" i="30"/>
  <c r="AJ343" i="30"/>
  <c r="AK343" i="30"/>
  <c r="AL343" i="30"/>
  <c r="AM343" i="30"/>
  <c r="AN343" i="30"/>
  <c r="AO343" i="30"/>
  <c r="AP343" i="30"/>
  <c r="AQ343" i="30"/>
  <c r="AR343" i="30"/>
  <c r="AS343" i="30"/>
  <c r="AT343" i="30"/>
  <c r="AU343" i="30"/>
  <c r="AV343" i="30"/>
  <c r="AW343" i="30"/>
  <c r="AX343" i="30"/>
  <c r="AY343" i="30"/>
  <c r="AZ343" i="30"/>
  <c r="BA343" i="30"/>
  <c r="BB343" i="30"/>
  <c r="BC343" i="30"/>
  <c r="BD343" i="30"/>
  <c r="BE343" i="30"/>
  <c r="BF343" i="30"/>
  <c r="BG343" i="30"/>
  <c r="BH343" i="30"/>
  <c r="BI343" i="30"/>
  <c r="BJ343" i="30"/>
  <c r="BK343" i="30"/>
  <c r="BL343" i="30"/>
  <c r="BM343" i="30"/>
  <c r="BN343" i="30"/>
  <c r="BO343" i="30"/>
  <c r="BP343" i="30"/>
  <c r="BQ343" i="30"/>
  <c r="BR343" i="30"/>
  <c r="BS343" i="30"/>
  <c r="BT343" i="30"/>
  <c r="BU343" i="30"/>
  <c r="BV343" i="30"/>
  <c r="BW343" i="30"/>
  <c r="BX343" i="30"/>
  <c r="BY343" i="30"/>
  <c r="BZ343" i="30"/>
  <c r="CA343" i="30"/>
  <c r="CB343" i="30"/>
  <c r="CC343" i="30"/>
  <c r="CD343" i="30"/>
  <c r="CE343" i="30"/>
  <c r="CF343" i="30"/>
  <c r="CG343" i="30"/>
  <c r="CH343" i="30"/>
  <c r="CI343" i="30"/>
  <c r="CJ343" i="30"/>
  <c r="CK343" i="30"/>
  <c r="CL343" i="30"/>
  <c r="CM343" i="30"/>
  <c r="CN343" i="30"/>
  <c r="CO343" i="30"/>
  <c r="CP343" i="30"/>
  <c r="CQ343" i="30"/>
  <c r="CR343" i="30"/>
  <c r="CS343" i="30"/>
  <c r="CT343" i="30"/>
  <c r="CU343" i="30"/>
  <c r="CV343" i="30"/>
  <c r="CW343" i="30"/>
  <c r="CX343" i="30"/>
  <c r="CY343" i="30"/>
  <c r="CZ343" i="30"/>
  <c r="DA343" i="30"/>
  <c r="DB343" i="30"/>
  <c r="DC343" i="30"/>
  <c r="DD343" i="30"/>
  <c r="DE343" i="30"/>
  <c r="DF343" i="30"/>
  <c r="DG343" i="30"/>
  <c r="DH343" i="30"/>
  <c r="DI343" i="30"/>
  <c r="DJ343" i="30"/>
  <c r="DK343" i="30"/>
  <c r="DL343" i="30"/>
  <c r="DM343" i="30"/>
  <c r="DN343" i="30"/>
  <c r="DO343" i="30"/>
  <c r="DP343" i="30"/>
  <c r="DQ343" i="30"/>
  <c r="DR343" i="30"/>
  <c r="DS343" i="30"/>
  <c r="DT343" i="30"/>
  <c r="DU343" i="30"/>
  <c r="DV343" i="30"/>
  <c r="DW343" i="30"/>
  <c r="DX343" i="30"/>
  <c r="DY343" i="30"/>
  <c r="DZ343" i="30"/>
  <c r="EA343" i="30"/>
  <c r="EB343" i="30"/>
  <c r="EC343" i="30"/>
  <c r="ED343" i="30"/>
  <c r="EE343" i="30"/>
  <c r="EF343" i="30"/>
  <c r="EG343" i="30"/>
  <c r="EH343" i="30"/>
  <c r="EI343" i="30"/>
  <c r="EJ343" i="30"/>
  <c r="EK343" i="30"/>
  <c r="EL343" i="30"/>
  <c r="EM343" i="30"/>
  <c r="EN343" i="30"/>
  <c r="EO343" i="30"/>
  <c r="EP343" i="30"/>
  <c r="EQ343" i="30"/>
  <c r="ER343" i="30"/>
  <c r="ES343" i="30"/>
  <c r="ET343" i="30"/>
  <c r="EU343" i="30"/>
  <c r="EV343" i="30"/>
  <c r="EW343" i="30"/>
  <c r="EX343" i="30"/>
  <c r="EY343" i="30"/>
  <c r="EZ343" i="30"/>
  <c r="FA343" i="30"/>
  <c r="FB343" i="30"/>
  <c r="FC343" i="30"/>
  <c r="FD343" i="30"/>
  <c r="FE343" i="30"/>
  <c r="FF343" i="30"/>
  <c r="FG343" i="30"/>
  <c r="FH343" i="30"/>
  <c r="FI343" i="30"/>
  <c r="FJ343" i="30"/>
  <c r="FK343" i="30"/>
  <c r="FL343" i="30"/>
  <c r="FM343" i="30"/>
  <c r="FN343" i="30"/>
  <c r="FO343" i="30"/>
  <c r="FP343" i="30"/>
  <c r="FQ343" i="30"/>
  <c r="FR343" i="30"/>
  <c r="FS343" i="30"/>
  <c r="FT343" i="30"/>
  <c r="FU343" i="30"/>
  <c r="FV343" i="30"/>
  <c r="FW343" i="30"/>
  <c r="FX343" i="30"/>
  <c r="FY343" i="30"/>
  <c r="FZ343" i="30"/>
  <c r="GA343" i="30"/>
  <c r="GB343" i="30"/>
  <c r="GC343" i="30"/>
  <c r="GD343" i="30"/>
  <c r="GE343" i="30"/>
  <c r="GF343" i="30"/>
  <c r="GG343" i="30"/>
  <c r="GH343" i="30"/>
  <c r="GI343" i="30"/>
  <c r="GJ343" i="30"/>
  <c r="GK343" i="30"/>
  <c r="GL343" i="30"/>
  <c r="GM343" i="30"/>
  <c r="GN343" i="30"/>
  <c r="GO343" i="30"/>
  <c r="GP343" i="30"/>
  <c r="GQ343" i="30"/>
  <c r="GR343" i="30"/>
  <c r="GS343" i="30"/>
  <c r="GT343" i="30"/>
  <c r="GU343" i="30"/>
  <c r="GV343" i="30"/>
  <c r="GW343" i="30"/>
  <c r="GX343" i="30"/>
  <c r="GY343" i="30"/>
  <c r="GZ343" i="30"/>
  <c r="HA343" i="30"/>
  <c r="HB343" i="30"/>
  <c r="HC343" i="30"/>
  <c r="HD343" i="30"/>
  <c r="HE343" i="30"/>
  <c r="HF343" i="30"/>
  <c r="HG343" i="30"/>
  <c r="HH343" i="30"/>
  <c r="HI343" i="30"/>
  <c r="HJ343" i="30"/>
  <c r="HK343" i="30"/>
  <c r="HL343" i="30"/>
  <c r="HM343" i="30"/>
  <c r="HN343" i="30"/>
  <c r="HO343" i="30"/>
  <c r="HP343" i="30"/>
  <c r="HQ343" i="30"/>
  <c r="HR343" i="30"/>
  <c r="HS343" i="30"/>
  <c r="HT343" i="30"/>
  <c r="HU343" i="30"/>
  <c r="HV343" i="30"/>
  <c r="HW343" i="30"/>
  <c r="HX343" i="30"/>
  <c r="HY343" i="30"/>
  <c r="HZ343" i="30"/>
  <c r="IA343" i="30"/>
  <c r="IB343" i="30"/>
  <c r="IC343" i="30"/>
  <c r="ID343" i="30"/>
  <c r="IE343" i="30"/>
  <c r="IF343" i="30"/>
  <c r="IG343" i="30"/>
  <c r="IH343" i="30"/>
  <c r="II343" i="30"/>
  <c r="IJ343" i="30"/>
  <c r="IK343" i="30"/>
  <c r="IL343" i="30"/>
  <c r="IM343" i="30"/>
  <c r="IN343" i="30"/>
  <c r="IO343" i="30"/>
  <c r="IP343" i="30"/>
  <c r="IQ343" i="30"/>
  <c r="IR343" i="30"/>
  <c r="IS343" i="30"/>
  <c r="IT343" i="30"/>
  <c r="IU343" i="30"/>
  <c r="IV343" i="30"/>
  <c r="A342" i="30"/>
  <c r="B342" i="30"/>
  <c r="C342" i="30"/>
  <c r="D342" i="30"/>
  <c r="E342" i="30"/>
  <c r="F342" i="30"/>
  <c r="G342" i="30"/>
  <c r="H342" i="30"/>
  <c r="I342" i="30"/>
  <c r="J342" i="30"/>
  <c r="K342" i="30"/>
  <c r="L342" i="30"/>
  <c r="M342" i="30"/>
  <c r="N342" i="30"/>
  <c r="O342" i="30"/>
  <c r="P342" i="30"/>
  <c r="Q342" i="30"/>
  <c r="R342" i="30"/>
  <c r="S342" i="30"/>
  <c r="T342" i="30"/>
  <c r="U342" i="30"/>
  <c r="V342" i="30"/>
  <c r="W342" i="30"/>
  <c r="X342" i="30"/>
  <c r="Y342" i="30"/>
  <c r="Z342" i="30"/>
  <c r="AA342" i="30"/>
  <c r="AB342" i="30"/>
  <c r="AC342" i="30"/>
  <c r="AD342" i="30"/>
  <c r="AE342" i="30"/>
  <c r="AF342" i="30"/>
  <c r="AG342" i="30"/>
  <c r="AH342" i="30"/>
  <c r="AI342" i="30"/>
  <c r="AJ342" i="30"/>
  <c r="AK342" i="30"/>
  <c r="AL342" i="30"/>
  <c r="AM342" i="30"/>
  <c r="AN342" i="30"/>
  <c r="AO342" i="30"/>
  <c r="AP342" i="30"/>
  <c r="AQ342" i="30"/>
  <c r="AR342" i="30"/>
  <c r="AS342" i="30"/>
  <c r="AT342" i="30"/>
  <c r="AU342" i="30"/>
  <c r="AV342" i="30"/>
  <c r="AW342" i="30"/>
  <c r="AX342" i="30"/>
  <c r="AY342" i="30"/>
  <c r="AZ342" i="30"/>
  <c r="BA342" i="30"/>
  <c r="BB342" i="30"/>
  <c r="BC342" i="30"/>
  <c r="BD342" i="30"/>
  <c r="BE342" i="30"/>
  <c r="BF342" i="30"/>
  <c r="BG342" i="30"/>
  <c r="BH342" i="30"/>
  <c r="BI342" i="30"/>
  <c r="BJ342" i="30"/>
  <c r="BK342" i="30"/>
  <c r="BL342" i="30"/>
  <c r="BM342" i="30"/>
  <c r="BN342" i="30"/>
  <c r="BO342" i="30"/>
  <c r="BP342" i="30"/>
  <c r="BQ342" i="30"/>
  <c r="BR342" i="30"/>
  <c r="BS342" i="30"/>
  <c r="BT342" i="30"/>
  <c r="BU342" i="30"/>
  <c r="BV342" i="30"/>
  <c r="BW342" i="30"/>
  <c r="BX342" i="30"/>
  <c r="BY342" i="30"/>
  <c r="BZ342" i="30"/>
  <c r="CA342" i="30"/>
  <c r="CB342" i="30"/>
  <c r="CC342" i="30"/>
  <c r="CD342" i="30"/>
  <c r="CE342" i="30"/>
  <c r="CF342" i="30"/>
  <c r="CG342" i="30"/>
  <c r="CH342" i="30"/>
  <c r="CI342" i="30"/>
  <c r="CJ342" i="30"/>
  <c r="CK342" i="30"/>
  <c r="CL342" i="30"/>
  <c r="CM342" i="30"/>
  <c r="CN342" i="30"/>
  <c r="CO342" i="30"/>
  <c r="CP342" i="30"/>
  <c r="CQ342" i="30"/>
  <c r="CR342" i="30"/>
  <c r="CS342" i="30"/>
  <c r="CT342" i="30"/>
  <c r="CU342" i="30"/>
  <c r="CV342" i="30"/>
  <c r="CW342" i="30"/>
  <c r="CX342" i="30"/>
  <c r="CY342" i="30"/>
  <c r="CZ342" i="30"/>
  <c r="DA342" i="30"/>
  <c r="DB342" i="30"/>
  <c r="DC342" i="30"/>
  <c r="DD342" i="30"/>
  <c r="DE342" i="30"/>
  <c r="DF342" i="30"/>
  <c r="DG342" i="30"/>
  <c r="DH342" i="30"/>
  <c r="DI342" i="30"/>
  <c r="DJ342" i="30"/>
  <c r="DK342" i="30"/>
  <c r="DL342" i="30"/>
  <c r="DM342" i="30"/>
  <c r="DN342" i="30"/>
  <c r="DO342" i="30"/>
  <c r="DP342" i="30"/>
  <c r="DQ342" i="30"/>
  <c r="DR342" i="30"/>
  <c r="DS342" i="30"/>
  <c r="DT342" i="30"/>
  <c r="DU342" i="30"/>
  <c r="DV342" i="30"/>
  <c r="DW342" i="30"/>
  <c r="DX342" i="30"/>
  <c r="DY342" i="30"/>
  <c r="DZ342" i="30"/>
  <c r="EA342" i="30"/>
  <c r="EB342" i="30"/>
  <c r="EC342" i="30"/>
  <c r="ED342" i="30"/>
  <c r="EE342" i="30"/>
  <c r="EF342" i="30"/>
  <c r="EG342" i="30"/>
  <c r="EH342" i="30"/>
  <c r="EI342" i="30"/>
  <c r="EJ342" i="30"/>
  <c r="EK342" i="30"/>
  <c r="EL342" i="30"/>
  <c r="EM342" i="30"/>
  <c r="EN342" i="30"/>
  <c r="EO342" i="30"/>
  <c r="EP342" i="30"/>
  <c r="EQ342" i="30"/>
  <c r="ER342" i="30"/>
  <c r="ES342" i="30"/>
  <c r="ET342" i="30"/>
  <c r="EU342" i="30"/>
  <c r="EV342" i="30"/>
  <c r="EW342" i="30"/>
  <c r="EX342" i="30"/>
  <c r="EY342" i="30"/>
  <c r="EZ342" i="30"/>
  <c r="FA342" i="30"/>
  <c r="FB342" i="30"/>
  <c r="FC342" i="30"/>
  <c r="FD342" i="30"/>
  <c r="FE342" i="30"/>
  <c r="FF342" i="30"/>
  <c r="FG342" i="30"/>
  <c r="FH342" i="30"/>
  <c r="FI342" i="30"/>
  <c r="FJ342" i="30"/>
  <c r="FK342" i="30"/>
  <c r="FL342" i="30"/>
  <c r="FM342" i="30"/>
  <c r="FN342" i="30"/>
  <c r="FO342" i="30"/>
  <c r="FP342" i="30"/>
  <c r="FQ342" i="30"/>
  <c r="FR342" i="30"/>
  <c r="FS342" i="30"/>
  <c r="FT342" i="30"/>
  <c r="FU342" i="30"/>
  <c r="FV342" i="30"/>
  <c r="FW342" i="30"/>
  <c r="FX342" i="30"/>
  <c r="FY342" i="30"/>
  <c r="FZ342" i="30"/>
  <c r="GA342" i="30"/>
  <c r="GB342" i="30"/>
  <c r="GC342" i="30"/>
  <c r="GD342" i="30"/>
  <c r="GE342" i="30"/>
  <c r="GF342" i="30"/>
  <c r="GG342" i="30"/>
  <c r="GH342" i="30"/>
  <c r="GI342" i="30"/>
  <c r="GJ342" i="30"/>
  <c r="GK342" i="30"/>
  <c r="GL342" i="30"/>
  <c r="GM342" i="30"/>
  <c r="GN342" i="30"/>
  <c r="GO342" i="30"/>
  <c r="GP342" i="30"/>
  <c r="GQ342" i="30"/>
  <c r="GR342" i="30"/>
  <c r="GS342" i="30"/>
  <c r="GT342" i="30"/>
  <c r="GU342" i="30"/>
  <c r="GV342" i="30"/>
  <c r="GW342" i="30"/>
  <c r="GX342" i="30"/>
  <c r="GY342" i="30"/>
  <c r="GZ342" i="30"/>
  <c r="HA342" i="30"/>
  <c r="HB342" i="30"/>
  <c r="HC342" i="30"/>
  <c r="HD342" i="30"/>
  <c r="HE342" i="30"/>
  <c r="HF342" i="30"/>
  <c r="HG342" i="30"/>
  <c r="HH342" i="30"/>
  <c r="HI342" i="30"/>
  <c r="HJ342" i="30"/>
  <c r="HK342" i="30"/>
  <c r="HL342" i="30"/>
  <c r="HM342" i="30"/>
  <c r="HN342" i="30"/>
  <c r="HO342" i="30"/>
  <c r="HP342" i="30"/>
  <c r="HQ342" i="30"/>
  <c r="HR342" i="30"/>
  <c r="HS342" i="30"/>
  <c r="HT342" i="30"/>
  <c r="HU342" i="30"/>
  <c r="HV342" i="30"/>
  <c r="HW342" i="30"/>
  <c r="HX342" i="30"/>
  <c r="HY342" i="30"/>
  <c r="HZ342" i="30"/>
  <c r="IA342" i="30"/>
  <c r="IB342" i="30"/>
  <c r="IC342" i="30"/>
  <c r="ID342" i="30"/>
  <c r="IE342" i="30"/>
  <c r="IF342" i="30"/>
  <c r="IG342" i="30"/>
  <c r="IH342" i="30"/>
  <c r="II342" i="30"/>
  <c r="IJ342" i="30"/>
  <c r="IK342" i="30"/>
  <c r="IL342" i="30"/>
  <c r="IM342" i="30"/>
  <c r="IN342" i="30"/>
  <c r="IO342" i="30"/>
  <c r="IP342" i="30"/>
  <c r="IQ342" i="30"/>
  <c r="IR342" i="30"/>
  <c r="IS342" i="30"/>
  <c r="IT342" i="30"/>
  <c r="IU342" i="30"/>
  <c r="IV342" i="30"/>
  <c r="A341" i="30"/>
  <c r="B341" i="30"/>
  <c r="C341" i="30"/>
  <c r="D341" i="30"/>
  <c r="E341" i="30"/>
  <c r="F341" i="30"/>
  <c r="G341" i="30"/>
  <c r="H341" i="30"/>
  <c r="I341" i="30"/>
  <c r="J341" i="30"/>
  <c r="K341" i="30"/>
  <c r="L341" i="30"/>
  <c r="M341" i="30"/>
  <c r="N341" i="30"/>
  <c r="O341" i="30"/>
  <c r="P341" i="30"/>
  <c r="Q341" i="30"/>
  <c r="R341" i="30"/>
  <c r="S341" i="30"/>
  <c r="T341" i="30"/>
  <c r="U341" i="30"/>
  <c r="V341" i="30"/>
  <c r="W341" i="30"/>
  <c r="X341" i="30"/>
  <c r="Y341" i="30"/>
  <c r="Z341" i="30"/>
  <c r="AA341" i="30"/>
  <c r="AB341" i="30"/>
  <c r="AC341" i="30"/>
  <c r="AD341" i="30"/>
  <c r="AE341" i="30"/>
  <c r="AF341" i="30"/>
  <c r="AG341" i="30"/>
  <c r="AH341" i="30"/>
  <c r="AI341" i="30"/>
  <c r="AJ341" i="30"/>
  <c r="AK341" i="30"/>
  <c r="AL341" i="30"/>
  <c r="AM341" i="30"/>
  <c r="AN341" i="30"/>
  <c r="AO341" i="30"/>
  <c r="AP341" i="30"/>
  <c r="AQ341" i="30"/>
  <c r="AR341" i="30"/>
  <c r="AS341" i="30"/>
  <c r="AT341" i="30"/>
  <c r="AU341" i="30"/>
  <c r="AV341" i="30"/>
  <c r="AW341" i="30"/>
  <c r="AX341" i="30"/>
  <c r="AY341" i="30"/>
  <c r="AZ341" i="30"/>
  <c r="BA341" i="30"/>
  <c r="BB341" i="30"/>
  <c r="BC341" i="30"/>
  <c r="BD341" i="30"/>
  <c r="BE341" i="30"/>
  <c r="BF341" i="30"/>
  <c r="BG341" i="30"/>
  <c r="BH341" i="30"/>
  <c r="BI341" i="30"/>
  <c r="BJ341" i="30"/>
  <c r="BK341" i="30"/>
  <c r="BL341" i="30"/>
  <c r="BM341" i="30"/>
  <c r="BN341" i="30"/>
  <c r="BO341" i="30"/>
  <c r="BP341" i="30"/>
  <c r="BQ341" i="30"/>
  <c r="BR341" i="30"/>
  <c r="BS341" i="30"/>
  <c r="BT341" i="30"/>
  <c r="BU341" i="30"/>
  <c r="BV341" i="30"/>
  <c r="BW341" i="30"/>
  <c r="BX341" i="30"/>
  <c r="BY341" i="30"/>
  <c r="BZ341" i="30"/>
  <c r="CA341" i="30"/>
  <c r="CB341" i="30"/>
  <c r="CC341" i="30"/>
  <c r="CD341" i="30"/>
  <c r="CE341" i="30"/>
  <c r="CF341" i="30"/>
  <c r="CG341" i="30"/>
  <c r="CH341" i="30"/>
  <c r="CI341" i="30"/>
  <c r="CJ341" i="30"/>
  <c r="CK341" i="30"/>
  <c r="CL341" i="30"/>
  <c r="CM341" i="30"/>
  <c r="CN341" i="30"/>
  <c r="CO341" i="30"/>
  <c r="CP341" i="30"/>
  <c r="CQ341" i="30"/>
  <c r="CR341" i="30"/>
  <c r="CS341" i="30"/>
  <c r="CT341" i="30"/>
  <c r="CU341" i="30"/>
  <c r="CV341" i="30"/>
  <c r="CW341" i="30"/>
  <c r="CX341" i="30"/>
  <c r="CY341" i="30"/>
  <c r="CZ341" i="30"/>
  <c r="DA341" i="30"/>
  <c r="DB341" i="30"/>
  <c r="DC341" i="30"/>
  <c r="DD341" i="30"/>
  <c r="DE341" i="30"/>
  <c r="DF341" i="30"/>
  <c r="DG341" i="30"/>
  <c r="DH341" i="30"/>
  <c r="DI341" i="30"/>
  <c r="DJ341" i="30"/>
  <c r="DK341" i="30"/>
  <c r="DL341" i="30"/>
  <c r="DM341" i="30"/>
  <c r="DN341" i="30"/>
  <c r="DO341" i="30"/>
  <c r="DP341" i="30"/>
  <c r="DQ341" i="30"/>
  <c r="DR341" i="30"/>
  <c r="DS341" i="30"/>
  <c r="DT341" i="30"/>
  <c r="DU341" i="30"/>
  <c r="DV341" i="30"/>
  <c r="DW341" i="30"/>
  <c r="DX341" i="30"/>
  <c r="DY341" i="30"/>
  <c r="DZ341" i="30"/>
  <c r="EA341" i="30"/>
  <c r="EB341" i="30"/>
  <c r="EC341" i="30"/>
  <c r="ED341" i="30"/>
  <c r="EE341" i="30"/>
  <c r="EF341" i="30"/>
  <c r="EG341" i="30"/>
  <c r="EH341" i="30"/>
  <c r="EI341" i="30"/>
  <c r="EJ341" i="30"/>
  <c r="EK341" i="30"/>
  <c r="EL341" i="30"/>
  <c r="EM341" i="30"/>
  <c r="EN341" i="30"/>
  <c r="EO341" i="30"/>
  <c r="EP341" i="30"/>
  <c r="EQ341" i="30"/>
  <c r="ER341" i="30"/>
  <c r="ES341" i="30"/>
  <c r="ET341" i="30"/>
  <c r="EU341" i="30"/>
  <c r="EV341" i="30"/>
  <c r="EW341" i="30"/>
  <c r="EX341" i="30"/>
  <c r="EY341" i="30"/>
  <c r="EZ341" i="30"/>
  <c r="FA341" i="30"/>
  <c r="FB341" i="30"/>
  <c r="FC341" i="30"/>
  <c r="FD341" i="30"/>
  <c r="FE341" i="30"/>
  <c r="FF341" i="30"/>
  <c r="FG341" i="30"/>
  <c r="FH341" i="30"/>
  <c r="FI341" i="30"/>
  <c r="FJ341" i="30"/>
  <c r="FK341" i="30"/>
  <c r="FL341" i="30"/>
  <c r="FM341" i="30"/>
  <c r="FN341" i="30"/>
  <c r="FO341" i="30"/>
  <c r="FP341" i="30"/>
  <c r="FQ341" i="30"/>
  <c r="FR341" i="30"/>
  <c r="FS341" i="30"/>
  <c r="FT341" i="30"/>
  <c r="FU341" i="30"/>
  <c r="FV341" i="30"/>
  <c r="FW341" i="30"/>
  <c r="FX341" i="30"/>
  <c r="FY341" i="30"/>
  <c r="FZ341" i="30"/>
  <c r="GA341" i="30"/>
  <c r="GB341" i="30"/>
  <c r="GC341" i="30"/>
  <c r="GD341" i="30"/>
  <c r="GE341" i="30"/>
  <c r="GF341" i="30"/>
  <c r="GG341" i="30"/>
  <c r="GH341" i="30"/>
  <c r="GI341" i="30"/>
  <c r="GJ341" i="30"/>
  <c r="GK341" i="30"/>
  <c r="GL341" i="30"/>
  <c r="GM341" i="30"/>
  <c r="GN341" i="30"/>
  <c r="GO341" i="30"/>
  <c r="GP341" i="30"/>
  <c r="GQ341" i="30"/>
  <c r="GR341" i="30"/>
  <c r="GS341" i="30"/>
  <c r="GT341" i="30"/>
  <c r="GU341" i="30"/>
  <c r="GV341" i="30"/>
  <c r="GW341" i="30"/>
  <c r="GX341" i="30"/>
  <c r="GY341" i="30"/>
  <c r="GZ341" i="30"/>
  <c r="HA341" i="30"/>
  <c r="HB341" i="30"/>
  <c r="HC341" i="30"/>
  <c r="HD341" i="30"/>
  <c r="HE341" i="30"/>
  <c r="HF341" i="30"/>
  <c r="HG341" i="30"/>
  <c r="HH341" i="30"/>
  <c r="HI341" i="30"/>
  <c r="HJ341" i="30"/>
  <c r="HK341" i="30"/>
  <c r="HL341" i="30"/>
  <c r="HM341" i="30"/>
  <c r="HN341" i="30"/>
  <c r="HO341" i="30"/>
  <c r="HP341" i="30"/>
  <c r="HQ341" i="30"/>
  <c r="HR341" i="30"/>
  <c r="HS341" i="30"/>
  <c r="HT341" i="30"/>
  <c r="HU341" i="30"/>
  <c r="HV341" i="30"/>
  <c r="HW341" i="30"/>
  <c r="HX341" i="30"/>
  <c r="HY341" i="30"/>
  <c r="HZ341" i="30"/>
  <c r="IA341" i="30"/>
  <c r="IB341" i="30"/>
  <c r="IC341" i="30"/>
  <c r="ID341" i="30"/>
  <c r="IE341" i="30"/>
  <c r="IF341" i="30"/>
  <c r="IG341" i="30"/>
  <c r="IH341" i="30"/>
  <c r="II341" i="30"/>
  <c r="IJ341" i="30"/>
  <c r="IK341" i="30"/>
  <c r="IL341" i="30"/>
  <c r="IM341" i="30"/>
  <c r="IN341" i="30"/>
  <c r="IO341" i="30"/>
  <c r="IP341" i="30"/>
  <c r="IQ341" i="30"/>
  <c r="IR341" i="30"/>
  <c r="IS341" i="30"/>
  <c r="IT341" i="30"/>
  <c r="IU341" i="30"/>
  <c r="IV341" i="30"/>
  <c r="A340" i="30"/>
  <c r="B340" i="30"/>
  <c r="C340" i="30"/>
  <c r="D340" i="30"/>
  <c r="E340" i="30"/>
  <c r="F340" i="30"/>
  <c r="G340" i="30"/>
  <c r="H340" i="30"/>
  <c r="I340" i="30"/>
  <c r="J340" i="30"/>
  <c r="K340" i="30"/>
  <c r="L340" i="30"/>
  <c r="M340" i="30"/>
  <c r="N340" i="30"/>
  <c r="O340" i="30"/>
  <c r="P340" i="30"/>
  <c r="Q340" i="30"/>
  <c r="R340" i="30"/>
  <c r="S340" i="30"/>
  <c r="T340" i="30"/>
  <c r="U340" i="30"/>
  <c r="V340" i="30"/>
  <c r="W340" i="30"/>
  <c r="X340" i="30"/>
  <c r="Y340" i="30"/>
  <c r="Z340" i="30"/>
  <c r="AA340" i="30"/>
  <c r="AB340" i="30"/>
  <c r="AC340" i="30"/>
  <c r="AD340" i="30"/>
  <c r="AE340" i="30"/>
  <c r="AF340" i="30"/>
  <c r="AG340" i="30"/>
  <c r="AH340" i="30"/>
  <c r="AI340" i="30"/>
  <c r="AJ340" i="30"/>
  <c r="AK340" i="30"/>
  <c r="AL340" i="30"/>
  <c r="AM340" i="30"/>
  <c r="AN340" i="30"/>
  <c r="AO340" i="30"/>
  <c r="AP340" i="30"/>
  <c r="AQ340" i="30"/>
  <c r="AR340" i="30"/>
  <c r="AS340" i="30"/>
  <c r="AT340" i="30"/>
  <c r="AU340" i="30"/>
  <c r="AV340" i="30"/>
  <c r="AW340" i="30"/>
  <c r="AX340" i="30"/>
  <c r="AY340" i="30"/>
  <c r="AZ340" i="30"/>
  <c r="BA340" i="30"/>
  <c r="BB340" i="30"/>
  <c r="BC340" i="30"/>
  <c r="BD340" i="30"/>
  <c r="BE340" i="30"/>
  <c r="BF340" i="30"/>
  <c r="BG340" i="30"/>
  <c r="BH340" i="30"/>
  <c r="BI340" i="30"/>
  <c r="BJ340" i="30"/>
  <c r="BK340" i="30"/>
  <c r="BL340" i="30"/>
  <c r="BM340" i="30"/>
  <c r="BN340" i="30"/>
  <c r="BO340" i="30"/>
  <c r="BP340" i="30"/>
  <c r="BQ340" i="30"/>
  <c r="BR340" i="30"/>
  <c r="BS340" i="30"/>
  <c r="BT340" i="30"/>
  <c r="BU340" i="30"/>
  <c r="BV340" i="30"/>
  <c r="BW340" i="30"/>
  <c r="BX340" i="30"/>
  <c r="BY340" i="30"/>
  <c r="BZ340" i="30"/>
  <c r="CA340" i="30"/>
  <c r="CB340" i="30"/>
  <c r="CC340" i="30"/>
  <c r="CD340" i="30"/>
  <c r="CE340" i="30"/>
  <c r="CF340" i="30"/>
  <c r="CG340" i="30"/>
  <c r="CH340" i="30"/>
  <c r="CI340" i="30"/>
  <c r="CJ340" i="30"/>
  <c r="CK340" i="30"/>
  <c r="CL340" i="30"/>
  <c r="CM340" i="30"/>
  <c r="CN340" i="30"/>
  <c r="CO340" i="30"/>
  <c r="CP340" i="30"/>
  <c r="CQ340" i="30"/>
  <c r="CR340" i="30"/>
  <c r="CS340" i="30"/>
  <c r="CT340" i="30"/>
  <c r="CU340" i="30"/>
  <c r="CV340" i="30"/>
  <c r="CW340" i="30"/>
  <c r="CX340" i="30"/>
  <c r="CY340" i="30"/>
  <c r="CZ340" i="30"/>
  <c r="DA340" i="30"/>
  <c r="DB340" i="30"/>
  <c r="DC340" i="30"/>
  <c r="DD340" i="30"/>
  <c r="DE340" i="30"/>
  <c r="DF340" i="30"/>
  <c r="DG340" i="30"/>
  <c r="DH340" i="30"/>
  <c r="DI340" i="30"/>
  <c r="DJ340" i="30"/>
  <c r="DK340" i="30"/>
  <c r="DL340" i="30"/>
  <c r="DM340" i="30"/>
  <c r="DN340" i="30"/>
  <c r="DO340" i="30"/>
  <c r="DP340" i="30"/>
  <c r="DQ340" i="30"/>
  <c r="DR340" i="30"/>
  <c r="DS340" i="30"/>
  <c r="DT340" i="30"/>
  <c r="DU340" i="30"/>
  <c r="DV340" i="30"/>
  <c r="DW340" i="30"/>
  <c r="DX340" i="30"/>
  <c r="DY340" i="30"/>
  <c r="DZ340" i="30"/>
  <c r="EA340" i="30"/>
  <c r="EB340" i="30"/>
  <c r="EC340" i="30"/>
  <c r="ED340" i="30"/>
  <c r="EE340" i="30"/>
  <c r="EF340" i="30"/>
  <c r="EG340" i="30"/>
  <c r="EH340" i="30"/>
  <c r="EI340" i="30"/>
  <c r="EJ340" i="30"/>
  <c r="EK340" i="30"/>
  <c r="EL340" i="30"/>
  <c r="EM340" i="30"/>
  <c r="EN340" i="30"/>
  <c r="EO340" i="30"/>
  <c r="EP340" i="30"/>
  <c r="EQ340" i="30"/>
  <c r="ER340" i="30"/>
  <c r="ES340" i="30"/>
  <c r="ET340" i="30"/>
  <c r="EU340" i="30"/>
  <c r="EV340" i="30"/>
  <c r="EW340" i="30"/>
  <c r="EX340" i="30"/>
  <c r="EY340" i="30"/>
  <c r="EZ340" i="30"/>
  <c r="FA340" i="30"/>
  <c r="FB340" i="30"/>
  <c r="FC340" i="30"/>
  <c r="FD340" i="30"/>
  <c r="FE340" i="30"/>
  <c r="FF340" i="30"/>
  <c r="FG340" i="30"/>
  <c r="FH340" i="30"/>
  <c r="FI340" i="30"/>
  <c r="FJ340" i="30"/>
  <c r="FK340" i="30"/>
  <c r="FL340" i="30"/>
  <c r="FM340" i="30"/>
  <c r="FN340" i="30"/>
  <c r="FO340" i="30"/>
  <c r="FP340" i="30"/>
  <c r="FQ340" i="30"/>
  <c r="FR340" i="30"/>
  <c r="FS340" i="30"/>
  <c r="FT340" i="30"/>
  <c r="FU340" i="30"/>
  <c r="FV340" i="30"/>
  <c r="FW340" i="30"/>
  <c r="FX340" i="30"/>
  <c r="FY340" i="30"/>
  <c r="FZ340" i="30"/>
  <c r="GA340" i="30"/>
  <c r="GB340" i="30"/>
  <c r="GC340" i="30"/>
  <c r="GD340" i="30"/>
  <c r="GE340" i="30"/>
  <c r="GF340" i="30"/>
  <c r="GG340" i="30"/>
  <c r="GH340" i="30"/>
  <c r="GI340" i="30"/>
  <c r="GJ340" i="30"/>
  <c r="GK340" i="30"/>
  <c r="GL340" i="30"/>
  <c r="GM340" i="30"/>
  <c r="GN340" i="30"/>
  <c r="GO340" i="30"/>
  <c r="GP340" i="30"/>
  <c r="GQ340" i="30"/>
  <c r="GR340" i="30"/>
  <c r="GS340" i="30"/>
  <c r="GT340" i="30"/>
  <c r="GU340" i="30"/>
  <c r="GV340" i="30"/>
  <c r="GW340" i="30"/>
  <c r="GX340" i="30"/>
  <c r="GY340" i="30"/>
  <c r="GZ340" i="30"/>
  <c r="HA340" i="30"/>
  <c r="HB340" i="30"/>
  <c r="HC340" i="30"/>
  <c r="HD340" i="30"/>
  <c r="HE340" i="30"/>
  <c r="HF340" i="30"/>
  <c r="HG340" i="30"/>
  <c r="HH340" i="30"/>
  <c r="HI340" i="30"/>
  <c r="HJ340" i="30"/>
  <c r="HK340" i="30"/>
  <c r="HL340" i="30"/>
  <c r="HM340" i="30"/>
  <c r="HN340" i="30"/>
  <c r="HO340" i="30"/>
  <c r="HP340" i="30"/>
  <c r="HQ340" i="30"/>
  <c r="HR340" i="30"/>
  <c r="HS340" i="30"/>
  <c r="HT340" i="30"/>
  <c r="HU340" i="30"/>
  <c r="HV340" i="30"/>
  <c r="HW340" i="30"/>
  <c r="HX340" i="30"/>
  <c r="HY340" i="30"/>
  <c r="HZ340" i="30"/>
  <c r="IA340" i="30"/>
  <c r="IB340" i="30"/>
  <c r="IC340" i="30"/>
  <c r="ID340" i="30"/>
  <c r="IE340" i="30"/>
  <c r="IF340" i="30"/>
  <c r="IG340" i="30"/>
  <c r="IH340" i="30"/>
  <c r="II340" i="30"/>
  <c r="IJ340" i="30"/>
  <c r="IK340" i="30"/>
  <c r="IL340" i="30"/>
  <c r="IM340" i="30"/>
  <c r="IN340" i="30"/>
  <c r="IO340" i="30"/>
  <c r="IP340" i="30"/>
  <c r="IQ340" i="30"/>
  <c r="IR340" i="30"/>
  <c r="IS340" i="30"/>
  <c r="IT340" i="30"/>
  <c r="IU340" i="30"/>
  <c r="IV340" i="30"/>
  <c r="A339" i="30"/>
  <c r="B339" i="30"/>
  <c r="C339" i="30"/>
  <c r="D339" i="30"/>
  <c r="E339" i="30"/>
  <c r="F339" i="30"/>
  <c r="G339" i="30"/>
  <c r="H339" i="30"/>
  <c r="I339" i="30"/>
  <c r="J339" i="30"/>
  <c r="K339" i="30"/>
  <c r="L339" i="30"/>
  <c r="M339" i="30"/>
  <c r="N339" i="30"/>
  <c r="O339" i="30"/>
  <c r="P339" i="30"/>
  <c r="Q339" i="30"/>
  <c r="R339" i="30"/>
  <c r="S339" i="30"/>
  <c r="T339" i="30"/>
  <c r="U339" i="30"/>
  <c r="V339" i="30"/>
  <c r="W339" i="30"/>
  <c r="X339" i="30"/>
  <c r="Y339" i="30"/>
  <c r="Z339" i="30"/>
  <c r="AA339" i="30"/>
  <c r="AB339" i="30"/>
  <c r="AC339" i="30"/>
  <c r="AD339" i="30"/>
  <c r="AE339" i="30"/>
  <c r="AF339" i="30"/>
  <c r="AG339" i="30"/>
  <c r="AH339" i="30"/>
  <c r="AI339" i="30"/>
  <c r="AJ339" i="30"/>
  <c r="AK339" i="30"/>
  <c r="AL339" i="30"/>
  <c r="AM339" i="30"/>
  <c r="AN339" i="30"/>
  <c r="AO339" i="30"/>
  <c r="AP339" i="30"/>
  <c r="AQ339" i="30"/>
  <c r="AR339" i="30"/>
  <c r="AS339" i="30"/>
  <c r="AT339" i="30"/>
  <c r="AU339" i="30"/>
  <c r="AV339" i="30"/>
  <c r="AW339" i="30"/>
  <c r="AX339" i="30"/>
  <c r="AY339" i="30"/>
  <c r="AZ339" i="30"/>
  <c r="BA339" i="30"/>
  <c r="BB339" i="30"/>
  <c r="BC339" i="30"/>
  <c r="BD339" i="30"/>
  <c r="BE339" i="30"/>
  <c r="BF339" i="30"/>
  <c r="BG339" i="30"/>
  <c r="BH339" i="30"/>
  <c r="BI339" i="30"/>
  <c r="BJ339" i="30"/>
  <c r="BK339" i="30"/>
  <c r="BL339" i="30"/>
  <c r="BM339" i="30"/>
  <c r="BN339" i="30"/>
  <c r="BO339" i="30"/>
  <c r="BP339" i="30"/>
  <c r="BQ339" i="30"/>
  <c r="BR339" i="30"/>
  <c r="BS339" i="30"/>
  <c r="BT339" i="30"/>
  <c r="BU339" i="30"/>
  <c r="BV339" i="30"/>
  <c r="BW339" i="30"/>
  <c r="BX339" i="30"/>
  <c r="BY339" i="30"/>
  <c r="BZ339" i="30"/>
  <c r="CA339" i="30"/>
  <c r="CB339" i="30"/>
  <c r="CC339" i="30"/>
  <c r="CD339" i="30"/>
  <c r="CE339" i="30"/>
  <c r="CF339" i="30"/>
  <c r="CG339" i="30"/>
  <c r="CH339" i="30"/>
  <c r="CI339" i="30"/>
  <c r="CJ339" i="30"/>
  <c r="CK339" i="30"/>
  <c r="CL339" i="30"/>
  <c r="CM339" i="30"/>
  <c r="CN339" i="30"/>
  <c r="CO339" i="30"/>
  <c r="CP339" i="30"/>
  <c r="CQ339" i="30"/>
  <c r="CR339" i="30"/>
  <c r="CS339" i="30"/>
  <c r="CT339" i="30"/>
  <c r="CU339" i="30"/>
  <c r="CV339" i="30"/>
  <c r="CW339" i="30"/>
  <c r="CX339" i="30"/>
  <c r="CY339" i="30"/>
  <c r="CZ339" i="30"/>
  <c r="DA339" i="30"/>
  <c r="DB339" i="30"/>
  <c r="DC339" i="30"/>
  <c r="DD339" i="30"/>
  <c r="DE339" i="30"/>
  <c r="DF339" i="30"/>
  <c r="DG339" i="30"/>
  <c r="DH339" i="30"/>
  <c r="DI339" i="30"/>
  <c r="DJ339" i="30"/>
  <c r="DK339" i="30"/>
  <c r="DL339" i="30"/>
  <c r="DM339" i="30"/>
  <c r="DN339" i="30"/>
  <c r="DO339" i="30"/>
  <c r="DP339" i="30"/>
  <c r="DQ339" i="30"/>
  <c r="DR339" i="30"/>
  <c r="DS339" i="30"/>
  <c r="DT339" i="30"/>
  <c r="DU339" i="30"/>
  <c r="DV339" i="30"/>
  <c r="DW339" i="30"/>
  <c r="DX339" i="30"/>
  <c r="DY339" i="30"/>
  <c r="DZ339" i="30"/>
  <c r="EA339" i="30"/>
  <c r="EB339" i="30"/>
  <c r="EC339" i="30"/>
  <c r="ED339" i="30"/>
  <c r="EE339" i="30"/>
  <c r="EF339" i="30"/>
  <c r="EG339" i="30"/>
  <c r="EH339" i="30"/>
  <c r="EI339" i="30"/>
  <c r="EJ339" i="30"/>
  <c r="EK339" i="30"/>
  <c r="EL339" i="30"/>
  <c r="EM339" i="30"/>
  <c r="EN339" i="30"/>
  <c r="EO339" i="30"/>
  <c r="EP339" i="30"/>
  <c r="EQ339" i="30"/>
  <c r="ER339" i="30"/>
  <c r="ES339" i="30"/>
  <c r="ET339" i="30"/>
  <c r="EU339" i="30"/>
  <c r="EV339" i="30"/>
  <c r="EW339" i="30"/>
  <c r="EX339" i="30"/>
  <c r="EY339" i="30"/>
  <c r="EZ339" i="30"/>
  <c r="FA339" i="30"/>
  <c r="FB339" i="30"/>
  <c r="FC339" i="30"/>
  <c r="FD339" i="30"/>
  <c r="FE339" i="30"/>
  <c r="FF339" i="30"/>
  <c r="FG339" i="30"/>
  <c r="FH339" i="30"/>
  <c r="FI339" i="30"/>
  <c r="FJ339" i="30"/>
  <c r="FK339" i="30"/>
  <c r="FL339" i="30"/>
  <c r="FM339" i="30"/>
  <c r="FN339" i="30"/>
  <c r="FO339" i="30"/>
  <c r="FP339" i="30"/>
  <c r="FQ339" i="30"/>
  <c r="FR339" i="30"/>
  <c r="FS339" i="30"/>
  <c r="FT339" i="30"/>
  <c r="FU339" i="30"/>
  <c r="FV339" i="30"/>
  <c r="FW339" i="30"/>
  <c r="FX339" i="30"/>
  <c r="FY339" i="30"/>
  <c r="FZ339" i="30"/>
  <c r="GA339" i="30"/>
  <c r="GB339" i="30"/>
  <c r="GC339" i="30"/>
  <c r="GD339" i="30"/>
  <c r="GE339" i="30"/>
  <c r="GF339" i="30"/>
  <c r="GG339" i="30"/>
  <c r="GH339" i="30"/>
  <c r="GI339" i="30"/>
  <c r="GJ339" i="30"/>
  <c r="GK339" i="30"/>
  <c r="GL339" i="30"/>
  <c r="GM339" i="30"/>
  <c r="GN339" i="30"/>
  <c r="GO339" i="30"/>
  <c r="GP339" i="30"/>
  <c r="GQ339" i="30"/>
  <c r="GR339" i="30"/>
  <c r="GS339" i="30"/>
  <c r="GT339" i="30"/>
  <c r="GU339" i="30"/>
  <c r="GV339" i="30"/>
  <c r="GW339" i="30"/>
  <c r="GX339" i="30"/>
  <c r="GY339" i="30"/>
  <c r="GZ339" i="30"/>
  <c r="HA339" i="30"/>
  <c r="HB339" i="30"/>
  <c r="HC339" i="30"/>
  <c r="HD339" i="30"/>
  <c r="HE339" i="30"/>
  <c r="HF339" i="30"/>
  <c r="HG339" i="30"/>
  <c r="HH339" i="30"/>
  <c r="HI339" i="30"/>
  <c r="HJ339" i="30"/>
  <c r="HK339" i="30"/>
  <c r="HL339" i="30"/>
  <c r="HM339" i="30"/>
  <c r="HN339" i="30"/>
  <c r="HO339" i="30"/>
  <c r="HP339" i="30"/>
  <c r="HQ339" i="30"/>
  <c r="HR339" i="30"/>
  <c r="HS339" i="30"/>
  <c r="HT339" i="30"/>
  <c r="HU339" i="30"/>
  <c r="HV339" i="30"/>
  <c r="HW339" i="30"/>
  <c r="HX339" i="30"/>
  <c r="HY339" i="30"/>
  <c r="HZ339" i="30"/>
  <c r="IA339" i="30"/>
  <c r="IB339" i="30"/>
  <c r="IC339" i="30"/>
  <c r="ID339" i="30"/>
  <c r="IE339" i="30"/>
  <c r="IF339" i="30"/>
  <c r="IG339" i="30"/>
  <c r="IH339" i="30"/>
  <c r="II339" i="30"/>
  <c r="IJ339" i="30"/>
  <c r="IK339" i="30"/>
  <c r="IL339" i="30"/>
  <c r="IM339" i="30"/>
  <c r="IN339" i="30"/>
  <c r="IO339" i="30"/>
  <c r="IP339" i="30"/>
  <c r="IQ339" i="30"/>
  <c r="IR339" i="30"/>
  <c r="IS339" i="30"/>
  <c r="IT339" i="30"/>
  <c r="IU339" i="30"/>
  <c r="IV339" i="30"/>
  <c r="A338" i="30"/>
  <c r="B338" i="30"/>
  <c r="C338" i="30"/>
  <c r="D338" i="30"/>
  <c r="E338" i="30"/>
  <c r="F338" i="30"/>
  <c r="G338" i="30"/>
  <c r="H338" i="30"/>
  <c r="I338" i="30"/>
  <c r="J338" i="30"/>
  <c r="K338" i="30"/>
  <c r="L338" i="30"/>
  <c r="M338" i="30"/>
  <c r="N338" i="30"/>
  <c r="O338" i="30"/>
  <c r="P338" i="30"/>
  <c r="Q338" i="30"/>
  <c r="R338" i="30"/>
  <c r="S338" i="30"/>
  <c r="T338" i="30"/>
  <c r="U338" i="30"/>
  <c r="V338" i="30"/>
  <c r="W338" i="30"/>
  <c r="X338" i="30"/>
  <c r="Y338" i="30"/>
  <c r="Z338" i="30"/>
  <c r="AA338" i="30"/>
  <c r="AB338" i="30"/>
  <c r="AC338" i="30"/>
  <c r="AD338" i="30"/>
  <c r="AE338" i="30"/>
  <c r="AF338" i="30"/>
  <c r="AG338" i="30"/>
  <c r="AH338" i="30"/>
  <c r="AI338" i="30"/>
  <c r="AJ338" i="30"/>
  <c r="AK338" i="30"/>
  <c r="AL338" i="30"/>
  <c r="AM338" i="30"/>
  <c r="AN338" i="30"/>
  <c r="AO338" i="30"/>
  <c r="AP338" i="30"/>
  <c r="AQ338" i="30"/>
  <c r="AR338" i="30"/>
  <c r="AS338" i="30"/>
  <c r="AT338" i="30"/>
  <c r="AU338" i="30"/>
  <c r="AV338" i="30"/>
  <c r="AW338" i="30"/>
  <c r="AX338" i="30"/>
  <c r="AY338" i="30"/>
  <c r="AZ338" i="30"/>
  <c r="BA338" i="30"/>
  <c r="BB338" i="30"/>
  <c r="BC338" i="30"/>
  <c r="BD338" i="30"/>
  <c r="BE338" i="30"/>
  <c r="BF338" i="30"/>
  <c r="BG338" i="30"/>
  <c r="BH338" i="30"/>
  <c r="BI338" i="30"/>
  <c r="BJ338" i="30"/>
  <c r="BK338" i="30"/>
  <c r="BL338" i="30"/>
  <c r="BM338" i="30"/>
  <c r="BN338" i="30"/>
  <c r="BO338" i="30"/>
  <c r="BP338" i="30"/>
  <c r="BQ338" i="30"/>
  <c r="BR338" i="30"/>
  <c r="BS338" i="30"/>
  <c r="BT338" i="30"/>
  <c r="BU338" i="30"/>
  <c r="BV338" i="30"/>
  <c r="BW338" i="30"/>
  <c r="BX338" i="30"/>
  <c r="BY338" i="30"/>
  <c r="BZ338" i="30"/>
  <c r="CA338" i="30"/>
  <c r="CB338" i="30"/>
  <c r="CC338" i="30"/>
  <c r="CD338" i="30"/>
  <c r="CE338" i="30"/>
  <c r="CF338" i="30"/>
  <c r="CG338" i="30"/>
  <c r="CH338" i="30"/>
  <c r="CI338" i="30"/>
  <c r="CJ338" i="30"/>
  <c r="CK338" i="30"/>
  <c r="CL338" i="30"/>
  <c r="CM338" i="30"/>
  <c r="CN338" i="30"/>
  <c r="CO338" i="30"/>
  <c r="CP338" i="30"/>
  <c r="CQ338" i="30"/>
  <c r="CR338" i="30"/>
  <c r="CS338" i="30"/>
  <c r="CT338" i="30"/>
  <c r="CU338" i="30"/>
  <c r="CV338" i="30"/>
  <c r="CW338" i="30"/>
  <c r="CX338" i="30"/>
  <c r="CY338" i="30"/>
  <c r="CZ338" i="30"/>
  <c r="DA338" i="30"/>
  <c r="DB338" i="30"/>
  <c r="DC338" i="30"/>
  <c r="DD338" i="30"/>
  <c r="DE338" i="30"/>
  <c r="DF338" i="30"/>
  <c r="DG338" i="30"/>
  <c r="DH338" i="30"/>
  <c r="DI338" i="30"/>
  <c r="DJ338" i="30"/>
  <c r="DK338" i="30"/>
  <c r="DL338" i="30"/>
  <c r="DM338" i="30"/>
  <c r="DN338" i="30"/>
  <c r="DO338" i="30"/>
  <c r="DP338" i="30"/>
  <c r="DQ338" i="30"/>
  <c r="DR338" i="30"/>
  <c r="DS338" i="30"/>
  <c r="DT338" i="30"/>
  <c r="DU338" i="30"/>
  <c r="DV338" i="30"/>
  <c r="DW338" i="30"/>
  <c r="DX338" i="30"/>
  <c r="DY338" i="30"/>
  <c r="DZ338" i="30"/>
  <c r="EA338" i="30"/>
  <c r="EB338" i="30"/>
  <c r="EC338" i="30"/>
  <c r="ED338" i="30"/>
  <c r="EE338" i="30"/>
  <c r="EF338" i="30"/>
  <c r="EG338" i="30"/>
  <c r="EH338" i="30"/>
  <c r="EI338" i="30"/>
  <c r="EJ338" i="30"/>
  <c r="EK338" i="30"/>
  <c r="EL338" i="30"/>
  <c r="EM338" i="30"/>
  <c r="EN338" i="30"/>
  <c r="EO338" i="30"/>
  <c r="EP338" i="30"/>
  <c r="EQ338" i="30"/>
  <c r="ER338" i="30"/>
  <c r="ES338" i="30"/>
  <c r="ET338" i="30"/>
  <c r="EU338" i="30"/>
  <c r="EV338" i="30"/>
  <c r="EW338" i="30"/>
  <c r="EX338" i="30"/>
  <c r="EY338" i="30"/>
  <c r="EZ338" i="30"/>
  <c r="FA338" i="30"/>
  <c r="FB338" i="30"/>
  <c r="FC338" i="30"/>
  <c r="FD338" i="30"/>
  <c r="FE338" i="30"/>
  <c r="FF338" i="30"/>
  <c r="FG338" i="30"/>
  <c r="FH338" i="30"/>
  <c r="FI338" i="30"/>
  <c r="FJ338" i="30"/>
  <c r="FK338" i="30"/>
  <c r="FL338" i="30"/>
  <c r="FM338" i="30"/>
  <c r="FN338" i="30"/>
  <c r="FO338" i="30"/>
  <c r="FP338" i="30"/>
  <c r="FQ338" i="30"/>
  <c r="FR338" i="30"/>
  <c r="FS338" i="30"/>
  <c r="FT338" i="30"/>
  <c r="FU338" i="30"/>
  <c r="FV338" i="30"/>
  <c r="FW338" i="30"/>
  <c r="FX338" i="30"/>
  <c r="FY338" i="30"/>
  <c r="FZ338" i="30"/>
  <c r="GA338" i="30"/>
  <c r="GB338" i="30"/>
  <c r="GC338" i="30"/>
  <c r="GD338" i="30"/>
  <c r="GE338" i="30"/>
  <c r="GF338" i="30"/>
  <c r="GG338" i="30"/>
  <c r="GH338" i="30"/>
  <c r="GI338" i="30"/>
  <c r="GJ338" i="30"/>
  <c r="GK338" i="30"/>
  <c r="GL338" i="30"/>
  <c r="GM338" i="30"/>
  <c r="GN338" i="30"/>
  <c r="GO338" i="30"/>
  <c r="GP338" i="30"/>
  <c r="GQ338" i="30"/>
  <c r="GR338" i="30"/>
  <c r="GS338" i="30"/>
  <c r="GT338" i="30"/>
  <c r="GU338" i="30"/>
  <c r="GV338" i="30"/>
  <c r="GW338" i="30"/>
  <c r="GX338" i="30"/>
  <c r="GY338" i="30"/>
  <c r="GZ338" i="30"/>
  <c r="HA338" i="30"/>
  <c r="HB338" i="30"/>
  <c r="HC338" i="30"/>
  <c r="HD338" i="30"/>
  <c r="HE338" i="30"/>
  <c r="HF338" i="30"/>
  <c r="HG338" i="30"/>
  <c r="HH338" i="30"/>
  <c r="HI338" i="30"/>
  <c r="HJ338" i="30"/>
  <c r="HK338" i="30"/>
  <c r="HL338" i="30"/>
  <c r="HM338" i="30"/>
  <c r="HN338" i="30"/>
  <c r="HO338" i="30"/>
  <c r="HP338" i="30"/>
  <c r="HQ338" i="30"/>
  <c r="HR338" i="30"/>
  <c r="HS338" i="30"/>
  <c r="HT338" i="30"/>
  <c r="HU338" i="30"/>
  <c r="HV338" i="30"/>
  <c r="HW338" i="30"/>
  <c r="HX338" i="30"/>
  <c r="HY338" i="30"/>
  <c r="HZ338" i="30"/>
  <c r="IA338" i="30"/>
  <c r="IB338" i="30"/>
  <c r="IC338" i="30"/>
  <c r="ID338" i="30"/>
  <c r="IE338" i="30"/>
  <c r="IF338" i="30"/>
  <c r="IG338" i="30"/>
  <c r="IH338" i="30"/>
  <c r="II338" i="30"/>
  <c r="IJ338" i="30"/>
  <c r="IK338" i="30"/>
  <c r="IL338" i="30"/>
  <c r="IM338" i="30"/>
  <c r="IN338" i="30"/>
  <c r="IO338" i="30"/>
  <c r="IP338" i="30"/>
  <c r="IQ338" i="30"/>
  <c r="IR338" i="30"/>
  <c r="IS338" i="30"/>
  <c r="IT338" i="30"/>
  <c r="IU338" i="30"/>
  <c r="IV338" i="30"/>
  <c r="A337" i="30"/>
  <c r="B337" i="30"/>
  <c r="C337" i="30"/>
  <c r="D337" i="30"/>
  <c r="E337" i="30"/>
  <c r="F337" i="30"/>
  <c r="G337" i="30"/>
  <c r="H337" i="30"/>
  <c r="I337" i="30"/>
  <c r="J337" i="30"/>
  <c r="K337" i="30"/>
  <c r="L337" i="30"/>
  <c r="M337" i="30"/>
  <c r="N337" i="30"/>
  <c r="O337" i="30"/>
  <c r="P337" i="30"/>
  <c r="Q337" i="30"/>
  <c r="R337" i="30"/>
  <c r="S337" i="30"/>
  <c r="T337" i="30"/>
  <c r="U337" i="30"/>
  <c r="V337" i="30"/>
  <c r="W337" i="30"/>
  <c r="X337" i="30"/>
  <c r="Y337" i="30"/>
  <c r="Z337" i="30"/>
  <c r="AA337" i="30"/>
  <c r="AB337" i="30"/>
  <c r="AC337" i="30"/>
  <c r="AD337" i="30"/>
  <c r="AE337" i="30"/>
  <c r="AF337" i="30"/>
  <c r="AG337" i="30"/>
  <c r="AH337" i="30"/>
  <c r="AI337" i="30"/>
  <c r="AJ337" i="30"/>
  <c r="AK337" i="30"/>
  <c r="AL337" i="30"/>
  <c r="AM337" i="30"/>
  <c r="AN337" i="30"/>
  <c r="AO337" i="30"/>
  <c r="AP337" i="30"/>
  <c r="AQ337" i="30"/>
  <c r="AR337" i="30"/>
  <c r="AS337" i="30"/>
  <c r="AT337" i="30"/>
  <c r="AU337" i="30"/>
  <c r="AV337" i="30"/>
  <c r="AW337" i="30"/>
  <c r="AX337" i="30"/>
  <c r="AY337" i="30"/>
  <c r="AZ337" i="30"/>
  <c r="BA337" i="30"/>
  <c r="BB337" i="30"/>
  <c r="BC337" i="30"/>
  <c r="BD337" i="30"/>
  <c r="BE337" i="30"/>
  <c r="BF337" i="30"/>
  <c r="BG337" i="30"/>
  <c r="BH337" i="30"/>
  <c r="BI337" i="30"/>
  <c r="BJ337" i="30"/>
  <c r="BK337" i="30"/>
  <c r="BL337" i="30"/>
  <c r="BM337" i="30"/>
  <c r="BN337" i="30"/>
  <c r="BO337" i="30"/>
  <c r="BP337" i="30"/>
  <c r="BQ337" i="30"/>
  <c r="BR337" i="30"/>
  <c r="BS337" i="30"/>
  <c r="BT337" i="30"/>
  <c r="BU337" i="30"/>
  <c r="BV337" i="30"/>
  <c r="BW337" i="30"/>
  <c r="BX337" i="30"/>
  <c r="BY337" i="30"/>
  <c r="BZ337" i="30"/>
  <c r="CA337" i="30"/>
  <c r="CB337" i="30"/>
  <c r="CC337" i="30"/>
  <c r="CD337" i="30"/>
  <c r="CE337" i="30"/>
  <c r="CF337" i="30"/>
  <c r="CG337" i="30"/>
  <c r="CH337" i="30"/>
  <c r="CI337" i="30"/>
  <c r="CJ337" i="30"/>
  <c r="CK337" i="30"/>
  <c r="CL337" i="30"/>
  <c r="CM337" i="30"/>
  <c r="CN337" i="30"/>
  <c r="CO337" i="30"/>
  <c r="CP337" i="30"/>
  <c r="CQ337" i="30"/>
  <c r="CR337" i="30"/>
  <c r="CS337" i="30"/>
  <c r="CT337" i="30"/>
  <c r="CU337" i="30"/>
  <c r="CV337" i="30"/>
  <c r="CW337" i="30"/>
  <c r="CX337" i="30"/>
  <c r="CY337" i="30"/>
  <c r="CZ337" i="30"/>
  <c r="DA337" i="30"/>
  <c r="DB337" i="30"/>
  <c r="DC337" i="30"/>
  <c r="DD337" i="30"/>
  <c r="DE337" i="30"/>
  <c r="DF337" i="30"/>
  <c r="DG337" i="30"/>
  <c r="DH337" i="30"/>
  <c r="DI337" i="30"/>
  <c r="DJ337" i="30"/>
  <c r="DK337" i="30"/>
  <c r="DL337" i="30"/>
  <c r="DM337" i="30"/>
  <c r="DN337" i="30"/>
  <c r="DO337" i="30"/>
  <c r="DP337" i="30"/>
  <c r="DQ337" i="30"/>
  <c r="DR337" i="30"/>
  <c r="DS337" i="30"/>
  <c r="DT337" i="30"/>
  <c r="DU337" i="30"/>
  <c r="DV337" i="30"/>
  <c r="DW337" i="30"/>
  <c r="DX337" i="30"/>
  <c r="DY337" i="30"/>
  <c r="DZ337" i="30"/>
  <c r="EA337" i="30"/>
  <c r="EB337" i="30"/>
  <c r="EC337" i="30"/>
  <c r="ED337" i="30"/>
  <c r="EE337" i="30"/>
  <c r="EF337" i="30"/>
  <c r="EG337" i="30"/>
  <c r="EH337" i="30"/>
  <c r="EI337" i="30"/>
  <c r="EJ337" i="30"/>
  <c r="EK337" i="30"/>
  <c r="EL337" i="30"/>
  <c r="EM337" i="30"/>
  <c r="EN337" i="30"/>
  <c r="EO337" i="30"/>
  <c r="EP337" i="30"/>
  <c r="EQ337" i="30"/>
  <c r="ER337" i="30"/>
  <c r="ES337" i="30"/>
  <c r="ET337" i="30"/>
  <c r="EU337" i="30"/>
  <c r="EV337" i="30"/>
  <c r="EW337" i="30"/>
  <c r="EX337" i="30"/>
  <c r="EY337" i="30"/>
  <c r="EZ337" i="30"/>
  <c r="FA337" i="30"/>
  <c r="FB337" i="30"/>
  <c r="FC337" i="30"/>
  <c r="FD337" i="30"/>
  <c r="FE337" i="30"/>
  <c r="FF337" i="30"/>
  <c r="FG337" i="30"/>
  <c r="FH337" i="30"/>
  <c r="FI337" i="30"/>
  <c r="FJ337" i="30"/>
  <c r="FK337" i="30"/>
  <c r="FL337" i="30"/>
  <c r="FM337" i="30"/>
  <c r="FN337" i="30"/>
  <c r="FO337" i="30"/>
  <c r="FP337" i="30"/>
  <c r="FQ337" i="30"/>
  <c r="FR337" i="30"/>
  <c r="FS337" i="30"/>
  <c r="FT337" i="30"/>
  <c r="FU337" i="30"/>
  <c r="FV337" i="30"/>
  <c r="FW337" i="30"/>
  <c r="FX337" i="30"/>
  <c r="FY337" i="30"/>
  <c r="FZ337" i="30"/>
  <c r="GA337" i="30"/>
  <c r="GB337" i="30"/>
  <c r="GC337" i="30"/>
  <c r="GD337" i="30"/>
  <c r="GE337" i="30"/>
  <c r="GF337" i="30"/>
  <c r="GG337" i="30"/>
  <c r="GH337" i="30"/>
  <c r="GI337" i="30"/>
  <c r="GJ337" i="30"/>
  <c r="GK337" i="30"/>
  <c r="GL337" i="30"/>
  <c r="GM337" i="30"/>
  <c r="GN337" i="30"/>
  <c r="GO337" i="30"/>
  <c r="GP337" i="30"/>
  <c r="GQ337" i="30"/>
  <c r="GR337" i="30"/>
  <c r="GS337" i="30"/>
  <c r="GT337" i="30"/>
  <c r="GU337" i="30"/>
  <c r="GV337" i="30"/>
  <c r="GW337" i="30"/>
  <c r="GX337" i="30"/>
  <c r="GY337" i="30"/>
  <c r="GZ337" i="30"/>
  <c r="HA337" i="30"/>
  <c r="HB337" i="30"/>
  <c r="HC337" i="30"/>
  <c r="HD337" i="30"/>
  <c r="HE337" i="30"/>
  <c r="HF337" i="30"/>
  <c r="HG337" i="30"/>
  <c r="HH337" i="30"/>
  <c r="HI337" i="30"/>
  <c r="HJ337" i="30"/>
  <c r="HK337" i="30"/>
  <c r="HL337" i="30"/>
  <c r="HM337" i="30"/>
  <c r="HN337" i="30"/>
  <c r="HO337" i="30"/>
  <c r="HP337" i="30"/>
  <c r="HQ337" i="30"/>
  <c r="HR337" i="30"/>
  <c r="HS337" i="30"/>
  <c r="HT337" i="30"/>
  <c r="HU337" i="30"/>
  <c r="HV337" i="30"/>
  <c r="HW337" i="30"/>
  <c r="HX337" i="30"/>
  <c r="HY337" i="30"/>
  <c r="HZ337" i="30"/>
  <c r="IA337" i="30"/>
  <c r="IB337" i="30"/>
  <c r="IC337" i="30"/>
  <c r="ID337" i="30"/>
  <c r="IE337" i="30"/>
  <c r="IF337" i="30"/>
  <c r="IG337" i="30"/>
  <c r="IH337" i="30"/>
  <c r="II337" i="30"/>
  <c r="IJ337" i="30"/>
  <c r="IK337" i="30"/>
  <c r="IL337" i="30"/>
  <c r="IM337" i="30"/>
  <c r="IN337" i="30"/>
  <c r="IO337" i="30"/>
  <c r="IP337" i="30"/>
  <c r="IQ337" i="30"/>
  <c r="IR337" i="30"/>
  <c r="IS337" i="30"/>
  <c r="IT337" i="30"/>
  <c r="IU337" i="30"/>
  <c r="IV337" i="30"/>
  <c r="A336" i="30"/>
  <c r="B336" i="30"/>
  <c r="C336" i="30"/>
  <c r="D336" i="30"/>
  <c r="E336" i="30"/>
  <c r="F336" i="30"/>
  <c r="G336" i="30"/>
  <c r="H336" i="30"/>
  <c r="I336" i="30"/>
  <c r="J336" i="30"/>
  <c r="K336" i="30"/>
  <c r="L336" i="30"/>
  <c r="M336" i="30"/>
  <c r="N336" i="30"/>
  <c r="O336" i="30"/>
  <c r="P336" i="30"/>
  <c r="Q336" i="30"/>
  <c r="R336" i="30"/>
  <c r="S336" i="30"/>
  <c r="T336" i="30"/>
  <c r="U336" i="30"/>
  <c r="V336" i="30"/>
  <c r="W336" i="30"/>
  <c r="X336" i="30"/>
  <c r="Y336" i="30"/>
  <c r="Z336" i="30"/>
  <c r="AA336" i="30"/>
  <c r="AB336" i="30"/>
  <c r="AC336" i="30"/>
  <c r="AD336" i="30"/>
  <c r="AE336" i="30"/>
  <c r="AF336" i="30"/>
  <c r="AG336" i="30"/>
  <c r="AH336" i="30"/>
  <c r="AI336" i="30"/>
  <c r="AJ336" i="30"/>
  <c r="AK336" i="30"/>
  <c r="AL336" i="30"/>
  <c r="AM336" i="30"/>
  <c r="AN336" i="30"/>
  <c r="AO336" i="30"/>
  <c r="AP336" i="30"/>
  <c r="AQ336" i="30"/>
  <c r="AR336" i="30"/>
  <c r="AS336" i="30"/>
  <c r="AT336" i="30"/>
  <c r="AU336" i="30"/>
  <c r="AV336" i="30"/>
  <c r="AW336" i="30"/>
  <c r="AX336" i="30"/>
  <c r="AY336" i="30"/>
  <c r="AZ336" i="30"/>
  <c r="BA336" i="30"/>
  <c r="BB336" i="30"/>
  <c r="BC336" i="30"/>
  <c r="BD336" i="30"/>
  <c r="BE336" i="30"/>
  <c r="BF336" i="30"/>
  <c r="BG336" i="30"/>
  <c r="BH336" i="30"/>
  <c r="BI336" i="30"/>
  <c r="BJ336" i="30"/>
  <c r="BK336" i="30"/>
  <c r="BL336" i="30"/>
  <c r="BM336" i="30"/>
  <c r="BN336" i="30"/>
  <c r="BO336" i="30"/>
  <c r="BP336" i="30"/>
  <c r="BQ336" i="30"/>
  <c r="BR336" i="30"/>
  <c r="BS336" i="30"/>
  <c r="BT336" i="30"/>
  <c r="BU336" i="30"/>
  <c r="BV336" i="30"/>
  <c r="BW336" i="30"/>
  <c r="BX336" i="30"/>
  <c r="BY336" i="30"/>
  <c r="BZ336" i="30"/>
  <c r="CA336" i="30"/>
  <c r="CB336" i="30"/>
  <c r="CC336" i="30"/>
  <c r="CD336" i="30"/>
  <c r="CE336" i="30"/>
  <c r="CF336" i="30"/>
  <c r="CG336" i="30"/>
  <c r="CH336" i="30"/>
  <c r="CI336" i="30"/>
  <c r="CJ336" i="30"/>
  <c r="CK336" i="30"/>
  <c r="CL336" i="30"/>
  <c r="CM336" i="30"/>
  <c r="CN336" i="30"/>
  <c r="CO336" i="30"/>
  <c r="CP336" i="30"/>
  <c r="CQ336" i="30"/>
  <c r="CR336" i="30"/>
  <c r="CS336" i="30"/>
  <c r="CT336" i="30"/>
  <c r="CU336" i="30"/>
  <c r="CV336" i="30"/>
  <c r="CW336" i="30"/>
  <c r="CX336" i="30"/>
  <c r="CY336" i="30"/>
  <c r="CZ336" i="30"/>
  <c r="DA336" i="30"/>
  <c r="DB336" i="30"/>
  <c r="DC336" i="30"/>
  <c r="DD336" i="30"/>
  <c r="DE336" i="30"/>
  <c r="DF336" i="30"/>
  <c r="DG336" i="30"/>
  <c r="DH336" i="30"/>
  <c r="DI336" i="30"/>
  <c r="DJ336" i="30"/>
  <c r="DK336" i="30"/>
  <c r="DL336" i="30"/>
  <c r="DM336" i="30"/>
  <c r="DN336" i="30"/>
  <c r="DO336" i="30"/>
  <c r="DP336" i="30"/>
  <c r="DQ336" i="30"/>
  <c r="DR336" i="30"/>
  <c r="DS336" i="30"/>
  <c r="DT336" i="30"/>
  <c r="DU336" i="30"/>
  <c r="DV336" i="30"/>
  <c r="DW336" i="30"/>
  <c r="DX336" i="30"/>
  <c r="DY336" i="30"/>
  <c r="DZ336" i="30"/>
  <c r="EA336" i="30"/>
  <c r="EB336" i="30"/>
  <c r="EC336" i="30"/>
  <c r="ED336" i="30"/>
  <c r="EE336" i="30"/>
  <c r="EF336" i="30"/>
  <c r="EG336" i="30"/>
  <c r="EH336" i="30"/>
  <c r="EI336" i="30"/>
  <c r="EJ336" i="30"/>
  <c r="EK336" i="30"/>
  <c r="EL336" i="30"/>
  <c r="EM336" i="30"/>
  <c r="EN336" i="30"/>
  <c r="EO336" i="30"/>
  <c r="EP336" i="30"/>
  <c r="EQ336" i="30"/>
  <c r="ER336" i="30"/>
  <c r="ES336" i="30"/>
  <c r="ET336" i="30"/>
  <c r="EU336" i="30"/>
  <c r="EV336" i="30"/>
  <c r="EW336" i="30"/>
  <c r="EX336" i="30"/>
  <c r="EY336" i="30"/>
  <c r="EZ336" i="30"/>
  <c r="FA336" i="30"/>
  <c r="FB336" i="30"/>
  <c r="FC336" i="30"/>
  <c r="FD336" i="30"/>
  <c r="FE336" i="30"/>
  <c r="FF336" i="30"/>
  <c r="FG336" i="30"/>
  <c r="FH336" i="30"/>
  <c r="FI336" i="30"/>
  <c r="FJ336" i="30"/>
  <c r="FK336" i="30"/>
  <c r="FL336" i="30"/>
  <c r="FM336" i="30"/>
  <c r="FN336" i="30"/>
  <c r="FO336" i="30"/>
  <c r="FP336" i="30"/>
  <c r="FQ336" i="30"/>
  <c r="FR336" i="30"/>
  <c r="FS336" i="30"/>
  <c r="FT336" i="30"/>
  <c r="FU336" i="30"/>
  <c r="FV336" i="30"/>
  <c r="FW336" i="30"/>
  <c r="FX336" i="30"/>
  <c r="FY336" i="30"/>
  <c r="FZ336" i="30"/>
  <c r="GA336" i="30"/>
  <c r="GB336" i="30"/>
  <c r="GC336" i="30"/>
  <c r="GD336" i="30"/>
  <c r="GE336" i="30"/>
  <c r="GF336" i="30"/>
  <c r="GG336" i="30"/>
  <c r="GH336" i="30"/>
  <c r="GI336" i="30"/>
  <c r="GJ336" i="30"/>
  <c r="GK336" i="30"/>
  <c r="GL336" i="30"/>
  <c r="GM336" i="30"/>
  <c r="GN336" i="30"/>
  <c r="GO336" i="30"/>
  <c r="GP336" i="30"/>
  <c r="GQ336" i="30"/>
  <c r="GR336" i="30"/>
  <c r="GS336" i="30"/>
  <c r="GT336" i="30"/>
  <c r="GU336" i="30"/>
  <c r="GV336" i="30"/>
  <c r="GW336" i="30"/>
  <c r="GX336" i="30"/>
  <c r="GY336" i="30"/>
  <c r="GZ336" i="30"/>
  <c r="HA336" i="30"/>
  <c r="HB336" i="30"/>
  <c r="HC336" i="30"/>
  <c r="HD336" i="30"/>
  <c r="HE336" i="30"/>
  <c r="HF336" i="30"/>
  <c r="HG336" i="30"/>
  <c r="HH336" i="30"/>
  <c r="HI336" i="30"/>
  <c r="HJ336" i="30"/>
  <c r="HK336" i="30"/>
  <c r="HL336" i="30"/>
  <c r="HM336" i="30"/>
  <c r="HN336" i="30"/>
  <c r="HO336" i="30"/>
  <c r="HP336" i="30"/>
  <c r="HQ336" i="30"/>
  <c r="HR336" i="30"/>
  <c r="HS336" i="30"/>
  <c r="HT336" i="30"/>
  <c r="HU336" i="30"/>
  <c r="HV336" i="30"/>
  <c r="HW336" i="30"/>
  <c r="HX336" i="30"/>
  <c r="HY336" i="30"/>
  <c r="HZ336" i="30"/>
  <c r="IA336" i="30"/>
  <c r="IB336" i="30"/>
  <c r="IC336" i="30"/>
  <c r="ID336" i="30"/>
  <c r="IE336" i="30"/>
  <c r="IF336" i="30"/>
  <c r="IG336" i="30"/>
  <c r="IH336" i="30"/>
  <c r="II336" i="30"/>
  <c r="IJ336" i="30"/>
  <c r="IK336" i="30"/>
  <c r="IL336" i="30"/>
  <c r="IM336" i="30"/>
  <c r="IN336" i="30"/>
  <c r="IO336" i="30"/>
  <c r="IP336" i="30"/>
  <c r="IQ336" i="30"/>
  <c r="IR336" i="30"/>
  <c r="IS336" i="30"/>
  <c r="IT336" i="30"/>
  <c r="IU336" i="30"/>
  <c r="IV336" i="30"/>
  <c r="A335" i="30"/>
  <c r="B335" i="30"/>
  <c r="C335" i="30"/>
  <c r="D335" i="30"/>
  <c r="E335" i="30"/>
  <c r="F335" i="30"/>
  <c r="G335" i="30"/>
  <c r="H335" i="30"/>
  <c r="I335" i="30"/>
  <c r="J335" i="30"/>
  <c r="K335" i="30"/>
  <c r="L335" i="30"/>
  <c r="M335" i="30"/>
  <c r="N335" i="30"/>
  <c r="O335" i="30"/>
  <c r="P335" i="30"/>
  <c r="Q335" i="30"/>
  <c r="R335" i="30"/>
  <c r="S335" i="30"/>
  <c r="T335" i="30"/>
  <c r="U335" i="30"/>
  <c r="V335" i="30"/>
  <c r="W335" i="30"/>
  <c r="X335" i="30"/>
  <c r="Y335" i="30"/>
  <c r="Z335" i="30"/>
  <c r="AA335" i="30"/>
  <c r="AB335" i="30"/>
  <c r="AC335" i="30"/>
  <c r="AD335" i="30"/>
  <c r="AE335" i="30"/>
  <c r="AF335" i="30"/>
  <c r="AG335" i="30"/>
  <c r="AH335" i="30"/>
  <c r="AI335" i="30"/>
  <c r="AJ335" i="30"/>
  <c r="AK335" i="30"/>
  <c r="AL335" i="30"/>
  <c r="AM335" i="30"/>
  <c r="AN335" i="30"/>
  <c r="AO335" i="30"/>
  <c r="AP335" i="30"/>
  <c r="AQ335" i="30"/>
  <c r="AR335" i="30"/>
  <c r="AS335" i="30"/>
  <c r="AT335" i="30"/>
  <c r="AU335" i="30"/>
  <c r="AV335" i="30"/>
  <c r="AW335" i="30"/>
  <c r="AX335" i="30"/>
  <c r="AY335" i="30"/>
  <c r="AZ335" i="30"/>
  <c r="BA335" i="30"/>
  <c r="BB335" i="30"/>
  <c r="BC335" i="30"/>
  <c r="BD335" i="30"/>
  <c r="BE335" i="30"/>
  <c r="BF335" i="30"/>
  <c r="BG335" i="30"/>
  <c r="BH335" i="30"/>
  <c r="BI335" i="30"/>
  <c r="BJ335" i="30"/>
  <c r="BK335" i="30"/>
  <c r="BL335" i="30"/>
  <c r="BM335" i="30"/>
  <c r="BN335" i="30"/>
  <c r="BO335" i="30"/>
  <c r="BP335" i="30"/>
  <c r="BQ335" i="30"/>
  <c r="BR335" i="30"/>
  <c r="BS335" i="30"/>
  <c r="BT335" i="30"/>
  <c r="BU335" i="30"/>
  <c r="BV335" i="30"/>
  <c r="BW335" i="30"/>
  <c r="BX335" i="30"/>
  <c r="BY335" i="30"/>
  <c r="BZ335" i="30"/>
  <c r="CA335" i="30"/>
  <c r="CB335" i="30"/>
  <c r="CC335" i="30"/>
  <c r="CD335" i="30"/>
  <c r="CE335" i="30"/>
  <c r="CF335" i="30"/>
  <c r="CG335" i="30"/>
  <c r="CH335" i="30"/>
  <c r="CI335" i="30"/>
  <c r="CJ335" i="30"/>
  <c r="CK335" i="30"/>
  <c r="CL335" i="30"/>
  <c r="CM335" i="30"/>
  <c r="CN335" i="30"/>
  <c r="CO335" i="30"/>
  <c r="CP335" i="30"/>
  <c r="CQ335" i="30"/>
  <c r="CR335" i="30"/>
  <c r="CS335" i="30"/>
  <c r="CT335" i="30"/>
  <c r="CU335" i="30"/>
  <c r="CV335" i="30"/>
  <c r="CW335" i="30"/>
  <c r="CX335" i="30"/>
  <c r="CY335" i="30"/>
  <c r="CZ335" i="30"/>
  <c r="DA335" i="30"/>
  <c r="DB335" i="30"/>
  <c r="DC335" i="30"/>
  <c r="DD335" i="30"/>
  <c r="DE335" i="30"/>
  <c r="DF335" i="30"/>
  <c r="DG335" i="30"/>
  <c r="DH335" i="30"/>
  <c r="DI335" i="30"/>
  <c r="DJ335" i="30"/>
  <c r="DK335" i="30"/>
  <c r="DL335" i="30"/>
  <c r="DM335" i="30"/>
  <c r="DN335" i="30"/>
  <c r="DO335" i="30"/>
  <c r="DP335" i="30"/>
  <c r="DQ335" i="30"/>
  <c r="DR335" i="30"/>
  <c r="DS335" i="30"/>
  <c r="DT335" i="30"/>
  <c r="DU335" i="30"/>
  <c r="DV335" i="30"/>
  <c r="DW335" i="30"/>
  <c r="DX335" i="30"/>
  <c r="DY335" i="30"/>
  <c r="DZ335" i="30"/>
  <c r="EA335" i="30"/>
  <c r="EB335" i="30"/>
  <c r="EC335" i="30"/>
  <c r="ED335" i="30"/>
  <c r="EE335" i="30"/>
  <c r="EF335" i="30"/>
  <c r="EG335" i="30"/>
  <c r="EH335" i="30"/>
  <c r="EI335" i="30"/>
  <c r="EJ335" i="30"/>
  <c r="EK335" i="30"/>
  <c r="EL335" i="30"/>
  <c r="EM335" i="30"/>
  <c r="EN335" i="30"/>
  <c r="EO335" i="30"/>
  <c r="EP335" i="30"/>
  <c r="EQ335" i="30"/>
  <c r="ER335" i="30"/>
  <c r="ES335" i="30"/>
  <c r="ET335" i="30"/>
  <c r="EU335" i="30"/>
  <c r="EV335" i="30"/>
  <c r="EW335" i="30"/>
  <c r="EX335" i="30"/>
  <c r="EY335" i="30"/>
  <c r="EZ335" i="30"/>
  <c r="FA335" i="30"/>
  <c r="FB335" i="30"/>
  <c r="FC335" i="30"/>
  <c r="FD335" i="30"/>
  <c r="FE335" i="30"/>
  <c r="FF335" i="30"/>
  <c r="FG335" i="30"/>
  <c r="FH335" i="30"/>
  <c r="FI335" i="30"/>
  <c r="FJ335" i="30"/>
  <c r="FK335" i="30"/>
  <c r="FL335" i="30"/>
  <c r="FM335" i="30"/>
  <c r="FN335" i="30"/>
  <c r="FO335" i="30"/>
  <c r="FP335" i="30"/>
  <c r="FQ335" i="30"/>
  <c r="FR335" i="30"/>
  <c r="FS335" i="30"/>
  <c r="FT335" i="30"/>
  <c r="FU335" i="30"/>
  <c r="FV335" i="30"/>
  <c r="FW335" i="30"/>
  <c r="FX335" i="30"/>
  <c r="FY335" i="30"/>
  <c r="FZ335" i="30"/>
  <c r="GA335" i="30"/>
  <c r="GB335" i="30"/>
  <c r="GC335" i="30"/>
  <c r="GD335" i="30"/>
  <c r="GE335" i="30"/>
  <c r="GF335" i="30"/>
  <c r="GG335" i="30"/>
  <c r="GH335" i="30"/>
  <c r="GI335" i="30"/>
  <c r="GJ335" i="30"/>
  <c r="GK335" i="30"/>
  <c r="GL335" i="30"/>
  <c r="GM335" i="30"/>
  <c r="GN335" i="30"/>
  <c r="GO335" i="30"/>
  <c r="GP335" i="30"/>
  <c r="GQ335" i="30"/>
  <c r="GR335" i="30"/>
  <c r="GS335" i="30"/>
  <c r="GT335" i="30"/>
  <c r="GU335" i="30"/>
  <c r="GV335" i="30"/>
  <c r="GW335" i="30"/>
  <c r="GX335" i="30"/>
  <c r="GY335" i="30"/>
  <c r="GZ335" i="30"/>
  <c r="HA335" i="30"/>
  <c r="HB335" i="30"/>
  <c r="HC335" i="30"/>
  <c r="HD335" i="30"/>
  <c r="HE335" i="30"/>
  <c r="HF335" i="30"/>
  <c r="HG335" i="30"/>
  <c r="HH335" i="30"/>
  <c r="HI335" i="30"/>
  <c r="HJ335" i="30"/>
  <c r="HK335" i="30"/>
  <c r="HL335" i="30"/>
  <c r="HM335" i="30"/>
  <c r="HN335" i="30"/>
  <c r="HO335" i="30"/>
  <c r="HP335" i="30"/>
  <c r="HQ335" i="30"/>
  <c r="HR335" i="30"/>
  <c r="HS335" i="30"/>
  <c r="HT335" i="30"/>
  <c r="HU335" i="30"/>
  <c r="HV335" i="30"/>
  <c r="HW335" i="30"/>
  <c r="HX335" i="30"/>
  <c r="HY335" i="30"/>
  <c r="HZ335" i="30"/>
  <c r="IA335" i="30"/>
  <c r="IB335" i="30"/>
  <c r="IC335" i="30"/>
  <c r="ID335" i="30"/>
  <c r="IE335" i="30"/>
  <c r="IF335" i="30"/>
  <c r="IG335" i="30"/>
  <c r="IH335" i="30"/>
  <c r="II335" i="30"/>
  <c r="IJ335" i="30"/>
  <c r="IK335" i="30"/>
  <c r="IL335" i="30"/>
  <c r="IM335" i="30"/>
  <c r="IN335" i="30"/>
  <c r="IO335" i="30"/>
  <c r="IP335" i="30"/>
  <c r="IQ335" i="30"/>
  <c r="IR335" i="30"/>
  <c r="IS335" i="30"/>
  <c r="IT335" i="30"/>
  <c r="IU335" i="30"/>
  <c r="IV335" i="30"/>
  <c r="A334" i="30"/>
  <c r="B334" i="30"/>
  <c r="C334" i="30"/>
  <c r="D334" i="30"/>
  <c r="E334" i="30"/>
  <c r="F334" i="30"/>
  <c r="G334" i="30"/>
  <c r="H334" i="30"/>
  <c r="I334" i="30"/>
  <c r="J334" i="30"/>
  <c r="K334" i="30"/>
  <c r="L334" i="30"/>
  <c r="M334" i="30"/>
  <c r="N334" i="30"/>
  <c r="O334" i="30"/>
  <c r="P334" i="30"/>
  <c r="Q334" i="30"/>
  <c r="R334" i="30"/>
  <c r="S334" i="30"/>
  <c r="T334" i="30"/>
  <c r="U334" i="30"/>
  <c r="V334" i="30"/>
  <c r="W334" i="30"/>
  <c r="X334" i="30"/>
  <c r="Y334" i="30"/>
  <c r="Z334" i="30"/>
  <c r="AA334" i="30"/>
  <c r="AB334" i="30"/>
  <c r="AC334" i="30"/>
  <c r="AD334" i="30"/>
  <c r="AE334" i="30"/>
  <c r="AF334" i="30"/>
  <c r="AG334" i="30"/>
  <c r="AH334" i="30"/>
  <c r="AI334" i="30"/>
  <c r="AJ334" i="30"/>
  <c r="AK334" i="30"/>
  <c r="AL334" i="30"/>
  <c r="AM334" i="30"/>
  <c r="AN334" i="30"/>
  <c r="AO334" i="30"/>
  <c r="AP334" i="30"/>
  <c r="AQ334" i="30"/>
  <c r="AR334" i="30"/>
  <c r="AS334" i="30"/>
  <c r="AT334" i="30"/>
  <c r="AU334" i="30"/>
  <c r="AV334" i="30"/>
  <c r="AW334" i="30"/>
  <c r="AX334" i="30"/>
  <c r="AY334" i="30"/>
  <c r="AZ334" i="30"/>
  <c r="BA334" i="30"/>
  <c r="BB334" i="30"/>
  <c r="BC334" i="30"/>
  <c r="BD334" i="30"/>
  <c r="BE334" i="30"/>
  <c r="BF334" i="30"/>
  <c r="BG334" i="30"/>
  <c r="BH334" i="30"/>
  <c r="BI334" i="30"/>
  <c r="BJ334" i="30"/>
  <c r="BK334" i="30"/>
  <c r="BL334" i="30"/>
  <c r="BM334" i="30"/>
  <c r="BN334" i="30"/>
  <c r="BO334" i="30"/>
  <c r="BP334" i="30"/>
  <c r="BQ334" i="30"/>
  <c r="BR334" i="30"/>
  <c r="BS334" i="30"/>
  <c r="BT334" i="30"/>
  <c r="BU334" i="30"/>
  <c r="BV334" i="30"/>
  <c r="BW334" i="30"/>
  <c r="BX334" i="30"/>
  <c r="BY334" i="30"/>
  <c r="BZ334" i="30"/>
  <c r="CA334" i="30"/>
  <c r="CB334" i="30"/>
  <c r="CC334" i="30"/>
  <c r="CD334" i="30"/>
  <c r="CE334" i="30"/>
  <c r="CF334" i="30"/>
  <c r="CG334" i="30"/>
  <c r="CH334" i="30"/>
  <c r="CI334" i="30"/>
  <c r="CJ334" i="30"/>
  <c r="CK334" i="30"/>
  <c r="CL334" i="30"/>
  <c r="CM334" i="30"/>
  <c r="CN334" i="30"/>
  <c r="CO334" i="30"/>
  <c r="CP334" i="30"/>
  <c r="CQ334" i="30"/>
  <c r="CR334" i="30"/>
  <c r="CS334" i="30"/>
  <c r="CT334" i="30"/>
  <c r="CU334" i="30"/>
  <c r="CV334" i="30"/>
  <c r="CW334" i="30"/>
  <c r="CX334" i="30"/>
  <c r="CY334" i="30"/>
  <c r="CZ334" i="30"/>
  <c r="DA334" i="30"/>
  <c r="DB334" i="30"/>
  <c r="DC334" i="30"/>
  <c r="DD334" i="30"/>
  <c r="DE334" i="30"/>
  <c r="DF334" i="30"/>
  <c r="DG334" i="30"/>
  <c r="DH334" i="30"/>
  <c r="DI334" i="30"/>
  <c r="DJ334" i="30"/>
  <c r="DK334" i="30"/>
  <c r="DL334" i="30"/>
  <c r="DM334" i="30"/>
  <c r="DN334" i="30"/>
  <c r="DO334" i="30"/>
  <c r="DP334" i="30"/>
  <c r="DQ334" i="30"/>
  <c r="DR334" i="30"/>
  <c r="DS334" i="30"/>
  <c r="DT334" i="30"/>
  <c r="DU334" i="30"/>
  <c r="DV334" i="30"/>
  <c r="DW334" i="30"/>
  <c r="DX334" i="30"/>
  <c r="DY334" i="30"/>
  <c r="DZ334" i="30"/>
  <c r="EA334" i="30"/>
  <c r="EB334" i="30"/>
  <c r="EC334" i="30"/>
  <c r="ED334" i="30"/>
  <c r="EE334" i="30"/>
  <c r="EF334" i="30"/>
  <c r="EG334" i="30"/>
  <c r="EH334" i="30"/>
  <c r="EI334" i="30"/>
  <c r="EJ334" i="30"/>
  <c r="EK334" i="30"/>
  <c r="EL334" i="30"/>
  <c r="EM334" i="30"/>
  <c r="EN334" i="30"/>
  <c r="EO334" i="30"/>
  <c r="EP334" i="30"/>
  <c r="EQ334" i="30"/>
  <c r="ER334" i="30"/>
  <c r="ES334" i="30"/>
  <c r="ET334" i="30"/>
  <c r="EU334" i="30"/>
  <c r="EV334" i="30"/>
  <c r="EW334" i="30"/>
  <c r="EX334" i="30"/>
  <c r="EY334" i="30"/>
  <c r="EZ334" i="30"/>
  <c r="FA334" i="30"/>
  <c r="FB334" i="30"/>
  <c r="FC334" i="30"/>
  <c r="FD334" i="30"/>
  <c r="FE334" i="30"/>
  <c r="FF334" i="30"/>
  <c r="FG334" i="30"/>
  <c r="FH334" i="30"/>
  <c r="FI334" i="30"/>
  <c r="FJ334" i="30"/>
  <c r="FK334" i="30"/>
  <c r="FL334" i="30"/>
  <c r="FM334" i="30"/>
  <c r="FN334" i="30"/>
  <c r="FO334" i="30"/>
  <c r="FP334" i="30"/>
  <c r="FQ334" i="30"/>
  <c r="FR334" i="30"/>
  <c r="FS334" i="30"/>
  <c r="FT334" i="30"/>
  <c r="FU334" i="30"/>
  <c r="FV334" i="30"/>
  <c r="FW334" i="30"/>
  <c r="FX334" i="30"/>
  <c r="FY334" i="30"/>
  <c r="FZ334" i="30"/>
  <c r="GA334" i="30"/>
  <c r="GB334" i="30"/>
  <c r="GC334" i="30"/>
  <c r="GD334" i="30"/>
  <c r="GE334" i="30"/>
  <c r="GF334" i="30"/>
  <c r="GG334" i="30"/>
  <c r="GH334" i="30"/>
  <c r="GI334" i="30"/>
  <c r="GJ334" i="30"/>
  <c r="GK334" i="30"/>
  <c r="GL334" i="30"/>
  <c r="GM334" i="30"/>
  <c r="GN334" i="30"/>
  <c r="GO334" i="30"/>
  <c r="GP334" i="30"/>
  <c r="GQ334" i="30"/>
  <c r="GR334" i="30"/>
  <c r="GS334" i="30"/>
  <c r="GT334" i="30"/>
  <c r="GU334" i="30"/>
  <c r="GV334" i="30"/>
  <c r="GW334" i="30"/>
  <c r="GX334" i="30"/>
  <c r="GY334" i="30"/>
  <c r="GZ334" i="30"/>
  <c r="HA334" i="30"/>
  <c r="HB334" i="30"/>
  <c r="HC334" i="30"/>
  <c r="HD334" i="30"/>
  <c r="HE334" i="30"/>
  <c r="HF334" i="30"/>
  <c r="HG334" i="30"/>
  <c r="HH334" i="30"/>
  <c r="HI334" i="30"/>
  <c r="HJ334" i="30"/>
  <c r="HK334" i="30"/>
  <c r="HL334" i="30"/>
  <c r="HM334" i="30"/>
  <c r="HN334" i="30"/>
  <c r="HO334" i="30"/>
  <c r="HP334" i="30"/>
  <c r="HQ334" i="30"/>
  <c r="HR334" i="30"/>
  <c r="HS334" i="30"/>
  <c r="HT334" i="30"/>
  <c r="HU334" i="30"/>
  <c r="HV334" i="30"/>
  <c r="HW334" i="30"/>
  <c r="HX334" i="30"/>
  <c r="HY334" i="30"/>
  <c r="HZ334" i="30"/>
  <c r="IA334" i="30"/>
  <c r="IB334" i="30"/>
  <c r="IC334" i="30"/>
  <c r="ID334" i="30"/>
  <c r="IE334" i="30"/>
  <c r="IF334" i="30"/>
  <c r="IG334" i="30"/>
  <c r="IH334" i="30"/>
  <c r="II334" i="30"/>
  <c r="IJ334" i="30"/>
  <c r="IK334" i="30"/>
  <c r="IL334" i="30"/>
  <c r="IM334" i="30"/>
  <c r="IN334" i="30"/>
  <c r="IO334" i="30"/>
  <c r="IP334" i="30"/>
  <c r="IQ334" i="30"/>
  <c r="IR334" i="30"/>
  <c r="IS334" i="30"/>
  <c r="IT334" i="30"/>
  <c r="IU334" i="30"/>
  <c r="IV334" i="30"/>
  <c r="A333" i="30"/>
  <c r="B333" i="30"/>
  <c r="C333" i="30"/>
  <c r="D333" i="30"/>
  <c r="E333" i="30"/>
  <c r="F333" i="30"/>
  <c r="G333" i="30"/>
  <c r="H333" i="30"/>
  <c r="I333" i="30"/>
  <c r="J333" i="30"/>
  <c r="K333" i="30"/>
  <c r="L333" i="30"/>
  <c r="M333" i="30"/>
  <c r="N333" i="30"/>
  <c r="O333" i="30"/>
  <c r="P333" i="30"/>
  <c r="Q333" i="30"/>
  <c r="R333" i="30"/>
  <c r="S333" i="30"/>
  <c r="T333" i="30"/>
  <c r="U333" i="30"/>
  <c r="V333" i="30"/>
  <c r="W333" i="30"/>
  <c r="X333" i="30"/>
  <c r="Y333" i="30"/>
  <c r="Z333" i="30"/>
  <c r="AA333" i="30"/>
  <c r="AB333" i="30"/>
  <c r="AC333" i="30"/>
  <c r="AD333" i="30"/>
  <c r="AE333" i="30"/>
  <c r="AF333" i="30"/>
  <c r="AG333" i="30"/>
  <c r="AH333" i="30"/>
  <c r="AI333" i="30"/>
  <c r="AJ333" i="30"/>
  <c r="AK333" i="30"/>
  <c r="AL333" i="30"/>
  <c r="AM333" i="30"/>
  <c r="AN333" i="30"/>
  <c r="AO333" i="30"/>
  <c r="AP333" i="30"/>
  <c r="AQ333" i="30"/>
  <c r="AR333" i="30"/>
  <c r="AS333" i="30"/>
  <c r="AT333" i="30"/>
  <c r="AU333" i="30"/>
  <c r="AV333" i="30"/>
  <c r="AW333" i="30"/>
  <c r="AX333" i="30"/>
  <c r="AY333" i="30"/>
  <c r="AZ333" i="30"/>
  <c r="BA333" i="30"/>
  <c r="BB333" i="30"/>
  <c r="BC333" i="30"/>
  <c r="BD333" i="30"/>
  <c r="BE333" i="30"/>
  <c r="BF333" i="30"/>
  <c r="BG333" i="30"/>
  <c r="BH333" i="30"/>
  <c r="BI333" i="30"/>
  <c r="BJ333" i="30"/>
  <c r="BK333" i="30"/>
  <c r="BL333" i="30"/>
  <c r="BM333" i="30"/>
  <c r="BN333" i="30"/>
  <c r="BO333" i="30"/>
  <c r="BP333" i="30"/>
  <c r="BQ333" i="30"/>
  <c r="BR333" i="30"/>
  <c r="BS333" i="30"/>
  <c r="BT333" i="30"/>
  <c r="BU333" i="30"/>
  <c r="BV333" i="30"/>
  <c r="BW333" i="30"/>
  <c r="BX333" i="30"/>
  <c r="BY333" i="30"/>
  <c r="BZ333" i="30"/>
  <c r="CA333" i="30"/>
  <c r="CB333" i="30"/>
  <c r="CC333" i="30"/>
  <c r="CD333" i="30"/>
  <c r="CE333" i="30"/>
  <c r="CF333" i="30"/>
  <c r="CG333" i="30"/>
  <c r="CH333" i="30"/>
  <c r="CI333" i="30"/>
  <c r="CJ333" i="30"/>
  <c r="CK333" i="30"/>
  <c r="CL333" i="30"/>
  <c r="CM333" i="30"/>
  <c r="CN333" i="30"/>
  <c r="CO333" i="30"/>
  <c r="CP333" i="30"/>
  <c r="CQ333" i="30"/>
  <c r="CR333" i="30"/>
  <c r="CS333" i="30"/>
  <c r="CT333" i="30"/>
  <c r="CU333" i="30"/>
  <c r="CV333" i="30"/>
  <c r="CW333" i="30"/>
  <c r="CX333" i="30"/>
  <c r="CY333" i="30"/>
  <c r="CZ333" i="30"/>
  <c r="DA333" i="30"/>
  <c r="DB333" i="30"/>
  <c r="DC333" i="30"/>
  <c r="DD333" i="30"/>
  <c r="DE333" i="30"/>
  <c r="DF333" i="30"/>
  <c r="DG333" i="30"/>
  <c r="DH333" i="30"/>
  <c r="DI333" i="30"/>
  <c r="DJ333" i="30"/>
  <c r="DK333" i="30"/>
  <c r="DL333" i="30"/>
  <c r="DM333" i="30"/>
  <c r="DN333" i="30"/>
  <c r="DO333" i="30"/>
  <c r="DP333" i="30"/>
  <c r="DQ333" i="30"/>
  <c r="DR333" i="30"/>
  <c r="DS333" i="30"/>
  <c r="DT333" i="30"/>
  <c r="DU333" i="30"/>
  <c r="DV333" i="30"/>
  <c r="DW333" i="30"/>
  <c r="DX333" i="30"/>
  <c r="DY333" i="30"/>
  <c r="DZ333" i="30"/>
  <c r="EA333" i="30"/>
  <c r="EB333" i="30"/>
  <c r="EC333" i="30"/>
  <c r="ED333" i="30"/>
  <c r="EE333" i="30"/>
  <c r="EF333" i="30"/>
  <c r="EG333" i="30"/>
  <c r="EH333" i="30"/>
  <c r="EI333" i="30"/>
  <c r="EJ333" i="30"/>
  <c r="EK333" i="30"/>
  <c r="EL333" i="30"/>
  <c r="EM333" i="30"/>
  <c r="EN333" i="30"/>
  <c r="EO333" i="30"/>
  <c r="EP333" i="30"/>
  <c r="EQ333" i="30"/>
  <c r="ER333" i="30"/>
  <c r="ES333" i="30"/>
  <c r="ET333" i="30"/>
  <c r="EU333" i="30"/>
  <c r="EV333" i="30"/>
  <c r="EW333" i="30"/>
  <c r="EX333" i="30"/>
  <c r="EY333" i="30"/>
  <c r="EZ333" i="30"/>
  <c r="FA333" i="30"/>
  <c r="FB333" i="30"/>
  <c r="FC333" i="30"/>
  <c r="FD333" i="30"/>
  <c r="FE333" i="30"/>
  <c r="FF333" i="30"/>
  <c r="FG333" i="30"/>
  <c r="FH333" i="30"/>
  <c r="FI333" i="30"/>
  <c r="FJ333" i="30"/>
  <c r="FK333" i="30"/>
  <c r="FL333" i="30"/>
  <c r="FM333" i="30"/>
  <c r="FN333" i="30"/>
  <c r="FO333" i="30"/>
  <c r="FP333" i="30"/>
  <c r="FQ333" i="30"/>
  <c r="FR333" i="30"/>
  <c r="FS333" i="30"/>
  <c r="FT333" i="30"/>
  <c r="FU333" i="30"/>
  <c r="FV333" i="30"/>
  <c r="FW333" i="30"/>
  <c r="FX333" i="30"/>
  <c r="FY333" i="30"/>
  <c r="FZ333" i="30"/>
  <c r="GA333" i="30"/>
  <c r="GB333" i="30"/>
  <c r="GC333" i="30"/>
  <c r="GD333" i="30"/>
  <c r="GE333" i="30"/>
  <c r="GF333" i="30"/>
  <c r="GG333" i="30"/>
  <c r="GH333" i="30"/>
  <c r="GI333" i="30"/>
  <c r="GJ333" i="30"/>
  <c r="GK333" i="30"/>
  <c r="GL333" i="30"/>
  <c r="GM333" i="30"/>
  <c r="GN333" i="30"/>
  <c r="GO333" i="30"/>
  <c r="GP333" i="30"/>
  <c r="GQ333" i="30"/>
  <c r="GR333" i="30"/>
  <c r="GS333" i="30"/>
  <c r="GT333" i="30"/>
  <c r="GU333" i="30"/>
  <c r="GV333" i="30"/>
  <c r="GW333" i="30"/>
  <c r="GX333" i="30"/>
  <c r="GY333" i="30"/>
  <c r="GZ333" i="30"/>
  <c r="HA333" i="30"/>
  <c r="HB333" i="30"/>
  <c r="HC333" i="30"/>
  <c r="HD333" i="30"/>
  <c r="HE333" i="30"/>
  <c r="HF333" i="30"/>
  <c r="HG333" i="30"/>
  <c r="HH333" i="30"/>
  <c r="HI333" i="30"/>
  <c r="HJ333" i="30"/>
  <c r="HK333" i="30"/>
  <c r="HL333" i="30"/>
  <c r="HM333" i="30"/>
  <c r="HN333" i="30"/>
  <c r="HO333" i="30"/>
  <c r="HP333" i="30"/>
  <c r="HQ333" i="30"/>
  <c r="HR333" i="30"/>
  <c r="HS333" i="30"/>
  <c r="HT333" i="30"/>
  <c r="HU333" i="30"/>
  <c r="HV333" i="30"/>
  <c r="HW333" i="30"/>
  <c r="HX333" i="30"/>
  <c r="HY333" i="30"/>
  <c r="HZ333" i="30"/>
  <c r="IA333" i="30"/>
  <c r="IB333" i="30"/>
  <c r="IC333" i="30"/>
  <c r="ID333" i="30"/>
  <c r="IE333" i="30"/>
  <c r="IF333" i="30"/>
  <c r="IG333" i="30"/>
  <c r="IH333" i="30"/>
  <c r="II333" i="30"/>
  <c r="IJ333" i="30"/>
  <c r="IK333" i="30"/>
  <c r="IL333" i="30"/>
  <c r="IM333" i="30"/>
  <c r="IN333" i="30"/>
  <c r="IO333" i="30"/>
  <c r="IP333" i="30"/>
  <c r="IQ333" i="30"/>
  <c r="IR333" i="30"/>
  <c r="IS333" i="30"/>
  <c r="IT333" i="30"/>
  <c r="IU333" i="30"/>
  <c r="IV333" i="30"/>
  <c r="A332" i="30"/>
  <c r="B332" i="30"/>
  <c r="C332" i="30"/>
  <c r="D332" i="30"/>
  <c r="E332" i="30"/>
  <c r="F332" i="30"/>
  <c r="G332" i="30"/>
  <c r="H332" i="30"/>
  <c r="I332" i="30"/>
  <c r="J332" i="30"/>
  <c r="K332" i="30"/>
  <c r="L332" i="30"/>
  <c r="M332" i="30"/>
  <c r="N332" i="30"/>
  <c r="O332" i="30"/>
  <c r="P332" i="30"/>
  <c r="Q332" i="30"/>
  <c r="R332" i="30"/>
  <c r="S332" i="30"/>
  <c r="T332" i="30"/>
  <c r="U332" i="30"/>
  <c r="V332" i="30"/>
  <c r="W332" i="30"/>
  <c r="X332" i="30"/>
  <c r="Y332" i="30"/>
  <c r="Z332" i="30"/>
  <c r="AA332" i="30"/>
  <c r="AB332" i="30"/>
  <c r="AC332" i="30"/>
  <c r="AD332" i="30"/>
  <c r="AE332" i="30"/>
  <c r="AF332" i="30"/>
  <c r="AG332" i="30"/>
  <c r="AH332" i="30"/>
  <c r="AI332" i="30"/>
  <c r="AJ332" i="30"/>
  <c r="AK332" i="30"/>
  <c r="AL332" i="30"/>
  <c r="AM332" i="30"/>
  <c r="AN332" i="30"/>
  <c r="AO332" i="30"/>
  <c r="AP332" i="30"/>
  <c r="AQ332" i="30"/>
  <c r="AR332" i="30"/>
  <c r="AS332" i="30"/>
  <c r="AT332" i="30"/>
  <c r="AU332" i="30"/>
  <c r="AV332" i="30"/>
  <c r="AW332" i="30"/>
  <c r="AX332" i="30"/>
  <c r="AY332" i="30"/>
  <c r="AZ332" i="30"/>
  <c r="BA332" i="30"/>
  <c r="BB332" i="30"/>
  <c r="BC332" i="30"/>
  <c r="BD332" i="30"/>
  <c r="BE332" i="30"/>
  <c r="BF332" i="30"/>
  <c r="BG332" i="30"/>
  <c r="BH332" i="30"/>
  <c r="BI332" i="30"/>
  <c r="BJ332" i="30"/>
  <c r="BK332" i="30"/>
  <c r="BL332" i="30"/>
  <c r="BM332" i="30"/>
  <c r="BN332" i="30"/>
  <c r="BO332" i="30"/>
  <c r="BP332" i="30"/>
  <c r="BQ332" i="30"/>
  <c r="BR332" i="30"/>
  <c r="BS332" i="30"/>
  <c r="BT332" i="30"/>
  <c r="BU332" i="30"/>
  <c r="BV332" i="30"/>
  <c r="BW332" i="30"/>
  <c r="BX332" i="30"/>
  <c r="BY332" i="30"/>
  <c r="BZ332" i="30"/>
  <c r="CA332" i="30"/>
  <c r="CB332" i="30"/>
  <c r="CC332" i="30"/>
  <c r="CD332" i="30"/>
  <c r="CE332" i="30"/>
  <c r="CF332" i="30"/>
  <c r="CG332" i="30"/>
  <c r="CH332" i="30"/>
  <c r="CI332" i="30"/>
  <c r="CJ332" i="30"/>
  <c r="CK332" i="30"/>
  <c r="CL332" i="30"/>
  <c r="CM332" i="30"/>
  <c r="CN332" i="30"/>
  <c r="CO332" i="30"/>
  <c r="CP332" i="30"/>
  <c r="CQ332" i="30"/>
  <c r="CR332" i="30"/>
  <c r="CS332" i="30"/>
  <c r="CT332" i="30"/>
  <c r="CU332" i="30"/>
  <c r="CV332" i="30"/>
  <c r="CW332" i="30"/>
  <c r="CX332" i="30"/>
  <c r="CY332" i="30"/>
  <c r="CZ332" i="30"/>
  <c r="DA332" i="30"/>
  <c r="DB332" i="30"/>
  <c r="DC332" i="30"/>
  <c r="DD332" i="30"/>
  <c r="DE332" i="30"/>
  <c r="DF332" i="30"/>
  <c r="DG332" i="30"/>
  <c r="DH332" i="30"/>
  <c r="DI332" i="30"/>
  <c r="DJ332" i="30"/>
  <c r="DK332" i="30"/>
  <c r="DL332" i="30"/>
  <c r="DM332" i="30"/>
  <c r="DN332" i="30"/>
  <c r="DO332" i="30"/>
  <c r="DP332" i="30"/>
  <c r="DQ332" i="30"/>
  <c r="DR332" i="30"/>
  <c r="DS332" i="30"/>
  <c r="DT332" i="30"/>
  <c r="DU332" i="30"/>
  <c r="DV332" i="30"/>
  <c r="DW332" i="30"/>
  <c r="DX332" i="30"/>
  <c r="DY332" i="30"/>
  <c r="DZ332" i="30"/>
  <c r="EA332" i="30"/>
  <c r="EB332" i="30"/>
  <c r="EC332" i="30"/>
  <c r="ED332" i="30"/>
  <c r="EE332" i="30"/>
  <c r="EF332" i="30"/>
  <c r="EG332" i="30"/>
  <c r="EH332" i="30"/>
  <c r="EI332" i="30"/>
  <c r="EJ332" i="30"/>
  <c r="EK332" i="30"/>
  <c r="EL332" i="30"/>
  <c r="EM332" i="30"/>
  <c r="EN332" i="30"/>
  <c r="EO332" i="30"/>
  <c r="EP332" i="30"/>
  <c r="EQ332" i="30"/>
  <c r="ER332" i="30"/>
  <c r="ES332" i="30"/>
  <c r="ET332" i="30"/>
  <c r="EU332" i="30"/>
  <c r="EV332" i="30"/>
  <c r="EW332" i="30"/>
  <c r="EX332" i="30"/>
  <c r="EY332" i="30"/>
  <c r="EZ332" i="30"/>
  <c r="FA332" i="30"/>
  <c r="FB332" i="30"/>
  <c r="FC332" i="30"/>
  <c r="FD332" i="30"/>
  <c r="FE332" i="30"/>
  <c r="FF332" i="30"/>
  <c r="FG332" i="30"/>
  <c r="FH332" i="30"/>
  <c r="FI332" i="30"/>
  <c r="FJ332" i="30"/>
  <c r="FK332" i="30"/>
  <c r="FL332" i="30"/>
  <c r="FM332" i="30"/>
  <c r="FN332" i="30"/>
  <c r="FO332" i="30"/>
  <c r="FP332" i="30"/>
  <c r="FQ332" i="30"/>
  <c r="FR332" i="30"/>
  <c r="FS332" i="30"/>
  <c r="FT332" i="30"/>
  <c r="FU332" i="30"/>
  <c r="FV332" i="30"/>
  <c r="FW332" i="30"/>
  <c r="FX332" i="30"/>
  <c r="FY332" i="30"/>
  <c r="FZ332" i="30"/>
  <c r="GA332" i="30"/>
  <c r="GB332" i="30"/>
  <c r="GC332" i="30"/>
  <c r="GD332" i="30"/>
  <c r="GE332" i="30"/>
  <c r="GF332" i="30"/>
  <c r="GG332" i="30"/>
  <c r="GH332" i="30"/>
  <c r="GI332" i="30"/>
  <c r="GJ332" i="30"/>
  <c r="GK332" i="30"/>
  <c r="GL332" i="30"/>
  <c r="GM332" i="30"/>
  <c r="GN332" i="30"/>
  <c r="GO332" i="30"/>
  <c r="GP332" i="30"/>
  <c r="GQ332" i="30"/>
  <c r="GR332" i="30"/>
  <c r="GS332" i="30"/>
  <c r="GT332" i="30"/>
  <c r="GU332" i="30"/>
  <c r="GV332" i="30"/>
  <c r="GW332" i="30"/>
  <c r="GX332" i="30"/>
  <c r="GY332" i="30"/>
  <c r="GZ332" i="30"/>
  <c r="HA332" i="30"/>
  <c r="HB332" i="30"/>
  <c r="HC332" i="30"/>
  <c r="HD332" i="30"/>
  <c r="HE332" i="30"/>
  <c r="HF332" i="30"/>
  <c r="HG332" i="30"/>
  <c r="HH332" i="30"/>
  <c r="HI332" i="30"/>
  <c r="HJ332" i="30"/>
  <c r="HK332" i="30"/>
  <c r="HL332" i="30"/>
  <c r="HM332" i="30"/>
  <c r="HN332" i="30"/>
  <c r="HO332" i="30"/>
  <c r="HP332" i="30"/>
  <c r="HQ332" i="30"/>
  <c r="HR332" i="30"/>
  <c r="HS332" i="30"/>
  <c r="HT332" i="30"/>
  <c r="HU332" i="30"/>
  <c r="HV332" i="30"/>
  <c r="HW332" i="30"/>
  <c r="HX332" i="30"/>
  <c r="HY332" i="30"/>
  <c r="HZ332" i="30"/>
  <c r="IA332" i="30"/>
  <c r="IB332" i="30"/>
  <c r="IC332" i="30"/>
  <c r="ID332" i="30"/>
  <c r="IE332" i="30"/>
  <c r="IF332" i="30"/>
  <c r="IG332" i="30"/>
  <c r="IH332" i="30"/>
  <c r="II332" i="30"/>
  <c r="IJ332" i="30"/>
  <c r="IK332" i="30"/>
  <c r="IL332" i="30"/>
  <c r="IM332" i="30"/>
  <c r="IN332" i="30"/>
  <c r="IO332" i="30"/>
  <c r="IP332" i="30"/>
  <c r="IQ332" i="30"/>
  <c r="IR332" i="30"/>
  <c r="IS332" i="30"/>
  <c r="IT332" i="30"/>
  <c r="IU332" i="30"/>
  <c r="IV332" i="30"/>
  <c r="A331" i="30"/>
  <c r="B331" i="30"/>
  <c r="C331" i="30"/>
  <c r="D331" i="30"/>
  <c r="E331" i="30"/>
  <c r="F331" i="30"/>
  <c r="G331" i="30"/>
  <c r="H331" i="30"/>
  <c r="I331" i="30"/>
  <c r="J331" i="30"/>
  <c r="K331" i="30"/>
  <c r="L331" i="30"/>
  <c r="M331" i="30"/>
  <c r="N331" i="30"/>
  <c r="O331" i="30"/>
  <c r="P331" i="30"/>
  <c r="Q331" i="30"/>
  <c r="R331" i="30"/>
  <c r="S331" i="30"/>
  <c r="T331" i="30"/>
  <c r="U331" i="30"/>
  <c r="V331" i="30"/>
  <c r="W331" i="30"/>
  <c r="X331" i="30"/>
  <c r="Y331" i="30"/>
  <c r="Z331" i="30"/>
  <c r="AA331" i="30"/>
  <c r="AB331" i="30"/>
  <c r="AC331" i="30"/>
  <c r="AD331" i="30"/>
  <c r="AE331" i="30"/>
  <c r="AF331" i="30"/>
  <c r="AG331" i="30"/>
  <c r="AH331" i="30"/>
  <c r="AI331" i="30"/>
  <c r="AJ331" i="30"/>
  <c r="AK331" i="30"/>
  <c r="AL331" i="30"/>
  <c r="AM331" i="30"/>
  <c r="AN331" i="30"/>
  <c r="AO331" i="30"/>
  <c r="AP331" i="30"/>
  <c r="AQ331" i="30"/>
  <c r="AR331" i="30"/>
  <c r="AS331" i="30"/>
  <c r="AT331" i="30"/>
  <c r="AU331" i="30"/>
  <c r="AV331" i="30"/>
  <c r="AW331" i="30"/>
  <c r="AX331" i="30"/>
  <c r="AY331" i="30"/>
  <c r="AZ331" i="30"/>
  <c r="BA331" i="30"/>
  <c r="BB331" i="30"/>
  <c r="BC331" i="30"/>
  <c r="BD331" i="30"/>
  <c r="BE331" i="30"/>
  <c r="BF331" i="30"/>
  <c r="BG331" i="30"/>
  <c r="BH331" i="30"/>
  <c r="BI331" i="30"/>
  <c r="BJ331" i="30"/>
  <c r="BK331" i="30"/>
  <c r="BL331" i="30"/>
  <c r="BM331" i="30"/>
  <c r="BN331" i="30"/>
  <c r="BO331" i="30"/>
  <c r="BP331" i="30"/>
  <c r="BQ331" i="30"/>
  <c r="BR331" i="30"/>
  <c r="BS331" i="30"/>
  <c r="BT331" i="30"/>
  <c r="BU331" i="30"/>
  <c r="BV331" i="30"/>
  <c r="BW331" i="30"/>
  <c r="BX331" i="30"/>
  <c r="BY331" i="30"/>
  <c r="BZ331" i="30"/>
  <c r="CA331" i="30"/>
  <c r="CB331" i="30"/>
  <c r="CC331" i="30"/>
  <c r="CD331" i="30"/>
  <c r="CE331" i="30"/>
  <c r="CF331" i="30"/>
  <c r="CG331" i="30"/>
  <c r="CH331" i="30"/>
  <c r="CI331" i="30"/>
  <c r="CJ331" i="30"/>
  <c r="CK331" i="30"/>
  <c r="CL331" i="30"/>
  <c r="CM331" i="30"/>
  <c r="CN331" i="30"/>
  <c r="CO331" i="30"/>
  <c r="CP331" i="30"/>
  <c r="CQ331" i="30"/>
  <c r="CR331" i="30"/>
  <c r="CS331" i="30"/>
  <c r="CT331" i="30"/>
  <c r="CU331" i="30"/>
  <c r="CV331" i="30"/>
  <c r="CW331" i="30"/>
  <c r="CX331" i="30"/>
  <c r="CY331" i="30"/>
  <c r="CZ331" i="30"/>
  <c r="DA331" i="30"/>
  <c r="DB331" i="30"/>
  <c r="DC331" i="30"/>
  <c r="DD331" i="30"/>
  <c r="DE331" i="30"/>
  <c r="DF331" i="30"/>
  <c r="DG331" i="30"/>
  <c r="DH331" i="30"/>
  <c r="DI331" i="30"/>
  <c r="DJ331" i="30"/>
  <c r="DK331" i="30"/>
  <c r="DL331" i="30"/>
  <c r="DM331" i="30"/>
  <c r="DN331" i="30"/>
  <c r="DO331" i="30"/>
  <c r="DP331" i="30"/>
  <c r="DQ331" i="30"/>
  <c r="DR331" i="30"/>
  <c r="DS331" i="30"/>
  <c r="DT331" i="30"/>
  <c r="DU331" i="30"/>
  <c r="DV331" i="30"/>
  <c r="DW331" i="30"/>
  <c r="DX331" i="30"/>
  <c r="DY331" i="30"/>
  <c r="DZ331" i="30"/>
  <c r="EA331" i="30"/>
  <c r="EB331" i="30"/>
  <c r="EC331" i="30"/>
  <c r="ED331" i="30"/>
  <c r="EE331" i="30"/>
  <c r="EF331" i="30"/>
  <c r="EG331" i="30"/>
  <c r="EH331" i="30"/>
  <c r="EI331" i="30"/>
  <c r="EJ331" i="30"/>
  <c r="EK331" i="30"/>
  <c r="EL331" i="30"/>
  <c r="EM331" i="30"/>
  <c r="EN331" i="30"/>
  <c r="EO331" i="30"/>
  <c r="EP331" i="30"/>
  <c r="EQ331" i="30"/>
  <c r="ER331" i="30"/>
  <c r="ES331" i="30"/>
  <c r="ET331" i="30"/>
  <c r="EU331" i="30"/>
  <c r="EV331" i="30"/>
  <c r="EW331" i="30"/>
  <c r="EX331" i="30"/>
  <c r="EY331" i="30"/>
  <c r="EZ331" i="30"/>
  <c r="FA331" i="30"/>
  <c r="FB331" i="30"/>
  <c r="FC331" i="30"/>
  <c r="FD331" i="30"/>
  <c r="FE331" i="30"/>
  <c r="FF331" i="30"/>
  <c r="FG331" i="30"/>
  <c r="FH331" i="30"/>
  <c r="FI331" i="30"/>
  <c r="FJ331" i="30"/>
  <c r="FK331" i="30"/>
  <c r="FL331" i="30"/>
  <c r="FM331" i="30"/>
  <c r="FN331" i="30"/>
  <c r="FO331" i="30"/>
  <c r="FP331" i="30"/>
  <c r="FQ331" i="30"/>
  <c r="FR331" i="30"/>
  <c r="FS331" i="30"/>
  <c r="FT331" i="30"/>
  <c r="FU331" i="30"/>
  <c r="FV331" i="30"/>
  <c r="FW331" i="30"/>
  <c r="FX331" i="30"/>
  <c r="FY331" i="30"/>
  <c r="FZ331" i="30"/>
  <c r="GA331" i="30"/>
  <c r="GB331" i="30"/>
  <c r="GC331" i="30"/>
  <c r="GD331" i="30"/>
  <c r="GE331" i="30"/>
  <c r="GF331" i="30"/>
  <c r="GG331" i="30"/>
  <c r="GH331" i="30"/>
  <c r="GI331" i="30"/>
  <c r="GJ331" i="30"/>
  <c r="GK331" i="30"/>
  <c r="GL331" i="30"/>
  <c r="GM331" i="30"/>
  <c r="GN331" i="30"/>
  <c r="GO331" i="30"/>
  <c r="GP331" i="30"/>
  <c r="GQ331" i="30"/>
  <c r="GR331" i="30"/>
  <c r="GS331" i="30"/>
  <c r="GT331" i="30"/>
  <c r="GU331" i="30"/>
  <c r="GV331" i="30"/>
  <c r="GW331" i="30"/>
  <c r="GX331" i="30"/>
  <c r="GY331" i="30"/>
  <c r="GZ331" i="30"/>
  <c r="HA331" i="30"/>
  <c r="HB331" i="30"/>
  <c r="HC331" i="30"/>
  <c r="HD331" i="30"/>
  <c r="HE331" i="30"/>
  <c r="HF331" i="30"/>
  <c r="HG331" i="30"/>
  <c r="HH331" i="30"/>
  <c r="HI331" i="30"/>
  <c r="HJ331" i="30"/>
  <c r="HK331" i="30"/>
  <c r="HL331" i="30"/>
  <c r="HM331" i="30"/>
  <c r="HN331" i="30"/>
  <c r="HO331" i="30"/>
  <c r="HP331" i="30"/>
  <c r="HQ331" i="30"/>
  <c r="HR331" i="30"/>
  <c r="HS331" i="30"/>
  <c r="HT331" i="30"/>
  <c r="HU331" i="30"/>
  <c r="HV331" i="30"/>
  <c r="HW331" i="30"/>
  <c r="HX331" i="30"/>
  <c r="HY331" i="30"/>
  <c r="HZ331" i="30"/>
  <c r="IA331" i="30"/>
  <c r="IB331" i="30"/>
  <c r="IC331" i="30"/>
  <c r="ID331" i="30"/>
  <c r="IE331" i="30"/>
  <c r="IF331" i="30"/>
  <c r="IG331" i="30"/>
  <c r="IH331" i="30"/>
  <c r="II331" i="30"/>
  <c r="IJ331" i="30"/>
  <c r="IK331" i="30"/>
  <c r="IL331" i="30"/>
  <c r="IM331" i="30"/>
  <c r="IN331" i="30"/>
  <c r="IO331" i="30"/>
  <c r="IP331" i="30"/>
  <c r="IQ331" i="30"/>
  <c r="IR331" i="30"/>
  <c r="IS331" i="30"/>
  <c r="IT331" i="30"/>
  <c r="IU331" i="30"/>
  <c r="IV331" i="30"/>
  <c r="A330" i="30"/>
  <c r="B330" i="30"/>
  <c r="C330" i="30"/>
  <c r="D330" i="30"/>
  <c r="E330" i="30"/>
  <c r="F330" i="30"/>
  <c r="G330" i="30"/>
  <c r="H330" i="30"/>
  <c r="I330" i="30"/>
  <c r="J330" i="30"/>
  <c r="K330" i="30"/>
  <c r="L330" i="30"/>
  <c r="M330" i="30"/>
  <c r="N330" i="30"/>
  <c r="O330" i="30"/>
  <c r="P330" i="30"/>
  <c r="Q330" i="30"/>
  <c r="R330" i="30"/>
  <c r="S330" i="30"/>
  <c r="T330" i="30"/>
  <c r="U330" i="30"/>
  <c r="V330" i="30"/>
  <c r="W330" i="30"/>
  <c r="X330" i="30"/>
  <c r="Y330" i="30"/>
  <c r="Z330" i="30"/>
  <c r="AA330" i="30"/>
  <c r="AB330" i="30"/>
  <c r="AC330" i="30"/>
  <c r="AD330" i="30"/>
  <c r="AE330" i="30"/>
  <c r="AF330" i="30"/>
  <c r="AG330" i="30"/>
  <c r="AH330" i="30"/>
  <c r="AI330" i="30"/>
  <c r="AJ330" i="30"/>
  <c r="AK330" i="30"/>
  <c r="AL330" i="30"/>
  <c r="AM330" i="30"/>
  <c r="AN330" i="30"/>
  <c r="AO330" i="30"/>
  <c r="AP330" i="30"/>
  <c r="AQ330" i="30"/>
  <c r="AR330" i="30"/>
  <c r="AS330" i="30"/>
  <c r="AT330" i="30"/>
  <c r="AU330" i="30"/>
  <c r="AV330" i="30"/>
  <c r="AW330" i="30"/>
  <c r="AX330" i="30"/>
  <c r="AY330" i="30"/>
  <c r="AZ330" i="30"/>
  <c r="BA330" i="30"/>
  <c r="BB330" i="30"/>
  <c r="BC330" i="30"/>
  <c r="BD330" i="30"/>
  <c r="BE330" i="30"/>
  <c r="BF330" i="30"/>
  <c r="BG330" i="30"/>
  <c r="BH330" i="30"/>
  <c r="BI330" i="30"/>
  <c r="BJ330" i="30"/>
  <c r="BK330" i="30"/>
  <c r="BL330" i="30"/>
  <c r="BM330" i="30"/>
  <c r="BN330" i="30"/>
  <c r="BO330" i="30"/>
  <c r="BP330" i="30"/>
  <c r="BQ330" i="30"/>
  <c r="BR330" i="30"/>
  <c r="BS330" i="30"/>
  <c r="BT330" i="30"/>
  <c r="BU330" i="30"/>
  <c r="BV330" i="30"/>
  <c r="BW330" i="30"/>
  <c r="BX330" i="30"/>
  <c r="BY330" i="30"/>
  <c r="BZ330" i="30"/>
  <c r="CA330" i="30"/>
  <c r="CB330" i="30"/>
  <c r="CC330" i="30"/>
  <c r="CD330" i="30"/>
  <c r="CE330" i="30"/>
  <c r="CF330" i="30"/>
  <c r="CG330" i="30"/>
  <c r="CH330" i="30"/>
  <c r="CI330" i="30"/>
  <c r="CJ330" i="30"/>
  <c r="CK330" i="30"/>
  <c r="CL330" i="30"/>
  <c r="CM330" i="30"/>
  <c r="CN330" i="30"/>
  <c r="CO330" i="30"/>
  <c r="CP330" i="30"/>
  <c r="CQ330" i="30"/>
  <c r="CR330" i="30"/>
  <c r="CS330" i="30"/>
  <c r="CT330" i="30"/>
  <c r="CU330" i="30"/>
  <c r="CV330" i="30"/>
  <c r="CW330" i="30"/>
  <c r="CX330" i="30"/>
  <c r="CY330" i="30"/>
  <c r="CZ330" i="30"/>
  <c r="DA330" i="30"/>
  <c r="DB330" i="30"/>
  <c r="DC330" i="30"/>
  <c r="DD330" i="30"/>
  <c r="DE330" i="30"/>
  <c r="DF330" i="30"/>
  <c r="DG330" i="30"/>
  <c r="DH330" i="30"/>
  <c r="DI330" i="30"/>
  <c r="DJ330" i="30"/>
  <c r="DK330" i="30"/>
  <c r="DL330" i="30"/>
  <c r="DM330" i="30"/>
  <c r="DN330" i="30"/>
  <c r="DO330" i="30"/>
  <c r="DP330" i="30"/>
  <c r="DQ330" i="30"/>
  <c r="DR330" i="30"/>
  <c r="DS330" i="30"/>
  <c r="DT330" i="30"/>
  <c r="DU330" i="30"/>
  <c r="DV330" i="30"/>
  <c r="DW330" i="30"/>
  <c r="DX330" i="30"/>
  <c r="DY330" i="30"/>
  <c r="DZ330" i="30"/>
  <c r="EA330" i="30"/>
  <c r="EB330" i="30"/>
  <c r="EC330" i="30"/>
  <c r="ED330" i="30"/>
  <c r="EE330" i="30"/>
  <c r="EF330" i="30"/>
  <c r="EG330" i="30"/>
  <c r="EH330" i="30"/>
  <c r="EI330" i="30"/>
  <c r="EJ330" i="30"/>
  <c r="EK330" i="30"/>
  <c r="EL330" i="30"/>
  <c r="EM330" i="30"/>
  <c r="EN330" i="30"/>
  <c r="EO330" i="30"/>
  <c r="EP330" i="30"/>
  <c r="EQ330" i="30"/>
  <c r="ER330" i="30"/>
  <c r="ES330" i="30"/>
  <c r="ET330" i="30"/>
  <c r="EU330" i="30"/>
  <c r="EV330" i="30"/>
  <c r="EW330" i="30"/>
  <c r="EX330" i="30"/>
  <c r="EY330" i="30"/>
  <c r="EZ330" i="30"/>
  <c r="FA330" i="30"/>
  <c r="FB330" i="30"/>
  <c r="FC330" i="30"/>
  <c r="FD330" i="30"/>
  <c r="FE330" i="30"/>
  <c r="FF330" i="30"/>
  <c r="FG330" i="30"/>
  <c r="FH330" i="30"/>
  <c r="FI330" i="30"/>
  <c r="FJ330" i="30"/>
  <c r="FK330" i="30"/>
  <c r="FL330" i="30"/>
  <c r="FM330" i="30"/>
  <c r="FN330" i="30"/>
  <c r="FO330" i="30"/>
  <c r="FP330" i="30"/>
  <c r="FQ330" i="30"/>
  <c r="FR330" i="30"/>
  <c r="FS330" i="30"/>
  <c r="FT330" i="30"/>
  <c r="FU330" i="30"/>
  <c r="FV330" i="30"/>
  <c r="FW330" i="30"/>
  <c r="FX330" i="30"/>
  <c r="FY330" i="30"/>
  <c r="FZ330" i="30"/>
  <c r="GA330" i="30"/>
  <c r="GB330" i="30"/>
  <c r="GC330" i="30"/>
  <c r="GD330" i="30"/>
  <c r="GE330" i="30"/>
  <c r="GF330" i="30"/>
  <c r="GG330" i="30"/>
  <c r="GH330" i="30"/>
  <c r="GI330" i="30"/>
  <c r="GJ330" i="30"/>
  <c r="GK330" i="30"/>
  <c r="GL330" i="30"/>
  <c r="GM330" i="30"/>
  <c r="GN330" i="30"/>
  <c r="GO330" i="30"/>
  <c r="GP330" i="30"/>
  <c r="GQ330" i="30"/>
  <c r="GR330" i="30"/>
  <c r="GS330" i="30"/>
  <c r="GT330" i="30"/>
  <c r="GU330" i="30"/>
  <c r="GV330" i="30"/>
  <c r="GW330" i="30"/>
  <c r="GX330" i="30"/>
  <c r="GY330" i="30"/>
  <c r="GZ330" i="30"/>
  <c r="HA330" i="30"/>
  <c r="HB330" i="30"/>
  <c r="HC330" i="30"/>
  <c r="HD330" i="30"/>
  <c r="HE330" i="30"/>
  <c r="HF330" i="30"/>
  <c r="HG330" i="30"/>
  <c r="HH330" i="30"/>
  <c r="HI330" i="30"/>
  <c r="HJ330" i="30"/>
  <c r="HK330" i="30"/>
  <c r="HL330" i="30"/>
  <c r="HM330" i="30"/>
  <c r="HN330" i="30"/>
  <c r="HO330" i="30"/>
  <c r="HP330" i="30"/>
  <c r="HQ330" i="30"/>
  <c r="HR330" i="30"/>
  <c r="HS330" i="30"/>
  <c r="HT330" i="30"/>
  <c r="HU330" i="30"/>
  <c r="HV330" i="30"/>
  <c r="HW330" i="30"/>
  <c r="HX330" i="30"/>
  <c r="HY330" i="30"/>
  <c r="HZ330" i="30"/>
  <c r="IA330" i="30"/>
  <c r="IB330" i="30"/>
  <c r="IC330" i="30"/>
  <c r="ID330" i="30"/>
  <c r="IE330" i="30"/>
  <c r="IF330" i="30"/>
  <c r="IG330" i="30"/>
  <c r="IH330" i="30"/>
  <c r="II330" i="30"/>
  <c r="IJ330" i="30"/>
  <c r="IK330" i="30"/>
  <c r="IL330" i="30"/>
  <c r="IM330" i="30"/>
  <c r="IN330" i="30"/>
  <c r="IO330" i="30"/>
  <c r="IP330" i="30"/>
  <c r="IQ330" i="30"/>
  <c r="IR330" i="30"/>
  <c r="IS330" i="30"/>
  <c r="IT330" i="30"/>
  <c r="IU330" i="30"/>
  <c r="IV330" i="30"/>
  <c r="A329" i="30"/>
  <c r="B329" i="30"/>
  <c r="C329" i="30"/>
  <c r="D329" i="30"/>
  <c r="E329" i="30"/>
  <c r="F329" i="30"/>
  <c r="G329" i="30"/>
  <c r="H329" i="30"/>
  <c r="I329" i="30"/>
  <c r="J329" i="30"/>
  <c r="K329" i="30"/>
  <c r="L329" i="30"/>
  <c r="M329" i="30"/>
  <c r="N329" i="30"/>
  <c r="O329" i="30"/>
  <c r="P329" i="30"/>
  <c r="Q329" i="30"/>
  <c r="R329" i="30"/>
  <c r="S329" i="30"/>
  <c r="T329" i="30"/>
  <c r="U329" i="30"/>
  <c r="V329" i="30"/>
  <c r="W329" i="30"/>
  <c r="X329" i="30"/>
  <c r="Y329" i="30"/>
  <c r="Z329" i="30"/>
  <c r="AA329" i="30"/>
  <c r="AB329" i="30"/>
  <c r="AC329" i="30"/>
  <c r="AD329" i="30"/>
  <c r="AE329" i="30"/>
  <c r="AF329" i="30"/>
  <c r="AG329" i="30"/>
  <c r="AH329" i="30"/>
  <c r="AI329" i="30"/>
  <c r="AJ329" i="30"/>
  <c r="AK329" i="30"/>
  <c r="AL329" i="30"/>
  <c r="AM329" i="30"/>
  <c r="AN329" i="30"/>
  <c r="AO329" i="30"/>
  <c r="AP329" i="30"/>
  <c r="AQ329" i="30"/>
  <c r="AR329" i="30"/>
  <c r="AS329" i="30"/>
  <c r="AT329" i="30"/>
  <c r="AU329" i="30"/>
  <c r="AV329" i="30"/>
  <c r="AW329" i="30"/>
  <c r="AX329" i="30"/>
  <c r="AY329" i="30"/>
  <c r="AZ329" i="30"/>
  <c r="BA329" i="30"/>
  <c r="BB329" i="30"/>
  <c r="BC329" i="30"/>
  <c r="BD329" i="30"/>
  <c r="BE329" i="30"/>
  <c r="BF329" i="30"/>
  <c r="BG329" i="30"/>
  <c r="BH329" i="30"/>
  <c r="BI329" i="30"/>
  <c r="BJ329" i="30"/>
  <c r="BK329" i="30"/>
  <c r="BL329" i="30"/>
  <c r="BM329" i="30"/>
  <c r="BN329" i="30"/>
  <c r="BO329" i="30"/>
  <c r="BP329" i="30"/>
  <c r="BQ329" i="30"/>
  <c r="BR329" i="30"/>
  <c r="BS329" i="30"/>
  <c r="BT329" i="30"/>
  <c r="BU329" i="30"/>
  <c r="BV329" i="30"/>
  <c r="BW329" i="30"/>
  <c r="BX329" i="30"/>
  <c r="BY329" i="30"/>
  <c r="BZ329" i="30"/>
  <c r="CA329" i="30"/>
  <c r="CB329" i="30"/>
  <c r="CC329" i="30"/>
  <c r="CD329" i="30"/>
  <c r="CE329" i="30"/>
  <c r="CF329" i="30"/>
  <c r="CG329" i="30"/>
  <c r="CH329" i="30"/>
  <c r="CI329" i="30"/>
  <c r="CJ329" i="30"/>
  <c r="CK329" i="30"/>
  <c r="CL329" i="30"/>
  <c r="CM329" i="30"/>
  <c r="CN329" i="30"/>
  <c r="CO329" i="30"/>
  <c r="CP329" i="30"/>
  <c r="CQ329" i="30"/>
  <c r="CR329" i="30"/>
  <c r="CS329" i="30"/>
  <c r="CT329" i="30"/>
  <c r="CU329" i="30"/>
  <c r="CV329" i="30"/>
  <c r="CW329" i="30"/>
  <c r="CX329" i="30"/>
  <c r="CY329" i="30"/>
  <c r="CZ329" i="30"/>
  <c r="DA329" i="30"/>
  <c r="DB329" i="30"/>
  <c r="DC329" i="30"/>
  <c r="DD329" i="30"/>
  <c r="DE329" i="30"/>
  <c r="DF329" i="30"/>
  <c r="DG329" i="30"/>
  <c r="DH329" i="30"/>
  <c r="DI329" i="30"/>
  <c r="DJ329" i="30"/>
  <c r="DK329" i="30"/>
  <c r="DL329" i="30"/>
  <c r="DM329" i="30"/>
  <c r="DN329" i="30"/>
  <c r="DO329" i="30"/>
  <c r="DP329" i="30"/>
  <c r="DQ329" i="30"/>
  <c r="DR329" i="30"/>
  <c r="DS329" i="30"/>
  <c r="DT329" i="30"/>
  <c r="DU329" i="30"/>
  <c r="DV329" i="30"/>
  <c r="DW329" i="30"/>
  <c r="DX329" i="30"/>
  <c r="DY329" i="30"/>
  <c r="DZ329" i="30"/>
  <c r="EA329" i="30"/>
  <c r="EB329" i="30"/>
  <c r="EC329" i="30"/>
  <c r="ED329" i="30"/>
  <c r="EE329" i="30"/>
  <c r="EF329" i="30"/>
  <c r="EG329" i="30"/>
  <c r="EH329" i="30"/>
  <c r="EI329" i="30"/>
  <c r="EJ329" i="30"/>
  <c r="EK329" i="30"/>
  <c r="EL329" i="30"/>
  <c r="EM329" i="30"/>
  <c r="EN329" i="30"/>
  <c r="EO329" i="30"/>
  <c r="EP329" i="30"/>
  <c r="EQ329" i="30"/>
  <c r="ER329" i="30"/>
  <c r="ES329" i="30"/>
  <c r="ET329" i="30"/>
  <c r="EU329" i="30"/>
  <c r="EV329" i="30"/>
  <c r="EW329" i="30"/>
  <c r="EX329" i="30"/>
  <c r="EY329" i="30"/>
  <c r="EZ329" i="30"/>
  <c r="FA329" i="30"/>
  <c r="FB329" i="30"/>
  <c r="FC329" i="30"/>
  <c r="FD329" i="30"/>
  <c r="FE329" i="30"/>
  <c r="FF329" i="30"/>
  <c r="FG329" i="30"/>
  <c r="FH329" i="30"/>
  <c r="FI329" i="30"/>
  <c r="FJ329" i="30"/>
  <c r="FK329" i="30"/>
  <c r="FL329" i="30"/>
  <c r="FM329" i="30"/>
  <c r="FN329" i="30"/>
  <c r="FO329" i="30"/>
  <c r="FP329" i="30"/>
  <c r="FQ329" i="30"/>
  <c r="FR329" i="30"/>
  <c r="FS329" i="30"/>
  <c r="FT329" i="30"/>
  <c r="FU329" i="30"/>
  <c r="FV329" i="30"/>
  <c r="FW329" i="30"/>
  <c r="FX329" i="30"/>
  <c r="FY329" i="30"/>
  <c r="FZ329" i="30"/>
  <c r="GA329" i="30"/>
  <c r="GB329" i="30"/>
  <c r="GC329" i="30"/>
  <c r="GD329" i="30"/>
  <c r="GE329" i="30"/>
  <c r="GF329" i="30"/>
  <c r="GG329" i="30"/>
  <c r="GH329" i="30"/>
  <c r="GI329" i="30"/>
  <c r="GJ329" i="30"/>
  <c r="GK329" i="30"/>
  <c r="GL329" i="30"/>
  <c r="GM329" i="30"/>
  <c r="GN329" i="30"/>
  <c r="GO329" i="30"/>
  <c r="GP329" i="30"/>
  <c r="GQ329" i="30"/>
  <c r="GR329" i="30"/>
  <c r="GS329" i="30"/>
  <c r="GT329" i="30"/>
  <c r="GU329" i="30"/>
  <c r="GV329" i="30"/>
  <c r="GW329" i="30"/>
  <c r="GX329" i="30"/>
  <c r="GY329" i="30"/>
  <c r="GZ329" i="30"/>
  <c r="HA329" i="30"/>
  <c r="HB329" i="30"/>
  <c r="HC329" i="30"/>
  <c r="HD329" i="30"/>
  <c r="HE329" i="30"/>
  <c r="HF329" i="30"/>
  <c r="HG329" i="30"/>
  <c r="HH329" i="30"/>
  <c r="HI329" i="30"/>
  <c r="HJ329" i="30"/>
  <c r="HK329" i="30"/>
  <c r="HL329" i="30"/>
  <c r="HM329" i="30"/>
  <c r="HN329" i="30"/>
  <c r="HO329" i="30"/>
  <c r="HP329" i="30"/>
  <c r="HQ329" i="30"/>
  <c r="HR329" i="30"/>
  <c r="HS329" i="30"/>
  <c r="HT329" i="30"/>
  <c r="HU329" i="30"/>
  <c r="HV329" i="30"/>
  <c r="HW329" i="30"/>
  <c r="HX329" i="30"/>
  <c r="HY329" i="30"/>
  <c r="HZ329" i="30"/>
  <c r="IA329" i="30"/>
  <c r="IB329" i="30"/>
  <c r="IC329" i="30"/>
  <c r="ID329" i="30"/>
  <c r="IE329" i="30"/>
  <c r="IF329" i="30"/>
  <c r="IG329" i="30"/>
  <c r="IH329" i="30"/>
  <c r="II329" i="30"/>
  <c r="IJ329" i="30"/>
  <c r="IK329" i="30"/>
  <c r="IL329" i="30"/>
  <c r="IM329" i="30"/>
  <c r="IN329" i="30"/>
  <c r="IO329" i="30"/>
  <c r="IP329" i="30"/>
  <c r="IQ329" i="30"/>
  <c r="IR329" i="30"/>
  <c r="IS329" i="30"/>
  <c r="IT329" i="30"/>
  <c r="IU329" i="30"/>
  <c r="IV329" i="30"/>
  <c r="A328" i="30"/>
  <c r="B328" i="30"/>
  <c r="C328" i="30"/>
  <c r="D328" i="30"/>
  <c r="E328" i="30"/>
  <c r="F328" i="30"/>
  <c r="G328" i="30"/>
  <c r="H328" i="30"/>
  <c r="I328" i="30"/>
  <c r="J328" i="30"/>
  <c r="K328" i="30"/>
  <c r="L328" i="30"/>
  <c r="M328" i="30"/>
  <c r="N328" i="30"/>
  <c r="O328" i="30"/>
  <c r="P328" i="30"/>
  <c r="Q328" i="30"/>
  <c r="R328" i="30"/>
  <c r="S328" i="30"/>
  <c r="T328" i="30"/>
  <c r="U328" i="30"/>
  <c r="V328" i="30"/>
  <c r="W328" i="30"/>
  <c r="X328" i="30"/>
  <c r="Y328" i="30"/>
  <c r="Z328" i="30"/>
  <c r="AA328" i="30"/>
  <c r="AB328" i="30"/>
  <c r="AC328" i="30"/>
  <c r="AD328" i="30"/>
  <c r="AE328" i="30"/>
  <c r="AF328" i="30"/>
  <c r="AG328" i="30"/>
  <c r="AH328" i="30"/>
  <c r="AI328" i="30"/>
  <c r="AJ328" i="30"/>
  <c r="AK328" i="30"/>
  <c r="AL328" i="30"/>
  <c r="AM328" i="30"/>
  <c r="AN328" i="30"/>
  <c r="AO328" i="30"/>
  <c r="AP328" i="30"/>
  <c r="AQ328" i="30"/>
  <c r="AR328" i="30"/>
  <c r="AS328" i="30"/>
  <c r="AT328" i="30"/>
  <c r="AU328" i="30"/>
  <c r="AV328" i="30"/>
  <c r="AW328" i="30"/>
  <c r="AX328" i="30"/>
  <c r="AY328" i="30"/>
  <c r="AZ328" i="30"/>
  <c r="BA328" i="30"/>
  <c r="BB328" i="30"/>
  <c r="BC328" i="30"/>
  <c r="BD328" i="30"/>
  <c r="BE328" i="30"/>
  <c r="BF328" i="30"/>
  <c r="BG328" i="30"/>
  <c r="BH328" i="30"/>
  <c r="BI328" i="30"/>
  <c r="BJ328" i="30"/>
  <c r="BK328" i="30"/>
  <c r="BL328" i="30"/>
  <c r="BM328" i="30"/>
  <c r="BN328" i="30"/>
  <c r="BO328" i="30"/>
  <c r="BP328" i="30"/>
  <c r="BQ328" i="30"/>
  <c r="BR328" i="30"/>
  <c r="BS328" i="30"/>
  <c r="BT328" i="30"/>
  <c r="BU328" i="30"/>
  <c r="BV328" i="30"/>
  <c r="BW328" i="30"/>
  <c r="BX328" i="30"/>
  <c r="BY328" i="30"/>
  <c r="BZ328" i="30"/>
  <c r="CA328" i="30"/>
  <c r="CB328" i="30"/>
  <c r="CC328" i="30"/>
  <c r="CD328" i="30"/>
  <c r="CE328" i="30"/>
  <c r="CF328" i="30"/>
  <c r="CG328" i="30"/>
  <c r="CH328" i="30"/>
  <c r="CI328" i="30"/>
  <c r="CJ328" i="30"/>
  <c r="CK328" i="30"/>
  <c r="CL328" i="30"/>
  <c r="CM328" i="30"/>
  <c r="CN328" i="30"/>
  <c r="CO328" i="30"/>
  <c r="CP328" i="30"/>
  <c r="CQ328" i="30"/>
  <c r="CR328" i="30"/>
  <c r="CS328" i="30"/>
  <c r="CT328" i="30"/>
  <c r="CU328" i="30"/>
  <c r="CV328" i="30"/>
  <c r="CW328" i="30"/>
  <c r="CX328" i="30"/>
  <c r="CY328" i="30"/>
  <c r="CZ328" i="30"/>
  <c r="DA328" i="30"/>
  <c r="DB328" i="30"/>
  <c r="DC328" i="30"/>
  <c r="DD328" i="30"/>
  <c r="DE328" i="30"/>
  <c r="DF328" i="30"/>
  <c r="DG328" i="30"/>
  <c r="DH328" i="30"/>
  <c r="DI328" i="30"/>
  <c r="DJ328" i="30"/>
  <c r="DK328" i="30"/>
  <c r="DL328" i="30"/>
  <c r="DM328" i="30"/>
  <c r="DN328" i="30"/>
  <c r="DO328" i="30"/>
  <c r="DP328" i="30"/>
  <c r="DQ328" i="30"/>
  <c r="DR328" i="30"/>
  <c r="DS328" i="30"/>
  <c r="DT328" i="30"/>
  <c r="DU328" i="30"/>
  <c r="DV328" i="30"/>
  <c r="DW328" i="30"/>
  <c r="DX328" i="30"/>
  <c r="DY328" i="30"/>
  <c r="DZ328" i="30"/>
  <c r="EA328" i="30"/>
  <c r="EB328" i="30"/>
  <c r="EC328" i="30"/>
  <c r="ED328" i="30"/>
  <c r="EE328" i="30"/>
  <c r="EF328" i="30"/>
  <c r="EG328" i="30"/>
  <c r="EH328" i="30"/>
  <c r="EI328" i="30"/>
  <c r="EJ328" i="30"/>
  <c r="EK328" i="30"/>
  <c r="EL328" i="30"/>
  <c r="EM328" i="30"/>
  <c r="EN328" i="30"/>
  <c r="EO328" i="30"/>
  <c r="EP328" i="30"/>
  <c r="EQ328" i="30"/>
  <c r="ER328" i="30"/>
  <c r="ES328" i="30"/>
  <c r="ET328" i="30"/>
  <c r="EU328" i="30"/>
  <c r="EV328" i="30"/>
  <c r="EW328" i="30"/>
  <c r="EX328" i="30"/>
  <c r="EY328" i="30"/>
  <c r="EZ328" i="30"/>
  <c r="FA328" i="30"/>
  <c r="FB328" i="30"/>
  <c r="FC328" i="30"/>
  <c r="FD328" i="30"/>
  <c r="FE328" i="30"/>
  <c r="FF328" i="30"/>
  <c r="FG328" i="30"/>
  <c r="FH328" i="30"/>
  <c r="FI328" i="30"/>
  <c r="FJ328" i="30"/>
  <c r="FK328" i="30"/>
  <c r="FL328" i="30"/>
  <c r="FM328" i="30"/>
  <c r="FN328" i="30"/>
  <c r="FO328" i="30"/>
  <c r="FP328" i="30"/>
  <c r="FQ328" i="30"/>
  <c r="FR328" i="30"/>
  <c r="FS328" i="30"/>
  <c r="FT328" i="30"/>
  <c r="FU328" i="30"/>
  <c r="FV328" i="30"/>
  <c r="FW328" i="30"/>
  <c r="FX328" i="30"/>
  <c r="FY328" i="30"/>
  <c r="FZ328" i="30"/>
  <c r="GA328" i="30"/>
  <c r="GB328" i="30"/>
  <c r="GC328" i="30"/>
  <c r="GD328" i="30"/>
  <c r="GE328" i="30"/>
  <c r="GF328" i="30"/>
  <c r="GG328" i="30"/>
  <c r="GH328" i="30"/>
  <c r="GI328" i="30"/>
  <c r="GJ328" i="30"/>
  <c r="GK328" i="30"/>
  <c r="GL328" i="30"/>
  <c r="GM328" i="30"/>
  <c r="GN328" i="30"/>
  <c r="GO328" i="30"/>
  <c r="GP328" i="30"/>
  <c r="GQ328" i="30"/>
  <c r="GR328" i="30"/>
  <c r="GS328" i="30"/>
  <c r="GT328" i="30"/>
  <c r="GU328" i="30"/>
  <c r="GV328" i="30"/>
  <c r="GW328" i="30"/>
  <c r="GX328" i="30"/>
  <c r="GY328" i="30"/>
  <c r="GZ328" i="30"/>
  <c r="HA328" i="30"/>
  <c r="HB328" i="30"/>
  <c r="HC328" i="30"/>
  <c r="HD328" i="30"/>
  <c r="HE328" i="30"/>
  <c r="HF328" i="30"/>
  <c r="HG328" i="30"/>
  <c r="HH328" i="30"/>
  <c r="HI328" i="30"/>
  <c r="HJ328" i="30"/>
  <c r="HK328" i="30"/>
  <c r="HL328" i="30"/>
  <c r="HM328" i="30"/>
  <c r="HN328" i="30"/>
  <c r="HO328" i="30"/>
  <c r="HP328" i="30"/>
  <c r="HQ328" i="30"/>
  <c r="HR328" i="30"/>
  <c r="HS328" i="30"/>
  <c r="HT328" i="30"/>
  <c r="HU328" i="30"/>
  <c r="HV328" i="30"/>
  <c r="HW328" i="30"/>
  <c r="HX328" i="30"/>
  <c r="HY328" i="30"/>
  <c r="HZ328" i="30"/>
  <c r="IA328" i="30"/>
  <c r="IB328" i="30"/>
  <c r="IC328" i="30"/>
  <c r="ID328" i="30"/>
  <c r="IE328" i="30"/>
  <c r="IF328" i="30"/>
  <c r="IG328" i="30"/>
  <c r="IH328" i="30"/>
  <c r="II328" i="30"/>
  <c r="IJ328" i="30"/>
  <c r="IK328" i="30"/>
  <c r="IL328" i="30"/>
  <c r="IM328" i="30"/>
  <c r="IN328" i="30"/>
  <c r="IO328" i="30"/>
  <c r="IP328" i="30"/>
  <c r="IQ328" i="30"/>
  <c r="IR328" i="30"/>
  <c r="IS328" i="30"/>
  <c r="IT328" i="30"/>
  <c r="IU328" i="30"/>
  <c r="IV328" i="30"/>
  <c r="A327" i="30"/>
  <c r="B327" i="30"/>
  <c r="C327" i="30"/>
  <c r="D327" i="30"/>
  <c r="E327" i="30"/>
  <c r="F327" i="30"/>
  <c r="G327" i="30"/>
  <c r="H327" i="30"/>
  <c r="I327" i="30"/>
  <c r="J327" i="30"/>
  <c r="K327" i="30"/>
  <c r="L327" i="30"/>
  <c r="M327" i="30"/>
  <c r="N327" i="30"/>
  <c r="O327" i="30"/>
  <c r="P327" i="30"/>
  <c r="Q327" i="30"/>
  <c r="R327" i="30"/>
  <c r="S327" i="30"/>
  <c r="T327" i="30"/>
  <c r="U327" i="30"/>
  <c r="V327" i="30"/>
  <c r="W327" i="30"/>
  <c r="X327" i="30"/>
  <c r="Y327" i="30"/>
  <c r="Z327" i="30"/>
  <c r="AA327" i="30"/>
  <c r="AB327" i="30"/>
  <c r="AC327" i="30"/>
  <c r="AD327" i="30"/>
  <c r="AE327" i="30"/>
  <c r="AF327" i="30"/>
  <c r="AG327" i="30"/>
  <c r="AH327" i="30"/>
  <c r="AI327" i="30"/>
  <c r="AJ327" i="30"/>
  <c r="AK327" i="30"/>
  <c r="AL327" i="30"/>
  <c r="AM327" i="30"/>
  <c r="AN327" i="30"/>
  <c r="AO327" i="30"/>
  <c r="AP327" i="30"/>
  <c r="AQ327" i="30"/>
  <c r="AR327" i="30"/>
  <c r="AS327" i="30"/>
  <c r="AT327" i="30"/>
  <c r="AU327" i="30"/>
  <c r="AV327" i="30"/>
  <c r="AW327" i="30"/>
  <c r="AX327" i="30"/>
  <c r="AY327" i="30"/>
  <c r="AZ327" i="30"/>
  <c r="BA327" i="30"/>
  <c r="BB327" i="30"/>
  <c r="BC327" i="30"/>
  <c r="BD327" i="30"/>
  <c r="BE327" i="30"/>
  <c r="BF327" i="30"/>
  <c r="BG327" i="30"/>
  <c r="BH327" i="30"/>
  <c r="BI327" i="30"/>
  <c r="BJ327" i="30"/>
  <c r="BK327" i="30"/>
  <c r="BL327" i="30"/>
  <c r="BM327" i="30"/>
  <c r="BN327" i="30"/>
  <c r="BO327" i="30"/>
  <c r="BP327" i="30"/>
  <c r="BQ327" i="30"/>
  <c r="BR327" i="30"/>
  <c r="BS327" i="30"/>
  <c r="BT327" i="30"/>
  <c r="BU327" i="30"/>
  <c r="BV327" i="30"/>
  <c r="BW327" i="30"/>
  <c r="BX327" i="30"/>
  <c r="BY327" i="30"/>
  <c r="BZ327" i="30"/>
  <c r="CA327" i="30"/>
  <c r="CB327" i="30"/>
  <c r="CC327" i="30"/>
  <c r="CD327" i="30"/>
  <c r="CE327" i="30"/>
  <c r="CF327" i="30"/>
  <c r="CG327" i="30"/>
  <c r="CH327" i="30"/>
  <c r="CI327" i="30"/>
  <c r="CJ327" i="30"/>
  <c r="CK327" i="30"/>
  <c r="CL327" i="30"/>
  <c r="CM327" i="30"/>
  <c r="CN327" i="30"/>
  <c r="CO327" i="30"/>
  <c r="CP327" i="30"/>
  <c r="CQ327" i="30"/>
  <c r="CR327" i="30"/>
  <c r="CS327" i="30"/>
  <c r="CT327" i="30"/>
  <c r="CU327" i="30"/>
  <c r="CV327" i="30"/>
  <c r="CW327" i="30"/>
  <c r="CX327" i="30"/>
  <c r="CY327" i="30"/>
  <c r="CZ327" i="30"/>
  <c r="DA327" i="30"/>
  <c r="DB327" i="30"/>
  <c r="DC327" i="30"/>
  <c r="DD327" i="30"/>
  <c r="DE327" i="30"/>
  <c r="DF327" i="30"/>
  <c r="DG327" i="30"/>
  <c r="DH327" i="30"/>
  <c r="DI327" i="30"/>
  <c r="DJ327" i="30"/>
  <c r="DK327" i="30"/>
  <c r="DL327" i="30"/>
  <c r="DM327" i="30"/>
  <c r="DN327" i="30"/>
  <c r="DO327" i="30"/>
  <c r="DP327" i="30"/>
  <c r="DQ327" i="30"/>
  <c r="DR327" i="30"/>
  <c r="DS327" i="30"/>
  <c r="DT327" i="30"/>
  <c r="DU327" i="30"/>
  <c r="DV327" i="30"/>
  <c r="DW327" i="30"/>
  <c r="DX327" i="30"/>
  <c r="DY327" i="30"/>
  <c r="DZ327" i="30"/>
  <c r="EA327" i="30"/>
  <c r="EB327" i="30"/>
  <c r="EC327" i="30"/>
  <c r="ED327" i="30"/>
  <c r="EE327" i="30"/>
  <c r="EF327" i="30"/>
  <c r="EG327" i="30"/>
  <c r="EH327" i="30"/>
  <c r="EI327" i="30"/>
  <c r="EJ327" i="30"/>
  <c r="EK327" i="30"/>
  <c r="EL327" i="30"/>
  <c r="EM327" i="30"/>
  <c r="EN327" i="30"/>
  <c r="EO327" i="30"/>
  <c r="EP327" i="30"/>
  <c r="EQ327" i="30"/>
  <c r="ER327" i="30"/>
  <c r="ES327" i="30"/>
  <c r="ET327" i="30"/>
  <c r="EU327" i="30"/>
  <c r="EV327" i="30"/>
  <c r="EW327" i="30"/>
  <c r="EX327" i="30"/>
  <c r="EY327" i="30"/>
  <c r="EZ327" i="30"/>
  <c r="FA327" i="30"/>
  <c r="FB327" i="30"/>
  <c r="FC327" i="30"/>
  <c r="FD327" i="30"/>
  <c r="FE327" i="30"/>
  <c r="FF327" i="30"/>
  <c r="FG327" i="30"/>
  <c r="FH327" i="30"/>
  <c r="FI327" i="30"/>
  <c r="FJ327" i="30"/>
  <c r="FK327" i="30"/>
  <c r="FL327" i="30"/>
  <c r="FM327" i="30"/>
  <c r="FN327" i="30"/>
  <c r="FO327" i="30"/>
  <c r="FP327" i="30"/>
  <c r="FQ327" i="30"/>
  <c r="FR327" i="30"/>
  <c r="FS327" i="30"/>
  <c r="FT327" i="30"/>
  <c r="FU327" i="30"/>
  <c r="FV327" i="30"/>
  <c r="FW327" i="30"/>
  <c r="FX327" i="30"/>
  <c r="FY327" i="30"/>
  <c r="FZ327" i="30"/>
  <c r="GA327" i="30"/>
  <c r="GB327" i="30"/>
  <c r="GC327" i="30"/>
  <c r="GD327" i="30"/>
  <c r="GE327" i="30"/>
  <c r="GF327" i="30"/>
  <c r="GG327" i="30"/>
  <c r="GH327" i="30"/>
  <c r="GI327" i="30"/>
  <c r="GJ327" i="30"/>
  <c r="GK327" i="30"/>
  <c r="GL327" i="30"/>
  <c r="GM327" i="30"/>
  <c r="GN327" i="30"/>
  <c r="GO327" i="30"/>
  <c r="GP327" i="30"/>
  <c r="GQ327" i="30"/>
  <c r="GR327" i="30"/>
  <c r="GS327" i="30"/>
  <c r="GT327" i="30"/>
  <c r="GU327" i="30"/>
  <c r="GV327" i="30"/>
  <c r="GW327" i="30"/>
  <c r="GX327" i="30"/>
  <c r="GY327" i="30"/>
  <c r="GZ327" i="30"/>
  <c r="HA327" i="30"/>
  <c r="HB327" i="30"/>
  <c r="HC327" i="30"/>
  <c r="HD327" i="30"/>
  <c r="HE327" i="30"/>
  <c r="HF327" i="30"/>
  <c r="HG327" i="30"/>
  <c r="HH327" i="30"/>
  <c r="HI327" i="30"/>
  <c r="HJ327" i="30"/>
  <c r="HK327" i="30"/>
  <c r="HL327" i="30"/>
  <c r="HM327" i="30"/>
  <c r="HN327" i="30"/>
  <c r="HO327" i="30"/>
  <c r="HP327" i="30"/>
  <c r="HQ327" i="30"/>
  <c r="HR327" i="30"/>
  <c r="HS327" i="30"/>
  <c r="HT327" i="30"/>
  <c r="HU327" i="30"/>
  <c r="HV327" i="30"/>
  <c r="HW327" i="30"/>
  <c r="HX327" i="30"/>
  <c r="HY327" i="30"/>
  <c r="HZ327" i="30"/>
  <c r="IA327" i="30"/>
  <c r="IB327" i="30"/>
  <c r="IC327" i="30"/>
  <c r="ID327" i="30"/>
  <c r="IE327" i="30"/>
  <c r="IF327" i="30"/>
  <c r="IG327" i="30"/>
  <c r="IH327" i="30"/>
  <c r="II327" i="30"/>
  <c r="IJ327" i="30"/>
  <c r="IK327" i="30"/>
  <c r="IL327" i="30"/>
  <c r="IM327" i="30"/>
  <c r="IN327" i="30"/>
  <c r="IO327" i="30"/>
  <c r="IP327" i="30"/>
  <c r="IQ327" i="30"/>
  <c r="IR327" i="30"/>
  <c r="IS327" i="30"/>
  <c r="IT327" i="30"/>
  <c r="IU327" i="30"/>
  <c r="IV327" i="30"/>
  <c r="A326" i="30"/>
  <c r="B326" i="30"/>
  <c r="C326" i="30"/>
  <c r="D326" i="30"/>
  <c r="E326" i="30"/>
  <c r="F326" i="30"/>
  <c r="G326" i="30"/>
  <c r="H326" i="30"/>
  <c r="I326" i="30"/>
  <c r="J326" i="30"/>
  <c r="K326" i="30"/>
  <c r="L326" i="30"/>
  <c r="M326" i="30"/>
  <c r="N326" i="30"/>
  <c r="O326" i="30"/>
  <c r="P326" i="30"/>
  <c r="Q326" i="30"/>
  <c r="R326" i="30"/>
  <c r="S326" i="30"/>
  <c r="T326" i="30"/>
  <c r="U326" i="30"/>
  <c r="V326" i="30"/>
  <c r="W326" i="30"/>
  <c r="X326" i="30"/>
  <c r="Y326" i="30"/>
  <c r="Z326" i="30"/>
  <c r="AA326" i="30"/>
  <c r="AB326" i="30"/>
  <c r="AC326" i="30"/>
  <c r="AD326" i="30"/>
  <c r="AE326" i="30"/>
  <c r="AF326" i="30"/>
  <c r="AG326" i="30"/>
  <c r="AH326" i="30"/>
  <c r="AI326" i="30"/>
  <c r="AJ326" i="30"/>
  <c r="AK326" i="30"/>
  <c r="AL326" i="30"/>
  <c r="AM326" i="30"/>
  <c r="AN326" i="30"/>
  <c r="AO326" i="30"/>
  <c r="AP326" i="30"/>
  <c r="AQ326" i="30"/>
  <c r="AR326" i="30"/>
  <c r="AS326" i="30"/>
  <c r="AT326" i="30"/>
  <c r="AU326" i="30"/>
  <c r="AV326" i="30"/>
  <c r="AW326" i="30"/>
  <c r="AX326" i="30"/>
  <c r="AY326" i="30"/>
  <c r="AZ326" i="30"/>
  <c r="BA326" i="30"/>
  <c r="BB326" i="30"/>
  <c r="BC326" i="30"/>
  <c r="BD326" i="30"/>
  <c r="BE326" i="30"/>
  <c r="BF326" i="30"/>
  <c r="BG326" i="30"/>
  <c r="BH326" i="30"/>
  <c r="BI326" i="30"/>
  <c r="BJ326" i="30"/>
  <c r="BK326" i="30"/>
  <c r="BL326" i="30"/>
  <c r="BM326" i="30"/>
  <c r="BN326" i="30"/>
  <c r="BO326" i="30"/>
  <c r="BP326" i="30"/>
  <c r="BQ326" i="30"/>
  <c r="BR326" i="30"/>
  <c r="BS326" i="30"/>
  <c r="BT326" i="30"/>
  <c r="BU326" i="30"/>
  <c r="BV326" i="30"/>
  <c r="BW326" i="30"/>
  <c r="BX326" i="30"/>
  <c r="BY326" i="30"/>
  <c r="BZ326" i="30"/>
  <c r="CA326" i="30"/>
  <c r="CB326" i="30"/>
  <c r="CC326" i="30"/>
  <c r="CD326" i="30"/>
  <c r="CE326" i="30"/>
  <c r="CF326" i="30"/>
  <c r="CG326" i="30"/>
  <c r="CH326" i="30"/>
  <c r="CI326" i="30"/>
  <c r="CJ326" i="30"/>
  <c r="CK326" i="30"/>
  <c r="CL326" i="30"/>
  <c r="CM326" i="30"/>
  <c r="CN326" i="30"/>
  <c r="CO326" i="30"/>
  <c r="CP326" i="30"/>
  <c r="CQ326" i="30"/>
  <c r="CR326" i="30"/>
  <c r="CS326" i="30"/>
  <c r="CT326" i="30"/>
  <c r="CU326" i="30"/>
  <c r="CV326" i="30"/>
  <c r="CW326" i="30"/>
  <c r="CX326" i="30"/>
  <c r="CY326" i="30"/>
  <c r="CZ326" i="30"/>
  <c r="DA326" i="30"/>
  <c r="DB326" i="30"/>
  <c r="DC326" i="30"/>
  <c r="DD326" i="30"/>
  <c r="DE326" i="30"/>
  <c r="DF326" i="30"/>
  <c r="DG326" i="30"/>
  <c r="DH326" i="30"/>
  <c r="DI326" i="30"/>
  <c r="DJ326" i="30"/>
  <c r="DK326" i="30"/>
  <c r="DL326" i="30"/>
  <c r="DM326" i="30"/>
  <c r="DN326" i="30"/>
  <c r="DO326" i="30"/>
  <c r="DP326" i="30"/>
  <c r="DQ326" i="30"/>
  <c r="DR326" i="30"/>
  <c r="DS326" i="30"/>
  <c r="DT326" i="30"/>
  <c r="DU326" i="30"/>
  <c r="DV326" i="30"/>
  <c r="DW326" i="30"/>
  <c r="DX326" i="30"/>
  <c r="DY326" i="30"/>
  <c r="DZ326" i="30"/>
  <c r="EA326" i="30"/>
  <c r="EB326" i="30"/>
  <c r="EC326" i="30"/>
  <c r="ED326" i="30"/>
  <c r="EE326" i="30"/>
  <c r="EF326" i="30"/>
  <c r="EG326" i="30"/>
  <c r="EH326" i="30"/>
  <c r="EI326" i="30"/>
  <c r="EJ326" i="30"/>
  <c r="EK326" i="30"/>
  <c r="EL326" i="30"/>
  <c r="EM326" i="30"/>
  <c r="EN326" i="30"/>
  <c r="EO326" i="30"/>
  <c r="EP326" i="30"/>
  <c r="EQ326" i="30"/>
  <c r="ER326" i="30"/>
  <c r="ES326" i="30"/>
  <c r="ET326" i="30"/>
  <c r="EU326" i="30"/>
  <c r="EV326" i="30"/>
  <c r="EW326" i="30"/>
  <c r="EX326" i="30"/>
  <c r="EY326" i="30"/>
  <c r="EZ326" i="30"/>
  <c r="FA326" i="30"/>
  <c r="FB326" i="30"/>
  <c r="FC326" i="30"/>
  <c r="FD326" i="30"/>
  <c r="FE326" i="30"/>
  <c r="FF326" i="30"/>
  <c r="FG326" i="30"/>
  <c r="FH326" i="30"/>
  <c r="FI326" i="30"/>
  <c r="FJ326" i="30"/>
  <c r="FK326" i="30"/>
  <c r="FL326" i="30"/>
  <c r="FM326" i="30"/>
  <c r="FN326" i="30"/>
  <c r="FO326" i="30"/>
  <c r="FP326" i="30"/>
  <c r="FQ326" i="30"/>
  <c r="FR326" i="30"/>
  <c r="FS326" i="30"/>
  <c r="FT326" i="30"/>
  <c r="FU326" i="30"/>
  <c r="FV326" i="30"/>
  <c r="FW326" i="30"/>
  <c r="FX326" i="30"/>
  <c r="FY326" i="30"/>
  <c r="FZ326" i="30"/>
  <c r="GA326" i="30"/>
  <c r="GB326" i="30"/>
  <c r="GC326" i="30"/>
  <c r="GD326" i="30"/>
  <c r="GE326" i="30"/>
  <c r="GF326" i="30"/>
  <c r="GG326" i="30"/>
  <c r="GH326" i="30"/>
  <c r="GI326" i="30"/>
  <c r="GJ326" i="30"/>
  <c r="GK326" i="30"/>
  <c r="GL326" i="30"/>
  <c r="GM326" i="30"/>
  <c r="GN326" i="30"/>
  <c r="GO326" i="30"/>
  <c r="GP326" i="30"/>
  <c r="GQ326" i="30"/>
  <c r="GR326" i="30"/>
  <c r="GS326" i="30"/>
  <c r="GT326" i="30"/>
  <c r="GU326" i="30"/>
  <c r="GV326" i="30"/>
  <c r="GW326" i="30"/>
  <c r="GX326" i="30"/>
  <c r="GY326" i="30"/>
  <c r="GZ326" i="30"/>
  <c r="HA326" i="30"/>
  <c r="HB326" i="30"/>
  <c r="HC326" i="30"/>
  <c r="HD326" i="30"/>
  <c r="HE326" i="30"/>
  <c r="HF326" i="30"/>
  <c r="HG326" i="30"/>
  <c r="HH326" i="30"/>
  <c r="HI326" i="30"/>
  <c r="HJ326" i="30"/>
  <c r="HK326" i="30"/>
  <c r="HL326" i="30"/>
  <c r="HM326" i="30"/>
  <c r="HN326" i="30"/>
  <c r="HO326" i="30"/>
  <c r="HP326" i="30"/>
  <c r="HQ326" i="30"/>
  <c r="HR326" i="30"/>
  <c r="HS326" i="30"/>
  <c r="HT326" i="30"/>
  <c r="HU326" i="30"/>
  <c r="HV326" i="30"/>
  <c r="HW326" i="30"/>
  <c r="HX326" i="30"/>
  <c r="HY326" i="30"/>
  <c r="HZ326" i="30"/>
  <c r="IA326" i="30"/>
  <c r="IB326" i="30"/>
  <c r="IC326" i="30"/>
  <c r="ID326" i="30"/>
  <c r="IE326" i="30"/>
  <c r="IF326" i="30"/>
  <c r="IG326" i="30"/>
  <c r="IH326" i="30"/>
  <c r="II326" i="30"/>
  <c r="IJ326" i="30"/>
  <c r="IK326" i="30"/>
  <c r="IL326" i="30"/>
  <c r="IM326" i="30"/>
  <c r="IN326" i="30"/>
  <c r="IO326" i="30"/>
  <c r="IP326" i="30"/>
  <c r="IQ326" i="30"/>
  <c r="IR326" i="30"/>
  <c r="IS326" i="30"/>
  <c r="IT326" i="30"/>
  <c r="IU326" i="30"/>
  <c r="IV326" i="30"/>
  <c r="A325" i="30"/>
  <c r="B325" i="30"/>
  <c r="C325" i="30"/>
  <c r="D325" i="30"/>
  <c r="E325" i="30"/>
  <c r="F325" i="30"/>
  <c r="G325" i="30"/>
  <c r="H325" i="30"/>
  <c r="I325" i="30"/>
  <c r="J325" i="30"/>
  <c r="K325" i="30"/>
  <c r="L325" i="30"/>
  <c r="M325" i="30"/>
  <c r="N325" i="30"/>
  <c r="O325" i="30"/>
  <c r="P325" i="30"/>
  <c r="Q325" i="30"/>
  <c r="R325" i="30"/>
  <c r="S325" i="30"/>
  <c r="T325" i="30"/>
  <c r="U325" i="30"/>
  <c r="V325" i="30"/>
  <c r="W325" i="30"/>
  <c r="X325" i="30"/>
  <c r="Y325" i="30"/>
  <c r="Z325" i="30"/>
  <c r="AA325" i="30"/>
  <c r="AB325" i="30"/>
  <c r="AC325" i="30"/>
  <c r="AD325" i="30"/>
  <c r="AE325" i="30"/>
  <c r="AF325" i="30"/>
  <c r="AG325" i="30"/>
  <c r="AH325" i="30"/>
  <c r="AI325" i="30"/>
  <c r="AJ325" i="30"/>
  <c r="AK325" i="30"/>
  <c r="AL325" i="30"/>
  <c r="AM325" i="30"/>
  <c r="AN325" i="30"/>
  <c r="AO325" i="30"/>
  <c r="AP325" i="30"/>
  <c r="AQ325" i="30"/>
  <c r="AR325" i="30"/>
  <c r="AS325" i="30"/>
  <c r="AT325" i="30"/>
  <c r="AU325" i="30"/>
  <c r="AV325" i="30"/>
  <c r="AW325" i="30"/>
  <c r="AX325" i="30"/>
  <c r="AY325" i="30"/>
  <c r="AZ325" i="30"/>
  <c r="BA325" i="30"/>
  <c r="BB325" i="30"/>
  <c r="BC325" i="30"/>
  <c r="BD325" i="30"/>
  <c r="BE325" i="30"/>
  <c r="BF325" i="30"/>
  <c r="BG325" i="30"/>
  <c r="BH325" i="30"/>
  <c r="BI325" i="30"/>
  <c r="BJ325" i="30"/>
  <c r="BK325" i="30"/>
  <c r="BL325" i="30"/>
  <c r="BM325" i="30"/>
  <c r="BN325" i="30"/>
  <c r="BO325" i="30"/>
  <c r="BP325" i="30"/>
  <c r="BQ325" i="30"/>
  <c r="BR325" i="30"/>
  <c r="BS325" i="30"/>
  <c r="BT325" i="30"/>
  <c r="BU325" i="30"/>
  <c r="BV325" i="30"/>
  <c r="BW325" i="30"/>
  <c r="BX325" i="30"/>
  <c r="BY325" i="30"/>
  <c r="BZ325" i="30"/>
  <c r="CA325" i="30"/>
  <c r="CB325" i="30"/>
  <c r="CC325" i="30"/>
  <c r="CD325" i="30"/>
  <c r="CE325" i="30"/>
  <c r="CF325" i="30"/>
  <c r="CG325" i="30"/>
  <c r="CH325" i="30"/>
  <c r="CI325" i="30"/>
  <c r="CJ325" i="30"/>
  <c r="CK325" i="30"/>
  <c r="CL325" i="30"/>
  <c r="CM325" i="30"/>
  <c r="CN325" i="30"/>
  <c r="CO325" i="30"/>
  <c r="CP325" i="30"/>
  <c r="CQ325" i="30"/>
  <c r="CR325" i="30"/>
  <c r="CS325" i="30"/>
  <c r="CT325" i="30"/>
  <c r="CU325" i="30"/>
  <c r="CV325" i="30"/>
  <c r="CW325" i="30"/>
  <c r="CX325" i="30"/>
  <c r="CY325" i="30"/>
  <c r="CZ325" i="30"/>
  <c r="DA325" i="30"/>
  <c r="DB325" i="30"/>
  <c r="DC325" i="30"/>
  <c r="DD325" i="30"/>
  <c r="DE325" i="30"/>
  <c r="DF325" i="30"/>
  <c r="DG325" i="30"/>
  <c r="DH325" i="30"/>
  <c r="DI325" i="30"/>
  <c r="DJ325" i="30"/>
  <c r="DK325" i="30"/>
  <c r="DL325" i="30"/>
  <c r="DM325" i="30"/>
  <c r="DN325" i="30"/>
  <c r="DO325" i="30"/>
  <c r="DP325" i="30"/>
  <c r="DQ325" i="30"/>
  <c r="DR325" i="30"/>
  <c r="DS325" i="30"/>
  <c r="DT325" i="30"/>
  <c r="DU325" i="30"/>
  <c r="DV325" i="30"/>
  <c r="DW325" i="30"/>
  <c r="DX325" i="30"/>
  <c r="DY325" i="30"/>
  <c r="DZ325" i="30"/>
  <c r="EA325" i="30"/>
  <c r="EB325" i="30"/>
  <c r="EC325" i="30"/>
  <c r="ED325" i="30"/>
  <c r="EE325" i="30"/>
  <c r="EF325" i="30"/>
  <c r="EG325" i="30"/>
  <c r="EH325" i="30"/>
  <c r="EI325" i="30"/>
  <c r="EJ325" i="30"/>
  <c r="EK325" i="30"/>
  <c r="EL325" i="30"/>
  <c r="EM325" i="30"/>
  <c r="EN325" i="30"/>
  <c r="EO325" i="30"/>
  <c r="EP325" i="30"/>
  <c r="EQ325" i="30"/>
  <c r="ER325" i="30"/>
  <c r="ES325" i="30"/>
  <c r="ET325" i="30"/>
  <c r="EU325" i="30"/>
  <c r="EV325" i="30"/>
  <c r="EW325" i="30"/>
  <c r="EX325" i="30"/>
  <c r="EY325" i="30"/>
  <c r="EZ325" i="30"/>
  <c r="FA325" i="30"/>
  <c r="FB325" i="30"/>
  <c r="FC325" i="30"/>
  <c r="FD325" i="30"/>
  <c r="FE325" i="30"/>
  <c r="FF325" i="30"/>
  <c r="FG325" i="30"/>
  <c r="FH325" i="30"/>
  <c r="FI325" i="30"/>
  <c r="FJ325" i="30"/>
  <c r="FK325" i="30"/>
  <c r="FL325" i="30"/>
  <c r="FM325" i="30"/>
  <c r="FN325" i="30"/>
  <c r="FO325" i="30"/>
  <c r="FP325" i="30"/>
  <c r="FQ325" i="30"/>
  <c r="FR325" i="30"/>
  <c r="FS325" i="30"/>
  <c r="FT325" i="30"/>
  <c r="FU325" i="30"/>
  <c r="FV325" i="30"/>
  <c r="FW325" i="30"/>
  <c r="FX325" i="30"/>
  <c r="FY325" i="30"/>
  <c r="FZ325" i="30"/>
  <c r="GA325" i="30"/>
  <c r="GB325" i="30"/>
  <c r="GC325" i="30"/>
  <c r="GD325" i="30"/>
  <c r="GE325" i="30"/>
  <c r="GF325" i="30"/>
  <c r="GG325" i="30"/>
  <c r="GH325" i="30"/>
  <c r="GI325" i="30"/>
  <c r="GJ325" i="30"/>
  <c r="GK325" i="30"/>
  <c r="GL325" i="30"/>
  <c r="GM325" i="30"/>
  <c r="GN325" i="30"/>
  <c r="GO325" i="30"/>
  <c r="GP325" i="30"/>
  <c r="GQ325" i="30"/>
  <c r="GR325" i="30"/>
  <c r="GS325" i="30"/>
  <c r="GT325" i="30"/>
  <c r="GU325" i="30"/>
  <c r="GV325" i="30"/>
  <c r="GW325" i="30"/>
  <c r="GX325" i="30"/>
  <c r="GY325" i="30"/>
  <c r="GZ325" i="30"/>
  <c r="HA325" i="30"/>
  <c r="HB325" i="30"/>
  <c r="HC325" i="30"/>
  <c r="HD325" i="30"/>
  <c r="HE325" i="30"/>
  <c r="HF325" i="30"/>
  <c r="HG325" i="30"/>
  <c r="HH325" i="30"/>
  <c r="HI325" i="30"/>
  <c r="HJ325" i="30"/>
  <c r="HK325" i="30"/>
  <c r="HL325" i="30"/>
  <c r="HM325" i="30"/>
  <c r="HN325" i="30"/>
  <c r="HO325" i="30"/>
  <c r="HP325" i="30"/>
  <c r="HQ325" i="30"/>
  <c r="HR325" i="30"/>
  <c r="HS325" i="30"/>
  <c r="HT325" i="30"/>
  <c r="HU325" i="30"/>
  <c r="HV325" i="30"/>
  <c r="HW325" i="30"/>
  <c r="HX325" i="30"/>
  <c r="HY325" i="30"/>
  <c r="HZ325" i="30"/>
  <c r="IA325" i="30"/>
  <c r="IB325" i="30"/>
  <c r="IC325" i="30"/>
  <c r="ID325" i="30"/>
  <c r="IE325" i="30"/>
  <c r="IF325" i="30"/>
  <c r="IG325" i="30"/>
  <c r="IH325" i="30"/>
  <c r="II325" i="30"/>
  <c r="IJ325" i="30"/>
  <c r="IK325" i="30"/>
  <c r="IL325" i="30"/>
  <c r="IM325" i="30"/>
  <c r="IN325" i="30"/>
  <c r="IO325" i="30"/>
  <c r="IP325" i="30"/>
  <c r="IQ325" i="30"/>
  <c r="IR325" i="30"/>
  <c r="IS325" i="30"/>
  <c r="IT325" i="30"/>
  <c r="IU325" i="30"/>
  <c r="IV325" i="30"/>
  <c r="A324" i="30"/>
  <c r="B324" i="30"/>
  <c r="C324" i="30"/>
  <c r="D324" i="30"/>
  <c r="E324" i="30"/>
  <c r="F324" i="30"/>
  <c r="G324" i="30"/>
  <c r="H324" i="30"/>
  <c r="I324" i="30"/>
  <c r="J324" i="30"/>
  <c r="K324" i="30"/>
  <c r="L324" i="30"/>
  <c r="M324" i="30"/>
  <c r="N324" i="30"/>
  <c r="O324" i="30"/>
  <c r="P324" i="30"/>
  <c r="Q324" i="30"/>
  <c r="R324" i="30"/>
  <c r="S324" i="30"/>
  <c r="T324" i="30"/>
  <c r="U324" i="30"/>
  <c r="V324" i="30"/>
  <c r="W324" i="30"/>
  <c r="X324" i="30"/>
  <c r="Y324" i="30"/>
  <c r="Z324" i="30"/>
  <c r="AA324" i="30"/>
  <c r="AB324" i="30"/>
  <c r="AC324" i="30"/>
  <c r="AD324" i="30"/>
  <c r="AE324" i="30"/>
  <c r="AF324" i="30"/>
  <c r="AG324" i="30"/>
  <c r="AH324" i="30"/>
  <c r="AI324" i="30"/>
  <c r="AJ324" i="30"/>
  <c r="AK324" i="30"/>
  <c r="AL324" i="30"/>
  <c r="AM324" i="30"/>
  <c r="AN324" i="30"/>
  <c r="AO324" i="30"/>
  <c r="AP324" i="30"/>
  <c r="AQ324" i="30"/>
  <c r="AR324" i="30"/>
  <c r="AS324" i="30"/>
  <c r="AT324" i="30"/>
  <c r="AU324" i="30"/>
  <c r="AV324" i="30"/>
  <c r="AW324" i="30"/>
  <c r="AX324" i="30"/>
  <c r="AY324" i="30"/>
  <c r="AZ324" i="30"/>
  <c r="BA324" i="30"/>
  <c r="BB324" i="30"/>
  <c r="BC324" i="30"/>
  <c r="BD324" i="30"/>
  <c r="BE324" i="30"/>
  <c r="BF324" i="30"/>
  <c r="BG324" i="30"/>
  <c r="BH324" i="30"/>
  <c r="BI324" i="30"/>
  <c r="BJ324" i="30"/>
  <c r="BK324" i="30"/>
  <c r="BL324" i="30"/>
  <c r="BM324" i="30"/>
  <c r="BN324" i="30"/>
  <c r="BO324" i="30"/>
  <c r="BP324" i="30"/>
  <c r="BQ324" i="30"/>
  <c r="BR324" i="30"/>
  <c r="BS324" i="30"/>
  <c r="BT324" i="30"/>
  <c r="BU324" i="30"/>
  <c r="BV324" i="30"/>
  <c r="BW324" i="30"/>
  <c r="BX324" i="30"/>
  <c r="BY324" i="30"/>
  <c r="BZ324" i="30"/>
  <c r="CA324" i="30"/>
  <c r="CB324" i="30"/>
  <c r="CC324" i="30"/>
  <c r="CD324" i="30"/>
  <c r="CE324" i="30"/>
  <c r="CF324" i="30"/>
  <c r="CG324" i="30"/>
  <c r="CH324" i="30"/>
  <c r="CI324" i="30"/>
  <c r="CJ324" i="30"/>
  <c r="CK324" i="30"/>
  <c r="CL324" i="30"/>
  <c r="CM324" i="30"/>
  <c r="CN324" i="30"/>
  <c r="CO324" i="30"/>
  <c r="CP324" i="30"/>
  <c r="CQ324" i="30"/>
  <c r="CR324" i="30"/>
  <c r="CS324" i="30"/>
  <c r="CT324" i="30"/>
  <c r="CU324" i="30"/>
  <c r="CV324" i="30"/>
  <c r="CW324" i="30"/>
  <c r="CX324" i="30"/>
  <c r="CY324" i="30"/>
  <c r="CZ324" i="30"/>
  <c r="DA324" i="30"/>
  <c r="DB324" i="30"/>
  <c r="DC324" i="30"/>
  <c r="DD324" i="30"/>
  <c r="DE324" i="30"/>
  <c r="DF324" i="30"/>
  <c r="DG324" i="30"/>
  <c r="DH324" i="30"/>
  <c r="DI324" i="30"/>
  <c r="DJ324" i="30"/>
  <c r="DK324" i="30"/>
  <c r="DL324" i="30"/>
  <c r="DM324" i="30"/>
  <c r="DN324" i="30"/>
  <c r="DO324" i="30"/>
  <c r="DP324" i="30"/>
  <c r="DQ324" i="30"/>
  <c r="DR324" i="30"/>
  <c r="DS324" i="30"/>
  <c r="DT324" i="30"/>
  <c r="DU324" i="30"/>
  <c r="DV324" i="30"/>
  <c r="DW324" i="30"/>
  <c r="DX324" i="30"/>
  <c r="DY324" i="30"/>
  <c r="DZ324" i="30"/>
  <c r="EA324" i="30"/>
  <c r="EB324" i="30"/>
  <c r="EC324" i="30"/>
  <c r="ED324" i="30"/>
  <c r="EE324" i="30"/>
  <c r="EF324" i="30"/>
  <c r="EG324" i="30"/>
  <c r="EH324" i="30"/>
  <c r="EI324" i="30"/>
  <c r="EJ324" i="30"/>
  <c r="EK324" i="30"/>
  <c r="EL324" i="30"/>
  <c r="EM324" i="30"/>
  <c r="EN324" i="30"/>
  <c r="EO324" i="30"/>
  <c r="EP324" i="30"/>
  <c r="EQ324" i="30"/>
  <c r="ER324" i="30"/>
  <c r="ES324" i="30"/>
  <c r="ET324" i="30"/>
  <c r="EU324" i="30"/>
  <c r="EV324" i="30"/>
  <c r="EW324" i="30"/>
  <c r="EX324" i="30"/>
  <c r="EY324" i="30"/>
  <c r="EZ324" i="30"/>
  <c r="FA324" i="30"/>
  <c r="FB324" i="30"/>
  <c r="FC324" i="30"/>
  <c r="FD324" i="30"/>
  <c r="FE324" i="30"/>
  <c r="FF324" i="30"/>
  <c r="FG324" i="30"/>
  <c r="FH324" i="30"/>
  <c r="FI324" i="30"/>
  <c r="FJ324" i="30"/>
  <c r="FK324" i="30"/>
  <c r="FL324" i="30"/>
  <c r="FM324" i="30"/>
  <c r="FN324" i="30"/>
  <c r="FO324" i="30"/>
  <c r="FP324" i="30"/>
  <c r="FQ324" i="30"/>
  <c r="FR324" i="30"/>
  <c r="FS324" i="30"/>
  <c r="FT324" i="30"/>
  <c r="FU324" i="30"/>
  <c r="FV324" i="30"/>
  <c r="FW324" i="30"/>
  <c r="FX324" i="30"/>
  <c r="FY324" i="30"/>
  <c r="FZ324" i="30"/>
  <c r="GA324" i="30"/>
  <c r="GB324" i="30"/>
  <c r="GC324" i="30"/>
  <c r="GD324" i="30"/>
  <c r="GE324" i="30"/>
  <c r="GF324" i="30"/>
  <c r="GG324" i="30"/>
  <c r="GH324" i="30"/>
  <c r="GI324" i="30"/>
  <c r="GJ324" i="30"/>
  <c r="GK324" i="30"/>
  <c r="GL324" i="30"/>
  <c r="GM324" i="30"/>
  <c r="GN324" i="30"/>
  <c r="GO324" i="30"/>
  <c r="GP324" i="30"/>
  <c r="GQ324" i="30"/>
  <c r="GR324" i="30"/>
  <c r="GS324" i="30"/>
  <c r="GT324" i="30"/>
  <c r="GU324" i="30"/>
  <c r="GV324" i="30"/>
  <c r="GW324" i="30"/>
  <c r="GX324" i="30"/>
  <c r="GY324" i="30"/>
  <c r="GZ324" i="30"/>
  <c r="HA324" i="30"/>
  <c r="HB324" i="30"/>
  <c r="HC324" i="30"/>
  <c r="HD324" i="30"/>
  <c r="HE324" i="30"/>
  <c r="HF324" i="30"/>
  <c r="HG324" i="30"/>
  <c r="HH324" i="30"/>
  <c r="HI324" i="30"/>
  <c r="HJ324" i="30"/>
  <c r="HK324" i="30"/>
  <c r="HL324" i="30"/>
  <c r="HM324" i="30"/>
  <c r="HN324" i="30"/>
  <c r="HO324" i="30"/>
  <c r="HP324" i="30"/>
  <c r="HQ324" i="30"/>
  <c r="HR324" i="30"/>
  <c r="HS324" i="30"/>
  <c r="HT324" i="30"/>
  <c r="HU324" i="30"/>
  <c r="HV324" i="30"/>
  <c r="HW324" i="30"/>
  <c r="HX324" i="30"/>
  <c r="HY324" i="30"/>
  <c r="HZ324" i="30"/>
  <c r="IA324" i="30"/>
  <c r="IB324" i="30"/>
  <c r="IC324" i="30"/>
  <c r="ID324" i="30"/>
  <c r="IE324" i="30"/>
  <c r="IF324" i="30"/>
  <c r="IG324" i="30"/>
  <c r="IH324" i="30"/>
  <c r="II324" i="30"/>
  <c r="IJ324" i="30"/>
  <c r="IK324" i="30"/>
  <c r="IL324" i="30"/>
  <c r="IM324" i="30"/>
  <c r="IN324" i="30"/>
  <c r="IO324" i="30"/>
  <c r="IP324" i="30"/>
  <c r="IQ324" i="30"/>
  <c r="IR324" i="30"/>
  <c r="IS324" i="30"/>
  <c r="IT324" i="30"/>
  <c r="IU324" i="30"/>
  <c r="IV324" i="30"/>
  <c r="A323" i="30"/>
  <c r="B323" i="30"/>
  <c r="C323" i="30"/>
  <c r="D323" i="30"/>
  <c r="E323" i="30"/>
  <c r="F323" i="30"/>
  <c r="G323" i="30"/>
  <c r="H323" i="30"/>
  <c r="I323" i="30"/>
  <c r="J323" i="30"/>
  <c r="K323" i="30"/>
  <c r="L323" i="30"/>
  <c r="M323" i="30"/>
  <c r="N323" i="30"/>
  <c r="O323" i="30"/>
  <c r="P323" i="30"/>
  <c r="Q323" i="30"/>
  <c r="R323" i="30"/>
  <c r="S323" i="30"/>
  <c r="T323" i="30"/>
  <c r="U323" i="30"/>
  <c r="V323" i="30"/>
  <c r="W323" i="30"/>
  <c r="X323" i="30"/>
  <c r="Y323" i="30"/>
  <c r="Z323" i="30"/>
  <c r="AA323" i="30"/>
  <c r="AB323" i="30"/>
  <c r="AC323" i="30"/>
  <c r="AD323" i="30"/>
  <c r="AE323" i="30"/>
  <c r="AF323" i="30"/>
  <c r="AG323" i="30"/>
  <c r="AH323" i="30"/>
  <c r="AI323" i="30"/>
  <c r="AJ323" i="30"/>
  <c r="AK323" i="30"/>
  <c r="AL323" i="30"/>
  <c r="AM323" i="30"/>
  <c r="AN323" i="30"/>
  <c r="AO323" i="30"/>
  <c r="AP323" i="30"/>
  <c r="AQ323" i="30"/>
  <c r="AR323" i="30"/>
  <c r="AS323" i="30"/>
  <c r="AT323" i="30"/>
  <c r="AU323" i="30"/>
  <c r="AV323" i="30"/>
  <c r="AW323" i="30"/>
  <c r="AX323" i="30"/>
  <c r="AY323" i="30"/>
  <c r="AZ323" i="30"/>
  <c r="BA323" i="30"/>
  <c r="BB323" i="30"/>
  <c r="BC323" i="30"/>
  <c r="BD323" i="30"/>
  <c r="BE323" i="30"/>
  <c r="BF323" i="30"/>
  <c r="BG323" i="30"/>
  <c r="BH323" i="30"/>
  <c r="BI323" i="30"/>
  <c r="BJ323" i="30"/>
  <c r="BK323" i="30"/>
  <c r="BL323" i="30"/>
  <c r="BM323" i="30"/>
  <c r="BN323" i="30"/>
  <c r="BO323" i="30"/>
  <c r="BP323" i="30"/>
  <c r="BQ323" i="30"/>
  <c r="BR323" i="30"/>
  <c r="BS323" i="30"/>
  <c r="BT323" i="30"/>
  <c r="BU323" i="30"/>
  <c r="BV323" i="30"/>
  <c r="BW323" i="30"/>
  <c r="BX323" i="30"/>
  <c r="BY323" i="30"/>
  <c r="BZ323" i="30"/>
  <c r="CA323" i="30"/>
  <c r="CB323" i="30"/>
  <c r="CC323" i="30"/>
  <c r="CD323" i="30"/>
  <c r="CE323" i="30"/>
  <c r="CF323" i="30"/>
  <c r="CG323" i="30"/>
  <c r="CH323" i="30"/>
  <c r="CI323" i="30"/>
  <c r="CJ323" i="30"/>
  <c r="CK323" i="30"/>
  <c r="CL323" i="30"/>
  <c r="CM323" i="30"/>
  <c r="CN323" i="30"/>
  <c r="CO323" i="30"/>
  <c r="CP323" i="30"/>
  <c r="CQ323" i="30"/>
  <c r="CR323" i="30"/>
  <c r="CS323" i="30"/>
  <c r="CT323" i="30"/>
  <c r="CU323" i="30"/>
  <c r="CV323" i="30"/>
  <c r="CW323" i="30"/>
  <c r="CX323" i="30"/>
  <c r="CY323" i="30"/>
  <c r="CZ323" i="30"/>
  <c r="DA323" i="30"/>
  <c r="DB323" i="30"/>
  <c r="DC323" i="30"/>
  <c r="DD323" i="30"/>
  <c r="DE323" i="30"/>
  <c r="DF323" i="30"/>
  <c r="DG323" i="30"/>
  <c r="DH323" i="30"/>
  <c r="DI323" i="30"/>
  <c r="DJ323" i="30"/>
  <c r="DK323" i="30"/>
  <c r="DL323" i="30"/>
  <c r="DM323" i="30"/>
  <c r="DN323" i="30"/>
  <c r="DO323" i="30"/>
  <c r="DP323" i="30"/>
  <c r="DQ323" i="30"/>
  <c r="DR323" i="30"/>
  <c r="DS323" i="30"/>
  <c r="DT323" i="30"/>
  <c r="DU323" i="30"/>
  <c r="DV323" i="30"/>
  <c r="DW323" i="30"/>
  <c r="DX323" i="30"/>
  <c r="DY323" i="30"/>
  <c r="DZ323" i="30"/>
  <c r="EA323" i="30"/>
  <c r="EB323" i="30"/>
  <c r="EC323" i="30"/>
  <c r="ED323" i="30"/>
  <c r="EE323" i="30"/>
  <c r="EF323" i="30"/>
  <c r="EG323" i="30"/>
  <c r="EH323" i="30"/>
  <c r="EI323" i="30"/>
  <c r="EJ323" i="30"/>
  <c r="EK323" i="30"/>
  <c r="EL323" i="30"/>
  <c r="EM323" i="30"/>
  <c r="EN323" i="30"/>
  <c r="EO323" i="30"/>
  <c r="EP323" i="30"/>
  <c r="EQ323" i="30"/>
  <c r="ER323" i="30"/>
  <c r="ES323" i="30"/>
  <c r="ET323" i="30"/>
  <c r="EU323" i="30"/>
  <c r="EV323" i="30"/>
  <c r="EW323" i="30"/>
  <c r="EX323" i="30"/>
  <c r="EY323" i="30"/>
  <c r="EZ323" i="30"/>
  <c r="FA323" i="30"/>
  <c r="FB323" i="30"/>
  <c r="FC323" i="30"/>
  <c r="FD323" i="30"/>
  <c r="FE323" i="30"/>
  <c r="FF323" i="30"/>
  <c r="FG323" i="30"/>
  <c r="FH323" i="30"/>
  <c r="FI323" i="30"/>
  <c r="FJ323" i="30"/>
  <c r="FK323" i="30"/>
  <c r="FL323" i="30"/>
  <c r="FM323" i="30"/>
  <c r="FN323" i="30"/>
  <c r="FO323" i="30"/>
  <c r="FP323" i="30"/>
  <c r="FQ323" i="30"/>
  <c r="FR323" i="30"/>
  <c r="FS323" i="30"/>
  <c r="FT323" i="30"/>
  <c r="FU323" i="30"/>
  <c r="FV323" i="30"/>
  <c r="FW323" i="30"/>
  <c r="FX323" i="30"/>
  <c r="FY323" i="30"/>
  <c r="FZ323" i="30"/>
  <c r="GA323" i="30"/>
  <c r="GB323" i="30"/>
  <c r="GC323" i="30"/>
  <c r="GD323" i="30"/>
  <c r="GE323" i="30"/>
  <c r="GF323" i="30"/>
  <c r="GG323" i="30"/>
  <c r="GH323" i="30"/>
  <c r="GI323" i="30"/>
  <c r="GJ323" i="30"/>
  <c r="GK323" i="30"/>
  <c r="GL323" i="30"/>
  <c r="GM323" i="30"/>
  <c r="GN323" i="30"/>
  <c r="GO323" i="30"/>
  <c r="GP323" i="30"/>
  <c r="GQ323" i="30"/>
  <c r="GR323" i="30"/>
  <c r="GS323" i="30"/>
  <c r="GT323" i="30"/>
  <c r="GU323" i="30"/>
  <c r="GV323" i="30"/>
  <c r="GW323" i="30"/>
  <c r="GX323" i="30"/>
  <c r="GY323" i="30"/>
  <c r="GZ323" i="30"/>
  <c r="HA323" i="30"/>
  <c r="HB323" i="30"/>
  <c r="HC323" i="30"/>
  <c r="HD323" i="30"/>
  <c r="HE323" i="30"/>
  <c r="HF323" i="30"/>
  <c r="HG323" i="30"/>
  <c r="HH323" i="30"/>
  <c r="HI323" i="30"/>
  <c r="HJ323" i="30"/>
  <c r="HK323" i="30"/>
  <c r="HL323" i="30"/>
  <c r="HM323" i="30"/>
  <c r="HN323" i="30"/>
  <c r="HO323" i="30"/>
  <c r="HP323" i="30"/>
  <c r="HQ323" i="30"/>
  <c r="HR323" i="30"/>
  <c r="HS323" i="30"/>
  <c r="HT323" i="30"/>
  <c r="HU323" i="30"/>
  <c r="HV323" i="30"/>
  <c r="HW323" i="30"/>
  <c r="HX323" i="30"/>
  <c r="HY323" i="30"/>
  <c r="HZ323" i="30"/>
  <c r="IA323" i="30"/>
  <c r="IB323" i="30"/>
  <c r="IC323" i="30"/>
  <c r="ID323" i="30"/>
  <c r="IE323" i="30"/>
  <c r="IF323" i="30"/>
  <c r="IG323" i="30"/>
  <c r="IH323" i="30"/>
  <c r="II323" i="30"/>
  <c r="IJ323" i="30"/>
  <c r="IK323" i="30"/>
  <c r="IL323" i="30"/>
  <c r="IM323" i="30"/>
  <c r="IN323" i="30"/>
  <c r="IO323" i="30"/>
  <c r="IP323" i="30"/>
  <c r="IQ323" i="30"/>
  <c r="IR323" i="30"/>
  <c r="IS323" i="30"/>
  <c r="IT323" i="30"/>
  <c r="IU323" i="30"/>
  <c r="IV323" i="30"/>
  <c r="A322" i="30"/>
  <c r="B322" i="30"/>
  <c r="C322" i="30"/>
  <c r="D322" i="30"/>
  <c r="E322" i="30"/>
  <c r="F322" i="30"/>
  <c r="G322" i="30"/>
  <c r="H322" i="30"/>
  <c r="I322" i="30"/>
  <c r="J322" i="30"/>
  <c r="K322" i="30"/>
  <c r="L322" i="30"/>
  <c r="M322" i="30"/>
  <c r="N322" i="30"/>
  <c r="O322" i="30"/>
  <c r="P322" i="30"/>
  <c r="Q322" i="30"/>
  <c r="R322" i="30"/>
  <c r="S322" i="30"/>
  <c r="T322" i="30"/>
  <c r="U322" i="30"/>
  <c r="V322" i="30"/>
  <c r="W322" i="30"/>
  <c r="X322" i="30"/>
  <c r="Y322" i="30"/>
  <c r="Z322" i="30"/>
  <c r="AA322" i="30"/>
  <c r="AB322" i="30"/>
  <c r="AC322" i="30"/>
  <c r="AD322" i="30"/>
  <c r="AE322" i="30"/>
  <c r="AF322" i="30"/>
  <c r="AG322" i="30"/>
  <c r="AH322" i="30"/>
  <c r="AI322" i="30"/>
  <c r="AJ322" i="30"/>
  <c r="AK322" i="30"/>
  <c r="AL322" i="30"/>
  <c r="AM322" i="30"/>
  <c r="AN322" i="30"/>
  <c r="AO322" i="30"/>
  <c r="AP322" i="30"/>
  <c r="AQ322" i="30"/>
  <c r="AR322" i="30"/>
  <c r="AS322" i="30"/>
  <c r="AT322" i="30"/>
  <c r="AU322" i="30"/>
  <c r="AV322" i="30"/>
  <c r="AW322" i="30"/>
  <c r="AX322" i="30"/>
  <c r="AY322" i="30"/>
  <c r="AZ322" i="30"/>
  <c r="BA322" i="30"/>
  <c r="BB322" i="30"/>
  <c r="BC322" i="30"/>
  <c r="BD322" i="30"/>
  <c r="BE322" i="30"/>
  <c r="BF322" i="30"/>
  <c r="BG322" i="30"/>
  <c r="BH322" i="30"/>
  <c r="BI322" i="30"/>
  <c r="BJ322" i="30"/>
  <c r="BK322" i="30"/>
  <c r="BL322" i="30"/>
  <c r="BM322" i="30"/>
  <c r="BN322" i="30"/>
  <c r="BO322" i="30"/>
  <c r="BP322" i="30"/>
  <c r="BQ322" i="30"/>
  <c r="BR322" i="30"/>
  <c r="BS322" i="30"/>
  <c r="BT322" i="30"/>
  <c r="BU322" i="30"/>
  <c r="BV322" i="30"/>
  <c r="BW322" i="30"/>
  <c r="BX322" i="30"/>
  <c r="BY322" i="30"/>
  <c r="BZ322" i="30"/>
  <c r="CA322" i="30"/>
  <c r="CB322" i="30"/>
  <c r="CC322" i="30"/>
  <c r="CD322" i="30"/>
  <c r="CE322" i="30"/>
  <c r="CF322" i="30"/>
  <c r="CG322" i="30"/>
  <c r="CH322" i="30"/>
  <c r="CI322" i="30"/>
  <c r="CJ322" i="30"/>
  <c r="CK322" i="30"/>
  <c r="CL322" i="30"/>
  <c r="CM322" i="30"/>
  <c r="CN322" i="30"/>
  <c r="CO322" i="30"/>
  <c r="CP322" i="30"/>
  <c r="CQ322" i="30"/>
  <c r="CR322" i="30"/>
  <c r="CS322" i="30"/>
  <c r="CT322" i="30"/>
  <c r="CU322" i="30"/>
  <c r="CV322" i="30"/>
  <c r="CW322" i="30"/>
  <c r="CX322" i="30"/>
  <c r="CY322" i="30"/>
  <c r="CZ322" i="30"/>
  <c r="DA322" i="30"/>
  <c r="DB322" i="30"/>
  <c r="DC322" i="30"/>
  <c r="DD322" i="30"/>
  <c r="DE322" i="30"/>
  <c r="DF322" i="30"/>
  <c r="DG322" i="30"/>
  <c r="DH322" i="30"/>
  <c r="DI322" i="30"/>
  <c r="DJ322" i="30"/>
  <c r="DK322" i="30"/>
  <c r="DL322" i="30"/>
  <c r="DM322" i="30"/>
  <c r="DN322" i="30"/>
  <c r="DO322" i="30"/>
  <c r="DP322" i="30"/>
  <c r="DQ322" i="30"/>
  <c r="DR322" i="30"/>
  <c r="DS322" i="30"/>
  <c r="DT322" i="30"/>
  <c r="DU322" i="30"/>
  <c r="DV322" i="30"/>
  <c r="DW322" i="30"/>
  <c r="DX322" i="30"/>
  <c r="DY322" i="30"/>
  <c r="DZ322" i="30"/>
  <c r="EA322" i="30"/>
  <c r="EB322" i="30"/>
  <c r="EC322" i="30"/>
  <c r="ED322" i="30"/>
  <c r="EE322" i="30"/>
  <c r="EF322" i="30"/>
  <c r="EG322" i="30"/>
  <c r="EH322" i="30"/>
  <c r="EI322" i="30"/>
  <c r="EJ322" i="30"/>
  <c r="EK322" i="30"/>
  <c r="EL322" i="30"/>
  <c r="EM322" i="30"/>
  <c r="EN322" i="30"/>
  <c r="EO322" i="30"/>
  <c r="EP322" i="30"/>
  <c r="EQ322" i="30"/>
  <c r="ER322" i="30"/>
  <c r="ES322" i="30"/>
  <c r="ET322" i="30"/>
  <c r="EU322" i="30"/>
  <c r="EV322" i="30"/>
  <c r="EW322" i="30"/>
  <c r="EX322" i="30"/>
  <c r="EY322" i="30"/>
  <c r="EZ322" i="30"/>
  <c r="FA322" i="30"/>
  <c r="FB322" i="30"/>
  <c r="FC322" i="30"/>
  <c r="FD322" i="30"/>
  <c r="FE322" i="30"/>
  <c r="FF322" i="30"/>
  <c r="FG322" i="30"/>
  <c r="FH322" i="30"/>
  <c r="FI322" i="30"/>
  <c r="FJ322" i="30"/>
  <c r="FK322" i="30"/>
  <c r="FL322" i="30"/>
  <c r="FM322" i="30"/>
  <c r="FN322" i="30"/>
  <c r="FO322" i="30"/>
  <c r="FP322" i="30"/>
  <c r="FQ322" i="30"/>
  <c r="FR322" i="30"/>
  <c r="FS322" i="30"/>
  <c r="FT322" i="30"/>
  <c r="FU322" i="30"/>
  <c r="FV322" i="30"/>
  <c r="FW322" i="30"/>
  <c r="FX322" i="30"/>
  <c r="FY322" i="30"/>
  <c r="FZ322" i="30"/>
  <c r="GA322" i="30"/>
  <c r="GB322" i="30"/>
  <c r="GC322" i="30"/>
  <c r="GD322" i="30"/>
  <c r="GE322" i="30"/>
  <c r="GF322" i="30"/>
  <c r="GG322" i="30"/>
  <c r="GH322" i="30"/>
  <c r="GI322" i="30"/>
  <c r="GJ322" i="30"/>
  <c r="GK322" i="30"/>
  <c r="GL322" i="30"/>
  <c r="GM322" i="30"/>
  <c r="GN322" i="30"/>
  <c r="GO322" i="30"/>
  <c r="GP322" i="30"/>
  <c r="GQ322" i="30"/>
  <c r="GR322" i="30"/>
  <c r="GS322" i="30"/>
  <c r="GT322" i="30"/>
  <c r="GU322" i="30"/>
  <c r="GV322" i="30"/>
  <c r="GW322" i="30"/>
  <c r="GX322" i="30"/>
  <c r="GY322" i="30"/>
  <c r="GZ322" i="30"/>
  <c r="HA322" i="30"/>
  <c r="HB322" i="30"/>
  <c r="HC322" i="30"/>
  <c r="HD322" i="30"/>
  <c r="HE322" i="30"/>
  <c r="HF322" i="30"/>
  <c r="HG322" i="30"/>
  <c r="HH322" i="30"/>
  <c r="HI322" i="30"/>
  <c r="HJ322" i="30"/>
  <c r="HK322" i="30"/>
  <c r="HL322" i="30"/>
  <c r="HM322" i="30"/>
  <c r="HN322" i="30"/>
  <c r="HO322" i="30"/>
  <c r="HP322" i="30"/>
  <c r="HQ322" i="30"/>
  <c r="HR322" i="30"/>
  <c r="HS322" i="30"/>
  <c r="HT322" i="30"/>
  <c r="HU322" i="30"/>
  <c r="HV322" i="30"/>
  <c r="HW322" i="30"/>
  <c r="HX322" i="30"/>
  <c r="HY322" i="30"/>
  <c r="HZ322" i="30"/>
  <c r="IA322" i="30"/>
  <c r="IB322" i="30"/>
  <c r="IC322" i="30"/>
  <c r="ID322" i="30"/>
  <c r="IE322" i="30"/>
  <c r="IF322" i="30"/>
  <c r="IG322" i="30"/>
  <c r="IH322" i="30"/>
  <c r="II322" i="30"/>
  <c r="IJ322" i="30"/>
  <c r="IK322" i="30"/>
  <c r="IL322" i="30"/>
  <c r="IM322" i="30"/>
  <c r="IN322" i="30"/>
  <c r="IO322" i="30"/>
  <c r="IP322" i="30"/>
  <c r="IQ322" i="30"/>
  <c r="IR322" i="30"/>
  <c r="IS322" i="30"/>
  <c r="IT322" i="30"/>
  <c r="IU322" i="30"/>
  <c r="IV322" i="30"/>
  <c r="A321" i="30"/>
  <c r="B321" i="30"/>
  <c r="C321" i="30"/>
  <c r="D321" i="30"/>
  <c r="E321" i="30"/>
  <c r="F321" i="30"/>
  <c r="G321" i="30"/>
  <c r="H321" i="30"/>
  <c r="I321" i="30"/>
  <c r="J321" i="30"/>
  <c r="K321" i="30"/>
  <c r="L321" i="30"/>
  <c r="M321" i="30"/>
  <c r="N321" i="30"/>
  <c r="O321" i="30"/>
  <c r="P321" i="30"/>
  <c r="Q321" i="30"/>
  <c r="R321" i="30"/>
  <c r="S321" i="30"/>
  <c r="T321" i="30"/>
  <c r="U321" i="30"/>
  <c r="V321" i="30"/>
  <c r="W321" i="30"/>
  <c r="X321" i="30"/>
  <c r="Y321" i="30"/>
  <c r="Z321" i="30"/>
  <c r="AA321" i="30"/>
  <c r="AB321" i="30"/>
  <c r="AC321" i="30"/>
  <c r="AD321" i="30"/>
  <c r="AE321" i="30"/>
  <c r="AF321" i="30"/>
  <c r="AG321" i="30"/>
  <c r="AH321" i="30"/>
  <c r="AI321" i="30"/>
  <c r="AJ321" i="30"/>
  <c r="AK321" i="30"/>
  <c r="AL321" i="30"/>
  <c r="AM321" i="30"/>
  <c r="AN321" i="30"/>
  <c r="AO321" i="30"/>
  <c r="AP321" i="30"/>
  <c r="AQ321" i="30"/>
  <c r="AR321" i="30"/>
  <c r="AS321" i="30"/>
  <c r="AT321" i="30"/>
  <c r="AU321" i="30"/>
  <c r="AV321" i="30"/>
  <c r="AW321" i="30"/>
  <c r="AX321" i="30"/>
  <c r="AY321" i="30"/>
  <c r="AZ321" i="30"/>
  <c r="BA321" i="30"/>
  <c r="BB321" i="30"/>
  <c r="BC321" i="30"/>
  <c r="BD321" i="30"/>
  <c r="BE321" i="30"/>
  <c r="BF321" i="30"/>
  <c r="BG321" i="30"/>
  <c r="BH321" i="30"/>
  <c r="BI321" i="30"/>
  <c r="BJ321" i="30"/>
  <c r="BK321" i="30"/>
  <c r="BL321" i="30"/>
  <c r="BM321" i="30"/>
  <c r="BN321" i="30"/>
  <c r="BO321" i="30"/>
  <c r="BP321" i="30"/>
  <c r="BQ321" i="30"/>
  <c r="BR321" i="30"/>
  <c r="BS321" i="30"/>
  <c r="BT321" i="30"/>
  <c r="BU321" i="30"/>
  <c r="BV321" i="30"/>
  <c r="BW321" i="30"/>
  <c r="BX321" i="30"/>
  <c r="BY321" i="30"/>
  <c r="BZ321" i="30"/>
  <c r="CA321" i="30"/>
  <c r="CB321" i="30"/>
  <c r="CC321" i="30"/>
  <c r="CD321" i="30"/>
  <c r="CE321" i="30"/>
  <c r="CF321" i="30"/>
  <c r="CG321" i="30"/>
  <c r="CH321" i="30"/>
  <c r="CI321" i="30"/>
  <c r="CJ321" i="30"/>
  <c r="CK321" i="30"/>
  <c r="CL321" i="30"/>
  <c r="CM321" i="30"/>
  <c r="CN321" i="30"/>
  <c r="CO321" i="30"/>
  <c r="CP321" i="30"/>
  <c r="CQ321" i="30"/>
  <c r="CR321" i="30"/>
  <c r="CS321" i="30"/>
  <c r="CT321" i="30"/>
  <c r="CU321" i="30"/>
  <c r="CV321" i="30"/>
  <c r="CW321" i="30"/>
  <c r="CX321" i="30"/>
  <c r="CY321" i="30"/>
  <c r="CZ321" i="30"/>
  <c r="DA321" i="30"/>
  <c r="DB321" i="30"/>
  <c r="DC321" i="30"/>
  <c r="DD321" i="30"/>
  <c r="DE321" i="30"/>
  <c r="DF321" i="30"/>
  <c r="DG321" i="30"/>
  <c r="DH321" i="30"/>
  <c r="DI321" i="30"/>
  <c r="DJ321" i="30"/>
  <c r="DK321" i="30"/>
  <c r="DL321" i="30"/>
  <c r="DM321" i="30"/>
  <c r="DN321" i="30"/>
  <c r="DO321" i="30"/>
  <c r="DP321" i="30"/>
  <c r="DQ321" i="30"/>
  <c r="DR321" i="30"/>
  <c r="DS321" i="30"/>
  <c r="DT321" i="30"/>
  <c r="DU321" i="30"/>
  <c r="DV321" i="30"/>
  <c r="DW321" i="30"/>
  <c r="DX321" i="30"/>
  <c r="DY321" i="30"/>
  <c r="DZ321" i="30"/>
  <c r="EA321" i="30"/>
  <c r="EB321" i="30"/>
  <c r="EC321" i="30"/>
  <c r="ED321" i="30"/>
  <c r="EE321" i="30"/>
  <c r="EF321" i="30"/>
  <c r="EG321" i="30"/>
  <c r="EH321" i="30"/>
  <c r="EI321" i="30"/>
  <c r="EJ321" i="30"/>
  <c r="EK321" i="30"/>
  <c r="EL321" i="30"/>
  <c r="EM321" i="30"/>
  <c r="EN321" i="30"/>
  <c r="EO321" i="30"/>
  <c r="EP321" i="30"/>
  <c r="EQ321" i="30"/>
  <c r="ER321" i="30"/>
  <c r="ES321" i="30"/>
  <c r="ET321" i="30"/>
  <c r="EU321" i="30"/>
  <c r="EV321" i="30"/>
  <c r="EW321" i="30"/>
  <c r="EX321" i="30"/>
  <c r="EY321" i="30"/>
  <c r="EZ321" i="30"/>
  <c r="FA321" i="30"/>
  <c r="FB321" i="30"/>
  <c r="FC321" i="30"/>
  <c r="FD321" i="30"/>
  <c r="FE321" i="30"/>
  <c r="FF321" i="30"/>
  <c r="FG321" i="30"/>
  <c r="FH321" i="30"/>
  <c r="FI321" i="30"/>
  <c r="FJ321" i="30"/>
  <c r="FK321" i="30"/>
  <c r="FL321" i="30"/>
  <c r="FM321" i="30"/>
  <c r="FN321" i="30"/>
  <c r="FO321" i="30"/>
  <c r="FP321" i="30"/>
  <c r="FQ321" i="30"/>
  <c r="FR321" i="30"/>
  <c r="FS321" i="30"/>
  <c r="FT321" i="30"/>
  <c r="FU321" i="30"/>
  <c r="FV321" i="30"/>
  <c r="FW321" i="30"/>
  <c r="FX321" i="30"/>
  <c r="FY321" i="30"/>
  <c r="FZ321" i="30"/>
  <c r="GA321" i="30"/>
  <c r="GB321" i="30"/>
  <c r="GC321" i="30"/>
  <c r="GD321" i="30"/>
  <c r="GE321" i="30"/>
  <c r="GF321" i="30"/>
  <c r="GG321" i="30"/>
  <c r="GH321" i="30"/>
  <c r="GI321" i="30"/>
  <c r="GJ321" i="30"/>
  <c r="GK321" i="30"/>
  <c r="GL321" i="30"/>
  <c r="GM321" i="30"/>
  <c r="GN321" i="30"/>
  <c r="GO321" i="30"/>
  <c r="GP321" i="30"/>
  <c r="GQ321" i="30"/>
  <c r="GR321" i="30"/>
  <c r="GS321" i="30"/>
  <c r="GT321" i="30"/>
  <c r="GU321" i="30"/>
  <c r="GV321" i="30"/>
  <c r="GW321" i="30"/>
  <c r="GX321" i="30"/>
  <c r="GY321" i="30"/>
  <c r="GZ321" i="30"/>
  <c r="HA321" i="30"/>
  <c r="HB321" i="30"/>
  <c r="HC321" i="30"/>
  <c r="HD321" i="30"/>
  <c r="HE321" i="30"/>
  <c r="HF321" i="30"/>
  <c r="HG321" i="30"/>
  <c r="HH321" i="30"/>
  <c r="HI321" i="30"/>
  <c r="HJ321" i="30"/>
  <c r="HK321" i="30"/>
  <c r="HL321" i="30"/>
  <c r="HM321" i="30"/>
  <c r="HN321" i="30"/>
  <c r="HO321" i="30"/>
  <c r="HP321" i="30"/>
  <c r="HQ321" i="30"/>
  <c r="HR321" i="30"/>
  <c r="HS321" i="30"/>
  <c r="HT321" i="30"/>
  <c r="HU321" i="30"/>
  <c r="HV321" i="30"/>
  <c r="HW321" i="30"/>
  <c r="HX321" i="30"/>
  <c r="HY321" i="30"/>
  <c r="HZ321" i="30"/>
  <c r="IA321" i="30"/>
  <c r="IB321" i="30"/>
  <c r="IC321" i="30"/>
  <c r="ID321" i="30"/>
  <c r="IE321" i="30"/>
  <c r="IF321" i="30"/>
  <c r="IG321" i="30"/>
  <c r="IH321" i="30"/>
  <c r="II321" i="30"/>
  <c r="IJ321" i="30"/>
  <c r="IK321" i="30"/>
  <c r="IL321" i="30"/>
  <c r="IM321" i="30"/>
  <c r="IN321" i="30"/>
  <c r="IO321" i="30"/>
  <c r="IP321" i="30"/>
  <c r="IQ321" i="30"/>
  <c r="IR321" i="30"/>
  <c r="IS321" i="30"/>
  <c r="IT321" i="30"/>
  <c r="IU321" i="30"/>
  <c r="IV321" i="30"/>
  <c r="A320" i="30"/>
  <c r="B320" i="30"/>
  <c r="C320" i="30"/>
  <c r="D320" i="30"/>
  <c r="E320" i="30"/>
  <c r="F320" i="30"/>
  <c r="G320" i="30"/>
  <c r="H320" i="30"/>
  <c r="I320" i="30"/>
  <c r="J320" i="30"/>
  <c r="K320" i="30"/>
  <c r="L320" i="30"/>
  <c r="M320" i="30"/>
  <c r="N320" i="30"/>
  <c r="O320" i="30"/>
  <c r="P320" i="30"/>
  <c r="Q320" i="30"/>
  <c r="R320" i="30"/>
  <c r="S320" i="30"/>
  <c r="T320" i="30"/>
  <c r="U320" i="30"/>
  <c r="V320" i="30"/>
  <c r="W320" i="30"/>
  <c r="X320" i="30"/>
  <c r="Y320" i="30"/>
  <c r="Z320" i="30"/>
  <c r="AA320" i="30"/>
  <c r="AB320" i="30"/>
  <c r="AC320" i="30"/>
  <c r="AD320" i="30"/>
  <c r="AE320" i="30"/>
  <c r="AF320" i="30"/>
  <c r="AG320" i="30"/>
  <c r="AH320" i="30"/>
  <c r="AI320" i="30"/>
  <c r="AJ320" i="30"/>
  <c r="AK320" i="30"/>
  <c r="AL320" i="30"/>
  <c r="AM320" i="30"/>
  <c r="AN320" i="30"/>
  <c r="AO320" i="30"/>
  <c r="AP320" i="30"/>
  <c r="AQ320" i="30"/>
  <c r="AR320" i="30"/>
  <c r="AS320" i="30"/>
  <c r="AT320" i="30"/>
  <c r="AU320" i="30"/>
  <c r="AV320" i="30"/>
  <c r="AW320" i="30"/>
  <c r="AX320" i="30"/>
  <c r="AY320" i="30"/>
  <c r="AZ320" i="30"/>
  <c r="BA320" i="30"/>
  <c r="BB320" i="30"/>
  <c r="BC320" i="30"/>
  <c r="BD320" i="30"/>
  <c r="BE320" i="30"/>
  <c r="BF320" i="30"/>
  <c r="BG320" i="30"/>
  <c r="BH320" i="30"/>
  <c r="BI320" i="30"/>
  <c r="BJ320" i="30"/>
  <c r="BK320" i="30"/>
  <c r="BL320" i="30"/>
  <c r="BM320" i="30"/>
  <c r="BN320" i="30"/>
  <c r="BO320" i="30"/>
  <c r="BP320" i="30"/>
  <c r="BQ320" i="30"/>
  <c r="BR320" i="30"/>
  <c r="BS320" i="30"/>
  <c r="BT320" i="30"/>
  <c r="BU320" i="30"/>
  <c r="BV320" i="30"/>
  <c r="BW320" i="30"/>
  <c r="BX320" i="30"/>
  <c r="BY320" i="30"/>
  <c r="BZ320" i="30"/>
  <c r="CA320" i="30"/>
  <c r="CB320" i="30"/>
  <c r="CC320" i="30"/>
  <c r="CD320" i="30"/>
  <c r="CE320" i="30"/>
  <c r="CF320" i="30"/>
  <c r="CG320" i="30"/>
  <c r="CH320" i="30"/>
  <c r="CI320" i="30"/>
  <c r="CJ320" i="30"/>
  <c r="CK320" i="30"/>
  <c r="CL320" i="30"/>
  <c r="CM320" i="30"/>
  <c r="CN320" i="30"/>
  <c r="CO320" i="30"/>
  <c r="CP320" i="30"/>
  <c r="CQ320" i="30"/>
  <c r="CR320" i="30"/>
  <c r="CS320" i="30"/>
  <c r="CT320" i="30"/>
  <c r="CU320" i="30"/>
  <c r="CV320" i="30"/>
  <c r="CW320" i="30"/>
  <c r="CX320" i="30"/>
  <c r="CY320" i="30"/>
  <c r="CZ320" i="30"/>
  <c r="DA320" i="30"/>
  <c r="DB320" i="30"/>
  <c r="DC320" i="30"/>
  <c r="DD320" i="30"/>
  <c r="DE320" i="30"/>
  <c r="DF320" i="30"/>
  <c r="DG320" i="30"/>
  <c r="DH320" i="30"/>
  <c r="DI320" i="30"/>
  <c r="DJ320" i="30"/>
  <c r="DK320" i="30"/>
  <c r="DL320" i="30"/>
  <c r="DM320" i="30"/>
  <c r="DN320" i="30"/>
  <c r="DO320" i="30"/>
  <c r="DP320" i="30"/>
  <c r="DQ320" i="30"/>
  <c r="DR320" i="30"/>
  <c r="DS320" i="30"/>
  <c r="DT320" i="30"/>
  <c r="DU320" i="30"/>
  <c r="DV320" i="30"/>
  <c r="DW320" i="30"/>
  <c r="DX320" i="30"/>
  <c r="DY320" i="30"/>
  <c r="DZ320" i="30"/>
  <c r="EA320" i="30"/>
  <c r="EB320" i="30"/>
  <c r="EC320" i="30"/>
  <c r="ED320" i="30"/>
  <c r="EE320" i="30"/>
  <c r="EF320" i="30"/>
  <c r="EG320" i="30"/>
  <c r="EH320" i="30"/>
  <c r="EI320" i="30"/>
  <c r="EJ320" i="30"/>
  <c r="EK320" i="30"/>
  <c r="EL320" i="30"/>
  <c r="EM320" i="30"/>
  <c r="EN320" i="30"/>
  <c r="EO320" i="30"/>
  <c r="EP320" i="30"/>
  <c r="EQ320" i="30"/>
  <c r="ER320" i="30"/>
  <c r="ES320" i="30"/>
  <c r="ET320" i="30"/>
  <c r="EU320" i="30"/>
  <c r="EV320" i="30"/>
  <c r="EW320" i="30"/>
  <c r="EX320" i="30"/>
  <c r="EY320" i="30"/>
  <c r="EZ320" i="30"/>
  <c r="FA320" i="30"/>
  <c r="FB320" i="30"/>
  <c r="FC320" i="30"/>
  <c r="FD320" i="30"/>
  <c r="FE320" i="30"/>
  <c r="FF320" i="30"/>
  <c r="FG320" i="30"/>
  <c r="FH320" i="30"/>
  <c r="FI320" i="30"/>
  <c r="FJ320" i="30"/>
  <c r="FK320" i="30"/>
  <c r="FL320" i="30"/>
  <c r="FM320" i="30"/>
  <c r="FN320" i="30"/>
  <c r="FO320" i="30"/>
  <c r="FP320" i="30"/>
  <c r="FQ320" i="30"/>
  <c r="FR320" i="30"/>
  <c r="FS320" i="30"/>
  <c r="FT320" i="30"/>
  <c r="FU320" i="30"/>
  <c r="FV320" i="30"/>
  <c r="FW320" i="30"/>
  <c r="FX320" i="30"/>
  <c r="FY320" i="30"/>
  <c r="FZ320" i="30"/>
  <c r="GA320" i="30"/>
  <c r="GB320" i="30"/>
  <c r="GC320" i="30"/>
  <c r="GD320" i="30"/>
  <c r="GE320" i="30"/>
  <c r="GF320" i="30"/>
  <c r="GG320" i="30"/>
  <c r="GH320" i="30"/>
  <c r="GI320" i="30"/>
  <c r="GJ320" i="30"/>
  <c r="GK320" i="30"/>
  <c r="GL320" i="30"/>
  <c r="GM320" i="30"/>
  <c r="GN320" i="30"/>
  <c r="GO320" i="30"/>
  <c r="GP320" i="30"/>
  <c r="GQ320" i="30"/>
  <c r="GR320" i="30"/>
  <c r="GS320" i="30"/>
  <c r="GT320" i="30"/>
  <c r="GU320" i="30"/>
  <c r="GV320" i="30"/>
  <c r="GW320" i="30"/>
  <c r="GX320" i="30"/>
  <c r="GY320" i="30"/>
  <c r="GZ320" i="30"/>
  <c r="HA320" i="30"/>
  <c r="HB320" i="30"/>
  <c r="HC320" i="30"/>
  <c r="HD320" i="30"/>
  <c r="HE320" i="30"/>
  <c r="HF320" i="30"/>
  <c r="HG320" i="30"/>
  <c r="HH320" i="30"/>
  <c r="HI320" i="30"/>
  <c r="HJ320" i="30"/>
  <c r="HK320" i="30"/>
  <c r="HL320" i="30"/>
  <c r="HM320" i="30"/>
  <c r="HN320" i="30"/>
  <c r="HO320" i="30"/>
  <c r="HP320" i="30"/>
  <c r="HQ320" i="30"/>
  <c r="HR320" i="30"/>
  <c r="HS320" i="30"/>
  <c r="HT320" i="30"/>
  <c r="HU320" i="30"/>
  <c r="HV320" i="30"/>
  <c r="HW320" i="30"/>
  <c r="HX320" i="30"/>
  <c r="HY320" i="30"/>
  <c r="HZ320" i="30"/>
  <c r="IA320" i="30"/>
  <c r="IB320" i="30"/>
  <c r="IC320" i="30"/>
  <c r="ID320" i="30"/>
  <c r="IE320" i="30"/>
  <c r="IF320" i="30"/>
  <c r="IG320" i="30"/>
  <c r="IH320" i="30"/>
  <c r="II320" i="30"/>
  <c r="IJ320" i="30"/>
  <c r="IK320" i="30"/>
  <c r="IL320" i="30"/>
  <c r="IM320" i="30"/>
  <c r="IN320" i="30"/>
  <c r="IO320" i="30"/>
  <c r="IP320" i="30"/>
  <c r="IQ320" i="30"/>
  <c r="IR320" i="30"/>
  <c r="IS320" i="30"/>
  <c r="IT320" i="30"/>
  <c r="IU320" i="30"/>
  <c r="IV320" i="30"/>
  <c r="A319" i="30"/>
  <c r="B319" i="30"/>
  <c r="C319" i="30"/>
  <c r="D319" i="30"/>
  <c r="E319" i="30"/>
  <c r="F319" i="30"/>
  <c r="G319" i="30"/>
  <c r="H319" i="30"/>
  <c r="I319" i="30"/>
  <c r="J319" i="30"/>
  <c r="K319" i="30"/>
  <c r="L319" i="30"/>
  <c r="M319" i="30"/>
  <c r="N319" i="30"/>
  <c r="O319" i="30"/>
  <c r="P319" i="30"/>
  <c r="Q319" i="30"/>
  <c r="R319" i="30"/>
  <c r="S319" i="30"/>
  <c r="T319" i="30"/>
  <c r="U319" i="30"/>
  <c r="V319" i="30"/>
  <c r="W319" i="30"/>
  <c r="X319" i="30"/>
  <c r="Y319" i="30"/>
  <c r="Z319" i="30"/>
  <c r="AA319" i="30"/>
  <c r="AB319" i="30"/>
  <c r="AC319" i="30"/>
  <c r="AD319" i="30"/>
  <c r="AE319" i="30"/>
  <c r="AF319" i="30"/>
  <c r="AG319" i="30"/>
  <c r="AH319" i="30"/>
  <c r="AI319" i="30"/>
  <c r="AJ319" i="30"/>
  <c r="AK319" i="30"/>
  <c r="AL319" i="30"/>
  <c r="AM319" i="30"/>
  <c r="AN319" i="30"/>
  <c r="AO319" i="30"/>
  <c r="AP319" i="30"/>
  <c r="AQ319" i="30"/>
  <c r="AR319" i="30"/>
  <c r="AS319" i="30"/>
  <c r="AT319" i="30"/>
  <c r="AU319" i="30"/>
  <c r="AV319" i="30"/>
  <c r="AW319" i="30"/>
  <c r="AX319" i="30"/>
  <c r="AY319" i="30"/>
  <c r="AZ319" i="30"/>
  <c r="BA319" i="30"/>
  <c r="BB319" i="30"/>
  <c r="BC319" i="30"/>
  <c r="BD319" i="30"/>
  <c r="BE319" i="30"/>
  <c r="BF319" i="30"/>
  <c r="BG319" i="30"/>
  <c r="BH319" i="30"/>
  <c r="BI319" i="30"/>
  <c r="BJ319" i="30"/>
  <c r="BK319" i="30"/>
  <c r="BL319" i="30"/>
  <c r="BM319" i="30"/>
  <c r="BN319" i="30"/>
  <c r="BO319" i="30"/>
  <c r="BP319" i="30"/>
  <c r="BQ319" i="30"/>
  <c r="BR319" i="30"/>
  <c r="BS319" i="30"/>
  <c r="BT319" i="30"/>
  <c r="BU319" i="30"/>
  <c r="BV319" i="30"/>
  <c r="BW319" i="30"/>
  <c r="BX319" i="30"/>
  <c r="BY319" i="30"/>
  <c r="BZ319" i="30"/>
  <c r="CA319" i="30"/>
  <c r="CB319" i="30"/>
  <c r="CC319" i="30"/>
  <c r="CD319" i="30"/>
  <c r="CE319" i="30"/>
  <c r="CF319" i="30"/>
  <c r="CG319" i="30"/>
  <c r="CH319" i="30"/>
  <c r="CI319" i="30"/>
  <c r="CJ319" i="30"/>
  <c r="CK319" i="30"/>
  <c r="CL319" i="30"/>
  <c r="CM319" i="30"/>
  <c r="CN319" i="30"/>
  <c r="CO319" i="30"/>
  <c r="CP319" i="30"/>
  <c r="CQ319" i="30"/>
  <c r="CR319" i="30"/>
  <c r="CS319" i="30"/>
  <c r="CT319" i="30"/>
  <c r="CU319" i="30"/>
  <c r="CV319" i="30"/>
  <c r="CW319" i="30"/>
  <c r="CX319" i="30"/>
  <c r="CY319" i="30"/>
  <c r="CZ319" i="30"/>
  <c r="DA319" i="30"/>
  <c r="DB319" i="30"/>
  <c r="DC319" i="30"/>
  <c r="DD319" i="30"/>
  <c r="DE319" i="30"/>
  <c r="DF319" i="30"/>
  <c r="DG319" i="30"/>
  <c r="DH319" i="30"/>
  <c r="DI319" i="30"/>
  <c r="DJ319" i="30"/>
  <c r="DK319" i="30"/>
  <c r="DL319" i="30"/>
  <c r="DM319" i="30"/>
  <c r="DN319" i="30"/>
  <c r="DO319" i="30"/>
  <c r="DP319" i="30"/>
  <c r="DQ319" i="30"/>
  <c r="DR319" i="30"/>
  <c r="DS319" i="30"/>
  <c r="DT319" i="30"/>
  <c r="DU319" i="30"/>
  <c r="DV319" i="30"/>
  <c r="DW319" i="30"/>
  <c r="DX319" i="30"/>
  <c r="DY319" i="30"/>
  <c r="DZ319" i="30"/>
  <c r="EA319" i="30"/>
  <c r="EB319" i="30"/>
  <c r="EC319" i="30"/>
  <c r="ED319" i="30"/>
  <c r="EE319" i="30"/>
  <c r="EF319" i="30"/>
  <c r="EG319" i="30"/>
  <c r="EH319" i="30"/>
  <c r="EI319" i="30"/>
  <c r="EJ319" i="30"/>
  <c r="EK319" i="30"/>
  <c r="EL319" i="30"/>
  <c r="EM319" i="30"/>
  <c r="EN319" i="30"/>
  <c r="EO319" i="30"/>
  <c r="EP319" i="30"/>
  <c r="EQ319" i="30"/>
  <c r="ER319" i="30"/>
  <c r="ES319" i="30"/>
  <c r="ET319" i="30"/>
  <c r="EU319" i="30"/>
  <c r="EV319" i="30"/>
  <c r="EW319" i="30"/>
  <c r="EX319" i="30"/>
  <c r="EY319" i="30"/>
  <c r="EZ319" i="30"/>
  <c r="FA319" i="30"/>
  <c r="FB319" i="30"/>
  <c r="FC319" i="30"/>
  <c r="FD319" i="30"/>
  <c r="FE319" i="30"/>
  <c r="FF319" i="30"/>
  <c r="FG319" i="30"/>
  <c r="FH319" i="30"/>
  <c r="FI319" i="30"/>
  <c r="FJ319" i="30"/>
  <c r="FK319" i="30"/>
  <c r="FL319" i="30"/>
  <c r="FM319" i="30"/>
  <c r="FN319" i="30"/>
  <c r="FO319" i="30"/>
  <c r="FP319" i="30"/>
  <c r="FQ319" i="30"/>
  <c r="FR319" i="30"/>
  <c r="FS319" i="30"/>
  <c r="FT319" i="30"/>
  <c r="FU319" i="30"/>
  <c r="FV319" i="30"/>
  <c r="FW319" i="30"/>
  <c r="FX319" i="30"/>
  <c r="FY319" i="30"/>
  <c r="FZ319" i="30"/>
  <c r="GA319" i="30"/>
  <c r="GB319" i="30"/>
  <c r="GC319" i="30"/>
  <c r="GD319" i="30"/>
  <c r="GE319" i="30"/>
  <c r="GF319" i="30"/>
  <c r="GG319" i="30"/>
  <c r="GH319" i="30"/>
  <c r="GI319" i="30"/>
  <c r="GJ319" i="30"/>
  <c r="GK319" i="30"/>
  <c r="GL319" i="30"/>
  <c r="GM319" i="30"/>
  <c r="GN319" i="30"/>
  <c r="GO319" i="30"/>
  <c r="GP319" i="30"/>
  <c r="GQ319" i="30"/>
  <c r="GR319" i="30"/>
  <c r="GS319" i="30"/>
  <c r="GT319" i="30"/>
  <c r="GU319" i="30"/>
  <c r="GV319" i="30"/>
  <c r="GW319" i="30"/>
  <c r="GX319" i="30"/>
  <c r="GY319" i="30"/>
  <c r="GZ319" i="30"/>
  <c r="HA319" i="30"/>
  <c r="HB319" i="30"/>
  <c r="HC319" i="30"/>
  <c r="HD319" i="30"/>
  <c r="HE319" i="30"/>
  <c r="HF319" i="30"/>
  <c r="HG319" i="30"/>
  <c r="HH319" i="30"/>
  <c r="HI319" i="30"/>
  <c r="HJ319" i="30"/>
  <c r="HK319" i="30"/>
  <c r="HL319" i="30"/>
  <c r="HM319" i="30"/>
  <c r="HN319" i="30"/>
  <c r="HO319" i="30"/>
  <c r="HP319" i="30"/>
  <c r="HQ319" i="30"/>
  <c r="HR319" i="30"/>
  <c r="HS319" i="30"/>
  <c r="HT319" i="30"/>
  <c r="HU319" i="30"/>
  <c r="HV319" i="30"/>
  <c r="HW319" i="30"/>
  <c r="HX319" i="30"/>
  <c r="HY319" i="30"/>
  <c r="HZ319" i="30"/>
  <c r="IA319" i="30"/>
  <c r="IB319" i="30"/>
  <c r="IC319" i="30"/>
  <c r="ID319" i="30"/>
  <c r="IE319" i="30"/>
  <c r="IF319" i="30"/>
  <c r="IG319" i="30"/>
  <c r="IH319" i="30"/>
  <c r="II319" i="30"/>
  <c r="IJ319" i="30"/>
  <c r="IK319" i="30"/>
  <c r="IL319" i="30"/>
  <c r="IM319" i="30"/>
  <c r="IN319" i="30"/>
  <c r="IO319" i="30"/>
  <c r="IP319" i="30"/>
  <c r="IQ319" i="30"/>
  <c r="IR319" i="30"/>
  <c r="IS319" i="30"/>
  <c r="IT319" i="30"/>
  <c r="IU319" i="30"/>
  <c r="IV319" i="30"/>
  <c r="A318" i="30"/>
  <c r="B318" i="30"/>
  <c r="C318" i="30"/>
  <c r="D318" i="30"/>
  <c r="E318" i="30"/>
  <c r="F318" i="30"/>
  <c r="G318" i="30"/>
  <c r="H318" i="30"/>
  <c r="I318" i="30"/>
  <c r="J318" i="30"/>
  <c r="K318" i="30"/>
  <c r="L318" i="30"/>
  <c r="M318" i="30"/>
  <c r="N318" i="30"/>
  <c r="O318" i="30"/>
  <c r="P318" i="30"/>
  <c r="Q318" i="30"/>
  <c r="R318" i="30"/>
  <c r="S318" i="30"/>
  <c r="T318" i="30"/>
  <c r="U318" i="30"/>
  <c r="V318" i="30"/>
  <c r="W318" i="30"/>
  <c r="X318" i="30"/>
  <c r="Y318" i="30"/>
  <c r="Z318" i="30"/>
  <c r="AA318" i="30"/>
  <c r="AB318" i="30"/>
  <c r="AC318" i="30"/>
  <c r="AD318" i="30"/>
  <c r="AE318" i="30"/>
  <c r="AF318" i="30"/>
  <c r="AG318" i="30"/>
  <c r="AH318" i="30"/>
  <c r="AI318" i="30"/>
  <c r="AJ318" i="30"/>
  <c r="AK318" i="30"/>
  <c r="AL318" i="30"/>
  <c r="AM318" i="30"/>
  <c r="AN318" i="30"/>
  <c r="AO318" i="30"/>
  <c r="AP318" i="30"/>
  <c r="AQ318" i="30"/>
  <c r="AR318" i="30"/>
  <c r="AS318" i="30"/>
  <c r="AT318" i="30"/>
  <c r="AU318" i="30"/>
  <c r="AV318" i="30"/>
  <c r="AW318" i="30"/>
  <c r="AX318" i="30"/>
  <c r="AY318" i="30"/>
  <c r="AZ318" i="30"/>
  <c r="BA318" i="30"/>
  <c r="BB318" i="30"/>
  <c r="BC318" i="30"/>
  <c r="BD318" i="30"/>
  <c r="BE318" i="30"/>
  <c r="BF318" i="30"/>
  <c r="BG318" i="30"/>
  <c r="BH318" i="30"/>
  <c r="BI318" i="30"/>
  <c r="BJ318" i="30"/>
  <c r="BK318" i="30"/>
  <c r="BL318" i="30"/>
  <c r="BM318" i="30"/>
  <c r="BN318" i="30"/>
  <c r="BO318" i="30"/>
  <c r="BP318" i="30"/>
  <c r="BQ318" i="30"/>
  <c r="BR318" i="30"/>
  <c r="BS318" i="30"/>
  <c r="BT318" i="30"/>
  <c r="BU318" i="30"/>
  <c r="BV318" i="30"/>
  <c r="BW318" i="30"/>
  <c r="BX318" i="30"/>
  <c r="BY318" i="30"/>
  <c r="BZ318" i="30"/>
  <c r="CA318" i="30"/>
  <c r="CB318" i="30"/>
  <c r="CC318" i="30"/>
  <c r="CD318" i="30"/>
  <c r="CE318" i="30"/>
  <c r="CF318" i="30"/>
  <c r="CG318" i="30"/>
  <c r="CH318" i="30"/>
  <c r="CI318" i="30"/>
  <c r="CJ318" i="30"/>
  <c r="CK318" i="30"/>
  <c r="CL318" i="30"/>
  <c r="CM318" i="30"/>
  <c r="CN318" i="30"/>
  <c r="CO318" i="30"/>
  <c r="CP318" i="30"/>
  <c r="CQ318" i="30"/>
  <c r="CR318" i="30"/>
  <c r="CS318" i="30"/>
  <c r="CT318" i="30"/>
  <c r="CU318" i="30"/>
  <c r="CV318" i="30"/>
  <c r="CW318" i="30"/>
  <c r="CX318" i="30"/>
  <c r="CY318" i="30"/>
  <c r="CZ318" i="30"/>
  <c r="DA318" i="30"/>
  <c r="DB318" i="30"/>
  <c r="DC318" i="30"/>
  <c r="DD318" i="30"/>
  <c r="DE318" i="30"/>
  <c r="DF318" i="30"/>
  <c r="DG318" i="30"/>
  <c r="DH318" i="30"/>
  <c r="DI318" i="30"/>
  <c r="DJ318" i="30"/>
  <c r="DK318" i="30"/>
  <c r="DL318" i="30"/>
  <c r="DM318" i="30"/>
  <c r="DN318" i="30"/>
  <c r="DO318" i="30"/>
  <c r="DP318" i="30"/>
  <c r="DQ318" i="30"/>
  <c r="DR318" i="30"/>
  <c r="DS318" i="30"/>
  <c r="DT318" i="30"/>
  <c r="DU318" i="30"/>
  <c r="DV318" i="30"/>
  <c r="DW318" i="30"/>
  <c r="DX318" i="30"/>
  <c r="DY318" i="30"/>
  <c r="DZ318" i="30"/>
  <c r="EA318" i="30"/>
  <c r="EB318" i="30"/>
  <c r="EC318" i="30"/>
  <c r="ED318" i="30"/>
  <c r="EE318" i="30"/>
  <c r="EF318" i="30"/>
  <c r="EG318" i="30"/>
  <c r="EH318" i="30"/>
  <c r="EI318" i="30"/>
  <c r="EJ318" i="30"/>
  <c r="EK318" i="30"/>
  <c r="EL318" i="30"/>
  <c r="EM318" i="30"/>
  <c r="EN318" i="30"/>
  <c r="EO318" i="30"/>
  <c r="EP318" i="30"/>
  <c r="EQ318" i="30"/>
  <c r="ER318" i="30"/>
  <c r="ES318" i="30"/>
  <c r="ET318" i="30"/>
  <c r="EU318" i="30"/>
  <c r="EV318" i="30"/>
  <c r="EW318" i="30"/>
  <c r="EX318" i="30"/>
  <c r="EY318" i="30"/>
  <c r="EZ318" i="30"/>
  <c r="FA318" i="30"/>
  <c r="FB318" i="30"/>
  <c r="FC318" i="30"/>
  <c r="FD318" i="30"/>
  <c r="FE318" i="30"/>
  <c r="FF318" i="30"/>
  <c r="FG318" i="30"/>
  <c r="FH318" i="30"/>
  <c r="FI318" i="30"/>
  <c r="FJ318" i="30"/>
  <c r="FK318" i="30"/>
  <c r="FL318" i="30"/>
  <c r="FM318" i="30"/>
  <c r="FN318" i="30"/>
  <c r="FO318" i="30"/>
  <c r="FP318" i="30"/>
  <c r="FQ318" i="30"/>
  <c r="FR318" i="30"/>
  <c r="FS318" i="30"/>
  <c r="FT318" i="30"/>
  <c r="FU318" i="30"/>
  <c r="FV318" i="30"/>
  <c r="FW318" i="30"/>
  <c r="FX318" i="30"/>
  <c r="FY318" i="30"/>
  <c r="FZ318" i="30"/>
  <c r="GA318" i="30"/>
  <c r="GB318" i="30"/>
  <c r="GC318" i="30"/>
  <c r="GD318" i="30"/>
  <c r="GE318" i="30"/>
  <c r="GF318" i="30"/>
  <c r="GG318" i="30"/>
  <c r="GH318" i="30"/>
  <c r="GI318" i="30"/>
  <c r="GJ318" i="30"/>
  <c r="GK318" i="30"/>
  <c r="GL318" i="30"/>
  <c r="GM318" i="30"/>
  <c r="GN318" i="30"/>
  <c r="GO318" i="30"/>
  <c r="GP318" i="30"/>
  <c r="GQ318" i="30"/>
  <c r="GR318" i="30"/>
  <c r="GS318" i="30"/>
  <c r="GT318" i="30"/>
  <c r="GU318" i="30"/>
  <c r="GV318" i="30"/>
  <c r="GW318" i="30"/>
  <c r="GX318" i="30"/>
  <c r="GY318" i="30"/>
  <c r="GZ318" i="30"/>
  <c r="HA318" i="30"/>
  <c r="HB318" i="30"/>
  <c r="HC318" i="30"/>
  <c r="HD318" i="30"/>
  <c r="HE318" i="30"/>
  <c r="HF318" i="30"/>
  <c r="HG318" i="30"/>
  <c r="HH318" i="30"/>
  <c r="HI318" i="30"/>
  <c r="HJ318" i="30"/>
  <c r="HK318" i="30"/>
  <c r="HL318" i="30"/>
  <c r="HM318" i="30"/>
  <c r="HN318" i="30"/>
  <c r="HO318" i="30"/>
  <c r="HP318" i="30"/>
  <c r="HQ318" i="30"/>
  <c r="HR318" i="30"/>
  <c r="HS318" i="30"/>
  <c r="HT318" i="30"/>
  <c r="HU318" i="30"/>
  <c r="HV318" i="30"/>
  <c r="HW318" i="30"/>
  <c r="HX318" i="30"/>
  <c r="HY318" i="30"/>
  <c r="HZ318" i="30"/>
  <c r="IA318" i="30"/>
  <c r="IB318" i="30"/>
  <c r="IC318" i="30"/>
  <c r="ID318" i="30"/>
  <c r="IE318" i="30"/>
  <c r="IF318" i="30"/>
  <c r="IG318" i="30"/>
  <c r="IH318" i="30"/>
  <c r="II318" i="30"/>
  <c r="IJ318" i="30"/>
  <c r="IK318" i="30"/>
  <c r="IL318" i="30"/>
  <c r="IM318" i="30"/>
  <c r="IN318" i="30"/>
  <c r="IO318" i="30"/>
  <c r="IP318" i="30"/>
  <c r="IQ318" i="30"/>
  <c r="IR318" i="30"/>
  <c r="IS318" i="30"/>
  <c r="IT318" i="30"/>
  <c r="IU318" i="30"/>
  <c r="IV318" i="30"/>
  <c r="A317" i="30"/>
  <c r="B317" i="30"/>
  <c r="C317" i="30"/>
  <c r="D317" i="30"/>
  <c r="E317" i="30"/>
  <c r="F317" i="30"/>
  <c r="G317" i="30"/>
  <c r="H317" i="30"/>
  <c r="I317" i="30"/>
  <c r="J317" i="30"/>
  <c r="K317" i="30"/>
  <c r="L317" i="30"/>
  <c r="M317" i="30"/>
  <c r="N317" i="30"/>
  <c r="O317" i="30"/>
  <c r="P317" i="30"/>
  <c r="Q317" i="30"/>
  <c r="R317" i="30"/>
  <c r="S317" i="30"/>
  <c r="T317" i="30"/>
  <c r="U317" i="30"/>
  <c r="V317" i="30"/>
  <c r="W317" i="30"/>
  <c r="X317" i="30"/>
  <c r="Y317" i="30"/>
  <c r="Z317" i="30"/>
  <c r="AA317" i="30"/>
  <c r="AB317" i="30"/>
  <c r="AC317" i="30"/>
  <c r="AD317" i="30"/>
  <c r="AE317" i="30"/>
  <c r="AF317" i="30"/>
  <c r="AG317" i="30"/>
  <c r="AH317" i="30"/>
  <c r="AI317" i="30"/>
  <c r="AJ317" i="30"/>
  <c r="AK317" i="30"/>
  <c r="AL317" i="30"/>
  <c r="AM317" i="30"/>
  <c r="AN317" i="30"/>
  <c r="AO317" i="30"/>
  <c r="AP317" i="30"/>
  <c r="AQ317" i="30"/>
  <c r="AR317" i="30"/>
  <c r="AS317" i="30"/>
  <c r="AT317" i="30"/>
  <c r="AU317" i="30"/>
  <c r="AV317" i="30"/>
  <c r="AW317" i="30"/>
  <c r="AX317" i="30"/>
  <c r="AY317" i="30"/>
  <c r="AZ317" i="30"/>
  <c r="BA317" i="30"/>
  <c r="BB317" i="30"/>
  <c r="BC317" i="30"/>
  <c r="BD317" i="30"/>
  <c r="BE317" i="30"/>
  <c r="BF317" i="30"/>
  <c r="BG317" i="30"/>
  <c r="BH317" i="30"/>
  <c r="BI317" i="30"/>
  <c r="BJ317" i="30"/>
  <c r="BK317" i="30"/>
  <c r="BL317" i="30"/>
  <c r="BM317" i="30"/>
  <c r="BN317" i="30"/>
  <c r="BO317" i="30"/>
  <c r="BP317" i="30"/>
  <c r="BQ317" i="30"/>
  <c r="BR317" i="30"/>
  <c r="BS317" i="30"/>
  <c r="BT317" i="30"/>
  <c r="BU317" i="30"/>
  <c r="BV317" i="30"/>
  <c r="BW317" i="30"/>
  <c r="BX317" i="30"/>
  <c r="BY317" i="30"/>
  <c r="BZ317" i="30"/>
  <c r="CA317" i="30"/>
  <c r="CB317" i="30"/>
  <c r="CC317" i="30"/>
  <c r="CD317" i="30"/>
  <c r="CE317" i="30"/>
  <c r="CF317" i="30"/>
  <c r="CG317" i="30"/>
  <c r="CH317" i="30"/>
  <c r="CI317" i="30"/>
  <c r="CJ317" i="30"/>
  <c r="CK317" i="30"/>
  <c r="CL317" i="30"/>
  <c r="CM317" i="30"/>
  <c r="CN317" i="30"/>
  <c r="CO317" i="30"/>
  <c r="CP317" i="30"/>
  <c r="CQ317" i="30"/>
  <c r="CR317" i="30"/>
  <c r="CS317" i="30"/>
  <c r="CT317" i="30"/>
  <c r="CU317" i="30"/>
  <c r="CV317" i="30"/>
  <c r="CW317" i="30"/>
  <c r="CX317" i="30"/>
  <c r="CY317" i="30"/>
  <c r="CZ317" i="30"/>
  <c r="DA317" i="30"/>
  <c r="DB317" i="30"/>
  <c r="DC317" i="30"/>
  <c r="DD317" i="30"/>
  <c r="DE317" i="30"/>
  <c r="DF317" i="30"/>
  <c r="DG317" i="30"/>
  <c r="DH317" i="30"/>
  <c r="DI317" i="30"/>
  <c r="DJ317" i="30"/>
  <c r="DK317" i="30"/>
  <c r="DL317" i="30"/>
  <c r="DM317" i="30"/>
  <c r="DN317" i="30"/>
  <c r="DO317" i="30"/>
  <c r="DP317" i="30"/>
  <c r="DQ317" i="30"/>
  <c r="DR317" i="30"/>
  <c r="DS317" i="30"/>
  <c r="DT317" i="30"/>
  <c r="DU317" i="30"/>
  <c r="DV317" i="30"/>
  <c r="DW317" i="30"/>
  <c r="DX317" i="30"/>
  <c r="DY317" i="30"/>
  <c r="DZ317" i="30"/>
  <c r="EA317" i="30"/>
  <c r="EB317" i="30"/>
  <c r="EC317" i="30"/>
  <c r="ED317" i="30"/>
  <c r="EE317" i="30"/>
  <c r="EF317" i="30"/>
  <c r="EG317" i="30"/>
  <c r="EH317" i="30"/>
  <c r="EI317" i="30"/>
  <c r="EJ317" i="30"/>
  <c r="EK317" i="30"/>
  <c r="EL317" i="30"/>
  <c r="EM317" i="30"/>
  <c r="EN317" i="30"/>
  <c r="EO317" i="30"/>
  <c r="EP317" i="30"/>
  <c r="EQ317" i="30"/>
  <c r="ER317" i="30"/>
  <c r="ES317" i="30"/>
  <c r="ET317" i="30"/>
  <c r="EU317" i="30"/>
  <c r="EV317" i="30"/>
  <c r="EW317" i="30"/>
  <c r="EX317" i="30"/>
  <c r="EY317" i="30"/>
  <c r="EZ317" i="30"/>
  <c r="FA317" i="30"/>
  <c r="FB317" i="30"/>
  <c r="FC317" i="30"/>
  <c r="FD317" i="30"/>
  <c r="FE317" i="30"/>
  <c r="FF317" i="30"/>
  <c r="FG317" i="30"/>
  <c r="FH317" i="30"/>
  <c r="FI317" i="30"/>
  <c r="FJ317" i="30"/>
  <c r="FK317" i="30"/>
  <c r="FL317" i="30"/>
  <c r="FM317" i="30"/>
  <c r="FN317" i="30"/>
  <c r="FO317" i="30"/>
  <c r="FP317" i="30"/>
  <c r="FQ317" i="30"/>
  <c r="FR317" i="30"/>
  <c r="FS317" i="30"/>
  <c r="FT317" i="30"/>
  <c r="FU317" i="30"/>
  <c r="FV317" i="30"/>
  <c r="FW317" i="30"/>
  <c r="FX317" i="30"/>
  <c r="FY317" i="30"/>
  <c r="FZ317" i="30"/>
  <c r="GA317" i="30"/>
  <c r="GB317" i="30"/>
  <c r="GC317" i="30"/>
  <c r="GD317" i="30"/>
  <c r="GE317" i="30"/>
  <c r="GF317" i="30"/>
  <c r="GG317" i="30"/>
  <c r="GH317" i="30"/>
  <c r="GI317" i="30"/>
  <c r="GJ317" i="30"/>
  <c r="GK317" i="30"/>
  <c r="GL317" i="30"/>
  <c r="GM317" i="30"/>
  <c r="GN317" i="30"/>
  <c r="GO317" i="30"/>
  <c r="GP317" i="30"/>
  <c r="GQ317" i="30"/>
  <c r="GR317" i="30"/>
  <c r="GS317" i="30"/>
  <c r="GT317" i="30"/>
  <c r="GU317" i="30"/>
  <c r="GV317" i="30"/>
  <c r="GW317" i="30"/>
  <c r="GX317" i="30"/>
  <c r="GY317" i="30"/>
  <c r="GZ317" i="30"/>
  <c r="HA317" i="30"/>
  <c r="HB317" i="30"/>
  <c r="HC317" i="30"/>
  <c r="HD317" i="30"/>
  <c r="HE317" i="30"/>
  <c r="HF317" i="30"/>
  <c r="HG317" i="30"/>
  <c r="HH317" i="30"/>
  <c r="HI317" i="30"/>
  <c r="HJ317" i="30"/>
  <c r="HK317" i="30"/>
  <c r="HL317" i="30"/>
  <c r="HM317" i="30"/>
  <c r="HN317" i="30"/>
  <c r="HO317" i="30"/>
  <c r="HP317" i="30"/>
  <c r="HQ317" i="30"/>
  <c r="HR317" i="30"/>
  <c r="HS317" i="30"/>
  <c r="HT317" i="30"/>
  <c r="HU317" i="30"/>
  <c r="HV317" i="30"/>
  <c r="HW317" i="30"/>
  <c r="HX317" i="30"/>
  <c r="HY317" i="30"/>
  <c r="HZ317" i="30"/>
  <c r="IA317" i="30"/>
  <c r="IB317" i="30"/>
  <c r="IC317" i="30"/>
  <c r="ID317" i="30"/>
  <c r="IE317" i="30"/>
  <c r="IF317" i="30"/>
  <c r="IG317" i="30"/>
  <c r="IH317" i="30"/>
  <c r="II317" i="30"/>
  <c r="IJ317" i="30"/>
  <c r="IK317" i="30"/>
  <c r="IL317" i="30"/>
  <c r="IM317" i="30"/>
  <c r="IN317" i="30"/>
  <c r="IO317" i="30"/>
  <c r="IP317" i="30"/>
  <c r="IQ317" i="30"/>
  <c r="IR317" i="30"/>
  <c r="IS317" i="30"/>
  <c r="IT317" i="30"/>
  <c r="IU317" i="30"/>
  <c r="IV317" i="30"/>
  <c r="A316" i="30"/>
  <c r="B316" i="30"/>
  <c r="C316" i="30"/>
  <c r="D316" i="30"/>
  <c r="E316" i="30"/>
  <c r="F316" i="30"/>
  <c r="G316" i="30"/>
  <c r="H316" i="30"/>
  <c r="I316" i="30"/>
  <c r="J316" i="30"/>
  <c r="K316" i="30"/>
  <c r="L316" i="30"/>
  <c r="M316" i="30"/>
  <c r="N316" i="30"/>
  <c r="O316" i="30"/>
  <c r="P316" i="30"/>
  <c r="Q316" i="30"/>
  <c r="R316" i="30"/>
  <c r="S316" i="30"/>
  <c r="T316" i="30"/>
  <c r="U316" i="30"/>
  <c r="V316" i="30"/>
  <c r="W316" i="30"/>
  <c r="X316" i="30"/>
  <c r="Y316" i="30"/>
  <c r="Z316" i="30"/>
  <c r="AA316" i="30"/>
  <c r="AB316" i="30"/>
  <c r="AC316" i="30"/>
  <c r="AD316" i="30"/>
  <c r="AE316" i="30"/>
  <c r="AF316" i="30"/>
  <c r="AG316" i="30"/>
  <c r="AH316" i="30"/>
  <c r="AI316" i="30"/>
  <c r="AJ316" i="30"/>
  <c r="AK316" i="30"/>
  <c r="AL316" i="30"/>
  <c r="AM316" i="30"/>
  <c r="AN316" i="30"/>
  <c r="AO316" i="30"/>
  <c r="AP316" i="30"/>
  <c r="AQ316" i="30"/>
  <c r="AR316" i="30"/>
  <c r="AS316" i="30"/>
  <c r="AT316" i="30"/>
  <c r="AU316" i="30"/>
  <c r="AV316" i="30"/>
  <c r="AW316" i="30"/>
  <c r="AX316" i="30"/>
  <c r="AY316" i="30"/>
  <c r="AZ316" i="30"/>
  <c r="BA316" i="30"/>
  <c r="BB316" i="30"/>
  <c r="BC316" i="30"/>
  <c r="BD316" i="30"/>
  <c r="BE316" i="30"/>
  <c r="BF316" i="30"/>
  <c r="BG316" i="30"/>
  <c r="BH316" i="30"/>
  <c r="BI316" i="30"/>
  <c r="BJ316" i="30"/>
  <c r="BK316" i="30"/>
  <c r="BL316" i="30"/>
  <c r="BM316" i="30"/>
  <c r="BN316" i="30"/>
  <c r="BO316" i="30"/>
  <c r="BP316" i="30"/>
  <c r="BQ316" i="30"/>
  <c r="BR316" i="30"/>
  <c r="BS316" i="30"/>
  <c r="BT316" i="30"/>
  <c r="BU316" i="30"/>
  <c r="BV316" i="30"/>
  <c r="BW316" i="30"/>
  <c r="BX316" i="30"/>
  <c r="BY316" i="30"/>
  <c r="BZ316" i="30"/>
  <c r="CA316" i="30"/>
  <c r="CB316" i="30"/>
  <c r="CC316" i="30"/>
  <c r="CD316" i="30"/>
  <c r="CE316" i="30"/>
  <c r="CF316" i="30"/>
  <c r="CG316" i="30"/>
  <c r="CH316" i="30"/>
  <c r="CI316" i="30"/>
  <c r="CJ316" i="30"/>
  <c r="CK316" i="30"/>
  <c r="CL316" i="30"/>
  <c r="CM316" i="30"/>
  <c r="CN316" i="30"/>
  <c r="CO316" i="30"/>
  <c r="CP316" i="30"/>
  <c r="CQ316" i="30"/>
  <c r="CR316" i="30"/>
  <c r="CS316" i="30"/>
  <c r="CT316" i="30"/>
  <c r="CU316" i="30"/>
  <c r="CV316" i="30"/>
  <c r="CW316" i="30"/>
  <c r="CX316" i="30"/>
  <c r="CY316" i="30"/>
  <c r="CZ316" i="30"/>
  <c r="DA316" i="30"/>
  <c r="DB316" i="30"/>
  <c r="DC316" i="30"/>
  <c r="DD316" i="30"/>
  <c r="DE316" i="30"/>
  <c r="DF316" i="30"/>
  <c r="DG316" i="30"/>
  <c r="DH316" i="30"/>
  <c r="DI316" i="30"/>
  <c r="DJ316" i="30"/>
  <c r="DK316" i="30"/>
  <c r="DL316" i="30"/>
  <c r="DM316" i="30"/>
  <c r="DN316" i="30"/>
  <c r="DO316" i="30"/>
  <c r="DP316" i="30"/>
  <c r="DQ316" i="30"/>
  <c r="DR316" i="30"/>
  <c r="DS316" i="30"/>
  <c r="DT316" i="30"/>
  <c r="DU316" i="30"/>
  <c r="DV316" i="30"/>
  <c r="DW316" i="30"/>
  <c r="DX316" i="30"/>
  <c r="DY316" i="30"/>
  <c r="DZ316" i="30"/>
  <c r="EA316" i="30"/>
  <c r="EB316" i="30"/>
  <c r="EC316" i="30"/>
  <c r="ED316" i="30"/>
  <c r="EE316" i="30"/>
  <c r="EF316" i="30"/>
  <c r="EG316" i="30"/>
  <c r="EH316" i="30"/>
  <c r="EI316" i="30"/>
  <c r="EJ316" i="30"/>
  <c r="EK316" i="30"/>
  <c r="EL316" i="30"/>
  <c r="EM316" i="30"/>
  <c r="EN316" i="30"/>
  <c r="EO316" i="30"/>
  <c r="EP316" i="30"/>
  <c r="EQ316" i="30"/>
  <c r="ER316" i="30"/>
  <c r="ES316" i="30"/>
  <c r="ET316" i="30"/>
  <c r="EU316" i="30"/>
  <c r="EV316" i="30"/>
  <c r="EW316" i="30"/>
  <c r="EX316" i="30"/>
  <c r="EY316" i="30"/>
  <c r="EZ316" i="30"/>
  <c r="FA316" i="30"/>
  <c r="FB316" i="30"/>
  <c r="FC316" i="30"/>
  <c r="FD316" i="30"/>
  <c r="FE316" i="30"/>
  <c r="FF316" i="30"/>
  <c r="FG316" i="30"/>
  <c r="FH316" i="30"/>
  <c r="FI316" i="30"/>
  <c r="FJ316" i="30"/>
  <c r="FK316" i="30"/>
  <c r="FL316" i="30"/>
  <c r="FM316" i="30"/>
  <c r="FN316" i="30"/>
  <c r="FO316" i="30"/>
  <c r="FP316" i="30"/>
  <c r="FQ316" i="30"/>
  <c r="FR316" i="30"/>
  <c r="FS316" i="30"/>
  <c r="FT316" i="30"/>
  <c r="FU316" i="30"/>
  <c r="FV316" i="30"/>
  <c r="FW316" i="30"/>
  <c r="FX316" i="30"/>
  <c r="FY316" i="30"/>
  <c r="FZ316" i="30"/>
  <c r="GA316" i="30"/>
  <c r="GB316" i="30"/>
  <c r="GC316" i="30"/>
  <c r="GD316" i="30"/>
  <c r="GE316" i="30"/>
  <c r="GF316" i="30"/>
  <c r="GG316" i="30"/>
  <c r="GH316" i="30"/>
  <c r="GI316" i="30"/>
  <c r="GJ316" i="30"/>
  <c r="GK316" i="30"/>
  <c r="GL316" i="30"/>
  <c r="GM316" i="30"/>
  <c r="GN316" i="30"/>
  <c r="GO316" i="30"/>
  <c r="GP316" i="30"/>
  <c r="GQ316" i="30"/>
  <c r="GR316" i="30"/>
  <c r="GS316" i="30"/>
  <c r="GT316" i="30"/>
  <c r="GU316" i="30"/>
  <c r="GV316" i="30"/>
  <c r="GW316" i="30"/>
  <c r="GX316" i="30"/>
  <c r="GY316" i="30"/>
  <c r="GZ316" i="30"/>
  <c r="HA316" i="30"/>
  <c r="HB316" i="30"/>
  <c r="HC316" i="30"/>
  <c r="HD316" i="30"/>
  <c r="HE316" i="30"/>
  <c r="HF316" i="30"/>
  <c r="HG316" i="30"/>
  <c r="HH316" i="30"/>
  <c r="HI316" i="30"/>
  <c r="HJ316" i="30"/>
  <c r="HK316" i="30"/>
  <c r="HL316" i="30"/>
  <c r="HM316" i="30"/>
  <c r="HN316" i="30"/>
  <c r="HO316" i="30"/>
  <c r="HP316" i="30"/>
  <c r="HQ316" i="30"/>
  <c r="HR316" i="30"/>
  <c r="HS316" i="30"/>
  <c r="HT316" i="30"/>
  <c r="HU316" i="30"/>
  <c r="HV316" i="30"/>
  <c r="HW316" i="30"/>
  <c r="HX316" i="30"/>
  <c r="HY316" i="30"/>
  <c r="HZ316" i="30"/>
  <c r="IA316" i="30"/>
  <c r="IB316" i="30"/>
  <c r="IC316" i="30"/>
  <c r="ID316" i="30"/>
  <c r="IE316" i="30"/>
  <c r="IF316" i="30"/>
  <c r="IG316" i="30"/>
  <c r="IH316" i="30"/>
  <c r="II316" i="30"/>
  <c r="IJ316" i="30"/>
  <c r="IK316" i="30"/>
  <c r="IL316" i="30"/>
  <c r="IM316" i="30"/>
  <c r="IN316" i="30"/>
  <c r="IO316" i="30"/>
  <c r="IP316" i="30"/>
  <c r="IQ316" i="30"/>
  <c r="IR316" i="30"/>
  <c r="IS316" i="30"/>
  <c r="IT316" i="30"/>
  <c r="IU316" i="30"/>
  <c r="IV316" i="30"/>
  <c r="A315" i="30"/>
  <c r="B315" i="30"/>
  <c r="C315" i="30"/>
  <c r="D315" i="30"/>
  <c r="E315" i="30"/>
  <c r="F315" i="30"/>
  <c r="G315" i="30"/>
  <c r="H315" i="30"/>
  <c r="I315" i="30"/>
  <c r="J315" i="30"/>
  <c r="K315" i="30"/>
  <c r="L315" i="30"/>
  <c r="M315" i="30"/>
  <c r="N315" i="30"/>
  <c r="O315" i="30"/>
  <c r="P315" i="30"/>
  <c r="Q315" i="30"/>
  <c r="R315" i="30"/>
  <c r="S315" i="30"/>
  <c r="T315" i="30"/>
  <c r="U315" i="30"/>
  <c r="V315" i="30"/>
  <c r="W315" i="30"/>
  <c r="X315" i="30"/>
  <c r="Y315" i="30"/>
  <c r="Z315" i="30"/>
  <c r="AA315" i="30"/>
  <c r="AB315" i="30"/>
  <c r="AC315" i="30"/>
  <c r="AD315" i="30"/>
  <c r="AE315" i="30"/>
  <c r="AF315" i="30"/>
  <c r="AG315" i="30"/>
  <c r="AH315" i="30"/>
  <c r="AI315" i="30"/>
  <c r="AJ315" i="30"/>
  <c r="AK315" i="30"/>
  <c r="AL315" i="30"/>
  <c r="AM315" i="30"/>
  <c r="AN315" i="30"/>
  <c r="AO315" i="30"/>
  <c r="AP315" i="30"/>
  <c r="AQ315" i="30"/>
  <c r="AR315" i="30"/>
  <c r="AS315" i="30"/>
  <c r="AT315" i="30"/>
  <c r="AU315" i="30"/>
  <c r="AV315" i="30"/>
  <c r="AW315" i="30"/>
  <c r="AX315" i="30"/>
  <c r="AY315" i="30"/>
  <c r="AZ315" i="30"/>
  <c r="BA315" i="30"/>
  <c r="BB315" i="30"/>
  <c r="BC315" i="30"/>
  <c r="BD315" i="30"/>
  <c r="BE315" i="30"/>
  <c r="BF315" i="30"/>
  <c r="BG315" i="30"/>
  <c r="BH315" i="30"/>
  <c r="BI315" i="30"/>
  <c r="BJ315" i="30"/>
  <c r="BK315" i="30"/>
  <c r="BL315" i="30"/>
  <c r="BM315" i="30"/>
  <c r="BN315" i="30"/>
  <c r="BO315" i="30"/>
  <c r="BP315" i="30"/>
  <c r="BQ315" i="30"/>
  <c r="BR315" i="30"/>
  <c r="BS315" i="30"/>
  <c r="BT315" i="30"/>
  <c r="BU315" i="30"/>
  <c r="BV315" i="30"/>
  <c r="BW315" i="30"/>
  <c r="BX315" i="30"/>
  <c r="BY315" i="30"/>
  <c r="BZ315" i="30"/>
  <c r="CA315" i="30"/>
  <c r="CB315" i="30"/>
  <c r="CC315" i="30"/>
  <c r="CD315" i="30"/>
  <c r="CE315" i="30"/>
  <c r="CF315" i="30"/>
  <c r="CG315" i="30"/>
  <c r="CH315" i="30"/>
  <c r="CI315" i="30"/>
  <c r="CJ315" i="30"/>
  <c r="CK315" i="30"/>
  <c r="CL315" i="30"/>
  <c r="CM315" i="30"/>
  <c r="CN315" i="30"/>
  <c r="CO315" i="30"/>
  <c r="CP315" i="30"/>
  <c r="CQ315" i="30"/>
  <c r="CR315" i="30"/>
  <c r="CS315" i="30"/>
  <c r="CT315" i="30"/>
  <c r="CU315" i="30"/>
  <c r="CV315" i="30"/>
  <c r="CW315" i="30"/>
  <c r="CX315" i="30"/>
  <c r="CY315" i="30"/>
  <c r="CZ315" i="30"/>
  <c r="DA315" i="30"/>
  <c r="DB315" i="30"/>
  <c r="DC315" i="30"/>
  <c r="DD315" i="30"/>
  <c r="DE315" i="30"/>
  <c r="DF315" i="30"/>
  <c r="DG315" i="30"/>
  <c r="DH315" i="30"/>
  <c r="DI315" i="30"/>
  <c r="DJ315" i="30"/>
  <c r="DK315" i="30"/>
  <c r="DL315" i="30"/>
  <c r="DM315" i="30"/>
  <c r="DN315" i="30"/>
  <c r="DO315" i="30"/>
  <c r="DP315" i="30"/>
  <c r="DQ315" i="30"/>
  <c r="DR315" i="30"/>
  <c r="DS315" i="30"/>
  <c r="DT315" i="30"/>
  <c r="DU315" i="30"/>
  <c r="DV315" i="30"/>
  <c r="DW315" i="30"/>
  <c r="DX315" i="30"/>
  <c r="DY315" i="30"/>
  <c r="DZ315" i="30"/>
  <c r="EA315" i="30"/>
  <c r="EB315" i="30"/>
  <c r="EC315" i="30"/>
  <c r="ED315" i="30"/>
  <c r="EE315" i="30"/>
  <c r="EF315" i="30"/>
  <c r="EG315" i="30"/>
  <c r="EH315" i="30"/>
  <c r="EI315" i="30"/>
  <c r="EJ315" i="30"/>
  <c r="EK315" i="30"/>
  <c r="EL315" i="30"/>
  <c r="EM315" i="30"/>
  <c r="EN315" i="30"/>
  <c r="EO315" i="30"/>
  <c r="EP315" i="30"/>
  <c r="EQ315" i="30"/>
  <c r="ER315" i="30"/>
  <c r="ES315" i="30"/>
  <c r="ET315" i="30"/>
  <c r="EU315" i="30"/>
  <c r="EV315" i="30"/>
  <c r="EW315" i="30"/>
  <c r="EX315" i="30"/>
  <c r="EY315" i="30"/>
  <c r="EZ315" i="30"/>
  <c r="FA315" i="30"/>
  <c r="FB315" i="30"/>
  <c r="FC315" i="30"/>
  <c r="FD315" i="30"/>
  <c r="FE315" i="30"/>
  <c r="FF315" i="30"/>
  <c r="FG315" i="30"/>
  <c r="FH315" i="30"/>
  <c r="FI315" i="30"/>
  <c r="FJ315" i="30"/>
  <c r="FK315" i="30"/>
  <c r="FL315" i="30"/>
  <c r="FM315" i="30"/>
  <c r="FN315" i="30"/>
  <c r="FO315" i="30"/>
  <c r="FP315" i="30"/>
  <c r="FQ315" i="30"/>
  <c r="FR315" i="30"/>
  <c r="FS315" i="30"/>
  <c r="FT315" i="30"/>
  <c r="FU315" i="30"/>
  <c r="FV315" i="30"/>
  <c r="FW315" i="30"/>
  <c r="FX315" i="30"/>
  <c r="FY315" i="30"/>
  <c r="FZ315" i="30"/>
  <c r="GA315" i="30"/>
  <c r="GB315" i="30"/>
  <c r="GC315" i="30"/>
  <c r="GD315" i="30"/>
  <c r="GE315" i="30"/>
  <c r="GF315" i="30"/>
  <c r="GG315" i="30"/>
  <c r="GH315" i="30"/>
  <c r="GI315" i="30"/>
  <c r="GJ315" i="30"/>
  <c r="GK315" i="30"/>
  <c r="GL315" i="30"/>
  <c r="GM315" i="30"/>
  <c r="GN315" i="30"/>
  <c r="GO315" i="30"/>
  <c r="GP315" i="30"/>
  <c r="GQ315" i="30"/>
  <c r="GR315" i="30"/>
  <c r="GS315" i="30"/>
  <c r="GT315" i="30"/>
  <c r="GU315" i="30"/>
  <c r="GV315" i="30"/>
  <c r="GW315" i="30"/>
  <c r="GX315" i="30"/>
  <c r="GY315" i="30"/>
  <c r="GZ315" i="30"/>
  <c r="HA315" i="30"/>
  <c r="HB315" i="30"/>
  <c r="HC315" i="30"/>
  <c r="HD315" i="30"/>
  <c r="HE315" i="30"/>
  <c r="HF315" i="30"/>
  <c r="HG315" i="30"/>
  <c r="HH315" i="30"/>
  <c r="HI315" i="30"/>
  <c r="HJ315" i="30"/>
  <c r="HK315" i="30"/>
  <c r="HL315" i="30"/>
  <c r="HM315" i="30"/>
  <c r="HN315" i="30"/>
  <c r="HO315" i="30"/>
  <c r="HP315" i="30"/>
  <c r="HQ315" i="30"/>
  <c r="HR315" i="30"/>
  <c r="HS315" i="30"/>
  <c r="HT315" i="30"/>
  <c r="HU315" i="30"/>
  <c r="HV315" i="30"/>
  <c r="HW315" i="30"/>
  <c r="HX315" i="30"/>
  <c r="HY315" i="30"/>
  <c r="HZ315" i="30"/>
  <c r="IA315" i="30"/>
  <c r="IB315" i="30"/>
  <c r="IC315" i="30"/>
  <c r="ID315" i="30"/>
  <c r="IE315" i="30"/>
  <c r="IF315" i="30"/>
  <c r="IG315" i="30"/>
  <c r="IH315" i="30"/>
  <c r="II315" i="30"/>
  <c r="IJ315" i="30"/>
  <c r="IK315" i="30"/>
  <c r="IL315" i="30"/>
  <c r="IM315" i="30"/>
  <c r="IN315" i="30"/>
  <c r="IO315" i="30"/>
  <c r="IP315" i="30"/>
  <c r="IQ315" i="30"/>
  <c r="IR315" i="30"/>
  <c r="IS315" i="30"/>
  <c r="IT315" i="30"/>
  <c r="IU315" i="30"/>
  <c r="IV315" i="30"/>
  <c r="A314" i="30"/>
  <c r="B314" i="30"/>
  <c r="C314" i="30"/>
  <c r="D314" i="30"/>
  <c r="E314" i="30"/>
  <c r="F314" i="30"/>
  <c r="G314" i="30"/>
  <c r="H314" i="30"/>
  <c r="I314" i="30"/>
  <c r="J314" i="30"/>
  <c r="K314" i="30"/>
  <c r="L314" i="30"/>
  <c r="M314" i="30"/>
  <c r="N314" i="30"/>
  <c r="O314" i="30"/>
  <c r="P314" i="30"/>
  <c r="Q314" i="30"/>
  <c r="R314" i="30"/>
  <c r="S314" i="30"/>
  <c r="T314" i="30"/>
  <c r="U314" i="30"/>
  <c r="V314" i="30"/>
  <c r="W314" i="30"/>
  <c r="X314" i="30"/>
  <c r="Y314" i="30"/>
  <c r="Z314" i="30"/>
  <c r="AA314" i="30"/>
  <c r="AB314" i="30"/>
  <c r="AC314" i="30"/>
  <c r="AD314" i="30"/>
  <c r="AE314" i="30"/>
  <c r="AF314" i="30"/>
  <c r="AG314" i="30"/>
  <c r="AH314" i="30"/>
  <c r="AI314" i="30"/>
  <c r="AJ314" i="30"/>
  <c r="AK314" i="30"/>
  <c r="AL314" i="30"/>
  <c r="AM314" i="30"/>
  <c r="AN314" i="30"/>
  <c r="AO314" i="30"/>
  <c r="AP314" i="30"/>
  <c r="AQ314" i="30"/>
  <c r="AR314" i="30"/>
  <c r="AS314" i="30"/>
  <c r="AT314" i="30"/>
  <c r="AU314" i="30"/>
  <c r="AV314" i="30"/>
  <c r="AW314" i="30"/>
  <c r="AX314" i="30"/>
  <c r="AY314" i="30"/>
  <c r="AZ314" i="30"/>
  <c r="BA314" i="30"/>
  <c r="BB314" i="30"/>
  <c r="BC314" i="30"/>
  <c r="BD314" i="30"/>
  <c r="BE314" i="30"/>
  <c r="BF314" i="30"/>
  <c r="BG314" i="30"/>
  <c r="BH314" i="30"/>
  <c r="BI314" i="30"/>
  <c r="BJ314" i="30"/>
  <c r="BK314" i="30"/>
  <c r="BL314" i="30"/>
  <c r="BM314" i="30"/>
  <c r="BN314" i="30"/>
  <c r="BO314" i="30"/>
  <c r="BP314" i="30"/>
  <c r="BQ314" i="30"/>
  <c r="BR314" i="30"/>
  <c r="BS314" i="30"/>
  <c r="BT314" i="30"/>
  <c r="BU314" i="30"/>
  <c r="BV314" i="30"/>
  <c r="BW314" i="30"/>
  <c r="BX314" i="30"/>
  <c r="BY314" i="30"/>
  <c r="BZ314" i="30"/>
  <c r="CA314" i="30"/>
  <c r="CB314" i="30"/>
  <c r="CC314" i="30"/>
  <c r="CD314" i="30"/>
  <c r="CE314" i="30"/>
  <c r="CF314" i="30"/>
  <c r="CG314" i="30"/>
  <c r="CH314" i="30"/>
  <c r="CI314" i="30"/>
  <c r="CJ314" i="30"/>
  <c r="CK314" i="30"/>
  <c r="CL314" i="30"/>
  <c r="CM314" i="30"/>
  <c r="CN314" i="30"/>
  <c r="CO314" i="30"/>
  <c r="CP314" i="30"/>
  <c r="CQ314" i="30"/>
  <c r="CR314" i="30"/>
  <c r="CS314" i="30"/>
  <c r="CT314" i="30"/>
  <c r="CU314" i="30"/>
  <c r="CV314" i="30"/>
  <c r="CW314" i="30"/>
  <c r="CX314" i="30"/>
  <c r="CY314" i="30"/>
  <c r="CZ314" i="30"/>
  <c r="DA314" i="30"/>
  <c r="DB314" i="30"/>
  <c r="DC314" i="30"/>
  <c r="DD314" i="30"/>
  <c r="DE314" i="30"/>
  <c r="DF314" i="30"/>
  <c r="DG314" i="30"/>
  <c r="DH314" i="30"/>
  <c r="DI314" i="30"/>
  <c r="DJ314" i="30"/>
  <c r="DK314" i="30"/>
  <c r="DL314" i="30"/>
  <c r="DM314" i="30"/>
  <c r="DN314" i="30"/>
  <c r="DO314" i="30"/>
  <c r="DP314" i="30"/>
  <c r="DQ314" i="30"/>
  <c r="DR314" i="30"/>
  <c r="DS314" i="30"/>
  <c r="DT314" i="30"/>
  <c r="DU314" i="30"/>
  <c r="DV314" i="30"/>
  <c r="DW314" i="30"/>
  <c r="DX314" i="30"/>
  <c r="DY314" i="30"/>
  <c r="DZ314" i="30"/>
  <c r="EA314" i="30"/>
  <c r="EB314" i="30"/>
  <c r="EC314" i="30"/>
  <c r="ED314" i="30"/>
  <c r="EE314" i="30"/>
  <c r="EF314" i="30"/>
  <c r="EG314" i="30"/>
  <c r="EH314" i="30"/>
  <c r="EI314" i="30"/>
  <c r="EJ314" i="30"/>
  <c r="EK314" i="30"/>
  <c r="EL314" i="30"/>
  <c r="EM314" i="30"/>
  <c r="EN314" i="30"/>
  <c r="EO314" i="30"/>
  <c r="EP314" i="30"/>
  <c r="EQ314" i="30"/>
  <c r="ER314" i="30"/>
  <c r="ES314" i="30"/>
  <c r="ET314" i="30"/>
  <c r="EU314" i="30"/>
  <c r="EV314" i="30"/>
  <c r="EW314" i="30"/>
  <c r="EX314" i="30"/>
  <c r="EY314" i="30"/>
  <c r="EZ314" i="30"/>
  <c r="FA314" i="30"/>
  <c r="FB314" i="30"/>
  <c r="FC314" i="30"/>
  <c r="FD314" i="30"/>
  <c r="FE314" i="30"/>
  <c r="FF314" i="30"/>
  <c r="FG314" i="30"/>
  <c r="FH314" i="30"/>
  <c r="FI314" i="30"/>
  <c r="FJ314" i="30"/>
  <c r="FK314" i="30"/>
  <c r="FL314" i="30"/>
  <c r="FM314" i="30"/>
  <c r="FN314" i="30"/>
  <c r="FO314" i="30"/>
  <c r="FP314" i="30"/>
  <c r="FQ314" i="30"/>
  <c r="FR314" i="30"/>
  <c r="FS314" i="30"/>
  <c r="FT314" i="30"/>
  <c r="FU314" i="30"/>
  <c r="FV314" i="30"/>
  <c r="FW314" i="30"/>
  <c r="FX314" i="30"/>
  <c r="FY314" i="30"/>
  <c r="FZ314" i="30"/>
  <c r="GA314" i="30"/>
  <c r="GB314" i="30"/>
  <c r="GC314" i="30"/>
  <c r="GD314" i="30"/>
  <c r="GE314" i="30"/>
  <c r="GF314" i="30"/>
  <c r="GG314" i="30"/>
  <c r="GH314" i="30"/>
  <c r="GI314" i="30"/>
  <c r="GJ314" i="30"/>
  <c r="GK314" i="30"/>
  <c r="GL314" i="30"/>
  <c r="GM314" i="30"/>
  <c r="GN314" i="30"/>
  <c r="GO314" i="30"/>
  <c r="GP314" i="30"/>
  <c r="GQ314" i="30"/>
  <c r="GR314" i="30"/>
  <c r="GS314" i="30"/>
  <c r="GT314" i="30"/>
  <c r="GU314" i="30"/>
  <c r="GV314" i="30"/>
  <c r="GW314" i="30"/>
  <c r="GX314" i="30"/>
  <c r="GY314" i="30"/>
  <c r="GZ314" i="30"/>
  <c r="HA314" i="30"/>
  <c r="HB314" i="30"/>
  <c r="HC314" i="30"/>
  <c r="HD314" i="30"/>
  <c r="HE314" i="30"/>
  <c r="HF314" i="30"/>
  <c r="HG314" i="30"/>
  <c r="HH314" i="30"/>
  <c r="HI314" i="30"/>
  <c r="HJ314" i="30"/>
  <c r="HK314" i="30"/>
  <c r="HL314" i="30"/>
  <c r="HM314" i="30"/>
  <c r="HN314" i="30"/>
  <c r="HO314" i="30"/>
  <c r="HP314" i="30"/>
  <c r="HQ314" i="30"/>
  <c r="HR314" i="30"/>
  <c r="HS314" i="30"/>
  <c r="HT314" i="30"/>
  <c r="HU314" i="30"/>
  <c r="HV314" i="30"/>
  <c r="HW314" i="30"/>
  <c r="HX314" i="30"/>
  <c r="HY314" i="30"/>
  <c r="HZ314" i="30"/>
  <c r="IA314" i="30"/>
  <c r="IB314" i="30"/>
  <c r="IC314" i="30"/>
  <c r="ID314" i="30"/>
  <c r="IE314" i="30"/>
  <c r="IF314" i="30"/>
  <c r="IG314" i="30"/>
  <c r="IH314" i="30"/>
  <c r="II314" i="30"/>
  <c r="IJ314" i="30"/>
  <c r="IK314" i="30"/>
  <c r="IL314" i="30"/>
  <c r="IM314" i="30"/>
  <c r="IN314" i="30"/>
  <c r="IO314" i="30"/>
  <c r="IP314" i="30"/>
  <c r="IQ314" i="30"/>
  <c r="IR314" i="30"/>
  <c r="IS314" i="30"/>
  <c r="IT314" i="30"/>
  <c r="IU314" i="30"/>
  <c r="IV314" i="30"/>
  <c r="A313" i="30"/>
  <c r="B313" i="30"/>
  <c r="C313" i="30"/>
  <c r="D313" i="30"/>
  <c r="E313" i="30"/>
  <c r="F313" i="30"/>
  <c r="G313" i="30"/>
  <c r="H313" i="30"/>
  <c r="I313" i="30"/>
  <c r="J313" i="30"/>
  <c r="K313" i="30"/>
  <c r="L313" i="30"/>
  <c r="M313" i="30"/>
  <c r="N313" i="30"/>
  <c r="O313" i="30"/>
  <c r="P313" i="30"/>
  <c r="Q313" i="30"/>
  <c r="R313" i="30"/>
  <c r="S313" i="30"/>
  <c r="T313" i="30"/>
  <c r="U313" i="30"/>
  <c r="V313" i="30"/>
  <c r="W313" i="30"/>
  <c r="X313" i="30"/>
  <c r="Y313" i="30"/>
  <c r="Z313" i="30"/>
  <c r="AA313" i="30"/>
  <c r="AB313" i="30"/>
  <c r="AC313" i="30"/>
  <c r="AD313" i="30"/>
  <c r="AE313" i="30"/>
  <c r="AF313" i="30"/>
  <c r="AG313" i="30"/>
  <c r="AH313" i="30"/>
  <c r="AI313" i="30"/>
  <c r="AJ313" i="30"/>
  <c r="AK313" i="30"/>
  <c r="AL313" i="30"/>
  <c r="AM313" i="30"/>
  <c r="AN313" i="30"/>
  <c r="AO313" i="30"/>
  <c r="AP313" i="30"/>
  <c r="AQ313" i="30"/>
  <c r="AR313" i="30"/>
  <c r="AS313" i="30"/>
  <c r="AT313" i="30"/>
  <c r="AU313" i="30"/>
  <c r="AV313" i="30"/>
  <c r="AW313" i="30"/>
  <c r="AX313" i="30"/>
  <c r="AY313" i="30"/>
  <c r="AZ313" i="30"/>
  <c r="BA313" i="30"/>
  <c r="BB313" i="30"/>
  <c r="BC313" i="30"/>
  <c r="BD313" i="30"/>
  <c r="BE313" i="30"/>
  <c r="BF313" i="30"/>
  <c r="BG313" i="30"/>
  <c r="BH313" i="30"/>
  <c r="BI313" i="30"/>
  <c r="BJ313" i="30"/>
  <c r="BK313" i="30"/>
  <c r="BL313" i="30"/>
  <c r="BM313" i="30"/>
  <c r="BN313" i="30"/>
  <c r="BO313" i="30"/>
  <c r="BP313" i="30"/>
  <c r="BQ313" i="30"/>
  <c r="BR313" i="30"/>
  <c r="BS313" i="30"/>
  <c r="BT313" i="30"/>
  <c r="BU313" i="30"/>
  <c r="BV313" i="30"/>
  <c r="BW313" i="30"/>
  <c r="BX313" i="30"/>
  <c r="BY313" i="30"/>
  <c r="BZ313" i="30"/>
  <c r="CA313" i="30"/>
  <c r="CB313" i="30"/>
  <c r="CC313" i="30"/>
  <c r="CD313" i="30"/>
  <c r="CE313" i="30"/>
  <c r="CF313" i="30"/>
  <c r="CG313" i="30"/>
  <c r="CH313" i="30"/>
  <c r="CI313" i="30"/>
  <c r="CJ313" i="30"/>
  <c r="CK313" i="30"/>
  <c r="CL313" i="30"/>
  <c r="CM313" i="30"/>
  <c r="CN313" i="30"/>
  <c r="CO313" i="30"/>
  <c r="CP313" i="30"/>
  <c r="CQ313" i="30"/>
  <c r="CR313" i="30"/>
  <c r="CS313" i="30"/>
  <c r="CT313" i="30"/>
  <c r="CU313" i="30"/>
  <c r="CV313" i="30"/>
  <c r="CW313" i="30"/>
  <c r="CX313" i="30"/>
  <c r="CY313" i="30"/>
  <c r="CZ313" i="30"/>
  <c r="DA313" i="30"/>
  <c r="DB313" i="30"/>
  <c r="DC313" i="30"/>
  <c r="DD313" i="30"/>
  <c r="DE313" i="30"/>
  <c r="DF313" i="30"/>
  <c r="DG313" i="30"/>
  <c r="DH313" i="30"/>
  <c r="DI313" i="30"/>
  <c r="DJ313" i="30"/>
  <c r="DK313" i="30"/>
  <c r="DL313" i="30"/>
  <c r="DM313" i="30"/>
  <c r="DN313" i="30"/>
  <c r="DO313" i="30"/>
  <c r="DP313" i="30"/>
  <c r="DQ313" i="30"/>
  <c r="DR313" i="30"/>
  <c r="DS313" i="30"/>
  <c r="DT313" i="30"/>
  <c r="DU313" i="30"/>
  <c r="DV313" i="30"/>
  <c r="DW313" i="30"/>
  <c r="DX313" i="30"/>
  <c r="DY313" i="30"/>
  <c r="DZ313" i="30"/>
  <c r="EA313" i="30"/>
  <c r="EB313" i="30"/>
  <c r="EC313" i="30"/>
  <c r="ED313" i="30"/>
  <c r="EE313" i="30"/>
  <c r="EF313" i="30"/>
  <c r="EG313" i="30"/>
  <c r="EH313" i="30"/>
  <c r="EI313" i="30"/>
  <c r="EJ313" i="30"/>
  <c r="EK313" i="30"/>
  <c r="EL313" i="30"/>
  <c r="EM313" i="30"/>
  <c r="EN313" i="30"/>
  <c r="EO313" i="30"/>
  <c r="EP313" i="30"/>
  <c r="EQ313" i="30"/>
  <c r="ER313" i="30"/>
  <c r="ES313" i="30"/>
  <c r="ET313" i="30"/>
  <c r="EU313" i="30"/>
  <c r="EV313" i="30"/>
  <c r="EW313" i="30"/>
  <c r="EX313" i="30"/>
  <c r="EY313" i="30"/>
  <c r="EZ313" i="30"/>
  <c r="FA313" i="30"/>
  <c r="FB313" i="30"/>
  <c r="FC313" i="30"/>
  <c r="FD313" i="30"/>
  <c r="FE313" i="30"/>
  <c r="FF313" i="30"/>
  <c r="FG313" i="30"/>
  <c r="FH313" i="30"/>
  <c r="FI313" i="30"/>
  <c r="FJ313" i="30"/>
  <c r="FK313" i="30"/>
  <c r="FL313" i="30"/>
  <c r="FM313" i="30"/>
  <c r="FN313" i="30"/>
  <c r="FO313" i="30"/>
  <c r="FP313" i="30"/>
  <c r="FQ313" i="30"/>
  <c r="FR313" i="30"/>
  <c r="FS313" i="30"/>
  <c r="FT313" i="30"/>
  <c r="FU313" i="30"/>
  <c r="FV313" i="30"/>
  <c r="FW313" i="30"/>
  <c r="FX313" i="30"/>
  <c r="FY313" i="30"/>
  <c r="FZ313" i="30"/>
  <c r="GA313" i="30"/>
  <c r="GB313" i="30"/>
  <c r="GC313" i="30"/>
  <c r="GD313" i="30"/>
  <c r="GE313" i="30"/>
  <c r="GF313" i="30"/>
  <c r="GG313" i="30"/>
  <c r="GH313" i="30"/>
  <c r="GI313" i="30"/>
  <c r="GJ313" i="30"/>
  <c r="GK313" i="30"/>
  <c r="GL313" i="30"/>
  <c r="GM313" i="30"/>
  <c r="GN313" i="30"/>
  <c r="GO313" i="30"/>
  <c r="GP313" i="30"/>
  <c r="GQ313" i="30"/>
  <c r="GR313" i="30"/>
  <c r="GS313" i="30"/>
  <c r="GT313" i="30"/>
  <c r="GU313" i="30"/>
  <c r="GV313" i="30"/>
  <c r="GW313" i="30"/>
  <c r="GX313" i="30"/>
  <c r="GY313" i="30"/>
  <c r="GZ313" i="30"/>
  <c r="HA313" i="30"/>
  <c r="HB313" i="30"/>
  <c r="HC313" i="30"/>
  <c r="HD313" i="30"/>
  <c r="HE313" i="30"/>
  <c r="HF313" i="30"/>
  <c r="HG313" i="30"/>
  <c r="HH313" i="30"/>
  <c r="HI313" i="30"/>
  <c r="HJ313" i="30"/>
  <c r="HK313" i="30"/>
  <c r="HL313" i="30"/>
  <c r="HM313" i="30"/>
  <c r="HN313" i="30"/>
  <c r="HO313" i="30"/>
  <c r="HP313" i="30"/>
  <c r="HQ313" i="30"/>
  <c r="HR313" i="30"/>
  <c r="HS313" i="30"/>
  <c r="HT313" i="30"/>
  <c r="HU313" i="30"/>
  <c r="HV313" i="30"/>
  <c r="HW313" i="30"/>
  <c r="HX313" i="30"/>
  <c r="HY313" i="30"/>
  <c r="HZ313" i="30"/>
  <c r="IA313" i="30"/>
  <c r="IB313" i="30"/>
  <c r="IC313" i="30"/>
  <c r="ID313" i="30"/>
  <c r="IE313" i="30"/>
  <c r="IF313" i="30"/>
  <c r="IG313" i="30"/>
  <c r="IH313" i="30"/>
  <c r="II313" i="30"/>
  <c r="IJ313" i="30"/>
  <c r="IK313" i="30"/>
  <c r="IL313" i="30"/>
  <c r="IM313" i="30"/>
  <c r="IN313" i="30"/>
  <c r="IO313" i="30"/>
  <c r="IP313" i="30"/>
  <c r="IQ313" i="30"/>
  <c r="IR313" i="30"/>
  <c r="IS313" i="30"/>
  <c r="IT313" i="30"/>
  <c r="IU313" i="30"/>
  <c r="IV313" i="30"/>
  <c r="A312" i="30"/>
  <c r="B312" i="30"/>
  <c r="C312" i="30"/>
  <c r="D312" i="30"/>
  <c r="E312" i="30"/>
  <c r="F312" i="30"/>
  <c r="G312" i="30"/>
  <c r="H312" i="30"/>
  <c r="I312" i="30"/>
  <c r="J312" i="30"/>
  <c r="K312" i="30"/>
  <c r="L312" i="30"/>
  <c r="M312" i="30"/>
  <c r="N312" i="30"/>
  <c r="O312" i="30"/>
  <c r="P312" i="30"/>
  <c r="Q312" i="30"/>
  <c r="R312" i="30"/>
  <c r="S312" i="30"/>
  <c r="T312" i="30"/>
  <c r="U312" i="30"/>
  <c r="V312" i="30"/>
  <c r="W312" i="30"/>
  <c r="X312" i="30"/>
  <c r="Y312" i="30"/>
  <c r="Z312" i="30"/>
  <c r="AA312" i="30"/>
  <c r="AB312" i="30"/>
  <c r="AC312" i="30"/>
  <c r="AD312" i="30"/>
  <c r="AE312" i="30"/>
  <c r="AF312" i="30"/>
  <c r="AG312" i="30"/>
  <c r="AH312" i="30"/>
  <c r="AI312" i="30"/>
  <c r="AJ312" i="30"/>
  <c r="AK312" i="30"/>
  <c r="AL312" i="30"/>
  <c r="AM312" i="30"/>
  <c r="AN312" i="30"/>
  <c r="AO312" i="30"/>
  <c r="AP312" i="30"/>
  <c r="AQ312" i="30"/>
  <c r="AR312" i="30"/>
  <c r="AS312" i="30"/>
  <c r="AT312" i="30"/>
  <c r="AU312" i="30"/>
  <c r="AV312" i="30"/>
  <c r="AW312" i="30"/>
  <c r="AX312" i="30"/>
  <c r="AY312" i="30"/>
  <c r="AZ312" i="30"/>
  <c r="BA312" i="30"/>
  <c r="BB312" i="30"/>
  <c r="BC312" i="30"/>
  <c r="BD312" i="30"/>
  <c r="BE312" i="30"/>
  <c r="BF312" i="30"/>
  <c r="BG312" i="30"/>
  <c r="BH312" i="30"/>
  <c r="BI312" i="30"/>
  <c r="BJ312" i="30"/>
  <c r="BK312" i="30"/>
  <c r="BL312" i="30"/>
  <c r="BM312" i="30"/>
  <c r="BN312" i="30"/>
  <c r="BO312" i="30"/>
  <c r="BP312" i="30"/>
  <c r="BQ312" i="30"/>
  <c r="BR312" i="30"/>
  <c r="BS312" i="30"/>
  <c r="BT312" i="30"/>
  <c r="BU312" i="30"/>
  <c r="BV312" i="30"/>
  <c r="BW312" i="30"/>
  <c r="BX312" i="30"/>
  <c r="BY312" i="30"/>
  <c r="BZ312" i="30"/>
  <c r="CA312" i="30"/>
  <c r="CB312" i="30"/>
  <c r="CC312" i="30"/>
  <c r="CD312" i="30"/>
  <c r="CE312" i="30"/>
  <c r="CF312" i="30"/>
  <c r="CG312" i="30"/>
  <c r="CH312" i="30"/>
  <c r="CI312" i="30"/>
  <c r="CJ312" i="30"/>
  <c r="CK312" i="30"/>
  <c r="CL312" i="30"/>
  <c r="CM312" i="30"/>
  <c r="CN312" i="30"/>
  <c r="CO312" i="30"/>
  <c r="CP312" i="30"/>
  <c r="CQ312" i="30"/>
  <c r="CR312" i="30"/>
  <c r="CS312" i="30"/>
  <c r="CT312" i="30"/>
  <c r="CU312" i="30"/>
  <c r="CV312" i="30"/>
  <c r="CW312" i="30"/>
  <c r="CX312" i="30"/>
  <c r="CY312" i="30"/>
  <c r="CZ312" i="30"/>
  <c r="DA312" i="30"/>
  <c r="DB312" i="30"/>
  <c r="DC312" i="30"/>
  <c r="DD312" i="30"/>
  <c r="DE312" i="30"/>
  <c r="DF312" i="30"/>
  <c r="DG312" i="30"/>
  <c r="DH312" i="30"/>
  <c r="DI312" i="30"/>
  <c r="DJ312" i="30"/>
  <c r="DK312" i="30"/>
  <c r="DL312" i="30"/>
  <c r="DM312" i="30"/>
  <c r="DN312" i="30"/>
  <c r="DO312" i="30"/>
  <c r="DP312" i="30"/>
  <c r="DQ312" i="30"/>
  <c r="DR312" i="30"/>
  <c r="DS312" i="30"/>
  <c r="DT312" i="30"/>
  <c r="DU312" i="30"/>
  <c r="DV312" i="30"/>
  <c r="DW312" i="30"/>
  <c r="DX312" i="30"/>
  <c r="DY312" i="30"/>
  <c r="DZ312" i="30"/>
  <c r="EA312" i="30"/>
  <c r="EB312" i="30"/>
  <c r="EC312" i="30"/>
  <c r="ED312" i="30"/>
  <c r="EE312" i="30"/>
  <c r="EF312" i="30"/>
  <c r="EG312" i="30"/>
  <c r="EH312" i="30"/>
  <c r="EI312" i="30"/>
  <c r="EJ312" i="30"/>
  <c r="EK312" i="30"/>
  <c r="EL312" i="30"/>
  <c r="EM312" i="30"/>
  <c r="EN312" i="30"/>
  <c r="EO312" i="30"/>
  <c r="EP312" i="30"/>
  <c r="EQ312" i="30"/>
  <c r="ER312" i="30"/>
  <c r="ES312" i="30"/>
  <c r="ET312" i="30"/>
  <c r="EU312" i="30"/>
  <c r="EV312" i="30"/>
  <c r="EW312" i="30"/>
  <c r="EX312" i="30"/>
  <c r="EY312" i="30"/>
  <c r="EZ312" i="30"/>
  <c r="FA312" i="30"/>
  <c r="FB312" i="30"/>
  <c r="FC312" i="30"/>
  <c r="FD312" i="30"/>
  <c r="FE312" i="30"/>
  <c r="FF312" i="30"/>
  <c r="FG312" i="30"/>
  <c r="FH312" i="30"/>
  <c r="FI312" i="30"/>
  <c r="FJ312" i="30"/>
  <c r="FK312" i="30"/>
  <c r="FL312" i="30"/>
  <c r="FM312" i="30"/>
  <c r="FN312" i="30"/>
  <c r="FO312" i="30"/>
  <c r="FP312" i="30"/>
  <c r="FQ312" i="30"/>
  <c r="FR312" i="30"/>
  <c r="FS312" i="30"/>
  <c r="FT312" i="30"/>
  <c r="FU312" i="30"/>
  <c r="FV312" i="30"/>
  <c r="FW312" i="30"/>
  <c r="FX312" i="30"/>
  <c r="FY312" i="30"/>
  <c r="FZ312" i="30"/>
  <c r="GA312" i="30"/>
  <c r="GB312" i="30"/>
  <c r="GC312" i="30"/>
  <c r="GD312" i="30"/>
  <c r="GE312" i="30"/>
  <c r="GF312" i="30"/>
  <c r="GG312" i="30"/>
  <c r="GH312" i="30"/>
  <c r="GI312" i="30"/>
  <c r="GJ312" i="30"/>
  <c r="GK312" i="30"/>
  <c r="GL312" i="30"/>
  <c r="GM312" i="30"/>
  <c r="GN312" i="30"/>
  <c r="GO312" i="30"/>
  <c r="GP312" i="30"/>
  <c r="GQ312" i="30"/>
  <c r="GR312" i="30"/>
  <c r="GS312" i="30"/>
  <c r="GT312" i="30"/>
  <c r="GU312" i="30"/>
  <c r="GV312" i="30"/>
  <c r="GW312" i="30"/>
  <c r="GX312" i="30"/>
  <c r="GY312" i="30"/>
  <c r="GZ312" i="30"/>
  <c r="HA312" i="30"/>
  <c r="HB312" i="30"/>
  <c r="HC312" i="30"/>
  <c r="HD312" i="30"/>
  <c r="HE312" i="30"/>
  <c r="HF312" i="30"/>
  <c r="HG312" i="30"/>
  <c r="HH312" i="30"/>
  <c r="HI312" i="30"/>
  <c r="HJ312" i="30"/>
  <c r="HK312" i="30"/>
  <c r="HL312" i="30"/>
  <c r="HM312" i="30"/>
  <c r="HN312" i="30"/>
  <c r="HO312" i="30"/>
  <c r="HP312" i="30"/>
  <c r="HQ312" i="30"/>
  <c r="HR312" i="30"/>
  <c r="HS312" i="30"/>
  <c r="HT312" i="30"/>
  <c r="HU312" i="30"/>
  <c r="HV312" i="30"/>
  <c r="HW312" i="30"/>
  <c r="HX312" i="30"/>
  <c r="HY312" i="30"/>
  <c r="HZ312" i="30"/>
  <c r="IA312" i="30"/>
  <c r="IB312" i="30"/>
  <c r="IC312" i="30"/>
  <c r="ID312" i="30"/>
  <c r="IE312" i="30"/>
  <c r="IF312" i="30"/>
  <c r="IG312" i="30"/>
  <c r="IH312" i="30"/>
  <c r="II312" i="30"/>
  <c r="IJ312" i="30"/>
  <c r="IK312" i="30"/>
  <c r="IL312" i="30"/>
  <c r="IM312" i="30"/>
  <c r="IN312" i="30"/>
  <c r="IO312" i="30"/>
  <c r="IP312" i="30"/>
  <c r="IQ312" i="30"/>
  <c r="IR312" i="30"/>
  <c r="IS312" i="30"/>
  <c r="IT312" i="30"/>
  <c r="IU312" i="30"/>
  <c r="IV312" i="30"/>
  <c r="A311" i="30"/>
  <c r="B311" i="30"/>
  <c r="C311" i="30"/>
  <c r="D311" i="30"/>
  <c r="E311" i="30"/>
  <c r="F311" i="30"/>
  <c r="G311" i="30"/>
  <c r="H311" i="30"/>
  <c r="I311" i="30"/>
  <c r="J311" i="30"/>
  <c r="K311" i="30"/>
  <c r="L311" i="30"/>
  <c r="M311" i="30"/>
  <c r="N311" i="30"/>
  <c r="O311" i="30"/>
  <c r="P311" i="30"/>
  <c r="Q311" i="30"/>
  <c r="R311" i="30"/>
  <c r="S311" i="30"/>
  <c r="T311" i="30"/>
  <c r="U311" i="30"/>
  <c r="V311" i="30"/>
  <c r="W311" i="30"/>
  <c r="X311" i="30"/>
  <c r="Y311" i="30"/>
  <c r="Z311" i="30"/>
  <c r="AA311" i="30"/>
  <c r="AB311" i="30"/>
  <c r="AC311" i="30"/>
  <c r="AD311" i="30"/>
  <c r="AE311" i="30"/>
  <c r="AF311" i="30"/>
  <c r="AG311" i="30"/>
  <c r="AH311" i="30"/>
  <c r="AI311" i="30"/>
  <c r="AJ311" i="30"/>
  <c r="AK311" i="30"/>
  <c r="AL311" i="30"/>
  <c r="AM311" i="30"/>
  <c r="AN311" i="30"/>
  <c r="AO311" i="30"/>
  <c r="AP311" i="30"/>
  <c r="AQ311" i="30"/>
  <c r="AR311" i="30"/>
  <c r="AS311" i="30"/>
  <c r="AT311" i="30"/>
  <c r="AU311" i="30"/>
  <c r="AV311" i="30"/>
  <c r="AW311" i="30"/>
  <c r="AX311" i="30"/>
  <c r="AY311" i="30"/>
  <c r="AZ311" i="30"/>
  <c r="BA311" i="30"/>
  <c r="BB311" i="30"/>
  <c r="BC311" i="30"/>
  <c r="BD311" i="30"/>
  <c r="BE311" i="30"/>
  <c r="BF311" i="30"/>
  <c r="BG311" i="30"/>
  <c r="BH311" i="30"/>
  <c r="BI311" i="30"/>
  <c r="BJ311" i="30"/>
  <c r="BK311" i="30"/>
  <c r="BL311" i="30"/>
  <c r="BM311" i="30"/>
  <c r="BN311" i="30"/>
  <c r="BO311" i="30"/>
  <c r="BP311" i="30"/>
  <c r="BQ311" i="30"/>
  <c r="BR311" i="30"/>
  <c r="BS311" i="30"/>
  <c r="BT311" i="30"/>
  <c r="BU311" i="30"/>
  <c r="BV311" i="30"/>
  <c r="BW311" i="30"/>
  <c r="BX311" i="30"/>
  <c r="BY311" i="30"/>
  <c r="BZ311" i="30"/>
  <c r="CA311" i="30"/>
  <c r="CB311" i="30"/>
  <c r="CC311" i="30"/>
  <c r="CD311" i="30"/>
  <c r="CE311" i="30"/>
  <c r="CF311" i="30"/>
  <c r="CG311" i="30"/>
  <c r="CH311" i="30"/>
  <c r="CI311" i="30"/>
  <c r="CJ311" i="30"/>
  <c r="CK311" i="30"/>
  <c r="CL311" i="30"/>
  <c r="CM311" i="30"/>
  <c r="CN311" i="30"/>
  <c r="CO311" i="30"/>
  <c r="CP311" i="30"/>
  <c r="CQ311" i="30"/>
  <c r="CR311" i="30"/>
  <c r="CS311" i="30"/>
  <c r="CT311" i="30"/>
  <c r="CU311" i="30"/>
  <c r="CV311" i="30"/>
  <c r="CW311" i="30"/>
  <c r="CX311" i="30"/>
  <c r="CY311" i="30"/>
  <c r="CZ311" i="30"/>
  <c r="DA311" i="30"/>
  <c r="DB311" i="30"/>
  <c r="DC311" i="30"/>
  <c r="DD311" i="30"/>
  <c r="DE311" i="30"/>
  <c r="DF311" i="30"/>
  <c r="DG311" i="30"/>
  <c r="DH311" i="30"/>
  <c r="DI311" i="30"/>
  <c r="DJ311" i="30"/>
  <c r="DK311" i="30"/>
  <c r="DL311" i="30"/>
  <c r="DM311" i="30"/>
  <c r="DN311" i="30"/>
  <c r="DO311" i="30"/>
  <c r="DP311" i="30"/>
  <c r="DQ311" i="30"/>
  <c r="DR311" i="30"/>
  <c r="DS311" i="30"/>
  <c r="DT311" i="30"/>
  <c r="DU311" i="30"/>
  <c r="DV311" i="30"/>
  <c r="DW311" i="30"/>
  <c r="DX311" i="30"/>
  <c r="DY311" i="30"/>
  <c r="DZ311" i="30"/>
  <c r="EA311" i="30"/>
  <c r="EB311" i="30"/>
  <c r="EC311" i="30"/>
  <c r="ED311" i="30"/>
  <c r="EE311" i="30"/>
  <c r="EF311" i="30"/>
  <c r="EG311" i="30"/>
  <c r="EH311" i="30"/>
  <c r="EI311" i="30"/>
  <c r="EJ311" i="30"/>
  <c r="EK311" i="30"/>
  <c r="EL311" i="30"/>
  <c r="EM311" i="30"/>
  <c r="EN311" i="30"/>
  <c r="EO311" i="30"/>
  <c r="EP311" i="30"/>
  <c r="EQ311" i="30"/>
  <c r="ER311" i="30"/>
  <c r="ES311" i="30"/>
  <c r="ET311" i="30"/>
  <c r="EU311" i="30"/>
  <c r="EV311" i="30"/>
  <c r="EW311" i="30"/>
  <c r="EX311" i="30"/>
  <c r="EY311" i="30"/>
  <c r="EZ311" i="30"/>
  <c r="FA311" i="30"/>
  <c r="FB311" i="30"/>
  <c r="FC311" i="30"/>
  <c r="FD311" i="30"/>
  <c r="FE311" i="30"/>
  <c r="FF311" i="30"/>
  <c r="FG311" i="30"/>
  <c r="FH311" i="30"/>
  <c r="FI311" i="30"/>
  <c r="FJ311" i="30"/>
  <c r="FK311" i="30"/>
  <c r="FL311" i="30"/>
  <c r="FM311" i="30"/>
  <c r="FN311" i="30"/>
  <c r="FO311" i="30"/>
  <c r="FP311" i="30"/>
  <c r="FQ311" i="30"/>
  <c r="FR311" i="30"/>
  <c r="FS311" i="30"/>
  <c r="FT311" i="30"/>
  <c r="FU311" i="30"/>
  <c r="FV311" i="30"/>
  <c r="FW311" i="30"/>
  <c r="FX311" i="30"/>
  <c r="FY311" i="30"/>
  <c r="FZ311" i="30"/>
  <c r="GA311" i="30"/>
  <c r="GB311" i="30"/>
  <c r="GC311" i="30"/>
  <c r="GD311" i="30"/>
  <c r="GE311" i="30"/>
  <c r="GF311" i="30"/>
  <c r="GG311" i="30"/>
  <c r="GH311" i="30"/>
  <c r="GI311" i="30"/>
  <c r="GJ311" i="30"/>
  <c r="GK311" i="30"/>
  <c r="GL311" i="30"/>
  <c r="GM311" i="30"/>
  <c r="GN311" i="30"/>
  <c r="GO311" i="30"/>
  <c r="GP311" i="30"/>
  <c r="GQ311" i="30"/>
  <c r="GR311" i="30"/>
  <c r="GS311" i="30"/>
  <c r="GT311" i="30"/>
  <c r="GU311" i="30"/>
  <c r="GV311" i="30"/>
  <c r="GW311" i="30"/>
  <c r="GX311" i="30"/>
  <c r="GY311" i="30"/>
  <c r="GZ311" i="30"/>
  <c r="HA311" i="30"/>
  <c r="HB311" i="30"/>
  <c r="HC311" i="30"/>
  <c r="HD311" i="30"/>
  <c r="HE311" i="30"/>
  <c r="HF311" i="30"/>
  <c r="HG311" i="30"/>
  <c r="HH311" i="30"/>
  <c r="HI311" i="30"/>
  <c r="HJ311" i="30"/>
  <c r="HK311" i="30"/>
  <c r="HL311" i="30"/>
  <c r="HM311" i="30"/>
  <c r="HN311" i="30"/>
  <c r="HO311" i="30"/>
  <c r="HP311" i="30"/>
  <c r="HQ311" i="30"/>
  <c r="HR311" i="30"/>
  <c r="HS311" i="30"/>
  <c r="HT311" i="30"/>
  <c r="HU311" i="30"/>
  <c r="HV311" i="30"/>
  <c r="HW311" i="30"/>
  <c r="HX311" i="30"/>
  <c r="HY311" i="30"/>
  <c r="HZ311" i="30"/>
  <c r="IA311" i="30"/>
  <c r="IB311" i="30"/>
  <c r="IC311" i="30"/>
  <c r="ID311" i="30"/>
  <c r="IE311" i="30"/>
  <c r="IF311" i="30"/>
  <c r="IG311" i="30"/>
  <c r="IH311" i="30"/>
  <c r="II311" i="30"/>
  <c r="IJ311" i="30"/>
  <c r="IK311" i="30"/>
  <c r="IL311" i="30"/>
  <c r="IM311" i="30"/>
  <c r="IN311" i="30"/>
  <c r="IO311" i="30"/>
  <c r="IP311" i="30"/>
  <c r="IQ311" i="30"/>
  <c r="IR311" i="30"/>
  <c r="IS311" i="30"/>
  <c r="IT311" i="30"/>
  <c r="IU311" i="30"/>
  <c r="IV311" i="30"/>
  <c r="A310" i="30"/>
  <c r="B310" i="30"/>
  <c r="C310" i="30"/>
  <c r="D310" i="30"/>
  <c r="E310" i="30"/>
  <c r="F310" i="30"/>
  <c r="G310" i="30"/>
  <c r="H310" i="30"/>
  <c r="I310" i="30"/>
  <c r="J310" i="30"/>
  <c r="K310" i="30"/>
  <c r="L310" i="30"/>
  <c r="M310" i="30"/>
  <c r="N310" i="30"/>
  <c r="O310" i="30"/>
  <c r="P310" i="30"/>
  <c r="Q310" i="30"/>
  <c r="R310" i="30"/>
  <c r="S310" i="30"/>
  <c r="T310" i="30"/>
  <c r="U310" i="30"/>
  <c r="V310" i="30"/>
  <c r="W310" i="30"/>
  <c r="X310" i="30"/>
  <c r="Y310" i="30"/>
  <c r="Z310" i="30"/>
  <c r="AA310" i="30"/>
  <c r="AB310" i="30"/>
  <c r="AC310" i="30"/>
  <c r="AD310" i="30"/>
  <c r="AE310" i="30"/>
  <c r="AF310" i="30"/>
  <c r="AG310" i="30"/>
  <c r="AH310" i="30"/>
  <c r="AI310" i="30"/>
  <c r="AJ310" i="30"/>
  <c r="AK310" i="30"/>
  <c r="AL310" i="30"/>
  <c r="AM310" i="30"/>
  <c r="AN310" i="30"/>
  <c r="AO310" i="30"/>
  <c r="AP310" i="30"/>
  <c r="AQ310" i="30"/>
  <c r="AR310" i="30"/>
  <c r="AS310" i="30"/>
  <c r="AT310" i="30"/>
  <c r="AU310" i="30"/>
  <c r="AV310" i="30"/>
  <c r="AW310" i="30"/>
  <c r="AX310" i="30"/>
  <c r="AY310" i="30"/>
  <c r="AZ310" i="30"/>
  <c r="BA310" i="30"/>
  <c r="BB310" i="30"/>
  <c r="BC310" i="30"/>
  <c r="BD310" i="30"/>
  <c r="BE310" i="30"/>
  <c r="BF310" i="30"/>
  <c r="BG310" i="30"/>
  <c r="BH310" i="30"/>
  <c r="BI310" i="30"/>
  <c r="BJ310" i="30"/>
  <c r="BK310" i="30"/>
  <c r="BL310" i="30"/>
  <c r="BM310" i="30"/>
  <c r="BN310" i="30"/>
  <c r="BO310" i="30"/>
  <c r="BP310" i="30"/>
  <c r="BQ310" i="30"/>
  <c r="BR310" i="30"/>
  <c r="BS310" i="30"/>
  <c r="BT310" i="30"/>
  <c r="BU310" i="30"/>
  <c r="BV310" i="30"/>
  <c r="BW310" i="30"/>
  <c r="BX310" i="30"/>
  <c r="BY310" i="30"/>
  <c r="BZ310" i="30"/>
  <c r="CA310" i="30"/>
  <c r="CB310" i="30"/>
  <c r="CC310" i="30"/>
  <c r="CD310" i="30"/>
  <c r="CE310" i="30"/>
  <c r="CF310" i="30"/>
  <c r="CG310" i="30"/>
  <c r="CH310" i="30"/>
  <c r="CI310" i="30"/>
  <c r="CJ310" i="30"/>
  <c r="CK310" i="30"/>
  <c r="CL310" i="30"/>
  <c r="CM310" i="30"/>
  <c r="CN310" i="30"/>
  <c r="CO310" i="30"/>
  <c r="CP310" i="30"/>
  <c r="CQ310" i="30"/>
  <c r="CR310" i="30"/>
  <c r="CS310" i="30"/>
  <c r="CT310" i="30"/>
  <c r="CU310" i="30"/>
  <c r="CV310" i="30"/>
  <c r="CW310" i="30"/>
  <c r="CX310" i="30"/>
  <c r="CY310" i="30"/>
  <c r="CZ310" i="30"/>
  <c r="DA310" i="30"/>
  <c r="DB310" i="30"/>
  <c r="DC310" i="30"/>
  <c r="DD310" i="30"/>
  <c r="DE310" i="30"/>
  <c r="DF310" i="30"/>
  <c r="DG310" i="30"/>
  <c r="DH310" i="30"/>
  <c r="DI310" i="30"/>
  <c r="DJ310" i="30"/>
  <c r="DK310" i="30"/>
  <c r="DL310" i="30"/>
  <c r="DM310" i="30"/>
  <c r="DN310" i="30"/>
  <c r="DO310" i="30"/>
  <c r="DP310" i="30"/>
  <c r="DQ310" i="30"/>
  <c r="DR310" i="30"/>
  <c r="DS310" i="30"/>
  <c r="DT310" i="30"/>
  <c r="DU310" i="30"/>
  <c r="DV310" i="30"/>
  <c r="DW310" i="30"/>
  <c r="DX310" i="30"/>
  <c r="DY310" i="30"/>
  <c r="DZ310" i="30"/>
  <c r="EA310" i="30"/>
  <c r="EB310" i="30"/>
  <c r="EC310" i="30"/>
  <c r="ED310" i="30"/>
  <c r="EE310" i="30"/>
  <c r="EF310" i="30"/>
  <c r="EG310" i="30"/>
  <c r="EH310" i="30"/>
  <c r="EI310" i="30"/>
  <c r="EJ310" i="30"/>
  <c r="EK310" i="30"/>
  <c r="EL310" i="30"/>
  <c r="EM310" i="30"/>
  <c r="EN310" i="30"/>
  <c r="EO310" i="30"/>
  <c r="EP310" i="30"/>
  <c r="EQ310" i="30"/>
  <c r="ER310" i="30"/>
  <c r="ES310" i="30"/>
  <c r="ET310" i="30"/>
  <c r="EU310" i="30"/>
  <c r="EV310" i="30"/>
  <c r="EW310" i="30"/>
  <c r="EX310" i="30"/>
  <c r="EY310" i="30"/>
  <c r="EZ310" i="30"/>
  <c r="FA310" i="30"/>
  <c r="FB310" i="30"/>
  <c r="FC310" i="30"/>
  <c r="FD310" i="30"/>
  <c r="FE310" i="30"/>
  <c r="FF310" i="30"/>
  <c r="FG310" i="30"/>
  <c r="FH310" i="30"/>
  <c r="FI310" i="30"/>
  <c r="FJ310" i="30"/>
  <c r="FK310" i="30"/>
  <c r="FL310" i="30"/>
  <c r="FM310" i="30"/>
  <c r="FN310" i="30"/>
  <c r="FO310" i="30"/>
  <c r="FP310" i="30"/>
  <c r="FQ310" i="30"/>
  <c r="FR310" i="30"/>
  <c r="FS310" i="30"/>
  <c r="FT310" i="30"/>
  <c r="FU310" i="30"/>
  <c r="FV310" i="30"/>
  <c r="FW310" i="30"/>
  <c r="FX310" i="30"/>
  <c r="FY310" i="30"/>
  <c r="FZ310" i="30"/>
  <c r="GA310" i="30"/>
  <c r="GB310" i="30"/>
  <c r="GC310" i="30"/>
  <c r="GD310" i="30"/>
  <c r="GE310" i="30"/>
  <c r="GF310" i="30"/>
  <c r="GG310" i="30"/>
  <c r="GH310" i="30"/>
  <c r="GI310" i="30"/>
  <c r="GJ310" i="30"/>
  <c r="GK310" i="30"/>
  <c r="GL310" i="30"/>
  <c r="GM310" i="30"/>
  <c r="GN310" i="30"/>
  <c r="GO310" i="30"/>
  <c r="GP310" i="30"/>
  <c r="GQ310" i="30"/>
  <c r="GR310" i="30"/>
  <c r="GS310" i="30"/>
  <c r="GT310" i="30"/>
  <c r="GU310" i="30"/>
  <c r="GV310" i="30"/>
  <c r="GW310" i="30"/>
  <c r="GX310" i="30"/>
  <c r="GY310" i="30"/>
  <c r="GZ310" i="30"/>
  <c r="HA310" i="30"/>
  <c r="HB310" i="30"/>
  <c r="HC310" i="30"/>
  <c r="HD310" i="30"/>
  <c r="HE310" i="30"/>
  <c r="HF310" i="30"/>
  <c r="HG310" i="30"/>
  <c r="HH310" i="30"/>
  <c r="HI310" i="30"/>
  <c r="HJ310" i="30"/>
  <c r="HK310" i="30"/>
  <c r="HL310" i="30"/>
  <c r="HM310" i="30"/>
  <c r="HN310" i="30"/>
  <c r="HO310" i="30"/>
  <c r="HP310" i="30"/>
  <c r="HQ310" i="30"/>
  <c r="HR310" i="30"/>
  <c r="HS310" i="30"/>
  <c r="HT310" i="30"/>
  <c r="HU310" i="30"/>
  <c r="HV310" i="30"/>
  <c r="HW310" i="30"/>
  <c r="HX310" i="30"/>
  <c r="HY310" i="30"/>
  <c r="HZ310" i="30"/>
  <c r="IA310" i="30"/>
  <c r="IB310" i="30"/>
  <c r="IC310" i="30"/>
  <c r="ID310" i="30"/>
  <c r="IE310" i="30"/>
  <c r="IF310" i="30"/>
  <c r="IG310" i="30"/>
  <c r="IH310" i="30"/>
  <c r="II310" i="30"/>
  <c r="IJ310" i="30"/>
  <c r="IK310" i="30"/>
  <c r="IL310" i="30"/>
  <c r="IM310" i="30"/>
  <c r="IN310" i="30"/>
  <c r="IO310" i="30"/>
  <c r="IP310" i="30"/>
  <c r="IQ310" i="30"/>
  <c r="IR310" i="30"/>
  <c r="IS310" i="30"/>
  <c r="IT310" i="30"/>
  <c r="IU310" i="30"/>
  <c r="IV310" i="30"/>
  <c r="A309" i="30"/>
  <c r="B309" i="30"/>
  <c r="C309" i="30"/>
  <c r="D309" i="30"/>
  <c r="E309" i="30"/>
  <c r="F309" i="30"/>
  <c r="G309" i="30"/>
  <c r="H309" i="30"/>
  <c r="I309" i="30"/>
  <c r="J309" i="30"/>
  <c r="K309" i="30"/>
  <c r="L309" i="30"/>
  <c r="M309" i="30"/>
  <c r="N309" i="30"/>
  <c r="O309" i="30"/>
  <c r="P309" i="30"/>
  <c r="Q309" i="30"/>
  <c r="R309" i="30"/>
  <c r="S309" i="30"/>
  <c r="T309" i="30"/>
  <c r="U309" i="30"/>
  <c r="V309" i="30"/>
  <c r="W309" i="30"/>
  <c r="X309" i="30"/>
  <c r="Y309" i="30"/>
  <c r="Z309" i="30"/>
  <c r="AA309" i="30"/>
  <c r="AB309" i="30"/>
  <c r="AC309" i="30"/>
  <c r="AD309" i="30"/>
  <c r="AE309" i="30"/>
  <c r="AF309" i="30"/>
  <c r="AG309" i="30"/>
  <c r="AH309" i="30"/>
  <c r="AI309" i="30"/>
  <c r="AJ309" i="30"/>
  <c r="AK309" i="30"/>
  <c r="AL309" i="30"/>
  <c r="AM309" i="30"/>
  <c r="AN309" i="30"/>
  <c r="AO309" i="30"/>
  <c r="AP309" i="30"/>
  <c r="AQ309" i="30"/>
  <c r="AR309" i="30"/>
  <c r="AS309" i="30"/>
  <c r="AT309" i="30"/>
  <c r="AU309" i="30"/>
  <c r="AV309" i="30"/>
  <c r="AW309" i="30"/>
  <c r="AX309" i="30"/>
  <c r="AY309" i="30"/>
  <c r="AZ309" i="30"/>
  <c r="BA309" i="30"/>
  <c r="BB309" i="30"/>
  <c r="BC309" i="30"/>
  <c r="BD309" i="30"/>
  <c r="BE309" i="30"/>
  <c r="BF309" i="30"/>
  <c r="BG309" i="30"/>
  <c r="BH309" i="30"/>
  <c r="BI309" i="30"/>
  <c r="BJ309" i="30"/>
  <c r="BK309" i="30"/>
  <c r="BL309" i="30"/>
  <c r="BM309" i="30"/>
  <c r="BN309" i="30"/>
  <c r="BO309" i="30"/>
  <c r="BP309" i="30"/>
  <c r="BQ309" i="30"/>
  <c r="BR309" i="30"/>
  <c r="BS309" i="30"/>
  <c r="BT309" i="30"/>
  <c r="BU309" i="30"/>
  <c r="BV309" i="30"/>
  <c r="BW309" i="30"/>
  <c r="BX309" i="30"/>
  <c r="BY309" i="30"/>
  <c r="BZ309" i="30"/>
  <c r="CA309" i="30"/>
  <c r="CB309" i="30"/>
  <c r="CC309" i="30"/>
  <c r="CD309" i="30"/>
  <c r="CE309" i="30"/>
  <c r="CF309" i="30"/>
  <c r="CG309" i="30"/>
  <c r="CH309" i="30"/>
  <c r="CI309" i="30"/>
  <c r="CJ309" i="30"/>
  <c r="CK309" i="30"/>
  <c r="CL309" i="30"/>
  <c r="CM309" i="30"/>
  <c r="CN309" i="30"/>
  <c r="CO309" i="30"/>
  <c r="CP309" i="30"/>
  <c r="CQ309" i="30"/>
  <c r="CR309" i="30"/>
  <c r="CS309" i="30"/>
  <c r="CT309" i="30"/>
  <c r="CU309" i="30"/>
  <c r="CV309" i="30"/>
  <c r="CW309" i="30"/>
  <c r="CX309" i="30"/>
  <c r="CY309" i="30"/>
  <c r="CZ309" i="30"/>
  <c r="DA309" i="30"/>
  <c r="DB309" i="30"/>
  <c r="DC309" i="30"/>
  <c r="DD309" i="30"/>
  <c r="DE309" i="30"/>
  <c r="DF309" i="30"/>
  <c r="DG309" i="30"/>
  <c r="DH309" i="30"/>
  <c r="DI309" i="30"/>
  <c r="DJ309" i="30"/>
  <c r="DK309" i="30"/>
  <c r="DL309" i="30"/>
  <c r="DM309" i="30"/>
  <c r="DN309" i="30"/>
  <c r="DO309" i="30"/>
  <c r="DP309" i="30"/>
  <c r="DQ309" i="30"/>
  <c r="DR309" i="30"/>
  <c r="DS309" i="30"/>
  <c r="DT309" i="30"/>
  <c r="DU309" i="30"/>
  <c r="DV309" i="30"/>
  <c r="DW309" i="30"/>
  <c r="DX309" i="30"/>
  <c r="DY309" i="30"/>
  <c r="DZ309" i="30"/>
  <c r="EA309" i="30"/>
  <c r="EB309" i="30"/>
  <c r="EC309" i="30"/>
  <c r="ED309" i="30"/>
  <c r="EE309" i="30"/>
  <c r="EF309" i="30"/>
  <c r="EG309" i="30"/>
  <c r="EH309" i="30"/>
  <c r="EI309" i="30"/>
  <c r="EJ309" i="30"/>
  <c r="EK309" i="30"/>
  <c r="EL309" i="30"/>
  <c r="EM309" i="30"/>
  <c r="EN309" i="30"/>
  <c r="EO309" i="30"/>
  <c r="EP309" i="30"/>
  <c r="EQ309" i="30"/>
  <c r="ER309" i="30"/>
  <c r="ES309" i="30"/>
  <c r="ET309" i="30"/>
  <c r="EU309" i="30"/>
  <c r="EV309" i="30"/>
  <c r="EW309" i="30"/>
  <c r="EX309" i="30"/>
  <c r="EY309" i="30"/>
  <c r="EZ309" i="30"/>
  <c r="FA309" i="30"/>
  <c r="FB309" i="30"/>
  <c r="FC309" i="30"/>
  <c r="FD309" i="30"/>
  <c r="FE309" i="30"/>
  <c r="FF309" i="30"/>
  <c r="FG309" i="30"/>
  <c r="FH309" i="30"/>
  <c r="FI309" i="30"/>
  <c r="FJ309" i="30"/>
  <c r="FK309" i="30"/>
  <c r="FL309" i="30"/>
  <c r="FM309" i="30"/>
  <c r="FN309" i="30"/>
  <c r="FO309" i="30"/>
  <c r="FP309" i="30"/>
  <c r="FQ309" i="30"/>
  <c r="FR309" i="30"/>
  <c r="FS309" i="30"/>
  <c r="FT309" i="30"/>
  <c r="FU309" i="30"/>
  <c r="FV309" i="30"/>
  <c r="FW309" i="30"/>
  <c r="FX309" i="30"/>
  <c r="FY309" i="30"/>
  <c r="FZ309" i="30"/>
  <c r="GA309" i="30"/>
  <c r="GB309" i="30"/>
  <c r="GC309" i="30"/>
  <c r="GD309" i="30"/>
  <c r="GE309" i="30"/>
  <c r="GF309" i="30"/>
  <c r="GG309" i="30"/>
  <c r="GH309" i="30"/>
  <c r="GI309" i="30"/>
  <c r="GJ309" i="30"/>
  <c r="GK309" i="30"/>
  <c r="GL309" i="30"/>
  <c r="GM309" i="30"/>
  <c r="GN309" i="30"/>
  <c r="GO309" i="30"/>
  <c r="GP309" i="30"/>
  <c r="GQ309" i="30"/>
  <c r="GR309" i="30"/>
  <c r="GS309" i="30"/>
  <c r="GT309" i="30"/>
  <c r="GU309" i="30"/>
  <c r="GV309" i="30"/>
  <c r="GW309" i="30"/>
  <c r="GX309" i="30"/>
  <c r="GY309" i="30"/>
  <c r="GZ309" i="30"/>
  <c r="HA309" i="30"/>
  <c r="HB309" i="30"/>
  <c r="HC309" i="30"/>
  <c r="HD309" i="30"/>
  <c r="HE309" i="30"/>
  <c r="HF309" i="30"/>
  <c r="HG309" i="30"/>
  <c r="HH309" i="30"/>
  <c r="HI309" i="30"/>
  <c r="HJ309" i="30"/>
  <c r="HK309" i="30"/>
  <c r="HL309" i="30"/>
  <c r="HM309" i="30"/>
  <c r="HN309" i="30"/>
  <c r="HO309" i="30"/>
  <c r="HP309" i="30"/>
  <c r="HQ309" i="30"/>
  <c r="HR309" i="30"/>
  <c r="HS309" i="30"/>
  <c r="HT309" i="30"/>
  <c r="HU309" i="30"/>
  <c r="HV309" i="30"/>
  <c r="HW309" i="30"/>
  <c r="HX309" i="30"/>
  <c r="HY309" i="30"/>
  <c r="HZ309" i="30"/>
  <c r="IA309" i="30"/>
  <c r="IB309" i="30"/>
  <c r="IC309" i="30"/>
  <c r="ID309" i="30"/>
  <c r="IE309" i="30"/>
  <c r="IF309" i="30"/>
  <c r="IG309" i="30"/>
  <c r="IH309" i="30"/>
  <c r="II309" i="30"/>
  <c r="IJ309" i="30"/>
  <c r="IK309" i="30"/>
  <c r="IL309" i="30"/>
  <c r="IM309" i="30"/>
  <c r="IN309" i="30"/>
  <c r="IO309" i="30"/>
  <c r="IP309" i="30"/>
  <c r="IQ309" i="30"/>
  <c r="IR309" i="30"/>
  <c r="IS309" i="30"/>
  <c r="IT309" i="30"/>
  <c r="IU309" i="30"/>
  <c r="IV309" i="30"/>
  <c r="A308" i="30"/>
  <c r="B308" i="30"/>
  <c r="C308" i="30"/>
  <c r="D308" i="30"/>
  <c r="E308" i="30"/>
  <c r="F308" i="30"/>
  <c r="G308" i="30"/>
  <c r="H308" i="30"/>
  <c r="I308" i="30"/>
  <c r="J308" i="30"/>
  <c r="K308" i="30"/>
  <c r="L308" i="30"/>
  <c r="M308" i="30"/>
  <c r="N308" i="30"/>
  <c r="O308" i="30"/>
  <c r="P308" i="30"/>
  <c r="Q308" i="30"/>
  <c r="R308" i="30"/>
  <c r="S308" i="30"/>
  <c r="T308" i="30"/>
  <c r="U308" i="30"/>
  <c r="V308" i="30"/>
  <c r="W308" i="30"/>
  <c r="X308" i="30"/>
  <c r="Y308" i="30"/>
  <c r="Z308" i="30"/>
  <c r="AA308" i="30"/>
  <c r="AB308" i="30"/>
  <c r="AC308" i="30"/>
  <c r="AD308" i="30"/>
  <c r="AE308" i="30"/>
  <c r="AF308" i="30"/>
  <c r="AG308" i="30"/>
  <c r="AH308" i="30"/>
  <c r="AI308" i="30"/>
  <c r="AJ308" i="30"/>
  <c r="AK308" i="30"/>
  <c r="AL308" i="30"/>
  <c r="AM308" i="30"/>
  <c r="AN308" i="30"/>
  <c r="AO308" i="30"/>
  <c r="AP308" i="30"/>
  <c r="AQ308" i="30"/>
  <c r="AR308" i="30"/>
  <c r="AS308" i="30"/>
  <c r="AT308" i="30"/>
  <c r="AU308" i="30"/>
  <c r="AV308" i="30"/>
  <c r="AW308" i="30"/>
  <c r="AX308" i="30"/>
  <c r="AY308" i="30"/>
  <c r="AZ308" i="30"/>
  <c r="BA308" i="30"/>
  <c r="BB308" i="30"/>
  <c r="BC308" i="30"/>
  <c r="BD308" i="30"/>
  <c r="BE308" i="30"/>
  <c r="BF308" i="30"/>
  <c r="BG308" i="30"/>
  <c r="BH308" i="30"/>
  <c r="BI308" i="30"/>
  <c r="BJ308" i="30"/>
  <c r="BK308" i="30"/>
  <c r="BL308" i="30"/>
  <c r="BM308" i="30"/>
  <c r="BN308" i="30"/>
  <c r="BO308" i="30"/>
  <c r="BP308" i="30"/>
  <c r="BQ308" i="30"/>
  <c r="BR308" i="30"/>
  <c r="BS308" i="30"/>
  <c r="BT308" i="30"/>
  <c r="BU308" i="30"/>
  <c r="BV308" i="30"/>
  <c r="BW308" i="30"/>
  <c r="BX308" i="30"/>
  <c r="BY308" i="30"/>
  <c r="BZ308" i="30"/>
  <c r="CA308" i="30"/>
  <c r="CB308" i="30"/>
  <c r="CC308" i="30"/>
  <c r="CD308" i="30"/>
  <c r="CE308" i="30"/>
  <c r="CF308" i="30"/>
  <c r="CG308" i="30"/>
  <c r="CH308" i="30"/>
  <c r="CI308" i="30"/>
  <c r="CJ308" i="30"/>
  <c r="CK308" i="30"/>
  <c r="CL308" i="30"/>
  <c r="CM308" i="30"/>
  <c r="CN308" i="30"/>
  <c r="CO308" i="30"/>
  <c r="CP308" i="30"/>
  <c r="CQ308" i="30"/>
  <c r="CR308" i="30"/>
  <c r="CS308" i="30"/>
  <c r="CT308" i="30"/>
  <c r="CU308" i="30"/>
  <c r="CV308" i="30"/>
  <c r="CW308" i="30"/>
  <c r="CX308" i="30"/>
  <c r="CY308" i="30"/>
  <c r="CZ308" i="30"/>
  <c r="DA308" i="30"/>
  <c r="DB308" i="30"/>
  <c r="DC308" i="30"/>
  <c r="DD308" i="30"/>
  <c r="DE308" i="30"/>
  <c r="DF308" i="30"/>
  <c r="DG308" i="30"/>
  <c r="DH308" i="30"/>
  <c r="DI308" i="30"/>
  <c r="DJ308" i="30"/>
  <c r="DK308" i="30"/>
  <c r="DL308" i="30"/>
  <c r="DM308" i="30"/>
  <c r="DN308" i="30"/>
  <c r="DO308" i="30"/>
  <c r="DP308" i="30"/>
  <c r="DQ308" i="30"/>
  <c r="DR308" i="30"/>
  <c r="DS308" i="30"/>
  <c r="DT308" i="30"/>
  <c r="DU308" i="30"/>
  <c r="DV308" i="30"/>
  <c r="DW308" i="30"/>
  <c r="DX308" i="30"/>
  <c r="DY308" i="30"/>
  <c r="DZ308" i="30"/>
  <c r="EA308" i="30"/>
  <c r="EB308" i="30"/>
  <c r="EC308" i="30"/>
  <c r="ED308" i="30"/>
  <c r="EE308" i="30"/>
  <c r="EF308" i="30"/>
  <c r="EG308" i="30"/>
  <c r="EH308" i="30"/>
  <c r="EI308" i="30"/>
  <c r="EJ308" i="30"/>
  <c r="EK308" i="30"/>
  <c r="EL308" i="30"/>
  <c r="EM308" i="30"/>
  <c r="EN308" i="30"/>
  <c r="EO308" i="30"/>
  <c r="EP308" i="30"/>
  <c r="EQ308" i="30"/>
  <c r="ER308" i="30"/>
  <c r="ES308" i="30"/>
  <c r="ET308" i="30"/>
  <c r="EU308" i="30"/>
  <c r="EV308" i="30"/>
  <c r="EW308" i="30"/>
  <c r="EX308" i="30"/>
  <c r="EY308" i="30"/>
  <c r="EZ308" i="30"/>
  <c r="FA308" i="30"/>
  <c r="FB308" i="30"/>
  <c r="FC308" i="30"/>
  <c r="FD308" i="30"/>
  <c r="FE308" i="30"/>
  <c r="FF308" i="30"/>
  <c r="FG308" i="30"/>
  <c r="FH308" i="30"/>
  <c r="FI308" i="30"/>
  <c r="FJ308" i="30"/>
  <c r="FK308" i="30"/>
  <c r="FL308" i="30"/>
  <c r="FM308" i="30"/>
  <c r="FN308" i="30"/>
  <c r="FO308" i="30"/>
  <c r="FP308" i="30"/>
  <c r="FQ308" i="30"/>
  <c r="FR308" i="30"/>
  <c r="FS308" i="30"/>
  <c r="FT308" i="30"/>
  <c r="FU308" i="30"/>
  <c r="FV308" i="30"/>
  <c r="FW308" i="30"/>
  <c r="FX308" i="30"/>
  <c r="FY308" i="30"/>
  <c r="FZ308" i="30"/>
  <c r="GA308" i="30"/>
  <c r="GB308" i="30"/>
  <c r="GC308" i="30"/>
  <c r="GD308" i="30"/>
  <c r="GE308" i="30"/>
  <c r="GF308" i="30"/>
  <c r="GG308" i="30"/>
  <c r="GH308" i="30"/>
  <c r="GI308" i="30"/>
  <c r="GJ308" i="30"/>
  <c r="GK308" i="30"/>
  <c r="GL308" i="30"/>
  <c r="GM308" i="30"/>
  <c r="GN308" i="30"/>
  <c r="GO308" i="30"/>
  <c r="GP308" i="30"/>
  <c r="GQ308" i="30"/>
  <c r="GR308" i="30"/>
  <c r="GS308" i="30"/>
  <c r="GT308" i="30"/>
  <c r="GU308" i="30"/>
  <c r="GV308" i="30"/>
  <c r="GW308" i="30"/>
  <c r="GX308" i="30"/>
  <c r="GY308" i="30"/>
  <c r="GZ308" i="30"/>
  <c r="HA308" i="30"/>
  <c r="HB308" i="30"/>
  <c r="HC308" i="30"/>
  <c r="HD308" i="30"/>
  <c r="HE308" i="30"/>
  <c r="HF308" i="30"/>
  <c r="HG308" i="30"/>
  <c r="HH308" i="30"/>
  <c r="HI308" i="30"/>
  <c r="HJ308" i="30"/>
  <c r="HK308" i="30"/>
  <c r="HL308" i="30"/>
  <c r="HM308" i="30"/>
  <c r="HN308" i="30"/>
  <c r="HO308" i="30"/>
  <c r="HP308" i="30"/>
  <c r="HQ308" i="30"/>
  <c r="HR308" i="30"/>
  <c r="HS308" i="30"/>
  <c r="HT308" i="30"/>
  <c r="HU308" i="30"/>
  <c r="HV308" i="30"/>
  <c r="HW308" i="30"/>
  <c r="HX308" i="30"/>
  <c r="HY308" i="30"/>
  <c r="HZ308" i="30"/>
  <c r="IA308" i="30"/>
  <c r="IB308" i="30"/>
  <c r="IC308" i="30"/>
  <c r="ID308" i="30"/>
  <c r="IE308" i="30"/>
  <c r="IF308" i="30"/>
  <c r="IG308" i="30"/>
  <c r="IH308" i="30"/>
  <c r="II308" i="30"/>
  <c r="IJ308" i="30"/>
  <c r="IK308" i="30"/>
  <c r="IL308" i="30"/>
  <c r="IM308" i="30"/>
  <c r="IN308" i="30"/>
  <c r="IO308" i="30"/>
  <c r="IP308" i="30"/>
  <c r="IQ308" i="30"/>
  <c r="IR308" i="30"/>
  <c r="IS308" i="30"/>
  <c r="IT308" i="30"/>
  <c r="IU308" i="30"/>
  <c r="IV308" i="30"/>
  <c r="A307" i="30"/>
  <c r="B307" i="30"/>
  <c r="C307" i="30"/>
  <c r="D307" i="30"/>
  <c r="E307" i="30"/>
  <c r="F307" i="30"/>
  <c r="G307" i="30"/>
  <c r="H307" i="30"/>
  <c r="I307" i="30"/>
  <c r="J307" i="30"/>
  <c r="K307" i="30"/>
  <c r="L307" i="30"/>
  <c r="M307" i="30"/>
  <c r="N307" i="30"/>
  <c r="O307" i="30"/>
  <c r="P307" i="30"/>
  <c r="Q307" i="30"/>
  <c r="R307" i="30"/>
  <c r="S307" i="30"/>
  <c r="T307" i="30"/>
  <c r="U307" i="30"/>
  <c r="V307" i="30"/>
  <c r="W307" i="30"/>
  <c r="X307" i="30"/>
  <c r="Y307" i="30"/>
  <c r="Z307" i="30"/>
  <c r="AA307" i="30"/>
  <c r="AB307" i="30"/>
  <c r="AC307" i="30"/>
  <c r="AD307" i="30"/>
  <c r="AE307" i="30"/>
  <c r="AF307" i="30"/>
  <c r="AG307" i="30"/>
  <c r="AH307" i="30"/>
  <c r="AI307" i="30"/>
  <c r="AJ307" i="30"/>
  <c r="AK307" i="30"/>
  <c r="AL307" i="30"/>
  <c r="AM307" i="30"/>
  <c r="AN307" i="30"/>
  <c r="AO307" i="30"/>
  <c r="AP307" i="30"/>
  <c r="AQ307" i="30"/>
  <c r="AR307" i="30"/>
  <c r="AS307" i="30"/>
  <c r="AT307" i="30"/>
  <c r="AU307" i="30"/>
  <c r="AV307" i="30"/>
  <c r="AW307" i="30"/>
  <c r="AX307" i="30"/>
  <c r="AY307" i="30"/>
  <c r="AZ307" i="30"/>
  <c r="BA307" i="30"/>
  <c r="BB307" i="30"/>
  <c r="BC307" i="30"/>
  <c r="BD307" i="30"/>
  <c r="BE307" i="30"/>
  <c r="BF307" i="30"/>
  <c r="BG307" i="30"/>
  <c r="BH307" i="30"/>
  <c r="BI307" i="30"/>
  <c r="BJ307" i="30"/>
  <c r="BK307" i="30"/>
  <c r="BL307" i="30"/>
  <c r="BM307" i="30"/>
  <c r="BN307" i="30"/>
  <c r="BO307" i="30"/>
  <c r="BP307" i="30"/>
  <c r="BQ307" i="30"/>
  <c r="BR307" i="30"/>
  <c r="BS307" i="30"/>
  <c r="BT307" i="30"/>
  <c r="BU307" i="30"/>
  <c r="BV307" i="30"/>
  <c r="BW307" i="30"/>
  <c r="BX307" i="30"/>
  <c r="BY307" i="30"/>
  <c r="BZ307" i="30"/>
  <c r="CA307" i="30"/>
  <c r="CB307" i="30"/>
  <c r="CC307" i="30"/>
  <c r="CD307" i="30"/>
  <c r="CE307" i="30"/>
  <c r="CF307" i="30"/>
  <c r="CG307" i="30"/>
  <c r="CH307" i="30"/>
  <c r="CI307" i="30"/>
  <c r="CJ307" i="30"/>
  <c r="CK307" i="30"/>
  <c r="CL307" i="30"/>
  <c r="CM307" i="30"/>
  <c r="CN307" i="30"/>
  <c r="CO307" i="30"/>
  <c r="CP307" i="30"/>
  <c r="CQ307" i="30"/>
  <c r="CR307" i="30"/>
  <c r="CS307" i="30"/>
  <c r="CT307" i="30"/>
  <c r="CU307" i="30"/>
  <c r="CV307" i="30"/>
  <c r="CW307" i="30"/>
  <c r="CX307" i="30"/>
  <c r="CY307" i="30"/>
  <c r="CZ307" i="30"/>
  <c r="DA307" i="30"/>
  <c r="DB307" i="30"/>
  <c r="DC307" i="30"/>
  <c r="DD307" i="30"/>
  <c r="DE307" i="30"/>
  <c r="DF307" i="30"/>
  <c r="DG307" i="30"/>
  <c r="DH307" i="30"/>
  <c r="DI307" i="30"/>
  <c r="DJ307" i="30"/>
  <c r="DK307" i="30"/>
  <c r="DL307" i="30"/>
  <c r="DM307" i="30"/>
  <c r="DN307" i="30"/>
  <c r="DO307" i="30"/>
  <c r="DP307" i="30"/>
  <c r="DQ307" i="30"/>
  <c r="DR307" i="30"/>
  <c r="DS307" i="30"/>
  <c r="DT307" i="30"/>
  <c r="DU307" i="30"/>
  <c r="DV307" i="30"/>
  <c r="DW307" i="30"/>
  <c r="DX307" i="30"/>
  <c r="DY307" i="30"/>
  <c r="DZ307" i="30"/>
  <c r="EA307" i="30"/>
  <c r="EB307" i="30"/>
  <c r="EC307" i="30"/>
  <c r="ED307" i="30"/>
  <c r="EE307" i="30"/>
  <c r="EF307" i="30"/>
  <c r="EG307" i="30"/>
  <c r="EH307" i="30"/>
  <c r="EI307" i="30"/>
  <c r="EJ307" i="30"/>
  <c r="EK307" i="30"/>
  <c r="EL307" i="30"/>
  <c r="EM307" i="30"/>
  <c r="EN307" i="30"/>
  <c r="EO307" i="30"/>
  <c r="EP307" i="30"/>
  <c r="EQ307" i="30"/>
  <c r="ER307" i="30"/>
  <c r="ES307" i="30"/>
  <c r="ET307" i="30"/>
  <c r="EU307" i="30"/>
  <c r="EV307" i="30"/>
  <c r="EW307" i="30"/>
  <c r="EX307" i="30"/>
  <c r="EY307" i="30"/>
  <c r="EZ307" i="30"/>
  <c r="FA307" i="30"/>
  <c r="FB307" i="30"/>
  <c r="FC307" i="30"/>
  <c r="FD307" i="30"/>
  <c r="FE307" i="30"/>
  <c r="FF307" i="30"/>
  <c r="FG307" i="30"/>
  <c r="FH307" i="30"/>
  <c r="FI307" i="30"/>
  <c r="FJ307" i="30"/>
  <c r="FK307" i="30"/>
  <c r="FL307" i="30"/>
  <c r="FM307" i="30"/>
  <c r="FN307" i="30"/>
  <c r="FO307" i="30"/>
  <c r="FP307" i="30"/>
  <c r="FQ307" i="30"/>
  <c r="FR307" i="30"/>
  <c r="FS307" i="30"/>
  <c r="FT307" i="30"/>
  <c r="FU307" i="30"/>
  <c r="FV307" i="30"/>
  <c r="FW307" i="30"/>
  <c r="FX307" i="30"/>
  <c r="FY307" i="30"/>
  <c r="FZ307" i="30"/>
  <c r="GA307" i="30"/>
  <c r="GB307" i="30"/>
  <c r="GC307" i="30"/>
  <c r="GD307" i="30"/>
  <c r="GE307" i="30"/>
  <c r="GF307" i="30"/>
  <c r="GG307" i="30"/>
  <c r="GH307" i="30"/>
  <c r="GI307" i="30"/>
  <c r="GJ307" i="30"/>
  <c r="GK307" i="30"/>
  <c r="GL307" i="30"/>
  <c r="GM307" i="30"/>
  <c r="GN307" i="30"/>
  <c r="GO307" i="30"/>
  <c r="GP307" i="30"/>
  <c r="GQ307" i="30"/>
  <c r="GR307" i="30"/>
  <c r="GS307" i="30"/>
  <c r="GT307" i="30"/>
  <c r="GU307" i="30"/>
  <c r="GV307" i="30"/>
  <c r="GW307" i="30"/>
  <c r="GX307" i="30"/>
  <c r="GY307" i="30"/>
  <c r="GZ307" i="30"/>
  <c r="HA307" i="30"/>
  <c r="HB307" i="30"/>
  <c r="HC307" i="30"/>
  <c r="HD307" i="30"/>
  <c r="HE307" i="30"/>
  <c r="HF307" i="30"/>
  <c r="HG307" i="30"/>
  <c r="HH307" i="30"/>
  <c r="HI307" i="30"/>
  <c r="HJ307" i="30"/>
  <c r="HK307" i="30"/>
  <c r="HL307" i="30"/>
  <c r="HM307" i="30"/>
  <c r="HN307" i="30"/>
  <c r="HO307" i="30"/>
  <c r="HP307" i="30"/>
  <c r="HQ307" i="30"/>
  <c r="HR307" i="30"/>
  <c r="HS307" i="30"/>
  <c r="HT307" i="30"/>
  <c r="HU307" i="30"/>
  <c r="HV307" i="30"/>
  <c r="HW307" i="30"/>
  <c r="HX307" i="30"/>
  <c r="HY307" i="30"/>
  <c r="HZ307" i="30"/>
  <c r="IA307" i="30"/>
  <c r="IB307" i="30"/>
  <c r="IC307" i="30"/>
  <c r="ID307" i="30"/>
  <c r="IE307" i="30"/>
  <c r="IF307" i="30"/>
  <c r="IG307" i="30"/>
  <c r="IH307" i="30"/>
  <c r="II307" i="30"/>
  <c r="IJ307" i="30"/>
  <c r="IK307" i="30"/>
  <c r="IL307" i="30"/>
  <c r="IM307" i="30"/>
  <c r="IN307" i="30"/>
  <c r="IO307" i="30"/>
  <c r="IP307" i="30"/>
  <c r="IQ307" i="30"/>
  <c r="IR307" i="30"/>
  <c r="IS307" i="30"/>
  <c r="IT307" i="30"/>
  <c r="IU307" i="30"/>
  <c r="IV307" i="30"/>
  <c r="A306" i="30"/>
  <c r="B306" i="30"/>
  <c r="C306" i="30"/>
  <c r="D306" i="30"/>
  <c r="E306" i="30"/>
  <c r="F306" i="30"/>
  <c r="G306" i="30"/>
  <c r="H306" i="30"/>
  <c r="I306" i="30"/>
  <c r="J306" i="30"/>
  <c r="K306" i="30"/>
  <c r="L306" i="30"/>
  <c r="M306" i="30"/>
  <c r="N306" i="30"/>
  <c r="O306" i="30"/>
  <c r="P306" i="30"/>
  <c r="Q306" i="30"/>
  <c r="R306" i="30"/>
  <c r="S306" i="30"/>
  <c r="T306" i="30"/>
  <c r="U306" i="30"/>
  <c r="V306" i="30"/>
  <c r="W306" i="30"/>
  <c r="X306" i="30"/>
  <c r="Y306" i="30"/>
  <c r="Z306" i="30"/>
  <c r="AA306" i="30"/>
  <c r="AB306" i="30"/>
  <c r="AC306" i="30"/>
  <c r="AD306" i="30"/>
  <c r="AE306" i="30"/>
  <c r="AF306" i="30"/>
  <c r="AG306" i="30"/>
  <c r="AH306" i="30"/>
  <c r="AI306" i="30"/>
  <c r="AJ306" i="30"/>
  <c r="AK306" i="30"/>
  <c r="AL306" i="30"/>
  <c r="AM306" i="30"/>
  <c r="AN306" i="30"/>
  <c r="AO306" i="30"/>
  <c r="AP306" i="30"/>
  <c r="AQ306" i="30"/>
  <c r="AR306" i="30"/>
  <c r="AS306" i="30"/>
  <c r="AT306" i="30"/>
  <c r="AU306" i="30"/>
  <c r="AV306" i="30"/>
  <c r="AW306" i="30"/>
  <c r="AX306" i="30"/>
  <c r="AY306" i="30"/>
  <c r="AZ306" i="30"/>
  <c r="BA306" i="30"/>
  <c r="BB306" i="30"/>
  <c r="BC306" i="30"/>
  <c r="BD306" i="30"/>
  <c r="BE306" i="30"/>
  <c r="BF306" i="30"/>
  <c r="BG306" i="30"/>
  <c r="BH306" i="30"/>
  <c r="BI306" i="30"/>
  <c r="BJ306" i="30"/>
  <c r="BK306" i="30"/>
  <c r="BL306" i="30"/>
  <c r="BM306" i="30"/>
  <c r="BN306" i="30"/>
  <c r="BO306" i="30"/>
  <c r="BP306" i="30"/>
  <c r="BQ306" i="30"/>
  <c r="BR306" i="30"/>
  <c r="BS306" i="30"/>
  <c r="BT306" i="30"/>
  <c r="BU306" i="30"/>
  <c r="BV306" i="30"/>
  <c r="BW306" i="30"/>
  <c r="BX306" i="30"/>
  <c r="BY306" i="30"/>
  <c r="BZ306" i="30"/>
  <c r="CA306" i="30"/>
  <c r="CB306" i="30"/>
  <c r="CC306" i="30"/>
  <c r="CD306" i="30"/>
  <c r="CE306" i="30"/>
  <c r="CF306" i="30"/>
  <c r="CG306" i="30"/>
  <c r="CH306" i="30"/>
  <c r="CI306" i="30"/>
  <c r="CJ306" i="30"/>
  <c r="CK306" i="30"/>
  <c r="CL306" i="30"/>
  <c r="CM306" i="30"/>
  <c r="CN306" i="30"/>
  <c r="CO306" i="30"/>
  <c r="CP306" i="30"/>
  <c r="CQ306" i="30"/>
  <c r="CR306" i="30"/>
  <c r="CS306" i="30"/>
  <c r="CT306" i="30"/>
  <c r="CU306" i="30"/>
  <c r="CV306" i="30"/>
  <c r="CW306" i="30"/>
  <c r="CX306" i="30"/>
  <c r="CY306" i="30"/>
  <c r="CZ306" i="30"/>
  <c r="DA306" i="30"/>
  <c r="DB306" i="30"/>
  <c r="DC306" i="30"/>
  <c r="DD306" i="30"/>
  <c r="DE306" i="30"/>
  <c r="DF306" i="30"/>
  <c r="DG306" i="30"/>
  <c r="DH306" i="30"/>
  <c r="DI306" i="30"/>
  <c r="DJ306" i="30"/>
  <c r="DK306" i="30"/>
  <c r="DL306" i="30"/>
  <c r="DM306" i="30"/>
  <c r="DN306" i="30"/>
  <c r="DO306" i="30"/>
  <c r="DP306" i="30"/>
  <c r="DQ306" i="30"/>
  <c r="DR306" i="30"/>
  <c r="DS306" i="30"/>
  <c r="DT306" i="30"/>
  <c r="DU306" i="30"/>
  <c r="DV306" i="30"/>
  <c r="DW306" i="30"/>
  <c r="DX306" i="30"/>
  <c r="DY306" i="30"/>
  <c r="DZ306" i="30"/>
  <c r="EA306" i="30"/>
  <c r="EB306" i="30"/>
  <c r="EC306" i="30"/>
  <c r="ED306" i="30"/>
  <c r="EE306" i="30"/>
  <c r="EF306" i="30"/>
  <c r="EG306" i="30"/>
  <c r="EH306" i="30"/>
  <c r="EI306" i="30"/>
  <c r="EJ306" i="30"/>
  <c r="EK306" i="30"/>
  <c r="EL306" i="30"/>
  <c r="EM306" i="30"/>
  <c r="EN306" i="30"/>
  <c r="EO306" i="30"/>
  <c r="EP306" i="30"/>
  <c r="EQ306" i="30"/>
  <c r="ER306" i="30"/>
  <c r="ES306" i="30"/>
  <c r="ET306" i="30"/>
  <c r="EU306" i="30"/>
  <c r="EV306" i="30"/>
  <c r="EW306" i="30"/>
  <c r="EX306" i="30"/>
  <c r="EY306" i="30"/>
  <c r="EZ306" i="30"/>
  <c r="FA306" i="30"/>
  <c r="FB306" i="30"/>
  <c r="FC306" i="30"/>
  <c r="FD306" i="30"/>
  <c r="FE306" i="30"/>
  <c r="FF306" i="30"/>
  <c r="FG306" i="30"/>
  <c r="FH306" i="30"/>
  <c r="FI306" i="30"/>
  <c r="FJ306" i="30"/>
  <c r="FK306" i="30"/>
  <c r="FL306" i="30"/>
  <c r="FM306" i="30"/>
  <c r="FN306" i="30"/>
  <c r="FO306" i="30"/>
  <c r="FP306" i="30"/>
  <c r="FQ306" i="30"/>
  <c r="FR306" i="30"/>
  <c r="FS306" i="30"/>
  <c r="FT306" i="30"/>
  <c r="FU306" i="30"/>
  <c r="FV306" i="30"/>
  <c r="FW306" i="30"/>
  <c r="FX306" i="30"/>
  <c r="FY306" i="30"/>
  <c r="FZ306" i="30"/>
  <c r="GA306" i="30"/>
  <c r="GB306" i="30"/>
  <c r="GC306" i="30"/>
  <c r="GD306" i="30"/>
  <c r="GE306" i="30"/>
  <c r="GF306" i="30"/>
  <c r="GG306" i="30"/>
  <c r="GH306" i="30"/>
  <c r="GI306" i="30"/>
  <c r="GJ306" i="30"/>
  <c r="GK306" i="30"/>
  <c r="GL306" i="30"/>
  <c r="GM306" i="30"/>
  <c r="GN306" i="30"/>
  <c r="GO306" i="30"/>
  <c r="GP306" i="30"/>
  <c r="GQ306" i="30"/>
  <c r="GR306" i="30"/>
  <c r="GS306" i="30"/>
  <c r="GT306" i="30"/>
  <c r="GU306" i="30"/>
  <c r="GV306" i="30"/>
  <c r="GW306" i="30"/>
  <c r="GX306" i="30"/>
  <c r="GY306" i="30"/>
  <c r="GZ306" i="30"/>
  <c r="HA306" i="30"/>
  <c r="HB306" i="30"/>
  <c r="HC306" i="30"/>
  <c r="HD306" i="30"/>
  <c r="HE306" i="30"/>
  <c r="HF306" i="30"/>
  <c r="HG306" i="30"/>
  <c r="HH306" i="30"/>
  <c r="HI306" i="30"/>
  <c r="HJ306" i="30"/>
  <c r="HK306" i="30"/>
  <c r="HL306" i="30"/>
  <c r="HM306" i="30"/>
  <c r="HN306" i="30"/>
  <c r="HO306" i="30"/>
  <c r="HP306" i="30"/>
  <c r="HQ306" i="30"/>
  <c r="HR306" i="30"/>
  <c r="HS306" i="30"/>
  <c r="HT306" i="30"/>
  <c r="HU306" i="30"/>
  <c r="HV306" i="30"/>
  <c r="HW306" i="30"/>
  <c r="HX306" i="30"/>
  <c r="HY306" i="30"/>
  <c r="HZ306" i="30"/>
  <c r="IA306" i="30"/>
  <c r="IB306" i="30"/>
  <c r="IC306" i="30"/>
  <c r="ID306" i="30"/>
  <c r="IE306" i="30"/>
  <c r="IF306" i="30"/>
  <c r="IG306" i="30"/>
  <c r="IH306" i="30"/>
  <c r="II306" i="30"/>
  <c r="IJ306" i="30"/>
  <c r="IK306" i="30"/>
  <c r="IL306" i="30"/>
  <c r="IM306" i="30"/>
  <c r="IN306" i="30"/>
  <c r="IO306" i="30"/>
  <c r="IP306" i="30"/>
  <c r="IQ306" i="30"/>
  <c r="IR306" i="30"/>
  <c r="IS306" i="30"/>
  <c r="IT306" i="30"/>
  <c r="IU306" i="30"/>
  <c r="IV306" i="30"/>
  <c r="A305" i="30"/>
  <c r="B305" i="30"/>
  <c r="C305" i="30"/>
  <c r="D305" i="30"/>
  <c r="E305" i="30"/>
  <c r="F305" i="30"/>
  <c r="G305" i="30"/>
  <c r="H305" i="30"/>
  <c r="I305" i="30"/>
  <c r="J305" i="30"/>
  <c r="K305" i="30"/>
  <c r="L305" i="30"/>
  <c r="M305" i="30"/>
  <c r="N305" i="30"/>
  <c r="O305" i="30"/>
  <c r="P305" i="30"/>
  <c r="Q305" i="30"/>
  <c r="R305" i="30"/>
  <c r="S305" i="30"/>
  <c r="T305" i="30"/>
  <c r="U305" i="30"/>
  <c r="V305" i="30"/>
  <c r="W305" i="30"/>
  <c r="X305" i="30"/>
  <c r="Y305" i="30"/>
  <c r="Z305" i="30"/>
  <c r="AA305" i="30"/>
  <c r="AB305" i="30"/>
  <c r="AC305" i="30"/>
  <c r="AD305" i="30"/>
  <c r="AE305" i="30"/>
  <c r="AF305" i="30"/>
  <c r="AG305" i="30"/>
  <c r="AH305" i="30"/>
  <c r="AI305" i="30"/>
  <c r="AJ305" i="30"/>
  <c r="AK305" i="30"/>
  <c r="AL305" i="30"/>
  <c r="AM305" i="30"/>
  <c r="AN305" i="30"/>
  <c r="AO305" i="30"/>
  <c r="AP305" i="30"/>
  <c r="AQ305" i="30"/>
  <c r="AR305" i="30"/>
  <c r="AS305" i="30"/>
  <c r="AT305" i="30"/>
  <c r="AU305" i="30"/>
  <c r="AV305" i="30"/>
  <c r="AW305" i="30"/>
  <c r="AX305" i="30"/>
  <c r="AY305" i="30"/>
  <c r="AZ305" i="30"/>
  <c r="BA305" i="30"/>
  <c r="BB305" i="30"/>
  <c r="BC305" i="30"/>
  <c r="BD305" i="30"/>
  <c r="BE305" i="30"/>
  <c r="BF305" i="30"/>
  <c r="BG305" i="30"/>
  <c r="BH305" i="30"/>
  <c r="BI305" i="30"/>
  <c r="BJ305" i="30"/>
  <c r="BK305" i="30"/>
  <c r="BL305" i="30"/>
  <c r="BM305" i="30"/>
  <c r="BN305" i="30"/>
  <c r="BO305" i="30"/>
  <c r="BP305" i="30"/>
  <c r="BQ305" i="30"/>
  <c r="BR305" i="30"/>
  <c r="BS305" i="30"/>
  <c r="BT305" i="30"/>
  <c r="BU305" i="30"/>
  <c r="BV305" i="30"/>
  <c r="BW305" i="30"/>
  <c r="BX305" i="30"/>
  <c r="BY305" i="30"/>
  <c r="BZ305" i="30"/>
  <c r="CA305" i="30"/>
  <c r="CB305" i="30"/>
  <c r="CC305" i="30"/>
  <c r="CD305" i="30"/>
  <c r="CE305" i="30"/>
  <c r="CF305" i="30"/>
  <c r="CG305" i="30"/>
  <c r="CH305" i="30"/>
  <c r="CI305" i="30"/>
  <c r="CJ305" i="30"/>
  <c r="CK305" i="30"/>
  <c r="CL305" i="30"/>
  <c r="CM305" i="30"/>
  <c r="CN305" i="30"/>
  <c r="CO305" i="30"/>
  <c r="CP305" i="30"/>
  <c r="CQ305" i="30"/>
  <c r="CR305" i="30"/>
  <c r="CS305" i="30"/>
  <c r="CT305" i="30"/>
  <c r="CU305" i="30"/>
  <c r="CV305" i="30"/>
  <c r="CW305" i="30"/>
  <c r="CX305" i="30"/>
  <c r="CY305" i="30"/>
  <c r="CZ305" i="30"/>
  <c r="DA305" i="30"/>
  <c r="DB305" i="30"/>
  <c r="DC305" i="30"/>
  <c r="DD305" i="30"/>
  <c r="DE305" i="30"/>
  <c r="DF305" i="30"/>
  <c r="DG305" i="30"/>
  <c r="DH305" i="30"/>
  <c r="DI305" i="30"/>
  <c r="DJ305" i="30"/>
  <c r="DK305" i="30"/>
  <c r="DL305" i="30"/>
  <c r="DM305" i="30"/>
  <c r="DN305" i="30"/>
  <c r="DO305" i="30"/>
  <c r="DP305" i="30"/>
  <c r="DQ305" i="30"/>
  <c r="DR305" i="30"/>
  <c r="DS305" i="30"/>
  <c r="DT305" i="30"/>
  <c r="DU305" i="30"/>
  <c r="DV305" i="30"/>
  <c r="DW305" i="30"/>
  <c r="DX305" i="30"/>
  <c r="DY305" i="30"/>
  <c r="DZ305" i="30"/>
  <c r="EA305" i="30"/>
  <c r="EB305" i="30"/>
  <c r="EC305" i="30"/>
  <c r="ED305" i="30"/>
  <c r="EE305" i="30"/>
  <c r="EF305" i="30"/>
  <c r="EG305" i="30"/>
  <c r="EH305" i="30"/>
  <c r="EI305" i="30"/>
  <c r="EJ305" i="30"/>
  <c r="EK305" i="30"/>
  <c r="EL305" i="30"/>
  <c r="EM305" i="30"/>
  <c r="EN305" i="30"/>
  <c r="EO305" i="30"/>
  <c r="EP305" i="30"/>
  <c r="EQ305" i="30"/>
  <c r="ER305" i="30"/>
  <c r="ES305" i="30"/>
  <c r="ET305" i="30"/>
  <c r="EU305" i="30"/>
  <c r="EV305" i="30"/>
  <c r="EW305" i="30"/>
  <c r="EX305" i="30"/>
  <c r="EY305" i="30"/>
  <c r="EZ305" i="30"/>
  <c r="FA305" i="30"/>
  <c r="FB305" i="30"/>
  <c r="FC305" i="30"/>
  <c r="FD305" i="30"/>
  <c r="FE305" i="30"/>
  <c r="FF305" i="30"/>
  <c r="FG305" i="30"/>
  <c r="FH305" i="30"/>
  <c r="FI305" i="30"/>
  <c r="FJ305" i="30"/>
  <c r="FK305" i="30"/>
  <c r="FL305" i="30"/>
  <c r="FM305" i="30"/>
  <c r="FN305" i="30"/>
  <c r="FO305" i="30"/>
  <c r="FP305" i="30"/>
  <c r="FQ305" i="30"/>
  <c r="FR305" i="30"/>
  <c r="FS305" i="30"/>
  <c r="FT305" i="30"/>
  <c r="FU305" i="30"/>
  <c r="FV305" i="30"/>
  <c r="FW305" i="30"/>
  <c r="FX305" i="30"/>
  <c r="FY305" i="30"/>
  <c r="FZ305" i="30"/>
  <c r="GA305" i="30"/>
  <c r="GB305" i="30"/>
  <c r="GC305" i="30"/>
  <c r="GD305" i="30"/>
  <c r="GE305" i="30"/>
  <c r="GF305" i="30"/>
  <c r="GG305" i="30"/>
  <c r="GH305" i="30"/>
  <c r="GI305" i="30"/>
  <c r="GJ305" i="30"/>
  <c r="GK305" i="30"/>
  <c r="GL305" i="30"/>
  <c r="GM305" i="30"/>
  <c r="GN305" i="30"/>
  <c r="GO305" i="30"/>
  <c r="GP305" i="30"/>
  <c r="GQ305" i="30"/>
  <c r="GR305" i="30"/>
  <c r="GS305" i="30"/>
  <c r="GT305" i="30"/>
  <c r="GU305" i="30"/>
  <c r="GV305" i="30"/>
  <c r="GW305" i="30"/>
  <c r="GX305" i="30"/>
  <c r="GY305" i="30"/>
  <c r="GZ305" i="30"/>
  <c r="HA305" i="30"/>
  <c r="HB305" i="30"/>
  <c r="HC305" i="30"/>
  <c r="HD305" i="30"/>
  <c r="HE305" i="30"/>
  <c r="HF305" i="30"/>
  <c r="HG305" i="30"/>
  <c r="HH305" i="30"/>
  <c r="HI305" i="30"/>
  <c r="HJ305" i="30"/>
  <c r="HK305" i="30"/>
  <c r="HL305" i="30"/>
  <c r="HM305" i="30"/>
  <c r="HN305" i="30"/>
  <c r="HO305" i="30"/>
  <c r="HP305" i="30"/>
  <c r="HQ305" i="30"/>
  <c r="HR305" i="30"/>
  <c r="HS305" i="30"/>
  <c r="HT305" i="30"/>
  <c r="HU305" i="30"/>
  <c r="HV305" i="30"/>
  <c r="HW305" i="30"/>
  <c r="HX305" i="30"/>
  <c r="HY305" i="30"/>
  <c r="HZ305" i="30"/>
  <c r="IA305" i="30"/>
  <c r="IB305" i="30"/>
  <c r="IC305" i="30"/>
  <c r="ID305" i="30"/>
  <c r="IE305" i="30"/>
  <c r="IF305" i="30"/>
  <c r="IG305" i="30"/>
  <c r="IH305" i="30"/>
  <c r="II305" i="30"/>
  <c r="IJ305" i="30"/>
  <c r="IK305" i="30"/>
  <c r="IL305" i="30"/>
  <c r="IM305" i="30"/>
  <c r="IN305" i="30"/>
  <c r="IO305" i="30"/>
  <c r="IP305" i="30"/>
  <c r="IQ305" i="30"/>
  <c r="IR305" i="30"/>
  <c r="IS305" i="30"/>
  <c r="IT305" i="30"/>
  <c r="IU305" i="30"/>
  <c r="IV305" i="30"/>
  <c r="A304" i="30"/>
  <c r="B304" i="30"/>
  <c r="C304" i="30"/>
  <c r="D304" i="30"/>
  <c r="E304" i="30"/>
  <c r="F304" i="30"/>
  <c r="G304" i="30"/>
  <c r="H304" i="30"/>
  <c r="I304" i="30"/>
  <c r="J304" i="30"/>
  <c r="K304" i="30"/>
  <c r="L304" i="30"/>
  <c r="M304" i="30"/>
  <c r="N304" i="30"/>
  <c r="O304" i="30"/>
  <c r="P304" i="30"/>
  <c r="Q304" i="30"/>
  <c r="R304" i="30"/>
  <c r="S304" i="30"/>
  <c r="T304" i="30"/>
  <c r="U304" i="30"/>
  <c r="V304" i="30"/>
  <c r="W304" i="30"/>
  <c r="X304" i="30"/>
  <c r="Y304" i="30"/>
  <c r="Z304" i="30"/>
  <c r="AA304" i="30"/>
  <c r="AB304" i="30"/>
  <c r="AC304" i="30"/>
  <c r="AD304" i="30"/>
  <c r="AE304" i="30"/>
  <c r="AF304" i="30"/>
  <c r="AG304" i="30"/>
  <c r="AH304" i="30"/>
  <c r="AI304" i="30"/>
  <c r="AJ304" i="30"/>
  <c r="AK304" i="30"/>
  <c r="AL304" i="30"/>
  <c r="AM304" i="30"/>
  <c r="AN304" i="30"/>
  <c r="AO304" i="30"/>
  <c r="AP304" i="30"/>
  <c r="AQ304" i="30"/>
  <c r="AR304" i="30"/>
  <c r="AS304" i="30"/>
  <c r="AT304" i="30"/>
  <c r="AU304" i="30"/>
  <c r="AV304" i="30"/>
  <c r="AW304" i="30"/>
  <c r="AX304" i="30"/>
  <c r="AY304" i="30"/>
  <c r="AZ304" i="30"/>
  <c r="BA304" i="30"/>
  <c r="BB304" i="30"/>
  <c r="BC304" i="30"/>
  <c r="BD304" i="30"/>
  <c r="BE304" i="30"/>
  <c r="BF304" i="30"/>
  <c r="BG304" i="30"/>
  <c r="BH304" i="30"/>
  <c r="BI304" i="30"/>
  <c r="BJ304" i="30"/>
  <c r="BK304" i="30"/>
  <c r="BL304" i="30"/>
  <c r="BM304" i="30"/>
  <c r="BN304" i="30"/>
  <c r="BO304" i="30"/>
  <c r="BP304" i="30"/>
  <c r="BQ304" i="30"/>
  <c r="BR304" i="30"/>
  <c r="BS304" i="30"/>
  <c r="BT304" i="30"/>
  <c r="BU304" i="30"/>
  <c r="BV304" i="30"/>
  <c r="BW304" i="30"/>
  <c r="BX304" i="30"/>
  <c r="BY304" i="30"/>
  <c r="BZ304" i="30"/>
  <c r="CA304" i="30"/>
  <c r="CB304" i="30"/>
  <c r="CC304" i="30"/>
  <c r="CD304" i="30"/>
  <c r="CE304" i="30"/>
  <c r="CF304" i="30"/>
  <c r="CG304" i="30"/>
  <c r="CH304" i="30"/>
  <c r="CI304" i="30"/>
  <c r="CJ304" i="30"/>
  <c r="CK304" i="30"/>
  <c r="CL304" i="30"/>
  <c r="CM304" i="30"/>
  <c r="CN304" i="30"/>
  <c r="CO304" i="30"/>
  <c r="CP304" i="30"/>
  <c r="CQ304" i="30"/>
  <c r="CR304" i="30"/>
  <c r="CS304" i="30"/>
  <c r="CT304" i="30"/>
  <c r="CU304" i="30"/>
  <c r="CV304" i="30"/>
  <c r="CW304" i="30"/>
  <c r="CX304" i="30"/>
  <c r="CY304" i="30"/>
  <c r="CZ304" i="30"/>
  <c r="DA304" i="30"/>
  <c r="DB304" i="30"/>
  <c r="DC304" i="30"/>
  <c r="DD304" i="30"/>
  <c r="DE304" i="30"/>
  <c r="DF304" i="30"/>
  <c r="DG304" i="30"/>
  <c r="DH304" i="30"/>
  <c r="DI304" i="30"/>
  <c r="DJ304" i="30"/>
  <c r="DK304" i="30"/>
  <c r="DL304" i="30"/>
  <c r="DM304" i="30"/>
  <c r="DN304" i="30"/>
  <c r="DO304" i="30"/>
  <c r="DP304" i="30"/>
  <c r="DQ304" i="30"/>
  <c r="DR304" i="30"/>
  <c r="DS304" i="30"/>
  <c r="DT304" i="30"/>
  <c r="DU304" i="30"/>
  <c r="DV304" i="30"/>
  <c r="DW304" i="30"/>
  <c r="DX304" i="30"/>
  <c r="DY304" i="30"/>
  <c r="DZ304" i="30"/>
  <c r="EA304" i="30"/>
  <c r="EB304" i="30"/>
  <c r="EC304" i="30"/>
  <c r="ED304" i="30"/>
  <c r="EE304" i="30"/>
  <c r="EF304" i="30"/>
  <c r="EG304" i="30"/>
  <c r="EH304" i="30"/>
  <c r="EI304" i="30"/>
  <c r="EJ304" i="30"/>
  <c r="EK304" i="30"/>
  <c r="EL304" i="30"/>
  <c r="EM304" i="30"/>
  <c r="EN304" i="30"/>
  <c r="EO304" i="30"/>
  <c r="EP304" i="30"/>
  <c r="EQ304" i="30"/>
  <c r="ER304" i="30"/>
  <c r="ES304" i="30"/>
  <c r="ET304" i="30"/>
  <c r="EU304" i="30"/>
  <c r="EV304" i="30"/>
  <c r="EW304" i="30"/>
  <c r="EX304" i="30"/>
  <c r="EY304" i="30"/>
  <c r="EZ304" i="30"/>
  <c r="FA304" i="30"/>
  <c r="FB304" i="30"/>
  <c r="FC304" i="30"/>
  <c r="FD304" i="30"/>
  <c r="FE304" i="30"/>
  <c r="FF304" i="30"/>
  <c r="FG304" i="30"/>
  <c r="FH304" i="30"/>
  <c r="FI304" i="30"/>
  <c r="FJ304" i="30"/>
  <c r="FK304" i="30"/>
  <c r="FL304" i="30"/>
  <c r="FM304" i="30"/>
  <c r="FN304" i="30"/>
  <c r="FO304" i="30"/>
  <c r="FP304" i="30"/>
  <c r="FQ304" i="30"/>
  <c r="FR304" i="30"/>
  <c r="FS304" i="30"/>
  <c r="FT304" i="30"/>
  <c r="FU304" i="30"/>
  <c r="FV304" i="30"/>
  <c r="FW304" i="30"/>
  <c r="FX304" i="30"/>
  <c r="FY304" i="30"/>
  <c r="FZ304" i="30"/>
  <c r="GA304" i="30"/>
  <c r="GB304" i="30"/>
  <c r="GC304" i="30"/>
  <c r="GD304" i="30"/>
  <c r="GE304" i="30"/>
  <c r="GF304" i="30"/>
  <c r="GG304" i="30"/>
  <c r="GH304" i="30"/>
  <c r="GI304" i="30"/>
  <c r="GJ304" i="30"/>
  <c r="GK304" i="30"/>
  <c r="GL304" i="30"/>
  <c r="GM304" i="30"/>
  <c r="GN304" i="30"/>
  <c r="GO304" i="30"/>
  <c r="GP304" i="30"/>
  <c r="GQ304" i="30"/>
  <c r="GR304" i="30"/>
  <c r="GS304" i="30"/>
  <c r="GT304" i="30"/>
  <c r="GU304" i="30"/>
  <c r="GV304" i="30"/>
  <c r="GW304" i="30"/>
  <c r="GX304" i="30"/>
  <c r="GY304" i="30"/>
  <c r="GZ304" i="30"/>
  <c r="HA304" i="30"/>
  <c r="HB304" i="30"/>
  <c r="HC304" i="30"/>
  <c r="HD304" i="30"/>
  <c r="HE304" i="30"/>
  <c r="HF304" i="30"/>
  <c r="HG304" i="30"/>
  <c r="HH304" i="30"/>
  <c r="HI304" i="30"/>
  <c r="HJ304" i="30"/>
  <c r="HK304" i="30"/>
  <c r="HL304" i="30"/>
  <c r="HM304" i="30"/>
  <c r="HN304" i="30"/>
  <c r="HO304" i="30"/>
  <c r="HP304" i="30"/>
  <c r="HQ304" i="30"/>
  <c r="HR304" i="30"/>
  <c r="HS304" i="30"/>
  <c r="HT304" i="30"/>
  <c r="HU304" i="30"/>
  <c r="HV304" i="30"/>
  <c r="HW304" i="30"/>
  <c r="HX304" i="30"/>
  <c r="HY304" i="30"/>
  <c r="HZ304" i="30"/>
  <c r="IA304" i="30"/>
  <c r="IB304" i="30"/>
  <c r="IC304" i="30"/>
  <c r="ID304" i="30"/>
  <c r="IE304" i="30"/>
  <c r="IF304" i="30"/>
  <c r="IG304" i="30"/>
  <c r="IH304" i="30"/>
  <c r="II304" i="30"/>
  <c r="IJ304" i="30"/>
  <c r="IK304" i="30"/>
  <c r="IL304" i="30"/>
  <c r="IM304" i="30"/>
  <c r="IN304" i="30"/>
  <c r="IO304" i="30"/>
  <c r="IP304" i="30"/>
  <c r="IQ304" i="30"/>
  <c r="IR304" i="30"/>
  <c r="IS304" i="30"/>
  <c r="IT304" i="30"/>
  <c r="IU304" i="30"/>
  <c r="IV304" i="30"/>
  <c r="A303" i="30"/>
  <c r="B303" i="30"/>
  <c r="C303" i="30"/>
  <c r="D303" i="30"/>
  <c r="E303" i="30"/>
  <c r="F303" i="30"/>
  <c r="G303" i="30"/>
  <c r="H303" i="30"/>
  <c r="I303" i="30"/>
  <c r="J303" i="30"/>
  <c r="K303" i="30"/>
  <c r="L303" i="30"/>
  <c r="M303" i="30"/>
  <c r="N303" i="30"/>
  <c r="O303" i="30"/>
  <c r="P303" i="30"/>
  <c r="Q303" i="30"/>
  <c r="R303" i="30"/>
  <c r="S303" i="30"/>
  <c r="T303" i="30"/>
  <c r="U303" i="30"/>
  <c r="V303" i="30"/>
  <c r="W303" i="30"/>
  <c r="X303" i="30"/>
  <c r="Y303" i="30"/>
  <c r="Z303" i="30"/>
  <c r="AA303" i="30"/>
  <c r="AB303" i="30"/>
  <c r="AC303" i="30"/>
  <c r="AD303" i="30"/>
  <c r="AE303" i="30"/>
  <c r="AF303" i="30"/>
  <c r="AG303" i="30"/>
  <c r="AH303" i="30"/>
  <c r="AI303" i="30"/>
  <c r="AJ303" i="30"/>
  <c r="AK303" i="30"/>
  <c r="AL303" i="30"/>
  <c r="AM303" i="30"/>
  <c r="AN303" i="30"/>
  <c r="AO303" i="30"/>
  <c r="AP303" i="30"/>
  <c r="AQ303" i="30"/>
  <c r="AR303" i="30"/>
  <c r="AS303" i="30"/>
  <c r="AT303" i="30"/>
  <c r="AU303" i="30"/>
  <c r="AV303" i="30"/>
  <c r="AW303" i="30"/>
  <c r="AX303" i="30"/>
  <c r="AY303" i="30"/>
  <c r="AZ303" i="30"/>
  <c r="BA303" i="30"/>
  <c r="BB303" i="30"/>
  <c r="BC303" i="30"/>
  <c r="BD303" i="30"/>
  <c r="BE303" i="30"/>
  <c r="BF303" i="30"/>
  <c r="BG303" i="30"/>
  <c r="BH303" i="30"/>
  <c r="BI303" i="30"/>
  <c r="BJ303" i="30"/>
  <c r="BK303" i="30"/>
  <c r="BL303" i="30"/>
  <c r="BM303" i="30"/>
  <c r="BN303" i="30"/>
  <c r="BO303" i="30"/>
  <c r="BP303" i="30"/>
  <c r="BQ303" i="30"/>
  <c r="BR303" i="30"/>
  <c r="BS303" i="30"/>
  <c r="BT303" i="30"/>
  <c r="BU303" i="30"/>
  <c r="BV303" i="30"/>
  <c r="BW303" i="30"/>
  <c r="BX303" i="30"/>
  <c r="BY303" i="30"/>
  <c r="BZ303" i="30"/>
  <c r="CA303" i="30"/>
  <c r="CB303" i="30"/>
  <c r="CC303" i="30"/>
  <c r="CD303" i="30"/>
  <c r="CE303" i="30"/>
  <c r="CF303" i="30"/>
  <c r="CG303" i="30"/>
  <c r="CH303" i="30"/>
  <c r="CI303" i="30"/>
  <c r="CJ303" i="30"/>
  <c r="CK303" i="30"/>
  <c r="CL303" i="30"/>
  <c r="CM303" i="30"/>
  <c r="CN303" i="30"/>
  <c r="CO303" i="30"/>
  <c r="CP303" i="30"/>
  <c r="CQ303" i="30"/>
  <c r="CR303" i="30"/>
  <c r="CS303" i="30"/>
  <c r="CT303" i="30"/>
  <c r="CU303" i="30"/>
  <c r="CV303" i="30"/>
  <c r="CW303" i="30"/>
  <c r="CX303" i="30"/>
  <c r="CY303" i="30"/>
  <c r="CZ303" i="30"/>
  <c r="DA303" i="30"/>
  <c r="DB303" i="30"/>
  <c r="DC303" i="30"/>
  <c r="DD303" i="30"/>
  <c r="DE303" i="30"/>
  <c r="DF303" i="30"/>
  <c r="DG303" i="30"/>
  <c r="DH303" i="30"/>
  <c r="DI303" i="30"/>
  <c r="DJ303" i="30"/>
  <c r="DK303" i="30"/>
  <c r="DL303" i="30"/>
  <c r="DM303" i="30"/>
  <c r="DN303" i="30"/>
  <c r="DO303" i="30"/>
  <c r="DP303" i="30"/>
  <c r="DQ303" i="30"/>
  <c r="DR303" i="30"/>
  <c r="DS303" i="30"/>
  <c r="DT303" i="30"/>
  <c r="DU303" i="30"/>
  <c r="DV303" i="30"/>
  <c r="DW303" i="30"/>
  <c r="DX303" i="30"/>
  <c r="DY303" i="30"/>
  <c r="DZ303" i="30"/>
  <c r="EA303" i="30"/>
  <c r="EB303" i="30"/>
  <c r="EC303" i="30"/>
  <c r="ED303" i="30"/>
  <c r="EE303" i="30"/>
  <c r="EF303" i="30"/>
  <c r="EG303" i="30"/>
  <c r="EH303" i="30"/>
  <c r="EI303" i="30"/>
  <c r="EJ303" i="30"/>
  <c r="EK303" i="30"/>
  <c r="EL303" i="30"/>
  <c r="EM303" i="30"/>
  <c r="EN303" i="30"/>
  <c r="EO303" i="30"/>
  <c r="EP303" i="30"/>
  <c r="EQ303" i="30"/>
  <c r="ER303" i="30"/>
  <c r="ES303" i="30"/>
  <c r="ET303" i="30"/>
  <c r="EU303" i="30"/>
  <c r="EV303" i="30"/>
  <c r="EW303" i="30"/>
  <c r="EX303" i="30"/>
  <c r="EY303" i="30"/>
  <c r="EZ303" i="30"/>
  <c r="FA303" i="30"/>
  <c r="FB303" i="30"/>
  <c r="FC303" i="30"/>
  <c r="FD303" i="30"/>
  <c r="FE303" i="30"/>
  <c r="FF303" i="30"/>
  <c r="FG303" i="30"/>
  <c r="FH303" i="30"/>
  <c r="FI303" i="30"/>
  <c r="FJ303" i="30"/>
  <c r="FK303" i="30"/>
  <c r="FL303" i="30"/>
  <c r="FM303" i="30"/>
  <c r="FN303" i="30"/>
  <c r="FO303" i="30"/>
  <c r="FP303" i="30"/>
  <c r="FQ303" i="30"/>
  <c r="FR303" i="30"/>
  <c r="FS303" i="30"/>
  <c r="FT303" i="30"/>
  <c r="FU303" i="30"/>
  <c r="FV303" i="30"/>
  <c r="FW303" i="30"/>
  <c r="FX303" i="30"/>
  <c r="FY303" i="30"/>
  <c r="FZ303" i="30"/>
  <c r="GA303" i="30"/>
  <c r="GB303" i="30"/>
  <c r="GC303" i="30"/>
  <c r="GD303" i="30"/>
  <c r="GE303" i="30"/>
  <c r="GF303" i="30"/>
  <c r="GG303" i="30"/>
  <c r="GH303" i="30"/>
  <c r="GI303" i="30"/>
  <c r="GJ303" i="30"/>
  <c r="GK303" i="30"/>
  <c r="GL303" i="30"/>
  <c r="GM303" i="30"/>
  <c r="GN303" i="30"/>
  <c r="GO303" i="30"/>
  <c r="GP303" i="30"/>
  <c r="GQ303" i="30"/>
  <c r="GR303" i="30"/>
  <c r="GS303" i="30"/>
  <c r="GT303" i="30"/>
  <c r="GU303" i="30"/>
  <c r="GV303" i="30"/>
  <c r="GW303" i="30"/>
  <c r="GX303" i="30"/>
  <c r="GY303" i="30"/>
  <c r="GZ303" i="30"/>
  <c r="HA303" i="30"/>
  <c r="HB303" i="30"/>
  <c r="HC303" i="30"/>
  <c r="HD303" i="30"/>
  <c r="HE303" i="30"/>
  <c r="HF303" i="30"/>
  <c r="HG303" i="30"/>
  <c r="HH303" i="30"/>
  <c r="HI303" i="30"/>
  <c r="HJ303" i="30"/>
  <c r="HK303" i="30"/>
  <c r="HL303" i="30"/>
  <c r="HM303" i="30"/>
  <c r="HN303" i="30"/>
  <c r="HO303" i="30"/>
  <c r="HP303" i="30"/>
  <c r="HQ303" i="30"/>
  <c r="HR303" i="30"/>
  <c r="HS303" i="30"/>
  <c r="HT303" i="30"/>
  <c r="HU303" i="30"/>
  <c r="HV303" i="30"/>
  <c r="HW303" i="30"/>
  <c r="HX303" i="30"/>
  <c r="HY303" i="30"/>
  <c r="HZ303" i="30"/>
  <c r="IA303" i="30"/>
  <c r="IB303" i="30"/>
  <c r="IC303" i="30"/>
  <c r="ID303" i="30"/>
  <c r="IE303" i="30"/>
  <c r="IF303" i="30"/>
  <c r="IG303" i="30"/>
  <c r="IH303" i="30"/>
  <c r="II303" i="30"/>
  <c r="IJ303" i="30"/>
  <c r="IK303" i="30"/>
  <c r="IL303" i="30"/>
  <c r="IM303" i="30"/>
  <c r="IN303" i="30"/>
  <c r="IO303" i="30"/>
  <c r="IP303" i="30"/>
  <c r="IQ303" i="30"/>
  <c r="IR303" i="30"/>
  <c r="IS303" i="30"/>
  <c r="IT303" i="30"/>
  <c r="IU303" i="30"/>
  <c r="IV303" i="30"/>
  <c r="A302" i="30"/>
  <c r="B302" i="30"/>
  <c r="C302" i="30"/>
  <c r="D302" i="30"/>
  <c r="E302" i="30"/>
  <c r="F302" i="30"/>
  <c r="G302" i="30"/>
  <c r="H302" i="30"/>
  <c r="I302" i="30"/>
  <c r="J302" i="30"/>
  <c r="K302" i="30"/>
  <c r="L302" i="30"/>
  <c r="M302" i="30"/>
  <c r="N302" i="30"/>
  <c r="O302" i="30"/>
  <c r="P302" i="30"/>
  <c r="Q302" i="30"/>
  <c r="R302" i="30"/>
  <c r="S302" i="30"/>
  <c r="T302" i="30"/>
  <c r="U302" i="30"/>
  <c r="V302" i="30"/>
  <c r="W302" i="30"/>
  <c r="X302" i="30"/>
  <c r="Y302" i="30"/>
  <c r="Z302" i="30"/>
  <c r="AA302" i="30"/>
  <c r="AB302" i="30"/>
  <c r="AC302" i="30"/>
  <c r="AD302" i="30"/>
  <c r="AE302" i="30"/>
  <c r="AF302" i="30"/>
  <c r="AG302" i="30"/>
  <c r="AH302" i="30"/>
  <c r="AI302" i="30"/>
  <c r="AJ302" i="30"/>
  <c r="AK302" i="30"/>
  <c r="AL302" i="30"/>
  <c r="AM302" i="30"/>
  <c r="AN302" i="30"/>
  <c r="AO302" i="30"/>
  <c r="AP302" i="30"/>
  <c r="AQ302" i="30"/>
  <c r="AR302" i="30"/>
  <c r="AS302" i="30"/>
  <c r="AT302" i="30"/>
  <c r="AU302" i="30"/>
  <c r="AV302" i="30"/>
  <c r="AW302" i="30"/>
  <c r="AX302" i="30"/>
  <c r="AY302" i="30"/>
  <c r="AZ302" i="30"/>
  <c r="BA302" i="30"/>
  <c r="BB302" i="30"/>
  <c r="BC302" i="30"/>
  <c r="BD302" i="30"/>
  <c r="BE302" i="30"/>
  <c r="BF302" i="30"/>
  <c r="BG302" i="30"/>
  <c r="BH302" i="30"/>
  <c r="BI302" i="30"/>
  <c r="BJ302" i="30"/>
  <c r="BK302" i="30"/>
  <c r="BL302" i="30"/>
  <c r="BM302" i="30"/>
  <c r="BN302" i="30"/>
  <c r="BO302" i="30"/>
  <c r="BP302" i="30"/>
  <c r="BQ302" i="30"/>
  <c r="BR302" i="30"/>
  <c r="BS302" i="30"/>
  <c r="BT302" i="30"/>
  <c r="BU302" i="30"/>
  <c r="BV302" i="30"/>
  <c r="BW302" i="30"/>
  <c r="BX302" i="30"/>
  <c r="BY302" i="30"/>
  <c r="BZ302" i="30"/>
  <c r="CA302" i="30"/>
  <c r="CB302" i="30"/>
  <c r="CC302" i="30"/>
  <c r="CD302" i="30"/>
  <c r="CE302" i="30"/>
  <c r="CF302" i="30"/>
  <c r="CG302" i="30"/>
  <c r="CH302" i="30"/>
  <c r="CI302" i="30"/>
  <c r="CJ302" i="30"/>
  <c r="CK302" i="30"/>
  <c r="CL302" i="30"/>
  <c r="CM302" i="30"/>
  <c r="CN302" i="30"/>
  <c r="CO302" i="30"/>
  <c r="CP302" i="30"/>
  <c r="CQ302" i="30"/>
  <c r="CR302" i="30"/>
  <c r="CS302" i="30"/>
  <c r="CT302" i="30"/>
  <c r="CU302" i="30"/>
  <c r="CV302" i="30"/>
  <c r="CW302" i="30"/>
  <c r="CX302" i="30"/>
  <c r="CY302" i="30"/>
  <c r="CZ302" i="30"/>
  <c r="DA302" i="30"/>
  <c r="DB302" i="30"/>
  <c r="DC302" i="30"/>
  <c r="DD302" i="30"/>
  <c r="DE302" i="30"/>
  <c r="DF302" i="30"/>
  <c r="DG302" i="30"/>
  <c r="DH302" i="30"/>
  <c r="DI302" i="30"/>
  <c r="DJ302" i="30"/>
  <c r="DK302" i="30"/>
  <c r="DL302" i="30"/>
  <c r="DM302" i="30"/>
  <c r="DN302" i="30"/>
  <c r="DO302" i="30"/>
  <c r="DP302" i="30"/>
  <c r="DQ302" i="30"/>
  <c r="DR302" i="30"/>
  <c r="DS302" i="30"/>
  <c r="DT302" i="30"/>
  <c r="DU302" i="30"/>
  <c r="DV302" i="30"/>
  <c r="DW302" i="30"/>
  <c r="DX302" i="30"/>
  <c r="DY302" i="30"/>
  <c r="DZ302" i="30"/>
  <c r="EA302" i="30"/>
  <c r="EB302" i="30"/>
  <c r="EC302" i="30"/>
  <c r="ED302" i="30"/>
  <c r="EE302" i="30"/>
  <c r="EF302" i="30"/>
  <c r="EG302" i="30"/>
  <c r="EH302" i="30"/>
  <c r="EI302" i="30"/>
  <c r="EJ302" i="30"/>
  <c r="EK302" i="30"/>
  <c r="EL302" i="30"/>
  <c r="EM302" i="30"/>
  <c r="EN302" i="30"/>
  <c r="EO302" i="30"/>
  <c r="EP302" i="30"/>
  <c r="EQ302" i="30"/>
  <c r="ER302" i="30"/>
  <c r="ES302" i="30"/>
  <c r="ET302" i="30"/>
  <c r="EU302" i="30"/>
  <c r="EV302" i="30"/>
  <c r="EW302" i="30"/>
  <c r="EX302" i="30"/>
  <c r="EY302" i="30"/>
  <c r="EZ302" i="30"/>
  <c r="FA302" i="30"/>
  <c r="FB302" i="30"/>
  <c r="FC302" i="30"/>
  <c r="FD302" i="30"/>
  <c r="FE302" i="30"/>
  <c r="FF302" i="30"/>
  <c r="FG302" i="30"/>
  <c r="FH302" i="30"/>
  <c r="FI302" i="30"/>
  <c r="FJ302" i="30"/>
  <c r="FK302" i="30"/>
  <c r="FL302" i="30"/>
  <c r="FM302" i="30"/>
  <c r="FN302" i="30"/>
  <c r="FO302" i="30"/>
  <c r="FP302" i="30"/>
  <c r="FQ302" i="30"/>
  <c r="FR302" i="30"/>
  <c r="FS302" i="30"/>
  <c r="FT302" i="30"/>
  <c r="FU302" i="30"/>
  <c r="FV302" i="30"/>
  <c r="FW302" i="30"/>
  <c r="FX302" i="30"/>
  <c r="FY302" i="30"/>
  <c r="FZ302" i="30"/>
  <c r="GA302" i="30"/>
  <c r="GB302" i="30"/>
  <c r="GC302" i="30"/>
  <c r="GD302" i="30"/>
  <c r="GE302" i="30"/>
  <c r="GF302" i="30"/>
  <c r="GG302" i="30"/>
  <c r="GH302" i="30"/>
  <c r="GI302" i="30"/>
  <c r="GJ302" i="30"/>
  <c r="GK302" i="30"/>
  <c r="GL302" i="30"/>
  <c r="GM302" i="30"/>
  <c r="GN302" i="30"/>
  <c r="GO302" i="30"/>
  <c r="GP302" i="30"/>
  <c r="GQ302" i="30"/>
  <c r="GR302" i="30"/>
  <c r="GS302" i="30"/>
  <c r="GT302" i="30"/>
  <c r="GU302" i="30"/>
  <c r="GV302" i="30"/>
  <c r="GW302" i="30"/>
  <c r="GX302" i="30"/>
  <c r="GY302" i="30"/>
  <c r="GZ302" i="30"/>
  <c r="HA302" i="30"/>
  <c r="HB302" i="30"/>
  <c r="HC302" i="30"/>
  <c r="HD302" i="30"/>
  <c r="HE302" i="30"/>
  <c r="HF302" i="30"/>
  <c r="HG302" i="30"/>
  <c r="HH302" i="30"/>
  <c r="HI302" i="30"/>
  <c r="HJ302" i="30"/>
  <c r="HK302" i="30"/>
  <c r="HL302" i="30"/>
  <c r="HM302" i="30"/>
  <c r="HN302" i="30"/>
  <c r="HO302" i="30"/>
  <c r="HP302" i="30"/>
  <c r="HQ302" i="30"/>
  <c r="HR302" i="30"/>
  <c r="HS302" i="30"/>
  <c r="HT302" i="30"/>
  <c r="HU302" i="30"/>
  <c r="HV302" i="30"/>
  <c r="HW302" i="30"/>
  <c r="HX302" i="30"/>
  <c r="HY302" i="30"/>
  <c r="HZ302" i="30"/>
  <c r="IA302" i="30"/>
  <c r="IB302" i="30"/>
  <c r="IC302" i="30"/>
  <c r="ID302" i="30"/>
  <c r="IE302" i="30"/>
  <c r="IF302" i="30"/>
  <c r="IG302" i="30"/>
  <c r="IH302" i="30"/>
  <c r="II302" i="30"/>
  <c r="IJ302" i="30"/>
  <c r="IK302" i="30"/>
  <c r="IL302" i="30"/>
  <c r="IM302" i="30"/>
  <c r="IN302" i="30"/>
  <c r="IO302" i="30"/>
  <c r="IP302" i="30"/>
  <c r="IQ302" i="30"/>
  <c r="IR302" i="30"/>
  <c r="IS302" i="30"/>
  <c r="IT302" i="30"/>
  <c r="IU302" i="30"/>
  <c r="IV302" i="30"/>
  <c r="A301" i="30"/>
  <c r="B301" i="30"/>
  <c r="C301" i="30"/>
  <c r="D301" i="30"/>
  <c r="E301" i="30"/>
  <c r="F301" i="30"/>
  <c r="G301" i="30"/>
  <c r="H301" i="30"/>
  <c r="I301" i="30"/>
  <c r="J301" i="30"/>
  <c r="K301" i="30"/>
  <c r="L301" i="30"/>
  <c r="M301" i="30"/>
  <c r="N301" i="30"/>
  <c r="O301" i="30"/>
  <c r="P301" i="30"/>
  <c r="Q301" i="30"/>
  <c r="R301" i="30"/>
  <c r="S301" i="30"/>
  <c r="T301" i="30"/>
  <c r="U301" i="30"/>
  <c r="V301" i="30"/>
  <c r="W301" i="30"/>
  <c r="X301" i="30"/>
  <c r="Y301" i="30"/>
  <c r="Z301" i="30"/>
  <c r="AA301" i="30"/>
  <c r="AB301" i="30"/>
  <c r="AC301" i="30"/>
  <c r="AD301" i="30"/>
  <c r="AE301" i="30"/>
  <c r="AF301" i="30"/>
  <c r="AG301" i="30"/>
  <c r="AH301" i="30"/>
  <c r="AI301" i="30"/>
  <c r="AJ301" i="30"/>
  <c r="AK301" i="30"/>
  <c r="AL301" i="30"/>
  <c r="AM301" i="30"/>
  <c r="AN301" i="30"/>
  <c r="AO301" i="30"/>
  <c r="AP301" i="30"/>
  <c r="AQ301" i="30"/>
  <c r="AR301" i="30"/>
  <c r="AS301" i="30"/>
  <c r="AT301" i="30"/>
  <c r="AU301" i="30"/>
  <c r="AV301" i="30"/>
  <c r="AW301" i="30"/>
  <c r="AX301" i="30"/>
  <c r="AY301" i="30"/>
  <c r="AZ301" i="30"/>
  <c r="BA301" i="30"/>
  <c r="BB301" i="30"/>
  <c r="BC301" i="30"/>
  <c r="BD301" i="30"/>
  <c r="BE301" i="30"/>
  <c r="BF301" i="30"/>
  <c r="BG301" i="30"/>
  <c r="BH301" i="30"/>
  <c r="BI301" i="30"/>
  <c r="BJ301" i="30"/>
  <c r="BK301" i="30"/>
  <c r="BL301" i="30"/>
  <c r="BM301" i="30"/>
  <c r="BN301" i="30"/>
  <c r="BO301" i="30"/>
  <c r="BP301" i="30"/>
  <c r="BQ301" i="30"/>
  <c r="BR301" i="30"/>
  <c r="BS301" i="30"/>
  <c r="BT301" i="30"/>
  <c r="BU301" i="30"/>
  <c r="BV301" i="30"/>
  <c r="BW301" i="30"/>
  <c r="BX301" i="30"/>
  <c r="BY301" i="30"/>
  <c r="BZ301" i="30"/>
  <c r="CA301" i="30"/>
  <c r="CB301" i="30"/>
  <c r="CC301" i="30"/>
  <c r="CD301" i="30"/>
  <c r="CE301" i="30"/>
  <c r="CF301" i="30"/>
  <c r="CG301" i="30"/>
  <c r="CH301" i="30"/>
  <c r="CI301" i="30"/>
  <c r="CJ301" i="30"/>
  <c r="CK301" i="30"/>
  <c r="CL301" i="30"/>
  <c r="CM301" i="30"/>
  <c r="CN301" i="30"/>
  <c r="CO301" i="30"/>
  <c r="CP301" i="30"/>
  <c r="CQ301" i="30"/>
  <c r="CR301" i="30"/>
  <c r="CS301" i="30"/>
  <c r="CT301" i="30"/>
  <c r="CU301" i="30"/>
  <c r="CV301" i="30"/>
  <c r="CW301" i="30"/>
  <c r="CX301" i="30"/>
  <c r="CY301" i="30"/>
  <c r="CZ301" i="30"/>
  <c r="DA301" i="30"/>
  <c r="DB301" i="30"/>
  <c r="DC301" i="30"/>
  <c r="DD301" i="30"/>
  <c r="DE301" i="30"/>
  <c r="DF301" i="30"/>
  <c r="DG301" i="30"/>
  <c r="DH301" i="30"/>
  <c r="DI301" i="30"/>
  <c r="DJ301" i="30"/>
  <c r="DK301" i="30"/>
  <c r="DL301" i="30"/>
  <c r="DM301" i="30"/>
  <c r="DN301" i="30"/>
  <c r="DO301" i="30"/>
  <c r="DP301" i="30"/>
  <c r="DQ301" i="30"/>
  <c r="DR301" i="30"/>
  <c r="DS301" i="30"/>
  <c r="DT301" i="30"/>
  <c r="DU301" i="30"/>
  <c r="DV301" i="30"/>
  <c r="DW301" i="30"/>
  <c r="DX301" i="30"/>
  <c r="DY301" i="30"/>
  <c r="DZ301" i="30"/>
  <c r="EA301" i="30"/>
  <c r="EB301" i="30"/>
  <c r="EC301" i="30"/>
  <c r="ED301" i="30"/>
  <c r="EE301" i="30"/>
  <c r="EF301" i="30"/>
  <c r="EG301" i="30"/>
  <c r="EH301" i="30"/>
  <c r="EI301" i="30"/>
  <c r="EJ301" i="30"/>
  <c r="EK301" i="30"/>
  <c r="EL301" i="30"/>
  <c r="EM301" i="30"/>
  <c r="EN301" i="30"/>
  <c r="EO301" i="30"/>
  <c r="EP301" i="30"/>
  <c r="EQ301" i="30"/>
  <c r="ER301" i="30"/>
  <c r="ES301" i="30"/>
  <c r="ET301" i="30"/>
  <c r="EU301" i="30"/>
  <c r="EV301" i="30"/>
  <c r="EW301" i="30"/>
  <c r="EX301" i="30"/>
  <c r="EY301" i="30"/>
  <c r="EZ301" i="30"/>
  <c r="FA301" i="30"/>
  <c r="FB301" i="30"/>
  <c r="FC301" i="30"/>
  <c r="FD301" i="30"/>
  <c r="FE301" i="30"/>
  <c r="FF301" i="30"/>
  <c r="FG301" i="30"/>
  <c r="FH301" i="30"/>
  <c r="FI301" i="30"/>
  <c r="FJ301" i="30"/>
  <c r="FK301" i="30"/>
  <c r="FL301" i="30"/>
  <c r="FM301" i="30"/>
  <c r="FN301" i="30"/>
  <c r="FO301" i="30"/>
  <c r="FP301" i="30"/>
  <c r="FQ301" i="30"/>
  <c r="FR301" i="30"/>
  <c r="FS301" i="30"/>
  <c r="FT301" i="30"/>
  <c r="FU301" i="30"/>
  <c r="FV301" i="30"/>
  <c r="FW301" i="30"/>
  <c r="FX301" i="30"/>
  <c r="FY301" i="30"/>
  <c r="FZ301" i="30"/>
  <c r="GA301" i="30"/>
  <c r="GB301" i="30"/>
  <c r="GC301" i="30"/>
  <c r="GD301" i="30"/>
  <c r="GE301" i="30"/>
  <c r="GF301" i="30"/>
  <c r="GG301" i="30"/>
  <c r="GH301" i="30"/>
  <c r="GI301" i="30"/>
  <c r="GJ301" i="30"/>
  <c r="GK301" i="30"/>
  <c r="GL301" i="30"/>
  <c r="GM301" i="30"/>
  <c r="GN301" i="30"/>
  <c r="GO301" i="30"/>
  <c r="GP301" i="30"/>
  <c r="GQ301" i="30"/>
  <c r="GR301" i="30"/>
  <c r="GS301" i="30"/>
  <c r="GT301" i="30"/>
  <c r="GU301" i="30"/>
  <c r="GV301" i="30"/>
  <c r="GW301" i="30"/>
  <c r="GX301" i="30"/>
  <c r="GY301" i="30"/>
  <c r="GZ301" i="30"/>
  <c r="HA301" i="30"/>
  <c r="HB301" i="30"/>
  <c r="HC301" i="30"/>
  <c r="HD301" i="30"/>
  <c r="HE301" i="30"/>
  <c r="HF301" i="30"/>
  <c r="HG301" i="30"/>
  <c r="HH301" i="30"/>
  <c r="HI301" i="30"/>
  <c r="HJ301" i="30"/>
  <c r="HK301" i="30"/>
  <c r="HL301" i="30"/>
  <c r="HM301" i="30"/>
  <c r="HN301" i="30"/>
  <c r="HO301" i="30"/>
  <c r="HP301" i="30"/>
  <c r="HQ301" i="30"/>
  <c r="HR301" i="30"/>
  <c r="HS301" i="30"/>
  <c r="HT301" i="30"/>
  <c r="HU301" i="30"/>
  <c r="HV301" i="30"/>
  <c r="HW301" i="30"/>
  <c r="HX301" i="30"/>
  <c r="HY301" i="30"/>
  <c r="HZ301" i="30"/>
  <c r="IA301" i="30"/>
  <c r="IB301" i="30"/>
  <c r="IC301" i="30"/>
  <c r="ID301" i="30"/>
  <c r="IE301" i="30"/>
  <c r="IF301" i="30"/>
  <c r="IG301" i="30"/>
  <c r="IH301" i="30"/>
  <c r="II301" i="30"/>
  <c r="IJ301" i="30"/>
  <c r="IK301" i="30"/>
  <c r="IL301" i="30"/>
  <c r="IM301" i="30"/>
  <c r="IN301" i="30"/>
  <c r="IO301" i="30"/>
  <c r="IP301" i="30"/>
  <c r="IQ301" i="30"/>
  <c r="IR301" i="30"/>
  <c r="IS301" i="30"/>
  <c r="IT301" i="30"/>
  <c r="IU301" i="30"/>
  <c r="IV301" i="30"/>
  <c r="A300" i="30"/>
  <c r="B300" i="30"/>
  <c r="C300" i="30"/>
  <c r="D300" i="30"/>
  <c r="E300" i="30"/>
  <c r="F300" i="30"/>
  <c r="G300" i="30"/>
  <c r="H300" i="30"/>
  <c r="I300" i="30"/>
  <c r="J300" i="30"/>
  <c r="K300" i="30"/>
  <c r="L300" i="30"/>
  <c r="M300" i="30"/>
  <c r="N300" i="30"/>
  <c r="O300" i="30"/>
  <c r="P300" i="30"/>
  <c r="Q300" i="30"/>
  <c r="R300" i="30"/>
  <c r="S300" i="30"/>
  <c r="T300" i="30"/>
  <c r="U300" i="30"/>
  <c r="V300" i="30"/>
  <c r="W300" i="30"/>
  <c r="X300" i="30"/>
  <c r="Y300" i="30"/>
  <c r="Z300" i="30"/>
  <c r="AA300" i="30"/>
  <c r="AB300" i="30"/>
  <c r="AC300" i="30"/>
  <c r="AD300" i="30"/>
  <c r="AE300" i="30"/>
  <c r="AF300" i="30"/>
  <c r="AG300" i="30"/>
  <c r="AH300" i="30"/>
  <c r="AI300" i="30"/>
  <c r="AJ300" i="30"/>
  <c r="AK300" i="30"/>
  <c r="AL300" i="30"/>
  <c r="AM300" i="30"/>
  <c r="AN300" i="30"/>
  <c r="AO300" i="30"/>
  <c r="AP300" i="30"/>
  <c r="AQ300" i="30"/>
  <c r="AR300" i="30"/>
  <c r="AS300" i="30"/>
  <c r="AT300" i="30"/>
  <c r="AU300" i="30"/>
  <c r="AV300" i="30"/>
  <c r="AW300" i="30"/>
  <c r="AX300" i="30"/>
  <c r="AY300" i="30"/>
  <c r="AZ300" i="30"/>
  <c r="BA300" i="30"/>
  <c r="BB300" i="30"/>
  <c r="BC300" i="30"/>
  <c r="BD300" i="30"/>
  <c r="BE300" i="30"/>
  <c r="BF300" i="30"/>
  <c r="BG300" i="30"/>
  <c r="BH300" i="30"/>
  <c r="BI300" i="30"/>
  <c r="BJ300" i="30"/>
  <c r="BK300" i="30"/>
  <c r="BL300" i="30"/>
  <c r="BM300" i="30"/>
  <c r="BN300" i="30"/>
  <c r="BO300" i="30"/>
  <c r="BP300" i="30"/>
  <c r="BQ300" i="30"/>
  <c r="BR300" i="30"/>
  <c r="BS300" i="30"/>
  <c r="BT300" i="30"/>
  <c r="BU300" i="30"/>
  <c r="BV300" i="30"/>
  <c r="BW300" i="30"/>
  <c r="BX300" i="30"/>
  <c r="BY300" i="30"/>
  <c r="BZ300" i="30"/>
  <c r="CA300" i="30"/>
  <c r="CB300" i="30"/>
  <c r="CC300" i="30"/>
  <c r="CD300" i="30"/>
  <c r="CE300" i="30"/>
  <c r="CF300" i="30"/>
  <c r="CG300" i="30"/>
  <c r="CH300" i="30"/>
  <c r="CI300" i="30"/>
  <c r="CJ300" i="30"/>
  <c r="CK300" i="30"/>
  <c r="CL300" i="30"/>
  <c r="CM300" i="30"/>
  <c r="CN300" i="30"/>
  <c r="CO300" i="30"/>
  <c r="CP300" i="30"/>
  <c r="CQ300" i="30"/>
  <c r="CR300" i="30"/>
  <c r="CS300" i="30"/>
  <c r="CT300" i="30"/>
  <c r="CU300" i="30"/>
  <c r="CV300" i="30"/>
  <c r="CW300" i="30"/>
  <c r="CX300" i="30"/>
  <c r="CY300" i="30"/>
  <c r="CZ300" i="30"/>
  <c r="DA300" i="30"/>
  <c r="DB300" i="30"/>
  <c r="DC300" i="30"/>
  <c r="DD300" i="30"/>
  <c r="DE300" i="30"/>
  <c r="DF300" i="30"/>
  <c r="DG300" i="30"/>
  <c r="DH300" i="30"/>
  <c r="DI300" i="30"/>
  <c r="DJ300" i="30"/>
  <c r="DK300" i="30"/>
  <c r="DL300" i="30"/>
  <c r="DM300" i="30"/>
  <c r="DN300" i="30"/>
  <c r="DO300" i="30"/>
  <c r="DP300" i="30"/>
  <c r="DQ300" i="30"/>
  <c r="DR300" i="30"/>
  <c r="DS300" i="30"/>
  <c r="DT300" i="30"/>
  <c r="DU300" i="30"/>
  <c r="DV300" i="30"/>
  <c r="DW300" i="30"/>
  <c r="DX300" i="30"/>
  <c r="DY300" i="30"/>
  <c r="DZ300" i="30"/>
  <c r="EA300" i="30"/>
  <c r="EB300" i="30"/>
  <c r="EC300" i="30"/>
  <c r="ED300" i="30"/>
  <c r="EE300" i="30"/>
  <c r="EF300" i="30"/>
  <c r="EG300" i="30"/>
  <c r="EH300" i="30"/>
  <c r="EI300" i="30"/>
  <c r="EJ300" i="30"/>
  <c r="EK300" i="30"/>
  <c r="EL300" i="30"/>
  <c r="EM300" i="30"/>
  <c r="EN300" i="30"/>
  <c r="EO300" i="30"/>
  <c r="EP300" i="30"/>
  <c r="EQ300" i="30"/>
  <c r="ER300" i="30"/>
  <c r="ES300" i="30"/>
  <c r="ET300" i="30"/>
  <c r="EU300" i="30"/>
  <c r="EV300" i="30"/>
  <c r="EW300" i="30"/>
  <c r="EX300" i="30"/>
  <c r="EY300" i="30"/>
  <c r="EZ300" i="30"/>
  <c r="FA300" i="30"/>
  <c r="FB300" i="30"/>
  <c r="FC300" i="30"/>
  <c r="FD300" i="30"/>
  <c r="FE300" i="30"/>
  <c r="FF300" i="30"/>
  <c r="FG300" i="30"/>
  <c r="FH300" i="30"/>
  <c r="FI300" i="30"/>
  <c r="FJ300" i="30"/>
  <c r="FK300" i="30"/>
  <c r="FL300" i="30"/>
  <c r="FM300" i="30"/>
  <c r="FN300" i="30"/>
  <c r="FO300" i="30"/>
  <c r="FP300" i="30"/>
  <c r="FQ300" i="30"/>
  <c r="FR300" i="30"/>
  <c r="FS300" i="30"/>
  <c r="FT300" i="30"/>
  <c r="FU300" i="30"/>
  <c r="FV300" i="30"/>
  <c r="FW300" i="30"/>
  <c r="FX300" i="30"/>
  <c r="FY300" i="30"/>
  <c r="FZ300" i="30"/>
  <c r="GA300" i="30"/>
  <c r="GB300" i="30"/>
  <c r="GC300" i="30"/>
  <c r="GD300" i="30"/>
  <c r="GE300" i="30"/>
  <c r="GF300" i="30"/>
  <c r="GG300" i="30"/>
  <c r="GH300" i="30"/>
  <c r="GI300" i="30"/>
  <c r="GJ300" i="30"/>
  <c r="GK300" i="30"/>
  <c r="GL300" i="30"/>
  <c r="GM300" i="30"/>
  <c r="GN300" i="30"/>
  <c r="GO300" i="30"/>
  <c r="GP300" i="30"/>
  <c r="GQ300" i="30"/>
  <c r="GR300" i="30"/>
  <c r="GS300" i="30"/>
  <c r="GT300" i="30"/>
  <c r="GU300" i="30"/>
  <c r="GV300" i="30"/>
  <c r="GW300" i="30"/>
  <c r="GX300" i="30"/>
  <c r="GY300" i="30"/>
  <c r="GZ300" i="30"/>
  <c r="HA300" i="30"/>
  <c r="HB300" i="30"/>
  <c r="HC300" i="30"/>
  <c r="HD300" i="30"/>
  <c r="HE300" i="30"/>
  <c r="HF300" i="30"/>
  <c r="HG300" i="30"/>
  <c r="HH300" i="30"/>
  <c r="HI300" i="30"/>
  <c r="HJ300" i="30"/>
  <c r="HK300" i="30"/>
  <c r="HL300" i="30"/>
  <c r="HM300" i="30"/>
  <c r="HN300" i="30"/>
  <c r="HO300" i="30"/>
  <c r="HP300" i="30"/>
  <c r="HQ300" i="30"/>
  <c r="HR300" i="30"/>
  <c r="HS300" i="30"/>
  <c r="HT300" i="30"/>
  <c r="HU300" i="30"/>
  <c r="HV300" i="30"/>
  <c r="HW300" i="30"/>
  <c r="HX300" i="30"/>
  <c r="HY300" i="30"/>
  <c r="HZ300" i="30"/>
  <c r="IA300" i="30"/>
  <c r="IB300" i="30"/>
  <c r="IC300" i="30"/>
  <c r="ID300" i="30"/>
  <c r="IE300" i="30"/>
  <c r="IF300" i="30"/>
  <c r="IG300" i="30"/>
  <c r="IH300" i="30"/>
  <c r="II300" i="30"/>
  <c r="IJ300" i="30"/>
  <c r="IK300" i="30"/>
  <c r="IL300" i="30"/>
  <c r="IM300" i="30"/>
  <c r="IN300" i="30"/>
  <c r="IO300" i="30"/>
  <c r="IP300" i="30"/>
  <c r="IQ300" i="30"/>
  <c r="IR300" i="30"/>
  <c r="IS300" i="30"/>
  <c r="IT300" i="30"/>
  <c r="IU300" i="30"/>
  <c r="IV300" i="30"/>
  <c r="A299" i="30"/>
  <c r="B299" i="30"/>
  <c r="C299" i="30"/>
  <c r="D299" i="30"/>
  <c r="E299" i="30"/>
  <c r="F299" i="30"/>
  <c r="G299" i="30"/>
  <c r="H299" i="30"/>
  <c r="I299" i="30"/>
  <c r="J299" i="30"/>
  <c r="K299" i="30"/>
  <c r="L299" i="30"/>
  <c r="M299" i="30"/>
  <c r="N299" i="30"/>
  <c r="O299" i="30"/>
  <c r="P299" i="30"/>
  <c r="Q299" i="30"/>
  <c r="R299" i="30"/>
  <c r="S299" i="30"/>
  <c r="T299" i="30"/>
  <c r="U299" i="30"/>
  <c r="V299" i="30"/>
  <c r="W299" i="30"/>
  <c r="X299" i="30"/>
  <c r="Y299" i="30"/>
  <c r="Z299" i="30"/>
  <c r="AA299" i="30"/>
  <c r="AB299" i="30"/>
  <c r="AC299" i="30"/>
  <c r="AD299" i="30"/>
  <c r="AE299" i="30"/>
  <c r="AF299" i="30"/>
  <c r="AG299" i="30"/>
  <c r="AH299" i="30"/>
  <c r="AI299" i="30"/>
  <c r="AJ299" i="30"/>
  <c r="AK299" i="30"/>
  <c r="AL299" i="30"/>
  <c r="AM299" i="30"/>
  <c r="AN299" i="30"/>
  <c r="AO299" i="30"/>
  <c r="AP299" i="30"/>
  <c r="AQ299" i="30"/>
  <c r="AR299" i="30"/>
  <c r="AS299" i="30"/>
  <c r="AT299" i="30"/>
  <c r="AU299" i="30"/>
  <c r="AV299" i="30"/>
  <c r="AW299" i="30"/>
  <c r="AX299" i="30"/>
  <c r="AY299" i="30"/>
  <c r="AZ299" i="30"/>
  <c r="BA299" i="30"/>
  <c r="BB299" i="30"/>
  <c r="BC299" i="30"/>
  <c r="BD299" i="30"/>
  <c r="BE299" i="30"/>
  <c r="BF299" i="30"/>
  <c r="BG299" i="30"/>
  <c r="BH299" i="30"/>
  <c r="BI299" i="30"/>
  <c r="BJ299" i="30"/>
  <c r="BK299" i="30"/>
  <c r="BL299" i="30"/>
  <c r="BM299" i="30"/>
  <c r="BN299" i="30"/>
  <c r="BO299" i="30"/>
  <c r="BP299" i="30"/>
  <c r="BQ299" i="30"/>
  <c r="BR299" i="30"/>
  <c r="BS299" i="30"/>
  <c r="BT299" i="30"/>
  <c r="BU299" i="30"/>
  <c r="BV299" i="30"/>
  <c r="BW299" i="30"/>
  <c r="BX299" i="30"/>
  <c r="BY299" i="30"/>
  <c r="BZ299" i="30"/>
  <c r="CA299" i="30"/>
  <c r="CB299" i="30"/>
  <c r="CC299" i="30"/>
  <c r="CD299" i="30"/>
  <c r="CE299" i="30"/>
  <c r="CF299" i="30"/>
  <c r="CG299" i="30"/>
  <c r="CH299" i="30"/>
  <c r="CI299" i="30"/>
  <c r="CJ299" i="30"/>
  <c r="CK299" i="30"/>
  <c r="CL299" i="30"/>
  <c r="CM299" i="30"/>
  <c r="CN299" i="30"/>
  <c r="CO299" i="30"/>
  <c r="CP299" i="30"/>
  <c r="CQ299" i="30"/>
  <c r="CR299" i="30"/>
  <c r="CS299" i="30"/>
  <c r="CT299" i="30"/>
  <c r="CU299" i="30"/>
  <c r="CV299" i="30"/>
  <c r="CW299" i="30"/>
  <c r="CX299" i="30"/>
  <c r="CY299" i="30"/>
  <c r="CZ299" i="30"/>
  <c r="DA299" i="30"/>
  <c r="DB299" i="30"/>
  <c r="DC299" i="30"/>
  <c r="DD299" i="30"/>
  <c r="DE299" i="30"/>
  <c r="DF299" i="30"/>
  <c r="DG299" i="30"/>
  <c r="DH299" i="30"/>
  <c r="DI299" i="30"/>
  <c r="DJ299" i="30"/>
  <c r="DK299" i="30"/>
  <c r="DL299" i="30"/>
  <c r="DM299" i="30"/>
  <c r="DN299" i="30"/>
  <c r="DO299" i="30"/>
  <c r="DP299" i="30"/>
  <c r="DQ299" i="30"/>
  <c r="DR299" i="30"/>
  <c r="DS299" i="30"/>
  <c r="DT299" i="30"/>
  <c r="DU299" i="30"/>
  <c r="DV299" i="30"/>
  <c r="DW299" i="30"/>
  <c r="DX299" i="30"/>
  <c r="DY299" i="30"/>
  <c r="DZ299" i="30"/>
  <c r="EA299" i="30"/>
  <c r="EB299" i="30"/>
  <c r="EC299" i="30"/>
  <c r="ED299" i="30"/>
  <c r="EE299" i="30"/>
  <c r="EF299" i="30"/>
  <c r="EG299" i="30"/>
  <c r="EH299" i="30"/>
  <c r="EI299" i="30"/>
  <c r="EJ299" i="30"/>
  <c r="EK299" i="30"/>
  <c r="EL299" i="30"/>
  <c r="EM299" i="30"/>
  <c r="EN299" i="30"/>
  <c r="EO299" i="30"/>
  <c r="EP299" i="30"/>
  <c r="EQ299" i="30"/>
  <c r="ER299" i="30"/>
  <c r="ES299" i="30"/>
  <c r="ET299" i="30"/>
  <c r="EU299" i="30"/>
  <c r="EV299" i="30"/>
  <c r="EW299" i="30"/>
  <c r="EX299" i="30"/>
  <c r="EY299" i="30"/>
  <c r="EZ299" i="30"/>
  <c r="FA299" i="30"/>
  <c r="FB299" i="30"/>
  <c r="FC299" i="30"/>
  <c r="FD299" i="30"/>
  <c r="FE299" i="30"/>
  <c r="FF299" i="30"/>
  <c r="FG299" i="30"/>
  <c r="FH299" i="30"/>
  <c r="FI299" i="30"/>
  <c r="FJ299" i="30"/>
  <c r="FK299" i="30"/>
  <c r="FL299" i="30"/>
  <c r="FM299" i="30"/>
  <c r="FN299" i="30"/>
  <c r="FO299" i="30"/>
  <c r="FP299" i="30"/>
  <c r="FQ299" i="30"/>
  <c r="FR299" i="30"/>
  <c r="FS299" i="30"/>
  <c r="FT299" i="30"/>
  <c r="FU299" i="30"/>
  <c r="FV299" i="30"/>
  <c r="FW299" i="30"/>
  <c r="FX299" i="30"/>
  <c r="FY299" i="30"/>
  <c r="FZ299" i="30"/>
  <c r="GA299" i="30"/>
  <c r="GB299" i="30"/>
  <c r="GC299" i="30"/>
  <c r="GD299" i="30"/>
  <c r="GE299" i="30"/>
  <c r="GF299" i="30"/>
  <c r="GG299" i="30"/>
  <c r="GH299" i="30"/>
  <c r="GI299" i="30"/>
  <c r="GJ299" i="30"/>
  <c r="GK299" i="30"/>
  <c r="GL299" i="30"/>
  <c r="GM299" i="30"/>
  <c r="GN299" i="30"/>
  <c r="GO299" i="30"/>
  <c r="GP299" i="30"/>
  <c r="GQ299" i="30"/>
  <c r="GR299" i="30"/>
  <c r="GS299" i="30"/>
  <c r="GT299" i="30"/>
  <c r="GU299" i="30"/>
  <c r="GV299" i="30"/>
  <c r="GW299" i="30"/>
  <c r="GX299" i="30"/>
  <c r="GY299" i="30"/>
  <c r="GZ299" i="30"/>
  <c r="HA299" i="30"/>
  <c r="HB299" i="30"/>
  <c r="HC299" i="30"/>
  <c r="HD299" i="30"/>
  <c r="HE299" i="30"/>
  <c r="HF299" i="30"/>
  <c r="HG299" i="30"/>
  <c r="HH299" i="30"/>
  <c r="HI299" i="30"/>
  <c r="HJ299" i="30"/>
  <c r="HK299" i="30"/>
  <c r="HL299" i="30"/>
  <c r="HM299" i="30"/>
  <c r="HN299" i="30"/>
  <c r="HO299" i="30"/>
  <c r="HP299" i="30"/>
  <c r="HQ299" i="30"/>
  <c r="HR299" i="30"/>
  <c r="HS299" i="30"/>
  <c r="HT299" i="30"/>
  <c r="HU299" i="30"/>
  <c r="HV299" i="30"/>
  <c r="HW299" i="30"/>
  <c r="HX299" i="30"/>
  <c r="HY299" i="30"/>
  <c r="HZ299" i="30"/>
  <c r="IA299" i="30"/>
  <c r="IB299" i="30"/>
  <c r="IC299" i="30"/>
  <c r="ID299" i="30"/>
  <c r="IE299" i="30"/>
  <c r="IF299" i="30"/>
  <c r="IG299" i="30"/>
  <c r="IH299" i="30"/>
  <c r="II299" i="30"/>
  <c r="IJ299" i="30"/>
  <c r="IK299" i="30"/>
  <c r="IL299" i="30"/>
  <c r="IM299" i="30"/>
  <c r="IN299" i="30"/>
  <c r="IO299" i="30"/>
  <c r="IP299" i="30"/>
  <c r="IQ299" i="30"/>
  <c r="IR299" i="30"/>
  <c r="IS299" i="30"/>
  <c r="IT299" i="30"/>
  <c r="IU299" i="30"/>
  <c r="IV299" i="30"/>
  <c r="A298" i="30"/>
  <c r="B298" i="30"/>
  <c r="C298" i="30"/>
  <c r="D298" i="30"/>
  <c r="E298" i="30"/>
  <c r="F298" i="30"/>
  <c r="G298" i="30"/>
  <c r="H298" i="30"/>
  <c r="I298" i="30"/>
  <c r="J298" i="30"/>
  <c r="K298" i="30"/>
  <c r="L298" i="30"/>
  <c r="M298" i="30"/>
  <c r="N298" i="30"/>
  <c r="O298" i="30"/>
  <c r="P298" i="30"/>
  <c r="Q298" i="30"/>
  <c r="R298" i="30"/>
  <c r="S298" i="30"/>
  <c r="T298" i="30"/>
  <c r="U298" i="30"/>
  <c r="V298" i="30"/>
  <c r="W298" i="30"/>
  <c r="X298" i="30"/>
  <c r="Y298" i="30"/>
  <c r="Z298" i="30"/>
  <c r="AA298" i="30"/>
  <c r="AB298" i="30"/>
  <c r="AC298" i="30"/>
  <c r="AD298" i="30"/>
  <c r="AE298" i="30"/>
  <c r="AF298" i="30"/>
  <c r="AG298" i="30"/>
  <c r="AH298" i="30"/>
  <c r="AI298" i="30"/>
  <c r="AJ298" i="30"/>
  <c r="AK298" i="30"/>
  <c r="AL298" i="30"/>
  <c r="AM298" i="30"/>
  <c r="AN298" i="30"/>
  <c r="AO298" i="30"/>
  <c r="AP298" i="30"/>
  <c r="AQ298" i="30"/>
  <c r="AR298" i="30"/>
  <c r="AS298" i="30"/>
  <c r="AT298" i="30"/>
  <c r="AU298" i="30"/>
  <c r="AV298" i="30"/>
  <c r="AW298" i="30"/>
  <c r="AX298" i="30"/>
  <c r="AY298" i="30"/>
  <c r="AZ298" i="30"/>
  <c r="BA298" i="30"/>
  <c r="BB298" i="30"/>
  <c r="BC298" i="30"/>
  <c r="BD298" i="30"/>
  <c r="BE298" i="30"/>
  <c r="BF298" i="30"/>
  <c r="BG298" i="30"/>
  <c r="BH298" i="30"/>
  <c r="BI298" i="30"/>
  <c r="BJ298" i="30"/>
  <c r="BK298" i="30"/>
  <c r="BL298" i="30"/>
  <c r="BM298" i="30"/>
  <c r="BN298" i="30"/>
  <c r="BO298" i="30"/>
  <c r="BP298" i="30"/>
  <c r="BQ298" i="30"/>
  <c r="BR298" i="30"/>
  <c r="BS298" i="30"/>
  <c r="BT298" i="30"/>
  <c r="BU298" i="30"/>
  <c r="BV298" i="30"/>
  <c r="BW298" i="30"/>
  <c r="BX298" i="30"/>
  <c r="BY298" i="30"/>
  <c r="BZ298" i="30"/>
  <c r="CA298" i="30"/>
  <c r="CB298" i="30"/>
  <c r="CC298" i="30"/>
  <c r="CD298" i="30"/>
  <c r="CE298" i="30"/>
  <c r="CF298" i="30"/>
  <c r="CG298" i="30"/>
  <c r="CH298" i="30"/>
  <c r="CI298" i="30"/>
  <c r="CJ298" i="30"/>
  <c r="CK298" i="30"/>
  <c r="CL298" i="30"/>
  <c r="CM298" i="30"/>
  <c r="CN298" i="30"/>
  <c r="CO298" i="30"/>
  <c r="CP298" i="30"/>
  <c r="CQ298" i="30"/>
  <c r="CR298" i="30"/>
  <c r="CS298" i="30"/>
  <c r="CT298" i="30"/>
  <c r="CU298" i="30"/>
  <c r="CV298" i="30"/>
  <c r="CW298" i="30"/>
  <c r="CX298" i="30"/>
  <c r="CY298" i="30"/>
  <c r="CZ298" i="30"/>
  <c r="DA298" i="30"/>
  <c r="DB298" i="30"/>
  <c r="DC298" i="30"/>
  <c r="DD298" i="30"/>
  <c r="DE298" i="30"/>
  <c r="DF298" i="30"/>
  <c r="DG298" i="30"/>
  <c r="DH298" i="30"/>
  <c r="DI298" i="30"/>
  <c r="DJ298" i="30"/>
  <c r="DK298" i="30"/>
  <c r="DL298" i="30"/>
  <c r="DM298" i="30"/>
  <c r="DN298" i="30"/>
  <c r="DO298" i="30"/>
  <c r="DP298" i="30"/>
  <c r="DQ298" i="30"/>
  <c r="DR298" i="30"/>
  <c r="DS298" i="30"/>
  <c r="DT298" i="30"/>
  <c r="DU298" i="30"/>
  <c r="DV298" i="30"/>
  <c r="DW298" i="30"/>
  <c r="DX298" i="30"/>
  <c r="DY298" i="30"/>
  <c r="DZ298" i="30"/>
  <c r="EA298" i="30"/>
  <c r="EB298" i="30"/>
  <c r="EC298" i="30"/>
  <c r="ED298" i="30"/>
  <c r="EE298" i="30"/>
  <c r="EF298" i="30"/>
  <c r="EG298" i="30"/>
  <c r="EH298" i="30"/>
  <c r="EI298" i="30"/>
  <c r="EJ298" i="30"/>
  <c r="EK298" i="30"/>
  <c r="EL298" i="30"/>
  <c r="EM298" i="30"/>
  <c r="EN298" i="30"/>
  <c r="EO298" i="30"/>
  <c r="EP298" i="30"/>
  <c r="EQ298" i="30"/>
  <c r="ER298" i="30"/>
  <c r="ES298" i="30"/>
  <c r="ET298" i="30"/>
  <c r="EU298" i="30"/>
  <c r="EV298" i="30"/>
  <c r="EW298" i="30"/>
  <c r="EX298" i="30"/>
  <c r="EY298" i="30"/>
  <c r="EZ298" i="30"/>
  <c r="FA298" i="30"/>
  <c r="FB298" i="30"/>
  <c r="FC298" i="30"/>
  <c r="FD298" i="30"/>
  <c r="FE298" i="30"/>
  <c r="FF298" i="30"/>
  <c r="FG298" i="30"/>
  <c r="FH298" i="30"/>
  <c r="FI298" i="30"/>
  <c r="FJ298" i="30"/>
  <c r="FK298" i="30"/>
  <c r="FL298" i="30"/>
  <c r="FM298" i="30"/>
  <c r="FN298" i="30"/>
  <c r="FO298" i="30"/>
  <c r="FP298" i="30"/>
  <c r="FQ298" i="30"/>
  <c r="FR298" i="30"/>
  <c r="FS298" i="30"/>
  <c r="FT298" i="30"/>
  <c r="FU298" i="30"/>
  <c r="FV298" i="30"/>
  <c r="FW298" i="30"/>
  <c r="FX298" i="30"/>
  <c r="FY298" i="30"/>
  <c r="FZ298" i="30"/>
  <c r="GA298" i="30"/>
  <c r="GB298" i="30"/>
  <c r="GC298" i="30"/>
  <c r="GD298" i="30"/>
  <c r="GE298" i="30"/>
  <c r="GF298" i="30"/>
  <c r="GG298" i="30"/>
  <c r="GH298" i="30"/>
  <c r="GI298" i="30"/>
  <c r="GJ298" i="30"/>
  <c r="GK298" i="30"/>
  <c r="GL298" i="30"/>
  <c r="GM298" i="30"/>
  <c r="GN298" i="30"/>
  <c r="GO298" i="30"/>
  <c r="GP298" i="30"/>
  <c r="GQ298" i="30"/>
  <c r="GR298" i="30"/>
  <c r="GS298" i="30"/>
  <c r="GT298" i="30"/>
  <c r="GU298" i="30"/>
  <c r="GV298" i="30"/>
  <c r="GW298" i="30"/>
  <c r="GX298" i="30"/>
  <c r="GY298" i="30"/>
  <c r="GZ298" i="30"/>
  <c r="HA298" i="30"/>
  <c r="HB298" i="30"/>
  <c r="HC298" i="30"/>
  <c r="HD298" i="30"/>
  <c r="HE298" i="30"/>
  <c r="HF298" i="30"/>
  <c r="HG298" i="30"/>
  <c r="HH298" i="30"/>
  <c r="HI298" i="30"/>
  <c r="HJ298" i="30"/>
  <c r="HK298" i="30"/>
  <c r="HL298" i="30"/>
  <c r="HM298" i="30"/>
  <c r="HN298" i="30"/>
  <c r="HO298" i="30"/>
  <c r="HP298" i="30"/>
  <c r="HQ298" i="30"/>
  <c r="HR298" i="30"/>
  <c r="HS298" i="30"/>
  <c r="HT298" i="30"/>
  <c r="HU298" i="30"/>
  <c r="HV298" i="30"/>
  <c r="HW298" i="30"/>
  <c r="HX298" i="30"/>
  <c r="HY298" i="30"/>
  <c r="HZ298" i="30"/>
  <c r="IA298" i="30"/>
  <c r="IB298" i="30"/>
  <c r="IC298" i="30"/>
  <c r="ID298" i="30"/>
  <c r="IE298" i="30"/>
  <c r="IF298" i="30"/>
  <c r="IG298" i="30"/>
  <c r="IH298" i="30"/>
  <c r="II298" i="30"/>
  <c r="IJ298" i="30"/>
  <c r="IK298" i="30"/>
  <c r="IL298" i="30"/>
  <c r="IM298" i="30"/>
  <c r="IN298" i="30"/>
  <c r="IO298" i="30"/>
  <c r="IP298" i="30"/>
  <c r="IQ298" i="30"/>
  <c r="IR298" i="30"/>
  <c r="IS298" i="30"/>
  <c r="IT298" i="30"/>
  <c r="IU298" i="30"/>
  <c r="IV298" i="30"/>
  <c r="A297" i="30"/>
  <c r="B297" i="30"/>
  <c r="C297" i="30"/>
  <c r="D297" i="30"/>
  <c r="E297" i="30"/>
  <c r="F297" i="30"/>
  <c r="G297" i="30"/>
  <c r="H297" i="30"/>
  <c r="I297" i="30"/>
  <c r="J297" i="30"/>
  <c r="K297" i="30"/>
  <c r="L297" i="30"/>
  <c r="M297" i="30"/>
  <c r="N297" i="30"/>
  <c r="O297" i="30"/>
  <c r="P297" i="30"/>
  <c r="Q297" i="30"/>
  <c r="R297" i="30"/>
  <c r="S297" i="30"/>
  <c r="T297" i="30"/>
  <c r="U297" i="30"/>
  <c r="V297" i="30"/>
  <c r="W297" i="30"/>
  <c r="X297" i="30"/>
  <c r="Y297" i="30"/>
  <c r="Z297" i="30"/>
  <c r="AA297" i="30"/>
  <c r="AB297" i="30"/>
  <c r="AC297" i="30"/>
  <c r="AD297" i="30"/>
  <c r="AE297" i="30"/>
  <c r="AF297" i="30"/>
  <c r="AG297" i="30"/>
  <c r="AH297" i="30"/>
  <c r="AI297" i="30"/>
  <c r="AJ297" i="30"/>
  <c r="AK297" i="30"/>
  <c r="AL297" i="30"/>
  <c r="AM297" i="30"/>
  <c r="AN297" i="30"/>
  <c r="AO297" i="30"/>
  <c r="AP297" i="30"/>
  <c r="AQ297" i="30"/>
  <c r="AR297" i="30"/>
  <c r="AS297" i="30"/>
  <c r="AT297" i="30"/>
  <c r="AU297" i="30"/>
  <c r="AV297" i="30"/>
  <c r="AW297" i="30"/>
  <c r="AX297" i="30"/>
  <c r="AY297" i="30"/>
  <c r="AZ297" i="30"/>
  <c r="BA297" i="30"/>
  <c r="BB297" i="30"/>
  <c r="BC297" i="30"/>
  <c r="BD297" i="30"/>
  <c r="BE297" i="30"/>
  <c r="BF297" i="30"/>
  <c r="BG297" i="30"/>
  <c r="BH297" i="30"/>
  <c r="BI297" i="30"/>
  <c r="BJ297" i="30"/>
  <c r="BK297" i="30"/>
  <c r="BL297" i="30"/>
  <c r="BM297" i="30"/>
  <c r="BN297" i="30"/>
  <c r="BO297" i="30"/>
  <c r="BP297" i="30"/>
  <c r="BQ297" i="30"/>
  <c r="BR297" i="30"/>
  <c r="BS297" i="30"/>
  <c r="BT297" i="30"/>
  <c r="BU297" i="30"/>
  <c r="BV297" i="30"/>
  <c r="BW297" i="30"/>
  <c r="BX297" i="30"/>
  <c r="BY297" i="30"/>
  <c r="BZ297" i="30"/>
  <c r="CA297" i="30"/>
  <c r="CB297" i="30"/>
  <c r="CC297" i="30"/>
  <c r="CD297" i="30"/>
  <c r="CE297" i="30"/>
  <c r="CF297" i="30"/>
  <c r="CG297" i="30"/>
  <c r="CH297" i="30"/>
  <c r="CI297" i="30"/>
  <c r="CJ297" i="30"/>
  <c r="CK297" i="30"/>
  <c r="CL297" i="30"/>
  <c r="CM297" i="30"/>
  <c r="CN297" i="30"/>
  <c r="CO297" i="30"/>
  <c r="CP297" i="30"/>
  <c r="CQ297" i="30"/>
  <c r="CR297" i="30"/>
  <c r="CS297" i="30"/>
  <c r="CT297" i="30"/>
  <c r="CU297" i="30"/>
  <c r="CV297" i="30"/>
  <c r="CW297" i="30"/>
  <c r="CX297" i="30"/>
  <c r="CY297" i="30"/>
  <c r="CZ297" i="30"/>
  <c r="DA297" i="30"/>
  <c r="DB297" i="30"/>
  <c r="DC297" i="30"/>
  <c r="DD297" i="30"/>
  <c r="DE297" i="30"/>
  <c r="DF297" i="30"/>
  <c r="DG297" i="30"/>
  <c r="DH297" i="30"/>
  <c r="DI297" i="30"/>
  <c r="DJ297" i="30"/>
  <c r="DK297" i="30"/>
  <c r="DL297" i="30"/>
  <c r="DM297" i="30"/>
  <c r="DN297" i="30"/>
  <c r="DO297" i="30"/>
  <c r="DP297" i="30"/>
  <c r="DQ297" i="30"/>
  <c r="DR297" i="30"/>
  <c r="DS297" i="30"/>
  <c r="DT297" i="30"/>
  <c r="DU297" i="30"/>
  <c r="DV297" i="30"/>
  <c r="DW297" i="30"/>
  <c r="DX297" i="30"/>
  <c r="DY297" i="30"/>
  <c r="DZ297" i="30"/>
  <c r="EA297" i="30"/>
  <c r="EB297" i="30"/>
  <c r="EC297" i="30"/>
  <c r="ED297" i="30"/>
  <c r="EE297" i="30"/>
  <c r="EF297" i="30"/>
  <c r="EG297" i="30"/>
  <c r="EH297" i="30"/>
  <c r="EI297" i="30"/>
  <c r="EJ297" i="30"/>
  <c r="EK297" i="30"/>
  <c r="EL297" i="30"/>
  <c r="EM297" i="30"/>
  <c r="EN297" i="30"/>
  <c r="EO297" i="30"/>
  <c r="EP297" i="30"/>
  <c r="EQ297" i="30"/>
  <c r="ER297" i="30"/>
  <c r="ES297" i="30"/>
  <c r="ET297" i="30"/>
  <c r="EU297" i="30"/>
  <c r="EV297" i="30"/>
  <c r="EW297" i="30"/>
  <c r="EX297" i="30"/>
  <c r="EY297" i="30"/>
  <c r="EZ297" i="30"/>
  <c r="FA297" i="30"/>
  <c r="FB297" i="30"/>
  <c r="FC297" i="30"/>
  <c r="FD297" i="30"/>
  <c r="FE297" i="30"/>
  <c r="FF297" i="30"/>
  <c r="FG297" i="30"/>
  <c r="FH297" i="30"/>
  <c r="FI297" i="30"/>
  <c r="FJ297" i="30"/>
  <c r="FK297" i="30"/>
  <c r="FL297" i="30"/>
  <c r="FM297" i="30"/>
  <c r="FN297" i="30"/>
  <c r="FO297" i="30"/>
  <c r="FP297" i="30"/>
  <c r="FQ297" i="30"/>
  <c r="FR297" i="30"/>
  <c r="FS297" i="30"/>
  <c r="FT297" i="30"/>
  <c r="FU297" i="30"/>
  <c r="FV297" i="30"/>
  <c r="FW297" i="30"/>
  <c r="FX297" i="30"/>
  <c r="FY297" i="30"/>
  <c r="FZ297" i="30"/>
  <c r="GA297" i="30"/>
  <c r="GB297" i="30"/>
  <c r="GC297" i="30"/>
  <c r="GD297" i="30"/>
  <c r="GE297" i="30"/>
  <c r="GF297" i="30"/>
  <c r="GG297" i="30"/>
  <c r="GH297" i="30"/>
  <c r="GI297" i="30"/>
  <c r="GJ297" i="30"/>
  <c r="GK297" i="30"/>
  <c r="GL297" i="30"/>
  <c r="GM297" i="30"/>
  <c r="GN297" i="30"/>
  <c r="GO297" i="30"/>
  <c r="GP297" i="30"/>
  <c r="GQ297" i="30"/>
  <c r="GR297" i="30"/>
  <c r="GS297" i="30"/>
  <c r="GT297" i="30"/>
  <c r="GU297" i="30"/>
  <c r="GV297" i="30"/>
  <c r="GW297" i="30"/>
  <c r="GX297" i="30"/>
  <c r="GY297" i="30"/>
  <c r="GZ297" i="30"/>
  <c r="HA297" i="30"/>
  <c r="HB297" i="30"/>
  <c r="HC297" i="30"/>
  <c r="HD297" i="30"/>
  <c r="HE297" i="30"/>
  <c r="HF297" i="30"/>
  <c r="HG297" i="30"/>
  <c r="HH297" i="30"/>
  <c r="HI297" i="30"/>
  <c r="HJ297" i="30"/>
  <c r="HK297" i="30"/>
  <c r="HL297" i="30"/>
  <c r="HM297" i="30"/>
  <c r="HN297" i="30"/>
  <c r="HO297" i="30"/>
  <c r="HP297" i="30"/>
  <c r="HQ297" i="30"/>
  <c r="HR297" i="30"/>
  <c r="HS297" i="30"/>
  <c r="HT297" i="30"/>
  <c r="HU297" i="30"/>
  <c r="HV297" i="30"/>
  <c r="HW297" i="30"/>
  <c r="HX297" i="30"/>
  <c r="HY297" i="30"/>
  <c r="HZ297" i="30"/>
  <c r="IA297" i="30"/>
  <c r="IB297" i="30"/>
  <c r="IC297" i="30"/>
  <c r="ID297" i="30"/>
  <c r="IE297" i="30"/>
  <c r="IF297" i="30"/>
  <c r="IG297" i="30"/>
  <c r="IH297" i="30"/>
  <c r="II297" i="30"/>
  <c r="IJ297" i="30"/>
  <c r="IK297" i="30"/>
  <c r="IL297" i="30"/>
  <c r="IM297" i="30"/>
  <c r="IN297" i="30"/>
  <c r="IO297" i="30"/>
  <c r="IP297" i="30"/>
  <c r="IQ297" i="30"/>
  <c r="IR297" i="30"/>
  <c r="IS297" i="30"/>
  <c r="IT297" i="30"/>
  <c r="IU297" i="30"/>
  <c r="IV297" i="30"/>
  <c r="A296" i="30"/>
  <c r="B296" i="30"/>
  <c r="C296" i="30"/>
  <c r="D296" i="30"/>
  <c r="E296" i="30"/>
  <c r="F296" i="30"/>
  <c r="G296" i="30"/>
  <c r="H296" i="30"/>
  <c r="I296" i="30"/>
  <c r="J296" i="30"/>
  <c r="K296" i="30"/>
  <c r="L296" i="30"/>
  <c r="M296" i="30"/>
  <c r="N296" i="30"/>
  <c r="O296" i="30"/>
  <c r="P296" i="30"/>
  <c r="Q296" i="30"/>
  <c r="R296" i="30"/>
  <c r="S296" i="30"/>
  <c r="T296" i="30"/>
  <c r="U296" i="30"/>
  <c r="V296" i="30"/>
  <c r="W296" i="30"/>
  <c r="X296" i="30"/>
  <c r="Y296" i="30"/>
  <c r="Z296" i="30"/>
  <c r="AA296" i="30"/>
  <c r="AB296" i="30"/>
  <c r="AC296" i="30"/>
  <c r="AD296" i="30"/>
  <c r="AE296" i="30"/>
  <c r="AF296" i="30"/>
  <c r="AG296" i="30"/>
  <c r="AH296" i="30"/>
  <c r="AI296" i="30"/>
  <c r="AJ296" i="30"/>
  <c r="AK296" i="30"/>
  <c r="AL296" i="30"/>
  <c r="AM296" i="30"/>
  <c r="AN296" i="30"/>
  <c r="AO296" i="30"/>
  <c r="AP296" i="30"/>
  <c r="AQ296" i="30"/>
  <c r="AR296" i="30"/>
  <c r="AS296" i="30"/>
  <c r="AT296" i="30"/>
  <c r="AU296" i="30"/>
  <c r="AV296" i="30"/>
  <c r="AW296" i="30"/>
  <c r="AX296" i="30"/>
  <c r="AY296" i="30"/>
  <c r="AZ296" i="30"/>
  <c r="BA296" i="30"/>
  <c r="BB296" i="30"/>
  <c r="BC296" i="30"/>
  <c r="BD296" i="30"/>
  <c r="BE296" i="30"/>
  <c r="BF296" i="30"/>
  <c r="BG296" i="30"/>
  <c r="BH296" i="30"/>
  <c r="BI296" i="30"/>
  <c r="BJ296" i="30"/>
  <c r="BK296" i="30"/>
  <c r="BL296" i="30"/>
  <c r="BM296" i="30"/>
  <c r="BN296" i="30"/>
  <c r="BO296" i="30"/>
  <c r="BP296" i="30"/>
  <c r="BQ296" i="30"/>
  <c r="BR296" i="30"/>
  <c r="BS296" i="30"/>
  <c r="BT296" i="30"/>
  <c r="BU296" i="30"/>
  <c r="BV296" i="30"/>
  <c r="BW296" i="30"/>
  <c r="BX296" i="30"/>
  <c r="BY296" i="30"/>
  <c r="BZ296" i="30"/>
  <c r="CA296" i="30"/>
  <c r="CB296" i="30"/>
  <c r="CC296" i="30"/>
  <c r="CD296" i="30"/>
  <c r="CE296" i="30"/>
  <c r="CF296" i="30"/>
  <c r="CG296" i="30"/>
  <c r="CH296" i="30"/>
  <c r="CI296" i="30"/>
  <c r="CJ296" i="30"/>
  <c r="CK296" i="30"/>
  <c r="CL296" i="30"/>
  <c r="CM296" i="30"/>
  <c r="CN296" i="30"/>
  <c r="CO296" i="30"/>
  <c r="CP296" i="30"/>
  <c r="CQ296" i="30"/>
  <c r="CR296" i="30"/>
  <c r="CS296" i="30"/>
  <c r="CT296" i="30"/>
  <c r="CU296" i="30"/>
  <c r="CV296" i="30"/>
  <c r="CW296" i="30"/>
  <c r="CX296" i="30"/>
  <c r="CY296" i="30"/>
  <c r="CZ296" i="30"/>
  <c r="DA296" i="30"/>
  <c r="DB296" i="30"/>
  <c r="DC296" i="30"/>
  <c r="DD296" i="30"/>
  <c r="DE296" i="30"/>
  <c r="DF296" i="30"/>
  <c r="DG296" i="30"/>
  <c r="DH296" i="30"/>
  <c r="DI296" i="30"/>
  <c r="DJ296" i="30"/>
  <c r="DK296" i="30"/>
  <c r="DL296" i="30"/>
  <c r="DM296" i="30"/>
  <c r="DN296" i="30"/>
  <c r="DO296" i="30"/>
  <c r="DP296" i="30"/>
  <c r="DQ296" i="30"/>
  <c r="DR296" i="30"/>
  <c r="DS296" i="30"/>
  <c r="DT296" i="30"/>
  <c r="DU296" i="30"/>
  <c r="DV296" i="30"/>
  <c r="DW296" i="30"/>
  <c r="DX296" i="30"/>
  <c r="DY296" i="30"/>
  <c r="DZ296" i="30"/>
  <c r="EA296" i="30"/>
  <c r="EB296" i="30"/>
  <c r="EC296" i="30"/>
  <c r="ED296" i="30"/>
  <c r="EE296" i="30"/>
  <c r="EF296" i="30"/>
  <c r="EG296" i="30"/>
  <c r="EH296" i="30"/>
  <c r="EI296" i="30"/>
  <c r="EJ296" i="30"/>
  <c r="EK296" i="30"/>
  <c r="EL296" i="30"/>
  <c r="EM296" i="30"/>
  <c r="EN296" i="30"/>
  <c r="EO296" i="30"/>
  <c r="EP296" i="30"/>
  <c r="EQ296" i="30"/>
  <c r="ER296" i="30"/>
  <c r="ES296" i="30"/>
  <c r="ET296" i="30"/>
  <c r="EU296" i="30"/>
  <c r="EV296" i="30"/>
  <c r="EW296" i="30"/>
  <c r="EX296" i="30"/>
  <c r="EY296" i="30"/>
  <c r="EZ296" i="30"/>
  <c r="FA296" i="30"/>
  <c r="FB296" i="30"/>
  <c r="FC296" i="30"/>
  <c r="FD296" i="30"/>
  <c r="FE296" i="30"/>
  <c r="FF296" i="30"/>
  <c r="FG296" i="30"/>
  <c r="FH296" i="30"/>
  <c r="FI296" i="30"/>
  <c r="FJ296" i="30"/>
  <c r="FK296" i="30"/>
  <c r="FL296" i="30"/>
  <c r="FM296" i="30"/>
  <c r="FN296" i="30"/>
  <c r="FO296" i="30"/>
  <c r="FP296" i="30"/>
  <c r="FQ296" i="30"/>
  <c r="FR296" i="30"/>
  <c r="FS296" i="30"/>
  <c r="FT296" i="30"/>
  <c r="FU296" i="30"/>
  <c r="FV296" i="30"/>
  <c r="FW296" i="30"/>
  <c r="FX296" i="30"/>
  <c r="FY296" i="30"/>
  <c r="FZ296" i="30"/>
  <c r="GA296" i="30"/>
  <c r="GB296" i="30"/>
  <c r="GC296" i="30"/>
  <c r="GD296" i="30"/>
  <c r="GE296" i="30"/>
  <c r="GF296" i="30"/>
  <c r="GG296" i="30"/>
  <c r="GH296" i="30"/>
  <c r="GI296" i="30"/>
  <c r="GJ296" i="30"/>
  <c r="GK296" i="30"/>
  <c r="GL296" i="30"/>
  <c r="GM296" i="30"/>
  <c r="GN296" i="30"/>
  <c r="GO296" i="30"/>
  <c r="GP296" i="30"/>
  <c r="GQ296" i="30"/>
  <c r="GR296" i="30"/>
  <c r="GS296" i="30"/>
  <c r="GT296" i="30"/>
  <c r="GU296" i="30"/>
  <c r="GV296" i="30"/>
  <c r="GW296" i="30"/>
  <c r="GX296" i="30"/>
  <c r="GY296" i="30"/>
  <c r="GZ296" i="30"/>
  <c r="HA296" i="30"/>
  <c r="HB296" i="30"/>
  <c r="HC296" i="30"/>
  <c r="HD296" i="30"/>
  <c r="HE296" i="30"/>
  <c r="HF296" i="30"/>
  <c r="HG296" i="30"/>
  <c r="HH296" i="30"/>
  <c r="HI296" i="30"/>
  <c r="HJ296" i="30"/>
  <c r="HK296" i="30"/>
  <c r="HL296" i="30"/>
  <c r="HM296" i="30"/>
  <c r="HN296" i="30"/>
  <c r="HO296" i="30"/>
  <c r="HP296" i="30"/>
  <c r="HQ296" i="30"/>
  <c r="HR296" i="30"/>
  <c r="HS296" i="30"/>
  <c r="HT296" i="30"/>
  <c r="HU296" i="30"/>
  <c r="HV296" i="30"/>
  <c r="HW296" i="30"/>
  <c r="HX296" i="30"/>
  <c r="HY296" i="30"/>
  <c r="HZ296" i="30"/>
  <c r="IA296" i="30"/>
  <c r="IB296" i="30"/>
  <c r="IC296" i="30"/>
  <c r="ID296" i="30"/>
  <c r="IE296" i="30"/>
  <c r="IF296" i="30"/>
  <c r="IG296" i="30"/>
  <c r="IH296" i="30"/>
  <c r="II296" i="30"/>
  <c r="IJ296" i="30"/>
  <c r="IK296" i="30"/>
  <c r="IL296" i="30"/>
  <c r="IM296" i="30"/>
  <c r="IN296" i="30"/>
  <c r="IO296" i="30"/>
  <c r="IP296" i="30"/>
  <c r="IQ296" i="30"/>
  <c r="IR296" i="30"/>
  <c r="IS296" i="30"/>
  <c r="IT296" i="30"/>
  <c r="IU296" i="30"/>
  <c r="IV296" i="30"/>
  <c r="A295" i="30"/>
  <c r="B295" i="30"/>
  <c r="C295" i="30"/>
  <c r="D295" i="30"/>
  <c r="E295" i="30"/>
  <c r="F295" i="30"/>
  <c r="G295" i="30"/>
  <c r="H295" i="30"/>
  <c r="I295" i="30"/>
  <c r="J295" i="30"/>
  <c r="K295" i="30"/>
  <c r="L295" i="30"/>
  <c r="M295" i="30"/>
  <c r="N295" i="30"/>
  <c r="O295" i="30"/>
  <c r="P295" i="30"/>
  <c r="Q295" i="30"/>
  <c r="R295" i="30"/>
  <c r="S295" i="30"/>
  <c r="T295" i="30"/>
  <c r="U295" i="30"/>
  <c r="V295" i="30"/>
  <c r="W295" i="30"/>
  <c r="X295" i="30"/>
  <c r="Y295" i="30"/>
  <c r="Z295" i="30"/>
  <c r="AA295" i="30"/>
  <c r="AB295" i="30"/>
  <c r="AC295" i="30"/>
  <c r="AD295" i="30"/>
  <c r="AE295" i="30"/>
  <c r="AF295" i="30"/>
  <c r="AG295" i="30"/>
  <c r="AH295" i="30"/>
  <c r="AI295" i="30"/>
  <c r="AJ295" i="30"/>
  <c r="AK295" i="30"/>
  <c r="AL295" i="30"/>
  <c r="AM295" i="30"/>
  <c r="AN295" i="30"/>
  <c r="AO295" i="30"/>
  <c r="AP295" i="30"/>
  <c r="AQ295" i="30"/>
  <c r="AR295" i="30"/>
  <c r="AS295" i="30"/>
  <c r="AT295" i="30"/>
  <c r="AU295" i="30"/>
  <c r="AV295" i="30"/>
  <c r="AW295" i="30"/>
  <c r="AX295" i="30"/>
  <c r="AY295" i="30"/>
  <c r="AZ295" i="30"/>
  <c r="BA295" i="30"/>
  <c r="BB295" i="30"/>
  <c r="BC295" i="30"/>
  <c r="BD295" i="30"/>
  <c r="BE295" i="30"/>
  <c r="BF295" i="30"/>
  <c r="BG295" i="30"/>
  <c r="BH295" i="30"/>
  <c r="BI295" i="30"/>
  <c r="BJ295" i="30"/>
  <c r="BK295" i="30"/>
  <c r="BL295" i="30"/>
  <c r="BM295" i="30"/>
  <c r="BN295" i="30"/>
  <c r="BO295" i="30"/>
  <c r="BP295" i="30"/>
  <c r="BQ295" i="30"/>
  <c r="BR295" i="30"/>
  <c r="BS295" i="30"/>
  <c r="BT295" i="30"/>
  <c r="BU295" i="30"/>
  <c r="BV295" i="30"/>
  <c r="BW295" i="30"/>
  <c r="BX295" i="30"/>
  <c r="BY295" i="30"/>
  <c r="BZ295" i="30"/>
  <c r="CA295" i="30"/>
  <c r="CB295" i="30"/>
  <c r="CC295" i="30"/>
  <c r="CD295" i="30"/>
  <c r="CE295" i="30"/>
  <c r="CF295" i="30"/>
  <c r="CG295" i="30"/>
  <c r="CH295" i="30"/>
  <c r="CI295" i="30"/>
  <c r="CJ295" i="30"/>
  <c r="CK295" i="30"/>
  <c r="CL295" i="30"/>
  <c r="CM295" i="30"/>
  <c r="CN295" i="30"/>
  <c r="CO295" i="30"/>
  <c r="CP295" i="30"/>
  <c r="CQ295" i="30"/>
  <c r="CR295" i="30"/>
  <c r="CS295" i="30"/>
  <c r="CT295" i="30"/>
  <c r="CU295" i="30"/>
  <c r="CV295" i="30"/>
  <c r="CW295" i="30"/>
  <c r="CX295" i="30"/>
  <c r="CY295" i="30"/>
  <c r="CZ295" i="30"/>
  <c r="DA295" i="30"/>
  <c r="DB295" i="30"/>
  <c r="DC295" i="30"/>
  <c r="DD295" i="30"/>
  <c r="DE295" i="30"/>
  <c r="DF295" i="30"/>
  <c r="DG295" i="30"/>
  <c r="DH295" i="30"/>
  <c r="DI295" i="30"/>
  <c r="DJ295" i="30"/>
  <c r="DK295" i="30"/>
  <c r="DL295" i="30"/>
  <c r="DM295" i="30"/>
  <c r="DN295" i="30"/>
  <c r="DO295" i="30"/>
  <c r="DP295" i="30"/>
  <c r="DQ295" i="30"/>
  <c r="DR295" i="30"/>
  <c r="DS295" i="30"/>
  <c r="DT295" i="30"/>
  <c r="DU295" i="30"/>
  <c r="DV295" i="30"/>
  <c r="DW295" i="30"/>
  <c r="DX295" i="30"/>
  <c r="DY295" i="30"/>
  <c r="DZ295" i="30"/>
  <c r="EA295" i="30"/>
  <c r="EB295" i="30"/>
  <c r="EC295" i="30"/>
  <c r="ED295" i="30"/>
  <c r="EE295" i="30"/>
  <c r="EF295" i="30"/>
  <c r="EG295" i="30"/>
  <c r="EH295" i="30"/>
  <c r="EI295" i="30"/>
  <c r="EJ295" i="30"/>
  <c r="EK295" i="30"/>
  <c r="EL295" i="30"/>
  <c r="EM295" i="30"/>
  <c r="EN295" i="30"/>
  <c r="EO295" i="30"/>
  <c r="EP295" i="30"/>
  <c r="EQ295" i="30"/>
  <c r="ER295" i="30"/>
  <c r="ES295" i="30"/>
  <c r="ET295" i="30"/>
  <c r="EU295" i="30"/>
  <c r="EV295" i="30"/>
  <c r="EW295" i="30"/>
  <c r="EX295" i="30"/>
  <c r="EY295" i="30"/>
  <c r="EZ295" i="30"/>
  <c r="FA295" i="30"/>
  <c r="FB295" i="30"/>
  <c r="FC295" i="30"/>
  <c r="FD295" i="30"/>
  <c r="FE295" i="30"/>
  <c r="FF295" i="30"/>
  <c r="FG295" i="30"/>
  <c r="FH295" i="30"/>
  <c r="FI295" i="30"/>
  <c r="FJ295" i="30"/>
  <c r="FK295" i="30"/>
  <c r="FL295" i="30"/>
  <c r="FM295" i="30"/>
  <c r="FN295" i="30"/>
  <c r="FO295" i="30"/>
  <c r="FP295" i="30"/>
  <c r="FQ295" i="30"/>
  <c r="FR295" i="30"/>
  <c r="FS295" i="30"/>
  <c r="FT295" i="30"/>
  <c r="FU295" i="30"/>
  <c r="FV295" i="30"/>
  <c r="FW295" i="30"/>
  <c r="FX295" i="30"/>
  <c r="FY295" i="30"/>
  <c r="FZ295" i="30"/>
  <c r="GA295" i="30"/>
  <c r="GB295" i="30"/>
  <c r="GC295" i="30"/>
  <c r="GD295" i="30"/>
  <c r="GE295" i="30"/>
  <c r="GF295" i="30"/>
  <c r="GG295" i="30"/>
  <c r="GH295" i="30"/>
  <c r="GI295" i="30"/>
  <c r="GJ295" i="30"/>
  <c r="GK295" i="30"/>
  <c r="GL295" i="30"/>
  <c r="GM295" i="30"/>
  <c r="GN295" i="30"/>
  <c r="GO295" i="30"/>
  <c r="GP295" i="30"/>
  <c r="GQ295" i="30"/>
  <c r="GR295" i="30"/>
  <c r="GS295" i="30"/>
  <c r="GT295" i="30"/>
  <c r="GU295" i="30"/>
  <c r="GV295" i="30"/>
  <c r="GW295" i="30"/>
  <c r="GX295" i="30"/>
  <c r="GY295" i="30"/>
  <c r="GZ295" i="30"/>
  <c r="HA295" i="30"/>
  <c r="HB295" i="30"/>
  <c r="HC295" i="30"/>
  <c r="HD295" i="30"/>
  <c r="HE295" i="30"/>
  <c r="HF295" i="30"/>
  <c r="HG295" i="30"/>
  <c r="HH295" i="30"/>
  <c r="HI295" i="30"/>
  <c r="HJ295" i="30"/>
  <c r="HK295" i="30"/>
  <c r="HL295" i="30"/>
  <c r="HM295" i="30"/>
  <c r="HN295" i="30"/>
  <c r="HO295" i="30"/>
  <c r="HP295" i="30"/>
  <c r="HQ295" i="30"/>
  <c r="HR295" i="30"/>
  <c r="HS295" i="30"/>
  <c r="HT295" i="30"/>
  <c r="HU295" i="30"/>
  <c r="HV295" i="30"/>
  <c r="HW295" i="30"/>
  <c r="HX295" i="30"/>
  <c r="HY295" i="30"/>
  <c r="HZ295" i="30"/>
  <c r="IA295" i="30"/>
  <c r="IB295" i="30"/>
  <c r="IC295" i="30"/>
  <c r="ID295" i="30"/>
  <c r="IE295" i="30"/>
  <c r="IF295" i="30"/>
  <c r="IG295" i="30"/>
  <c r="IH295" i="30"/>
  <c r="II295" i="30"/>
  <c r="IJ295" i="30"/>
  <c r="IK295" i="30"/>
  <c r="IL295" i="30"/>
  <c r="IM295" i="30"/>
  <c r="IN295" i="30"/>
  <c r="IO295" i="30"/>
  <c r="IP295" i="30"/>
  <c r="IQ295" i="30"/>
  <c r="IR295" i="30"/>
  <c r="IS295" i="30"/>
  <c r="IT295" i="30"/>
  <c r="IU295" i="30"/>
  <c r="IV295" i="30"/>
  <c r="A294" i="30"/>
  <c r="B294" i="30"/>
  <c r="C294" i="30"/>
  <c r="D294" i="30"/>
  <c r="E294" i="30"/>
  <c r="F294" i="30"/>
  <c r="G294" i="30"/>
  <c r="H294" i="30"/>
  <c r="I294" i="30"/>
  <c r="J294" i="30"/>
  <c r="K294" i="30"/>
  <c r="L294" i="30"/>
  <c r="M294" i="30"/>
  <c r="N294" i="30"/>
  <c r="O294" i="30"/>
  <c r="P294" i="30"/>
  <c r="Q294" i="30"/>
  <c r="R294" i="30"/>
  <c r="S294" i="30"/>
  <c r="T294" i="30"/>
  <c r="U294" i="30"/>
  <c r="V294" i="30"/>
  <c r="W294" i="30"/>
  <c r="X294" i="30"/>
  <c r="Y294" i="30"/>
  <c r="Z294" i="30"/>
  <c r="AA294" i="30"/>
  <c r="AB294" i="30"/>
  <c r="AC294" i="30"/>
  <c r="AD294" i="30"/>
  <c r="AE294" i="30"/>
  <c r="AF294" i="30"/>
  <c r="AG294" i="30"/>
  <c r="AH294" i="30"/>
  <c r="AI294" i="30"/>
  <c r="AJ294" i="30"/>
  <c r="AK294" i="30"/>
  <c r="AL294" i="30"/>
  <c r="AM294" i="30"/>
  <c r="AN294" i="30"/>
  <c r="AO294" i="30"/>
  <c r="AP294" i="30"/>
  <c r="AQ294" i="30"/>
  <c r="AR294" i="30"/>
  <c r="AS294" i="30"/>
  <c r="AT294" i="30"/>
  <c r="AU294" i="30"/>
  <c r="AV294" i="30"/>
  <c r="AW294" i="30"/>
  <c r="AX294" i="30"/>
  <c r="AY294" i="30"/>
  <c r="AZ294" i="30"/>
  <c r="BA294" i="30"/>
  <c r="BB294" i="30"/>
  <c r="BC294" i="30"/>
  <c r="BD294" i="30"/>
  <c r="BE294" i="30"/>
  <c r="BF294" i="30"/>
  <c r="BG294" i="30"/>
  <c r="BH294" i="30"/>
  <c r="BI294" i="30"/>
  <c r="BJ294" i="30"/>
  <c r="BK294" i="30"/>
  <c r="BL294" i="30"/>
  <c r="BM294" i="30"/>
  <c r="BN294" i="30"/>
  <c r="BO294" i="30"/>
  <c r="BP294" i="30"/>
  <c r="BQ294" i="30"/>
  <c r="BR294" i="30"/>
  <c r="BS294" i="30"/>
  <c r="BT294" i="30"/>
  <c r="BU294" i="30"/>
  <c r="BV294" i="30"/>
  <c r="BW294" i="30"/>
  <c r="BX294" i="30"/>
  <c r="BY294" i="30"/>
  <c r="BZ294" i="30"/>
  <c r="CA294" i="30"/>
  <c r="CB294" i="30"/>
  <c r="CC294" i="30"/>
  <c r="CD294" i="30"/>
  <c r="CE294" i="30"/>
  <c r="CF294" i="30"/>
  <c r="CG294" i="30"/>
  <c r="CH294" i="30"/>
  <c r="CI294" i="30"/>
  <c r="CJ294" i="30"/>
  <c r="CK294" i="30"/>
  <c r="CL294" i="30"/>
  <c r="CM294" i="30"/>
  <c r="CN294" i="30"/>
  <c r="CO294" i="30"/>
  <c r="CP294" i="30"/>
  <c r="CQ294" i="30"/>
  <c r="CR294" i="30"/>
  <c r="CS294" i="30"/>
  <c r="CT294" i="30"/>
  <c r="CU294" i="30"/>
  <c r="CV294" i="30"/>
  <c r="CW294" i="30"/>
  <c r="CX294" i="30"/>
  <c r="CY294" i="30"/>
  <c r="CZ294" i="30"/>
  <c r="DA294" i="30"/>
  <c r="DB294" i="30"/>
  <c r="DC294" i="30"/>
  <c r="DD294" i="30"/>
  <c r="DE294" i="30"/>
  <c r="DF294" i="30"/>
  <c r="DG294" i="30"/>
  <c r="DH294" i="30"/>
  <c r="DI294" i="30"/>
  <c r="DJ294" i="30"/>
  <c r="DK294" i="30"/>
  <c r="DL294" i="30"/>
  <c r="DM294" i="30"/>
  <c r="DN294" i="30"/>
  <c r="DO294" i="30"/>
  <c r="DP294" i="30"/>
  <c r="DQ294" i="30"/>
  <c r="DR294" i="30"/>
  <c r="DS294" i="30"/>
  <c r="DT294" i="30"/>
  <c r="DU294" i="30"/>
  <c r="DV294" i="30"/>
  <c r="DW294" i="30"/>
  <c r="DX294" i="30"/>
  <c r="DY294" i="30"/>
  <c r="DZ294" i="30"/>
  <c r="EA294" i="30"/>
  <c r="EB294" i="30"/>
  <c r="EC294" i="30"/>
  <c r="ED294" i="30"/>
  <c r="EE294" i="30"/>
  <c r="EF294" i="30"/>
  <c r="EG294" i="30"/>
  <c r="EH294" i="30"/>
  <c r="EI294" i="30"/>
  <c r="EJ294" i="30"/>
  <c r="EK294" i="30"/>
  <c r="EL294" i="30"/>
  <c r="EM294" i="30"/>
  <c r="EN294" i="30"/>
  <c r="EO294" i="30"/>
  <c r="EP294" i="30"/>
  <c r="EQ294" i="30"/>
  <c r="ER294" i="30"/>
  <c r="ES294" i="30"/>
  <c r="ET294" i="30"/>
  <c r="EU294" i="30"/>
  <c r="EV294" i="30"/>
  <c r="EW294" i="30"/>
  <c r="EX294" i="30"/>
  <c r="EY294" i="30"/>
  <c r="EZ294" i="30"/>
  <c r="FA294" i="30"/>
  <c r="FB294" i="30"/>
  <c r="FC294" i="30"/>
  <c r="FD294" i="30"/>
  <c r="FE294" i="30"/>
  <c r="FF294" i="30"/>
  <c r="FG294" i="30"/>
  <c r="FH294" i="30"/>
  <c r="FI294" i="30"/>
  <c r="FJ294" i="30"/>
  <c r="FK294" i="30"/>
  <c r="FL294" i="30"/>
  <c r="FM294" i="30"/>
  <c r="FN294" i="30"/>
  <c r="FO294" i="30"/>
  <c r="FP294" i="30"/>
  <c r="FQ294" i="30"/>
  <c r="FR294" i="30"/>
  <c r="FS294" i="30"/>
  <c r="FT294" i="30"/>
  <c r="FU294" i="30"/>
  <c r="FV294" i="30"/>
  <c r="FW294" i="30"/>
  <c r="FX294" i="30"/>
  <c r="FY294" i="30"/>
  <c r="FZ294" i="30"/>
  <c r="GA294" i="30"/>
  <c r="GB294" i="30"/>
  <c r="GC294" i="30"/>
  <c r="GD294" i="30"/>
  <c r="GE294" i="30"/>
  <c r="GF294" i="30"/>
  <c r="GG294" i="30"/>
  <c r="GH294" i="30"/>
  <c r="GI294" i="30"/>
  <c r="GJ294" i="30"/>
  <c r="GK294" i="30"/>
  <c r="GL294" i="30"/>
  <c r="GM294" i="30"/>
  <c r="GN294" i="30"/>
  <c r="GO294" i="30"/>
  <c r="GP294" i="30"/>
  <c r="GQ294" i="30"/>
  <c r="GR294" i="30"/>
  <c r="GS294" i="30"/>
  <c r="GT294" i="30"/>
  <c r="GU294" i="30"/>
  <c r="GV294" i="30"/>
  <c r="GW294" i="30"/>
  <c r="GX294" i="30"/>
  <c r="GY294" i="30"/>
  <c r="GZ294" i="30"/>
  <c r="HA294" i="30"/>
  <c r="HB294" i="30"/>
  <c r="HC294" i="30"/>
  <c r="HD294" i="30"/>
  <c r="HE294" i="30"/>
  <c r="HF294" i="30"/>
  <c r="HG294" i="30"/>
  <c r="HH294" i="30"/>
  <c r="HI294" i="30"/>
  <c r="HJ294" i="30"/>
  <c r="HK294" i="30"/>
  <c r="HL294" i="30"/>
  <c r="HM294" i="30"/>
  <c r="HN294" i="30"/>
  <c r="HO294" i="30"/>
  <c r="HP294" i="30"/>
  <c r="HQ294" i="30"/>
  <c r="HR294" i="30"/>
  <c r="HS294" i="30"/>
  <c r="HT294" i="30"/>
  <c r="HU294" i="30"/>
  <c r="HV294" i="30"/>
  <c r="HW294" i="30"/>
  <c r="HX294" i="30"/>
  <c r="HY294" i="30"/>
  <c r="HZ294" i="30"/>
  <c r="IA294" i="30"/>
  <c r="IB294" i="30"/>
  <c r="IC294" i="30"/>
  <c r="ID294" i="30"/>
  <c r="IE294" i="30"/>
  <c r="IF294" i="30"/>
  <c r="IG294" i="30"/>
  <c r="IH294" i="30"/>
  <c r="II294" i="30"/>
  <c r="IJ294" i="30"/>
  <c r="IK294" i="30"/>
  <c r="IL294" i="30"/>
  <c r="IM294" i="30"/>
  <c r="IN294" i="30"/>
  <c r="IO294" i="30"/>
  <c r="IP294" i="30"/>
  <c r="IQ294" i="30"/>
  <c r="IR294" i="30"/>
  <c r="IS294" i="30"/>
  <c r="IT294" i="30"/>
  <c r="IU294" i="30"/>
  <c r="IV294" i="30"/>
  <c r="A293" i="30"/>
  <c r="B293" i="30"/>
  <c r="C293" i="30"/>
  <c r="D293" i="30"/>
  <c r="E293" i="30"/>
  <c r="F293" i="30"/>
  <c r="G293" i="30"/>
  <c r="H293" i="30"/>
  <c r="I293" i="30"/>
  <c r="J293" i="30"/>
  <c r="K293" i="30"/>
  <c r="L293" i="30"/>
  <c r="M293" i="30"/>
  <c r="N293" i="30"/>
  <c r="O293" i="30"/>
  <c r="P293" i="30"/>
  <c r="Q293" i="30"/>
  <c r="R293" i="30"/>
  <c r="S293" i="30"/>
  <c r="T293" i="30"/>
  <c r="U293" i="30"/>
  <c r="V293" i="30"/>
  <c r="W293" i="30"/>
  <c r="X293" i="30"/>
  <c r="Y293" i="30"/>
  <c r="Z293" i="30"/>
  <c r="AA293" i="30"/>
  <c r="AB293" i="30"/>
  <c r="AC293" i="30"/>
  <c r="AD293" i="30"/>
  <c r="AE293" i="30"/>
  <c r="AF293" i="30"/>
  <c r="AG293" i="30"/>
  <c r="AH293" i="30"/>
  <c r="AI293" i="30"/>
  <c r="AJ293" i="30"/>
  <c r="AK293" i="30"/>
  <c r="AL293" i="30"/>
  <c r="AM293" i="30"/>
  <c r="AN293" i="30"/>
  <c r="AO293" i="30"/>
  <c r="AP293" i="30"/>
  <c r="AQ293" i="30"/>
  <c r="AR293" i="30"/>
  <c r="AS293" i="30"/>
  <c r="AT293" i="30"/>
  <c r="AU293" i="30"/>
  <c r="AV293" i="30"/>
  <c r="AW293" i="30"/>
  <c r="AX293" i="30"/>
  <c r="AY293" i="30"/>
  <c r="AZ293" i="30"/>
  <c r="BA293" i="30"/>
  <c r="BB293" i="30"/>
  <c r="BC293" i="30"/>
  <c r="BD293" i="30"/>
  <c r="BE293" i="30"/>
  <c r="BF293" i="30"/>
  <c r="BG293" i="30"/>
  <c r="BH293" i="30"/>
  <c r="BI293" i="30"/>
  <c r="BJ293" i="30"/>
  <c r="BK293" i="30"/>
  <c r="BL293" i="30"/>
  <c r="BM293" i="30"/>
  <c r="BN293" i="30"/>
  <c r="BO293" i="30"/>
  <c r="BP293" i="30"/>
  <c r="BQ293" i="30"/>
  <c r="BR293" i="30"/>
  <c r="BS293" i="30"/>
  <c r="BT293" i="30"/>
  <c r="BU293" i="30"/>
  <c r="BV293" i="30"/>
  <c r="BW293" i="30"/>
  <c r="BX293" i="30"/>
  <c r="BY293" i="30"/>
  <c r="BZ293" i="30"/>
  <c r="CA293" i="30"/>
  <c r="CB293" i="30"/>
  <c r="CC293" i="30"/>
  <c r="CD293" i="30"/>
  <c r="CE293" i="30"/>
  <c r="CF293" i="30"/>
  <c r="CG293" i="30"/>
  <c r="CH293" i="30"/>
  <c r="CI293" i="30"/>
  <c r="CJ293" i="30"/>
  <c r="CK293" i="30"/>
  <c r="CL293" i="30"/>
  <c r="CM293" i="30"/>
  <c r="CN293" i="30"/>
  <c r="CO293" i="30"/>
  <c r="CP293" i="30"/>
  <c r="CQ293" i="30"/>
  <c r="CR293" i="30"/>
  <c r="CS293" i="30"/>
  <c r="CT293" i="30"/>
  <c r="CU293" i="30"/>
  <c r="CV293" i="30"/>
  <c r="CW293" i="30"/>
  <c r="CX293" i="30"/>
  <c r="CY293" i="30"/>
  <c r="CZ293" i="30"/>
  <c r="DA293" i="30"/>
  <c r="DB293" i="30"/>
  <c r="DC293" i="30"/>
  <c r="DD293" i="30"/>
  <c r="DE293" i="30"/>
  <c r="DF293" i="30"/>
  <c r="DG293" i="30"/>
  <c r="DH293" i="30"/>
  <c r="DI293" i="30"/>
  <c r="DJ293" i="30"/>
  <c r="DK293" i="30"/>
  <c r="DL293" i="30"/>
  <c r="DM293" i="30"/>
  <c r="DN293" i="30"/>
  <c r="DO293" i="30"/>
  <c r="DP293" i="30"/>
  <c r="DQ293" i="30"/>
  <c r="DR293" i="30"/>
  <c r="DS293" i="30"/>
  <c r="DT293" i="30"/>
  <c r="DU293" i="30"/>
  <c r="DV293" i="30"/>
  <c r="DW293" i="30"/>
  <c r="DX293" i="30"/>
  <c r="DY293" i="30"/>
  <c r="DZ293" i="30"/>
  <c r="EA293" i="30"/>
  <c r="EB293" i="30"/>
  <c r="EC293" i="30"/>
  <c r="ED293" i="30"/>
  <c r="EE293" i="30"/>
  <c r="EF293" i="30"/>
  <c r="EG293" i="30"/>
  <c r="EH293" i="30"/>
  <c r="EI293" i="30"/>
  <c r="EJ293" i="30"/>
  <c r="EK293" i="30"/>
  <c r="EL293" i="30"/>
  <c r="EM293" i="30"/>
  <c r="EN293" i="30"/>
  <c r="EO293" i="30"/>
  <c r="EP293" i="30"/>
  <c r="EQ293" i="30"/>
  <c r="ER293" i="30"/>
  <c r="ES293" i="30"/>
  <c r="ET293" i="30"/>
  <c r="EU293" i="30"/>
  <c r="EV293" i="30"/>
  <c r="EW293" i="30"/>
  <c r="EX293" i="30"/>
  <c r="EY293" i="30"/>
  <c r="EZ293" i="30"/>
  <c r="FA293" i="30"/>
  <c r="FB293" i="30"/>
  <c r="FC293" i="30"/>
  <c r="FD293" i="30"/>
  <c r="FE293" i="30"/>
  <c r="FF293" i="30"/>
  <c r="FG293" i="30"/>
  <c r="FH293" i="30"/>
  <c r="FI293" i="30"/>
  <c r="FJ293" i="30"/>
  <c r="FK293" i="30"/>
  <c r="FL293" i="30"/>
  <c r="FM293" i="30"/>
  <c r="FN293" i="30"/>
  <c r="FO293" i="30"/>
  <c r="FP293" i="30"/>
  <c r="FQ293" i="30"/>
  <c r="FR293" i="30"/>
  <c r="FS293" i="30"/>
  <c r="FT293" i="30"/>
  <c r="FU293" i="30"/>
  <c r="FV293" i="30"/>
  <c r="FW293" i="30"/>
  <c r="FX293" i="30"/>
  <c r="FY293" i="30"/>
  <c r="FZ293" i="30"/>
  <c r="GA293" i="30"/>
  <c r="GB293" i="30"/>
  <c r="GC293" i="30"/>
  <c r="GD293" i="30"/>
  <c r="GE293" i="30"/>
  <c r="GF293" i="30"/>
  <c r="GG293" i="30"/>
  <c r="GH293" i="30"/>
  <c r="GI293" i="30"/>
  <c r="GJ293" i="30"/>
  <c r="GK293" i="30"/>
  <c r="GL293" i="30"/>
  <c r="GM293" i="30"/>
  <c r="GN293" i="30"/>
  <c r="GO293" i="30"/>
  <c r="GP293" i="30"/>
  <c r="GQ293" i="30"/>
  <c r="GR293" i="30"/>
  <c r="GS293" i="30"/>
  <c r="GT293" i="30"/>
  <c r="GU293" i="30"/>
  <c r="GV293" i="30"/>
  <c r="GW293" i="30"/>
  <c r="GX293" i="30"/>
  <c r="GY293" i="30"/>
  <c r="GZ293" i="30"/>
  <c r="HA293" i="30"/>
  <c r="HB293" i="30"/>
  <c r="HC293" i="30"/>
  <c r="HD293" i="30"/>
  <c r="HE293" i="30"/>
  <c r="HF293" i="30"/>
  <c r="HG293" i="30"/>
  <c r="HH293" i="30"/>
  <c r="HI293" i="30"/>
  <c r="HJ293" i="30"/>
  <c r="HK293" i="30"/>
  <c r="HL293" i="30"/>
  <c r="HM293" i="30"/>
  <c r="HN293" i="30"/>
  <c r="HO293" i="30"/>
  <c r="HP293" i="30"/>
  <c r="HQ293" i="30"/>
  <c r="HR293" i="30"/>
  <c r="HS293" i="30"/>
  <c r="HT293" i="30"/>
  <c r="HU293" i="30"/>
  <c r="HV293" i="30"/>
  <c r="HW293" i="30"/>
  <c r="HX293" i="30"/>
  <c r="HY293" i="30"/>
  <c r="HZ293" i="30"/>
  <c r="IA293" i="30"/>
  <c r="IB293" i="30"/>
  <c r="IC293" i="30"/>
  <c r="ID293" i="30"/>
  <c r="IE293" i="30"/>
  <c r="IF293" i="30"/>
  <c r="IG293" i="30"/>
  <c r="IH293" i="30"/>
  <c r="II293" i="30"/>
  <c r="IJ293" i="30"/>
  <c r="IK293" i="30"/>
  <c r="IL293" i="30"/>
  <c r="IM293" i="30"/>
  <c r="IN293" i="30"/>
  <c r="IO293" i="30"/>
  <c r="IP293" i="30"/>
  <c r="IQ293" i="30"/>
  <c r="IR293" i="30"/>
  <c r="IS293" i="30"/>
  <c r="IT293" i="30"/>
  <c r="IU293" i="30"/>
  <c r="IV293" i="30"/>
  <c r="A292" i="30"/>
  <c r="B292" i="30"/>
  <c r="C292" i="30"/>
  <c r="D292" i="30"/>
  <c r="E292" i="30"/>
  <c r="F292" i="30"/>
  <c r="G292" i="30"/>
  <c r="H292" i="30"/>
  <c r="I292" i="30"/>
  <c r="J292" i="30"/>
  <c r="K292" i="30"/>
  <c r="L292" i="30"/>
  <c r="M292" i="30"/>
  <c r="N292" i="30"/>
  <c r="O292" i="30"/>
  <c r="P292" i="30"/>
  <c r="Q292" i="30"/>
  <c r="R292" i="30"/>
  <c r="S292" i="30"/>
  <c r="T292" i="30"/>
  <c r="U292" i="30"/>
  <c r="V292" i="30"/>
  <c r="W292" i="30"/>
  <c r="X292" i="30"/>
  <c r="Y292" i="30"/>
  <c r="Z292" i="30"/>
  <c r="AA292" i="30"/>
  <c r="AB292" i="30"/>
  <c r="AC292" i="30"/>
  <c r="AD292" i="30"/>
  <c r="AE292" i="30"/>
  <c r="AF292" i="30"/>
  <c r="AG292" i="30"/>
  <c r="AH292" i="30"/>
  <c r="AI292" i="30"/>
  <c r="AJ292" i="30"/>
  <c r="AK292" i="30"/>
  <c r="AL292" i="30"/>
  <c r="AM292" i="30"/>
  <c r="AN292" i="30"/>
  <c r="AO292" i="30"/>
  <c r="AP292" i="30"/>
  <c r="AQ292" i="30"/>
  <c r="AR292" i="30"/>
  <c r="AS292" i="30"/>
  <c r="AT292" i="30"/>
  <c r="AU292" i="30"/>
  <c r="AV292" i="30"/>
  <c r="AW292" i="30"/>
  <c r="AX292" i="30"/>
  <c r="AY292" i="30"/>
  <c r="AZ292" i="30"/>
  <c r="BA292" i="30"/>
  <c r="BB292" i="30"/>
  <c r="BC292" i="30"/>
  <c r="BD292" i="30"/>
  <c r="BE292" i="30"/>
  <c r="BF292" i="30"/>
  <c r="BG292" i="30"/>
  <c r="BH292" i="30"/>
  <c r="BI292" i="30"/>
  <c r="BJ292" i="30"/>
  <c r="BK292" i="30"/>
  <c r="BL292" i="30"/>
  <c r="BM292" i="30"/>
  <c r="BN292" i="30"/>
  <c r="BO292" i="30"/>
  <c r="BP292" i="30"/>
  <c r="BQ292" i="30"/>
  <c r="BR292" i="30"/>
  <c r="BS292" i="30"/>
  <c r="BT292" i="30"/>
  <c r="BU292" i="30"/>
  <c r="BV292" i="30"/>
  <c r="BW292" i="30"/>
  <c r="BX292" i="30"/>
  <c r="BY292" i="30"/>
  <c r="BZ292" i="30"/>
  <c r="CA292" i="30"/>
  <c r="CB292" i="30"/>
  <c r="CC292" i="30"/>
  <c r="CD292" i="30"/>
  <c r="CE292" i="30"/>
  <c r="CF292" i="30"/>
  <c r="CG292" i="30"/>
  <c r="CH292" i="30"/>
  <c r="CI292" i="30"/>
  <c r="CJ292" i="30"/>
  <c r="CK292" i="30"/>
  <c r="CL292" i="30"/>
  <c r="CM292" i="30"/>
  <c r="CN292" i="30"/>
  <c r="CO292" i="30"/>
  <c r="CP292" i="30"/>
  <c r="CQ292" i="30"/>
  <c r="CR292" i="30"/>
  <c r="CS292" i="30"/>
  <c r="CT292" i="30"/>
  <c r="CU292" i="30"/>
  <c r="CV292" i="30"/>
  <c r="CW292" i="30"/>
  <c r="CX292" i="30"/>
  <c r="CY292" i="30"/>
  <c r="CZ292" i="30"/>
  <c r="DA292" i="30"/>
  <c r="DB292" i="30"/>
  <c r="DC292" i="30"/>
  <c r="DD292" i="30"/>
  <c r="DE292" i="30"/>
  <c r="DF292" i="30"/>
  <c r="DG292" i="30"/>
  <c r="DH292" i="30"/>
  <c r="DI292" i="30"/>
  <c r="DJ292" i="30"/>
  <c r="DK292" i="30"/>
  <c r="DL292" i="30"/>
  <c r="DM292" i="30"/>
  <c r="DN292" i="30"/>
  <c r="DO292" i="30"/>
  <c r="DP292" i="30"/>
  <c r="DQ292" i="30"/>
  <c r="DR292" i="30"/>
  <c r="DS292" i="30"/>
  <c r="DT292" i="30"/>
  <c r="DU292" i="30"/>
  <c r="DV292" i="30"/>
  <c r="DW292" i="30"/>
  <c r="DX292" i="30"/>
  <c r="DY292" i="30"/>
  <c r="DZ292" i="30"/>
  <c r="EA292" i="30"/>
  <c r="EB292" i="30"/>
  <c r="EC292" i="30"/>
  <c r="ED292" i="30"/>
  <c r="EE292" i="30"/>
  <c r="EF292" i="30"/>
  <c r="EG292" i="30"/>
  <c r="EH292" i="30"/>
  <c r="EI292" i="30"/>
  <c r="EJ292" i="30"/>
  <c r="EK292" i="30"/>
  <c r="EL292" i="30"/>
  <c r="EM292" i="30"/>
  <c r="EN292" i="30"/>
  <c r="EO292" i="30"/>
  <c r="EP292" i="30"/>
  <c r="EQ292" i="30"/>
  <c r="ER292" i="30"/>
  <c r="ES292" i="30"/>
  <c r="ET292" i="30"/>
  <c r="EU292" i="30"/>
  <c r="EV292" i="30"/>
  <c r="EW292" i="30"/>
  <c r="EX292" i="30"/>
  <c r="EY292" i="30"/>
  <c r="EZ292" i="30"/>
  <c r="FA292" i="30"/>
  <c r="FB292" i="30"/>
  <c r="FC292" i="30"/>
  <c r="FD292" i="30"/>
  <c r="FE292" i="30"/>
  <c r="FF292" i="30"/>
  <c r="FG292" i="30"/>
  <c r="FH292" i="30"/>
  <c r="FI292" i="30"/>
  <c r="FJ292" i="30"/>
  <c r="FK292" i="30"/>
  <c r="FL292" i="30"/>
  <c r="FM292" i="30"/>
  <c r="FN292" i="30"/>
  <c r="FO292" i="30"/>
  <c r="FP292" i="30"/>
  <c r="FQ292" i="30"/>
  <c r="FR292" i="30"/>
  <c r="FS292" i="30"/>
  <c r="FT292" i="30"/>
  <c r="FU292" i="30"/>
  <c r="FV292" i="30"/>
  <c r="FW292" i="30"/>
  <c r="FX292" i="30"/>
  <c r="FY292" i="30"/>
  <c r="FZ292" i="30"/>
  <c r="GA292" i="30"/>
  <c r="GB292" i="30"/>
  <c r="GC292" i="30"/>
  <c r="GD292" i="30"/>
  <c r="GE292" i="30"/>
  <c r="GF292" i="30"/>
  <c r="GG292" i="30"/>
  <c r="GH292" i="30"/>
  <c r="GI292" i="30"/>
  <c r="GJ292" i="30"/>
  <c r="GK292" i="30"/>
  <c r="GL292" i="30"/>
  <c r="GM292" i="30"/>
  <c r="GN292" i="30"/>
  <c r="GO292" i="30"/>
  <c r="GP292" i="30"/>
  <c r="GQ292" i="30"/>
  <c r="GR292" i="30"/>
  <c r="GS292" i="30"/>
  <c r="GT292" i="30"/>
  <c r="GU292" i="30"/>
  <c r="GV292" i="30"/>
  <c r="GW292" i="30"/>
  <c r="GX292" i="30"/>
  <c r="GY292" i="30"/>
  <c r="GZ292" i="30"/>
  <c r="HA292" i="30"/>
  <c r="HB292" i="30"/>
  <c r="HC292" i="30"/>
  <c r="HD292" i="30"/>
  <c r="HE292" i="30"/>
  <c r="HF292" i="30"/>
  <c r="HG292" i="30"/>
  <c r="HH292" i="30"/>
  <c r="HI292" i="30"/>
  <c r="HJ292" i="30"/>
  <c r="HK292" i="30"/>
  <c r="HL292" i="30"/>
  <c r="HM292" i="30"/>
  <c r="HN292" i="30"/>
  <c r="HO292" i="30"/>
  <c r="HP292" i="30"/>
  <c r="HQ292" i="30"/>
  <c r="HR292" i="30"/>
  <c r="HS292" i="30"/>
  <c r="HT292" i="30"/>
  <c r="HU292" i="30"/>
  <c r="HV292" i="30"/>
  <c r="HW292" i="30"/>
  <c r="HX292" i="30"/>
  <c r="HY292" i="30"/>
  <c r="HZ292" i="30"/>
  <c r="IA292" i="30"/>
  <c r="IB292" i="30"/>
  <c r="IC292" i="30"/>
  <c r="ID292" i="30"/>
  <c r="IE292" i="30"/>
  <c r="IF292" i="30"/>
  <c r="IG292" i="30"/>
  <c r="IH292" i="30"/>
  <c r="II292" i="30"/>
  <c r="IJ292" i="30"/>
  <c r="IK292" i="30"/>
  <c r="IL292" i="30"/>
  <c r="IM292" i="30"/>
  <c r="IN292" i="30"/>
  <c r="IO292" i="30"/>
  <c r="IP292" i="30"/>
  <c r="IQ292" i="30"/>
  <c r="IR292" i="30"/>
  <c r="IS292" i="30"/>
  <c r="IT292" i="30"/>
  <c r="IU292" i="30"/>
  <c r="IV292" i="30"/>
  <c r="A291" i="30"/>
  <c r="B291" i="30"/>
  <c r="C291" i="30"/>
  <c r="D291" i="30"/>
  <c r="E291" i="30"/>
  <c r="F291" i="30"/>
  <c r="G291" i="30"/>
  <c r="H291" i="30"/>
  <c r="I291" i="30"/>
  <c r="J291" i="30"/>
  <c r="K291" i="30"/>
  <c r="L291" i="30"/>
  <c r="M291" i="30"/>
  <c r="N291" i="30"/>
  <c r="O291" i="30"/>
  <c r="P291" i="30"/>
  <c r="Q291" i="30"/>
  <c r="R291" i="30"/>
  <c r="S291" i="30"/>
  <c r="T291" i="30"/>
  <c r="U291" i="30"/>
  <c r="V291" i="30"/>
  <c r="W291" i="30"/>
  <c r="X291" i="30"/>
  <c r="Y291" i="30"/>
  <c r="Z291" i="30"/>
  <c r="AA291" i="30"/>
  <c r="AB291" i="30"/>
  <c r="AC291" i="30"/>
  <c r="AD291" i="30"/>
  <c r="AE291" i="30"/>
  <c r="AF291" i="30"/>
  <c r="AG291" i="30"/>
  <c r="AH291" i="30"/>
  <c r="AI291" i="30"/>
  <c r="AJ291" i="30"/>
  <c r="AK291" i="30"/>
  <c r="AL291" i="30"/>
  <c r="AM291" i="30"/>
  <c r="AN291" i="30"/>
  <c r="AO291" i="30"/>
  <c r="AP291" i="30"/>
  <c r="AQ291" i="30"/>
  <c r="AR291" i="30"/>
  <c r="AS291" i="30"/>
  <c r="AT291" i="30"/>
  <c r="AU291" i="30"/>
  <c r="AV291" i="30"/>
  <c r="AW291" i="30"/>
  <c r="AX291" i="30"/>
  <c r="AY291" i="30"/>
  <c r="AZ291" i="30"/>
  <c r="BA291" i="30"/>
  <c r="BB291" i="30"/>
  <c r="BC291" i="30"/>
  <c r="BD291" i="30"/>
  <c r="BE291" i="30"/>
  <c r="BF291" i="30"/>
  <c r="BG291" i="30"/>
  <c r="BH291" i="30"/>
  <c r="BI291" i="30"/>
  <c r="BJ291" i="30"/>
  <c r="BK291" i="30"/>
  <c r="BL291" i="30"/>
  <c r="BM291" i="30"/>
  <c r="BN291" i="30"/>
  <c r="BO291" i="30"/>
  <c r="BP291" i="30"/>
  <c r="BQ291" i="30"/>
  <c r="BR291" i="30"/>
  <c r="BS291" i="30"/>
  <c r="BT291" i="30"/>
  <c r="BU291" i="30"/>
  <c r="BV291" i="30"/>
  <c r="BW291" i="30"/>
  <c r="BX291" i="30"/>
  <c r="BY291" i="30"/>
  <c r="BZ291" i="30"/>
  <c r="CA291" i="30"/>
  <c r="CB291" i="30"/>
  <c r="CC291" i="30"/>
  <c r="CD291" i="30"/>
  <c r="CE291" i="30"/>
  <c r="CF291" i="30"/>
  <c r="CG291" i="30"/>
  <c r="CH291" i="30"/>
  <c r="CI291" i="30"/>
  <c r="CJ291" i="30"/>
  <c r="CK291" i="30"/>
  <c r="CL291" i="30"/>
  <c r="CM291" i="30"/>
  <c r="CN291" i="30"/>
  <c r="CO291" i="30"/>
  <c r="CP291" i="30"/>
  <c r="CQ291" i="30"/>
  <c r="CR291" i="30"/>
  <c r="CS291" i="30"/>
  <c r="CT291" i="30"/>
  <c r="CU291" i="30"/>
  <c r="CV291" i="30"/>
  <c r="CW291" i="30"/>
  <c r="CX291" i="30"/>
  <c r="CY291" i="30"/>
  <c r="CZ291" i="30"/>
  <c r="DA291" i="30"/>
  <c r="DB291" i="30"/>
  <c r="DC291" i="30"/>
  <c r="DD291" i="30"/>
  <c r="DE291" i="30"/>
  <c r="DF291" i="30"/>
  <c r="DG291" i="30"/>
  <c r="DH291" i="30"/>
  <c r="DI291" i="30"/>
  <c r="DJ291" i="30"/>
  <c r="DK291" i="30"/>
  <c r="DL291" i="30"/>
  <c r="DM291" i="30"/>
  <c r="DN291" i="30"/>
  <c r="DO291" i="30"/>
  <c r="DP291" i="30"/>
  <c r="DQ291" i="30"/>
  <c r="DR291" i="30"/>
  <c r="DS291" i="30"/>
  <c r="DT291" i="30"/>
  <c r="DU291" i="30"/>
  <c r="DV291" i="30"/>
  <c r="DW291" i="30"/>
  <c r="DX291" i="30"/>
  <c r="DY291" i="30"/>
  <c r="DZ291" i="30"/>
  <c r="EA291" i="30"/>
  <c r="EB291" i="30"/>
  <c r="EC291" i="30"/>
  <c r="ED291" i="30"/>
  <c r="EE291" i="30"/>
  <c r="EF291" i="30"/>
  <c r="EG291" i="30"/>
  <c r="EH291" i="30"/>
  <c r="EI291" i="30"/>
  <c r="EJ291" i="30"/>
  <c r="EK291" i="30"/>
  <c r="EL291" i="30"/>
  <c r="EM291" i="30"/>
  <c r="EN291" i="30"/>
  <c r="EO291" i="30"/>
  <c r="EP291" i="30"/>
  <c r="EQ291" i="30"/>
  <c r="ER291" i="30"/>
  <c r="ES291" i="30"/>
  <c r="ET291" i="30"/>
  <c r="EU291" i="30"/>
  <c r="EV291" i="30"/>
  <c r="EW291" i="30"/>
  <c r="EX291" i="30"/>
  <c r="EY291" i="30"/>
  <c r="EZ291" i="30"/>
  <c r="FA291" i="30"/>
  <c r="FB291" i="30"/>
  <c r="FC291" i="30"/>
  <c r="FD291" i="30"/>
  <c r="FE291" i="30"/>
  <c r="FF291" i="30"/>
  <c r="FG291" i="30"/>
  <c r="FH291" i="30"/>
  <c r="FI291" i="30"/>
  <c r="FJ291" i="30"/>
  <c r="FK291" i="30"/>
  <c r="FL291" i="30"/>
  <c r="FM291" i="30"/>
  <c r="FN291" i="30"/>
  <c r="FO291" i="30"/>
  <c r="FP291" i="30"/>
  <c r="FQ291" i="30"/>
  <c r="FR291" i="30"/>
  <c r="FS291" i="30"/>
  <c r="FT291" i="30"/>
  <c r="FU291" i="30"/>
  <c r="FV291" i="30"/>
  <c r="FW291" i="30"/>
  <c r="FX291" i="30"/>
  <c r="FY291" i="30"/>
  <c r="FZ291" i="30"/>
  <c r="GA291" i="30"/>
  <c r="GB291" i="30"/>
  <c r="GC291" i="30"/>
  <c r="GD291" i="30"/>
  <c r="GE291" i="30"/>
  <c r="GF291" i="30"/>
  <c r="GG291" i="30"/>
  <c r="GH291" i="30"/>
  <c r="GI291" i="30"/>
  <c r="GJ291" i="30"/>
  <c r="GK291" i="30"/>
  <c r="GL291" i="30"/>
  <c r="GM291" i="30"/>
  <c r="GN291" i="30"/>
  <c r="GO291" i="30"/>
  <c r="GP291" i="30"/>
  <c r="GQ291" i="30"/>
  <c r="GR291" i="30"/>
  <c r="GS291" i="30"/>
  <c r="GT291" i="30"/>
  <c r="GU291" i="30"/>
  <c r="GV291" i="30"/>
  <c r="GW291" i="30"/>
  <c r="GX291" i="30"/>
  <c r="GY291" i="30"/>
  <c r="GZ291" i="30"/>
  <c r="HA291" i="30"/>
  <c r="HB291" i="30"/>
  <c r="HC291" i="30"/>
  <c r="HD291" i="30"/>
  <c r="HE291" i="30"/>
  <c r="HF291" i="30"/>
  <c r="HG291" i="30"/>
  <c r="HH291" i="30"/>
  <c r="HI291" i="30"/>
  <c r="HJ291" i="30"/>
  <c r="HK291" i="30"/>
  <c r="HL291" i="30"/>
  <c r="HM291" i="30"/>
  <c r="HN291" i="30"/>
  <c r="HO291" i="30"/>
  <c r="HP291" i="30"/>
  <c r="HQ291" i="30"/>
  <c r="HR291" i="30"/>
  <c r="HS291" i="30"/>
  <c r="HT291" i="30"/>
  <c r="HU291" i="30"/>
  <c r="HV291" i="30"/>
  <c r="HW291" i="30"/>
  <c r="HX291" i="30"/>
  <c r="HY291" i="30"/>
  <c r="HZ291" i="30"/>
  <c r="IA291" i="30"/>
  <c r="IB291" i="30"/>
  <c r="IC291" i="30"/>
  <c r="ID291" i="30"/>
  <c r="IE291" i="30"/>
  <c r="IF291" i="30"/>
  <c r="IG291" i="30"/>
  <c r="IH291" i="30"/>
  <c r="II291" i="30"/>
  <c r="IJ291" i="30"/>
  <c r="IK291" i="30"/>
  <c r="IL291" i="30"/>
  <c r="IM291" i="30"/>
  <c r="IN291" i="30"/>
  <c r="IO291" i="30"/>
  <c r="IP291" i="30"/>
  <c r="IQ291" i="30"/>
  <c r="IR291" i="30"/>
  <c r="IS291" i="30"/>
  <c r="IT291" i="30"/>
  <c r="IU291" i="30"/>
  <c r="IV291" i="30"/>
  <c r="A290" i="30"/>
  <c r="B290" i="30"/>
  <c r="C290" i="30"/>
  <c r="D290" i="30"/>
  <c r="E290" i="30"/>
  <c r="F290" i="30"/>
  <c r="G290" i="30"/>
  <c r="H290" i="30"/>
  <c r="I290" i="30"/>
  <c r="J290" i="30"/>
  <c r="K290" i="30"/>
  <c r="L290" i="30"/>
  <c r="M290" i="30"/>
  <c r="N290" i="30"/>
  <c r="O290" i="30"/>
  <c r="P290" i="30"/>
  <c r="Q290" i="30"/>
  <c r="R290" i="30"/>
  <c r="S290" i="30"/>
  <c r="T290" i="30"/>
  <c r="U290" i="30"/>
  <c r="V290" i="30"/>
  <c r="W290" i="30"/>
  <c r="X290" i="30"/>
  <c r="Y290" i="30"/>
  <c r="Z290" i="30"/>
  <c r="AA290" i="30"/>
  <c r="AB290" i="30"/>
  <c r="AC290" i="30"/>
  <c r="AD290" i="30"/>
  <c r="AE290" i="30"/>
  <c r="AF290" i="30"/>
  <c r="AG290" i="30"/>
  <c r="AH290" i="30"/>
  <c r="AI290" i="30"/>
  <c r="AJ290" i="30"/>
  <c r="AK290" i="30"/>
  <c r="AL290" i="30"/>
  <c r="AM290" i="30"/>
  <c r="AN290" i="30"/>
  <c r="AO290" i="30"/>
  <c r="AP290" i="30"/>
  <c r="AQ290" i="30"/>
  <c r="AR290" i="30"/>
  <c r="AS290" i="30"/>
  <c r="AT290" i="30"/>
  <c r="AU290" i="30"/>
  <c r="AV290" i="30"/>
  <c r="AW290" i="30"/>
  <c r="AX290" i="30"/>
  <c r="AY290" i="30"/>
  <c r="AZ290" i="30"/>
  <c r="BA290" i="30"/>
  <c r="BB290" i="30"/>
  <c r="BC290" i="30"/>
  <c r="BD290" i="30"/>
  <c r="BE290" i="30"/>
  <c r="BF290" i="30"/>
  <c r="BG290" i="30"/>
  <c r="BH290" i="30"/>
  <c r="BI290" i="30"/>
  <c r="BJ290" i="30"/>
  <c r="BK290" i="30"/>
  <c r="BL290" i="30"/>
  <c r="BM290" i="30"/>
  <c r="BN290" i="30"/>
  <c r="BO290" i="30"/>
  <c r="BP290" i="30"/>
  <c r="BQ290" i="30"/>
  <c r="BR290" i="30"/>
  <c r="BS290" i="30"/>
  <c r="BT290" i="30"/>
  <c r="BU290" i="30"/>
  <c r="BV290" i="30"/>
  <c r="BW290" i="30"/>
  <c r="BX290" i="30"/>
  <c r="BY290" i="30"/>
  <c r="BZ290" i="30"/>
  <c r="CA290" i="30"/>
  <c r="CB290" i="30"/>
  <c r="CC290" i="30"/>
  <c r="CD290" i="30"/>
  <c r="CE290" i="30"/>
  <c r="CF290" i="30"/>
  <c r="CG290" i="30"/>
  <c r="CH290" i="30"/>
  <c r="CI290" i="30"/>
  <c r="CJ290" i="30"/>
  <c r="CK290" i="30"/>
  <c r="CL290" i="30"/>
  <c r="CM290" i="30"/>
  <c r="CN290" i="30"/>
  <c r="CO290" i="30"/>
  <c r="CP290" i="30"/>
  <c r="CQ290" i="30"/>
  <c r="CR290" i="30"/>
  <c r="CS290" i="30"/>
  <c r="CT290" i="30"/>
  <c r="CU290" i="30"/>
  <c r="CV290" i="30"/>
  <c r="CW290" i="30"/>
  <c r="CX290" i="30"/>
  <c r="CY290" i="30"/>
  <c r="CZ290" i="30"/>
  <c r="DA290" i="30"/>
  <c r="DB290" i="30"/>
  <c r="DC290" i="30"/>
  <c r="DD290" i="30"/>
  <c r="DE290" i="30"/>
  <c r="DF290" i="30"/>
  <c r="DG290" i="30"/>
  <c r="DH290" i="30"/>
  <c r="DI290" i="30"/>
  <c r="DJ290" i="30"/>
  <c r="DK290" i="30"/>
  <c r="DL290" i="30"/>
  <c r="DM290" i="30"/>
  <c r="DN290" i="30"/>
  <c r="DO290" i="30"/>
  <c r="DP290" i="30"/>
  <c r="DQ290" i="30"/>
  <c r="DR290" i="30"/>
  <c r="DS290" i="30"/>
  <c r="DT290" i="30"/>
  <c r="DU290" i="30"/>
  <c r="DV290" i="30"/>
  <c r="DW290" i="30"/>
  <c r="DX290" i="30"/>
  <c r="DY290" i="30"/>
  <c r="DZ290" i="30"/>
  <c r="EA290" i="30"/>
  <c r="EB290" i="30"/>
  <c r="EC290" i="30"/>
  <c r="ED290" i="30"/>
  <c r="EE290" i="30"/>
  <c r="EF290" i="30"/>
  <c r="EG290" i="30"/>
  <c r="EH290" i="30"/>
  <c r="EI290" i="30"/>
  <c r="EJ290" i="30"/>
  <c r="EK290" i="30"/>
  <c r="EL290" i="30"/>
  <c r="EM290" i="30"/>
  <c r="EN290" i="30"/>
  <c r="EO290" i="30"/>
  <c r="EP290" i="30"/>
  <c r="EQ290" i="30"/>
  <c r="ER290" i="30"/>
  <c r="ES290" i="30"/>
  <c r="ET290" i="30"/>
  <c r="EU290" i="30"/>
  <c r="EV290" i="30"/>
  <c r="EW290" i="30"/>
  <c r="EX290" i="30"/>
  <c r="EY290" i="30"/>
  <c r="EZ290" i="30"/>
  <c r="FA290" i="30"/>
  <c r="FB290" i="30"/>
  <c r="FC290" i="30"/>
  <c r="FD290" i="30"/>
  <c r="FE290" i="30"/>
  <c r="FF290" i="30"/>
  <c r="FG290" i="30"/>
  <c r="FH290" i="30"/>
  <c r="FI290" i="30"/>
  <c r="FJ290" i="30"/>
  <c r="FK290" i="30"/>
  <c r="FL290" i="30"/>
  <c r="FM290" i="30"/>
  <c r="FN290" i="30"/>
  <c r="FO290" i="30"/>
  <c r="FP290" i="30"/>
  <c r="FQ290" i="30"/>
  <c r="FR290" i="30"/>
  <c r="FS290" i="30"/>
  <c r="FT290" i="30"/>
  <c r="FU290" i="30"/>
  <c r="FV290" i="30"/>
  <c r="FW290" i="30"/>
  <c r="FX290" i="30"/>
  <c r="FY290" i="30"/>
  <c r="FZ290" i="30"/>
  <c r="GA290" i="30"/>
  <c r="GB290" i="30"/>
  <c r="GC290" i="30"/>
  <c r="GD290" i="30"/>
  <c r="GE290" i="30"/>
  <c r="GF290" i="30"/>
  <c r="GG290" i="30"/>
  <c r="GH290" i="30"/>
  <c r="GI290" i="30"/>
  <c r="GJ290" i="30"/>
  <c r="GK290" i="30"/>
  <c r="GL290" i="30"/>
  <c r="GM290" i="30"/>
  <c r="GN290" i="30"/>
  <c r="GO290" i="30"/>
  <c r="GP290" i="30"/>
  <c r="GQ290" i="30"/>
  <c r="GR290" i="30"/>
  <c r="GS290" i="30"/>
  <c r="GT290" i="30"/>
  <c r="GU290" i="30"/>
  <c r="GV290" i="30"/>
  <c r="GW290" i="30"/>
  <c r="GX290" i="30"/>
  <c r="GY290" i="30"/>
  <c r="GZ290" i="30"/>
  <c r="HA290" i="30"/>
  <c r="HB290" i="30"/>
  <c r="HC290" i="30"/>
  <c r="HD290" i="30"/>
  <c r="HE290" i="30"/>
  <c r="HF290" i="30"/>
  <c r="HG290" i="30"/>
  <c r="HH290" i="30"/>
  <c r="HI290" i="30"/>
  <c r="HJ290" i="30"/>
  <c r="HK290" i="30"/>
  <c r="HL290" i="30"/>
  <c r="HM290" i="30"/>
  <c r="HN290" i="30"/>
  <c r="HO290" i="30"/>
  <c r="HP290" i="30"/>
  <c r="HQ290" i="30"/>
  <c r="HR290" i="30"/>
  <c r="HS290" i="30"/>
  <c r="HT290" i="30"/>
  <c r="HU290" i="30"/>
  <c r="HV290" i="30"/>
  <c r="HW290" i="30"/>
  <c r="HX290" i="30"/>
  <c r="HY290" i="30"/>
  <c r="HZ290" i="30"/>
  <c r="IA290" i="30"/>
  <c r="IB290" i="30"/>
  <c r="IC290" i="30"/>
  <c r="ID290" i="30"/>
  <c r="IE290" i="30"/>
  <c r="IF290" i="30"/>
  <c r="IG290" i="30"/>
  <c r="IH290" i="30"/>
  <c r="II290" i="30"/>
  <c r="IJ290" i="30"/>
  <c r="IK290" i="30"/>
  <c r="IL290" i="30"/>
  <c r="IM290" i="30"/>
  <c r="IN290" i="30"/>
  <c r="IO290" i="30"/>
  <c r="IP290" i="30"/>
  <c r="IQ290" i="30"/>
  <c r="IR290" i="30"/>
  <c r="IS290" i="30"/>
  <c r="IT290" i="30"/>
  <c r="IU290" i="30"/>
  <c r="IV290" i="30"/>
  <c r="A289" i="30"/>
  <c r="B289" i="30"/>
  <c r="C289" i="30"/>
  <c r="D289" i="30"/>
  <c r="E289" i="30"/>
  <c r="F289" i="30"/>
  <c r="G289" i="30"/>
  <c r="H289" i="30"/>
  <c r="I289" i="30"/>
  <c r="J289" i="30"/>
  <c r="K289" i="30"/>
  <c r="L289" i="30"/>
  <c r="M289" i="30"/>
  <c r="N289" i="30"/>
  <c r="O289" i="30"/>
  <c r="P289" i="30"/>
  <c r="Q289" i="30"/>
  <c r="R289" i="30"/>
  <c r="S289" i="30"/>
  <c r="T289" i="30"/>
  <c r="U289" i="30"/>
  <c r="V289" i="30"/>
  <c r="W289" i="30"/>
  <c r="X289" i="30"/>
  <c r="Y289" i="30"/>
  <c r="Z289" i="30"/>
  <c r="AA289" i="30"/>
  <c r="AB289" i="30"/>
  <c r="AC289" i="30"/>
  <c r="AD289" i="30"/>
  <c r="AE289" i="30"/>
  <c r="AF289" i="30"/>
  <c r="AG289" i="30"/>
  <c r="AH289" i="30"/>
  <c r="AI289" i="30"/>
  <c r="AJ289" i="30"/>
  <c r="AK289" i="30"/>
  <c r="AL289" i="30"/>
  <c r="AM289" i="30"/>
  <c r="AN289" i="30"/>
  <c r="AO289" i="30"/>
  <c r="AP289" i="30"/>
  <c r="AQ289" i="30"/>
  <c r="AR289" i="30"/>
  <c r="AS289" i="30"/>
  <c r="AT289" i="30"/>
  <c r="AU289" i="30"/>
  <c r="AV289" i="30"/>
  <c r="AW289" i="30"/>
  <c r="AX289" i="30"/>
  <c r="AY289" i="30"/>
  <c r="AZ289" i="30"/>
  <c r="BA289" i="30"/>
  <c r="BB289" i="30"/>
  <c r="BC289" i="30"/>
  <c r="BD289" i="30"/>
  <c r="BE289" i="30"/>
  <c r="BF289" i="30"/>
  <c r="BG289" i="30"/>
  <c r="BH289" i="30"/>
  <c r="BI289" i="30"/>
  <c r="BJ289" i="30"/>
  <c r="BK289" i="30"/>
  <c r="BL289" i="30"/>
  <c r="BM289" i="30"/>
  <c r="BN289" i="30"/>
  <c r="BO289" i="30"/>
  <c r="BP289" i="30"/>
  <c r="BQ289" i="30"/>
  <c r="BR289" i="30"/>
  <c r="BS289" i="30"/>
  <c r="BT289" i="30"/>
  <c r="BU289" i="30"/>
  <c r="BV289" i="30"/>
  <c r="BW289" i="30"/>
  <c r="BX289" i="30"/>
  <c r="BY289" i="30"/>
  <c r="BZ289" i="30"/>
  <c r="CA289" i="30"/>
  <c r="CB289" i="30"/>
  <c r="CC289" i="30"/>
  <c r="CD289" i="30"/>
  <c r="CE289" i="30"/>
  <c r="CF289" i="30"/>
  <c r="CG289" i="30"/>
  <c r="CH289" i="30"/>
  <c r="CI289" i="30"/>
  <c r="CJ289" i="30"/>
  <c r="CK289" i="30"/>
  <c r="CL289" i="30"/>
  <c r="CM289" i="30"/>
  <c r="CN289" i="30"/>
  <c r="CO289" i="30"/>
  <c r="CP289" i="30"/>
  <c r="CQ289" i="30"/>
  <c r="CR289" i="30"/>
  <c r="CS289" i="30"/>
  <c r="CT289" i="30"/>
  <c r="CU289" i="30"/>
  <c r="CV289" i="30"/>
  <c r="CW289" i="30"/>
  <c r="CX289" i="30"/>
  <c r="CY289" i="30"/>
  <c r="CZ289" i="30"/>
  <c r="DA289" i="30"/>
  <c r="DB289" i="30"/>
  <c r="DC289" i="30"/>
  <c r="DD289" i="30"/>
  <c r="DE289" i="30"/>
  <c r="DF289" i="30"/>
  <c r="DG289" i="30"/>
  <c r="DH289" i="30"/>
  <c r="DI289" i="30"/>
  <c r="DJ289" i="30"/>
  <c r="DK289" i="30"/>
  <c r="DL289" i="30"/>
  <c r="DM289" i="30"/>
  <c r="DN289" i="30"/>
  <c r="DO289" i="30"/>
  <c r="DP289" i="30"/>
  <c r="DQ289" i="30"/>
  <c r="DR289" i="30"/>
  <c r="DS289" i="30"/>
  <c r="DT289" i="30"/>
  <c r="DU289" i="30"/>
  <c r="DV289" i="30"/>
  <c r="DW289" i="30"/>
  <c r="DX289" i="30"/>
  <c r="DY289" i="30"/>
  <c r="DZ289" i="30"/>
  <c r="EA289" i="30"/>
  <c r="EB289" i="30"/>
  <c r="EC289" i="30"/>
  <c r="ED289" i="30"/>
  <c r="EE289" i="30"/>
  <c r="EF289" i="30"/>
  <c r="EG289" i="30"/>
  <c r="EH289" i="30"/>
  <c r="EI289" i="30"/>
  <c r="EJ289" i="30"/>
  <c r="EK289" i="30"/>
  <c r="EL289" i="30"/>
  <c r="EM289" i="30"/>
  <c r="EN289" i="30"/>
  <c r="EO289" i="30"/>
  <c r="EP289" i="30"/>
  <c r="EQ289" i="30"/>
  <c r="ER289" i="30"/>
  <c r="ES289" i="30"/>
  <c r="ET289" i="30"/>
  <c r="EU289" i="30"/>
  <c r="EV289" i="30"/>
  <c r="EW289" i="30"/>
  <c r="EX289" i="30"/>
  <c r="EY289" i="30"/>
  <c r="EZ289" i="30"/>
  <c r="FA289" i="30"/>
  <c r="FB289" i="30"/>
  <c r="FC289" i="30"/>
  <c r="FD289" i="30"/>
  <c r="FE289" i="30"/>
  <c r="FF289" i="30"/>
  <c r="FG289" i="30"/>
  <c r="FH289" i="30"/>
  <c r="FI289" i="30"/>
  <c r="FJ289" i="30"/>
  <c r="FK289" i="30"/>
  <c r="FL289" i="30"/>
  <c r="FM289" i="30"/>
  <c r="FN289" i="30"/>
  <c r="FO289" i="30"/>
  <c r="FP289" i="30"/>
  <c r="FQ289" i="30"/>
  <c r="FR289" i="30"/>
  <c r="FS289" i="30"/>
  <c r="FT289" i="30"/>
  <c r="FU289" i="30"/>
  <c r="FV289" i="30"/>
  <c r="FW289" i="30"/>
  <c r="FX289" i="30"/>
  <c r="FY289" i="30"/>
  <c r="FZ289" i="30"/>
  <c r="GA289" i="30"/>
  <c r="GB289" i="30"/>
  <c r="GC289" i="30"/>
  <c r="GD289" i="30"/>
  <c r="GE289" i="30"/>
  <c r="GF289" i="30"/>
  <c r="GG289" i="30"/>
  <c r="GH289" i="30"/>
  <c r="GI289" i="30"/>
  <c r="GJ289" i="30"/>
  <c r="GK289" i="30"/>
  <c r="GL289" i="30"/>
  <c r="GM289" i="30"/>
  <c r="GN289" i="30"/>
  <c r="GO289" i="30"/>
  <c r="GP289" i="30"/>
  <c r="GQ289" i="30"/>
  <c r="GR289" i="30"/>
  <c r="GS289" i="30"/>
  <c r="GT289" i="30"/>
  <c r="GU289" i="30"/>
  <c r="GV289" i="30"/>
  <c r="GW289" i="30"/>
  <c r="GX289" i="30"/>
  <c r="GY289" i="30"/>
  <c r="GZ289" i="30"/>
  <c r="HA289" i="30"/>
  <c r="HB289" i="30"/>
  <c r="HC289" i="30"/>
  <c r="HD289" i="30"/>
  <c r="HE289" i="30"/>
  <c r="HF289" i="30"/>
  <c r="HG289" i="30"/>
  <c r="HH289" i="30"/>
  <c r="HI289" i="30"/>
  <c r="HJ289" i="30"/>
  <c r="HK289" i="30"/>
  <c r="HL289" i="30"/>
  <c r="HM289" i="30"/>
  <c r="HN289" i="30"/>
  <c r="HO289" i="30"/>
  <c r="HP289" i="30"/>
  <c r="HQ289" i="30"/>
  <c r="HR289" i="30"/>
  <c r="HS289" i="30"/>
  <c r="HT289" i="30"/>
  <c r="HU289" i="30"/>
  <c r="HV289" i="30"/>
  <c r="HW289" i="30"/>
  <c r="HX289" i="30"/>
  <c r="HY289" i="30"/>
  <c r="HZ289" i="30"/>
  <c r="IA289" i="30"/>
  <c r="IB289" i="30"/>
  <c r="IC289" i="30"/>
  <c r="ID289" i="30"/>
  <c r="IE289" i="30"/>
  <c r="IF289" i="30"/>
  <c r="IG289" i="30"/>
  <c r="IH289" i="30"/>
  <c r="II289" i="30"/>
  <c r="IJ289" i="30"/>
  <c r="IK289" i="30"/>
  <c r="IL289" i="30"/>
  <c r="IM289" i="30"/>
  <c r="IN289" i="30"/>
  <c r="IO289" i="30"/>
  <c r="IP289" i="30"/>
  <c r="IQ289" i="30"/>
  <c r="IR289" i="30"/>
  <c r="IS289" i="30"/>
  <c r="IT289" i="30"/>
  <c r="IU289" i="30"/>
  <c r="IV289" i="30"/>
  <c r="A288" i="30"/>
  <c r="B288" i="30"/>
  <c r="C288" i="30"/>
  <c r="D288" i="30"/>
  <c r="E288" i="30"/>
  <c r="F288" i="30"/>
  <c r="G288" i="30"/>
  <c r="H288" i="30"/>
  <c r="I288" i="30"/>
  <c r="J288" i="30"/>
  <c r="K288" i="30"/>
  <c r="L288" i="30"/>
  <c r="M288" i="30"/>
  <c r="N288" i="30"/>
  <c r="O288" i="30"/>
  <c r="P288" i="30"/>
  <c r="Q288" i="30"/>
  <c r="R288" i="30"/>
  <c r="S288" i="30"/>
  <c r="T288" i="30"/>
  <c r="U288" i="30"/>
  <c r="V288" i="30"/>
  <c r="W288" i="30"/>
  <c r="X288" i="30"/>
  <c r="Y288" i="30"/>
  <c r="Z288" i="30"/>
  <c r="AA288" i="30"/>
  <c r="AB288" i="30"/>
  <c r="AC288" i="30"/>
  <c r="AD288" i="30"/>
  <c r="AE288" i="30"/>
  <c r="AF288" i="30"/>
  <c r="AG288" i="30"/>
  <c r="AH288" i="30"/>
  <c r="AI288" i="30"/>
  <c r="AJ288" i="30"/>
  <c r="AK288" i="30"/>
  <c r="AL288" i="30"/>
  <c r="AM288" i="30"/>
  <c r="AN288" i="30"/>
  <c r="AO288" i="30"/>
  <c r="AP288" i="30"/>
  <c r="AQ288" i="30"/>
  <c r="AR288" i="30"/>
  <c r="AS288" i="30"/>
  <c r="AT288" i="30"/>
  <c r="AU288" i="30"/>
  <c r="AV288" i="30"/>
  <c r="AW288" i="30"/>
  <c r="AX288" i="30"/>
  <c r="AY288" i="30"/>
  <c r="AZ288" i="30"/>
  <c r="BA288" i="30"/>
  <c r="BB288" i="30"/>
  <c r="BC288" i="30"/>
  <c r="BD288" i="30"/>
  <c r="BE288" i="30"/>
  <c r="BF288" i="30"/>
  <c r="BG288" i="30"/>
  <c r="BH288" i="30"/>
  <c r="BI288" i="30"/>
  <c r="BJ288" i="30"/>
  <c r="BK288" i="30"/>
  <c r="BL288" i="30"/>
  <c r="BM288" i="30"/>
  <c r="BN288" i="30"/>
  <c r="BO288" i="30"/>
  <c r="BP288" i="30"/>
  <c r="BQ288" i="30"/>
  <c r="BR288" i="30"/>
  <c r="BS288" i="30"/>
  <c r="BT288" i="30"/>
  <c r="BU288" i="30"/>
  <c r="BV288" i="30"/>
  <c r="BW288" i="30"/>
  <c r="BX288" i="30"/>
  <c r="BY288" i="30"/>
  <c r="BZ288" i="30"/>
  <c r="CA288" i="30"/>
  <c r="CB288" i="30"/>
  <c r="CC288" i="30"/>
  <c r="CD288" i="30"/>
  <c r="CE288" i="30"/>
  <c r="CF288" i="30"/>
  <c r="CG288" i="30"/>
  <c r="CH288" i="30"/>
  <c r="CI288" i="30"/>
  <c r="CJ288" i="30"/>
  <c r="CK288" i="30"/>
  <c r="CL288" i="30"/>
  <c r="CM288" i="30"/>
  <c r="CN288" i="30"/>
  <c r="CO288" i="30"/>
  <c r="CP288" i="30"/>
  <c r="CQ288" i="30"/>
  <c r="CR288" i="30"/>
  <c r="CS288" i="30"/>
  <c r="CT288" i="30"/>
  <c r="CU288" i="30"/>
  <c r="CV288" i="30"/>
  <c r="CW288" i="30"/>
  <c r="CX288" i="30"/>
  <c r="CY288" i="30"/>
  <c r="CZ288" i="30"/>
  <c r="DA288" i="30"/>
  <c r="DB288" i="30"/>
  <c r="DC288" i="30"/>
  <c r="DD288" i="30"/>
  <c r="DE288" i="30"/>
  <c r="DF288" i="30"/>
  <c r="DG288" i="30"/>
  <c r="DH288" i="30"/>
  <c r="DI288" i="30"/>
  <c r="DJ288" i="30"/>
  <c r="DK288" i="30"/>
  <c r="DL288" i="30"/>
  <c r="DM288" i="30"/>
  <c r="DN288" i="30"/>
  <c r="DO288" i="30"/>
  <c r="DP288" i="30"/>
  <c r="DQ288" i="30"/>
  <c r="DR288" i="30"/>
  <c r="DS288" i="30"/>
  <c r="DT288" i="30"/>
  <c r="DU288" i="30"/>
  <c r="DV288" i="30"/>
  <c r="DW288" i="30"/>
  <c r="DX288" i="30"/>
  <c r="DY288" i="30"/>
  <c r="DZ288" i="30"/>
  <c r="EA288" i="30"/>
  <c r="EB288" i="30"/>
  <c r="EC288" i="30"/>
  <c r="ED288" i="30"/>
  <c r="EE288" i="30"/>
  <c r="EF288" i="30"/>
  <c r="EG288" i="30"/>
  <c r="EH288" i="30"/>
  <c r="EI288" i="30"/>
  <c r="EJ288" i="30"/>
  <c r="EK288" i="30"/>
  <c r="EL288" i="30"/>
  <c r="EM288" i="30"/>
  <c r="EN288" i="30"/>
  <c r="EO288" i="30"/>
  <c r="EP288" i="30"/>
  <c r="EQ288" i="30"/>
  <c r="ER288" i="30"/>
  <c r="ES288" i="30"/>
  <c r="ET288" i="30"/>
  <c r="EU288" i="30"/>
  <c r="EV288" i="30"/>
  <c r="EW288" i="30"/>
  <c r="EX288" i="30"/>
  <c r="EY288" i="30"/>
  <c r="EZ288" i="30"/>
  <c r="FA288" i="30"/>
  <c r="FB288" i="30"/>
  <c r="FC288" i="30"/>
  <c r="FD288" i="30"/>
  <c r="FE288" i="30"/>
  <c r="FF288" i="30"/>
  <c r="FG288" i="30"/>
  <c r="FH288" i="30"/>
  <c r="FI288" i="30"/>
  <c r="FJ288" i="30"/>
  <c r="FK288" i="30"/>
  <c r="FL288" i="30"/>
  <c r="FM288" i="30"/>
  <c r="FN288" i="30"/>
  <c r="FO288" i="30"/>
  <c r="FP288" i="30"/>
  <c r="FQ288" i="30"/>
  <c r="FR288" i="30"/>
  <c r="FS288" i="30"/>
  <c r="FT288" i="30"/>
  <c r="FU288" i="30"/>
  <c r="FV288" i="30"/>
  <c r="FW288" i="30"/>
  <c r="FX288" i="30"/>
  <c r="FY288" i="30"/>
  <c r="FZ288" i="30"/>
  <c r="GA288" i="30"/>
  <c r="GB288" i="30"/>
  <c r="GC288" i="30"/>
  <c r="GD288" i="30"/>
  <c r="GE288" i="30"/>
  <c r="GF288" i="30"/>
  <c r="GG288" i="30"/>
  <c r="GH288" i="30"/>
  <c r="GI288" i="30"/>
  <c r="GJ288" i="30"/>
  <c r="GK288" i="30"/>
  <c r="GL288" i="30"/>
  <c r="GM288" i="30"/>
  <c r="GN288" i="30"/>
  <c r="GO288" i="30"/>
  <c r="GP288" i="30"/>
  <c r="GQ288" i="30"/>
  <c r="GR288" i="30"/>
  <c r="GS288" i="30"/>
  <c r="GT288" i="30"/>
  <c r="GU288" i="30"/>
  <c r="GV288" i="30"/>
  <c r="GW288" i="30"/>
  <c r="GX288" i="30"/>
  <c r="GY288" i="30"/>
  <c r="GZ288" i="30"/>
  <c r="HA288" i="30"/>
  <c r="HB288" i="30"/>
  <c r="HC288" i="30"/>
  <c r="HD288" i="30"/>
  <c r="HE288" i="30"/>
  <c r="HF288" i="30"/>
  <c r="HG288" i="30"/>
  <c r="HH288" i="30"/>
  <c r="HI288" i="30"/>
  <c r="HJ288" i="30"/>
  <c r="HK288" i="30"/>
  <c r="HL288" i="30"/>
  <c r="HM288" i="30"/>
  <c r="HN288" i="30"/>
  <c r="HO288" i="30"/>
  <c r="HP288" i="30"/>
  <c r="HQ288" i="30"/>
  <c r="HR288" i="30"/>
  <c r="HS288" i="30"/>
  <c r="HT288" i="30"/>
  <c r="HU288" i="30"/>
  <c r="HV288" i="30"/>
  <c r="HW288" i="30"/>
  <c r="HX288" i="30"/>
  <c r="HY288" i="30"/>
  <c r="HZ288" i="30"/>
  <c r="IA288" i="30"/>
  <c r="IB288" i="30"/>
  <c r="IC288" i="30"/>
  <c r="ID288" i="30"/>
  <c r="IE288" i="30"/>
  <c r="IF288" i="30"/>
  <c r="IG288" i="30"/>
  <c r="IH288" i="30"/>
  <c r="II288" i="30"/>
  <c r="IJ288" i="30"/>
  <c r="IK288" i="30"/>
  <c r="IL288" i="30"/>
  <c r="IM288" i="30"/>
  <c r="IN288" i="30"/>
  <c r="IO288" i="30"/>
  <c r="IP288" i="30"/>
  <c r="IQ288" i="30"/>
  <c r="IR288" i="30"/>
  <c r="IS288" i="30"/>
  <c r="IT288" i="30"/>
  <c r="IU288" i="30"/>
  <c r="IV288" i="30"/>
  <c r="A287" i="30"/>
  <c r="B287" i="30"/>
  <c r="C287" i="30"/>
  <c r="D287" i="30"/>
  <c r="E287" i="30"/>
  <c r="F287" i="30"/>
  <c r="G287" i="30"/>
  <c r="H287" i="30"/>
  <c r="I287" i="30"/>
  <c r="J287" i="30"/>
  <c r="K287" i="30"/>
  <c r="L287" i="30"/>
  <c r="M287" i="30"/>
  <c r="N287" i="30"/>
  <c r="O287" i="30"/>
  <c r="P287" i="30"/>
  <c r="Q287" i="30"/>
  <c r="R287" i="30"/>
  <c r="S287" i="30"/>
  <c r="T287" i="30"/>
  <c r="U287" i="30"/>
  <c r="V287" i="30"/>
  <c r="W287" i="30"/>
  <c r="X287" i="30"/>
  <c r="Y287" i="30"/>
  <c r="Z287" i="30"/>
  <c r="AA287" i="30"/>
  <c r="AB287" i="30"/>
  <c r="AC287" i="30"/>
  <c r="AD287" i="30"/>
  <c r="AE287" i="30"/>
  <c r="AF287" i="30"/>
  <c r="AG287" i="30"/>
  <c r="AH287" i="30"/>
  <c r="AI287" i="30"/>
  <c r="AJ287" i="30"/>
  <c r="AK287" i="30"/>
  <c r="AL287" i="30"/>
  <c r="AM287" i="30"/>
  <c r="AN287" i="30"/>
  <c r="AO287" i="30"/>
  <c r="AP287" i="30"/>
  <c r="AQ287" i="30"/>
  <c r="AR287" i="30"/>
  <c r="AS287" i="30"/>
  <c r="AT287" i="30"/>
  <c r="AU287" i="30"/>
  <c r="AV287" i="30"/>
  <c r="AW287" i="30"/>
  <c r="AX287" i="30"/>
  <c r="AY287" i="30"/>
  <c r="AZ287" i="30"/>
  <c r="BA287" i="30"/>
  <c r="BB287" i="30"/>
  <c r="BC287" i="30"/>
  <c r="BD287" i="30"/>
  <c r="BE287" i="30"/>
  <c r="BF287" i="30"/>
  <c r="BG287" i="30"/>
  <c r="BH287" i="30"/>
  <c r="BI287" i="30"/>
  <c r="BJ287" i="30"/>
  <c r="BK287" i="30"/>
  <c r="BL287" i="30"/>
  <c r="BM287" i="30"/>
  <c r="BN287" i="30"/>
  <c r="BO287" i="30"/>
  <c r="BP287" i="30"/>
  <c r="BQ287" i="30"/>
  <c r="BR287" i="30"/>
  <c r="BS287" i="30"/>
  <c r="BT287" i="30"/>
  <c r="BU287" i="30"/>
  <c r="BV287" i="30"/>
  <c r="BW287" i="30"/>
  <c r="BX287" i="30"/>
  <c r="BY287" i="30"/>
  <c r="BZ287" i="30"/>
  <c r="CA287" i="30"/>
  <c r="CB287" i="30"/>
  <c r="CC287" i="30"/>
  <c r="CD287" i="30"/>
  <c r="CE287" i="30"/>
  <c r="CF287" i="30"/>
  <c r="CG287" i="30"/>
  <c r="CH287" i="30"/>
  <c r="CI287" i="30"/>
  <c r="CJ287" i="30"/>
  <c r="CK287" i="30"/>
  <c r="CL287" i="30"/>
  <c r="CM287" i="30"/>
  <c r="CN287" i="30"/>
  <c r="CO287" i="30"/>
  <c r="CP287" i="30"/>
  <c r="CQ287" i="30"/>
  <c r="CR287" i="30"/>
  <c r="CS287" i="30"/>
  <c r="CT287" i="30"/>
  <c r="CU287" i="30"/>
  <c r="CV287" i="30"/>
  <c r="CW287" i="30"/>
  <c r="CX287" i="30"/>
  <c r="CY287" i="30"/>
  <c r="CZ287" i="30"/>
  <c r="DA287" i="30"/>
  <c r="DB287" i="30"/>
  <c r="DC287" i="30"/>
  <c r="DD287" i="30"/>
  <c r="DE287" i="30"/>
  <c r="DF287" i="30"/>
  <c r="DG287" i="30"/>
  <c r="DH287" i="30"/>
  <c r="DI287" i="30"/>
  <c r="DJ287" i="30"/>
  <c r="DK287" i="30"/>
  <c r="DL287" i="30"/>
  <c r="DM287" i="30"/>
  <c r="DN287" i="30"/>
  <c r="DO287" i="30"/>
  <c r="DP287" i="30"/>
  <c r="DQ287" i="30"/>
  <c r="DR287" i="30"/>
  <c r="DS287" i="30"/>
  <c r="DT287" i="30"/>
  <c r="DU287" i="30"/>
  <c r="DV287" i="30"/>
  <c r="DW287" i="30"/>
  <c r="DX287" i="30"/>
  <c r="DY287" i="30"/>
  <c r="DZ287" i="30"/>
  <c r="EA287" i="30"/>
  <c r="EB287" i="30"/>
  <c r="EC287" i="30"/>
  <c r="ED287" i="30"/>
  <c r="EE287" i="30"/>
  <c r="EF287" i="30"/>
  <c r="EG287" i="30"/>
  <c r="EH287" i="30"/>
  <c r="EI287" i="30"/>
  <c r="EJ287" i="30"/>
  <c r="EK287" i="30"/>
  <c r="EL287" i="30"/>
  <c r="EM287" i="30"/>
  <c r="EN287" i="30"/>
  <c r="EO287" i="30"/>
  <c r="EP287" i="30"/>
  <c r="EQ287" i="30"/>
  <c r="ER287" i="30"/>
  <c r="ES287" i="30"/>
  <c r="ET287" i="30"/>
  <c r="EU287" i="30"/>
  <c r="EV287" i="30"/>
  <c r="EW287" i="30"/>
  <c r="EX287" i="30"/>
  <c r="EY287" i="30"/>
  <c r="EZ287" i="30"/>
  <c r="FA287" i="30"/>
  <c r="FB287" i="30"/>
  <c r="FC287" i="30"/>
  <c r="FD287" i="30"/>
  <c r="FE287" i="30"/>
  <c r="FF287" i="30"/>
  <c r="FG287" i="30"/>
  <c r="FH287" i="30"/>
  <c r="FI287" i="30"/>
  <c r="FJ287" i="30"/>
  <c r="FK287" i="30"/>
  <c r="FL287" i="30"/>
  <c r="FM287" i="30"/>
  <c r="FN287" i="30"/>
  <c r="FO287" i="30"/>
  <c r="FP287" i="30"/>
  <c r="FQ287" i="30"/>
  <c r="FR287" i="30"/>
  <c r="FS287" i="30"/>
  <c r="FT287" i="30"/>
  <c r="FU287" i="30"/>
  <c r="FV287" i="30"/>
  <c r="FW287" i="30"/>
  <c r="FX287" i="30"/>
  <c r="FY287" i="30"/>
  <c r="FZ287" i="30"/>
  <c r="GA287" i="30"/>
  <c r="GB287" i="30"/>
  <c r="GC287" i="30"/>
  <c r="GD287" i="30"/>
  <c r="GE287" i="30"/>
  <c r="GF287" i="30"/>
  <c r="GG287" i="30"/>
  <c r="GH287" i="30"/>
  <c r="GI287" i="30"/>
  <c r="GJ287" i="30"/>
  <c r="GK287" i="30"/>
  <c r="GL287" i="30"/>
  <c r="GM287" i="30"/>
  <c r="GN287" i="30"/>
  <c r="GO287" i="30"/>
  <c r="GP287" i="30"/>
  <c r="GQ287" i="30"/>
  <c r="GR287" i="30"/>
  <c r="GS287" i="30"/>
  <c r="GT287" i="30"/>
  <c r="GU287" i="30"/>
  <c r="GV287" i="30"/>
  <c r="GW287" i="30"/>
  <c r="GX287" i="30"/>
  <c r="GY287" i="30"/>
  <c r="GZ287" i="30"/>
  <c r="HA287" i="30"/>
  <c r="HB287" i="30"/>
  <c r="HC287" i="30"/>
  <c r="HD287" i="30"/>
  <c r="HE287" i="30"/>
  <c r="HF287" i="30"/>
  <c r="HG287" i="30"/>
  <c r="HH287" i="30"/>
  <c r="HI287" i="30"/>
  <c r="HJ287" i="30"/>
  <c r="HK287" i="30"/>
  <c r="HL287" i="30"/>
  <c r="HM287" i="30"/>
  <c r="HN287" i="30"/>
  <c r="HO287" i="30"/>
  <c r="HP287" i="30"/>
  <c r="HQ287" i="30"/>
  <c r="HR287" i="30"/>
  <c r="HS287" i="30"/>
  <c r="HT287" i="30"/>
  <c r="HU287" i="30"/>
  <c r="HV287" i="30"/>
  <c r="HW287" i="30"/>
  <c r="HX287" i="30"/>
  <c r="HY287" i="30"/>
  <c r="HZ287" i="30"/>
  <c r="IA287" i="30"/>
  <c r="IB287" i="30"/>
  <c r="IC287" i="30"/>
  <c r="ID287" i="30"/>
  <c r="IE287" i="30"/>
  <c r="IF287" i="30"/>
  <c r="IG287" i="30"/>
  <c r="IH287" i="30"/>
  <c r="II287" i="30"/>
  <c r="IJ287" i="30"/>
  <c r="IK287" i="30"/>
  <c r="IL287" i="30"/>
  <c r="IM287" i="30"/>
  <c r="IN287" i="30"/>
  <c r="IO287" i="30"/>
  <c r="IP287" i="30"/>
  <c r="IQ287" i="30"/>
  <c r="IR287" i="30"/>
  <c r="IS287" i="30"/>
  <c r="IT287" i="30"/>
  <c r="IU287" i="30"/>
  <c r="IV287" i="30"/>
  <c r="A286" i="30"/>
  <c r="B286" i="30"/>
  <c r="C286" i="30"/>
  <c r="D286" i="30"/>
  <c r="E286" i="30"/>
  <c r="F286" i="30"/>
  <c r="G286" i="30"/>
  <c r="H286" i="30"/>
  <c r="I286" i="30"/>
  <c r="J286" i="30"/>
  <c r="K286" i="30"/>
  <c r="L286" i="30"/>
  <c r="M286" i="30"/>
  <c r="N286" i="30"/>
  <c r="O286" i="30"/>
  <c r="P286" i="30"/>
  <c r="Q286" i="30"/>
  <c r="R286" i="30"/>
  <c r="S286" i="30"/>
  <c r="T286" i="30"/>
  <c r="U286" i="30"/>
  <c r="V286" i="30"/>
  <c r="W286" i="30"/>
  <c r="X286" i="30"/>
  <c r="Y286" i="30"/>
  <c r="Z286" i="30"/>
  <c r="AA286" i="30"/>
  <c r="AB286" i="30"/>
  <c r="AC286" i="30"/>
  <c r="AD286" i="30"/>
  <c r="AE286" i="30"/>
  <c r="AF286" i="30"/>
  <c r="AG286" i="30"/>
  <c r="AH286" i="30"/>
  <c r="AI286" i="30"/>
  <c r="AJ286" i="30"/>
  <c r="AK286" i="30"/>
  <c r="AL286" i="30"/>
  <c r="AM286" i="30"/>
  <c r="AN286" i="30"/>
  <c r="AO286" i="30"/>
  <c r="AP286" i="30"/>
  <c r="AQ286" i="30"/>
  <c r="AR286" i="30"/>
  <c r="AS286" i="30"/>
  <c r="AT286" i="30"/>
  <c r="AU286" i="30"/>
  <c r="AV286" i="30"/>
  <c r="AW286" i="30"/>
  <c r="AX286" i="30"/>
  <c r="AY286" i="30"/>
  <c r="AZ286" i="30"/>
  <c r="BA286" i="30"/>
  <c r="BB286" i="30"/>
  <c r="BC286" i="30"/>
  <c r="BD286" i="30"/>
  <c r="BE286" i="30"/>
  <c r="BF286" i="30"/>
  <c r="BG286" i="30"/>
  <c r="BH286" i="30"/>
  <c r="BI286" i="30"/>
  <c r="BJ286" i="30"/>
  <c r="BK286" i="30"/>
  <c r="BL286" i="30"/>
  <c r="BM286" i="30"/>
  <c r="BN286" i="30"/>
  <c r="BO286" i="30"/>
  <c r="BP286" i="30"/>
  <c r="BQ286" i="30"/>
  <c r="BR286" i="30"/>
  <c r="BS286" i="30"/>
  <c r="BT286" i="30"/>
  <c r="BU286" i="30"/>
  <c r="BV286" i="30"/>
  <c r="BW286" i="30"/>
  <c r="BX286" i="30"/>
  <c r="BY286" i="30"/>
  <c r="BZ286" i="30"/>
  <c r="CA286" i="30"/>
  <c r="CB286" i="30"/>
  <c r="CC286" i="30"/>
  <c r="CD286" i="30"/>
  <c r="CE286" i="30"/>
  <c r="CF286" i="30"/>
  <c r="CG286" i="30"/>
  <c r="CH286" i="30"/>
  <c r="CI286" i="30"/>
  <c r="CJ286" i="30"/>
  <c r="CK286" i="30"/>
  <c r="CL286" i="30"/>
  <c r="CM286" i="30"/>
  <c r="CN286" i="30"/>
  <c r="CO286" i="30"/>
  <c r="CP286" i="30"/>
  <c r="CQ286" i="30"/>
  <c r="CR286" i="30"/>
  <c r="CS286" i="30"/>
  <c r="CT286" i="30"/>
  <c r="CU286" i="30"/>
  <c r="CV286" i="30"/>
  <c r="CW286" i="30"/>
  <c r="CX286" i="30"/>
  <c r="CY286" i="30"/>
  <c r="CZ286" i="30"/>
  <c r="DA286" i="30"/>
  <c r="DB286" i="30"/>
  <c r="DC286" i="30"/>
  <c r="DD286" i="30"/>
  <c r="DE286" i="30"/>
  <c r="DF286" i="30"/>
  <c r="DG286" i="30"/>
  <c r="DH286" i="30"/>
  <c r="DI286" i="30"/>
  <c r="DJ286" i="30"/>
  <c r="DK286" i="30"/>
  <c r="DL286" i="30"/>
  <c r="DM286" i="30"/>
  <c r="DN286" i="30"/>
  <c r="DO286" i="30"/>
  <c r="DP286" i="30"/>
  <c r="DQ286" i="30"/>
  <c r="DR286" i="30"/>
  <c r="DS286" i="30"/>
  <c r="DT286" i="30"/>
  <c r="DU286" i="30"/>
  <c r="DV286" i="30"/>
  <c r="DW286" i="30"/>
  <c r="DX286" i="30"/>
  <c r="DY286" i="30"/>
  <c r="DZ286" i="30"/>
  <c r="EA286" i="30"/>
  <c r="EB286" i="30"/>
  <c r="EC286" i="30"/>
  <c r="ED286" i="30"/>
  <c r="EE286" i="30"/>
  <c r="EF286" i="30"/>
  <c r="EG286" i="30"/>
  <c r="EH286" i="30"/>
  <c r="EI286" i="30"/>
  <c r="EJ286" i="30"/>
  <c r="EK286" i="30"/>
  <c r="EL286" i="30"/>
  <c r="EM286" i="30"/>
  <c r="EN286" i="30"/>
  <c r="EO286" i="30"/>
  <c r="EP286" i="30"/>
  <c r="EQ286" i="30"/>
  <c r="ER286" i="30"/>
  <c r="ES286" i="30"/>
  <c r="ET286" i="30"/>
  <c r="EU286" i="30"/>
  <c r="EV286" i="30"/>
  <c r="EW286" i="30"/>
  <c r="EX286" i="30"/>
  <c r="EY286" i="30"/>
  <c r="EZ286" i="30"/>
  <c r="FA286" i="30"/>
  <c r="FB286" i="30"/>
  <c r="FC286" i="30"/>
  <c r="FD286" i="30"/>
  <c r="FE286" i="30"/>
  <c r="FF286" i="30"/>
  <c r="FG286" i="30"/>
  <c r="FH286" i="30"/>
  <c r="FI286" i="30"/>
  <c r="FJ286" i="30"/>
  <c r="FK286" i="30"/>
  <c r="FL286" i="30"/>
  <c r="FM286" i="30"/>
  <c r="FN286" i="30"/>
  <c r="FO286" i="30"/>
  <c r="FP286" i="30"/>
  <c r="FQ286" i="30"/>
  <c r="FR286" i="30"/>
  <c r="FS286" i="30"/>
  <c r="FT286" i="30"/>
  <c r="FU286" i="30"/>
  <c r="FV286" i="30"/>
  <c r="FW286" i="30"/>
  <c r="FX286" i="30"/>
  <c r="FY286" i="30"/>
  <c r="FZ286" i="30"/>
  <c r="GA286" i="30"/>
  <c r="GB286" i="30"/>
  <c r="GC286" i="30"/>
  <c r="GD286" i="30"/>
  <c r="GE286" i="30"/>
  <c r="GF286" i="30"/>
  <c r="GG286" i="30"/>
  <c r="GH286" i="30"/>
  <c r="GI286" i="30"/>
  <c r="GJ286" i="30"/>
  <c r="GK286" i="30"/>
  <c r="GL286" i="30"/>
  <c r="GM286" i="30"/>
  <c r="GN286" i="30"/>
  <c r="GO286" i="30"/>
  <c r="GP286" i="30"/>
  <c r="GQ286" i="30"/>
  <c r="GR286" i="30"/>
  <c r="GS286" i="30"/>
  <c r="GT286" i="30"/>
  <c r="GU286" i="30"/>
  <c r="GV286" i="30"/>
  <c r="GW286" i="30"/>
  <c r="GX286" i="30"/>
  <c r="GY286" i="30"/>
  <c r="GZ286" i="30"/>
  <c r="HA286" i="30"/>
  <c r="HB286" i="30"/>
  <c r="HC286" i="30"/>
  <c r="HD286" i="30"/>
  <c r="HE286" i="30"/>
  <c r="HF286" i="30"/>
  <c r="HG286" i="30"/>
  <c r="HH286" i="30"/>
  <c r="HI286" i="30"/>
  <c r="HJ286" i="30"/>
  <c r="HK286" i="30"/>
  <c r="HL286" i="30"/>
  <c r="HM286" i="30"/>
  <c r="HN286" i="30"/>
  <c r="HO286" i="30"/>
  <c r="HP286" i="30"/>
  <c r="HQ286" i="30"/>
  <c r="HR286" i="30"/>
  <c r="HS286" i="30"/>
  <c r="HT286" i="30"/>
  <c r="HU286" i="30"/>
  <c r="HV286" i="30"/>
  <c r="HW286" i="30"/>
  <c r="HX286" i="30"/>
  <c r="HY286" i="30"/>
  <c r="HZ286" i="30"/>
  <c r="IA286" i="30"/>
  <c r="IB286" i="30"/>
  <c r="IC286" i="30"/>
  <c r="ID286" i="30"/>
  <c r="IE286" i="30"/>
  <c r="IF286" i="30"/>
  <c r="IG286" i="30"/>
  <c r="IH286" i="30"/>
  <c r="II286" i="30"/>
  <c r="IJ286" i="30"/>
  <c r="IK286" i="30"/>
  <c r="IL286" i="30"/>
  <c r="IM286" i="30"/>
  <c r="IN286" i="30"/>
  <c r="IO286" i="30"/>
  <c r="IP286" i="30"/>
  <c r="IQ286" i="30"/>
  <c r="IR286" i="30"/>
  <c r="IS286" i="30"/>
  <c r="IT286" i="30"/>
  <c r="IU286" i="30"/>
  <c r="IV286" i="30"/>
  <c r="A285" i="30"/>
  <c r="B285" i="30"/>
  <c r="C285" i="30"/>
  <c r="D285" i="30"/>
  <c r="E285" i="30"/>
  <c r="F285" i="30"/>
  <c r="G285" i="30"/>
  <c r="H285" i="30"/>
  <c r="I285" i="30"/>
  <c r="J285" i="30"/>
  <c r="K285" i="30"/>
  <c r="L285" i="30"/>
  <c r="M285" i="30"/>
  <c r="N285" i="30"/>
  <c r="O285" i="30"/>
  <c r="P285" i="30"/>
  <c r="Q285" i="30"/>
  <c r="R285" i="30"/>
  <c r="S285" i="30"/>
  <c r="T285" i="30"/>
  <c r="U285" i="30"/>
  <c r="V285" i="30"/>
  <c r="W285" i="30"/>
  <c r="X285" i="30"/>
  <c r="Y285" i="30"/>
  <c r="Z285" i="30"/>
  <c r="AA285" i="30"/>
  <c r="AB285" i="30"/>
  <c r="AC285" i="30"/>
  <c r="AD285" i="30"/>
  <c r="AE285" i="30"/>
  <c r="AF285" i="30"/>
  <c r="AG285" i="30"/>
  <c r="AH285" i="30"/>
  <c r="AI285" i="30"/>
  <c r="AJ285" i="30"/>
  <c r="AK285" i="30"/>
  <c r="AL285" i="30"/>
  <c r="AM285" i="30"/>
  <c r="AN285" i="30"/>
  <c r="AO285" i="30"/>
  <c r="AP285" i="30"/>
  <c r="AQ285" i="30"/>
  <c r="AR285" i="30"/>
  <c r="AS285" i="30"/>
  <c r="AT285" i="30"/>
  <c r="AU285" i="30"/>
  <c r="AV285" i="30"/>
  <c r="AW285" i="30"/>
  <c r="AX285" i="30"/>
  <c r="AY285" i="30"/>
  <c r="AZ285" i="30"/>
  <c r="BA285" i="30"/>
  <c r="BB285" i="30"/>
  <c r="BC285" i="30"/>
  <c r="BD285" i="30"/>
  <c r="BE285" i="30"/>
  <c r="BF285" i="30"/>
  <c r="BG285" i="30"/>
  <c r="BH285" i="30"/>
  <c r="BI285" i="30"/>
  <c r="BJ285" i="30"/>
  <c r="BK285" i="30"/>
  <c r="BL285" i="30"/>
  <c r="BM285" i="30"/>
  <c r="BN285" i="30"/>
  <c r="BO285" i="30"/>
  <c r="BP285" i="30"/>
  <c r="BQ285" i="30"/>
  <c r="BR285" i="30"/>
  <c r="BS285" i="30"/>
  <c r="BT285" i="30"/>
  <c r="BU285" i="30"/>
  <c r="BV285" i="30"/>
  <c r="BW285" i="30"/>
  <c r="BX285" i="30"/>
  <c r="BY285" i="30"/>
  <c r="BZ285" i="30"/>
  <c r="CA285" i="30"/>
  <c r="CB285" i="30"/>
  <c r="CC285" i="30"/>
  <c r="CD285" i="30"/>
  <c r="CE285" i="30"/>
  <c r="CF285" i="30"/>
  <c r="CG285" i="30"/>
  <c r="CH285" i="30"/>
  <c r="CI285" i="30"/>
  <c r="CJ285" i="30"/>
  <c r="CK285" i="30"/>
  <c r="CL285" i="30"/>
  <c r="CM285" i="30"/>
  <c r="CN285" i="30"/>
  <c r="CO285" i="30"/>
  <c r="CP285" i="30"/>
  <c r="CQ285" i="30"/>
  <c r="CR285" i="30"/>
  <c r="CS285" i="30"/>
  <c r="CT285" i="30"/>
  <c r="CU285" i="30"/>
  <c r="CV285" i="30"/>
  <c r="CW285" i="30"/>
  <c r="CX285" i="30"/>
  <c r="CY285" i="30"/>
  <c r="CZ285" i="30"/>
  <c r="DA285" i="30"/>
  <c r="DB285" i="30"/>
  <c r="DC285" i="30"/>
  <c r="DD285" i="30"/>
  <c r="DE285" i="30"/>
  <c r="DF285" i="30"/>
  <c r="DG285" i="30"/>
  <c r="DH285" i="30"/>
  <c r="DI285" i="30"/>
  <c r="DJ285" i="30"/>
  <c r="DK285" i="30"/>
  <c r="DL285" i="30"/>
  <c r="DM285" i="30"/>
  <c r="DN285" i="30"/>
  <c r="DO285" i="30"/>
  <c r="DP285" i="30"/>
  <c r="DQ285" i="30"/>
  <c r="DR285" i="30"/>
  <c r="DS285" i="30"/>
  <c r="DT285" i="30"/>
  <c r="DU285" i="30"/>
  <c r="DV285" i="30"/>
  <c r="DW285" i="30"/>
  <c r="DX285" i="30"/>
  <c r="DY285" i="30"/>
  <c r="DZ285" i="30"/>
  <c r="EA285" i="30"/>
  <c r="EB285" i="30"/>
  <c r="EC285" i="30"/>
  <c r="ED285" i="30"/>
  <c r="EE285" i="30"/>
  <c r="EF285" i="30"/>
  <c r="EG285" i="30"/>
  <c r="EH285" i="30"/>
  <c r="EI285" i="30"/>
  <c r="EJ285" i="30"/>
  <c r="EK285" i="30"/>
  <c r="EL285" i="30"/>
  <c r="EM285" i="30"/>
  <c r="EN285" i="30"/>
  <c r="EO285" i="30"/>
  <c r="EP285" i="30"/>
  <c r="EQ285" i="30"/>
  <c r="ER285" i="30"/>
  <c r="ES285" i="30"/>
  <c r="ET285" i="30"/>
  <c r="EU285" i="30"/>
  <c r="EV285" i="30"/>
  <c r="EW285" i="30"/>
  <c r="EX285" i="30"/>
  <c r="EY285" i="30"/>
  <c r="EZ285" i="30"/>
  <c r="FA285" i="30"/>
  <c r="FB285" i="30"/>
  <c r="FC285" i="30"/>
  <c r="FD285" i="30"/>
  <c r="FE285" i="30"/>
  <c r="FF285" i="30"/>
  <c r="FG285" i="30"/>
  <c r="FH285" i="30"/>
  <c r="FI285" i="30"/>
  <c r="FJ285" i="30"/>
  <c r="FK285" i="30"/>
  <c r="FL285" i="30"/>
  <c r="FM285" i="30"/>
  <c r="FN285" i="30"/>
  <c r="FO285" i="30"/>
  <c r="FP285" i="30"/>
  <c r="FQ285" i="30"/>
  <c r="FR285" i="30"/>
  <c r="FS285" i="30"/>
  <c r="FT285" i="30"/>
  <c r="FU285" i="30"/>
  <c r="FV285" i="30"/>
  <c r="FW285" i="30"/>
  <c r="FX285" i="30"/>
  <c r="FY285" i="30"/>
  <c r="FZ285" i="30"/>
  <c r="GA285" i="30"/>
  <c r="GB285" i="30"/>
  <c r="GC285" i="30"/>
  <c r="GD285" i="30"/>
  <c r="GE285" i="30"/>
  <c r="GF285" i="30"/>
  <c r="GG285" i="30"/>
  <c r="GH285" i="30"/>
  <c r="GI285" i="30"/>
  <c r="GJ285" i="30"/>
  <c r="GK285" i="30"/>
  <c r="GL285" i="30"/>
  <c r="GM285" i="30"/>
  <c r="GN285" i="30"/>
  <c r="GO285" i="30"/>
  <c r="GP285" i="30"/>
  <c r="GQ285" i="30"/>
  <c r="GR285" i="30"/>
  <c r="GS285" i="30"/>
  <c r="GT285" i="30"/>
  <c r="GU285" i="30"/>
  <c r="GV285" i="30"/>
  <c r="GW285" i="30"/>
  <c r="GX285" i="30"/>
  <c r="GY285" i="30"/>
  <c r="GZ285" i="30"/>
  <c r="HA285" i="30"/>
  <c r="HB285" i="30"/>
  <c r="HC285" i="30"/>
  <c r="HD285" i="30"/>
  <c r="HE285" i="30"/>
  <c r="HF285" i="30"/>
  <c r="HG285" i="30"/>
  <c r="HH285" i="30"/>
  <c r="HI285" i="30"/>
  <c r="HJ285" i="30"/>
  <c r="HK285" i="30"/>
  <c r="HL285" i="30"/>
  <c r="HM285" i="30"/>
  <c r="HN285" i="30"/>
  <c r="HO285" i="30"/>
  <c r="HP285" i="30"/>
  <c r="HQ285" i="30"/>
  <c r="HR285" i="30"/>
  <c r="HS285" i="30"/>
  <c r="HT285" i="30"/>
  <c r="HU285" i="30"/>
  <c r="HV285" i="30"/>
  <c r="HW285" i="30"/>
  <c r="HX285" i="30"/>
  <c r="HY285" i="30"/>
  <c r="HZ285" i="30"/>
  <c r="IA285" i="30"/>
  <c r="IB285" i="30"/>
  <c r="IC285" i="30"/>
  <c r="ID285" i="30"/>
  <c r="IE285" i="30"/>
  <c r="IF285" i="30"/>
  <c r="IG285" i="30"/>
  <c r="IH285" i="30"/>
  <c r="II285" i="30"/>
  <c r="IJ285" i="30"/>
  <c r="IK285" i="30"/>
  <c r="IL285" i="30"/>
  <c r="IM285" i="30"/>
  <c r="IN285" i="30"/>
  <c r="IO285" i="30"/>
  <c r="IP285" i="30"/>
  <c r="IQ285" i="30"/>
  <c r="IR285" i="30"/>
  <c r="IS285" i="30"/>
  <c r="IT285" i="30"/>
  <c r="IU285" i="30"/>
  <c r="IV285" i="30"/>
  <c r="A284" i="30"/>
  <c r="B284" i="30"/>
  <c r="C284" i="30"/>
  <c r="D284" i="30"/>
  <c r="E284" i="30"/>
  <c r="F284" i="30"/>
  <c r="G284" i="30"/>
  <c r="H284" i="30"/>
  <c r="I284" i="30"/>
  <c r="J284" i="30"/>
  <c r="K284" i="30"/>
  <c r="L284" i="30"/>
  <c r="M284" i="30"/>
  <c r="N284" i="30"/>
  <c r="O284" i="30"/>
  <c r="P284" i="30"/>
  <c r="Q284" i="30"/>
  <c r="R284" i="30"/>
  <c r="S284" i="30"/>
  <c r="T284" i="30"/>
  <c r="U284" i="30"/>
  <c r="V284" i="30"/>
  <c r="W284" i="30"/>
  <c r="X284" i="30"/>
  <c r="Y284" i="30"/>
  <c r="Z284" i="30"/>
  <c r="AA284" i="30"/>
  <c r="AB284" i="30"/>
  <c r="AC284" i="30"/>
  <c r="AD284" i="30"/>
  <c r="AE284" i="30"/>
  <c r="AF284" i="30"/>
  <c r="AG284" i="30"/>
  <c r="AH284" i="30"/>
  <c r="AI284" i="30"/>
  <c r="AJ284" i="30"/>
  <c r="AK284" i="30"/>
  <c r="AL284" i="30"/>
  <c r="AM284" i="30"/>
  <c r="AN284" i="30"/>
  <c r="AO284" i="30"/>
  <c r="AP284" i="30"/>
  <c r="AQ284" i="30"/>
  <c r="AR284" i="30"/>
  <c r="AS284" i="30"/>
  <c r="AT284" i="30"/>
  <c r="AU284" i="30"/>
  <c r="AV284" i="30"/>
  <c r="AW284" i="30"/>
  <c r="AX284" i="30"/>
  <c r="AY284" i="30"/>
  <c r="AZ284" i="30"/>
  <c r="BA284" i="30"/>
  <c r="BB284" i="30"/>
  <c r="BC284" i="30"/>
  <c r="BD284" i="30"/>
  <c r="BE284" i="30"/>
  <c r="BF284" i="30"/>
  <c r="BG284" i="30"/>
  <c r="BH284" i="30"/>
  <c r="BI284" i="30"/>
  <c r="BJ284" i="30"/>
  <c r="BK284" i="30"/>
  <c r="BL284" i="30"/>
  <c r="BM284" i="30"/>
  <c r="BN284" i="30"/>
  <c r="BO284" i="30"/>
  <c r="BP284" i="30"/>
  <c r="BQ284" i="30"/>
  <c r="BR284" i="30"/>
  <c r="BS284" i="30"/>
  <c r="BT284" i="30"/>
  <c r="BU284" i="30"/>
  <c r="BV284" i="30"/>
  <c r="BW284" i="30"/>
  <c r="BX284" i="30"/>
  <c r="BY284" i="30"/>
  <c r="BZ284" i="30"/>
  <c r="CA284" i="30"/>
  <c r="CB284" i="30"/>
  <c r="CC284" i="30"/>
  <c r="CD284" i="30"/>
  <c r="CE284" i="30"/>
  <c r="CF284" i="30"/>
  <c r="CG284" i="30"/>
  <c r="CH284" i="30"/>
  <c r="CI284" i="30"/>
  <c r="CJ284" i="30"/>
  <c r="CK284" i="30"/>
  <c r="CL284" i="30"/>
  <c r="CM284" i="30"/>
  <c r="CN284" i="30"/>
  <c r="CO284" i="30"/>
  <c r="CP284" i="30"/>
  <c r="CQ284" i="30"/>
  <c r="CR284" i="30"/>
  <c r="CS284" i="30"/>
  <c r="CT284" i="30"/>
  <c r="CU284" i="30"/>
  <c r="CV284" i="30"/>
  <c r="CW284" i="30"/>
  <c r="CX284" i="30"/>
  <c r="CY284" i="30"/>
  <c r="CZ284" i="30"/>
  <c r="DA284" i="30"/>
  <c r="DB284" i="30"/>
  <c r="DC284" i="30"/>
  <c r="DD284" i="30"/>
  <c r="DE284" i="30"/>
  <c r="DF284" i="30"/>
  <c r="DG284" i="30"/>
  <c r="DH284" i="30"/>
  <c r="DI284" i="30"/>
  <c r="DJ284" i="30"/>
  <c r="DK284" i="30"/>
  <c r="DL284" i="30"/>
  <c r="DM284" i="30"/>
  <c r="DN284" i="30"/>
  <c r="DO284" i="30"/>
  <c r="DP284" i="30"/>
  <c r="DQ284" i="30"/>
  <c r="DR284" i="30"/>
  <c r="DS284" i="30"/>
  <c r="DT284" i="30"/>
  <c r="DU284" i="30"/>
  <c r="DV284" i="30"/>
  <c r="DW284" i="30"/>
  <c r="DX284" i="30"/>
  <c r="DY284" i="30"/>
  <c r="DZ284" i="30"/>
  <c r="EA284" i="30"/>
  <c r="EB284" i="30"/>
  <c r="EC284" i="30"/>
  <c r="ED284" i="30"/>
  <c r="EE284" i="30"/>
  <c r="EF284" i="30"/>
  <c r="EG284" i="30"/>
  <c r="EH284" i="30"/>
  <c r="EI284" i="30"/>
  <c r="EJ284" i="30"/>
  <c r="EK284" i="30"/>
  <c r="EL284" i="30"/>
  <c r="EM284" i="30"/>
  <c r="EN284" i="30"/>
  <c r="EO284" i="30"/>
  <c r="EP284" i="30"/>
  <c r="EQ284" i="30"/>
  <c r="ER284" i="30"/>
  <c r="ES284" i="30"/>
  <c r="ET284" i="30"/>
  <c r="EU284" i="30"/>
  <c r="EV284" i="30"/>
  <c r="EW284" i="30"/>
  <c r="EX284" i="30"/>
  <c r="EY284" i="30"/>
  <c r="EZ284" i="30"/>
  <c r="FA284" i="30"/>
  <c r="FB284" i="30"/>
  <c r="FC284" i="30"/>
  <c r="FD284" i="30"/>
  <c r="FE284" i="30"/>
  <c r="FF284" i="30"/>
  <c r="FG284" i="30"/>
  <c r="FH284" i="30"/>
  <c r="FI284" i="30"/>
  <c r="FJ284" i="30"/>
  <c r="FK284" i="30"/>
  <c r="FL284" i="30"/>
  <c r="FM284" i="30"/>
  <c r="FN284" i="30"/>
  <c r="FO284" i="30"/>
  <c r="FP284" i="30"/>
  <c r="FQ284" i="30"/>
  <c r="FR284" i="30"/>
  <c r="FS284" i="30"/>
  <c r="FT284" i="30"/>
  <c r="FU284" i="30"/>
  <c r="FV284" i="30"/>
  <c r="FW284" i="30"/>
  <c r="FX284" i="30"/>
  <c r="FY284" i="30"/>
  <c r="FZ284" i="30"/>
  <c r="GA284" i="30"/>
  <c r="GB284" i="30"/>
  <c r="GC284" i="30"/>
  <c r="GD284" i="30"/>
  <c r="GE284" i="30"/>
  <c r="GF284" i="30"/>
  <c r="GG284" i="30"/>
  <c r="GH284" i="30"/>
  <c r="GI284" i="30"/>
  <c r="GJ284" i="30"/>
  <c r="GK284" i="30"/>
  <c r="GL284" i="30"/>
  <c r="GM284" i="30"/>
  <c r="GN284" i="30"/>
  <c r="GO284" i="30"/>
  <c r="GP284" i="30"/>
  <c r="GQ284" i="30"/>
  <c r="GR284" i="30"/>
  <c r="GS284" i="30"/>
  <c r="GT284" i="30"/>
  <c r="GU284" i="30"/>
  <c r="GV284" i="30"/>
  <c r="GW284" i="30"/>
  <c r="GX284" i="30"/>
  <c r="GY284" i="30"/>
  <c r="GZ284" i="30"/>
  <c r="HA284" i="30"/>
  <c r="HB284" i="30"/>
  <c r="HC284" i="30"/>
  <c r="HD284" i="30"/>
  <c r="HE284" i="30"/>
  <c r="HF284" i="30"/>
  <c r="HG284" i="30"/>
  <c r="HH284" i="30"/>
  <c r="HI284" i="30"/>
  <c r="HJ284" i="30"/>
  <c r="HK284" i="30"/>
  <c r="HL284" i="30"/>
  <c r="HM284" i="30"/>
  <c r="HN284" i="30"/>
  <c r="HO284" i="30"/>
  <c r="HP284" i="30"/>
  <c r="HQ284" i="30"/>
  <c r="HR284" i="30"/>
  <c r="HS284" i="30"/>
  <c r="HT284" i="30"/>
  <c r="HU284" i="30"/>
  <c r="HV284" i="30"/>
  <c r="HW284" i="30"/>
  <c r="HX284" i="30"/>
  <c r="HY284" i="30"/>
  <c r="HZ284" i="30"/>
  <c r="IA284" i="30"/>
  <c r="IB284" i="30"/>
  <c r="IC284" i="30"/>
  <c r="ID284" i="30"/>
  <c r="IE284" i="30"/>
  <c r="IF284" i="30"/>
  <c r="IG284" i="30"/>
  <c r="IH284" i="30"/>
  <c r="II284" i="30"/>
  <c r="IJ284" i="30"/>
  <c r="IK284" i="30"/>
  <c r="IL284" i="30"/>
  <c r="IM284" i="30"/>
  <c r="IN284" i="30"/>
  <c r="IO284" i="30"/>
  <c r="IP284" i="30"/>
  <c r="IQ284" i="30"/>
  <c r="IR284" i="30"/>
  <c r="IS284" i="30"/>
  <c r="IT284" i="30"/>
  <c r="IU284" i="30"/>
  <c r="IV284" i="30"/>
  <c r="A283" i="30"/>
  <c r="B283" i="30"/>
  <c r="C283" i="30"/>
  <c r="D283" i="30"/>
  <c r="E283" i="30"/>
  <c r="F283" i="30"/>
  <c r="G283" i="30"/>
  <c r="H283" i="30"/>
  <c r="I283" i="30"/>
  <c r="J283" i="30"/>
  <c r="K283" i="30"/>
  <c r="L283" i="30"/>
  <c r="M283" i="30"/>
  <c r="N283" i="30"/>
  <c r="O283" i="30"/>
  <c r="P283" i="30"/>
  <c r="Q283" i="30"/>
  <c r="R283" i="30"/>
  <c r="S283" i="30"/>
  <c r="T283" i="30"/>
  <c r="U283" i="30"/>
  <c r="V283" i="30"/>
  <c r="W283" i="30"/>
  <c r="X283" i="30"/>
  <c r="Y283" i="30"/>
  <c r="Z283" i="30"/>
  <c r="AA283" i="30"/>
  <c r="AB283" i="30"/>
  <c r="AC283" i="30"/>
  <c r="AD283" i="30"/>
  <c r="AE283" i="30"/>
  <c r="AF283" i="30"/>
  <c r="AG283" i="30"/>
  <c r="AH283" i="30"/>
  <c r="AI283" i="30"/>
  <c r="AJ283" i="30"/>
  <c r="AK283" i="30"/>
  <c r="AL283" i="30"/>
  <c r="AM283" i="30"/>
  <c r="AN283" i="30"/>
  <c r="AO283" i="30"/>
  <c r="AP283" i="30"/>
  <c r="AQ283" i="30"/>
  <c r="AR283" i="30"/>
  <c r="AS283" i="30"/>
  <c r="AT283" i="30"/>
  <c r="AU283" i="30"/>
  <c r="AV283" i="30"/>
  <c r="AW283" i="30"/>
  <c r="AX283" i="30"/>
  <c r="AY283" i="30"/>
  <c r="AZ283" i="30"/>
  <c r="BA283" i="30"/>
  <c r="BB283" i="30"/>
  <c r="BC283" i="30"/>
  <c r="BD283" i="30"/>
  <c r="BE283" i="30"/>
  <c r="BF283" i="30"/>
  <c r="BG283" i="30"/>
  <c r="BH283" i="30"/>
  <c r="BI283" i="30"/>
  <c r="BJ283" i="30"/>
  <c r="BK283" i="30"/>
  <c r="BL283" i="30"/>
  <c r="BM283" i="30"/>
  <c r="BN283" i="30"/>
  <c r="BO283" i="30"/>
  <c r="BP283" i="30"/>
  <c r="BQ283" i="30"/>
  <c r="BR283" i="30"/>
  <c r="BS283" i="30"/>
  <c r="BT283" i="30"/>
  <c r="BU283" i="30"/>
  <c r="BV283" i="30"/>
  <c r="BW283" i="30"/>
  <c r="BX283" i="30"/>
  <c r="BY283" i="30"/>
  <c r="BZ283" i="30"/>
  <c r="CA283" i="30"/>
  <c r="CB283" i="30"/>
  <c r="CC283" i="30"/>
  <c r="CD283" i="30"/>
  <c r="CE283" i="30"/>
  <c r="CF283" i="30"/>
  <c r="CG283" i="30"/>
  <c r="CH283" i="30"/>
  <c r="CI283" i="30"/>
  <c r="CJ283" i="30"/>
  <c r="CK283" i="30"/>
  <c r="CL283" i="30"/>
  <c r="CM283" i="30"/>
  <c r="CN283" i="30"/>
  <c r="CO283" i="30"/>
  <c r="CP283" i="30"/>
  <c r="CQ283" i="30"/>
  <c r="CR283" i="30"/>
  <c r="CS283" i="30"/>
  <c r="CT283" i="30"/>
  <c r="CU283" i="30"/>
  <c r="CV283" i="30"/>
  <c r="CW283" i="30"/>
  <c r="CX283" i="30"/>
  <c r="CY283" i="30"/>
  <c r="CZ283" i="30"/>
  <c r="DA283" i="30"/>
  <c r="DB283" i="30"/>
  <c r="DC283" i="30"/>
  <c r="DD283" i="30"/>
  <c r="DE283" i="30"/>
  <c r="DF283" i="30"/>
  <c r="DG283" i="30"/>
  <c r="DH283" i="30"/>
  <c r="DI283" i="30"/>
  <c r="DJ283" i="30"/>
  <c r="DK283" i="30"/>
  <c r="DL283" i="30"/>
  <c r="DM283" i="30"/>
  <c r="DN283" i="30"/>
  <c r="DO283" i="30"/>
  <c r="DP283" i="30"/>
  <c r="DQ283" i="30"/>
  <c r="DR283" i="30"/>
  <c r="DS283" i="30"/>
  <c r="DT283" i="30"/>
  <c r="DU283" i="30"/>
  <c r="DV283" i="30"/>
  <c r="DW283" i="30"/>
  <c r="DX283" i="30"/>
  <c r="DY283" i="30"/>
  <c r="DZ283" i="30"/>
  <c r="EA283" i="30"/>
  <c r="EB283" i="30"/>
  <c r="EC283" i="30"/>
  <c r="ED283" i="30"/>
  <c r="EE283" i="30"/>
  <c r="EF283" i="30"/>
  <c r="EG283" i="30"/>
  <c r="EH283" i="30"/>
  <c r="EI283" i="30"/>
  <c r="EJ283" i="30"/>
  <c r="EK283" i="30"/>
  <c r="EL283" i="30"/>
  <c r="EM283" i="30"/>
  <c r="EN283" i="30"/>
  <c r="EO283" i="30"/>
  <c r="EP283" i="30"/>
  <c r="EQ283" i="30"/>
  <c r="ER283" i="30"/>
  <c r="ES283" i="30"/>
  <c r="ET283" i="30"/>
  <c r="EU283" i="30"/>
  <c r="EV283" i="30"/>
  <c r="EW283" i="30"/>
  <c r="EX283" i="30"/>
  <c r="EY283" i="30"/>
  <c r="EZ283" i="30"/>
  <c r="FA283" i="30"/>
  <c r="FB283" i="30"/>
  <c r="FC283" i="30"/>
  <c r="FD283" i="30"/>
  <c r="FE283" i="30"/>
  <c r="FF283" i="30"/>
  <c r="FG283" i="30"/>
  <c r="FH283" i="30"/>
  <c r="FI283" i="30"/>
  <c r="FJ283" i="30"/>
  <c r="FK283" i="30"/>
  <c r="FL283" i="30"/>
  <c r="FM283" i="30"/>
  <c r="FN283" i="30"/>
  <c r="FO283" i="30"/>
  <c r="FP283" i="30"/>
  <c r="FQ283" i="30"/>
  <c r="FR283" i="30"/>
  <c r="FS283" i="30"/>
  <c r="FT283" i="30"/>
  <c r="FU283" i="30"/>
  <c r="FV283" i="30"/>
  <c r="FW283" i="30"/>
  <c r="FX283" i="30"/>
  <c r="FY283" i="30"/>
  <c r="FZ283" i="30"/>
  <c r="GA283" i="30"/>
  <c r="GB283" i="30"/>
  <c r="GC283" i="30"/>
  <c r="GD283" i="30"/>
  <c r="GE283" i="30"/>
  <c r="GF283" i="30"/>
  <c r="GG283" i="30"/>
  <c r="GH283" i="30"/>
  <c r="GI283" i="30"/>
  <c r="GJ283" i="30"/>
  <c r="GK283" i="30"/>
  <c r="GL283" i="30"/>
  <c r="GM283" i="30"/>
  <c r="GN283" i="30"/>
  <c r="GO283" i="30"/>
  <c r="GP283" i="30"/>
  <c r="GQ283" i="30"/>
  <c r="GR283" i="30"/>
  <c r="GS283" i="30"/>
  <c r="GT283" i="30"/>
  <c r="GU283" i="30"/>
  <c r="GV283" i="30"/>
  <c r="GW283" i="30"/>
  <c r="GX283" i="30"/>
  <c r="GY283" i="30"/>
  <c r="GZ283" i="30"/>
  <c r="HA283" i="30"/>
  <c r="HB283" i="30"/>
  <c r="HC283" i="30"/>
  <c r="HD283" i="30"/>
  <c r="HE283" i="30"/>
  <c r="HF283" i="30"/>
  <c r="HG283" i="30"/>
  <c r="HH283" i="30"/>
  <c r="HI283" i="30"/>
  <c r="HJ283" i="30"/>
  <c r="HK283" i="30"/>
  <c r="HL283" i="30"/>
  <c r="HM283" i="30"/>
  <c r="HN283" i="30"/>
  <c r="HO283" i="30"/>
  <c r="HP283" i="30"/>
  <c r="HQ283" i="30"/>
  <c r="HR283" i="30"/>
  <c r="HS283" i="30"/>
  <c r="HT283" i="30"/>
  <c r="HU283" i="30"/>
  <c r="HV283" i="30"/>
  <c r="HW283" i="30"/>
  <c r="HX283" i="30"/>
  <c r="HY283" i="30"/>
  <c r="HZ283" i="30"/>
  <c r="IA283" i="30"/>
  <c r="IB283" i="30"/>
  <c r="IC283" i="30"/>
  <c r="ID283" i="30"/>
  <c r="IE283" i="30"/>
  <c r="IF283" i="30"/>
  <c r="IG283" i="30"/>
  <c r="IH283" i="30"/>
  <c r="II283" i="30"/>
  <c r="IJ283" i="30"/>
  <c r="IK283" i="30"/>
  <c r="IL283" i="30"/>
  <c r="IM283" i="30"/>
  <c r="IN283" i="30"/>
  <c r="IO283" i="30"/>
  <c r="IP283" i="30"/>
  <c r="IQ283" i="30"/>
  <c r="IR283" i="30"/>
  <c r="IS283" i="30"/>
  <c r="IT283" i="30"/>
  <c r="IU283" i="30"/>
  <c r="IV283" i="30"/>
  <c r="A282" i="30"/>
  <c r="B282" i="30"/>
  <c r="C282" i="30"/>
  <c r="D282" i="30"/>
  <c r="E282" i="30"/>
  <c r="F282" i="30"/>
  <c r="G282" i="30"/>
  <c r="H282" i="30"/>
  <c r="I282" i="30"/>
  <c r="J282" i="30"/>
  <c r="K282" i="30"/>
  <c r="L282" i="30"/>
  <c r="M282" i="30"/>
  <c r="N282" i="30"/>
  <c r="O282" i="30"/>
  <c r="P282" i="30"/>
  <c r="Q282" i="30"/>
  <c r="R282" i="30"/>
  <c r="S282" i="30"/>
  <c r="T282" i="30"/>
  <c r="U282" i="30"/>
  <c r="V282" i="30"/>
  <c r="W282" i="30"/>
  <c r="X282" i="30"/>
  <c r="Y282" i="30"/>
  <c r="Z282" i="30"/>
  <c r="AA282" i="30"/>
  <c r="AB282" i="30"/>
  <c r="AC282" i="30"/>
  <c r="AD282" i="30"/>
  <c r="AE282" i="30"/>
  <c r="AF282" i="30"/>
  <c r="AG282" i="30"/>
  <c r="AH282" i="30"/>
  <c r="AI282" i="30"/>
  <c r="AJ282" i="30"/>
  <c r="AK282" i="30"/>
  <c r="AL282" i="30"/>
  <c r="AM282" i="30"/>
  <c r="AN282" i="30"/>
  <c r="AO282" i="30"/>
  <c r="AP282" i="30"/>
  <c r="AQ282" i="30"/>
  <c r="AR282" i="30"/>
  <c r="AS282" i="30"/>
  <c r="AT282" i="30"/>
  <c r="AU282" i="30"/>
  <c r="AV282" i="30"/>
  <c r="AW282" i="30"/>
  <c r="AX282" i="30"/>
  <c r="AY282" i="30"/>
  <c r="AZ282" i="30"/>
  <c r="BA282" i="30"/>
  <c r="BB282" i="30"/>
  <c r="BC282" i="30"/>
  <c r="BD282" i="30"/>
  <c r="BE282" i="30"/>
  <c r="BF282" i="30"/>
  <c r="BG282" i="30"/>
  <c r="BH282" i="30"/>
  <c r="BI282" i="30"/>
  <c r="BJ282" i="30"/>
  <c r="BK282" i="30"/>
  <c r="BL282" i="30"/>
  <c r="BM282" i="30"/>
  <c r="BN282" i="30"/>
  <c r="BO282" i="30"/>
  <c r="BP282" i="30"/>
  <c r="BQ282" i="30"/>
  <c r="BR282" i="30"/>
  <c r="BS282" i="30"/>
  <c r="BT282" i="30"/>
  <c r="BU282" i="30"/>
  <c r="BV282" i="30"/>
  <c r="BW282" i="30"/>
  <c r="BX282" i="30"/>
  <c r="BY282" i="30"/>
  <c r="BZ282" i="30"/>
  <c r="CA282" i="30"/>
  <c r="CB282" i="30"/>
  <c r="CC282" i="30"/>
  <c r="CD282" i="30"/>
  <c r="CE282" i="30"/>
  <c r="CF282" i="30"/>
  <c r="CG282" i="30"/>
  <c r="CH282" i="30"/>
  <c r="CI282" i="30"/>
  <c r="CJ282" i="30"/>
  <c r="CK282" i="30"/>
  <c r="CL282" i="30"/>
  <c r="CM282" i="30"/>
  <c r="CN282" i="30"/>
  <c r="CO282" i="30"/>
  <c r="CP282" i="30"/>
  <c r="CQ282" i="30"/>
  <c r="CR282" i="30"/>
  <c r="CS282" i="30"/>
  <c r="CT282" i="30"/>
  <c r="CU282" i="30"/>
  <c r="CV282" i="30"/>
  <c r="CW282" i="30"/>
  <c r="CX282" i="30"/>
  <c r="CY282" i="30"/>
  <c r="CZ282" i="30"/>
  <c r="DA282" i="30"/>
  <c r="DB282" i="30"/>
  <c r="DC282" i="30"/>
  <c r="DD282" i="30"/>
  <c r="DE282" i="30"/>
  <c r="DF282" i="30"/>
  <c r="DG282" i="30"/>
  <c r="DH282" i="30"/>
  <c r="DI282" i="30"/>
  <c r="DJ282" i="30"/>
  <c r="DK282" i="30"/>
  <c r="DL282" i="30"/>
  <c r="DM282" i="30"/>
  <c r="DN282" i="30"/>
  <c r="DO282" i="30"/>
  <c r="DP282" i="30"/>
  <c r="DQ282" i="30"/>
  <c r="DR282" i="30"/>
  <c r="DS282" i="30"/>
  <c r="DT282" i="30"/>
  <c r="DU282" i="30"/>
  <c r="DV282" i="30"/>
  <c r="DW282" i="30"/>
  <c r="DX282" i="30"/>
  <c r="DY282" i="30"/>
  <c r="DZ282" i="30"/>
  <c r="EA282" i="30"/>
  <c r="EB282" i="30"/>
  <c r="EC282" i="30"/>
  <c r="ED282" i="30"/>
  <c r="EE282" i="30"/>
  <c r="EF282" i="30"/>
  <c r="EG282" i="30"/>
  <c r="EH282" i="30"/>
  <c r="EI282" i="30"/>
  <c r="EJ282" i="30"/>
  <c r="EK282" i="30"/>
  <c r="EL282" i="30"/>
  <c r="EM282" i="30"/>
  <c r="EN282" i="30"/>
  <c r="EO282" i="30"/>
  <c r="EP282" i="30"/>
  <c r="EQ282" i="30"/>
  <c r="ER282" i="30"/>
  <c r="ES282" i="30"/>
  <c r="ET282" i="30"/>
  <c r="EU282" i="30"/>
  <c r="EV282" i="30"/>
  <c r="EW282" i="30"/>
  <c r="EX282" i="30"/>
  <c r="EY282" i="30"/>
  <c r="EZ282" i="30"/>
  <c r="FA282" i="30"/>
  <c r="FB282" i="30"/>
  <c r="FC282" i="30"/>
  <c r="FD282" i="30"/>
  <c r="FE282" i="30"/>
  <c r="FF282" i="30"/>
  <c r="FG282" i="30"/>
  <c r="FH282" i="30"/>
  <c r="FI282" i="30"/>
  <c r="FJ282" i="30"/>
  <c r="FK282" i="30"/>
  <c r="FL282" i="30"/>
  <c r="FM282" i="30"/>
  <c r="FN282" i="30"/>
  <c r="FO282" i="30"/>
  <c r="FP282" i="30"/>
  <c r="FQ282" i="30"/>
  <c r="FR282" i="30"/>
  <c r="FS282" i="30"/>
  <c r="FT282" i="30"/>
  <c r="FU282" i="30"/>
  <c r="FV282" i="30"/>
  <c r="FW282" i="30"/>
  <c r="FX282" i="30"/>
  <c r="FY282" i="30"/>
  <c r="FZ282" i="30"/>
  <c r="GA282" i="30"/>
  <c r="GB282" i="30"/>
  <c r="GC282" i="30"/>
  <c r="GD282" i="30"/>
  <c r="GE282" i="30"/>
  <c r="GF282" i="30"/>
  <c r="GG282" i="30"/>
  <c r="GH282" i="30"/>
  <c r="GI282" i="30"/>
  <c r="GJ282" i="30"/>
  <c r="GK282" i="30"/>
  <c r="GL282" i="30"/>
  <c r="GM282" i="30"/>
  <c r="GN282" i="30"/>
  <c r="GO282" i="30"/>
  <c r="GP282" i="30"/>
  <c r="GQ282" i="30"/>
  <c r="GR282" i="30"/>
  <c r="GS282" i="30"/>
  <c r="GT282" i="30"/>
  <c r="GU282" i="30"/>
  <c r="GV282" i="30"/>
  <c r="GW282" i="30"/>
  <c r="GX282" i="30"/>
  <c r="GY282" i="30"/>
  <c r="GZ282" i="30"/>
  <c r="HA282" i="30"/>
  <c r="HB282" i="30"/>
  <c r="HC282" i="30"/>
  <c r="HD282" i="30"/>
  <c r="HE282" i="30"/>
  <c r="HF282" i="30"/>
  <c r="HG282" i="30"/>
  <c r="HH282" i="30"/>
  <c r="HI282" i="30"/>
  <c r="HJ282" i="30"/>
  <c r="HK282" i="30"/>
  <c r="HL282" i="30"/>
  <c r="HM282" i="30"/>
  <c r="HN282" i="30"/>
  <c r="HO282" i="30"/>
  <c r="HP282" i="30"/>
  <c r="HQ282" i="30"/>
  <c r="HR282" i="30"/>
  <c r="HS282" i="30"/>
  <c r="HT282" i="30"/>
  <c r="HU282" i="30"/>
  <c r="HV282" i="30"/>
  <c r="HW282" i="30"/>
  <c r="HX282" i="30"/>
  <c r="HY282" i="30"/>
  <c r="HZ282" i="30"/>
  <c r="IA282" i="30"/>
  <c r="IB282" i="30"/>
  <c r="IC282" i="30"/>
  <c r="ID282" i="30"/>
  <c r="IE282" i="30"/>
  <c r="IF282" i="30"/>
  <c r="IG282" i="30"/>
  <c r="IH282" i="30"/>
  <c r="II282" i="30"/>
  <c r="IJ282" i="30"/>
  <c r="IK282" i="30"/>
  <c r="IL282" i="30"/>
  <c r="IM282" i="30"/>
  <c r="IN282" i="30"/>
  <c r="IO282" i="30"/>
  <c r="IP282" i="30"/>
  <c r="IQ282" i="30"/>
  <c r="IR282" i="30"/>
  <c r="IS282" i="30"/>
  <c r="IT282" i="30"/>
  <c r="IU282" i="30"/>
  <c r="IV282" i="30"/>
  <c r="A281" i="30"/>
  <c r="B281" i="30"/>
  <c r="C281" i="30"/>
  <c r="D281" i="30"/>
  <c r="E281" i="30"/>
  <c r="F281" i="30"/>
  <c r="G281" i="30"/>
  <c r="H281" i="30"/>
  <c r="I281" i="30"/>
  <c r="J281" i="30"/>
  <c r="K281" i="30"/>
  <c r="L281" i="30"/>
  <c r="M281" i="30"/>
  <c r="N281" i="30"/>
  <c r="O281" i="30"/>
  <c r="P281" i="30"/>
  <c r="Q281" i="30"/>
  <c r="R281" i="30"/>
  <c r="S281" i="30"/>
  <c r="T281" i="30"/>
  <c r="U281" i="30"/>
  <c r="V281" i="30"/>
  <c r="W281" i="30"/>
  <c r="X281" i="30"/>
  <c r="Y281" i="30"/>
  <c r="Z281" i="30"/>
  <c r="AA281" i="30"/>
  <c r="AB281" i="30"/>
  <c r="AC281" i="30"/>
  <c r="AD281" i="30"/>
  <c r="AE281" i="30"/>
  <c r="AF281" i="30"/>
  <c r="AG281" i="30"/>
  <c r="AH281" i="30"/>
  <c r="AI281" i="30"/>
  <c r="AJ281" i="30"/>
  <c r="AK281" i="30"/>
  <c r="AL281" i="30"/>
  <c r="AM281" i="30"/>
  <c r="AN281" i="30"/>
  <c r="AO281" i="30"/>
  <c r="AP281" i="30"/>
  <c r="AQ281" i="30"/>
  <c r="AR281" i="30"/>
  <c r="AS281" i="30"/>
  <c r="AT281" i="30"/>
  <c r="AU281" i="30"/>
  <c r="AV281" i="30"/>
  <c r="AW281" i="30"/>
  <c r="AX281" i="30"/>
  <c r="AY281" i="30"/>
  <c r="AZ281" i="30"/>
  <c r="BA281" i="30"/>
  <c r="BB281" i="30"/>
  <c r="BC281" i="30"/>
  <c r="BD281" i="30"/>
  <c r="BE281" i="30"/>
  <c r="BF281" i="30"/>
  <c r="BG281" i="30"/>
  <c r="BH281" i="30"/>
  <c r="BI281" i="30"/>
  <c r="BJ281" i="30"/>
  <c r="BK281" i="30"/>
  <c r="BL281" i="30"/>
  <c r="BM281" i="30"/>
  <c r="BN281" i="30"/>
  <c r="BO281" i="30"/>
  <c r="BP281" i="30"/>
  <c r="BQ281" i="30"/>
  <c r="BR281" i="30"/>
  <c r="BS281" i="30"/>
  <c r="BT281" i="30"/>
  <c r="BU281" i="30"/>
  <c r="BV281" i="30"/>
  <c r="BW281" i="30"/>
  <c r="BX281" i="30"/>
  <c r="BY281" i="30"/>
  <c r="BZ281" i="30"/>
  <c r="CA281" i="30"/>
  <c r="CB281" i="30"/>
  <c r="CC281" i="30"/>
  <c r="CD281" i="30"/>
  <c r="CE281" i="30"/>
  <c r="CF281" i="30"/>
  <c r="CG281" i="30"/>
  <c r="CH281" i="30"/>
  <c r="CI281" i="30"/>
  <c r="CJ281" i="30"/>
  <c r="CK281" i="30"/>
  <c r="CL281" i="30"/>
  <c r="CM281" i="30"/>
  <c r="CN281" i="30"/>
  <c r="CO281" i="30"/>
  <c r="CP281" i="30"/>
  <c r="CQ281" i="30"/>
  <c r="CR281" i="30"/>
  <c r="CS281" i="30"/>
  <c r="CT281" i="30"/>
  <c r="CU281" i="30"/>
  <c r="CV281" i="30"/>
  <c r="CW281" i="30"/>
  <c r="CX281" i="30"/>
  <c r="CY281" i="30"/>
  <c r="CZ281" i="30"/>
  <c r="DA281" i="30"/>
  <c r="DB281" i="30"/>
  <c r="DC281" i="30"/>
  <c r="DD281" i="30"/>
  <c r="DE281" i="30"/>
  <c r="DF281" i="30"/>
  <c r="DG281" i="30"/>
  <c r="DH281" i="30"/>
  <c r="DI281" i="30"/>
  <c r="DJ281" i="30"/>
  <c r="DK281" i="30"/>
  <c r="DL281" i="30"/>
  <c r="DM281" i="30"/>
  <c r="DN281" i="30"/>
  <c r="DO281" i="30"/>
  <c r="DP281" i="30"/>
  <c r="DQ281" i="30"/>
  <c r="DR281" i="30"/>
  <c r="DS281" i="30"/>
  <c r="DT281" i="30"/>
  <c r="DU281" i="30"/>
  <c r="DV281" i="30"/>
  <c r="DW281" i="30"/>
  <c r="DX281" i="30"/>
  <c r="DY281" i="30"/>
  <c r="DZ281" i="30"/>
  <c r="EA281" i="30"/>
  <c r="EB281" i="30"/>
  <c r="EC281" i="30"/>
  <c r="ED281" i="30"/>
  <c r="EE281" i="30"/>
  <c r="EF281" i="30"/>
  <c r="EG281" i="30"/>
  <c r="EH281" i="30"/>
  <c r="EI281" i="30"/>
  <c r="EJ281" i="30"/>
  <c r="EK281" i="30"/>
  <c r="EL281" i="30"/>
  <c r="EM281" i="30"/>
  <c r="EN281" i="30"/>
  <c r="EO281" i="30"/>
  <c r="EP281" i="30"/>
  <c r="EQ281" i="30"/>
  <c r="ER281" i="30"/>
  <c r="ES281" i="30"/>
  <c r="ET281" i="30"/>
  <c r="EU281" i="30"/>
  <c r="EV281" i="30"/>
  <c r="EW281" i="30"/>
  <c r="EX281" i="30"/>
  <c r="EY281" i="30"/>
  <c r="EZ281" i="30"/>
  <c r="FA281" i="30"/>
  <c r="FB281" i="30"/>
  <c r="FC281" i="30"/>
  <c r="FD281" i="30"/>
  <c r="FE281" i="30"/>
  <c r="FF281" i="30"/>
  <c r="FG281" i="30"/>
  <c r="FH281" i="30"/>
  <c r="FI281" i="30"/>
  <c r="FJ281" i="30"/>
  <c r="FK281" i="30"/>
  <c r="FL281" i="30"/>
  <c r="FM281" i="30"/>
  <c r="FN281" i="30"/>
  <c r="FO281" i="30"/>
  <c r="FP281" i="30"/>
  <c r="FQ281" i="30"/>
  <c r="FR281" i="30"/>
  <c r="FS281" i="30"/>
  <c r="FT281" i="30"/>
  <c r="FU281" i="30"/>
  <c r="FV281" i="30"/>
  <c r="FW281" i="30"/>
  <c r="FX281" i="30"/>
  <c r="FY281" i="30"/>
  <c r="FZ281" i="30"/>
  <c r="GA281" i="30"/>
  <c r="GB281" i="30"/>
  <c r="GC281" i="30"/>
  <c r="GD281" i="30"/>
  <c r="GE281" i="30"/>
  <c r="GF281" i="30"/>
  <c r="GG281" i="30"/>
  <c r="GH281" i="30"/>
  <c r="GI281" i="30"/>
  <c r="GJ281" i="30"/>
  <c r="GK281" i="30"/>
  <c r="GL281" i="30"/>
  <c r="GM281" i="30"/>
  <c r="GN281" i="30"/>
  <c r="GO281" i="30"/>
  <c r="GP281" i="30"/>
  <c r="GQ281" i="30"/>
  <c r="GR281" i="30"/>
  <c r="GS281" i="30"/>
  <c r="GT281" i="30"/>
  <c r="GU281" i="30"/>
  <c r="GV281" i="30"/>
  <c r="GW281" i="30"/>
  <c r="GX281" i="30"/>
  <c r="GY281" i="30"/>
  <c r="GZ281" i="30"/>
  <c r="HA281" i="30"/>
  <c r="HB281" i="30"/>
  <c r="HC281" i="30"/>
  <c r="HD281" i="30"/>
  <c r="HE281" i="30"/>
  <c r="HF281" i="30"/>
  <c r="HG281" i="30"/>
  <c r="HH281" i="30"/>
  <c r="HI281" i="30"/>
  <c r="HJ281" i="30"/>
  <c r="HK281" i="30"/>
  <c r="HL281" i="30"/>
  <c r="HM281" i="30"/>
  <c r="HN281" i="30"/>
  <c r="HO281" i="30"/>
  <c r="HP281" i="30"/>
  <c r="HQ281" i="30"/>
  <c r="HR281" i="30"/>
  <c r="HS281" i="30"/>
  <c r="HT281" i="30"/>
  <c r="HU281" i="30"/>
  <c r="HV281" i="30"/>
  <c r="HW281" i="30"/>
  <c r="HX281" i="30"/>
  <c r="HY281" i="30"/>
  <c r="HZ281" i="30"/>
  <c r="IA281" i="30"/>
  <c r="IB281" i="30"/>
  <c r="IC281" i="30"/>
  <c r="ID281" i="30"/>
  <c r="IE281" i="30"/>
  <c r="IF281" i="30"/>
  <c r="IG281" i="30"/>
  <c r="IH281" i="30"/>
  <c r="II281" i="30"/>
  <c r="IJ281" i="30"/>
  <c r="IK281" i="30"/>
  <c r="IL281" i="30"/>
  <c r="IM281" i="30"/>
  <c r="IN281" i="30"/>
  <c r="IO281" i="30"/>
  <c r="IP281" i="30"/>
  <c r="IQ281" i="30"/>
  <c r="IR281" i="30"/>
  <c r="IS281" i="30"/>
  <c r="IT281" i="30"/>
  <c r="IU281" i="30"/>
  <c r="IV281" i="30"/>
  <c r="A280" i="30"/>
  <c r="B280" i="30"/>
  <c r="C280" i="30"/>
  <c r="D280" i="30"/>
  <c r="E280" i="30"/>
  <c r="F280" i="30"/>
  <c r="G280" i="30"/>
  <c r="H280" i="30"/>
  <c r="I280" i="30"/>
  <c r="J280" i="30"/>
  <c r="K280" i="30"/>
  <c r="L280" i="30"/>
  <c r="M280" i="30"/>
  <c r="N280" i="30"/>
  <c r="O280" i="30"/>
  <c r="P280" i="30"/>
  <c r="Q280" i="30"/>
  <c r="R280" i="30"/>
  <c r="S280" i="30"/>
  <c r="T280" i="30"/>
  <c r="U280" i="30"/>
  <c r="V280" i="30"/>
  <c r="W280" i="30"/>
  <c r="X280" i="30"/>
  <c r="Y280" i="30"/>
  <c r="Z280" i="30"/>
  <c r="AA280" i="30"/>
  <c r="AB280" i="30"/>
  <c r="AC280" i="30"/>
  <c r="AD280" i="30"/>
  <c r="AE280" i="30"/>
  <c r="AF280" i="30"/>
  <c r="AG280" i="30"/>
  <c r="AH280" i="30"/>
  <c r="AI280" i="30"/>
  <c r="AJ280" i="30"/>
  <c r="AK280" i="30"/>
  <c r="AL280" i="30"/>
  <c r="AM280" i="30"/>
  <c r="AN280" i="30"/>
  <c r="AO280" i="30"/>
  <c r="AP280" i="30"/>
  <c r="AQ280" i="30"/>
  <c r="AR280" i="30"/>
  <c r="AS280" i="30"/>
  <c r="AT280" i="30"/>
  <c r="AU280" i="30"/>
  <c r="AV280" i="30"/>
  <c r="AW280" i="30"/>
  <c r="AX280" i="30"/>
  <c r="AY280" i="30"/>
  <c r="AZ280" i="30"/>
  <c r="BA280" i="30"/>
  <c r="BB280" i="30"/>
  <c r="BC280" i="30"/>
  <c r="BD280" i="30"/>
  <c r="BE280" i="30"/>
  <c r="BF280" i="30"/>
  <c r="BG280" i="30"/>
  <c r="BH280" i="30"/>
  <c r="BI280" i="30"/>
  <c r="BJ280" i="30"/>
  <c r="BK280" i="30"/>
  <c r="BL280" i="30"/>
  <c r="BM280" i="30"/>
  <c r="BN280" i="30"/>
  <c r="BO280" i="30"/>
  <c r="BP280" i="30"/>
  <c r="BQ280" i="30"/>
  <c r="BR280" i="30"/>
  <c r="BS280" i="30"/>
  <c r="BT280" i="30"/>
  <c r="BU280" i="30"/>
  <c r="BV280" i="30"/>
  <c r="BW280" i="30"/>
  <c r="BX280" i="30"/>
  <c r="BY280" i="30"/>
  <c r="BZ280" i="30"/>
  <c r="CA280" i="30"/>
  <c r="CB280" i="30"/>
  <c r="CC280" i="30"/>
  <c r="CD280" i="30"/>
  <c r="CE280" i="30"/>
  <c r="CF280" i="30"/>
  <c r="CG280" i="30"/>
  <c r="CH280" i="30"/>
  <c r="CI280" i="30"/>
  <c r="CJ280" i="30"/>
  <c r="CK280" i="30"/>
  <c r="CL280" i="30"/>
  <c r="CM280" i="30"/>
  <c r="CN280" i="30"/>
  <c r="CO280" i="30"/>
  <c r="CP280" i="30"/>
  <c r="CQ280" i="30"/>
  <c r="CR280" i="30"/>
  <c r="CS280" i="30"/>
  <c r="CT280" i="30"/>
  <c r="CU280" i="30"/>
  <c r="CV280" i="30"/>
  <c r="CW280" i="30"/>
  <c r="CX280" i="30"/>
  <c r="CY280" i="30"/>
  <c r="CZ280" i="30"/>
  <c r="DA280" i="30"/>
  <c r="DB280" i="30"/>
  <c r="DC280" i="30"/>
  <c r="DD280" i="30"/>
  <c r="DE280" i="30"/>
  <c r="DF280" i="30"/>
  <c r="DG280" i="30"/>
  <c r="DH280" i="30"/>
  <c r="DI280" i="30"/>
  <c r="DJ280" i="30"/>
  <c r="DK280" i="30"/>
  <c r="DL280" i="30"/>
  <c r="DM280" i="30"/>
  <c r="DN280" i="30"/>
  <c r="DO280" i="30"/>
  <c r="DP280" i="30"/>
  <c r="DQ280" i="30"/>
  <c r="DR280" i="30"/>
  <c r="DS280" i="30"/>
  <c r="DT280" i="30"/>
  <c r="DU280" i="30"/>
  <c r="DV280" i="30"/>
  <c r="DW280" i="30"/>
  <c r="DX280" i="30"/>
  <c r="DY280" i="30"/>
  <c r="DZ280" i="30"/>
  <c r="EA280" i="30"/>
  <c r="EB280" i="30"/>
  <c r="EC280" i="30"/>
  <c r="ED280" i="30"/>
  <c r="EE280" i="30"/>
  <c r="EF280" i="30"/>
  <c r="EG280" i="30"/>
  <c r="EH280" i="30"/>
  <c r="EI280" i="30"/>
  <c r="EJ280" i="30"/>
  <c r="EK280" i="30"/>
  <c r="EL280" i="30"/>
  <c r="EM280" i="30"/>
  <c r="EN280" i="30"/>
  <c r="EO280" i="30"/>
  <c r="EP280" i="30"/>
  <c r="EQ280" i="30"/>
  <c r="ER280" i="30"/>
  <c r="ES280" i="30"/>
  <c r="ET280" i="30"/>
  <c r="EU280" i="30"/>
  <c r="EV280" i="30"/>
  <c r="EW280" i="30"/>
  <c r="EX280" i="30"/>
  <c r="EY280" i="30"/>
  <c r="EZ280" i="30"/>
  <c r="FA280" i="30"/>
  <c r="FB280" i="30"/>
  <c r="FC280" i="30"/>
  <c r="FD280" i="30"/>
  <c r="FE280" i="30"/>
  <c r="FF280" i="30"/>
  <c r="FG280" i="30"/>
  <c r="FH280" i="30"/>
  <c r="FI280" i="30"/>
  <c r="FJ280" i="30"/>
  <c r="FK280" i="30"/>
  <c r="FL280" i="30"/>
  <c r="FM280" i="30"/>
  <c r="FN280" i="30"/>
  <c r="FO280" i="30"/>
  <c r="FP280" i="30"/>
  <c r="FQ280" i="30"/>
  <c r="FR280" i="30"/>
  <c r="FS280" i="30"/>
  <c r="FT280" i="30"/>
  <c r="FU280" i="30"/>
  <c r="FV280" i="30"/>
  <c r="FW280" i="30"/>
  <c r="FX280" i="30"/>
  <c r="FY280" i="30"/>
  <c r="FZ280" i="30"/>
  <c r="GA280" i="30"/>
  <c r="GB280" i="30"/>
  <c r="GC280" i="30"/>
  <c r="GD280" i="30"/>
  <c r="GE280" i="30"/>
  <c r="GF280" i="30"/>
  <c r="GG280" i="30"/>
  <c r="GH280" i="30"/>
  <c r="GI280" i="30"/>
  <c r="GJ280" i="30"/>
  <c r="GK280" i="30"/>
  <c r="GL280" i="30"/>
  <c r="GM280" i="30"/>
  <c r="GN280" i="30"/>
  <c r="GO280" i="30"/>
  <c r="GP280" i="30"/>
  <c r="GQ280" i="30"/>
  <c r="GR280" i="30"/>
  <c r="GS280" i="30"/>
  <c r="GT280" i="30"/>
  <c r="GU280" i="30"/>
  <c r="GV280" i="30"/>
  <c r="GW280" i="30"/>
  <c r="GX280" i="30"/>
  <c r="GY280" i="30"/>
  <c r="GZ280" i="30"/>
  <c r="HA280" i="30"/>
  <c r="HB280" i="30"/>
  <c r="HC280" i="30"/>
  <c r="HD280" i="30"/>
  <c r="HE280" i="30"/>
  <c r="HF280" i="30"/>
  <c r="HG280" i="30"/>
  <c r="HH280" i="30"/>
  <c r="HI280" i="30"/>
  <c r="HJ280" i="30"/>
  <c r="HK280" i="30"/>
  <c r="HL280" i="30"/>
  <c r="HM280" i="30"/>
  <c r="HN280" i="30"/>
  <c r="HO280" i="30"/>
  <c r="HP280" i="30"/>
  <c r="HQ280" i="30"/>
  <c r="HR280" i="30"/>
  <c r="HS280" i="30"/>
  <c r="HT280" i="30"/>
  <c r="HU280" i="30"/>
  <c r="HV280" i="30"/>
  <c r="HW280" i="30"/>
  <c r="HX280" i="30"/>
  <c r="HY280" i="30"/>
  <c r="HZ280" i="30"/>
  <c r="IA280" i="30"/>
  <c r="IB280" i="30"/>
  <c r="IC280" i="30"/>
  <c r="ID280" i="30"/>
  <c r="IE280" i="30"/>
  <c r="IF280" i="30"/>
  <c r="IG280" i="30"/>
  <c r="IH280" i="30"/>
  <c r="II280" i="30"/>
  <c r="IJ280" i="30"/>
  <c r="IK280" i="30"/>
  <c r="IL280" i="30"/>
  <c r="IM280" i="30"/>
  <c r="IN280" i="30"/>
  <c r="IO280" i="30"/>
  <c r="IP280" i="30"/>
  <c r="IQ280" i="30"/>
  <c r="IR280" i="30"/>
  <c r="IS280" i="30"/>
  <c r="IT280" i="30"/>
  <c r="IU280" i="30"/>
  <c r="IV280" i="30"/>
  <c r="A279" i="30"/>
  <c r="B279" i="30"/>
  <c r="C279" i="30"/>
  <c r="D279" i="30"/>
  <c r="E279" i="30"/>
  <c r="F279" i="30"/>
  <c r="G279" i="30"/>
  <c r="H279" i="30"/>
  <c r="I279" i="30"/>
  <c r="J279" i="30"/>
  <c r="K279" i="30"/>
  <c r="L279" i="30"/>
  <c r="M279" i="30"/>
  <c r="N279" i="30"/>
  <c r="O279" i="30"/>
  <c r="P279" i="30"/>
  <c r="Q279" i="30"/>
  <c r="R279" i="30"/>
  <c r="S279" i="30"/>
  <c r="T279" i="30"/>
  <c r="U279" i="30"/>
  <c r="V279" i="30"/>
  <c r="W279" i="30"/>
  <c r="X279" i="30"/>
  <c r="Y279" i="30"/>
  <c r="Z279" i="30"/>
  <c r="AA279" i="30"/>
  <c r="AB279" i="30"/>
  <c r="AC279" i="30"/>
  <c r="AD279" i="30"/>
  <c r="AE279" i="30"/>
  <c r="AF279" i="30"/>
  <c r="AG279" i="30"/>
  <c r="AH279" i="30"/>
  <c r="AI279" i="30"/>
  <c r="AJ279" i="30"/>
  <c r="AK279" i="30"/>
  <c r="AL279" i="30"/>
  <c r="AM279" i="30"/>
  <c r="AN279" i="30"/>
  <c r="AO279" i="30"/>
  <c r="AP279" i="30"/>
  <c r="AQ279" i="30"/>
  <c r="AR279" i="30"/>
  <c r="AS279" i="30"/>
  <c r="AT279" i="30"/>
  <c r="AU279" i="30"/>
  <c r="AV279" i="30"/>
  <c r="AW279" i="30"/>
  <c r="AX279" i="30"/>
  <c r="AY279" i="30"/>
  <c r="AZ279" i="30"/>
  <c r="BA279" i="30"/>
  <c r="BB279" i="30"/>
  <c r="BC279" i="30"/>
  <c r="BD279" i="30"/>
  <c r="BE279" i="30"/>
  <c r="BF279" i="30"/>
  <c r="BG279" i="30"/>
  <c r="BH279" i="30"/>
  <c r="BI279" i="30"/>
  <c r="BJ279" i="30"/>
  <c r="BK279" i="30"/>
  <c r="BL279" i="30"/>
  <c r="BM279" i="30"/>
  <c r="BN279" i="30"/>
  <c r="BO279" i="30"/>
  <c r="BP279" i="30"/>
  <c r="BQ279" i="30"/>
  <c r="BR279" i="30"/>
  <c r="BS279" i="30"/>
  <c r="BT279" i="30"/>
  <c r="BU279" i="30"/>
  <c r="BV279" i="30"/>
  <c r="BW279" i="30"/>
  <c r="BX279" i="30"/>
  <c r="BY279" i="30"/>
  <c r="BZ279" i="30"/>
  <c r="CA279" i="30"/>
  <c r="CB279" i="30"/>
  <c r="CC279" i="30"/>
  <c r="CD279" i="30"/>
  <c r="CE279" i="30"/>
  <c r="CF279" i="30"/>
  <c r="CG279" i="30"/>
  <c r="CH279" i="30"/>
  <c r="CI279" i="30"/>
  <c r="CJ279" i="30"/>
  <c r="CK279" i="30"/>
  <c r="CL279" i="30"/>
  <c r="CM279" i="30"/>
  <c r="CN279" i="30"/>
  <c r="CO279" i="30"/>
  <c r="CP279" i="30"/>
  <c r="CQ279" i="30"/>
  <c r="CR279" i="30"/>
  <c r="CS279" i="30"/>
  <c r="CT279" i="30"/>
  <c r="CU279" i="30"/>
  <c r="CV279" i="30"/>
  <c r="CW279" i="30"/>
  <c r="CX279" i="30"/>
  <c r="CY279" i="30"/>
  <c r="CZ279" i="30"/>
  <c r="DA279" i="30"/>
  <c r="DB279" i="30"/>
  <c r="DC279" i="30"/>
  <c r="DD279" i="30"/>
  <c r="DE279" i="30"/>
  <c r="DF279" i="30"/>
  <c r="DG279" i="30"/>
  <c r="DH279" i="30"/>
  <c r="DI279" i="30"/>
  <c r="DJ279" i="30"/>
  <c r="DK279" i="30"/>
  <c r="DL279" i="30"/>
  <c r="DM279" i="30"/>
  <c r="DN279" i="30"/>
  <c r="DO279" i="30"/>
  <c r="DP279" i="30"/>
  <c r="DQ279" i="30"/>
  <c r="DR279" i="30"/>
  <c r="DS279" i="30"/>
  <c r="DT279" i="30"/>
  <c r="DU279" i="30"/>
  <c r="DV279" i="30"/>
  <c r="DW279" i="30"/>
  <c r="DX279" i="30"/>
  <c r="DY279" i="30"/>
  <c r="DZ279" i="30"/>
  <c r="EA279" i="30"/>
  <c r="EB279" i="30"/>
  <c r="EC279" i="30"/>
  <c r="ED279" i="30"/>
  <c r="EE279" i="30"/>
  <c r="EF279" i="30"/>
  <c r="EG279" i="30"/>
  <c r="EH279" i="30"/>
  <c r="EI279" i="30"/>
  <c r="EJ279" i="30"/>
  <c r="EK279" i="30"/>
  <c r="EL279" i="30"/>
  <c r="EM279" i="30"/>
  <c r="EN279" i="30"/>
  <c r="EO279" i="30"/>
  <c r="EP279" i="30"/>
  <c r="EQ279" i="30"/>
  <c r="ER279" i="30"/>
  <c r="ES279" i="30"/>
  <c r="ET279" i="30"/>
  <c r="EU279" i="30"/>
  <c r="EV279" i="30"/>
  <c r="EW279" i="30"/>
  <c r="EX279" i="30"/>
  <c r="EY279" i="30"/>
  <c r="EZ279" i="30"/>
  <c r="FA279" i="30"/>
  <c r="FB279" i="30"/>
  <c r="FC279" i="30"/>
  <c r="FD279" i="30"/>
  <c r="FE279" i="30"/>
  <c r="FF279" i="30"/>
  <c r="FG279" i="30"/>
  <c r="FH279" i="30"/>
  <c r="FI279" i="30"/>
  <c r="FJ279" i="30"/>
  <c r="FK279" i="30"/>
  <c r="FL279" i="30"/>
  <c r="FM279" i="30"/>
  <c r="FN279" i="30"/>
  <c r="FO279" i="30"/>
  <c r="FP279" i="30"/>
  <c r="FQ279" i="30"/>
  <c r="FR279" i="30"/>
  <c r="FS279" i="30"/>
  <c r="FT279" i="30"/>
  <c r="FU279" i="30"/>
  <c r="FV279" i="30"/>
  <c r="FW279" i="30"/>
  <c r="FX279" i="30"/>
  <c r="FY279" i="30"/>
  <c r="FZ279" i="30"/>
  <c r="GA279" i="30"/>
  <c r="GB279" i="30"/>
  <c r="GC279" i="30"/>
  <c r="GD279" i="30"/>
  <c r="GE279" i="30"/>
  <c r="GF279" i="30"/>
  <c r="GG279" i="30"/>
  <c r="GH279" i="30"/>
  <c r="GI279" i="30"/>
  <c r="GJ279" i="30"/>
  <c r="GK279" i="30"/>
  <c r="GL279" i="30"/>
  <c r="GM279" i="30"/>
  <c r="GN279" i="30"/>
  <c r="GO279" i="30"/>
  <c r="GP279" i="30"/>
  <c r="GQ279" i="30"/>
  <c r="GR279" i="30"/>
  <c r="GS279" i="30"/>
  <c r="GT279" i="30"/>
  <c r="GU279" i="30"/>
  <c r="GV279" i="30"/>
  <c r="GW279" i="30"/>
  <c r="GX279" i="30"/>
  <c r="GY279" i="30"/>
  <c r="GZ279" i="30"/>
  <c r="HA279" i="30"/>
  <c r="HB279" i="30"/>
  <c r="HC279" i="30"/>
  <c r="HD279" i="30"/>
  <c r="HE279" i="30"/>
  <c r="HF279" i="30"/>
  <c r="HG279" i="30"/>
  <c r="HH279" i="30"/>
  <c r="HI279" i="30"/>
  <c r="HJ279" i="30"/>
  <c r="HK279" i="30"/>
  <c r="HL279" i="30"/>
  <c r="HM279" i="30"/>
  <c r="HN279" i="30"/>
  <c r="HO279" i="30"/>
  <c r="HP279" i="30"/>
  <c r="HQ279" i="30"/>
  <c r="HR279" i="30"/>
  <c r="HS279" i="30"/>
  <c r="HT279" i="30"/>
  <c r="HU279" i="30"/>
  <c r="HV279" i="30"/>
  <c r="HW279" i="30"/>
  <c r="HX279" i="30"/>
  <c r="HY279" i="30"/>
  <c r="HZ279" i="30"/>
  <c r="IA279" i="30"/>
  <c r="IB279" i="30"/>
  <c r="IC279" i="30"/>
  <c r="ID279" i="30"/>
  <c r="IE279" i="30"/>
  <c r="IF279" i="30"/>
  <c r="IG279" i="30"/>
  <c r="IH279" i="30"/>
  <c r="II279" i="30"/>
  <c r="IJ279" i="30"/>
  <c r="IK279" i="30"/>
  <c r="IL279" i="30"/>
  <c r="IM279" i="30"/>
  <c r="IN279" i="30"/>
  <c r="IO279" i="30"/>
  <c r="IP279" i="30"/>
  <c r="IQ279" i="30"/>
  <c r="IR279" i="30"/>
  <c r="IS279" i="30"/>
  <c r="IT279" i="30"/>
  <c r="IU279" i="30"/>
  <c r="IV279" i="30"/>
  <c r="A278" i="30"/>
  <c r="B278" i="30"/>
  <c r="C278" i="30"/>
  <c r="D278" i="30"/>
  <c r="E278" i="30"/>
  <c r="F278" i="30"/>
  <c r="G278" i="30"/>
  <c r="H278" i="30"/>
  <c r="I278" i="30"/>
  <c r="J278" i="30"/>
  <c r="K278" i="30"/>
  <c r="L278" i="30"/>
  <c r="M278" i="30"/>
  <c r="N278" i="30"/>
  <c r="O278" i="30"/>
  <c r="P278" i="30"/>
  <c r="Q278" i="30"/>
  <c r="R278" i="30"/>
  <c r="S278" i="30"/>
  <c r="T278" i="30"/>
  <c r="U278" i="30"/>
  <c r="V278" i="30"/>
  <c r="W278" i="30"/>
  <c r="X278" i="30"/>
  <c r="Y278" i="30"/>
  <c r="Z278" i="30"/>
  <c r="AA278" i="30"/>
  <c r="AB278" i="30"/>
  <c r="AC278" i="30"/>
  <c r="AD278" i="30"/>
  <c r="AE278" i="30"/>
  <c r="AF278" i="30"/>
  <c r="AG278" i="30"/>
  <c r="AH278" i="30"/>
  <c r="AI278" i="30"/>
  <c r="AJ278" i="30"/>
  <c r="AK278" i="30"/>
  <c r="AL278" i="30"/>
  <c r="AM278" i="30"/>
  <c r="AN278" i="30"/>
  <c r="AO278" i="30"/>
  <c r="AP278" i="30"/>
  <c r="AQ278" i="30"/>
  <c r="AR278" i="30"/>
  <c r="AS278" i="30"/>
  <c r="AT278" i="30"/>
  <c r="AU278" i="30"/>
  <c r="AV278" i="30"/>
  <c r="AW278" i="30"/>
  <c r="AX278" i="30"/>
  <c r="AY278" i="30"/>
  <c r="AZ278" i="30"/>
  <c r="BA278" i="30"/>
  <c r="BB278" i="30"/>
  <c r="BC278" i="30"/>
  <c r="BD278" i="30"/>
  <c r="BE278" i="30"/>
  <c r="BF278" i="30"/>
  <c r="BG278" i="30"/>
  <c r="BH278" i="30"/>
  <c r="BI278" i="30"/>
  <c r="BJ278" i="30"/>
  <c r="BK278" i="30"/>
  <c r="BL278" i="30"/>
  <c r="BM278" i="30"/>
  <c r="BN278" i="30"/>
  <c r="BO278" i="30"/>
  <c r="BP278" i="30"/>
  <c r="BQ278" i="30"/>
  <c r="BR278" i="30"/>
  <c r="BS278" i="30"/>
  <c r="BT278" i="30"/>
  <c r="BU278" i="30"/>
  <c r="BV278" i="30"/>
  <c r="BW278" i="30"/>
  <c r="BX278" i="30"/>
  <c r="BY278" i="30"/>
  <c r="BZ278" i="30"/>
  <c r="CA278" i="30"/>
  <c r="CB278" i="30"/>
  <c r="CC278" i="30"/>
  <c r="CD278" i="30"/>
  <c r="CE278" i="30"/>
  <c r="CF278" i="30"/>
  <c r="CG278" i="30"/>
  <c r="CH278" i="30"/>
  <c r="CI278" i="30"/>
  <c r="CJ278" i="30"/>
  <c r="CK278" i="30"/>
  <c r="CL278" i="30"/>
  <c r="CM278" i="30"/>
  <c r="CN278" i="30"/>
  <c r="CO278" i="30"/>
  <c r="CP278" i="30"/>
  <c r="CQ278" i="30"/>
  <c r="CR278" i="30"/>
  <c r="CS278" i="30"/>
  <c r="CT278" i="30"/>
  <c r="CU278" i="30"/>
  <c r="CV278" i="30"/>
  <c r="CW278" i="30"/>
  <c r="CX278" i="30"/>
  <c r="CY278" i="30"/>
  <c r="CZ278" i="30"/>
  <c r="DA278" i="30"/>
  <c r="DB278" i="30"/>
  <c r="DC278" i="30"/>
  <c r="DD278" i="30"/>
  <c r="DE278" i="30"/>
  <c r="DF278" i="30"/>
  <c r="DG278" i="30"/>
  <c r="DH278" i="30"/>
  <c r="DI278" i="30"/>
  <c r="DJ278" i="30"/>
  <c r="DK278" i="30"/>
  <c r="DL278" i="30"/>
  <c r="DM278" i="30"/>
  <c r="DN278" i="30"/>
  <c r="DO278" i="30"/>
  <c r="DP278" i="30"/>
  <c r="DQ278" i="30"/>
  <c r="DR278" i="30"/>
  <c r="DS278" i="30"/>
  <c r="DT278" i="30"/>
  <c r="DU278" i="30"/>
  <c r="DV278" i="30"/>
  <c r="DW278" i="30"/>
  <c r="DX278" i="30"/>
  <c r="DY278" i="30"/>
  <c r="DZ278" i="30"/>
  <c r="EA278" i="30"/>
  <c r="EB278" i="30"/>
  <c r="EC278" i="30"/>
  <c r="ED278" i="30"/>
  <c r="EE278" i="30"/>
  <c r="EF278" i="30"/>
  <c r="EG278" i="30"/>
  <c r="EH278" i="30"/>
  <c r="EI278" i="30"/>
  <c r="EJ278" i="30"/>
  <c r="EK278" i="30"/>
  <c r="EL278" i="30"/>
  <c r="EM278" i="30"/>
  <c r="EN278" i="30"/>
  <c r="EO278" i="30"/>
  <c r="EP278" i="30"/>
  <c r="EQ278" i="30"/>
  <c r="ER278" i="30"/>
  <c r="ES278" i="30"/>
  <c r="ET278" i="30"/>
  <c r="EU278" i="30"/>
  <c r="EV278" i="30"/>
  <c r="EW278" i="30"/>
  <c r="EX278" i="30"/>
  <c r="EY278" i="30"/>
  <c r="EZ278" i="30"/>
  <c r="FA278" i="30"/>
  <c r="FB278" i="30"/>
  <c r="FC278" i="30"/>
  <c r="FD278" i="30"/>
  <c r="FE278" i="30"/>
  <c r="FF278" i="30"/>
  <c r="FG278" i="30"/>
  <c r="FH278" i="30"/>
  <c r="FI278" i="30"/>
  <c r="FJ278" i="30"/>
  <c r="FK278" i="30"/>
  <c r="FL278" i="30"/>
  <c r="FM278" i="30"/>
  <c r="FN278" i="30"/>
  <c r="FO278" i="30"/>
  <c r="FP278" i="30"/>
  <c r="FQ278" i="30"/>
  <c r="FR278" i="30"/>
  <c r="FS278" i="30"/>
  <c r="FT278" i="30"/>
  <c r="FU278" i="30"/>
  <c r="FV278" i="30"/>
  <c r="FW278" i="30"/>
  <c r="FX278" i="30"/>
  <c r="FY278" i="30"/>
  <c r="FZ278" i="30"/>
  <c r="GA278" i="30"/>
  <c r="GB278" i="30"/>
  <c r="GC278" i="30"/>
  <c r="GD278" i="30"/>
  <c r="GE278" i="30"/>
  <c r="GF278" i="30"/>
  <c r="GG278" i="30"/>
  <c r="GH278" i="30"/>
  <c r="GI278" i="30"/>
  <c r="GJ278" i="30"/>
  <c r="GK278" i="30"/>
  <c r="GL278" i="30"/>
  <c r="GM278" i="30"/>
  <c r="GN278" i="30"/>
  <c r="GO278" i="30"/>
  <c r="GP278" i="30"/>
  <c r="GQ278" i="30"/>
  <c r="GR278" i="30"/>
  <c r="GS278" i="30"/>
  <c r="GT278" i="30"/>
  <c r="GU278" i="30"/>
  <c r="GV278" i="30"/>
  <c r="GW278" i="30"/>
  <c r="GX278" i="30"/>
  <c r="GY278" i="30"/>
  <c r="GZ278" i="30"/>
  <c r="HA278" i="30"/>
  <c r="HB278" i="30"/>
  <c r="HC278" i="30"/>
  <c r="HD278" i="30"/>
  <c r="HE278" i="30"/>
  <c r="HF278" i="30"/>
  <c r="HG278" i="30"/>
  <c r="HH278" i="30"/>
  <c r="HI278" i="30"/>
  <c r="HJ278" i="30"/>
  <c r="HK278" i="30"/>
  <c r="HL278" i="30"/>
  <c r="HM278" i="30"/>
  <c r="HN278" i="30"/>
  <c r="HO278" i="30"/>
  <c r="HP278" i="30"/>
  <c r="HQ278" i="30"/>
  <c r="HR278" i="30"/>
  <c r="HS278" i="30"/>
  <c r="HT278" i="30"/>
  <c r="HU278" i="30"/>
  <c r="HV278" i="30"/>
  <c r="HW278" i="30"/>
  <c r="HX278" i="30"/>
  <c r="HY278" i="30"/>
  <c r="HZ278" i="30"/>
  <c r="IA278" i="30"/>
  <c r="IB278" i="30"/>
  <c r="IC278" i="30"/>
  <c r="ID278" i="30"/>
  <c r="IE278" i="30"/>
  <c r="IF278" i="30"/>
  <c r="IG278" i="30"/>
  <c r="IH278" i="30"/>
  <c r="II278" i="30"/>
  <c r="IJ278" i="30"/>
  <c r="IK278" i="30"/>
  <c r="IL278" i="30"/>
  <c r="IM278" i="30"/>
  <c r="IN278" i="30"/>
  <c r="IO278" i="30"/>
  <c r="IP278" i="30"/>
  <c r="IQ278" i="30"/>
  <c r="IR278" i="30"/>
  <c r="IS278" i="30"/>
  <c r="IT278" i="30"/>
  <c r="IU278" i="30"/>
  <c r="IV278" i="30"/>
  <c r="A277" i="30"/>
  <c r="B277" i="30"/>
  <c r="C277" i="30"/>
  <c r="D277" i="30"/>
  <c r="E277" i="30"/>
  <c r="F277" i="30"/>
  <c r="G277" i="30"/>
  <c r="H277" i="30"/>
  <c r="I277" i="30"/>
  <c r="J277" i="30"/>
  <c r="K277" i="30"/>
  <c r="L277" i="30"/>
  <c r="M277" i="30"/>
  <c r="N277" i="30"/>
  <c r="O277" i="30"/>
  <c r="P277" i="30"/>
  <c r="Q277" i="30"/>
  <c r="R277" i="30"/>
  <c r="S277" i="30"/>
  <c r="T277" i="30"/>
  <c r="U277" i="30"/>
  <c r="V277" i="30"/>
  <c r="W277" i="30"/>
  <c r="X277" i="30"/>
  <c r="Y277" i="30"/>
  <c r="Z277" i="30"/>
  <c r="AA277" i="30"/>
  <c r="AB277" i="30"/>
  <c r="AC277" i="30"/>
  <c r="AD277" i="30"/>
  <c r="AE277" i="30"/>
  <c r="AF277" i="30"/>
  <c r="AG277" i="30"/>
  <c r="AH277" i="30"/>
  <c r="AI277" i="30"/>
  <c r="AJ277" i="30"/>
  <c r="AK277" i="30"/>
  <c r="AL277" i="30"/>
  <c r="AM277" i="30"/>
  <c r="AN277" i="30"/>
  <c r="AO277" i="30"/>
  <c r="AP277" i="30"/>
  <c r="AQ277" i="30"/>
  <c r="AR277" i="30"/>
  <c r="AS277" i="30"/>
  <c r="AT277" i="30"/>
  <c r="AU277" i="30"/>
  <c r="AV277" i="30"/>
  <c r="AW277" i="30"/>
  <c r="AX277" i="30"/>
  <c r="AY277" i="30"/>
  <c r="AZ277" i="30"/>
  <c r="BA277" i="30"/>
  <c r="BB277" i="30"/>
  <c r="BC277" i="30"/>
  <c r="BD277" i="30"/>
  <c r="BE277" i="30"/>
  <c r="BF277" i="30"/>
  <c r="BG277" i="30"/>
  <c r="BH277" i="30"/>
  <c r="BI277" i="30"/>
  <c r="BJ277" i="30"/>
  <c r="BK277" i="30"/>
  <c r="BL277" i="30"/>
  <c r="BM277" i="30"/>
  <c r="BN277" i="30"/>
  <c r="BO277" i="30"/>
  <c r="BP277" i="30"/>
  <c r="BQ277" i="30"/>
  <c r="BR277" i="30"/>
  <c r="BS277" i="30"/>
  <c r="BT277" i="30"/>
  <c r="BU277" i="30"/>
  <c r="BV277" i="30"/>
  <c r="BW277" i="30"/>
  <c r="BX277" i="30"/>
  <c r="BY277" i="30"/>
  <c r="BZ277" i="30"/>
  <c r="CA277" i="30"/>
  <c r="CB277" i="30"/>
  <c r="CC277" i="30"/>
  <c r="CD277" i="30"/>
  <c r="CE277" i="30"/>
  <c r="CF277" i="30"/>
  <c r="CG277" i="30"/>
  <c r="CH277" i="30"/>
  <c r="CI277" i="30"/>
  <c r="CJ277" i="30"/>
  <c r="CK277" i="30"/>
  <c r="CL277" i="30"/>
  <c r="CM277" i="30"/>
  <c r="CN277" i="30"/>
  <c r="CO277" i="30"/>
  <c r="CP277" i="30"/>
  <c r="CQ277" i="30"/>
  <c r="CR277" i="30"/>
  <c r="CS277" i="30"/>
  <c r="CT277" i="30"/>
  <c r="CU277" i="30"/>
  <c r="CV277" i="30"/>
  <c r="CW277" i="30"/>
  <c r="CX277" i="30"/>
  <c r="CY277" i="30"/>
  <c r="CZ277" i="30"/>
  <c r="DA277" i="30"/>
  <c r="DB277" i="30"/>
  <c r="DC277" i="30"/>
  <c r="DD277" i="30"/>
  <c r="DE277" i="30"/>
  <c r="DF277" i="30"/>
  <c r="DG277" i="30"/>
  <c r="DH277" i="30"/>
  <c r="DI277" i="30"/>
  <c r="DJ277" i="30"/>
  <c r="DK277" i="30"/>
  <c r="DL277" i="30"/>
  <c r="DM277" i="30"/>
  <c r="DN277" i="30"/>
  <c r="DO277" i="30"/>
  <c r="DP277" i="30"/>
  <c r="DQ277" i="30"/>
  <c r="DR277" i="30"/>
  <c r="DS277" i="30"/>
  <c r="DT277" i="30"/>
  <c r="DU277" i="30"/>
  <c r="DV277" i="30"/>
  <c r="DW277" i="30"/>
  <c r="DX277" i="30"/>
  <c r="DY277" i="30"/>
  <c r="DZ277" i="30"/>
  <c r="EA277" i="30"/>
  <c r="EB277" i="30"/>
  <c r="EC277" i="30"/>
  <c r="ED277" i="30"/>
  <c r="EE277" i="30"/>
  <c r="EF277" i="30"/>
  <c r="EG277" i="30"/>
  <c r="EH277" i="30"/>
  <c r="EI277" i="30"/>
  <c r="EJ277" i="30"/>
  <c r="EK277" i="30"/>
  <c r="EL277" i="30"/>
  <c r="EM277" i="30"/>
  <c r="EN277" i="30"/>
  <c r="EO277" i="30"/>
  <c r="EP277" i="30"/>
  <c r="EQ277" i="30"/>
  <c r="ER277" i="30"/>
  <c r="ES277" i="30"/>
  <c r="ET277" i="30"/>
  <c r="EU277" i="30"/>
  <c r="EV277" i="30"/>
  <c r="EW277" i="30"/>
  <c r="EX277" i="30"/>
  <c r="EY277" i="30"/>
  <c r="EZ277" i="30"/>
  <c r="FA277" i="30"/>
  <c r="FB277" i="30"/>
  <c r="FC277" i="30"/>
  <c r="FD277" i="30"/>
  <c r="FE277" i="30"/>
  <c r="FF277" i="30"/>
  <c r="FG277" i="30"/>
  <c r="FH277" i="30"/>
  <c r="FI277" i="30"/>
  <c r="FJ277" i="30"/>
  <c r="FK277" i="30"/>
  <c r="FL277" i="30"/>
  <c r="FM277" i="30"/>
  <c r="FN277" i="30"/>
  <c r="FO277" i="30"/>
  <c r="FP277" i="30"/>
  <c r="FQ277" i="30"/>
  <c r="FR277" i="30"/>
  <c r="FS277" i="30"/>
  <c r="FT277" i="30"/>
  <c r="FU277" i="30"/>
  <c r="FV277" i="30"/>
  <c r="FW277" i="30"/>
  <c r="FX277" i="30"/>
  <c r="FY277" i="30"/>
  <c r="FZ277" i="30"/>
  <c r="GA277" i="30"/>
  <c r="GB277" i="30"/>
  <c r="GC277" i="30"/>
  <c r="GD277" i="30"/>
  <c r="GE277" i="30"/>
  <c r="GF277" i="30"/>
  <c r="GG277" i="30"/>
  <c r="GH277" i="30"/>
  <c r="GI277" i="30"/>
  <c r="GJ277" i="30"/>
  <c r="GK277" i="30"/>
  <c r="GL277" i="30"/>
  <c r="GM277" i="30"/>
  <c r="GN277" i="30"/>
  <c r="GO277" i="30"/>
  <c r="GP277" i="30"/>
  <c r="GQ277" i="30"/>
  <c r="GR277" i="30"/>
  <c r="GS277" i="30"/>
  <c r="GT277" i="30"/>
  <c r="GU277" i="30"/>
  <c r="GV277" i="30"/>
  <c r="GW277" i="30"/>
  <c r="GX277" i="30"/>
  <c r="GY277" i="30"/>
  <c r="GZ277" i="30"/>
  <c r="HA277" i="30"/>
  <c r="HB277" i="30"/>
  <c r="HC277" i="30"/>
  <c r="HD277" i="30"/>
  <c r="HE277" i="30"/>
  <c r="HF277" i="30"/>
  <c r="HG277" i="30"/>
  <c r="HH277" i="30"/>
  <c r="HI277" i="30"/>
  <c r="HJ277" i="30"/>
  <c r="HK277" i="30"/>
  <c r="HL277" i="30"/>
  <c r="HM277" i="30"/>
  <c r="HN277" i="30"/>
  <c r="HO277" i="30"/>
  <c r="HP277" i="30"/>
  <c r="HQ277" i="30"/>
  <c r="HR277" i="30"/>
  <c r="HS277" i="30"/>
  <c r="HT277" i="30"/>
  <c r="HU277" i="30"/>
  <c r="HV277" i="30"/>
  <c r="HW277" i="30"/>
  <c r="HX277" i="30"/>
  <c r="HY277" i="30"/>
  <c r="HZ277" i="30"/>
  <c r="IA277" i="30"/>
  <c r="IB277" i="30"/>
  <c r="IC277" i="30"/>
  <c r="ID277" i="30"/>
  <c r="IE277" i="30"/>
  <c r="IF277" i="30"/>
  <c r="IG277" i="30"/>
  <c r="IH277" i="30"/>
  <c r="II277" i="30"/>
  <c r="IJ277" i="30"/>
  <c r="IK277" i="30"/>
  <c r="IL277" i="30"/>
  <c r="IM277" i="30"/>
  <c r="IN277" i="30"/>
  <c r="IO277" i="30"/>
  <c r="IP277" i="30"/>
  <c r="IQ277" i="30"/>
  <c r="IR277" i="30"/>
  <c r="IS277" i="30"/>
  <c r="IT277" i="30"/>
  <c r="IU277" i="30"/>
  <c r="IV277" i="30"/>
  <c r="A276" i="30"/>
  <c r="B276" i="30"/>
  <c r="C276" i="30"/>
  <c r="D276" i="30"/>
  <c r="E276" i="30"/>
  <c r="F276" i="30"/>
  <c r="G276" i="30"/>
  <c r="H276" i="30"/>
  <c r="I276" i="30"/>
  <c r="J276" i="30"/>
  <c r="K276" i="30"/>
  <c r="L276" i="30"/>
  <c r="M276" i="30"/>
  <c r="N276" i="30"/>
  <c r="O276" i="30"/>
  <c r="P276" i="30"/>
  <c r="Q276" i="30"/>
  <c r="R276" i="30"/>
  <c r="S276" i="30"/>
  <c r="T276" i="30"/>
  <c r="U276" i="30"/>
  <c r="V276" i="30"/>
  <c r="W276" i="30"/>
  <c r="X276" i="30"/>
  <c r="Y276" i="30"/>
  <c r="Z276" i="30"/>
  <c r="AA276" i="30"/>
  <c r="AB276" i="30"/>
  <c r="AC276" i="30"/>
  <c r="AD276" i="30"/>
  <c r="AE276" i="30"/>
  <c r="AF276" i="30"/>
  <c r="AG276" i="30"/>
  <c r="AH276" i="30"/>
  <c r="AI276" i="30"/>
  <c r="AJ276" i="30"/>
  <c r="AK276" i="30"/>
  <c r="AL276" i="30"/>
  <c r="AM276" i="30"/>
  <c r="AN276" i="30"/>
  <c r="AO276" i="30"/>
  <c r="AP276" i="30"/>
  <c r="AQ276" i="30"/>
  <c r="AR276" i="30"/>
  <c r="AS276" i="30"/>
  <c r="AT276" i="30"/>
  <c r="AU276" i="30"/>
  <c r="AV276" i="30"/>
  <c r="AW276" i="30"/>
  <c r="AX276" i="30"/>
  <c r="AY276" i="30"/>
  <c r="AZ276" i="30"/>
  <c r="BA276" i="30"/>
  <c r="BB276" i="30"/>
  <c r="BC276" i="30"/>
  <c r="BD276" i="30"/>
  <c r="BE276" i="30"/>
  <c r="BF276" i="30"/>
  <c r="BG276" i="30"/>
  <c r="BH276" i="30"/>
  <c r="BI276" i="30"/>
  <c r="BJ276" i="30"/>
  <c r="BK276" i="30"/>
  <c r="BL276" i="30"/>
  <c r="BM276" i="30"/>
  <c r="BN276" i="30"/>
  <c r="BO276" i="30"/>
  <c r="BP276" i="30"/>
  <c r="BQ276" i="30"/>
  <c r="BR276" i="30"/>
  <c r="BS276" i="30"/>
  <c r="BT276" i="30"/>
  <c r="BU276" i="30"/>
  <c r="BV276" i="30"/>
  <c r="BW276" i="30"/>
  <c r="BX276" i="30"/>
  <c r="BY276" i="30"/>
  <c r="BZ276" i="30"/>
  <c r="CA276" i="30"/>
  <c r="CB276" i="30"/>
  <c r="CC276" i="30"/>
  <c r="CD276" i="30"/>
  <c r="CE276" i="30"/>
  <c r="CF276" i="30"/>
  <c r="CG276" i="30"/>
  <c r="CH276" i="30"/>
  <c r="CI276" i="30"/>
  <c r="CJ276" i="30"/>
  <c r="CK276" i="30"/>
  <c r="CL276" i="30"/>
  <c r="CM276" i="30"/>
  <c r="CN276" i="30"/>
  <c r="CO276" i="30"/>
  <c r="CP276" i="30"/>
  <c r="CQ276" i="30"/>
  <c r="CR276" i="30"/>
  <c r="CS276" i="30"/>
  <c r="CT276" i="30"/>
  <c r="CU276" i="30"/>
  <c r="CV276" i="30"/>
  <c r="CW276" i="30"/>
  <c r="CX276" i="30"/>
  <c r="CY276" i="30"/>
  <c r="CZ276" i="30"/>
  <c r="DA276" i="30"/>
  <c r="DB276" i="30"/>
  <c r="DC276" i="30"/>
  <c r="DD276" i="30"/>
  <c r="DE276" i="30"/>
  <c r="DF276" i="30"/>
  <c r="DG276" i="30"/>
  <c r="DH276" i="30"/>
  <c r="DI276" i="30"/>
  <c r="DJ276" i="30"/>
  <c r="DK276" i="30"/>
  <c r="DL276" i="30"/>
  <c r="DM276" i="30"/>
  <c r="DN276" i="30"/>
  <c r="DO276" i="30"/>
  <c r="DP276" i="30"/>
  <c r="DQ276" i="30"/>
  <c r="DR276" i="30"/>
  <c r="DS276" i="30"/>
  <c r="DT276" i="30"/>
  <c r="DU276" i="30"/>
  <c r="DV276" i="30"/>
  <c r="DW276" i="30"/>
  <c r="DX276" i="30"/>
  <c r="DY276" i="30"/>
  <c r="DZ276" i="30"/>
  <c r="EA276" i="30"/>
  <c r="EB276" i="30"/>
  <c r="EC276" i="30"/>
  <c r="ED276" i="30"/>
  <c r="EE276" i="30"/>
  <c r="EF276" i="30"/>
  <c r="EG276" i="30"/>
  <c r="EH276" i="30"/>
  <c r="EI276" i="30"/>
  <c r="EJ276" i="30"/>
  <c r="EK276" i="30"/>
  <c r="EL276" i="30"/>
  <c r="EM276" i="30"/>
  <c r="EN276" i="30"/>
  <c r="EO276" i="30"/>
  <c r="EP276" i="30"/>
  <c r="EQ276" i="30"/>
  <c r="ER276" i="30"/>
  <c r="ES276" i="30"/>
  <c r="ET276" i="30"/>
  <c r="EU276" i="30"/>
  <c r="EV276" i="30"/>
  <c r="EW276" i="30"/>
  <c r="EX276" i="30"/>
  <c r="EY276" i="30"/>
  <c r="EZ276" i="30"/>
  <c r="FA276" i="30"/>
  <c r="FB276" i="30"/>
  <c r="FC276" i="30"/>
  <c r="FD276" i="30"/>
  <c r="FE276" i="30"/>
  <c r="FF276" i="30"/>
  <c r="FG276" i="30"/>
  <c r="FH276" i="30"/>
  <c r="FI276" i="30"/>
  <c r="FJ276" i="30"/>
  <c r="FK276" i="30"/>
  <c r="FL276" i="30"/>
  <c r="FM276" i="30"/>
  <c r="FN276" i="30"/>
  <c r="FO276" i="30"/>
  <c r="FP276" i="30"/>
  <c r="FQ276" i="30"/>
  <c r="FR276" i="30"/>
  <c r="FS276" i="30"/>
  <c r="FT276" i="30"/>
  <c r="FU276" i="30"/>
  <c r="FV276" i="30"/>
  <c r="FW276" i="30"/>
  <c r="FX276" i="30"/>
  <c r="FY276" i="30"/>
  <c r="FZ276" i="30"/>
  <c r="GA276" i="30"/>
  <c r="GB276" i="30"/>
  <c r="GC276" i="30"/>
  <c r="GD276" i="30"/>
  <c r="GE276" i="30"/>
  <c r="GF276" i="30"/>
  <c r="GG276" i="30"/>
  <c r="GH276" i="30"/>
  <c r="GI276" i="30"/>
  <c r="GJ276" i="30"/>
  <c r="GK276" i="30"/>
  <c r="GL276" i="30"/>
  <c r="GM276" i="30"/>
  <c r="GN276" i="30"/>
  <c r="GO276" i="30"/>
  <c r="GP276" i="30"/>
  <c r="GQ276" i="30"/>
  <c r="GR276" i="30"/>
  <c r="GS276" i="30"/>
  <c r="GT276" i="30"/>
  <c r="GU276" i="30"/>
  <c r="GV276" i="30"/>
  <c r="GW276" i="30"/>
  <c r="GX276" i="30"/>
  <c r="GY276" i="30"/>
  <c r="GZ276" i="30"/>
  <c r="HA276" i="30"/>
  <c r="HB276" i="30"/>
  <c r="HC276" i="30"/>
  <c r="HD276" i="30"/>
  <c r="HE276" i="30"/>
  <c r="HF276" i="30"/>
  <c r="HG276" i="30"/>
  <c r="HH276" i="30"/>
  <c r="HI276" i="30"/>
  <c r="HJ276" i="30"/>
  <c r="HK276" i="30"/>
  <c r="HL276" i="30"/>
  <c r="HM276" i="30"/>
  <c r="HN276" i="30"/>
  <c r="HO276" i="30"/>
  <c r="HP276" i="30"/>
  <c r="HQ276" i="30"/>
  <c r="HR276" i="30"/>
  <c r="HS276" i="30"/>
  <c r="HT276" i="30"/>
  <c r="HU276" i="30"/>
  <c r="HV276" i="30"/>
  <c r="HW276" i="30"/>
  <c r="HX276" i="30"/>
  <c r="HY276" i="30"/>
  <c r="HZ276" i="30"/>
  <c r="IA276" i="30"/>
  <c r="IB276" i="30"/>
  <c r="IC276" i="30"/>
  <c r="ID276" i="30"/>
  <c r="IE276" i="30"/>
  <c r="IF276" i="30"/>
  <c r="IG276" i="30"/>
  <c r="IH276" i="30"/>
  <c r="II276" i="30"/>
  <c r="IJ276" i="30"/>
  <c r="IK276" i="30"/>
  <c r="IL276" i="30"/>
  <c r="IM276" i="30"/>
  <c r="IN276" i="30"/>
  <c r="IO276" i="30"/>
  <c r="IP276" i="30"/>
  <c r="IQ276" i="30"/>
  <c r="IR276" i="30"/>
  <c r="IS276" i="30"/>
  <c r="IT276" i="30"/>
  <c r="IU276" i="30"/>
  <c r="IV276" i="30"/>
  <c r="A275" i="30"/>
  <c r="B275" i="30"/>
  <c r="C275" i="30"/>
  <c r="D275" i="30"/>
  <c r="E275" i="30"/>
  <c r="F275" i="30"/>
  <c r="G275" i="30"/>
  <c r="H275" i="30"/>
  <c r="I275" i="30"/>
  <c r="J275" i="30"/>
  <c r="K275" i="30"/>
  <c r="L275" i="30"/>
  <c r="M275" i="30"/>
  <c r="N275" i="30"/>
  <c r="O275" i="30"/>
  <c r="P275" i="30"/>
  <c r="Q275" i="30"/>
  <c r="R275" i="30"/>
  <c r="S275" i="30"/>
  <c r="T275" i="30"/>
  <c r="U275" i="30"/>
  <c r="V275" i="30"/>
  <c r="W275" i="30"/>
  <c r="X275" i="30"/>
  <c r="Y275" i="30"/>
  <c r="Z275" i="30"/>
  <c r="AA275" i="30"/>
  <c r="AB275" i="30"/>
  <c r="AC275" i="30"/>
  <c r="AD275" i="30"/>
  <c r="AE275" i="30"/>
  <c r="AF275" i="30"/>
  <c r="AG275" i="30"/>
  <c r="AH275" i="30"/>
  <c r="AI275" i="30"/>
  <c r="AJ275" i="30"/>
  <c r="AK275" i="30"/>
  <c r="AL275" i="30"/>
  <c r="AM275" i="30"/>
  <c r="AN275" i="30"/>
  <c r="AO275" i="30"/>
  <c r="AP275" i="30"/>
  <c r="AQ275" i="30"/>
  <c r="AR275" i="30"/>
  <c r="AS275" i="30"/>
  <c r="AT275" i="30"/>
  <c r="AU275" i="30"/>
  <c r="AV275" i="30"/>
  <c r="AW275" i="30"/>
  <c r="AX275" i="30"/>
  <c r="AY275" i="30"/>
  <c r="AZ275" i="30"/>
  <c r="BA275" i="30"/>
  <c r="BB275" i="30"/>
  <c r="BC275" i="30"/>
  <c r="BD275" i="30"/>
  <c r="BE275" i="30"/>
  <c r="BF275" i="30"/>
  <c r="BG275" i="30"/>
  <c r="BH275" i="30"/>
  <c r="BI275" i="30"/>
  <c r="BJ275" i="30"/>
  <c r="BK275" i="30"/>
  <c r="BL275" i="30"/>
  <c r="BM275" i="30"/>
  <c r="BN275" i="30"/>
  <c r="BO275" i="30"/>
  <c r="BP275" i="30"/>
  <c r="BQ275" i="30"/>
  <c r="BR275" i="30"/>
  <c r="BS275" i="30"/>
  <c r="BT275" i="30"/>
  <c r="BU275" i="30"/>
  <c r="BV275" i="30"/>
  <c r="BW275" i="30"/>
  <c r="BX275" i="30"/>
  <c r="BY275" i="30"/>
  <c r="BZ275" i="30"/>
  <c r="CA275" i="30"/>
  <c r="CB275" i="30"/>
  <c r="CC275" i="30"/>
  <c r="CD275" i="30"/>
  <c r="CE275" i="30"/>
  <c r="CF275" i="30"/>
  <c r="CG275" i="30"/>
  <c r="CH275" i="30"/>
  <c r="CI275" i="30"/>
  <c r="CJ275" i="30"/>
  <c r="CK275" i="30"/>
  <c r="CL275" i="30"/>
  <c r="CM275" i="30"/>
  <c r="CN275" i="30"/>
  <c r="CO275" i="30"/>
  <c r="CP275" i="30"/>
  <c r="CQ275" i="30"/>
  <c r="CR275" i="30"/>
  <c r="CS275" i="30"/>
  <c r="CT275" i="30"/>
  <c r="CU275" i="30"/>
  <c r="CV275" i="30"/>
  <c r="CW275" i="30"/>
  <c r="CX275" i="30"/>
  <c r="CY275" i="30"/>
  <c r="CZ275" i="30"/>
  <c r="DA275" i="30"/>
  <c r="DB275" i="30"/>
  <c r="DC275" i="30"/>
  <c r="DD275" i="30"/>
  <c r="DE275" i="30"/>
  <c r="DF275" i="30"/>
  <c r="DG275" i="30"/>
  <c r="DH275" i="30"/>
  <c r="DI275" i="30"/>
  <c r="DJ275" i="30"/>
  <c r="DK275" i="30"/>
  <c r="DL275" i="30"/>
  <c r="DM275" i="30"/>
  <c r="DN275" i="30"/>
  <c r="DO275" i="30"/>
  <c r="DP275" i="30"/>
  <c r="DQ275" i="30"/>
  <c r="DR275" i="30"/>
  <c r="DS275" i="30"/>
  <c r="DT275" i="30"/>
  <c r="DU275" i="30"/>
  <c r="DV275" i="30"/>
  <c r="DW275" i="30"/>
  <c r="DX275" i="30"/>
  <c r="DY275" i="30"/>
  <c r="DZ275" i="30"/>
  <c r="EA275" i="30"/>
  <c r="EB275" i="30"/>
  <c r="EC275" i="30"/>
  <c r="ED275" i="30"/>
  <c r="EE275" i="30"/>
  <c r="EF275" i="30"/>
  <c r="EG275" i="30"/>
  <c r="EH275" i="30"/>
  <c r="EI275" i="30"/>
  <c r="EJ275" i="30"/>
  <c r="EK275" i="30"/>
  <c r="EL275" i="30"/>
  <c r="EM275" i="30"/>
  <c r="EN275" i="30"/>
  <c r="EO275" i="30"/>
  <c r="EP275" i="30"/>
  <c r="EQ275" i="30"/>
  <c r="ER275" i="30"/>
  <c r="ES275" i="30"/>
  <c r="ET275" i="30"/>
  <c r="EU275" i="30"/>
  <c r="EV275" i="30"/>
  <c r="EW275" i="30"/>
  <c r="EX275" i="30"/>
  <c r="EY275" i="30"/>
  <c r="EZ275" i="30"/>
  <c r="FA275" i="30"/>
  <c r="FB275" i="30"/>
  <c r="FC275" i="30"/>
  <c r="FD275" i="30"/>
  <c r="FE275" i="30"/>
  <c r="FF275" i="30"/>
  <c r="FG275" i="30"/>
  <c r="FH275" i="30"/>
  <c r="FI275" i="30"/>
  <c r="FJ275" i="30"/>
  <c r="FK275" i="30"/>
  <c r="FL275" i="30"/>
  <c r="FM275" i="30"/>
  <c r="FN275" i="30"/>
  <c r="FO275" i="30"/>
  <c r="FP275" i="30"/>
  <c r="FQ275" i="30"/>
  <c r="FR275" i="30"/>
  <c r="FS275" i="30"/>
  <c r="FT275" i="30"/>
  <c r="FU275" i="30"/>
  <c r="FV275" i="30"/>
  <c r="FW275" i="30"/>
  <c r="FX275" i="30"/>
  <c r="FY275" i="30"/>
  <c r="FZ275" i="30"/>
  <c r="GA275" i="30"/>
  <c r="GB275" i="30"/>
  <c r="GC275" i="30"/>
  <c r="GD275" i="30"/>
  <c r="GE275" i="30"/>
  <c r="GF275" i="30"/>
  <c r="GG275" i="30"/>
  <c r="GH275" i="30"/>
  <c r="GI275" i="30"/>
  <c r="GJ275" i="30"/>
  <c r="GK275" i="30"/>
  <c r="GL275" i="30"/>
  <c r="GM275" i="30"/>
  <c r="GN275" i="30"/>
  <c r="GO275" i="30"/>
  <c r="GP275" i="30"/>
  <c r="GQ275" i="30"/>
  <c r="GR275" i="30"/>
  <c r="GS275" i="30"/>
  <c r="GT275" i="30"/>
  <c r="GU275" i="30"/>
  <c r="GV275" i="30"/>
  <c r="GW275" i="30"/>
  <c r="GX275" i="30"/>
  <c r="GY275" i="30"/>
  <c r="GZ275" i="30"/>
  <c r="HA275" i="30"/>
  <c r="HB275" i="30"/>
  <c r="HC275" i="30"/>
  <c r="HD275" i="30"/>
  <c r="HE275" i="30"/>
  <c r="HF275" i="30"/>
  <c r="HG275" i="30"/>
  <c r="HH275" i="30"/>
  <c r="HI275" i="30"/>
  <c r="HJ275" i="30"/>
  <c r="HK275" i="30"/>
  <c r="HL275" i="30"/>
  <c r="HM275" i="30"/>
  <c r="HN275" i="30"/>
  <c r="HO275" i="30"/>
  <c r="HP275" i="30"/>
  <c r="HQ275" i="30"/>
  <c r="HR275" i="30"/>
  <c r="HS275" i="30"/>
  <c r="HT275" i="30"/>
  <c r="HU275" i="30"/>
  <c r="HV275" i="30"/>
  <c r="HW275" i="30"/>
  <c r="HX275" i="30"/>
  <c r="HY275" i="30"/>
  <c r="HZ275" i="30"/>
  <c r="IA275" i="30"/>
  <c r="IB275" i="30"/>
  <c r="IC275" i="30"/>
  <c r="ID275" i="30"/>
  <c r="IE275" i="30"/>
  <c r="IF275" i="30"/>
  <c r="IG275" i="30"/>
  <c r="IH275" i="30"/>
  <c r="II275" i="30"/>
  <c r="IJ275" i="30"/>
  <c r="IK275" i="30"/>
  <c r="IL275" i="30"/>
  <c r="IM275" i="30"/>
  <c r="IN275" i="30"/>
  <c r="IO275" i="30"/>
  <c r="IP275" i="30"/>
  <c r="IQ275" i="30"/>
  <c r="IR275" i="30"/>
  <c r="IS275" i="30"/>
  <c r="IT275" i="30"/>
  <c r="IU275" i="30"/>
  <c r="IV275" i="30"/>
  <c r="A274" i="30"/>
  <c r="B274" i="30"/>
  <c r="C274" i="30"/>
  <c r="D274" i="30"/>
  <c r="E274" i="30"/>
  <c r="F274" i="30"/>
  <c r="G274" i="30"/>
  <c r="H274" i="30"/>
  <c r="I274" i="30"/>
  <c r="J274" i="30"/>
  <c r="K274" i="30"/>
  <c r="L274" i="30"/>
  <c r="M274" i="30"/>
  <c r="N274" i="30"/>
  <c r="O274" i="30"/>
  <c r="P274" i="30"/>
  <c r="Q274" i="30"/>
  <c r="R274" i="30"/>
  <c r="S274" i="30"/>
  <c r="T274" i="30"/>
  <c r="U274" i="30"/>
  <c r="V274" i="30"/>
  <c r="W274" i="30"/>
  <c r="X274" i="30"/>
  <c r="Y274" i="30"/>
  <c r="Z274" i="30"/>
  <c r="AA274" i="30"/>
  <c r="AB274" i="30"/>
  <c r="AC274" i="30"/>
  <c r="AD274" i="30"/>
  <c r="AE274" i="30"/>
  <c r="AF274" i="30"/>
  <c r="AG274" i="30"/>
  <c r="AH274" i="30"/>
  <c r="AI274" i="30"/>
  <c r="AJ274" i="30"/>
  <c r="AK274" i="30"/>
  <c r="AL274" i="30"/>
  <c r="AM274" i="30"/>
  <c r="AN274" i="30"/>
  <c r="AO274" i="30"/>
  <c r="AP274" i="30"/>
  <c r="AQ274" i="30"/>
  <c r="AR274" i="30"/>
  <c r="AS274" i="30"/>
  <c r="AT274" i="30"/>
  <c r="AU274" i="30"/>
  <c r="AV274" i="30"/>
  <c r="AW274" i="30"/>
  <c r="AX274" i="30"/>
  <c r="AY274" i="30"/>
  <c r="AZ274" i="30"/>
  <c r="BA274" i="30"/>
  <c r="BB274" i="30"/>
  <c r="BC274" i="30"/>
  <c r="BD274" i="30"/>
  <c r="BE274" i="30"/>
  <c r="BF274" i="30"/>
  <c r="BG274" i="30"/>
  <c r="BH274" i="30"/>
  <c r="BI274" i="30"/>
  <c r="BJ274" i="30"/>
  <c r="BK274" i="30"/>
  <c r="BL274" i="30"/>
  <c r="BM274" i="30"/>
  <c r="BN274" i="30"/>
  <c r="BO274" i="30"/>
  <c r="BP274" i="30"/>
  <c r="BQ274" i="30"/>
  <c r="BR274" i="30"/>
  <c r="BS274" i="30"/>
  <c r="BT274" i="30"/>
  <c r="BU274" i="30"/>
  <c r="BV274" i="30"/>
  <c r="BW274" i="30"/>
  <c r="BX274" i="30"/>
  <c r="BY274" i="30"/>
  <c r="BZ274" i="30"/>
  <c r="CA274" i="30"/>
  <c r="CB274" i="30"/>
  <c r="CC274" i="30"/>
  <c r="CD274" i="30"/>
  <c r="CE274" i="30"/>
  <c r="CF274" i="30"/>
  <c r="CG274" i="30"/>
  <c r="CH274" i="30"/>
  <c r="CI274" i="30"/>
  <c r="CJ274" i="30"/>
  <c r="CK274" i="30"/>
  <c r="CL274" i="30"/>
  <c r="CM274" i="30"/>
  <c r="CN274" i="30"/>
  <c r="CO274" i="30"/>
  <c r="CP274" i="30"/>
  <c r="CQ274" i="30"/>
  <c r="CR274" i="30"/>
  <c r="CS274" i="30"/>
  <c r="CT274" i="30"/>
  <c r="CU274" i="30"/>
  <c r="CV274" i="30"/>
  <c r="CW274" i="30"/>
  <c r="CX274" i="30"/>
  <c r="CY274" i="30"/>
  <c r="CZ274" i="30"/>
  <c r="DA274" i="30"/>
  <c r="DB274" i="30"/>
  <c r="DC274" i="30"/>
  <c r="DD274" i="30"/>
  <c r="DE274" i="30"/>
  <c r="DF274" i="30"/>
  <c r="DG274" i="30"/>
  <c r="DH274" i="30"/>
  <c r="DI274" i="30"/>
  <c r="DJ274" i="30"/>
  <c r="DK274" i="30"/>
  <c r="DL274" i="30"/>
  <c r="DM274" i="30"/>
  <c r="DN274" i="30"/>
  <c r="DO274" i="30"/>
  <c r="DP274" i="30"/>
  <c r="DQ274" i="30"/>
  <c r="DR274" i="30"/>
  <c r="DS274" i="30"/>
  <c r="DT274" i="30"/>
  <c r="DU274" i="30"/>
  <c r="DV274" i="30"/>
  <c r="DW274" i="30"/>
  <c r="DX274" i="30"/>
  <c r="DY274" i="30"/>
  <c r="DZ274" i="30"/>
  <c r="EA274" i="30"/>
  <c r="EB274" i="30"/>
  <c r="EC274" i="30"/>
  <c r="ED274" i="30"/>
  <c r="EE274" i="30"/>
  <c r="EF274" i="30"/>
  <c r="EG274" i="30"/>
  <c r="EH274" i="30"/>
  <c r="EI274" i="30"/>
  <c r="EJ274" i="30"/>
  <c r="EK274" i="30"/>
  <c r="EL274" i="30"/>
  <c r="EM274" i="30"/>
  <c r="EN274" i="30"/>
  <c r="EO274" i="30"/>
  <c r="EP274" i="30"/>
  <c r="EQ274" i="30"/>
  <c r="ER274" i="30"/>
  <c r="ES274" i="30"/>
  <c r="ET274" i="30"/>
  <c r="EU274" i="30"/>
  <c r="EV274" i="30"/>
  <c r="EW274" i="30"/>
  <c r="EX274" i="30"/>
  <c r="EY274" i="30"/>
  <c r="EZ274" i="30"/>
  <c r="FA274" i="30"/>
  <c r="FB274" i="30"/>
  <c r="FC274" i="30"/>
  <c r="FD274" i="30"/>
  <c r="FE274" i="30"/>
  <c r="FF274" i="30"/>
  <c r="FG274" i="30"/>
  <c r="FH274" i="30"/>
  <c r="FI274" i="30"/>
  <c r="FJ274" i="30"/>
  <c r="FK274" i="30"/>
  <c r="FL274" i="30"/>
  <c r="FM274" i="30"/>
  <c r="FN274" i="30"/>
  <c r="FO274" i="30"/>
  <c r="FP274" i="30"/>
  <c r="FQ274" i="30"/>
  <c r="FR274" i="30"/>
  <c r="FS274" i="30"/>
  <c r="FT274" i="30"/>
  <c r="FU274" i="30"/>
  <c r="FV274" i="30"/>
  <c r="FW274" i="30"/>
  <c r="FX274" i="30"/>
  <c r="FY274" i="30"/>
  <c r="FZ274" i="30"/>
  <c r="GA274" i="30"/>
  <c r="GB274" i="30"/>
  <c r="GC274" i="30"/>
  <c r="GD274" i="30"/>
  <c r="GE274" i="30"/>
  <c r="GF274" i="30"/>
  <c r="GG274" i="30"/>
  <c r="GH274" i="30"/>
  <c r="GI274" i="30"/>
  <c r="GJ274" i="30"/>
  <c r="GK274" i="30"/>
  <c r="GL274" i="30"/>
  <c r="GM274" i="30"/>
  <c r="GN274" i="30"/>
  <c r="GO274" i="30"/>
  <c r="GP274" i="30"/>
  <c r="GQ274" i="30"/>
  <c r="GR274" i="30"/>
  <c r="GS274" i="30"/>
  <c r="GT274" i="30"/>
  <c r="GU274" i="30"/>
  <c r="GV274" i="30"/>
  <c r="GW274" i="30"/>
  <c r="GX274" i="30"/>
  <c r="GY274" i="30"/>
  <c r="GZ274" i="30"/>
  <c r="HA274" i="30"/>
  <c r="HB274" i="30"/>
  <c r="HC274" i="30"/>
  <c r="HD274" i="30"/>
  <c r="HE274" i="30"/>
  <c r="HF274" i="30"/>
  <c r="HG274" i="30"/>
  <c r="HH274" i="30"/>
  <c r="HI274" i="30"/>
  <c r="HJ274" i="30"/>
  <c r="HK274" i="30"/>
  <c r="HL274" i="30"/>
  <c r="HM274" i="30"/>
  <c r="HN274" i="30"/>
  <c r="HO274" i="30"/>
  <c r="HP274" i="30"/>
  <c r="HQ274" i="30"/>
  <c r="HR274" i="30"/>
  <c r="HS274" i="30"/>
  <c r="HT274" i="30"/>
  <c r="HU274" i="30"/>
  <c r="HV274" i="30"/>
  <c r="HW274" i="30"/>
  <c r="HX274" i="30"/>
  <c r="HY274" i="30"/>
  <c r="HZ274" i="30"/>
  <c r="IA274" i="30"/>
  <c r="IB274" i="30"/>
  <c r="IC274" i="30"/>
  <c r="ID274" i="30"/>
  <c r="IE274" i="30"/>
  <c r="IF274" i="30"/>
  <c r="IG274" i="30"/>
  <c r="IH274" i="30"/>
  <c r="II274" i="30"/>
  <c r="IJ274" i="30"/>
  <c r="IK274" i="30"/>
  <c r="IL274" i="30"/>
  <c r="IM274" i="30"/>
  <c r="IN274" i="30"/>
  <c r="IO274" i="30"/>
  <c r="IP274" i="30"/>
  <c r="IQ274" i="30"/>
  <c r="IR274" i="30"/>
  <c r="IS274" i="30"/>
  <c r="IT274" i="30"/>
  <c r="IU274" i="30"/>
  <c r="IV274" i="30"/>
  <c r="A273" i="30"/>
  <c r="B273" i="30"/>
  <c r="C273" i="30"/>
  <c r="D273" i="30"/>
  <c r="E273" i="30"/>
  <c r="F273" i="30"/>
  <c r="G273" i="30"/>
  <c r="H273" i="30"/>
  <c r="I273" i="30"/>
  <c r="J273" i="30"/>
  <c r="K273" i="30"/>
  <c r="L273" i="30"/>
  <c r="M273" i="30"/>
  <c r="N273" i="30"/>
  <c r="O273" i="30"/>
  <c r="P273" i="30"/>
  <c r="Q273" i="30"/>
  <c r="R273" i="30"/>
  <c r="S273" i="30"/>
  <c r="T273" i="30"/>
  <c r="U273" i="30"/>
  <c r="V273" i="30"/>
  <c r="W273" i="30"/>
  <c r="X273" i="30"/>
  <c r="Y273" i="30"/>
  <c r="Z273" i="30"/>
  <c r="AA273" i="30"/>
  <c r="AB273" i="30"/>
  <c r="AC273" i="30"/>
  <c r="AD273" i="30"/>
  <c r="AE273" i="30"/>
  <c r="AF273" i="30"/>
  <c r="AG273" i="30"/>
  <c r="AH273" i="30"/>
  <c r="AI273" i="30"/>
  <c r="AJ273" i="30"/>
  <c r="AK273" i="30"/>
  <c r="AL273" i="30"/>
  <c r="AM273" i="30"/>
  <c r="AN273" i="30"/>
  <c r="AO273" i="30"/>
  <c r="AP273" i="30"/>
  <c r="AQ273" i="30"/>
  <c r="AR273" i="30"/>
  <c r="AS273" i="30"/>
  <c r="AT273" i="30"/>
  <c r="AU273" i="30"/>
  <c r="AV273" i="30"/>
  <c r="AW273" i="30"/>
  <c r="AX273" i="30"/>
  <c r="AY273" i="30"/>
  <c r="AZ273" i="30"/>
  <c r="BA273" i="30"/>
  <c r="BB273" i="30"/>
  <c r="BC273" i="30"/>
  <c r="BD273" i="30"/>
  <c r="BE273" i="30"/>
  <c r="BF273" i="30"/>
  <c r="BG273" i="30"/>
  <c r="BH273" i="30"/>
  <c r="BI273" i="30"/>
  <c r="BJ273" i="30"/>
  <c r="BK273" i="30"/>
  <c r="BL273" i="30"/>
  <c r="BM273" i="30"/>
  <c r="BN273" i="30"/>
  <c r="BO273" i="30"/>
  <c r="BP273" i="30"/>
  <c r="BQ273" i="30"/>
  <c r="BR273" i="30"/>
  <c r="BS273" i="30"/>
  <c r="BT273" i="30"/>
  <c r="BU273" i="30"/>
  <c r="BV273" i="30"/>
  <c r="BW273" i="30"/>
  <c r="BX273" i="30"/>
  <c r="BY273" i="30"/>
  <c r="BZ273" i="30"/>
  <c r="CA273" i="30"/>
  <c r="CB273" i="30"/>
  <c r="CC273" i="30"/>
  <c r="CD273" i="30"/>
  <c r="CE273" i="30"/>
  <c r="CF273" i="30"/>
  <c r="CG273" i="30"/>
  <c r="CH273" i="30"/>
  <c r="CI273" i="30"/>
  <c r="CJ273" i="30"/>
  <c r="CK273" i="30"/>
  <c r="CL273" i="30"/>
  <c r="CM273" i="30"/>
  <c r="CN273" i="30"/>
  <c r="CO273" i="30"/>
  <c r="CP273" i="30"/>
  <c r="CQ273" i="30"/>
  <c r="CR273" i="30"/>
  <c r="CS273" i="30"/>
  <c r="CT273" i="30"/>
  <c r="CU273" i="30"/>
  <c r="CV273" i="30"/>
  <c r="CW273" i="30"/>
  <c r="CX273" i="30"/>
  <c r="CY273" i="30"/>
  <c r="CZ273" i="30"/>
  <c r="DA273" i="30"/>
  <c r="DB273" i="30"/>
  <c r="DC273" i="30"/>
  <c r="DD273" i="30"/>
  <c r="DE273" i="30"/>
  <c r="DF273" i="30"/>
  <c r="DG273" i="30"/>
  <c r="DH273" i="30"/>
  <c r="DI273" i="30"/>
  <c r="DJ273" i="30"/>
  <c r="DK273" i="30"/>
  <c r="DL273" i="30"/>
  <c r="DM273" i="30"/>
  <c r="DN273" i="30"/>
  <c r="DO273" i="30"/>
  <c r="DP273" i="30"/>
  <c r="DQ273" i="30"/>
  <c r="DR273" i="30"/>
  <c r="DS273" i="30"/>
  <c r="DT273" i="30"/>
  <c r="DU273" i="30"/>
  <c r="DV273" i="30"/>
  <c r="DW273" i="30"/>
  <c r="DX273" i="30"/>
  <c r="DY273" i="30"/>
  <c r="DZ273" i="30"/>
  <c r="EA273" i="30"/>
  <c r="EB273" i="30"/>
  <c r="EC273" i="30"/>
  <c r="ED273" i="30"/>
  <c r="EE273" i="30"/>
  <c r="EF273" i="30"/>
  <c r="EG273" i="30"/>
  <c r="EH273" i="30"/>
  <c r="EI273" i="30"/>
  <c r="EJ273" i="30"/>
  <c r="EK273" i="30"/>
  <c r="EL273" i="30"/>
  <c r="EM273" i="30"/>
  <c r="EN273" i="30"/>
  <c r="EO273" i="30"/>
  <c r="EP273" i="30"/>
  <c r="EQ273" i="30"/>
  <c r="ER273" i="30"/>
  <c r="ES273" i="30"/>
  <c r="ET273" i="30"/>
  <c r="EU273" i="30"/>
  <c r="EV273" i="30"/>
  <c r="EW273" i="30"/>
  <c r="EX273" i="30"/>
  <c r="EY273" i="30"/>
  <c r="EZ273" i="30"/>
  <c r="FA273" i="30"/>
  <c r="FB273" i="30"/>
  <c r="FC273" i="30"/>
  <c r="FD273" i="30"/>
  <c r="FE273" i="30"/>
  <c r="FF273" i="30"/>
  <c r="FG273" i="30"/>
  <c r="FH273" i="30"/>
  <c r="FI273" i="30"/>
  <c r="FJ273" i="30"/>
  <c r="FK273" i="30"/>
  <c r="FL273" i="30"/>
  <c r="FM273" i="30"/>
  <c r="FN273" i="30"/>
  <c r="FO273" i="30"/>
  <c r="FP273" i="30"/>
  <c r="FQ273" i="30"/>
  <c r="FR273" i="30"/>
  <c r="FS273" i="30"/>
  <c r="FT273" i="30"/>
  <c r="FU273" i="30"/>
  <c r="FV273" i="30"/>
  <c r="FW273" i="30"/>
  <c r="FX273" i="30"/>
  <c r="FY273" i="30"/>
  <c r="FZ273" i="30"/>
  <c r="GA273" i="30"/>
  <c r="GB273" i="30"/>
  <c r="GC273" i="30"/>
  <c r="GD273" i="30"/>
  <c r="GE273" i="30"/>
  <c r="GF273" i="30"/>
  <c r="GG273" i="30"/>
  <c r="GH273" i="30"/>
  <c r="GI273" i="30"/>
  <c r="GJ273" i="30"/>
  <c r="GK273" i="30"/>
  <c r="GL273" i="30"/>
  <c r="GM273" i="30"/>
  <c r="GN273" i="30"/>
  <c r="GO273" i="30"/>
  <c r="GP273" i="30"/>
  <c r="GQ273" i="30"/>
  <c r="GR273" i="30"/>
  <c r="GS273" i="30"/>
  <c r="GT273" i="30"/>
  <c r="GU273" i="30"/>
  <c r="GV273" i="30"/>
  <c r="GW273" i="30"/>
  <c r="GX273" i="30"/>
  <c r="GY273" i="30"/>
  <c r="GZ273" i="30"/>
  <c r="HA273" i="30"/>
  <c r="HB273" i="30"/>
  <c r="HC273" i="30"/>
  <c r="HD273" i="30"/>
  <c r="HE273" i="30"/>
  <c r="HF273" i="30"/>
  <c r="HG273" i="30"/>
  <c r="HH273" i="30"/>
  <c r="HI273" i="30"/>
  <c r="HJ273" i="30"/>
  <c r="HK273" i="30"/>
  <c r="HL273" i="30"/>
  <c r="HM273" i="30"/>
  <c r="HN273" i="30"/>
  <c r="HO273" i="30"/>
  <c r="HP273" i="30"/>
  <c r="HQ273" i="30"/>
  <c r="HR273" i="30"/>
  <c r="HS273" i="30"/>
  <c r="HT273" i="30"/>
  <c r="HU273" i="30"/>
  <c r="HV273" i="30"/>
  <c r="HW273" i="30"/>
  <c r="HX273" i="30"/>
  <c r="HY273" i="30"/>
  <c r="HZ273" i="30"/>
  <c r="IA273" i="30"/>
  <c r="IB273" i="30"/>
  <c r="IC273" i="30"/>
  <c r="ID273" i="30"/>
  <c r="IE273" i="30"/>
  <c r="IF273" i="30"/>
  <c r="IG273" i="30"/>
  <c r="IH273" i="30"/>
  <c r="II273" i="30"/>
  <c r="IJ273" i="30"/>
  <c r="IK273" i="30"/>
  <c r="IL273" i="30"/>
  <c r="IM273" i="30"/>
  <c r="IN273" i="30"/>
  <c r="IO273" i="30"/>
  <c r="IP273" i="30"/>
  <c r="IQ273" i="30"/>
  <c r="IR273" i="30"/>
  <c r="IS273" i="30"/>
  <c r="IT273" i="30"/>
  <c r="IU273" i="30"/>
  <c r="IV273" i="30"/>
  <c r="A272" i="30"/>
  <c r="B272" i="30"/>
  <c r="C272" i="30"/>
  <c r="D272" i="30"/>
  <c r="E272" i="30"/>
  <c r="F272" i="30"/>
  <c r="G272" i="30"/>
  <c r="H272" i="30"/>
  <c r="I272" i="30"/>
  <c r="J272" i="30"/>
  <c r="K272" i="30"/>
  <c r="L272" i="30"/>
  <c r="M272" i="30"/>
  <c r="N272" i="30"/>
  <c r="O272" i="30"/>
  <c r="P272" i="30"/>
  <c r="Q272" i="30"/>
  <c r="R272" i="30"/>
  <c r="S272" i="30"/>
  <c r="T272" i="30"/>
  <c r="U272" i="30"/>
  <c r="V272" i="30"/>
  <c r="W272" i="30"/>
  <c r="X272" i="30"/>
  <c r="Y272" i="30"/>
  <c r="Z272" i="30"/>
  <c r="AA272" i="30"/>
  <c r="AB272" i="30"/>
  <c r="AC272" i="30"/>
  <c r="AD272" i="30"/>
  <c r="AE272" i="30"/>
  <c r="AF272" i="30"/>
  <c r="AG272" i="30"/>
  <c r="AH272" i="30"/>
  <c r="AI272" i="30"/>
  <c r="AJ272" i="30"/>
  <c r="AK272" i="30"/>
  <c r="AL272" i="30"/>
  <c r="AM272" i="30"/>
  <c r="AN272" i="30"/>
  <c r="AO272" i="30"/>
  <c r="AP272" i="30"/>
  <c r="AQ272" i="30"/>
  <c r="AR272" i="30"/>
  <c r="AS272" i="30"/>
  <c r="AT272" i="30"/>
  <c r="AU272" i="30"/>
  <c r="AV272" i="30"/>
  <c r="AW272" i="30"/>
  <c r="AX272" i="30"/>
  <c r="AY272" i="30"/>
  <c r="AZ272" i="30"/>
  <c r="BA272" i="30"/>
  <c r="BB272" i="30"/>
  <c r="BC272" i="30"/>
  <c r="BD272" i="30"/>
  <c r="BE272" i="30"/>
  <c r="BF272" i="30"/>
  <c r="BG272" i="30"/>
  <c r="BH272" i="30"/>
  <c r="BI272" i="30"/>
  <c r="BJ272" i="30"/>
  <c r="BK272" i="30"/>
  <c r="BL272" i="30"/>
  <c r="BM272" i="30"/>
  <c r="BN272" i="30"/>
  <c r="BO272" i="30"/>
  <c r="BP272" i="30"/>
  <c r="BQ272" i="30"/>
  <c r="BR272" i="30"/>
  <c r="BS272" i="30"/>
  <c r="BT272" i="30"/>
  <c r="BU272" i="30"/>
  <c r="BV272" i="30"/>
  <c r="BW272" i="30"/>
  <c r="BX272" i="30"/>
  <c r="BY272" i="30"/>
  <c r="BZ272" i="30"/>
  <c r="CA272" i="30"/>
  <c r="CB272" i="30"/>
  <c r="CC272" i="30"/>
  <c r="CD272" i="30"/>
  <c r="CE272" i="30"/>
  <c r="CF272" i="30"/>
  <c r="CG272" i="30"/>
  <c r="CH272" i="30"/>
  <c r="CI272" i="30"/>
  <c r="CJ272" i="30"/>
  <c r="CK272" i="30"/>
  <c r="CL272" i="30"/>
  <c r="CM272" i="30"/>
  <c r="CN272" i="30"/>
  <c r="CO272" i="30"/>
  <c r="CP272" i="30"/>
  <c r="CQ272" i="30"/>
  <c r="CR272" i="30"/>
  <c r="CS272" i="30"/>
  <c r="CT272" i="30"/>
  <c r="CU272" i="30"/>
  <c r="CV272" i="30"/>
  <c r="CW272" i="30"/>
  <c r="CX272" i="30"/>
  <c r="CY272" i="30"/>
  <c r="CZ272" i="30"/>
  <c r="DA272" i="30"/>
  <c r="DB272" i="30"/>
  <c r="DC272" i="30"/>
  <c r="DD272" i="30"/>
  <c r="DE272" i="30"/>
  <c r="DF272" i="30"/>
  <c r="DG272" i="30"/>
  <c r="DH272" i="30"/>
  <c r="DI272" i="30"/>
  <c r="DJ272" i="30"/>
  <c r="DK272" i="30"/>
  <c r="DL272" i="30"/>
  <c r="DM272" i="30"/>
  <c r="DN272" i="30"/>
  <c r="DO272" i="30"/>
  <c r="DP272" i="30"/>
  <c r="DQ272" i="30"/>
  <c r="DR272" i="30"/>
  <c r="DS272" i="30"/>
  <c r="DT272" i="30"/>
  <c r="DU272" i="30"/>
  <c r="DV272" i="30"/>
  <c r="DW272" i="30"/>
  <c r="DX272" i="30"/>
  <c r="DY272" i="30"/>
  <c r="DZ272" i="30"/>
  <c r="EA272" i="30"/>
  <c r="EB272" i="30"/>
  <c r="EC272" i="30"/>
  <c r="ED272" i="30"/>
  <c r="EE272" i="30"/>
  <c r="EF272" i="30"/>
  <c r="EG272" i="30"/>
  <c r="EH272" i="30"/>
  <c r="EI272" i="30"/>
  <c r="EJ272" i="30"/>
  <c r="EK272" i="30"/>
  <c r="EL272" i="30"/>
  <c r="EM272" i="30"/>
  <c r="EN272" i="30"/>
  <c r="EO272" i="30"/>
  <c r="EP272" i="30"/>
  <c r="EQ272" i="30"/>
  <c r="ER272" i="30"/>
  <c r="ES272" i="30"/>
  <c r="ET272" i="30"/>
  <c r="EU272" i="30"/>
  <c r="EV272" i="30"/>
  <c r="EW272" i="30"/>
  <c r="EX272" i="30"/>
  <c r="EY272" i="30"/>
  <c r="EZ272" i="30"/>
  <c r="FA272" i="30"/>
  <c r="FB272" i="30"/>
  <c r="FC272" i="30"/>
  <c r="FD272" i="30"/>
  <c r="FE272" i="30"/>
  <c r="FF272" i="30"/>
  <c r="FG272" i="30"/>
  <c r="FH272" i="30"/>
  <c r="FI272" i="30"/>
  <c r="FJ272" i="30"/>
  <c r="FK272" i="30"/>
  <c r="FL272" i="30"/>
  <c r="FM272" i="30"/>
  <c r="FN272" i="30"/>
  <c r="FO272" i="30"/>
  <c r="FP272" i="30"/>
  <c r="FQ272" i="30"/>
  <c r="FR272" i="30"/>
  <c r="FS272" i="30"/>
  <c r="FT272" i="30"/>
  <c r="FU272" i="30"/>
  <c r="FV272" i="30"/>
  <c r="FW272" i="30"/>
  <c r="FX272" i="30"/>
  <c r="FY272" i="30"/>
  <c r="FZ272" i="30"/>
  <c r="GA272" i="30"/>
  <c r="GB272" i="30"/>
  <c r="GC272" i="30"/>
  <c r="GD272" i="30"/>
  <c r="GE272" i="30"/>
  <c r="GF272" i="30"/>
  <c r="GG272" i="30"/>
  <c r="GH272" i="30"/>
  <c r="GI272" i="30"/>
  <c r="GJ272" i="30"/>
  <c r="GK272" i="30"/>
  <c r="GL272" i="30"/>
  <c r="GM272" i="30"/>
  <c r="GN272" i="30"/>
  <c r="GO272" i="30"/>
  <c r="GP272" i="30"/>
  <c r="GQ272" i="30"/>
  <c r="GR272" i="30"/>
  <c r="GS272" i="30"/>
  <c r="GT272" i="30"/>
  <c r="GU272" i="30"/>
  <c r="GV272" i="30"/>
  <c r="GW272" i="30"/>
  <c r="GX272" i="30"/>
  <c r="GY272" i="30"/>
  <c r="GZ272" i="30"/>
  <c r="HA272" i="30"/>
  <c r="HB272" i="30"/>
  <c r="HC272" i="30"/>
  <c r="HD272" i="30"/>
  <c r="HE272" i="30"/>
  <c r="HF272" i="30"/>
  <c r="HG272" i="30"/>
  <c r="HH272" i="30"/>
  <c r="HI272" i="30"/>
  <c r="HJ272" i="30"/>
  <c r="HK272" i="30"/>
  <c r="HL272" i="30"/>
  <c r="HM272" i="30"/>
  <c r="HN272" i="30"/>
  <c r="HO272" i="30"/>
  <c r="HP272" i="30"/>
  <c r="HQ272" i="30"/>
  <c r="HR272" i="30"/>
  <c r="HS272" i="30"/>
  <c r="HT272" i="30"/>
  <c r="HU272" i="30"/>
  <c r="HV272" i="30"/>
  <c r="HW272" i="30"/>
  <c r="HX272" i="30"/>
  <c r="HY272" i="30"/>
  <c r="HZ272" i="30"/>
  <c r="IA272" i="30"/>
  <c r="IB272" i="30"/>
  <c r="IC272" i="30"/>
  <c r="ID272" i="30"/>
  <c r="IE272" i="30"/>
  <c r="IF272" i="30"/>
  <c r="IG272" i="30"/>
  <c r="IH272" i="30"/>
  <c r="II272" i="30"/>
  <c r="IJ272" i="30"/>
  <c r="IK272" i="30"/>
  <c r="IL272" i="30"/>
  <c r="IM272" i="30"/>
  <c r="IN272" i="30"/>
  <c r="IO272" i="30"/>
  <c r="IP272" i="30"/>
  <c r="IQ272" i="30"/>
  <c r="IR272" i="30"/>
  <c r="IS272" i="30"/>
  <c r="IT272" i="30"/>
  <c r="IU272" i="30"/>
  <c r="IV272" i="30"/>
  <c r="A271" i="30"/>
  <c r="B271" i="30"/>
  <c r="C271" i="30"/>
  <c r="D271" i="30"/>
  <c r="E271" i="30"/>
  <c r="F271" i="30"/>
  <c r="G271" i="30"/>
  <c r="H271" i="30"/>
  <c r="I271" i="30"/>
  <c r="J271" i="30"/>
  <c r="K271" i="30"/>
  <c r="L271" i="30"/>
  <c r="M271" i="30"/>
  <c r="N271" i="30"/>
  <c r="O271" i="30"/>
  <c r="P271" i="30"/>
  <c r="Q271" i="30"/>
  <c r="R271" i="30"/>
  <c r="S271" i="30"/>
  <c r="T271" i="30"/>
  <c r="U271" i="30"/>
  <c r="V271" i="30"/>
  <c r="W271" i="30"/>
  <c r="X271" i="30"/>
  <c r="Y271" i="30"/>
  <c r="Z271" i="30"/>
  <c r="AA271" i="30"/>
  <c r="AB271" i="30"/>
  <c r="AC271" i="30"/>
  <c r="AD271" i="30"/>
  <c r="AE271" i="30"/>
  <c r="AF271" i="30"/>
  <c r="AG271" i="30"/>
  <c r="AH271" i="30"/>
  <c r="AI271" i="30"/>
  <c r="AJ271" i="30"/>
  <c r="AK271" i="30"/>
  <c r="AL271" i="30"/>
  <c r="AM271" i="30"/>
  <c r="AN271" i="30"/>
  <c r="AO271" i="30"/>
  <c r="AP271" i="30"/>
  <c r="AQ271" i="30"/>
  <c r="AR271" i="30"/>
  <c r="AS271" i="30"/>
  <c r="AT271" i="30"/>
  <c r="AU271" i="30"/>
  <c r="AV271" i="30"/>
  <c r="AW271" i="30"/>
  <c r="AX271" i="30"/>
  <c r="AY271" i="30"/>
  <c r="AZ271" i="30"/>
  <c r="BA271" i="30"/>
  <c r="BB271" i="30"/>
  <c r="BC271" i="30"/>
  <c r="BD271" i="30"/>
  <c r="BE271" i="30"/>
  <c r="BF271" i="30"/>
  <c r="BG271" i="30"/>
  <c r="BH271" i="30"/>
  <c r="BI271" i="30"/>
  <c r="BJ271" i="30"/>
  <c r="BK271" i="30"/>
  <c r="BL271" i="30"/>
  <c r="BM271" i="30"/>
  <c r="BN271" i="30"/>
  <c r="BO271" i="30"/>
  <c r="BP271" i="30"/>
  <c r="BQ271" i="30"/>
  <c r="BR271" i="30"/>
  <c r="BS271" i="30"/>
  <c r="BT271" i="30"/>
  <c r="BU271" i="30"/>
  <c r="BV271" i="30"/>
  <c r="BW271" i="30"/>
  <c r="BX271" i="30"/>
  <c r="BY271" i="30"/>
  <c r="BZ271" i="30"/>
  <c r="CA271" i="30"/>
  <c r="CB271" i="30"/>
  <c r="CC271" i="30"/>
  <c r="CD271" i="30"/>
  <c r="CE271" i="30"/>
  <c r="CF271" i="30"/>
  <c r="CG271" i="30"/>
  <c r="CH271" i="30"/>
  <c r="CI271" i="30"/>
  <c r="CJ271" i="30"/>
  <c r="CK271" i="30"/>
  <c r="CL271" i="30"/>
  <c r="CM271" i="30"/>
  <c r="CN271" i="30"/>
  <c r="CO271" i="30"/>
  <c r="CP271" i="30"/>
  <c r="CQ271" i="30"/>
  <c r="CR271" i="30"/>
  <c r="CS271" i="30"/>
  <c r="CT271" i="30"/>
  <c r="CU271" i="30"/>
  <c r="CV271" i="30"/>
  <c r="CW271" i="30"/>
  <c r="CX271" i="30"/>
  <c r="CY271" i="30"/>
  <c r="CZ271" i="30"/>
  <c r="DA271" i="30"/>
  <c r="DB271" i="30"/>
  <c r="DC271" i="30"/>
  <c r="DD271" i="30"/>
  <c r="DE271" i="30"/>
  <c r="DF271" i="30"/>
  <c r="DG271" i="30"/>
  <c r="DH271" i="30"/>
  <c r="DI271" i="30"/>
  <c r="DJ271" i="30"/>
  <c r="DK271" i="30"/>
  <c r="DL271" i="30"/>
  <c r="DM271" i="30"/>
  <c r="DN271" i="30"/>
  <c r="DO271" i="30"/>
  <c r="DP271" i="30"/>
  <c r="DQ271" i="30"/>
  <c r="DR271" i="30"/>
  <c r="DS271" i="30"/>
  <c r="DT271" i="30"/>
  <c r="DU271" i="30"/>
  <c r="DV271" i="30"/>
  <c r="DW271" i="30"/>
  <c r="DX271" i="30"/>
  <c r="DY271" i="30"/>
  <c r="DZ271" i="30"/>
  <c r="EA271" i="30"/>
  <c r="EB271" i="30"/>
  <c r="EC271" i="30"/>
  <c r="ED271" i="30"/>
  <c r="EE271" i="30"/>
  <c r="EF271" i="30"/>
  <c r="EG271" i="30"/>
  <c r="EH271" i="30"/>
  <c r="EI271" i="30"/>
  <c r="EJ271" i="30"/>
  <c r="EK271" i="30"/>
  <c r="EL271" i="30"/>
  <c r="EM271" i="30"/>
  <c r="EN271" i="30"/>
  <c r="EO271" i="30"/>
  <c r="EP271" i="30"/>
  <c r="EQ271" i="30"/>
  <c r="ER271" i="30"/>
  <c r="ES271" i="30"/>
  <c r="ET271" i="30"/>
  <c r="EU271" i="30"/>
  <c r="EV271" i="30"/>
  <c r="EW271" i="30"/>
  <c r="EX271" i="30"/>
  <c r="EY271" i="30"/>
  <c r="EZ271" i="30"/>
  <c r="FA271" i="30"/>
  <c r="FB271" i="30"/>
  <c r="FC271" i="30"/>
  <c r="FD271" i="30"/>
  <c r="FE271" i="30"/>
  <c r="FF271" i="30"/>
  <c r="FG271" i="30"/>
  <c r="FH271" i="30"/>
  <c r="FI271" i="30"/>
  <c r="FJ271" i="30"/>
  <c r="FK271" i="30"/>
  <c r="FL271" i="30"/>
  <c r="FM271" i="30"/>
  <c r="FN271" i="30"/>
  <c r="FO271" i="30"/>
  <c r="FP271" i="30"/>
  <c r="FQ271" i="30"/>
  <c r="FR271" i="30"/>
  <c r="FS271" i="30"/>
  <c r="FT271" i="30"/>
  <c r="FU271" i="30"/>
  <c r="FV271" i="30"/>
  <c r="FW271" i="30"/>
  <c r="FX271" i="30"/>
  <c r="FY271" i="30"/>
  <c r="FZ271" i="30"/>
  <c r="GA271" i="30"/>
  <c r="GB271" i="30"/>
  <c r="GC271" i="30"/>
  <c r="GD271" i="30"/>
  <c r="GE271" i="30"/>
  <c r="GF271" i="30"/>
  <c r="GG271" i="30"/>
  <c r="GH271" i="30"/>
  <c r="GI271" i="30"/>
  <c r="GJ271" i="30"/>
  <c r="GK271" i="30"/>
  <c r="GL271" i="30"/>
  <c r="GM271" i="30"/>
  <c r="GN271" i="30"/>
  <c r="GO271" i="30"/>
  <c r="GP271" i="30"/>
  <c r="GQ271" i="30"/>
  <c r="GR271" i="30"/>
  <c r="GS271" i="30"/>
  <c r="GT271" i="30"/>
  <c r="GU271" i="30"/>
  <c r="GV271" i="30"/>
  <c r="GW271" i="30"/>
  <c r="GX271" i="30"/>
  <c r="GY271" i="30"/>
  <c r="GZ271" i="30"/>
  <c r="HA271" i="30"/>
  <c r="HB271" i="30"/>
  <c r="HC271" i="30"/>
  <c r="HD271" i="30"/>
  <c r="HE271" i="30"/>
  <c r="HF271" i="30"/>
  <c r="HG271" i="30"/>
  <c r="HH271" i="30"/>
  <c r="HI271" i="30"/>
  <c r="HJ271" i="30"/>
  <c r="HK271" i="30"/>
  <c r="HL271" i="30"/>
  <c r="HM271" i="30"/>
  <c r="HN271" i="30"/>
  <c r="HO271" i="30"/>
  <c r="HP271" i="30"/>
  <c r="HQ271" i="30"/>
  <c r="HR271" i="30"/>
  <c r="HS271" i="30"/>
  <c r="HT271" i="30"/>
  <c r="HU271" i="30"/>
  <c r="HV271" i="30"/>
  <c r="HW271" i="30"/>
  <c r="HX271" i="30"/>
  <c r="HY271" i="30"/>
  <c r="HZ271" i="30"/>
  <c r="IA271" i="30"/>
  <c r="IB271" i="30"/>
  <c r="IC271" i="30"/>
  <c r="ID271" i="30"/>
  <c r="IE271" i="30"/>
  <c r="IF271" i="30"/>
  <c r="IG271" i="30"/>
  <c r="IH271" i="30"/>
  <c r="II271" i="30"/>
  <c r="IJ271" i="30"/>
  <c r="IK271" i="30"/>
  <c r="IL271" i="30"/>
  <c r="IM271" i="30"/>
  <c r="IN271" i="30"/>
  <c r="IO271" i="30"/>
  <c r="IP271" i="30"/>
  <c r="IQ271" i="30"/>
  <c r="IR271" i="30"/>
  <c r="IS271" i="30"/>
  <c r="IT271" i="30"/>
  <c r="IU271" i="30"/>
  <c r="IV271" i="30"/>
  <c r="A270" i="30"/>
  <c r="B270" i="30"/>
  <c r="C270" i="30"/>
  <c r="D270" i="30"/>
  <c r="E270" i="30"/>
  <c r="F270" i="30"/>
  <c r="G270" i="30"/>
  <c r="H270" i="30"/>
  <c r="I270" i="30"/>
  <c r="J270" i="30"/>
  <c r="K270" i="30"/>
  <c r="L270" i="30"/>
  <c r="M270" i="30"/>
  <c r="N270" i="30"/>
  <c r="O270" i="30"/>
  <c r="P270" i="30"/>
  <c r="Q270" i="30"/>
  <c r="R270" i="30"/>
  <c r="S270" i="30"/>
  <c r="T270" i="30"/>
  <c r="U270" i="30"/>
  <c r="V270" i="30"/>
  <c r="W270" i="30"/>
  <c r="X270" i="30"/>
  <c r="Y270" i="30"/>
  <c r="Z270" i="30"/>
  <c r="AA270" i="30"/>
  <c r="AB270" i="30"/>
  <c r="AC270" i="30"/>
  <c r="AD270" i="30"/>
  <c r="AE270" i="30"/>
  <c r="AF270" i="30"/>
  <c r="AG270" i="30"/>
  <c r="AH270" i="30"/>
  <c r="AI270" i="30"/>
  <c r="AJ270" i="30"/>
  <c r="AK270" i="30"/>
  <c r="AL270" i="30"/>
  <c r="AM270" i="30"/>
  <c r="AN270" i="30"/>
  <c r="AO270" i="30"/>
  <c r="AP270" i="30"/>
  <c r="AQ270" i="30"/>
  <c r="AR270" i="30"/>
  <c r="AS270" i="30"/>
  <c r="AT270" i="30"/>
  <c r="AU270" i="30"/>
  <c r="AV270" i="30"/>
  <c r="AW270" i="30"/>
  <c r="AX270" i="30"/>
  <c r="AY270" i="30"/>
  <c r="AZ270" i="30"/>
  <c r="BA270" i="30"/>
  <c r="BB270" i="30"/>
  <c r="BC270" i="30"/>
  <c r="BD270" i="30"/>
  <c r="BE270" i="30"/>
  <c r="BF270" i="30"/>
  <c r="BG270" i="30"/>
  <c r="BH270" i="30"/>
  <c r="BI270" i="30"/>
  <c r="BJ270" i="30"/>
  <c r="BK270" i="30"/>
  <c r="BL270" i="30"/>
  <c r="BM270" i="30"/>
  <c r="BN270" i="30"/>
  <c r="BO270" i="30"/>
  <c r="BP270" i="30"/>
  <c r="BQ270" i="30"/>
  <c r="BR270" i="30"/>
  <c r="BS270" i="30"/>
  <c r="BT270" i="30"/>
  <c r="BU270" i="30"/>
  <c r="BV270" i="30"/>
  <c r="BW270" i="30"/>
  <c r="BX270" i="30"/>
  <c r="BY270" i="30"/>
  <c r="BZ270" i="30"/>
  <c r="CA270" i="30"/>
  <c r="CB270" i="30"/>
  <c r="CC270" i="30"/>
  <c r="CD270" i="30"/>
  <c r="CE270" i="30"/>
  <c r="CF270" i="30"/>
  <c r="CG270" i="30"/>
  <c r="CH270" i="30"/>
  <c r="CI270" i="30"/>
  <c r="CJ270" i="30"/>
  <c r="CK270" i="30"/>
  <c r="CL270" i="30"/>
  <c r="CM270" i="30"/>
  <c r="CN270" i="30"/>
  <c r="CO270" i="30"/>
  <c r="CP270" i="30"/>
  <c r="CQ270" i="30"/>
  <c r="CR270" i="30"/>
  <c r="CS270" i="30"/>
  <c r="CT270" i="30"/>
  <c r="CU270" i="30"/>
  <c r="CV270" i="30"/>
  <c r="CW270" i="30"/>
  <c r="CX270" i="30"/>
  <c r="CY270" i="30"/>
  <c r="CZ270" i="30"/>
  <c r="DA270" i="30"/>
  <c r="DB270" i="30"/>
  <c r="DC270" i="30"/>
  <c r="DD270" i="30"/>
  <c r="DE270" i="30"/>
  <c r="DF270" i="30"/>
  <c r="DG270" i="30"/>
  <c r="DH270" i="30"/>
  <c r="DI270" i="30"/>
  <c r="DJ270" i="30"/>
  <c r="DK270" i="30"/>
  <c r="DL270" i="30"/>
  <c r="DM270" i="30"/>
  <c r="DN270" i="30"/>
  <c r="DO270" i="30"/>
  <c r="DP270" i="30"/>
  <c r="DQ270" i="30"/>
  <c r="DR270" i="30"/>
  <c r="DS270" i="30"/>
  <c r="DT270" i="30"/>
  <c r="DU270" i="30"/>
  <c r="DV270" i="30"/>
  <c r="DW270" i="30"/>
  <c r="DX270" i="30"/>
  <c r="DY270" i="30"/>
  <c r="DZ270" i="30"/>
  <c r="EA270" i="30"/>
  <c r="EB270" i="30"/>
  <c r="EC270" i="30"/>
  <c r="ED270" i="30"/>
  <c r="EE270" i="30"/>
  <c r="EF270" i="30"/>
  <c r="EG270" i="30"/>
  <c r="EH270" i="30"/>
  <c r="EI270" i="30"/>
  <c r="EJ270" i="30"/>
  <c r="EK270" i="30"/>
  <c r="EL270" i="30"/>
  <c r="EM270" i="30"/>
  <c r="EN270" i="30"/>
  <c r="EO270" i="30"/>
  <c r="EP270" i="30"/>
  <c r="EQ270" i="30"/>
  <c r="ER270" i="30"/>
  <c r="ES270" i="30"/>
  <c r="ET270" i="30"/>
  <c r="EU270" i="30"/>
  <c r="EV270" i="30"/>
  <c r="EW270" i="30"/>
  <c r="EX270" i="30"/>
  <c r="EY270" i="30"/>
  <c r="EZ270" i="30"/>
  <c r="FA270" i="30"/>
  <c r="FB270" i="30"/>
  <c r="FC270" i="30"/>
  <c r="FD270" i="30"/>
  <c r="FE270" i="30"/>
  <c r="FF270" i="30"/>
  <c r="FG270" i="30"/>
  <c r="FH270" i="30"/>
  <c r="FI270" i="30"/>
  <c r="FJ270" i="30"/>
  <c r="FK270" i="30"/>
  <c r="FL270" i="30"/>
  <c r="FM270" i="30"/>
  <c r="FN270" i="30"/>
  <c r="FO270" i="30"/>
  <c r="FP270" i="30"/>
  <c r="FQ270" i="30"/>
  <c r="FR270" i="30"/>
  <c r="FS270" i="30"/>
  <c r="FT270" i="30"/>
  <c r="FU270" i="30"/>
  <c r="FV270" i="30"/>
  <c r="FW270" i="30"/>
  <c r="FX270" i="30"/>
  <c r="FY270" i="30"/>
  <c r="FZ270" i="30"/>
  <c r="GA270" i="30"/>
  <c r="GB270" i="30"/>
  <c r="GC270" i="30"/>
  <c r="GD270" i="30"/>
  <c r="GE270" i="30"/>
  <c r="GF270" i="30"/>
  <c r="GG270" i="30"/>
  <c r="GH270" i="30"/>
  <c r="GI270" i="30"/>
  <c r="GJ270" i="30"/>
  <c r="GK270" i="30"/>
  <c r="GL270" i="30"/>
  <c r="GM270" i="30"/>
  <c r="GN270" i="30"/>
  <c r="GO270" i="30"/>
  <c r="GP270" i="30"/>
  <c r="GQ270" i="30"/>
  <c r="GR270" i="30"/>
  <c r="GS270" i="30"/>
  <c r="GT270" i="30"/>
  <c r="GU270" i="30"/>
  <c r="GV270" i="30"/>
  <c r="GW270" i="30"/>
  <c r="GX270" i="30"/>
  <c r="GY270" i="30"/>
  <c r="GZ270" i="30"/>
  <c r="HA270" i="30"/>
  <c r="HB270" i="30"/>
  <c r="HC270" i="30"/>
  <c r="HD270" i="30"/>
  <c r="HE270" i="30"/>
  <c r="HF270" i="30"/>
  <c r="HG270" i="30"/>
  <c r="HH270" i="30"/>
  <c r="HI270" i="30"/>
  <c r="HJ270" i="30"/>
  <c r="HK270" i="30"/>
  <c r="HL270" i="30"/>
  <c r="HM270" i="30"/>
  <c r="HN270" i="30"/>
  <c r="HO270" i="30"/>
  <c r="HP270" i="30"/>
  <c r="HQ270" i="30"/>
  <c r="HR270" i="30"/>
  <c r="HS270" i="30"/>
  <c r="HT270" i="30"/>
  <c r="HU270" i="30"/>
  <c r="HV270" i="30"/>
  <c r="HW270" i="30"/>
  <c r="HX270" i="30"/>
  <c r="HY270" i="30"/>
  <c r="HZ270" i="30"/>
  <c r="IA270" i="30"/>
  <c r="IB270" i="30"/>
  <c r="IC270" i="30"/>
  <c r="ID270" i="30"/>
  <c r="IE270" i="30"/>
  <c r="IF270" i="30"/>
  <c r="IG270" i="30"/>
  <c r="IH270" i="30"/>
  <c r="II270" i="30"/>
  <c r="IJ270" i="30"/>
  <c r="IK270" i="30"/>
  <c r="IL270" i="30"/>
  <c r="IM270" i="30"/>
  <c r="IN270" i="30"/>
  <c r="IO270" i="30"/>
  <c r="IP270" i="30"/>
  <c r="IQ270" i="30"/>
  <c r="IR270" i="30"/>
  <c r="IS270" i="30"/>
  <c r="IT270" i="30"/>
  <c r="IU270" i="30"/>
  <c r="IV270" i="30"/>
  <c r="A269" i="30"/>
  <c r="B269" i="30"/>
  <c r="C269" i="30"/>
  <c r="D269" i="30"/>
  <c r="E269" i="30"/>
  <c r="F269" i="30"/>
  <c r="G269" i="30"/>
  <c r="H269" i="30"/>
  <c r="I269" i="30"/>
  <c r="J269" i="30"/>
  <c r="K269" i="30"/>
  <c r="L269" i="30"/>
  <c r="M269" i="30"/>
  <c r="N269" i="30"/>
  <c r="O269" i="30"/>
  <c r="P269" i="30"/>
  <c r="Q269" i="30"/>
  <c r="R269" i="30"/>
  <c r="S269" i="30"/>
  <c r="T269" i="30"/>
  <c r="U269" i="30"/>
  <c r="V269" i="30"/>
  <c r="W269" i="30"/>
  <c r="X269" i="30"/>
  <c r="Y269" i="30"/>
  <c r="Z269" i="30"/>
  <c r="AA269" i="30"/>
  <c r="AB269" i="30"/>
  <c r="AC269" i="30"/>
  <c r="AD269" i="30"/>
  <c r="AE269" i="30"/>
  <c r="AF269" i="30"/>
  <c r="AG269" i="30"/>
  <c r="AH269" i="30"/>
  <c r="AI269" i="30"/>
  <c r="AJ269" i="30"/>
  <c r="AK269" i="30"/>
  <c r="AL269" i="30"/>
  <c r="AM269" i="30"/>
  <c r="AN269" i="30"/>
  <c r="AO269" i="30"/>
  <c r="AP269" i="30"/>
  <c r="AQ269" i="30"/>
  <c r="AR269" i="30"/>
  <c r="AS269" i="30"/>
  <c r="AT269" i="30"/>
  <c r="AU269" i="30"/>
  <c r="AV269" i="30"/>
  <c r="AW269" i="30"/>
  <c r="AX269" i="30"/>
  <c r="AY269" i="30"/>
  <c r="AZ269" i="30"/>
  <c r="BA269" i="30"/>
  <c r="BB269" i="30"/>
  <c r="BC269" i="30"/>
  <c r="BD269" i="30"/>
  <c r="BE269" i="30"/>
  <c r="BF269" i="30"/>
  <c r="BG269" i="30"/>
  <c r="BH269" i="30"/>
  <c r="BI269" i="30"/>
  <c r="BJ269" i="30"/>
  <c r="BK269" i="30"/>
  <c r="BL269" i="30"/>
  <c r="BM269" i="30"/>
  <c r="BN269" i="30"/>
  <c r="BO269" i="30"/>
  <c r="BP269" i="30"/>
  <c r="BQ269" i="30"/>
  <c r="BR269" i="30"/>
  <c r="BS269" i="30"/>
  <c r="BT269" i="30"/>
  <c r="BU269" i="30"/>
  <c r="BV269" i="30"/>
  <c r="BW269" i="30"/>
  <c r="BX269" i="30"/>
  <c r="BY269" i="30"/>
  <c r="BZ269" i="30"/>
  <c r="CA269" i="30"/>
  <c r="CB269" i="30"/>
  <c r="CC269" i="30"/>
  <c r="CD269" i="30"/>
  <c r="CE269" i="30"/>
  <c r="CF269" i="30"/>
  <c r="CG269" i="30"/>
  <c r="CH269" i="30"/>
  <c r="CI269" i="30"/>
  <c r="CJ269" i="30"/>
  <c r="CK269" i="30"/>
  <c r="CL269" i="30"/>
  <c r="CM269" i="30"/>
  <c r="CN269" i="30"/>
  <c r="CO269" i="30"/>
  <c r="CP269" i="30"/>
  <c r="CQ269" i="30"/>
  <c r="CR269" i="30"/>
  <c r="CS269" i="30"/>
  <c r="CT269" i="30"/>
  <c r="CU269" i="30"/>
  <c r="CV269" i="30"/>
  <c r="CW269" i="30"/>
  <c r="CX269" i="30"/>
  <c r="CY269" i="30"/>
  <c r="CZ269" i="30"/>
  <c r="DA269" i="30"/>
  <c r="DB269" i="30"/>
  <c r="DC269" i="30"/>
  <c r="DD269" i="30"/>
  <c r="DE269" i="30"/>
  <c r="DF269" i="30"/>
  <c r="DG269" i="30"/>
  <c r="DH269" i="30"/>
  <c r="DI269" i="30"/>
  <c r="DJ269" i="30"/>
  <c r="DK269" i="30"/>
  <c r="DL269" i="30"/>
  <c r="DM269" i="30"/>
  <c r="DN269" i="30"/>
  <c r="DO269" i="30"/>
  <c r="DP269" i="30"/>
  <c r="DQ269" i="30"/>
  <c r="DR269" i="30"/>
  <c r="DS269" i="30"/>
  <c r="DT269" i="30"/>
  <c r="DU269" i="30"/>
  <c r="DV269" i="30"/>
  <c r="DW269" i="30"/>
  <c r="DX269" i="30"/>
  <c r="DY269" i="30"/>
  <c r="DZ269" i="30"/>
  <c r="EA269" i="30"/>
  <c r="EB269" i="30"/>
  <c r="EC269" i="30"/>
  <c r="ED269" i="30"/>
  <c r="EE269" i="30"/>
  <c r="EF269" i="30"/>
  <c r="EG269" i="30"/>
  <c r="EH269" i="30"/>
  <c r="EI269" i="30"/>
  <c r="EJ269" i="30"/>
  <c r="EK269" i="30"/>
  <c r="EL269" i="30"/>
  <c r="EM269" i="30"/>
  <c r="EN269" i="30"/>
  <c r="EO269" i="30"/>
  <c r="EP269" i="30"/>
  <c r="EQ269" i="30"/>
  <c r="ER269" i="30"/>
  <c r="ES269" i="30"/>
  <c r="ET269" i="30"/>
  <c r="EU269" i="30"/>
  <c r="EV269" i="30"/>
  <c r="EW269" i="30"/>
  <c r="EX269" i="30"/>
  <c r="EY269" i="30"/>
  <c r="EZ269" i="30"/>
  <c r="FA269" i="30"/>
  <c r="FB269" i="30"/>
  <c r="FC269" i="30"/>
  <c r="FD269" i="30"/>
  <c r="FE269" i="30"/>
  <c r="FF269" i="30"/>
  <c r="FG269" i="30"/>
  <c r="FH269" i="30"/>
  <c r="FI269" i="30"/>
  <c r="FJ269" i="30"/>
  <c r="FK269" i="30"/>
  <c r="FL269" i="30"/>
  <c r="FM269" i="30"/>
  <c r="FN269" i="30"/>
  <c r="FO269" i="30"/>
  <c r="FP269" i="30"/>
  <c r="FQ269" i="30"/>
  <c r="FR269" i="30"/>
  <c r="FS269" i="30"/>
  <c r="FT269" i="30"/>
  <c r="FU269" i="30"/>
  <c r="FV269" i="30"/>
  <c r="FW269" i="30"/>
  <c r="FX269" i="30"/>
  <c r="FY269" i="30"/>
  <c r="FZ269" i="30"/>
  <c r="GA269" i="30"/>
  <c r="GB269" i="30"/>
  <c r="GC269" i="30"/>
  <c r="GD269" i="30"/>
  <c r="GE269" i="30"/>
  <c r="GF269" i="30"/>
  <c r="GG269" i="30"/>
  <c r="GH269" i="30"/>
  <c r="GI269" i="30"/>
  <c r="GJ269" i="30"/>
  <c r="GK269" i="30"/>
  <c r="GL269" i="30"/>
  <c r="GM269" i="30"/>
  <c r="GN269" i="30"/>
  <c r="GO269" i="30"/>
  <c r="GP269" i="30"/>
  <c r="GQ269" i="30"/>
  <c r="GR269" i="30"/>
  <c r="GS269" i="30"/>
  <c r="GT269" i="30"/>
  <c r="GU269" i="30"/>
  <c r="GV269" i="30"/>
  <c r="GW269" i="30"/>
  <c r="GX269" i="30"/>
  <c r="GY269" i="30"/>
  <c r="GZ269" i="30"/>
  <c r="HA269" i="30"/>
  <c r="HB269" i="30"/>
  <c r="HC269" i="30"/>
  <c r="HD269" i="30"/>
  <c r="HE269" i="30"/>
  <c r="HF269" i="30"/>
  <c r="HG269" i="30"/>
  <c r="HH269" i="30"/>
  <c r="HI269" i="30"/>
  <c r="HJ269" i="30"/>
  <c r="HK269" i="30"/>
  <c r="HL269" i="30"/>
  <c r="HM269" i="30"/>
  <c r="HN269" i="30"/>
  <c r="HO269" i="30"/>
  <c r="HP269" i="30"/>
  <c r="HQ269" i="30"/>
  <c r="HR269" i="30"/>
  <c r="HS269" i="30"/>
  <c r="HT269" i="30"/>
  <c r="HU269" i="30"/>
  <c r="HV269" i="30"/>
  <c r="HW269" i="30"/>
  <c r="HX269" i="30"/>
  <c r="HY269" i="30"/>
  <c r="HZ269" i="30"/>
  <c r="IA269" i="30"/>
  <c r="IB269" i="30"/>
  <c r="IC269" i="30"/>
  <c r="ID269" i="30"/>
  <c r="IE269" i="30"/>
  <c r="IF269" i="30"/>
  <c r="IG269" i="30"/>
  <c r="IH269" i="30"/>
  <c r="II269" i="30"/>
  <c r="IJ269" i="30"/>
  <c r="IK269" i="30"/>
  <c r="IL269" i="30"/>
  <c r="IM269" i="30"/>
  <c r="IN269" i="30"/>
  <c r="IO269" i="30"/>
  <c r="IP269" i="30"/>
  <c r="IQ269" i="30"/>
  <c r="IR269" i="30"/>
  <c r="IS269" i="30"/>
  <c r="IT269" i="30"/>
  <c r="IU269" i="30"/>
  <c r="IV269" i="30"/>
  <c r="A268" i="30"/>
  <c r="B268" i="30"/>
  <c r="C268" i="30"/>
  <c r="D268" i="30"/>
  <c r="E268" i="30"/>
  <c r="F268" i="30"/>
  <c r="G268" i="30"/>
  <c r="H268" i="30"/>
  <c r="I268" i="30"/>
  <c r="J268" i="30"/>
  <c r="K268" i="30"/>
  <c r="L268" i="30"/>
  <c r="M268" i="30"/>
  <c r="N268" i="30"/>
  <c r="O268" i="30"/>
  <c r="P268" i="30"/>
  <c r="Q268" i="30"/>
  <c r="R268" i="30"/>
  <c r="S268" i="30"/>
  <c r="T268" i="30"/>
  <c r="U268" i="30"/>
  <c r="V268" i="30"/>
  <c r="W268" i="30"/>
  <c r="X268" i="30"/>
  <c r="Y268" i="30"/>
  <c r="Z268" i="30"/>
  <c r="AA268" i="30"/>
  <c r="AB268" i="30"/>
  <c r="AC268" i="30"/>
  <c r="AD268" i="30"/>
  <c r="AE268" i="30"/>
  <c r="AF268" i="30"/>
  <c r="AG268" i="30"/>
  <c r="AH268" i="30"/>
  <c r="AI268" i="30"/>
  <c r="AJ268" i="30"/>
  <c r="AK268" i="30"/>
  <c r="AL268" i="30"/>
  <c r="AM268" i="30"/>
  <c r="AN268" i="30"/>
  <c r="AO268" i="30"/>
  <c r="AP268" i="30"/>
  <c r="AQ268" i="30"/>
  <c r="AR268" i="30"/>
  <c r="AS268" i="30"/>
  <c r="AT268" i="30"/>
  <c r="AU268" i="30"/>
  <c r="AV268" i="30"/>
  <c r="AW268" i="30"/>
  <c r="AX268" i="30"/>
  <c r="AY268" i="30"/>
  <c r="AZ268" i="30"/>
  <c r="BA268" i="30"/>
  <c r="BB268" i="30"/>
  <c r="BC268" i="30"/>
  <c r="BD268" i="30"/>
  <c r="BE268" i="30"/>
  <c r="BF268" i="30"/>
  <c r="BG268" i="30"/>
  <c r="BH268" i="30"/>
  <c r="BI268" i="30"/>
  <c r="BJ268" i="30"/>
  <c r="BK268" i="30"/>
  <c r="BL268" i="30"/>
  <c r="BM268" i="30"/>
  <c r="BN268" i="30"/>
  <c r="BO268" i="30"/>
  <c r="BP268" i="30"/>
  <c r="BQ268" i="30"/>
  <c r="BR268" i="30"/>
  <c r="BS268" i="30"/>
  <c r="BT268" i="30"/>
  <c r="BU268" i="30"/>
  <c r="BV268" i="30"/>
  <c r="BW268" i="30"/>
  <c r="BX268" i="30"/>
  <c r="BY268" i="30"/>
  <c r="BZ268" i="30"/>
  <c r="CA268" i="30"/>
  <c r="CB268" i="30"/>
  <c r="CC268" i="30"/>
  <c r="CD268" i="30"/>
  <c r="CE268" i="30"/>
  <c r="CF268" i="30"/>
  <c r="CG268" i="30"/>
  <c r="CH268" i="30"/>
  <c r="CI268" i="30"/>
  <c r="CJ268" i="30"/>
  <c r="CK268" i="30"/>
  <c r="CL268" i="30"/>
  <c r="CM268" i="30"/>
  <c r="CN268" i="30"/>
  <c r="CO268" i="30"/>
  <c r="CP268" i="30"/>
  <c r="CQ268" i="30"/>
  <c r="CR268" i="30"/>
  <c r="CS268" i="30"/>
  <c r="CT268" i="30"/>
  <c r="CU268" i="30"/>
  <c r="CV268" i="30"/>
  <c r="CW268" i="30"/>
  <c r="CX268" i="30"/>
  <c r="CY268" i="30"/>
  <c r="CZ268" i="30"/>
  <c r="DA268" i="30"/>
  <c r="DB268" i="30"/>
  <c r="DC268" i="30"/>
  <c r="DD268" i="30"/>
  <c r="DE268" i="30"/>
  <c r="DF268" i="30"/>
  <c r="DG268" i="30"/>
  <c r="DH268" i="30"/>
  <c r="DI268" i="30"/>
  <c r="DJ268" i="30"/>
  <c r="DK268" i="30"/>
  <c r="DL268" i="30"/>
  <c r="DM268" i="30"/>
  <c r="DN268" i="30"/>
  <c r="DO268" i="30"/>
  <c r="DP268" i="30"/>
  <c r="DQ268" i="30"/>
  <c r="DR268" i="30"/>
  <c r="DS268" i="30"/>
  <c r="DT268" i="30"/>
  <c r="DU268" i="30"/>
  <c r="DV268" i="30"/>
  <c r="DW268" i="30"/>
  <c r="DX268" i="30"/>
  <c r="DY268" i="30"/>
  <c r="DZ268" i="30"/>
  <c r="EA268" i="30"/>
  <c r="EB268" i="30"/>
  <c r="EC268" i="30"/>
  <c r="ED268" i="30"/>
  <c r="EE268" i="30"/>
  <c r="EF268" i="30"/>
  <c r="EG268" i="30"/>
  <c r="EH268" i="30"/>
  <c r="EI268" i="30"/>
  <c r="EJ268" i="30"/>
  <c r="EK268" i="30"/>
  <c r="EL268" i="30"/>
  <c r="EM268" i="30"/>
  <c r="EN268" i="30"/>
  <c r="EO268" i="30"/>
  <c r="EP268" i="30"/>
  <c r="EQ268" i="30"/>
  <c r="ER268" i="30"/>
  <c r="ES268" i="30"/>
  <c r="ET268" i="30"/>
  <c r="EU268" i="30"/>
  <c r="EV268" i="30"/>
  <c r="EW268" i="30"/>
  <c r="EX268" i="30"/>
  <c r="EY268" i="30"/>
  <c r="EZ268" i="30"/>
  <c r="FA268" i="30"/>
  <c r="FB268" i="30"/>
  <c r="FC268" i="30"/>
  <c r="FD268" i="30"/>
  <c r="FE268" i="30"/>
  <c r="FF268" i="30"/>
  <c r="FG268" i="30"/>
  <c r="FH268" i="30"/>
  <c r="FI268" i="30"/>
  <c r="FJ268" i="30"/>
  <c r="FK268" i="30"/>
  <c r="FL268" i="30"/>
  <c r="FM268" i="30"/>
  <c r="FN268" i="30"/>
  <c r="FO268" i="30"/>
  <c r="FP268" i="30"/>
  <c r="FQ268" i="30"/>
  <c r="FR268" i="30"/>
  <c r="FS268" i="30"/>
  <c r="FT268" i="30"/>
  <c r="FU268" i="30"/>
  <c r="FV268" i="30"/>
  <c r="FW268" i="30"/>
  <c r="FX268" i="30"/>
  <c r="FY268" i="30"/>
  <c r="FZ268" i="30"/>
  <c r="GA268" i="30"/>
  <c r="GB268" i="30"/>
  <c r="GC268" i="30"/>
  <c r="GD268" i="30"/>
  <c r="GE268" i="30"/>
  <c r="GF268" i="30"/>
  <c r="GG268" i="30"/>
  <c r="GH268" i="30"/>
  <c r="GI268" i="30"/>
  <c r="GJ268" i="30"/>
  <c r="GK268" i="30"/>
  <c r="GL268" i="30"/>
  <c r="GM268" i="30"/>
  <c r="GN268" i="30"/>
  <c r="GO268" i="30"/>
  <c r="GP268" i="30"/>
  <c r="GQ268" i="30"/>
  <c r="GR268" i="30"/>
  <c r="GS268" i="30"/>
  <c r="GT268" i="30"/>
  <c r="GU268" i="30"/>
  <c r="GV268" i="30"/>
  <c r="GW268" i="30"/>
  <c r="GX268" i="30"/>
  <c r="GY268" i="30"/>
  <c r="GZ268" i="30"/>
  <c r="HA268" i="30"/>
  <c r="HB268" i="30"/>
  <c r="HC268" i="30"/>
  <c r="HD268" i="30"/>
  <c r="HE268" i="30"/>
  <c r="HF268" i="30"/>
  <c r="HG268" i="30"/>
  <c r="HH268" i="30"/>
  <c r="HI268" i="30"/>
  <c r="HJ268" i="30"/>
  <c r="HK268" i="30"/>
  <c r="HL268" i="30"/>
  <c r="HM268" i="30"/>
  <c r="HN268" i="30"/>
  <c r="HO268" i="30"/>
  <c r="HP268" i="30"/>
  <c r="HQ268" i="30"/>
  <c r="HR268" i="30"/>
  <c r="HS268" i="30"/>
  <c r="HT268" i="30"/>
  <c r="HU268" i="30"/>
  <c r="HV268" i="30"/>
  <c r="HW268" i="30"/>
  <c r="HX268" i="30"/>
  <c r="HY268" i="30"/>
  <c r="HZ268" i="30"/>
  <c r="IA268" i="30"/>
  <c r="IB268" i="30"/>
  <c r="IC268" i="30"/>
  <c r="ID268" i="30"/>
  <c r="IE268" i="30"/>
  <c r="IF268" i="30"/>
  <c r="IG268" i="30"/>
  <c r="IH268" i="30"/>
  <c r="II268" i="30"/>
  <c r="IJ268" i="30"/>
  <c r="IK268" i="30"/>
  <c r="IL268" i="30"/>
  <c r="IM268" i="30"/>
  <c r="IN268" i="30"/>
  <c r="IO268" i="30"/>
  <c r="IP268" i="30"/>
  <c r="IQ268" i="30"/>
  <c r="IR268" i="30"/>
  <c r="IS268" i="30"/>
  <c r="IT268" i="30"/>
  <c r="IU268" i="30"/>
  <c r="IV268" i="30"/>
  <c r="A267" i="30"/>
  <c r="B267" i="30"/>
  <c r="C267" i="30"/>
  <c r="D267" i="30"/>
  <c r="E267" i="30"/>
  <c r="F267" i="30"/>
  <c r="G267" i="30"/>
  <c r="H267" i="30"/>
  <c r="I267" i="30"/>
  <c r="J267" i="30"/>
  <c r="K267" i="30"/>
  <c r="L267" i="30"/>
  <c r="M267" i="30"/>
  <c r="N267" i="30"/>
  <c r="O267" i="30"/>
  <c r="P267" i="30"/>
  <c r="Q267" i="30"/>
  <c r="R267" i="30"/>
  <c r="S267" i="30"/>
  <c r="T267" i="30"/>
  <c r="U267" i="30"/>
  <c r="V267" i="30"/>
  <c r="W267" i="30"/>
  <c r="X267" i="30"/>
  <c r="Y267" i="30"/>
  <c r="Z267" i="30"/>
  <c r="AA267" i="30"/>
  <c r="AB267" i="30"/>
  <c r="AC267" i="30"/>
  <c r="AD267" i="30"/>
  <c r="AE267" i="30"/>
  <c r="AF267" i="30"/>
  <c r="AG267" i="30"/>
  <c r="AH267" i="30"/>
  <c r="AI267" i="30"/>
  <c r="AJ267" i="30"/>
  <c r="AK267" i="30"/>
  <c r="AL267" i="30"/>
  <c r="AM267" i="30"/>
  <c r="AN267" i="30"/>
  <c r="AO267" i="30"/>
  <c r="AP267" i="30"/>
  <c r="AQ267" i="30"/>
  <c r="AR267" i="30"/>
  <c r="AS267" i="30"/>
  <c r="AT267" i="30"/>
  <c r="AU267" i="30"/>
  <c r="AV267" i="30"/>
  <c r="AW267" i="30"/>
  <c r="AX267" i="30"/>
  <c r="AY267" i="30"/>
  <c r="AZ267" i="30"/>
  <c r="BA267" i="30"/>
  <c r="BB267" i="30"/>
  <c r="BC267" i="30"/>
  <c r="BD267" i="30"/>
  <c r="BE267" i="30"/>
  <c r="BF267" i="30"/>
  <c r="BG267" i="30"/>
  <c r="BH267" i="30"/>
  <c r="BI267" i="30"/>
  <c r="BJ267" i="30"/>
  <c r="BK267" i="30"/>
  <c r="BL267" i="30"/>
  <c r="BM267" i="30"/>
  <c r="BN267" i="30"/>
  <c r="BO267" i="30"/>
  <c r="BP267" i="30"/>
  <c r="BQ267" i="30"/>
  <c r="BR267" i="30"/>
  <c r="BS267" i="30"/>
  <c r="BT267" i="30"/>
  <c r="BU267" i="30"/>
  <c r="BV267" i="30"/>
  <c r="BW267" i="30"/>
  <c r="BX267" i="30"/>
  <c r="BY267" i="30"/>
  <c r="BZ267" i="30"/>
  <c r="CA267" i="30"/>
  <c r="CB267" i="30"/>
  <c r="CC267" i="30"/>
  <c r="CD267" i="30"/>
  <c r="CE267" i="30"/>
  <c r="CF267" i="30"/>
  <c r="CG267" i="30"/>
  <c r="CH267" i="30"/>
  <c r="CI267" i="30"/>
  <c r="CJ267" i="30"/>
  <c r="CK267" i="30"/>
  <c r="CL267" i="30"/>
  <c r="CM267" i="30"/>
  <c r="CN267" i="30"/>
  <c r="CO267" i="30"/>
  <c r="CP267" i="30"/>
  <c r="CQ267" i="30"/>
  <c r="CR267" i="30"/>
  <c r="CS267" i="30"/>
  <c r="CT267" i="30"/>
  <c r="CU267" i="30"/>
  <c r="CV267" i="30"/>
  <c r="CW267" i="30"/>
  <c r="CX267" i="30"/>
  <c r="CY267" i="30"/>
  <c r="CZ267" i="30"/>
  <c r="DA267" i="30"/>
  <c r="DB267" i="30"/>
  <c r="DC267" i="30"/>
  <c r="DD267" i="30"/>
  <c r="DE267" i="30"/>
  <c r="DF267" i="30"/>
  <c r="DG267" i="30"/>
  <c r="DH267" i="30"/>
  <c r="DI267" i="30"/>
  <c r="DJ267" i="30"/>
  <c r="DK267" i="30"/>
  <c r="DL267" i="30"/>
  <c r="DM267" i="30"/>
  <c r="DN267" i="30"/>
  <c r="DO267" i="30"/>
  <c r="DP267" i="30"/>
  <c r="DQ267" i="30"/>
  <c r="DR267" i="30"/>
  <c r="DS267" i="30"/>
  <c r="DT267" i="30"/>
  <c r="DU267" i="30"/>
  <c r="DV267" i="30"/>
  <c r="DW267" i="30"/>
  <c r="DX267" i="30"/>
  <c r="DY267" i="30"/>
  <c r="DZ267" i="30"/>
  <c r="EA267" i="30"/>
  <c r="EB267" i="30"/>
  <c r="EC267" i="30"/>
  <c r="ED267" i="30"/>
  <c r="EE267" i="30"/>
  <c r="EF267" i="30"/>
  <c r="EG267" i="30"/>
  <c r="EH267" i="30"/>
  <c r="EI267" i="30"/>
  <c r="EJ267" i="30"/>
  <c r="EK267" i="30"/>
  <c r="EL267" i="30"/>
  <c r="EM267" i="30"/>
  <c r="EN267" i="30"/>
  <c r="EO267" i="30"/>
  <c r="EP267" i="30"/>
  <c r="EQ267" i="30"/>
  <c r="ER267" i="30"/>
  <c r="ES267" i="30"/>
  <c r="ET267" i="30"/>
  <c r="EU267" i="30"/>
  <c r="EV267" i="30"/>
  <c r="EW267" i="30"/>
  <c r="EX267" i="30"/>
  <c r="EY267" i="30"/>
  <c r="EZ267" i="30"/>
  <c r="FA267" i="30"/>
  <c r="FB267" i="30"/>
  <c r="FC267" i="30"/>
  <c r="FD267" i="30"/>
  <c r="FE267" i="30"/>
  <c r="FF267" i="30"/>
  <c r="FG267" i="30"/>
  <c r="FH267" i="30"/>
  <c r="FI267" i="30"/>
  <c r="FJ267" i="30"/>
  <c r="FK267" i="30"/>
  <c r="FL267" i="30"/>
  <c r="FM267" i="30"/>
  <c r="FN267" i="30"/>
  <c r="FO267" i="30"/>
  <c r="FP267" i="30"/>
  <c r="FQ267" i="30"/>
  <c r="FR267" i="30"/>
  <c r="FS267" i="30"/>
  <c r="FT267" i="30"/>
  <c r="FU267" i="30"/>
  <c r="FV267" i="30"/>
  <c r="FW267" i="30"/>
  <c r="FX267" i="30"/>
  <c r="FY267" i="30"/>
  <c r="FZ267" i="30"/>
  <c r="GA267" i="30"/>
  <c r="GB267" i="30"/>
  <c r="GC267" i="30"/>
  <c r="GD267" i="30"/>
  <c r="GE267" i="30"/>
  <c r="GF267" i="30"/>
  <c r="GG267" i="30"/>
  <c r="GH267" i="30"/>
  <c r="GI267" i="30"/>
  <c r="GJ267" i="30"/>
  <c r="GK267" i="30"/>
  <c r="GL267" i="30"/>
  <c r="GM267" i="30"/>
  <c r="GN267" i="30"/>
  <c r="GO267" i="30"/>
  <c r="GP267" i="30"/>
  <c r="GQ267" i="30"/>
  <c r="GR267" i="30"/>
  <c r="GS267" i="30"/>
  <c r="GT267" i="30"/>
  <c r="GU267" i="30"/>
  <c r="GV267" i="30"/>
  <c r="GW267" i="30"/>
  <c r="GX267" i="30"/>
  <c r="GY267" i="30"/>
  <c r="GZ267" i="30"/>
  <c r="HA267" i="30"/>
  <c r="HB267" i="30"/>
  <c r="HC267" i="30"/>
  <c r="HD267" i="30"/>
  <c r="HE267" i="30"/>
  <c r="HF267" i="30"/>
  <c r="HG267" i="30"/>
  <c r="HH267" i="30"/>
  <c r="HI267" i="30"/>
  <c r="HJ267" i="30"/>
  <c r="HK267" i="30"/>
  <c r="HL267" i="30"/>
  <c r="HM267" i="30"/>
  <c r="HN267" i="30"/>
  <c r="HO267" i="30"/>
  <c r="HP267" i="30"/>
  <c r="HQ267" i="30"/>
  <c r="HR267" i="30"/>
  <c r="HS267" i="30"/>
  <c r="HT267" i="30"/>
  <c r="HU267" i="30"/>
  <c r="HV267" i="30"/>
  <c r="HW267" i="30"/>
  <c r="HX267" i="30"/>
  <c r="HY267" i="30"/>
  <c r="HZ267" i="30"/>
  <c r="IA267" i="30"/>
  <c r="IB267" i="30"/>
  <c r="IC267" i="30"/>
  <c r="ID267" i="30"/>
  <c r="IE267" i="30"/>
  <c r="IF267" i="30"/>
  <c r="IG267" i="30"/>
  <c r="IH267" i="30"/>
  <c r="II267" i="30"/>
  <c r="IJ267" i="30"/>
  <c r="IK267" i="30"/>
  <c r="IL267" i="30"/>
  <c r="IM267" i="30"/>
  <c r="IN267" i="30"/>
  <c r="IO267" i="30"/>
  <c r="IP267" i="30"/>
  <c r="IQ267" i="30"/>
  <c r="IR267" i="30"/>
  <c r="IS267" i="30"/>
  <c r="IT267" i="30"/>
  <c r="IU267" i="30"/>
  <c r="IV267" i="30"/>
  <c r="A266" i="30"/>
  <c r="B266" i="30"/>
  <c r="C266" i="30"/>
  <c r="D266" i="30"/>
  <c r="E266" i="30"/>
  <c r="F266" i="30"/>
  <c r="G266" i="30"/>
  <c r="H266" i="30"/>
  <c r="I266" i="30"/>
  <c r="J266" i="30"/>
  <c r="K266" i="30"/>
  <c r="L266" i="30"/>
  <c r="M266" i="30"/>
  <c r="N266" i="30"/>
  <c r="O266" i="30"/>
  <c r="P266" i="30"/>
  <c r="Q266" i="30"/>
  <c r="R266" i="30"/>
  <c r="S266" i="30"/>
  <c r="T266" i="30"/>
  <c r="U266" i="30"/>
  <c r="V266" i="30"/>
  <c r="W266" i="30"/>
  <c r="X266" i="30"/>
  <c r="Y266" i="30"/>
  <c r="Z266" i="30"/>
  <c r="AA266" i="30"/>
  <c r="AB266" i="30"/>
  <c r="AC266" i="30"/>
  <c r="AD266" i="30"/>
  <c r="AE266" i="30"/>
  <c r="AF266" i="30"/>
  <c r="AG266" i="30"/>
  <c r="AH266" i="30"/>
  <c r="AI266" i="30"/>
  <c r="AJ266" i="30"/>
  <c r="AK266" i="30"/>
  <c r="AL266" i="30"/>
  <c r="AM266" i="30"/>
  <c r="AN266" i="30"/>
  <c r="AO266" i="30"/>
  <c r="AP266" i="30"/>
  <c r="AQ266" i="30"/>
  <c r="AR266" i="30"/>
  <c r="AS266" i="30"/>
  <c r="AT266" i="30"/>
  <c r="AU266" i="30"/>
  <c r="AV266" i="30"/>
  <c r="AW266" i="30"/>
  <c r="AX266" i="30"/>
  <c r="AY266" i="30"/>
  <c r="AZ266" i="30"/>
  <c r="BA266" i="30"/>
  <c r="BB266" i="30"/>
  <c r="BC266" i="30"/>
  <c r="BD266" i="30"/>
  <c r="BE266" i="30"/>
  <c r="BF266" i="30"/>
  <c r="BG266" i="30"/>
  <c r="BH266" i="30"/>
  <c r="BI266" i="30"/>
  <c r="BJ266" i="30"/>
  <c r="BK266" i="30"/>
  <c r="BL266" i="30"/>
  <c r="BM266" i="30"/>
  <c r="BN266" i="30"/>
  <c r="BO266" i="30"/>
  <c r="BP266" i="30"/>
  <c r="BQ266" i="30"/>
  <c r="BR266" i="30"/>
  <c r="BS266" i="30"/>
  <c r="BT266" i="30"/>
  <c r="BU266" i="30"/>
  <c r="BV266" i="30"/>
  <c r="BW266" i="30"/>
  <c r="BX266" i="30"/>
  <c r="BY266" i="30"/>
  <c r="BZ266" i="30"/>
  <c r="CA266" i="30"/>
  <c r="CB266" i="30"/>
  <c r="CC266" i="30"/>
  <c r="CD266" i="30"/>
  <c r="CE266" i="30"/>
  <c r="CF266" i="30"/>
  <c r="CG266" i="30"/>
  <c r="CH266" i="30"/>
  <c r="CI266" i="30"/>
  <c r="CJ266" i="30"/>
  <c r="CK266" i="30"/>
  <c r="CL266" i="30"/>
  <c r="CM266" i="30"/>
  <c r="CN266" i="30"/>
  <c r="CO266" i="30"/>
  <c r="CP266" i="30"/>
  <c r="CQ266" i="30"/>
  <c r="CR266" i="30"/>
  <c r="CS266" i="30"/>
  <c r="CT266" i="30"/>
  <c r="CU266" i="30"/>
  <c r="CV266" i="30"/>
  <c r="CW266" i="30"/>
  <c r="CX266" i="30"/>
  <c r="CY266" i="30"/>
  <c r="CZ266" i="30"/>
  <c r="DA266" i="30"/>
  <c r="DB266" i="30"/>
  <c r="DC266" i="30"/>
  <c r="DD266" i="30"/>
  <c r="DE266" i="30"/>
  <c r="DF266" i="30"/>
  <c r="DG266" i="30"/>
  <c r="DH266" i="30"/>
  <c r="DI266" i="30"/>
  <c r="DJ266" i="30"/>
  <c r="DK266" i="30"/>
  <c r="DL266" i="30"/>
  <c r="DM266" i="30"/>
  <c r="DN266" i="30"/>
  <c r="DO266" i="30"/>
  <c r="DP266" i="30"/>
  <c r="DQ266" i="30"/>
  <c r="DR266" i="30"/>
  <c r="DS266" i="30"/>
  <c r="DT266" i="30"/>
  <c r="DU266" i="30"/>
  <c r="DV266" i="30"/>
  <c r="DW266" i="30"/>
  <c r="DX266" i="30"/>
  <c r="DY266" i="30"/>
  <c r="DZ266" i="30"/>
  <c r="EA266" i="30"/>
  <c r="EB266" i="30"/>
  <c r="EC266" i="30"/>
  <c r="ED266" i="30"/>
  <c r="EE266" i="30"/>
  <c r="EF266" i="30"/>
  <c r="EG266" i="30"/>
  <c r="EH266" i="30"/>
  <c r="EI266" i="30"/>
  <c r="EJ266" i="30"/>
  <c r="EK266" i="30"/>
  <c r="EL266" i="30"/>
  <c r="EM266" i="30"/>
  <c r="EN266" i="30"/>
  <c r="EO266" i="30"/>
  <c r="EP266" i="30"/>
  <c r="EQ266" i="30"/>
  <c r="ER266" i="30"/>
  <c r="ES266" i="30"/>
  <c r="ET266" i="30"/>
  <c r="EU266" i="30"/>
  <c r="EV266" i="30"/>
  <c r="EW266" i="30"/>
  <c r="EX266" i="30"/>
  <c r="EY266" i="30"/>
  <c r="EZ266" i="30"/>
  <c r="FA266" i="30"/>
  <c r="FB266" i="30"/>
  <c r="FC266" i="30"/>
  <c r="FD266" i="30"/>
  <c r="FE266" i="30"/>
  <c r="FF266" i="30"/>
  <c r="FG266" i="30"/>
  <c r="FH266" i="30"/>
  <c r="FI266" i="30"/>
  <c r="FJ266" i="30"/>
  <c r="FK266" i="30"/>
  <c r="FL266" i="30"/>
  <c r="FM266" i="30"/>
  <c r="FN266" i="30"/>
  <c r="FO266" i="30"/>
  <c r="FP266" i="30"/>
  <c r="FQ266" i="30"/>
  <c r="FR266" i="30"/>
  <c r="FS266" i="30"/>
  <c r="FT266" i="30"/>
  <c r="FU266" i="30"/>
  <c r="FV266" i="30"/>
  <c r="FW266" i="30"/>
  <c r="FX266" i="30"/>
  <c r="FY266" i="30"/>
  <c r="FZ266" i="30"/>
  <c r="GA266" i="30"/>
  <c r="GB266" i="30"/>
  <c r="GC266" i="30"/>
  <c r="GD266" i="30"/>
  <c r="GE266" i="30"/>
  <c r="GF266" i="30"/>
  <c r="GG266" i="30"/>
  <c r="GH266" i="30"/>
  <c r="GI266" i="30"/>
  <c r="GJ266" i="30"/>
  <c r="GK266" i="30"/>
  <c r="GL266" i="30"/>
  <c r="GM266" i="30"/>
  <c r="GN266" i="30"/>
  <c r="GO266" i="30"/>
  <c r="GP266" i="30"/>
  <c r="GQ266" i="30"/>
  <c r="GR266" i="30"/>
  <c r="GS266" i="30"/>
  <c r="GT266" i="30"/>
  <c r="GU266" i="30"/>
  <c r="GV266" i="30"/>
  <c r="GW266" i="30"/>
  <c r="GX266" i="30"/>
  <c r="GY266" i="30"/>
  <c r="GZ266" i="30"/>
  <c r="HA266" i="30"/>
  <c r="HB266" i="30"/>
  <c r="HC266" i="30"/>
  <c r="HD266" i="30"/>
  <c r="HE266" i="30"/>
  <c r="HF266" i="30"/>
  <c r="HG266" i="30"/>
  <c r="HH266" i="30"/>
  <c r="HI266" i="30"/>
  <c r="HJ266" i="30"/>
  <c r="HK266" i="30"/>
  <c r="HL266" i="30"/>
  <c r="HM266" i="30"/>
  <c r="HN266" i="30"/>
  <c r="HO266" i="30"/>
  <c r="HP266" i="30"/>
  <c r="HQ266" i="30"/>
  <c r="HR266" i="30"/>
  <c r="HS266" i="30"/>
  <c r="HT266" i="30"/>
  <c r="HU266" i="30"/>
  <c r="HV266" i="30"/>
  <c r="HW266" i="30"/>
  <c r="HX266" i="30"/>
  <c r="HY266" i="30"/>
  <c r="HZ266" i="30"/>
  <c r="IA266" i="30"/>
  <c r="IB266" i="30"/>
  <c r="IC266" i="30"/>
  <c r="ID266" i="30"/>
  <c r="IE266" i="30"/>
  <c r="IF266" i="30"/>
  <c r="IG266" i="30"/>
  <c r="IH266" i="30"/>
  <c r="II266" i="30"/>
  <c r="IJ266" i="30"/>
  <c r="IK266" i="30"/>
  <c r="IL266" i="30"/>
  <c r="IM266" i="30"/>
  <c r="IN266" i="30"/>
  <c r="IO266" i="30"/>
  <c r="IP266" i="30"/>
  <c r="IQ266" i="30"/>
  <c r="IR266" i="30"/>
  <c r="IS266" i="30"/>
  <c r="IT266" i="30"/>
  <c r="IU266" i="30"/>
  <c r="IV266" i="30"/>
  <c r="A265" i="30"/>
  <c r="B265" i="30"/>
  <c r="C265" i="30"/>
  <c r="D265" i="30"/>
  <c r="E265" i="30"/>
  <c r="F265" i="30"/>
  <c r="G265" i="30"/>
  <c r="H265" i="30"/>
  <c r="I265" i="30"/>
  <c r="J265" i="30"/>
  <c r="K265" i="30"/>
  <c r="L265" i="30"/>
  <c r="M265" i="30"/>
  <c r="N265" i="30"/>
  <c r="O265" i="30"/>
  <c r="P265" i="30"/>
  <c r="Q265" i="30"/>
  <c r="R265" i="30"/>
  <c r="S265" i="30"/>
  <c r="T265" i="30"/>
  <c r="U265" i="30"/>
  <c r="V265" i="30"/>
  <c r="W265" i="30"/>
  <c r="X265" i="30"/>
  <c r="Y265" i="30"/>
  <c r="Z265" i="30"/>
  <c r="AA265" i="30"/>
  <c r="AB265" i="30"/>
  <c r="AC265" i="30"/>
  <c r="AD265" i="30"/>
  <c r="AE265" i="30"/>
  <c r="AF265" i="30"/>
  <c r="AG265" i="30"/>
  <c r="AH265" i="30"/>
  <c r="AI265" i="30"/>
  <c r="AJ265" i="30"/>
  <c r="AK265" i="30"/>
  <c r="AL265" i="30"/>
  <c r="AM265" i="30"/>
  <c r="AN265" i="30"/>
  <c r="AO265" i="30"/>
  <c r="AP265" i="30"/>
  <c r="AQ265" i="30"/>
  <c r="AR265" i="30"/>
  <c r="AS265" i="30"/>
  <c r="AT265" i="30"/>
  <c r="AU265" i="30"/>
  <c r="AV265" i="30"/>
  <c r="AW265" i="30"/>
  <c r="AX265" i="30"/>
  <c r="AY265" i="30"/>
  <c r="AZ265" i="30"/>
  <c r="BA265" i="30"/>
  <c r="BB265" i="30"/>
  <c r="BC265" i="30"/>
  <c r="BD265" i="30"/>
  <c r="BE265" i="30"/>
  <c r="BF265" i="30"/>
  <c r="BG265" i="30"/>
  <c r="BH265" i="30"/>
  <c r="BI265" i="30"/>
  <c r="BJ265" i="30"/>
  <c r="BK265" i="30"/>
  <c r="BL265" i="30"/>
  <c r="BM265" i="30"/>
  <c r="BN265" i="30"/>
  <c r="BO265" i="30"/>
  <c r="BP265" i="30"/>
  <c r="BQ265" i="30"/>
  <c r="BR265" i="30"/>
  <c r="BS265" i="30"/>
  <c r="BT265" i="30"/>
  <c r="BU265" i="30"/>
  <c r="BV265" i="30"/>
  <c r="BW265" i="30"/>
  <c r="BX265" i="30"/>
  <c r="BY265" i="30"/>
  <c r="BZ265" i="30"/>
  <c r="CA265" i="30"/>
  <c r="CB265" i="30"/>
  <c r="CC265" i="30"/>
  <c r="CD265" i="30"/>
  <c r="CE265" i="30"/>
  <c r="CF265" i="30"/>
  <c r="CG265" i="30"/>
  <c r="CH265" i="30"/>
  <c r="CI265" i="30"/>
  <c r="CJ265" i="30"/>
  <c r="CK265" i="30"/>
  <c r="CL265" i="30"/>
  <c r="CM265" i="30"/>
  <c r="CN265" i="30"/>
  <c r="CO265" i="30"/>
  <c r="CP265" i="30"/>
  <c r="CQ265" i="30"/>
  <c r="CR265" i="30"/>
  <c r="CS265" i="30"/>
  <c r="CT265" i="30"/>
  <c r="CU265" i="30"/>
  <c r="CV265" i="30"/>
  <c r="CW265" i="30"/>
  <c r="CX265" i="30"/>
  <c r="CY265" i="30"/>
  <c r="CZ265" i="30"/>
  <c r="DA265" i="30"/>
  <c r="DB265" i="30"/>
  <c r="DC265" i="30"/>
  <c r="DD265" i="30"/>
  <c r="DE265" i="30"/>
  <c r="DF265" i="30"/>
  <c r="DG265" i="30"/>
  <c r="DH265" i="30"/>
  <c r="DI265" i="30"/>
  <c r="DJ265" i="30"/>
  <c r="DK265" i="30"/>
  <c r="DL265" i="30"/>
  <c r="DM265" i="30"/>
  <c r="DN265" i="30"/>
  <c r="DO265" i="30"/>
  <c r="DP265" i="30"/>
  <c r="DQ265" i="30"/>
  <c r="DR265" i="30"/>
  <c r="DS265" i="30"/>
  <c r="DT265" i="30"/>
  <c r="DU265" i="30"/>
  <c r="DV265" i="30"/>
  <c r="DW265" i="30"/>
  <c r="DX265" i="30"/>
  <c r="DY265" i="30"/>
  <c r="DZ265" i="30"/>
  <c r="EA265" i="30"/>
  <c r="EB265" i="30"/>
  <c r="EC265" i="30"/>
  <c r="ED265" i="30"/>
  <c r="EE265" i="30"/>
  <c r="EF265" i="30"/>
  <c r="EG265" i="30"/>
  <c r="EH265" i="30"/>
  <c r="EI265" i="30"/>
  <c r="EJ265" i="30"/>
  <c r="EK265" i="30"/>
  <c r="EL265" i="30"/>
  <c r="EM265" i="30"/>
  <c r="EN265" i="30"/>
  <c r="EO265" i="30"/>
  <c r="EP265" i="30"/>
  <c r="EQ265" i="30"/>
  <c r="ER265" i="30"/>
  <c r="ES265" i="30"/>
  <c r="ET265" i="30"/>
  <c r="EU265" i="30"/>
  <c r="EV265" i="30"/>
  <c r="EW265" i="30"/>
  <c r="EX265" i="30"/>
  <c r="EY265" i="30"/>
  <c r="EZ265" i="30"/>
  <c r="FA265" i="30"/>
  <c r="FB265" i="30"/>
  <c r="FC265" i="30"/>
  <c r="FD265" i="30"/>
  <c r="FE265" i="30"/>
  <c r="FF265" i="30"/>
  <c r="FG265" i="30"/>
  <c r="FH265" i="30"/>
  <c r="FI265" i="30"/>
  <c r="FJ265" i="30"/>
  <c r="FK265" i="30"/>
  <c r="FL265" i="30"/>
  <c r="FM265" i="30"/>
  <c r="FN265" i="30"/>
  <c r="FO265" i="30"/>
  <c r="FP265" i="30"/>
  <c r="FQ265" i="30"/>
  <c r="FR265" i="30"/>
  <c r="FS265" i="30"/>
  <c r="FT265" i="30"/>
  <c r="FU265" i="30"/>
  <c r="FV265" i="30"/>
  <c r="FW265" i="30"/>
  <c r="FX265" i="30"/>
  <c r="FY265" i="30"/>
  <c r="FZ265" i="30"/>
  <c r="GA265" i="30"/>
  <c r="GB265" i="30"/>
  <c r="GC265" i="30"/>
  <c r="GD265" i="30"/>
  <c r="GE265" i="30"/>
  <c r="GF265" i="30"/>
  <c r="GG265" i="30"/>
  <c r="GH265" i="30"/>
  <c r="GI265" i="30"/>
  <c r="GJ265" i="30"/>
  <c r="GK265" i="30"/>
  <c r="GL265" i="30"/>
  <c r="GM265" i="30"/>
  <c r="GN265" i="30"/>
  <c r="GO265" i="30"/>
  <c r="GP265" i="30"/>
  <c r="GQ265" i="30"/>
  <c r="GR265" i="30"/>
  <c r="GS265" i="30"/>
  <c r="GT265" i="30"/>
  <c r="GU265" i="30"/>
  <c r="GV265" i="30"/>
  <c r="GW265" i="30"/>
  <c r="GX265" i="30"/>
  <c r="GY265" i="30"/>
  <c r="GZ265" i="30"/>
  <c r="HA265" i="30"/>
  <c r="HB265" i="30"/>
  <c r="HC265" i="30"/>
  <c r="HD265" i="30"/>
  <c r="HE265" i="30"/>
  <c r="HF265" i="30"/>
  <c r="HG265" i="30"/>
  <c r="HH265" i="30"/>
  <c r="HI265" i="30"/>
  <c r="HJ265" i="30"/>
  <c r="HK265" i="30"/>
  <c r="HL265" i="30"/>
  <c r="HM265" i="30"/>
  <c r="HN265" i="30"/>
  <c r="HO265" i="30"/>
  <c r="HP265" i="30"/>
  <c r="HQ265" i="30"/>
  <c r="HR265" i="30"/>
  <c r="HS265" i="30"/>
  <c r="HT265" i="30"/>
  <c r="HU265" i="30"/>
  <c r="HV265" i="30"/>
  <c r="HW265" i="30"/>
  <c r="HX265" i="30"/>
  <c r="HY265" i="30"/>
  <c r="HZ265" i="30"/>
  <c r="IA265" i="30"/>
  <c r="IB265" i="30"/>
  <c r="IC265" i="30"/>
  <c r="ID265" i="30"/>
  <c r="IE265" i="30"/>
  <c r="IF265" i="30"/>
  <c r="IG265" i="30"/>
  <c r="IH265" i="30"/>
  <c r="II265" i="30"/>
  <c r="IJ265" i="30"/>
  <c r="IK265" i="30"/>
  <c r="IL265" i="30"/>
  <c r="IM265" i="30"/>
  <c r="IN265" i="30"/>
  <c r="IO265" i="30"/>
  <c r="IP265" i="30"/>
  <c r="IQ265" i="30"/>
  <c r="IR265" i="30"/>
  <c r="IS265" i="30"/>
  <c r="IT265" i="30"/>
  <c r="IU265" i="30"/>
  <c r="IV265" i="30"/>
  <c r="A264" i="30"/>
  <c r="B264" i="30"/>
  <c r="C264" i="30"/>
  <c r="D264" i="30"/>
  <c r="E264" i="30"/>
  <c r="F264" i="30"/>
  <c r="G264" i="30"/>
  <c r="H264" i="30"/>
  <c r="I264" i="30"/>
  <c r="J264" i="30"/>
  <c r="K264" i="30"/>
  <c r="L264" i="30"/>
  <c r="M264" i="30"/>
  <c r="N264" i="30"/>
  <c r="O264" i="30"/>
  <c r="P264" i="30"/>
  <c r="Q264" i="30"/>
  <c r="R264" i="30"/>
  <c r="S264" i="30"/>
  <c r="T264" i="30"/>
  <c r="U264" i="30"/>
  <c r="V264" i="30"/>
  <c r="W264" i="30"/>
  <c r="X264" i="30"/>
  <c r="Y264" i="30"/>
  <c r="Z264" i="30"/>
  <c r="AA264" i="30"/>
  <c r="AB264" i="30"/>
  <c r="AC264" i="30"/>
  <c r="AD264" i="30"/>
  <c r="AE264" i="30"/>
  <c r="AF264" i="30"/>
  <c r="AG264" i="30"/>
  <c r="AH264" i="30"/>
  <c r="AI264" i="30"/>
  <c r="AJ264" i="30"/>
  <c r="AK264" i="30"/>
  <c r="AL264" i="30"/>
  <c r="AM264" i="30"/>
  <c r="AN264" i="30"/>
  <c r="AO264" i="30"/>
  <c r="AP264" i="30"/>
  <c r="AQ264" i="30"/>
  <c r="AR264" i="30"/>
  <c r="AS264" i="30"/>
  <c r="AT264" i="30"/>
  <c r="AU264" i="30"/>
  <c r="AV264" i="30"/>
  <c r="AW264" i="30"/>
  <c r="AX264" i="30"/>
  <c r="AY264" i="30"/>
  <c r="AZ264" i="30"/>
  <c r="BA264" i="30"/>
  <c r="BB264" i="30"/>
  <c r="BC264" i="30"/>
  <c r="BD264" i="30"/>
  <c r="BE264" i="30"/>
  <c r="BF264" i="30"/>
  <c r="BG264" i="30"/>
  <c r="BH264" i="30"/>
  <c r="BI264" i="30"/>
  <c r="BJ264" i="30"/>
  <c r="BK264" i="30"/>
  <c r="BL264" i="30"/>
  <c r="BM264" i="30"/>
  <c r="BN264" i="30"/>
  <c r="BO264" i="30"/>
  <c r="BP264" i="30"/>
  <c r="BQ264" i="30"/>
  <c r="BR264" i="30"/>
  <c r="BS264" i="30"/>
  <c r="BT264" i="30"/>
  <c r="BU264" i="30"/>
  <c r="BV264" i="30"/>
  <c r="BW264" i="30"/>
  <c r="BX264" i="30"/>
  <c r="BY264" i="30"/>
  <c r="BZ264" i="30"/>
  <c r="CA264" i="30"/>
  <c r="CB264" i="30"/>
  <c r="CC264" i="30"/>
  <c r="CD264" i="30"/>
  <c r="CE264" i="30"/>
  <c r="CF264" i="30"/>
  <c r="CG264" i="30"/>
  <c r="CH264" i="30"/>
  <c r="CI264" i="30"/>
  <c r="CJ264" i="30"/>
  <c r="CK264" i="30"/>
  <c r="CL264" i="30"/>
  <c r="CM264" i="30"/>
  <c r="CN264" i="30"/>
  <c r="CO264" i="30"/>
  <c r="CP264" i="30"/>
  <c r="CQ264" i="30"/>
  <c r="CR264" i="30"/>
  <c r="CS264" i="30"/>
  <c r="CT264" i="30"/>
  <c r="CU264" i="30"/>
  <c r="CV264" i="30"/>
  <c r="CW264" i="30"/>
  <c r="CX264" i="30"/>
  <c r="CY264" i="30"/>
  <c r="CZ264" i="30"/>
  <c r="DA264" i="30"/>
  <c r="DB264" i="30"/>
  <c r="DC264" i="30"/>
  <c r="DD264" i="30"/>
  <c r="DE264" i="30"/>
  <c r="DF264" i="30"/>
  <c r="DG264" i="30"/>
  <c r="DH264" i="30"/>
  <c r="DI264" i="30"/>
  <c r="DJ264" i="30"/>
  <c r="DK264" i="30"/>
  <c r="DL264" i="30"/>
  <c r="DM264" i="30"/>
  <c r="DN264" i="30"/>
  <c r="DO264" i="30"/>
  <c r="DP264" i="30"/>
  <c r="DQ264" i="30"/>
  <c r="DR264" i="30"/>
  <c r="DS264" i="30"/>
  <c r="DT264" i="30"/>
  <c r="DU264" i="30"/>
  <c r="DV264" i="30"/>
  <c r="DW264" i="30"/>
  <c r="DX264" i="30"/>
  <c r="DY264" i="30"/>
  <c r="DZ264" i="30"/>
  <c r="EA264" i="30"/>
  <c r="EB264" i="30"/>
  <c r="EC264" i="30"/>
  <c r="ED264" i="30"/>
  <c r="EE264" i="30"/>
  <c r="EF264" i="30"/>
  <c r="EG264" i="30"/>
  <c r="EH264" i="30"/>
  <c r="EI264" i="30"/>
  <c r="EJ264" i="30"/>
  <c r="EK264" i="30"/>
  <c r="EL264" i="30"/>
  <c r="EM264" i="30"/>
  <c r="EN264" i="30"/>
  <c r="EO264" i="30"/>
  <c r="EP264" i="30"/>
  <c r="EQ264" i="30"/>
  <c r="ER264" i="30"/>
  <c r="ES264" i="30"/>
  <c r="ET264" i="30"/>
  <c r="EU264" i="30"/>
  <c r="EV264" i="30"/>
  <c r="EW264" i="30"/>
  <c r="EX264" i="30"/>
  <c r="EY264" i="30"/>
  <c r="EZ264" i="30"/>
  <c r="FA264" i="30"/>
  <c r="FB264" i="30"/>
  <c r="FC264" i="30"/>
  <c r="FD264" i="30"/>
  <c r="FE264" i="30"/>
  <c r="FF264" i="30"/>
  <c r="FG264" i="30"/>
  <c r="FH264" i="30"/>
  <c r="FI264" i="30"/>
  <c r="FJ264" i="30"/>
  <c r="FK264" i="30"/>
  <c r="FL264" i="30"/>
  <c r="FM264" i="30"/>
  <c r="FN264" i="30"/>
  <c r="FO264" i="30"/>
  <c r="FP264" i="30"/>
  <c r="FQ264" i="30"/>
  <c r="FR264" i="30"/>
  <c r="FS264" i="30"/>
  <c r="FT264" i="30"/>
  <c r="FU264" i="30"/>
  <c r="FV264" i="30"/>
  <c r="FW264" i="30"/>
  <c r="FX264" i="30"/>
  <c r="FY264" i="30"/>
  <c r="FZ264" i="30"/>
  <c r="GA264" i="30"/>
  <c r="GB264" i="30"/>
  <c r="GC264" i="30"/>
  <c r="GD264" i="30"/>
  <c r="GE264" i="30"/>
  <c r="GF264" i="30"/>
  <c r="GG264" i="30"/>
  <c r="GH264" i="30"/>
  <c r="GI264" i="30"/>
  <c r="GJ264" i="30"/>
  <c r="GK264" i="30"/>
  <c r="GL264" i="30"/>
  <c r="GM264" i="30"/>
  <c r="GN264" i="30"/>
  <c r="GO264" i="30"/>
  <c r="GP264" i="30"/>
  <c r="GQ264" i="30"/>
  <c r="GR264" i="30"/>
  <c r="GS264" i="30"/>
  <c r="GT264" i="30"/>
  <c r="GU264" i="30"/>
  <c r="GV264" i="30"/>
  <c r="GW264" i="30"/>
  <c r="GX264" i="30"/>
  <c r="GY264" i="30"/>
  <c r="GZ264" i="30"/>
  <c r="HA264" i="30"/>
  <c r="HB264" i="30"/>
  <c r="HC264" i="30"/>
  <c r="HD264" i="30"/>
  <c r="HE264" i="30"/>
  <c r="HF264" i="30"/>
  <c r="HG264" i="30"/>
  <c r="HH264" i="30"/>
  <c r="HI264" i="30"/>
  <c r="HJ264" i="30"/>
  <c r="HK264" i="30"/>
  <c r="HL264" i="30"/>
  <c r="HM264" i="30"/>
  <c r="HN264" i="30"/>
  <c r="HO264" i="30"/>
  <c r="HP264" i="30"/>
  <c r="HQ264" i="30"/>
  <c r="HR264" i="30"/>
  <c r="HS264" i="30"/>
  <c r="HT264" i="30"/>
  <c r="HU264" i="30"/>
  <c r="HV264" i="30"/>
  <c r="HW264" i="30"/>
  <c r="HX264" i="30"/>
  <c r="HY264" i="30"/>
  <c r="HZ264" i="30"/>
  <c r="IA264" i="30"/>
  <c r="IB264" i="30"/>
  <c r="IC264" i="30"/>
  <c r="ID264" i="30"/>
  <c r="IE264" i="30"/>
  <c r="IF264" i="30"/>
  <c r="IG264" i="30"/>
  <c r="IH264" i="30"/>
  <c r="II264" i="30"/>
  <c r="IJ264" i="30"/>
  <c r="IK264" i="30"/>
  <c r="IL264" i="30"/>
  <c r="IM264" i="30"/>
  <c r="IN264" i="30"/>
  <c r="IO264" i="30"/>
  <c r="IP264" i="30"/>
  <c r="IQ264" i="30"/>
  <c r="IR264" i="30"/>
  <c r="IS264" i="30"/>
  <c r="IT264" i="30"/>
  <c r="IU264" i="30"/>
  <c r="IV264" i="30"/>
  <c r="A263" i="30"/>
  <c r="B263" i="30"/>
  <c r="C263" i="30"/>
  <c r="D263" i="30"/>
  <c r="E263" i="30"/>
  <c r="F263" i="30"/>
  <c r="G263" i="30"/>
  <c r="H263" i="30"/>
  <c r="I263" i="30"/>
  <c r="J263" i="30"/>
  <c r="K263" i="30"/>
  <c r="L263" i="30"/>
  <c r="M263" i="30"/>
  <c r="N263" i="30"/>
  <c r="O263" i="30"/>
  <c r="P263" i="30"/>
  <c r="Q263" i="30"/>
  <c r="R263" i="30"/>
  <c r="S263" i="30"/>
  <c r="T263" i="30"/>
  <c r="U263" i="30"/>
  <c r="V263" i="30"/>
  <c r="W263" i="30"/>
  <c r="X263" i="30"/>
  <c r="Y263" i="30"/>
  <c r="Z263" i="30"/>
  <c r="AA263" i="30"/>
  <c r="AB263" i="30"/>
  <c r="AC263" i="30"/>
  <c r="AD263" i="30"/>
  <c r="AE263" i="30"/>
  <c r="AF263" i="30"/>
  <c r="AG263" i="30"/>
  <c r="AH263" i="30"/>
  <c r="AI263" i="30"/>
  <c r="AJ263" i="30"/>
  <c r="AK263" i="30"/>
  <c r="AL263" i="30"/>
  <c r="AM263" i="30"/>
  <c r="AN263" i="30"/>
  <c r="AO263" i="30"/>
  <c r="AP263" i="30"/>
  <c r="AQ263" i="30"/>
  <c r="AR263" i="30"/>
  <c r="AS263" i="30"/>
  <c r="AT263" i="30"/>
  <c r="AU263" i="30"/>
  <c r="AV263" i="30"/>
  <c r="AW263" i="30"/>
  <c r="AX263" i="30"/>
  <c r="AY263" i="30"/>
  <c r="AZ263" i="30"/>
  <c r="BA263" i="30"/>
  <c r="BB263" i="30"/>
  <c r="BC263" i="30"/>
  <c r="BD263" i="30"/>
  <c r="BE263" i="30"/>
  <c r="BF263" i="30"/>
  <c r="BG263" i="30"/>
  <c r="BH263" i="30"/>
  <c r="BI263" i="30"/>
  <c r="BJ263" i="30"/>
  <c r="BK263" i="30"/>
  <c r="BL263" i="30"/>
  <c r="BM263" i="30"/>
  <c r="BN263" i="30"/>
  <c r="BO263" i="30"/>
  <c r="BP263" i="30"/>
  <c r="BQ263" i="30"/>
  <c r="BR263" i="30"/>
  <c r="BS263" i="30"/>
  <c r="BT263" i="30"/>
  <c r="BU263" i="30"/>
  <c r="BV263" i="30"/>
  <c r="BW263" i="30"/>
  <c r="BX263" i="30"/>
  <c r="BY263" i="30"/>
  <c r="BZ263" i="30"/>
  <c r="CA263" i="30"/>
  <c r="CB263" i="30"/>
  <c r="CC263" i="30"/>
  <c r="CD263" i="30"/>
  <c r="CE263" i="30"/>
  <c r="CF263" i="30"/>
  <c r="CG263" i="30"/>
  <c r="CH263" i="30"/>
  <c r="CI263" i="30"/>
  <c r="CJ263" i="30"/>
  <c r="CK263" i="30"/>
  <c r="CL263" i="30"/>
  <c r="CM263" i="30"/>
  <c r="CN263" i="30"/>
  <c r="CO263" i="30"/>
  <c r="CP263" i="30"/>
  <c r="CQ263" i="30"/>
  <c r="CR263" i="30"/>
  <c r="CS263" i="30"/>
  <c r="CT263" i="30"/>
  <c r="CU263" i="30"/>
  <c r="CV263" i="30"/>
  <c r="CW263" i="30"/>
  <c r="CX263" i="30"/>
  <c r="CY263" i="30"/>
  <c r="CZ263" i="30"/>
  <c r="DA263" i="30"/>
  <c r="DB263" i="30"/>
  <c r="DC263" i="30"/>
  <c r="DD263" i="30"/>
  <c r="DE263" i="30"/>
  <c r="DF263" i="30"/>
  <c r="DG263" i="30"/>
  <c r="DH263" i="30"/>
  <c r="DI263" i="30"/>
  <c r="DJ263" i="30"/>
  <c r="DK263" i="30"/>
  <c r="DL263" i="30"/>
  <c r="DM263" i="30"/>
  <c r="DN263" i="30"/>
  <c r="DO263" i="30"/>
  <c r="DP263" i="30"/>
  <c r="DQ263" i="30"/>
  <c r="DR263" i="30"/>
  <c r="DS263" i="30"/>
  <c r="DT263" i="30"/>
  <c r="DU263" i="30"/>
  <c r="DV263" i="30"/>
  <c r="DW263" i="30"/>
  <c r="DX263" i="30"/>
  <c r="DY263" i="30"/>
  <c r="DZ263" i="30"/>
  <c r="EA263" i="30"/>
  <c r="EB263" i="30"/>
  <c r="EC263" i="30"/>
  <c r="ED263" i="30"/>
  <c r="EE263" i="30"/>
  <c r="EF263" i="30"/>
  <c r="EG263" i="30"/>
  <c r="EH263" i="30"/>
  <c r="EI263" i="30"/>
  <c r="EJ263" i="30"/>
  <c r="EK263" i="30"/>
  <c r="EL263" i="30"/>
  <c r="EM263" i="30"/>
  <c r="EN263" i="30"/>
  <c r="EO263" i="30"/>
  <c r="EP263" i="30"/>
  <c r="EQ263" i="30"/>
  <c r="ER263" i="30"/>
  <c r="ES263" i="30"/>
  <c r="ET263" i="30"/>
  <c r="EU263" i="30"/>
  <c r="EV263" i="30"/>
  <c r="EW263" i="30"/>
  <c r="EX263" i="30"/>
  <c r="EY263" i="30"/>
  <c r="EZ263" i="30"/>
  <c r="FA263" i="30"/>
  <c r="FB263" i="30"/>
  <c r="FC263" i="30"/>
  <c r="FD263" i="30"/>
  <c r="FE263" i="30"/>
  <c r="FF263" i="30"/>
  <c r="FG263" i="30"/>
  <c r="FH263" i="30"/>
  <c r="FI263" i="30"/>
  <c r="FJ263" i="30"/>
  <c r="FK263" i="30"/>
  <c r="FL263" i="30"/>
  <c r="FM263" i="30"/>
  <c r="FN263" i="30"/>
  <c r="FO263" i="30"/>
  <c r="FP263" i="30"/>
  <c r="FQ263" i="30"/>
  <c r="FR263" i="30"/>
  <c r="FS263" i="30"/>
  <c r="FT263" i="30"/>
  <c r="FU263" i="30"/>
  <c r="FV263" i="30"/>
  <c r="FW263" i="30"/>
  <c r="FX263" i="30"/>
  <c r="FY263" i="30"/>
  <c r="FZ263" i="30"/>
  <c r="GA263" i="30"/>
  <c r="GB263" i="30"/>
  <c r="GC263" i="30"/>
  <c r="GD263" i="30"/>
  <c r="GE263" i="30"/>
  <c r="GF263" i="30"/>
  <c r="GG263" i="30"/>
  <c r="GH263" i="30"/>
  <c r="GI263" i="30"/>
  <c r="GJ263" i="30"/>
  <c r="GK263" i="30"/>
  <c r="GL263" i="30"/>
  <c r="GM263" i="30"/>
  <c r="GN263" i="30"/>
  <c r="GO263" i="30"/>
  <c r="GP263" i="30"/>
  <c r="GQ263" i="30"/>
  <c r="GR263" i="30"/>
  <c r="GS263" i="30"/>
  <c r="GT263" i="30"/>
  <c r="GU263" i="30"/>
  <c r="GV263" i="30"/>
  <c r="GW263" i="30"/>
  <c r="GX263" i="30"/>
  <c r="GY263" i="30"/>
  <c r="GZ263" i="30"/>
  <c r="HA263" i="30"/>
  <c r="HB263" i="30"/>
  <c r="HC263" i="30"/>
  <c r="HD263" i="30"/>
  <c r="HE263" i="30"/>
  <c r="HF263" i="30"/>
  <c r="HG263" i="30"/>
  <c r="HH263" i="30"/>
  <c r="HI263" i="30"/>
  <c r="HJ263" i="30"/>
  <c r="HK263" i="30"/>
  <c r="HL263" i="30"/>
  <c r="HM263" i="30"/>
  <c r="HN263" i="30"/>
  <c r="HO263" i="30"/>
  <c r="HP263" i="30"/>
  <c r="HQ263" i="30"/>
  <c r="HR263" i="30"/>
  <c r="HS263" i="30"/>
  <c r="HT263" i="30"/>
  <c r="HU263" i="30"/>
  <c r="HV263" i="30"/>
  <c r="HW263" i="30"/>
  <c r="HX263" i="30"/>
  <c r="HY263" i="30"/>
  <c r="HZ263" i="30"/>
  <c r="IA263" i="30"/>
  <c r="IB263" i="30"/>
  <c r="IC263" i="30"/>
  <c r="ID263" i="30"/>
  <c r="IE263" i="30"/>
  <c r="IF263" i="30"/>
  <c r="IG263" i="30"/>
  <c r="IH263" i="30"/>
  <c r="II263" i="30"/>
  <c r="IJ263" i="30"/>
  <c r="IK263" i="30"/>
  <c r="IL263" i="30"/>
  <c r="IM263" i="30"/>
  <c r="IN263" i="30"/>
  <c r="IO263" i="30"/>
  <c r="IP263" i="30"/>
  <c r="IQ263" i="30"/>
  <c r="IR263" i="30"/>
  <c r="IS263" i="30"/>
  <c r="IT263" i="30"/>
  <c r="IU263" i="30"/>
  <c r="IV263" i="30"/>
  <c r="A262" i="30"/>
  <c r="B262" i="30"/>
  <c r="C262" i="30"/>
  <c r="D262" i="30"/>
  <c r="E262" i="30"/>
  <c r="F262" i="30"/>
  <c r="G262" i="30"/>
  <c r="H262" i="30"/>
  <c r="I262" i="30"/>
  <c r="J262" i="30"/>
  <c r="K262" i="30"/>
  <c r="L262" i="30"/>
  <c r="M262" i="30"/>
  <c r="N262" i="30"/>
  <c r="O262" i="30"/>
  <c r="P262" i="30"/>
  <c r="Q262" i="30"/>
  <c r="R262" i="30"/>
  <c r="S262" i="30"/>
  <c r="T262" i="30"/>
  <c r="U262" i="30"/>
  <c r="V262" i="30"/>
  <c r="W262" i="30"/>
  <c r="X262" i="30"/>
  <c r="Y262" i="30"/>
  <c r="Z262" i="30"/>
  <c r="AA262" i="30"/>
  <c r="AB262" i="30"/>
  <c r="AC262" i="30"/>
  <c r="AD262" i="30"/>
  <c r="AE262" i="30"/>
  <c r="AF262" i="30"/>
  <c r="AG262" i="30"/>
  <c r="AH262" i="30"/>
  <c r="AI262" i="30"/>
  <c r="AJ262" i="30"/>
  <c r="AK262" i="30"/>
  <c r="AL262" i="30"/>
  <c r="AM262" i="30"/>
  <c r="AN262" i="30"/>
  <c r="AO262" i="30"/>
  <c r="AP262" i="30"/>
  <c r="AQ262" i="30"/>
  <c r="AR262" i="30"/>
  <c r="AS262" i="30"/>
  <c r="AT262" i="30"/>
  <c r="AU262" i="30"/>
  <c r="AV262" i="30"/>
  <c r="AW262" i="30"/>
  <c r="AX262" i="30"/>
  <c r="AY262" i="30"/>
  <c r="AZ262" i="30"/>
  <c r="BA262" i="30"/>
  <c r="BB262" i="30"/>
  <c r="BC262" i="30"/>
  <c r="BD262" i="30"/>
  <c r="BE262" i="30"/>
  <c r="BF262" i="30"/>
  <c r="BG262" i="30"/>
  <c r="BH262" i="30"/>
  <c r="BI262" i="30"/>
  <c r="BJ262" i="30"/>
  <c r="BK262" i="30"/>
  <c r="BL262" i="30"/>
  <c r="BM262" i="30"/>
  <c r="BN262" i="30"/>
  <c r="BO262" i="30"/>
  <c r="BP262" i="30"/>
  <c r="BQ262" i="30"/>
  <c r="BR262" i="30"/>
  <c r="BS262" i="30"/>
  <c r="BT262" i="30"/>
  <c r="BU262" i="30"/>
  <c r="BV262" i="30"/>
  <c r="BW262" i="30"/>
  <c r="BX262" i="30"/>
  <c r="BY262" i="30"/>
  <c r="BZ262" i="30"/>
  <c r="CA262" i="30"/>
  <c r="CB262" i="30"/>
  <c r="CC262" i="30"/>
  <c r="CD262" i="30"/>
  <c r="CE262" i="30"/>
  <c r="CF262" i="30"/>
  <c r="CG262" i="30"/>
  <c r="CH262" i="30"/>
  <c r="CI262" i="30"/>
  <c r="CJ262" i="30"/>
  <c r="CK262" i="30"/>
  <c r="CL262" i="30"/>
  <c r="CM262" i="30"/>
  <c r="CN262" i="30"/>
  <c r="CO262" i="30"/>
  <c r="CP262" i="30"/>
  <c r="CQ262" i="30"/>
  <c r="CR262" i="30"/>
  <c r="CS262" i="30"/>
  <c r="CT262" i="30"/>
  <c r="CU262" i="30"/>
  <c r="CV262" i="30"/>
  <c r="CW262" i="30"/>
  <c r="CX262" i="30"/>
  <c r="CY262" i="30"/>
  <c r="CZ262" i="30"/>
  <c r="DA262" i="30"/>
  <c r="DB262" i="30"/>
  <c r="DC262" i="30"/>
  <c r="DD262" i="30"/>
  <c r="DE262" i="30"/>
  <c r="DF262" i="30"/>
  <c r="DG262" i="30"/>
  <c r="DH262" i="30"/>
  <c r="DI262" i="30"/>
  <c r="DJ262" i="30"/>
  <c r="DK262" i="30"/>
  <c r="DL262" i="30"/>
  <c r="DM262" i="30"/>
  <c r="DN262" i="30"/>
  <c r="DO262" i="30"/>
  <c r="DP262" i="30"/>
  <c r="DQ262" i="30"/>
  <c r="DR262" i="30"/>
  <c r="DS262" i="30"/>
  <c r="DT262" i="30"/>
  <c r="DU262" i="30"/>
  <c r="DV262" i="30"/>
  <c r="DW262" i="30"/>
  <c r="DX262" i="30"/>
  <c r="DY262" i="30"/>
  <c r="DZ262" i="30"/>
  <c r="EA262" i="30"/>
  <c r="EB262" i="30"/>
  <c r="EC262" i="30"/>
  <c r="ED262" i="30"/>
  <c r="EE262" i="30"/>
  <c r="EF262" i="30"/>
  <c r="EG262" i="30"/>
  <c r="EH262" i="30"/>
  <c r="EI262" i="30"/>
  <c r="EJ262" i="30"/>
  <c r="EK262" i="30"/>
  <c r="EL262" i="30"/>
  <c r="EM262" i="30"/>
  <c r="EN262" i="30"/>
  <c r="EO262" i="30"/>
  <c r="EP262" i="30"/>
  <c r="EQ262" i="30"/>
  <c r="ER262" i="30"/>
  <c r="ES262" i="30"/>
  <c r="ET262" i="30"/>
  <c r="EU262" i="30"/>
  <c r="EV262" i="30"/>
  <c r="EW262" i="30"/>
  <c r="EX262" i="30"/>
  <c r="EY262" i="30"/>
  <c r="EZ262" i="30"/>
  <c r="FA262" i="30"/>
  <c r="FB262" i="30"/>
  <c r="FC262" i="30"/>
  <c r="FD262" i="30"/>
  <c r="FE262" i="30"/>
  <c r="FF262" i="30"/>
  <c r="FG262" i="30"/>
  <c r="FH262" i="30"/>
  <c r="FI262" i="30"/>
  <c r="FJ262" i="30"/>
  <c r="FK262" i="30"/>
  <c r="FL262" i="30"/>
  <c r="FM262" i="30"/>
  <c r="FN262" i="30"/>
  <c r="FO262" i="30"/>
  <c r="FP262" i="30"/>
  <c r="FQ262" i="30"/>
  <c r="FR262" i="30"/>
  <c r="FS262" i="30"/>
  <c r="FT262" i="30"/>
  <c r="FU262" i="30"/>
  <c r="FV262" i="30"/>
  <c r="FW262" i="30"/>
  <c r="FX262" i="30"/>
  <c r="FY262" i="30"/>
  <c r="FZ262" i="30"/>
  <c r="GA262" i="30"/>
  <c r="GB262" i="30"/>
  <c r="GC262" i="30"/>
  <c r="GD262" i="30"/>
  <c r="GE262" i="30"/>
  <c r="GF262" i="30"/>
  <c r="GG262" i="30"/>
  <c r="GH262" i="30"/>
  <c r="GI262" i="30"/>
  <c r="GJ262" i="30"/>
  <c r="GK262" i="30"/>
  <c r="GL262" i="30"/>
  <c r="GM262" i="30"/>
  <c r="GN262" i="30"/>
  <c r="GO262" i="30"/>
  <c r="GP262" i="30"/>
  <c r="GQ262" i="30"/>
  <c r="GR262" i="30"/>
  <c r="GS262" i="30"/>
  <c r="GT262" i="30"/>
  <c r="GU262" i="30"/>
  <c r="GV262" i="30"/>
  <c r="GW262" i="30"/>
  <c r="GX262" i="30"/>
  <c r="GY262" i="30"/>
  <c r="GZ262" i="30"/>
  <c r="HA262" i="30"/>
  <c r="HB262" i="30"/>
  <c r="HC262" i="30"/>
  <c r="HD262" i="30"/>
  <c r="HE262" i="30"/>
  <c r="HF262" i="30"/>
  <c r="HG262" i="30"/>
  <c r="HH262" i="30"/>
  <c r="HI262" i="30"/>
  <c r="HJ262" i="30"/>
  <c r="HK262" i="30"/>
  <c r="HL262" i="30"/>
  <c r="HM262" i="30"/>
  <c r="HN262" i="30"/>
  <c r="HO262" i="30"/>
  <c r="HP262" i="30"/>
  <c r="HQ262" i="30"/>
  <c r="HR262" i="30"/>
  <c r="HS262" i="30"/>
  <c r="HT262" i="30"/>
  <c r="HU262" i="30"/>
  <c r="HV262" i="30"/>
  <c r="HW262" i="30"/>
  <c r="HX262" i="30"/>
  <c r="HY262" i="30"/>
  <c r="HZ262" i="30"/>
  <c r="IA262" i="30"/>
  <c r="IB262" i="30"/>
  <c r="IC262" i="30"/>
  <c r="ID262" i="30"/>
  <c r="IE262" i="30"/>
  <c r="IF262" i="30"/>
  <c r="IG262" i="30"/>
  <c r="IH262" i="30"/>
  <c r="II262" i="30"/>
  <c r="IJ262" i="30"/>
  <c r="IK262" i="30"/>
  <c r="IL262" i="30"/>
  <c r="IM262" i="30"/>
  <c r="IN262" i="30"/>
  <c r="IO262" i="30"/>
  <c r="IP262" i="30"/>
  <c r="IQ262" i="30"/>
  <c r="IR262" i="30"/>
  <c r="IS262" i="30"/>
  <c r="IT262" i="30"/>
  <c r="IU262" i="30"/>
  <c r="IV262" i="30"/>
  <c r="A261" i="30"/>
  <c r="B261" i="30"/>
  <c r="C261" i="30"/>
  <c r="D261" i="30"/>
  <c r="E261" i="30"/>
  <c r="F261" i="30"/>
  <c r="G261" i="30"/>
  <c r="H261" i="30"/>
  <c r="I261" i="30"/>
  <c r="J261" i="30"/>
  <c r="K261" i="30"/>
  <c r="L261" i="30"/>
  <c r="M261" i="30"/>
  <c r="N261" i="30"/>
  <c r="O261" i="30"/>
  <c r="P261" i="30"/>
  <c r="Q261" i="30"/>
  <c r="R261" i="30"/>
  <c r="S261" i="30"/>
  <c r="T261" i="30"/>
  <c r="U261" i="30"/>
  <c r="V261" i="30"/>
  <c r="W261" i="30"/>
  <c r="X261" i="30"/>
  <c r="Y261" i="30"/>
  <c r="Z261" i="30"/>
  <c r="AA261" i="30"/>
  <c r="AB261" i="30"/>
  <c r="AC261" i="30"/>
  <c r="AD261" i="30"/>
  <c r="AE261" i="30"/>
  <c r="AF261" i="30"/>
  <c r="AG261" i="30"/>
  <c r="AH261" i="30"/>
  <c r="AI261" i="30"/>
  <c r="AJ261" i="30"/>
  <c r="AK261" i="30"/>
  <c r="AL261" i="30"/>
  <c r="AM261" i="30"/>
  <c r="AN261" i="30"/>
  <c r="AO261" i="30"/>
  <c r="AP261" i="30"/>
  <c r="AQ261" i="30"/>
  <c r="AR261" i="30"/>
  <c r="AS261" i="30"/>
  <c r="AT261" i="30"/>
  <c r="AU261" i="30"/>
  <c r="AV261" i="30"/>
  <c r="AW261" i="30"/>
  <c r="AX261" i="30"/>
  <c r="AY261" i="30"/>
  <c r="AZ261" i="30"/>
  <c r="BA261" i="30"/>
  <c r="BB261" i="30"/>
  <c r="BC261" i="30"/>
  <c r="BD261" i="30"/>
  <c r="BE261" i="30"/>
  <c r="BF261" i="30"/>
  <c r="BG261" i="30"/>
  <c r="BH261" i="30"/>
  <c r="BI261" i="30"/>
  <c r="BJ261" i="30"/>
  <c r="BK261" i="30"/>
  <c r="BL261" i="30"/>
  <c r="BM261" i="30"/>
  <c r="BN261" i="30"/>
  <c r="BO261" i="30"/>
  <c r="BP261" i="30"/>
  <c r="BQ261" i="30"/>
  <c r="BR261" i="30"/>
  <c r="BS261" i="30"/>
  <c r="BT261" i="30"/>
  <c r="BU261" i="30"/>
  <c r="BV261" i="30"/>
  <c r="BW261" i="30"/>
  <c r="BX261" i="30"/>
  <c r="BY261" i="30"/>
  <c r="BZ261" i="30"/>
  <c r="CA261" i="30"/>
  <c r="CB261" i="30"/>
  <c r="CC261" i="30"/>
  <c r="CD261" i="30"/>
  <c r="CE261" i="30"/>
  <c r="CF261" i="30"/>
  <c r="CG261" i="30"/>
  <c r="CH261" i="30"/>
  <c r="CI261" i="30"/>
  <c r="CJ261" i="30"/>
  <c r="CK261" i="30"/>
  <c r="CL261" i="30"/>
  <c r="CM261" i="30"/>
  <c r="CN261" i="30"/>
  <c r="CO261" i="30"/>
  <c r="CP261" i="30"/>
  <c r="CQ261" i="30"/>
  <c r="CR261" i="30"/>
  <c r="CS261" i="30"/>
  <c r="CT261" i="30"/>
  <c r="CU261" i="30"/>
  <c r="CV261" i="30"/>
  <c r="CW261" i="30"/>
  <c r="CX261" i="30"/>
  <c r="CY261" i="30"/>
  <c r="CZ261" i="30"/>
  <c r="DA261" i="30"/>
  <c r="DB261" i="30"/>
  <c r="DC261" i="30"/>
  <c r="DD261" i="30"/>
  <c r="DE261" i="30"/>
  <c r="DF261" i="30"/>
  <c r="DG261" i="30"/>
  <c r="DH261" i="30"/>
  <c r="DI261" i="30"/>
  <c r="DJ261" i="30"/>
  <c r="DK261" i="30"/>
  <c r="DL261" i="30"/>
  <c r="DM261" i="30"/>
  <c r="DN261" i="30"/>
  <c r="DO261" i="30"/>
  <c r="DP261" i="30"/>
  <c r="DQ261" i="30"/>
  <c r="DR261" i="30"/>
  <c r="DS261" i="30"/>
  <c r="DT261" i="30"/>
  <c r="DU261" i="30"/>
  <c r="DV261" i="30"/>
  <c r="DW261" i="30"/>
  <c r="DX261" i="30"/>
  <c r="DY261" i="30"/>
  <c r="DZ261" i="30"/>
  <c r="EA261" i="30"/>
  <c r="EB261" i="30"/>
  <c r="EC261" i="30"/>
  <c r="ED261" i="30"/>
  <c r="EE261" i="30"/>
  <c r="EF261" i="30"/>
  <c r="EG261" i="30"/>
  <c r="EH261" i="30"/>
  <c r="EI261" i="30"/>
  <c r="EJ261" i="30"/>
  <c r="EK261" i="30"/>
  <c r="EL261" i="30"/>
  <c r="EM261" i="30"/>
  <c r="EN261" i="30"/>
  <c r="EO261" i="30"/>
  <c r="EP261" i="30"/>
  <c r="EQ261" i="30"/>
  <c r="ER261" i="30"/>
  <c r="ES261" i="30"/>
  <c r="ET261" i="30"/>
  <c r="EU261" i="30"/>
  <c r="EV261" i="30"/>
  <c r="EW261" i="30"/>
  <c r="EX261" i="30"/>
  <c r="EY261" i="30"/>
  <c r="EZ261" i="30"/>
  <c r="FA261" i="30"/>
  <c r="FB261" i="30"/>
  <c r="FC261" i="30"/>
  <c r="FD261" i="30"/>
  <c r="FE261" i="30"/>
  <c r="FF261" i="30"/>
  <c r="FG261" i="30"/>
  <c r="FH261" i="30"/>
  <c r="FI261" i="30"/>
  <c r="FJ261" i="30"/>
  <c r="FK261" i="30"/>
  <c r="FL261" i="30"/>
  <c r="FM261" i="30"/>
  <c r="FN261" i="30"/>
  <c r="FO261" i="30"/>
  <c r="FP261" i="30"/>
  <c r="FQ261" i="30"/>
  <c r="FR261" i="30"/>
  <c r="FS261" i="30"/>
  <c r="FT261" i="30"/>
  <c r="FU261" i="30"/>
  <c r="FV261" i="30"/>
  <c r="FW261" i="30"/>
  <c r="FX261" i="30"/>
  <c r="FY261" i="30"/>
  <c r="FZ261" i="30"/>
  <c r="GA261" i="30"/>
  <c r="GB261" i="30"/>
  <c r="GC261" i="30"/>
  <c r="GD261" i="30"/>
  <c r="GE261" i="30"/>
  <c r="GF261" i="30"/>
  <c r="GG261" i="30"/>
  <c r="GH261" i="30"/>
  <c r="GI261" i="30"/>
  <c r="GJ261" i="30"/>
  <c r="GK261" i="30"/>
  <c r="GL261" i="30"/>
  <c r="GM261" i="30"/>
  <c r="GN261" i="30"/>
  <c r="GO261" i="30"/>
  <c r="GP261" i="30"/>
  <c r="GQ261" i="30"/>
  <c r="GR261" i="30"/>
  <c r="GS261" i="30"/>
  <c r="GT261" i="30"/>
  <c r="GU261" i="30"/>
  <c r="GV261" i="30"/>
  <c r="GW261" i="30"/>
  <c r="GX261" i="30"/>
  <c r="GY261" i="30"/>
  <c r="GZ261" i="30"/>
  <c r="HA261" i="30"/>
  <c r="HB261" i="30"/>
  <c r="HC261" i="30"/>
  <c r="HD261" i="30"/>
  <c r="HE261" i="30"/>
  <c r="HF261" i="30"/>
  <c r="HG261" i="30"/>
  <c r="HH261" i="30"/>
  <c r="HI261" i="30"/>
  <c r="HJ261" i="30"/>
  <c r="HK261" i="30"/>
  <c r="HL261" i="30"/>
  <c r="HM261" i="30"/>
  <c r="HN261" i="30"/>
  <c r="HO261" i="30"/>
  <c r="HP261" i="30"/>
  <c r="HQ261" i="30"/>
  <c r="HR261" i="30"/>
  <c r="HS261" i="30"/>
  <c r="HT261" i="30"/>
  <c r="HU261" i="30"/>
  <c r="HV261" i="30"/>
  <c r="HW261" i="30"/>
  <c r="HX261" i="30"/>
  <c r="HY261" i="30"/>
  <c r="HZ261" i="30"/>
  <c r="IA261" i="30"/>
  <c r="IB261" i="30"/>
  <c r="IC261" i="30"/>
  <c r="ID261" i="30"/>
  <c r="IE261" i="30"/>
  <c r="IF261" i="30"/>
  <c r="IG261" i="30"/>
  <c r="IH261" i="30"/>
  <c r="II261" i="30"/>
  <c r="IJ261" i="30"/>
  <c r="IK261" i="30"/>
  <c r="IL261" i="30"/>
  <c r="IM261" i="30"/>
  <c r="IN261" i="30"/>
  <c r="IO261" i="30"/>
  <c r="IP261" i="30"/>
  <c r="IQ261" i="30"/>
  <c r="IR261" i="30"/>
  <c r="IS261" i="30"/>
  <c r="IT261" i="30"/>
  <c r="IU261" i="30"/>
  <c r="IV261" i="30"/>
  <c r="A260" i="30"/>
  <c r="B260" i="30"/>
  <c r="C260" i="30"/>
  <c r="D260" i="30"/>
  <c r="E260" i="30"/>
  <c r="F260" i="30"/>
  <c r="G260" i="30"/>
  <c r="H260" i="30"/>
  <c r="I260" i="30"/>
  <c r="J260" i="30"/>
  <c r="K260" i="30"/>
  <c r="L260" i="30"/>
  <c r="M260" i="30"/>
  <c r="N260" i="30"/>
  <c r="O260" i="30"/>
  <c r="P260" i="30"/>
  <c r="Q260" i="30"/>
  <c r="R260" i="30"/>
  <c r="S260" i="30"/>
  <c r="T260" i="30"/>
  <c r="U260" i="30"/>
  <c r="V260" i="30"/>
  <c r="W260" i="30"/>
  <c r="X260" i="30"/>
  <c r="Y260" i="30"/>
  <c r="Z260" i="30"/>
  <c r="AA260" i="30"/>
  <c r="AB260" i="30"/>
  <c r="AC260" i="30"/>
  <c r="AD260" i="30"/>
  <c r="AE260" i="30"/>
  <c r="AF260" i="30"/>
  <c r="AG260" i="30"/>
  <c r="AH260" i="30"/>
  <c r="AI260" i="30"/>
  <c r="AJ260" i="30"/>
  <c r="AK260" i="30"/>
  <c r="AL260" i="30"/>
  <c r="AM260" i="30"/>
  <c r="AN260" i="30"/>
  <c r="AO260" i="30"/>
  <c r="AP260" i="30"/>
  <c r="AQ260" i="30"/>
  <c r="AR260" i="30"/>
  <c r="AS260" i="30"/>
  <c r="AT260" i="30"/>
  <c r="AU260" i="30"/>
  <c r="AV260" i="30"/>
  <c r="AW260" i="30"/>
  <c r="AX260" i="30"/>
  <c r="AY260" i="30"/>
  <c r="AZ260" i="30"/>
  <c r="BA260" i="30"/>
  <c r="BB260" i="30"/>
  <c r="BC260" i="30"/>
  <c r="BD260" i="30"/>
  <c r="BE260" i="30"/>
  <c r="BF260" i="30"/>
  <c r="BG260" i="30"/>
  <c r="BH260" i="30"/>
  <c r="BI260" i="30"/>
  <c r="BJ260" i="30"/>
  <c r="BK260" i="30"/>
  <c r="BL260" i="30"/>
  <c r="BM260" i="30"/>
  <c r="BN260" i="30"/>
  <c r="BO260" i="30"/>
  <c r="BP260" i="30"/>
  <c r="BQ260" i="30"/>
  <c r="BR260" i="30"/>
  <c r="BS260" i="30"/>
  <c r="BT260" i="30"/>
  <c r="BU260" i="30"/>
  <c r="BV260" i="30"/>
  <c r="BW260" i="30"/>
  <c r="BX260" i="30"/>
  <c r="BY260" i="30"/>
  <c r="BZ260" i="30"/>
  <c r="CA260" i="30"/>
  <c r="CB260" i="30"/>
  <c r="CC260" i="30"/>
  <c r="CD260" i="30"/>
  <c r="CE260" i="30"/>
  <c r="CF260" i="30"/>
  <c r="CG260" i="30"/>
  <c r="CH260" i="30"/>
  <c r="CI260" i="30"/>
  <c r="CJ260" i="30"/>
  <c r="CK260" i="30"/>
  <c r="CL260" i="30"/>
  <c r="CM260" i="30"/>
  <c r="CN260" i="30"/>
  <c r="CO260" i="30"/>
  <c r="CP260" i="30"/>
  <c r="CQ260" i="30"/>
  <c r="CR260" i="30"/>
  <c r="CS260" i="30"/>
  <c r="CT260" i="30"/>
  <c r="CU260" i="30"/>
  <c r="CV260" i="30"/>
  <c r="CW260" i="30"/>
  <c r="CX260" i="30"/>
  <c r="CY260" i="30"/>
  <c r="CZ260" i="30"/>
  <c r="DA260" i="30"/>
  <c r="DB260" i="30"/>
  <c r="DC260" i="30"/>
  <c r="DD260" i="30"/>
  <c r="DE260" i="30"/>
  <c r="DF260" i="30"/>
  <c r="DG260" i="30"/>
  <c r="DH260" i="30"/>
  <c r="DI260" i="30"/>
  <c r="DJ260" i="30"/>
  <c r="DK260" i="30"/>
  <c r="DL260" i="30"/>
  <c r="DM260" i="30"/>
  <c r="DN260" i="30"/>
  <c r="DO260" i="30"/>
  <c r="DP260" i="30"/>
  <c r="DQ260" i="30"/>
  <c r="DR260" i="30"/>
  <c r="DS260" i="30"/>
  <c r="DT260" i="30"/>
  <c r="DU260" i="30"/>
  <c r="DV260" i="30"/>
  <c r="DW260" i="30"/>
  <c r="DX260" i="30"/>
  <c r="DY260" i="30"/>
  <c r="DZ260" i="30"/>
  <c r="EA260" i="30"/>
  <c r="EB260" i="30"/>
  <c r="EC260" i="30"/>
  <c r="ED260" i="30"/>
  <c r="EE260" i="30"/>
  <c r="EF260" i="30"/>
  <c r="EG260" i="30"/>
  <c r="EH260" i="30"/>
  <c r="EI260" i="30"/>
  <c r="EJ260" i="30"/>
  <c r="EK260" i="30"/>
  <c r="EL260" i="30"/>
  <c r="EM260" i="30"/>
  <c r="EN260" i="30"/>
  <c r="EO260" i="30"/>
  <c r="EP260" i="30"/>
  <c r="EQ260" i="30"/>
  <c r="ER260" i="30"/>
  <c r="ES260" i="30"/>
  <c r="ET260" i="30"/>
  <c r="EU260" i="30"/>
  <c r="EV260" i="30"/>
  <c r="EW260" i="30"/>
  <c r="EX260" i="30"/>
  <c r="EY260" i="30"/>
  <c r="EZ260" i="30"/>
  <c r="FA260" i="30"/>
  <c r="FB260" i="30"/>
  <c r="FC260" i="30"/>
  <c r="FD260" i="30"/>
  <c r="FE260" i="30"/>
  <c r="FF260" i="30"/>
  <c r="FG260" i="30"/>
  <c r="FH260" i="30"/>
  <c r="FI260" i="30"/>
  <c r="FJ260" i="30"/>
  <c r="FK260" i="30"/>
  <c r="FL260" i="30"/>
  <c r="FM260" i="30"/>
  <c r="FN260" i="30"/>
  <c r="FO260" i="30"/>
  <c r="FP260" i="30"/>
  <c r="FQ260" i="30"/>
  <c r="FR260" i="30"/>
  <c r="FS260" i="30"/>
  <c r="FT260" i="30"/>
  <c r="FU260" i="30"/>
  <c r="FV260" i="30"/>
  <c r="FW260" i="30"/>
  <c r="FX260" i="30"/>
  <c r="FY260" i="30"/>
  <c r="FZ260" i="30"/>
  <c r="GA260" i="30"/>
  <c r="GB260" i="30"/>
  <c r="GC260" i="30"/>
  <c r="GD260" i="30"/>
  <c r="GE260" i="30"/>
  <c r="GF260" i="30"/>
  <c r="GG260" i="30"/>
  <c r="GH260" i="30"/>
  <c r="GI260" i="30"/>
  <c r="GJ260" i="30"/>
  <c r="GK260" i="30"/>
  <c r="GL260" i="30"/>
  <c r="GM260" i="30"/>
  <c r="GN260" i="30"/>
  <c r="GO260" i="30"/>
  <c r="GP260" i="30"/>
  <c r="GQ260" i="30"/>
  <c r="GR260" i="30"/>
  <c r="GS260" i="30"/>
  <c r="GT260" i="30"/>
  <c r="GU260" i="30"/>
  <c r="GV260" i="30"/>
  <c r="GW260" i="30"/>
  <c r="GX260" i="30"/>
  <c r="GY260" i="30"/>
  <c r="GZ260" i="30"/>
  <c r="HA260" i="30"/>
  <c r="HB260" i="30"/>
  <c r="HC260" i="30"/>
  <c r="HD260" i="30"/>
  <c r="HE260" i="30"/>
  <c r="HF260" i="30"/>
  <c r="HG260" i="30"/>
  <c r="HH260" i="30"/>
  <c r="HI260" i="30"/>
  <c r="HJ260" i="30"/>
  <c r="HK260" i="30"/>
  <c r="HL260" i="30"/>
  <c r="HM260" i="30"/>
  <c r="HN260" i="30"/>
  <c r="HO260" i="30"/>
  <c r="HP260" i="30"/>
  <c r="HQ260" i="30"/>
  <c r="HR260" i="30"/>
  <c r="HS260" i="30"/>
  <c r="HT260" i="30"/>
  <c r="HU260" i="30"/>
  <c r="HV260" i="30"/>
  <c r="HW260" i="30"/>
  <c r="HX260" i="30"/>
  <c r="HY260" i="30"/>
  <c r="HZ260" i="30"/>
  <c r="IA260" i="30"/>
  <c r="IB260" i="30"/>
  <c r="IC260" i="30"/>
  <c r="ID260" i="30"/>
  <c r="IE260" i="30"/>
  <c r="IF260" i="30"/>
  <c r="IG260" i="30"/>
  <c r="IH260" i="30"/>
  <c r="II260" i="30"/>
  <c r="IJ260" i="30"/>
  <c r="IK260" i="30"/>
  <c r="IL260" i="30"/>
  <c r="IM260" i="30"/>
  <c r="IN260" i="30"/>
  <c r="IO260" i="30"/>
  <c r="IP260" i="30"/>
  <c r="IQ260" i="30"/>
  <c r="IR260" i="30"/>
  <c r="IS260" i="30"/>
  <c r="IT260" i="30"/>
  <c r="IU260" i="30"/>
  <c r="IV260" i="30"/>
  <c r="A259" i="30"/>
  <c r="B259" i="30"/>
  <c r="C259" i="30"/>
  <c r="D259" i="30"/>
  <c r="E259" i="30"/>
  <c r="F259" i="30"/>
  <c r="G259" i="30"/>
  <c r="H259" i="30"/>
  <c r="I259" i="30"/>
  <c r="J259" i="30"/>
  <c r="K259" i="30"/>
  <c r="L259" i="30"/>
  <c r="M259" i="30"/>
  <c r="N259" i="30"/>
  <c r="O259" i="30"/>
  <c r="P259" i="30"/>
  <c r="Q259" i="30"/>
  <c r="R259" i="30"/>
  <c r="S259" i="30"/>
  <c r="T259" i="30"/>
  <c r="U259" i="30"/>
  <c r="V259" i="30"/>
  <c r="W259" i="30"/>
  <c r="X259" i="30"/>
  <c r="Y259" i="30"/>
  <c r="Z259" i="30"/>
  <c r="AA259" i="30"/>
  <c r="AB259" i="30"/>
  <c r="AC259" i="30"/>
  <c r="AD259" i="30"/>
  <c r="AE259" i="30"/>
  <c r="AF259" i="30"/>
  <c r="AG259" i="30"/>
  <c r="AH259" i="30"/>
  <c r="AI259" i="30"/>
  <c r="AJ259" i="30"/>
  <c r="AK259" i="30"/>
  <c r="AL259" i="30"/>
  <c r="AM259" i="30"/>
  <c r="AN259" i="30"/>
  <c r="AO259" i="30"/>
  <c r="AP259" i="30"/>
  <c r="AQ259" i="30"/>
  <c r="AR259" i="30"/>
  <c r="AS259" i="30"/>
  <c r="AT259" i="30"/>
  <c r="AU259" i="30"/>
  <c r="AV259" i="30"/>
  <c r="AW259" i="30"/>
  <c r="AX259" i="30"/>
  <c r="AY259" i="30"/>
  <c r="AZ259" i="30"/>
  <c r="BA259" i="30"/>
  <c r="BB259" i="30"/>
  <c r="BC259" i="30"/>
  <c r="BD259" i="30"/>
  <c r="BE259" i="30"/>
  <c r="BF259" i="30"/>
  <c r="BG259" i="30"/>
  <c r="BH259" i="30"/>
  <c r="BI259" i="30"/>
  <c r="BJ259" i="30"/>
  <c r="BK259" i="30"/>
  <c r="BL259" i="30"/>
  <c r="BM259" i="30"/>
  <c r="BN259" i="30"/>
  <c r="BO259" i="30"/>
  <c r="BP259" i="30"/>
  <c r="BQ259" i="30"/>
  <c r="BR259" i="30"/>
  <c r="BS259" i="30"/>
  <c r="BT259" i="30"/>
  <c r="BU259" i="30"/>
  <c r="BV259" i="30"/>
  <c r="BW259" i="30"/>
  <c r="BX259" i="30"/>
  <c r="BY259" i="30"/>
  <c r="BZ259" i="30"/>
  <c r="CA259" i="30"/>
  <c r="CB259" i="30"/>
  <c r="CC259" i="30"/>
  <c r="CD259" i="30"/>
  <c r="CE259" i="30"/>
  <c r="CF259" i="30"/>
  <c r="CG259" i="30"/>
  <c r="CH259" i="30"/>
  <c r="CI259" i="30"/>
  <c r="CJ259" i="30"/>
  <c r="CK259" i="30"/>
  <c r="CL259" i="30"/>
  <c r="CM259" i="30"/>
  <c r="CN259" i="30"/>
  <c r="CO259" i="30"/>
  <c r="CP259" i="30"/>
  <c r="CQ259" i="30"/>
  <c r="CR259" i="30"/>
  <c r="CS259" i="30"/>
  <c r="CT259" i="30"/>
  <c r="CU259" i="30"/>
  <c r="CV259" i="30"/>
  <c r="CW259" i="30"/>
  <c r="CX259" i="30"/>
  <c r="CY259" i="30"/>
  <c r="CZ259" i="30"/>
  <c r="DA259" i="30"/>
  <c r="DB259" i="30"/>
  <c r="DC259" i="30"/>
  <c r="DD259" i="30"/>
  <c r="DE259" i="30"/>
  <c r="DF259" i="30"/>
  <c r="DG259" i="30"/>
  <c r="DH259" i="30"/>
  <c r="DI259" i="30"/>
  <c r="DJ259" i="30"/>
  <c r="DK259" i="30"/>
  <c r="DL259" i="30"/>
  <c r="DM259" i="30"/>
  <c r="DN259" i="30"/>
  <c r="DO259" i="30"/>
  <c r="DP259" i="30"/>
  <c r="DQ259" i="30"/>
  <c r="DR259" i="30"/>
  <c r="DS259" i="30"/>
  <c r="DT259" i="30"/>
  <c r="DU259" i="30"/>
  <c r="DV259" i="30"/>
  <c r="DW259" i="30"/>
  <c r="DX259" i="30"/>
  <c r="DY259" i="30"/>
  <c r="DZ259" i="30"/>
  <c r="EA259" i="30"/>
  <c r="EB259" i="30"/>
  <c r="EC259" i="30"/>
  <c r="ED259" i="30"/>
  <c r="EE259" i="30"/>
  <c r="EF259" i="30"/>
  <c r="EG259" i="30"/>
  <c r="EH259" i="30"/>
  <c r="EI259" i="30"/>
  <c r="EJ259" i="30"/>
  <c r="EK259" i="30"/>
  <c r="EL259" i="30"/>
  <c r="EM259" i="30"/>
  <c r="EN259" i="30"/>
  <c r="EO259" i="30"/>
  <c r="EP259" i="30"/>
  <c r="EQ259" i="30"/>
  <c r="ER259" i="30"/>
  <c r="ES259" i="30"/>
  <c r="ET259" i="30"/>
  <c r="EU259" i="30"/>
  <c r="EV259" i="30"/>
  <c r="EW259" i="30"/>
  <c r="EX259" i="30"/>
  <c r="EY259" i="30"/>
  <c r="EZ259" i="30"/>
  <c r="FA259" i="30"/>
  <c r="FB259" i="30"/>
  <c r="FC259" i="30"/>
  <c r="FD259" i="30"/>
  <c r="FE259" i="30"/>
  <c r="FF259" i="30"/>
  <c r="FG259" i="30"/>
  <c r="FH259" i="30"/>
  <c r="FI259" i="30"/>
  <c r="FJ259" i="30"/>
  <c r="FK259" i="30"/>
  <c r="FL259" i="30"/>
  <c r="FM259" i="30"/>
  <c r="FN259" i="30"/>
  <c r="FO259" i="30"/>
  <c r="FP259" i="30"/>
  <c r="FQ259" i="30"/>
  <c r="FR259" i="30"/>
  <c r="FS259" i="30"/>
  <c r="FT259" i="30"/>
  <c r="FU259" i="30"/>
  <c r="FV259" i="30"/>
  <c r="FW259" i="30"/>
  <c r="FX259" i="30"/>
  <c r="FY259" i="30"/>
  <c r="FZ259" i="30"/>
  <c r="GA259" i="30"/>
  <c r="GB259" i="30"/>
  <c r="GC259" i="30"/>
  <c r="GD259" i="30"/>
  <c r="GE259" i="30"/>
  <c r="GF259" i="30"/>
  <c r="GG259" i="30"/>
  <c r="GH259" i="30"/>
  <c r="GI259" i="30"/>
  <c r="GJ259" i="30"/>
  <c r="GK259" i="30"/>
  <c r="GL259" i="30"/>
  <c r="GM259" i="30"/>
  <c r="GN259" i="30"/>
  <c r="GO259" i="30"/>
  <c r="GP259" i="30"/>
  <c r="GQ259" i="30"/>
  <c r="GR259" i="30"/>
  <c r="GS259" i="30"/>
  <c r="GT259" i="30"/>
  <c r="GU259" i="30"/>
  <c r="GV259" i="30"/>
  <c r="GW259" i="30"/>
  <c r="GX259" i="30"/>
  <c r="GY259" i="30"/>
  <c r="GZ259" i="30"/>
  <c r="HA259" i="30"/>
  <c r="HB259" i="30"/>
  <c r="HC259" i="30"/>
  <c r="HD259" i="30"/>
  <c r="HE259" i="30"/>
  <c r="HF259" i="30"/>
  <c r="HG259" i="30"/>
  <c r="HH259" i="30"/>
  <c r="HI259" i="30"/>
  <c r="HJ259" i="30"/>
  <c r="HK259" i="30"/>
  <c r="HL259" i="30"/>
  <c r="HM259" i="30"/>
  <c r="HN259" i="30"/>
  <c r="HO259" i="30"/>
  <c r="HP259" i="30"/>
  <c r="HQ259" i="30"/>
  <c r="HR259" i="30"/>
  <c r="HS259" i="30"/>
  <c r="HT259" i="30"/>
  <c r="HU259" i="30"/>
  <c r="HV259" i="30"/>
  <c r="HW259" i="30"/>
  <c r="HX259" i="30"/>
  <c r="HY259" i="30"/>
  <c r="HZ259" i="30"/>
  <c r="IA259" i="30"/>
  <c r="IB259" i="30"/>
  <c r="IC259" i="30"/>
  <c r="ID259" i="30"/>
  <c r="IE259" i="30"/>
  <c r="IF259" i="30"/>
  <c r="IG259" i="30"/>
  <c r="IH259" i="30"/>
  <c r="II259" i="30"/>
  <c r="IJ259" i="30"/>
  <c r="IK259" i="30"/>
  <c r="IL259" i="30"/>
  <c r="IM259" i="30"/>
  <c r="IN259" i="30"/>
  <c r="IO259" i="30"/>
  <c r="IP259" i="30"/>
  <c r="IQ259" i="30"/>
  <c r="IR259" i="30"/>
  <c r="IS259" i="30"/>
  <c r="IT259" i="30"/>
  <c r="IU259" i="30"/>
  <c r="IV259" i="30"/>
  <c r="A258" i="30"/>
  <c r="B258" i="30"/>
  <c r="C258" i="30"/>
  <c r="D258" i="30"/>
  <c r="E258" i="30"/>
  <c r="F258" i="30"/>
  <c r="G258" i="30"/>
  <c r="H258" i="30"/>
  <c r="I258" i="30"/>
  <c r="J258" i="30"/>
  <c r="K258" i="30"/>
  <c r="L258" i="30"/>
  <c r="M258" i="30"/>
  <c r="N258" i="30"/>
  <c r="O258" i="30"/>
  <c r="P258" i="30"/>
  <c r="Q258" i="30"/>
  <c r="R258" i="30"/>
  <c r="S258" i="30"/>
  <c r="T258" i="30"/>
  <c r="U258" i="30"/>
  <c r="V258" i="30"/>
  <c r="W258" i="30"/>
  <c r="X258" i="30"/>
  <c r="Y258" i="30"/>
  <c r="Z258" i="30"/>
  <c r="AA258" i="30"/>
  <c r="AB258" i="30"/>
  <c r="AC258" i="30"/>
  <c r="AD258" i="30"/>
  <c r="AE258" i="30"/>
  <c r="AF258" i="30"/>
  <c r="AG258" i="30"/>
  <c r="AH258" i="30"/>
  <c r="AI258" i="30"/>
  <c r="AJ258" i="30"/>
  <c r="AK258" i="30"/>
  <c r="AL258" i="30"/>
  <c r="AM258" i="30"/>
  <c r="AN258" i="30"/>
  <c r="AO258" i="30"/>
  <c r="AP258" i="30"/>
  <c r="AQ258" i="30"/>
  <c r="AR258" i="30"/>
  <c r="AS258" i="30"/>
  <c r="AT258" i="30"/>
  <c r="AU258" i="30"/>
  <c r="AV258" i="30"/>
  <c r="AW258" i="30"/>
  <c r="AX258" i="30"/>
  <c r="AY258" i="30"/>
  <c r="AZ258" i="30"/>
  <c r="BA258" i="30"/>
  <c r="BB258" i="30"/>
  <c r="BC258" i="30"/>
  <c r="BD258" i="30"/>
  <c r="BE258" i="30"/>
  <c r="BF258" i="30"/>
  <c r="BG258" i="30"/>
  <c r="BH258" i="30"/>
  <c r="BI258" i="30"/>
  <c r="BJ258" i="30"/>
  <c r="BK258" i="30"/>
  <c r="BL258" i="30"/>
  <c r="BM258" i="30"/>
  <c r="BN258" i="30"/>
  <c r="BO258" i="30"/>
  <c r="BP258" i="30"/>
  <c r="BQ258" i="30"/>
  <c r="BR258" i="30"/>
  <c r="BS258" i="30"/>
  <c r="BT258" i="30"/>
  <c r="BU258" i="30"/>
  <c r="BV258" i="30"/>
  <c r="BW258" i="30"/>
  <c r="BX258" i="30"/>
  <c r="BY258" i="30"/>
  <c r="BZ258" i="30"/>
  <c r="CA258" i="30"/>
  <c r="CB258" i="30"/>
  <c r="CC258" i="30"/>
  <c r="CD258" i="30"/>
  <c r="CE258" i="30"/>
  <c r="CF258" i="30"/>
  <c r="CG258" i="30"/>
  <c r="CH258" i="30"/>
  <c r="CI258" i="30"/>
  <c r="CJ258" i="30"/>
  <c r="CK258" i="30"/>
  <c r="CL258" i="30"/>
  <c r="CM258" i="30"/>
  <c r="CN258" i="30"/>
  <c r="CO258" i="30"/>
  <c r="CP258" i="30"/>
  <c r="CQ258" i="30"/>
  <c r="CR258" i="30"/>
  <c r="CS258" i="30"/>
  <c r="CT258" i="30"/>
  <c r="CU258" i="30"/>
  <c r="CV258" i="30"/>
  <c r="CW258" i="30"/>
  <c r="CX258" i="30"/>
  <c r="CY258" i="30"/>
  <c r="CZ258" i="30"/>
  <c r="DA258" i="30"/>
  <c r="DB258" i="30"/>
  <c r="DC258" i="30"/>
  <c r="DD258" i="30"/>
  <c r="DE258" i="30"/>
  <c r="DF258" i="30"/>
  <c r="DG258" i="30"/>
  <c r="DH258" i="30"/>
  <c r="DI258" i="30"/>
  <c r="DJ258" i="30"/>
  <c r="DK258" i="30"/>
  <c r="DL258" i="30"/>
  <c r="DM258" i="30"/>
  <c r="DN258" i="30"/>
  <c r="DO258" i="30"/>
  <c r="DP258" i="30"/>
  <c r="DQ258" i="30"/>
  <c r="DR258" i="30"/>
  <c r="DS258" i="30"/>
  <c r="DT258" i="30"/>
  <c r="DU258" i="30"/>
  <c r="DV258" i="30"/>
  <c r="DW258" i="30"/>
  <c r="DX258" i="30"/>
  <c r="DY258" i="30"/>
  <c r="DZ258" i="30"/>
  <c r="EA258" i="30"/>
  <c r="EB258" i="30"/>
  <c r="EC258" i="30"/>
  <c r="ED258" i="30"/>
  <c r="EE258" i="30"/>
  <c r="EF258" i="30"/>
  <c r="EG258" i="30"/>
  <c r="EH258" i="30"/>
  <c r="EI258" i="30"/>
  <c r="EJ258" i="30"/>
  <c r="EK258" i="30"/>
  <c r="EL258" i="30"/>
  <c r="EM258" i="30"/>
  <c r="EN258" i="30"/>
  <c r="EO258" i="30"/>
  <c r="EP258" i="30"/>
  <c r="EQ258" i="30"/>
  <c r="ER258" i="30"/>
  <c r="ES258" i="30"/>
  <c r="ET258" i="30"/>
  <c r="EU258" i="30"/>
  <c r="EV258" i="30"/>
  <c r="EW258" i="30"/>
  <c r="EX258" i="30"/>
  <c r="EY258" i="30"/>
  <c r="EZ258" i="30"/>
  <c r="FA258" i="30"/>
  <c r="FB258" i="30"/>
  <c r="FC258" i="30"/>
  <c r="FD258" i="30"/>
  <c r="FE258" i="30"/>
  <c r="FF258" i="30"/>
  <c r="FG258" i="30"/>
  <c r="FH258" i="30"/>
  <c r="FI258" i="30"/>
  <c r="FJ258" i="30"/>
  <c r="FK258" i="30"/>
  <c r="FL258" i="30"/>
  <c r="FM258" i="30"/>
  <c r="FN258" i="30"/>
  <c r="FO258" i="30"/>
  <c r="FP258" i="30"/>
  <c r="FQ258" i="30"/>
  <c r="FR258" i="30"/>
  <c r="FS258" i="30"/>
  <c r="FT258" i="30"/>
  <c r="FU258" i="30"/>
  <c r="FV258" i="30"/>
  <c r="FW258" i="30"/>
  <c r="FX258" i="30"/>
  <c r="FY258" i="30"/>
  <c r="FZ258" i="30"/>
  <c r="GA258" i="30"/>
  <c r="GB258" i="30"/>
  <c r="GC258" i="30"/>
  <c r="GD258" i="30"/>
  <c r="GE258" i="30"/>
  <c r="GF258" i="30"/>
  <c r="GG258" i="30"/>
  <c r="GH258" i="30"/>
  <c r="GI258" i="30"/>
  <c r="GJ258" i="30"/>
  <c r="GK258" i="30"/>
  <c r="GL258" i="30"/>
  <c r="GM258" i="30"/>
  <c r="GN258" i="30"/>
  <c r="GO258" i="30"/>
  <c r="GP258" i="30"/>
  <c r="GQ258" i="30"/>
  <c r="GR258" i="30"/>
  <c r="GS258" i="30"/>
  <c r="GT258" i="30"/>
  <c r="GU258" i="30"/>
  <c r="GV258" i="30"/>
  <c r="GW258" i="30"/>
  <c r="GX258" i="30"/>
  <c r="GY258" i="30"/>
  <c r="GZ258" i="30"/>
  <c r="HA258" i="30"/>
  <c r="HB258" i="30"/>
  <c r="HC258" i="30"/>
  <c r="HD258" i="30"/>
  <c r="HE258" i="30"/>
  <c r="HF258" i="30"/>
  <c r="HG258" i="30"/>
  <c r="HH258" i="30"/>
  <c r="HI258" i="30"/>
  <c r="HJ258" i="30"/>
  <c r="HK258" i="30"/>
  <c r="HL258" i="30"/>
  <c r="HM258" i="30"/>
  <c r="HN258" i="30"/>
  <c r="HO258" i="30"/>
  <c r="HP258" i="30"/>
  <c r="HQ258" i="30"/>
  <c r="HR258" i="30"/>
  <c r="HS258" i="30"/>
  <c r="HT258" i="30"/>
  <c r="HU258" i="30"/>
  <c r="HV258" i="30"/>
  <c r="HW258" i="30"/>
  <c r="HX258" i="30"/>
  <c r="HY258" i="30"/>
  <c r="HZ258" i="30"/>
  <c r="IA258" i="30"/>
  <c r="IB258" i="30"/>
  <c r="IC258" i="30"/>
  <c r="ID258" i="30"/>
  <c r="IE258" i="30"/>
  <c r="IF258" i="30"/>
  <c r="IG258" i="30"/>
  <c r="IH258" i="30"/>
  <c r="II258" i="30"/>
  <c r="IJ258" i="30"/>
  <c r="IK258" i="30"/>
  <c r="IL258" i="30"/>
  <c r="IM258" i="30"/>
  <c r="IN258" i="30"/>
  <c r="IO258" i="30"/>
  <c r="IP258" i="30"/>
  <c r="IQ258" i="30"/>
  <c r="IR258" i="30"/>
  <c r="IS258" i="30"/>
  <c r="IT258" i="30"/>
  <c r="IU258" i="30"/>
  <c r="IV258" i="30"/>
  <c r="A257" i="30"/>
  <c r="B257" i="30"/>
  <c r="C257" i="30"/>
  <c r="D257" i="30"/>
  <c r="E257" i="30"/>
  <c r="F257" i="30"/>
  <c r="G257" i="30"/>
  <c r="H257" i="30"/>
  <c r="I257" i="30"/>
  <c r="J257" i="30"/>
  <c r="K257" i="30"/>
  <c r="L257" i="30"/>
  <c r="M257" i="30"/>
  <c r="N257" i="30"/>
  <c r="O257" i="30"/>
  <c r="P257" i="30"/>
  <c r="Q257" i="30"/>
  <c r="R257" i="30"/>
  <c r="S257" i="30"/>
  <c r="T257" i="30"/>
  <c r="U257" i="30"/>
  <c r="V257" i="30"/>
  <c r="W257" i="30"/>
  <c r="X257" i="30"/>
  <c r="Y257" i="30"/>
  <c r="Z257" i="30"/>
  <c r="AA257" i="30"/>
  <c r="AB257" i="30"/>
  <c r="AC257" i="30"/>
  <c r="AD257" i="30"/>
  <c r="AE257" i="30"/>
  <c r="AF257" i="30"/>
  <c r="AG257" i="30"/>
  <c r="AH257" i="30"/>
  <c r="AI257" i="30"/>
  <c r="AJ257" i="30"/>
  <c r="AK257" i="30"/>
  <c r="AL257" i="30"/>
  <c r="AM257" i="30"/>
  <c r="AN257" i="30"/>
  <c r="AO257" i="30"/>
  <c r="AP257" i="30"/>
  <c r="AQ257" i="30"/>
  <c r="AR257" i="30"/>
  <c r="AS257" i="30"/>
  <c r="AT257" i="30"/>
  <c r="AU257" i="30"/>
  <c r="AV257" i="30"/>
  <c r="AW257" i="30"/>
  <c r="AX257" i="30"/>
  <c r="AY257" i="30"/>
  <c r="AZ257" i="30"/>
  <c r="BA257" i="30"/>
  <c r="BB257" i="30"/>
  <c r="BC257" i="30"/>
  <c r="BD257" i="30"/>
  <c r="BE257" i="30"/>
  <c r="BF257" i="30"/>
  <c r="BG257" i="30"/>
  <c r="BH257" i="30"/>
  <c r="BI257" i="30"/>
  <c r="BJ257" i="30"/>
  <c r="BK257" i="30"/>
  <c r="BL257" i="30"/>
  <c r="BM257" i="30"/>
  <c r="BN257" i="30"/>
  <c r="BO257" i="30"/>
  <c r="BP257" i="30"/>
  <c r="BQ257" i="30"/>
  <c r="BR257" i="30"/>
  <c r="BS257" i="30"/>
  <c r="BT257" i="30"/>
  <c r="BU257" i="30"/>
  <c r="BV257" i="30"/>
  <c r="BW257" i="30"/>
  <c r="BX257" i="30"/>
  <c r="BY257" i="30"/>
  <c r="BZ257" i="30"/>
  <c r="CA257" i="30"/>
  <c r="CB257" i="30"/>
  <c r="CC257" i="30"/>
  <c r="CD257" i="30"/>
  <c r="CE257" i="30"/>
  <c r="CF257" i="30"/>
  <c r="CG257" i="30"/>
  <c r="CH257" i="30"/>
  <c r="CI257" i="30"/>
  <c r="CJ257" i="30"/>
  <c r="CK257" i="30"/>
  <c r="CL257" i="30"/>
  <c r="CM257" i="30"/>
  <c r="CN257" i="30"/>
  <c r="CO257" i="30"/>
  <c r="CP257" i="30"/>
  <c r="CQ257" i="30"/>
  <c r="CR257" i="30"/>
  <c r="CS257" i="30"/>
  <c r="CT257" i="30"/>
  <c r="CU257" i="30"/>
  <c r="CV257" i="30"/>
  <c r="CW257" i="30"/>
  <c r="CX257" i="30"/>
  <c r="CY257" i="30"/>
  <c r="CZ257" i="30"/>
  <c r="DA257" i="30"/>
  <c r="DB257" i="30"/>
  <c r="DC257" i="30"/>
  <c r="DD257" i="30"/>
  <c r="DE257" i="30"/>
  <c r="DF257" i="30"/>
  <c r="DG257" i="30"/>
  <c r="DH257" i="30"/>
  <c r="DI257" i="30"/>
  <c r="DJ257" i="30"/>
  <c r="DK257" i="30"/>
  <c r="DL257" i="30"/>
  <c r="DM257" i="30"/>
  <c r="DN257" i="30"/>
  <c r="DO257" i="30"/>
  <c r="DP257" i="30"/>
  <c r="DQ257" i="30"/>
  <c r="DR257" i="30"/>
  <c r="DS257" i="30"/>
  <c r="DT257" i="30"/>
  <c r="DU257" i="30"/>
  <c r="DV257" i="30"/>
  <c r="DW257" i="30"/>
  <c r="DX257" i="30"/>
  <c r="DY257" i="30"/>
  <c r="DZ257" i="30"/>
  <c r="EA257" i="30"/>
  <c r="EB257" i="30"/>
  <c r="EC257" i="30"/>
  <c r="ED257" i="30"/>
  <c r="EE257" i="30"/>
  <c r="EF257" i="30"/>
  <c r="EG257" i="30"/>
  <c r="EH257" i="30"/>
  <c r="EI257" i="30"/>
  <c r="EJ257" i="30"/>
  <c r="EK257" i="30"/>
  <c r="EL257" i="30"/>
  <c r="EM257" i="30"/>
  <c r="EN257" i="30"/>
  <c r="EO257" i="30"/>
  <c r="EP257" i="30"/>
  <c r="EQ257" i="30"/>
  <c r="ER257" i="30"/>
  <c r="ES257" i="30"/>
  <c r="ET257" i="30"/>
  <c r="EU257" i="30"/>
  <c r="EV257" i="30"/>
  <c r="EW257" i="30"/>
  <c r="EX257" i="30"/>
  <c r="EY257" i="30"/>
  <c r="EZ257" i="30"/>
  <c r="FA257" i="30"/>
  <c r="FB257" i="30"/>
  <c r="FC257" i="30"/>
  <c r="FD257" i="30"/>
  <c r="FE257" i="30"/>
  <c r="FF257" i="30"/>
  <c r="FG257" i="30"/>
  <c r="FH257" i="30"/>
  <c r="FI257" i="30"/>
  <c r="FJ257" i="30"/>
  <c r="FK257" i="30"/>
  <c r="FL257" i="30"/>
  <c r="FM257" i="30"/>
  <c r="FN257" i="30"/>
  <c r="FO257" i="30"/>
  <c r="FP257" i="30"/>
  <c r="FQ257" i="30"/>
  <c r="FR257" i="30"/>
  <c r="FS257" i="30"/>
  <c r="FT257" i="30"/>
  <c r="FU257" i="30"/>
  <c r="FV257" i="30"/>
  <c r="FW257" i="30"/>
  <c r="FX257" i="30"/>
  <c r="FY257" i="30"/>
  <c r="FZ257" i="30"/>
  <c r="GA257" i="30"/>
  <c r="GB257" i="30"/>
  <c r="GC257" i="30"/>
  <c r="GD257" i="30"/>
  <c r="GE257" i="30"/>
  <c r="GF257" i="30"/>
  <c r="GG257" i="30"/>
  <c r="GH257" i="30"/>
  <c r="GI257" i="30"/>
  <c r="GJ257" i="30"/>
  <c r="GK257" i="30"/>
  <c r="GL257" i="30"/>
  <c r="GM257" i="30"/>
  <c r="GN257" i="30"/>
  <c r="GO257" i="30"/>
  <c r="GP257" i="30"/>
  <c r="GQ257" i="30"/>
  <c r="GR257" i="30"/>
  <c r="GS257" i="30"/>
  <c r="GT257" i="30"/>
  <c r="GU257" i="30"/>
  <c r="GV257" i="30"/>
  <c r="GW257" i="30"/>
  <c r="GX257" i="30"/>
  <c r="GY257" i="30"/>
  <c r="GZ257" i="30"/>
  <c r="HA257" i="30"/>
  <c r="HB257" i="30"/>
  <c r="HC257" i="30"/>
  <c r="HD257" i="30"/>
  <c r="HE257" i="30"/>
  <c r="HF257" i="30"/>
  <c r="HG257" i="30"/>
  <c r="HH257" i="30"/>
  <c r="HI257" i="30"/>
  <c r="HJ257" i="30"/>
  <c r="HK257" i="30"/>
  <c r="HL257" i="30"/>
  <c r="HM257" i="30"/>
  <c r="HN257" i="30"/>
  <c r="HO257" i="30"/>
  <c r="HP257" i="30"/>
  <c r="HQ257" i="30"/>
  <c r="HR257" i="30"/>
  <c r="HS257" i="30"/>
  <c r="HT257" i="30"/>
  <c r="HU257" i="30"/>
  <c r="HV257" i="30"/>
  <c r="HW257" i="30"/>
  <c r="HX257" i="30"/>
  <c r="HY257" i="30"/>
  <c r="HZ257" i="30"/>
  <c r="IA257" i="30"/>
  <c r="IB257" i="30"/>
  <c r="IC257" i="30"/>
  <c r="ID257" i="30"/>
  <c r="IE257" i="30"/>
  <c r="IF257" i="30"/>
  <c r="IG257" i="30"/>
  <c r="IH257" i="30"/>
  <c r="II257" i="30"/>
  <c r="IJ257" i="30"/>
  <c r="IK257" i="30"/>
  <c r="IL257" i="30"/>
  <c r="IM257" i="30"/>
  <c r="IN257" i="30"/>
  <c r="IO257" i="30"/>
  <c r="IP257" i="30"/>
  <c r="IQ257" i="30"/>
  <c r="IR257" i="30"/>
  <c r="IS257" i="30"/>
  <c r="IT257" i="30"/>
  <c r="IU257" i="30"/>
  <c r="IV257" i="30"/>
  <c r="A256" i="30"/>
  <c r="B256" i="30"/>
  <c r="C256" i="30"/>
  <c r="D256" i="30"/>
  <c r="E256" i="30"/>
  <c r="F256" i="30"/>
  <c r="G256" i="30"/>
  <c r="H256" i="30"/>
  <c r="I256" i="30"/>
  <c r="J256" i="30"/>
  <c r="K256" i="30"/>
  <c r="L256" i="30"/>
  <c r="M256" i="30"/>
  <c r="N256" i="30"/>
  <c r="O256" i="30"/>
  <c r="P256" i="30"/>
  <c r="Q256" i="30"/>
  <c r="R256" i="30"/>
  <c r="S256" i="30"/>
  <c r="T256" i="30"/>
  <c r="U256" i="30"/>
  <c r="V256" i="30"/>
  <c r="W256" i="30"/>
  <c r="X256" i="30"/>
  <c r="Y256" i="30"/>
  <c r="Z256" i="30"/>
  <c r="AA256" i="30"/>
  <c r="AB256" i="30"/>
  <c r="AC256" i="30"/>
  <c r="AD256" i="30"/>
  <c r="AE256" i="30"/>
  <c r="AF256" i="30"/>
  <c r="AG256" i="30"/>
  <c r="AH256" i="30"/>
  <c r="AI256" i="30"/>
  <c r="AJ256" i="30"/>
  <c r="AK256" i="30"/>
  <c r="AL256" i="30"/>
  <c r="AM256" i="30"/>
  <c r="AN256" i="30"/>
  <c r="AO256" i="30"/>
  <c r="AP256" i="30"/>
  <c r="AQ256" i="30"/>
  <c r="AR256" i="30"/>
  <c r="AS256" i="30"/>
  <c r="AT256" i="30"/>
  <c r="AU256" i="30"/>
  <c r="AV256" i="30"/>
  <c r="AW256" i="30"/>
  <c r="AX256" i="30"/>
  <c r="AY256" i="30"/>
  <c r="AZ256" i="30"/>
  <c r="BA256" i="30"/>
  <c r="BB256" i="30"/>
  <c r="BC256" i="30"/>
  <c r="BD256" i="30"/>
  <c r="BE256" i="30"/>
  <c r="BF256" i="30"/>
  <c r="BG256" i="30"/>
  <c r="BH256" i="30"/>
  <c r="BI256" i="30"/>
  <c r="BJ256" i="30"/>
  <c r="BK256" i="30"/>
  <c r="BL256" i="30"/>
  <c r="BM256" i="30"/>
  <c r="BN256" i="30"/>
  <c r="BO256" i="30"/>
  <c r="BP256" i="30"/>
  <c r="BQ256" i="30"/>
  <c r="BR256" i="30"/>
  <c r="BS256" i="30"/>
  <c r="BT256" i="30"/>
  <c r="BU256" i="30"/>
  <c r="BV256" i="30"/>
  <c r="BW256" i="30"/>
  <c r="BX256" i="30"/>
  <c r="BY256" i="30"/>
  <c r="BZ256" i="30"/>
  <c r="CA256" i="30"/>
  <c r="CB256" i="30"/>
  <c r="CC256" i="30"/>
  <c r="CD256" i="30"/>
  <c r="CE256" i="30"/>
  <c r="CF256" i="30"/>
  <c r="CG256" i="30"/>
  <c r="CH256" i="30"/>
  <c r="CI256" i="30"/>
  <c r="CJ256" i="30"/>
  <c r="CK256" i="30"/>
  <c r="CL256" i="30"/>
  <c r="CM256" i="30"/>
  <c r="CN256" i="30"/>
  <c r="CO256" i="30"/>
  <c r="CP256" i="30"/>
  <c r="CQ256" i="30"/>
  <c r="CR256" i="30"/>
  <c r="CS256" i="30"/>
  <c r="CT256" i="30"/>
  <c r="CU256" i="30"/>
  <c r="CV256" i="30"/>
  <c r="CW256" i="30"/>
  <c r="CX256" i="30"/>
  <c r="CY256" i="30"/>
  <c r="CZ256" i="30"/>
  <c r="DA256" i="30"/>
  <c r="DB256" i="30"/>
  <c r="DC256" i="30"/>
  <c r="DD256" i="30"/>
  <c r="DE256" i="30"/>
  <c r="DF256" i="30"/>
  <c r="DG256" i="30"/>
  <c r="DH256" i="30"/>
  <c r="DI256" i="30"/>
  <c r="DJ256" i="30"/>
  <c r="DK256" i="30"/>
  <c r="DL256" i="30"/>
  <c r="DM256" i="30"/>
  <c r="DN256" i="30"/>
  <c r="DO256" i="30"/>
  <c r="DP256" i="30"/>
  <c r="DQ256" i="30"/>
  <c r="DR256" i="30"/>
  <c r="DS256" i="30"/>
  <c r="DT256" i="30"/>
  <c r="DU256" i="30"/>
  <c r="DV256" i="30"/>
  <c r="DW256" i="30"/>
  <c r="DX256" i="30"/>
  <c r="DY256" i="30"/>
  <c r="DZ256" i="30"/>
  <c r="EA256" i="30"/>
  <c r="EB256" i="30"/>
  <c r="EC256" i="30"/>
  <c r="ED256" i="30"/>
  <c r="EE256" i="30"/>
  <c r="EF256" i="30"/>
  <c r="EG256" i="30"/>
  <c r="EH256" i="30"/>
  <c r="EI256" i="30"/>
  <c r="EJ256" i="30"/>
  <c r="EK256" i="30"/>
  <c r="EL256" i="30"/>
  <c r="EM256" i="30"/>
  <c r="EN256" i="30"/>
  <c r="EO256" i="30"/>
  <c r="EP256" i="30"/>
  <c r="EQ256" i="30"/>
  <c r="ER256" i="30"/>
  <c r="ES256" i="30"/>
  <c r="ET256" i="30"/>
  <c r="EU256" i="30"/>
  <c r="EV256" i="30"/>
  <c r="EW256" i="30"/>
  <c r="EX256" i="30"/>
  <c r="EY256" i="30"/>
  <c r="EZ256" i="30"/>
  <c r="FA256" i="30"/>
  <c r="FB256" i="30"/>
  <c r="FC256" i="30"/>
  <c r="FD256" i="30"/>
  <c r="FE256" i="30"/>
  <c r="FF256" i="30"/>
  <c r="FG256" i="30"/>
  <c r="FH256" i="30"/>
  <c r="FI256" i="30"/>
  <c r="FJ256" i="30"/>
  <c r="FK256" i="30"/>
  <c r="FL256" i="30"/>
  <c r="FM256" i="30"/>
  <c r="FN256" i="30"/>
  <c r="FO256" i="30"/>
  <c r="FP256" i="30"/>
  <c r="FQ256" i="30"/>
  <c r="FR256" i="30"/>
  <c r="FS256" i="30"/>
  <c r="FT256" i="30"/>
  <c r="FU256" i="30"/>
  <c r="FV256" i="30"/>
  <c r="FW256" i="30"/>
  <c r="FX256" i="30"/>
  <c r="FY256" i="30"/>
  <c r="FZ256" i="30"/>
  <c r="GA256" i="30"/>
  <c r="GB256" i="30"/>
  <c r="GC256" i="30"/>
  <c r="GD256" i="30"/>
  <c r="GE256" i="30"/>
  <c r="GF256" i="30"/>
  <c r="GG256" i="30"/>
  <c r="GH256" i="30"/>
  <c r="GI256" i="30"/>
  <c r="GJ256" i="30"/>
  <c r="GK256" i="30"/>
  <c r="GL256" i="30"/>
  <c r="GM256" i="30"/>
  <c r="GN256" i="30"/>
  <c r="GO256" i="30"/>
  <c r="GP256" i="30"/>
  <c r="GQ256" i="30"/>
  <c r="GR256" i="30"/>
  <c r="GS256" i="30"/>
  <c r="GT256" i="30"/>
  <c r="GU256" i="30"/>
  <c r="GV256" i="30"/>
  <c r="GW256" i="30"/>
  <c r="GX256" i="30"/>
  <c r="GY256" i="30"/>
  <c r="GZ256" i="30"/>
  <c r="HA256" i="30"/>
  <c r="HB256" i="30"/>
  <c r="HC256" i="30"/>
  <c r="HD256" i="30"/>
  <c r="HE256" i="30"/>
  <c r="HF256" i="30"/>
  <c r="HG256" i="30"/>
  <c r="HH256" i="30"/>
  <c r="HI256" i="30"/>
  <c r="HJ256" i="30"/>
  <c r="HK256" i="30"/>
  <c r="HL256" i="30"/>
  <c r="HM256" i="30"/>
  <c r="HN256" i="30"/>
  <c r="HO256" i="30"/>
  <c r="HP256" i="30"/>
  <c r="HQ256" i="30"/>
  <c r="HR256" i="30"/>
  <c r="HS256" i="30"/>
  <c r="HT256" i="30"/>
  <c r="HU256" i="30"/>
  <c r="HV256" i="30"/>
  <c r="HW256" i="30"/>
  <c r="HX256" i="30"/>
  <c r="HY256" i="30"/>
  <c r="HZ256" i="30"/>
  <c r="IA256" i="30"/>
  <c r="IB256" i="30"/>
  <c r="IC256" i="30"/>
  <c r="ID256" i="30"/>
  <c r="IE256" i="30"/>
  <c r="IF256" i="30"/>
  <c r="IG256" i="30"/>
  <c r="IH256" i="30"/>
  <c r="II256" i="30"/>
  <c r="IJ256" i="30"/>
  <c r="IK256" i="30"/>
  <c r="IL256" i="30"/>
  <c r="IM256" i="30"/>
  <c r="IN256" i="30"/>
  <c r="IO256" i="30"/>
  <c r="IP256" i="30"/>
  <c r="IQ256" i="30"/>
  <c r="IR256" i="30"/>
  <c r="IS256" i="30"/>
  <c r="IT256" i="30"/>
  <c r="IU256" i="30"/>
  <c r="IV256" i="30"/>
  <c r="A255" i="30"/>
  <c r="B255" i="30"/>
  <c r="C255" i="30"/>
  <c r="D255" i="30"/>
  <c r="E255" i="30"/>
  <c r="F255" i="30"/>
  <c r="G255" i="30"/>
  <c r="H255" i="30"/>
  <c r="I255" i="30"/>
  <c r="J255" i="30"/>
  <c r="K255" i="30"/>
  <c r="L255" i="30"/>
  <c r="M255" i="30"/>
  <c r="N255" i="30"/>
  <c r="O255" i="30"/>
  <c r="P255" i="30"/>
  <c r="Q255" i="30"/>
  <c r="R255" i="30"/>
  <c r="S255" i="30"/>
  <c r="T255" i="30"/>
  <c r="U255" i="30"/>
  <c r="V255" i="30"/>
  <c r="W255" i="30"/>
  <c r="X255" i="30"/>
  <c r="Y255" i="30"/>
  <c r="Z255" i="30"/>
  <c r="AA255" i="30"/>
  <c r="AB255" i="30"/>
  <c r="AC255" i="30"/>
  <c r="AD255" i="30"/>
  <c r="AE255" i="30"/>
  <c r="AF255" i="30"/>
  <c r="AG255" i="30"/>
  <c r="AH255" i="30"/>
  <c r="AI255" i="30"/>
  <c r="AJ255" i="30"/>
  <c r="AK255" i="30"/>
  <c r="AL255" i="30"/>
  <c r="AM255" i="30"/>
  <c r="AN255" i="30"/>
  <c r="AO255" i="30"/>
  <c r="AP255" i="30"/>
  <c r="AQ255" i="30"/>
  <c r="AR255" i="30"/>
  <c r="AS255" i="30"/>
  <c r="AT255" i="30"/>
  <c r="AU255" i="30"/>
  <c r="AV255" i="30"/>
  <c r="AW255" i="30"/>
  <c r="AX255" i="30"/>
  <c r="AY255" i="30"/>
  <c r="AZ255" i="30"/>
  <c r="BA255" i="30"/>
  <c r="BB255" i="30"/>
  <c r="BC255" i="30"/>
  <c r="BD255" i="30"/>
  <c r="BE255" i="30"/>
  <c r="BF255" i="30"/>
  <c r="BG255" i="30"/>
  <c r="BH255" i="30"/>
  <c r="BI255" i="30"/>
  <c r="BJ255" i="30"/>
  <c r="BK255" i="30"/>
  <c r="BL255" i="30"/>
  <c r="BM255" i="30"/>
  <c r="BN255" i="30"/>
  <c r="BO255" i="30"/>
  <c r="BP255" i="30"/>
  <c r="BQ255" i="30"/>
  <c r="BR255" i="30"/>
  <c r="BS255" i="30"/>
  <c r="BT255" i="30"/>
  <c r="BU255" i="30"/>
  <c r="BV255" i="30"/>
  <c r="BW255" i="30"/>
  <c r="BX255" i="30"/>
  <c r="BY255" i="30"/>
  <c r="BZ255" i="30"/>
  <c r="CA255" i="30"/>
  <c r="CB255" i="30"/>
  <c r="CC255" i="30"/>
  <c r="CD255" i="30"/>
  <c r="CE255" i="30"/>
  <c r="CF255" i="30"/>
  <c r="CG255" i="30"/>
  <c r="CH255" i="30"/>
  <c r="CI255" i="30"/>
  <c r="CJ255" i="30"/>
  <c r="CK255" i="30"/>
  <c r="CL255" i="30"/>
  <c r="CM255" i="30"/>
  <c r="CN255" i="30"/>
  <c r="CO255" i="30"/>
  <c r="CP255" i="30"/>
  <c r="CQ255" i="30"/>
  <c r="CR255" i="30"/>
  <c r="CS255" i="30"/>
  <c r="CT255" i="30"/>
  <c r="CU255" i="30"/>
  <c r="CV255" i="30"/>
  <c r="CW255" i="30"/>
  <c r="CX255" i="30"/>
  <c r="CY255" i="30"/>
  <c r="CZ255" i="30"/>
  <c r="DA255" i="30"/>
  <c r="DB255" i="30"/>
  <c r="DC255" i="30"/>
  <c r="DD255" i="30"/>
  <c r="DE255" i="30"/>
  <c r="DF255" i="30"/>
  <c r="DG255" i="30"/>
  <c r="DH255" i="30"/>
  <c r="DI255" i="30"/>
  <c r="DJ255" i="30"/>
  <c r="DK255" i="30"/>
  <c r="DL255" i="30"/>
  <c r="DM255" i="30"/>
  <c r="DN255" i="30"/>
  <c r="DO255" i="30"/>
  <c r="DP255" i="30"/>
  <c r="DQ255" i="30"/>
  <c r="DR255" i="30"/>
  <c r="DS255" i="30"/>
  <c r="DT255" i="30"/>
  <c r="DU255" i="30"/>
  <c r="DV255" i="30"/>
  <c r="DW255" i="30"/>
  <c r="DX255" i="30"/>
  <c r="DY255" i="30"/>
  <c r="DZ255" i="30"/>
  <c r="EA255" i="30"/>
  <c r="EB255" i="30"/>
  <c r="EC255" i="30"/>
  <c r="ED255" i="30"/>
  <c r="EE255" i="30"/>
  <c r="EF255" i="30"/>
  <c r="EG255" i="30"/>
  <c r="EH255" i="30"/>
  <c r="EI255" i="30"/>
  <c r="EJ255" i="30"/>
  <c r="EK255" i="30"/>
  <c r="EL255" i="30"/>
  <c r="EM255" i="30"/>
  <c r="EN255" i="30"/>
  <c r="EO255" i="30"/>
  <c r="EP255" i="30"/>
  <c r="EQ255" i="30"/>
  <c r="ER255" i="30"/>
  <c r="ES255" i="30"/>
  <c r="ET255" i="30"/>
  <c r="EU255" i="30"/>
  <c r="EV255" i="30"/>
  <c r="EW255" i="30"/>
  <c r="EX255" i="30"/>
  <c r="EY255" i="30"/>
  <c r="EZ255" i="30"/>
  <c r="FA255" i="30"/>
  <c r="FB255" i="30"/>
  <c r="FC255" i="30"/>
  <c r="FD255" i="30"/>
  <c r="FE255" i="30"/>
  <c r="FF255" i="30"/>
  <c r="FG255" i="30"/>
  <c r="FH255" i="30"/>
  <c r="FI255" i="30"/>
  <c r="FJ255" i="30"/>
  <c r="FK255" i="30"/>
  <c r="FL255" i="30"/>
  <c r="FM255" i="30"/>
  <c r="FN255" i="30"/>
  <c r="FO255" i="30"/>
  <c r="FP255" i="30"/>
  <c r="FQ255" i="30"/>
  <c r="FR255" i="30"/>
  <c r="FS255" i="30"/>
  <c r="FT255" i="30"/>
  <c r="FU255" i="30"/>
  <c r="FV255" i="30"/>
  <c r="FW255" i="30"/>
  <c r="FX255" i="30"/>
  <c r="FY255" i="30"/>
  <c r="FZ255" i="30"/>
  <c r="GA255" i="30"/>
  <c r="GB255" i="30"/>
  <c r="GC255" i="30"/>
  <c r="GD255" i="30"/>
  <c r="GE255" i="30"/>
  <c r="GF255" i="30"/>
  <c r="GG255" i="30"/>
  <c r="GH255" i="30"/>
  <c r="GI255" i="30"/>
  <c r="GJ255" i="30"/>
  <c r="GK255" i="30"/>
  <c r="GL255" i="30"/>
  <c r="GM255" i="30"/>
  <c r="GN255" i="30"/>
  <c r="GO255" i="30"/>
  <c r="GP255" i="30"/>
  <c r="GQ255" i="30"/>
  <c r="GR255" i="30"/>
  <c r="GS255" i="30"/>
  <c r="GT255" i="30"/>
  <c r="GU255" i="30"/>
  <c r="GV255" i="30"/>
  <c r="GW255" i="30"/>
  <c r="GX255" i="30"/>
  <c r="GY255" i="30"/>
  <c r="GZ255" i="30"/>
  <c r="HA255" i="30"/>
  <c r="HB255" i="30"/>
  <c r="HC255" i="30"/>
  <c r="HD255" i="30"/>
  <c r="HE255" i="30"/>
  <c r="HF255" i="30"/>
  <c r="HG255" i="30"/>
  <c r="HH255" i="30"/>
  <c r="HI255" i="30"/>
  <c r="HJ255" i="30"/>
  <c r="HK255" i="30"/>
  <c r="HL255" i="30"/>
  <c r="HM255" i="30"/>
  <c r="HN255" i="30"/>
  <c r="HO255" i="30"/>
  <c r="HP255" i="30"/>
  <c r="HQ255" i="30"/>
  <c r="HR255" i="30"/>
  <c r="HS255" i="30"/>
  <c r="HT255" i="30"/>
  <c r="HU255" i="30"/>
  <c r="HV255" i="30"/>
  <c r="HW255" i="30"/>
  <c r="HX255" i="30"/>
  <c r="HY255" i="30"/>
  <c r="HZ255" i="30"/>
  <c r="IA255" i="30"/>
  <c r="IB255" i="30"/>
  <c r="IC255" i="30"/>
  <c r="ID255" i="30"/>
  <c r="IE255" i="30"/>
  <c r="IF255" i="30"/>
  <c r="IG255" i="30"/>
  <c r="IH255" i="30"/>
  <c r="II255" i="30"/>
  <c r="IJ255" i="30"/>
  <c r="IK255" i="30"/>
  <c r="IL255" i="30"/>
  <c r="IM255" i="30"/>
  <c r="IN255" i="30"/>
  <c r="IO255" i="30"/>
  <c r="IP255" i="30"/>
  <c r="IQ255" i="30"/>
  <c r="IR255" i="30"/>
  <c r="IS255" i="30"/>
  <c r="IT255" i="30"/>
  <c r="IU255" i="30"/>
  <c r="IV255" i="30"/>
  <c r="A254" i="30"/>
  <c r="B254" i="30"/>
  <c r="C254" i="30"/>
  <c r="D254" i="30"/>
  <c r="E254" i="30"/>
  <c r="F254" i="30"/>
  <c r="G254" i="30"/>
  <c r="H254" i="30"/>
  <c r="I254" i="30"/>
  <c r="J254" i="30"/>
  <c r="K254" i="30"/>
  <c r="L254" i="30"/>
  <c r="M254" i="30"/>
  <c r="N254" i="30"/>
  <c r="O254" i="30"/>
  <c r="P254" i="30"/>
  <c r="Q254" i="30"/>
  <c r="R254" i="30"/>
  <c r="S254" i="30"/>
  <c r="T254" i="30"/>
  <c r="U254" i="30"/>
  <c r="V254" i="30"/>
  <c r="W254" i="30"/>
  <c r="X254" i="30"/>
  <c r="Y254" i="30"/>
  <c r="Z254" i="30"/>
  <c r="AA254" i="30"/>
  <c r="AB254" i="30"/>
  <c r="AC254" i="30"/>
  <c r="AD254" i="30"/>
  <c r="AE254" i="30"/>
  <c r="AF254" i="30"/>
  <c r="AG254" i="30"/>
  <c r="AH254" i="30"/>
  <c r="AI254" i="30"/>
  <c r="AJ254" i="30"/>
  <c r="AK254" i="30"/>
  <c r="AL254" i="30"/>
  <c r="AM254" i="30"/>
  <c r="AN254" i="30"/>
  <c r="AO254" i="30"/>
  <c r="AP254" i="30"/>
  <c r="AQ254" i="30"/>
  <c r="AR254" i="30"/>
  <c r="AS254" i="30"/>
  <c r="AT254" i="30"/>
  <c r="AU254" i="30"/>
  <c r="AV254" i="30"/>
  <c r="AW254" i="30"/>
  <c r="AX254" i="30"/>
  <c r="AY254" i="30"/>
  <c r="AZ254" i="30"/>
  <c r="BA254" i="30"/>
  <c r="BB254" i="30"/>
  <c r="BC254" i="30"/>
  <c r="BD254" i="30"/>
  <c r="BE254" i="30"/>
  <c r="BF254" i="30"/>
  <c r="BG254" i="30"/>
  <c r="BH254" i="30"/>
  <c r="BI254" i="30"/>
  <c r="BJ254" i="30"/>
  <c r="BK254" i="30"/>
  <c r="BL254" i="30"/>
  <c r="BM254" i="30"/>
  <c r="BN254" i="30"/>
  <c r="BO254" i="30"/>
  <c r="BP254" i="30"/>
  <c r="BQ254" i="30"/>
  <c r="BR254" i="30"/>
  <c r="BS254" i="30"/>
  <c r="BT254" i="30"/>
  <c r="BU254" i="30"/>
  <c r="BV254" i="30"/>
  <c r="BW254" i="30"/>
  <c r="BX254" i="30"/>
  <c r="BY254" i="30"/>
  <c r="BZ254" i="30"/>
  <c r="CA254" i="30"/>
  <c r="CB254" i="30"/>
  <c r="CC254" i="30"/>
  <c r="CD254" i="30"/>
  <c r="CE254" i="30"/>
  <c r="CF254" i="30"/>
  <c r="CG254" i="30"/>
  <c r="CH254" i="30"/>
  <c r="CI254" i="30"/>
  <c r="CJ254" i="30"/>
  <c r="CK254" i="30"/>
  <c r="CL254" i="30"/>
  <c r="CM254" i="30"/>
  <c r="CN254" i="30"/>
  <c r="CO254" i="30"/>
  <c r="CP254" i="30"/>
  <c r="CQ254" i="30"/>
  <c r="CR254" i="30"/>
  <c r="CS254" i="30"/>
  <c r="CT254" i="30"/>
  <c r="CU254" i="30"/>
  <c r="CV254" i="30"/>
  <c r="CW254" i="30"/>
  <c r="CX254" i="30"/>
  <c r="CY254" i="30"/>
  <c r="CZ254" i="30"/>
  <c r="DA254" i="30"/>
  <c r="DB254" i="30"/>
  <c r="DC254" i="30"/>
  <c r="DD254" i="30"/>
  <c r="DE254" i="30"/>
  <c r="DF254" i="30"/>
  <c r="DG254" i="30"/>
  <c r="DH254" i="30"/>
  <c r="DI254" i="30"/>
  <c r="DJ254" i="30"/>
  <c r="DK254" i="30"/>
  <c r="DL254" i="30"/>
  <c r="DM254" i="30"/>
  <c r="DN254" i="30"/>
  <c r="DO254" i="30"/>
  <c r="DP254" i="30"/>
  <c r="DQ254" i="30"/>
  <c r="DR254" i="30"/>
  <c r="DS254" i="30"/>
  <c r="DT254" i="30"/>
  <c r="DU254" i="30"/>
  <c r="DV254" i="30"/>
  <c r="DW254" i="30"/>
  <c r="DX254" i="30"/>
  <c r="DY254" i="30"/>
  <c r="DZ254" i="30"/>
  <c r="EA254" i="30"/>
  <c r="EB254" i="30"/>
  <c r="EC254" i="30"/>
  <c r="ED254" i="30"/>
  <c r="EE254" i="30"/>
  <c r="EF254" i="30"/>
  <c r="EG254" i="30"/>
  <c r="EH254" i="30"/>
  <c r="EI254" i="30"/>
  <c r="EJ254" i="30"/>
  <c r="EK254" i="30"/>
  <c r="EL254" i="30"/>
  <c r="EM254" i="30"/>
  <c r="EN254" i="30"/>
  <c r="EO254" i="30"/>
  <c r="EP254" i="30"/>
  <c r="EQ254" i="30"/>
  <c r="ER254" i="30"/>
  <c r="ES254" i="30"/>
  <c r="ET254" i="30"/>
  <c r="EU254" i="30"/>
  <c r="EV254" i="30"/>
  <c r="EW254" i="30"/>
  <c r="EX254" i="30"/>
  <c r="EY254" i="30"/>
  <c r="EZ254" i="30"/>
  <c r="FA254" i="30"/>
  <c r="FB254" i="30"/>
  <c r="FC254" i="30"/>
  <c r="FD254" i="30"/>
  <c r="FE254" i="30"/>
  <c r="FF254" i="30"/>
  <c r="FG254" i="30"/>
  <c r="FH254" i="30"/>
  <c r="FI254" i="30"/>
  <c r="FJ254" i="30"/>
  <c r="FK254" i="30"/>
  <c r="FL254" i="30"/>
  <c r="FM254" i="30"/>
  <c r="FN254" i="30"/>
  <c r="FO254" i="30"/>
  <c r="FP254" i="30"/>
  <c r="FQ254" i="30"/>
  <c r="FR254" i="30"/>
  <c r="FS254" i="30"/>
  <c r="FT254" i="30"/>
  <c r="FU254" i="30"/>
  <c r="FV254" i="30"/>
  <c r="FW254" i="30"/>
  <c r="FX254" i="30"/>
  <c r="FY254" i="30"/>
  <c r="FZ254" i="30"/>
  <c r="GA254" i="30"/>
  <c r="GB254" i="30"/>
  <c r="GC254" i="30"/>
  <c r="GD254" i="30"/>
  <c r="GE254" i="30"/>
  <c r="GF254" i="30"/>
  <c r="GG254" i="30"/>
  <c r="GH254" i="30"/>
  <c r="GI254" i="30"/>
  <c r="GJ254" i="30"/>
  <c r="GK254" i="30"/>
  <c r="GL254" i="30"/>
  <c r="GM254" i="30"/>
  <c r="GN254" i="30"/>
  <c r="GO254" i="30"/>
  <c r="GP254" i="30"/>
  <c r="GQ254" i="30"/>
  <c r="GR254" i="30"/>
  <c r="GS254" i="30"/>
  <c r="GT254" i="30"/>
  <c r="GU254" i="30"/>
  <c r="GV254" i="30"/>
  <c r="GW254" i="30"/>
  <c r="GX254" i="30"/>
  <c r="GY254" i="30"/>
  <c r="GZ254" i="30"/>
  <c r="HA254" i="30"/>
  <c r="HB254" i="30"/>
  <c r="HC254" i="30"/>
  <c r="HD254" i="30"/>
  <c r="HE254" i="30"/>
  <c r="HF254" i="30"/>
  <c r="HG254" i="30"/>
  <c r="HH254" i="30"/>
  <c r="HI254" i="30"/>
  <c r="HJ254" i="30"/>
  <c r="HK254" i="30"/>
  <c r="HL254" i="30"/>
  <c r="HM254" i="30"/>
  <c r="HN254" i="30"/>
  <c r="HO254" i="30"/>
  <c r="HP254" i="30"/>
  <c r="HQ254" i="30"/>
  <c r="HR254" i="30"/>
  <c r="HS254" i="30"/>
  <c r="HT254" i="30"/>
  <c r="HU254" i="30"/>
  <c r="HV254" i="30"/>
  <c r="HW254" i="30"/>
  <c r="HX254" i="30"/>
  <c r="HY254" i="30"/>
  <c r="HZ254" i="30"/>
  <c r="IA254" i="30"/>
  <c r="IB254" i="30"/>
  <c r="IC254" i="30"/>
  <c r="ID254" i="30"/>
  <c r="IE254" i="30"/>
  <c r="IF254" i="30"/>
  <c r="IG254" i="30"/>
  <c r="IH254" i="30"/>
  <c r="II254" i="30"/>
  <c r="IJ254" i="30"/>
  <c r="IK254" i="30"/>
  <c r="IL254" i="30"/>
  <c r="IM254" i="30"/>
  <c r="IN254" i="30"/>
  <c r="IO254" i="30"/>
  <c r="IP254" i="30"/>
  <c r="IQ254" i="30"/>
  <c r="IR254" i="30"/>
  <c r="IS254" i="30"/>
  <c r="IT254" i="30"/>
  <c r="IU254" i="30"/>
  <c r="IV254" i="30"/>
  <c r="A253" i="30"/>
  <c r="B253" i="30"/>
  <c r="C253" i="30"/>
  <c r="D253" i="30"/>
  <c r="E253" i="30"/>
  <c r="F253" i="30"/>
  <c r="G253" i="30"/>
  <c r="H253" i="30"/>
  <c r="I253" i="30"/>
  <c r="J253" i="30"/>
  <c r="K253" i="30"/>
  <c r="L253" i="30"/>
  <c r="M253" i="30"/>
  <c r="N253" i="30"/>
  <c r="O253" i="30"/>
  <c r="P253" i="30"/>
  <c r="Q253" i="30"/>
  <c r="R253" i="30"/>
  <c r="S253" i="30"/>
  <c r="T253" i="30"/>
  <c r="U253" i="30"/>
  <c r="V253" i="30"/>
  <c r="W253" i="30"/>
  <c r="X253" i="30"/>
  <c r="Y253" i="30"/>
  <c r="Z253" i="30"/>
  <c r="AA253" i="30"/>
  <c r="AB253" i="30"/>
  <c r="AC253" i="30"/>
  <c r="AD253" i="30"/>
  <c r="AE253" i="30"/>
  <c r="AF253" i="30"/>
  <c r="AG253" i="30"/>
  <c r="AH253" i="30"/>
  <c r="AI253" i="30"/>
  <c r="AJ253" i="30"/>
  <c r="AK253" i="30"/>
  <c r="AL253" i="30"/>
  <c r="AM253" i="30"/>
  <c r="AN253" i="30"/>
  <c r="AO253" i="30"/>
  <c r="AP253" i="30"/>
  <c r="AQ253" i="30"/>
  <c r="AR253" i="30"/>
  <c r="AS253" i="30"/>
  <c r="AT253" i="30"/>
  <c r="AU253" i="30"/>
  <c r="AV253" i="30"/>
  <c r="AW253" i="30"/>
  <c r="AX253" i="30"/>
  <c r="AY253" i="30"/>
  <c r="AZ253" i="30"/>
  <c r="BA253" i="30"/>
  <c r="BB253" i="30"/>
  <c r="BC253" i="30"/>
  <c r="BD253" i="30"/>
  <c r="BE253" i="30"/>
  <c r="BF253" i="30"/>
  <c r="BG253" i="30"/>
  <c r="BH253" i="30"/>
  <c r="BI253" i="30"/>
  <c r="BJ253" i="30"/>
  <c r="BK253" i="30"/>
  <c r="BL253" i="30"/>
  <c r="BM253" i="30"/>
  <c r="BN253" i="30"/>
  <c r="BO253" i="30"/>
  <c r="BP253" i="30"/>
  <c r="BQ253" i="30"/>
  <c r="BR253" i="30"/>
  <c r="BS253" i="30"/>
  <c r="BT253" i="30"/>
  <c r="BU253" i="30"/>
  <c r="BV253" i="30"/>
  <c r="BW253" i="30"/>
  <c r="BX253" i="30"/>
  <c r="BY253" i="30"/>
  <c r="BZ253" i="30"/>
  <c r="CA253" i="30"/>
  <c r="CB253" i="30"/>
  <c r="CC253" i="30"/>
  <c r="CD253" i="30"/>
  <c r="CE253" i="30"/>
  <c r="CF253" i="30"/>
  <c r="CG253" i="30"/>
  <c r="CH253" i="30"/>
  <c r="CI253" i="30"/>
  <c r="CJ253" i="30"/>
  <c r="CK253" i="30"/>
  <c r="CL253" i="30"/>
  <c r="CM253" i="30"/>
  <c r="CN253" i="30"/>
  <c r="CO253" i="30"/>
  <c r="CP253" i="30"/>
  <c r="CQ253" i="30"/>
  <c r="CR253" i="30"/>
  <c r="CS253" i="30"/>
  <c r="CT253" i="30"/>
  <c r="CU253" i="30"/>
  <c r="CV253" i="30"/>
  <c r="CW253" i="30"/>
  <c r="CX253" i="30"/>
  <c r="CY253" i="30"/>
  <c r="CZ253" i="30"/>
  <c r="DA253" i="30"/>
  <c r="DB253" i="30"/>
  <c r="DC253" i="30"/>
  <c r="DD253" i="30"/>
  <c r="DE253" i="30"/>
  <c r="DF253" i="30"/>
  <c r="DG253" i="30"/>
  <c r="DH253" i="30"/>
  <c r="DI253" i="30"/>
  <c r="DJ253" i="30"/>
  <c r="DK253" i="30"/>
  <c r="DL253" i="30"/>
  <c r="DM253" i="30"/>
  <c r="DN253" i="30"/>
  <c r="DO253" i="30"/>
  <c r="DP253" i="30"/>
  <c r="DQ253" i="30"/>
  <c r="DR253" i="30"/>
  <c r="DS253" i="30"/>
  <c r="DT253" i="30"/>
  <c r="DU253" i="30"/>
  <c r="DV253" i="30"/>
  <c r="DW253" i="30"/>
  <c r="DX253" i="30"/>
  <c r="DY253" i="30"/>
  <c r="DZ253" i="30"/>
  <c r="EA253" i="30"/>
  <c r="EB253" i="30"/>
  <c r="EC253" i="30"/>
  <c r="ED253" i="30"/>
  <c r="EE253" i="30"/>
  <c r="EF253" i="30"/>
  <c r="EG253" i="30"/>
  <c r="EH253" i="30"/>
  <c r="EI253" i="30"/>
  <c r="EJ253" i="30"/>
  <c r="EK253" i="30"/>
  <c r="EL253" i="30"/>
  <c r="EM253" i="30"/>
  <c r="EN253" i="30"/>
  <c r="EO253" i="30"/>
  <c r="EP253" i="30"/>
  <c r="EQ253" i="30"/>
  <c r="ER253" i="30"/>
  <c r="ES253" i="30"/>
  <c r="ET253" i="30"/>
  <c r="EU253" i="30"/>
  <c r="EV253" i="30"/>
  <c r="EW253" i="30"/>
  <c r="EX253" i="30"/>
  <c r="EY253" i="30"/>
  <c r="EZ253" i="30"/>
  <c r="FA253" i="30"/>
  <c r="FB253" i="30"/>
  <c r="FC253" i="30"/>
  <c r="FD253" i="30"/>
  <c r="FE253" i="30"/>
  <c r="FF253" i="30"/>
  <c r="FG253" i="30"/>
  <c r="FH253" i="30"/>
  <c r="FI253" i="30"/>
  <c r="FJ253" i="30"/>
  <c r="FK253" i="30"/>
  <c r="FL253" i="30"/>
  <c r="FM253" i="30"/>
  <c r="FN253" i="30"/>
  <c r="FO253" i="30"/>
  <c r="FP253" i="30"/>
  <c r="FQ253" i="30"/>
  <c r="FR253" i="30"/>
  <c r="FS253" i="30"/>
  <c r="FT253" i="30"/>
  <c r="FU253" i="30"/>
  <c r="FV253" i="30"/>
  <c r="FW253" i="30"/>
  <c r="FX253" i="30"/>
  <c r="FY253" i="30"/>
  <c r="FZ253" i="30"/>
  <c r="GA253" i="30"/>
  <c r="GB253" i="30"/>
  <c r="GC253" i="30"/>
  <c r="GD253" i="30"/>
  <c r="GE253" i="30"/>
  <c r="GF253" i="30"/>
  <c r="GG253" i="30"/>
  <c r="GH253" i="30"/>
  <c r="GI253" i="30"/>
  <c r="GJ253" i="30"/>
  <c r="GK253" i="30"/>
  <c r="GL253" i="30"/>
  <c r="GM253" i="30"/>
  <c r="GN253" i="30"/>
  <c r="GO253" i="30"/>
  <c r="GP253" i="30"/>
  <c r="GQ253" i="30"/>
  <c r="GR253" i="30"/>
  <c r="GS253" i="30"/>
  <c r="GT253" i="30"/>
  <c r="GU253" i="30"/>
  <c r="GV253" i="30"/>
  <c r="GW253" i="30"/>
  <c r="GX253" i="30"/>
  <c r="GY253" i="30"/>
  <c r="GZ253" i="30"/>
  <c r="HA253" i="30"/>
  <c r="HB253" i="30"/>
  <c r="HC253" i="30"/>
  <c r="HD253" i="30"/>
  <c r="HE253" i="30"/>
  <c r="HF253" i="30"/>
  <c r="HG253" i="30"/>
  <c r="HH253" i="30"/>
  <c r="HI253" i="30"/>
  <c r="HJ253" i="30"/>
  <c r="HK253" i="30"/>
  <c r="HL253" i="30"/>
  <c r="HM253" i="30"/>
  <c r="HN253" i="30"/>
  <c r="HO253" i="30"/>
  <c r="HP253" i="30"/>
  <c r="HQ253" i="30"/>
  <c r="HR253" i="30"/>
  <c r="HS253" i="30"/>
  <c r="HT253" i="30"/>
  <c r="HU253" i="30"/>
  <c r="HV253" i="30"/>
  <c r="HW253" i="30"/>
  <c r="HX253" i="30"/>
  <c r="HY253" i="30"/>
  <c r="HZ253" i="30"/>
  <c r="IA253" i="30"/>
  <c r="IB253" i="30"/>
  <c r="IC253" i="30"/>
  <c r="ID253" i="30"/>
  <c r="IE253" i="30"/>
  <c r="IF253" i="30"/>
  <c r="IG253" i="30"/>
  <c r="IH253" i="30"/>
  <c r="II253" i="30"/>
  <c r="IJ253" i="30"/>
  <c r="IK253" i="30"/>
  <c r="IL253" i="30"/>
  <c r="IM253" i="30"/>
  <c r="IN253" i="30"/>
  <c r="IO253" i="30"/>
  <c r="IP253" i="30"/>
  <c r="IQ253" i="30"/>
  <c r="IR253" i="30"/>
  <c r="IS253" i="30"/>
  <c r="IT253" i="30"/>
  <c r="IU253" i="30"/>
  <c r="IV253" i="30"/>
  <c r="A252" i="30"/>
  <c r="B252" i="30"/>
  <c r="C252" i="30"/>
  <c r="D252" i="30"/>
  <c r="E252" i="30"/>
  <c r="F252" i="30"/>
  <c r="G252" i="30"/>
  <c r="H252" i="30"/>
  <c r="I252" i="30"/>
  <c r="J252" i="30"/>
  <c r="K252" i="30"/>
  <c r="L252" i="30"/>
  <c r="M252" i="30"/>
  <c r="N252" i="30"/>
  <c r="O252" i="30"/>
  <c r="P252" i="30"/>
  <c r="Q252" i="30"/>
  <c r="R252" i="30"/>
  <c r="S252" i="30"/>
  <c r="T252" i="30"/>
  <c r="U252" i="30"/>
  <c r="V252" i="30"/>
  <c r="W252" i="30"/>
  <c r="X252" i="30"/>
  <c r="Y252" i="30"/>
  <c r="Z252" i="30"/>
  <c r="AA252" i="30"/>
  <c r="AB252" i="30"/>
  <c r="AC252" i="30"/>
  <c r="AD252" i="30"/>
  <c r="AE252" i="30"/>
  <c r="AF252" i="30"/>
  <c r="AG252" i="30"/>
  <c r="AH252" i="30"/>
  <c r="AI252" i="30"/>
  <c r="AJ252" i="30"/>
  <c r="AK252" i="30"/>
  <c r="AL252" i="30"/>
  <c r="AM252" i="30"/>
  <c r="AN252" i="30"/>
  <c r="AO252" i="30"/>
  <c r="AP252" i="30"/>
  <c r="AQ252" i="30"/>
  <c r="AR252" i="30"/>
  <c r="AS252" i="30"/>
  <c r="AT252" i="30"/>
  <c r="AU252" i="30"/>
  <c r="AV252" i="30"/>
  <c r="AW252" i="30"/>
  <c r="AX252" i="30"/>
  <c r="AY252" i="30"/>
  <c r="AZ252" i="30"/>
  <c r="BA252" i="30"/>
  <c r="BB252" i="30"/>
  <c r="BC252" i="30"/>
  <c r="BD252" i="30"/>
  <c r="BE252" i="30"/>
  <c r="BF252" i="30"/>
  <c r="BG252" i="30"/>
  <c r="BH252" i="30"/>
  <c r="BI252" i="30"/>
  <c r="BJ252" i="30"/>
  <c r="BK252" i="30"/>
  <c r="BL252" i="30"/>
  <c r="BM252" i="30"/>
  <c r="BN252" i="30"/>
  <c r="BO252" i="30"/>
  <c r="BP252" i="30"/>
  <c r="BQ252" i="30"/>
  <c r="BR252" i="30"/>
  <c r="BS252" i="30"/>
  <c r="BT252" i="30"/>
  <c r="BU252" i="30"/>
  <c r="BV252" i="30"/>
  <c r="BW252" i="30"/>
  <c r="BX252" i="30"/>
  <c r="BY252" i="30"/>
  <c r="BZ252" i="30"/>
  <c r="CA252" i="30"/>
  <c r="CB252" i="30"/>
  <c r="CC252" i="30"/>
  <c r="CD252" i="30"/>
  <c r="CE252" i="30"/>
  <c r="CF252" i="30"/>
  <c r="CG252" i="30"/>
  <c r="CH252" i="30"/>
  <c r="CI252" i="30"/>
  <c r="CJ252" i="30"/>
  <c r="CK252" i="30"/>
  <c r="CL252" i="30"/>
  <c r="CM252" i="30"/>
  <c r="CN252" i="30"/>
  <c r="CO252" i="30"/>
  <c r="CP252" i="30"/>
  <c r="CQ252" i="30"/>
  <c r="CR252" i="30"/>
  <c r="CS252" i="30"/>
  <c r="CT252" i="30"/>
  <c r="CU252" i="30"/>
  <c r="CV252" i="30"/>
  <c r="CW252" i="30"/>
  <c r="CX252" i="30"/>
  <c r="CY252" i="30"/>
  <c r="CZ252" i="30"/>
  <c r="DA252" i="30"/>
  <c r="DB252" i="30"/>
  <c r="DC252" i="30"/>
  <c r="DD252" i="30"/>
  <c r="DE252" i="30"/>
  <c r="DF252" i="30"/>
  <c r="DG252" i="30"/>
  <c r="DH252" i="30"/>
  <c r="DI252" i="30"/>
  <c r="DJ252" i="30"/>
  <c r="DK252" i="30"/>
  <c r="DL252" i="30"/>
  <c r="DM252" i="30"/>
  <c r="DN252" i="30"/>
  <c r="DO252" i="30"/>
  <c r="DP252" i="30"/>
  <c r="DQ252" i="30"/>
  <c r="DR252" i="30"/>
  <c r="DS252" i="30"/>
  <c r="DT252" i="30"/>
  <c r="DU252" i="30"/>
  <c r="DV252" i="30"/>
  <c r="DW252" i="30"/>
  <c r="DX252" i="30"/>
  <c r="DY252" i="30"/>
  <c r="DZ252" i="30"/>
  <c r="EA252" i="30"/>
  <c r="EB252" i="30"/>
  <c r="EC252" i="30"/>
  <c r="ED252" i="30"/>
  <c r="EE252" i="30"/>
  <c r="EF252" i="30"/>
  <c r="EG252" i="30"/>
  <c r="EH252" i="30"/>
  <c r="EI252" i="30"/>
  <c r="EJ252" i="30"/>
  <c r="EK252" i="30"/>
  <c r="EL252" i="30"/>
  <c r="EM252" i="30"/>
  <c r="EN252" i="30"/>
  <c r="EO252" i="30"/>
  <c r="EP252" i="30"/>
  <c r="EQ252" i="30"/>
  <c r="ER252" i="30"/>
  <c r="ES252" i="30"/>
  <c r="ET252" i="30"/>
  <c r="EU252" i="30"/>
  <c r="EV252" i="30"/>
  <c r="EW252" i="30"/>
  <c r="EX252" i="30"/>
  <c r="EY252" i="30"/>
  <c r="EZ252" i="30"/>
  <c r="FA252" i="30"/>
  <c r="FB252" i="30"/>
  <c r="FC252" i="30"/>
  <c r="FD252" i="30"/>
  <c r="FE252" i="30"/>
  <c r="FF252" i="30"/>
  <c r="FG252" i="30"/>
  <c r="FH252" i="30"/>
  <c r="FI252" i="30"/>
  <c r="FJ252" i="30"/>
  <c r="FK252" i="30"/>
  <c r="FL252" i="30"/>
  <c r="FM252" i="30"/>
  <c r="FN252" i="30"/>
  <c r="FO252" i="30"/>
  <c r="FP252" i="30"/>
  <c r="FQ252" i="30"/>
  <c r="FR252" i="30"/>
  <c r="FS252" i="30"/>
  <c r="FT252" i="30"/>
  <c r="FU252" i="30"/>
  <c r="FV252" i="30"/>
  <c r="FW252" i="30"/>
  <c r="FX252" i="30"/>
  <c r="FY252" i="30"/>
  <c r="FZ252" i="30"/>
  <c r="GA252" i="30"/>
  <c r="GB252" i="30"/>
  <c r="GC252" i="30"/>
  <c r="GD252" i="30"/>
  <c r="GE252" i="30"/>
  <c r="GF252" i="30"/>
  <c r="GG252" i="30"/>
  <c r="GH252" i="30"/>
  <c r="GI252" i="30"/>
  <c r="GJ252" i="30"/>
  <c r="GK252" i="30"/>
  <c r="GL252" i="30"/>
  <c r="GM252" i="30"/>
  <c r="GN252" i="30"/>
  <c r="GO252" i="30"/>
  <c r="GP252" i="30"/>
  <c r="GQ252" i="30"/>
  <c r="GR252" i="30"/>
  <c r="GS252" i="30"/>
  <c r="GT252" i="30"/>
  <c r="GU252" i="30"/>
  <c r="GV252" i="30"/>
  <c r="GW252" i="30"/>
  <c r="GX252" i="30"/>
  <c r="GY252" i="30"/>
  <c r="GZ252" i="30"/>
  <c r="HA252" i="30"/>
  <c r="HB252" i="30"/>
  <c r="HC252" i="30"/>
  <c r="HD252" i="30"/>
  <c r="HE252" i="30"/>
  <c r="HF252" i="30"/>
  <c r="HG252" i="30"/>
  <c r="HH252" i="30"/>
  <c r="HI252" i="30"/>
  <c r="HJ252" i="30"/>
  <c r="HK252" i="30"/>
  <c r="HL252" i="30"/>
  <c r="HM252" i="30"/>
  <c r="HN252" i="30"/>
  <c r="HO252" i="30"/>
  <c r="HP252" i="30"/>
  <c r="HQ252" i="30"/>
  <c r="HR252" i="30"/>
  <c r="HS252" i="30"/>
  <c r="HT252" i="30"/>
  <c r="HU252" i="30"/>
  <c r="HV252" i="30"/>
  <c r="HW252" i="30"/>
  <c r="HX252" i="30"/>
  <c r="HY252" i="30"/>
  <c r="HZ252" i="30"/>
  <c r="IA252" i="30"/>
  <c r="IB252" i="30"/>
  <c r="IC252" i="30"/>
  <c r="ID252" i="30"/>
  <c r="IE252" i="30"/>
  <c r="IF252" i="30"/>
  <c r="IG252" i="30"/>
  <c r="IH252" i="30"/>
  <c r="II252" i="30"/>
  <c r="IJ252" i="30"/>
  <c r="IK252" i="30"/>
  <c r="IL252" i="30"/>
  <c r="IM252" i="30"/>
  <c r="IN252" i="30"/>
  <c r="IO252" i="30"/>
  <c r="IP252" i="30"/>
  <c r="IQ252" i="30"/>
  <c r="IR252" i="30"/>
  <c r="IS252" i="30"/>
  <c r="IT252" i="30"/>
  <c r="IU252" i="30"/>
  <c r="IV252" i="30"/>
  <c r="A251" i="30"/>
  <c r="B251" i="30"/>
  <c r="C251" i="30"/>
  <c r="D251" i="30"/>
  <c r="E251" i="30"/>
  <c r="F251" i="30"/>
  <c r="G251" i="30"/>
  <c r="H251" i="30"/>
  <c r="I251" i="30"/>
  <c r="J251" i="30"/>
  <c r="K251" i="30"/>
  <c r="L251" i="30"/>
  <c r="M251" i="30"/>
  <c r="N251" i="30"/>
  <c r="O251" i="30"/>
  <c r="P251" i="30"/>
  <c r="Q251" i="30"/>
  <c r="R251" i="30"/>
  <c r="S251" i="30"/>
  <c r="T251" i="30"/>
  <c r="U251" i="30"/>
  <c r="V251" i="30"/>
  <c r="W251" i="30"/>
  <c r="X251" i="30"/>
  <c r="Y251" i="30"/>
  <c r="Z251" i="30"/>
  <c r="AA251" i="30"/>
  <c r="AB251" i="30"/>
  <c r="AC251" i="30"/>
  <c r="AD251" i="30"/>
  <c r="AE251" i="30"/>
  <c r="AF251" i="30"/>
  <c r="AG251" i="30"/>
  <c r="AH251" i="30"/>
  <c r="AI251" i="30"/>
  <c r="AJ251" i="30"/>
  <c r="AK251" i="30"/>
  <c r="AL251" i="30"/>
  <c r="AM251" i="30"/>
  <c r="AN251" i="30"/>
  <c r="AO251" i="30"/>
  <c r="AP251" i="30"/>
  <c r="AQ251" i="30"/>
  <c r="AR251" i="30"/>
  <c r="AS251" i="30"/>
  <c r="AT251" i="30"/>
  <c r="AU251" i="30"/>
  <c r="AV251" i="30"/>
  <c r="AW251" i="30"/>
  <c r="AX251" i="30"/>
  <c r="AY251" i="30"/>
  <c r="AZ251" i="30"/>
  <c r="BA251" i="30"/>
  <c r="BB251" i="30"/>
  <c r="BC251" i="30"/>
  <c r="BD251" i="30"/>
  <c r="BE251" i="30"/>
  <c r="BF251" i="30"/>
  <c r="BG251" i="30"/>
  <c r="BH251" i="30"/>
  <c r="BI251" i="30"/>
  <c r="BJ251" i="30"/>
  <c r="BK251" i="30"/>
  <c r="BL251" i="30"/>
  <c r="BM251" i="30"/>
  <c r="BN251" i="30"/>
  <c r="BO251" i="30"/>
  <c r="BP251" i="30"/>
  <c r="BQ251" i="30"/>
  <c r="BR251" i="30"/>
  <c r="BS251" i="30"/>
  <c r="BT251" i="30"/>
  <c r="BU251" i="30"/>
  <c r="BV251" i="30"/>
  <c r="BW251" i="30"/>
  <c r="BX251" i="30"/>
  <c r="BY251" i="30"/>
  <c r="BZ251" i="30"/>
  <c r="CA251" i="30"/>
  <c r="CB251" i="30"/>
  <c r="CC251" i="30"/>
  <c r="CD251" i="30"/>
  <c r="CE251" i="30"/>
  <c r="CF251" i="30"/>
  <c r="CG251" i="30"/>
  <c r="CH251" i="30"/>
  <c r="CI251" i="30"/>
  <c r="CJ251" i="30"/>
  <c r="CK251" i="30"/>
  <c r="CL251" i="30"/>
  <c r="CM251" i="30"/>
  <c r="CN251" i="30"/>
  <c r="CO251" i="30"/>
  <c r="CP251" i="30"/>
  <c r="CQ251" i="30"/>
  <c r="CR251" i="30"/>
  <c r="CS251" i="30"/>
  <c r="CT251" i="30"/>
  <c r="CU251" i="30"/>
  <c r="CV251" i="30"/>
  <c r="CW251" i="30"/>
  <c r="CX251" i="30"/>
  <c r="CY251" i="30"/>
  <c r="CZ251" i="30"/>
  <c r="DA251" i="30"/>
  <c r="DB251" i="30"/>
  <c r="DC251" i="30"/>
  <c r="DD251" i="30"/>
  <c r="DE251" i="30"/>
  <c r="DF251" i="30"/>
  <c r="DG251" i="30"/>
  <c r="DH251" i="30"/>
  <c r="DI251" i="30"/>
  <c r="DJ251" i="30"/>
  <c r="DK251" i="30"/>
  <c r="DL251" i="30"/>
  <c r="DM251" i="30"/>
  <c r="DN251" i="30"/>
  <c r="DO251" i="30"/>
  <c r="DP251" i="30"/>
  <c r="DQ251" i="30"/>
  <c r="DR251" i="30"/>
  <c r="DS251" i="30"/>
  <c r="DT251" i="30"/>
  <c r="DU251" i="30"/>
  <c r="DV251" i="30"/>
  <c r="DW251" i="30"/>
  <c r="DX251" i="30"/>
  <c r="DY251" i="30"/>
  <c r="DZ251" i="30"/>
  <c r="EA251" i="30"/>
  <c r="EB251" i="30"/>
  <c r="EC251" i="30"/>
  <c r="ED251" i="30"/>
  <c r="EE251" i="30"/>
  <c r="EF251" i="30"/>
  <c r="EG251" i="30"/>
  <c r="EH251" i="30"/>
  <c r="EI251" i="30"/>
  <c r="EJ251" i="30"/>
  <c r="EK251" i="30"/>
  <c r="EL251" i="30"/>
  <c r="EM251" i="30"/>
  <c r="EN251" i="30"/>
  <c r="EO251" i="30"/>
  <c r="EP251" i="30"/>
  <c r="EQ251" i="30"/>
  <c r="ER251" i="30"/>
  <c r="ES251" i="30"/>
  <c r="ET251" i="30"/>
  <c r="EU251" i="30"/>
  <c r="EV251" i="30"/>
  <c r="EW251" i="30"/>
  <c r="EX251" i="30"/>
  <c r="EY251" i="30"/>
  <c r="EZ251" i="30"/>
  <c r="FA251" i="30"/>
  <c r="FB251" i="30"/>
  <c r="FC251" i="30"/>
  <c r="FD251" i="30"/>
  <c r="FE251" i="30"/>
  <c r="FF251" i="30"/>
  <c r="FG251" i="30"/>
  <c r="FH251" i="30"/>
  <c r="FI251" i="30"/>
  <c r="FJ251" i="30"/>
  <c r="FK251" i="30"/>
  <c r="FL251" i="30"/>
  <c r="FM251" i="30"/>
  <c r="FN251" i="30"/>
  <c r="FO251" i="30"/>
  <c r="FP251" i="30"/>
  <c r="FQ251" i="30"/>
  <c r="FR251" i="30"/>
  <c r="FS251" i="30"/>
  <c r="FT251" i="30"/>
  <c r="FU251" i="30"/>
  <c r="FV251" i="30"/>
  <c r="FW251" i="30"/>
  <c r="FX251" i="30"/>
  <c r="FY251" i="30"/>
  <c r="FZ251" i="30"/>
  <c r="GA251" i="30"/>
  <c r="GB251" i="30"/>
  <c r="GC251" i="30"/>
  <c r="GD251" i="30"/>
  <c r="GE251" i="30"/>
  <c r="GF251" i="30"/>
  <c r="GG251" i="30"/>
  <c r="GH251" i="30"/>
  <c r="GI251" i="30"/>
  <c r="GJ251" i="30"/>
  <c r="GK251" i="30"/>
  <c r="GL251" i="30"/>
  <c r="GM251" i="30"/>
  <c r="GN251" i="30"/>
  <c r="GO251" i="30"/>
  <c r="GP251" i="30"/>
  <c r="GQ251" i="30"/>
  <c r="GR251" i="30"/>
  <c r="GS251" i="30"/>
  <c r="GT251" i="30"/>
  <c r="GU251" i="30"/>
  <c r="GV251" i="30"/>
  <c r="GW251" i="30"/>
  <c r="GX251" i="30"/>
  <c r="GY251" i="30"/>
  <c r="GZ251" i="30"/>
  <c r="HA251" i="30"/>
  <c r="HB251" i="30"/>
  <c r="HC251" i="30"/>
  <c r="HD251" i="30"/>
  <c r="HE251" i="30"/>
  <c r="HF251" i="30"/>
  <c r="HG251" i="30"/>
  <c r="HH251" i="30"/>
  <c r="HI251" i="30"/>
  <c r="HJ251" i="30"/>
  <c r="HK251" i="30"/>
  <c r="HL251" i="30"/>
  <c r="HM251" i="30"/>
  <c r="HN251" i="30"/>
  <c r="HO251" i="30"/>
  <c r="HP251" i="30"/>
  <c r="HQ251" i="30"/>
  <c r="HR251" i="30"/>
  <c r="HS251" i="30"/>
  <c r="HT251" i="30"/>
  <c r="HU251" i="30"/>
  <c r="HV251" i="30"/>
  <c r="HW251" i="30"/>
  <c r="HX251" i="30"/>
  <c r="HY251" i="30"/>
  <c r="HZ251" i="30"/>
  <c r="IA251" i="30"/>
  <c r="IB251" i="30"/>
  <c r="IC251" i="30"/>
  <c r="ID251" i="30"/>
  <c r="IE251" i="30"/>
  <c r="IF251" i="30"/>
  <c r="IG251" i="30"/>
  <c r="IH251" i="30"/>
  <c r="II251" i="30"/>
  <c r="IJ251" i="30"/>
  <c r="IK251" i="30"/>
  <c r="IL251" i="30"/>
  <c r="IM251" i="30"/>
  <c r="IN251" i="30"/>
  <c r="IO251" i="30"/>
  <c r="IP251" i="30"/>
  <c r="IQ251" i="30"/>
  <c r="IR251" i="30"/>
  <c r="IS251" i="30"/>
  <c r="IT251" i="30"/>
  <c r="IU251" i="30"/>
  <c r="IV251" i="30"/>
  <c r="A250" i="30"/>
  <c r="B250" i="30"/>
  <c r="C250" i="30"/>
  <c r="D250" i="30"/>
  <c r="E250" i="30"/>
  <c r="F250" i="30"/>
  <c r="G250" i="30"/>
  <c r="H250" i="30"/>
  <c r="I250" i="30"/>
  <c r="J250" i="30"/>
  <c r="K250" i="30"/>
  <c r="L250" i="30"/>
  <c r="M250" i="30"/>
  <c r="N250" i="30"/>
  <c r="O250" i="30"/>
  <c r="P250" i="30"/>
  <c r="Q250" i="30"/>
  <c r="R250" i="30"/>
  <c r="S250" i="30"/>
  <c r="T250" i="30"/>
  <c r="U250" i="30"/>
  <c r="V250" i="30"/>
  <c r="W250" i="30"/>
  <c r="X250" i="30"/>
  <c r="Y250" i="30"/>
  <c r="Z250" i="30"/>
  <c r="AA250" i="30"/>
  <c r="AB250" i="30"/>
  <c r="AC250" i="30"/>
  <c r="AD250" i="30"/>
  <c r="AE250" i="30"/>
  <c r="AF250" i="30"/>
  <c r="AG250" i="30"/>
  <c r="AH250" i="30"/>
  <c r="AI250" i="30"/>
  <c r="AJ250" i="30"/>
  <c r="AK250" i="30"/>
  <c r="AL250" i="30"/>
  <c r="AM250" i="30"/>
  <c r="AN250" i="30"/>
  <c r="AO250" i="30"/>
  <c r="AP250" i="30"/>
  <c r="AQ250" i="30"/>
  <c r="AR250" i="30"/>
  <c r="AS250" i="30"/>
  <c r="AT250" i="30"/>
  <c r="AU250" i="30"/>
  <c r="AV250" i="30"/>
  <c r="AW250" i="30"/>
  <c r="AX250" i="30"/>
  <c r="AY250" i="30"/>
  <c r="AZ250" i="30"/>
  <c r="BA250" i="30"/>
  <c r="BB250" i="30"/>
  <c r="BC250" i="30"/>
  <c r="BD250" i="30"/>
  <c r="BE250" i="30"/>
  <c r="BF250" i="30"/>
  <c r="BG250" i="30"/>
  <c r="BH250" i="30"/>
  <c r="BI250" i="30"/>
  <c r="BJ250" i="30"/>
  <c r="BK250" i="30"/>
  <c r="BL250" i="30"/>
  <c r="BM250" i="30"/>
  <c r="BN250" i="30"/>
  <c r="BO250" i="30"/>
  <c r="BP250" i="30"/>
  <c r="BQ250" i="30"/>
  <c r="BR250" i="30"/>
  <c r="BS250" i="30"/>
  <c r="BT250" i="30"/>
  <c r="BU250" i="30"/>
  <c r="BV250" i="30"/>
  <c r="BW250" i="30"/>
  <c r="BX250" i="30"/>
  <c r="BY250" i="30"/>
  <c r="BZ250" i="30"/>
  <c r="CA250" i="30"/>
  <c r="CB250" i="30"/>
  <c r="CC250" i="30"/>
  <c r="CD250" i="30"/>
  <c r="CE250" i="30"/>
  <c r="CF250" i="30"/>
  <c r="CG250" i="30"/>
  <c r="CH250" i="30"/>
  <c r="CI250" i="30"/>
  <c r="CJ250" i="30"/>
  <c r="CK250" i="30"/>
  <c r="CL250" i="30"/>
  <c r="CM250" i="30"/>
  <c r="CN250" i="30"/>
  <c r="CO250" i="30"/>
  <c r="CP250" i="30"/>
  <c r="CQ250" i="30"/>
  <c r="CR250" i="30"/>
  <c r="CS250" i="30"/>
  <c r="CT250" i="30"/>
  <c r="CU250" i="30"/>
  <c r="CV250" i="30"/>
  <c r="CW250" i="30"/>
  <c r="CX250" i="30"/>
  <c r="CY250" i="30"/>
  <c r="CZ250" i="30"/>
  <c r="DA250" i="30"/>
  <c r="DB250" i="30"/>
  <c r="DC250" i="30"/>
  <c r="DD250" i="30"/>
  <c r="DE250" i="30"/>
  <c r="DF250" i="30"/>
  <c r="DG250" i="30"/>
  <c r="DH250" i="30"/>
  <c r="DI250" i="30"/>
  <c r="DJ250" i="30"/>
  <c r="DK250" i="30"/>
  <c r="DL250" i="30"/>
  <c r="DM250" i="30"/>
  <c r="DN250" i="30"/>
  <c r="DO250" i="30"/>
  <c r="DP250" i="30"/>
  <c r="DQ250" i="30"/>
  <c r="DR250" i="30"/>
  <c r="DS250" i="30"/>
  <c r="DT250" i="30"/>
  <c r="DU250" i="30"/>
  <c r="DV250" i="30"/>
  <c r="DW250" i="30"/>
  <c r="DX250" i="30"/>
  <c r="DY250" i="30"/>
  <c r="DZ250" i="30"/>
  <c r="EA250" i="30"/>
  <c r="EB250" i="30"/>
  <c r="EC250" i="30"/>
  <c r="ED250" i="30"/>
  <c r="EE250" i="30"/>
  <c r="EF250" i="30"/>
  <c r="EG250" i="30"/>
  <c r="EH250" i="30"/>
  <c r="EI250" i="30"/>
  <c r="EJ250" i="30"/>
  <c r="EK250" i="30"/>
  <c r="EL250" i="30"/>
  <c r="EM250" i="30"/>
  <c r="EN250" i="30"/>
  <c r="EO250" i="30"/>
  <c r="EP250" i="30"/>
  <c r="EQ250" i="30"/>
  <c r="ER250" i="30"/>
  <c r="ES250" i="30"/>
  <c r="ET250" i="30"/>
  <c r="EU250" i="30"/>
  <c r="EV250" i="30"/>
  <c r="EW250" i="30"/>
  <c r="EX250" i="30"/>
  <c r="EY250" i="30"/>
  <c r="EZ250" i="30"/>
  <c r="FA250" i="30"/>
  <c r="FB250" i="30"/>
  <c r="FC250" i="30"/>
  <c r="FD250" i="30"/>
  <c r="FE250" i="30"/>
  <c r="FF250" i="30"/>
  <c r="FG250" i="30"/>
  <c r="FH250" i="30"/>
  <c r="FI250" i="30"/>
  <c r="FJ250" i="30"/>
  <c r="FK250" i="30"/>
  <c r="FL250" i="30"/>
  <c r="FM250" i="30"/>
  <c r="FN250" i="30"/>
  <c r="FO250" i="30"/>
  <c r="FP250" i="30"/>
  <c r="FQ250" i="30"/>
  <c r="FR250" i="30"/>
  <c r="FS250" i="30"/>
  <c r="FT250" i="30"/>
  <c r="FU250" i="30"/>
  <c r="FV250" i="30"/>
  <c r="FW250" i="30"/>
  <c r="FX250" i="30"/>
  <c r="FY250" i="30"/>
  <c r="FZ250" i="30"/>
  <c r="GA250" i="30"/>
  <c r="GB250" i="30"/>
  <c r="GC250" i="30"/>
  <c r="GD250" i="30"/>
  <c r="GE250" i="30"/>
  <c r="GF250" i="30"/>
  <c r="GG250" i="30"/>
  <c r="GH250" i="30"/>
  <c r="GI250" i="30"/>
  <c r="GJ250" i="30"/>
  <c r="GK250" i="30"/>
  <c r="GL250" i="30"/>
  <c r="GM250" i="30"/>
  <c r="GN250" i="30"/>
  <c r="GO250" i="30"/>
  <c r="GP250" i="30"/>
  <c r="GQ250" i="30"/>
  <c r="GR250" i="30"/>
  <c r="GS250" i="30"/>
  <c r="GT250" i="30"/>
  <c r="GU250" i="30"/>
  <c r="GV250" i="30"/>
  <c r="GW250" i="30"/>
  <c r="GX250" i="30"/>
  <c r="GY250" i="30"/>
  <c r="GZ250" i="30"/>
  <c r="HA250" i="30"/>
  <c r="HB250" i="30"/>
  <c r="HC250" i="30"/>
  <c r="HD250" i="30"/>
  <c r="HE250" i="30"/>
  <c r="HF250" i="30"/>
  <c r="HG250" i="30"/>
  <c r="HH250" i="30"/>
  <c r="HI250" i="30"/>
  <c r="HJ250" i="30"/>
  <c r="HK250" i="30"/>
  <c r="HL250" i="30"/>
  <c r="HM250" i="30"/>
  <c r="HN250" i="30"/>
  <c r="HO250" i="30"/>
  <c r="HP250" i="30"/>
  <c r="HQ250" i="30"/>
  <c r="HR250" i="30"/>
  <c r="HS250" i="30"/>
  <c r="HT250" i="30"/>
  <c r="HU250" i="30"/>
  <c r="HV250" i="30"/>
  <c r="HW250" i="30"/>
  <c r="HX250" i="30"/>
  <c r="HY250" i="30"/>
  <c r="HZ250" i="30"/>
  <c r="IA250" i="30"/>
  <c r="IB250" i="30"/>
  <c r="IC250" i="30"/>
  <c r="ID250" i="30"/>
  <c r="IE250" i="30"/>
  <c r="IF250" i="30"/>
  <c r="IG250" i="30"/>
  <c r="IH250" i="30"/>
  <c r="II250" i="30"/>
  <c r="IJ250" i="30"/>
  <c r="IK250" i="30"/>
  <c r="IL250" i="30"/>
  <c r="IM250" i="30"/>
  <c r="IN250" i="30"/>
  <c r="IO250" i="30"/>
  <c r="IP250" i="30"/>
  <c r="IQ250" i="30"/>
  <c r="IR250" i="30"/>
  <c r="IS250" i="30"/>
  <c r="IT250" i="30"/>
  <c r="IU250" i="30"/>
  <c r="IV250" i="30"/>
  <c r="A249" i="30"/>
  <c r="B249" i="30"/>
  <c r="C249" i="30"/>
  <c r="D249" i="30"/>
  <c r="E249" i="30"/>
  <c r="F249" i="30"/>
  <c r="G249" i="30"/>
  <c r="H249" i="30"/>
  <c r="I249" i="30"/>
  <c r="J249" i="30"/>
  <c r="K249" i="30"/>
  <c r="L249" i="30"/>
  <c r="M249" i="30"/>
  <c r="N249" i="30"/>
  <c r="O249" i="30"/>
  <c r="P249" i="30"/>
  <c r="Q249" i="30"/>
  <c r="R249" i="30"/>
  <c r="S249" i="30"/>
  <c r="T249" i="30"/>
  <c r="U249" i="30"/>
  <c r="V249" i="30"/>
  <c r="W249" i="30"/>
  <c r="X249" i="30"/>
  <c r="Y249" i="30"/>
  <c r="Z249" i="30"/>
  <c r="AA249" i="30"/>
  <c r="AB249" i="30"/>
  <c r="AC249" i="30"/>
  <c r="AD249" i="30"/>
  <c r="AE249" i="30"/>
  <c r="AF249" i="30"/>
  <c r="AG249" i="30"/>
  <c r="AH249" i="30"/>
  <c r="AI249" i="30"/>
  <c r="AJ249" i="30"/>
  <c r="AK249" i="30"/>
  <c r="AL249" i="30"/>
  <c r="AM249" i="30"/>
  <c r="AN249" i="30"/>
  <c r="AO249" i="30"/>
  <c r="AP249" i="30"/>
  <c r="AQ249" i="30"/>
  <c r="AR249" i="30"/>
  <c r="AS249" i="30"/>
  <c r="AT249" i="30"/>
  <c r="AU249" i="30"/>
  <c r="AV249" i="30"/>
  <c r="AW249" i="30"/>
  <c r="AX249" i="30"/>
  <c r="AY249" i="30"/>
  <c r="AZ249" i="30"/>
  <c r="BA249" i="30"/>
  <c r="BB249" i="30"/>
  <c r="BC249" i="30"/>
  <c r="BD249" i="30"/>
  <c r="BE249" i="30"/>
  <c r="BF249" i="30"/>
  <c r="BG249" i="30"/>
  <c r="BH249" i="30"/>
  <c r="BI249" i="30"/>
  <c r="BJ249" i="30"/>
  <c r="BK249" i="30"/>
  <c r="BL249" i="30"/>
  <c r="BM249" i="30"/>
  <c r="BN249" i="30"/>
  <c r="BO249" i="30"/>
  <c r="BP249" i="30"/>
  <c r="BQ249" i="30"/>
  <c r="BR249" i="30"/>
  <c r="BS249" i="30"/>
  <c r="BT249" i="30"/>
  <c r="BU249" i="30"/>
  <c r="BV249" i="30"/>
  <c r="BW249" i="30"/>
  <c r="BX249" i="30"/>
  <c r="BY249" i="30"/>
  <c r="BZ249" i="30"/>
  <c r="CA249" i="30"/>
  <c r="CB249" i="30"/>
  <c r="CC249" i="30"/>
  <c r="CD249" i="30"/>
  <c r="CE249" i="30"/>
  <c r="CF249" i="30"/>
  <c r="CG249" i="30"/>
  <c r="CH249" i="30"/>
  <c r="CI249" i="30"/>
  <c r="CJ249" i="30"/>
  <c r="CK249" i="30"/>
  <c r="CL249" i="30"/>
  <c r="CM249" i="30"/>
  <c r="CN249" i="30"/>
  <c r="CO249" i="30"/>
  <c r="CP249" i="30"/>
  <c r="CQ249" i="30"/>
  <c r="CR249" i="30"/>
  <c r="CS249" i="30"/>
  <c r="CT249" i="30"/>
  <c r="CU249" i="30"/>
  <c r="CV249" i="30"/>
  <c r="CW249" i="30"/>
  <c r="CX249" i="30"/>
  <c r="CY249" i="30"/>
  <c r="CZ249" i="30"/>
  <c r="DA249" i="30"/>
  <c r="DB249" i="30"/>
  <c r="DC249" i="30"/>
  <c r="DD249" i="30"/>
  <c r="DE249" i="30"/>
  <c r="DF249" i="30"/>
  <c r="DG249" i="30"/>
  <c r="DH249" i="30"/>
  <c r="DI249" i="30"/>
  <c r="DJ249" i="30"/>
  <c r="DK249" i="30"/>
  <c r="DL249" i="30"/>
  <c r="DM249" i="30"/>
  <c r="DN249" i="30"/>
  <c r="DO249" i="30"/>
  <c r="DP249" i="30"/>
  <c r="DQ249" i="30"/>
  <c r="DR249" i="30"/>
  <c r="DS249" i="30"/>
  <c r="DT249" i="30"/>
  <c r="DU249" i="30"/>
  <c r="DV249" i="30"/>
  <c r="DW249" i="30"/>
  <c r="DX249" i="30"/>
  <c r="DY249" i="30"/>
  <c r="DZ249" i="30"/>
  <c r="EA249" i="30"/>
  <c r="EB249" i="30"/>
  <c r="EC249" i="30"/>
  <c r="ED249" i="30"/>
  <c r="EE249" i="30"/>
  <c r="EF249" i="30"/>
  <c r="EG249" i="30"/>
  <c r="EH249" i="30"/>
  <c r="EI249" i="30"/>
  <c r="EJ249" i="30"/>
  <c r="EK249" i="30"/>
  <c r="EL249" i="30"/>
  <c r="EM249" i="30"/>
  <c r="EN249" i="30"/>
  <c r="EO249" i="30"/>
  <c r="EP249" i="30"/>
  <c r="EQ249" i="30"/>
  <c r="ER249" i="30"/>
  <c r="ES249" i="30"/>
  <c r="ET249" i="30"/>
  <c r="EU249" i="30"/>
  <c r="EV249" i="30"/>
  <c r="EW249" i="30"/>
  <c r="EX249" i="30"/>
  <c r="EY249" i="30"/>
  <c r="EZ249" i="30"/>
  <c r="FA249" i="30"/>
  <c r="FB249" i="30"/>
  <c r="FC249" i="30"/>
  <c r="FD249" i="30"/>
  <c r="FE249" i="30"/>
  <c r="FF249" i="30"/>
  <c r="FG249" i="30"/>
  <c r="FH249" i="30"/>
  <c r="FI249" i="30"/>
  <c r="FJ249" i="30"/>
  <c r="FK249" i="30"/>
  <c r="FL249" i="30"/>
  <c r="FM249" i="30"/>
  <c r="FN249" i="30"/>
  <c r="FO249" i="30"/>
  <c r="FP249" i="30"/>
  <c r="FQ249" i="30"/>
  <c r="FR249" i="30"/>
  <c r="FS249" i="30"/>
  <c r="FT249" i="30"/>
  <c r="FU249" i="30"/>
  <c r="FV249" i="30"/>
  <c r="FW249" i="30"/>
  <c r="FX249" i="30"/>
  <c r="FY249" i="30"/>
  <c r="FZ249" i="30"/>
  <c r="GA249" i="30"/>
  <c r="GB249" i="30"/>
  <c r="GC249" i="30"/>
  <c r="GD249" i="30"/>
  <c r="GE249" i="30"/>
  <c r="GF249" i="30"/>
  <c r="GG249" i="30"/>
  <c r="GH249" i="30"/>
  <c r="GI249" i="30"/>
  <c r="GJ249" i="30"/>
  <c r="GK249" i="30"/>
  <c r="GL249" i="30"/>
  <c r="GM249" i="30"/>
  <c r="GN249" i="30"/>
  <c r="GO249" i="30"/>
  <c r="GP249" i="30"/>
  <c r="GQ249" i="30"/>
  <c r="GR249" i="30"/>
  <c r="GS249" i="30"/>
  <c r="GT249" i="30"/>
  <c r="GU249" i="30"/>
  <c r="GV249" i="30"/>
  <c r="GW249" i="30"/>
  <c r="GX249" i="30"/>
  <c r="GY249" i="30"/>
  <c r="GZ249" i="30"/>
  <c r="HA249" i="30"/>
  <c r="HB249" i="30"/>
  <c r="HC249" i="30"/>
  <c r="HD249" i="30"/>
  <c r="HE249" i="30"/>
  <c r="HF249" i="30"/>
  <c r="HG249" i="30"/>
  <c r="HH249" i="30"/>
  <c r="HI249" i="30"/>
  <c r="HJ249" i="30"/>
  <c r="HK249" i="30"/>
  <c r="HL249" i="30"/>
  <c r="HM249" i="30"/>
  <c r="HN249" i="30"/>
  <c r="HO249" i="30"/>
  <c r="HP249" i="30"/>
  <c r="HQ249" i="30"/>
  <c r="HR249" i="30"/>
  <c r="HS249" i="30"/>
  <c r="HT249" i="30"/>
  <c r="HU249" i="30"/>
  <c r="HV249" i="30"/>
  <c r="HW249" i="30"/>
  <c r="HX249" i="30"/>
  <c r="HY249" i="30"/>
  <c r="HZ249" i="30"/>
  <c r="IA249" i="30"/>
  <c r="IB249" i="30"/>
  <c r="IC249" i="30"/>
  <c r="ID249" i="30"/>
  <c r="IE249" i="30"/>
  <c r="IF249" i="30"/>
  <c r="IG249" i="30"/>
  <c r="IH249" i="30"/>
  <c r="II249" i="30"/>
  <c r="IJ249" i="30"/>
  <c r="IK249" i="30"/>
  <c r="IL249" i="30"/>
  <c r="IM249" i="30"/>
  <c r="IN249" i="30"/>
  <c r="IO249" i="30"/>
  <c r="IP249" i="30"/>
  <c r="IQ249" i="30"/>
  <c r="IR249" i="30"/>
  <c r="IS249" i="30"/>
  <c r="IT249" i="30"/>
  <c r="IU249" i="30"/>
  <c r="IV249" i="30"/>
  <c r="A248" i="30"/>
  <c r="B248" i="30"/>
  <c r="C248" i="30"/>
  <c r="D248" i="30"/>
  <c r="E248" i="30"/>
  <c r="F248" i="30"/>
  <c r="G248" i="30"/>
  <c r="H248" i="30"/>
  <c r="I248" i="30"/>
  <c r="J248" i="30"/>
  <c r="K248" i="30"/>
  <c r="L248" i="30"/>
  <c r="M248" i="30"/>
  <c r="N248" i="30"/>
  <c r="O248" i="30"/>
  <c r="P248" i="30"/>
  <c r="Q248" i="30"/>
  <c r="R248" i="30"/>
  <c r="S248" i="30"/>
  <c r="T248" i="30"/>
  <c r="U248" i="30"/>
  <c r="V248" i="30"/>
  <c r="W248" i="30"/>
  <c r="X248" i="30"/>
  <c r="Y248" i="30"/>
  <c r="Z248" i="30"/>
  <c r="AA248" i="30"/>
  <c r="AB248" i="30"/>
  <c r="AC248" i="30"/>
  <c r="AD248" i="30"/>
  <c r="AE248" i="30"/>
  <c r="AF248" i="30"/>
  <c r="AG248" i="30"/>
  <c r="AH248" i="30"/>
  <c r="AI248" i="30"/>
  <c r="AJ248" i="30"/>
  <c r="AK248" i="30"/>
  <c r="AL248" i="30"/>
  <c r="AM248" i="30"/>
  <c r="AN248" i="30"/>
  <c r="AO248" i="30"/>
  <c r="AP248" i="30"/>
  <c r="AQ248" i="30"/>
  <c r="AR248" i="30"/>
  <c r="AS248" i="30"/>
  <c r="AT248" i="30"/>
  <c r="AU248" i="30"/>
  <c r="AV248" i="30"/>
  <c r="AW248" i="30"/>
  <c r="AX248" i="30"/>
  <c r="AY248" i="30"/>
  <c r="AZ248" i="30"/>
  <c r="BA248" i="30"/>
  <c r="BB248" i="30"/>
  <c r="BC248" i="30"/>
  <c r="BD248" i="30"/>
  <c r="BE248" i="30"/>
  <c r="BF248" i="30"/>
  <c r="BG248" i="30"/>
  <c r="BH248" i="30"/>
  <c r="BI248" i="30"/>
  <c r="BJ248" i="30"/>
  <c r="BK248" i="30"/>
  <c r="BL248" i="30"/>
  <c r="BM248" i="30"/>
  <c r="BN248" i="30"/>
  <c r="BO248" i="30"/>
  <c r="BP248" i="30"/>
  <c r="BQ248" i="30"/>
  <c r="BR248" i="30"/>
  <c r="BS248" i="30"/>
  <c r="BT248" i="30"/>
  <c r="BU248" i="30"/>
  <c r="BV248" i="30"/>
  <c r="BW248" i="30"/>
  <c r="BX248" i="30"/>
  <c r="BY248" i="30"/>
  <c r="BZ248" i="30"/>
  <c r="CA248" i="30"/>
  <c r="CB248" i="30"/>
  <c r="CC248" i="30"/>
  <c r="CD248" i="30"/>
  <c r="CE248" i="30"/>
  <c r="CF248" i="30"/>
  <c r="CG248" i="30"/>
  <c r="CH248" i="30"/>
  <c r="CI248" i="30"/>
  <c r="CJ248" i="30"/>
  <c r="CK248" i="30"/>
  <c r="CL248" i="30"/>
  <c r="CM248" i="30"/>
  <c r="CN248" i="30"/>
  <c r="CO248" i="30"/>
  <c r="CP248" i="30"/>
  <c r="CQ248" i="30"/>
  <c r="CR248" i="30"/>
  <c r="CS248" i="30"/>
  <c r="CT248" i="30"/>
  <c r="CU248" i="30"/>
  <c r="CV248" i="30"/>
  <c r="CW248" i="30"/>
  <c r="CX248" i="30"/>
  <c r="CY248" i="30"/>
  <c r="CZ248" i="30"/>
  <c r="DA248" i="30"/>
  <c r="DB248" i="30"/>
  <c r="DC248" i="30"/>
  <c r="DD248" i="30"/>
  <c r="DE248" i="30"/>
  <c r="DF248" i="30"/>
  <c r="DG248" i="30"/>
  <c r="DH248" i="30"/>
  <c r="DI248" i="30"/>
  <c r="DJ248" i="30"/>
  <c r="DK248" i="30"/>
  <c r="DL248" i="30"/>
  <c r="DM248" i="30"/>
  <c r="DN248" i="30"/>
  <c r="DO248" i="30"/>
  <c r="DP248" i="30"/>
  <c r="DQ248" i="30"/>
  <c r="DR248" i="30"/>
  <c r="DS248" i="30"/>
  <c r="DT248" i="30"/>
  <c r="DU248" i="30"/>
  <c r="DV248" i="30"/>
  <c r="DW248" i="30"/>
  <c r="DX248" i="30"/>
  <c r="DY248" i="30"/>
  <c r="DZ248" i="30"/>
  <c r="EA248" i="30"/>
  <c r="EB248" i="30"/>
  <c r="EC248" i="30"/>
  <c r="ED248" i="30"/>
  <c r="EE248" i="30"/>
  <c r="EF248" i="30"/>
  <c r="EG248" i="30"/>
  <c r="EH248" i="30"/>
  <c r="EI248" i="30"/>
  <c r="EJ248" i="30"/>
  <c r="EK248" i="30"/>
  <c r="EL248" i="30"/>
  <c r="EM248" i="30"/>
  <c r="EN248" i="30"/>
  <c r="EO248" i="30"/>
  <c r="EP248" i="30"/>
  <c r="EQ248" i="30"/>
  <c r="ER248" i="30"/>
  <c r="ES248" i="30"/>
  <c r="ET248" i="30"/>
  <c r="EU248" i="30"/>
  <c r="EV248" i="30"/>
  <c r="EW248" i="30"/>
  <c r="EX248" i="30"/>
  <c r="EY248" i="30"/>
  <c r="EZ248" i="30"/>
  <c r="FA248" i="30"/>
  <c r="FB248" i="30"/>
  <c r="FC248" i="30"/>
  <c r="FD248" i="30"/>
  <c r="FE248" i="30"/>
  <c r="FF248" i="30"/>
  <c r="FG248" i="30"/>
  <c r="FH248" i="30"/>
  <c r="FI248" i="30"/>
  <c r="FJ248" i="30"/>
  <c r="FK248" i="30"/>
  <c r="FL248" i="30"/>
  <c r="FM248" i="30"/>
  <c r="FN248" i="30"/>
  <c r="FO248" i="30"/>
  <c r="FP248" i="30"/>
  <c r="FQ248" i="30"/>
  <c r="FR248" i="30"/>
  <c r="FS248" i="30"/>
  <c r="FT248" i="30"/>
  <c r="FU248" i="30"/>
  <c r="FV248" i="30"/>
  <c r="FW248" i="30"/>
  <c r="FX248" i="30"/>
  <c r="FY248" i="30"/>
  <c r="FZ248" i="30"/>
  <c r="GA248" i="30"/>
  <c r="GB248" i="30"/>
  <c r="GC248" i="30"/>
  <c r="GD248" i="30"/>
  <c r="GE248" i="30"/>
  <c r="GF248" i="30"/>
  <c r="GG248" i="30"/>
  <c r="GH248" i="30"/>
  <c r="GI248" i="30"/>
  <c r="GJ248" i="30"/>
  <c r="GK248" i="30"/>
  <c r="GL248" i="30"/>
  <c r="GM248" i="30"/>
  <c r="GN248" i="30"/>
  <c r="GO248" i="30"/>
  <c r="GP248" i="30"/>
  <c r="GQ248" i="30"/>
  <c r="GR248" i="30"/>
  <c r="GS248" i="30"/>
  <c r="GT248" i="30"/>
  <c r="GU248" i="30"/>
  <c r="GV248" i="30"/>
  <c r="GW248" i="30"/>
  <c r="GX248" i="30"/>
  <c r="GY248" i="30"/>
  <c r="GZ248" i="30"/>
  <c r="HA248" i="30"/>
  <c r="HB248" i="30"/>
  <c r="HC248" i="30"/>
  <c r="HD248" i="30"/>
  <c r="HE248" i="30"/>
  <c r="HF248" i="30"/>
  <c r="HG248" i="30"/>
  <c r="HH248" i="30"/>
  <c r="HI248" i="30"/>
  <c r="HJ248" i="30"/>
  <c r="HK248" i="30"/>
  <c r="HL248" i="30"/>
  <c r="HM248" i="30"/>
  <c r="HN248" i="30"/>
  <c r="HO248" i="30"/>
  <c r="HP248" i="30"/>
  <c r="HQ248" i="30"/>
  <c r="HR248" i="30"/>
  <c r="HS248" i="30"/>
  <c r="HT248" i="30"/>
  <c r="HU248" i="30"/>
  <c r="HV248" i="30"/>
  <c r="HW248" i="30"/>
  <c r="HX248" i="30"/>
  <c r="HY248" i="30"/>
  <c r="HZ248" i="30"/>
  <c r="IA248" i="30"/>
  <c r="IB248" i="30"/>
  <c r="IC248" i="30"/>
  <c r="ID248" i="30"/>
  <c r="IE248" i="30"/>
  <c r="IF248" i="30"/>
  <c r="IG248" i="30"/>
  <c r="IH248" i="30"/>
  <c r="II248" i="30"/>
  <c r="IJ248" i="30"/>
  <c r="IK248" i="30"/>
  <c r="IL248" i="30"/>
  <c r="IM248" i="30"/>
  <c r="IN248" i="30"/>
  <c r="IO248" i="30"/>
  <c r="IP248" i="30"/>
  <c r="IQ248" i="30"/>
  <c r="IR248" i="30"/>
  <c r="IS248" i="30"/>
  <c r="IT248" i="30"/>
  <c r="IU248" i="30"/>
  <c r="IV248" i="30"/>
  <c r="A247" i="30"/>
  <c r="B247" i="30"/>
  <c r="C247" i="30"/>
  <c r="D247" i="30"/>
  <c r="E247" i="30"/>
  <c r="F247" i="30"/>
  <c r="G247" i="30"/>
  <c r="H247" i="30"/>
  <c r="I247" i="30"/>
  <c r="J247" i="30"/>
  <c r="K247" i="30"/>
  <c r="L247" i="30"/>
  <c r="M247" i="30"/>
  <c r="N247" i="30"/>
  <c r="O247" i="30"/>
  <c r="P247" i="30"/>
  <c r="Q247" i="30"/>
  <c r="R247" i="30"/>
  <c r="S247" i="30"/>
  <c r="T247" i="30"/>
  <c r="U247" i="30"/>
  <c r="V247" i="30"/>
  <c r="W247" i="30"/>
  <c r="X247" i="30"/>
  <c r="Y247" i="30"/>
  <c r="Z247" i="30"/>
  <c r="AA247" i="30"/>
  <c r="AB247" i="30"/>
  <c r="AC247" i="30"/>
  <c r="AD247" i="30"/>
  <c r="AE247" i="30"/>
  <c r="AF247" i="30"/>
  <c r="AG247" i="30"/>
  <c r="AH247" i="30"/>
  <c r="AI247" i="30"/>
  <c r="AJ247" i="30"/>
  <c r="AK247" i="30"/>
  <c r="AL247" i="30"/>
  <c r="AM247" i="30"/>
  <c r="AN247" i="30"/>
  <c r="AO247" i="30"/>
  <c r="AP247" i="30"/>
  <c r="AQ247" i="30"/>
  <c r="AR247" i="30"/>
  <c r="AS247" i="30"/>
  <c r="AT247" i="30"/>
  <c r="AU247" i="30"/>
  <c r="AV247" i="30"/>
  <c r="AW247" i="30"/>
  <c r="AX247" i="30"/>
  <c r="AY247" i="30"/>
  <c r="AZ247" i="30"/>
  <c r="BA247" i="30"/>
  <c r="BB247" i="30"/>
  <c r="BC247" i="30"/>
  <c r="BD247" i="30"/>
  <c r="BE247" i="30"/>
  <c r="BF247" i="30"/>
  <c r="BG247" i="30"/>
  <c r="BH247" i="30"/>
  <c r="BI247" i="30"/>
  <c r="BJ247" i="30"/>
  <c r="BK247" i="30"/>
  <c r="BL247" i="30"/>
  <c r="BM247" i="30"/>
  <c r="BN247" i="30"/>
  <c r="BO247" i="30"/>
  <c r="BP247" i="30"/>
  <c r="BQ247" i="30"/>
  <c r="BR247" i="30"/>
  <c r="BS247" i="30"/>
  <c r="BT247" i="30"/>
  <c r="BU247" i="30"/>
  <c r="BV247" i="30"/>
  <c r="BW247" i="30"/>
  <c r="BX247" i="30"/>
  <c r="BY247" i="30"/>
  <c r="BZ247" i="30"/>
  <c r="CA247" i="30"/>
  <c r="CB247" i="30"/>
  <c r="CC247" i="30"/>
  <c r="CD247" i="30"/>
  <c r="CE247" i="30"/>
  <c r="CF247" i="30"/>
  <c r="CG247" i="30"/>
  <c r="CH247" i="30"/>
  <c r="CI247" i="30"/>
  <c r="CJ247" i="30"/>
  <c r="CK247" i="30"/>
  <c r="CL247" i="30"/>
  <c r="CM247" i="30"/>
  <c r="CN247" i="30"/>
  <c r="CO247" i="30"/>
  <c r="CP247" i="30"/>
  <c r="CQ247" i="30"/>
  <c r="CR247" i="30"/>
  <c r="CS247" i="30"/>
  <c r="CT247" i="30"/>
  <c r="CU247" i="30"/>
  <c r="CV247" i="30"/>
  <c r="CW247" i="30"/>
  <c r="CX247" i="30"/>
  <c r="CY247" i="30"/>
  <c r="CZ247" i="30"/>
  <c r="DA247" i="30"/>
  <c r="DB247" i="30"/>
  <c r="DC247" i="30"/>
  <c r="DD247" i="30"/>
  <c r="DE247" i="30"/>
  <c r="DF247" i="30"/>
  <c r="DG247" i="30"/>
  <c r="DH247" i="30"/>
  <c r="DI247" i="30"/>
  <c r="DJ247" i="30"/>
  <c r="DK247" i="30"/>
  <c r="DL247" i="30"/>
  <c r="DM247" i="30"/>
  <c r="DN247" i="30"/>
  <c r="DO247" i="30"/>
  <c r="DP247" i="30"/>
  <c r="DQ247" i="30"/>
  <c r="DR247" i="30"/>
  <c r="DS247" i="30"/>
  <c r="DT247" i="30"/>
  <c r="DU247" i="30"/>
  <c r="DV247" i="30"/>
  <c r="DW247" i="30"/>
  <c r="DX247" i="30"/>
  <c r="DY247" i="30"/>
  <c r="DZ247" i="30"/>
  <c r="EA247" i="30"/>
  <c r="EB247" i="30"/>
  <c r="EC247" i="30"/>
  <c r="ED247" i="30"/>
  <c r="EE247" i="30"/>
  <c r="EF247" i="30"/>
  <c r="EG247" i="30"/>
  <c r="EH247" i="30"/>
  <c r="EI247" i="30"/>
  <c r="EJ247" i="30"/>
  <c r="EK247" i="30"/>
  <c r="EL247" i="30"/>
  <c r="EM247" i="30"/>
  <c r="EN247" i="30"/>
  <c r="EO247" i="30"/>
  <c r="EP247" i="30"/>
  <c r="EQ247" i="30"/>
  <c r="ER247" i="30"/>
  <c r="ES247" i="30"/>
  <c r="ET247" i="30"/>
  <c r="EU247" i="30"/>
  <c r="EV247" i="30"/>
  <c r="EW247" i="30"/>
  <c r="EX247" i="30"/>
  <c r="EY247" i="30"/>
  <c r="EZ247" i="30"/>
  <c r="FA247" i="30"/>
  <c r="FB247" i="30"/>
  <c r="FC247" i="30"/>
  <c r="FD247" i="30"/>
  <c r="FE247" i="30"/>
  <c r="FF247" i="30"/>
  <c r="FG247" i="30"/>
  <c r="FH247" i="30"/>
  <c r="FI247" i="30"/>
  <c r="FJ247" i="30"/>
  <c r="FK247" i="30"/>
  <c r="FL247" i="30"/>
  <c r="FM247" i="30"/>
  <c r="FN247" i="30"/>
  <c r="FO247" i="30"/>
  <c r="FP247" i="30"/>
  <c r="FQ247" i="30"/>
  <c r="FR247" i="30"/>
  <c r="FS247" i="30"/>
  <c r="FT247" i="30"/>
  <c r="FU247" i="30"/>
  <c r="FV247" i="30"/>
  <c r="FW247" i="30"/>
  <c r="FX247" i="30"/>
  <c r="FY247" i="30"/>
  <c r="FZ247" i="30"/>
  <c r="GA247" i="30"/>
  <c r="GB247" i="30"/>
  <c r="GC247" i="30"/>
  <c r="GD247" i="30"/>
  <c r="GE247" i="30"/>
  <c r="GF247" i="30"/>
  <c r="GG247" i="30"/>
  <c r="GH247" i="30"/>
  <c r="GI247" i="30"/>
  <c r="GJ247" i="30"/>
  <c r="GK247" i="30"/>
  <c r="GL247" i="30"/>
  <c r="GM247" i="30"/>
  <c r="GN247" i="30"/>
  <c r="GO247" i="30"/>
  <c r="GP247" i="30"/>
  <c r="GQ247" i="30"/>
  <c r="GR247" i="30"/>
  <c r="GS247" i="30"/>
  <c r="GT247" i="30"/>
  <c r="GU247" i="30"/>
  <c r="GV247" i="30"/>
  <c r="GW247" i="30"/>
  <c r="GX247" i="30"/>
  <c r="GY247" i="30"/>
  <c r="GZ247" i="30"/>
  <c r="HA247" i="30"/>
  <c r="HB247" i="30"/>
  <c r="HC247" i="30"/>
  <c r="HD247" i="30"/>
  <c r="HE247" i="30"/>
  <c r="HF247" i="30"/>
  <c r="HG247" i="30"/>
  <c r="HH247" i="30"/>
  <c r="HI247" i="30"/>
  <c r="HJ247" i="30"/>
  <c r="HK247" i="30"/>
  <c r="HL247" i="30"/>
  <c r="HM247" i="30"/>
  <c r="HN247" i="30"/>
  <c r="HO247" i="30"/>
  <c r="HP247" i="30"/>
  <c r="HQ247" i="30"/>
  <c r="HR247" i="30"/>
  <c r="HS247" i="30"/>
  <c r="HT247" i="30"/>
  <c r="HU247" i="30"/>
  <c r="HV247" i="30"/>
  <c r="HW247" i="30"/>
  <c r="HX247" i="30"/>
  <c r="HY247" i="30"/>
  <c r="HZ247" i="30"/>
  <c r="IA247" i="30"/>
  <c r="IB247" i="30"/>
  <c r="IC247" i="30"/>
  <c r="ID247" i="30"/>
  <c r="IE247" i="30"/>
  <c r="IF247" i="30"/>
  <c r="IG247" i="30"/>
  <c r="IH247" i="30"/>
  <c r="II247" i="30"/>
  <c r="IJ247" i="30"/>
  <c r="IK247" i="30"/>
  <c r="IL247" i="30"/>
  <c r="IM247" i="30"/>
  <c r="IN247" i="30"/>
  <c r="IO247" i="30"/>
  <c r="IP247" i="30"/>
  <c r="IQ247" i="30"/>
  <c r="IR247" i="30"/>
  <c r="IS247" i="30"/>
  <c r="IT247" i="30"/>
  <c r="IU247" i="30"/>
  <c r="IV247" i="30"/>
  <c r="A246" i="30"/>
  <c r="B246" i="30"/>
  <c r="C246" i="30"/>
  <c r="D246" i="30"/>
  <c r="E246" i="30"/>
  <c r="F246" i="30"/>
  <c r="G246" i="30"/>
  <c r="H246" i="30"/>
  <c r="I246" i="30"/>
  <c r="J246" i="30"/>
  <c r="K246" i="30"/>
  <c r="L246" i="30"/>
  <c r="M246" i="30"/>
  <c r="N246" i="30"/>
  <c r="O246" i="30"/>
  <c r="P246" i="30"/>
  <c r="Q246" i="30"/>
  <c r="R246" i="30"/>
  <c r="S246" i="30"/>
  <c r="T246" i="30"/>
  <c r="U246" i="30"/>
  <c r="V246" i="30"/>
  <c r="W246" i="30"/>
  <c r="X246" i="30"/>
  <c r="Y246" i="30"/>
  <c r="Z246" i="30"/>
  <c r="AA246" i="30"/>
  <c r="AB246" i="30"/>
  <c r="AC246" i="30"/>
  <c r="AD246" i="30"/>
  <c r="AE246" i="30"/>
  <c r="AF246" i="30"/>
  <c r="AG246" i="30"/>
  <c r="AH246" i="30"/>
  <c r="AI246" i="30"/>
  <c r="AJ246" i="30"/>
  <c r="AK246" i="30"/>
  <c r="AL246" i="30"/>
  <c r="AM246" i="30"/>
  <c r="AN246" i="30"/>
  <c r="AO246" i="30"/>
  <c r="AP246" i="30"/>
  <c r="AQ246" i="30"/>
  <c r="AR246" i="30"/>
  <c r="AS246" i="30"/>
  <c r="AT246" i="30"/>
  <c r="AU246" i="30"/>
  <c r="AV246" i="30"/>
  <c r="AW246" i="30"/>
  <c r="AX246" i="30"/>
  <c r="AY246" i="30"/>
  <c r="AZ246" i="30"/>
  <c r="BA246" i="30"/>
  <c r="BB246" i="30"/>
  <c r="BC246" i="30"/>
  <c r="BD246" i="30"/>
  <c r="BE246" i="30"/>
  <c r="BF246" i="30"/>
  <c r="BG246" i="30"/>
  <c r="BH246" i="30"/>
  <c r="BI246" i="30"/>
  <c r="BJ246" i="30"/>
  <c r="BK246" i="30"/>
  <c r="BL246" i="30"/>
  <c r="BM246" i="30"/>
  <c r="BN246" i="30"/>
  <c r="BO246" i="30"/>
  <c r="BP246" i="30"/>
  <c r="BQ246" i="30"/>
  <c r="BR246" i="30"/>
  <c r="BS246" i="30"/>
  <c r="BT246" i="30"/>
  <c r="BU246" i="30"/>
  <c r="BV246" i="30"/>
  <c r="BW246" i="30"/>
  <c r="BX246" i="30"/>
  <c r="BY246" i="30"/>
  <c r="BZ246" i="30"/>
  <c r="CA246" i="30"/>
  <c r="CB246" i="30"/>
  <c r="CC246" i="30"/>
  <c r="CD246" i="30"/>
  <c r="CE246" i="30"/>
  <c r="CF246" i="30"/>
  <c r="CG246" i="30"/>
  <c r="CH246" i="30"/>
  <c r="CI246" i="30"/>
  <c r="CJ246" i="30"/>
  <c r="CK246" i="30"/>
  <c r="CL246" i="30"/>
  <c r="CM246" i="30"/>
  <c r="CN246" i="30"/>
  <c r="CO246" i="30"/>
  <c r="CP246" i="30"/>
  <c r="CQ246" i="30"/>
  <c r="CR246" i="30"/>
  <c r="CS246" i="30"/>
  <c r="CT246" i="30"/>
  <c r="CU246" i="30"/>
  <c r="CV246" i="30"/>
  <c r="CW246" i="30"/>
  <c r="CX246" i="30"/>
  <c r="CY246" i="30"/>
  <c r="CZ246" i="30"/>
  <c r="DA246" i="30"/>
  <c r="DB246" i="30"/>
  <c r="DC246" i="30"/>
  <c r="DD246" i="30"/>
  <c r="DE246" i="30"/>
  <c r="DF246" i="30"/>
  <c r="DG246" i="30"/>
  <c r="DH246" i="30"/>
  <c r="DI246" i="30"/>
  <c r="DJ246" i="30"/>
  <c r="DK246" i="30"/>
  <c r="DL246" i="30"/>
  <c r="DM246" i="30"/>
  <c r="DN246" i="30"/>
  <c r="DO246" i="30"/>
  <c r="DP246" i="30"/>
  <c r="DQ246" i="30"/>
  <c r="DR246" i="30"/>
  <c r="DS246" i="30"/>
  <c r="DT246" i="30"/>
  <c r="DU246" i="30"/>
  <c r="DV246" i="30"/>
  <c r="DW246" i="30"/>
  <c r="DX246" i="30"/>
  <c r="DY246" i="30"/>
  <c r="DZ246" i="30"/>
  <c r="EA246" i="30"/>
  <c r="EB246" i="30"/>
  <c r="EC246" i="30"/>
  <c r="ED246" i="30"/>
  <c r="EE246" i="30"/>
  <c r="EF246" i="30"/>
  <c r="EG246" i="30"/>
  <c r="EH246" i="30"/>
  <c r="EI246" i="30"/>
  <c r="EJ246" i="30"/>
  <c r="EK246" i="30"/>
  <c r="EL246" i="30"/>
  <c r="EM246" i="30"/>
  <c r="EN246" i="30"/>
  <c r="EO246" i="30"/>
  <c r="EP246" i="30"/>
  <c r="EQ246" i="30"/>
  <c r="ER246" i="30"/>
  <c r="ES246" i="30"/>
  <c r="ET246" i="30"/>
  <c r="EU246" i="30"/>
  <c r="EV246" i="30"/>
  <c r="EW246" i="30"/>
  <c r="EX246" i="30"/>
  <c r="EY246" i="30"/>
  <c r="EZ246" i="30"/>
  <c r="FA246" i="30"/>
  <c r="FB246" i="30"/>
  <c r="FC246" i="30"/>
  <c r="FD246" i="30"/>
  <c r="FE246" i="30"/>
  <c r="FF246" i="30"/>
  <c r="FG246" i="30"/>
  <c r="FH246" i="30"/>
  <c r="FI246" i="30"/>
  <c r="FJ246" i="30"/>
  <c r="FK246" i="30"/>
  <c r="FL246" i="30"/>
  <c r="FM246" i="30"/>
  <c r="FN246" i="30"/>
  <c r="FO246" i="30"/>
  <c r="FP246" i="30"/>
  <c r="FQ246" i="30"/>
  <c r="FR246" i="30"/>
  <c r="FS246" i="30"/>
  <c r="FT246" i="30"/>
  <c r="FU246" i="30"/>
  <c r="FV246" i="30"/>
  <c r="FW246" i="30"/>
  <c r="FX246" i="30"/>
  <c r="FY246" i="30"/>
  <c r="FZ246" i="30"/>
  <c r="GA246" i="30"/>
  <c r="GB246" i="30"/>
  <c r="GC246" i="30"/>
  <c r="GD246" i="30"/>
  <c r="GE246" i="30"/>
  <c r="GF246" i="30"/>
  <c r="GG246" i="30"/>
  <c r="GH246" i="30"/>
  <c r="GI246" i="30"/>
  <c r="GJ246" i="30"/>
  <c r="GK246" i="30"/>
  <c r="GL246" i="30"/>
  <c r="GM246" i="30"/>
  <c r="GN246" i="30"/>
  <c r="GO246" i="30"/>
  <c r="GP246" i="30"/>
  <c r="GQ246" i="30"/>
  <c r="GR246" i="30"/>
  <c r="GS246" i="30"/>
  <c r="GT246" i="30"/>
  <c r="GU246" i="30"/>
  <c r="GV246" i="30"/>
  <c r="GW246" i="30"/>
  <c r="GX246" i="30"/>
  <c r="GY246" i="30"/>
  <c r="GZ246" i="30"/>
  <c r="HA246" i="30"/>
  <c r="HB246" i="30"/>
  <c r="HC246" i="30"/>
  <c r="HD246" i="30"/>
  <c r="HE246" i="30"/>
  <c r="HF246" i="30"/>
  <c r="HG246" i="30"/>
  <c r="HH246" i="30"/>
  <c r="HI246" i="30"/>
  <c r="HJ246" i="30"/>
  <c r="HK246" i="30"/>
  <c r="HL246" i="30"/>
  <c r="HM246" i="30"/>
  <c r="HN246" i="30"/>
  <c r="HO246" i="30"/>
  <c r="HP246" i="30"/>
  <c r="HQ246" i="30"/>
  <c r="HR246" i="30"/>
  <c r="HS246" i="30"/>
  <c r="HT246" i="30"/>
  <c r="HU246" i="30"/>
  <c r="HV246" i="30"/>
  <c r="HW246" i="30"/>
  <c r="HX246" i="30"/>
  <c r="HY246" i="30"/>
  <c r="HZ246" i="30"/>
  <c r="IA246" i="30"/>
  <c r="IB246" i="30"/>
  <c r="IC246" i="30"/>
  <c r="ID246" i="30"/>
  <c r="IE246" i="30"/>
  <c r="IF246" i="30"/>
  <c r="IG246" i="30"/>
  <c r="IH246" i="30"/>
  <c r="II246" i="30"/>
  <c r="IJ246" i="30"/>
  <c r="IK246" i="30"/>
  <c r="IL246" i="30"/>
  <c r="IM246" i="30"/>
  <c r="IN246" i="30"/>
  <c r="IO246" i="30"/>
  <c r="IP246" i="30"/>
  <c r="IQ246" i="30"/>
  <c r="IR246" i="30"/>
  <c r="IS246" i="30"/>
  <c r="IT246" i="30"/>
  <c r="IU246" i="30"/>
  <c r="IV246" i="30"/>
  <c r="A245" i="30"/>
  <c r="B245" i="30"/>
  <c r="C245" i="30"/>
  <c r="D245" i="30"/>
  <c r="E245" i="30"/>
  <c r="F245" i="30"/>
  <c r="G245" i="30"/>
  <c r="H245" i="30"/>
  <c r="I245" i="30"/>
  <c r="J245" i="30"/>
  <c r="K245" i="30"/>
  <c r="L245" i="30"/>
  <c r="M245" i="30"/>
  <c r="N245" i="30"/>
  <c r="O245" i="30"/>
  <c r="P245" i="30"/>
  <c r="Q245" i="30"/>
  <c r="R245" i="30"/>
  <c r="S245" i="30"/>
  <c r="T245" i="30"/>
  <c r="U245" i="30"/>
  <c r="V245" i="30"/>
  <c r="W245" i="30"/>
  <c r="X245" i="30"/>
  <c r="Y245" i="30"/>
  <c r="Z245" i="30"/>
  <c r="AA245" i="30"/>
  <c r="AB245" i="30"/>
  <c r="AC245" i="30"/>
  <c r="AD245" i="30"/>
  <c r="AE245" i="30"/>
  <c r="AF245" i="30"/>
  <c r="AG245" i="30"/>
  <c r="AH245" i="30"/>
  <c r="AI245" i="30"/>
  <c r="AJ245" i="30"/>
  <c r="AK245" i="30"/>
  <c r="AL245" i="30"/>
  <c r="AM245" i="30"/>
  <c r="AN245" i="30"/>
  <c r="AO245" i="30"/>
  <c r="AP245" i="30"/>
  <c r="AQ245" i="30"/>
  <c r="AR245" i="30"/>
  <c r="AS245" i="30"/>
  <c r="AT245" i="30"/>
  <c r="AU245" i="30"/>
  <c r="AV245" i="30"/>
  <c r="AW245" i="30"/>
  <c r="AX245" i="30"/>
  <c r="AY245" i="30"/>
  <c r="AZ245" i="30"/>
  <c r="BA245" i="30"/>
  <c r="BB245" i="30"/>
  <c r="BC245" i="30"/>
  <c r="BD245" i="30"/>
  <c r="BE245" i="30"/>
  <c r="BF245" i="30"/>
  <c r="BG245" i="30"/>
  <c r="BH245" i="30"/>
  <c r="BI245" i="30"/>
  <c r="BJ245" i="30"/>
  <c r="BK245" i="30"/>
  <c r="BL245" i="30"/>
  <c r="BM245" i="30"/>
  <c r="BN245" i="30"/>
  <c r="BO245" i="30"/>
  <c r="BP245" i="30"/>
  <c r="BQ245" i="30"/>
  <c r="BR245" i="30"/>
  <c r="BS245" i="30"/>
  <c r="BT245" i="30"/>
  <c r="BU245" i="30"/>
  <c r="BV245" i="30"/>
  <c r="BW245" i="30"/>
  <c r="BX245" i="30"/>
  <c r="BY245" i="30"/>
  <c r="BZ245" i="30"/>
  <c r="CA245" i="30"/>
  <c r="CB245" i="30"/>
  <c r="CC245" i="30"/>
  <c r="CD245" i="30"/>
  <c r="CE245" i="30"/>
  <c r="CF245" i="30"/>
  <c r="CG245" i="30"/>
  <c r="CH245" i="30"/>
  <c r="CI245" i="30"/>
  <c r="CJ245" i="30"/>
  <c r="CK245" i="30"/>
  <c r="CL245" i="30"/>
  <c r="CM245" i="30"/>
  <c r="CN245" i="30"/>
  <c r="CO245" i="30"/>
  <c r="CP245" i="30"/>
  <c r="CQ245" i="30"/>
  <c r="CR245" i="30"/>
  <c r="CS245" i="30"/>
  <c r="CT245" i="30"/>
  <c r="CU245" i="30"/>
  <c r="CV245" i="30"/>
  <c r="CW245" i="30"/>
  <c r="CX245" i="30"/>
  <c r="CY245" i="30"/>
  <c r="CZ245" i="30"/>
  <c r="DA245" i="30"/>
  <c r="DB245" i="30"/>
  <c r="DC245" i="30"/>
  <c r="DD245" i="30"/>
  <c r="DE245" i="30"/>
  <c r="DF245" i="30"/>
  <c r="DG245" i="30"/>
  <c r="DH245" i="30"/>
  <c r="DI245" i="30"/>
  <c r="DJ245" i="30"/>
  <c r="DK245" i="30"/>
  <c r="DL245" i="30"/>
  <c r="DM245" i="30"/>
  <c r="DN245" i="30"/>
  <c r="DO245" i="30"/>
  <c r="DP245" i="30"/>
  <c r="DQ245" i="30"/>
  <c r="DR245" i="30"/>
  <c r="DS245" i="30"/>
  <c r="DT245" i="30"/>
  <c r="DU245" i="30"/>
  <c r="DV245" i="30"/>
  <c r="DW245" i="30"/>
  <c r="DX245" i="30"/>
  <c r="DY245" i="30"/>
  <c r="DZ245" i="30"/>
  <c r="EA245" i="30"/>
  <c r="EB245" i="30"/>
  <c r="EC245" i="30"/>
  <c r="ED245" i="30"/>
  <c r="EE245" i="30"/>
  <c r="EF245" i="30"/>
  <c r="EG245" i="30"/>
  <c r="EH245" i="30"/>
  <c r="EI245" i="30"/>
  <c r="EJ245" i="30"/>
  <c r="EK245" i="30"/>
  <c r="EL245" i="30"/>
  <c r="EM245" i="30"/>
  <c r="EN245" i="30"/>
  <c r="EO245" i="30"/>
  <c r="EP245" i="30"/>
  <c r="EQ245" i="30"/>
  <c r="ER245" i="30"/>
  <c r="ES245" i="30"/>
  <c r="ET245" i="30"/>
  <c r="EU245" i="30"/>
  <c r="EV245" i="30"/>
  <c r="EW245" i="30"/>
  <c r="EX245" i="30"/>
  <c r="EY245" i="30"/>
  <c r="EZ245" i="30"/>
  <c r="FA245" i="30"/>
  <c r="FB245" i="30"/>
  <c r="FC245" i="30"/>
  <c r="FD245" i="30"/>
  <c r="FE245" i="30"/>
  <c r="FF245" i="30"/>
  <c r="FG245" i="30"/>
  <c r="FH245" i="30"/>
  <c r="FI245" i="30"/>
  <c r="FJ245" i="30"/>
  <c r="FK245" i="30"/>
  <c r="FL245" i="30"/>
  <c r="FM245" i="30"/>
  <c r="FN245" i="30"/>
  <c r="FO245" i="30"/>
  <c r="FP245" i="30"/>
  <c r="FQ245" i="30"/>
  <c r="FR245" i="30"/>
  <c r="FS245" i="30"/>
  <c r="FT245" i="30"/>
  <c r="FU245" i="30"/>
  <c r="FV245" i="30"/>
  <c r="FW245" i="30"/>
  <c r="FX245" i="30"/>
  <c r="FY245" i="30"/>
  <c r="FZ245" i="30"/>
  <c r="GA245" i="30"/>
  <c r="GB245" i="30"/>
  <c r="GC245" i="30"/>
  <c r="GD245" i="30"/>
  <c r="GE245" i="30"/>
  <c r="GF245" i="30"/>
  <c r="GG245" i="30"/>
  <c r="GH245" i="30"/>
  <c r="GI245" i="30"/>
  <c r="GJ245" i="30"/>
  <c r="GK245" i="30"/>
  <c r="GL245" i="30"/>
  <c r="GM245" i="30"/>
  <c r="GN245" i="30"/>
  <c r="GO245" i="30"/>
  <c r="GP245" i="30"/>
  <c r="GQ245" i="30"/>
  <c r="GR245" i="30"/>
  <c r="GS245" i="30"/>
  <c r="GT245" i="30"/>
  <c r="GU245" i="30"/>
  <c r="GV245" i="30"/>
  <c r="GW245" i="30"/>
  <c r="GX245" i="30"/>
  <c r="GY245" i="30"/>
  <c r="GZ245" i="30"/>
  <c r="HA245" i="30"/>
  <c r="HB245" i="30"/>
  <c r="HC245" i="30"/>
  <c r="HD245" i="30"/>
  <c r="HE245" i="30"/>
  <c r="HF245" i="30"/>
  <c r="HG245" i="30"/>
  <c r="HH245" i="30"/>
  <c r="HI245" i="30"/>
  <c r="HJ245" i="30"/>
  <c r="HK245" i="30"/>
  <c r="HL245" i="30"/>
  <c r="HM245" i="30"/>
  <c r="HN245" i="30"/>
  <c r="HO245" i="30"/>
  <c r="HP245" i="30"/>
  <c r="HQ245" i="30"/>
  <c r="HR245" i="30"/>
  <c r="HS245" i="30"/>
  <c r="HT245" i="30"/>
  <c r="HU245" i="30"/>
  <c r="HV245" i="30"/>
  <c r="HW245" i="30"/>
  <c r="HX245" i="30"/>
  <c r="HY245" i="30"/>
  <c r="HZ245" i="30"/>
  <c r="IA245" i="30"/>
  <c r="IB245" i="30"/>
  <c r="IC245" i="30"/>
  <c r="ID245" i="30"/>
  <c r="IE245" i="30"/>
  <c r="IF245" i="30"/>
  <c r="IG245" i="30"/>
  <c r="IH245" i="30"/>
  <c r="II245" i="30"/>
  <c r="IJ245" i="30"/>
  <c r="IK245" i="30"/>
  <c r="IL245" i="30"/>
  <c r="IM245" i="30"/>
  <c r="IN245" i="30"/>
  <c r="IO245" i="30"/>
  <c r="IP245" i="30"/>
  <c r="IQ245" i="30"/>
  <c r="IR245" i="30"/>
  <c r="IS245" i="30"/>
  <c r="IT245" i="30"/>
  <c r="IU245" i="30"/>
  <c r="IV245" i="30"/>
  <c r="A244" i="30"/>
  <c r="B244" i="30"/>
  <c r="C244" i="30"/>
  <c r="D244" i="30"/>
  <c r="E244" i="30"/>
  <c r="F244" i="30"/>
  <c r="G244" i="30"/>
  <c r="H244" i="30"/>
  <c r="I244" i="30"/>
  <c r="J244" i="30"/>
  <c r="K244" i="30"/>
  <c r="L244" i="30"/>
  <c r="M244" i="30"/>
  <c r="N244" i="30"/>
  <c r="O244" i="30"/>
  <c r="P244" i="30"/>
  <c r="Q244" i="30"/>
  <c r="R244" i="30"/>
  <c r="S244" i="30"/>
  <c r="T244" i="30"/>
  <c r="U244" i="30"/>
  <c r="V244" i="30"/>
  <c r="W244" i="30"/>
  <c r="X244" i="30"/>
  <c r="Y244" i="30"/>
  <c r="Z244" i="30"/>
  <c r="AA244" i="30"/>
  <c r="AB244" i="30"/>
  <c r="AC244" i="30"/>
  <c r="AD244" i="30"/>
  <c r="AE244" i="30"/>
  <c r="AF244" i="30"/>
  <c r="AG244" i="30"/>
  <c r="AH244" i="30"/>
  <c r="AI244" i="30"/>
  <c r="AJ244" i="30"/>
  <c r="AK244" i="30"/>
  <c r="AL244" i="30"/>
  <c r="AM244" i="30"/>
  <c r="AN244" i="30"/>
  <c r="AO244" i="30"/>
  <c r="AP244" i="30"/>
  <c r="AQ244" i="30"/>
  <c r="AR244" i="30"/>
  <c r="AS244" i="30"/>
  <c r="AT244" i="30"/>
  <c r="AU244" i="30"/>
  <c r="AV244" i="30"/>
  <c r="AW244" i="30"/>
  <c r="AX244" i="30"/>
  <c r="AY244" i="30"/>
  <c r="AZ244" i="30"/>
  <c r="BA244" i="30"/>
  <c r="BB244" i="30"/>
  <c r="BC244" i="30"/>
  <c r="BD244" i="30"/>
  <c r="BE244" i="30"/>
  <c r="BF244" i="30"/>
  <c r="BG244" i="30"/>
  <c r="BH244" i="30"/>
  <c r="BI244" i="30"/>
  <c r="BJ244" i="30"/>
  <c r="BK244" i="30"/>
  <c r="BL244" i="30"/>
  <c r="BM244" i="30"/>
  <c r="BN244" i="30"/>
  <c r="BO244" i="30"/>
  <c r="BP244" i="30"/>
  <c r="BQ244" i="30"/>
  <c r="BR244" i="30"/>
  <c r="BS244" i="30"/>
  <c r="BT244" i="30"/>
  <c r="BU244" i="30"/>
  <c r="BV244" i="30"/>
  <c r="BW244" i="30"/>
  <c r="BX244" i="30"/>
  <c r="BY244" i="30"/>
  <c r="BZ244" i="30"/>
  <c r="CA244" i="30"/>
  <c r="CB244" i="30"/>
  <c r="CC244" i="30"/>
  <c r="CD244" i="30"/>
  <c r="CE244" i="30"/>
  <c r="CF244" i="30"/>
  <c r="CG244" i="30"/>
  <c r="CH244" i="30"/>
  <c r="CI244" i="30"/>
  <c r="CJ244" i="30"/>
  <c r="CK244" i="30"/>
  <c r="CL244" i="30"/>
  <c r="CM244" i="30"/>
  <c r="CN244" i="30"/>
  <c r="CO244" i="30"/>
  <c r="CP244" i="30"/>
  <c r="CQ244" i="30"/>
  <c r="CR244" i="30"/>
  <c r="CS244" i="30"/>
  <c r="CT244" i="30"/>
  <c r="CU244" i="30"/>
  <c r="CV244" i="30"/>
  <c r="CW244" i="30"/>
  <c r="CX244" i="30"/>
  <c r="CY244" i="30"/>
  <c r="CZ244" i="30"/>
  <c r="DA244" i="30"/>
  <c r="DB244" i="30"/>
  <c r="DC244" i="30"/>
  <c r="DD244" i="30"/>
  <c r="DE244" i="30"/>
  <c r="DF244" i="30"/>
  <c r="DG244" i="30"/>
  <c r="DH244" i="30"/>
  <c r="DI244" i="30"/>
  <c r="DJ244" i="30"/>
  <c r="DK244" i="30"/>
  <c r="DL244" i="30"/>
  <c r="DM244" i="30"/>
  <c r="DN244" i="30"/>
  <c r="DO244" i="30"/>
  <c r="DP244" i="30"/>
  <c r="DQ244" i="30"/>
  <c r="DR244" i="30"/>
  <c r="DS244" i="30"/>
  <c r="DT244" i="30"/>
  <c r="DU244" i="30"/>
  <c r="DV244" i="30"/>
  <c r="DW244" i="30"/>
  <c r="DX244" i="30"/>
  <c r="DY244" i="30"/>
  <c r="DZ244" i="30"/>
  <c r="EA244" i="30"/>
  <c r="EB244" i="30"/>
  <c r="EC244" i="30"/>
  <c r="ED244" i="30"/>
  <c r="EE244" i="30"/>
  <c r="EF244" i="30"/>
  <c r="EG244" i="30"/>
  <c r="EH244" i="30"/>
  <c r="EI244" i="30"/>
  <c r="EJ244" i="30"/>
  <c r="EK244" i="30"/>
  <c r="EL244" i="30"/>
  <c r="EM244" i="30"/>
  <c r="EN244" i="30"/>
  <c r="EO244" i="30"/>
  <c r="EP244" i="30"/>
  <c r="EQ244" i="30"/>
  <c r="ER244" i="30"/>
  <c r="ES244" i="30"/>
  <c r="ET244" i="30"/>
  <c r="EU244" i="30"/>
  <c r="EV244" i="30"/>
  <c r="EW244" i="30"/>
  <c r="EX244" i="30"/>
  <c r="EY244" i="30"/>
  <c r="EZ244" i="30"/>
  <c r="FA244" i="30"/>
  <c r="FB244" i="30"/>
  <c r="FC244" i="30"/>
  <c r="FD244" i="30"/>
  <c r="FE244" i="30"/>
  <c r="FF244" i="30"/>
  <c r="FG244" i="30"/>
  <c r="FH244" i="30"/>
  <c r="FI244" i="30"/>
  <c r="FJ244" i="30"/>
  <c r="FK244" i="30"/>
  <c r="FL244" i="30"/>
  <c r="FM244" i="30"/>
  <c r="FN244" i="30"/>
  <c r="FO244" i="30"/>
  <c r="FP244" i="30"/>
  <c r="FQ244" i="30"/>
  <c r="FR244" i="30"/>
  <c r="FS244" i="30"/>
  <c r="FT244" i="30"/>
  <c r="FU244" i="30"/>
  <c r="FV244" i="30"/>
  <c r="FW244" i="30"/>
  <c r="FX244" i="30"/>
  <c r="FY244" i="30"/>
  <c r="FZ244" i="30"/>
  <c r="GA244" i="30"/>
  <c r="GB244" i="30"/>
  <c r="GC244" i="30"/>
  <c r="GD244" i="30"/>
  <c r="GE244" i="30"/>
  <c r="GF244" i="30"/>
  <c r="GG244" i="30"/>
  <c r="GH244" i="30"/>
  <c r="GI244" i="30"/>
  <c r="GJ244" i="30"/>
  <c r="GK244" i="30"/>
  <c r="GL244" i="30"/>
  <c r="GM244" i="30"/>
  <c r="GN244" i="30"/>
  <c r="GO244" i="30"/>
  <c r="GP244" i="30"/>
  <c r="GQ244" i="30"/>
  <c r="GR244" i="30"/>
  <c r="GS244" i="30"/>
  <c r="GT244" i="30"/>
  <c r="GU244" i="30"/>
  <c r="GV244" i="30"/>
  <c r="GW244" i="30"/>
  <c r="GX244" i="30"/>
  <c r="GY244" i="30"/>
  <c r="GZ244" i="30"/>
  <c r="HA244" i="30"/>
  <c r="HB244" i="30"/>
  <c r="HC244" i="30"/>
  <c r="HD244" i="30"/>
  <c r="HE244" i="30"/>
  <c r="HF244" i="30"/>
  <c r="HG244" i="30"/>
  <c r="HH244" i="30"/>
  <c r="HI244" i="30"/>
  <c r="HJ244" i="30"/>
  <c r="HK244" i="30"/>
  <c r="HL244" i="30"/>
  <c r="HM244" i="30"/>
  <c r="HN244" i="30"/>
  <c r="HO244" i="30"/>
  <c r="HP244" i="30"/>
  <c r="HQ244" i="30"/>
  <c r="HR244" i="30"/>
  <c r="HS244" i="30"/>
  <c r="HT244" i="30"/>
  <c r="HU244" i="30"/>
  <c r="HV244" i="30"/>
  <c r="HW244" i="30"/>
  <c r="HX244" i="30"/>
  <c r="HY244" i="30"/>
  <c r="HZ244" i="30"/>
  <c r="IA244" i="30"/>
  <c r="IB244" i="30"/>
  <c r="IC244" i="30"/>
  <c r="ID244" i="30"/>
  <c r="IE244" i="30"/>
  <c r="IF244" i="30"/>
  <c r="IG244" i="30"/>
  <c r="IH244" i="30"/>
  <c r="II244" i="30"/>
  <c r="IJ244" i="30"/>
  <c r="IK244" i="30"/>
  <c r="IL244" i="30"/>
  <c r="IM244" i="30"/>
  <c r="IN244" i="30"/>
  <c r="IO244" i="30"/>
  <c r="IP244" i="30"/>
  <c r="IQ244" i="30"/>
  <c r="IR244" i="30"/>
  <c r="IS244" i="30"/>
  <c r="IT244" i="30"/>
  <c r="IU244" i="30"/>
  <c r="IV244" i="30"/>
  <c r="A243" i="30"/>
  <c r="B243" i="30"/>
  <c r="C243" i="30"/>
  <c r="D243" i="30"/>
  <c r="E243" i="30"/>
  <c r="F243" i="30"/>
  <c r="G243" i="30"/>
  <c r="H243" i="30"/>
  <c r="I243" i="30"/>
  <c r="J243" i="30"/>
  <c r="K243" i="30"/>
  <c r="L243" i="30"/>
  <c r="M243" i="30"/>
  <c r="N243" i="30"/>
  <c r="O243" i="30"/>
  <c r="P243" i="30"/>
  <c r="Q243" i="30"/>
  <c r="R243" i="30"/>
  <c r="S243" i="30"/>
  <c r="T243" i="30"/>
  <c r="U243" i="30"/>
  <c r="V243" i="30"/>
  <c r="W243" i="30"/>
  <c r="X243" i="30"/>
  <c r="Y243" i="30"/>
  <c r="Z243" i="30"/>
  <c r="AA243" i="30"/>
  <c r="AB243" i="30"/>
  <c r="AC243" i="30"/>
  <c r="AD243" i="30"/>
  <c r="AE243" i="30"/>
  <c r="AF243" i="30"/>
  <c r="AG243" i="30"/>
  <c r="AH243" i="30"/>
  <c r="AI243" i="30"/>
  <c r="AJ243" i="30"/>
  <c r="AK243" i="30"/>
  <c r="AL243" i="30"/>
  <c r="AM243" i="30"/>
  <c r="AN243" i="30"/>
  <c r="AO243" i="30"/>
  <c r="AP243" i="30"/>
  <c r="AQ243" i="30"/>
  <c r="AR243" i="30"/>
  <c r="AS243" i="30"/>
  <c r="AT243" i="30"/>
  <c r="AU243" i="30"/>
  <c r="AV243" i="30"/>
  <c r="AW243" i="30"/>
  <c r="AX243" i="30"/>
  <c r="AY243" i="30"/>
  <c r="AZ243" i="30"/>
  <c r="BA243" i="30"/>
  <c r="BB243" i="30"/>
  <c r="BC243" i="30"/>
  <c r="BD243" i="30"/>
  <c r="BE243" i="30"/>
  <c r="BF243" i="30"/>
  <c r="BG243" i="30"/>
  <c r="BH243" i="30"/>
  <c r="BI243" i="30"/>
  <c r="BJ243" i="30"/>
  <c r="BK243" i="30"/>
  <c r="BL243" i="30"/>
  <c r="BM243" i="30"/>
  <c r="BN243" i="30"/>
  <c r="BO243" i="30"/>
  <c r="BP243" i="30"/>
  <c r="BQ243" i="30"/>
  <c r="BR243" i="30"/>
  <c r="BS243" i="30"/>
  <c r="BT243" i="30"/>
  <c r="BU243" i="30"/>
  <c r="BV243" i="30"/>
  <c r="BW243" i="30"/>
  <c r="BX243" i="30"/>
  <c r="BY243" i="30"/>
  <c r="BZ243" i="30"/>
  <c r="CA243" i="30"/>
  <c r="CB243" i="30"/>
  <c r="CC243" i="30"/>
  <c r="CD243" i="30"/>
  <c r="CE243" i="30"/>
  <c r="CF243" i="30"/>
  <c r="CG243" i="30"/>
  <c r="CH243" i="30"/>
  <c r="CI243" i="30"/>
  <c r="CJ243" i="30"/>
  <c r="CK243" i="30"/>
  <c r="CL243" i="30"/>
  <c r="CM243" i="30"/>
  <c r="CN243" i="30"/>
  <c r="CO243" i="30"/>
  <c r="CP243" i="30"/>
  <c r="CQ243" i="30"/>
  <c r="CR243" i="30"/>
  <c r="CS243" i="30"/>
  <c r="CT243" i="30"/>
  <c r="CU243" i="30"/>
  <c r="CV243" i="30"/>
  <c r="CW243" i="30"/>
  <c r="CX243" i="30"/>
  <c r="CY243" i="30"/>
  <c r="CZ243" i="30"/>
  <c r="DA243" i="30"/>
  <c r="DB243" i="30"/>
  <c r="DC243" i="30"/>
  <c r="DD243" i="30"/>
  <c r="DE243" i="30"/>
  <c r="DF243" i="30"/>
  <c r="DG243" i="30"/>
  <c r="DH243" i="30"/>
  <c r="DI243" i="30"/>
  <c r="DJ243" i="30"/>
  <c r="DK243" i="30"/>
  <c r="DL243" i="30"/>
  <c r="DM243" i="30"/>
  <c r="DN243" i="30"/>
  <c r="DO243" i="30"/>
  <c r="DP243" i="30"/>
  <c r="DQ243" i="30"/>
  <c r="DR243" i="30"/>
  <c r="DS243" i="30"/>
  <c r="DT243" i="30"/>
  <c r="DU243" i="30"/>
  <c r="DV243" i="30"/>
  <c r="DW243" i="30"/>
  <c r="DX243" i="30"/>
  <c r="DY243" i="30"/>
  <c r="DZ243" i="30"/>
  <c r="EA243" i="30"/>
  <c r="EB243" i="30"/>
  <c r="EC243" i="30"/>
  <c r="ED243" i="30"/>
  <c r="EE243" i="30"/>
  <c r="EF243" i="30"/>
  <c r="EG243" i="30"/>
  <c r="EH243" i="30"/>
  <c r="EI243" i="30"/>
  <c r="EJ243" i="30"/>
  <c r="EK243" i="30"/>
  <c r="EL243" i="30"/>
  <c r="EM243" i="30"/>
  <c r="EN243" i="30"/>
  <c r="EO243" i="30"/>
  <c r="EP243" i="30"/>
  <c r="EQ243" i="30"/>
  <c r="ER243" i="30"/>
  <c r="ES243" i="30"/>
  <c r="ET243" i="30"/>
  <c r="EU243" i="30"/>
  <c r="EV243" i="30"/>
  <c r="EW243" i="30"/>
  <c r="EX243" i="30"/>
  <c r="EY243" i="30"/>
  <c r="EZ243" i="30"/>
  <c r="FA243" i="30"/>
  <c r="FB243" i="30"/>
  <c r="FC243" i="30"/>
  <c r="FD243" i="30"/>
  <c r="FE243" i="30"/>
  <c r="FF243" i="30"/>
  <c r="FG243" i="30"/>
  <c r="FH243" i="30"/>
  <c r="FI243" i="30"/>
  <c r="FJ243" i="30"/>
  <c r="FK243" i="30"/>
  <c r="FL243" i="30"/>
  <c r="FM243" i="30"/>
  <c r="FN243" i="30"/>
  <c r="FO243" i="30"/>
  <c r="FP243" i="30"/>
  <c r="FQ243" i="30"/>
  <c r="FR243" i="30"/>
  <c r="FS243" i="30"/>
  <c r="FT243" i="30"/>
  <c r="FU243" i="30"/>
  <c r="FV243" i="30"/>
  <c r="FW243" i="30"/>
  <c r="FX243" i="30"/>
  <c r="FY243" i="30"/>
  <c r="FZ243" i="30"/>
  <c r="GA243" i="30"/>
  <c r="GB243" i="30"/>
  <c r="GC243" i="30"/>
  <c r="GD243" i="30"/>
  <c r="GE243" i="30"/>
  <c r="GF243" i="30"/>
  <c r="GG243" i="30"/>
  <c r="GH243" i="30"/>
  <c r="GI243" i="30"/>
  <c r="GJ243" i="30"/>
  <c r="GK243" i="30"/>
  <c r="GL243" i="30"/>
  <c r="GM243" i="30"/>
  <c r="GN243" i="30"/>
  <c r="GO243" i="30"/>
  <c r="GP243" i="30"/>
  <c r="GQ243" i="30"/>
  <c r="GR243" i="30"/>
  <c r="GS243" i="30"/>
  <c r="GT243" i="30"/>
  <c r="GU243" i="30"/>
  <c r="GV243" i="30"/>
  <c r="GW243" i="30"/>
  <c r="GX243" i="30"/>
  <c r="GY243" i="30"/>
  <c r="GZ243" i="30"/>
  <c r="HA243" i="30"/>
  <c r="HB243" i="30"/>
  <c r="HC243" i="30"/>
  <c r="HD243" i="30"/>
  <c r="HE243" i="30"/>
  <c r="HF243" i="30"/>
  <c r="HG243" i="30"/>
  <c r="HH243" i="30"/>
  <c r="HI243" i="30"/>
  <c r="HJ243" i="30"/>
  <c r="HK243" i="30"/>
  <c r="HL243" i="30"/>
  <c r="HM243" i="30"/>
  <c r="HN243" i="30"/>
  <c r="HO243" i="30"/>
  <c r="HP243" i="30"/>
  <c r="HQ243" i="30"/>
  <c r="HR243" i="30"/>
  <c r="HS243" i="30"/>
  <c r="HT243" i="30"/>
  <c r="HU243" i="30"/>
  <c r="HV243" i="30"/>
  <c r="HW243" i="30"/>
  <c r="HX243" i="30"/>
  <c r="HY243" i="30"/>
  <c r="HZ243" i="30"/>
  <c r="IA243" i="30"/>
  <c r="IB243" i="30"/>
  <c r="IC243" i="30"/>
  <c r="ID243" i="30"/>
  <c r="IE243" i="30"/>
  <c r="IF243" i="30"/>
  <c r="IG243" i="30"/>
  <c r="IH243" i="30"/>
  <c r="II243" i="30"/>
  <c r="IJ243" i="30"/>
  <c r="IK243" i="30"/>
  <c r="IL243" i="30"/>
  <c r="IM243" i="30"/>
  <c r="IN243" i="30"/>
  <c r="IO243" i="30"/>
  <c r="IP243" i="30"/>
  <c r="IQ243" i="30"/>
  <c r="IR243" i="30"/>
  <c r="IS243" i="30"/>
  <c r="IT243" i="30"/>
  <c r="IU243" i="30"/>
  <c r="IV243" i="30"/>
  <c r="A242" i="30"/>
  <c r="B242" i="30"/>
  <c r="C242" i="30"/>
  <c r="D242" i="30"/>
  <c r="E242" i="30"/>
  <c r="F242" i="30"/>
  <c r="G242" i="30"/>
  <c r="H242" i="30"/>
  <c r="I242" i="30"/>
  <c r="J242" i="30"/>
  <c r="K242" i="30"/>
  <c r="L242" i="30"/>
  <c r="M242" i="30"/>
  <c r="N242" i="30"/>
  <c r="O242" i="30"/>
  <c r="P242" i="30"/>
  <c r="Q242" i="30"/>
  <c r="R242" i="30"/>
  <c r="S242" i="30"/>
  <c r="T242" i="30"/>
  <c r="U242" i="30"/>
  <c r="V242" i="30"/>
  <c r="W242" i="30"/>
  <c r="X242" i="30"/>
  <c r="Y242" i="30"/>
  <c r="Z242" i="30"/>
  <c r="AA242" i="30"/>
  <c r="AB242" i="30"/>
  <c r="AC242" i="30"/>
  <c r="AD242" i="30"/>
  <c r="AE242" i="30"/>
  <c r="AF242" i="30"/>
  <c r="AG242" i="30"/>
  <c r="AH242" i="30"/>
  <c r="AI242" i="30"/>
  <c r="AJ242" i="30"/>
  <c r="AK242" i="30"/>
  <c r="AL242" i="30"/>
  <c r="AM242" i="30"/>
  <c r="AN242" i="30"/>
  <c r="AO242" i="30"/>
  <c r="AP242" i="30"/>
  <c r="AQ242" i="30"/>
  <c r="AR242" i="30"/>
  <c r="AS242" i="30"/>
  <c r="AT242" i="30"/>
  <c r="AU242" i="30"/>
  <c r="AV242" i="30"/>
  <c r="AW242" i="30"/>
  <c r="AX242" i="30"/>
  <c r="AY242" i="30"/>
  <c r="AZ242" i="30"/>
  <c r="BA242" i="30"/>
  <c r="BB242" i="30"/>
  <c r="BC242" i="30"/>
  <c r="BD242" i="30"/>
  <c r="BE242" i="30"/>
  <c r="BF242" i="30"/>
  <c r="BG242" i="30"/>
  <c r="BH242" i="30"/>
  <c r="BI242" i="30"/>
  <c r="BJ242" i="30"/>
  <c r="BK242" i="30"/>
  <c r="BL242" i="30"/>
  <c r="BM242" i="30"/>
  <c r="BN242" i="30"/>
  <c r="BO242" i="30"/>
  <c r="BP242" i="30"/>
  <c r="BQ242" i="30"/>
  <c r="BR242" i="30"/>
  <c r="BS242" i="30"/>
  <c r="BT242" i="30"/>
  <c r="BU242" i="30"/>
  <c r="BV242" i="30"/>
  <c r="BW242" i="30"/>
  <c r="BX242" i="30"/>
  <c r="BY242" i="30"/>
  <c r="BZ242" i="30"/>
  <c r="CA242" i="30"/>
  <c r="CB242" i="30"/>
  <c r="CC242" i="30"/>
  <c r="CD242" i="30"/>
  <c r="CE242" i="30"/>
  <c r="CF242" i="30"/>
  <c r="CG242" i="30"/>
  <c r="CH242" i="30"/>
  <c r="CI242" i="30"/>
  <c r="CJ242" i="30"/>
  <c r="CK242" i="30"/>
  <c r="CL242" i="30"/>
  <c r="CM242" i="30"/>
  <c r="CN242" i="30"/>
  <c r="CO242" i="30"/>
  <c r="CP242" i="30"/>
  <c r="CQ242" i="30"/>
  <c r="CR242" i="30"/>
  <c r="CS242" i="30"/>
  <c r="CT242" i="30"/>
  <c r="CU242" i="30"/>
  <c r="CV242" i="30"/>
  <c r="CW242" i="30"/>
  <c r="CX242" i="30"/>
  <c r="CY242" i="30"/>
  <c r="CZ242" i="30"/>
  <c r="DA242" i="30"/>
  <c r="DB242" i="30"/>
  <c r="DC242" i="30"/>
  <c r="DD242" i="30"/>
  <c r="DE242" i="30"/>
  <c r="DF242" i="30"/>
  <c r="DG242" i="30"/>
  <c r="DH242" i="30"/>
  <c r="DI242" i="30"/>
  <c r="DJ242" i="30"/>
  <c r="DK242" i="30"/>
  <c r="DL242" i="30"/>
  <c r="DM242" i="30"/>
  <c r="DN242" i="30"/>
  <c r="DO242" i="30"/>
  <c r="DP242" i="30"/>
  <c r="DQ242" i="30"/>
  <c r="DR242" i="30"/>
  <c r="DS242" i="30"/>
  <c r="DT242" i="30"/>
  <c r="DU242" i="30"/>
  <c r="DV242" i="30"/>
  <c r="DW242" i="30"/>
  <c r="DX242" i="30"/>
  <c r="DY242" i="30"/>
  <c r="DZ242" i="30"/>
  <c r="EA242" i="30"/>
  <c r="EB242" i="30"/>
  <c r="EC242" i="30"/>
  <c r="ED242" i="30"/>
  <c r="EE242" i="30"/>
  <c r="EF242" i="30"/>
  <c r="EG242" i="30"/>
  <c r="EH242" i="30"/>
  <c r="EI242" i="30"/>
  <c r="EJ242" i="30"/>
  <c r="EK242" i="30"/>
  <c r="EL242" i="30"/>
  <c r="EM242" i="30"/>
  <c r="EN242" i="30"/>
  <c r="EO242" i="30"/>
  <c r="EP242" i="30"/>
  <c r="EQ242" i="30"/>
  <c r="ER242" i="30"/>
  <c r="ES242" i="30"/>
  <c r="ET242" i="30"/>
  <c r="EU242" i="30"/>
  <c r="EV242" i="30"/>
  <c r="EW242" i="30"/>
  <c r="EX242" i="30"/>
  <c r="EY242" i="30"/>
  <c r="EZ242" i="30"/>
  <c r="FA242" i="30"/>
  <c r="FB242" i="30"/>
  <c r="FC242" i="30"/>
  <c r="FD242" i="30"/>
  <c r="FE242" i="30"/>
  <c r="FF242" i="30"/>
  <c r="FG242" i="30"/>
  <c r="FH242" i="30"/>
  <c r="FI242" i="30"/>
  <c r="FJ242" i="30"/>
  <c r="FK242" i="30"/>
  <c r="FL242" i="30"/>
  <c r="FM242" i="30"/>
  <c r="FN242" i="30"/>
  <c r="FO242" i="30"/>
  <c r="FP242" i="30"/>
  <c r="FQ242" i="30"/>
  <c r="FR242" i="30"/>
  <c r="FS242" i="30"/>
  <c r="FT242" i="30"/>
  <c r="FU242" i="30"/>
  <c r="FV242" i="30"/>
  <c r="FW242" i="30"/>
  <c r="FX242" i="30"/>
  <c r="FY242" i="30"/>
  <c r="FZ242" i="30"/>
  <c r="GA242" i="30"/>
  <c r="GB242" i="30"/>
  <c r="GC242" i="30"/>
  <c r="GD242" i="30"/>
  <c r="GE242" i="30"/>
  <c r="GF242" i="30"/>
  <c r="GG242" i="30"/>
  <c r="GH242" i="30"/>
  <c r="GI242" i="30"/>
  <c r="GJ242" i="30"/>
  <c r="GK242" i="30"/>
  <c r="GL242" i="30"/>
  <c r="GM242" i="30"/>
  <c r="GN242" i="30"/>
  <c r="GO242" i="30"/>
  <c r="GP242" i="30"/>
  <c r="GQ242" i="30"/>
  <c r="GR242" i="30"/>
  <c r="GS242" i="30"/>
  <c r="GT242" i="30"/>
  <c r="GU242" i="30"/>
  <c r="GV242" i="30"/>
  <c r="GW242" i="30"/>
  <c r="GX242" i="30"/>
  <c r="GY242" i="30"/>
  <c r="GZ242" i="30"/>
  <c r="HA242" i="30"/>
  <c r="HB242" i="30"/>
  <c r="HC242" i="30"/>
  <c r="HD242" i="30"/>
  <c r="HE242" i="30"/>
  <c r="HF242" i="30"/>
  <c r="HG242" i="30"/>
  <c r="HH242" i="30"/>
  <c r="HI242" i="30"/>
  <c r="HJ242" i="30"/>
  <c r="HK242" i="30"/>
  <c r="HL242" i="30"/>
  <c r="HM242" i="30"/>
  <c r="HN242" i="30"/>
  <c r="HO242" i="30"/>
  <c r="HP242" i="30"/>
  <c r="HQ242" i="30"/>
  <c r="HR242" i="30"/>
  <c r="HS242" i="30"/>
  <c r="HT242" i="30"/>
  <c r="HU242" i="30"/>
  <c r="HV242" i="30"/>
  <c r="HW242" i="30"/>
  <c r="HX242" i="30"/>
  <c r="HY242" i="30"/>
  <c r="HZ242" i="30"/>
  <c r="IA242" i="30"/>
  <c r="IB242" i="30"/>
  <c r="IC242" i="30"/>
  <c r="ID242" i="30"/>
  <c r="IE242" i="30"/>
  <c r="IF242" i="30"/>
  <c r="IG242" i="30"/>
  <c r="IH242" i="30"/>
  <c r="II242" i="30"/>
  <c r="IJ242" i="30"/>
  <c r="IK242" i="30"/>
  <c r="IL242" i="30"/>
  <c r="IM242" i="30"/>
  <c r="IN242" i="30"/>
  <c r="IO242" i="30"/>
  <c r="IP242" i="30"/>
  <c r="IQ242" i="30"/>
  <c r="IR242" i="30"/>
  <c r="IS242" i="30"/>
  <c r="IT242" i="30"/>
  <c r="IU242" i="30"/>
  <c r="IV242" i="30"/>
  <c r="A241" i="30"/>
  <c r="B241" i="30"/>
  <c r="C241" i="30"/>
  <c r="D241" i="30"/>
  <c r="E241" i="30"/>
  <c r="F241" i="30"/>
  <c r="G241" i="30"/>
  <c r="H241" i="30"/>
  <c r="I241" i="30"/>
  <c r="J241" i="30"/>
  <c r="K241" i="30"/>
  <c r="L241" i="30"/>
  <c r="M241" i="30"/>
  <c r="N241" i="30"/>
  <c r="O241" i="30"/>
  <c r="P241" i="30"/>
  <c r="Q241" i="30"/>
  <c r="R241" i="30"/>
  <c r="S241" i="30"/>
  <c r="T241" i="30"/>
  <c r="U241" i="30"/>
  <c r="V241" i="30"/>
  <c r="W241" i="30"/>
  <c r="X241" i="30"/>
  <c r="Y241" i="30"/>
  <c r="Z241" i="30"/>
  <c r="AA241" i="30"/>
  <c r="AB241" i="30"/>
  <c r="AC241" i="30"/>
  <c r="AD241" i="30"/>
  <c r="AE241" i="30"/>
  <c r="AF241" i="30"/>
  <c r="AG241" i="30"/>
  <c r="AH241" i="30"/>
  <c r="AI241" i="30"/>
  <c r="AJ241" i="30"/>
  <c r="AK241" i="30"/>
  <c r="AL241" i="30"/>
  <c r="AM241" i="30"/>
  <c r="AN241" i="30"/>
  <c r="AO241" i="30"/>
  <c r="AP241" i="30"/>
  <c r="AQ241" i="30"/>
  <c r="AR241" i="30"/>
  <c r="AS241" i="30"/>
  <c r="AT241" i="30"/>
  <c r="AU241" i="30"/>
  <c r="AV241" i="30"/>
  <c r="AW241" i="30"/>
  <c r="AX241" i="30"/>
  <c r="AY241" i="30"/>
  <c r="AZ241" i="30"/>
  <c r="BA241" i="30"/>
  <c r="BB241" i="30"/>
  <c r="BC241" i="30"/>
  <c r="BD241" i="30"/>
  <c r="BE241" i="30"/>
  <c r="BF241" i="30"/>
  <c r="BG241" i="30"/>
  <c r="BH241" i="30"/>
  <c r="BI241" i="30"/>
  <c r="BJ241" i="30"/>
  <c r="BK241" i="30"/>
  <c r="BL241" i="30"/>
  <c r="BM241" i="30"/>
  <c r="BN241" i="30"/>
  <c r="BO241" i="30"/>
  <c r="BP241" i="30"/>
  <c r="BQ241" i="30"/>
  <c r="BR241" i="30"/>
  <c r="BS241" i="30"/>
  <c r="BT241" i="30"/>
  <c r="BU241" i="30"/>
  <c r="BV241" i="30"/>
  <c r="BW241" i="30"/>
  <c r="BX241" i="30"/>
  <c r="BY241" i="30"/>
  <c r="BZ241" i="30"/>
  <c r="CA241" i="30"/>
  <c r="CB241" i="30"/>
  <c r="CC241" i="30"/>
  <c r="CD241" i="30"/>
  <c r="CE241" i="30"/>
  <c r="CF241" i="30"/>
  <c r="CG241" i="30"/>
  <c r="CH241" i="30"/>
  <c r="CI241" i="30"/>
  <c r="CJ241" i="30"/>
  <c r="CK241" i="30"/>
  <c r="CL241" i="30"/>
  <c r="CM241" i="30"/>
  <c r="CN241" i="30"/>
  <c r="CO241" i="30"/>
  <c r="CP241" i="30"/>
  <c r="CQ241" i="30"/>
  <c r="CR241" i="30"/>
  <c r="CS241" i="30"/>
  <c r="CT241" i="30"/>
  <c r="CU241" i="30"/>
  <c r="CV241" i="30"/>
  <c r="CW241" i="30"/>
  <c r="CX241" i="30"/>
  <c r="CY241" i="30"/>
  <c r="CZ241" i="30"/>
  <c r="DA241" i="30"/>
  <c r="DB241" i="30"/>
  <c r="DC241" i="30"/>
  <c r="DD241" i="30"/>
  <c r="DE241" i="30"/>
  <c r="DF241" i="30"/>
  <c r="DG241" i="30"/>
  <c r="DH241" i="30"/>
  <c r="DI241" i="30"/>
  <c r="DJ241" i="30"/>
  <c r="DK241" i="30"/>
  <c r="DL241" i="30"/>
  <c r="DM241" i="30"/>
  <c r="DN241" i="30"/>
  <c r="DO241" i="30"/>
  <c r="DP241" i="30"/>
  <c r="DQ241" i="30"/>
  <c r="DR241" i="30"/>
  <c r="DS241" i="30"/>
  <c r="DT241" i="30"/>
  <c r="DU241" i="30"/>
  <c r="DV241" i="30"/>
  <c r="DW241" i="30"/>
  <c r="DX241" i="30"/>
  <c r="DY241" i="30"/>
  <c r="DZ241" i="30"/>
  <c r="EA241" i="30"/>
  <c r="EB241" i="30"/>
  <c r="EC241" i="30"/>
  <c r="ED241" i="30"/>
  <c r="EE241" i="30"/>
  <c r="EF241" i="30"/>
  <c r="EG241" i="30"/>
  <c r="EH241" i="30"/>
  <c r="EI241" i="30"/>
  <c r="EJ241" i="30"/>
  <c r="EK241" i="30"/>
  <c r="EL241" i="30"/>
  <c r="EM241" i="30"/>
  <c r="EN241" i="30"/>
  <c r="EO241" i="30"/>
  <c r="EP241" i="30"/>
  <c r="EQ241" i="30"/>
  <c r="ER241" i="30"/>
  <c r="ES241" i="30"/>
  <c r="ET241" i="30"/>
  <c r="EU241" i="30"/>
  <c r="EV241" i="30"/>
  <c r="EW241" i="30"/>
  <c r="EX241" i="30"/>
  <c r="EY241" i="30"/>
  <c r="EZ241" i="30"/>
  <c r="FA241" i="30"/>
  <c r="FB241" i="30"/>
  <c r="FC241" i="30"/>
  <c r="FD241" i="30"/>
  <c r="FE241" i="30"/>
  <c r="FF241" i="30"/>
  <c r="FG241" i="30"/>
  <c r="FH241" i="30"/>
  <c r="FI241" i="30"/>
  <c r="FJ241" i="30"/>
  <c r="FK241" i="30"/>
  <c r="FL241" i="30"/>
  <c r="FM241" i="30"/>
  <c r="FN241" i="30"/>
  <c r="FO241" i="30"/>
  <c r="FP241" i="30"/>
  <c r="FQ241" i="30"/>
  <c r="FR241" i="30"/>
  <c r="FS241" i="30"/>
  <c r="FT241" i="30"/>
  <c r="FU241" i="30"/>
  <c r="FV241" i="30"/>
  <c r="FW241" i="30"/>
  <c r="FX241" i="30"/>
  <c r="FY241" i="30"/>
  <c r="FZ241" i="30"/>
  <c r="GA241" i="30"/>
  <c r="GB241" i="30"/>
  <c r="GC241" i="30"/>
  <c r="GD241" i="30"/>
  <c r="GE241" i="30"/>
  <c r="GF241" i="30"/>
  <c r="GG241" i="30"/>
  <c r="GH241" i="30"/>
  <c r="GI241" i="30"/>
  <c r="GJ241" i="30"/>
  <c r="GK241" i="30"/>
  <c r="GL241" i="30"/>
  <c r="GM241" i="30"/>
  <c r="GN241" i="30"/>
  <c r="GO241" i="30"/>
  <c r="GP241" i="30"/>
  <c r="GQ241" i="30"/>
  <c r="GR241" i="30"/>
  <c r="GS241" i="30"/>
  <c r="GT241" i="30"/>
  <c r="GU241" i="30"/>
  <c r="GV241" i="30"/>
  <c r="GW241" i="30"/>
  <c r="GX241" i="30"/>
  <c r="GY241" i="30"/>
  <c r="GZ241" i="30"/>
  <c r="HA241" i="30"/>
  <c r="HB241" i="30"/>
  <c r="HC241" i="30"/>
  <c r="HD241" i="30"/>
  <c r="HE241" i="30"/>
  <c r="HF241" i="30"/>
  <c r="HG241" i="30"/>
  <c r="HH241" i="30"/>
  <c r="HI241" i="30"/>
  <c r="HJ241" i="30"/>
  <c r="HK241" i="30"/>
  <c r="HL241" i="30"/>
  <c r="HM241" i="30"/>
  <c r="HN241" i="30"/>
  <c r="HO241" i="30"/>
  <c r="HP241" i="30"/>
  <c r="HQ241" i="30"/>
  <c r="HR241" i="30"/>
  <c r="HS241" i="30"/>
  <c r="HT241" i="30"/>
  <c r="HU241" i="30"/>
  <c r="HV241" i="30"/>
  <c r="HW241" i="30"/>
  <c r="HX241" i="30"/>
  <c r="HY241" i="30"/>
  <c r="HZ241" i="30"/>
  <c r="IA241" i="30"/>
  <c r="IB241" i="30"/>
  <c r="IC241" i="30"/>
  <c r="ID241" i="30"/>
  <c r="IE241" i="30"/>
  <c r="IF241" i="30"/>
  <c r="IG241" i="30"/>
  <c r="IH241" i="30"/>
  <c r="II241" i="30"/>
  <c r="IJ241" i="30"/>
  <c r="IK241" i="30"/>
  <c r="IL241" i="30"/>
  <c r="IM241" i="30"/>
  <c r="IN241" i="30"/>
  <c r="IO241" i="30"/>
  <c r="IP241" i="30"/>
  <c r="IQ241" i="30"/>
  <c r="IR241" i="30"/>
  <c r="IS241" i="30"/>
  <c r="IT241" i="30"/>
  <c r="IU241" i="30"/>
  <c r="IV241" i="30"/>
  <c r="A240" i="30"/>
  <c r="B240" i="30"/>
  <c r="C240" i="30"/>
  <c r="D240" i="30"/>
  <c r="E240" i="30"/>
  <c r="F240" i="30"/>
  <c r="G240" i="30"/>
  <c r="H240" i="30"/>
  <c r="I240" i="30"/>
  <c r="J240" i="30"/>
  <c r="K240" i="30"/>
  <c r="L240" i="30"/>
  <c r="M240" i="30"/>
  <c r="N240" i="30"/>
  <c r="O240" i="30"/>
  <c r="P240" i="30"/>
  <c r="Q240" i="30"/>
  <c r="R240" i="30"/>
  <c r="S240" i="30"/>
  <c r="T240" i="30"/>
  <c r="U240" i="30"/>
  <c r="V240" i="30"/>
  <c r="W240" i="30"/>
  <c r="X240" i="30"/>
  <c r="Y240" i="30"/>
  <c r="Z240" i="30"/>
  <c r="AA240" i="30"/>
  <c r="AB240" i="30"/>
  <c r="AC240" i="30"/>
  <c r="AD240" i="30"/>
  <c r="AE240" i="30"/>
  <c r="AF240" i="30"/>
  <c r="AG240" i="30"/>
  <c r="AH240" i="30"/>
  <c r="AI240" i="30"/>
  <c r="AJ240" i="30"/>
  <c r="AK240" i="30"/>
  <c r="AL240" i="30"/>
  <c r="AM240" i="30"/>
  <c r="AN240" i="30"/>
  <c r="AO240" i="30"/>
  <c r="AP240" i="30"/>
  <c r="AQ240" i="30"/>
  <c r="AR240" i="30"/>
  <c r="AS240" i="30"/>
  <c r="AT240" i="30"/>
  <c r="AU240" i="30"/>
  <c r="AV240" i="30"/>
  <c r="AW240" i="30"/>
  <c r="AX240" i="30"/>
  <c r="AY240" i="30"/>
  <c r="AZ240" i="30"/>
  <c r="BA240" i="30"/>
  <c r="BB240" i="30"/>
  <c r="BC240" i="30"/>
  <c r="BD240" i="30"/>
  <c r="BE240" i="30"/>
  <c r="BF240" i="30"/>
  <c r="BG240" i="30"/>
  <c r="BH240" i="30"/>
  <c r="BI240" i="30"/>
  <c r="BJ240" i="30"/>
  <c r="BK240" i="30"/>
  <c r="BL240" i="30"/>
  <c r="BM240" i="30"/>
  <c r="BN240" i="30"/>
  <c r="BO240" i="30"/>
  <c r="BP240" i="30"/>
  <c r="BQ240" i="30"/>
  <c r="BR240" i="30"/>
  <c r="BS240" i="30"/>
  <c r="BT240" i="30"/>
  <c r="BU240" i="30"/>
  <c r="BV240" i="30"/>
  <c r="BW240" i="30"/>
  <c r="BX240" i="30"/>
  <c r="BY240" i="30"/>
  <c r="BZ240" i="30"/>
  <c r="CA240" i="30"/>
  <c r="CB240" i="30"/>
  <c r="CC240" i="30"/>
  <c r="CD240" i="30"/>
  <c r="CE240" i="30"/>
  <c r="CF240" i="30"/>
  <c r="CG240" i="30"/>
  <c r="CH240" i="30"/>
  <c r="CI240" i="30"/>
  <c r="CJ240" i="30"/>
  <c r="CK240" i="30"/>
  <c r="CL240" i="30"/>
  <c r="CM240" i="30"/>
  <c r="CN240" i="30"/>
  <c r="CO240" i="30"/>
  <c r="CP240" i="30"/>
  <c r="CQ240" i="30"/>
  <c r="CR240" i="30"/>
  <c r="CS240" i="30"/>
  <c r="CT240" i="30"/>
  <c r="CU240" i="30"/>
  <c r="CV240" i="30"/>
  <c r="CW240" i="30"/>
  <c r="CX240" i="30"/>
  <c r="CY240" i="30"/>
  <c r="CZ240" i="30"/>
  <c r="DA240" i="30"/>
  <c r="DB240" i="30"/>
  <c r="DC240" i="30"/>
  <c r="DD240" i="30"/>
  <c r="DE240" i="30"/>
  <c r="DF240" i="30"/>
  <c r="DG240" i="30"/>
  <c r="DH240" i="30"/>
  <c r="DI240" i="30"/>
  <c r="DJ240" i="30"/>
  <c r="DK240" i="30"/>
  <c r="DL240" i="30"/>
  <c r="DM240" i="30"/>
  <c r="DN240" i="30"/>
  <c r="DO240" i="30"/>
  <c r="DP240" i="30"/>
  <c r="DQ240" i="30"/>
  <c r="DR240" i="30"/>
  <c r="DS240" i="30"/>
  <c r="DT240" i="30"/>
  <c r="DU240" i="30"/>
  <c r="DV240" i="30"/>
  <c r="DW240" i="30"/>
  <c r="DX240" i="30"/>
  <c r="DY240" i="30"/>
  <c r="DZ240" i="30"/>
  <c r="EA240" i="30"/>
  <c r="EB240" i="30"/>
  <c r="EC240" i="30"/>
  <c r="ED240" i="30"/>
  <c r="EE240" i="30"/>
  <c r="EF240" i="30"/>
  <c r="EG240" i="30"/>
  <c r="EH240" i="30"/>
  <c r="EI240" i="30"/>
  <c r="EJ240" i="30"/>
  <c r="EK240" i="30"/>
  <c r="EL240" i="30"/>
  <c r="EM240" i="30"/>
  <c r="EN240" i="30"/>
  <c r="EO240" i="30"/>
  <c r="EP240" i="30"/>
  <c r="EQ240" i="30"/>
  <c r="ER240" i="30"/>
  <c r="ES240" i="30"/>
  <c r="ET240" i="30"/>
  <c r="EU240" i="30"/>
  <c r="EV240" i="30"/>
  <c r="EW240" i="30"/>
  <c r="EX240" i="30"/>
  <c r="EY240" i="30"/>
  <c r="EZ240" i="30"/>
  <c r="FA240" i="30"/>
  <c r="FB240" i="30"/>
  <c r="FC240" i="30"/>
  <c r="FD240" i="30"/>
  <c r="FE240" i="30"/>
  <c r="FF240" i="30"/>
  <c r="FG240" i="30"/>
  <c r="FH240" i="30"/>
  <c r="FI240" i="30"/>
  <c r="FJ240" i="30"/>
  <c r="FK240" i="30"/>
  <c r="FL240" i="30"/>
  <c r="FM240" i="30"/>
  <c r="FN240" i="30"/>
  <c r="FO240" i="30"/>
  <c r="FP240" i="30"/>
  <c r="FQ240" i="30"/>
  <c r="FR240" i="30"/>
  <c r="FS240" i="30"/>
  <c r="FT240" i="30"/>
  <c r="FU240" i="30"/>
  <c r="FV240" i="30"/>
  <c r="FW240" i="30"/>
  <c r="FX240" i="30"/>
  <c r="FY240" i="30"/>
  <c r="FZ240" i="30"/>
  <c r="GA240" i="30"/>
  <c r="GB240" i="30"/>
  <c r="GC240" i="30"/>
  <c r="GD240" i="30"/>
  <c r="GE240" i="30"/>
  <c r="GF240" i="30"/>
  <c r="GG240" i="30"/>
  <c r="GH240" i="30"/>
  <c r="GI240" i="30"/>
  <c r="GJ240" i="30"/>
  <c r="GK240" i="30"/>
  <c r="GL240" i="30"/>
  <c r="GM240" i="30"/>
  <c r="GN240" i="30"/>
  <c r="GO240" i="30"/>
  <c r="GP240" i="30"/>
  <c r="GQ240" i="30"/>
  <c r="GR240" i="30"/>
  <c r="GS240" i="30"/>
  <c r="GT240" i="30"/>
  <c r="GU240" i="30"/>
  <c r="GV240" i="30"/>
  <c r="GW240" i="30"/>
  <c r="GX240" i="30"/>
  <c r="GY240" i="30"/>
  <c r="GZ240" i="30"/>
  <c r="HA240" i="30"/>
  <c r="HB240" i="30"/>
  <c r="HC240" i="30"/>
  <c r="HD240" i="30"/>
  <c r="HE240" i="30"/>
  <c r="HF240" i="30"/>
  <c r="HG240" i="30"/>
  <c r="HH240" i="30"/>
  <c r="HI240" i="30"/>
  <c r="HJ240" i="30"/>
  <c r="HK240" i="30"/>
  <c r="HL240" i="30"/>
  <c r="HM240" i="30"/>
  <c r="HN240" i="30"/>
  <c r="HO240" i="30"/>
  <c r="HP240" i="30"/>
  <c r="HQ240" i="30"/>
  <c r="HR240" i="30"/>
  <c r="HS240" i="30"/>
  <c r="HT240" i="30"/>
  <c r="HU240" i="30"/>
  <c r="HV240" i="30"/>
  <c r="HW240" i="30"/>
  <c r="HX240" i="30"/>
  <c r="HY240" i="30"/>
  <c r="HZ240" i="30"/>
  <c r="IA240" i="30"/>
  <c r="IB240" i="30"/>
  <c r="IC240" i="30"/>
  <c r="ID240" i="30"/>
  <c r="IE240" i="30"/>
  <c r="IF240" i="30"/>
  <c r="IG240" i="30"/>
  <c r="IH240" i="30"/>
  <c r="II240" i="30"/>
  <c r="IJ240" i="30"/>
  <c r="IK240" i="30"/>
  <c r="IL240" i="30"/>
  <c r="IM240" i="30"/>
  <c r="IN240" i="30"/>
  <c r="IO240" i="30"/>
  <c r="IP240" i="30"/>
  <c r="IQ240" i="30"/>
  <c r="IR240" i="30"/>
  <c r="IS240" i="30"/>
  <c r="IT240" i="30"/>
  <c r="IU240" i="30"/>
  <c r="IV240" i="30"/>
  <c r="A239" i="30"/>
  <c r="B239" i="30"/>
  <c r="C239" i="30"/>
  <c r="D239" i="30"/>
  <c r="E239" i="30"/>
  <c r="F239" i="30"/>
  <c r="G239" i="30"/>
  <c r="H239" i="30"/>
  <c r="I239" i="30"/>
  <c r="J239" i="30"/>
  <c r="K239" i="30"/>
  <c r="L239" i="30"/>
  <c r="M239" i="30"/>
  <c r="N239" i="30"/>
  <c r="O239" i="30"/>
  <c r="P239" i="30"/>
  <c r="Q239" i="30"/>
  <c r="R239" i="30"/>
  <c r="S239" i="30"/>
  <c r="T239" i="30"/>
  <c r="U239" i="30"/>
  <c r="V239" i="30"/>
  <c r="W239" i="30"/>
  <c r="X239" i="30"/>
  <c r="Y239" i="30"/>
  <c r="Z239" i="30"/>
  <c r="AA239" i="30"/>
  <c r="AB239" i="30"/>
  <c r="AC239" i="30"/>
  <c r="AD239" i="30"/>
  <c r="AE239" i="30"/>
  <c r="AF239" i="30"/>
  <c r="AG239" i="30"/>
  <c r="AH239" i="30"/>
  <c r="AI239" i="30"/>
  <c r="AJ239" i="30"/>
  <c r="AK239" i="30"/>
  <c r="AL239" i="30"/>
  <c r="AM239" i="30"/>
  <c r="AN239" i="30"/>
  <c r="AO239" i="30"/>
  <c r="AP239" i="30"/>
  <c r="AQ239" i="30"/>
  <c r="AR239" i="30"/>
  <c r="AS239" i="30"/>
  <c r="AT239" i="30"/>
  <c r="AU239" i="30"/>
  <c r="AV239" i="30"/>
  <c r="AW239" i="30"/>
  <c r="AX239" i="30"/>
  <c r="AY239" i="30"/>
  <c r="AZ239" i="30"/>
  <c r="BA239" i="30"/>
  <c r="BB239" i="30"/>
  <c r="BC239" i="30"/>
  <c r="BD239" i="30"/>
  <c r="BE239" i="30"/>
  <c r="BF239" i="30"/>
  <c r="BG239" i="30"/>
  <c r="BH239" i="30"/>
  <c r="BI239" i="30"/>
  <c r="BJ239" i="30"/>
  <c r="BK239" i="30"/>
  <c r="BL239" i="30"/>
  <c r="BM239" i="30"/>
  <c r="BN239" i="30"/>
  <c r="BO239" i="30"/>
  <c r="BP239" i="30"/>
  <c r="BQ239" i="30"/>
  <c r="BR239" i="30"/>
  <c r="BS239" i="30"/>
  <c r="BT239" i="30"/>
  <c r="BU239" i="30"/>
  <c r="BV239" i="30"/>
  <c r="BW239" i="30"/>
  <c r="BX239" i="30"/>
  <c r="BY239" i="30"/>
  <c r="BZ239" i="30"/>
  <c r="CA239" i="30"/>
  <c r="CB239" i="30"/>
  <c r="CC239" i="30"/>
  <c r="CD239" i="30"/>
  <c r="CE239" i="30"/>
  <c r="CF239" i="30"/>
  <c r="CG239" i="30"/>
  <c r="CH239" i="30"/>
  <c r="CI239" i="30"/>
  <c r="CJ239" i="30"/>
  <c r="CK239" i="30"/>
  <c r="CL239" i="30"/>
  <c r="CM239" i="30"/>
  <c r="CN239" i="30"/>
  <c r="CO239" i="30"/>
  <c r="CP239" i="30"/>
  <c r="CQ239" i="30"/>
  <c r="CR239" i="30"/>
  <c r="CS239" i="30"/>
  <c r="CT239" i="30"/>
  <c r="CU239" i="30"/>
  <c r="CV239" i="30"/>
  <c r="CW239" i="30"/>
  <c r="CX239" i="30"/>
  <c r="CY239" i="30"/>
  <c r="CZ239" i="30"/>
  <c r="DA239" i="30"/>
  <c r="DB239" i="30"/>
  <c r="DC239" i="30"/>
  <c r="DD239" i="30"/>
  <c r="DE239" i="30"/>
  <c r="DF239" i="30"/>
  <c r="DG239" i="30"/>
  <c r="DH239" i="30"/>
  <c r="DI239" i="30"/>
  <c r="DJ239" i="30"/>
  <c r="DK239" i="30"/>
  <c r="DL239" i="30"/>
  <c r="DM239" i="30"/>
  <c r="DN239" i="30"/>
  <c r="DO239" i="30"/>
  <c r="DP239" i="30"/>
  <c r="DQ239" i="30"/>
  <c r="DR239" i="30"/>
  <c r="DS239" i="30"/>
  <c r="DT239" i="30"/>
  <c r="DU239" i="30"/>
  <c r="DV239" i="30"/>
  <c r="DW239" i="30"/>
  <c r="DX239" i="30"/>
  <c r="DY239" i="30"/>
  <c r="DZ239" i="30"/>
  <c r="EA239" i="30"/>
  <c r="EB239" i="30"/>
  <c r="EC239" i="30"/>
  <c r="ED239" i="30"/>
  <c r="EE239" i="30"/>
  <c r="EF239" i="30"/>
  <c r="EG239" i="30"/>
  <c r="EH239" i="30"/>
  <c r="EI239" i="30"/>
  <c r="EJ239" i="30"/>
  <c r="EK239" i="30"/>
  <c r="EL239" i="30"/>
  <c r="EM239" i="30"/>
  <c r="EN239" i="30"/>
  <c r="EO239" i="30"/>
  <c r="EP239" i="30"/>
  <c r="EQ239" i="30"/>
  <c r="ER239" i="30"/>
  <c r="ES239" i="30"/>
  <c r="ET239" i="30"/>
  <c r="EU239" i="30"/>
  <c r="EV239" i="30"/>
  <c r="EW239" i="30"/>
  <c r="EX239" i="30"/>
  <c r="EY239" i="30"/>
  <c r="EZ239" i="30"/>
  <c r="FA239" i="30"/>
  <c r="FB239" i="30"/>
  <c r="FC239" i="30"/>
  <c r="FD239" i="30"/>
  <c r="FE239" i="30"/>
  <c r="FF239" i="30"/>
  <c r="FG239" i="30"/>
  <c r="FH239" i="30"/>
  <c r="FI239" i="30"/>
  <c r="FJ239" i="30"/>
  <c r="FK239" i="30"/>
  <c r="FL239" i="30"/>
  <c r="FM239" i="30"/>
  <c r="FN239" i="30"/>
  <c r="FO239" i="30"/>
  <c r="FP239" i="30"/>
  <c r="FQ239" i="30"/>
  <c r="FR239" i="30"/>
  <c r="FS239" i="30"/>
  <c r="FT239" i="30"/>
  <c r="FU239" i="30"/>
  <c r="FV239" i="30"/>
  <c r="FW239" i="30"/>
  <c r="FX239" i="30"/>
  <c r="FY239" i="30"/>
  <c r="FZ239" i="30"/>
  <c r="GA239" i="30"/>
  <c r="GB239" i="30"/>
  <c r="GC239" i="30"/>
  <c r="GD239" i="30"/>
  <c r="GE239" i="30"/>
  <c r="GF239" i="30"/>
  <c r="GG239" i="30"/>
  <c r="GH239" i="30"/>
  <c r="GI239" i="30"/>
  <c r="GJ239" i="30"/>
  <c r="GK239" i="30"/>
  <c r="GL239" i="30"/>
  <c r="GM239" i="30"/>
  <c r="GN239" i="30"/>
  <c r="GO239" i="30"/>
  <c r="GP239" i="30"/>
  <c r="GQ239" i="30"/>
  <c r="GR239" i="30"/>
  <c r="GS239" i="30"/>
  <c r="GT239" i="30"/>
  <c r="GU239" i="30"/>
  <c r="GV239" i="30"/>
  <c r="GW239" i="30"/>
  <c r="GX239" i="30"/>
  <c r="GY239" i="30"/>
  <c r="GZ239" i="30"/>
  <c r="HA239" i="30"/>
  <c r="HB239" i="30"/>
  <c r="HC239" i="30"/>
  <c r="HD239" i="30"/>
  <c r="HE239" i="30"/>
  <c r="HF239" i="30"/>
  <c r="HG239" i="30"/>
  <c r="HH239" i="30"/>
  <c r="HI239" i="30"/>
  <c r="HJ239" i="30"/>
  <c r="HK239" i="30"/>
  <c r="HL239" i="30"/>
  <c r="HM239" i="30"/>
  <c r="HN239" i="30"/>
  <c r="HO239" i="30"/>
  <c r="HP239" i="30"/>
  <c r="HQ239" i="30"/>
  <c r="HR239" i="30"/>
  <c r="HS239" i="30"/>
  <c r="HT239" i="30"/>
  <c r="HU239" i="30"/>
  <c r="HV239" i="30"/>
  <c r="HW239" i="30"/>
  <c r="HX239" i="30"/>
  <c r="HY239" i="30"/>
  <c r="HZ239" i="30"/>
  <c r="IA239" i="30"/>
  <c r="IB239" i="30"/>
  <c r="IC239" i="30"/>
  <c r="ID239" i="30"/>
  <c r="IE239" i="30"/>
  <c r="IF239" i="30"/>
  <c r="IG239" i="30"/>
  <c r="IH239" i="30"/>
  <c r="II239" i="30"/>
  <c r="IJ239" i="30"/>
  <c r="IK239" i="30"/>
  <c r="IL239" i="30"/>
  <c r="IM239" i="30"/>
  <c r="IN239" i="30"/>
  <c r="IO239" i="30"/>
  <c r="IP239" i="30"/>
  <c r="IQ239" i="30"/>
  <c r="IR239" i="30"/>
  <c r="IS239" i="30"/>
  <c r="IT239" i="30"/>
  <c r="IU239" i="30"/>
  <c r="IV239" i="30"/>
  <c r="A238" i="30"/>
  <c r="B238" i="30"/>
  <c r="C238" i="30"/>
  <c r="D238" i="30"/>
  <c r="E238" i="30"/>
  <c r="F238" i="30"/>
  <c r="G238" i="30"/>
  <c r="H238" i="30"/>
  <c r="I238" i="30"/>
  <c r="J238" i="30"/>
  <c r="K238" i="30"/>
  <c r="L238" i="30"/>
  <c r="M238" i="30"/>
  <c r="N238" i="30"/>
  <c r="O238" i="30"/>
  <c r="P238" i="30"/>
  <c r="Q238" i="30"/>
  <c r="R238" i="30"/>
  <c r="S238" i="30"/>
  <c r="T238" i="30"/>
  <c r="U238" i="30"/>
  <c r="V238" i="30"/>
  <c r="W238" i="30"/>
  <c r="X238" i="30"/>
  <c r="Y238" i="30"/>
  <c r="Z238" i="30"/>
  <c r="AA238" i="30"/>
  <c r="AB238" i="30"/>
  <c r="AC238" i="30"/>
  <c r="AD238" i="30"/>
  <c r="AE238" i="30"/>
  <c r="AF238" i="30"/>
  <c r="AG238" i="30"/>
  <c r="AH238" i="30"/>
  <c r="AI238" i="30"/>
  <c r="AJ238" i="30"/>
  <c r="AK238" i="30"/>
  <c r="AL238" i="30"/>
  <c r="AM238" i="30"/>
  <c r="AN238" i="30"/>
  <c r="AO238" i="30"/>
  <c r="AP238" i="30"/>
  <c r="AQ238" i="30"/>
  <c r="AR238" i="30"/>
  <c r="AS238" i="30"/>
  <c r="AT238" i="30"/>
  <c r="AU238" i="30"/>
  <c r="AV238" i="30"/>
  <c r="AW238" i="30"/>
  <c r="AX238" i="30"/>
  <c r="AY238" i="30"/>
  <c r="AZ238" i="30"/>
  <c r="BA238" i="30"/>
  <c r="BB238" i="30"/>
  <c r="BC238" i="30"/>
  <c r="BD238" i="30"/>
  <c r="BE238" i="30"/>
  <c r="BF238" i="30"/>
  <c r="BG238" i="30"/>
  <c r="BH238" i="30"/>
  <c r="BI238" i="30"/>
  <c r="BJ238" i="30"/>
  <c r="BK238" i="30"/>
  <c r="BL238" i="30"/>
  <c r="BM238" i="30"/>
  <c r="BN238" i="30"/>
  <c r="BO238" i="30"/>
  <c r="BP238" i="30"/>
  <c r="BQ238" i="30"/>
  <c r="BR238" i="30"/>
  <c r="BS238" i="30"/>
  <c r="BT238" i="30"/>
  <c r="BU238" i="30"/>
  <c r="BV238" i="30"/>
  <c r="BW238" i="30"/>
  <c r="BX238" i="30"/>
  <c r="BY238" i="30"/>
  <c r="BZ238" i="30"/>
  <c r="CA238" i="30"/>
  <c r="CB238" i="30"/>
  <c r="CC238" i="30"/>
  <c r="CD238" i="30"/>
  <c r="CE238" i="30"/>
  <c r="CF238" i="30"/>
  <c r="CG238" i="30"/>
  <c r="CH238" i="30"/>
  <c r="CI238" i="30"/>
  <c r="CJ238" i="30"/>
  <c r="CK238" i="30"/>
  <c r="CL238" i="30"/>
  <c r="CM238" i="30"/>
  <c r="CN238" i="30"/>
  <c r="CO238" i="30"/>
  <c r="CP238" i="30"/>
  <c r="CQ238" i="30"/>
  <c r="CR238" i="30"/>
  <c r="CS238" i="30"/>
  <c r="CT238" i="30"/>
  <c r="CU238" i="30"/>
  <c r="CV238" i="30"/>
  <c r="CW238" i="30"/>
  <c r="CX238" i="30"/>
  <c r="CY238" i="30"/>
  <c r="CZ238" i="30"/>
  <c r="DA238" i="30"/>
  <c r="DB238" i="30"/>
  <c r="DC238" i="30"/>
  <c r="DD238" i="30"/>
  <c r="DE238" i="30"/>
  <c r="DF238" i="30"/>
  <c r="DG238" i="30"/>
  <c r="DH238" i="30"/>
  <c r="DI238" i="30"/>
  <c r="DJ238" i="30"/>
  <c r="DK238" i="30"/>
  <c r="DL238" i="30"/>
  <c r="DM238" i="30"/>
  <c r="DN238" i="30"/>
  <c r="DO238" i="30"/>
  <c r="DP238" i="30"/>
  <c r="DQ238" i="30"/>
  <c r="DR238" i="30"/>
  <c r="DS238" i="30"/>
  <c r="DT238" i="30"/>
  <c r="DU238" i="30"/>
  <c r="DV238" i="30"/>
  <c r="DW238" i="30"/>
  <c r="DX238" i="30"/>
  <c r="DY238" i="30"/>
  <c r="DZ238" i="30"/>
  <c r="EA238" i="30"/>
  <c r="EB238" i="30"/>
  <c r="EC238" i="30"/>
  <c r="ED238" i="30"/>
  <c r="EE238" i="30"/>
  <c r="EF238" i="30"/>
  <c r="EG238" i="30"/>
  <c r="EH238" i="30"/>
  <c r="EI238" i="30"/>
  <c r="EJ238" i="30"/>
  <c r="EK238" i="30"/>
  <c r="EL238" i="30"/>
  <c r="EM238" i="30"/>
  <c r="EN238" i="30"/>
  <c r="EO238" i="30"/>
  <c r="EP238" i="30"/>
  <c r="EQ238" i="30"/>
  <c r="ER238" i="30"/>
  <c r="ES238" i="30"/>
  <c r="ET238" i="30"/>
  <c r="EU238" i="30"/>
  <c r="EV238" i="30"/>
  <c r="EW238" i="30"/>
  <c r="EX238" i="30"/>
  <c r="EY238" i="30"/>
  <c r="EZ238" i="30"/>
  <c r="FA238" i="30"/>
  <c r="FB238" i="30"/>
  <c r="FC238" i="30"/>
  <c r="FD238" i="30"/>
  <c r="FE238" i="30"/>
  <c r="FF238" i="30"/>
  <c r="FG238" i="30"/>
  <c r="FH238" i="30"/>
  <c r="FI238" i="30"/>
  <c r="FJ238" i="30"/>
  <c r="FK238" i="30"/>
  <c r="FL238" i="30"/>
  <c r="FM238" i="30"/>
  <c r="FN238" i="30"/>
  <c r="FO238" i="30"/>
  <c r="FP238" i="30"/>
  <c r="FQ238" i="30"/>
  <c r="FR238" i="30"/>
  <c r="FS238" i="30"/>
  <c r="FT238" i="30"/>
  <c r="FU238" i="30"/>
  <c r="FV238" i="30"/>
  <c r="FW238" i="30"/>
  <c r="FX238" i="30"/>
  <c r="FY238" i="30"/>
  <c r="FZ238" i="30"/>
  <c r="GA238" i="30"/>
  <c r="GB238" i="30"/>
  <c r="GC238" i="30"/>
  <c r="GD238" i="30"/>
  <c r="GE238" i="30"/>
  <c r="GF238" i="30"/>
  <c r="GG238" i="30"/>
  <c r="GH238" i="30"/>
  <c r="GI238" i="30"/>
  <c r="GJ238" i="30"/>
  <c r="GK238" i="30"/>
  <c r="GL238" i="30"/>
  <c r="GM238" i="30"/>
  <c r="GN238" i="30"/>
  <c r="GO238" i="30"/>
  <c r="GP238" i="30"/>
  <c r="GQ238" i="30"/>
  <c r="GR238" i="30"/>
  <c r="GS238" i="30"/>
  <c r="GT238" i="30"/>
  <c r="GU238" i="30"/>
  <c r="GV238" i="30"/>
  <c r="GW238" i="30"/>
  <c r="GX238" i="30"/>
  <c r="GY238" i="30"/>
  <c r="GZ238" i="30"/>
  <c r="HA238" i="30"/>
  <c r="HB238" i="30"/>
  <c r="HC238" i="30"/>
  <c r="HD238" i="30"/>
  <c r="HE238" i="30"/>
  <c r="HF238" i="30"/>
  <c r="HG238" i="30"/>
  <c r="HH238" i="30"/>
  <c r="HI238" i="30"/>
  <c r="HJ238" i="30"/>
  <c r="HK238" i="30"/>
  <c r="HL238" i="30"/>
  <c r="HM238" i="30"/>
  <c r="HN238" i="30"/>
  <c r="HO238" i="30"/>
  <c r="HP238" i="30"/>
  <c r="HQ238" i="30"/>
  <c r="HR238" i="30"/>
  <c r="HS238" i="30"/>
  <c r="HT238" i="30"/>
  <c r="HU238" i="30"/>
  <c r="HV238" i="30"/>
  <c r="HW238" i="30"/>
  <c r="HX238" i="30"/>
  <c r="HY238" i="30"/>
  <c r="HZ238" i="30"/>
  <c r="IA238" i="30"/>
  <c r="IB238" i="30"/>
  <c r="IC238" i="30"/>
  <c r="ID238" i="30"/>
  <c r="IE238" i="30"/>
  <c r="IF238" i="30"/>
  <c r="IG238" i="30"/>
  <c r="IH238" i="30"/>
  <c r="II238" i="30"/>
  <c r="IJ238" i="30"/>
  <c r="IK238" i="30"/>
  <c r="IL238" i="30"/>
  <c r="IM238" i="30"/>
  <c r="IN238" i="30"/>
  <c r="IO238" i="30"/>
  <c r="IP238" i="30"/>
  <c r="IQ238" i="30"/>
  <c r="IR238" i="30"/>
  <c r="IS238" i="30"/>
  <c r="IT238" i="30"/>
  <c r="IU238" i="30"/>
  <c r="IV238" i="30"/>
  <c r="A237" i="30"/>
  <c r="B237" i="30"/>
  <c r="C237" i="30"/>
  <c r="D237" i="30"/>
  <c r="E237" i="30"/>
  <c r="F237" i="30"/>
  <c r="G237" i="30"/>
  <c r="H237" i="30"/>
  <c r="I237" i="30"/>
  <c r="J237" i="30"/>
  <c r="K237" i="30"/>
  <c r="L237" i="30"/>
  <c r="M237" i="30"/>
  <c r="N237" i="30"/>
  <c r="O237" i="30"/>
  <c r="P237" i="30"/>
  <c r="Q237" i="30"/>
  <c r="R237" i="30"/>
  <c r="S237" i="30"/>
  <c r="T237" i="30"/>
  <c r="U237" i="30"/>
  <c r="V237" i="30"/>
  <c r="W237" i="30"/>
  <c r="X237" i="30"/>
  <c r="Y237" i="30"/>
  <c r="Z237" i="30"/>
  <c r="AA237" i="30"/>
  <c r="AB237" i="30"/>
  <c r="AC237" i="30"/>
  <c r="AD237" i="30"/>
  <c r="AE237" i="30"/>
  <c r="AF237" i="30"/>
  <c r="AG237" i="30"/>
  <c r="AH237" i="30"/>
  <c r="AI237" i="30"/>
  <c r="AJ237" i="30"/>
  <c r="AK237" i="30"/>
  <c r="AL237" i="30"/>
  <c r="AM237" i="30"/>
  <c r="AN237" i="30"/>
  <c r="AO237" i="30"/>
  <c r="AP237" i="30"/>
  <c r="AQ237" i="30"/>
  <c r="AR237" i="30"/>
  <c r="AS237" i="30"/>
  <c r="AT237" i="30"/>
  <c r="AU237" i="30"/>
  <c r="AV237" i="30"/>
  <c r="AW237" i="30"/>
  <c r="AX237" i="30"/>
  <c r="AY237" i="30"/>
  <c r="AZ237" i="30"/>
  <c r="BA237" i="30"/>
  <c r="BB237" i="30"/>
  <c r="BC237" i="30"/>
  <c r="BD237" i="30"/>
  <c r="BE237" i="30"/>
  <c r="BF237" i="30"/>
  <c r="BG237" i="30"/>
  <c r="BH237" i="30"/>
  <c r="BI237" i="30"/>
  <c r="BJ237" i="30"/>
  <c r="BK237" i="30"/>
  <c r="BL237" i="30"/>
  <c r="BM237" i="30"/>
  <c r="BN237" i="30"/>
  <c r="BO237" i="30"/>
  <c r="BP237" i="30"/>
  <c r="BQ237" i="30"/>
  <c r="BR237" i="30"/>
  <c r="BS237" i="30"/>
  <c r="BT237" i="30"/>
  <c r="BU237" i="30"/>
  <c r="BV237" i="30"/>
  <c r="BW237" i="30"/>
  <c r="BX237" i="30"/>
  <c r="BY237" i="30"/>
  <c r="BZ237" i="30"/>
  <c r="CA237" i="30"/>
  <c r="CB237" i="30"/>
  <c r="CC237" i="30"/>
  <c r="CD237" i="30"/>
  <c r="CE237" i="30"/>
  <c r="CF237" i="30"/>
  <c r="CG237" i="30"/>
  <c r="CH237" i="30"/>
  <c r="CI237" i="30"/>
  <c r="CJ237" i="30"/>
  <c r="CK237" i="30"/>
  <c r="CL237" i="30"/>
  <c r="CM237" i="30"/>
  <c r="CN237" i="30"/>
  <c r="CO237" i="30"/>
  <c r="CP237" i="30"/>
  <c r="CQ237" i="30"/>
  <c r="CR237" i="30"/>
  <c r="CS237" i="30"/>
  <c r="CT237" i="30"/>
  <c r="CU237" i="30"/>
  <c r="CV237" i="30"/>
  <c r="CW237" i="30"/>
  <c r="CX237" i="30"/>
  <c r="CY237" i="30"/>
  <c r="CZ237" i="30"/>
  <c r="DA237" i="30"/>
  <c r="DB237" i="30"/>
  <c r="DC237" i="30"/>
  <c r="DD237" i="30"/>
  <c r="DE237" i="30"/>
  <c r="DF237" i="30"/>
  <c r="DG237" i="30"/>
  <c r="DH237" i="30"/>
  <c r="DI237" i="30"/>
  <c r="DJ237" i="30"/>
  <c r="DK237" i="30"/>
  <c r="DL237" i="30"/>
  <c r="DM237" i="30"/>
  <c r="DN237" i="30"/>
  <c r="DO237" i="30"/>
  <c r="DP237" i="30"/>
  <c r="DQ237" i="30"/>
  <c r="DR237" i="30"/>
  <c r="DS237" i="30"/>
  <c r="DT237" i="30"/>
  <c r="DU237" i="30"/>
  <c r="DV237" i="30"/>
  <c r="DW237" i="30"/>
  <c r="DX237" i="30"/>
  <c r="DY237" i="30"/>
  <c r="DZ237" i="30"/>
  <c r="EA237" i="30"/>
  <c r="EB237" i="30"/>
  <c r="EC237" i="30"/>
  <c r="ED237" i="30"/>
  <c r="EE237" i="30"/>
  <c r="EF237" i="30"/>
  <c r="EG237" i="30"/>
  <c r="EH237" i="30"/>
  <c r="EI237" i="30"/>
  <c r="EJ237" i="30"/>
  <c r="EK237" i="30"/>
  <c r="EL237" i="30"/>
  <c r="EM237" i="30"/>
  <c r="EN237" i="30"/>
  <c r="EO237" i="30"/>
  <c r="EP237" i="30"/>
  <c r="EQ237" i="30"/>
  <c r="ER237" i="30"/>
  <c r="ES237" i="30"/>
  <c r="ET237" i="30"/>
  <c r="EU237" i="30"/>
  <c r="EV237" i="30"/>
  <c r="EW237" i="30"/>
  <c r="EX237" i="30"/>
  <c r="EY237" i="30"/>
  <c r="EZ237" i="30"/>
  <c r="FA237" i="30"/>
  <c r="FB237" i="30"/>
  <c r="FC237" i="30"/>
  <c r="FD237" i="30"/>
  <c r="FE237" i="30"/>
  <c r="FF237" i="30"/>
  <c r="FG237" i="30"/>
  <c r="FH237" i="30"/>
  <c r="FI237" i="30"/>
  <c r="FJ237" i="30"/>
  <c r="FK237" i="30"/>
  <c r="FL237" i="30"/>
  <c r="FM237" i="30"/>
  <c r="FN237" i="30"/>
  <c r="FO237" i="30"/>
  <c r="FP237" i="30"/>
  <c r="FQ237" i="30"/>
  <c r="FR237" i="30"/>
  <c r="FS237" i="30"/>
  <c r="FT237" i="30"/>
  <c r="FU237" i="30"/>
  <c r="FV237" i="30"/>
  <c r="FW237" i="30"/>
  <c r="FX237" i="30"/>
  <c r="FY237" i="30"/>
  <c r="FZ237" i="30"/>
  <c r="GA237" i="30"/>
  <c r="GB237" i="30"/>
  <c r="GC237" i="30"/>
  <c r="GD237" i="30"/>
  <c r="GE237" i="30"/>
  <c r="GF237" i="30"/>
  <c r="GG237" i="30"/>
  <c r="GH237" i="30"/>
  <c r="GI237" i="30"/>
  <c r="GJ237" i="30"/>
  <c r="GK237" i="30"/>
  <c r="GL237" i="30"/>
  <c r="GM237" i="30"/>
  <c r="GN237" i="30"/>
  <c r="GO237" i="30"/>
  <c r="GP237" i="30"/>
  <c r="GQ237" i="30"/>
  <c r="GR237" i="30"/>
  <c r="GS237" i="30"/>
  <c r="GT237" i="30"/>
  <c r="GU237" i="30"/>
  <c r="GV237" i="30"/>
  <c r="GW237" i="30"/>
  <c r="GX237" i="30"/>
  <c r="GY237" i="30"/>
  <c r="GZ237" i="30"/>
  <c r="HA237" i="30"/>
  <c r="HB237" i="30"/>
  <c r="HC237" i="30"/>
  <c r="HD237" i="30"/>
  <c r="HE237" i="30"/>
  <c r="HF237" i="30"/>
  <c r="HG237" i="30"/>
  <c r="HH237" i="30"/>
  <c r="HI237" i="30"/>
  <c r="HJ237" i="30"/>
  <c r="HK237" i="30"/>
  <c r="HL237" i="30"/>
  <c r="HM237" i="30"/>
  <c r="HN237" i="30"/>
  <c r="HO237" i="30"/>
  <c r="HP237" i="30"/>
  <c r="HQ237" i="30"/>
  <c r="HR237" i="30"/>
  <c r="HS237" i="30"/>
  <c r="HT237" i="30"/>
  <c r="HU237" i="30"/>
  <c r="HV237" i="30"/>
  <c r="HW237" i="30"/>
  <c r="HX237" i="30"/>
  <c r="HY237" i="30"/>
  <c r="HZ237" i="30"/>
  <c r="IA237" i="30"/>
  <c r="IB237" i="30"/>
  <c r="IC237" i="30"/>
  <c r="ID237" i="30"/>
  <c r="IE237" i="30"/>
  <c r="IF237" i="30"/>
  <c r="IG237" i="30"/>
  <c r="IH237" i="30"/>
  <c r="II237" i="30"/>
  <c r="IJ237" i="30"/>
  <c r="IK237" i="30"/>
  <c r="IL237" i="30"/>
  <c r="IM237" i="30"/>
  <c r="IN237" i="30"/>
  <c r="IO237" i="30"/>
  <c r="IP237" i="30"/>
  <c r="IQ237" i="30"/>
  <c r="IR237" i="30"/>
  <c r="IS237" i="30"/>
  <c r="IT237" i="30"/>
  <c r="IU237" i="30"/>
  <c r="IV237" i="30"/>
  <c r="A236" i="30"/>
  <c r="B236" i="30"/>
  <c r="C236" i="30"/>
  <c r="D236" i="30"/>
  <c r="E236" i="30"/>
  <c r="F236" i="30"/>
  <c r="G236" i="30"/>
  <c r="H236" i="30"/>
  <c r="I236" i="30"/>
  <c r="J236" i="30"/>
  <c r="K236" i="30"/>
  <c r="L236" i="30"/>
  <c r="M236" i="30"/>
  <c r="N236" i="30"/>
  <c r="O236" i="30"/>
  <c r="P236" i="30"/>
  <c r="Q236" i="30"/>
  <c r="R236" i="30"/>
  <c r="S236" i="30"/>
  <c r="T236" i="30"/>
  <c r="U236" i="30"/>
  <c r="V236" i="30"/>
  <c r="W236" i="30"/>
  <c r="X236" i="30"/>
  <c r="Y236" i="30"/>
  <c r="Z236" i="30"/>
  <c r="AA236" i="30"/>
  <c r="AB236" i="30"/>
  <c r="AC236" i="30"/>
  <c r="AD236" i="30"/>
  <c r="AE236" i="30"/>
  <c r="AF236" i="30"/>
  <c r="AG236" i="30"/>
  <c r="AH236" i="30"/>
  <c r="AI236" i="30"/>
  <c r="AJ236" i="30"/>
  <c r="AK236" i="30"/>
  <c r="AL236" i="30"/>
  <c r="AM236" i="30"/>
  <c r="AN236" i="30"/>
  <c r="AO236" i="30"/>
  <c r="AP236" i="30"/>
  <c r="AQ236" i="30"/>
  <c r="AR236" i="30"/>
  <c r="AS236" i="30"/>
  <c r="AT236" i="30"/>
  <c r="AU236" i="30"/>
  <c r="AV236" i="30"/>
  <c r="AW236" i="30"/>
  <c r="AX236" i="30"/>
  <c r="AY236" i="30"/>
  <c r="AZ236" i="30"/>
  <c r="BA236" i="30"/>
  <c r="BB236" i="30"/>
  <c r="BC236" i="30"/>
  <c r="BD236" i="30"/>
  <c r="BE236" i="30"/>
  <c r="BF236" i="30"/>
  <c r="BG236" i="30"/>
  <c r="BH236" i="30"/>
  <c r="BI236" i="30"/>
  <c r="BJ236" i="30"/>
  <c r="BK236" i="30"/>
  <c r="BL236" i="30"/>
  <c r="BM236" i="30"/>
  <c r="BN236" i="30"/>
  <c r="BO236" i="30"/>
  <c r="BP236" i="30"/>
  <c r="BQ236" i="30"/>
  <c r="BR236" i="30"/>
  <c r="BS236" i="30"/>
  <c r="BT236" i="30"/>
  <c r="BU236" i="30"/>
  <c r="BV236" i="30"/>
  <c r="BW236" i="30"/>
  <c r="BX236" i="30"/>
  <c r="BY236" i="30"/>
  <c r="BZ236" i="30"/>
  <c r="CA236" i="30"/>
  <c r="CB236" i="30"/>
  <c r="CC236" i="30"/>
  <c r="CD236" i="30"/>
  <c r="CE236" i="30"/>
  <c r="CF236" i="30"/>
  <c r="CG236" i="30"/>
  <c r="CH236" i="30"/>
  <c r="CI236" i="30"/>
  <c r="CJ236" i="30"/>
  <c r="CK236" i="30"/>
  <c r="CL236" i="30"/>
  <c r="CM236" i="30"/>
  <c r="CN236" i="30"/>
  <c r="CO236" i="30"/>
  <c r="CP236" i="30"/>
  <c r="CQ236" i="30"/>
  <c r="CR236" i="30"/>
  <c r="CS236" i="30"/>
  <c r="CT236" i="30"/>
  <c r="CU236" i="30"/>
  <c r="CV236" i="30"/>
  <c r="CW236" i="30"/>
  <c r="CX236" i="30"/>
  <c r="CY236" i="30"/>
  <c r="CZ236" i="30"/>
  <c r="DA236" i="30"/>
  <c r="DB236" i="30"/>
  <c r="DC236" i="30"/>
  <c r="DD236" i="30"/>
  <c r="DE236" i="30"/>
  <c r="DF236" i="30"/>
  <c r="DG236" i="30"/>
  <c r="DH236" i="30"/>
  <c r="DI236" i="30"/>
  <c r="DJ236" i="30"/>
  <c r="DK236" i="30"/>
  <c r="DL236" i="30"/>
  <c r="DM236" i="30"/>
  <c r="DN236" i="30"/>
  <c r="DO236" i="30"/>
  <c r="DP236" i="30"/>
  <c r="DQ236" i="30"/>
  <c r="DR236" i="30"/>
  <c r="DS236" i="30"/>
  <c r="DT236" i="30"/>
  <c r="DU236" i="30"/>
  <c r="DV236" i="30"/>
  <c r="DW236" i="30"/>
  <c r="DX236" i="30"/>
  <c r="DY236" i="30"/>
  <c r="DZ236" i="30"/>
  <c r="EA236" i="30"/>
  <c r="EB236" i="30"/>
  <c r="EC236" i="30"/>
  <c r="ED236" i="30"/>
  <c r="EE236" i="30"/>
  <c r="EF236" i="30"/>
  <c r="EG236" i="30"/>
  <c r="EH236" i="30"/>
  <c r="EI236" i="30"/>
  <c r="EJ236" i="30"/>
  <c r="EK236" i="30"/>
  <c r="EL236" i="30"/>
  <c r="EM236" i="30"/>
  <c r="EN236" i="30"/>
  <c r="EO236" i="30"/>
  <c r="EP236" i="30"/>
  <c r="EQ236" i="30"/>
  <c r="ER236" i="30"/>
  <c r="ES236" i="30"/>
  <c r="ET236" i="30"/>
  <c r="EU236" i="30"/>
  <c r="EV236" i="30"/>
  <c r="EW236" i="30"/>
  <c r="EX236" i="30"/>
  <c r="EY236" i="30"/>
  <c r="EZ236" i="30"/>
  <c r="FA236" i="30"/>
  <c r="FB236" i="30"/>
  <c r="FC236" i="30"/>
  <c r="FD236" i="30"/>
  <c r="FE236" i="30"/>
  <c r="FF236" i="30"/>
  <c r="FG236" i="30"/>
  <c r="FH236" i="30"/>
  <c r="FI236" i="30"/>
  <c r="FJ236" i="30"/>
  <c r="FK236" i="30"/>
  <c r="FL236" i="30"/>
  <c r="FM236" i="30"/>
  <c r="FN236" i="30"/>
  <c r="FO236" i="30"/>
  <c r="FP236" i="30"/>
  <c r="FQ236" i="30"/>
  <c r="FR236" i="30"/>
  <c r="FS236" i="30"/>
  <c r="FT236" i="30"/>
  <c r="FU236" i="30"/>
  <c r="FV236" i="30"/>
  <c r="FW236" i="30"/>
  <c r="FX236" i="30"/>
  <c r="FY236" i="30"/>
  <c r="FZ236" i="30"/>
  <c r="GA236" i="30"/>
  <c r="GB236" i="30"/>
  <c r="GC236" i="30"/>
  <c r="GD236" i="30"/>
  <c r="GE236" i="30"/>
  <c r="GF236" i="30"/>
  <c r="GG236" i="30"/>
  <c r="GH236" i="30"/>
  <c r="GI236" i="30"/>
  <c r="GJ236" i="30"/>
  <c r="GK236" i="30"/>
  <c r="GL236" i="30"/>
  <c r="GM236" i="30"/>
  <c r="GN236" i="30"/>
  <c r="GO236" i="30"/>
  <c r="GP236" i="30"/>
  <c r="GQ236" i="30"/>
  <c r="GR236" i="30"/>
  <c r="GS236" i="30"/>
  <c r="GT236" i="30"/>
  <c r="GU236" i="30"/>
  <c r="GV236" i="30"/>
  <c r="GW236" i="30"/>
  <c r="GX236" i="30"/>
  <c r="GY236" i="30"/>
  <c r="GZ236" i="30"/>
  <c r="HA236" i="30"/>
  <c r="HB236" i="30"/>
  <c r="HC236" i="30"/>
  <c r="HD236" i="30"/>
  <c r="HE236" i="30"/>
  <c r="HF236" i="30"/>
  <c r="HG236" i="30"/>
  <c r="HH236" i="30"/>
  <c r="HI236" i="30"/>
  <c r="HJ236" i="30"/>
  <c r="HK236" i="30"/>
  <c r="HL236" i="30"/>
  <c r="HM236" i="30"/>
  <c r="HN236" i="30"/>
  <c r="HO236" i="30"/>
  <c r="HP236" i="30"/>
  <c r="HQ236" i="30"/>
  <c r="HR236" i="30"/>
  <c r="HS236" i="30"/>
  <c r="HT236" i="30"/>
  <c r="HU236" i="30"/>
  <c r="HV236" i="30"/>
  <c r="HW236" i="30"/>
  <c r="HX236" i="30"/>
  <c r="HY236" i="30"/>
  <c r="HZ236" i="30"/>
  <c r="IA236" i="30"/>
  <c r="IB236" i="30"/>
  <c r="IC236" i="30"/>
  <c r="ID236" i="30"/>
  <c r="IE236" i="30"/>
  <c r="IF236" i="30"/>
  <c r="IG236" i="30"/>
  <c r="IH236" i="30"/>
  <c r="II236" i="30"/>
  <c r="IJ236" i="30"/>
  <c r="IK236" i="30"/>
  <c r="IL236" i="30"/>
  <c r="IM236" i="30"/>
  <c r="IN236" i="30"/>
  <c r="IO236" i="30"/>
  <c r="IP236" i="30"/>
  <c r="IQ236" i="30"/>
  <c r="IR236" i="30"/>
  <c r="IS236" i="30"/>
  <c r="IT236" i="30"/>
  <c r="IU236" i="30"/>
  <c r="IV236" i="30"/>
  <c r="A235" i="30"/>
  <c r="B235" i="30"/>
  <c r="C235" i="30"/>
  <c r="D235" i="30"/>
  <c r="E235" i="30"/>
  <c r="F235" i="30"/>
  <c r="G235" i="30"/>
  <c r="H235" i="30"/>
  <c r="I235" i="30"/>
  <c r="J235" i="30"/>
  <c r="K235" i="30"/>
  <c r="L235" i="30"/>
  <c r="M235" i="30"/>
  <c r="N235" i="30"/>
  <c r="O235" i="30"/>
  <c r="P235" i="30"/>
  <c r="Q235" i="30"/>
  <c r="R235" i="30"/>
  <c r="S235" i="30"/>
  <c r="T235" i="30"/>
  <c r="U235" i="30"/>
  <c r="V235" i="30"/>
  <c r="W235" i="30"/>
  <c r="X235" i="30"/>
  <c r="Y235" i="30"/>
  <c r="Z235" i="30"/>
  <c r="AA235" i="30"/>
  <c r="AB235" i="30"/>
  <c r="AC235" i="30"/>
  <c r="AD235" i="30"/>
  <c r="AE235" i="30"/>
  <c r="AF235" i="30"/>
  <c r="AG235" i="30"/>
  <c r="AH235" i="30"/>
  <c r="AI235" i="30"/>
  <c r="AJ235" i="30"/>
  <c r="AK235" i="30"/>
  <c r="AL235" i="30"/>
  <c r="AM235" i="30"/>
  <c r="AN235" i="30"/>
  <c r="AO235" i="30"/>
  <c r="AP235" i="30"/>
  <c r="AQ235" i="30"/>
  <c r="AR235" i="30"/>
  <c r="AS235" i="30"/>
  <c r="AT235" i="30"/>
  <c r="AU235" i="30"/>
  <c r="AV235" i="30"/>
  <c r="AW235" i="30"/>
  <c r="AX235" i="30"/>
  <c r="AY235" i="30"/>
  <c r="AZ235" i="30"/>
  <c r="BA235" i="30"/>
  <c r="BB235" i="30"/>
  <c r="BC235" i="30"/>
  <c r="BD235" i="30"/>
  <c r="BE235" i="30"/>
  <c r="BF235" i="30"/>
  <c r="BG235" i="30"/>
  <c r="BH235" i="30"/>
  <c r="BI235" i="30"/>
  <c r="BJ235" i="30"/>
  <c r="BK235" i="30"/>
  <c r="BL235" i="30"/>
  <c r="BM235" i="30"/>
  <c r="BN235" i="30"/>
  <c r="BO235" i="30"/>
  <c r="BP235" i="30"/>
  <c r="BQ235" i="30"/>
  <c r="BR235" i="30"/>
  <c r="BS235" i="30"/>
  <c r="BT235" i="30"/>
  <c r="BU235" i="30"/>
  <c r="BV235" i="30"/>
  <c r="BW235" i="30"/>
  <c r="BX235" i="30"/>
  <c r="BY235" i="30"/>
  <c r="BZ235" i="30"/>
  <c r="CA235" i="30"/>
  <c r="CB235" i="30"/>
  <c r="CC235" i="30"/>
  <c r="CD235" i="30"/>
  <c r="CE235" i="30"/>
  <c r="CF235" i="30"/>
  <c r="CG235" i="30"/>
  <c r="CH235" i="30"/>
  <c r="CI235" i="30"/>
  <c r="CJ235" i="30"/>
  <c r="CK235" i="30"/>
  <c r="CL235" i="30"/>
  <c r="CM235" i="30"/>
  <c r="CN235" i="30"/>
  <c r="CO235" i="30"/>
  <c r="CP235" i="30"/>
  <c r="CQ235" i="30"/>
  <c r="CR235" i="30"/>
  <c r="CS235" i="30"/>
  <c r="CT235" i="30"/>
  <c r="CU235" i="30"/>
  <c r="CV235" i="30"/>
  <c r="CW235" i="30"/>
  <c r="CX235" i="30"/>
  <c r="CY235" i="30"/>
  <c r="CZ235" i="30"/>
  <c r="DA235" i="30"/>
  <c r="DB235" i="30"/>
  <c r="DC235" i="30"/>
  <c r="DD235" i="30"/>
  <c r="DE235" i="30"/>
  <c r="DF235" i="30"/>
  <c r="DG235" i="30"/>
  <c r="DH235" i="30"/>
  <c r="DI235" i="30"/>
  <c r="DJ235" i="30"/>
  <c r="DK235" i="30"/>
  <c r="DL235" i="30"/>
  <c r="DM235" i="30"/>
  <c r="DN235" i="30"/>
  <c r="DO235" i="30"/>
  <c r="DP235" i="30"/>
  <c r="DQ235" i="30"/>
  <c r="DR235" i="30"/>
  <c r="DS235" i="30"/>
  <c r="DT235" i="30"/>
  <c r="DU235" i="30"/>
  <c r="DV235" i="30"/>
  <c r="DW235" i="30"/>
  <c r="DX235" i="30"/>
  <c r="DY235" i="30"/>
  <c r="DZ235" i="30"/>
  <c r="EA235" i="30"/>
  <c r="EB235" i="30"/>
  <c r="EC235" i="30"/>
  <c r="ED235" i="30"/>
  <c r="EE235" i="30"/>
  <c r="EF235" i="30"/>
  <c r="EG235" i="30"/>
  <c r="EH235" i="30"/>
  <c r="EI235" i="30"/>
  <c r="EJ235" i="30"/>
  <c r="EK235" i="30"/>
  <c r="EL235" i="30"/>
  <c r="EM235" i="30"/>
  <c r="EN235" i="30"/>
  <c r="EO235" i="30"/>
  <c r="EP235" i="30"/>
  <c r="EQ235" i="30"/>
  <c r="ER235" i="30"/>
  <c r="ES235" i="30"/>
  <c r="ET235" i="30"/>
  <c r="EU235" i="30"/>
  <c r="EV235" i="30"/>
  <c r="EW235" i="30"/>
  <c r="EX235" i="30"/>
  <c r="EY235" i="30"/>
  <c r="EZ235" i="30"/>
  <c r="FA235" i="30"/>
  <c r="FB235" i="30"/>
  <c r="FC235" i="30"/>
  <c r="FD235" i="30"/>
  <c r="FE235" i="30"/>
  <c r="FF235" i="30"/>
  <c r="FG235" i="30"/>
  <c r="FH235" i="30"/>
  <c r="FI235" i="30"/>
  <c r="FJ235" i="30"/>
  <c r="FK235" i="30"/>
  <c r="FL235" i="30"/>
  <c r="FM235" i="30"/>
  <c r="FN235" i="30"/>
  <c r="FO235" i="30"/>
  <c r="FP235" i="30"/>
  <c r="FQ235" i="30"/>
  <c r="FR235" i="30"/>
  <c r="FS235" i="30"/>
  <c r="FT235" i="30"/>
  <c r="FU235" i="30"/>
  <c r="FV235" i="30"/>
  <c r="FW235" i="30"/>
  <c r="FX235" i="30"/>
  <c r="FY235" i="30"/>
  <c r="FZ235" i="30"/>
  <c r="GA235" i="30"/>
  <c r="GB235" i="30"/>
  <c r="GC235" i="30"/>
  <c r="GD235" i="30"/>
  <c r="GE235" i="30"/>
  <c r="GF235" i="30"/>
  <c r="GG235" i="30"/>
  <c r="GH235" i="30"/>
  <c r="GI235" i="30"/>
  <c r="GJ235" i="30"/>
  <c r="GK235" i="30"/>
  <c r="GL235" i="30"/>
  <c r="GM235" i="30"/>
  <c r="GN235" i="30"/>
  <c r="GO235" i="30"/>
  <c r="GP235" i="30"/>
  <c r="GQ235" i="30"/>
  <c r="GR235" i="30"/>
  <c r="GS235" i="30"/>
  <c r="GT235" i="30"/>
  <c r="GU235" i="30"/>
  <c r="GV235" i="30"/>
  <c r="GW235" i="30"/>
  <c r="GX235" i="30"/>
  <c r="GY235" i="30"/>
  <c r="GZ235" i="30"/>
  <c r="HA235" i="30"/>
  <c r="HB235" i="30"/>
  <c r="HC235" i="30"/>
  <c r="HD235" i="30"/>
  <c r="HE235" i="30"/>
  <c r="HF235" i="30"/>
  <c r="HG235" i="30"/>
  <c r="HH235" i="30"/>
  <c r="HI235" i="30"/>
  <c r="HJ235" i="30"/>
  <c r="HK235" i="30"/>
  <c r="HL235" i="30"/>
  <c r="HM235" i="30"/>
  <c r="HN235" i="30"/>
  <c r="HO235" i="30"/>
  <c r="HP235" i="30"/>
  <c r="HQ235" i="30"/>
  <c r="HR235" i="30"/>
  <c r="HS235" i="30"/>
  <c r="HT235" i="30"/>
  <c r="HU235" i="30"/>
  <c r="HV235" i="30"/>
  <c r="HW235" i="30"/>
  <c r="HX235" i="30"/>
  <c r="HY235" i="30"/>
  <c r="HZ235" i="30"/>
  <c r="IA235" i="30"/>
  <c r="IB235" i="30"/>
  <c r="IC235" i="30"/>
  <c r="ID235" i="30"/>
  <c r="IE235" i="30"/>
  <c r="IF235" i="30"/>
  <c r="IG235" i="30"/>
  <c r="IH235" i="30"/>
  <c r="II235" i="30"/>
  <c r="IJ235" i="30"/>
  <c r="IK235" i="30"/>
  <c r="IL235" i="30"/>
  <c r="IM235" i="30"/>
  <c r="IN235" i="30"/>
  <c r="IO235" i="30"/>
  <c r="IP235" i="30"/>
  <c r="IQ235" i="30"/>
  <c r="IR235" i="30"/>
  <c r="IS235" i="30"/>
  <c r="IT235" i="30"/>
  <c r="IU235" i="30"/>
  <c r="IV235" i="30"/>
  <c r="A234" i="30"/>
  <c r="B234" i="30"/>
  <c r="C234" i="30"/>
  <c r="D234" i="30"/>
  <c r="E234" i="30"/>
  <c r="F234" i="30"/>
  <c r="G234" i="30"/>
  <c r="H234" i="30"/>
  <c r="I234" i="30"/>
  <c r="J234" i="30"/>
  <c r="K234" i="30"/>
  <c r="L234" i="30"/>
  <c r="M234" i="30"/>
  <c r="N234" i="30"/>
  <c r="O234" i="30"/>
  <c r="P234" i="30"/>
  <c r="Q234" i="30"/>
  <c r="R234" i="30"/>
  <c r="S234" i="30"/>
  <c r="T234" i="30"/>
  <c r="U234" i="30"/>
  <c r="V234" i="30"/>
  <c r="W234" i="30"/>
  <c r="X234" i="30"/>
  <c r="Y234" i="30"/>
  <c r="Z234" i="30"/>
  <c r="AA234" i="30"/>
  <c r="AB234" i="30"/>
  <c r="AC234" i="30"/>
  <c r="AD234" i="30"/>
  <c r="AE234" i="30"/>
  <c r="AF234" i="30"/>
  <c r="AG234" i="30"/>
  <c r="AH234" i="30"/>
  <c r="AI234" i="30"/>
  <c r="AJ234" i="30"/>
  <c r="AK234" i="30"/>
  <c r="AL234" i="30"/>
  <c r="AM234" i="30"/>
  <c r="AN234" i="30"/>
  <c r="AO234" i="30"/>
  <c r="AP234" i="30"/>
  <c r="AQ234" i="30"/>
  <c r="AR234" i="30"/>
  <c r="AS234" i="30"/>
  <c r="AT234" i="30"/>
  <c r="AU234" i="30"/>
  <c r="AV234" i="30"/>
  <c r="AW234" i="30"/>
  <c r="AX234" i="30"/>
  <c r="AY234" i="30"/>
  <c r="AZ234" i="30"/>
  <c r="BA234" i="30"/>
  <c r="BB234" i="30"/>
  <c r="BC234" i="30"/>
  <c r="BD234" i="30"/>
  <c r="BE234" i="30"/>
  <c r="BF234" i="30"/>
  <c r="BG234" i="30"/>
  <c r="BH234" i="30"/>
  <c r="BI234" i="30"/>
  <c r="BJ234" i="30"/>
  <c r="BK234" i="30"/>
  <c r="BL234" i="30"/>
  <c r="BM234" i="30"/>
  <c r="BN234" i="30"/>
  <c r="BO234" i="30"/>
  <c r="BP234" i="30"/>
  <c r="BQ234" i="30"/>
  <c r="BR234" i="30"/>
  <c r="BS234" i="30"/>
  <c r="BT234" i="30"/>
  <c r="BU234" i="30"/>
  <c r="BV234" i="30"/>
  <c r="BW234" i="30"/>
  <c r="BX234" i="30"/>
  <c r="BY234" i="30"/>
  <c r="BZ234" i="30"/>
  <c r="CA234" i="30"/>
  <c r="CB234" i="30"/>
  <c r="CC234" i="30"/>
  <c r="CD234" i="30"/>
  <c r="CE234" i="30"/>
  <c r="CF234" i="30"/>
  <c r="CG234" i="30"/>
  <c r="CH234" i="30"/>
  <c r="CI234" i="30"/>
  <c r="CJ234" i="30"/>
  <c r="CK234" i="30"/>
  <c r="CL234" i="30"/>
  <c r="CM234" i="30"/>
  <c r="CN234" i="30"/>
  <c r="CO234" i="30"/>
  <c r="CP234" i="30"/>
  <c r="CQ234" i="30"/>
  <c r="CR234" i="30"/>
  <c r="CS234" i="30"/>
  <c r="CT234" i="30"/>
  <c r="CU234" i="30"/>
  <c r="CV234" i="30"/>
  <c r="CW234" i="30"/>
  <c r="CX234" i="30"/>
  <c r="CY234" i="30"/>
  <c r="CZ234" i="30"/>
  <c r="DA234" i="30"/>
  <c r="DB234" i="30"/>
  <c r="DC234" i="30"/>
  <c r="DD234" i="30"/>
  <c r="DE234" i="30"/>
  <c r="DF234" i="30"/>
  <c r="DG234" i="30"/>
  <c r="DH234" i="30"/>
  <c r="DI234" i="30"/>
  <c r="DJ234" i="30"/>
  <c r="DK234" i="30"/>
  <c r="DL234" i="30"/>
  <c r="DM234" i="30"/>
  <c r="DN234" i="30"/>
  <c r="DO234" i="30"/>
  <c r="DP234" i="30"/>
  <c r="DQ234" i="30"/>
  <c r="DR234" i="30"/>
  <c r="DS234" i="30"/>
  <c r="DT234" i="30"/>
  <c r="DU234" i="30"/>
  <c r="DV234" i="30"/>
  <c r="DW234" i="30"/>
  <c r="DX234" i="30"/>
  <c r="DY234" i="30"/>
  <c r="DZ234" i="30"/>
  <c r="EA234" i="30"/>
  <c r="EB234" i="30"/>
  <c r="EC234" i="30"/>
  <c r="ED234" i="30"/>
  <c r="EE234" i="30"/>
  <c r="EF234" i="30"/>
  <c r="EG234" i="30"/>
  <c r="EH234" i="30"/>
  <c r="EI234" i="30"/>
  <c r="EJ234" i="30"/>
  <c r="EK234" i="30"/>
  <c r="EL234" i="30"/>
  <c r="EM234" i="30"/>
  <c r="EN234" i="30"/>
  <c r="EO234" i="30"/>
  <c r="EP234" i="30"/>
  <c r="EQ234" i="30"/>
  <c r="ER234" i="30"/>
  <c r="ES234" i="30"/>
  <c r="ET234" i="30"/>
  <c r="EU234" i="30"/>
  <c r="EV234" i="30"/>
  <c r="EW234" i="30"/>
  <c r="EX234" i="30"/>
  <c r="EY234" i="30"/>
  <c r="EZ234" i="30"/>
  <c r="FA234" i="30"/>
  <c r="FB234" i="30"/>
  <c r="FC234" i="30"/>
  <c r="FD234" i="30"/>
  <c r="FE234" i="30"/>
  <c r="FF234" i="30"/>
  <c r="FG234" i="30"/>
  <c r="FH234" i="30"/>
  <c r="FI234" i="30"/>
  <c r="FJ234" i="30"/>
  <c r="FK234" i="30"/>
  <c r="FL234" i="30"/>
  <c r="FM234" i="30"/>
  <c r="FN234" i="30"/>
  <c r="FO234" i="30"/>
  <c r="FP234" i="30"/>
  <c r="FQ234" i="30"/>
  <c r="FR234" i="30"/>
  <c r="FS234" i="30"/>
  <c r="FT234" i="30"/>
  <c r="FU234" i="30"/>
  <c r="FV234" i="30"/>
  <c r="FW234" i="30"/>
  <c r="FX234" i="30"/>
  <c r="FY234" i="30"/>
  <c r="FZ234" i="30"/>
  <c r="GA234" i="30"/>
  <c r="GB234" i="30"/>
  <c r="GC234" i="30"/>
  <c r="GD234" i="30"/>
  <c r="GE234" i="30"/>
  <c r="GF234" i="30"/>
  <c r="GG234" i="30"/>
  <c r="GH234" i="30"/>
  <c r="GI234" i="30"/>
  <c r="GJ234" i="30"/>
  <c r="GK234" i="30"/>
  <c r="GL234" i="30"/>
  <c r="GM234" i="30"/>
  <c r="GN234" i="30"/>
  <c r="GO234" i="30"/>
  <c r="GP234" i="30"/>
  <c r="GQ234" i="30"/>
  <c r="GR234" i="30"/>
  <c r="GS234" i="30"/>
  <c r="GT234" i="30"/>
  <c r="GU234" i="30"/>
  <c r="GV234" i="30"/>
  <c r="GW234" i="30"/>
  <c r="GX234" i="30"/>
  <c r="GY234" i="30"/>
  <c r="GZ234" i="30"/>
  <c r="HA234" i="30"/>
  <c r="HB234" i="30"/>
  <c r="HC234" i="30"/>
  <c r="HD234" i="30"/>
  <c r="HE234" i="30"/>
  <c r="HF234" i="30"/>
  <c r="HG234" i="30"/>
  <c r="HH234" i="30"/>
  <c r="HI234" i="30"/>
  <c r="HJ234" i="30"/>
  <c r="HK234" i="30"/>
  <c r="HL234" i="30"/>
  <c r="HM234" i="30"/>
  <c r="HN234" i="30"/>
  <c r="HO234" i="30"/>
  <c r="HP234" i="30"/>
  <c r="HQ234" i="30"/>
  <c r="HR234" i="30"/>
  <c r="HS234" i="30"/>
  <c r="HT234" i="30"/>
  <c r="HU234" i="30"/>
  <c r="HV234" i="30"/>
  <c r="HW234" i="30"/>
  <c r="HX234" i="30"/>
  <c r="HY234" i="30"/>
  <c r="HZ234" i="30"/>
  <c r="IA234" i="30"/>
  <c r="IB234" i="30"/>
  <c r="IC234" i="30"/>
  <c r="ID234" i="30"/>
  <c r="IE234" i="30"/>
  <c r="IF234" i="30"/>
  <c r="IG234" i="30"/>
  <c r="IH234" i="30"/>
  <c r="II234" i="30"/>
  <c r="IJ234" i="30"/>
  <c r="IK234" i="30"/>
  <c r="IL234" i="30"/>
  <c r="IM234" i="30"/>
  <c r="IN234" i="30"/>
  <c r="IO234" i="30"/>
  <c r="IP234" i="30"/>
  <c r="IQ234" i="30"/>
  <c r="IR234" i="30"/>
  <c r="IS234" i="30"/>
  <c r="IT234" i="30"/>
  <c r="IU234" i="30"/>
  <c r="IV234" i="30"/>
  <c r="A233" i="30"/>
  <c r="B233" i="30"/>
  <c r="C233" i="30"/>
  <c r="D233" i="30"/>
  <c r="E233" i="30"/>
  <c r="F233" i="30"/>
  <c r="G233" i="30"/>
  <c r="H233" i="30"/>
  <c r="I233" i="30"/>
  <c r="J233" i="30"/>
  <c r="K233" i="30"/>
  <c r="L233" i="30"/>
  <c r="M233" i="30"/>
  <c r="N233" i="30"/>
  <c r="O233" i="30"/>
  <c r="P233" i="30"/>
  <c r="Q233" i="30"/>
  <c r="R233" i="30"/>
  <c r="S233" i="30"/>
  <c r="T233" i="30"/>
  <c r="U233" i="30"/>
  <c r="V233" i="30"/>
  <c r="W233" i="30"/>
  <c r="X233" i="30"/>
  <c r="Y233" i="30"/>
  <c r="Z233" i="30"/>
  <c r="AA233" i="30"/>
  <c r="AB233" i="30"/>
  <c r="AC233" i="30"/>
  <c r="AD233" i="30"/>
  <c r="AE233" i="30"/>
  <c r="AF233" i="30"/>
  <c r="AG233" i="30"/>
  <c r="AH233" i="30"/>
  <c r="AI233" i="30"/>
  <c r="AJ233" i="30"/>
  <c r="AK233" i="30"/>
  <c r="AL233" i="30"/>
  <c r="AM233" i="30"/>
  <c r="AN233" i="30"/>
  <c r="AO233" i="30"/>
  <c r="AP233" i="30"/>
  <c r="AQ233" i="30"/>
  <c r="AR233" i="30"/>
  <c r="AS233" i="30"/>
  <c r="AT233" i="30"/>
  <c r="AU233" i="30"/>
  <c r="AV233" i="30"/>
  <c r="AW233" i="30"/>
  <c r="AX233" i="30"/>
  <c r="AY233" i="30"/>
  <c r="AZ233" i="30"/>
  <c r="BA233" i="30"/>
  <c r="BB233" i="30"/>
  <c r="BC233" i="30"/>
  <c r="BD233" i="30"/>
  <c r="BE233" i="30"/>
  <c r="BF233" i="30"/>
  <c r="BG233" i="30"/>
  <c r="BH233" i="30"/>
  <c r="BI233" i="30"/>
  <c r="BJ233" i="30"/>
  <c r="BK233" i="30"/>
  <c r="BL233" i="30"/>
  <c r="BM233" i="30"/>
  <c r="BN233" i="30"/>
  <c r="BO233" i="30"/>
  <c r="BP233" i="30"/>
  <c r="BQ233" i="30"/>
  <c r="BR233" i="30"/>
  <c r="BS233" i="30"/>
  <c r="BT233" i="30"/>
  <c r="BU233" i="30"/>
  <c r="BV233" i="30"/>
  <c r="BW233" i="30"/>
  <c r="BX233" i="30"/>
  <c r="BY233" i="30"/>
  <c r="BZ233" i="30"/>
  <c r="CA233" i="30"/>
  <c r="CB233" i="30"/>
  <c r="CC233" i="30"/>
  <c r="CD233" i="30"/>
  <c r="CE233" i="30"/>
  <c r="CF233" i="30"/>
  <c r="CG233" i="30"/>
  <c r="CH233" i="30"/>
  <c r="CI233" i="30"/>
  <c r="CJ233" i="30"/>
  <c r="CK233" i="30"/>
  <c r="CL233" i="30"/>
  <c r="CM233" i="30"/>
  <c r="CN233" i="30"/>
  <c r="CO233" i="30"/>
  <c r="CP233" i="30"/>
  <c r="CQ233" i="30"/>
  <c r="CR233" i="30"/>
  <c r="CS233" i="30"/>
  <c r="CT233" i="30"/>
  <c r="CU233" i="30"/>
  <c r="CV233" i="30"/>
  <c r="CW233" i="30"/>
  <c r="CX233" i="30"/>
  <c r="CY233" i="30"/>
  <c r="CZ233" i="30"/>
  <c r="DA233" i="30"/>
  <c r="DB233" i="30"/>
  <c r="DC233" i="30"/>
  <c r="DD233" i="30"/>
  <c r="DE233" i="30"/>
  <c r="DF233" i="30"/>
  <c r="DG233" i="30"/>
  <c r="DH233" i="30"/>
  <c r="DI233" i="30"/>
  <c r="DJ233" i="30"/>
  <c r="DK233" i="30"/>
  <c r="DL233" i="30"/>
  <c r="DM233" i="30"/>
  <c r="DN233" i="30"/>
  <c r="DO233" i="30"/>
  <c r="DP233" i="30"/>
  <c r="DQ233" i="30"/>
  <c r="DR233" i="30"/>
  <c r="DS233" i="30"/>
  <c r="DT233" i="30"/>
  <c r="DU233" i="30"/>
  <c r="DV233" i="30"/>
  <c r="DW233" i="30"/>
  <c r="DX233" i="30"/>
  <c r="DY233" i="30"/>
  <c r="DZ233" i="30"/>
  <c r="EA233" i="30"/>
  <c r="EB233" i="30"/>
  <c r="EC233" i="30"/>
  <c r="ED233" i="30"/>
  <c r="EE233" i="30"/>
  <c r="EF233" i="30"/>
  <c r="EG233" i="30"/>
  <c r="EH233" i="30"/>
  <c r="EI233" i="30"/>
  <c r="EJ233" i="30"/>
  <c r="EK233" i="30"/>
  <c r="EL233" i="30"/>
  <c r="EM233" i="30"/>
  <c r="EN233" i="30"/>
  <c r="EO233" i="30"/>
  <c r="EP233" i="30"/>
  <c r="EQ233" i="30"/>
  <c r="ER233" i="30"/>
  <c r="ES233" i="30"/>
  <c r="ET233" i="30"/>
  <c r="EU233" i="30"/>
  <c r="EV233" i="30"/>
  <c r="EW233" i="30"/>
  <c r="EX233" i="30"/>
  <c r="EY233" i="30"/>
  <c r="EZ233" i="30"/>
  <c r="FA233" i="30"/>
  <c r="FB233" i="30"/>
  <c r="FC233" i="30"/>
  <c r="FD233" i="30"/>
  <c r="FE233" i="30"/>
  <c r="FF233" i="30"/>
  <c r="FG233" i="30"/>
  <c r="FH233" i="30"/>
  <c r="FI233" i="30"/>
  <c r="FJ233" i="30"/>
  <c r="FK233" i="30"/>
  <c r="FL233" i="30"/>
  <c r="FM233" i="30"/>
  <c r="FN233" i="30"/>
  <c r="FO233" i="30"/>
  <c r="FP233" i="30"/>
  <c r="FQ233" i="30"/>
  <c r="FR233" i="30"/>
  <c r="FS233" i="30"/>
  <c r="FT233" i="30"/>
  <c r="FU233" i="30"/>
  <c r="FV233" i="30"/>
  <c r="FW233" i="30"/>
  <c r="FX233" i="30"/>
  <c r="FY233" i="30"/>
  <c r="FZ233" i="30"/>
  <c r="GA233" i="30"/>
  <c r="GB233" i="30"/>
  <c r="GC233" i="30"/>
  <c r="GD233" i="30"/>
  <c r="GE233" i="30"/>
  <c r="GF233" i="30"/>
  <c r="GG233" i="30"/>
  <c r="GH233" i="30"/>
  <c r="GI233" i="30"/>
  <c r="GJ233" i="30"/>
  <c r="GK233" i="30"/>
  <c r="GL233" i="30"/>
  <c r="GM233" i="30"/>
  <c r="GN233" i="30"/>
  <c r="GO233" i="30"/>
  <c r="GP233" i="30"/>
  <c r="GQ233" i="30"/>
  <c r="GR233" i="30"/>
  <c r="GS233" i="30"/>
  <c r="GT233" i="30"/>
  <c r="GU233" i="30"/>
  <c r="GV233" i="30"/>
  <c r="GW233" i="30"/>
  <c r="GX233" i="30"/>
  <c r="GY233" i="30"/>
  <c r="GZ233" i="30"/>
  <c r="HA233" i="30"/>
  <c r="HB233" i="30"/>
  <c r="HC233" i="30"/>
  <c r="HD233" i="30"/>
  <c r="HE233" i="30"/>
  <c r="HF233" i="30"/>
  <c r="HG233" i="30"/>
  <c r="HH233" i="30"/>
  <c r="HI233" i="30"/>
  <c r="HJ233" i="30"/>
  <c r="HK233" i="30"/>
  <c r="HL233" i="30"/>
  <c r="HM233" i="30"/>
  <c r="HN233" i="30"/>
  <c r="HO233" i="30"/>
  <c r="HP233" i="30"/>
  <c r="HQ233" i="30"/>
  <c r="HR233" i="30"/>
  <c r="HS233" i="30"/>
  <c r="HT233" i="30"/>
  <c r="HU233" i="30"/>
  <c r="HV233" i="30"/>
  <c r="HW233" i="30"/>
  <c r="HX233" i="30"/>
  <c r="HY233" i="30"/>
  <c r="HZ233" i="30"/>
  <c r="IA233" i="30"/>
  <c r="IB233" i="30"/>
  <c r="IC233" i="30"/>
  <c r="ID233" i="30"/>
  <c r="IE233" i="30"/>
  <c r="IF233" i="30"/>
  <c r="IG233" i="30"/>
  <c r="IH233" i="30"/>
  <c r="II233" i="30"/>
  <c r="IJ233" i="30"/>
  <c r="IK233" i="30"/>
  <c r="IL233" i="30"/>
  <c r="IM233" i="30"/>
  <c r="IN233" i="30"/>
  <c r="IO233" i="30"/>
  <c r="IP233" i="30"/>
  <c r="IQ233" i="30"/>
  <c r="IR233" i="30"/>
  <c r="IS233" i="30"/>
  <c r="IT233" i="30"/>
  <c r="IU233" i="30"/>
  <c r="IV233" i="30"/>
  <c r="A232" i="30"/>
  <c r="B232" i="30"/>
  <c r="C232" i="30"/>
  <c r="D232" i="30"/>
  <c r="E232" i="30"/>
  <c r="F232" i="30"/>
  <c r="G232" i="30"/>
  <c r="H232" i="30"/>
  <c r="I232" i="30"/>
  <c r="J232" i="30"/>
  <c r="K232" i="30"/>
  <c r="L232" i="30"/>
  <c r="M232" i="30"/>
  <c r="N232" i="30"/>
  <c r="O232" i="30"/>
  <c r="P232" i="30"/>
  <c r="Q232" i="30"/>
  <c r="R232" i="30"/>
  <c r="S232" i="30"/>
  <c r="T232" i="30"/>
  <c r="U232" i="30"/>
  <c r="V232" i="30"/>
  <c r="W232" i="30"/>
  <c r="X232" i="30"/>
  <c r="Y232" i="30"/>
  <c r="Z232" i="30"/>
  <c r="AA232" i="30"/>
  <c r="AB232" i="30"/>
  <c r="AC232" i="30"/>
  <c r="AD232" i="30"/>
  <c r="AE232" i="30"/>
  <c r="AF232" i="30"/>
  <c r="AG232" i="30"/>
  <c r="AH232" i="30"/>
  <c r="AI232" i="30"/>
  <c r="AJ232" i="30"/>
  <c r="AK232" i="30"/>
  <c r="AL232" i="30"/>
  <c r="AM232" i="30"/>
  <c r="AN232" i="30"/>
  <c r="AO232" i="30"/>
  <c r="AP232" i="30"/>
  <c r="AQ232" i="30"/>
  <c r="AR232" i="30"/>
  <c r="AS232" i="30"/>
  <c r="AT232" i="30"/>
  <c r="AU232" i="30"/>
  <c r="AV232" i="30"/>
  <c r="AW232" i="30"/>
  <c r="AX232" i="30"/>
  <c r="AY232" i="30"/>
  <c r="AZ232" i="30"/>
  <c r="BA232" i="30"/>
  <c r="BB232" i="30"/>
  <c r="BC232" i="30"/>
  <c r="BD232" i="30"/>
  <c r="BE232" i="30"/>
  <c r="BF232" i="30"/>
  <c r="BG232" i="30"/>
  <c r="BH232" i="30"/>
  <c r="BI232" i="30"/>
  <c r="BJ232" i="30"/>
  <c r="BK232" i="30"/>
  <c r="BL232" i="30"/>
  <c r="BM232" i="30"/>
  <c r="BN232" i="30"/>
  <c r="BO232" i="30"/>
  <c r="BP232" i="30"/>
  <c r="BQ232" i="30"/>
  <c r="BR232" i="30"/>
  <c r="BS232" i="30"/>
  <c r="BT232" i="30"/>
  <c r="BU232" i="30"/>
  <c r="BV232" i="30"/>
  <c r="BW232" i="30"/>
  <c r="BX232" i="30"/>
  <c r="BY232" i="30"/>
  <c r="BZ232" i="30"/>
  <c r="CA232" i="30"/>
  <c r="CB232" i="30"/>
  <c r="CC232" i="30"/>
  <c r="CD232" i="30"/>
  <c r="CE232" i="30"/>
  <c r="CF232" i="30"/>
  <c r="CG232" i="30"/>
  <c r="CH232" i="30"/>
  <c r="CI232" i="30"/>
  <c r="CJ232" i="30"/>
  <c r="CK232" i="30"/>
  <c r="CL232" i="30"/>
  <c r="CM232" i="30"/>
  <c r="CN232" i="30"/>
  <c r="CO232" i="30"/>
  <c r="CP232" i="30"/>
  <c r="CQ232" i="30"/>
  <c r="CR232" i="30"/>
  <c r="CS232" i="30"/>
  <c r="CT232" i="30"/>
  <c r="CU232" i="30"/>
  <c r="CV232" i="30"/>
  <c r="CW232" i="30"/>
  <c r="CX232" i="30"/>
  <c r="CY232" i="30"/>
  <c r="CZ232" i="30"/>
  <c r="DA232" i="30"/>
  <c r="DB232" i="30"/>
  <c r="DC232" i="30"/>
  <c r="DD232" i="30"/>
  <c r="DE232" i="30"/>
  <c r="DF232" i="30"/>
  <c r="DG232" i="30"/>
  <c r="DH232" i="30"/>
  <c r="DI232" i="30"/>
  <c r="DJ232" i="30"/>
  <c r="DK232" i="30"/>
  <c r="DL232" i="30"/>
  <c r="DM232" i="30"/>
  <c r="DN232" i="30"/>
  <c r="DO232" i="30"/>
  <c r="DP232" i="30"/>
  <c r="DQ232" i="30"/>
  <c r="DR232" i="30"/>
  <c r="DS232" i="30"/>
  <c r="DT232" i="30"/>
  <c r="DU232" i="30"/>
  <c r="DV232" i="30"/>
  <c r="DW232" i="30"/>
  <c r="DX232" i="30"/>
  <c r="DY232" i="30"/>
  <c r="DZ232" i="30"/>
  <c r="EA232" i="30"/>
  <c r="EB232" i="30"/>
  <c r="EC232" i="30"/>
  <c r="ED232" i="30"/>
  <c r="EE232" i="30"/>
  <c r="EF232" i="30"/>
  <c r="EG232" i="30"/>
  <c r="EH232" i="30"/>
  <c r="EI232" i="30"/>
  <c r="EJ232" i="30"/>
  <c r="EK232" i="30"/>
  <c r="EL232" i="30"/>
  <c r="EM232" i="30"/>
  <c r="EN232" i="30"/>
  <c r="EO232" i="30"/>
  <c r="EP232" i="30"/>
  <c r="EQ232" i="30"/>
  <c r="ER232" i="30"/>
  <c r="ES232" i="30"/>
  <c r="ET232" i="30"/>
  <c r="EU232" i="30"/>
  <c r="EV232" i="30"/>
  <c r="EW232" i="30"/>
  <c r="EX232" i="30"/>
  <c r="EY232" i="30"/>
  <c r="EZ232" i="30"/>
  <c r="FA232" i="30"/>
  <c r="FB232" i="30"/>
  <c r="FC232" i="30"/>
  <c r="FD232" i="30"/>
  <c r="FE232" i="30"/>
  <c r="FF232" i="30"/>
  <c r="FG232" i="30"/>
  <c r="FH232" i="30"/>
  <c r="FI232" i="30"/>
  <c r="FJ232" i="30"/>
  <c r="FK232" i="30"/>
  <c r="FL232" i="30"/>
  <c r="FM232" i="30"/>
  <c r="FN232" i="30"/>
  <c r="FO232" i="30"/>
  <c r="FP232" i="30"/>
  <c r="FQ232" i="30"/>
  <c r="FR232" i="30"/>
  <c r="FS232" i="30"/>
  <c r="FT232" i="30"/>
  <c r="FU232" i="30"/>
  <c r="FV232" i="30"/>
  <c r="FW232" i="30"/>
  <c r="FX232" i="30"/>
  <c r="FY232" i="30"/>
  <c r="FZ232" i="30"/>
  <c r="GA232" i="30"/>
  <c r="GB232" i="30"/>
  <c r="GC232" i="30"/>
  <c r="GD232" i="30"/>
  <c r="GE232" i="30"/>
  <c r="GF232" i="30"/>
  <c r="GG232" i="30"/>
  <c r="GH232" i="30"/>
  <c r="GI232" i="30"/>
  <c r="GJ232" i="30"/>
  <c r="GK232" i="30"/>
  <c r="GL232" i="30"/>
  <c r="GM232" i="30"/>
  <c r="GN232" i="30"/>
  <c r="GO232" i="30"/>
  <c r="GP232" i="30"/>
  <c r="GQ232" i="30"/>
  <c r="GR232" i="30"/>
  <c r="GS232" i="30"/>
  <c r="GT232" i="30"/>
  <c r="GU232" i="30"/>
  <c r="GV232" i="30"/>
  <c r="GW232" i="30"/>
  <c r="GX232" i="30"/>
  <c r="GY232" i="30"/>
  <c r="GZ232" i="30"/>
  <c r="HA232" i="30"/>
  <c r="HB232" i="30"/>
  <c r="HC232" i="30"/>
  <c r="HD232" i="30"/>
  <c r="HE232" i="30"/>
  <c r="HF232" i="30"/>
  <c r="HG232" i="30"/>
  <c r="HH232" i="30"/>
  <c r="HI232" i="30"/>
  <c r="HJ232" i="30"/>
  <c r="HK232" i="30"/>
  <c r="HL232" i="30"/>
  <c r="HM232" i="30"/>
  <c r="HN232" i="30"/>
  <c r="HO232" i="30"/>
  <c r="HP232" i="30"/>
  <c r="HQ232" i="30"/>
  <c r="HR232" i="30"/>
  <c r="HS232" i="30"/>
  <c r="HT232" i="30"/>
  <c r="HU232" i="30"/>
  <c r="HV232" i="30"/>
  <c r="HW232" i="30"/>
  <c r="HX232" i="30"/>
  <c r="HY232" i="30"/>
  <c r="HZ232" i="30"/>
  <c r="IA232" i="30"/>
  <c r="IB232" i="30"/>
  <c r="IC232" i="30"/>
  <c r="ID232" i="30"/>
  <c r="IE232" i="30"/>
  <c r="IF232" i="30"/>
  <c r="IG232" i="30"/>
  <c r="IH232" i="30"/>
  <c r="II232" i="30"/>
  <c r="IJ232" i="30"/>
  <c r="IK232" i="30"/>
  <c r="IL232" i="30"/>
  <c r="IM232" i="30"/>
  <c r="IN232" i="30"/>
  <c r="IO232" i="30"/>
  <c r="IP232" i="30"/>
  <c r="IQ232" i="30"/>
  <c r="IR232" i="30"/>
  <c r="IS232" i="30"/>
  <c r="IT232" i="30"/>
  <c r="IU232" i="30"/>
  <c r="IV232" i="30"/>
  <c r="A231" i="30"/>
  <c r="B231" i="30"/>
  <c r="C231" i="30"/>
  <c r="D231" i="30"/>
  <c r="E231" i="30"/>
  <c r="F231" i="30"/>
  <c r="G231" i="30"/>
  <c r="H231" i="30"/>
  <c r="I231" i="30"/>
  <c r="J231" i="30"/>
  <c r="K231" i="30"/>
  <c r="L231" i="30"/>
  <c r="M231" i="30"/>
  <c r="N231" i="30"/>
  <c r="O231" i="30"/>
  <c r="P231" i="30"/>
  <c r="Q231" i="30"/>
  <c r="R231" i="30"/>
  <c r="S231" i="30"/>
  <c r="T231" i="30"/>
  <c r="U231" i="30"/>
  <c r="V231" i="30"/>
  <c r="W231" i="30"/>
  <c r="X231" i="30"/>
  <c r="Y231" i="30"/>
  <c r="Z231" i="30"/>
  <c r="AA231" i="30"/>
  <c r="AB231" i="30"/>
  <c r="AC231" i="30"/>
  <c r="AD231" i="30"/>
  <c r="AE231" i="30"/>
  <c r="AF231" i="30"/>
  <c r="AG231" i="30"/>
  <c r="AH231" i="30"/>
  <c r="AI231" i="30"/>
  <c r="AJ231" i="30"/>
  <c r="AK231" i="30"/>
  <c r="AL231" i="30"/>
  <c r="AM231" i="30"/>
  <c r="AN231" i="30"/>
  <c r="AO231" i="30"/>
  <c r="AP231" i="30"/>
  <c r="AQ231" i="30"/>
  <c r="AR231" i="30"/>
  <c r="AS231" i="30"/>
  <c r="AT231" i="30"/>
  <c r="AU231" i="30"/>
  <c r="AV231" i="30"/>
  <c r="AW231" i="30"/>
  <c r="AX231" i="30"/>
  <c r="AY231" i="30"/>
  <c r="AZ231" i="30"/>
  <c r="BA231" i="30"/>
  <c r="BB231" i="30"/>
  <c r="BC231" i="30"/>
  <c r="BD231" i="30"/>
  <c r="BE231" i="30"/>
  <c r="BF231" i="30"/>
  <c r="BG231" i="30"/>
  <c r="BH231" i="30"/>
  <c r="BI231" i="30"/>
  <c r="BJ231" i="30"/>
  <c r="BK231" i="30"/>
  <c r="BL231" i="30"/>
  <c r="BM231" i="30"/>
  <c r="BN231" i="30"/>
  <c r="BO231" i="30"/>
  <c r="BP231" i="30"/>
  <c r="BQ231" i="30"/>
  <c r="BR231" i="30"/>
  <c r="BS231" i="30"/>
  <c r="BT231" i="30"/>
  <c r="BU231" i="30"/>
  <c r="BV231" i="30"/>
  <c r="BW231" i="30"/>
  <c r="BX231" i="30"/>
  <c r="BY231" i="30"/>
  <c r="BZ231" i="30"/>
  <c r="CA231" i="30"/>
  <c r="CB231" i="30"/>
  <c r="CC231" i="30"/>
  <c r="CD231" i="30"/>
  <c r="CE231" i="30"/>
  <c r="CF231" i="30"/>
  <c r="CG231" i="30"/>
  <c r="CH231" i="30"/>
  <c r="CI231" i="30"/>
  <c r="CJ231" i="30"/>
  <c r="CK231" i="30"/>
  <c r="CL231" i="30"/>
  <c r="CM231" i="30"/>
  <c r="CN231" i="30"/>
  <c r="CO231" i="30"/>
  <c r="CP231" i="30"/>
  <c r="CQ231" i="30"/>
  <c r="CR231" i="30"/>
  <c r="CS231" i="30"/>
  <c r="CT231" i="30"/>
  <c r="CU231" i="30"/>
  <c r="CV231" i="30"/>
  <c r="CW231" i="30"/>
  <c r="CX231" i="30"/>
  <c r="CY231" i="30"/>
  <c r="CZ231" i="30"/>
  <c r="DA231" i="30"/>
  <c r="DB231" i="30"/>
  <c r="DC231" i="30"/>
  <c r="DD231" i="30"/>
  <c r="DE231" i="30"/>
  <c r="DF231" i="30"/>
  <c r="DG231" i="30"/>
  <c r="DH231" i="30"/>
  <c r="DI231" i="30"/>
  <c r="DJ231" i="30"/>
  <c r="DK231" i="30"/>
  <c r="DL231" i="30"/>
  <c r="DM231" i="30"/>
  <c r="DN231" i="30"/>
  <c r="DO231" i="30"/>
  <c r="DP231" i="30"/>
  <c r="DQ231" i="30"/>
  <c r="DR231" i="30"/>
  <c r="DS231" i="30"/>
  <c r="DT231" i="30"/>
  <c r="DU231" i="30"/>
  <c r="DV231" i="30"/>
  <c r="DW231" i="30"/>
  <c r="DX231" i="30"/>
  <c r="DY231" i="30"/>
  <c r="DZ231" i="30"/>
  <c r="EA231" i="30"/>
  <c r="EB231" i="30"/>
  <c r="EC231" i="30"/>
  <c r="ED231" i="30"/>
  <c r="EE231" i="30"/>
  <c r="EF231" i="30"/>
  <c r="EG231" i="30"/>
  <c r="EH231" i="30"/>
  <c r="EI231" i="30"/>
  <c r="EJ231" i="30"/>
  <c r="EK231" i="30"/>
  <c r="EL231" i="30"/>
  <c r="EM231" i="30"/>
  <c r="EN231" i="30"/>
  <c r="EO231" i="30"/>
  <c r="EP231" i="30"/>
  <c r="EQ231" i="30"/>
  <c r="ER231" i="30"/>
  <c r="ES231" i="30"/>
  <c r="ET231" i="30"/>
  <c r="EU231" i="30"/>
  <c r="EV231" i="30"/>
  <c r="EW231" i="30"/>
  <c r="EX231" i="30"/>
  <c r="EY231" i="30"/>
  <c r="EZ231" i="30"/>
  <c r="FA231" i="30"/>
  <c r="FB231" i="30"/>
  <c r="FC231" i="30"/>
  <c r="FD231" i="30"/>
  <c r="FE231" i="30"/>
  <c r="FF231" i="30"/>
  <c r="FG231" i="30"/>
  <c r="FH231" i="30"/>
  <c r="FI231" i="30"/>
  <c r="FJ231" i="30"/>
  <c r="FK231" i="30"/>
  <c r="FL231" i="30"/>
  <c r="FM231" i="30"/>
  <c r="FN231" i="30"/>
  <c r="FO231" i="30"/>
  <c r="FP231" i="30"/>
  <c r="FQ231" i="30"/>
  <c r="FR231" i="30"/>
  <c r="FS231" i="30"/>
  <c r="FT231" i="30"/>
  <c r="FU231" i="30"/>
  <c r="FV231" i="30"/>
  <c r="FW231" i="30"/>
  <c r="FX231" i="30"/>
  <c r="FY231" i="30"/>
  <c r="FZ231" i="30"/>
  <c r="GA231" i="30"/>
  <c r="GB231" i="30"/>
  <c r="GC231" i="30"/>
  <c r="GD231" i="30"/>
  <c r="GE231" i="30"/>
  <c r="GF231" i="30"/>
  <c r="GG231" i="30"/>
  <c r="GH231" i="30"/>
  <c r="GI231" i="30"/>
  <c r="GJ231" i="30"/>
  <c r="GK231" i="30"/>
  <c r="GL231" i="30"/>
  <c r="GM231" i="30"/>
  <c r="GN231" i="30"/>
  <c r="GO231" i="30"/>
  <c r="GP231" i="30"/>
  <c r="GQ231" i="30"/>
  <c r="GR231" i="30"/>
  <c r="GS231" i="30"/>
  <c r="GT231" i="30"/>
  <c r="GU231" i="30"/>
  <c r="GV231" i="30"/>
  <c r="GW231" i="30"/>
  <c r="GX231" i="30"/>
  <c r="GY231" i="30"/>
  <c r="GZ231" i="30"/>
  <c r="HA231" i="30"/>
  <c r="HB231" i="30"/>
  <c r="HC231" i="30"/>
  <c r="HD231" i="30"/>
  <c r="HE231" i="30"/>
  <c r="HF231" i="30"/>
  <c r="HG231" i="30"/>
  <c r="HH231" i="30"/>
  <c r="HI231" i="30"/>
  <c r="HJ231" i="30"/>
  <c r="HK231" i="30"/>
  <c r="HL231" i="30"/>
  <c r="HM231" i="30"/>
  <c r="HN231" i="30"/>
  <c r="HO231" i="30"/>
  <c r="HP231" i="30"/>
  <c r="HQ231" i="30"/>
  <c r="HR231" i="30"/>
  <c r="HS231" i="30"/>
  <c r="HT231" i="30"/>
  <c r="HU231" i="30"/>
  <c r="HV231" i="30"/>
  <c r="HW231" i="30"/>
  <c r="HX231" i="30"/>
  <c r="HY231" i="30"/>
  <c r="HZ231" i="30"/>
  <c r="IA231" i="30"/>
  <c r="IB231" i="30"/>
  <c r="IC231" i="30"/>
  <c r="ID231" i="30"/>
  <c r="IE231" i="30"/>
  <c r="IF231" i="30"/>
  <c r="IG231" i="30"/>
  <c r="IH231" i="30"/>
  <c r="II231" i="30"/>
  <c r="IJ231" i="30"/>
  <c r="IK231" i="30"/>
  <c r="IL231" i="30"/>
  <c r="IM231" i="30"/>
  <c r="IN231" i="30"/>
  <c r="IO231" i="30"/>
  <c r="IP231" i="30"/>
  <c r="IQ231" i="30"/>
  <c r="IR231" i="30"/>
  <c r="IS231" i="30"/>
  <c r="IT231" i="30"/>
  <c r="IU231" i="30"/>
  <c r="IV231" i="30"/>
  <c r="A230" i="30"/>
  <c r="B230" i="30"/>
  <c r="C230" i="30"/>
  <c r="D230" i="30"/>
  <c r="E230" i="30"/>
  <c r="F230" i="30"/>
  <c r="G230" i="30"/>
  <c r="H230" i="30"/>
  <c r="I230" i="30"/>
  <c r="J230" i="30"/>
  <c r="K230" i="30"/>
  <c r="L230" i="30"/>
  <c r="M230" i="30"/>
  <c r="N230" i="30"/>
  <c r="O230" i="30"/>
  <c r="P230" i="30"/>
  <c r="Q230" i="30"/>
  <c r="R230" i="30"/>
  <c r="S230" i="30"/>
  <c r="T230" i="30"/>
  <c r="U230" i="30"/>
  <c r="V230" i="30"/>
  <c r="W230" i="30"/>
  <c r="X230" i="30"/>
  <c r="Y230" i="30"/>
  <c r="Z230" i="30"/>
  <c r="AA230" i="30"/>
  <c r="AB230" i="30"/>
  <c r="AC230" i="30"/>
  <c r="AD230" i="30"/>
  <c r="AE230" i="30"/>
  <c r="AF230" i="30"/>
  <c r="AG230" i="30"/>
  <c r="AH230" i="30"/>
  <c r="AI230" i="30"/>
  <c r="AJ230" i="30"/>
  <c r="AK230" i="30"/>
  <c r="AL230" i="30"/>
  <c r="AM230" i="30"/>
  <c r="AN230" i="30"/>
  <c r="AO230" i="30"/>
  <c r="AP230" i="30"/>
  <c r="AQ230" i="30"/>
  <c r="AR230" i="30"/>
  <c r="AS230" i="30"/>
  <c r="AT230" i="30"/>
  <c r="AU230" i="30"/>
  <c r="AV230" i="30"/>
  <c r="AW230" i="30"/>
  <c r="AX230" i="30"/>
  <c r="AY230" i="30"/>
  <c r="AZ230" i="30"/>
  <c r="BA230" i="30"/>
  <c r="BB230" i="30"/>
  <c r="BC230" i="30"/>
  <c r="BD230" i="30"/>
  <c r="BE230" i="30"/>
  <c r="BF230" i="30"/>
  <c r="BG230" i="30"/>
  <c r="BH230" i="30"/>
  <c r="BI230" i="30"/>
  <c r="BJ230" i="30"/>
  <c r="BK230" i="30"/>
  <c r="BL230" i="30"/>
  <c r="BM230" i="30"/>
  <c r="BN230" i="30"/>
  <c r="BO230" i="30"/>
  <c r="BP230" i="30"/>
  <c r="BQ230" i="30"/>
  <c r="BR230" i="30"/>
  <c r="BS230" i="30"/>
  <c r="BT230" i="30"/>
  <c r="BU230" i="30"/>
  <c r="BV230" i="30"/>
  <c r="BW230" i="30"/>
  <c r="BX230" i="30"/>
  <c r="BY230" i="30"/>
  <c r="BZ230" i="30"/>
  <c r="CA230" i="30"/>
  <c r="CB230" i="30"/>
  <c r="CC230" i="30"/>
  <c r="CD230" i="30"/>
  <c r="CE230" i="30"/>
  <c r="CF230" i="30"/>
  <c r="CG230" i="30"/>
  <c r="CH230" i="30"/>
  <c r="CI230" i="30"/>
  <c r="CJ230" i="30"/>
  <c r="CK230" i="30"/>
  <c r="CL230" i="30"/>
  <c r="CM230" i="30"/>
  <c r="CN230" i="30"/>
  <c r="CO230" i="30"/>
  <c r="CP230" i="30"/>
  <c r="CQ230" i="30"/>
  <c r="CR230" i="30"/>
  <c r="CS230" i="30"/>
  <c r="CT230" i="30"/>
  <c r="CU230" i="30"/>
  <c r="CV230" i="30"/>
  <c r="CW230" i="30"/>
  <c r="CX230" i="30"/>
  <c r="CY230" i="30"/>
  <c r="CZ230" i="30"/>
  <c r="DA230" i="30"/>
  <c r="DB230" i="30"/>
  <c r="DC230" i="30"/>
  <c r="DD230" i="30"/>
  <c r="DE230" i="30"/>
  <c r="DF230" i="30"/>
  <c r="DG230" i="30"/>
  <c r="DH230" i="30"/>
  <c r="DI230" i="30"/>
  <c r="DJ230" i="30"/>
  <c r="DK230" i="30"/>
  <c r="DL230" i="30"/>
  <c r="DM230" i="30"/>
  <c r="DN230" i="30"/>
  <c r="DO230" i="30"/>
  <c r="DP230" i="30"/>
  <c r="DQ230" i="30"/>
  <c r="DR230" i="30"/>
  <c r="DS230" i="30"/>
  <c r="DT230" i="30"/>
  <c r="DU230" i="30"/>
  <c r="DV230" i="30"/>
  <c r="DW230" i="30"/>
  <c r="DX230" i="30"/>
  <c r="DY230" i="30"/>
  <c r="DZ230" i="30"/>
  <c r="EA230" i="30"/>
  <c r="EB230" i="30"/>
  <c r="EC230" i="30"/>
  <c r="ED230" i="30"/>
  <c r="EE230" i="30"/>
  <c r="EF230" i="30"/>
  <c r="EG230" i="30"/>
  <c r="EH230" i="30"/>
  <c r="EI230" i="30"/>
  <c r="EJ230" i="30"/>
  <c r="EK230" i="30"/>
  <c r="EL230" i="30"/>
  <c r="EM230" i="30"/>
  <c r="EN230" i="30"/>
  <c r="EO230" i="30"/>
  <c r="EP230" i="30"/>
  <c r="EQ230" i="30"/>
  <c r="ER230" i="30"/>
  <c r="ES230" i="30"/>
  <c r="ET230" i="30"/>
  <c r="EU230" i="30"/>
  <c r="EV230" i="30"/>
  <c r="EW230" i="30"/>
  <c r="EX230" i="30"/>
  <c r="EY230" i="30"/>
  <c r="EZ230" i="30"/>
  <c r="FA230" i="30"/>
  <c r="FB230" i="30"/>
  <c r="FC230" i="30"/>
  <c r="FD230" i="30"/>
  <c r="FE230" i="30"/>
  <c r="FF230" i="30"/>
  <c r="FG230" i="30"/>
  <c r="FH230" i="30"/>
  <c r="FI230" i="30"/>
  <c r="FJ230" i="30"/>
  <c r="FK230" i="30"/>
  <c r="FL230" i="30"/>
  <c r="FM230" i="30"/>
  <c r="FN230" i="30"/>
  <c r="FO230" i="30"/>
  <c r="FP230" i="30"/>
  <c r="FQ230" i="30"/>
  <c r="FR230" i="30"/>
  <c r="FS230" i="30"/>
  <c r="FT230" i="30"/>
  <c r="FU230" i="30"/>
  <c r="FV230" i="30"/>
  <c r="FW230" i="30"/>
  <c r="FX230" i="30"/>
  <c r="FY230" i="30"/>
  <c r="FZ230" i="30"/>
  <c r="GA230" i="30"/>
  <c r="GB230" i="30"/>
  <c r="GC230" i="30"/>
  <c r="GD230" i="30"/>
  <c r="GE230" i="30"/>
  <c r="GF230" i="30"/>
  <c r="GG230" i="30"/>
  <c r="GH230" i="30"/>
  <c r="GI230" i="30"/>
  <c r="GJ230" i="30"/>
  <c r="GK230" i="30"/>
  <c r="GL230" i="30"/>
  <c r="GM230" i="30"/>
  <c r="GN230" i="30"/>
  <c r="GO230" i="30"/>
  <c r="GP230" i="30"/>
  <c r="GQ230" i="30"/>
  <c r="GR230" i="30"/>
  <c r="GS230" i="30"/>
  <c r="GT230" i="30"/>
  <c r="GU230" i="30"/>
  <c r="GV230" i="30"/>
  <c r="GW230" i="30"/>
  <c r="GX230" i="30"/>
  <c r="GY230" i="30"/>
  <c r="GZ230" i="30"/>
  <c r="HA230" i="30"/>
  <c r="HB230" i="30"/>
  <c r="HC230" i="30"/>
  <c r="HD230" i="30"/>
  <c r="HE230" i="30"/>
  <c r="HF230" i="30"/>
  <c r="HG230" i="30"/>
  <c r="HH230" i="30"/>
  <c r="HI230" i="30"/>
  <c r="HJ230" i="30"/>
  <c r="HK230" i="30"/>
  <c r="HL230" i="30"/>
  <c r="HM230" i="30"/>
  <c r="HN230" i="30"/>
  <c r="HO230" i="30"/>
  <c r="HP230" i="30"/>
  <c r="HQ230" i="30"/>
  <c r="HR230" i="30"/>
  <c r="HS230" i="30"/>
  <c r="HT230" i="30"/>
  <c r="HU230" i="30"/>
  <c r="HV230" i="30"/>
  <c r="HW230" i="30"/>
  <c r="HX230" i="30"/>
  <c r="HY230" i="30"/>
  <c r="HZ230" i="30"/>
  <c r="IA230" i="30"/>
  <c r="IB230" i="30"/>
  <c r="IC230" i="30"/>
  <c r="ID230" i="30"/>
  <c r="IE230" i="30"/>
  <c r="IF230" i="30"/>
  <c r="IG230" i="30"/>
  <c r="IH230" i="30"/>
  <c r="II230" i="30"/>
  <c r="IJ230" i="30"/>
  <c r="IK230" i="30"/>
  <c r="IL230" i="30"/>
  <c r="IM230" i="30"/>
  <c r="IN230" i="30"/>
  <c r="IO230" i="30"/>
  <c r="IP230" i="30"/>
  <c r="IQ230" i="30"/>
  <c r="IR230" i="30"/>
  <c r="IS230" i="30"/>
  <c r="IT230" i="30"/>
  <c r="IU230" i="30"/>
  <c r="IV230" i="30"/>
  <c r="A229" i="30"/>
  <c r="B229" i="30"/>
  <c r="C229" i="30"/>
  <c r="D229" i="30"/>
  <c r="E229" i="30"/>
  <c r="F229" i="30"/>
  <c r="G229" i="30"/>
  <c r="H229" i="30"/>
  <c r="I229" i="30"/>
  <c r="J229" i="30"/>
  <c r="K229" i="30"/>
  <c r="L229" i="30"/>
  <c r="M229" i="30"/>
  <c r="N229" i="30"/>
  <c r="O229" i="30"/>
  <c r="P229" i="30"/>
  <c r="Q229" i="30"/>
  <c r="R229" i="30"/>
  <c r="S229" i="30"/>
  <c r="T229" i="30"/>
  <c r="U229" i="30"/>
  <c r="V229" i="30"/>
  <c r="W229" i="30"/>
  <c r="X229" i="30"/>
  <c r="Y229" i="30"/>
  <c r="Z229" i="30"/>
  <c r="AA229" i="30"/>
  <c r="AB229" i="30"/>
  <c r="AC229" i="30"/>
  <c r="AD229" i="30"/>
  <c r="AE229" i="30"/>
  <c r="AF229" i="30"/>
  <c r="AG229" i="30"/>
  <c r="AH229" i="30"/>
  <c r="AI229" i="30"/>
  <c r="AJ229" i="30"/>
  <c r="AK229" i="30"/>
  <c r="AL229" i="30"/>
  <c r="AM229" i="30"/>
  <c r="AN229" i="30"/>
  <c r="AO229" i="30"/>
  <c r="AP229" i="30"/>
  <c r="AQ229" i="30"/>
  <c r="AR229" i="30"/>
  <c r="AS229" i="30"/>
  <c r="AT229" i="30"/>
  <c r="AU229" i="30"/>
  <c r="AV229" i="30"/>
  <c r="AW229" i="30"/>
  <c r="AX229" i="30"/>
  <c r="AY229" i="30"/>
  <c r="AZ229" i="30"/>
  <c r="BA229" i="30"/>
  <c r="BB229" i="30"/>
  <c r="BC229" i="30"/>
  <c r="BD229" i="30"/>
  <c r="BE229" i="30"/>
  <c r="BF229" i="30"/>
  <c r="BG229" i="30"/>
  <c r="BH229" i="30"/>
  <c r="BI229" i="30"/>
  <c r="BJ229" i="30"/>
  <c r="BK229" i="30"/>
  <c r="BL229" i="30"/>
  <c r="BM229" i="30"/>
  <c r="BN229" i="30"/>
  <c r="BO229" i="30"/>
  <c r="BP229" i="30"/>
  <c r="BQ229" i="30"/>
  <c r="BR229" i="30"/>
  <c r="BS229" i="30"/>
  <c r="BT229" i="30"/>
  <c r="BU229" i="30"/>
  <c r="BV229" i="30"/>
  <c r="BW229" i="30"/>
  <c r="BX229" i="30"/>
  <c r="BY229" i="30"/>
  <c r="BZ229" i="30"/>
  <c r="CA229" i="30"/>
  <c r="CB229" i="30"/>
  <c r="CC229" i="30"/>
  <c r="CD229" i="30"/>
  <c r="CE229" i="30"/>
  <c r="CF229" i="30"/>
  <c r="CG229" i="30"/>
  <c r="CH229" i="30"/>
  <c r="CI229" i="30"/>
  <c r="CJ229" i="30"/>
  <c r="CK229" i="30"/>
  <c r="CL229" i="30"/>
  <c r="CM229" i="30"/>
  <c r="CN229" i="30"/>
  <c r="CO229" i="30"/>
  <c r="CP229" i="30"/>
  <c r="CQ229" i="30"/>
  <c r="CR229" i="30"/>
  <c r="CS229" i="30"/>
  <c r="CT229" i="30"/>
  <c r="CU229" i="30"/>
  <c r="CV229" i="30"/>
  <c r="CW229" i="30"/>
  <c r="CX229" i="30"/>
  <c r="CY229" i="30"/>
  <c r="CZ229" i="30"/>
  <c r="DA229" i="30"/>
  <c r="DB229" i="30"/>
  <c r="DC229" i="30"/>
  <c r="DD229" i="30"/>
  <c r="DE229" i="30"/>
  <c r="DF229" i="30"/>
  <c r="DG229" i="30"/>
  <c r="DH229" i="30"/>
  <c r="DI229" i="30"/>
  <c r="DJ229" i="30"/>
  <c r="DK229" i="30"/>
  <c r="DL229" i="30"/>
  <c r="DM229" i="30"/>
  <c r="DN229" i="30"/>
  <c r="DO229" i="30"/>
  <c r="DP229" i="30"/>
  <c r="DQ229" i="30"/>
  <c r="DR229" i="30"/>
  <c r="DS229" i="30"/>
  <c r="DT229" i="30"/>
  <c r="DU229" i="30"/>
  <c r="DV229" i="30"/>
  <c r="DW229" i="30"/>
  <c r="DX229" i="30"/>
  <c r="DY229" i="30"/>
  <c r="DZ229" i="30"/>
  <c r="EA229" i="30"/>
  <c r="EB229" i="30"/>
  <c r="EC229" i="30"/>
  <c r="ED229" i="30"/>
  <c r="EE229" i="30"/>
  <c r="EF229" i="30"/>
  <c r="EG229" i="30"/>
  <c r="EH229" i="30"/>
  <c r="EI229" i="30"/>
  <c r="EJ229" i="30"/>
  <c r="EK229" i="30"/>
  <c r="EL229" i="30"/>
  <c r="EM229" i="30"/>
  <c r="EN229" i="30"/>
  <c r="EO229" i="30"/>
  <c r="EP229" i="30"/>
  <c r="EQ229" i="30"/>
  <c r="ER229" i="30"/>
  <c r="ES229" i="30"/>
  <c r="ET229" i="30"/>
  <c r="EU229" i="30"/>
  <c r="EV229" i="30"/>
  <c r="EW229" i="30"/>
  <c r="EX229" i="30"/>
  <c r="EY229" i="30"/>
  <c r="EZ229" i="30"/>
  <c r="FA229" i="30"/>
  <c r="FB229" i="30"/>
  <c r="FC229" i="30"/>
  <c r="FD229" i="30"/>
  <c r="FE229" i="30"/>
  <c r="FF229" i="30"/>
  <c r="FG229" i="30"/>
  <c r="FH229" i="30"/>
  <c r="FI229" i="30"/>
  <c r="FJ229" i="30"/>
  <c r="FK229" i="30"/>
  <c r="FL229" i="30"/>
  <c r="FM229" i="30"/>
  <c r="FN229" i="30"/>
  <c r="FO229" i="30"/>
  <c r="FP229" i="30"/>
  <c r="FQ229" i="30"/>
  <c r="FR229" i="30"/>
  <c r="FS229" i="30"/>
  <c r="FT229" i="30"/>
  <c r="FU229" i="30"/>
  <c r="FV229" i="30"/>
  <c r="FW229" i="30"/>
  <c r="FX229" i="30"/>
  <c r="FY229" i="30"/>
  <c r="FZ229" i="30"/>
  <c r="GA229" i="30"/>
  <c r="GB229" i="30"/>
  <c r="GC229" i="30"/>
  <c r="GD229" i="30"/>
  <c r="GE229" i="30"/>
  <c r="GF229" i="30"/>
  <c r="GG229" i="30"/>
  <c r="GH229" i="30"/>
  <c r="GI229" i="30"/>
  <c r="GJ229" i="30"/>
  <c r="GK229" i="30"/>
  <c r="GL229" i="30"/>
  <c r="GM229" i="30"/>
  <c r="GN229" i="30"/>
  <c r="GO229" i="30"/>
  <c r="GP229" i="30"/>
  <c r="GQ229" i="30"/>
  <c r="GR229" i="30"/>
  <c r="GS229" i="30"/>
  <c r="GT229" i="30"/>
  <c r="GU229" i="30"/>
  <c r="GV229" i="30"/>
  <c r="GW229" i="30"/>
  <c r="GX229" i="30"/>
  <c r="GY229" i="30"/>
  <c r="GZ229" i="30"/>
  <c r="HA229" i="30"/>
  <c r="HB229" i="30"/>
  <c r="HC229" i="30"/>
  <c r="HD229" i="30"/>
  <c r="HE229" i="30"/>
  <c r="HF229" i="30"/>
  <c r="HG229" i="30"/>
  <c r="HH229" i="30"/>
  <c r="HI229" i="30"/>
  <c r="HJ229" i="30"/>
  <c r="HK229" i="30"/>
  <c r="HL229" i="30"/>
  <c r="HM229" i="30"/>
  <c r="HN229" i="30"/>
  <c r="HO229" i="30"/>
  <c r="HP229" i="30"/>
  <c r="HQ229" i="30"/>
  <c r="HR229" i="30"/>
  <c r="HS229" i="30"/>
  <c r="HT229" i="30"/>
  <c r="HU229" i="30"/>
  <c r="HV229" i="30"/>
  <c r="HW229" i="30"/>
  <c r="HX229" i="30"/>
  <c r="HY229" i="30"/>
  <c r="HZ229" i="30"/>
  <c r="IA229" i="30"/>
  <c r="IB229" i="30"/>
  <c r="IC229" i="30"/>
  <c r="ID229" i="30"/>
  <c r="IE229" i="30"/>
  <c r="IF229" i="30"/>
  <c r="IG229" i="30"/>
  <c r="IH229" i="30"/>
  <c r="II229" i="30"/>
  <c r="IJ229" i="30"/>
  <c r="IK229" i="30"/>
  <c r="IL229" i="30"/>
  <c r="IM229" i="30"/>
  <c r="IN229" i="30"/>
  <c r="IO229" i="30"/>
  <c r="IP229" i="30"/>
  <c r="IQ229" i="30"/>
  <c r="IR229" i="30"/>
  <c r="IS229" i="30"/>
  <c r="IT229" i="30"/>
  <c r="IU229" i="30"/>
  <c r="IV229" i="30"/>
  <c r="A228" i="30"/>
  <c r="B228" i="30"/>
  <c r="C228" i="30"/>
  <c r="D228" i="30"/>
  <c r="E228" i="30"/>
  <c r="F228" i="30"/>
  <c r="G228" i="30"/>
  <c r="H228" i="30"/>
  <c r="I228" i="30"/>
  <c r="J228" i="30"/>
  <c r="K228" i="30"/>
  <c r="L228" i="30"/>
  <c r="M228" i="30"/>
  <c r="N228" i="30"/>
  <c r="O228" i="30"/>
  <c r="P228" i="30"/>
  <c r="Q228" i="30"/>
  <c r="R228" i="30"/>
  <c r="S228" i="30"/>
  <c r="T228" i="30"/>
  <c r="U228" i="30"/>
  <c r="V228" i="30"/>
  <c r="W228" i="30"/>
  <c r="X228" i="30"/>
  <c r="Y228" i="30"/>
  <c r="Z228" i="30"/>
  <c r="AA228" i="30"/>
  <c r="AB228" i="30"/>
  <c r="AC228" i="30"/>
  <c r="AD228" i="30"/>
  <c r="AE228" i="30"/>
  <c r="AF228" i="30"/>
  <c r="AG228" i="30"/>
  <c r="AH228" i="30"/>
  <c r="AI228" i="30"/>
  <c r="AJ228" i="30"/>
  <c r="AK228" i="30"/>
  <c r="AL228" i="30"/>
  <c r="AM228" i="30"/>
  <c r="AN228" i="30"/>
  <c r="AO228" i="30"/>
  <c r="AP228" i="30"/>
  <c r="AQ228" i="30"/>
  <c r="AR228" i="30"/>
  <c r="AS228" i="30"/>
  <c r="AT228" i="30"/>
  <c r="AU228" i="30"/>
  <c r="AV228" i="30"/>
  <c r="AW228" i="30"/>
  <c r="AX228" i="30"/>
  <c r="AY228" i="30"/>
  <c r="AZ228" i="30"/>
  <c r="BA228" i="30"/>
  <c r="BB228" i="30"/>
  <c r="BC228" i="30"/>
  <c r="BD228" i="30"/>
  <c r="BE228" i="30"/>
  <c r="BF228" i="30"/>
  <c r="BG228" i="30"/>
  <c r="BH228" i="30"/>
  <c r="BI228" i="30"/>
  <c r="BJ228" i="30"/>
  <c r="BK228" i="30"/>
  <c r="BL228" i="30"/>
  <c r="BM228" i="30"/>
  <c r="BN228" i="30"/>
  <c r="BO228" i="30"/>
  <c r="BP228" i="30"/>
  <c r="BQ228" i="30"/>
  <c r="BR228" i="30"/>
  <c r="BS228" i="30"/>
  <c r="BT228" i="30"/>
  <c r="BU228" i="30"/>
  <c r="BV228" i="30"/>
  <c r="BW228" i="30"/>
  <c r="BX228" i="30"/>
  <c r="BY228" i="30"/>
  <c r="BZ228" i="30"/>
  <c r="CA228" i="30"/>
  <c r="CB228" i="30"/>
  <c r="CC228" i="30"/>
  <c r="CD228" i="30"/>
  <c r="CE228" i="30"/>
  <c r="CF228" i="30"/>
  <c r="CG228" i="30"/>
  <c r="CH228" i="30"/>
  <c r="CI228" i="30"/>
  <c r="CJ228" i="30"/>
  <c r="CK228" i="30"/>
  <c r="CL228" i="30"/>
  <c r="CM228" i="30"/>
  <c r="CN228" i="30"/>
  <c r="CO228" i="30"/>
  <c r="CP228" i="30"/>
  <c r="CQ228" i="30"/>
  <c r="CR228" i="30"/>
  <c r="CS228" i="30"/>
  <c r="CT228" i="30"/>
  <c r="CU228" i="30"/>
  <c r="CV228" i="30"/>
  <c r="CW228" i="30"/>
  <c r="CX228" i="30"/>
  <c r="CY228" i="30"/>
  <c r="CZ228" i="30"/>
  <c r="DA228" i="30"/>
  <c r="DB228" i="30"/>
  <c r="DC228" i="30"/>
  <c r="DD228" i="30"/>
  <c r="DE228" i="30"/>
  <c r="DF228" i="30"/>
  <c r="DG228" i="30"/>
  <c r="DH228" i="30"/>
  <c r="DI228" i="30"/>
  <c r="DJ228" i="30"/>
  <c r="DK228" i="30"/>
  <c r="DL228" i="30"/>
  <c r="DM228" i="30"/>
  <c r="DN228" i="30"/>
  <c r="DO228" i="30"/>
  <c r="DP228" i="30"/>
  <c r="DQ228" i="30"/>
  <c r="DR228" i="30"/>
  <c r="DS228" i="30"/>
  <c r="DT228" i="30"/>
  <c r="DU228" i="30"/>
  <c r="DV228" i="30"/>
  <c r="DW228" i="30"/>
  <c r="DX228" i="30"/>
  <c r="DY228" i="30"/>
  <c r="DZ228" i="30"/>
  <c r="EA228" i="30"/>
  <c r="EB228" i="30"/>
  <c r="EC228" i="30"/>
  <c r="ED228" i="30"/>
  <c r="EE228" i="30"/>
  <c r="EF228" i="30"/>
  <c r="EG228" i="30"/>
  <c r="EH228" i="30"/>
  <c r="EI228" i="30"/>
  <c r="EJ228" i="30"/>
  <c r="EK228" i="30"/>
  <c r="EL228" i="30"/>
  <c r="EM228" i="30"/>
  <c r="EN228" i="30"/>
  <c r="EO228" i="30"/>
  <c r="EP228" i="30"/>
  <c r="EQ228" i="30"/>
  <c r="ER228" i="30"/>
  <c r="ES228" i="30"/>
  <c r="ET228" i="30"/>
  <c r="EU228" i="30"/>
  <c r="EV228" i="30"/>
  <c r="EW228" i="30"/>
  <c r="EX228" i="30"/>
  <c r="EY228" i="30"/>
  <c r="EZ228" i="30"/>
  <c r="FA228" i="30"/>
  <c r="FB228" i="30"/>
  <c r="FC228" i="30"/>
  <c r="FD228" i="30"/>
  <c r="FE228" i="30"/>
  <c r="FF228" i="30"/>
  <c r="FG228" i="30"/>
  <c r="FH228" i="30"/>
  <c r="FI228" i="30"/>
  <c r="FJ228" i="30"/>
  <c r="FK228" i="30"/>
  <c r="FL228" i="30"/>
  <c r="FM228" i="30"/>
  <c r="FN228" i="30"/>
  <c r="FO228" i="30"/>
  <c r="FP228" i="30"/>
  <c r="FQ228" i="30"/>
  <c r="FR228" i="30"/>
  <c r="FS228" i="30"/>
  <c r="FT228" i="30"/>
  <c r="FU228" i="30"/>
  <c r="FV228" i="30"/>
  <c r="FW228" i="30"/>
  <c r="FX228" i="30"/>
  <c r="FY228" i="30"/>
  <c r="FZ228" i="30"/>
  <c r="GA228" i="30"/>
  <c r="GB228" i="30"/>
  <c r="GC228" i="30"/>
  <c r="GD228" i="30"/>
  <c r="GE228" i="30"/>
  <c r="GF228" i="30"/>
  <c r="GG228" i="30"/>
  <c r="GH228" i="30"/>
  <c r="GI228" i="30"/>
  <c r="GJ228" i="30"/>
  <c r="GK228" i="30"/>
  <c r="GL228" i="30"/>
  <c r="GM228" i="30"/>
  <c r="GN228" i="30"/>
  <c r="GO228" i="30"/>
  <c r="GP228" i="30"/>
  <c r="GQ228" i="30"/>
  <c r="GR228" i="30"/>
  <c r="GS228" i="30"/>
  <c r="GT228" i="30"/>
  <c r="GU228" i="30"/>
  <c r="GV228" i="30"/>
  <c r="GW228" i="30"/>
  <c r="GX228" i="30"/>
  <c r="GY228" i="30"/>
  <c r="GZ228" i="30"/>
  <c r="HA228" i="30"/>
  <c r="HB228" i="30"/>
  <c r="HC228" i="30"/>
  <c r="HD228" i="30"/>
  <c r="HE228" i="30"/>
  <c r="HF228" i="30"/>
  <c r="HG228" i="30"/>
  <c r="HH228" i="30"/>
  <c r="HI228" i="30"/>
  <c r="HJ228" i="30"/>
  <c r="HK228" i="30"/>
  <c r="HL228" i="30"/>
  <c r="HM228" i="30"/>
  <c r="HN228" i="30"/>
  <c r="HO228" i="30"/>
  <c r="HP228" i="30"/>
  <c r="HQ228" i="30"/>
  <c r="HR228" i="30"/>
  <c r="HS228" i="30"/>
  <c r="HT228" i="30"/>
  <c r="HU228" i="30"/>
  <c r="HV228" i="30"/>
  <c r="HW228" i="30"/>
  <c r="HX228" i="30"/>
  <c r="HY228" i="30"/>
  <c r="HZ228" i="30"/>
  <c r="IA228" i="30"/>
  <c r="IB228" i="30"/>
  <c r="IC228" i="30"/>
  <c r="ID228" i="30"/>
  <c r="IE228" i="30"/>
  <c r="IF228" i="30"/>
  <c r="IG228" i="30"/>
  <c r="IH228" i="30"/>
  <c r="II228" i="30"/>
  <c r="IJ228" i="30"/>
  <c r="IK228" i="30"/>
  <c r="IL228" i="30"/>
  <c r="IM228" i="30"/>
  <c r="IN228" i="30"/>
  <c r="IO228" i="30"/>
  <c r="IP228" i="30"/>
  <c r="IQ228" i="30"/>
  <c r="IR228" i="30"/>
  <c r="IS228" i="30"/>
  <c r="IT228" i="30"/>
  <c r="IU228" i="30"/>
  <c r="IV228" i="30"/>
  <c r="A227" i="30"/>
  <c r="B227" i="30"/>
  <c r="C227" i="30"/>
  <c r="D227" i="30"/>
  <c r="E227" i="30"/>
  <c r="F227" i="30"/>
  <c r="G227" i="30"/>
  <c r="H227" i="30"/>
  <c r="I227" i="30"/>
  <c r="J227" i="30"/>
  <c r="K227" i="30"/>
  <c r="L227" i="30"/>
  <c r="M227" i="30"/>
  <c r="N227" i="30"/>
  <c r="O227" i="30"/>
  <c r="P227" i="30"/>
  <c r="Q227" i="30"/>
  <c r="R227" i="30"/>
  <c r="S227" i="30"/>
  <c r="T227" i="30"/>
  <c r="U227" i="30"/>
  <c r="V227" i="30"/>
  <c r="W227" i="30"/>
  <c r="X227" i="30"/>
  <c r="Y227" i="30"/>
  <c r="Z227" i="30"/>
  <c r="AA227" i="30"/>
  <c r="AB227" i="30"/>
  <c r="AC227" i="30"/>
  <c r="AD227" i="30"/>
  <c r="AE227" i="30"/>
  <c r="AF227" i="30"/>
  <c r="AG227" i="30"/>
  <c r="AH227" i="30"/>
  <c r="AI227" i="30"/>
  <c r="AJ227" i="30"/>
  <c r="AK227" i="30"/>
  <c r="AL227" i="30"/>
  <c r="AM227" i="30"/>
  <c r="AN227" i="30"/>
  <c r="AO227" i="30"/>
  <c r="AP227" i="30"/>
  <c r="AQ227" i="30"/>
  <c r="AR227" i="30"/>
  <c r="AS227" i="30"/>
  <c r="AT227" i="30"/>
  <c r="AU227" i="30"/>
  <c r="AV227" i="30"/>
  <c r="AW227" i="30"/>
  <c r="AX227" i="30"/>
  <c r="AY227" i="30"/>
  <c r="AZ227" i="30"/>
  <c r="BA227" i="30"/>
  <c r="BB227" i="30"/>
  <c r="BC227" i="30"/>
  <c r="BD227" i="30"/>
  <c r="BE227" i="30"/>
  <c r="BF227" i="30"/>
  <c r="BG227" i="30"/>
  <c r="BH227" i="30"/>
  <c r="BI227" i="30"/>
  <c r="BJ227" i="30"/>
  <c r="BK227" i="30"/>
  <c r="BL227" i="30"/>
  <c r="BM227" i="30"/>
  <c r="BN227" i="30"/>
  <c r="BO227" i="30"/>
  <c r="BP227" i="30"/>
  <c r="BQ227" i="30"/>
  <c r="BR227" i="30"/>
  <c r="BS227" i="30"/>
  <c r="BT227" i="30"/>
  <c r="BU227" i="30"/>
  <c r="BV227" i="30"/>
  <c r="BW227" i="30"/>
  <c r="BX227" i="30"/>
  <c r="BY227" i="30"/>
  <c r="BZ227" i="30"/>
  <c r="CA227" i="30"/>
  <c r="CB227" i="30"/>
  <c r="CC227" i="30"/>
  <c r="CD227" i="30"/>
  <c r="CE227" i="30"/>
  <c r="CF227" i="30"/>
  <c r="CG227" i="30"/>
  <c r="CH227" i="30"/>
  <c r="CI227" i="30"/>
  <c r="CJ227" i="30"/>
  <c r="CK227" i="30"/>
  <c r="CL227" i="30"/>
  <c r="CM227" i="30"/>
  <c r="CN227" i="30"/>
  <c r="CO227" i="30"/>
  <c r="CP227" i="30"/>
  <c r="CQ227" i="30"/>
  <c r="CR227" i="30"/>
  <c r="CS227" i="30"/>
  <c r="CT227" i="30"/>
  <c r="CU227" i="30"/>
  <c r="CV227" i="30"/>
  <c r="CW227" i="30"/>
  <c r="CX227" i="30"/>
  <c r="CY227" i="30"/>
  <c r="CZ227" i="30"/>
  <c r="DA227" i="30"/>
  <c r="DB227" i="30"/>
  <c r="DC227" i="30"/>
  <c r="DD227" i="30"/>
  <c r="DE227" i="30"/>
  <c r="DF227" i="30"/>
  <c r="DG227" i="30"/>
  <c r="DH227" i="30"/>
  <c r="DI227" i="30"/>
  <c r="DJ227" i="30"/>
  <c r="DK227" i="30"/>
  <c r="DL227" i="30"/>
  <c r="DM227" i="30"/>
  <c r="DN227" i="30"/>
  <c r="DO227" i="30"/>
  <c r="DP227" i="30"/>
  <c r="DQ227" i="30"/>
  <c r="DR227" i="30"/>
  <c r="DS227" i="30"/>
  <c r="DT227" i="30"/>
  <c r="DU227" i="30"/>
  <c r="DV227" i="30"/>
  <c r="DW227" i="30"/>
  <c r="DX227" i="30"/>
  <c r="DY227" i="30"/>
  <c r="DZ227" i="30"/>
  <c r="EA227" i="30"/>
  <c r="EB227" i="30"/>
  <c r="EC227" i="30"/>
  <c r="ED227" i="30"/>
  <c r="EE227" i="30"/>
  <c r="EF227" i="30"/>
  <c r="EG227" i="30"/>
  <c r="EH227" i="30"/>
  <c r="EI227" i="30"/>
  <c r="EJ227" i="30"/>
  <c r="EK227" i="30"/>
  <c r="EL227" i="30"/>
  <c r="EM227" i="30"/>
  <c r="EN227" i="30"/>
  <c r="EO227" i="30"/>
  <c r="EP227" i="30"/>
  <c r="EQ227" i="30"/>
  <c r="ER227" i="30"/>
  <c r="ES227" i="30"/>
  <c r="ET227" i="30"/>
  <c r="EU227" i="30"/>
  <c r="EV227" i="30"/>
  <c r="EW227" i="30"/>
  <c r="EX227" i="30"/>
  <c r="EY227" i="30"/>
  <c r="EZ227" i="30"/>
  <c r="FA227" i="30"/>
  <c r="FB227" i="30"/>
  <c r="FC227" i="30"/>
  <c r="FD227" i="30"/>
  <c r="FE227" i="30"/>
  <c r="FF227" i="30"/>
  <c r="FG227" i="30"/>
  <c r="FH227" i="30"/>
  <c r="FI227" i="30"/>
  <c r="FJ227" i="30"/>
  <c r="FK227" i="30"/>
  <c r="FL227" i="30"/>
  <c r="FM227" i="30"/>
  <c r="FN227" i="30"/>
  <c r="FO227" i="30"/>
  <c r="FP227" i="30"/>
  <c r="FQ227" i="30"/>
  <c r="FR227" i="30"/>
  <c r="FS227" i="30"/>
  <c r="FT227" i="30"/>
  <c r="FU227" i="30"/>
  <c r="FV227" i="30"/>
  <c r="FW227" i="30"/>
  <c r="FX227" i="30"/>
  <c r="FY227" i="30"/>
  <c r="FZ227" i="30"/>
  <c r="GA227" i="30"/>
  <c r="GB227" i="30"/>
  <c r="GC227" i="30"/>
  <c r="GD227" i="30"/>
  <c r="GE227" i="30"/>
  <c r="GF227" i="30"/>
  <c r="GG227" i="30"/>
  <c r="GH227" i="30"/>
  <c r="GI227" i="30"/>
  <c r="GJ227" i="30"/>
  <c r="GK227" i="30"/>
  <c r="GL227" i="30"/>
  <c r="GM227" i="30"/>
  <c r="GN227" i="30"/>
  <c r="GO227" i="30"/>
  <c r="GP227" i="30"/>
  <c r="GQ227" i="30"/>
  <c r="GR227" i="30"/>
  <c r="GS227" i="30"/>
  <c r="GT227" i="30"/>
  <c r="GU227" i="30"/>
  <c r="GV227" i="30"/>
  <c r="GW227" i="30"/>
  <c r="GX227" i="30"/>
  <c r="GY227" i="30"/>
  <c r="GZ227" i="30"/>
  <c r="HA227" i="30"/>
  <c r="HB227" i="30"/>
  <c r="HC227" i="30"/>
  <c r="HD227" i="30"/>
  <c r="HE227" i="30"/>
  <c r="HF227" i="30"/>
  <c r="HG227" i="30"/>
  <c r="HH227" i="30"/>
  <c r="HI227" i="30"/>
  <c r="HJ227" i="30"/>
  <c r="HK227" i="30"/>
  <c r="HL227" i="30"/>
  <c r="HM227" i="30"/>
  <c r="HN227" i="30"/>
  <c r="HO227" i="30"/>
  <c r="HP227" i="30"/>
  <c r="HQ227" i="30"/>
  <c r="HR227" i="30"/>
  <c r="HS227" i="30"/>
  <c r="HT227" i="30"/>
  <c r="HU227" i="30"/>
  <c r="HV227" i="30"/>
  <c r="HW227" i="30"/>
  <c r="HX227" i="30"/>
  <c r="HY227" i="30"/>
  <c r="HZ227" i="30"/>
  <c r="IA227" i="30"/>
  <c r="IB227" i="30"/>
  <c r="IC227" i="30"/>
  <c r="ID227" i="30"/>
  <c r="IE227" i="30"/>
  <c r="IF227" i="30"/>
  <c r="IG227" i="30"/>
  <c r="IH227" i="30"/>
  <c r="II227" i="30"/>
  <c r="IJ227" i="30"/>
  <c r="IK227" i="30"/>
  <c r="IL227" i="30"/>
  <c r="IM227" i="30"/>
  <c r="IN227" i="30"/>
  <c r="IO227" i="30"/>
  <c r="IP227" i="30"/>
  <c r="IQ227" i="30"/>
  <c r="IR227" i="30"/>
  <c r="IS227" i="30"/>
  <c r="IT227" i="30"/>
  <c r="IU227" i="30"/>
  <c r="IV227" i="30"/>
  <c r="A226" i="30"/>
  <c r="B226" i="30"/>
  <c r="C226" i="30"/>
  <c r="D226" i="30"/>
  <c r="E226" i="30"/>
  <c r="F226" i="30"/>
  <c r="G226" i="30"/>
  <c r="H226" i="30"/>
  <c r="I226" i="30"/>
  <c r="J226" i="30"/>
  <c r="K226" i="30"/>
  <c r="L226" i="30"/>
  <c r="M226" i="30"/>
  <c r="N226" i="30"/>
  <c r="O226" i="30"/>
  <c r="P226" i="30"/>
  <c r="Q226" i="30"/>
  <c r="R226" i="30"/>
  <c r="S226" i="30"/>
  <c r="T226" i="30"/>
  <c r="U226" i="30"/>
  <c r="V226" i="30"/>
  <c r="W226" i="30"/>
  <c r="X226" i="30"/>
  <c r="Y226" i="30"/>
  <c r="Z226" i="30"/>
  <c r="AA226" i="30"/>
  <c r="AB226" i="30"/>
  <c r="AC226" i="30"/>
  <c r="AD226" i="30"/>
  <c r="AE226" i="30"/>
  <c r="AF226" i="30"/>
  <c r="AG226" i="30"/>
  <c r="AH226" i="30"/>
  <c r="AI226" i="30"/>
  <c r="AJ226" i="30"/>
  <c r="AK226" i="30"/>
  <c r="AL226" i="30"/>
  <c r="AM226" i="30"/>
  <c r="AN226" i="30"/>
  <c r="AO226" i="30"/>
  <c r="AP226" i="30"/>
  <c r="AQ226" i="30"/>
  <c r="AR226" i="30"/>
  <c r="AS226" i="30"/>
  <c r="AT226" i="30"/>
  <c r="AU226" i="30"/>
  <c r="AV226" i="30"/>
  <c r="AW226" i="30"/>
  <c r="AX226" i="30"/>
  <c r="AY226" i="30"/>
  <c r="AZ226" i="30"/>
  <c r="BA226" i="30"/>
  <c r="BB226" i="30"/>
  <c r="BC226" i="30"/>
  <c r="BD226" i="30"/>
  <c r="BE226" i="30"/>
  <c r="BF226" i="30"/>
  <c r="BG226" i="30"/>
  <c r="BH226" i="30"/>
  <c r="BI226" i="30"/>
  <c r="BJ226" i="30"/>
  <c r="BK226" i="30"/>
  <c r="BL226" i="30"/>
  <c r="BM226" i="30"/>
  <c r="BN226" i="30"/>
  <c r="BO226" i="30"/>
  <c r="BP226" i="30"/>
  <c r="BQ226" i="30"/>
  <c r="BR226" i="30"/>
  <c r="BS226" i="30"/>
  <c r="BT226" i="30"/>
  <c r="BU226" i="30"/>
  <c r="BV226" i="30"/>
  <c r="BW226" i="30"/>
  <c r="BX226" i="30"/>
  <c r="BY226" i="30"/>
  <c r="BZ226" i="30"/>
  <c r="CA226" i="30"/>
  <c r="CB226" i="30"/>
  <c r="CC226" i="30"/>
  <c r="CD226" i="30"/>
  <c r="CE226" i="30"/>
  <c r="CF226" i="30"/>
  <c r="CG226" i="30"/>
  <c r="CH226" i="30"/>
  <c r="CI226" i="30"/>
  <c r="CJ226" i="30"/>
  <c r="CK226" i="30"/>
  <c r="CL226" i="30"/>
  <c r="CM226" i="30"/>
  <c r="CN226" i="30"/>
  <c r="CO226" i="30"/>
  <c r="CP226" i="30"/>
  <c r="CQ226" i="30"/>
  <c r="CR226" i="30"/>
  <c r="CS226" i="30"/>
  <c r="CT226" i="30"/>
  <c r="CU226" i="30"/>
  <c r="CV226" i="30"/>
  <c r="CW226" i="30"/>
  <c r="CX226" i="30"/>
  <c r="CY226" i="30"/>
  <c r="CZ226" i="30"/>
  <c r="DA226" i="30"/>
  <c r="DB226" i="30"/>
  <c r="DC226" i="30"/>
  <c r="DD226" i="30"/>
  <c r="DE226" i="30"/>
  <c r="DF226" i="30"/>
  <c r="DG226" i="30"/>
  <c r="DH226" i="30"/>
  <c r="DI226" i="30"/>
  <c r="DJ226" i="30"/>
  <c r="DK226" i="30"/>
  <c r="DL226" i="30"/>
  <c r="DM226" i="30"/>
  <c r="DN226" i="30"/>
  <c r="DO226" i="30"/>
  <c r="DP226" i="30"/>
  <c r="DQ226" i="30"/>
  <c r="DR226" i="30"/>
  <c r="DS226" i="30"/>
  <c r="DT226" i="30"/>
  <c r="DU226" i="30"/>
  <c r="DV226" i="30"/>
  <c r="DW226" i="30"/>
  <c r="DX226" i="30"/>
  <c r="DY226" i="30"/>
  <c r="DZ226" i="30"/>
  <c r="EA226" i="30"/>
  <c r="EB226" i="30"/>
  <c r="EC226" i="30"/>
  <c r="ED226" i="30"/>
  <c r="EE226" i="30"/>
  <c r="EF226" i="30"/>
  <c r="EG226" i="30"/>
  <c r="EH226" i="30"/>
  <c r="EI226" i="30"/>
  <c r="EJ226" i="30"/>
  <c r="EK226" i="30"/>
  <c r="EL226" i="30"/>
  <c r="EM226" i="30"/>
  <c r="EN226" i="30"/>
  <c r="EO226" i="30"/>
  <c r="EP226" i="30"/>
  <c r="EQ226" i="30"/>
  <c r="ER226" i="30"/>
  <c r="ES226" i="30"/>
  <c r="ET226" i="30"/>
  <c r="EU226" i="30"/>
  <c r="EV226" i="30"/>
  <c r="EW226" i="30"/>
  <c r="EX226" i="30"/>
  <c r="EY226" i="30"/>
  <c r="EZ226" i="30"/>
  <c r="FA226" i="30"/>
  <c r="FB226" i="30"/>
  <c r="FC226" i="30"/>
  <c r="FD226" i="30"/>
  <c r="FE226" i="30"/>
  <c r="FF226" i="30"/>
  <c r="FG226" i="30"/>
  <c r="FH226" i="30"/>
  <c r="FI226" i="30"/>
  <c r="FJ226" i="30"/>
  <c r="FK226" i="30"/>
  <c r="FL226" i="30"/>
  <c r="FM226" i="30"/>
  <c r="FN226" i="30"/>
  <c r="FO226" i="30"/>
  <c r="FP226" i="30"/>
  <c r="FQ226" i="30"/>
  <c r="FR226" i="30"/>
  <c r="FS226" i="30"/>
  <c r="FT226" i="30"/>
  <c r="FU226" i="30"/>
  <c r="FV226" i="30"/>
  <c r="FW226" i="30"/>
  <c r="FX226" i="30"/>
  <c r="FY226" i="30"/>
  <c r="FZ226" i="30"/>
  <c r="GA226" i="30"/>
  <c r="GB226" i="30"/>
  <c r="GC226" i="30"/>
  <c r="GD226" i="30"/>
  <c r="GE226" i="30"/>
  <c r="GF226" i="30"/>
  <c r="GG226" i="30"/>
  <c r="GH226" i="30"/>
  <c r="GI226" i="30"/>
  <c r="GJ226" i="30"/>
  <c r="GK226" i="30"/>
  <c r="GL226" i="30"/>
  <c r="GM226" i="30"/>
  <c r="GN226" i="30"/>
  <c r="GO226" i="30"/>
  <c r="GP226" i="30"/>
  <c r="GQ226" i="30"/>
  <c r="GR226" i="30"/>
  <c r="GS226" i="30"/>
  <c r="GT226" i="30"/>
  <c r="GU226" i="30"/>
  <c r="GV226" i="30"/>
  <c r="GW226" i="30"/>
  <c r="GX226" i="30"/>
  <c r="GY226" i="30"/>
  <c r="GZ226" i="30"/>
  <c r="HA226" i="30"/>
  <c r="HB226" i="30"/>
  <c r="HC226" i="30"/>
  <c r="HD226" i="30"/>
  <c r="HE226" i="30"/>
  <c r="HF226" i="30"/>
  <c r="HG226" i="30"/>
  <c r="HH226" i="30"/>
  <c r="HI226" i="30"/>
  <c r="HJ226" i="30"/>
  <c r="HK226" i="30"/>
  <c r="HL226" i="30"/>
  <c r="HM226" i="30"/>
  <c r="HN226" i="30"/>
  <c r="HO226" i="30"/>
  <c r="HP226" i="30"/>
  <c r="HQ226" i="30"/>
  <c r="HR226" i="30"/>
  <c r="HS226" i="30"/>
  <c r="HT226" i="30"/>
  <c r="HU226" i="30"/>
  <c r="HV226" i="30"/>
  <c r="HW226" i="30"/>
  <c r="HX226" i="30"/>
  <c r="HY226" i="30"/>
  <c r="HZ226" i="30"/>
  <c r="IA226" i="30"/>
  <c r="IB226" i="30"/>
  <c r="IC226" i="30"/>
  <c r="ID226" i="30"/>
  <c r="IE226" i="30"/>
  <c r="IF226" i="30"/>
  <c r="IG226" i="30"/>
  <c r="IH226" i="30"/>
  <c r="II226" i="30"/>
  <c r="IJ226" i="30"/>
  <c r="IK226" i="30"/>
  <c r="IL226" i="30"/>
  <c r="IM226" i="30"/>
  <c r="IN226" i="30"/>
  <c r="IO226" i="30"/>
  <c r="IP226" i="30"/>
  <c r="IQ226" i="30"/>
  <c r="IR226" i="30"/>
  <c r="IS226" i="30"/>
  <c r="IT226" i="30"/>
  <c r="IU226" i="30"/>
  <c r="IV226" i="30"/>
  <c r="A225" i="30"/>
  <c r="B225" i="30"/>
  <c r="C225" i="30"/>
  <c r="D225" i="30"/>
  <c r="E225" i="30"/>
  <c r="F225" i="30"/>
  <c r="G225" i="30"/>
  <c r="H225" i="30"/>
  <c r="I225" i="30"/>
  <c r="J225" i="30"/>
  <c r="K225" i="30"/>
  <c r="L225" i="30"/>
  <c r="M225" i="30"/>
  <c r="N225" i="30"/>
  <c r="O225" i="30"/>
  <c r="P225" i="30"/>
  <c r="Q225" i="30"/>
  <c r="R225" i="30"/>
  <c r="S225" i="30"/>
  <c r="T225" i="30"/>
  <c r="U225" i="30"/>
  <c r="V225" i="30"/>
  <c r="W225" i="30"/>
  <c r="X225" i="30"/>
  <c r="Y225" i="30"/>
  <c r="Z225" i="30"/>
  <c r="AA225" i="30"/>
  <c r="AB225" i="30"/>
  <c r="AC225" i="30"/>
  <c r="AD225" i="30"/>
  <c r="AE225" i="30"/>
  <c r="AF225" i="30"/>
  <c r="AG225" i="30"/>
  <c r="AH225" i="30"/>
  <c r="AI225" i="30"/>
  <c r="AJ225" i="30"/>
  <c r="AK225" i="30"/>
  <c r="AL225" i="30"/>
  <c r="AM225" i="30"/>
  <c r="AN225" i="30"/>
  <c r="AO225" i="30"/>
  <c r="AP225" i="30"/>
  <c r="AQ225" i="30"/>
  <c r="AR225" i="30"/>
  <c r="AS225" i="30"/>
  <c r="AT225" i="30"/>
  <c r="AU225" i="30"/>
  <c r="AV225" i="30"/>
  <c r="AW225" i="30"/>
  <c r="AX225" i="30"/>
  <c r="AY225" i="30"/>
  <c r="AZ225" i="30"/>
  <c r="BA225" i="30"/>
  <c r="BB225" i="30"/>
  <c r="BC225" i="30"/>
  <c r="BD225" i="30"/>
  <c r="BE225" i="30"/>
  <c r="BF225" i="30"/>
  <c r="BG225" i="30"/>
  <c r="BH225" i="30"/>
  <c r="BI225" i="30"/>
  <c r="BJ225" i="30"/>
  <c r="BK225" i="30"/>
  <c r="BL225" i="30"/>
  <c r="BM225" i="30"/>
  <c r="BN225" i="30"/>
  <c r="BO225" i="30"/>
  <c r="BP225" i="30"/>
  <c r="BQ225" i="30"/>
  <c r="BR225" i="30"/>
  <c r="BS225" i="30"/>
  <c r="BT225" i="30"/>
  <c r="BU225" i="30"/>
  <c r="BV225" i="30"/>
  <c r="BW225" i="30"/>
  <c r="BX225" i="30"/>
  <c r="BY225" i="30"/>
  <c r="BZ225" i="30"/>
  <c r="CA225" i="30"/>
  <c r="CB225" i="30"/>
  <c r="CC225" i="30"/>
  <c r="CD225" i="30"/>
  <c r="CE225" i="30"/>
  <c r="CF225" i="30"/>
  <c r="CG225" i="30"/>
  <c r="CH225" i="30"/>
  <c r="CI225" i="30"/>
  <c r="CJ225" i="30"/>
  <c r="CK225" i="30"/>
  <c r="CL225" i="30"/>
  <c r="CM225" i="30"/>
  <c r="CN225" i="30"/>
  <c r="CO225" i="30"/>
  <c r="CP225" i="30"/>
  <c r="CQ225" i="30"/>
  <c r="CR225" i="30"/>
  <c r="CS225" i="30"/>
  <c r="CT225" i="30"/>
  <c r="CU225" i="30"/>
  <c r="CV225" i="30"/>
  <c r="CW225" i="30"/>
  <c r="CX225" i="30"/>
  <c r="CY225" i="30"/>
  <c r="CZ225" i="30"/>
  <c r="DA225" i="30"/>
  <c r="DB225" i="30"/>
  <c r="DC225" i="30"/>
  <c r="DD225" i="30"/>
  <c r="DE225" i="30"/>
  <c r="DF225" i="30"/>
  <c r="DG225" i="30"/>
  <c r="DH225" i="30"/>
  <c r="DI225" i="30"/>
  <c r="DJ225" i="30"/>
  <c r="DK225" i="30"/>
  <c r="DL225" i="30"/>
  <c r="DM225" i="30"/>
  <c r="DN225" i="30"/>
  <c r="DO225" i="30"/>
  <c r="DP225" i="30"/>
  <c r="DQ225" i="30"/>
  <c r="DR225" i="30"/>
  <c r="DS225" i="30"/>
  <c r="DT225" i="30"/>
  <c r="DU225" i="30"/>
  <c r="DV225" i="30"/>
  <c r="DW225" i="30"/>
  <c r="DX225" i="30"/>
  <c r="DY225" i="30"/>
  <c r="DZ225" i="30"/>
  <c r="EA225" i="30"/>
  <c r="EB225" i="30"/>
  <c r="EC225" i="30"/>
  <c r="ED225" i="30"/>
  <c r="EE225" i="30"/>
  <c r="EF225" i="30"/>
  <c r="EG225" i="30"/>
  <c r="EH225" i="30"/>
  <c r="EI225" i="30"/>
  <c r="EJ225" i="30"/>
  <c r="EK225" i="30"/>
  <c r="EL225" i="30"/>
  <c r="EM225" i="30"/>
  <c r="EN225" i="30"/>
  <c r="EO225" i="30"/>
  <c r="EP225" i="30"/>
  <c r="EQ225" i="30"/>
  <c r="ER225" i="30"/>
  <c r="ES225" i="30"/>
  <c r="ET225" i="30"/>
  <c r="EU225" i="30"/>
  <c r="EV225" i="30"/>
  <c r="EW225" i="30"/>
  <c r="EX225" i="30"/>
  <c r="EY225" i="30"/>
  <c r="EZ225" i="30"/>
  <c r="FA225" i="30"/>
  <c r="FB225" i="30"/>
  <c r="FC225" i="30"/>
  <c r="FD225" i="30"/>
  <c r="FE225" i="30"/>
  <c r="FF225" i="30"/>
  <c r="FG225" i="30"/>
  <c r="FH225" i="30"/>
  <c r="FI225" i="30"/>
  <c r="FJ225" i="30"/>
  <c r="FK225" i="30"/>
  <c r="FL225" i="30"/>
  <c r="FM225" i="30"/>
  <c r="FN225" i="30"/>
  <c r="FO225" i="30"/>
  <c r="FP225" i="30"/>
  <c r="FQ225" i="30"/>
  <c r="FR225" i="30"/>
  <c r="FS225" i="30"/>
  <c r="FT225" i="30"/>
  <c r="FU225" i="30"/>
  <c r="FV225" i="30"/>
  <c r="FW225" i="30"/>
  <c r="FX225" i="30"/>
  <c r="FY225" i="30"/>
  <c r="FZ225" i="30"/>
  <c r="GA225" i="30"/>
  <c r="GB225" i="30"/>
  <c r="GC225" i="30"/>
  <c r="GD225" i="30"/>
  <c r="GE225" i="30"/>
  <c r="GF225" i="30"/>
  <c r="GG225" i="30"/>
  <c r="GH225" i="30"/>
  <c r="GI225" i="30"/>
  <c r="GJ225" i="30"/>
  <c r="GK225" i="30"/>
  <c r="GL225" i="30"/>
  <c r="GM225" i="30"/>
  <c r="GN225" i="30"/>
  <c r="GO225" i="30"/>
  <c r="GP225" i="30"/>
  <c r="GQ225" i="30"/>
  <c r="GR225" i="30"/>
  <c r="GS225" i="30"/>
  <c r="GT225" i="30"/>
  <c r="GU225" i="30"/>
  <c r="GV225" i="30"/>
  <c r="GW225" i="30"/>
  <c r="GX225" i="30"/>
  <c r="GY225" i="30"/>
  <c r="GZ225" i="30"/>
  <c r="HA225" i="30"/>
  <c r="HB225" i="30"/>
  <c r="HC225" i="30"/>
  <c r="HD225" i="30"/>
  <c r="HE225" i="30"/>
  <c r="HF225" i="30"/>
  <c r="HG225" i="30"/>
  <c r="HH225" i="30"/>
  <c r="HI225" i="30"/>
  <c r="HJ225" i="30"/>
  <c r="HK225" i="30"/>
  <c r="HL225" i="30"/>
  <c r="HM225" i="30"/>
  <c r="HN225" i="30"/>
  <c r="HO225" i="30"/>
  <c r="HP225" i="30"/>
  <c r="HQ225" i="30"/>
  <c r="HR225" i="30"/>
  <c r="HS225" i="30"/>
  <c r="HT225" i="30"/>
  <c r="HU225" i="30"/>
  <c r="HV225" i="30"/>
  <c r="HW225" i="30"/>
  <c r="HX225" i="30"/>
  <c r="HY225" i="30"/>
  <c r="HZ225" i="30"/>
  <c r="IA225" i="30"/>
  <c r="IB225" i="30"/>
  <c r="IC225" i="30"/>
  <c r="ID225" i="30"/>
  <c r="IE225" i="30"/>
  <c r="IF225" i="30"/>
  <c r="IG225" i="30"/>
  <c r="IH225" i="30"/>
  <c r="II225" i="30"/>
  <c r="IJ225" i="30"/>
  <c r="IK225" i="30"/>
  <c r="IL225" i="30"/>
  <c r="IM225" i="30"/>
  <c r="IN225" i="30"/>
  <c r="IO225" i="30"/>
  <c r="IP225" i="30"/>
  <c r="IQ225" i="30"/>
  <c r="IR225" i="30"/>
  <c r="IS225" i="30"/>
  <c r="IT225" i="30"/>
  <c r="IU225" i="30"/>
  <c r="IV225" i="30"/>
  <c r="A224" i="30"/>
  <c r="B224" i="30"/>
  <c r="C224" i="30"/>
  <c r="D224" i="30"/>
  <c r="E224" i="30"/>
  <c r="F224" i="30"/>
  <c r="G224" i="30"/>
  <c r="H224" i="30"/>
  <c r="I224" i="30"/>
  <c r="J224" i="30"/>
  <c r="K224" i="30"/>
  <c r="L224" i="30"/>
  <c r="M224" i="30"/>
  <c r="N224" i="30"/>
  <c r="O224" i="30"/>
  <c r="P224" i="30"/>
  <c r="Q224" i="30"/>
  <c r="R224" i="30"/>
  <c r="S224" i="30"/>
  <c r="T224" i="30"/>
  <c r="U224" i="30"/>
  <c r="V224" i="30"/>
  <c r="W224" i="30"/>
  <c r="X224" i="30"/>
  <c r="Y224" i="30"/>
  <c r="Z224" i="30"/>
  <c r="AA224" i="30"/>
  <c r="AB224" i="30"/>
  <c r="AC224" i="30"/>
  <c r="AD224" i="30"/>
  <c r="AE224" i="30"/>
  <c r="AF224" i="30"/>
  <c r="AG224" i="30"/>
  <c r="AH224" i="30"/>
  <c r="AI224" i="30"/>
  <c r="AJ224" i="30"/>
  <c r="AK224" i="30"/>
  <c r="AL224" i="30"/>
  <c r="AM224" i="30"/>
  <c r="AN224" i="30"/>
  <c r="AO224" i="30"/>
  <c r="AP224" i="30"/>
  <c r="AQ224" i="30"/>
  <c r="AR224" i="30"/>
  <c r="AS224" i="30"/>
  <c r="AT224" i="30"/>
  <c r="AU224" i="30"/>
  <c r="AV224" i="30"/>
  <c r="AW224" i="30"/>
  <c r="AX224" i="30"/>
  <c r="AY224" i="30"/>
  <c r="AZ224" i="30"/>
  <c r="BA224" i="30"/>
  <c r="BB224" i="30"/>
  <c r="BC224" i="30"/>
  <c r="BD224" i="30"/>
  <c r="BE224" i="30"/>
  <c r="BF224" i="30"/>
  <c r="BG224" i="30"/>
  <c r="BH224" i="30"/>
  <c r="BI224" i="30"/>
  <c r="BJ224" i="30"/>
  <c r="BK224" i="30"/>
  <c r="BL224" i="30"/>
  <c r="BM224" i="30"/>
  <c r="BN224" i="30"/>
  <c r="BO224" i="30"/>
  <c r="BP224" i="30"/>
  <c r="BQ224" i="30"/>
  <c r="BR224" i="30"/>
  <c r="BS224" i="30"/>
  <c r="BT224" i="30"/>
  <c r="BU224" i="30"/>
  <c r="BV224" i="30"/>
  <c r="BW224" i="30"/>
  <c r="BX224" i="30"/>
  <c r="BY224" i="30"/>
  <c r="BZ224" i="30"/>
  <c r="CA224" i="30"/>
  <c r="CB224" i="30"/>
  <c r="CC224" i="30"/>
  <c r="CD224" i="30"/>
  <c r="CE224" i="30"/>
  <c r="CF224" i="30"/>
  <c r="CG224" i="30"/>
  <c r="CH224" i="30"/>
  <c r="CI224" i="30"/>
  <c r="CJ224" i="30"/>
  <c r="CK224" i="30"/>
  <c r="CL224" i="30"/>
  <c r="CM224" i="30"/>
  <c r="CN224" i="30"/>
  <c r="CO224" i="30"/>
  <c r="CP224" i="30"/>
  <c r="CQ224" i="30"/>
  <c r="CR224" i="30"/>
  <c r="CS224" i="30"/>
  <c r="CT224" i="30"/>
  <c r="CU224" i="30"/>
  <c r="CV224" i="30"/>
  <c r="CW224" i="30"/>
  <c r="CX224" i="30"/>
  <c r="CY224" i="30"/>
  <c r="CZ224" i="30"/>
  <c r="DA224" i="30"/>
  <c r="DB224" i="30"/>
  <c r="DC224" i="30"/>
  <c r="DD224" i="30"/>
  <c r="DE224" i="30"/>
  <c r="DF224" i="30"/>
  <c r="DG224" i="30"/>
  <c r="DH224" i="30"/>
  <c r="DI224" i="30"/>
  <c r="DJ224" i="30"/>
  <c r="DK224" i="30"/>
  <c r="DL224" i="30"/>
  <c r="DM224" i="30"/>
  <c r="DN224" i="30"/>
  <c r="DO224" i="30"/>
  <c r="DP224" i="30"/>
  <c r="DQ224" i="30"/>
  <c r="DR224" i="30"/>
  <c r="DS224" i="30"/>
  <c r="DT224" i="30"/>
  <c r="DU224" i="30"/>
  <c r="DV224" i="30"/>
  <c r="DW224" i="30"/>
  <c r="DX224" i="30"/>
  <c r="DY224" i="30"/>
  <c r="DZ224" i="30"/>
  <c r="EA224" i="30"/>
  <c r="EB224" i="30"/>
  <c r="EC224" i="30"/>
  <c r="ED224" i="30"/>
  <c r="EE224" i="30"/>
  <c r="EF224" i="30"/>
  <c r="EG224" i="30"/>
  <c r="EH224" i="30"/>
  <c r="EI224" i="30"/>
  <c r="EJ224" i="30"/>
  <c r="EK224" i="30"/>
  <c r="EL224" i="30"/>
  <c r="EM224" i="30"/>
  <c r="EN224" i="30"/>
  <c r="EO224" i="30"/>
  <c r="EP224" i="30"/>
  <c r="EQ224" i="30"/>
  <c r="ER224" i="30"/>
  <c r="ES224" i="30"/>
  <c r="ET224" i="30"/>
  <c r="EU224" i="30"/>
  <c r="EV224" i="30"/>
  <c r="EW224" i="30"/>
  <c r="EX224" i="30"/>
  <c r="EY224" i="30"/>
  <c r="EZ224" i="30"/>
  <c r="FA224" i="30"/>
  <c r="FB224" i="30"/>
  <c r="FC224" i="30"/>
  <c r="FD224" i="30"/>
  <c r="FE224" i="30"/>
  <c r="FF224" i="30"/>
  <c r="FG224" i="30"/>
  <c r="FH224" i="30"/>
  <c r="FI224" i="30"/>
  <c r="FJ224" i="30"/>
  <c r="FK224" i="30"/>
  <c r="FL224" i="30"/>
  <c r="FM224" i="30"/>
  <c r="FN224" i="30"/>
  <c r="FO224" i="30"/>
  <c r="FP224" i="30"/>
  <c r="FQ224" i="30"/>
  <c r="FR224" i="30"/>
  <c r="FS224" i="30"/>
  <c r="FT224" i="30"/>
  <c r="FU224" i="30"/>
  <c r="FV224" i="30"/>
  <c r="FW224" i="30"/>
  <c r="FX224" i="30"/>
  <c r="FY224" i="30"/>
  <c r="FZ224" i="30"/>
  <c r="GA224" i="30"/>
  <c r="GB224" i="30"/>
  <c r="GC224" i="30"/>
  <c r="GD224" i="30"/>
  <c r="GE224" i="30"/>
  <c r="GF224" i="30"/>
  <c r="GG224" i="30"/>
  <c r="GH224" i="30"/>
  <c r="GI224" i="30"/>
  <c r="GJ224" i="30"/>
  <c r="GK224" i="30"/>
  <c r="GL224" i="30"/>
  <c r="GM224" i="30"/>
  <c r="GN224" i="30"/>
  <c r="GO224" i="30"/>
  <c r="GP224" i="30"/>
  <c r="GQ224" i="30"/>
  <c r="GR224" i="30"/>
  <c r="GS224" i="30"/>
  <c r="GT224" i="30"/>
  <c r="GU224" i="30"/>
  <c r="GV224" i="30"/>
  <c r="GW224" i="30"/>
  <c r="GX224" i="30"/>
  <c r="GY224" i="30"/>
  <c r="GZ224" i="30"/>
  <c r="HA224" i="30"/>
  <c r="HB224" i="30"/>
  <c r="HC224" i="30"/>
  <c r="HD224" i="30"/>
  <c r="HE224" i="30"/>
  <c r="HF224" i="30"/>
  <c r="HG224" i="30"/>
  <c r="HH224" i="30"/>
  <c r="HI224" i="30"/>
  <c r="HJ224" i="30"/>
  <c r="HK224" i="30"/>
  <c r="HL224" i="30"/>
  <c r="HM224" i="30"/>
  <c r="HN224" i="30"/>
  <c r="HO224" i="30"/>
  <c r="HP224" i="30"/>
  <c r="HQ224" i="30"/>
  <c r="HR224" i="30"/>
  <c r="HS224" i="30"/>
  <c r="HT224" i="30"/>
  <c r="HU224" i="30"/>
  <c r="HV224" i="30"/>
  <c r="HW224" i="30"/>
  <c r="HX224" i="30"/>
  <c r="HY224" i="30"/>
  <c r="HZ224" i="30"/>
  <c r="IA224" i="30"/>
  <c r="IB224" i="30"/>
  <c r="IC224" i="30"/>
  <c r="ID224" i="30"/>
  <c r="IE224" i="30"/>
  <c r="IF224" i="30"/>
  <c r="IG224" i="30"/>
  <c r="IH224" i="30"/>
  <c r="II224" i="30"/>
  <c r="IJ224" i="30"/>
  <c r="IK224" i="30"/>
  <c r="IL224" i="30"/>
  <c r="IM224" i="30"/>
  <c r="IN224" i="30"/>
  <c r="IO224" i="30"/>
  <c r="IP224" i="30"/>
  <c r="IQ224" i="30"/>
  <c r="IR224" i="30"/>
  <c r="IS224" i="30"/>
  <c r="IT224" i="30"/>
  <c r="IU224" i="30"/>
  <c r="IV224" i="30"/>
  <c r="A223" i="30"/>
  <c r="B223" i="30"/>
  <c r="C223" i="30"/>
  <c r="D223" i="30"/>
  <c r="E223" i="30"/>
  <c r="F223" i="30"/>
  <c r="G223" i="30"/>
  <c r="H223" i="30"/>
  <c r="I223" i="30"/>
  <c r="J223" i="30"/>
  <c r="K223" i="30"/>
  <c r="L223" i="30"/>
  <c r="M223" i="30"/>
  <c r="N223" i="30"/>
  <c r="O223" i="30"/>
  <c r="P223" i="30"/>
  <c r="Q223" i="30"/>
  <c r="R223" i="30"/>
  <c r="S223" i="30"/>
  <c r="T223" i="30"/>
  <c r="U223" i="30"/>
  <c r="V223" i="30"/>
  <c r="W223" i="30"/>
  <c r="X223" i="30"/>
  <c r="Y223" i="30"/>
  <c r="Z223" i="30"/>
  <c r="AA223" i="30"/>
  <c r="AB223" i="30"/>
  <c r="AC223" i="30"/>
  <c r="AD223" i="30"/>
  <c r="AE223" i="30"/>
  <c r="AF223" i="30"/>
  <c r="AG223" i="30"/>
  <c r="AH223" i="30"/>
  <c r="AI223" i="30"/>
  <c r="AJ223" i="30"/>
  <c r="AK223" i="30"/>
  <c r="AL223" i="30"/>
  <c r="AM223" i="30"/>
  <c r="AN223" i="30"/>
  <c r="AO223" i="30"/>
  <c r="AP223" i="30"/>
  <c r="AQ223" i="30"/>
  <c r="AR223" i="30"/>
  <c r="AS223" i="30"/>
  <c r="AT223" i="30"/>
  <c r="AU223" i="30"/>
  <c r="AV223" i="30"/>
  <c r="AW223" i="30"/>
  <c r="AX223" i="30"/>
  <c r="AY223" i="30"/>
  <c r="AZ223" i="30"/>
  <c r="BA223" i="30"/>
  <c r="BB223" i="30"/>
  <c r="BC223" i="30"/>
  <c r="BD223" i="30"/>
  <c r="BE223" i="30"/>
  <c r="BF223" i="30"/>
  <c r="BG223" i="30"/>
  <c r="BH223" i="30"/>
  <c r="BI223" i="30"/>
  <c r="BJ223" i="30"/>
  <c r="BK223" i="30"/>
  <c r="BL223" i="30"/>
  <c r="BM223" i="30"/>
  <c r="BN223" i="30"/>
  <c r="BO223" i="30"/>
  <c r="BP223" i="30"/>
  <c r="BQ223" i="30"/>
  <c r="BR223" i="30"/>
  <c r="BS223" i="30"/>
  <c r="BT223" i="30"/>
  <c r="BU223" i="30"/>
  <c r="BV223" i="30"/>
  <c r="BW223" i="30"/>
  <c r="BX223" i="30"/>
  <c r="BY223" i="30"/>
  <c r="BZ223" i="30"/>
  <c r="CA223" i="30"/>
  <c r="CB223" i="30"/>
  <c r="CC223" i="30"/>
  <c r="CD223" i="30"/>
  <c r="CE223" i="30"/>
  <c r="CF223" i="30"/>
  <c r="CG223" i="30"/>
  <c r="CH223" i="30"/>
  <c r="CI223" i="30"/>
  <c r="CJ223" i="30"/>
  <c r="CK223" i="30"/>
  <c r="CL223" i="30"/>
  <c r="CM223" i="30"/>
  <c r="CN223" i="30"/>
  <c r="CO223" i="30"/>
  <c r="CP223" i="30"/>
  <c r="CQ223" i="30"/>
  <c r="CR223" i="30"/>
  <c r="CS223" i="30"/>
  <c r="CT223" i="30"/>
  <c r="CU223" i="30"/>
  <c r="CV223" i="30"/>
  <c r="CW223" i="30"/>
  <c r="CX223" i="30"/>
  <c r="CY223" i="30"/>
  <c r="CZ223" i="30"/>
  <c r="DA223" i="30"/>
  <c r="DB223" i="30"/>
  <c r="DC223" i="30"/>
  <c r="DD223" i="30"/>
  <c r="DE223" i="30"/>
  <c r="DF223" i="30"/>
  <c r="DG223" i="30"/>
  <c r="DH223" i="30"/>
  <c r="DI223" i="30"/>
  <c r="DJ223" i="30"/>
  <c r="DK223" i="30"/>
  <c r="DL223" i="30"/>
  <c r="DM223" i="30"/>
  <c r="DN223" i="30"/>
  <c r="DO223" i="30"/>
  <c r="DP223" i="30"/>
  <c r="DQ223" i="30"/>
  <c r="DR223" i="30"/>
  <c r="DS223" i="30"/>
  <c r="DT223" i="30"/>
  <c r="DU223" i="30"/>
  <c r="DV223" i="30"/>
  <c r="DW223" i="30"/>
  <c r="DX223" i="30"/>
  <c r="DY223" i="30"/>
  <c r="DZ223" i="30"/>
  <c r="EA223" i="30"/>
  <c r="EB223" i="30"/>
  <c r="EC223" i="30"/>
  <c r="ED223" i="30"/>
  <c r="EE223" i="30"/>
  <c r="EF223" i="30"/>
  <c r="EG223" i="30"/>
  <c r="EH223" i="30"/>
  <c r="EI223" i="30"/>
  <c r="EJ223" i="30"/>
  <c r="EK223" i="30"/>
  <c r="EL223" i="30"/>
  <c r="EM223" i="30"/>
  <c r="EN223" i="30"/>
  <c r="EO223" i="30"/>
  <c r="EP223" i="30"/>
  <c r="EQ223" i="30"/>
  <c r="ER223" i="30"/>
  <c r="ES223" i="30"/>
  <c r="ET223" i="30"/>
  <c r="EU223" i="30"/>
  <c r="EV223" i="30"/>
  <c r="EW223" i="30"/>
  <c r="EX223" i="30"/>
  <c r="EY223" i="30"/>
  <c r="EZ223" i="30"/>
  <c r="FA223" i="30"/>
  <c r="FB223" i="30"/>
  <c r="FC223" i="30"/>
  <c r="FD223" i="30"/>
  <c r="FE223" i="30"/>
  <c r="FF223" i="30"/>
  <c r="FG223" i="30"/>
  <c r="FH223" i="30"/>
  <c r="FI223" i="30"/>
  <c r="FJ223" i="30"/>
  <c r="FK223" i="30"/>
  <c r="FL223" i="30"/>
  <c r="FM223" i="30"/>
  <c r="FN223" i="30"/>
  <c r="FO223" i="30"/>
  <c r="FP223" i="30"/>
  <c r="FQ223" i="30"/>
  <c r="FR223" i="30"/>
  <c r="FS223" i="30"/>
  <c r="FT223" i="30"/>
  <c r="FU223" i="30"/>
  <c r="FV223" i="30"/>
  <c r="FW223" i="30"/>
  <c r="FX223" i="30"/>
  <c r="FY223" i="30"/>
  <c r="FZ223" i="30"/>
  <c r="GA223" i="30"/>
  <c r="GB223" i="30"/>
  <c r="GC223" i="30"/>
  <c r="GD223" i="30"/>
  <c r="GE223" i="30"/>
  <c r="GF223" i="30"/>
  <c r="GG223" i="30"/>
  <c r="GH223" i="30"/>
  <c r="GI223" i="30"/>
  <c r="GJ223" i="30"/>
  <c r="GK223" i="30"/>
  <c r="GL223" i="30"/>
  <c r="GM223" i="30"/>
  <c r="GN223" i="30"/>
  <c r="GO223" i="30"/>
  <c r="GP223" i="30"/>
  <c r="GQ223" i="30"/>
  <c r="GR223" i="30"/>
  <c r="GS223" i="30"/>
  <c r="GT223" i="30"/>
  <c r="GU223" i="30"/>
  <c r="GV223" i="30"/>
  <c r="GW223" i="30"/>
  <c r="GX223" i="30"/>
  <c r="GY223" i="30"/>
  <c r="GZ223" i="30"/>
  <c r="HA223" i="30"/>
  <c r="HB223" i="30"/>
  <c r="HC223" i="30"/>
  <c r="HD223" i="30"/>
  <c r="HE223" i="30"/>
  <c r="HF223" i="30"/>
  <c r="HG223" i="30"/>
  <c r="HH223" i="30"/>
  <c r="HI223" i="30"/>
  <c r="HJ223" i="30"/>
  <c r="HK223" i="30"/>
  <c r="HL223" i="30"/>
  <c r="HM223" i="30"/>
  <c r="HN223" i="30"/>
  <c r="HO223" i="30"/>
  <c r="HP223" i="30"/>
  <c r="HQ223" i="30"/>
  <c r="HR223" i="30"/>
  <c r="HS223" i="30"/>
  <c r="HT223" i="30"/>
  <c r="HU223" i="30"/>
  <c r="HV223" i="30"/>
  <c r="HW223" i="30"/>
  <c r="HX223" i="30"/>
  <c r="HY223" i="30"/>
  <c r="HZ223" i="30"/>
  <c r="IA223" i="30"/>
  <c r="IB223" i="30"/>
  <c r="IC223" i="30"/>
  <c r="ID223" i="30"/>
  <c r="IE223" i="30"/>
  <c r="IF223" i="30"/>
  <c r="IG223" i="30"/>
  <c r="IH223" i="30"/>
  <c r="II223" i="30"/>
  <c r="IJ223" i="30"/>
  <c r="IK223" i="30"/>
  <c r="IL223" i="30"/>
  <c r="IM223" i="30"/>
  <c r="IN223" i="30"/>
  <c r="IO223" i="30"/>
  <c r="IP223" i="30"/>
  <c r="IQ223" i="30"/>
  <c r="IR223" i="30"/>
  <c r="IS223" i="30"/>
  <c r="IT223" i="30"/>
  <c r="IU223" i="30"/>
  <c r="IV223" i="30"/>
  <c r="A222" i="30"/>
  <c r="B222" i="30"/>
  <c r="C222" i="30"/>
  <c r="D222" i="30"/>
  <c r="E222" i="30"/>
  <c r="F222" i="30"/>
  <c r="G222" i="30"/>
  <c r="H222" i="30"/>
  <c r="I222" i="30"/>
  <c r="J222" i="30"/>
  <c r="K222" i="30"/>
  <c r="L222" i="30"/>
  <c r="M222" i="30"/>
  <c r="N222" i="30"/>
  <c r="O222" i="30"/>
  <c r="P222" i="30"/>
  <c r="Q222" i="30"/>
  <c r="R222" i="30"/>
  <c r="S222" i="30"/>
  <c r="T222" i="30"/>
  <c r="U222" i="30"/>
  <c r="V222" i="30"/>
  <c r="W222" i="30"/>
  <c r="X222" i="30"/>
  <c r="Y222" i="30"/>
  <c r="Z222" i="30"/>
  <c r="AA222" i="30"/>
  <c r="AB222" i="30"/>
  <c r="AC222" i="30"/>
  <c r="AD222" i="30"/>
  <c r="AE222" i="30"/>
  <c r="AF222" i="30"/>
  <c r="AG222" i="30"/>
  <c r="AH222" i="30"/>
  <c r="AI222" i="30"/>
  <c r="AJ222" i="30"/>
  <c r="AK222" i="30"/>
  <c r="AL222" i="30"/>
  <c r="AM222" i="30"/>
  <c r="AN222" i="30"/>
  <c r="AO222" i="30"/>
  <c r="AP222" i="30"/>
  <c r="AQ222" i="30"/>
  <c r="AR222" i="30"/>
  <c r="AS222" i="30"/>
  <c r="AT222" i="30"/>
  <c r="AU222" i="30"/>
  <c r="AV222" i="30"/>
  <c r="AW222" i="30"/>
  <c r="AX222" i="30"/>
  <c r="AY222" i="30"/>
  <c r="AZ222" i="30"/>
  <c r="BA222" i="30"/>
  <c r="BB222" i="30"/>
  <c r="BC222" i="30"/>
  <c r="BD222" i="30"/>
  <c r="BE222" i="30"/>
  <c r="BF222" i="30"/>
  <c r="BG222" i="30"/>
  <c r="BH222" i="30"/>
  <c r="BI222" i="30"/>
  <c r="BJ222" i="30"/>
  <c r="BK222" i="30"/>
  <c r="BL222" i="30"/>
  <c r="BM222" i="30"/>
  <c r="BN222" i="30"/>
  <c r="BO222" i="30"/>
  <c r="BP222" i="30"/>
  <c r="BQ222" i="30"/>
  <c r="BR222" i="30"/>
  <c r="BS222" i="30"/>
  <c r="BT222" i="30"/>
  <c r="BU222" i="30"/>
  <c r="BV222" i="30"/>
  <c r="BW222" i="30"/>
  <c r="BX222" i="30"/>
  <c r="BY222" i="30"/>
  <c r="BZ222" i="30"/>
  <c r="CA222" i="30"/>
  <c r="CB222" i="30"/>
  <c r="CC222" i="30"/>
  <c r="CD222" i="30"/>
  <c r="CE222" i="30"/>
  <c r="CF222" i="30"/>
  <c r="CG222" i="30"/>
  <c r="CH222" i="30"/>
  <c r="CI222" i="30"/>
  <c r="CJ222" i="30"/>
  <c r="CK222" i="30"/>
  <c r="CL222" i="30"/>
  <c r="CM222" i="30"/>
  <c r="CN222" i="30"/>
  <c r="CO222" i="30"/>
  <c r="CP222" i="30"/>
  <c r="CQ222" i="30"/>
  <c r="CR222" i="30"/>
  <c r="CS222" i="30"/>
  <c r="CT222" i="30"/>
  <c r="CU222" i="30"/>
  <c r="CV222" i="30"/>
  <c r="CW222" i="30"/>
  <c r="CX222" i="30"/>
  <c r="CY222" i="30"/>
  <c r="CZ222" i="30"/>
  <c r="DA222" i="30"/>
  <c r="DB222" i="30"/>
  <c r="DC222" i="30"/>
  <c r="DD222" i="30"/>
  <c r="DE222" i="30"/>
  <c r="DF222" i="30"/>
  <c r="DG222" i="30"/>
  <c r="DH222" i="30"/>
  <c r="DI222" i="30"/>
  <c r="DJ222" i="30"/>
  <c r="DK222" i="30"/>
  <c r="DL222" i="30"/>
  <c r="DM222" i="30"/>
  <c r="DN222" i="30"/>
  <c r="DO222" i="30"/>
  <c r="DP222" i="30"/>
  <c r="DQ222" i="30"/>
  <c r="DR222" i="30"/>
  <c r="DS222" i="30"/>
  <c r="DT222" i="30"/>
  <c r="DU222" i="30"/>
  <c r="DV222" i="30"/>
  <c r="DW222" i="30"/>
  <c r="DX222" i="30"/>
  <c r="DY222" i="30"/>
  <c r="DZ222" i="30"/>
  <c r="EA222" i="30"/>
  <c r="EB222" i="30"/>
  <c r="EC222" i="30"/>
  <c r="ED222" i="30"/>
  <c r="EE222" i="30"/>
  <c r="EF222" i="30"/>
  <c r="EG222" i="30"/>
  <c r="EH222" i="30"/>
  <c r="EI222" i="30"/>
  <c r="EJ222" i="30"/>
  <c r="EK222" i="30"/>
  <c r="EL222" i="30"/>
  <c r="EM222" i="30"/>
  <c r="EN222" i="30"/>
  <c r="EO222" i="30"/>
  <c r="EP222" i="30"/>
  <c r="EQ222" i="30"/>
  <c r="ER222" i="30"/>
  <c r="ES222" i="30"/>
  <c r="ET222" i="30"/>
  <c r="EU222" i="30"/>
  <c r="EV222" i="30"/>
  <c r="EW222" i="30"/>
  <c r="EX222" i="30"/>
  <c r="EY222" i="30"/>
  <c r="EZ222" i="30"/>
  <c r="FA222" i="30"/>
  <c r="FB222" i="30"/>
  <c r="FC222" i="30"/>
  <c r="FD222" i="30"/>
  <c r="FE222" i="30"/>
  <c r="FF222" i="30"/>
  <c r="FG222" i="30"/>
  <c r="FH222" i="30"/>
  <c r="FI222" i="30"/>
  <c r="FJ222" i="30"/>
  <c r="FK222" i="30"/>
  <c r="FL222" i="30"/>
  <c r="FM222" i="30"/>
  <c r="FN222" i="30"/>
  <c r="FO222" i="30"/>
  <c r="FP222" i="30"/>
  <c r="FQ222" i="30"/>
  <c r="FR222" i="30"/>
  <c r="FS222" i="30"/>
  <c r="FT222" i="30"/>
  <c r="FU222" i="30"/>
  <c r="FV222" i="30"/>
  <c r="FW222" i="30"/>
  <c r="FX222" i="30"/>
  <c r="FY222" i="30"/>
  <c r="FZ222" i="30"/>
  <c r="GA222" i="30"/>
  <c r="GB222" i="30"/>
  <c r="GC222" i="30"/>
  <c r="GD222" i="30"/>
  <c r="GE222" i="30"/>
  <c r="GF222" i="30"/>
  <c r="GG222" i="30"/>
  <c r="GH222" i="30"/>
  <c r="GI222" i="30"/>
  <c r="GJ222" i="30"/>
  <c r="GK222" i="30"/>
  <c r="GL222" i="30"/>
  <c r="GM222" i="30"/>
  <c r="GN222" i="30"/>
  <c r="GO222" i="30"/>
  <c r="GP222" i="30"/>
  <c r="GQ222" i="30"/>
  <c r="GR222" i="30"/>
  <c r="GS222" i="30"/>
  <c r="GT222" i="30"/>
  <c r="GU222" i="30"/>
  <c r="GV222" i="30"/>
  <c r="GW222" i="30"/>
  <c r="GX222" i="30"/>
  <c r="GY222" i="30"/>
  <c r="GZ222" i="30"/>
  <c r="HA222" i="30"/>
  <c r="HB222" i="30"/>
  <c r="HC222" i="30"/>
  <c r="HD222" i="30"/>
  <c r="HE222" i="30"/>
  <c r="HF222" i="30"/>
  <c r="HG222" i="30"/>
  <c r="HH222" i="30"/>
  <c r="HI222" i="30"/>
  <c r="HJ222" i="30"/>
  <c r="HK222" i="30"/>
  <c r="HL222" i="30"/>
  <c r="HM222" i="30"/>
  <c r="HN222" i="30"/>
  <c r="HO222" i="30"/>
  <c r="HP222" i="30"/>
  <c r="HQ222" i="30"/>
  <c r="HR222" i="30"/>
  <c r="HS222" i="30"/>
  <c r="HT222" i="30"/>
  <c r="HU222" i="30"/>
  <c r="HV222" i="30"/>
  <c r="HW222" i="30"/>
  <c r="HX222" i="30"/>
  <c r="HY222" i="30"/>
  <c r="HZ222" i="30"/>
  <c r="IA222" i="30"/>
  <c r="IB222" i="30"/>
  <c r="IC222" i="30"/>
  <c r="ID222" i="30"/>
  <c r="IE222" i="30"/>
  <c r="IF222" i="30"/>
  <c r="IG222" i="30"/>
  <c r="IH222" i="30"/>
  <c r="II222" i="30"/>
  <c r="IJ222" i="30"/>
  <c r="IK222" i="30"/>
  <c r="IL222" i="30"/>
  <c r="IM222" i="30"/>
  <c r="IN222" i="30"/>
  <c r="IO222" i="30"/>
  <c r="IP222" i="30"/>
  <c r="IQ222" i="30"/>
  <c r="IR222" i="30"/>
  <c r="IS222" i="30"/>
  <c r="IT222" i="30"/>
  <c r="IU222" i="30"/>
  <c r="IV222" i="30"/>
  <c r="A221" i="30"/>
  <c r="B221" i="30"/>
  <c r="C221" i="30"/>
  <c r="D221" i="30"/>
  <c r="E221" i="30"/>
  <c r="F221" i="30"/>
  <c r="G221" i="30"/>
  <c r="H221" i="30"/>
  <c r="I221" i="30"/>
  <c r="J221" i="30"/>
  <c r="K221" i="30"/>
  <c r="L221" i="30"/>
  <c r="M221" i="30"/>
  <c r="N221" i="30"/>
  <c r="O221" i="30"/>
  <c r="P221" i="30"/>
  <c r="Q221" i="30"/>
  <c r="R221" i="30"/>
  <c r="S221" i="30"/>
  <c r="T221" i="30"/>
  <c r="U221" i="30"/>
  <c r="V221" i="30"/>
  <c r="W221" i="30"/>
  <c r="X221" i="30"/>
  <c r="Y221" i="30"/>
  <c r="Z221" i="30"/>
  <c r="AA221" i="30"/>
  <c r="AB221" i="30"/>
  <c r="AC221" i="30"/>
  <c r="AD221" i="30"/>
  <c r="AE221" i="30"/>
  <c r="AF221" i="30"/>
  <c r="AG221" i="30"/>
  <c r="AH221" i="30"/>
  <c r="AI221" i="30"/>
  <c r="AJ221" i="30"/>
  <c r="AK221" i="30"/>
  <c r="AL221" i="30"/>
  <c r="AM221" i="30"/>
  <c r="AN221" i="30"/>
  <c r="AO221" i="30"/>
  <c r="AP221" i="30"/>
  <c r="AQ221" i="30"/>
  <c r="AR221" i="30"/>
  <c r="AS221" i="30"/>
  <c r="AT221" i="30"/>
  <c r="AU221" i="30"/>
  <c r="AV221" i="30"/>
  <c r="AW221" i="30"/>
  <c r="AX221" i="30"/>
  <c r="AY221" i="30"/>
  <c r="AZ221" i="30"/>
  <c r="BA221" i="30"/>
  <c r="BB221" i="30"/>
  <c r="BC221" i="30"/>
  <c r="BD221" i="30"/>
  <c r="BE221" i="30"/>
  <c r="BF221" i="30"/>
  <c r="BG221" i="30"/>
  <c r="BH221" i="30"/>
  <c r="BI221" i="30"/>
  <c r="BJ221" i="30"/>
  <c r="BK221" i="30"/>
  <c r="BL221" i="30"/>
  <c r="BM221" i="30"/>
  <c r="BN221" i="30"/>
  <c r="BO221" i="30"/>
  <c r="BP221" i="30"/>
  <c r="BQ221" i="30"/>
  <c r="BR221" i="30"/>
  <c r="BS221" i="30"/>
  <c r="BT221" i="30"/>
  <c r="BU221" i="30"/>
  <c r="BV221" i="30"/>
  <c r="BW221" i="30"/>
  <c r="BX221" i="30"/>
  <c r="BY221" i="30"/>
  <c r="BZ221" i="30"/>
  <c r="CA221" i="30"/>
  <c r="CB221" i="30"/>
  <c r="CC221" i="30"/>
  <c r="CD221" i="30"/>
  <c r="CE221" i="30"/>
  <c r="CF221" i="30"/>
  <c r="CG221" i="30"/>
  <c r="CH221" i="30"/>
  <c r="CI221" i="30"/>
  <c r="CJ221" i="30"/>
  <c r="CK221" i="30"/>
  <c r="CL221" i="30"/>
  <c r="CM221" i="30"/>
  <c r="CN221" i="30"/>
  <c r="CO221" i="30"/>
  <c r="CP221" i="30"/>
  <c r="CQ221" i="30"/>
  <c r="CR221" i="30"/>
  <c r="CS221" i="30"/>
  <c r="CT221" i="30"/>
  <c r="CU221" i="30"/>
  <c r="CV221" i="30"/>
  <c r="CW221" i="30"/>
  <c r="CX221" i="30"/>
  <c r="CY221" i="30"/>
  <c r="CZ221" i="30"/>
  <c r="DA221" i="30"/>
  <c r="DB221" i="30"/>
  <c r="DC221" i="30"/>
  <c r="DD221" i="30"/>
  <c r="DE221" i="30"/>
  <c r="DF221" i="30"/>
  <c r="DG221" i="30"/>
  <c r="DH221" i="30"/>
  <c r="DI221" i="30"/>
  <c r="DJ221" i="30"/>
  <c r="DK221" i="30"/>
  <c r="DL221" i="30"/>
  <c r="DM221" i="30"/>
  <c r="DN221" i="30"/>
  <c r="DO221" i="30"/>
  <c r="DP221" i="30"/>
  <c r="DQ221" i="30"/>
  <c r="DR221" i="30"/>
  <c r="DS221" i="30"/>
  <c r="DT221" i="30"/>
  <c r="DU221" i="30"/>
  <c r="DV221" i="30"/>
  <c r="DW221" i="30"/>
  <c r="DX221" i="30"/>
  <c r="DY221" i="30"/>
  <c r="DZ221" i="30"/>
  <c r="EA221" i="30"/>
  <c r="EB221" i="30"/>
  <c r="EC221" i="30"/>
  <c r="ED221" i="30"/>
  <c r="EE221" i="30"/>
  <c r="EF221" i="30"/>
  <c r="EG221" i="30"/>
  <c r="EH221" i="30"/>
  <c r="EI221" i="30"/>
  <c r="EJ221" i="30"/>
  <c r="EK221" i="30"/>
  <c r="EL221" i="30"/>
  <c r="EM221" i="30"/>
  <c r="EN221" i="30"/>
  <c r="EO221" i="30"/>
  <c r="EP221" i="30"/>
  <c r="EQ221" i="30"/>
  <c r="ER221" i="30"/>
  <c r="ES221" i="30"/>
  <c r="ET221" i="30"/>
  <c r="EU221" i="30"/>
  <c r="EV221" i="30"/>
  <c r="EW221" i="30"/>
  <c r="EX221" i="30"/>
  <c r="EY221" i="30"/>
  <c r="EZ221" i="30"/>
  <c r="FA221" i="30"/>
  <c r="FB221" i="30"/>
  <c r="FC221" i="30"/>
  <c r="FD221" i="30"/>
  <c r="FE221" i="30"/>
  <c r="FF221" i="30"/>
  <c r="FG221" i="30"/>
  <c r="FH221" i="30"/>
  <c r="FI221" i="30"/>
  <c r="FJ221" i="30"/>
  <c r="FK221" i="30"/>
  <c r="FL221" i="30"/>
  <c r="FM221" i="30"/>
  <c r="FN221" i="30"/>
  <c r="FO221" i="30"/>
  <c r="FP221" i="30"/>
  <c r="FQ221" i="30"/>
  <c r="FR221" i="30"/>
  <c r="FS221" i="30"/>
  <c r="FT221" i="30"/>
  <c r="FU221" i="30"/>
  <c r="FV221" i="30"/>
  <c r="FW221" i="30"/>
  <c r="FX221" i="30"/>
  <c r="FY221" i="30"/>
  <c r="FZ221" i="30"/>
  <c r="GA221" i="30"/>
  <c r="GB221" i="30"/>
  <c r="GC221" i="30"/>
  <c r="GD221" i="30"/>
  <c r="GE221" i="30"/>
  <c r="GF221" i="30"/>
  <c r="GG221" i="30"/>
  <c r="GH221" i="30"/>
  <c r="GI221" i="30"/>
  <c r="GJ221" i="30"/>
  <c r="GK221" i="30"/>
  <c r="GL221" i="30"/>
  <c r="GM221" i="30"/>
  <c r="GN221" i="30"/>
  <c r="GO221" i="30"/>
  <c r="GP221" i="30"/>
  <c r="GQ221" i="30"/>
  <c r="GR221" i="30"/>
  <c r="GS221" i="30"/>
  <c r="GT221" i="30"/>
  <c r="GU221" i="30"/>
  <c r="GV221" i="30"/>
  <c r="GW221" i="30"/>
  <c r="GX221" i="30"/>
  <c r="GY221" i="30"/>
  <c r="GZ221" i="30"/>
  <c r="HA221" i="30"/>
  <c r="HB221" i="30"/>
  <c r="HC221" i="30"/>
  <c r="HD221" i="30"/>
  <c r="HE221" i="30"/>
  <c r="HF221" i="30"/>
  <c r="HG221" i="30"/>
  <c r="HH221" i="30"/>
  <c r="HI221" i="30"/>
  <c r="HJ221" i="30"/>
  <c r="HK221" i="30"/>
  <c r="HL221" i="30"/>
  <c r="HM221" i="30"/>
  <c r="HN221" i="30"/>
  <c r="HO221" i="30"/>
  <c r="HP221" i="30"/>
  <c r="HQ221" i="30"/>
  <c r="HR221" i="30"/>
  <c r="HS221" i="30"/>
  <c r="HT221" i="30"/>
  <c r="HU221" i="30"/>
  <c r="HV221" i="30"/>
  <c r="HW221" i="30"/>
  <c r="HX221" i="30"/>
  <c r="HY221" i="30"/>
  <c r="HZ221" i="30"/>
  <c r="IA221" i="30"/>
  <c r="IB221" i="30"/>
  <c r="IC221" i="30"/>
  <c r="ID221" i="30"/>
  <c r="IE221" i="30"/>
  <c r="IF221" i="30"/>
  <c r="IG221" i="30"/>
  <c r="IH221" i="30"/>
  <c r="II221" i="30"/>
  <c r="IJ221" i="30"/>
  <c r="IK221" i="30"/>
  <c r="IL221" i="30"/>
  <c r="IM221" i="30"/>
  <c r="IN221" i="30"/>
  <c r="IO221" i="30"/>
  <c r="IP221" i="30"/>
  <c r="IQ221" i="30"/>
  <c r="IR221" i="30"/>
  <c r="IS221" i="30"/>
  <c r="IT221" i="30"/>
  <c r="IU221" i="30"/>
  <c r="IV221" i="30"/>
  <c r="A220" i="30"/>
  <c r="B220" i="30"/>
  <c r="C220" i="30"/>
  <c r="D220" i="30"/>
  <c r="E220" i="30"/>
  <c r="F220" i="30"/>
  <c r="G220" i="30"/>
  <c r="H220" i="30"/>
  <c r="I220" i="30"/>
  <c r="J220" i="30"/>
  <c r="K220" i="30"/>
  <c r="L220" i="30"/>
  <c r="M220" i="30"/>
  <c r="N220" i="30"/>
  <c r="O220" i="30"/>
  <c r="P220" i="30"/>
  <c r="Q220" i="30"/>
  <c r="R220" i="30"/>
  <c r="S220" i="30"/>
  <c r="T220" i="30"/>
  <c r="U220" i="30"/>
  <c r="V220" i="30"/>
  <c r="W220" i="30"/>
  <c r="X220" i="30"/>
  <c r="Y220" i="30"/>
  <c r="Z220" i="30"/>
  <c r="AA220" i="30"/>
  <c r="AB220" i="30"/>
  <c r="AC220" i="30"/>
  <c r="AD220" i="30"/>
  <c r="AE220" i="30"/>
  <c r="AF220" i="30"/>
  <c r="AG220" i="30"/>
  <c r="AH220" i="30"/>
  <c r="AI220" i="30"/>
  <c r="AJ220" i="30"/>
  <c r="AK220" i="30"/>
  <c r="AL220" i="30"/>
  <c r="AM220" i="30"/>
  <c r="AN220" i="30"/>
  <c r="AO220" i="30"/>
  <c r="AP220" i="30"/>
  <c r="AQ220" i="30"/>
  <c r="AR220" i="30"/>
  <c r="AS220" i="30"/>
  <c r="AT220" i="30"/>
  <c r="AU220" i="30"/>
  <c r="AV220" i="30"/>
  <c r="AW220" i="30"/>
  <c r="AX220" i="30"/>
  <c r="AY220" i="30"/>
  <c r="AZ220" i="30"/>
  <c r="BA220" i="30"/>
  <c r="BB220" i="30"/>
  <c r="BC220" i="30"/>
  <c r="BD220" i="30"/>
  <c r="BE220" i="30"/>
  <c r="BF220" i="30"/>
  <c r="BG220" i="30"/>
  <c r="BH220" i="30"/>
  <c r="BI220" i="30"/>
  <c r="BJ220" i="30"/>
  <c r="BK220" i="30"/>
  <c r="BL220" i="30"/>
  <c r="BM220" i="30"/>
  <c r="BN220" i="30"/>
  <c r="BO220" i="30"/>
  <c r="BP220" i="30"/>
  <c r="BQ220" i="30"/>
  <c r="BR220" i="30"/>
  <c r="BS220" i="30"/>
  <c r="BT220" i="30"/>
  <c r="BU220" i="30"/>
  <c r="BV220" i="30"/>
  <c r="BW220" i="30"/>
  <c r="BX220" i="30"/>
  <c r="BY220" i="30"/>
  <c r="BZ220" i="30"/>
  <c r="CA220" i="30"/>
  <c r="CB220" i="30"/>
  <c r="CC220" i="30"/>
  <c r="CD220" i="30"/>
  <c r="CE220" i="30"/>
  <c r="CF220" i="30"/>
  <c r="CG220" i="30"/>
  <c r="CH220" i="30"/>
  <c r="CI220" i="30"/>
  <c r="CJ220" i="30"/>
  <c r="CK220" i="30"/>
  <c r="CL220" i="30"/>
  <c r="CM220" i="30"/>
  <c r="CN220" i="30"/>
  <c r="CO220" i="30"/>
  <c r="CP220" i="30"/>
  <c r="CQ220" i="30"/>
  <c r="CR220" i="30"/>
  <c r="CS220" i="30"/>
  <c r="CT220" i="30"/>
  <c r="CU220" i="30"/>
  <c r="CV220" i="30"/>
  <c r="CW220" i="30"/>
  <c r="CX220" i="30"/>
  <c r="CY220" i="30"/>
  <c r="CZ220" i="30"/>
  <c r="DA220" i="30"/>
  <c r="DB220" i="30"/>
  <c r="DC220" i="30"/>
  <c r="DD220" i="30"/>
  <c r="DE220" i="30"/>
  <c r="DF220" i="30"/>
  <c r="DG220" i="30"/>
  <c r="DH220" i="30"/>
  <c r="DI220" i="30"/>
  <c r="DJ220" i="30"/>
  <c r="DK220" i="30"/>
  <c r="DL220" i="30"/>
  <c r="DM220" i="30"/>
  <c r="DN220" i="30"/>
  <c r="DO220" i="30"/>
  <c r="DP220" i="30"/>
  <c r="DQ220" i="30"/>
  <c r="DR220" i="30"/>
  <c r="DS220" i="30"/>
  <c r="DT220" i="30"/>
  <c r="DU220" i="30"/>
  <c r="DV220" i="30"/>
  <c r="DW220" i="30"/>
  <c r="DX220" i="30"/>
  <c r="DY220" i="30"/>
  <c r="DZ220" i="30"/>
  <c r="EA220" i="30"/>
  <c r="EB220" i="30"/>
  <c r="EC220" i="30"/>
  <c r="ED220" i="30"/>
  <c r="EE220" i="30"/>
  <c r="EF220" i="30"/>
  <c r="EG220" i="30"/>
  <c r="EH220" i="30"/>
  <c r="EI220" i="30"/>
  <c r="EJ220" i="30"/>
  <c r="EK220" i="30"/>
  <c r="EL220" i="30"/>
  <c r="EM220" i="30"/>
  <c r="EN220" i="30"/>
  <c r="EO220" i="30"/>
  <c r="EP220" i="30"/>
  <c r="EQ220" i="30"/>
  <c r="ER220" i="30"/>
  <c r="ES220" i="30"/>
  <c r="ET220" i="30"/>
  <c r="EU220" i="30"/>
  <c r="EV220" i="30"/>
  <c r="EW220" i="30"/>
  <c r="EX220" i="30"/>
  <c r="EY220" i="30"/>
  <c r="EZ220" i="30"/>
  <c r="FA220" i="30"/>
  <c r="FB220" i="30"/>
  <c r="FC220" i="30"/>
  <c r="FD220" i="30"/>
  <c r="FE220" i="30"/>
  <c r="FF220" i="30"/>
  <c r="FG220" i="30"/>
  <c r="FH220" i="30"/>
  <c r="FI220" i="30"/>
  <c r="FJ220" i="30"/>
  <c r="FK220" i="30"/>
  <c r="FL220" i="30"/>
  <c r="FM220" i="30"/>
  <c r="FN220" i="30"/>
  <c r="FO220" i="30"/>
  <c r="FP220" i="30"/>
  <c r="FQ220" i="30"/>
  <c r="FR220" i="30"/>
  <c r="FS220" i="30"/>
  <c r="FT220" i="30"/>
  <c r="FU220" i="30"/>
  <c r="FV220" i="30"/>
  <c r="FW220" i="30"/>
  <c r="FX220" i="30"/>
  <c r="FY220" i="30"/>
  <c r="FZ220" i="30"/>
  <c r="GA220" i="30"/>
  <c r="GB220" i="30"/>
  <c r="GC220" i="30"/>
  <c r="GD220" i="30"/>
  <c r="GE220" i="30"/>
  <c r="GF220" i="30"/>
  <c r="GG220" i="30"/>
  <c r="GH220" i="30"/>
  <c r="GI220" i="30"/>
  <c r="GJ220" i="30"/>
  <c r="GK220" i="30"/>
  <c r="GL220" i="30"/>
  <c r="GM220" i="30"/>
  <c r="GN220" i="30"/>
  <c r="GO220" i="30"/>
  <c r="GP220" i="30"/>
  <c r="GQ220" i="30"/>
  <c r="GR220" i="30"/>
  <c r="GS220" i="30"/>
  <c r="GT220" i="30"/>
  <c r="GU220" i="30"/>
  <c r="GV220" i="30"/>
  <c r="GW220" i="30"/>
  <c r="GX220" i="30"/>
  <c r="GY220" i="30"/>
  <c r="GZ220" i="30"/>
  <c r="HA220" i="30"/>
  <c r="HB220" i="30"/>
  <c r="HC220" i="30"/>
  <c r="HD220" i="30"/>
  <c r="HE220" i="30"/>
  <c r="HF220" i="30"/>
  <c r="HG220" i="30"/>
  <c r="HH220" i="30"/>
  <c r="HI220" i="30"/>
  <c r="HJ220" i="30"/>
  <c r="HK220" i="30"/>
  <c r="HL220" i="30"/>
  <c r="HM220" i="30"/>
  <c r="HN220" i="30"/>
  <c r="HO220" i="30"/>
  <c r="HP220" i="30"/>
  <c r="HQ220" i="30"/>
  <c r="HR220" i="30"/>
  <c r="HS220" i="30"/>
  <c r="HT220" i="30"/>
  <c r="HU220" i="30"/>
  <c r="HV220" i="30"/>
  <c r="HW220" i="30"/>
  <c r="HX220" i="30"/>
  <c r="HY220" i="30"/>
  <c r="HZ220" i="30"/>
  <c r="IA220" i="30"/>
  <c r="IB220" i="30"/>
  <c r="IC220" i="30"/>
  <c r="ID220" i="30"/>
  <c r="IE220" i="30"/>
  <c r="IF220" i="30"/>
  <c r="IG220" i="30"/>
  <c r="IH220" i="30"/>
  <c r="II220" i="30"/>
  <c r="IJ220" i="30"/>
  <c r="IK220" i="30"/>
  <c r="IL220" i="30"/>
  <c r="IM220" i="30"/>
  <c r="IN220" i="30"/>
  <c r="IO220" i="30"/>
  <c r="IP220" i="30"/>
  <c r="IQ220" i="30"/>
  <c r="IR220" i="30"/>
  <c r="IS220" i="30"/>
  <c r="IT220" i="30"/>
  <c r="IU220" i="30"/>
  <c r="IV220" i="30"/>
  <c r="A219" i="30"/>
  <c r="B219" i="30"/>
  <c r="C219" i="30"/>
  <c r="D219" i="30"/>
  <c r="E219" i="30"/>
  <c r="F219" i="30"/>
  <c r="G219" i="30"/>
  <c r="H219" i="30"/>
  <c r="I219" i="30"/>
  <c r="J219" i="30"/>
  <c r="K219" i="30"/>
  <c r="L219" i="30"/>
  <c r="M219" i="30"/>
  <c r="N219" i="30"/>
  <c r="O219" i="30"/>
  <c r="P219" i="30"/>
  <c r="Q219" i="30"/>
  <c r="R219" i="30"/>
  <c r="S219" i="30"/>
  <c r="T219" i="30"/>
  <c r="U219" i="30"/>
  <c r="V219" i="30"/>
  <c r="W219" i="30"/>
  <c r="X219" i="30"/>
  <c r="Y219" i="30"/>
  <c r="Z219" i="30"/>
  <c r="AA219" i="30"/>
  <c r="AB219" i="30"/>
  <c r="AC219" i="30"/>
  <c r="AD219" i="30"/>
  <c r="AE219" i="30"/>
  <c r="AF219" i="30"/>
  <c r="AG219" i="30"/>
  <c r="AH219" i="30"/>
  <c r="AI219" i="30"/>
  <c r="AJ219" i="30"/>
  <c r="AK219" i="30"/>
  <c r="AL219" i="30"/>
  <c r="AM219" i="30"/>
  <c r="AN219" i="30"/>
  <c r="AO219" i="30"/>
  <c r="AP219" i="30"/>
  <c r="AQ219" i="30"/>
  <c r="AR219" i="30"/>
  <c r="AS219" i="30"/>
  <c r="AT219" i="30"/>
  <c r="AU219" i="30"/>
  <c r="AV219" i="30"/>
  <c r="AW219" i="30"/>
  <c r="AX219" i="30"/>
  <c r="AY219" i="30"/>
  <c r="AZ219" i="30"/>
  <c r="BA219" i="30"/>
  <c r="BB219" i="30"/>
  <c r="BC219" i="30"/>
  <c r="BD219" i="30"/>
  <c r="BE219" i="30"/>
  <c r="BF219" i="30"/>
  <c r="BG219" i="30"/>
  <c r="BH219" i="30"/>
  <c r="BI219" i="30"/>
  <c r="BJ219" i="30"/>
  <c r="BK219" i="30"/>
  <c r="BL219" i="30"/>
  <c r="BM219" i="30"/>
  <c r="BN219" i="30"/>
  <c r="BO219" i="30"/>
  <c r="BP219" i="30"/>
  <c r="BQ219" i="30"/>
  <c r="BR219" i="30"/>
  <c r="BS219" i="30"/>
  <c r="BT219" i="30"/>
  <c r="BU219" i="30"/>
  <c r="BV219" i="30"/>
  <c r="BW219" i="30"/>
  <c r="BX219" i="30"/>
  <c r="BY219" i="30"/>
  <c r="BZ219" i="30"/>
  <c r="CA219" i="30"/>
  <c r="CB219" i="30"/>
  <c r="CC219" i="30"/>
  <c r="CD219" i="30"/>
  <c r="CE219" i="30"/>
  <c r="CF219" i="30"/>
  <c r="CG219" i="30"/>
  <c r="CH219" i="30"/>
  <c r="CI219" i="30"/>
  <c r="CJ219" i="30"/>
  <c r="CK219" i="30"/>
  <c r="CL219" i="30"/>
  <c r="CM219" i="30"/>
  <c r="CN219" i="30"/>
  <c r="CO219" i="30"/>
  <c r="CP219" i="30"/>
  <c r="CQ219" i="30"/>
  <c r="CR219" i="30"/>
  <c r="CS219" i="30"/>
  <c r="CT219" i="30"/>
  <c r="CU219" i="30"/>
  <c r="CV219" i="30"/>
  <c r="CW219" i="30"/>
  <c r="CX219" i="30"/>
  <c r="CY219" i="30"/>
  <c r="CZ219" i="30"/>
  <c r="DA219" i="30"/>
  <c r="DB219" i="30"/>
  <c r="DC219" i="30"/>
  <c r="DD219" i="30"/>
  <c r="DE219" i="30"/>
  <c r="DF219" i="30"/>
  <c r="DG219" i="30"/>
  <c r="DH219" i="30"/>
  <c r="DI219" i="30"/>
  <c r="DJ219" i="30"/>
  <c r="DK219" i="30"/>
  <c r="DL219" i="30"/>
  <c r="DM219" i="30"/>
  <c r="DN219" i="30"/>
  <c r="DO219" i="30"/>
  <c r="DP219" i="30"/>
  <c r="DQ219" i="30"/>
  <c r="DR219" i="30"/>
  <c r="DS219" i="30"/>
  <c r="DT219" i="30"/>
  <c r="DU219" i="30"/>
  <c r="DV219" i="30"/>
  <c r="DW219" i="30"/>
  <c r="DX219" i="30"/>
  <c r="DY219" i="30"/>
  <c r="DZ219" i="30"/>
  <c r="EA219" i="30"/>
  <c r="EB219" i="30"/>
  <c r="EC219" i="30"/>
  <c r="ED219" i="30"/>
  <c r="EE219" i="30"/>
  <c r="EF219" i="30"/>
  <c r="EG219" i="30"/>
  <c r="EH219" i="30"/>
  <c r="EI219" i="30"/>
  <c r="EJ219" i="30"/>
  <c r="EK219" i="30"/>
  <c r="EL219" i="30"/>
  <c r="EM219" i="30"/>
  <c r="EN219" i="30"/>
  <c r="EO219" i="30"/>
  <c r="EP219" i="30"/>
  <c r="EQ219" i="30"/>
  <c r="ER219" i="30"/>
  <c r="ES219" i="30"/>
  <c r="ET219" i="30"/>
  <c r="EU219" i="30"/>
  <c r="EV219" i="30"/>
  <c r="EW219" i="30"/>
  <c r="EX219" i="30"/>
  <c r="EY219" i="30"/>
  <c r="EZ219" i="30"/>
  <c r="FA219" i="30"/>
  <c r="FB219" i="30"/>
  <c r="FC219" i="30"/>
  <c r="FD219" i="30"/>
  <c r="FE219" i="30"/>
  <c r="FF219" i="30"/>
  <c r="FG219" i="30"/>
  <c r="FH219" i="30"/>
  <c r="FI219" i="30"/>
  <c r="FJ219" i="30"/>
  <c r="FK219" i="30"/>
  <c r="FL219" i="30"/>
  <c r="FM219" i="30"/>
  <c r="FN219" i="30"/>
  <c r="FO219" i="30"/>
  <c r="FP219" i="30"/>
  <c r="FQ219" i="30"/>
  <c r="FR219" i="30"/>
  <c r="FS219" i="30"/>
  <c r="FT219" i="30"/>
  <c r="FU219" i="30"/>
  <c r="FV219" i="30"/>
  <c r="FW219" i="30"/>
  <c r="FX219" i="30"/>
  <c r="FY219" i="30"/>
  <c r="FZ219" i="30"/>
  <c r="GA219" i="30"/>
  <c r="GB219" i="30"/>
  <c r="GC219" i="30"/>
  <c r="GD219" i="30"/>
  <c r="GE219" i="30"/>
  <c r="GF219" i="30"/>
  <c r="GG219" i="30"/>
  <c r="GH219" i="30"/>
  <c r="GI219" i="30"/>
  <c r="GJ219" i="30"/>
  <c r="GK219" i="30"/>
  <c r="GL219" i="30"/>
  <c r="GM219" i="30"/>
  <c r="GN219" i="30"/>
  <c r="GO219" i="30"/>
  <c r="GP219" i="30"/>
  <c r="GQ219" i="30"/>
  <c r="GR219" i="30"/>
  <c r="GS219" i="30"/>
  <c r="GT219" i="30"/>
  <c r="GU219" i="30"/>
  <c r="GV219" i="30"/>
  <c r="GW219" i="30"/>
  <c r="GX219" i="30"/>
  <c r="GY219" i="30"/>
  <c r="GZ219" i="30"/>
  <c r="HA219" i="30"/>
  <c r="HB219" i="30"/>
  <c r="HC219" i="30"/>
  <c r="HD219" i="30"/>
  <c r="HE219" i="30"/>
  <c r="HF219" i="30"/>
  <c r="HG219" i="30"/>
  <c r="HH219" i="30"/>
  <c r="HI219" i="30"/>
  <c r="HJ219" i="30"/>
  <c r="HK219" i="30"/>
  <c r="HL219" i="30"/>
  <c r="HM219" i="30"/>
  <c r="HN219" i="30"/>
  <c r="HO219" i="30"/>
  <c r="HP219" i="30"/>
  <c r="HQ219" i="30"/>
  <c r="HR219" i="30"/>
  <c r="HS219" i="30"/>
  <c r="HT219" i="30"/>
  <c r="HU219" i="30"/>
  <c r="HV219" i="30"/>
  <c r="HW219" i="30"/>
  <c r="HX219" i="30"/>
  <c r="HY219" i="30"/>
  <c r="HZ219" i="30"/>
  <c r="IA219" i="30"/>
  <c r="IB219" i="30"/>
  <c r="IC219" i="30"/>
  <c r="ID219" i="30"/>
  <c r="IE219" i="30"/>
  <c r="IF219" i="30"/>
  <c r="IG219" i="30"/>
  <c r="IH219" i="30"/>
  <c r="II219" i="30"/>
  <c r="IJ219" i="30"/>
  <c r="IK219" i="30"/>
  <c r="IL219" i="30"/>
  <c r="IM219" i="30"/>
  <c r="IN219" i="30"/>
  <c r="IO219" i="30"/>
  <c r="IP219" i="30"/>
  <c r="IQ219" i="30"/>
  <c r="IR219" i="30"/>
  <c r="IS219" i="30"/>
  <c r="IT219" i="30"/>
  <c r="IU219" i="30"/>
  <c r="IV219" i="30"/>
  <c r="A218" i="30"/>
  <c r="B218" i="30"/>
  <c r="C218" i="30"/>
  <c r="D218" i="30"/>
  <c r="E218" i="30"/>
  <c r="F218" i="30"/>
  <c r="G218" i="30"/>
  <c r="H218" i="30"/>
  <c r="I218" i="30"/>
  <c r="J218" i="30"/>
  <c r="K218" i="30"/>
  <c r="L218" i="30"/>
  <c r="M218" i="30"/>
  <c r="N218" i="30"/>
  <c r="O218" i="30"/>
  <c r="P218" i="30"/>
  <c r="Q218" i="30"/>
  <c r="R218" i="30"/>
  <c r="S218" i="30"/>
  <c r="T218" i="30"/>
  <c r="U218" i="30"/>
  <c r="V218" i="30"/>
  <c r="W218" i="30"/>
  <c r="X218" i="30"/>
  <c r="Y218" i="30"/>
  <c r="Z218" i="30"/>
  <c r="AA218" i="30"/>
  <c r="AB218" i="30"/>
  <c r="AC218" i="30"/>
  <c r="AD218" i="30"/>
  <c r="AE218" i="30"/>
  <c r="AF218" i="30"/>
  <c r="AG218" i="30"/>
  <c r="AH218" i="30"/>
  <c r="AI218" i="30"/>
  <c r="AJ218" i="30"/>
  <c r="AK218" i="30"/>
  <c r="AL218" i="30"/>
  <c r="AM218" i="30"/>
  <c r="AN218" i="30"/>
  <c r="AO218" i="30"/>
  <c r="AP218" i="30"/>
  <c r="AQ218" i="30"/>
  <c r="AR218" i="30"/>
  <c r="AS218" i="30"/>
  <c r="AT218" i="30"/>
  <c r="AU218" i="30"/>
  <c r="AV218" i="30"/>
  <c r="AW218" i="30"/>
  <c r="AX218" i="30"/>
  <c r="AY218" i="30"/>
  <c r="AZ218" i="30"/>
  <c r="BA218" i="30"/>
  <c r="BB218" i="30"/>
  <c r="BC218" i="30"/>
  <c r="BD218" i="30"/>
  <c r="BE218" i="30"/>
  <c r="BF218" i="30"/>
  <c r="BG218" i="30"/>
  <c r="BH218" i="30"/>
  <c r="BI218" i="30"/>
  <c r="BJ218" i="30"/>
  <c r="BK218" i="30"/>
  <c r="BL218" i="30"/>
  <c r="BM218" i="30"/>
  <c r="BN218" i="30"/>
  <c r="BO218" i="30"/>
  <c r="BP218" i="30"/>
  <c r="BQ218" i="30"/>
  <c r="BR218" i="30"/>
  <c r="BS218" i="30"/>
  <c r="BT218" i="30"/>
  <c r="BU218" i="30"/>
  <c r="BV218" i="30"/>
  <c r="BW218" i="30"/>
  <c r="BX218" i="30"/>
  <c r="BY218" i="30"/>
  <c r="BZ218" i="30"/>
  <c r="CA218" i="30"/>
  <c r="CB218" i="30"/>
  <c r="CC218" i="30"/>
  <c r="CD218" i="30"/>
  <c r="CE218" i="30"/>
  <c r="CF218" i="30"/>
  <c r="CG218" i="30"/>
  <c r="CH218" i="30"/>
  <c r="CI218" i="30"/>
  <c r="CJ218" i="30"/>
  <c r="CK218" i="30"/>
  <c r="CL218" i="30"/>
  <c r="CM218" i="30"/>
  <c r="CN218" i="30"/>
  <c r="CO218" i="30"/>
  <c r="CP218" i="30"/>
  <c r="CQ218" i="30"/>
  <c r="CR218" i="30"/>
  <c r="CS218" i="30"/>
  <c r="CT218" i="30"/>
  <c r="CU218" i="30"/>
  <c r="CV218" i="30"/>
  <c r="CW218" i="30"/>
  <c r="CX218" i="30"/>
  <c r="CY218" i="30"/>
  <c r="CZ218" i="30"/>
  <c r="DA218" i="30"/>
  <c r="DB218" i="30"/>
  <c r="DC218" i="30"/>
  <c r="DD218" i="30"/>
  <c r="DE218" i="30"/>
  <c r="DF218" i="30"/>
  <c r="DG218" i="30"/>
  <c r="DH218" i="30"/>
  <c r="DI218" i="30"/>
  <c r="DJ218" i="30"/>
  <c r="DK218" i="30"/>
  <c r="DL218" i="30"/>
  <c r="DM218" i="30"/>
  <c r="DN218" i="30"/>
  <c r="DO218" i="30"/>
  <c r="DP218" i="30"/>
  <c r="DQ218" i="30"/>
  <c r="DR218" i="30"/>
  <c r="DS218" i="30"/>
  <c r="DT218" i="30"/>
  <c r="DU218" i="30"/>
  <c r="DV218" i="30"/>
  <c r="DW218" i="30"/>
  <c r="DX218" i="30"/>
  <c r="DY218" i="30"/>
  <c r="DZ218" i="30"/>
  <c r="EA218" i="30"/>
  <c r="EB218" i="30"/>
  <c r="EC218" i="30"/>
  <c r="ED218" i="30"/>
  <c r="EE218" i="30"/>
  <c r="EF218" i="30"/>
  <c r="EG218" i="30"/>
  <c r="EH218" i="30"/>
  <c r="EI218" i="30"/>
  <c r="EJ218" i="30"/>
  <c r="EK218" i="30"/>
  <c r="EL218" i="30"/>
  <c r="EM218" i="30"/>
  <c r="EN218" i="30"/>
  <c r="EO218" i="30"/>
  <c r="EP218" i="30"/>
  <c r="EQ218" i="30"/>
  <c r="ER218" i="30"/>
  <c r="ES218" i="30"/>
  <c r="ET218" i="30"/>
  <c r="EU218" i="30"/>
  <c r="EV218" i="30"/>
  <c r="EW218" i="30"/>
  <c r="EX218" i="30"/>
  <c r="EY218" i="30"/>
  <c r="EZ218" i="30"/>
  <c r="FA218" i="30"/>
  <c r="FB218" i="30"/>
  <c r="FC218" i="30"/>
  <c r="FD218" i="30"/>
  <c r="FE218" i="30"/>
  <c r="FF218" i="30"/>
  <c r="FG218" i="30"/>
  <c r="FH218" i="30"/>
  <c r="FI218" i="30"/>
  <c r="FJ218" i="30"/>
  <c r="FK218" i="30"/>
  <c r="FL218" i="30"/>
  <c r="FM218" i="30"/>
  <c r="FN218" i="30"/>
  <c r="FO218" i="30"/>
  <c r="FP218" i="30"/>
  <c r="FQ218" i="30"/>
  <c r="FR218" i="30"/>
  <c r="FS218" i="30"/>
  <c r="FT218" i="30"/>
  <c r="FU218" i="30"/>
  <c r="FV218" i="30"/>
  <c r="FW218" i="30"/>
  <c r="FX218" i="30"/>
  <c r="FY218" i="30"/>
  <c r="FZ218" i="30"/>
  <c r="GA218" i="30"/>
  <c r="GB218" i="30"/>
  <c r="GC218" i="30"/>
  <c r="GD218" i="30"/>
  <c r="GE218" i="30"/>
  <c r="GF218" i="30"/>
  <c r="GG218" i="30"/>
  <c r="GH218" i="30"/>
  <c r="GI218" i="30"/>
  <c r="GJ218" i="30"/>
  <c r="GK218" i="30"/>
  <c r="GL218" i="30"/>
  <c r="GM218" i="30"/>
  <c r="GN218" i="30"/>
  <c r="GO218" i="30"/>
  <c r="GP218" i="30"/>
  <c r="GQ218" i="30"/>
  <c r="GR218" i="30"/>
  <c r="GS218" i="30"/>
  <c r="GT218" i="30"/>
  <c r="GU218" i="30"/>
  <c r="GV218" i="30"/>
  <c r="GW218" i="30"/>
  <c r="GX218" i="30"/>
  <c r="GY218" i="30"/>
  <c r="GZ218" i="30"/>
  <c r="HA218" i="30"/>
  <c r="HB218" i="30"/>
  <c r="HC218" i="30"/>
  <c r="HD218" i="30"/>
  <c r="HE218" i="30"/>
  <c r="HF218" i="30"/>
  <c r="HG218" i="30"/>
  <c r="HH218" i="30"/>
  <c r="HI218" i="30"/>
  <c r="HJ218" i="30"/>
  <c r="HK218" i="30"/>
  <c r="HL218" i="30"/>
  <c r="HM218" i="30"/>
  <c r="HN218" i="30"/>
  <c r="HO218" i="30"/>
  <c r="HP218" i="30"/>
  <c r="HQ218" i="30"/>
  <c r="HR218" i="30"/>
  <c r="HS218" i="30"/>
  <c r="HT218" i="30"/>
  <c r="HU218" i="30"/>
  <c r="HV218" i="30"/>
  <c r="HW218" i="30"/>
  <c r="HX218" i="30"/>
  <c r="HY218" i="30"/>
  <c r="HZ218" i="30"/>
  <c r="IA218" i="30"/>
  <c r="IB218" i="30"/>
  <c r="IC218" i="30"/>
  <c r="ID218" i="30"/>
  <c r="IE218" i="30"/>
  <c r="IF218" i="30"/>
  <c r="IG218" i="30"/>
  <c r="IH218" i="30"/>
  <c r="II218" i="30"/>
  <c r="IJ218" i="30"/>
  <c r="IK218" i="30"/>
  <c r="IL218" i="30"/>
  <c r="IM218" i="30"/>
  <c r="IN218" i="30"/>
  <c r="IO218" i="30"/>
  <c r="IP218" i="30"/>
  <c r="IQ218" i="30"/>
  <c r="IR218" i="30"/>
  <c r="IS218" i="30"/>
  <c r="IT218" i="30"/>
  <c r="IU218" i="30"/>
  <c r="IV218" i="30"/>
  <c r="A217" i="30"/>
  <c r="B217" i="30"/>
  <c r="C217" i="30"/>
  <c r="D217" i="30"/>
  <c r="E217" i="30"/>
  <c r="F217" i="30"/>
  <c r="G217" i="30"/>
  <c r="H217" i="30"/>
  <c r="I217" i="30"/>
  <c r="J217" i="30"/>
  <c r="K217" i="30"/>
  <c r="L217" i="30"/>
  <c r="M217" i="30"/>
  <c r="N217" i="30"/>
  <c r="O217" i="30"/>
  <c r="P217" i="30"/>
  <c r="Q217" i="30"/>
  <c r="R217" i="30"/>
  <c r="S217" i="30"/>
  <c r="T217" i="30"/>
  <c r="U217" i="30"/>
  <c r="V217" i="30"/>
  <c r="W217" i="30"/>
  <c r="X217" i="30"/>
  <c r="Y217" i="30"/>
  <c r="Z217" i="30"/>
  <c r="AA217" i="30"/>
  <c r="AB217" i="30"/>
  <c r="AC217" i="30"/>
  <c r="AD217" i="30"/>
  <c r="AE217" i="30"/>
  <c r="AF217" i="30"/>
  <c r="AG217" i="30"/>
  <c r="AH217" i="30"/>
  <c r="AI217" i="30"/>
  <c r="AJ217" i="30"/>
  <c r="AK217" i="30"/>
  <c r="AL217" i="30"/>
  <c r="AM217" i="30"/>
  <c r="AN217" i="30"/>
  <c r="AO217" i="30"/>
  <c r="AP217" i="30"/>
  <c r="AQ217" i="30"/>
  <c r="AR217" i="30"/>
  <c r="AS217" i="30"/>
  <c r="AT217" i="30"/>
  <c r="AU217" i="30"/>
  <c r="AV217" i="30"/>
  <c r="AW217" i="30"/>
  <c r="AX217" i="30"/>
  <c r="AY217" i="30"/>
  <c r="AZ217" i="30"/>
  <c r="BA217" i="30"/>
  <c r="BB217" i="30"/>
  <c r="BC217" i="30"/>
  <c r="BD217" i="30"/>
  <c r="BE217" i="30"/>
  <c r="BF217" i="30"/>
  <c r="BG217" i="30"/>
  <c r="BH217" i="30"/>
  <c r="BI217" i="30"/>
  <c r="BJ217" i="30"/>
  <c r="BK217" i="30"/>
  <c r="BL217" i="30"/>
  <c r="BM217" i="30"/>
  <c r="BN217" i="30"/>
  <c r="BO217" i="30"/>
  <c r="BP217" i="30"/>
  <c r="BQ217" i="30"/>
  <c r="BR217" i="30"/>
  <c r="BS217" i="30"/>
  <c r="BT217" i="30"/>
  <c r="BU217" i="30"/>
  <c r="BV217" i="30"/>
  <c r="BW217" i="30"/>
  <c r="BX217" i="30"/>
  <c r="BY217" i="30"/>
  <c r="BZ217" i="30"/>
  <c r="CA217" i="30"/>
  <c r="CB217" i="30"/>
  <c r="CC217" i="30"/>
  <c r="CD217" i="30"/>
  <c r="CE217" i="30"/>
  <c r="CF217" i="30"/>
  <c r="CG217" i="30"/>
  <c r="CH217" i="30"/>
  <c r="CI217" i="30"/>
  <c r="CJ217" i="30"/>
  <c r="CK217" i="30"/>
  <c r="CL217" i="30"/>
  <c r="CM217" i="30"/>
  <c r="CN217" i="30"/>
  <c r="CO217" i="30"/>
  <c r="CP217" i="30"/>
  <c r="CQ217" i="30"/>
  <c r="CR217" i="30"/>
  <c r="CS217" i="30"/>
  <c r="CT217" i="30"/>
  <c r="CU217" i="30"/>
  <c r="CV217" i="30"/>
  <c r="CW217" i="30"/>
  <c r="CX217" i="30"/>
  <c r="CY217" i="30"/>
  <c r="CZ217" i="30"/>
  <c r="DA217" i="30"/>
  <c r="DB217" i="30"/>
  <c r="DC217" i="30"/>
  <c r="DD217" i="30"/>
  <c r="DE217" i="30"/>
  <c r="DF217" i="30"/>
  <c r="DG217" i="30"/>
  <c r="DH217" i="30"/>
  <c r="DI217" i="30"/>
  <c r="DJ217" i="30"/>
  <c r="DK217" i="30"/>
  <c r="DL217" i="30"/>
  <c r="DM217" i="30"/>
  <c r="DN217" i="30"/>
  <c r="DO217" i="30"/>
  <c r="DP217" i="30"/>
  <c r="DQ217" i="30"/>
  <c r="DR217" i="30"/>
  <c r="DS217" i="30"/>
  <c r="DT217" i="30"/>
  <c r="DU217" i="30"/>
  <c r="DV217" i="30"/>
  <c r="DW217" i="30"/>
  <c r="DX217" i="30"/>
  <c r="DY217" i="30"/>
  <c r="DZ217" i="30"/>
  <c r="EA217" i="30"/>
  <c r="EB217" i="30"/>
  <c r="EC217" i="30"/>
  <c r="ED217" i="30"/>
  <c r="EE217" i="30"/>
  <c r="EF217" i="30"/>
  <c r="EG217" i="30"/>
  <c r="EH217" i="30"/>
  <c r="EI217" i="30"/>
  <c r="EJ217" i="30"/>
  <c r="EK217" i="30"/>
  <c r="EL217" i="30"/>
  <c r="EM217" i="30"/>
  <c r="EN217" i="30"/>
  <c r="EO217" i="30"/>
  <c r="EP217" i="30"/>
  <c r="EQ217" i="30"/>
  <c r="ER217" i="30"/>
  <c r="ES217" i="30"/>
  <c r="ET217" i="30"/>
  <c r="EU217" i="30"/>
  <c r="EV217" i="30"/>
  <c r="EW217" i="30"/>
  <c r="EX217" i="30"/>
  <c r="EY217" i="30"/>
  <c r="EZ217" i="30"/>
  <c r="FA217" i="30"/>
  <c r="FB217" i="30"/>
  <c r="FC217" i="30"/>
  <c r="FD217" i="30"/>
  <c r="FE217" i="30"/>
  <c r="FF217" i="30"/>
  <c r="FG217" i="30"/>
  <c r="FH217" i="30"/>
  <c r="FI217" i="30"/>
  <c r="FJ217" i="30"/>
  <c r="FK217" i="30"/>
  <c r="FL217" i="30"/>
  <c r="FM217" i="30"/>
  <c r="FN217" i="30"/>
  <c r="FO217" i="30"/>
  <c r="FP217" i="30"/>
  <c r="FQ217" i="30"/>
  <c r="FR217" i="30"/>
  <c r="FS217" i="30"/>
  <c r="FT217" i="30"/>
  <c r="FU217" i="30"/>
  <c r="FV217" i="30"/>
  <c r="FW217" i="30"/>
  <c r="FX217" i="30"/>
  <c r="FY217" i="30"/>
  <c r="FZ217" i="30"/>
  <c r="GA217" i="30"/>
  <c r="GB217" i="30"/>
  <c r="GC217" i="30"/>
  <c r="GD217" i="30"/>
  <c r="GE217" i="30"/>
  <c r="GF217" i="30"/>
  <c r="GG217" i="30"/>
  <c r="GH217" i="30"/>
  <c r="GI217" i="30"/>
  <c r="GJ217" i="30"/>
  <c r="GK217" i="30"/>
  <c r="GL217" i="30"/>
  <c r="GM217" i="30"/>
  <c r="GN217" i="30"/>
  <c r="GO217" i="30"/>
  <c r="GP217" i="30"/>
  <c r="GQ217" i="30"/>
  <c r="GR217" i="30"/>
  <c r="GS217" i="30"/>
  <c r="GT217" i="30"/>
  <c r="GU217" i="30"/>
  <c r="GV217" i="30"/>
  <c r="GW217" i="30"/>
  <c r="GX217" i="30"/>
  <c r="GY217" i="30"/>
  <c r="GZ217" i="30"/>
  <c r="HA217" i="30"/>
  <c r="HB217" i="30"/>
  <c r="HC217" i="30"/>
  <c r="HD217" i="30"/>
  <c r="HE217" i="30"/>
  <c r="HF217" i="30"/>
  <c r="HG217" i="30"/>
  <c r="HH217" i="30"/>
  <c r="HI217" i="30"/>
  <c r="HJ217" i="30"/>
  <c r="HK217" i="30"/>
  <c r="HL217" i="30"/>
  <c r="HM217" i="30"/>
  <c r="HN217" i="30"/>
  <c r="HO217" i="30"/>
  <c r="HP217" i="30"/>
  <c r="HQ217" i="30"/>
  <c r="HR217" i="30"/>
  <c r="HS217" i="30"/>
  <c r="HT217" i="30"/>
  <c r="HU217" i="30"/>
  <c r="HV217" i="30"/>
  <c r="HW217" i="30"/>
  <c r="HX217" i="30"/>
  <c r="HY217" i="30"/>
  <c r="HZ217" i="30"/>
  <c r="IA217" i="30"/>
  <c r="IB217" i="30"/>
  <c r="IC217" i="30"/>
  <c r="ID217" i="30"/>
  <c r="IE217" i="30"/>
  <c r="IF217" i="30"/>
  <c r="IG217" i="30"/>
  <c r="IH217" i="30"/>
  <c r="II217" i="30"/>
  <c r="IJ217" i="30"/>
  <c r="IK217" i="30"/>
  <c r="IL217" i="30"/>
  <c r="IM217" i="30"/>
  <c r="IN217" i="30"/>
  <c r="IO217" i="30"/>
  <c r="IP217" i="30"/>
  <c r="IQ217" i="30"/>
  <c r="IR217" i="30"/>
  <c r="IS217" i="30"/>
  <c r="IT217" i="30"/>
  <c r="IU217" i="30"/>
  <c r="IV217" i="30"/>
  <c r="A216" i="30"/>
  <c r="B216" i="30"/>
  <c r="C216" i="30"/>
  <c r="D216" i="30"/>
  <c r="E216" i="30"/>
  <c r="F216" i="30"/>
  <c r="G216" i="30"/>
  <c r="H216" i="30"/>
  <c r="I216" i="30"/>
  <c r="J216" i="30"/>
  <c r="K216" i="30"/>
  <c r="L216" i="30"/>
  <c r="M216" i="30"/>
  <c r="N216" i="30"/>
  <c r="O216" i="30"/>
  <c r="P216" i="30"/>
  <c r="Q216" i="30"/>
  <c r="R216" i="30"/>
  <c r="S216" i="30"/>
  <c r="T216" i="30"/>
  <c r="U216" i="30"/>
  <c r="V216" i="30"/>
  <c r="W216" i="30"/>
  <c r="X216" i="30"/>
  <c r="Y216" i="30"/>
  <c r="Z216" i="30"/>
  <c r="AA216" i="30"/>
  <c r="AB216" i="30"/>
  <c r="AC216" i="30"/>
  <c r="AD216" i="30"/>
  <c r="AE216" i="30"/>
  <c r="AF216" i="30"/>
  <c r="AG216" i="30"/>
  <c r="AH216" i="30"/>
  <c r="AI216" i="30"/>
  <c r="AJ216" i="30"/>
  <c r="AK216" i="30"/>
  <c r="AL216" i="30"/>
  <c r="AM216" i="30"/>
  <c r="AN216" i="30"/>
  <c r="AO216" i="30"/>
  <c r="AP216" i="30"/>
  <c r="AQ216" i="30"/>
  <c r="AR216" i="30"/>
  <c r="AS216" i="30"/>
  <c r="AT216" i="30"/>
  <c r="AU216" i="30"/>
  <c r="AV216" i="30"/>
  <c r="AW216" i="30"/>
  <c r="AX216" i="30"/>
  <c r="AY216" i="30"/>
  <c r="AZ216" i="30"/>
  <c r="BA216" i="30"/>
  <c r="BB216" i="30"/>
  <c r="BC216" i="30"/>
  <c r="BD216" i="30"/>
  <c r="BE216" i="30"/>
  <c r="BF216" i="30"/>
  <c r="BG216" i="30"/>
  <c r="BH216" i="30"/>
  <c r="BI216" i="30"/>
  <c r="BJ216" i="30"/>
  <c r="BK216" i="30"/>
  <c r="BL216" i="30"/>
  <c r="BM216" i="30"/>
  <c r="BN216" i="30"/>
  <c r="BO216" i="30"/>
  <c r="BP216" i="30"/>
  <c r="BQ216" i="30"/>
  <c r="BR216" i="30"/>
  <c r="BS216" i="30"/>
  <c r="BT216" i="30"/>
  <c r="BU216" i="30"/>
  <c r="BV216" i="30"/>
  <c r="BW216" i="30"/>
  <c r="BX216" i="30"/>
  <c r="BY216" i="30"/>
  <c r="BZ216" i="30"/>
  <c r="CA216" i="30"/>
  <c r="CB216" i="30"/>
  <c r="CC216" i="30"/>
  <c r="CD216" i="30"/>
  <c r="CE216" i="30"/>
  <c r="CF216" i="30"/>
  <c r="CG216" i="30"/>
  <c r="CH216" i="30"/>
  <c r="CI216" i="30"/>
  <c r="CJ216" i="30"/>
  <c r="CK216" i="30"/>
  <c r="CL216" i="30"/>
  <c r="CM216" i="30"/>
  <c r="CN216" i="30"/>
  <c r="CO216" i="30"/>
  <c r="CP216" i="30"/>
  <c r="CQ216" i="30"/>
  <c r="CR216" i="30"/>
  <c r="CS216" i="30"/>
  <c r="CT216" i="30"/>
  <c r="CU216" i="30"/>
  <c r="CV216" i="30"/>
  <c r="CW216" i="30"/>
  <c r="CX216" i="30"/>
  <c r="CY216" i="30"/>
  <c r="CZ216" i="30"/>
  <c r="DA216" i="30"/>
  <c r="DB216" i="30"/>
  <c r="DC216" i="30"/>
  <c r="DD216" i="30"/>
  <c r="DE216" i="30"/>
  <c r="DF216" i="30"/>
  <c r="DG216" i="30"/>
  <c r="DH216" i="30"/>
  <c r="DI216" i="30"/>
  <c r="DJ216" i="30"/>
  <c r="DK216" i="30"/>
  <c r="DL216" i="30"/>
  <c r="DM216" i="30"/>
  <c r="DN216" i="30"/>
  <c r="DO216" i="30"/>
  <c r="DP216" i="30"/>
  <c r="DQ216" i="30"/>
  <c r="DR216" i="30"/>
  <c r="DS216" i="30"/>
  <c r="DT216" i="30"/>
  <c r="DU216" i="30"/>
  <c r="DV216" i="30"/>
  <c r="DW216" i="30"/>
  <c r="DX216" i="30"/>
  <c r="DY216" i="30"/>
  <c r="DZ216" i="30"/>
  <c r="EA216" i="30"/>
  <c r="EB216" i="30"/>
  <c r="EC216" i="30"/>
  <c r="ED216" i="30"/>
  <c r="EE216" i="30"/>
  <c r="EF216" i="30"/>
  <c r="EG216" i="30"/>
  <c r="EH216" i="30"/>
  <c r="EI216" i="30"/>
  <c r="EJ216" i="30"/>
  <c r="EK216" i="30"/>
  <c r="EL216" i="30"/>
  <c r="EM216" i="30"/>
  <c r="EN216" i="30"/>
  <c r="EO216" i="30"/>
  <c r="EP216" i="30"/>
  <c r="EQ216" i="30"/>
  <c r="ER216" i="30"/>
  <c r="ES216" i="30"/>
  <c r="ET216" i="30"/>
  <c r="EU216" i="30"/>
  <c r="EV216" i="30"/>
  <c r="EW216" i="30"/>
  <c r="EX216" i="30"/>
  <c r="EY216" i="30"/>
  <c r="EZ216" i="30"/>
  <c r="FA216" i="30"/>
  <c r="FB216" i="30"/>
  <c r="FC216" i="30"/>
  <c r="FD216" i="30"/>
  <c r="FE216" i="30"/>
  <c r="FF216" i="30"/>
  <c r="FG216" i="30"/>
  <c r="FH216" i="30"/>
  <c r="FI216" i="30"/>
  <c r="FJ216" i="30"/>
  <c r="FK216" i="30"/>
  <c r="FL216" i="30"/>
  <c r="FM216" i="30"/>
  <c r="FN216" i="30"/>
  <c r="FO216" i="30"/>
  <c r="FP216" i="30"/>
  <c r="FQ216" i="30"/>
  <c r="FR216" i="30"/>
  <c r="FS216" i="30"/>
  <c r="FT216" i="30"/>
  <c r="FU216" i="30"/>
  <c r="FV216" i="30"/>
  <c r="FW216" i="30"/>
  <c r="FX216" i="30"/>
  <c r="FY216" i="30"/>
  <c r="FZ216" i="30"/>
  <c r="GA216" i="30"/>
  <c r="GB216" i="30"/>
  <c r="GC216" i="30"/>
  <c r="GD216" i="30"/>
  <c r="GE216" i="30"/>
  <c r="GF216" i="30"/>
  <c r="GG216" i="30"/>
  <c r="GH216" i="30"/>
  <c r="GI216" i="30"/>
  <c r="GJ216" i="30"/>
  <c r="GK216" i="30"/>
  <c r="GL216" i="30"/>
  <c r="GM216" i="30"/>
  <c r="GN216" i="30"/>
  <c r="GO216" i="30"/>
  <c r="GP216" i="30"/>
  <c r="GQ216" i="30"/>
  <c r="GR216" i="30"/>
  <c r="GS216" i="30"/>
  <c r="GT216" i="30"/>
  <c r="GU216" i="30"/>
  <c r="GV216" i="30"/>
  <c r="GW216" i="30"/>
  <c r="GX216" i="30"/>
  <c r="GY216" i="30"/>
  <c r="GZ216" i="30"/>
  <c r="HA216" i="30"/>
  <c r="HB216" i="30"/>
  <c r="HC216" i="30"/>
  <c r="HD216" i="30"/>
  <c r="HE216" i="30"/>
  <c r="HF216" i="30"/>
  <c r="HG216" i="30"/>
  <c r="HH216" i="30"/>
  <c r="HI216" i="30"/>
  <c r="HJ216" i="30"/>
  <c r="HK216" i="30"/>
  <c r="HL216" i="30"/>
  <c r="HM216" i="30"/>
  <c r="HN216" i="30"/>
  <c r="HO216" i="30"/>
  <c r="HP216" i="30"/>
  <c r="HQ216" i="30"/>
  <c r="HR216" i="30"/>
  <c r="HS216" i="30"/>
  <c r="HT216" i="30"/>
  <c r="HU216" i="30"/>
  <c r="HV216" i="30"/>
  <c r="HW216" i="30"/>
  <c r="HX216" i="30"/>
  <c r="HY216" i="30"/>
  <c r="HZ216" i="30"/>
  <c r="IA216" i="30"/>
  <c r="IB216" i="30"/>
  <c r="IC216" i="30"/>
  <c r="ID216" i="30"/>
  <c r="IE216" i="30"/>
  <c r="IF216" i="30"/>
  <c r="IG216" i="30"/>
  <c r="IH216" i="30"/>
  <c r="II216" i="30"/>
  <c r="IJ216" i="30"/>
  <c r="IK216" i="30"/>
  <c r="IL216" i="30"/>
  <c r="IM216" i="30"/>
  <c r="IN216" i="30"/>
  <c r="IO216" i="30"/>
  <c r="IP216" i="30"/>
  <c r="IQ216" i="30"/>
  <c r="IR216" i="30"/>
  <c r="IS216" i="30"/>
  <c r="IT216" i="30"/>
  <c r="IU216" i="30"/>
  <c r="IV216" i="30"/>
  <c r="A215" i="30"/>
  <c r="B215" i="30"/>
  <c r="C215" i="30"/>
  <c r="D215" i="30"/>
  <c r="E215" i="30"/>
  <c r="F215" i="30"/>
  <c r="G215" i="30"/>
  <c r="H215" i="30"/>
  <c r="I215" i="30"/>
  <c r="J215" i="30"/>
  <c r="K215" i="30"/>
  <c r="L215" i="30"/>
  <c r="M215" i="30"/>
  <c r="N215" i="30"/>
  <c r="O215" i="30"/>
  <c r="P215" i="30"/>
  <c r="Q215" i="30"/>
  <c r="R215" i="30"/>
  <c r="S215" i="30"/>
  <c r="T215" i="30"/>
  <c r="U215" i="30"/>
  <c r="V215" i="30"/>
  <c r="W215" i="30"/>
  <c r="X215" i="30"/>
  <c r="Y215" i="30"/>
  <c r="Z215" i="30"/>
  <c r="AA215" i="30"/>
  <c r="AB215" i="30"/>
  <c r="AC215" i="30"/>
  <c r="AD215" i="30"/>
  <c r="AE215" i="30"/>
  <c r="AF215" i="30"/>
  <c r="AG215" i="30"/>
  <c r="AH215" i="30"/>
  <c r="AI215" i="30"/>
  <c r="AJ215" i="30"/>
  <c r="AK215" i="30"/>
  <c r="AL215" i="30"/>
  <c r="AM215" i="30"/>
  <c r="AN215" i="30"/>
  <c r="AO215" i="30"/>
  <c r="AP215" i="30"/>
  <c r="AQ215" i="30"/>
  <c r="AR215" i="30"/>
  <c r="AS215" i="30"/>
  <c r="AT215" i="30"/>
  <c r="AU215" i="30"/>
  <c r="AV215" i="30"/>
  <c r="AW215" i="30"/>
  <c r="AX215" i="30"/>
  <c r="AY215" i="30"/>
  <c r="AZ215" i="30"/>
  <c r="BA215" i="30"/>
  <c r="BB215" i="30"/>
  <c r="BC215" i="30"/>
  <c r="BD215" i="30"/>
  <c r="BE215" i="30"/>
  <c r="BF215" i="30"/>
  <c r="BG215" i="30"/>
  <c r="BH215" i="30"/>
  <c r="BI215" i="30"/>
  <c r="BJ215" i="30"/>
  <c r="BK215" i="30"/>
  <c r="BL215" i="30"/>
  <c r="BM215" i="30"/>
  <c r="BN215" i="30"/>
  <c r="BO215" i="30"/>
  <c r="BP215" i="30"/>
  <c r="BQ215" i="30"/>
  <c r="BR215" i="30"/>
  <c r="BS215" i="30"/>
  <c r="BT215" i="30"/>
  <c r="BU215" i="30"/>
  <c r="BV215" i="30"/>
  <c r="BW215" i="30"/>
  <c r="BX215" i="30"/>
  <c r="BY215" i="30"/>
  <c r="BZ215" i="30"/>
  <c r="CA215" i="30"/>
  <c r="CB215" i="30"/>
  <c r="CC215" i="30"/>
  <c r="CD215" i="30"/>
  <c r="CE215" i="30"/>
  <c r="CF215" i="30"/>
  <c r="CG215" i="30"/>
  <c r="CH215" i="30"/>
  <c r="CI215" i="30"/>
  <c r="CJ215" i="30"/>
  <c r="CK215" i="30"/>
  <c r="CL215" i="30"/>
  <c r="CM215" i="30"/>
  <c r="CN215" i="30"/>
  <c r="CO215" i="30"/>
  <c r="CP215" i="30"/>
  <c r="CQ215" i="30"/>
  <c r="CR215" i="30"/>
  <c r="CS215" i="30"/>
  <c r="CT215" i="30"/>
  <c r="CU215" i="30"/>
  <c r="CV215" i="30"/>
  <c r="CW215" i="30"/>
  <c r="CX215" i="30"/>
  <c r="CY215" i="30"/>
  <c r="CZ215" i="30"/>
  <c r="DA215" i="30"/>
  <c r="DB215" i="30"/>
  <c r="DC215" i="30"/>
  <c r="DD215" i="30"/>
  <c r="DE215" i="30"/>
  <c r="DF215" i="30"/>
  <c r="DG215" i="30"/>
  <c r="DH215" i="30"/>
  <c r="DI215" i="30"/>
  <c r="DJ215" i="30"/>
  <c r="DK215" i="30"/>
  <c r="DL215" i="30"/>
  <c r="DM215" i="30"/>
  <c r="DN215" i="30"/>
  <c r="DO215" i="30"/>
  <c r="DP215" i="30"/>
  <c r="DQ215" i="30"/>
  <c r="DR215" i="30"/>
  <c r="DS215" i="30"/>
  <c r="DT215" i="30"/>
  <c r="DU215" i="30"/>
  <c r="DV215" i="30"/>
  <c r="DW215" i="30"/>
  <c r="DX215" i="30"/>
  <c r="DY215" i="30"/>
  <c r="DZ215" i="30"/>
  <c r="EA215" i="30"/>
  <c r="EB215" i="30"/>
  <c r="EC215" i="30"/>
  <c r="ED215" i="30"/>
  <c r="EE215" i="30"/>
  <c r="EF215" i="30"/>
  <c r="EG215" i="30"/>
  <c r="EH215" i="30"/>
  <c r="EI215" i="30"/>
  <c r="EJ215" i="30"/>
  <c r="EK215" i="30"/>
  <c r="EL215" i="30"/>
  <c r="EM215" i="30"/>
  <c r="EN215" i="30"/>
  <c r="EO215" i="30"/>
  <c r="EP215" i="30"/>
  <c r="EQ215" i="30"/>
  <c r="ER215" i="30"/>
  <c r="ES215" i="30"/>
  <c r="ET215" i="30"/>
  <c r="EU215" i="30"/>
  <c r="EV215" i="30"/>
  <c r="EW215" i="30"/>
  <c r="EX215" i="30"/>
  <c r="EY215" i="30"/>
  <c r="EZ215" i="30"/>
  <c r="FA215" i="30"/>
  <c r="FB215" i="30"/>
  <c r="FC215" i="30"/>
  <c r="FD215" i="30"/>
  <c r="FE215" i="30"/>
  <c r="FF215" i="30"/>
  <c r="FG215" i="30"/>
  <c r="FH215" i="30"/>
  <c r="FI215" i="30"/>
  <c r="FJ215" i="30"/>
  <c r="FK215" i="30"/>
  <c r="FL215" i="30"/>
  <c r="FM215" i="30"/>
  <c r="FN215" i="30"/>
  <c r="FO215" i="30"/>
  <c r="FP215" i="30"/>
  <c r="FQ215" i="30"/>
  <c r="FR215" i="30"/>
  <c r="FS215" i="30"/>
  <c r="FT215" i="30"/>
  <c r="FU215" i="30"/>
  <c r="FV215" i="30"/>
  <c r="FW215" i="30"/>
  <c r="FX215" i="30"/>
  <c r="FY215" i="30"/>
  <c r="FZ215" i="30"/>
  <c r="GA215" i="30"/>
  <c r="GB215" i="30"/>
  <c r="GC215" i="30"/>
  <c r="GD215" i="30"/>
  <c r="GE215" i="30"/>
  <c r="GF215" i="30"/>
  <c r="GG215" i="30"/>
  <c r="GH215" i="30"/>
  <c r="GI215" i="30"/>
  <c r="GJ215" i="30"/>
  <c r="GK215" i="30"/>
  <c r="GL215" i="30"/>
  <c r="GM215" i="30"/>
  <c r="GN215" i="30"/>
  <c r="GO215" i="30"/>
  <c r="GP215" i="30"/>
  <c r="GQ215" i="30"/>
  <c r="GR215" i="30"/>
  <c r="GS215" i="30"/>
  <c r="GT215" i="30"/>
  <c r="GU215" i="30"/>
  <c r="GV215" i="30"/>
  <c r="GW215" i="30"/>
  <c r="GX215" i="30"/>
  <c r="GY215" i="30"/>
  <c r="GZ215" i="30"/>
  <c r="HA215" i="30"/>
  <c r="HB215" i="30"/>
  <c r="HC215" i="30"/>
  <c r="HD215" i="30"/>
  <c r="HE215" i="30"/>
  <c r="HF215" i="30"/>
  <c r="HG215" i="30"/>
  <c r="HH215" i="30"/>
  <c r="HI215" i="30"/>
  <c r="HJ215" i="30"/>
  <c r="HK215" i="30"/>
  <c r="HL215" i="30"/>
  <c r="HM215" i="30"/>
  <c r="HN215" i="30"/>
  <c r="HO215" i="30"/>
  <c r="HP215" i="30"/>
  <c r="HQ215" i="30"/>
  <c r="HR215" i="30"/>
  <c r="HS215" i="30"/>
  <c r="HT215" i="30"/>
  <c r="HU215" i="30"/>
  <c r="HV215" i="30"/>
  <c r="HW215" i="30"/>
  <c r="HX215" i="30"/>
  <c r="HY215" i="30"/>
  <c r="HZ215" i="30"/>
  <c r="IA215" i="30"/>
  <c r="IB215" i="30"/>
  <c r="IC215" i="30"/>
  <c r="ID215" i="30"/>
  <c r="IE215" i="30"/>
  <c r="IF215" i="30"/>
  <c r="IG215" i="30"/>
  <c r="IH215" i="30"/>
  <c r="II215" i="30"/>
  <c r="IJ215" i="30"/>
  <c r="IK215" i="30"/>
  <c r="IL215" i="30"/>
  <c r="IM215" i="30"/>
  <c r="IN215" i="30"/>
  <c r="IO215" i="30"/>
  <c r="IP215" i="30"/>
  <c r="IQ215" i="30"/>
  <c r="IR215" i="30"/>
  <c r="IS215" i="30"/>
  <c r="IT215" i="30"/>
  <c r="IU215" i="30"/>
  <c r="IV215" i="30"/>
  <c r="A214" i="30"/>
  <c r="B214" i="30"/>
  <c r="C214" i="30"/>
  <c r="D214" i="30"/>
  <c r="E214" i="30"/>
  <c r="F214" i="30"/>
  <c r="G214" i="30"/>
  <c r="H214" i="30"/>
  <c r="I214" i="30"/>
  <c r="J214" i="30"/>
  <c r="K214" i="30"/>
  <c r="L214" i="30"/>
  <c r="M214" i="30"/>
  <c r="N214" i="30"/>
  <c r="O214" i="30"/>
  <c r="P214" i="30"/>
  <c r="Q214" i="30"/>
  <c r="R214" i="30"/>
  <c r="S214" i="30"/>
  <c r="T214" i="30"/>
  <c r="U214" i="30"/>
  <c r="V214" i="30"/>
  <c r="W214" i="30"/>
  <c r="X214" i="30"/>
  <c r="Y214" i="30"/>
  <c r="Z214" i="30"/>
  <c r="AA214" i="30"/>
  <c r="AB214" i="30"/>
  <c r="AC214" i="30"/>
  <c r="AD214" i="30"/>
  <c r="AE214" i="30"/>
  <c r="AF214" i="30"/>
  <c r="AG214" i="30"/>
  <c r="AH214" i="30"/>
  <c r="AI214" i="30"/>
  <c r="AJ214" i="30"/>
  <c r="AK214" i="30"/>
  <c r="AL214" i="30"/>
  <c r="AM214" i="30"/>
  <c r="AN214" i="30"/>
  <c r="AO214" i="30"/>
  <c r="AP214" i="30"/>
  <c r="AQ214" i="30"/>
  <c r="AR214" i="30"/>
  <c r="AS214" i="30"/>
  <c r="AT214" i="30"/>
  <c r="AU214" i="30"/>
  <c r="AV214" i="30"/>
  <c r="AW214" i="30"/>
  <c r="AX214" i="30"/>
  <c r="AY214" i="30"/>
  <c r="AZ214" i="30"/>
  <c r="BA214" i="30"/>
  <c r="BB214" i="30"/>
  <c r="BC214" i="30"/>
  <c r="BD214" i="30"/>
  <c r="BE214" i="30"/>
  <c r="BF214" i="30"/>
  <c r="BG214" i="30"/>
  <c r="BH214" i="30"/>
  <c r="BI214" i="30"/>
  <c r="BJ214" i="30"/>
  <c r="BK214" i="30"/>
  <c r="BL214" i="30"/>
  <c r="BM214" i="30"/>
  <c r="BN214" i="30"/>
  <c r="BO214" i="30"/>
  <c r="BP214" i="30"/>
  <c r="BQ214" i="30"/>
  <c r="BR214" i="30"/>
  <c r="BS214" i="30"/>
  <c r="BT214" i="30"/>
  <c r="BU214" i="30"/>
  <c r="BV214" i="30"/>
  <c r="BW214" i="30"/>
  <c r="BX214" i="30"/>
  <c r="BY214" i="30"/>
  <c r="BZ214" i="30"/>
  <c r="CA214" i="30"/>
  <c r="CB214" i="30"/>
  <c r="CC214" i="30"/>
  <c r="CD214" i="30"/>
  <c r="CE214" i="30"/>
  <c r="CF214" i="30"/>
  <c r="CG214" i="30"/>
  <c r="CH214" i="30"/>
  <c r="CI214" i="30"/>
  <c r="CJ214" i="30"/>
  <c r="CK214" i="30"/>
  <c r="CL214" i="30"/>
  <c r="CM214" i="30"/>
  <c r="CN214" i="30"/>
  <c r="CO214" i="30"/>
  <c r="CP214" i="30"/>
  <c r="CQ214" i="30"/>
  <c r="CR214" i="30"/>
  <c r="CS214" i="30"/>
  <c r="CT214" i="30"/>
  <c r="CU214" i="30"/>
  <c r="CV214" i="30"/>
  <c r="CW214" i="30"/>
  <c r="CX214" i="30"/>
  <c r="CY214" i="30"/>
  <c r="CZ214" i="30"/>
  <c r="DA214" i="30"/>
  <c r="DB214" i="30"/>
  <c r="DC214" i="30"/>
  <c r="DD214" i="30"/>
  <c r="DE214" i="30"/>
  <c r="DF214" i="30"/>
  <c r="DG214" i="30"/>
  <c r="DH214" i="30"/>
  <c r="DI214" i="30"/>
  <c r="DJ214" i="30"/>
  <c r="DK214" i="30"/>
  <c r="DL214" i="30"/>
  <c r="DM214" i="30"/>
  <c r="DN214" i="30"/>
  <c r="DO214" i="30"/>
  <c r="DP214" i="30"/>
  <c r="DQ214" i="30"/>
  <c r="DR214" i="30"/>
  <c r="DS214" i="30"/>
  <c r="DT214" i="30"/>
  <c r="DU214" i="30"/>
  <c r="DV214" i="30"/>
  <c r="DW214" i="30"/>
  <c r="DX214" i="30"/>
  <c r="DY214" i="30"/>
  <c r="DZ214" i="30"/>
  <c r="EA214" i="30"/>
  <c r="EB214" i="30"/>
  <c r="EC214" i="30"/>
  <c r="ED214" i="30"/>
  <c r="EE214" i="30"/>
  <c r="EF214" i="30"/>
  <c r="EG214" i="30"/>
  <c r="EH214" i="30"/>
  <c r="EI214" i="30"/>
  <c r="EJ214" i="30"/>
  <c r="EK214" i="30"/>
  <c r="EL214" i="30"/>
  <c r="EM214" i="30"/>
  <c r="EN214" i="30"/>
  <c r="EO214" i="30"/>
  <c r="EP214" i="30"/>
  <c r="EQ214" i="30"/>
  <c r="ER214" i="30"/>
  <c r="ES214" i="30"/>
  <c r="ET214" i="30"/>
  <c r="EU214" i="30"/>
  <c r="EV214" i="30"/>
  <c r="EW214" i="30"/>
  <c r="EX214" i="30"/>
  <c r="EY214" i="30"/>
  <c r="EZ214" i="30"/>
  <c r="FA214" i="30"/>
  <c r="FB214" i="30"/>
  <c r="FC214" i="30"/>
  <c r="FD214" i="30"/>
  <c r="FE214" i="30"/>
  <c r="FF214" i="30"/>
  <c r="FG214" i="30"/>
  <c r="FH214" i="30"/>
  <c r="FI214" i="30"/>
  <c r="FJ214" i="30"/>
  <c r="FK214" i="30"/>
  <c r="FL214" i="30"/>
  <c r="FM214" i="30"/>
  <c r="FN214" i="30"/>
  <c r="FO214" i="30"/>
  <c r="FP214" i="30"/>
  <c r="FQ214" i="30"/>
  <c r="FR214" i="30"/>
  <c r="FS214" i="30"/>
  <c r="FT214" i="30"/>
  <c r="FU214" i="30"/>
  <c r="FV214" i="30"/>
  <c r="FW214" i="30"/>
  <c r="FX214" i="30"/>
  <c r="FY214" i="30"/>
  <c r="FZ214" i="30"/>
  <c r="GA214" i="30"/>
  <c r="GB214" i="30"/>
  <c r="GC214" i="30"/>
  <c r="GD214" i="30"/>
  <c r="GE214" i="30"/>
  <c r="GF214" i="30"/>
  <c r="GG214" i="30"/>
  <c r="GH214" i="30"/>
  <c r="GI214" i="30"/>
  <c r="GJ214" i="30"/>
  <c r="GK214" i="30"/>
  <c r="GL214" i="30"/>
  <c r="GM214" i="30"/>
  <c r="GN214" i="30"/>
  <c r="GO214" i="30"/>
  <c r="GP214" i="30"/>
  <c r="GQ214" i="30"/>
  <c r="GR214" i="30"/>
  <c r="GS214" i="30"/>
  <c r="GT214" i="30"/>
  <c r="GU214" i="30"/>
  <c r="GV214" i="30"/>
  <c r="GW214" i="30"/>
  <c r="GX214" i="30"/>
  <c r="GY214" i="30"/>
  <c r="GZ214" i="30"/>
  <c r="HA214" i="30"/>
  <c r="HB214" i="30"/>
  <c r="HC214" i="30"/>
  <c r="HD214" i="30"/>
  <c r="HE214" i="30"/>
  <c r="HF214" i="30"/>
  <c r="HG214" i="30"/>
  <c r="HH214" i="30"/>
  <c r="HI214" i="30"/>
  <c r="HJ214" i="30"/>
  <c r="HK214" i="30"/>
  <c r="HL214" i="30"/>
  <c r="HM214" i="30"/>
  <c r="HN214" i="30"/>
  <c r="HO214" i="30"/>
  <c r="HP214" i="30"/>
  <c r="HQ214" i="30"/>
  <c r="HR214" i="30"/>
  <c r="HS214" i="30"/>
  <c r="HT214" i="30"/>
  <c r="HU214" i="30"/>
  <c r="HV214" i="30"/>
  <c r="HW214" i="30"/>
  <c r="HX214" i="30"/>
  <c r="HY214" i="30"/>
  <c r="HZ214" i="30"/>
  <c r="IA214" i="30"/>
  <c r="IB214" i="30"/>
  <c r="IC214" i="30"/>
  <c r="ID214" i="30"/>
  <c r="IE214" i="30"/>
  <c r="IF214" i="30"/>
  <c r="IG214" i="30"/>
  <c r="IH214" i="30"/>
  <c r="II214" i="30"/>
  <c r="IJ214" i="30"/>
  <c r="IK214" i="30"/>
  <c r="IL214" i="30"/>
  <c r="IM214" i="30"/>
  <c r="IN214" i="30"/>
  <c r="IO214" i="30"/>
  <c r="IP214" i="30"/>
  <c r="IQ214" i="30"/>
  <c r="IR214" i="30"/>
  <c r="IS214" i="30"/>
  <c r="IT214" i="30"/>
  <c r="IU214" i="30"/>
  <c r="IV214" i="30"/>
  <c r="A213" i="30"/>
  <c r="B213" i="30"/>
  <c r="C213" i="30"/>
  <c r="D213" i="30"/>
  <c r="E213" i="30"/>
  <c r="F213" i="30"/>
  <c r="G213" i="30"/>
  <c r="H213" i="30"/>
  <c r="I213" i="30"/>
  <c r="J213" i="30"/>
  <c r="K213" i="30"/>
  <c r="L213" i="30"/>
  <c r="M213" i="30"/>
  <c r="N213" i="30"/>
  <c r="O213" i="30"/>
  <c r="P213" i="30"/>
  <c r="Q213" i="30"/>
  <c r="R213" i="30"/>
  <c r="S213" i="30"/>
  <c r="T213" i="30"/>
  <c r="U213" i="30"/>
  <c r="V213" i="30"/>
  <c r="W213" i="30"/>
  <c r="X213" i="30"/>
  <c r="Y213" i="30"/>
  <c r="Z213" i="30"/>
  <c r="AA213" i="30"/>
  <c r="AB213" i="30"/>
  <c r="AC213" i="30"/>
  <c r="AD213" i="30"/>
  <c r="AE213" i="30"/>
  <c r="AF213" i="30"/>
  <c r="AG213" i="30"/>
  <c r="AH213" i="30"/>
  <c r="AI213" i="30"/>
  <c r="AJ213" i="30"/>
  <c r="AK213" i="30"/>
  <c r="AL213" i="30"/>
  <c r="AM213" i="30"/>
  <c r="AN213" i="30"/>
  <c r="AO213" i="30"/>
  <c r="AP213" i="30"/>
  <c r="AQ213" i="30"/>
  <c r="AR213" i="30"/>
  <c r="AS213" i="30"/>
  <c r="AT213" i="30"/>
  <c r="AU213" i="30"/>
  <c r="AV213" i="30"/>
  <c r="AW213" i="30"/>
  <c r="AX213" i="30"/>
  <c r="AY213" i="30"/>
  <c r="AZ213" i="30"/>
  <c r="BA213" i="30"/>
  <c r="BB213" i="30"/>
  <c r="BC213" i="30"/>
  <c r="BD213" i="30"/>
  <c r="BE213" i="30"/>
  <c r="BF213" i="30"/>
  <c r="BG213" i="30"/>
  <c r="BH213" i="30"/>
  <c r="BI213" i="30"/>
  <c r="BJ213" i="30"/>
  <c r="BK213" i="30"/>
  <c r="BL213" i="30"/>
  <c r="BM213" i="30"/>
  <c r="BN213" i="30"/>
  <c r="BO213" i="30"/>
  <c r="BP213" i="30"/>
  <c r="BQ213" i="30"/>
  <c r="BR213" i="30"/>
  <c r="BS213" i="30"/>
  <c r="BT213" i="30"/>
  <c r="BU213" i="30"/>
  <c r="BV213" i="30"/>
  <c r="BW213" i="30"/>
  <c r="BX213" i="30"/>
  <c r="BY213" i="30"/>
  <c r="BZ213" i="30"/>
  <c r="CA213" i="30"/>
  <c r="CB213" i="30"/>
  <c r="CC213" i="30"/>
  <c r="CD213" i="30"/>
  <c r="CE213" i="30"/>
  <c r="CF213" i="30"/>
  <c r="CG213" i="30"/>
  <c r="CH213" i="30"/>
  <c r="CI213" i="30"/>
  <c r="CJ213" i="30"/>
  <c r="CK213" i="30"/>
  <c r="CL213" i="30"/>
  <c r="CM213" i="30"/>
  <c r="CN213" i="30"/>
  <c r="CO213" i="30"/>
  <c r="CP213" i="30"/>
  <c r="CQ213" i="30"/>
  <c r="CR213" i="30"/>
  <c r="CS213" i="30"/>
  <c r="CT213" i="30"/>
  <c r="CU213" i="30"/>
  <c r="CV213" i="30"/>
  <c r="CW213" i="30"/>
  <c r="CX213" i="30"/>
  <c r="CY213" i="30"/>
  <c r="CZ213" i="30"/>
  <c r="DA213" i="30"/>
  <c r="DB213" i="30"/>
  <c r="DC213" i="30"/>
  <c r="DD213" i="30"/>
  <c r="DE213" i="30"/>
  <c r="DF213" i="30"/>
  <c r="DG213" i="30"/>
  <c r="DH213" i="30"/>
  <c r="DI213" i="30"/>
  <c r="DJ213" i="30"/>
  <c r="DK213" i="30"/>
  <c r="DL213" i="30"/>
  <c r="DM213" i="30"/>
  <c r="DN213" i="30"/>
  <c r="DO213" i="30"/>
  <c r="DP213" i="30"/>
  <c r="DQ213" i="30"/>
  <c r="DR213" i="30"/>
  <c r="DS213" i="30"/>
  <c r="DT213" i="30"/>
  <c r="DU213" i="30"/>
  <c r="DV213" i="30"/>
  <c r="DW213" i="30"/>
  <c r="DX213" i="30"/>
  <c r="DY213" i="30"/>
  <c r="DZ213" i="30"/>
  <c r="EA213" i="30"/>
  <c r="EB213" i="30"/>
  <c r="EC213" i="30"/>
  <c r="ED213" i="30"/>
  <c r="EE213" i="30"/>
  <c r="EF213" i="30"/>
  <c r="EG213" i="30"/>
  <c r="EH213" i="30"/>
  <c r="EI213" i="30"/>
  <c r="EJ213" i="30"/>
  <c r="EK213" i="30"/>
  <c r="EL213" i="30"/>
  <c r="EM213" i="30"/>
  <c r="EN213" i="30"/>
  <c r="EO213" i="30"/>
  <c r="EP213" i="30"/>
  <c r="EQ213" i="30"/>
  <c r="ER213" i="30"/>
  <c r="ES213" i="30"/>
  <c r="ET213" i="30"/>
  <c r="EU213" i="30"/>
  <c r="EV213" i="30"/>
  <c r="EW213" i="30"/>
  <c r="EX213" i="30"/>
  <c r="EY213" i="30"/>
  <c r="EZ213" i="30"/>
  <c r="FA213" i="30"/>
  <c r="FB213" i="30"/>
  <c r="FC213" i="30"/>
  <c r="FD213" i="30"/>
  <c r="FE213" i="30"/>
  <c r="FF213" i="30"/>
  <c r="FG213" i="30"/>
  <c r="FH213" i="30"/>
  <c r="FI213" i="30"/>
  <c r="FJ213" i="30"/>
  <c r="FK213" i="30"/>
  <c r="FL213" i="30"/>
  <c r="FM213" i="30"/>
  <c r="FN213" i="30"/>
  <c r="FO213" i="30"/>
  <c r="FP213" i="30"/>
  <c r="FQ213" i="30"/>
  <c r="FR213" i="30"/>
  <c r="FS213" i="30"/>
  <c r="FT213" i="30"/>
  <c r="FU213" i="30"/>
  <c r="FV213" i="30"/>
  <c r="FW213" i="30"/>
  <c r="FX213" i="30"/>
  <c r="FY213" i="30"/>
  <c r="FZ213" i="30"/>
  <c r="GA213" i="30"/>
  <c r="GB213" i="30"/>
  <c r="GC213" i="30"/>
  <c r="GD213" i="30"/>
  <c r="GE213" i="30"/>
  <c r="GF213" i="30"/>
  <c r="GG213" i="30"/>
  <c r="GH213" i="30"/>
  <c r="GI213" i="30"/>
  <c r="GJ213" i="30"/>
  <c r="GK213" i="30"/>
  <c r="GL213" i="30"/>
  <c r="GM213" i="30"/>
  <c r="GN213" i="30"/>
  <c r="GO213" i="30"/>
  <c r="GP213" i="30"/>
  <c r="GQ213" i="30"/>
  <c r="GR213" i="30"/>
  <c r="GS213" i="30"/>
  <c r="GT213" i="30"/>
  <c r="GU213" i="30"/>
  <c r="GV213" i="30"/>
  <c r="GW213" i="30"/>
  <c r="GX213" i="30"/>
  <c r="GY213" i="30"/>
  <c r="GZ213" i="30"/>
  <c r="HA213" i="30"/>
  <c r="HB213" i="30"/>
  <c r="HC213" i="30"/>
  <c r="HD213" i="30"/>
  <c r="HE213" i="30"/>
  <c r="HF213" i="30"/>
  <c r="HG213" i="30"/>
  <c r="HH213" i="30"/>
  <c r="HI213" i="30"/>
  <c r="HJ213" i="30"/>
  <c r="HK213" i="30"/>
  <c r="HL213" i="30"/>
  <c r="HM213" i="30"/>
  <c r="HN213" i="30"/>
  <c r="HO213" i="30"/>
  <c r="HP213" i="30"/>
  <c r="HQ213" i="30"/>
  <c r="HR213" i="30"/>
  <c r="HS213" i="30"/>
  <c r="HT213" i="30"/>
  <c r="HU213" i="30"/>
  <c r="HV213" i="30"/>
  <c r="HW213" i="30"/>
  <c r="HX213" i="30"/>
  <c r="HY213" i="30"/>
  <c r="HZ213" i="30"/>
  <c r="IA213" i="30"/>
  <c r="IB213" i="30"/>
  <c r="IC213" i="30"/>
  <c r="ID213" i="30"/>
  <c r="IE213" i="30"/>
  <c r="IF213" i="30"/>
  <c r="IG213" i="30"/>
  <c r="IH213" i="30"/>
  <c r="II213" i="30"/>
  <c r="IJ213" i="30"/>
  <c r="IK213" i="30"/>
  <c r="IL213" i="30"/>
  <c r="IM213" i="30"/>
  <c r="IN213" i="30"/>
  <c r="IO213" i="30"/>
  <c r="IP213" i="30"/>
  <c r="IQ213" i="30"/>
  <c r="IR213" i="30"/>
  <c r="IS213" i="30"/>
  <c r="IT213" i="30"/>
  <c r="IU213" i="30"/>
  <c r="IV213" i="30"/>
  <c r="A212" i="30"/>
  <c r="B212" i="30"/>
  <c r="C212" i="30"/>
  <c r="D212" i="30"/>
  <c r="E212" i="30"/>
  <c r="F212" i="30"/>
  <c r="G212" i="30"/>
  <c r="H212" i="30"/>
  <c r="I212" i="30"/>
  <c r="J212" i="30"/>
  <c r="K212" i="30"/>
  <c r="L212" i="30"/>
  <c r="M212" i="30"/>
  <c r="N212" i="30"/>
  <c r="O212" i="30"/>
  <c r="P212" i="30"/>
  <c r="Q212" i="30"/>
  <c r="R212" i="30"/>
  <c r="S212" i="30"/>
  <c r="T212" i="30"/>
  <c r="U212" i="30"/>
  <c r="V212" i="30"/>
  <c r="W212" i="30"/>
  <c r="X212" i="30"/>
  <c r="Y212" i="30"/>
  <c r="Z212" i="30"/>
  <c r="AA212" i="30"/>
  <c r="AB212" i="30"/>
  <c r="AC212" i="30"/>
  <c r="AD212" i="30"/>
  <c r="AE212" i="30"/>
  <c r="AF212" i="30"/>
  <c r="AG212" i="30"/>
  <c r="AH212" i="30"/>
  <c r="AI212" i="30"/>
  <c r="AJ212" i="30"/>
  <c r="AK212" i="30"/>
  <c r="AL212" i="30"/>
  <c r="AM212" i="30"/>
  <c r="AN212" i="30"/>
  <c r="AO212" i="30"/>
  <c r="AP212" i="30"/>
  <c r="AQ212" i="30"/>
  <c r="AR212" i="30"/>
  <c r="AS212" i="30"/>
  <c r="AT212" i="30"/>
  <c r="AU212" i="30"/>
  <c r="AV212" i="30"/>
  <c r="AW212" i="30"/>
  <c r="AX212" i="30"/>
  <c r="AY212" i="30"/>
  <c r="AZ212" i="30"/>
  <c r="BA212" i="30"/>
  <c r="BB212" i="30"/>
  <c r="BC212" i="30"/>
  <c r="BD212" i="30"/>
  <c r="BE212" i="30"/>
  <c r="BF212" i="30"/>
  <c r="BG212" i="30"/>
  <c r="BH212" i="30"/>
  <c r="BI212" i="30"/>
  <c r="BJ212" i="30"/>
  <c r="BK212" i="30"/>
  <c r="BL212" i="30"/>
  <c r="BM212" i="30"/>
  <c r="BN212" i="30"/>
  <c r="BO212" i="30"/>
  <c r="BP212" i="30"/>
  <c r="BQ212" i="30"/>
  <c r="BR212" i="30"/>
  <c r="BS212" i="30"/>
  <c r="BT212" i="30"/>
  <c r="BU212" i="30"/>
  <c r="BV212" i="30"/>
  <c r="BW212" i="30"/>
  <c r="BX212" i="30"/>
  <c r="BY212" i="30"/>
  <c r="BZ212" i="30"/>
  <c r="CA212" i="30"/>
  <c r="CB212" i="30"/>
  <c r="CC212" i="30"/>
  <c r="CD212" i="30"/>
  <c r="CE212" i="30"/>
  <c r="CF212" i="30"/>
  <c r="CG212" i="30"/>
  <c r="CH212" i="30"/>
  <c r="CI212" i="30"/>
  <c r="CJ212" i="30"/>
  <c r="CK212" i="30"/>
  <c r="CL212" i="30"/>
  <c r="CM212" i="30"/>
  <c r="CN212" i="30"/>
  <c r="CO212" i="30"/>
  <c r="CP212" i="30"/>
  <c r="CQ212" i="30"/>
  <c r="CR212" i="30"/>
  <c r="CS212" i="30"/>
  <c r="CT212" i="30"/>
  <c r="CU212" i="30"/>
  <c r="CV212" i="30"/>
  <c r="CW212" i="30"/>
  <c r="CX212" i="30"/>
  <c r="CY212" i="30"/>
  <c r="CZ212" i="30"/>
  <c r="DA212" i="30"/>
  <c r="DB212" i="30"/>
  <c r="DC212" i="30"/>
  <c r="DD212" i="30"/>
  <c r="DE212" i="30"/>
  <c r="DF212" i="30"/>
  <c r="DG212" i="30"/>
  <c r="DH212" i="30"/>
  <c r="DI212" i="30"/>
  <c r="DJ212" i="30"/>
  <c r="DK212" i="30"/>
  <c r="DL212" i="30"/>
  <c r="DM212" i="30"/>
  <c r="DN212" i="30"/>
  <c r="DO212" i="30"/>
  <c r="DP212" i="30"/>
  <c r="DQ212" i="30"/>
  <c r="DR212" i="30"/>
  <c r="DS212" i="30"/>
  <c r="DT212" i="30"/>
  <c r="DU212" i="30"/>
  <c r="DV212" i="30"/>
  <c r="DW212" i="30"/>
  <c r="DX212" i="30"/>
  <c r="DY212" i="30"/>
  <c r="DZ212" i="30"/>
  <c r="EA212" i="30"/>
  <c r="EB212" i="30"/>
  <c r="EC212" i="30"/>
  <c r="ED212" i="30"/>
  <c r="EE212" i="30"/>
  <c r="EF212" i="30"/>
  <c r="EG212" i="30"/>
  <c r="EH212" i="30"/>
  <c r="EI212" i="30"/>
  <c r="EJ212" i="30"/>
  <c r="EK212" i="30"/>
  <c r="EL212" i="30"/>
  <c r="EM212" i="30"/>
  <c r="EN212" i="30"/>
  <c r="EO212" i="30"/>
  <c r="EP212" i="30"/>
  <c r="EQ212" i="30"/>
  <c r="ER212" i="30"/>
  <c r="ES212" i="30"/>
  <c r="ET212" i="30"/>
  <c r="EU212" i="30"/>
  <c r="EV212" i="30"/>
  <c r="EW212" i="30"/>
  <c r="EX212" i="30"/>
  <c r="EY212" i="30"/>
  <c r="EZ212" i="30"/>
  <c r="FA212" i="30"/>
  <c r="FB212" i="30"/>
  <c r="FC212" i="30"/>
  <c r="FD212" i="30"/>
  <c r="FE212" i="30"/>
  <c r="FF212" i="30"/>
  <c r="FG212" i="30"/>
  <c r="FH212" i="30"/>
  <c r="FI212" i="30"/>
  <c r="FJ212" i="30"/>
  <c r="FK212" i="30"/>
  <c r="FL212" i="30"/>
  <c r="FM212" i="30"/>
  <c r="FN212" i="30"/>
  <c r="FO212" i="30"/>
  <c r="FP212" i="30"/>
  <c r="FQ212" i="30"/>
  <c r="FR212" i="30"/>
  <c r="FS212" i="30"/>
  <c r="FT212" i="30"/>
  <c r="FU212" i="30"/>
  <c r="FV212" i="30"/>
  <c r="FW212" i="30"/>
  <c r="FX212" i="30"/>
  <c r="FY212" i="30"/>
  <c r="FZ212" i="30"/>
  <c r="GA212" i="30"/>
  <c r="GB212" i="30"/>
  <c r="GC212" i="30"/>
  <c r="GD212" i="30"/>
  <c r="GE212" i="30"/>
  <c r="GF212" i="30"/>
  <c r="GG212" i="30"/>
  <c r="GH212" i="30"/>
  <c r="GI212" i="30"/>
  <c r="GJ212" i="30"/>
  <c r="GK212" i="30"/>
  <c r="GL212" i="30"/>
  <c r="GM212" i="30"/>
  <c r="GN212" i="30"/>
  <c r="GO212" i="30"/>
  <c r="GP212" i="30"/>
  <c r="GQ212" i="30"/>
  <c r="GR212" i="30"/>
  <c r="GS212" i="30"/>
  <c r="GT212" i="30"/>
  <c r="GU212" i="30"/>
  <c r="GV212" i="30"/>
  <c r="GW212" i="30"/>
  <c r="GX212" i="30"/>
  <c r="GY212" i="30"/>
  <c r="GZ212" i="30"/>
  <c r="HA212" i="30"/>
  <c r="HB212" i="30"/>
  <c r="HC212" i="30"/>
  <c r="HD212" i="30"/>
  <c r="HE212" i="30"/>
  <c r="HF212" i="30"/>
  <c r="HG212" i="30"/>
  <c r="HH212" i="30"/>
  <c r="HI212" i="30"/>
  <c r="HJ212" i="30"/>
  <c r="HK212" i="30"/>
  <c r="HL212" i="30"/>
  <c r="HM212" i="30"/>
  <c r="HN212" i="30"/>
  <c r="HO212" i="30"/>
  <c r="HP212" i="30"/>
  <c r="HQ212" i="30"/>
  <c r="HR212" i="30"/>
  <c r="HS212" i="30"/>
  <c r="HT212" i="30"/>
  <c r="HU212" i="30"/>
  <c r="HV212" i="30"/>
  <c r="HW212" i="30"/>
  <c r="HX212" i="30"/>
  <c r="HY212" i="30"/>
  <c r="HZ212" i="30"/>
  <c r="IA212" i="30"/>
  <c r="IB212" i="30"/>
  <c r="IC212" i="30"/>
  <c r="ID212" i="30"/>
  <c r="IE212" i="30"/>
  <c r="IF212" i="30"/>
  <c r="IG212" i="30"/>
  <c r="IH212" i="30"/>
  <c r="II212" i="30"/>
  <c r="IJ212" i="30"/>
  <c r="IK212" i="30"/>
  <c r="IL212" i="30"/>
  <c r="IM212" i="30"/>
  <c r="IN212" i="30"/>
  <c r="IO212" i="30"/>
  <c r="IP212" i="30"/>
  <c r="IQ212" i="30"/>
  <c r="IR212" i="30"/>
  <c r="IS212" i="30"/>
  <c r="IT212" i="30"/>
  <c r="IU212" i="30"/>
  <c r="IV212" i="30"/>
  <c r="A211" i="30"/>
  <c r="B211" i="30"/>
  <c r="C211" i="30"/>
  <c r="D211" i="30"/>
  <c r="E211" i="30"/>
  <c r="F211" i="30"/>
  <c r="G211" i="30"/>
  <c r="H211" i="30"/>
  <c r="I211" i="30"/>
  <c r="J211" i="30"/>
  <c r="K211" i="30"/>
  <c r="L211" i="30"/>
  <c r="M211" i="30"/>
  <c r="N211" i="30"/>
  <c r="O211" i="30"/>
  <c r="P211" i="30"/>
  <c r="Q211" i="30"/>
  <c r="R211" i="30"/>
  <c r="S211" i="30"/>
  <c r="T211" i="30"/>
  <c r="U211" i="30"/>
  <c r="V211" i="30"/>
  <c r="W211" i="30"/>
  <c r="X211" i="30"/>
  <c r="Y211" i="30"/>
  <c r="Z211" i="30"/>
  <c r="AA211" i="30"/>
  <c r="AB211" i="30"/>
  <c r="AC211" i="30"/>
  <c r="AD211" i="30"/>
  <c r="AE211" i="30"/>
  <c r="AF211" i="30"/>
  <c r="AG211" i="30"/>
  <c r="AH211" i="30"/>
  <c r="AI211" i="30"/>
  <c r="AJ211" i="30"/>
  <c r="AK211" i="30"/>
  <c r="AL211" i="30"/>
  <c r="AM211" i="30"/>
  <c r="AN211" i="30"/>
  <c r="AO211" i="30"/>
  <c r="AP211" i="30"/>
  <c r="AQ211" i="30"/>
  <c r="AR211" i="30"/>
  <c r="AS211" i="30"/>
  <c r="AT211" i="30"/>
  <c r="AU211" i="30"/>
  <c r="AV211" i="30"/>
  <c r="AW211" i="30"/>
  <c r="AX211" i="30"/>
  <c r="AY211" i="30"/>
  <c r="AZ211" i="30"/>
  <c r="BA211" i="30"/>
  <c r="BB211" i="30"/>
  <c r="BC211" i="30"/>
  <c r="BD211" i="30"/>
  <c r="BE211" i="30"/>
  <c r="BF211" i="30"/>
  <c r="BG211" i="30"/>
  <c r="BH211" i="30"/>
  <c r="BI211" i="30"/>
  <c r="BJ211" i="30"/>
  <c r="BK211" i="30"/>
  <c r="BL211" i="30"/>
  <c r="BM211" i="30"/>
  <c r="BN211" i="30"/>
  <c r="BO211" i="30"/>
  <c r="BP211" i="30"/>
  <c r="BQ211" i="30"/>
  <c r="BR211" i="30"/>
  <c r="BS211" i="30"/>
  <c r="BT211" i="30"/>
  <c r="BU211" i="30"/>
  <c r="BV211" i="30"/>
  <c r="BW211" i="30"/>
  <c r="BX211" i="30"/>
  <c r="BY211" i="30"/>
  <c r="BZ211" i="30"/>
  <c r="CA211" i="30"/>
  <c r="CB211" i="30"/>
  <c r="CC211" i="30"/>
  <c r="CD211" i="30"/>
  <c r="CE211" i="30"/>
  <c r="CF211" i="30"/>
  <c r="CG211" i="30"/>
  <c r="CH211" i="30"/>
  <c r="CI211" i="30"/>
  <c r="CJ211" i="30"/>
  <c r="CK211" i="30"/>
  <c r="CL211" i="30"/>
  <c r="CM211" i="30"/>
  <c r="CN211" i="30"/>
  <c r="CO211" i="30"/>
  <c r="CP211" i="30"/>
  <c r="CQ211" i="30"/>
  <c r="CR211" i="30"/>
  <c r="CS211" i="30"/>
  <c r="CT211" i="30"/>
  <c r="CU211" i="30"/>
  <c r="CV211" i="30"/>
  <c r="CW211" i="30"/>
  <c r="CX211" i="30"/>
  <c r="CY211" i="30"/>
  <c r="CZ211" i="30"/>
  <c r="DA211" i="30"/>
  <c r="DB211" i="30"/>
  <c r="DC211" i="30"/>
  <c r="DD211" i="30"/>
  <c r="DE211" i="30"/>
  <c r="DF211" i="30"/>
  <c r="DG211" i="30"/>
  <c r="DH211" i="30"/>
  <c r="DI211" i="30"/>
  <c r="DJ211" i="30"/>
  <c r="DK211" i="30"/>
  <c r="DL211" i="30"/>
  <c r="DM211" i="30"/>
  <c r="DN211" i="30"/>
  <c r="DO211" i="30"/>
  <c r="DP211" i="30"/>
  <c r="DQ211" i="30"/>
  <c r="DR211" i="30"/>
  <c r="DS211" i="30"/>
  <c r="DT211" i="30"/>
  <c r="DU211" i="30"/>
  <c r="DV211" i="30"/>
  <c r="DW211" i="30"/>
  <c r="DX211" i="30"/>
  <c r="DY211" i="30"/>
  <c r="DZ211" i="30"/>
  <c r="EA211" i="30"/>
  <c r="EB211" i="30"/>
  <c r="EC211" i="30"/>
  <c r="ED211" i="30"/>
  <c r="EE211" i="30"/>
  <c r="EF211" i="30"/>
  <c r="EG211" i="30"/>
  <c r="EH211" i="30"/>
  <c r="EI211" i="30"/>
  <c r="EJ211" i="30"/>
  <c r="EK211" i="30"/>
  <c r="EL211" i="30"/>
  <c r="EM211" i="30"/>
  <c r="EN211" i="30"/>
  <c r="EO211" i="30"/>
  <c r="EP211" i="30"/>
  <c r="EQ211" i="30"/>
  <c r="ER211" i="30"/>
  <c r="ES211" i="30"/>
  <c r="ET211" i="30"/>
  <c r="EU211" i="30"/>
  <c r="EV211" i="30"/>
  <c r="EW211" i="30"/>
  <c r="EX211" i="30"/>
  <c r="EY211" i="30"/>
  <c r="EZ211" i="30"/>
  <c r="FA211" i="30"/>
  <c r="FB211" i="30"/>
  <c r="FC211" i="30"/>
  <c r="FD211" i="30"/>
  <c r="FE211" i="30"/>
  <c r="FF211" i="30"/>
  <c r="FG211" i="30"/>
  <c r="FH211" i="30"/>
  <c r="FI211" i="30"/>
  <c r="FJ211" i="30"/>
  <c r="FK211" i="30"/>
  <c r="FL211" i="30"/>
  <c r="FM211" i="30"/>
  <c r="FN211" i="30"/>
  <c r="FO211" i="30"/>
  <c r="FP211" i="30"/>
  <c r="FQ211" i="30"/>
  <c r="FR211" i="30"/>
  <c r="FS211" i="30"/>
  <c r="FT211" i="30"/>
  <c r="FU211" i="30"/>
  <c r="FV211" i="30"/>
  <c r="FW211" i="30"/>
  <c r="FX211" i="30"/>
  <c r="FY211" i="30"/>
  <c r="FZ211" i="30"/>
  <c r="GA211" i="30"/>
  <c r="GB211" i="30"/>
  <c r="GC211" i="30"/>
  <c r="GD211" i="30"/>
  <c r="GE211" i="30"/>
  <c r="GF211" i="30"/>
  <c r="GG211" i="30"/>
  <c r="GH211" i="30"/>
  <c r="GI211" i="30"/>
  <c r="GJ211" i="30"/>
  <c r="GK211" i="30"/>
  <c r="GL211" i="30"/>
  <c r="GM211" i="30"/>
  <c r="GN211" i="30"/>
  <c r="GO211" i="30"/>
  <c r="GP211" i="30"/>
  <c r="GQ211" i="30"/>
  <c r="GR211" i="30"/>
  <c r="GS211" i="30"/>
  <c r="GT211" i="30"/>
  <c r="GU211" i="30"/>
  <c r="GV211" i="30"/>
  <c r="GW211" i="30"/>
  <c r="GX211" i="30"/>
  <c r="GY211" i="30"/>
  <c r="GZ211" i="30"/>
  <c r="HA211" i="30"/>
  <c r="HB211" i="30"/>
  <c r="HC211" i="30"/>
  <c r="HD211" i="30"/>
  <c r="HE211" i="30"/>
  <c r="HF211" i="30"/>
  <c r="HG211" i="30"/>
  <c r="HH211" i="30"/>
  <c r="HI211" i="30"/>
  <c r="HJ211" i="30"/>
  <c r="HK211" i="30"/>
  <c r="HL211" i="30"/>
  <c r="HM211" i="30"/>
  <c r="HN211" i="30"/>
  <c r="HO211" i="30"/>
  <c r="HP211" i="30"/>
  <c r="HQ211" i="30"/>
  <c r="HR211" i="30"/>
  <c r="HS211" i="30"/>
  <c r="HT211" i="30"/>
  <c r="HU211" i="30"/>
  <c r="HV211" i="30"/>
  <c r="HW211" i="30"/>
  <c r="HX211" i="30"/>
  <c r="HY211" i="30"/>
  <c r="HZ211" i="30"/>
  <c r="IA211" i="30"/>
  <c r="IB211" i="30"/>
  <c r="IC211" i="30"/>
  <c r="ID211" i="30"/>
  <c r="IE211" i="30"/>
  <c r="IF211" i="30"/>
  <c r="IG211" i="30"/>
  <c r="IH211" i="30"/>
  <c r="II211" i="30"/>
  <c r="IJ211" i="30"/>
  <c r="IK211" i="30"/>
  <c r="IL211" i="30"/>
  <c r="IM211" i="30"/>
  <c r="IN211" i="30"/>
  <c r="IO211" i="30"/>
  <c r="IP211" i="30"/>
  <c r="IQ211" i="30"/>
  <c r="IR211" i="30"/>
  <c r="IS211" i="30"/>
  <c r="IT211" i="30"/>
  <c r="IU211" i="30"/>
  <c r="IV211" i="30"/>
  <c r="A210" i="30"/>
  <c r="B210" i="30"/>
  <c r="C210" i="30"/>
  <c r="D210" i="30"/>
  <c r="E210" i="30"/>
  <c r="F210" i="30"/>
  <c r="G210" i="30"/>
  <c r="H210" i="30"/>
  <c r="I210" i="30"/>
  <c r="J210" i="30"/>
  <c r="K210" i="30"/>
  <c r="L210" i="30"/>
  <c r="M210" i="30"/>
  <c r="N210" i="30"/>
  <c r="O210" i="30"/>
  <c r="P210" i="30"/>
  <c r="Q210" i="30"/>
  <c r="R210" i="30"/>
  <c r="S210" i="30"/>
  <c r="T210" i="30"/>
  <c r="U210" i="30"/>
  <c r="V210" i="30"/>
  <c r="W210" i="30"/>
  <c r="X210" i="30"/>
  <c r="Y210" i="30"/>
  <c r="Z210" i="30"/>
  <c r="AA210" i="30"/>
  <c r="AB210" i="30"/>
  <c r="AC210" i="30"/>
  <c r="AD210" i="30"/>
  <c r="AE210" i="30"/>
  <c r="AF210" i="30"/>
  <c r="AG210" i="30"/>
  <c r="AH210" i="30"/>
  <c r="AI210" i="30"/>
  <c r="AJ210" i="30"/>
  <c r="AK210" i="30"/>
  <c r="AL210" i="30"/>
  <c r="AM210" i="30"/>
  <c r="AN210" i="30"/>
  <c r="AO210" i="30"/>
  <c r="AP210" i="30"/>
  <c r="AQ210" i="30"/>
  <c r="AR210" i="30"/>
  <c r="AS210" i="30"/>
  <c r="AT210" i="30"/>
  <c r="AU210" i="30"/>
  <c r="AV210" i="30"/>
  <c r="AW210" i="30"/>
  <c r="AX210" i="30"/>
  <c r="AY210" i="30"/>
  <c r="AZ210" i="30"/>
  <c r="BA210" i="30"/>
  <c r="BB210" i="30"/>
  <c r="BC210" i="30"/>
  <c r="BD210" i="30"/>
  <c r="BE210" i="30"/>
  <c r="BF210" i="30"/>
  <c r="BG210" i="30"/>
  <c r="BH210" i="30"/>
  <c r="BI210" i="30"/>
  <c r="BJ210" i="30"/>
  <c r="BK210" i="30"/>
  <c r="BL210" i="30"/>
  <c r="BM210" i="30"/>
  <c r="BN210" i="30"/>
  <c r="BO210" i="30"/>
  <c r="BP210" i="30"/>
  <c r="BQ210" i="30"/>
  <c r="BR210" i="30"/>
  <c r="BS210" i="30"/>
  <c r="BT210" i="30"/>
  <c r="BU210" i="30"/>
  <c r="BV210" i="30"/>
  <c r="BW210" i="30"/>
  <c r="BX210" i="30"/>
  <c r="BY210" i="30"/>
  <c r="BZ210" i="30"/>
  <c r="CA210" i="30"/>
  <c r="CB210" i="30"/>
  <c r="CC210" i="30"/>
  <c r="CD210" i="30"/>
  <c r="CE210" i="30"/>
  <c r="CF210" i="30"/>
  <c r="CG210" i="30"/>
  <c r="CH210" i="30"/>
  <c r="CI210" i="30"/>
  <c r="CJ210" i="30"/>
  <c r="CK210" i="30"/>
  <c r="CL210" i="30"/>
  <c r="CM210" i="30"/>
  <c r="CN210" i="30"/>
  <c r="CO210" i="30"/>
  <c r="CP210" i="30"/>
  <c r="CQ210" i="30"/>
  <c r="CR210" i="30"/>
  <c r="CS210" i="30"/>
  <c r="CT210" i="30"/>
  <c r="CU210" i="30"/>
  <c r="CV210" i="30"/>
  <c r="CW210" i="30"/>
  <c r="CX210" i="30"/>
  <c r="CY210" i="30"/>
  <c r="CZ210" i="30"/>
  <c r="DA210" i="30"/>
  <c r="DB210" i="30"/>
  <c r="DC210" i="30"/>
  <c r="DD210" i="30"/>
  <c r="DE210" i="30"/>
  <c r="DF210" i="30"/>
  <c r="DG210" i="30"/>
  <c r="DH210" i="30"/>
  <c r="DI210" i="30"/>
  <c r="DJ210" i="30"/>
  <c r="DK210" i="30"/>
  <c r="DL210" i="30"/>
  <c r="DM210" i="30"/>
  <c r="DN210" i="30"/>
  <c r="DO210" i="30"/>
  <c r="DP210" i="30"/>
  <c r="DQ210" i="30"/>
  <c r="DR210" i="30"/>
  <c r="DS210" i="30"/>
  <c r="DT210" i="30"/>
  <c r="DU210" i="30"/>
  <c r="DV210" i="30"/>
  <c r="DW210" i="30"/>
  <c r="DX210" i="30"/>
  <c r="DY210" i="30"/>
  <c r="DZ210" i="30"/>
  <c r="EA210" i="30"/>
  <c r="EB210" i="30"/>
  <c r="EC210" i="30"/>
  <c r="ED210" i="30"/>
  <c r="EE210" i="30"/>
  <c r="EF210" i="30"/>
  <c r="EG210" i="30"/>
  <c r="EH210" i="30"/>
  <c r="EI210" i="30"/>
  <c r="EJ210" i="30"/>
  <c r="EK210" i="30"/>
  <c r="EL210" i="30"/>
  <c r="EM210" i="30"/>
  <c r="EN210" i="30"/>
  <c r="EO210" i="30"/>
  <c r="EP210" i="30"/>
  <c r="EQ210" i="30"/>
  <c r="ER210" i="30"/>
  <c r="ES210" i="30"/>
  <c r="ET210" i="30"/>
  <c r="EU210" i="30"/>
  <c r="EV210" i="30"/>
  <c r="EW210" i="30"/>
  <c r="EX210" i="30"/>
  <c r="EY210" i="30"/>
  <c r="EZ210" i="30"/>
  <c r="FA210" i="30"/>
  <c r="FB210" i="30"/>
  <c r="FC210" i="30"/>
  <c r="FD210" i="30"/>
  <c r="FE210" i="30"/>
  <c r="FF210" i="30"/>
  <c r="FG210" i="30"/>
  <c r="FH210" i="30"/>
  <c r="FI210" i="30"/>
  <c r="FJ210" i="30"/>
  <c r="FK210" i="30"/>
  <c r="FL210" i="30"/>
  <c r="FM210" i="30"/>
  <c r="FN210" i="30"/>
  <c r="FO210" i="30"/>
  <c r="FP210" i="30"/>
  <c r="FQ210" i="30"/>
  <c r="FR210" i="30"/>
  <c r="FS210" i="30"/>
  <c r="FT210" i="30"/>
  <c r="FU210" i="30"/>
  <c r="FV210" i="30"/>
  <c r="FW210" i="30"/>
  <c r="FX210" i="30"/>
  <c r="FY210" i="30"/>
  <c r="FZ210" i="30"/>
  <c r="GA210" i="30"/>
  <c r="GB210" i="30"/>
  <c r="GC210" i="30"/>
  <c r="GD210" i="30"/>
  <c r="GE210" i="30"/>
  <c r="GF210" i="30"/>
  <c r="GG210" i="30"/>
  <c r="GH210" i="30"/>
  <c r="GI210" i="30"/>
  <c r="GJ210" i="30"/>
  <c r="GK210" i="30"/>
  <c r="GL210" i="30"/>
  <c r="GM210" i="30"/>
  <c r="GN210" i="30"/>
  <c r="GO210" i="30"/>
  <c r="GP210" i="30"/>
  <c r="GQ210" i="30"/>
  <c r="GR210" i="30"/>
  <c r="GS210" i="30"/>
  <c r="GT210" i="30"/>
  <c r="GU210" i="30"/>
  <c r="GV210" i="30"/>
  <c r="GW210" i="30"/>
  <c r="GX210" i="30"/>
  <c r="GY210" i="30"/>
  <c r="GZ210" i="30"/>
  <c r="HA210" i="30"/>
  <c r="HB210" i="30"/>
  <c r="HC210" i="30"/>
  <c r="HD210" i="30"/>
  <c r="HE210" i="30"/>
  <c r="HF210" i="30"/>
  <c r="HG210" i="30"/>
  <c r="HH210" i="30"/>
  <c r="HI210" i="30"/>
  <c r="HJ210" i="30"/>
  <c r="HK210" i="30"/>
  <c r="HL210" i="30"/>
  <c r="HM210" i="30"/>
  <c r="HN210" i="30"/>
  <c r="HO210" i="30"/>
  <c r="HP210" i="30"/>
  <c r="HQ210" i="30"/>
  <c r="HR210" i="30"/>
  <c r="HS210" i="30"/>
  <c r="HT210" i="30"/>
  <c r="HU210" i="30"/>
  <c r="HV210" i="30"/>
  <c r="HW210" i="30"/>
  <c r="HX210" i="30"/>
  <c r="HY210" i="30"/>
  <c r="HZ210" i="30"/>
  <c r="IA210" i="30"/>
  <c r="IB210" i="30"/>
  <c r="IC210" i="30"/>
  <c r="ID210" i="30"/>
  <c r="IE210" i="30"/>
  <c r="IF210" i="30"/>
  <c r="IG210" i="30"/>
  <c r="IH210" i="30"/>
  <c r="II210" i="30"/>
  <c r="IJ210" i="30"/>
  <c r="IK210" i="30"/>
  <c r="IL210" i="30"/>
  <c r="IM210" i="30"/>
  <c r="IN210" i="30"/>
  <c r="IO210" i="30"/>
  <c r="IP210" i="30"/>
  <c r="IQ210" i="30"/>
  <c r="IR210" i="30"/>
  <c r="IS210" i="30"/>
  <c r="IT210" i="30"/>
  <c r="IU210" i="30"/>
  <c r="IV210" i="30"/>
  <c r="A209" i="30"/>
  <c r="B209" i="30"/>
  <c r="C209" i="30"/>
  <c r="D209" i="30"/>
  <c r="E209" i="30"/>
  <c r="F209" i="30"/>
  <c r="G209" i="30"/>
  <c r="H209" i="30"/>
  <c r="I209" i="30"/>
  <c r="J209" i="30"/>
  <c r="K209" i="30"/>
  <c r="L209" i="30"/>
  <c r="M209" i="30"/>
  <c r="N209" i="30"/>
  <c r="O209" i="30"/>
  <c r="P209" i="30"/>
  <c r="Q209" i="30"/>
  <c r="R209" i="30"/>
  <c r="S209" i="30"/>
  <c r="T209" i="30"/>
  <c r="U209" i="30"/>
  <c r="V209" i="30"/>
  <c r="W209" i="30"/>
  <c r="X209" i="30"/>
  <c r="Y209" i="30"/>
  <c r="Z209" i="30"/>
  <c r="AA209" i="30"/>
  <c r="AB209" i="30"/>
  <c r="AC209" i="30"/>
  <c r="AD209" i="30"/>
  <c r="AE209" i="30"/>
  <c r="AF209" i="30"/>
  <c r="AG209" i="30"/>
  <c r="AH209" i="30"/>
  <c r="AI209" i="30"/>
  <c r="AJ209" i="30"/>
  <c r="AK209" i="30"/>
  <c r="AL209" i="30"/>
  <c r="AM209" i="30"/>
  <c r="AN209" i="30"/>
  <c r="AO209" i="30"/>
  <c r="AP209" i="30"/>
  <c r="AQ209" i="30"/>
  <c r="AR209" i="30"/>
  <c r="AS209" i="30"/>
  <c r="AT209" i="30"/>
  <c r="AU209" i="30"/>
  <c r="AV209" i="30"/>
  <c r="AW209" i="30"/>
  <c r="AX209" i="30"/>
  <c r="AY209" i="30"/>
  <c r="AZ209" i="30"/>
  <c r="BA209" i="30"/>
  <c r="BB209" i="30"/>
  <c r="BC209" i="30"/>
  <c r="BD209" i="30"/>
  <c r="BE209" i="30"/>
  <c r="BF209" i="30"/>
  <c r="BG209" i="30"/>
  <c r="BH209" i="30"/>
  <c r="BI209" i="30"/>
  <c r="BJ209" i="30"/>
  <c r="BK209" i="30"/>
  <c r="BL209" i="30"/>
  <c r="BM209" i="30"/>
  <c r="BN209" i="30"/>
  <c r="BO209" i="30"/>
  <c r="BP209" i="30"/>
  <c r="BQ209" i="30"/>
  <c r="BR209" i="30"/>
  <c r="BS209" i="30"/>
  <c r="BT209" i="30"/>
  <c r="BU209" i="30"/>
  <c r="BV209" i="30"/>
  <c r="BW209" i="30"/>
  <c r="BX209" i="30"/>
  <c r="BY209" i="30"/>
  <c r="BZ209" i="30"/>
  <c r="CA209" i="30"/>
  <c r="CB209" i="30"/>
  <c r="CC209" i="30"/>
  <c r="CD209" i="30"/>
  <c r="CE209" i="30"/>
  <c r="CF209" i="30"/>
  <c r="CG209" i="30"/>
  <c r="CH209" i="30"/>
  <c r="CI209" i="30"/>
  <c r="CJ209" i="30"/>
  <c r="CK209" i="30"/>
  <c r="CL209" i="30"/>
  <c r="CM209" i="30"/>
  <c r="CN209" i="30"/>
  <c r="CO209" i="30"/>
  <c r="CP209" i="30"/>
  <c r="CQ209" i="30"/>
  <c r="CR209" i="30"/>
  <c r="CS209" i="30"/>
  <c r="CT209" i="30"/>
  <c r="CU209" i="30"/>
  <c r="CV209" i="30"/>
  <c r="CW209" i="30"/>
  <c r="CX209" i="30"/>
  <c r="CY209" i="30"/>
  <c r="CZ209" i="30"/>
  <c r="DA209" i="30"/>
  <c r="DB209" i="30"/>
  <c r="DC209" i="30"/>
  <c r="DD209" i="30"/>
  <c r="DE209" i="30"/>
  <c r="DF209" i="30"/>
  <c r="DG209" i="30"/>
  <c r="DH209" i="30"/>
  <c r="DI209" i="30"/>
  <c r="DJ209" i="30"/>
  <c r="DK209" i="30"/>
  <c r="DL209" i="30"/>
  <c r="DM209" i="30"/>
  <c r="DN209" i="30"/>
  <c r="DO209" i="30"/>
  <c r="DP209" i="30"/>
  <c r="DQ209" i="30"/>
  <c r="DR209" i="30"/>
  <c r="DS209" i="30"/>
  <c r="DT209" i="30"/>
  <c r="DU209" i="30"/>
  <c r="DV209" i="30"/>
  <c r="DW209" i="30"/>
  <c r="DX209" i="30"/>
  <c r="DY209" i="30"/>
  <c r="DZ209" i="30"/>
  <c r="EA209" i="30"/>
  <c r="EB209" i="30"/>
  <c r="EC209" i="30"/>
  <c r="ED209" i="30"/>
  <c r="EE209" i="30"/>
  <c r="EF209" i="30"/>
  <c r="EG209" i="30"/>
  <c r="EH209" i="30"/>
  <c r="EI209" i="30"/>
  <c r="EJ209" i="30"/>
  <c r="EK209" i="30"/>
  <c r="EL209" i="30"/>
  <c r="EM209" i="30"/>
  <c r="EN209" i="30"/>
  <c r="EO209" i="30"/>
  <c r="EP209" i="30"/>
  <c r="EQ209" i="30"/>
  <c r="ER209" i="30"/>
  <c r="ES209" i="30"/>
  <c r="ET209" i="30"/>
  <c r="EU209" i="30"/>
  <c r="EV209" i="30"/>
  <c r="EW209" i="30"/>
  <c r="EX209" i="30"/>
  <c r="EY209" i="30"/>
  <c r="EZ209" i="30"/>
  <c r="FA209" i="30"/>
  <c r="FB209" i="30"/>
  <c r="FC209" i="30"/>
  <c r="FD209" i="30"/>
  <c r="FE209" i="30"/>
  <c r="FF209" i="30"/>
  <c r="FG209" i="30"/>
  <c r="FH209" i="30"/>
  <c r="FI209" i="30"/>
  <c r="FJ209" i="30"/>
  <c r="FK209" i="30"/>
  <c r="FL209" i="30"/>
  <c r="FM209" i="30"/>
  <c r="FN209" i="30"/>
  <c r="FO209" i="30"/>
  <c r="FP209" i="30"/>
  <c r="FQ209" i="30"/>
  <c r="FR209" i="30"/>
  <c r="FS209" i="30"/>
  <c r="FT209" i="30"/>
  <c r="FU209" i="30"/>
  <c r="FV209" i="30"/>
  <c r="FW209" i="30"/>
  <c r="FX209" i="30"/>
  <c r="FY209" i="30"/>
  <c r="FZ209" i="30"/>
  <c r="GA209" i="30"/>
  <c r="GB209" i="30"/>
  <c r="GC209" i="30"/>
  <c r="GD209" i="30"/>
  <c r="GE209" i="30"/>
  <c r="GF209" i="30"/>
  <c r="GG209" i="30"/>
  <c r="GH209" i="30"/>
  <c r="GI209" i="30"/>
  <c r="GJ209" i="30"/>
  <c r="GK209" i="30"/>
  <c r="GL209" i="30"/>
  <c r="GM209" i="30"/>
  <c r="GN209" i="30"/>
  <c r="GO209" i="30"/>
  <c r="GP209" i="30"/>
  <c r="GQ209" i="30"/>
  <c r="GR209" i="30"/>
  <c r="GS209" i="30"/>
  <c r="GT209" i="30"/>
  <c r="GU209" i="30"/>
  <c r="GV209" i="30"/>
  <c r="GW209" i="30"/>
  <c r="GX209" i="30"/>
  <c r="GY209" i="30"/>
  <c r="GZ209" i="30"/>
  <c r="HA209" i="30"/>
  <c r="HB209" i="30"/>
  <c r="HC209" i="30"/>
  <c r="HD209" i="30"/>
  <c r="HE209" i="30"/>
  <c r="HF209" i="30"/>
  <c r="HG209" i="30"/>
  <c r="HH209" i="30"/>
  <c r="HI209" i="30"/>
  <c r="HJ209" i="30"/>
  <c r="HK209" i="30"/>
  <c r="HL209" i="30"/>
  <c r="HM209" i="30"/>
  <c r="HN209" i="30"/>
  <c r="HO209" i="30"/>
  <c r="HP209" i="30"/>
  <c r="HQ209" i="30"/>
  <c r="HR209" i="30"/>
  <c r="HS209" i="30"/>
  <c r="HT209" i="30"/>
  <c r="HU209" i="30"/>
  <c r="HV209" i="30"/>
  <c r="HW209" i="30"/>
  <c r="HX209" i="30"/>
  <c r="HY209" i="30"/>
  <c r="HZ209" i="30"/>
  <c r="IA209" i="30"/>
  <c r="IB209" i="30"/>
  <c r="IC209" i="30"/>
  <c r="ID209" i="30"/>
  <c r="IE209" i="30"/>
  <c r="IF209" i="30"/>
  <c r="IG209" i="30"/>
  <c r="IH209" i="30"/>
  <c r="II209" i="30"/>
  <c r="IJ209" i="30"/>
  <c r="IK209" i="30"/>
  <c r="IL209" i="30"/>
  <c r="IM209" i="30"/>
  <c r="IN209" i="30"/>
  <c r="IO209" i="30"/>
  <c r="IP209" i="30"/>
  <c r="IQ209" i="30"/>
  <c r="IR209" i="30"/>
  <c r="IS209" i="30"/>
  <c r="IT209" i="30"/>
  <c r="IU209" i="30"/>
  <c r="IV209" i="30"/>
  <c r="A208" i="30"/>
  <c r="B208" i="30"/>
  <c r="C208" i="30"/>
  <c r="D208" i="30"/>
  <c r="E208" i="30"/>
  <c r="F208" i="30"/>
  <c r="G208" i="30"/>
  <c r="H208" i="30"/>
  <c r="I208" i="30"/>
  <c r="J208" i="30"/>
  <c r="K208" i="30"/>
  <c r="L208" i="30"/>
  <c r="M208" i="30"/>
  <c r="N208" i="30"/>
  <c r="O208" i="30"/>
  <c r="P208" i="30"/>
  <c r="Q208" i="30"/>
  <c r="R208" i="30"/>
  <c r="S208" i="30"/>
  <c r="T208" i="30"/>
  <c r="U208" i="30"/>
  <c r="V208" i="30"/>
  <c r="W208" i="30"/>
  <c r="X208" i="30"/>
  <c r="Y208" i="30"/>
  <c r="Z208" i="30"/>
  <c r="AA208" i="30"/>
  <c r="AB208" i="30"/>
  <c r="AC208" i="30"/>
  <c r="AD208" i="30"/>
  <c r="AE208" i="30"/>
  <c r="AF208" i="30"/>
  <c r="AG208" i="30"/>
  <c r="AH208" i="30"/>
  <c r="AI208" i="30"/>
  <c r="AJ208" i="30"/>
  <c r="AK208" i="30"/>
  <c r="AL208" i="30"/>
  <c r="AM208" i="30"/>
  <c r="AN208" i="30"/>
  <c r="AO208" i="30"/>
  <c r="AP208" i="30"/>
  <c r="AQ208" i="30"/>
  <c r="AR208" i="30"/>
  <c r="AS208" i="30"/>
  <c r="AT208" i="30"/>
  <c r="AU208" i="30"/>
  <c r="AV208" i="30"/>
  <c r="AW208" i="30"/>
  <c r="AX208" i="30"/>
  <c r="AY208" i="30"/>
  <c r="AZ208" i="30"/>
  <c r="BA208" i="30"/>
  <c r="BB208" i="30"/>
  <c r="BC208" i="30"/>
  <c r="BD208" i="30"/>
  <c r="BE208" i="30"/>
  <c r="BF208" i="30"/>
  <c r="BG208" i="30"/>
  <c r="BH208" i="30"/>
  <c r="BI208" i="30"/>
  <c r="BJ208" i="30"/>
  <c r="BK208" i="30"/>
  <c r="BL208" i="30"/>
  <c r="BM208" i="30"/>
  <c r="BN208" i="30"/>
  <c r="BO208" i="30"/>
  <c r="BP208" i="30"/>
  <c r="BQ208" i="30"/>
  <c r="BR208" i="30"/>
  <c r="BS208" i="30"/>
  <c r="BT208" i="30"/>
  <c r="BU208" i="30"/>
  <c r="BV208" i="30"/>
  <c r="BW208" i="30"/>
  <c r="BX208" i="30"/>
  <c r="BY208" i="30"/>
  <c r="BZ208" i="30"/>
  <c r="CA208" i="30"/>
  <c r="CB208" i="30"/>
  <c r="CC208" i="30"/>
  <c r="CD208" i="30"/>
  <c r="CE208" i="30"/>
  <c r="CF208" i="30"/>
  <c r="CG208" i="30"/>
  <c r="CH208" i="30"/>
  <c r="CI208" i="30"/>
  <c r="CJ208" i="30"/>
  <c r="CK208" i="30"/>
  <c r="CL208" i="30"/>
  <c r="CM208" i="30"/>
  <c r="CN208" i="30"/>
  <c r="CO208" i="30"/>
  <c r="CP208" i="30"/>
  <c r="CQ208" i="30"/>
  <c r="CR208" i="30"/>
  <c r="CS208" i="30"/>
  <c r="CT208" i="30"/>
  <c r="CU208" i="30"/>
  <c r="CV208" i="30"/>
  <c r="CW208" i="30"/>
  <c r="CX208" i="30"/>
  <c r="CY208" i="30"/>
  <c r="CZ208" i="30"/>
  <c r="DA208" i="30"/>
  <c r="DB208" i="30"/>
  <c r="DC208" i="30"/>
  <c r="DD208" i="30"/>
  <c r="DE208" i="30"/>
  <c r="DF208" i="30"/>
  <c r="DG208" i="30"/>
  <c r="DH208" i="30"/>
  <c r="DI208" i="30"/>
  <c r="DJ208" i="30"/>
  <c r="DK208" i="30"/>
  <c r="DL208" i="30"/>
  <c r="DM208" i="30"/>
  <c r="DN208" i="30"/>
  <c r="DO208" i="30"/>
  <c r="DP208" i="30"/>
  <c r="DQ208" i="30"/>
  <c r="DR208" i="30"/>
  <c r="DS208" i="30"/>
  <c r="DT208" i="30"/>
  <c r="DU208" i="30"/>
  <c r="DV208" i="30"/>
  <c r="DW208" i="30"/>
  <c r="DX208" i="30"/>
  <c r="DY208" i="30"/>
  <c r="DZ208" i="30"/>
  <c r="EA208" i="30"/>
  <c r="EB208" i="30"/>
  <c r="EC208" i="30"/>
  <c r="ED208" i="30"/>
  <c r="EE208" i="30"/>
  <c r="EF208" i="30"/>
  <c r="EG208" i="30"/>
  <c r="EH208" i="30"/>
  <c r="EI208" i="30"/>
  <c r="EJ208" i="30"/>
  <c r="EK208" i="30"/>
  <c r="EL208" i="30"/>
  <c r="EM208" i="30"/>
  <c r="EN208" i="30"/>
  <c r="EO208" i="30"/>
  <c r="EP208" i="30"/>
  <c r="EQ208" i="30"/>
  <c r="ER208" i="30"/>
  <c r="ES208" i="30"/>
  <c r="ET208" i="30"/>
  <c r="EU208" i="30"/>
  <c r="EV208" i="30"/>
  <c r="EW208" i="30"/>
  <c r="EX208" i="30"/>
  <c r="EY208" i="30"/>
  <c r="EZ208" i="30"/>
  <c r="FA208" i="30"/>
  <c r="FB208" i="30"/>
  <c r="FC208" i="30"/>
  <c r="FD208" i="30"/>
  <c r="FE208" i="30"/>
  <c r="FF208" i="30"/>
  <c r="FG208" i="30"/>
  <c r="FH208" i="30"/>
  <c r="FI208" i="30"/>
  <c r="FJ208" i="30"/>
  <c r="FK208" i="30"/>
  <c r="FL208" i="30"/>
  <c r="FM208" i="30"/>
  <c r="FN208" i="30"/>
  <c r="FO208" i="30"/>
  <c r="FP208" i="30"/>
  <c r="FQ208" i="30"/>
  <c r="FR208" i="30"/>
  <c r="FS208" i="30"/>
  <c r="FT208" i="30"/>
  <c r="FU208" i="30"/>
  <c r="FV208" i="30"/>
  <c r="FW208" i="30"/>
  <c r="FX208" i="30"/>
  <c r="FY208" i="30"/>
  <c r="FZ208" i="30"/>
  <c r="GA208" i="30"/>
  <c r="GB208" i="30"/>
  <c r="GC208" i="30"/>
  <c r="GD208" i="30"/>
  <c r="GE208" i="30"/>
  <c r="GF208" i="30"/>
  <c r="GG208" i="30"/>
  <c r="GH208" i="30"/>
  <c r="GI208" i="30"/>
  <c r="GJ208" i="30"/>
  <c r="GK208" i="30"/>
  <c r="GL208" i="30"/>
  <c r="GM208" i="30"/>
  <c r="GN208" i="30"/>
  <c r="GO208" i="30"/>
  <c r="GP208" i="30"/>
  <c r="GQ208" i="30"/>
  <c r="GR208" i="30"/>
  <c r="GS208" i="30"/>
  <c r="GT208" i="30"/>
  <c r="GU208" i="30"/>
  <c r="GV208" i="30"/>
  <c r="GW208" i="30"/>
  <c r="GX208" i="30"/>
  <c r="GY208" i="30"/>
  <c r="GZ208" i="30"/>
  <c r="HA208" i="30"/>
  <c r="HB208" i="30"/>
  <c r="HC208" i="30"/>
  <c r="HD208" i="30"/>
  <c r="HE208" i="30"/>
  <c r="HF208" i="30"/>
  <c r="HG208" i="30"/>
  <c r="HH208" i="30"/>
  <c r="HI208" i="30"/>
  <c r="HJ208" i="30"/>
  <c r="HK208" i="30"/>
  <c r="HL208" i="30"/>
  <c r="HM208" i="30"/>
  <c r="HN208" i="30"/>
  <c r="HO208" i="30"/>
  <c r="HP208" i="30"/>
  <c r="HQ208" i="30"/>
  <c r="HR208" i="30"/>
  <c r="HS208" i="30"/>
  <c r="HT208" i="30"/>
  <c r="HU208" i="30"/>
  <c r="HV208" i="30"/>
  <c r="HW208" i="30"/>
  <c r="HX208" i="30"/>
  <c r="HY208" i="30"/>
  <c r="HZ208" i="30"/>
  <c r="IA208" i="30"/>
  <c r="IB208" i="30"/>
  <c r="IC208" i="30"/>
  <c r="ID208" i="30"/>
  <c r="IE208" i="30"/>
  <c r="IF208" i="30"/>
  <c r="IG208" i="30"/>
  <c r="IH208" i="30"/>
  <c r="II208" i="30"/>
  <c r="IJ208" i="30"/>
  <c r="IK208" i="30"/>
  <c r="IL208" i="30"/>
  <c r="IM208" i="30"/>
  <c r="IN208" i="30"/>
  <c r="IO208" i="30"/>
  <c r="IP208" i="30"/>
  <c r="IQ208" i="30"/>
  <c r="IR208" i="30"/>
  <c r="IS208" i="30"/>
  <c r="IT208" i="30"/>
  <c r="IU208" i="30"/>
  <c r="IV208" i="30"/>
  <c r="A207" i="30"/>
  <c r="B207" i="30"/>
  <c r="C207" i="30"/>
  <c r="D207" i="30"/>
  <c r="E207" i="30"/>
  <c r="F207" i="30"/>
  <c r="G207" i="30"/>
  <c r="H207" i="30"/>
  <c r="I207" i="30"/>
  <c r="J207" i="30"/>
  <c r="K207" i="30"/>
  <c r="L207" i="30"/>
  <c r="M207" i="30"/>
  <c r="N207" i="30"/>
  <c r="O207" i="30"/>
  <c r="P207" i="30"/>
  <c r="Q207" i="30"/>
  <c r="R207" i="30"/>
  <c r="S207" i="30"/>
  <c r="T207" i="30"/>
  <c r="U207" i="30"/>
  <c r="V207" i="30"/>
  <c r="W207" i="30"/>
  <c r="X207" i="30"/>
  <c r="Y207" i="30"/>
  <c r="Z207" i="30"/>
  <c r="AA207" i="30"/>
  <c r="AB207" i="30"/>
  <c r="AC207" i="30"/>
  <c r="AD207" i="30"/>
  <c r="AE207" i="30"/>
  <c r="AF207" i="30"/>
  <c r="AG207" i="30"/>
  <c r="AH207" i="30"/>
  <c r="AI207" i="30"/>
  <c r="AJ207" i="30"/>
  <c r="AK207" i="30"/>
  <c r="AL207" i="30"/>
  <c r="AM207" i="30"/>
  <c r="AN207" i="30"/>
  <c r="AO207" i="30"/>
  <c r="AP207" i="30"/>
  <c r="AQ207" i="30"/>
  <c r="AR207" i="30"/>
  <c r="AS207" i="30"/>
  <c r="AT207" i="30"/>
  <c r="AU207" i="30"/>
  <c r="AV207" i="30"/>
  <c r="AW207" i="30"/>
  <c r="AX207" i="30"/>
  <c r="AY207" i="30"/>
  <c r="AZ207" i="30"/>
  <c r="BA207" i="30"/>
  <c r="BB207" i="30"/>
  <c r="BC207" i="30"/>
  <c r="BD207" i="30"/>
  <c r="BE207" i="30"/>
  <c r="BF207" i="30"/>
  <c r="BG207" i="30"/>
  <c r="BH207" i="30"/>
  <c r="BI207" i="30"/>
  <c r="BJ207" i="30"/>
  <c r="BK207" i="30"/>
  <c r="BL207" i="30"/>
  <c r="BM207" i="30"/>
  <c r="BN207" i="30"/>
  <c r="BO207" i="30"/>
  <c r="BP207" i="30"/>
  <c r="BQ207" i="30"/>
  <c r="BR207" i="30"/>
  <c r="BS207" i="30"/>
  <c r="BT207" i="30"/>
  <c r="BU207" i="30"/>
  <c r="BV207" i="30"/>
  <c r="BW207" i="30"/>
  <c r="BX207" i="30"/>
  <c r="BY207" i="30"/>
  <c r="BZ207" i="30"/>
  <c r="CA207" i="30"/>
  <c r="CB207" i="30"/>
  <c r="CC207" i="30"/>
  <c r="CD207" i="30"/>
  <c r="CE207" i="30"/>
  <c r="CF207" i="30"/>
  <c r="CG207" i="30"/>
  <c r="CH207" i="30"/>
  <c r="CI207" i="30"/>
  <c r="CJ207" i="30"/>
  <c r="CK207" i="30"/>
  <c r="CL207" i="30"/>
  <c r="CM207" i="30"/>
  <c r="CN207" i="30"/>
  <c r="CO207" i="30"/>
  <c r="CP207" i="30"/>
  <c r="CQ207" i="30"/>
  <c r="CR207" i="30"/>
  <c r="CS207" i="30"/>
  <c r="CT207" i="30"/>
  <c r="CU207" i="30"/>
  <c r="CV207" i="30"/>
  <c r="CW207" i="30"/>
  <c r="CX207" i="30"/>
  <c r="CY207" i="30"/>
  <c r="CZ207" i="30"/>
  <c r="DA207" i="30"/>
  <c r="DB207" i="30"/>
  <c r="DC207" i="30"/>
  <c r="DD207" i="30"/>
  <c r="DE207" i="30"/>
  <c r="DF207" i="30"/>
  <c r="DG207" i="30"/>
  <c r="DH207" i="30"/>
  <c r="DI207" i="30"/>
  <c r="DJ207" i="30"/>
  <c r="DK207" i="30"/>
  <c r="DL207" i="30"/>
  <c r="DM207" i="30"/>
  <c r="DN207" i="30"/>
  <c r="DO207" i="30"/>
  <c r="DP207" i="30"/>
  <c r="DQ207" i="30"/>
  <c r="DR207" i="30"/>
  <c r="DS207" i="30"/>
  <c r="DT207" i="30"/>
  <c r="DU207" i="30"/>
  <c r="DV207" i="30"/>
  <c r="DW207" i="30"/>
  <c r="DX207" i="30"/>
  <c r="DY207" i="30"/>
  <c r="DZ207" i="30"/>
  <c r="EA207" i="30"/>
  <c r="EB207" i="30"/>
  <c r="EC207" i="30"/>
  <c r="ED207" i="30"/>
  <c r="EE207" i="30"/>
  <c r="EF207" i="30"/>
  <c r="EG207" i="30"/>
  <c r="EH207" i="30"/>
  <c r="EI207" i="30"/>
  <c r="EJ207" i="30"/>
  <c r="EK207" i="30"/>
  <c r="EL207" i="30"/>
  <c r="EM207" i="30"/>
  <c r="EN207" i="30"/>
  <c r="EO207" i="30"/>
  <c r="EP207" i="30"/>
  <c r="EQ207" i="30"/>
  <c r="ER207" i="30"/>
  <c r="ES207" i="30"/>
  <c r="ET207" i="30"/>
  <c r="EU207" i="30"/>
  <c r="EV207" i="30"/>
  <c r="EW207" i="30"/>
  <c r="EX207" i="30"/>
  <c r="EY207" i="30"/>
  <c r="EZ207" i="30"/>
  <c r="FA207" i="30"/>
  <c r="FB207" i="30"/>
  <c r="FC207" i="30"/>
  <c r="FD207" i="30"/>
  <c r="FE207" i="30"/>
  <c r="FF207" i="30"/>
  <c r="FG207" i="30"/>
  <c r="FH207" i="30"/>
  <c r="FI207" i="30"/>
  <c r="FJ207" i="30"/>
  <c r="FK207" i="30"/>
  <c r="FL207" i="30"/>
  <c r="FM207" i="30"/>
  <c r="FN207" i="30"/>
  <c r="FO207" i="30"/>
  <c r="FP207" i="30"/>
  <c r="FQ207" i="30"/>
  <c r="FR207" i="30"/>
  <c r="FS207" i="30"/>
  <c r="FT207" i="30"/>
  <c r="FU207" i="30"/>
  <c r="FV207" i="30"/>
  <c r="FW207" i="30"/>
  <c r="FX207" i="30"/>
  <c r="FY207" i="30"/>
  <c r="FZ207" i="30"/>
  <c r="GA207" i="30"/>
  <c r="GB207" i="30"/>
  <c r="GC207" i="30"/>
  <c r="GD207" i="30"/>
  <c r="GE207" i="30"/>
  <c r="GF207" i="30"/>
  <c r="GG207" i="30"/>
  <c r="GH207" i="30"/>
  <c r="GI207" i="30"/>
  <c r="GJ207" i="30"/>
  <c r="GK207" i="30"/>
  <c r="GL207" i="30"/>
  <c r="GM207" i="30"/>
  <c r="GN207" i="30"/>
  <c r="GO207" i="30"/>
  <c r="GP207" i="30"/>
  <c r="GQ207" i="30"/>
  <c r="GR207" i="30"/>
  <c r="GS207" i="30"/>
  <c r="GT207" i="30"/>
  <c r="GU207" i="30"/>
  <c r="GV207" i="30"/>
  <c r="GW207" i="30"/>
  <c r="GX207" i="30"/>
  <c r="GY207" i="30"/>
  <c r="GZ207" i="30"/>
  <c r="HA207" i="30"/>
  <c r="HB207" i="30"/>
  <c r="HC207" i="30"/>
  <c r="HD207" i="30"/>
  <c r="HE207" i="30"/>
  <c r="HF207" i="30"/>
  <c r="HG207" i="30"/>
  <c r="HH207" i="30"/>
  <c r="HI207" i="30"/>
  <c r="HJ207" i="30"/>
  <c r="HK207" i="30"/>
  <c r="HL207" i="30"/>
  <c r="HM207" i="30"/>
  <c r="HN207" i="30"/>
  <c r="HO207" i="30"/>
  <c r="HP207" i="30"/>
  <c r="HQ207" i="30"/>
  <c r="HR207" i="30"/>
  <c r="HS207" i="30"/>
  <c r="HT207" i="30"/>
  <c r="HU207" i="30"/>
  <c r="HV207" i="30"/>
  <c r="HW207" i="30"/>
  <c r="HX207" i="30"/>
  <c r="HY207" i="30"/>
  <c r="HZ207" i="30"/>
  <c r="IA207" i="30"/>
  <c r="IB207" i="30"/>
  <c r="IC207" i="30"/>
  <c r="ID207" i="30"/>
  <c r="IE207" i="30"/>
  <c r="IF207" i="30"/>
  <c r="IG207" i="30"/>
  <c r="IH207" i="30"/>
  <c r="II207" i="30"/>
  <c r="IJ207" i="30"/>
  <c r="IK207" i="30"/>
  <c r="IL207" i="30"/>
  <c r="IM207" i="30"/>
  <c r="IN207" i="30"/>
  <c r="IO207" i="30"/>
  <c r="IP207" i="30"/>
  <c r="IQ207" i="30"/>
  <c r="IR207" i="30"/>
  <c r="IS207" i="30"/>
  <c r="IT207" i="30"/>
  <c r="IU207" i="30"/>
  <c r="IV207" i="30"/>
  <c r="A206" i="30"/>
  <c r="B206" i="30"/>
  <c r="C206" i="30"/>
  <c r="D206" i="30"/>
  <c r="E206" i="30"/>
  <c r="F206" i="30"/>
  <c r="G206" i="30"/>
  <c r="H206" i="30"/>
  <c r="I206" i="30"/>
  <c r="J206" i="30"/>
  <c r="K206" i="30"/>
  <c r="L206" i="30"/>
  <c r="M206" i="30"/>
  <c r="N206" i="30"/>
  <c r="O206" i="30"/>
  <c r="P206" i="30"/>
  <c r="Q206" i="30"/>
  <c r="R206" i="30"/>
  <c r="S206" i="30"/>
  <c r="T206" i="30"/>
  <c r="U206" i="30"/>
  <c r="V206" i="30"/>
  <c r="W206" i="30"/>
  <c r="X206" i="30"/>
  <c r="Y206" i="30"/>
  <c r="Z206" i="30"/>
  <c r="AA206" i="30"/>
  <c r="AB206" i="30"/>
  <c r="AC206" i="30"/>
  <c r="AD206" i="30"/>
  <c r="AE206" i="30"/>
  <c r="AF206" i="30"/>
  <c r="AG206" i="30"/>
  <c r="AH206" i="30"/>
  <c r="AI206" i="30"/>
  <c r="AJ206" i="30"/>
  <c r="AK206" i="30"/>
  <c r="AL206" i="30"/>
  <c r="AM206" i="30"/>
  <c r="AN206" i="30"/>
  <c r="AO206" i="30"/>
  <c r="AP206" i="30"/>
  <c r="AQ206" i="30"/>
  <c r="AR206" i="30"/>
  <c r="AS206" i="30"/>
  <c r="AT206" i="30"/>
  <c r="AU206" i="30"/>
  <c r="AV206" i="30"/>
  <c r="AW206" i="30"/>
  <c r="AX206" i="30"/>
  <c r="AY206" i="30"/>
  <c r="AZ206" i="30"/>
  <c r="BA206" i="30"/>
  <c r="BB206" i="30"/>
  <c r="BC206" i="30"/>
  <c r="BD206" i="30"/>
  <c r="BE206" i="30"/>
  <c r="BF206" i="30"/>
  <c r="BG206" i="30"/>
  <c r="BH206" i="30"/>
  <c r="BI206" i="30"/>
  <c r="BJ206" i="30"/>
  <c r="BK206" i="30"/>
  <c r="BL206" i="30"/>
  <c r="BM206" i="30"/>
  <c r="BN206" i="30"/>
  <c r="BO206" i="30"/>
  <c r="BP206" i="30"/>
  <c r="BQ206" i="30"/>
  <c r="BR206" i="30"/>
  <c r="BS206" i="30"/>
  <c r="BT206" i="30"/>
  <c r="BU206" i="30"/>
  <c r="BV206" i="30"/>
  <c r="BW206" i="30"/>
  <c r="BX206" i="30"/>
  <c r="BY206" i="30"/>
  <c r="BZ206" i="30"/>
  <c r="CA206" i="30"/>
  <c r="CB206" i="30"/>
  <c r="CC206" i="30"/>
  <c r="CD206" i="30"/>
  <c r="CE206" i="30"/>
  <c r="CF206" i="30"/>
  <c r="CG206" i="30"/>
  <c r="CH206" i="30"/>
  <c r="CI206" i="30"/>
  <c r="CJ206" i="30"/>
  <c r="CK206" i="30"/>
  <c r="CL206" i="30"/>
  <c r="CM206" i="30"/>
  <c r="CN206" i="30"/>
  <c r="CO206" i="30"/>
  <c r="CP206" i="30"/>
  <c r="CQ206" i="30"/>
  <c r="CR206" i="30"/>
  <c r="CS206" i="30"/>
  <c r="CT206" i="30"/>
  <c r="CU206" i="30"/>
  <c r="CV206" i="30"/>
  <c r="CW206" i="30"/>
  <c r="CX206" i="30"/>
  <c r="CY206" i="30"/>
  <c r="CZ206" i="30"/>
  <c r="DA206" i="30"/>
  <c r="DB206" i="30"/>
  <c r="DC206" i="30"/>
  <c r="DD206" i="30"/>
  <c r="DE206" i="30"/>
  <c r="DF206" i="30"/>
  <c r="DG206" i="30"/>
  <c r="DH206" i="30"/>
  <c r="DI206" i="30"/>
  <c r="DJ206" i="30"/>
  <c r="DK206" i="30"/>
  <c r="DL206" i="30"/>
  <c r="DM206" i="30"/>
  <c r="DN206" i="30"/>
  <c r="DO206" i="30"/>
  <c r="DP206" i="30"/>
  <c r="DQ206" i="30"/>
  <c r="DR206" i="30"/>
  <c r="DS206" i="30"/>
  <c r="DT206" i="30"/>
  <c r="DU206" i="30"/>
  <c r="DV206" i="30"/>
  <c r="DW206" i="30"/>
  <c r="DX206" i="30"/>
  <c r="DY206" i="30"/>
  <c r="DZ206" i="30"/>
  <c r="EA206" i="30"/>
  <c r="EB206" i="30"/>
  <c r="EC206" i="30"/>
  <c r="ED206" i="30"/>
  <c r="EE206" i="30"/>
  <c r="EF206" i="30"/>
  <c r="EG206" i="30"/>
  <c r="EH206" i="30"/>
  <c r="EI206" i="30"/>
  <c r="EJ206" i="30"/>
  <c r="EK206" i="30"/>
  <c r="EL206" i="30"/>
  <c r="EM206" i="30"/>
  <c r="EN206" i="30"/>
  <c r="EO206" i="30"/>
  <c r="EP206" i="30"/>
  <c r="EQ206" i="30"/>
  <c r="ER206" i="30"/>
  <c r="ES206" i="30"/>
  <c r="ET206" i="30"/>
  <c r="EU206" i="30"/>
  <c r="EV206" i="30"/>
  <c r="EW206" i="30"/>
  <c r="EX206" i="30"/>
  <c r="EY206" i="30"/>
  <c r="EZ206" i="30"/>
  <c r="FA206" i="30"/>
  <c r="FB206" i="30"/>
  <c r="FC206" i="30"/>
  <c r="FD206" i="30"/>
  <c r="FE206" i="30"/>
  <c r="FF206" i="30"/>
  <c r="FG206" i="30"/>
  <c r="FH206" i="30"/>
  <c r="FI206" i="30"/>
  <c r="FJ206" i="30"/>
  <c r="FK206" i="30"/>
  <c r="FL206" i="30"/>
  <c r="FM206" i="30"/>
  <c r="FN206" i="30"/>
  <c r="FO206" i="30"/>
  <c r="FP206" i="30"/>
  <c r="FQ206" i="30"/>
  <c r="FR206" i="30"/>
  <c r="FS206" i="30"/>
  <c r="FT206" i="30"/>
  <c r="FU206" i="30"/>
  <c r="FV206" i="30"/>
  <c r="FW206" i="30"/>
  <c r="FX206" i="30"/>
  <c r="FY206" i="30"/>
  <c r="FZ206" i="30"/>
  <c r="GA206" i="30"/>
  <c r="GB206" i="30"/>
  <c r="GC206" i="30"/>
  <c r="GD206" i="30"/>
  <c r="GE206" i="30"/>
  <c r="GF206" i="30"/>
  <c r="GG206" i="30"/>
  <c r="GH206" i="30"/>
  <c r="GI206" i="30"/>
  <c r="GJ206" i="30"/>
  <c r="GK206" i="30"/>
  <c r="GL206" i="30"/>
  <c r="GM206" i="30"/>
  <c r="GN206" i="30"/>
  <c r="GO206" i="30"/>
  <c r="GP206" i="30"/>
  <c r="GQ206" i="30"/>
  <c r="GR206" i="30"/>
  <c r="GS206" i="30"/>
  <c r="GT206" i="30"/>
  <c r="GU206" i="30"/>
  <c r="GV206" i="30"/>
  <c r="GW206" i="30"/>
  <c r="GX206" i="30"/>
  <c r="GY206" i="30"/>
  <c r="GZ206" i="30"/>
  <c r="HA206" i="30"/>
  <c r="HB206" i="30"/>
  <c r="HC206" i="30"/>
  <c r="HD206" i="30"/>
  <c r="HE206" i="30"/>
  <c r="HF206" i="30"/>
  <c r="HG206" i="30"/>
  <c r="HH206" i="30"/>
  <c r="HI206" i="30"/>
  <c r="HJ206" i="30"/>
  <c r="HK206" i="30"/>
  <c r="HL206" i="30"/>
  <c r="HM206" i="30"/>
  <c r="HN206" i="30"/>
  <c r="HO206" i="30"/>
  <c r="HP206" i="30"/>
  <c r="HQ206" i="30"/>
  <c r="HR206" i="30"/>
  <c r="HS206" i="30"/>
  <c r="HT206" i="30"/>
  <c r="HU206" i="30"/>
  <c r="HV206" i="30"/>
  <c r="HW206" i="30"/>
  <c r="HX206" i="30"/>
  <c r="HY206" i="30"/>
  <c r="HZ206" i="30"/>
  <c r="IA206" i="30"/>
  <c r="IB206" i="30"/>
  <c r="IC206" i="30"/>
  <c r="ID206" i="30"/>
  <c r="IE206" i="30"/>
  <c r="IF206" i="30"/>
  <c r="IG206" i="30"/>
  <c r="IH206" i="30"/>
  <c r="II206" i="30"/>
  <c r="IJ206" i="30"/>
  <c r="IK206" i="30"/>
  <c r="IL206" i="30"/>
  <c r="IM206" i="30"/>
  <c r="IN206" i="30"/>
  <c r="IO206" i="30"/>
  <c r="IP206" i="30"/>
  <c r="IQ206" i="30"/>
  <c r="IR206" i="30"/>
  <c r="IS206" i="30"/>
  <c r="IT206" i="30"/>
  <c r="IU206" i="30"/>
  <c r="IV206" i="30"/>
  <c r="A205" i="30"/>
  <c r="B205" i="30"/>
  <c r="C205" i="30"/>
  <c r="D205" i="30"/>
  <c r="E205" i="30"/>
  <c r="F205" i="30"/>
  <c r="G205" i="30"/>
  <c r="H205" i="30"/>
  <c r="I205" i="30"/>
  <c r="J205" i="30"/>
  <c r="K205" i="30"/>
  <c r="L205" i="30"/>
  <c r="M205" i="30"/>
  <c r="N205" i="30"/>
  <c r="O205" i="30"/>
  <c r="P205" i="30"/>
  <c r="Q205" i="30"/>
  <c r="R205" i="30"/>
  <c r="S205" i="30"/>
  <c r="T205" i="30"/>
  <c r="U205" i="30"/>
  <c r="V205" i="30"/>
  <c r="W205" i="30"/>
  <c r="X205" i="30"/>
  <c r="Y205" i="30"/>
  <c r="Z205" i="30"/>
  <c r="AA205" i="30"/>
  <c r="AB205" i="30"/>
  <c r="AC205" i="30"/>
  <c r="AD205" i="30"/>
  <c r="AE205" i="30"/>
  <c r="AF205" i="30"/>
  <c r="AG205" i="30"/>
  <c r="AH205" i="30"/>
  <c r="AI205" i="30"/>
  <c r="AJ205" i="30"/>
  <c r="AK205" i="30"/>
  <c r="AL205" i="30"/>
  <c r="AM205" i="30"/>
  <c r="AN205" i="30"/>
  <c r="AO205" i="30"/>
  <c r="AP205" i="30"/>
  <c r="AQ205" i="30"/>
  <c r="AR205" i="30"/>
  <c r="AS205" i="30"/>
  <c r="AT205" i="30"/>
  <c r="AU205" i="30"/>
  <c r="AV205" i="30"/>
  <c r="AW205" i="30"/>
  <c r="AX205" i="30"/>
  <c r="AY205" i="30"/>
  <c r="AZ205" i="30"/>
  <c r="BA205" i="30"/>
  <c r="BB205" i="30"/>
  <c r="BC205" i="30"/>
  <c r="BD205" i="30"/>
  <c r="BE205" i="30"/>
  <c r="BF205" i="30"/>
  <c r="BG205" i="30"/>
  <c r="BH205" i="30"/>
  <c r="BI205" i="30"/>
  <c r="BJ205" i="30"/>
  <c r="BK205" i="30"/>
  <c r="BL205" i="30"/>
  <c r="BM205" i="30"/>
  <c r="BN205" i="30"/>
  <c r="BO205" i="30"/>
  <c r="BP205" i="30"/>
  <c r="BQ205" i="30"/>
  <c r="BR205" i="30"/>
  <c r="BS205" i="30"/>
  <c r="BT205" i="30"/>
  <c r="BU205" i="30"/>
  <c r="BV205" i="30"/>
  <c r="BW205" i="30"/>
  <c r="BX205" i="30"/>
  <c r="BY205" i="30"/>
  <c r="BZ205" i="30"/>
  <c r="CA205" i="30"/>
  <c r="CB205" i="30"/>
  <c r="CC205" i="30"/>
  <c r="CD205" i="30"/>
  <c r="CE205" i="30"/>
  <c r="CF205" i="30"/>
  <c r="CG205" i="30"/>
  <c r="CH205" i="30"/>
  <c r="CI205" i="30"/>
  <c r="CJ205" i="30"/>
  <c r="CK205" i="30"/>
  <c r="CL205" i="30"/>
  <c r="CM205" i="30"/>
  <c r="CN205" i="30"/>
  <c r="CO205" i="30"/>
  <c r="CP205" i="30"/>
  <c r="CQ205" i="30"/>
  <c r="CR205" i="30"/>
  <c r="CS205" i="30"/>
  <c r="CT205" i="30"/>
  <c r="CU205" i="30"/>
  <c r="CV205" i="30"/>
  <c r="CW205" i="30"/>
  <c r="CX205" i="30"/>
  <c r="CY205" i="30"/>
  <c r="CZ205" i="30"/>
  <c r="DA205" i="30"/>
  <c r="DB205" i="30"/>
  <c r="DC205" i="30"/>
  <c r="DD205" i="30"/>
  <c r="DE205" i="30"/>
  <c r="DF205" i="30"/>
  <c r="DG205" i="30"/>
  <c r="DH205" i="30"/>
  <c r="DI205" i="30"/>
  <c r="DJ205" i="30"/>
  <c r="DK205" i="30"/>
  <c r="DL205" i="30"/>
  <c r="DM205" i="30"/>
  <c r="DN205" i="30"/>
  <c r="DO205" i="30"/>
  <c r="DP205" i="30"/>
  <c r="DQ205" i="30"/>
  <c r="DR205" i="30"/>
  <c r="DS205" i="30"/>
  <c r="DT205" i="30"/>
  <c r="DU205" i="30"/>
  <c r="DV205" i="30"/>
  <c r="DW205" i="30"/>
  <c r="DX205" i="30"/>
  <c r="DY205" i="30"/>
  <c r="DZ205" i="30"/>
  <c r="EA205" i="30"/>
  <c r="EB205" i="30"/>
  <c r="EC205" i="30"/>
  <c r="ED205" i="30"/>
  <c r="EE205" i="30"/>
  <c r="EF205" i="30"/>
  <c r="EG205" i="30"/>
  <c r="EH205" i="30"/>
  <c r="EI205" i="30"/>
  <c r="EJ205" i="30"/>
  <c r="EK205" i="30"/>
  <c r="EL205" i="30"/>
  <c r="EM205" i="30"/>
  <c r="EN205" i="30"/>
  <c r="EO205" i="30"/>
  <c r="EP205" i="30"/>
  <c r="EQ205" i="30"/>
  <c r="ER205" i="30"/>
  <c r="ES205" i="30"/>
  <c r="ET205" i="30"/>
  <c r="EU205" i="30"/>
  <c r="EV205" i="30"/>
  <c r="EW205" i="30"/>
  <c r="EX205" i="30"/>
  <c r="EY205" i="30"/>
  <c r="EZ205" i="30"/>
  <c r="FA205" i="30"/>
  <c r="FB205" i="30"/>
  <c r="FC205" i="30"/>
  <c r="FD205" i="30"/>
  <c r="FE205" i="30"/>
  <c r="FF205" i="30"/>
  <c r="FG205" i="30"/>
  <c r="FH205" i="30"/>
  <c r="FI205" i="30"/>
  <c r="FJ205" i="30"/>
  <c r="FK205" i="30"/>
  <c r="FL205" i="30"/>
  <c r="FM205" i="30"/>
  <c r="FN205" i="30"/>
  <c r="FO205" i="30"/>
  <c r="FP205" i="30"/>
  <c r="FQ205" i="30"/>
  <c r="FR205" i="30"/>
  <c r="FS205" i="30"/>
  <c r="FT205" i="30"/>
  <c r="FU205" i="30"/>
  <c r="FV205" i="30"/>
  <c r="FW205" i="30"/>
  <c r="FX205" i="30"/>
  <c r="FY205" i="30"/>
  <c r="FZ205" i="30"/>
  <c r="GA205" i="30"/>
  <c r="GB205" i="30"/>
  <c r="GC205" i="30"/>
  <c r="GD205" i="30"/>
  <c r="GE205" i="30"/>
  <c r="GF205" i="30"/>
  <c r="GG205" i="30"/>
  <c r="GH205" i="30"/>
  <c r="GI205" i="30"/>
  <c r="GJ205" i="30"/>
  <c r="GK205" i="30"/>
  <c r="GL205" i="30"/>
  <c r="GM205" i="30"/>
  <c r="GN205" i="30"/>
  <c r="GO205" i="30"/>
  <c r="GP205" i="30"/>
  <c r="GQ205" i="30"/>
  <c r="GR205" i="30"/>
  <c r="GS205" i="30"/>
  <c r="GT205" i="30"/>
  <c r="GU205" i="30"/>
  <c r="GV205" i="30"/>
  <c r="GW205" i="30"/>
  <c r="GX205" i="30"/>
  <c r="GY205" i="30"/>
  <c r="GZ205" i="30"/>
  <c r="HA205" i="30"/>
  <c r="HB205" i="30"/>
  <c r="HC205" i="30"/>
  <c r="HD205" i="30"/>
  <c r="HE205" i="30"/>
  <c r="HF205" i="30"/>
  <c r="HG205" i="30"/>
  <c r="HH205" i="30"/>
  <c r="HI205" i="30"/>
  <c r="HJ205" i="30"/>
  <c r="HK205" i="30"/>
  <c r="HL205" i="30"/>
  <c r="HM205" i="30"/>
  <c r="HN205" i="30"/>
  <c r="HO205" i="30"/>
  <c r="HP205" i="30"/>
  <c r="HQ205" i="30"/>
  <c r="HR205" i="30"/>
  <c r="HS205" i="30"/>
  <c r="HT205" i="30"/>
  <c r="HU205" i="30"/>
  <c r="HV205" i="30"/>
  <c r="HW205" i="30"/>
  <c r="HX205" i="30"/>
  <c r="HY205" i="30"/>
  <c r="HZ205" i="30"/>
  <c r="IA205" i="30"/>
  <c r="IB205" i="30"/>
  <c r="IC205" i="30"/>
  <c r="ID205" i="30"/>
  <c r="IE205" i="30"/>
  <c r="IF205" i="30"/>
  <c r="IG205" i="30"/>
  <c r="IH205" i="30"/>
  <c r="II205" i="30"/>
  <c r="IJ205" i="30"/>
  <c r="IK205" i="30"/>
  <c r="IL205" i="30"/>
  <c r="IM205" i="30"/>
  <c r="IN205" i="30"/>
  <c r="IO205" i="30"/>
  <c r="IP205" i="30"/>
  <c r="IQ205" i="30"/>
  <c r="IR205" i="30"/>
  <c r="IS205" i="30"/>
  <c r="IT205" i="30"/>
  <c r="IU205" i="30"/>
  <c r="IV205" i="30"/>
  <c r="A204" i="30"/>
  <c r="B204" i="30"/>
  <c r="C204" i="30"/>
  <c r="D204" i="30"/>
  <c r="E204" i="30"/>
  <c r="F204" i="30"/>
  <c r="G204" i="30"/>
  <c r="H204" i="30"/>
  <c r="I204" i="30"/>
  <c r="J204" i="30"/>
  <c r="K204" i="30"/>
  <c r="L204" i="30"/>
  <c r="M204" i="30"/>
  <c r="N204" i="30"/>
  <c r="O204" i="30"/>
  <c r="P204" i="30"/>
  <c r="Q204" i="30"/>
  <c r="R204" i="30"/>
  <c r="S204" i="30"/>
  <c r="T204" i="30"/>
  <c r="U204" i="30"/>
  <c r="V204" i="30"/>
  <c r="W204" i="30"/>
  <c r="X204" i="30"/>
  <c r="Y204" i="30"/>
  <c r="Z204" i="30"/>
  <c r="AA204" i="30"/>
  <c r="AB204" i="30"/>
  <c r="AC204" i="30"/>
  <c r="AD204" i="30"/>
  <c r="AE204" i="30"/>
  <c r="AF204" i="30"/>
  <c r="AG204" i="30"/>
  <c r="AH204" i="30"/>
  <c r="AI204" i="30"/>
  <c r="AJ204" i="30"/>
  <c r="AK204" i="30"/>
  <c r="AL204" i="30"/>
  <c r="AM204" i="30"/>
  <c r="AN204" i="30"/>
  <c r="AO204" i="30"/>
  <c r="AP204" i="30"/>
  <c r="AQ204" i="30"/>
  <c r="AR204" i="30"/>
  <c r="AS204" i="30"/>
  <c r="AT204" i="30"/>
  <c r="AU204" i="30"/>
  <c r="AV204" i="30"/>
  <c r="AW204" i="30"/>
  <c r="AX204" i="30"/>
  <c r="AY204" i="30"/>
  <c r="AZ204" i="30"/>
  <c r="BA204" i="30"/>
  <c r="BB204" i="30"/>
  <c r="BC204" i="30"/>
  <c r="BD204" i="30"/>
  <c r="BE204" i="30"/>
  <c r="BF204" i="30"/>
  <c r="BG204" i="30"/>
  <c r="BH204" i="30"/>
  <c r="BI204" i="30"/>
  <c r="BJ204" i="30"/>
  <c r="BK204" i="30"/>
  <c r="BL204" i="30"/>
  <c r="BM204" i="30"/>
  <c r="BN204" i="30"/>
  <c r="BO204" i="30"/>
  <c r="BP204" i="30"/>
  <c r="BQ204" i="30"/>
  <c r="BR204" i="30"/>
  <c r="BS204" i="30"/>
  <c r="BT204" i="30"/>
  <c r="BU204" i="30"/>
  <c r="BV204" i="30"/>
  <c r="BW204" i="30"/>
  <c r="BX204" i="30"/>
  <c r="BY204" i="30"/>
  <c r="BZ204" i="30"/>
  <c r="CA204" i="30"/>
  <c r="CB204" i="30"/>
  <c r="CC204" i="30"/>
  <c r="CD204" i="30"/>
  <c r="CE204" i="30"/>
  <c r="CF204" i="30"/>
  <c r="CG204" i="30"/>
  <c r="CH204" i="30"/>
  <c r="CI204" i="30"/>
  <c r="CJ204" i="30"/>
  <c r="CK204" i="30"/>
  <c r="CL204" i="30"/>
  <c r="CM204" i="30"/>
  <c r="CN204" i="30"/>
  <c r="CO204" i="30"/>
  <c r="CP204" i="30"/>
  <c r="CQ204" i="30"/>
  <c r="CR204" i="30"/>
  <c r="CS204" i="30"/>
  <c r="CT204" i="30"/>
  <c r="CU204" i="30"/>
  <c r="CV204" i="30"/>
  <c r="CW204" i="30"/>
  <c r="CX204" i="30"/>
  <c r="CY204" i="30"/>
  <c r="CZ204" i="30"/>
  <c r="DA204" i="30"/>
  <c r="DB204" i="30"/>
  <c r="DC204" i="30"/>
  <c r="DD204" i="30"/>
  <c r="DE204" i="30"/>
  <c r="DF204" i="30"/>
  <c r="DG204" i="30"/>
  <c r="DH204" i="30"/>
  <c r="DI204" i="30"/>
  <c r="DJ204" i="30"/>
  <c r="DK204" i="30"/>
  <c r="DL204" i="30"/>
  <c r="DM204" i="30"/>
  <c r="DN204" i="30"/>
  <c r="DO204" i="30"/>
  <c r="DP204" i="30"/>
  <c r="DQ204" i="30"/>
  <c r="DR204" i="30"/>
  <c r="DS204" i="30"/>
  <c r="DT204" i="30"/>
  <c r="DU204" i="30"/>
  <c r="DV204" i="30"/>
  <c r="DW204" i="30"/>
  <c r="DX204" i="30"/>
  <c r="DY204" i="30"/>
  <c r="DZ204" i="30"/>
  <c r="EA204" i="30"/>
  <c r="EB204" i="30"/>
  <c r="EC204" i="30"/>
  <c r="ED204" i="30"/>
  <c r="EE204" i="30"/>
  <c r="EF204" i="30"/>
  <c r="EG204" i="30"/>
  <c r="EH204" i="30"/>
  <c r="EI204" i="30"/>
  <c r="EJ204" i="30"/>
  <c r="EK204" i="30"/>
  <c r="EL204" i="30"/>
  <c r="EM204" i="30"/>
  <c r="EN204" i="30"/>
  <c r="EO204" i="30"/>
  <c r="EP204" i="30"/>
  <c r="EQ204" i="30"/>
  <c r="ER204" i="30"/>
  <c r="ES204" i="30"/>
  <c r="ET204" i="30"/>
  <c r="EU204" i="30"/>
  <c r="EV204" i="30"/>
  <c r="EW204" i="30"/>
  <c r="EX204" i="30"/>
  <c r="EY204" i="30"/>
  <c r="EZ204" i="30"/>
  <c r="FA204" i="30"/>
  <c r="FB204" i="30"/>
  <c r="FC204" i="30"/>
  <c r="FD204" i="30"/>
  <c r="FE204" i="30"/>
  <c r="FF204" i="30"/>
  <c r="FG204" i="30"/>
  <c r="FH204" i="30"/>
  <c r="FI204" i="30"/>
  <c r="FJ204" i="30"/>
  <c r="FK204" i="30"/>
  <c r="FL204" i="30"/>
  <c r="FM204" i="30"/>
  <c r="FN204" i="30"/>
  <c r="FO204" i="30"/>
  <c r="FP204" i="30"/>
  <c r="FQ204" i="30"/>
  <c r="FR204" i="30"/>
  <c r="FS204" i="30"/>
  <c r="FT204" i="30"/>
  <c r="FU204" i="30"/>
  <c r="FV204" i="30"/>
  <c r="FW204" i="30"/>
  <c r="FX204" i="30"/>
  <c r="FY204" i="30"/>
  <c r="FZ204" i="30"/>
  <c r="GA204" i="30"/>
  <c r="GB204" i="30"/>
  <c r="GC204" i="30"/>
  <c r="GD204" i="30"/>
  <c r="GE204" i="30"/>
  <c r="GF204" i="30"/>
  <c r="GG204" i="30"/>
  <c r="GH204" i="30"/>
  <c r="GI204" i="30"/>
  <c r="GJ204" i="30"/>
  <c r="GK204" i="30"/>
  <c r="GL204" i="30"/>
  <c r="GM204" i="30"/>
  <c r="GN204" i="30"/>
  <c r="GO204" i="30"/>
  <c r="GP204" i="30"/>
  <c r="GQ204" i="30"/>
  <c r="GR204" i="30"/>
  <c r="GS204" i="30"/>
  <c r="GT204" i="30"/>
  <c r="GU204" i="30"/>
  <c r="GV204" i="30"/>
  <c r="GW204" i="30"/>
  <c r="GX204" i="30"/>
  <c r="GY204" i="30"/>
  <c r="GZ204" i="30"/>
  <c r="HA204" i="30"/>
  <c r="HB204" i="30"/>
  <c r="HC204" i="30"/>
  <c r="HD204" i="30"/>
  <c r="HE204" i="30"/>
  <c r="HF204" i="30"/>
  <c r="HG204" i="30"/>
  <c r="HH204" i="30"/>
  <c r="HI204" i="30"/>
  <c r="HJ204" i="30"/>
  <c r="HK204" i="30"/>
  <c r="HL204" i="30"/>
  <c r="HM204" i="30"/>
  <c r="HN204" i="30"/>
  <c r="HO204" i="30"/>
  <c r="HP204" i="30"/>
  <c r="HQ204" i="30"/>
  <c r="HR204" i="30"/>
  <c r="HS204" i="30"/>
  <c r="HT204" i="30"/>
  <c r="HU204" i="30"/>
  <c r="HV204" i="30"/>
  <c r="HW204" i="30"/>
  <c r="HX204" i="30"/>
  <c r="HY204" i="30"/>
  <c r="HZ204" i="30"/>
  <c r="IA204" i="30"/>
  <c r="IB204" i="30"/>
  <c r="IC204" i="30"/>
  <c r="ID204" i="30"/>
  <c r="IE204" i="30"/>
  <c r="IF204" i="30"/>
  <c r="IG204" i="30"/>
  <c r="IH204" i="30"/>
  <c r="II204" i="30"/>
  <c r="IJ204" i="30"/>
  <c r="IK204" i="30"/>
  <c r="IL204" i="30"/>
  <c r="IM204" i="30"/>
  <c r="IN204" i="30"/>
  <c r="IO204" i="30"/>
  <c r="IP204" i="30"/>
  <c r="IQ204" i="30"/>
  <c r="IR204" i="30"/>
  <c r="IS204" i="30"/>
  <c r="IT204" i="30"/>
  <c r="IU204" i="30"/>
  <c r="IV204" i="30"/>
  <c r="A203" i="30"/>
  <c r="B203" i="30"/>
  <c r="C203" i="30"/>
  <c r="D203" i="30"/>
  <c r="E203" i="30"/>
  <c r="F203" i="30"/>
  <c r="G203" i="30"/>
  <c r="H203" i="30"/>
  <c r="I203" i="30"/>
  <c r="J203" i="30"/>
  <c r="K203" i="30"/>
  <c r="L203" i="30"/>
  <c r="M203" i="30"/>
  <c r="N203" i="30"/>
  <c r="O203" i="30"/>
  <c r="P203" i="30"/>
  <c r="Q203" i="30"/>
  <c r="R203" i="30"/>
  <c r="S203" i="30"/>
  <c r="T203" i="30"/>
  <c r="U203" i="30"/>
  <c r="V203" i="30"/>
  <c r="W203" i="30"/>
  <c r="X203" i="30"/>
  <c r="Y203" i="30"/>
  <c r="Z203" i="30"/>
  <c r="AA203" i="30"/>
  <c r="AB203" i="30"/>
  <c r="AC203" i="30"/>
  <c r="AD203" i="30"/>
  <c r="AE203" i="30"/>
  <c r="AF203" i="30"/>
  <c r="AG203" i="30"/>
  <c r="AH203" i="30"/>
  <c r="AI203" i="30"/>
  <c r="AJ203" i="30"/>
  <c r="AK203" i="30"/>
  <c r="AL203" i="30"/>
  <c r="AM203" i="30"/>
  <c r="AN203" i="30"/>
  <c r="AO203" i="30"/>
  <c r="AP203" i="30"/>
  <c r="AQ203" i="30"/>
  <c r="AR203" i="30"/>
  <c r="AS203" i="30"/>
  <c r="AT203" i="30"/>
  <c r="AU203" i="30"/>
  <c r="AV203" i="30"/>
  <c r="AW203" i="30"/>
  <c r="AX203" i="30"/>
  <c r="AY203" i="30"/>
  <c r="AZ203" i="30"/>
  <c r="BA203" i="30"/>
  <c r="BB203" i="30"/>
  <c r="BC203" i="30"/>
  <c r="BD203" i="30"/>
  <c r="BE203" i="30"/>
  <c r="BF203" i="30"/>
  <c r="BG203" i="30"/>
  <c r="BH203" i="30"/>
  <c r="BI203" i="30"/>
  <c r="BJ203" i="30"/>
  <c r="BK203" i="30"/>
  <c r="BL203" i="30"/>
  <c r="BM203" i="30"/>
  <c r="BN203" i="30"/>
  <c r="BO203" i="30"/>
  <c r="BP203" i="30"/>
  <c r="BQ203" i="30"/>
  <c r="BR203" i="30"/>
  <c r="BS203" i="30"/>
  <c r="BT203" i="30"/>
  <c r="BU203" i="30"/>
  <c r="BV203" i="30"/>
  <c r="BW203" i="30"/>
  <c r="BX203" i="30"/>
  <c r="BY203" i="30"/>
  <c r="BZ203" i="30"/>
  <c r="CA203" i="30"/>
  <c r="CB203" i="30"/>
  <c r="CC203" i="30"/>
  <c r="CD203" i="30"/>
  <c r="CE203" i="30"/>
  <c r="CF203" i="30"/>
  <c r="CG203" i="30"/>
  <c r="CH203" i="30"/>
  <c r="CI203" i="30"/>
  <c r="CJ203" i="30"/>
  <c r="CK203" i="30"/>
  <c r="CL203" i="30"/>
  <c r="CM203" i="30"/>
  <c r="CN203" i="30"/>
  <c r="CO203" i="30"/>
  <c r="CP203" i="30"/>
  <c r="CQ203" i="30"/>
  <c r="CR203" i="30"/>
  <c r="CS203" i="30"/>
  <c r="CT203" i="30"/>
  <c r="CU203" i="30"/>
  <c r="CV203" i="30"/>
  <c r="CW203" i="30"/>
  <c r="CX203" i="30"/>
  <c r="CY203" i="30"/>
  <c r="CZ203" i="30"/>
  <c r="DA203" i="30"/>
  <c r="DB203" i="30"/>
  <c r="DC203" i="30"/>
  <c r="DD203" i="30"/>
  <c r="DE203" i="30"/>
  <c r="DF203" i="30"/>
  <c r="DG203" i="30"/>
  <c r="DH203" i="30"/>
  <c r="DI203" i="30"/>
  <c r="DJ203" i="30"/>
  <c r="DK203" i="30"/>
  <c r="DL203" i="30"/>
  <c r="DM203" i="30"/>
  <c r="DN203" i="30"/>
  <c r="DO203" i="30"/>
  <c r="DP203" i="30"/>
  <c r="DQ203" i="30"/>
  <c r="DR203" i="30"/>
  <c r="DS203" i="30"/>
  <c r="DT203" i="30"/>
  <c r="DU203" i="30"/>
  <c r="DV203" i="30"/>
  <c r="DW203" i="30"/>
  <c r="DX203" i="30"/>
  <c r="DY203" i="30"/>
  <c r="DZ203" i="30"/>
  <c r="EA203" i="30"/>
  <c r="EB203" i="30"/>
  <c r="EC203" i="30"/>
  <c r="ED203" i="30"/>
  <c r="EE203" i="30"/>
  <c r="EF203" i="30"/>
  <c r="EG203" i="30"/>
  <c r="EH203" i="30"/>
  <c r="EI203" i="30"/>
  <c r="EJ203" i="30"/>
  <c r="EK203" i="30"/>
  <c r="EL203" i="30"/>
  <c r="EM203" i="30"/>
  <c r="EN203" i="30"/>
  <c r="EO203" i="30"/>
  <c r="EP203" i="30"/>
  <c r="EQ203" i="30"/>
  <c r="ER203" i="30"/>
  <c r="ES203" i="30"/>
  <c r="ET203" i="30"/>
  <c r="EU203" i="30"/>
  <c r="EV203" i="30"/>
  <c r="EW203" i="30"/>
  <c r="EX203" i="30"/>
  <c r="EY203" i="30"/>
  <c r="EZ203" i="30"/>
  <c r="FA203" i="30"/>
  <c r="FB203" i="30"/>
  <c r="FC203" i="30"/>
  <c r="FD203" i="30"/>
  <c r="FE203" i="30"/>
  <c r="FF203" i="30"/>
  <c r="FG203" i="30"/>
  <c r="FH203" i="30"/>
  <c r="FI203" i="30"/>
  <c r="FJ203" i="30"/>
  <c r="FK203" i="30"/>
  <c r="FL203" i="30"/>
  <c r="FM203" i="30"/>
  <c r="FN203" i="30"/>
  <c r="FO203" i="30"/>
  <c r="FP203" i="30"/>
  <c r="FQ203" i="30"/>
  <c r="FR203" i="30"/>
  <c r="FS203" i="30"/>
  <c r="FT203" i="30"/>
  <c r="FU203" i="30"/>
  <c r="FV203" i="30"/>
  <c r="FW203" i="30"/>
  <c r="FX203" i="30"/>
  <c r="FY203" i="30"/>
  <c r="FZ203" i="30"/>
  <c r="GA203" i="30"/>
  <c r="GB203" i="30"/>
  <c r="GC203" i="30"/>
  <c r="GD203" i="30"/>
  <c r="GE203" i="30"/>
  <c r="GF203" i="30"/>
  <c r="GG203" i="30"/>
  <c r="GH203" i="30"/>
  <c r="GI203" i="30"/>
  <c r="GJ203" i="30"/>
  <c r="GK203" i="30"/>
  <c r="GL203" i="30"/>
  <c r="GM203" i="30"/>
  <c r="GN203" i="30"/>
  <c r="GO203" i="30"/>
  <c r="GP203" i="30"/>
  <c r="GQ203" i="30"/>
  <c r="GR203" i="30"/>
  <c r="GS203" i="30"/>
  <c r="GT203" i="30"/>
  <c r="GU203" i="30"/>
  <c r="GV203" i="30"/>
  <c r="GW203" i="30"/>
  <c r="GX203" i="30"/>
  <c r="GY203" i="30"/>
  <c r="GZ203" i="30"/>
  <c r="HA203" i="30"/>
  <c r="HB203" i="30"/>
  <c r="HC203" i="30"/>
  <c r="HD203" i="30"/>
  <c r="HE203" i="30"/>
  <c r="HF203" i="30"/>
  <c r="HG203" i="30"/>
  <c r="HH203" i="30"/>
  <c r="HI203" i="30"/>
  <c r="HJ203" i="30"/>
  <c r="HK203" i="30"/>
  <c r="HL203" i="30"/>
  <c r="HM203" i="30"/>
  <c r="HN203" i="30"/>
  <c r="HO203" i="30"/>
  <c r="HP203" i="30"/>
  <c r="HQ203" i="30"/>
  <c r="HR203" i="30"/>
  <c r="HS203" i="30"/>
  <c r="HT203" i="30"/>
  <c r="HU203" i="30"/>
  <c r="HV203" i="30"/>
  <c r="HW203" i="30"/>
  <c r="HX203" i="30"/>
  <c r="HY203" i="30"/>
  <c r="HZ203" i="30"/>
  <c r="IA203" i="30"/>
  <c r="IB203" i="30"/>
  <c r="IC203" i="30"/>
  <c r="ID203" i="30"/>
  <c r="IE203" i="30"/>
  <c r="IF203" i="30"/>
  <c r="IG203" i="30"/>
  <c r="IH203" i="30"/>
  <c r="II203" i="30"/>
  <c r="IJ203" i="30"/>
  <c r="IK203" i="30"/>
  <c r="IL203" i="30"/>
  <c r="IM203" i="30"/>
  <c r="IN203" i="30"/>
  <c r="IO203" i="30"/>
  <c r="IP203" i="30"/>
  <c r="IQ203" i="30"/>
  <c r="IR203" i="30"/>
  <c r="IS203" i="30"/>
  <c r="IT203" i="30"/>
  <c r="IU203" i="30"/>
  <c r="IV203" i="30"/>
  <c r="A202" i="30"/>
  <c r="B202" i="30"/>
  <c r="C202" i="30"/>
  <c r="D202" i="30"/>
  <c r="E202" i="30"/>
  <c r="F202" i="30"/>
  <c r="G202" i="30"/>
  <c r="H202" i="30"/>
  <c r="I202" i="30"/>
  <c r="J202" i="30"/>
  <c r="K202" i="30"/>
  <c r="L202" i="30"/>
  <c r="M202" i="30"/>
  <c r="N202" i="30"/>
  <c r="O202" i="30"/>
  <c r="P202" i="30"/>
  <c r="Q202" i="30"/>
  <c r="R202" i="30"/>
  <c r="S202" i="30"/>
  <c r="T202" i="30"/>
  <c r="U202" i="30"/>
  <c r="V202" i="30"/>
  <c r="W202" i="30"/>
  <c r="X202" i="30"/>
  <c r="Y202" i="30"/>
  <c r="Z202" i="30"/>
  <c r="AA202" i="30"/>
  <c r="AB202" i="30"/>
  <c r="AC202" i="30"/>
  <c r="AD202" i="30"/>
  <c r="AE202" i="30"/>
  <c r="AF202" i="30"/>
  <c r="AG202" i="30"/>
  <c r="AH202" i="30"/>
  <c r="AI202" i="30"/>
  <c r="AJ202" i="30"/>
  <c r="AK202" i="30"/>
  <c r="AL202" i="30"/>
  <c r="AM202" i="30"/>
  <c r="AN202" i="30"/>
  <c r="AO202" i="30"/>
  <c r="AP202" i="30"/>
  <c r="AQ202" i="30"/>
  <c r="AR202" i="30"/>
  <c r="AS202" i="30"/>
  <c r="AT202" i="30"/>
  <c r="AU202" i="30"/>
  <c r="AV202" i="30"/>
  <c r="AW202" i="30"/>
  <c r="AX202" i="30"/>
  <c r="AY202" i="30"/>
  <c r="AZ202" i="30"/>
  <c r="BA202" i="30"/>
  <c r="BB202" i="30"/>
  <c r="BC202" i="30"/>
  <c r="BD202" i="30"/>
  <c r="BE202" i="30"/>
  <c r="BF202" i="30"/>
  <c r="BG202" i="30"/>
  <c r="BH202" i="30"/>
  <c r="BI202" i="30"/>
  <c r="BJ202" i="30"/>
  <c r="BK202" i="30"/>
  <c r="BL202" i="30"/>
  <c r="BM202" i="30"/>
  <c r="BN202" i="30"/>
  <c r="BO202" i="30"/>
  <c r="BP202" i="30"/>
  <c r="BQ202" i="30"/>
  <c r="BR202" i="30"/>
  <c r="BS202" i="30"/>
  <c r="BT202" i="30"/>
  <c r="BU202" i="30"/>
  <c r="BV202" i="30"/>
  <c r="BW202" i="30"/>
  <c r="BX202" i="30"/>
  <c r="BY202" i="30"/>
  <c r="BZ202" i="30"/>
  <c r="CA202" i="30"/>
  <c r="CB202" i="30"/>
  <c r="CC202" i="30"/>
  <c r="CD202" i="30"/>
  <c r="CE202" i="30"/>
  <c r="CF202" i="30"/>
  <c r="CG202" i="30"/>
  <c r="CH202" i="30"/>
  <c r="CI202" i="30"/>
  <c r="CJ202" i="30"/>
  <c r="CK202" i="30"/>
  <c r="CL202" i="30"/>
  <c r="CM202" i="30"/>
  <c r="CN202" i="30"/>
  <c r="CO202" i="30"/>
  <c r="CP202" i="30"/>
  <c r="CQ202" i="30"/>
  <c r="CR202" i="30"/>
  <c r="CS202" i="30"/>
  <c r="CT202" i="30"/>
  <c r="CU202" i="30"/>
  <c r="CV202" i="30"/>
  <c r="CW202" i="30"/>
  <c r="CX202" i="30"/>
  <c r="CY202" i="30"/>
  <c r="CZ202" i="30"/>
  <c r="DA202" i="30"/>
  <c r="DB202" i="30"/>
  <c r="DC202" i="30"/>
  <c r="DD202" i="30"/>
  <c r="DE202" i="30"/>
  <c r="DF202" i="30"/>
  <c r="DG202" i="30"/>
  <c r="DH202" i="30"/>
  <c r="DI202" i="30"/>
  <c r="DJ202" i="30"/>
  <c r="DK202" i="30"/>
  <c r="DL202" i="30"/>
  <c r="DM202" i="30"/>
  <c r="DN202" i="30"/>
  <c r="DO202" i="30"/>
  <c r="DP202" i="30"/>
  <c r="DQ202" i="30"/>
  <c r="DR202" i="30"/>
  <c r="DS202" i="30"/>
  <c r="DT202" i="30"/>
  <c r="DU202" i="30"/>
  <c r="DV202" i="30"/>
  <c r="DW202" i="30"/>
  <c r="DX202" i="30"/>
  <c r="DY202" i="30"/>
  <c r="DZ202" i="30"/>
  <c r="EA202" i="30"/>
  <c r="EB202" i="30"/>
  <c r="EC202" i="30"/>
  <c r="ED202" i="30"/>
  <c r="EE202" i="30"/>
  <c r="EF202" i="30"/>
  <c r="EG202" i="30"/>
  <c r="EH202" i="30"/>
  <c r="EI202" i="30"/>
  <c r="EJ202" i="30"/>
  <c r="EK202" i="30"/>
  <c r="EL202" i="30"/>
  <c r="EM202" i="30"/>
  <c r="EN202" i="30"/>
  <c r="EO202" i="30"/>
  <c r="EP202" i="30"/>
  <c r="EQ202" i="30"/>
  <c r="ER202" i="30"/>
  <c r="ES202" i="30"/>
  <c r="ET202" i="30"/>
  <c r="EU202" i="30"/>
  <c r="EV202" i="30"/>
  <c r="EW202" i="30"/>
  <c r="EX202" i="30"/>
  <c r="EY202" i="30"/>
  <c r="EZ202" i="30"/>
  <c r="FA202" i="30"/>
  <c r="FB202" i="30"/>
  <c r="FC202" i="30"/>
  <c r="FD202" i="30"/>
  <c r="FE202" i="30"/>
  <c r="FF202" i="30"/>
  <c r="FG202" i="30"/>
  <c r="FH202" i="30"/>
  <c r="FI202" i="30"/>
  <c r="FJ202" i="30"/>
  <c r="FK202" i="30"/>
  <c r="FL202" i="30"/>
  <c r="FM202" i="30"/>
  <c r="FN202" i="30"/>
  <c r="FO202" i="30"/>
  <c r="FP202" i="30"/>
  <c r="FQ202" i="30"/>
  <c r="FR202" i="30"/>
  <c r="FS202" i="30"/>
  <c r="FT202" i="30"/>
  <c r="FU202" i="30"/>
  <c r="FV202" i="30"/>
  <c r="FW202" i="30"/>
  <c r="FX202" i="30"/>
  <c r="FY202" i="30"/>
  <c r="FZ202" i="30"/>
  <c r="GA202" i="30"/>
  <c r="GB202" i="30"/>
  <c r="GC202" i="30"/>
  <c r="GD202" i="30"/>
  <c r="GE202" i="30"/>
  <c r="GF202" i="30"/>
  <c r="GG202" i="30"/>
  <c r="GH202" i="30"/>
  <c r="GI202" i="30"/>
  <c r="GJ202" i="30"/>
  <c r="GK202" i="30"/>
  <c r="GL202" i="30"/>
  <c r="GM202" i="30"/>
  <c r="GN202" i="30"/>
  <c r="GO202" i="30"/>
  <c r="GP202" i="30"/>
  <c r="GQ202" i="30"/>
  <c r="GR202" i="30"/>
  <c r="GS202" i="30"/>
  <c r="GT202" i="30"/>
  <c r="GU202" i="30"/>
  <c r="GV202" i="30"/>
  <c r="GW202" i="30"/>
  <c r="GX202" i="30"/>
  <c r="GY202" i="30"/>
  <c r="GZ202" i="30"/>
  <c r="HA202" i="30"/>
  <c r="HB202" i="30"/>
  <c r="HC202" i="30"/>
  <c r="HD202" i="30"/>
  <c r="HE202" i="30"/>
  <c r="HF202" i="30"/>
  <c r="HG202" i="30"/>
  <c r="HH202" i="30"/>
  <c r="HI202" i="30"/>
  <c r="HJ202" i="30"/>
  <c r="HK202" i="30"/>
  <c r="HL202" i="30"/>
  <c r="HM202" i="30"/>
  <c r="HN202" i="30"/>
  <c r="HO202" i="30"/>
  <c r="HP202" i="30"/>
  <c r="HQ202" i="30"/>
  <c r="HR202" i="30"/>
  <c r="HS202" i="30"/>
  <c r="HT202" i="30"/>
  <c r="HU202" i="30"/>
  <c r="HV202" i="30"/>
  <c r="HW202" i="30"/>
  <c r="HX202" i="30"/>
  <c r="HY202" i="30"/>
  <c r="HZ202" i="30"/>
  <c r="IA202" i="30"/>
  <c r="IB202" i="30"/>
  <c r="IC202" i="30"/>
  <c r="ID202" i="30"/>
  <c r="IE202" i="30"/>
  <c r="IF202" i="30"/>
  <c r="IG202" i="30"/>
  <c r="IH202" i="30"/>
  <c r="II202" i="30"/>
  <c r="IJ202" i="30"/>
  <c r="IK202" i="30"/>
  <c r="IL202" i="30"/>
  <c r="IM202" i="30"/>
  <c r="IN202" i="30"/>
  <c r="IO202" i="30"/>
  <c r="IP202" i="30"/>
  <c r="IQ202" i="30"/>
  <c r="IR202" i="30"/>
  <c r="IS202" i="30"/>
  <c r="IT202" i="30"/>
  <c r="IU202" i="30"/>
  <c r="IV202" i="30"/>
  <c r="A201" i="30"/>
  <c r="B201" i="30"/>
  <c r="C201" i="30"/>
  <c r="D201" i="30"/>
  <c r="E201" i="30"/>
  <c r="F201" i="30"/>
  <c r="G201" i="30"/>
  <c r="H201" i="30"/>
  <c r="I201" i="30"/>
  <c r="J201" i="30"/>
  <c r="K201" i="30"/>
  <c r="L201" i="30"/>
  <c r="M201" i="30"/>
  <c r="N201" i="30"/>
  <c r="O201" i="30"/>
  <c r="P201" i="30"/>
  <c r="Q201" i="30"/>
  <c r="R201" i="30"/>
  <c r="S201" i="30"/>
  <c r="T201" i="30"/>
  <c r="U201" i="30"/>
  <c r="V201" i="30"/>
  <c r="W201" i="30"/>
  <c r="X201" i="30"/>
  <c r="Y201" i="30"/>
  <c r="Z201" i="30"/>
  <c r="AA201" i="30"/>
  <c r="AB201" i="30"/>
  <c r="AC201" i="30"/>
  <c r="AD201" i="30"/>
  <c r="AE201" i="30"/>
  <c r="AF201" i="30"/>
  <c r="AG201" i="30"/>
  <c r="AH201" i="30"/>
  <c r="AI201" i="30"/>
  <c r="AJ201" i="30"/>
  <c r="AK201" i="30"/>
  <c r="AL201" i="30"/>
  <c r="AM201" i="30"/>
  <c r="AN201" i="30"/>
  <c r="AO201" i="30"/>
  <c r="AP201" i="30"/>
  <c r="AQ201" i="30"/>
  <c r="AR201" i="30"/>
  <c r="AS201" i="30"/>
  <c r="AT201" i="30"/>
  <c r="AU201" i="30"/>
  <c r="AV201" i="30"/>
  <c r="AW201" i="30"/>
  <c r="AX201" i="30"/>
  <c r="AY201" i="30"/>
  <c r="AZ201" i="30"/>
  <c r="BA201" i="30"/>
  <c r="BB201" i="30"/>
  <c r="BC201" i="30"/>
  <c r="BD201" i="30"/>
  <c r="BE201" i="30"/>
  <c r="BF201" i="30"/>
  <c r="BG201" i="30"/>
  <c r="BH201" i="30"/>
  <c r="BI201" i="30"/>
  <c r="BJ201" i="30"/>
  <c r="BK201" i="30"/>
  <c r="BL201" i="30"/>
  <c r="BM201" i="30"/>
  <c r="BN201" i="30"/>
  <c r="BO201" i="30"/>
  <c r="BP201" i="30"/>
  <c r="BQ201" i="30"/>
  <c r="BR201" i="30"/>
  <c r="BS201" i="30"/>
  <c r="BT201" i="30"/>
  <c r="BU201" i="30"/>
  <c r="BV201" i="30"/>
  <c r="BW201" i="30"/>
  <c r="BX201" i="30"/>
  <c r="BY201" i="30"/>
  <c r="BZ201" i="30"/>
  <c r="CA201" i="30"/>
  <c r="CB201" i="30"/>
  <c r="CC201" i="30"/>
  <c r="CD201" i="30"/>
  <c r="CE201" i="30"/>
  <c r="CF201" i="30"/>
  <c r="CG201" i="30"/>
  <c r="CH201" i="30"/>
  <c r="CI201" i="30"/>
  <c r="CJ201" i="30"/>
  <c r="CK201" i="30"/>
  <c r="CL201" i="30"/>
  <c r="CM201" i="30"/>
  <c r="CN201" i="30"/>
  <c r="CO201" i="30"/>
  <c r="CP201" i="30"/>
  <c r="CQ201" i="30"/>
  <c r="CR201" i="30"/>
  <c r="CS201" i="30"/>
  <c r="CT201" i="30"/>
  <c r="CU201" i="30"/>
  <c r="CV201" i="30"/>
  <c r="CW201" i="30"/>
  <c r="CX201" i="30"/>
  <c r="CY201" i="30"/>
  <c r="CZ201" i="30"/>
  <c r="DA201" i="30"/>
  <c r="DB201" i="30"/>
  <c r="DC201" i="30"/>
  <c r="DD201" i="30"/>
  <c r="DE201" i="30"/>
  <c r="DF201" i="30"/>
  <c r="DG201" i="30"/>
  <c r="DH201" i="30"/>
  <c r="DI201" i="30"/>
  <c r="DJ201" i="30"/>
  <c r="DK201" i="30"/>
  <c r="DL201" i="30"/>
  <c r="DM201" i="30"/>
  <c r="DN201" i="30"/>
  <c r="DO201" i="30"/>
  <c r="DP201" i="30"/>
  <c r="DQ201" i="30"/>
  <c r="DR201" i="30"/>
  <c r="DS201" i="30"/>
  <c r="DT201" i="30"/>
  <c r="DU201" i="30"/>
  <c r="DV201" i="30"/>
  <c r="DW201" i="30"/>
  <c r="DX201" i="30"/>
  <c r="DY201" i="30"/>
  <c r="DZ201" i="30"/>
  <c r="EA201" i="30"/>
  <c r="EB201" i="30"/>
  <c r="EC201" i="30"/>
  <c r="ED201" i="30"/>
  <c r="EE201" i="30"/>
  <c r="EF201" i="30"/>
  <c r="EG201" i="30"/>
  <c r="EH201" i="30"/>
  <c r="EI201" i="30"/>
  <c r="EJ201" i="30"/>
  <c r="EK201" i="30"/>
  <c r="EL201" i="30"/>
  <c r="EM201" i="30"/>
  <c r="EN201" i="30"/>
  <c r="EO201" i="30"/>
  <c r="EP201" i="30"/>
  <c r="EQ201" i="30"/>
  <c r="ER201" i="30"/>
  <c r="ES201" i="30"/>
  <c r="ET201" i="30"/>
  <c r="EU201" i="30"/>
  <c r="EV201" i="30"/>
  <c r="EW201" i="30"/>
  <c r="EX201" i="30"/>
  <c r="EY201" i="30"/>
  <c r="EZ201" i="30"/>
  <c r="FA201" i="30"/>
  <c r="FB201" i="30"/>
  <c r="FC201" i="30"/>
  <c r="FD201" i="30"/>
  <c r="FE201" i="30"/>
  <c r="FF201" i="30"/>
  <c r="FG201" i="30"/>
  <c r="FH201" i="30"/>
  <c r="FI201" i="30"/>
  <c r="FJ201" i="30"/>
  <c r="FK201" i="30"/>
  <c r="FL201" i="30"/>
  <c r="FM201" i="30"/>
  <c r="FN201" i="30"/>
  <c r="FO201" i="30"/>
  <c r="FP201" i="30"/>
  <c r="FQ201" i="30"/>
  <c r="FR201" i="30"/>
  <c r="FS201" i="30"/>
  <c r="FT201" i="30"/>
  <c r="FU201" i="30"/>
  <c r="FV201" i="30"/>
  <c r="FW201" i="30"/>
  <c r="FX201" i="30"/>
  <c r="FY201" i="30"/>
  <c r="FZ201" i="30"/>
  <c r="GA201" i="30"/>
  <c r="GB201" i="30"/>
  <c r="GC201" i="30"/>
  <c r="GD201" i="30"/>
  <c r="GE201" i="30"/>
  <c r="GF201" i="30"/>
  <c r="GG201" i="30"/>
  <c r="GH201" i="30"/>
  <c r="GI201" i="30"/>
  <c r="GJ201" i="30"/>
  <c r="GK201" i="30"/>
  <c r="GL201" i="30"/>
  <c r="GM201" i="30"/>
  <c r="GN201" i="30"/>
  <c r="GO201" i="30"/>
  <c r="GP201" i="30"/>
  <c r="GQ201" i="30"/>
  <c r="GR201" i="30"/>
  <c r="GS201" i="30"/>
  <c r="GT201" i="30"/>
  <c r="GU201" i="30"/>
  <c r="GV201" i="30"/>
  <c r="GW201" i="30"/>
  <c r="GX201" i="30"/>
  <c r="GY201" i="30"/>
  <c r="GZ201" i="30"/>
  <c r="HA201" i="30"/>
  <c r="HB201" i="30"/>
  <c r="HC201" i="30"/>
  <c r="HD201" i="30"/>
  <c r="HE201" i="30"/>
  <c r="HF201" i="30"/>
  <c r="HG201" i="30"/>
  <c r="HH201" i="30"/>
  <c r="HI201" i="30"/>
  <c r="HJ201" i="30"/>
  <c r="HK201" i="30"/>
  <c r="HL201" i="30"/>
  <c r="HM201" i="30"/>
  <c r="HN201" i="30"/>
  <c r="HO201" i="30"/>
  <c r="HP201" i="30"/>
  <c r="HQ201" i="30"/>
  <c r="HR201" i="30"/>
  <c r="HS201" i="30"/>
  <c r="HT201" i="30"/>
  <c r="HU201" i="30"/>
  <c r="HV201" i="30"/>
  <c r="HW201" i="30"/>
  <c r="HX201" i="30"/>
  <c r="HY201" i="30"/>
  <c r="HZ201" i="30"/>
  <c r="IA201" i="30"/>
  <c r="IB201" i="30"/>
  <c r="IC201" i="30"/>
  <c r="ID201" i="30"/>
  <c r="IE201" i="30"/>
  <c r="IF201" i="30"/>
  <c r="IG201" i="30"/>
  <c r="IH201" i="30"/>
  <c r="II201" i="30"/>
  <c r="IJ201" i="30"/>
  <c r="IK201" i="30"/>
  <c r="IL201" i="30"/>
  <c r="IM201" i="30"/>
  <c r="IN201" i="30"/>
  <c r="IO201" i="30"/>
  <c r="IP201" i="30"/>
  <c r="IQ201" i="30"/>
  <c r="IR201" i="30"/>
  <c r="IS201" i="30"/>
  <c r="IT201" i="30"/>
  <c r="IU201" i="30"/>
  <c r="IV201" i="30"/>
  <c r="A200" i="30"/>
  <c r="B200" i="30"/>
  <c r="C200" i="30"/>
  <c r="D200" i="30"/>
  <c r="E200" i="30"/>
  <c r="F200" i="30"/>
  <c r="G200" i="30"/>
  <c r="H200" i="30"/>
  <c r="I200" i="30"/>
  <c r="J200" i="30"/>
  <c r="K200" i="30"/>
  <c r="L200" i="30"/>
  <c r="M200" i="30"/>
  <c r="N200" i="30"/>
  <c r="O200" i="30"/>
  <c r="P200" i="30"/>
  <c r="Q200" i="30"/>
  <c r="R200" i="30"/>
  <c r="S200" i="30"/>
  <c r="T200" i="30"/>
  <c r="U200" i="30"/>
  <c r="V200" i="30"/>
  <c r="W200" i="30"/>
  <c r="X200" i="30"/>
  <c r="Y200" i="30"/>
  <c r="Z200" i="30"/>
  <c r="AA200" i="30"/>
  <c r="AB200" i="30"/>
  <c r="AC200" i="30"/>
  <c r="AD200" i="30"/>
  <c r="AE200" i="30"/>
  <c r="AF200" i="30"/>
  <c r="AG200" i="30"/>
  <c r="AH200" i="30"/>
  <c r="AI200" i="30"/>
  <c r="AJ200" i="30"/>
  <c r="AK200" i="30"/>
  <c r="AL200" i="30"/>
  <c r="AM200" i="30"/>
  <c r="AN200" i="30"/>
  <c r="AO200" i="30"/>
  <c r="AP200" i="30"/>
  <c r="AQ200" i="30"/>
  <c r="AR200" i="30"/>
  <c r="AS200" i="30"/>
  <c r="AT200" i="30"/>
  <c r="AU200" i="30"/>
  <c r="AV200" i="30"/>
  <c r="AW200" i="30"/>
  <c r="AX200" i="30"/>
  <c r="AY200" i="30"/>
  <c r="AZ200" i="30"/>
  <c r="BA200" i="30"/>
  <c r="BB200" i="30"/>
  <c r="BC200" i="30"/>
  <c r="BD200" i="30"/>
  <c r="BE200" i="30"/>
  <c r="BF200" i="30"/>
  <c r="BG200" i="30"/>
  <c r="BH200" i="30"/>
  <c r="BI200" i="30"/>
  <c r="BJ200" i="30"/>
  <c r="BK200" i="30"/>
  <c r="BL200" i="30"/>
  <c r="BM200" i="30"/>
  <c r="BN200" i="30"/>
  <c r="BO200" i="30"/>
  <c r="BP200" i="30"/>
  <c r="BQ200" i="30"/>
  <c r="BR200" i="30"/>
  <c r="BS200" i="30"/>
  <c r="BT200" i="30"/>
  <c r="BU200" i="30"/>
  <c r="BV200" i="30"/>
  <c r="BW200" i="30"/>
  <c r="BX200" i="30"/>
  <c r="BY200" i="30"/>
  <c r="BZ200" i="30"/>
  <c r="CA200" i="30"/>
  <c r="CB200" i="30"/>
  <c r="CC200" i="30"/>
  <c r="CD200" i="30"/>
  <c r="CE200" i="30"/>
  <c r="CF200" i="30"/>
  <c r="CG200" i="30"/>
  <c r="CH200" i="30"/>
  <c r="CI200" i="30"/>
  <c r="CJ200" i="30"/>
  <c r="CK200" i="30"/>
  <c r="CL200" i="30"/>
  <c r="CM200" i="30"/>
  <c r="CN200" i="30"/>
  <c r="CO200" i="30"/>
  <c r="CP200" i="30"/>
  <c r="CQ200" i="30"/>
  <c r="CR200" i="30"/>
  <c r="CS200" i="30"/>
  <c r="CT200" i="30"/>
  <c r="CU200" i="30"/>
  <c r="CV200" i="30"/>
  <c r="CW200" i="30"/>
  <c r="CX200" i="30"/>
  <c r="CY200" i="30"/>
  <c r="CZ200" i="30"/>
  <c r="DA200" i="30"/>
  <c r="DB200" i="30"/>
  <c r="DC200" i="30"/>
  <c r="DD200" i="30"/>
  <c r="DE200" i="30"/>
  <c r="DF200" i="30"/>
  <c r="DG200" i="30"/>
  <c r="DH200" i="30"/>
  <c r="DI200" i="30"/>
  <c r="DJ200" i="30"/>
  <c r="DK200" i="30"/>
  <c r="DL200" i="30"/>
  <c r="DM200" i="30"/>
  <c r="DN200" i="30"/>
  <c r="DO200" i="30"/>
  <c r="DP200" i="30"/>
  <c r="DQ200" i="30"/>
  <c r="DR200" i="30"/>
  <c r="DS200" i="30"/>
  <c r="DT200" i="30"/>
  <c r="DU200" i="30"/>
  <c r="DV200" i="30"/>
  <c r="DW200" i="30"/>
  <c r="DX200" i="30"/>
  <c r="DY200" i="30"/>
  <c r="DZ200" i="30"/>
  <c r="EA200" i="30"/>
  <c r="EB200" i="30"/>
  <c r="EC200" i="30"/>
  <c r="ED200" i="30"/>
  <c r="EE200" i="30"/>
  <c r="EF200" i="30"/>
  <c r="EG200" i="30"/>
  <c r="EH200" i="30"/>
  <c r="EI200" i="30"/>
  <c r="EJ200" i="30"/>
  <c r="EK200" i="30"/>
  <c r="EL200" i="30"/>
  <c r="EM200" i="30"/>
  <c r="EN200" i="30"/>
  <c r="EO200" i="30"/>
  <c r="EP200" i="30"/>
  <c r="EQ200" i="30"/>
  <c r="ER200" i="30"/>
  <c r="ES200" i="30"/>
  <c r="ET200" i="30"/>
  <c r="EU200" i="30"/>
  <c r="EV200" i="30"/>
  <c r="EW200" i="30"/>
  <c r="EX200" i="30"/>
  <c r="EY200" i="30"/>
  <c r="EZ200" i="30"/>
  <c r="FA200" i="30"/>
  <c r="FB200" i="30"/>
  <c r="FC200" i="30"/>
  <c r="FD200" i="30"/>
  <c r="FE200" i="30"/>
  <c r="FF200" i="30"/>
  <c r="FG200" i="30"/>
  <c r="FH200" i="30"/>
  <c r="FI200" i="30"/>
  <c r="FJ200" i="30"/>
  <c r="FK200" i="30"/>
  <c r="FL200" i="30"/>
  <c r="FM200" i="30"/>
  <c r="FN200" i="30"/>
  <c r="FO200" i="30"/>
  <c r="FP200" i="30"/>
  <c r="FQ200" i="30"/>
  <c r="FR200" i="30"/>
  <c r="FS200" i="30"/>
  <c r="FT200" i="30"/>
  <c r="FU200" i="30"/>
  <c r="FV200" i="30"/>
  <c r="FW200" i="30"/>
  <c r="FX200" i="30"/>
  <c r="FY200" i="30"/>
  <c r="FZ200" i="30"/>
  <c r="GA200" i="30"/>
  <c r="GB200" i="30"/>
  <c r="GC200" i="30"/>
  <c r="GD200" i="30"/>
  <c r="GE200" i="30"/>
  <c r="GF200" i="30"/>
  <c r="GG200" i="30"/>
  <c r="GH200" i="30"/>
  <c r="GI200" i="30"/>
  <c r="GJ200" i="30"/>
  <c r="GK200" i="30"/>
  <c r="GL200" i="30"/>
  <c r="GM200" i="30"/>
  <c r="GN200" i="30"/>
  <c r="GO200" i="30"/>
  <c r="GP200" i="30"/>
  <c r="GQ200" i="30"/>
  <c r="GR200" i="30"/>
  <c r="GS200" i="30"/>
  <c r="GT200" i="30"/>
  <c r="GU200" i="30"/>
  <c r="GV200" i="30"/>
  <c r="GW200" i="30"/>
  <c r="GX200" i="30"/>
  <c r="GY200" i="30"/>
  <c r="GZ200" i="30"/>
  <c r="HA200" i="30"/>
  <c r="HB200" i="30"/>
  <c r="HC200" i="30"/>
  <c r="HD200" i="30"/>
  <c r="HE200" i="30"/>
  <c r="HF200" i="30"/>
  <c r="HG200" i="30"/>
  <c r="HH200" i="30"/>
  <c r="HI200" i="30"/>
  <c r="HJ200" i="30"/>
  <c r="HK200" i="30"/>
  <c r="HL200" i="30"/>
  <c r="HM200" i="30"/>
  <c r="HN200" i="30"/>
  <c r="HO200" i="30"/>
  <c r="HP200" i="30"/>
  <c r="HQ200" i="30"/>
  <c r="HR200" i="30"/>
  <c r="HS200" i="30"/>
  <c r="HT200" i="30"/>
  <c r="HU200" i="30"/>
  <c r="HV200" i="30"/>
  <c r="HW200" i="30"/>
  <c r="HX200" i="30"/>
  <c r="HY200" i="30"/>
  <c r="HZ200" i="30"/>
  <c r="IA200" i="30"/>
  <c r="IB200" i="30"/>
  <c r="IC200" i="30"/>
  <c r="ID200" i="30"/>
  <c r="IE200" i="30"/>
  <c r="IF200" i="30"/>
  <c r="IG200" i="30"/>
  <c r="IH200" i="30"/>
  <c r="II200" i="30"/>
  <c r="IJ200" i="30"/>
  <c r="IK200" i="30"/>
  <c r="IL200" i="30"/>
  <c r="IM200" i="30"/>
  <c r="IN200" i="30"/>
  <c r="IO200" i="30"/>
  <c r="IP200" i="30"/>
  <c r="IQ200" i="30"/>
  <c r="IR200" i="30"/>
  <c r="IS200" i="30"/>
  <c r="IT200" i="30"/>
  <c r="IU200" i="30"/>
  <c r="IV200" i="30"/>
  <c r="A199" i="30"/>
  <c r="B199" i="30"/>
  <c r="C199" i="30"/>
  <c r="D199" i="30"/>
  <c r="E199" i="30"/>
  <c r="F199" i="30"/>
  <c r="G199" i="30"/>
  <c r="H199" i="30"/>
  <c r="I199" i="30"/>
  <c r="J199" i="30"/>
  <c r="K199" i="30"/>
  <c r="L199" i="30"/>
  <c r="M199" i="30"/>
  <c r="N199" i="30"/>
  <c r="O199" i="30"/>
  <c r="P199" i="30"/>
  <c r="Q199" i="30"/>
  <c r="R199" i="30"/>
  <c r="S199" i="30"/>
  <c r="T199" i="30"/>
  <c r="U199" i="30"/>
  <c r="V199" i="30"/>
  <c r="W199" i="30"/>
  <c r="X199" i="30"/>
  <c r="Y199" i="30"/>
  <c r="Z199" i="30"/>
  <c r="AA199" i="30"/>
  <c r="AB199" i="30"/>
  <c r="AC199" i="30"/>
  <c r="AD199" i="30"/>
  <c r="AE199" i="30"/>
  <c r="AF199" i="30"/>
  <c r="AG199" i="30"/>
  <c r="AH199" i="30"/>
  <c r="AI199" i="30"/>
  <c r="AJ199" i="30"/>
  <c r="AK199" i="30"/>
  <c r="AL199" i="30"/>
  <c r="AM199" i="30"/>
  <c r="AN199" i="30"/>
  <c r="AO199" i="30"/>
  <c r="AP199" i="30"/>
  <c r="AQ199" i="30"/>
  <c r="AR199" i="30"/>
  <c r="AS199" i="30"/>
  <c r="AT199" i="30"/>
  <c r="AU199" i="30"/>
  <c r="AV199" i="30"/>
  <c r="AW199" i="30"/>
  <c r="AX199" i="30"/>
  <c r="AY199" i="30"/>
  <c r="AZ199" i="30"/>
  <c r="BA199" i="30"/>
  <c r="BB199" i="30"/>
  <c r="BC199" i="30"/>
  <c r="BD199" i="30"/>
  <c r="BE199" i="30"/>
  <c r="BF199" i="30"/>
  <c r="BG199" i="30"/>
  <c r="BH199" i="30"/>
  <c r="BI199" i="30"/>
  <c r="BJ199" i="30"/>
  <c r="BK199" i="30"/>
  <c r="BL199" i="30"/>
  <c r="BM199" i="30"/>
  <c r="BN199" i="30"/>
  <c r="BO199" i="30"/>
  <c r="BP199" i="30"/>
  <c r="BQ199" i="30"/>
  <c r="BR199" i="30"/>
  <c r="BS199" i="30"/>
  <c r="BT199" i="30"/>
  <c r="BU199" i="30"/>
  <c r="BV199" i="30"/>
  <c r="BW199" i="30"/>
  <c r="BX199" i="30"/>
  <c r="BY199" i="30"/>
  <c r="BZ199" i="30"/>
  <c r="CA199" i="30"/>
  <c r="CB199" i="30"/>
  <c r="CC199" i="30"/>
  <c r="CD199" i="30"/>
  <c r="CE199" i="30"/>
  <c r="CF199" i="30"/>
  <c r="CG199" i="30"/>
  <c r="CH199" i="30"/>
  <c r="CI199" i="30"/>
  <c r="CJ199" i="30"/>
  <c r="CK199" i="30"/>
  <c r="CL199" i="30"/>
  <c r="CM199" i="30"/>
  <c r="CN199" i="30"/>
  <c r="CO199" i="30"/>
  <c r="CP199" i="30"/>
  <c r="CQ199" i="30"/>
  <c r="CR199" i="30"/>
  <c r="CS199" i="30"/>
  <c r="CT199" i="30"/>
  <c r="CU199" i="30"/>
  <c r="CV199" i="30"/>
  <c r="CW199" i="30"/>
  <c r="CX199" i="30"/>
  <c r="CY199" i="30"/>
  <c r="CZ199" i="30"/>
  <c r="DA199" i="30"/>
  <c r="DB199" i="30"/>
  <c r="DC199" i="30"/>
  <c r="DD199" i="30"/>
  <c r="DE199" i="30"/>
  <c r="DF199" i="30"/>
  <c r="DG199" i="30"/>
  <c r="DH199" i="30"/>
  <c r="DI199" i="30"/>
  <c r="DJ199" i="30"/>
  <c r="DK199" i="30"/>
  <c r="DL199" i="30"/>
  <c r="DM199" i="30"/>
  <c r="DN199" i="30"/>
  <c r="DO199" i="30"/>
  <c r="DP199" i="30"/>
  <c r="DQ199" i="30"/>
  <c r="DR199" i="30"/>
  <c r="DS199" i="30"/>
  <c r="DT199" i="30"/>
  <c r="DU199" i="30"/>
  <c r="DV199" i="30"/>
  <c r="DW199" i="30"/>
  <c r="DX199" i="30"/>
  <c r="DY199" i="30"/>
  <c r="DZ199" i="30"/>
  <c r="EA199" i="30"/>
  <c r="EB199" i="30"/>
  <c r="EC199" i="30"/>
  <c r="ED199" i="30"/>
  <c r="EE199" i="30"/>
  <c r="EF199" i="30"/>
  <c r="EG199" i="30"/>
  <c r="EH199" i="30"/>
  <c r="EI199" i="30"/>
  <c r="EJ199" i="30"/>
  <c r="EK199" i="30"/>
  <c r="EL199" i="30"/>
  <c r="EM199" i="30"/>
  <c r="EN199" i="30"/>
  <c r="EO199" i="30"/>
  <c r="EP199" i="30"/>
  <c r="EQ199" i="30"/>
  <c r="ER199" i="30"/>
  <c r="ES199" i="30"/>
  <c r="ET199" i="30"/>
  <c r="EU199" i="30"/>
  <c r="EV199" i="30"/>
  <c r="EW199" i="30"/>
  <c r="EX199" i="30"/>
  <c r="EY199" i="30"/>
  <c r="EZ199" i="30"/>
  <c r="FA199" i="30"/>
  <c r="FB199" i="30"/>
  <c r="FC199" i="30"/>
  <c r="FD199" i="30"/>
  <c r="FE199" i="30"/>
  <c r="FF199" i="30"/>
  <c r="FG199" i="30"/>
  <c r="FH199" i="30"/>
  <c r="FI199" i="30"/>
  <c r="FJ199" i="30"/>
  <c r="FK199" i="30"/>
  <c r="FL199" i="30"/>
  <c r="FM199" i="30"/>
  <c r="FN199" i="30"/>
  <c r="FO199" i="30"/>
  <c r="FP199" i="30"/>
  <c r="FQ199" i="30"/>
  <c r="FR199" i="30"/>
  <c r="FS199" i="30"/>
  <c r="FT199" i="30"/>
  <c r="FU199" i="30"/>
  <c r="FV199" i="30"/>
  <c r="FW199" i="30"/>
  <c r="FX199" i="30"/>
  <c r="FY199" i="30"/>
  <c r="FZ199" i="30"/>
  <c r="GA199" i="30"/>
  <c r="GB199" i="30"/>
  <c r="GC199" i="30"/>
  <c r="GD199" i="30"/>
  <c r="GE199" i="30"/>
  <c r="GF199" i="30"/>
  <c r="GG199" i="30"/>
  <c r="GH199" i="30"/>
  <c r="GI199" i="30"/>
  <c r="GJ199" i="30"/>
  <c r="GK199" i="30"/>
  <c r="GL199" i="30"/>
  <c r="GM199" i="30"/>
  <c r="GN199" i="30"/>
  <c r="GO199" i="30"/>
  <c r="GP199" i="30"/>
  <c r="GQ199" i="30"/>
  <c r="GR199" i="30"/>
  <c r="GS199" i="30"/>
  <c r="GT199" i="30"/>
  <c r="GU199" i="30"/>
  <c r="GV199" i="30"/>
  <c r="GW199" i="30"/>
  <c r="GX199" i="30"/>
  <c r="GY199" i="30"/>
  <c r="GZ199" i="30"/>
  <c r="HA199" i="30"/>
  <c r="HB199" i="30"/>
  <c r="HC199" i="30"/>
  <c r="HD199" i="30"/>
  <c r="HE199" i="30"/>
  <c r="HF199" i="30"/>
  <c r="HG199" i="30"/>
  <c r="HH199" i="30"/>
  <c r="HI199" i="30"/>
  <c r="HJ199" i="30"/>
  <c r="HK199" i="30"/>
  <c r="HL199" i="30"/>
  <c r="HM199" i="30"/>
  <c r="HN199" i="30"/>
  <c r="HO199" i="30"/>
  <c r="HP199" i="30"/>
  <c r="HQ199" i="30"/>
  <c r="HR199" i="30"/>
  <c r="HS199" i="30"/>
  <c r="HT199" i="30"/>
  <c r="HU199" i="30"/>
  <c r="HV199" i="30"/>
  <c r="HW199" i="30"/>
  <c r="HX199" i="30"/>
  <c r="HY199" i="30"/>
  <c r="HZ199" i="30"/>
  <c r="IA199" i="30"/>
  <c r="IB199" i="30"/>
  <c r="IC199" i="30"/>
  <c r="ID199" i="30"/>
  <c r="IE199" i="30"/>
  <c r="IF199" i="30"/>
  <c r="IG199" i="30"/>
  <c r="IH199" i="30"/>
  <c r="II199" i="30"/>
  <c r="IJ199" i="30"/>
  <c r="IK199" i="30"/>
  <c r="IL199" i="30"/>
  <c r="IM199" i="30"/>
  <c r="IN199" i="30"/>
  <c r="IO199" i="30"/>
  <c r="IP199" i="30"/>
  <c r="IQ199" i="30"/>
  <c r="IR199" i="30"/>
  <c r="IS199" i="30"/>
  <c r="IT199" i="30"/>
  <c r="IU199" i="30"/>
  <c r="IV199" i="30"/>
  <c r="A198" i="30"/>
  <c r="B198" i="30"/>
  <c r="C198" i="30"/>
  <c r="D198" i="30"/>
  <c r="E198" i="30"/>
  <c r="F198" i="30"/>
  <c r="G198" i="30"/>
  <c r="H198" i="30"/>
  <c r="I198" i="30"/>
  <c r="J198" i="30"/>
  <c r="K198" i="30"/>
  <c r="L198" i="30"/>
  <c r="M198" i="30"/>
  <c r="N198" i="30"/>
  <c r="O198" i="30"/>
  <c r="P198" i="30"/>
  <c r="Q198" i="30"/>
  <c r="R198" i="30"/>
  <c r="S198" i="30"/>
  <c r="T198" i="30"/>
  <c r="U198" i="30"/>
  <c r="V198" i="30"/>
  <c r="W198" i="30"/>
  <c r="X198" i="30"/>
  <c r="Y198" i="30"/>
  <c r="Z198" i="30"/>
  <c r="AA198" i="30"/>
  <c r="AB198" i="30"/>
  <c r="AC198" i="30"/>
  <c r="AD198" i="30"/>
  <c r="AE198" i="30"/>
  <c r="AF198" i="30"/>
  <c r="AG198" i="30"/>
  <c r="AH198" i="30"/>
  <c r="AI198" i="30"/>
  <c r="AJ198" i="30"/>
  <c r="AK198" i="30"/>
  <c r="AL198" i="30"/>
  <c r="AM198" i="30"/>
  <c r="AN198" i="30"/>
  <c r="AO198" i="30"/>
  <c r="AP198" i="30"/>
  <c r="AQ198" i="30"/>
  <c r="AR198" i="30"/>
  <c r="AS198" i="30"/>
  <c r="AT198" i="30"/>
  <c r="AU198" i="30"/>
  <c r="AV198" i="30"/>
  <c r="AW198" i="30"/>
  <c r="AX198" i="30"/>
  <c r="AY198" i="30"/>
  <c r="AZ198" i="30"/>
  <c r="BA198" i="30"/>
  <c r="BB198" i="30"/>
  <c r="BC198" i="30"/>
  <c r="BD198" i="30"/>
  <c r="BE198" i="30"/>
  <c r="BF198" i="30"/>
  <c r="BG198" i="30"/>
  <c r="BH198" i="30"/>
  <c r="BI198" i="30"/>
  <c r="BJ198" i="30"/>
  <c r="BK198" i="30"/>
  <c r="BL198" i="30"/>
  <c r="BM198" i="30"/>
  <c r="BN198" i="30"/>
  <c r="BO198" i="30"/>
  <c r="BP198" i="30"/>
  <c r="BQ198" i="30"/>
  <c r="BR198" i="30"/>
  <c r="BS198" i="30"/>
  <c r="BT198" i="30"/>
  <c r="BU198" i="30"/>
  <c r="BV198" i="30"/>
  <c r="BW198" i="30"/>
  <c r="BX198" i="30"/>
  <c r="BY198" i="30"/>
  <c r="BZ198" i="30"/>
  <c r="CA198" i="30"/>
  <c r="CB198" i="30"/>
  <c r="CC198" i="30"/>
  <c r="CD198" i="30"/>
  <c r="CE198" i="30"/>
  <c r="CF198" i="30"/>
  <c r="CG198" i="30"/>
  <c r="CH198" i="30"/>
  <c r="CI198" i="30"/>
  <c r="CJ198" i="30"/>
  <c r="CK198" i="30"/>
  <c r="CL198" i="30"/>
  <c r="CM198" i="30"/>
  <c r="CN198" i="30"/>
  <c r="CO198" i="30"/>
  <c r="CP198" i="30"/>
  <c r="CQ198" i="30"/>
  <c r="CR198" i="30"/>
  <c r="CS198" i="30"/>
  <c r="CT198" i="30"/>
  <c r="CU198" i="30"/>
  <c r="CV198" i="30"/>
  <c r="CW198" i="30"/>
  <c r="CX198" i="30"/>
  <c r="CY198" i="30"/>
  <c r="CZ198" i="30"/>
  <c r="DA198" i="30"/>
  <c r="DB198" i="30"/>
  <c r="DC198" i="30"/>
  <c r="DD198" i="30"/>
  <c r="DE198" i="30"/>
  <c r="DF198" i="30"/>
  <c r="DG198" i="30"/>
  <c r="DH198" i="30"/>
  <c r="DI198" i="30"/>
  <c r="DJ198" i="30"/>
  <c r="DK198" i="30"/>
  <c r="DL198" i="30"/>
  <c r="DM198" i="30"/>
  <c r="DN198" i="30"/>
  <c r="DO198" i="30"/>
  <c r="DP198" i="30"/>
  <c r="DQ198" i="30"/>
  <c r="DR198" i="30"/>
  <c r="DS198" i="30"/>
  <c r="DT198" i="30"/>
  <c r="DU198" i="30"/>
  <c r="DV198" i="30"/>
  <c r="DW198" i="30"/>
  <c r="DX198" i="30"/>
  <c r="DY198" i="30"/>
  <c r="DZ198" i="30"/>
  <c r="EA198" i="30"/>
  <c r="EB198" i="30"/>
  <c r="EC198" i="30"/>
  <c r="ED198" i="30"/>
  <c r="EE198" i="30"/>
  <c r="EF198" i="30"/>
  <c r="EG198" i="30"/>
  <c r="EH198" i="30"/>
  <c r="EI198" i="30"/>
  <c r="EJ198" i="30"/>
  <c r="EK198" i="30"/>
  <c r="EL198" i="30"/>
  <c r="EM198" i="30"/>
  <c r="EN198" i="30"/>
  <c r="EO198" i="30"/>
  <c r="EP198" i="30"/>
  <c r="EQ198" i="30"/>
  <c r="ER198" i="30"/>
  <c r="ES198" i="30"/>
  <c r="ET198" i="30"/>
  <c r="EU198" i="30"/>
  <c r="EV198" i="30"/>
  <c r="EW198" i="30"/>
  <c r="EX198" i="30"/>
  <c r="EY198" i="30"/>
  <c r="EZ198" i="30"/>
  <c r="FA198" i="30"/>
  <c r="FB198" i="30"/>
  <c r="FC198" i="30"/>
  <c r="FD198" i="30"/>
  <c r="FE198" i="30"/>
  <c r="FF198" i="30"/>
  <c r="FG198" i="30"/>
  <c r="FH198" i="30"/>
  <c r="FI198" i="30"/>
  <c r="FJ198" i="30"/>
  <c r="FK198" i="30"/>
  <c r="FL198" i="30"/>
  <c r="FM198" i="30"/>
  <c r="FN198" i="30"/>
  <c r="FO198" i="30"/>
  <c r="FP198" i="30"/>
  <c r="FQ198" i="30"/>
  <c r="FR198" i="30"/>
  <c r="FS198" i="30"/>
  <c r="FT198" i="30"/>
  <c r="FU198" i="30"/>
  <c r="FV198" i="30"/>
  <c r="FW198" i="30"/>
  <c r="FX198" i="30"/>
  <c r="FY198" i="30"/>
  <c r="FZ198" i="30"/>
  <c r="GA198" i="30"/>
  <c r="GB198" i="30"/>
  <c r="GC198" i="30"/>
  <c r="GD198" i="30"/>
  <c r="GE198" i="30"/>
  <c r="GF198" i="30"/>
  <c r="GG198" i="30"/>
  <c r="GH198" i="30"/>
  <c r="GI198" i="30"/>
  <c r="GJ198" i="30"/>
  <c r="GK198" i="30"/>
  <c r="GL198" i="30"/>
  <c r="GM198" i="30"/>
  <c r="GN198" i="30"/>
  <c r="GO198" i="30"/>
  <c r="GP198" i="30"/>
  <c r="GQ198" i="30"/>
  <c r="GR198" i="30"/>
  <c r="GS198" i="30"/>
  <c r="GT198" i="30"/>
  <c r="GU198" i="30"/>
  <c r="GV198" i="30"/>
  <c r="GW198" i="30"/>
  <c r="GX198" i="30"/>
  <c r="GY198" i="30"/>
  <c r="GZ198" i="30"/>
  <c r="HA198" i="30"/>
  <c r="HB198" i="30"/>
  <c r="HC198" i="30"/>
  <c r="HD198" i="30"/>
  <c r="HE198" i="30"/>
  <c r="HF198" i="30"/>
  <c r="HG198" i="30"/>
  <c r="HH198" i="30"/>
  <c r="HI198" i="30"/>
  <c r="HJ198" i="30"/>
  <c r="HK198" i="30"/>
  <c r="HL198" i="30"/>
  <c r="HM198" i="30"/>
  <c r="HN198" i="30"/>
  <c r="HO198" i="30"/>
  <c r="HP198" i="30"/>
  <c r="HQ198" i="30"/>
  <c r="HR198" i="30"/>
  <c r="HS198" i="30"/>
  <c r="HT198" i="30"/>
  <c r="HU198" i="30"/>
  <c r="HV198" i="30"/>
  <c r="HW198" i="30"/>
  <c r="HX198" i="30"/>
  <c r="HY198" i="30"/>
  <c r="HZ198" i="30"/>
  <c r="IA198" i="30"/>
  <c r="IB198" i="30"/>
  <c r="IC198" i="30"/>
  <c r="ID198" i="30"/>
  <c r="IE198" i="30"/>
  <c r="IF198" i="30"/>
  <c r="IG198" i="30"/>
  <c r="IH198" i="30"/>
  <c r="II198" i="30"/>
  <c r="IJ198" i="30"/>
  <c r="IK198" i="30"/>
  <c r="IL198" i="30"/>
  <c r="IM198" i="30"/>
  <c r="IN198" i="30"/>
  <c r="IO198" i="30"/>
  <c r="IP198" i="30"/>
  <c r="IQ198" i="30"/>
  <c r="IR198" i="30"/>
  <c r="IS198" i="30"/>
  <c r="IT198" i="30"/>
  <c r="IU198" i="30"/>
  <c r="IV198" i="30"/>
  <c r="A197" i="30"/>
  <c r="B197" i="30"/>
  <c r="C197" i="30"/>
  <c r="D197" i="30"/>
  <c r="E197" i="30"/>
  <c r="F197" i="30"/>
  <c r="G197" i="30"/>
  <c r="H197" i="30"/>
  <c r="I197" i="30"/>
  <c r="J197" i="30"/>
  <c r="K197" i="30"/>
  <c r="L197" i="30"/>
  <c r="M197" i="30"/>
  <c r="N197" i="30"/>
  <c r="O197" i="30"/>
  <c r="P197" i="30"/>
  <c r="Q197" i="30"/>
  <c r="R197" i="30"/>
  <c r="S197" i="30"/>
  <c r="T197" i="30"/>
  <c r="U197" i="30"/>
  <c r="V197" i="30"/>
  <c r="W197" i="30"/>
  <c r="X197" i="30"/>
  <c r="Y197" i="30"/>
  <c r="Z197" i="30"/>
  <c r="AA197" i="30"/>
  <c r="AB197" i="30"/>
  <c r="AC197" i="30"/>
  <c r="AD197" i="30"/>
  <c r="AE197" i="30"/>
  <c r="AF197" i="30"/>
  <c r="AG197" i="30"/>
  <c r="AH197" i="30"/>
  <c r="AI197" i="30"/>
  <c r="AJ197" i="30"/>
  <c r="AK197" i="30"/>
  <c r="AL197" i="30"/>
  <c r="AM197" i="30"/>
  <c r="AN197" i="30"/>
  <c r="AO197" i="30"/>
  <c r="AP197" i="30"/>
  <c r="AQ197" i="30"/>
  <c r="AR197" i="30"/>
  <c r="AS197" i="30"/>
  <c r="AT197" i="30"/>
  <c r="AU197" i="30"/>
  <c r="AV197" i="30"/>
  <c r="AW197" i="30"/>
  <c r="AX197" i="30"/>
  <c r="AY197" i="30"/>
  <c r="AZ197" i="30"/>
  <c r="BA197" i="30"/>
  <c r="BB197" i="30"/>
  <c r="BC197" i="30"/>
  <c r="BD197" i="30"/>
  <c r="BE197" i="30"/>
  <c r="BF197" i="30"/>
  <c r="BG197" i="30"/>
  <c r="BH197" i="30"/>
  <c r="BI197" i="30"/>
  <c r="BJ197" i="30"/>
  <c r="BK197" i="30"/>
  <c r="BL197" i="30"/>
  <c r="BM197" i="30"/>
  <c r="BN197" i="30"/>
  <c r="BO197" i="30"/>
  <c r="BP197" i="30"/>
  <c r="BQ197" i="30"/>
  <c r="BR197" i="30"/>
  <c r="BS197" i="30"/>
  <c r="BT197" i="30"/>
  <c r="BU197" i="30"/>
  <c r="BV197" i="30"/>
  <c r="BW197" i="30"/>
  <c r="BX197" i="30"/>
  <c r="BY197" i="30"/>
  <c r="BZ197" i="30"/>
  <c r="CA197" i="30"/>
  <c r="CB197" i="30"/>
  <c r="CC197" i="30"/>
  <c r="CD197" i="30"/>
  <c r="CE197" i="30"/>
  <c r="CF197" i="30"/>
  <c r="CG197" i="30"/>
  <c r="CH197" i="30"/>
  <c r="CI197" i="30"/>
  <c r="CJ197" i="30"/>
  <c r="CK197" i="30"/>
  <c r="CL197" i="30"/>
  <c r="CM197" i="30"/>
  <c r="CN197" i="30"/>
  <c r="CO197" i="30"/>
  <c r="CP197" i="30"/>
  <c r="CQ197" i="30"/>
  <c r="CR197" i="30"/>
  <c r="CS197" i="30"/>
  <c r="CT197" i="30"/>
  <c r="CU197" i="30"/>
  <c r="CV197" i="30"/>
  <c r="CW197" i="30"/>
  <c r="CX197" i="30"/>
  <c r="CY197" i="30"/>
  <c r="CZ197" i="30"/>
  <c r="DA197" i="30"/>
  <c r="DB197" i="30"/>
  <c r="DC197" i="30"/>
  <c r="DD197" i="30"/>
  <c r="DE197" i="30"/>
  <c r="DF197" i="30"/>
  <c r="DG197" i="30"/>
  <c r="DH197" i="30"/>
  <c r="DI197" i="30"/>
  <c r="DJ197" i="30"/>
  <c r="DK197" i="30"/>
  <c r="DL197" i="30"/>
  <c r="DM197" i="30"/>
  <c r="DN197" i="30"/>
  <c r="DO197" i="30"/>
  <c r="DP197" i="30"/>
  <c r="DQ197" i="30"/>
  <c r="DR197" i="30"/>
  <c r="DS197" i="30"/>
  <c r="DT197" i="30"/>
  <c r="DU197" i="30"/>
  <c r="DV197" i="30"/>
  <c r="DW197" i="30"/>
  <c r="DX197" i="30"/>
  <c r="DY197" i="30"/>
  <c r="DZ197" i="30"/>
  <c r="EA197" i="30"/>
  <c r="EB197" i="30"/>
  <c r="EC197" i="30"/>
  <c r="ED197" i="30"/>
  <c r="EE197" i="30"/>
  <c r="EF197" i="30"/>
  <c r="EG197" i="30"/>
  <c r="EH197" i="30"/>
  <c r="EI197" i="30"/>
  <c r="EJ197" i="30"/>
  <c r="EK197" i="30"/>
  <c r="EL197" i="30"/>
  <c r="EM197" i="30"/>
  <c r="EN197" i="30"/>
  <c r="EO197" i="30"/>
  <c r="EP197" i="30"/>
  <c r="EQ197" i="30"/>
  <c r="ER197" i="30"/>
  <c r="ES197" i="30"/>
  <c r="ET197" i="30"/>
  <c r="EU197" i="30"/>
  <c r="EV197" i="30"/>
  <c r="EW197" i="30"/>
  <c r="EX197" i="30"/>
  <c r="EY197" i="30"/>
  <c r="EZ197" i="30"/>
  <c r="FA197" i="30"/>
  <c r="FB197" i="30"/>
  <c r="FC197" i="30"/>
  <c r="FD197" i="30"/>
  <c r="FE197" i="30"/>
  <c r="FF197" i="30"/>
  <c r="FG197" i="30"/>
  <c r="FH197" i="30"/>
  <c r="FI197" i="30"/>
  <c r="FJ197" i="30"/>
  <c r="FK197" i="30"/>
  <c r="FL197" i="30"/>
  <c r="FM197" i="30"/>
  <c r="FN197" i="30"/>
  <c r="FO197" i="30"/>
  <c r="FP197" i="30"/>
  <c r="FQ197" i="30"/>
  <c r="FR197" i="30"/>
  <c r="FS197" i="30"/>
  <c r="FT197" i="30"/>
  <c r="FU197" i="30"/>
  <c r="FV197" i="30"/>
  <c r="FW197" i="30"/>
  <c r="FX197" i="30"/>
  <c r="FY197" i="30"/>
  <c r="FZ197" i="30"/>
  <c r="GA197" i="30"/>
  <c r="GB197" i="30"/>
  <c r="GC197" i="30"/>
  <c r="GD197" i="30"/>
  <c r="GE197" i="30"/>
  <c r="GF197" i="30"/>
  <c r="GG197" i="30"/>
  <c r="GH197" i="30"/>
  <c r="GI197" i="30"/>
  <c r="GJ197" i="30"/>
  <c r="GK197" i="30"/>
  <c r="GL197" i="30"/>
  <c r="GM197" i="30"/>
  <c r="GN197" i="30"/>
  <c r="GO197" i="30"/>
  <c r="GP197" i="30"/>
  <c r="GQ197" i="30"/>
  <c r="GR197" i="30"/>
  <c r="GS197" i="30"/>
  <c r="GT197" i="30"/>
  <c r="GU197" i="30"/>
  <c r="GV197" i="30"/>
  <c r="GW197" i="30"/>
  <c r="GX197" i="30"/>
  <c r="GY197" i="30"/>
  <c r="GZ197" i="30"/>
  <c r="HA197" i="30"/>
  <c r="HB197" i="30"/>
  <c r="HC197" i="30"/>
  <c r="HD197" i="30"/>
  <c r="HE197" i="30"/>
  <c r="HF197" i="30"/>
  <c r="HG197" i="30"/>
  <c r="HH197" i="30"/>
  <c r="HI197" i="30"/>
  <c r="HJ197" i="30"/>
  <c r="HK197" i="30"/>
  <c r="HL197" i="30"/>
  <c r="HM197" i="30"/>
  <c r="HN197" i="30"/>
  <c r="HO197" i="30"/>
  <c r="HP197" i="30"/>
  <c r="HQ197" i="30"/>
  <c r="HR197" i="30"/>
  <c r="HS197" i="30"/>
  <c r="HT197" i="30"/>
  <c r="HU197" i="30"/>
  <c r="HV197" i="30"/>
  <c r="HW197" i="30"/>
  <c r="HX197" i="30"/>
  <c r="HY197" i="30"/>
  <c r="HZ197" i="30"/>
  <c r="IA197" i="30"/>
  <c r="IB197" i="30"/>
  <c r="IC197" i="30"/>
  <c r="ID197" i="30"/>
  <c r="IE197" i="30"/>
  <c r="IF197" i="30"/>
  <c r="IG197" i="30"/>
  <c r="IH197" i="30"/>
  <c r="II197" i="30"/>
  <c r="IJ197" i="30"/>
  <c r="IK197" i="30"/>
  <c r="IL197" i="30"/>
  <c r="IM197" i="30"/>
  <c r="IN197" i="30"/>
  <c r="IO197" i="30"/>
  <c r="IP197" i="30"/>
  <c r="IQ197" i="30"/>
  <c r="IR197" i="30"/>
  <c r="IS197" i="30"/>
  <c r="IT197" i="30"/>
  <c r="IU197" i="30"/>
  <c r="IV197" i="30"/>
  <c r="A196" i="30"/>
  <c r="B196" i="30"/>
  <c r="C196" i="30"/>
  <c r="D196" i="30"/>
  <c r="E196" i="30"/>
  <c r="F196" i="30"/>
  <c r="G196" i="30"/>
  <c r="H196" i="30"/>
  <c r="I196" i="30"/>
  <c r="J196" i="30"/>
  <c r="K196" i="30"/>
  <c r="L196" i="30"/>
  <c r="M196" i="30"/>
  <c r="N196" i="30"/>
  <c r="O196" i="30"/>
  <c r="P196" i="30"/>
  <c r="Q196" i="30"/>
  <c r="R196" i="30"/>
  <c r="S196" i="30"/>
  <c r="T196" i="30"/>
  <c r="U196" i="30"/>
  <c r="V196" i="30"/>
  <c r="W196" i="30"/>
  <c r="X196" i="30"/>
  <c r="Y196" i="30"/>
  <c r="Z196" i="30"/>
  <c r="AA196" i="30"/>
  <c r="AB196" i="30"/>
  <c r="AC196" i="30"/>
  <c r="AD196" i="30"/>
  <c r="AE196" i="30"/>
  <c r="AF196" i="30"/>
  <c r="AG196" i="30"/>
  <c r="AH196" i="30"/>
  <c r="AI196" i="30"/>
  <c r="AJ196" i="30"/>
  <c r="AK196" i="30"/>
  <c r="AL196" i="30"/>
  <c r="AM196" i="30"/>
  <c r="AN196" i="30"/>
  <c r="AO196" i="30"/>
  <c r="AP196" i="30"/>
  <c r="AQ196" i="30"/>
  <c r="AR196" i="30"/>
  <c r="AS196" i="30"/>
  <c r="AT196" i="30"/>
  <c r="AU196" i="30"/>
  <c r="AV196" i="30"/>
  <c r="AW196" i="30"/>
  <c r="AX196" i="30"/>
  <c r="AY196" i="30"/>
  <c r="AZ196" i="30"/>
  <c r="BA196" i="30"/>
  <c r="BB196" i="30"/>
  <c r="BC196" i="30"/>
  <c r="BD196" i="30"/>
  <c r="BE196" i="30"/>
  <c r="BF196" i="30"/>
  <c r="BG196" i="30"/>
  <c r="BH196" i="30"/>
  <c r="BI196" i="30"/>
  <c r="BJ196" i="30"/>
  <c r="BK196" i="30"/>
  <c r="BL196" i="30"/>
  <c r="BM196" i="30"/>
  <c r="BN196" i="30"/>
  <c r="BO196" i="30"/>
  <c r="BP196" i="30"/>
  <c r="BQ196" i="30"/>
  <c r="BR196" i="30"/>
  <c r="BS196" i="30"/>
  <c r="BT196" i="30"/>
  <c r="BU196" i="30"/>
  <c r="BV196" i="30"/>
  <c r="BW196" i="30"/>
  <c r="BX196" i="30"/>
  <c r="BY196" i="30"/>
  <c r="BZ196" i="30"/>
  <c r="CA196" i="30"/>
  <c r="CB196" i="30"/>
  <c r="CC196" i="30"/>
  <c r="CD196" i="30"/>
  <c r="CE196" i="30"/>
  <c r="CF196" i="30"/>
  <c r="CG196" i="30"/>
  <c r="CH196" i="30"/>
  <c r="CI196" i="30"/>
  <c r="CJ196" i="30"/>
  <c r="CK196" i="30"/>
  <c r="CL196" i="30"/>
  <c r="CM196" i="30"/>
  <c r="CN196" i="30"/>
  <c r="CO196" i="30"/>
  <c r="CP196" i="30"/>
  <c r="CQ196" i="30"/>
  <c r="CR196" i="30"/>
  <c r="CS196" i="30"/>
  <c r="CT196" i="30"/>
  <c r="CU196" i="30"/>
  <c r="CV196" i="30"/>
  <c r="CW196" i="30"/>
  <c r="CX196" i="30"/>
  <c r="CY196" i="30"/>
  <c r="CZ196" i="30"/>
  <c r="DA196" i="30"/>
  <c r="DB196" i="30"/>
  <c r="DC196" i="30"/>
  <c r="DD196" i="30"/>
  <c r="DE196" i="30"/>
  <c r="DF196" i="30"/>
  <c r="DG196" i="30"/>
  <c r="DH196" i="30"/>
  <c r="DI196" i="30"/>
  <c r="DJ196" i="30"/>
  <c r="DK196" i="30"/>
  <c r="DL196" i="30"/>
  <c r="DM196" i="30"/>
  <c r="DN196" i="30"/>
  <c r="DO196" i="30"/>
  <c r="DP196" i="30"/>
  <c r="DQ196" i="30"/>
  <c r="DR196" i="30"/>
  <c r="DS196" i="30"/>
  <c r="DT196" i="30"/>
  <c r="DU196" i="30"/>
  <c r="DV196" i="30"/>
  <c r="DW196" i="30"/>
  <c r="DX196" i="30"/>
  <c r="DY196" i="30"/>
  <c r="DZ196" i="30"/>
  <c r="EA196" i="30"/>
  <c r="EB196" i="30"/>
  <c r="EC196" i="30"/>
  <c r="ED196" i="30"/>
  <c r="EE196" i="30"/>
  <c r="EF196" i="30"/>
  <c r="EG196" i="30"/>
  <c r="EH196" i="30"/>
  <c r="EI196" i="30"/>
  <c r="EJ196" i="30"/>
  <c r="EK196" i="30"/>
  <c r="EL196" i="30"/>
  <c r="EM196" i="30"/>
  <c r="EN196" i="30"/>
  <c r="EO196" i="30"/>
  <c r="EP196" i="30"/>
  <c r="EQ196" i="30"/>
  <c r="ER196" i="30"/>
  <c r="ES196" i="30"/>
  <c r="ET196" i="30"/>
  <c r="EU196" i="30"/>
  <c r="EV196" i="30"/>
  <c r="EW196" i="30"/>
  <c r="EX196" i="30"/>
  <c r="EY196" i="30"/>
  <c r="EZ196" i="30"/>
  <c r="FA196" i="30"/>
  <c r="FB196" i="30"/>
  <c r="FC196" i="30"/>
  <c r="FD196" i="30"/>
  <c r="FE196" i="30"/>
  <c r="FF196" i="30"/>
  <c r="FG196" i="30"/>
  <c r="FH196" i="30"/>
  <c r="FI196" i="30"/>
  <c r="FJ196" i="30"/>
  <c r="FK196" i="30"/>
  <c r="FL196" i="30"/>
  <c r="FM196" i="30"/>
  <c r="FN196" i="30"/>
  <c r="FO196" i="30"/>
  <c r="FP196" i="30"/>
  <c r="FQ196" i="30"/>
  <c r="FR196" i="30"/>
  <c r="FS196" i="30"/>
  <c r="FT196" i="30"/>
  <c r="FU196" i="30"/>
  <c r="FV196" i="30"/>
  <c r="FW196" i="30"/>
  <c r="FX196" i="30"/>
  <c r="FY196" i="30"/>
  <c r="FZ196" i="30"/>
  <c r="GA196" i="30"/>
  <c r="GB196" i="30"/>
  <c r="GC196" i="30"/>
  <c r="GD196" i="30"/>
  <c r="GE196" i="30"/>
  <c r="GF196" i="30"/>
  <c r="GG196" i="30"/>
  <c r="GH196" i="30"/>
  <c r="GI196" i="30"/>
  <c r="GJ196" i="30"/>
  <c r="GK196" i="30"/>
  <c r="GL196" i="30"/>
  <c r="GM196" i="30"/>
  <c r="GN196" i="30"/>
  <c r="GO196" i="30"/>
  <c r="GP196" i="30"/>
  <c r="GQ196" i="30"/>
  <c r="GR196" i="30"/>
  <c r="GS196" i="30"/>
  <c r="GT196" i="30"/>
  <c r="GU196" i="30"/>
  <c r="GV196" i="30"/>
  <c r="GW196" i="30"/>
  <c r="GX196" i="30"/>
  <c r="GY196" i="30"/>
  <c r="GZ196" i="30"/>
  <c r="HA196" i="30"/>
  <c r="HB196" i="30"/>
  <c r="HC196" i="30"/>
  <c r="HD196" i="30"/>
  <c r="HE196" i="30"/>
  <c r="HF196" i="30"/>
  <c r="HG196" i="30"/>
  <c r="HH196" i="30"/>
  <c r="HI196" i="30"/>
  <c r="HJ196" i="30"/>
  <c r="HK196" i="30"/>
  <c r="HL196" i="30"/>
  <c r="HM196" i="30"/>
  <c r="HN196" i="30"/>
  <c r="HO196" i="30"/>
  <c r="HP196" i="30"/>
  <c r="HQ196" i="30"/>
  <c r="HR196" i="30"/>
  <c r="HS196" i="30"/>
  <c r="HT196" i="30"/>
  <c r="HU196" i="30"/>
  <c r="HV196" i="30"/>
  <c r="HW196" i="30"/>
  <c r="HX196" i="30"/>
  <c r="HY196" i="30"/>
  <c r="HZ196" i="30"/>
  <c r="IA196" i="30"/>
  <c r="IB196" i="30"/>
  <c r="IC196" i="30"/>
  <c r="ID196" i="30"/>
  <c r="IE196" i="30"/>
  <c r="IF196" i="30"/>
  <c r="IG196" i="30"/>
  <c r="IH196" i="30"/>
  <c r="II196" i="30"/>
  <c r="IJ196" i="30"/>
  <c r="IK196" i="30"/>
  <c r="IL196" i="30"/>
  <c r="IM196" i="30"/>
  <c r="IN196" i="30"/>
  <c r="IO196" i="30"/>
  <c r="IP196" i="30"/>
  <c r="IQ196" i="30"/>
  <c r="IR196" i="30"/>
  <c r="IS196" i="30"/>
  <c r="IT196" i="30"/>
  <c r="IU196" i="30"/>
  <c r="IV196" i="30"/>
  <c r="A195" i="30"/>
  <c r="B195" i="30"/>
  <c r="C195" i="30"/>
  <c r="D195" i="30"/>
  <c r="E195" i="30"/>
  <c r="F195" i="30"/>
  <c r="G195" i="30"/>
  <c r="H195" i="30"/>
  <c r="I195" i="30"/>
  <c r="J195" i="30"/>
  <c r="K195" i="30"/>
  <c r="L195" i="30"/>
  <c r="M195" i="30"/>
  <c r="N195" i="30"/>
  <c r="O195" i="30"/>
  <c r="P195" i="30"/>
  <c r="Q195" i="30"/>
  <c r="R195" i="30"/>
  <c r="S195" i="30"/>
  <c r="T195" i="30"/>
  <c r="U195" i="30"/>
  <c r="V195" i="30"/>
  <c r="W195" i="30"/>
  <c r="X195" i="30"/>
  <c r="Y195" i="30"/>
  <c r="Z195" i="30"/>
  <c r="AA195" i="30"/>
  <c r="AB195" i="30"/>
  <c r="AC195" i="30"/>
  <c r="AD195" i="30"/>
  <c r="AE195" i="30"/>
  <c r="AF195" i="30"/>
  <c r="AG195" i="30"/>
  <c r="AH195" i="30"/>
  <c r="AI195" i="30"/>
  <c r="AJ195" i="30"/>
  <c r="AK195" i="30"/>
  <c r="AL195" i="30"/>
  <c r="AM195" i="30"/>
  <c r="AN195" i="30"/>
  <c r="AO195" i="30"/>
  <c r="AP195" i="30"/>
  <c r="AQ195" i="30"/>
  <c r="AR195" i="30"/>
  <c r="AS195" i="30"/>
  <c r="AT195" i="30"/>
  <c r="AU195" i="30"/>
  <c r="AV195" i="30"/>
  <c r="AW195" i="30"/>
  <c r="AX195" i="30"/>
  <c r="AY195" i="30"/>
  <c r="AZ195" i="30"/>
  <c r="BA195" i="30"/>
  <c r="BB195" i="30"/>
  <c r="BC195" i="30"/>
  <c r="BD195" i="30"/>
  <c r="BE195" i="30"/>
  <c r="BF195" i="30"/>
  <c r="BG195" i="30"/>
  <c r="BH195" i="30"/>
  <c r="BI195" i="30"/>
  <c r="BJ195" i="30"/>
  <c r="BK195" i="30"/>
  <c r="BL195" i="30"/>
  <c r="BM195" i="30"/>
  <c r="BN195" i="30"/>
  <c r="BO195" i="30"/>
  <c r="BP195" i="30"/>
  <c r="BQ195" i="30"/>
  <c r="BR195" i="30"/>
  <c r="BS195" i="30"/>
  <c r="BT195" i="30"/>
  <c r="BU195" i="30"/>
  <c r="BV195" i="30"/>
  <c r="BW195" i="30"/>
  <c r="BX195" i="30"/>
  <c r="BY195" i="30"/>
  <c r="BZ195" i="30"/>
  <c r="CA195" i="30"/>
  <c r="CB195" i="30"/>
  <c r="CC195" i="30"/>
  <c r="CD195" i="30"/>
  <c r="CE195" i="30"/>
  <c r="CF195" i="30"/>
  <c r="CG195" i="30"/>
  <c r="CH195" i="30"/>
  <c r="CI195" i="30"/>
  <c r="CJ195" i="30"/>
  <c r="CK195" i="30"/>
  <c r="CL195" i="30"/>
  <c r="CM195" i="30"/>
  <c r="CN195" i="30"/>
  <c r="CO195" i="30"/>
  <c r="CP195" i="30"/>
  <c r="CQ195" i="30"/>
  <c r="CR195" i="30"/>
  <c r="CS195" i="30"/>
  <c r="CT195" i="30"/>
  <c r="CU195" i="30"/>
  <c r="CV195" i="30"/>
  <c r="CW195" i="30"/>
  <c r="CX195" i="30"/>
  <c r="CY195" i="30"/>
  <c r="CZ195" i="30"/>
  <c r="DA195" i="30"/>
  <c r="DB195" i="30"/>
  <c r="DC195" i="30"/>
  <c r="DD195" i="30"/>
  <c r="DE195" i="30"/>
  <c r="DF195" i="30"/>
  <c r="DG195" i="30"/>
  <c r="DH195" i="30"/>
  <c r="DI195" i="30"/>
  <c r="DJ195" i="30"/>
  <c r="DK195" i="30"/>
  <c r="DL195" i="30"/>
  <c r="DM195" i="30"/>
  <c r="DN195" i="30"/>
  <c r="DO195" i="30"/>
  <c r="DP195" i="30"/>
  <c r="DQ195" i="30"/>
  <c r="DR195" i="30"/>
  <c r="DS195" i="30"/>
  <c r="DT195" i="30"/>
  <c r="DU195" i="30"/>
  <c r="DV195" i="30"/>
  <c r="DW195" i="30"/>
  <c r="DX195" i="30"/>
  <c r="DY195" i="30"/>
  <c r="DZ195" i="30"/>
  <c r="EA195" i="30"/>
  <c r="EB195" i="30"/>
  <c r="EC195" i="30"/>
  <c r="ED195" i="30"/>
  <c r="EE195" i="30"/>
  <c r="EF195" i="30"/>
  <c r="EG195" i="30"/>
  <c r="EH195" i="30"/>
  <c r="EI195" i="30"/>
  <c r="EJ195" i="30"/>
  <c r="EK195" i="30"/>
  <c r="EL195" i="30"/>
  <c r="EM195" i="30"/>
  <c r="EN195" i="30"/>
  <c r="EO195" i="30"/>
  <c r="EP195" i="30"/>
  <c r="EQ195" i="30"/>
  <c r="ER195" i="30"/>
  <c r="ES195" i="30"/>
  <c r="ET195" i="30"/>
  <c r="EU195" i="30"/>
  <c r="EV195" i="30"/>
  <c r="EW195" i="30"/>
  <c r="EX195" i="30"/>
  <c r="EY195" i="30"/>
  <c r="EZ195" i="30"/>
  <c r="FA195" i="30"/>
  <c r="FB195" i="30"/>
  <c r="FC195" i="30"/>
  <c r="FD195" i="30"/>
  <c r="FE195" i="30"/>
  <c r="FF195" i="30"/>
  <c r="FG195" i="30"/>
  <c r="FH195" i="30"/>
  <c r="FI195" i="30"/>
  <c r="FJ195" i="30"/>
  <c r="FK195" i="30"/>
  <c r="FL195" i="30"/>
  <c r="FM195" i="30"/>
  <c r="FN195" i="30"/>
  <c r="FO195" i="30"/>
  <c r="FP195" i="30"/>
  <c r="FQ195" i="30"/>
  <c r="FR195" i="30"/>
  <c r="FS195" i="30"/>
  <c r="FT195" i="30"/>
  <c r="FU195" i="30"/>
  <c r="FV195" i="30"/>
  <c r="FW195" i="30"/>
  <c r="FX195" i="30"/>
  <c r="FY195" i="30"/>
  <c r="FZ195" i="30"/>
  <c r="GA195" i="30"/>
  <c r="GB195" i="30"/>
  <c r="GC195" i="30"/>
  <c r="GD195" i="30"/>
  <c r="GE195" i="30"/>
  <c r="GF195" i="30"/>
  <c r="GG195" i="30"/>
  <c r="GH195" i="30"/>
  <c r="GI195" i="30"/>
  <c r="GJ195" i="30"/>
  <c r="GK195" i="30"/>
  <c r="GL195" i="30"/>
  <c r="GM195" i="30"/>
  <c r="GN195" i="30"/>
  <c r="GO195" i="30"/>
  <c r="GP195" i="30"/>
  <c r="GQ195" i="30"/>
  <c r="GR195" i="30"/>
  <c r="GS195" i="30"/>
  <c r="GT195" i="30"/>
  <c r="GU195" i="30"/>
  <c r="GV195" i="30"/>
  <c r="GW195" i="30"/>
  <c r="GX195" i="30"/>
  <c r="GY195" i="30"/>
  <c r="GZ195" i="30"/>
  <c r="HA195" i="30"/>
  <c r="HB195" i="30"/>
  <c r="HC195" i="30"/>
  <c r="HD195" i="30"/>
  <c r="HE195" i="30"/>
  <c r="HF195" i="30"/>
  <c r="HG195" i="30"/>
  <c r="HH195" i="30"/>
  <c r="HI195" i="30"/>
  <c r="HJ195" i="30"/>
  <c r="HK195" i="30"/>
  <c r="HL195" i="30"/>
  <c r="HM195" i="30"/>
  <c r="HN195" i="30"/>
  <c r="HO195" i="30"/>
  <c r="HP195" i="30"/>
  <c r="HQ195" i="30"/>
  <c r="HR195" i="30"/>
  <c r="HS195" i="30"/>
  <c r="HT195" i="30"/>
  <c r="HU195" i="30"/>
  <c r="HV195" i="30"/>
  <c r="HW195" i="30"/>
  <c r="HX195" i="30"/>
  <c r="HY195" i="30"/>
  <c r="HZ195" i="30"/>
  <c r="IA195" i="30"/>
  <c r="IB195" i="30"/>
  <c r="IC195" i="30"/>
  <c r="ID195" i="30"/>
  <c r="IE195" i="30"/>
  <c r="IF195" i="30"/>
  <c r="IG195" i="30"/>
  <c r="IH195" i="30"/>
  <c r="II195" i="30"/>
  <c r="IJ195" i="30"/>
  <c r="IK195" i="30"/>
  <c r="IL195" i="30"/>
  <c r="IM195" i="30"/>
  <c r="IN195" i="30"/>
  <c r="IO195" i="30"/>
  <c r="IP195" i="30"/>
  <c r="IQ195" i="30"/>
  <c r="IR195" i="30"/>
  <c r="IS195" i="30"/>
  <c r="IT195" i="30"/>
  <c r="IU195" i="30"/>
  <c r="IV195" i="30"/>
  <c r="A194" i="30"/>
  <c r="B194" i="30"/>
  <c r="C194" i="30"/>
  <c r="D194" i="30"/>
  <c r="E194" i="30"/>
  <c r="F194" i="30"/>
  <c r="G194" i="30"/>
  <c r="H194" i="30"/>
  <c r="I194" i="30"/>
  <c r="J194" i="30"/>
  <c r="K194" i="30"/>
  <c r="L194" i="30"/>
  <c r="M194" i="30"/>
  <c r="N194" i="30"/>
  <c r="O194" i="30"/>
  <c r="P194" i="30"/>
  <c r="Q194" i="30"/>
  <c r="R194" i="30"/>
  <c r="S194" i="30"/>
  <c r="T194" i="30"/>
  <c r="U194" i="30"/>
  <c r="V194" i="30"/>
  <c r="W194" i="30"/>
  <c r="X194" i="30"/>
  <c r="Y194" i="30"/>
  <c r="Z194" i="30"/>
  <c r="AA194" i="30"/>
  <c r="AB194" i="30"/>
  <c r="AC194" i="30"/>
  <c r="AD194" i="30"/>
  <c r="AE194" i="30"/>
  <c r="AF194" i="30"/>
  <c r="AG194" i="30"/>
  <c r="AH194" i="30"/>
  <c r="AI194" i="30"/>
  <c r="AJ194" i="30"/>
  <c r="AK194" i="30"/>
  <c r="AL194" i="30"/>
  <c r="AM194" i="30"/>
  <c r="AN194" i="30"/>
  <c r="AO194" i="30"/>
  <c r="AP194" i="30"/>
  <c r="AQ194" i="30"/>
  <c r="AR194" i="30"/>
  <c r="AS194" i="30"/>
  <c r="AT194" i="30"/>
  <c r="AU194" i="30"/>
  <c r="AV194" i="30"/>
  <c r="AW194" i="30"/>
  <c r="AX194" i="30"/>
  <c r="AY194" i="30"/>
  <c r="AZ194" i="30"/>
  <c r="BA194" i="30"/>
  <c r="BB194" i="30"/>
  <c r="BC194" i="30"/>
  <c r="BD194" i="30"/>
  <c r="BE194" i="30"/>
  <c r="BF194" i="30"/>
  <c r="BG194" i="30"/>
  <c r="BH194" i="30"/>
  <c r="BI194" i="30"/>
  <c r="BJ194" i="30"/>
  <c r="BK194" i="30"/>
  <c r="BL194" i="30"/>
  <c r="BM194" i="30"/>
  <c r="BN194" i="30"/>
  <c r="BO194" i="30"/>
  <c r="BP194" i="30"/>
  <c r="BQ194" i="30"/>
  <c r="BR194" i="30"/>
  <c r="BS194" i="30"/>
  <c r="BT194" i="30"/>
  <c r="BU194" i="30"/>
  <c r="BV194" i="30"/>
  <c r="BW194" i="30"/>
  <c r="BX194" i="30"/>
  <c r="BY194" i="30"/>
  <c r="BZ194" i="30"/>
  <c r="CA194" i="30"/>
  <c r="CB194" i="30"/>
  <c r="CC194" i="30"/>
  <c r="CD194" i="30"/>
  <c r="CE194" i="30"/>
  <c r="CF194" i="30"/>
  <c r="CG194" i="30"/>
  <c r="CH194" i="30"/>
  <c r="CI194" i="30"/>
  <c r="CJ194" i="30"/>
  <c r="CK194" i="30"/>
  <c r="CL194" i="30"/>
  <c r="CM194" i="30"/>
  <c r="CN194" i="30"/>
  <c r="CO194" i="30"/>
  <c r="CP194" i="30"/>
  <c r="CQ194" i="30"/>
  <c r="CR194" i="30"/>
  <c r="CS194" i="30"/>
  <c r="CT194" i="30"/>
  <c r="CU194" i="30"/>
  <c r="CV194" i="30"/>
  <c r="CW194" i="30"/>
  <c r="CX194" i="30"/>
  <c r="CY194" i="30"/>
  <c r="CZ194" i="30"/>
  <c r="DA194" i="30"/>
  <c r="DB194" i="30"/>
  <c r="DC194" i="30"/>
  <c r="DD194" i="30"/>
  <c r="DE194" i="30"/>
  <c r="DF194" i="30"/>
  <c r="DG194" i="30"/>
  <c r="DH194" i="30"/>
  <c r="DI194" i="30"/>
  <c r="DJ194" i="30"/>
  <c r="DK194" i="30"/>
  <c r="DL194" i="30"/>
  <c r="DM194" i="30"/>
  <c r="DN194" i="30"/>
  <c r="DO194" i="30"/>
  <c r="DP194" i="30"/>
  <c r="DQ194" i="30"/>
  <c r="DR194" i="30"/>
  <c r="DS194" i="30"/>
  <c r="DT194" i="30"/>
  <c r="DU194" i="30"/>
  <c r="DV194" i="30"/>
  <c r="DW194" i="30"/>
  <c r="DX194" i="30"/>
  <c r="DY194" i="30"/>
  <c r="DZ194" i="30"/>
  <c r="EA194" i="30"/>
  <c r="EB194" i="30"/>
  <c r="EC194" i="30"/>
  <c r="ED194" i="30"/>
  <c r="EE194" i="30"/>
  <c r="EF194" i="30"/>
  <c r="EG194" i="30"/>
  <c r="EH194" i="30"/>
  <c r="EI194" i="30"/>
  <c r="EJ194" i="30"/>
  <c r="EK194" i="30"/>
  <c r="EL194" i="30"/>
  <c r="EM194" i="30"/>
  <c r="EN194" i="30"/>
  <c r="EO194" i="30"/>
  <c r="EP194" i="30"/>
  <c r="EQ194" i="30"/>
  <c r="ER194" i="30"/>
  <c r="ES194" i="30"/>
  <c r="ET194" i="30"/>
  <c r="EU194" i="30"/>
  <c r="EV194" i="30"/>
  <c r="EW194" i="30"/>
  <c r="EX194" i="30"/>
  <c r="EY194" i="30"/>
  <c r="EZ194" i="30"/>
  <c r="FA194" i="30"/>
  <c r="FB194" i="30"/>
  <c r="FC194" i="30"/>
  <c r="FD194" i="30"/>
  <c r="FE194" i="30"/>
  <c r="FF194" i="30"/>
  <c r="FG194" i="30"/>
  <c r="FH194" i="30"/>
  <c r="FI194" i="30"/>
  <c r="FJ194" i="30"/>
  <c r="FK194" i="30"/>
  <c r="FL194" i="30"/>
  <c r="FM194" i="30"/>
  <c r="FN194" i="30"/>
  <c r="FO194" i="30"/>
  <c r="FP194" i="30"/>
  <c r="FQ194" i="30"/>
  <c r="FR194" i="30"/>
  <c r="FS194" i="30"/>
  <c r="FT194" i="30"/>
  <c r="FU194" i="30"/>
  <c r="FV194" i="30"/>
  <c r="FW194" i="30"/>
  <c r="FX194" i="30"/>
  <c r="FY194" i="30"/>
  <c r="FZ194" i="30"/>
  <c r="GA194" i="30"/>
  <c r="GB194" i="30"/>
  <c r="GC194" i="30"/>
  <c r="GD194" i="30"/>
  <c r="GE194" i="30"/>
  <c r="GF194" i="30"/>
  <c r="GG194" i="30"/>
  <c r="GH194" i="30"/>
  <c r="GI194" i="30"/>
  <c r="GJ194" i="30"/>
  <c r="GK194" i="30"/>
  <c r="GL194" i="30"/>
  <c r="GM194" i="30"/>
  <c r="GN194" i="30"/>
  <c r="GO194" i="30"/>
  <c r="GP194" i="30"/>
  <c r="GQ194" i="30"/>
  <c r="GR194" i="30"/>
  <c r="GS194" i="30"/>
  <c r="GT194" i="30"/>
  <c r="GU194" i="30"/>
  <c r="GV194" i="30"/>
  <c r="GW194" i="30"/>
  <c r="GX194" i="30"/>
  <c r="GY194" i="30"/>
  <c r="GZ194" i="30"/>
  <c r="HA194" i="30"/>
  <c r="HB194" i="30"/>
  <c r="HC194" i="30"/>
  <c r="HD194" i="30"/>
  <c r="HE194" i="30"/>
  <c r="HF194" i="30"/>
  <c r="HG194" i="30"/>
  <c r="HH194" i="30"/>
  <c r="HI194" i="30"/>
  <c r="HJ194" i="30"/>
  <c r="HK194" i="30"/>
  <c r="HL194" i="30"/>
  <c r="HM194" i="30"/>
  <c r="HN194" i="30"/>
  <c r="HO194" i="30"/>
  <c r="HP194" i="30"/>
  <c r="HQ194" i="30"/>
  <c r="HR194" i="30"/>
  <c r="HS194" i="30"/>
  <c r="HT194" i="30"/>
  <c r="HU194" i="30"/>
  <c r="HV194" i="30"/>
  <c r="HW194" i="30"/>
  <c r="HX194" i="30"/>
  <c r="HY194" i="30"/>
  <c r="HZ194" i="30"/>
  <c r="IA194" i="30"/>
  <c r="IB194" i="30"/>
  <c r="IC194" i="30"/>
  <c r="ID194" i="30"/>
  <c r="IE194" i="30"/>
  <c r="IF194" i="30"/>
  <c r="IG194" i="30"/>
  <c r="IH194" i="30"/>
  <c r="II194" i="30"/>
  <c r="IJ194" i="30"/>
  <c r="IK194" i="30"/>
  <c r="IL194" i="30"/>
  <c r="IM194" i="30"/>
  <c r="IN194" i="30"/>
  <c r="IO194" i="30"/>
  <c r="IP194" i="30"/>
  <c r="IQ194" i="30"/>
  <c r="IR194" i="30"/>
  <c r="IS194" i="30"/>
  <c r="IT194" i="30"/>
  <c r="IU194" i="30"/>
  <c r="IV194" i="30"/>
  <c r="A193" i="30"/>
  <c r="B193" i="30"/>
  <c r="C193" i="30"/>
  <c r="D193" i="30"/>
  <c r="E193" i="30"/>
  <c r="F193" i="30"/>
  <c r="G193" i="30"/>
  <c r="H193" i="30"/>
  <c r="I193" i="30"/>
  <c r="J193" i="30"/>
  <c r="K193" i="30"/>
  <c r="L193" i="30"/>
  <c r="M193" i="30"/>
  <c r="N193" i="30"/>
  <c r="O193" i="30"/>
  <c r="P193" i="30"/>
  <c r="Q193" i="30"/>
  <c r="R193" i="30"/>
  <c r="S193" i="30"/>
  <c r="T193" i="30"/>
  <c r="U193" i="30"/>
  <c r="V193" i="30"/>
  <c r="W193" i="30"/>
  <c r="X193" i="30"/>
  <c r="Y193" i="30"/>
  <c r="Z193" i="30"/>
  <c r="AA193" i="30"/>
  <c r="AB193" i="30"/>
  <c r="AC193" i="30"/>
  <c r="AD193" i="30"/>
  <c r="AE193" i="30"/>
  <c r="AF193" i="30"/>
  <c r="AG193" i="30"/>
  <c r="AH193" i="30"/>
  <c r="AI193" i="30"/>
  <c r="AJ193" i="30"/>
  <c r="AK193" i="30"/>
  <c r="AL193" i="30"/>
  <c r="AM193" i="30"/>
  <c r="AN193" i="30"/>
  <c r="AO193" i="30"/>
  <c r="AP193" i="30"/>
  <c r="AQ193" i="30"/>
  <c r="AR193" i="30"/>
  <c r="AS193" i="30"/>
  <c r="AT193" i="30"/>
  <c r="AU193" i="30"/>
  <c r="AV193" i="30"/>
  <c r="AW193" i="30"/>
  <c r="AX193" i="30"/>
  <c r="AY193" i="30"/>
  <c r="AZ193" i="30"/>
  <c r="BA193" i="30"/>
  <c r="BB193" i="30"/>
  <c r="BC193" i="30"/>
  <c r="BD193" i="30"/>
  <c r="BE193" i="30"/>
  <c r="BF193" i="30"/>
  <c r="BG193" i="30"/>
  <c r="BH193" i="30"/>
  <c r="BI193" i="30"/>
  <c r="BJ193" i="30"/>
  <c r="BK193" i="30"/>
  <c r="BL193" i="30"/>
  <c r="BM193" i="30"/>
  <c r="BN193" i="30"/>
  <c r="BO193" i="30"/>
  <c r="BP193" i="30"/>
  <c r="BQ193" i="30"/>
  <c r="BR193" i="30"/>
  <c r="BS193" i="30"/>
  <c r="BT193" i="30"/>
  <c r="BU193" i="30"/>
  <c r="BV193" i="30"/>
  <c r="BW193" i="30"/>
  <c r="BX193" i="30"/>
  <c r="BY193" i="30"/>
  <c r="BZ193" i="30"/>
  <c r="CA193" i="30"/>
  <c r="CB193" i="30"/>
  <c r="CC193" i="30"/>
  <c r="CD193" i="30"/>
  <c r="CE193" i="30"/>
  <c r="CF193" i="30"/>
  <c r="CG193" i="30"/>
  <c r="CH193" i="30"/>
  <c r="CI193" i="30"/>
  <c r="CJ193" i="30"/>
  <c r="CK193" i="30"/>
  <c r="CL193" i="30"/>
  <c r="CM193" i="30"/>
  <c r="CN193" i="30"/>
  <c r="CO193" i="30"/>
  <c r="CP193" i="30"/>
  <c r="CQ193" i="30"/>
  <c r="CR193" i="30"/>
  <c r="CS193" i="30"/>
  <c r="CT193" i="30"/>
  <c r="CU193" i="30"/>
  <c r="CV193" i="30"/>
  <c r="CW193" i="30"/>
  <c r="CX193" i="30"/>
  <c r="CY193" i="30"/>
  <c r="CZ193" i="30"/>
  <c r="DA193" i="30"/>
  <c r="DB193" i="30"/>
  <c r="DC193" i="30"/>
  <c r="DD193" i="30"/>
  <c r="DE193" i="30"/>
  <c r="DF193" i="30"/>
  <c r="DG193" i="30"/>
  <c r="DH193" i="30"/>
  <c r="DI193" i="30"/>
  <c r="DJ193" i="30"/>
  <c r="DK193" i="30"/>
  <c r="DL193" i="30"/>
  <c r="DM193" i="30"/>
  <c r="DN193" i="30"/>
  <c r="DO193" i="30"/>
  <c r="DP193" i="30"/>
  <c r="DQ193" i="30"/>
  <c r="DR193" i="30"/>
  <c r="DS193" i="30"/>
  <c r="DT193" i="30"/>
  <c r="DU193" i="30"/>
  <c r="DV193" i="30"/>
  <c r="DW193" i="30"/>
  <c r="DX193" i="30"/>
  <c r="DY193" i="30"/>
  <c r="DZ193" i="30"/>
  <c r="EA193" i="30"/>
  <c r="EB193" i="30"/>
  <c r="EC193" i="30"/>
  <c r="ED193" i="30"/>
  <c r="EE193" i="30"/>
  <c r="EF193" i="30"/>
  <c r="EG193" i="30"/>
  <c r="EH193" i="30"/>
  <c r="EI193" i="30"/>
  <c r="EJ193" i="30"/>
  <c r="EK193" i="30"/>
  <c r="EL193" i="30"/>
  <c r="EM193" i="30"/>
  <c r="EN193" i="30"/>
  <c r="EO193" i="30"/>
  <c r="EP193" i="30"/>
  <c r="EQ193" i="30"/>
  <c r="ER193" i="30"/>
  <c r="ES193" i="30"/>
  <c r="ET193" i="30"/>
  <c r="EU193" i="30"/>
  <c r="EV193" i="30"/>
  <c r="EW193" i="30"/>
  <c r="EX193" i="30"/>
  <c r="EY193" i="30"/>
  <c r="EZ193" i="30"/>
  <c r="FA193" i="30"/>
  <c r="FB193" i="30"/>
  <c r="FC193" i="30"/>
  <c r="FD193" i="30"/>
  <c r="FE193" i="30"/>
  <c r="FF193" i="30"/>
  <c r="FG193" i="30"/>
  <c r="FH193" i="30"/>
  <c r="FI193" i="30"/>
  <c r="FJ193" i="30"/>
  <c r="FK193" i="30"/>
  <c r="FL193" i="30"/>
  <c r="FM193" i="30"/>
  <c r="FN193" i="30"/>
  <c r="FO193" i="30"/>
  <c r="FP193" i="30"/>
  <c r="FQ193" i="30"/>
  <c r="FR193" i="30"/>
  <c r="FS193" i="30"/>
  <c r="FT193" i="30"/>
  <c r="FU193" i="30"/>
  <c r="FV193" i="30"/>
  <c r="FW193" i="30"/>
  <c r="FX193" i="30"/>
  <c r="FY193" i="30"/>
  <c r="FZ193" i="30"/>
  <c r="GA193" i="30"/>
  <c r="GB193" i="30"/>
  <c r="GC193" i="30"/>
  <c r="GD193" i="30"/>
  <c r="GE193" i="30"/>
  <c r="GF193" i="30"/>
  <c r="GG193" i="30"/>
  <c r="GH193" i="30"/>
  <c r="GI193" i="30"/>
  <c r="GJ193" i="30"/>
  <c r="GK193" i="30"/>
  <c r="GL193" i="30"/>
  <c r="GM193" i="30"/>
  <c r="GN193" i="30"/>
  <c r="GO193" i="30"/>
  <c r="GP193" i="30"/>
  <c r="GQ193" i="30"/>
  <c r="GR193" i="30"/>
  <c r="GS193" i="30"/>
  <c r="GT193" i="30"/>
  <c r="GU193" i="30"/>
  <c r="GV193" i="30"/>
  <c r="GW193" i="30"/>
  <c r="GX193" i="30"/>
  <c r="GY193" i="30"/>
  <c r="GZ193" i="30"/>
  <c r="HA193" i="30"/>
  <c r="HB193" i="30"/>
  <c r="HC193" i="30"/>
  <c r="HD193" i="30"/>
  <c r="HE193" i="30"/>
  <c r="HF193" i="30"/>
  <c r="HG193" i="30"/>
  <c r="HH193" i="30"/>
  <c r="HI193" i="30"/>
  <c r="HJ193" i="30"/>
  <c r="HK193" i="30"/>
  <c r="HL193" i="30"/>
  <c r="HM193" i="30"/>
  <c r="HN193" i="30"/>
  <c r="HO193" i="30"/>
  <c r="HP193" i="30"/>
  <c r="HQ193" i="30"/>
  <c r="HR193" i="30"/>
  <c r="HS193" i="30"/>
  <c r="HT193" i="30"/>
  <c r="HU193" i="30"/>
  <c r="HV193" i="30"/>
  <c r="HW193" i="30"/>
  <c r="HX193" i="30"/>
  <c r="HY193" i="30"/>
  <c r="HZ193" i="30"/>
  <c r="IA193" i="30"/>
  <c r="IB193" i="30"/>
  <c r="IC193" i="30"/>
  <c r="ID193" i="30"/>
  <c r="IE193" i="30"/>
  <c r="IF193" i="30"/>
  <c r="IG193" i="30"/>
  <c r="IH193" i="30"/>
  <c r="II193" i="30"/>
  <c r="IJ193" i="30"/>
  <c r="IK193" i="30"/>
  <c r="IL193" i="30"/>
  <c r="IM193" i="30"/>
  <c r="IN193" i="30"/>
  <c r="IO193" i="30"/>
  <c r="IP193" i="30"/>
  <c r="IQ193" i="30"/>
  <c r="IR193" i="30"/>
  <c r="IS193" i="30"/>
  <c r="IT193" i="30"/>
  <c r="IU193" i="30"/>
  <c r="IV193" i="30"/>
  <c r="A192" i="30"/>
  <c r="B192" i="30"/>
  <c r="C192" i="30"/>
  <c r="D192" i="30"/>
  <c r="E192" i="30"/>
  <c r="F192" i="30"/>
  <c r="G192" i="30"/>
  <c r="H192" i="30"/>
  <c r="I192" i="30"/>
  <c r="J192" i="30"/>
  <c r="K192" i="30"/>
  <c r="L192" i="30"/>
  <c r="M192" i="30"/>
  <c r="N192" i="30"/>
  <c r="O192" i="30"/>
  <c r="P192" i="30"/>
  <c r="Q192" i="30"/>
  <c r="R192" i="30"/>
  <c r="S192" i="30"/>
  <c r="T192" i="30"/>
  <c r="U192" i="30"/>
  <c r="V192" i="30"/>
  <c r="W192" i="30"/>
  <c r="X192" i="30"/>
  <c r="Y192" i="30"/>
  <c r="Z192" i="30"/>
  <c r="AA192" i="30"/>
  <c r="AB192" i="30"/>
  <c r="AC192" i="30"/>
  <c r="AD192" i="30"/>
  <c r="AE192" i="30"/>
  <c r="AF192" i="30"/>
  <c r="AG192" i="30"/>
  <c r="AH192" i="30"/>
  <c r="AI192" i="30"/>
  <c r="AJ192" i="30"/>
  <c r="AK192" i="30"/>
  <c r="AL192" i="30"/>
  <c r="AM192" i="30"/>
  <c r="AN192" i="30"/>
  <c r="AO192" i="30"/>
  <c r="AP192" i="30"/>
  <c r="AQ192" i="30"/>
  <c r="AR192" i="30"/>
  <c r="AS192" i="30"/>
  <c r="AT192" i="30"/>
  <c r="AU192" i="30"/>
  <c r="AV192" i="30"/>
  <c r="AW192" i="30"/>
  <c r="AX192" i="30"/>
  <c r="AY192" i="30"/>
  <c r="AZ192" i="30"/>
  <c r="BA192" i="30"/>
  <c r="BB192" i="30"/>
  <c r="BC192" i="30"/>
  <c r="BD192" i="30"/>
  <c r="BE192" i="30"/>
  <c r="BF192" i="30"/>
  <c r="BG192" i="30"/>
  <c r="BH192" i="30"/>
  <c r="BI192" i="30"/>
  <c r="BJ192" i="30"/>
  <c r="BK192" i="30"/>
  <c r="BL192" i="30"/>
  <c r="BM192" i="30"/>
  <c r="BN192" i="30"/>
  <c r="BO192" i="30"/>
  <c r="BP192" i="30"/>
  <c r="BQ192" i="30"/>
  <c r="BR192" i="30"/>
  <c r="BS192" i="30"/>
  <c r="BT192" i="30"/>
  <c r="BU192" i="30"/>
  <c r="BV192" i="30"/>
  <c r="BW192" i="30"/>
  <c r="BX192" i="30"/>
  <c r="BY192" i="30"/>
  <c r="BZ192" i="30"/>
  <c r="CA192" i="30"/>
  <c r="CB192" i="30"/>
  <c r="CC192" i="30"/>
  <c r="CD192" i="30"/>
  <c r="CE192" i="30"/>
  <c r="CF192" i="30"/>
  <c r="CG192" i="30"/>
  <c r="CH192" i="30"/>
  <c r="CI192" i="30"/>
  <c r="CJ192" i="30"/>
  <c r="CK192" i="30"/>
  <c r="CL192" i="30"/>
  <c r="CM192" i="30"/>
  <c r="CN192" i="30"/>
  <c r="CO192" i="30"/>
  <c r="CP192" i="30"/>
  <c r="CQ192" i="30"/>
  <c r="CR192" i="30"/>
  <c r="CS192" i="30"/>
  <c r="CT192" i="30"/>
  <c r="CU192" i="30"/>
  <c r="CV192" i="30"/>
  <c r="CW192" i="30"/>
  <c r="CX192" i="30"/>
  <c r="CY192" i="30"/>
  <c r="CZ192" i="30"/>
  <c r="DA192" i="30"/>
  <c r="DB192" i="30"/>
  <c r="DC192" i="30"/>
  <c r="DD192" i="30"/>
  <c r="DE192" i="30"/>
  <c r="DF192" i="30"/>
  <c r="DG192" i="30"/>
  <c r="DH192" i="30"/>
  <c r="DI192" i="30"/>
  <c r="DJ192" i="30"/>
  <c r="DK192" i="30"/>
  <c r="DL192" i="30"/>
  <c r="DM192" i="30"/>
  <c r="DN192" i="30"/>
  <c r="DO192" i="30"/>
  <c r="DP192" i="30"/>
  <c r="DQ192" i="30"/>
  <c r="DR192" i="30"/>
  <c r="DS192" i="30"/>
  <c r="DT192" i="30"/>
  <c r="DU192" i="30"/>
  <c r="DV192" i="30"/>
  <c r="DW192" i="30"/>
  <c r="DX192" i="30"/>
  <c r="DY192" i="30"/>
  <c r="DZ192" i="30"/>
  <c r="EA192" i="30"/>
  <c r="EB192" i="30"/>
  <c r="EC192" i="30"/>
  <c r="ED192" i="30"/>
  <c r="EE192" i="30"/>
  <c r="EF192" i="30"/>
  <c r="EG192" i="30"/>
  <c r="EH192" i="30"/>
  <c r="EI192" i="30"/>
  <c r="EJ192" i="30"/>
  <c r="EK192" i="30"/>
  <c r="EL192" i="30"/>
  <c r="EM192" i="30"/>
  <c r="EN192" i="30"/>
  <c r="EO192" i="30"/>
  <c r="EP192" i="30"/>
  <c r="EQ192" i="30"/>
  <c r="ER192" i="30"/>
  <c r="ES192" i="30"/>
  <c r="ET192" i="30"/>
  <c r="EU192" i="30"/>
  <c r="EV192" i="30"/>
  <c r="EW192" i="30"/>
  <c r="EX192" i="30"/>
  <c r="EY192" i="30"/>
  <c r="EZ192" i="30"/>
  <c r="FA192" i="30"/>
  <c r="FB192" i="30"/>
  <c r="FC192" i="30"/>
  <c r="FD192" i="30"/>
  <c r="FE192" i="30"/>
  <c r="FF192" i="30"/>
  <c r="FG192" i="30"/>
  <c r="FH192" i="30"/>
  <c r="FI192" i="30"/>
  <c r="FJ192" i="30"/>
  <c r="FK192" i="30"/>
  <c r="FL192" i="30"/>
  <c r="FM192" i="30"/>
  <c r="FN192" i="30"/>
  <c r="FO192" i="30"/>
  <c r="FP192" i="30"/>
  <c r="FQ192" i="30"/>
  <c r="FR192" i="30"/>
  <c r="FS192" i="30"/>
  <c r="FT192" i="30"/>
  <c r="FU192" i="30"/>
  <c r="FV192" i="30"/>
  <c r="FW192" i="30"/>
  <c r="FX192" i="30"/>
  <c r="FY192" i="30"/>
  <c r="FZ192" i="30"/>
  <c r="GA192" i="30"/>
  <c r="GB192" i="30"/>
  <c r="GC192" i="30"/>
  <c r="GD192" i="30"/>
  <c r="GE192" i="30"/>
  <c r="GF192" i="30"/>
  <c r="GG192" i="30"/>
  <c r="GH192" i="30"/>
  <c r="GI192" i="30"/>
  <c r="GJ192" i="30"/>
  <c r="GK192" i="30"/>
  <c r="GL192" i="30"/>
  <c r="GM192" i="30"/>
  <c r="GN192" i="30"/>
  <c r="GO192" i="30"/>
  <c r="GP192" i="30"/>
  <c r="GQ192" i="30"/>
  <c r="GR192" i="30"/>
  <c r="GS192" i="30"/>
  <c r="GT192" i="30"/>
  <c r="GU192" i="30"/>
  <c r="GV192" i="30"/>
  <c r="GW192" i="30"/>
  <c r="GX192" i="30"/>
  <c r="GY192" i="30"/>
  <c r="GZ192" i="30"/>
  <c r="HA192" i="30"/>
  <c r="HB192" i="30"/>
  <c r="HC192" i="30"/>
  <c r="HD192" i="30"/>
  <c r="HE192" i="30"/>
  <c r="HF192" i="30"/>
  <c r="HG192" i="30"/>
  <c r="HH192" i="30"/>
  <c r="HI192" i="30"/>
  <c r="HJ192" i="30"/>
  <c r="HK192" i="30"/>
  <c r="HL192" i="30"/>
  <c r="HM192" i="30"/>
  <c r="HN192" i="30"/>
  <c r="HO192" i="30"/>
  <c r="HP192" i="30"/>
  <c r="HQ192" i="30"/>
  <c r="HR192" i="30"/>
  <c r="HS192" i="30"/>
  <c r="HT192" i="30"/>
  <c r="HU192" i="30"/>
  <c r="HV192" i="30"/>
  <c r="HW192" i="30"/>
  <c r="HX192" i="30"/>
  <c r="HY192" i="30"/>
  <c r="HZ192" i="30"/>
  <c r="IA192" i="30"/>
  <c r="IB192" i="30"/>
  <c r="IC192" i="30"/>
  <c r="ID192" i="30"/>
  <c r="IE192" i="30"/>
  <c r="IF192" i="30"/>
  <c r="IG192" i="30"/>
  <c r="IH192" i="30"/>
  <c r="II192" i="30"/>
  <c r="IJ192" i="30"/>
  <c r="IK192" i="30"/>
  <c r="IL192" i="30"/>
  <c r="IM192" i="30"/>
  <c r="IN192" i="30"/>
  <c r="IO192" i="30"/>
  <c r="IP192" i="30"/>
  <c r="IQ192" i="30"/>
  <c r="IR192" i="30"/>
  <c r="IS192" i="30"/>
  <c r="IT192" i="30"/>
  <c r="IU192" i="30"/>
  <c r="IV192" i="30"/>
  <c r="A191" i="30"/>
  <c r="B191" i="30"/>
  <c r="C191" i="30"/>
  <c r="D191" i="30"/>
  <c r="E191" i="30"/>
  <c r="F191" i="30"/>
  <c r="G191" i="30"/>
  <c r="H191" i="30"/>
  <c r="I191" i="30"/>
  <c r="J191" i="30"/>
  <c r="K191" i="30"/>
  <c r="L191" i="30"/>
  <c r="M191" i="30"/>
  <c r="N191" i="30"/>
  <c r="O191" i="30"/>
  <c r="P191" i="30"/>
  <c r="Q191" i="30"/>
  <c r="R191" i="30"/>
  <c r="S191" i="30"/>
  <c r="T191" i="30"/>
  <c r="U191" i="30"/>
  <c r="V191" i="30"/>
  <c r="W191" i="30"/>
  <c r="X191" i="30"/>
  <c r="Y191" i="30"/>
  <c r="Z191" i="30"/>
  <c r="AA191" i="30"/>
  <c r="AB191" i="30"/>
  <c r="AC191" i="30"/>
  <c r="AD191" i="30"/>
  <c r="AE191" i="30"/>
  <c r="AF191" i="30"/>
  <c r="AG191" i="30"/>
  <c r="AH191" i="30"/>
  <c r="AI191" i="30"/>
  <c r="AJ191" i="30"/>
  <c r="AK191" i="30"/>
  <c r="AL191" i="30"/>
  <c r="AM191" i="30"/>
  <c r="AN191" i="30"/>
  <c r="AO191" i="30"/>
  <c r="AP191" i="30"/>
  <c r="AQ191" i="30"/>
  <c r="AR191" i="30"/>
  <c r="AS191" i="30"/>
  <c r="AT191" i="30"/>
  <c r="AU191" i="30"/>
  <c r="AV191" i="30"/>
  <c r="AW191" i="30"/>
  <c r="AX191" i="30"/>
  <c r="AY191" i="30"/>
  <c r="AZ191" i="30"/>
  <c r="BA191" i="30"/>
  <c r="BB191" i="30"/>
  <c r="BC191" i="30"/>
  <c r="BD191" i="30"/>
  <c r="BE191" i="30"/>
  <c r="BF191" i="30"/>
  <c r="BG191" i="30"/>
  <c r="BH191" i="30"/>
  <c r="BI191" i="30"/>
  <c r="BJ191" i="30"/>
  <c r="BK191" i="30"/>
  <c r="BL191" i="30"/>
  <c r="BM191" i="30"/>
  <c r="BN191" i="30"/>
  <c r="BO191" i="30"/>
  <c r="BP191" i="30"/>
  <c r="BQ191" i="30"/>
  <c r="BR191" i="30"/>
  <c r="BS191" i="30"/>
  <c r="BT191" i="30"/>
  <c r="BU191" i="30"/>
  <c r="BV191" i="30"/>
  <c r="BW191" i="30"/>
  <c r="BX191" i="30"/>
  <c r="BY191" i="30"/>
  <c r="BZ191" i="30"/>
  <c r="CA191" i="30"/>
  <c r="CB191" i="30"/>
  <c r="CC191" i="30"/>
  <c r="CD191" i="30"/>
  <c r="CE191" i="30"/>
  <c r="CF191" i="30"/>
  <c r="CG191" i="30"/>
  <c r="CH191" i="30"/>
  <c r="CI191" i="30"/>
  <c r="CJ191" i="30"/>
  <c r="CK191" i="30"/>
  <c r="CL191" i="30"/>
  <c r="CM191" i="30"/>
  <c r="CN191" i="30"/>
  <c r="CO191" i="30"/>
  <c r="CP191" i="30"/>
  <c r="CQ191" i="30"/>
  <c r="CR191" i="30"/>
  <c r="CS191" i="30"/>
  <c r="CT191" i="30"/>
  <c r="CU191" i="30"/>
  <c r="CV191" i="30"/>
  <c r="CW191" i="30"/>
  <c r="CX191" i="30"/>
  <c r="CY191" i="30"/>
  <c r="CZ191" i="30"/>
  <c r="DA191" i="30"/>
  <c r="DB191" i="30"/>
  <c r="DC191" i="30"/>
  <c r="DD191" i="30"/>
  <c r="DE191" i="30"/>
  <c r="DF191" i="30"/>
  <c r="DG191" i="30"/>
  <c r="DH191" i="30"/>
  <c r="DI191" i="30"/>
  <c r="DJ191" i="30"/>
  <c r="DK191" i="30"/>
  <c r="DL191" i="30"/>
  <c r="DM191" i="30"/>
  <c r="DN191" i="30"/>
  <c r="DO191" i="30"/>
  <c r="DP191" i="30"/>
  <c r="DQ191" i="30"/>
  <c r="DR191" i="30"/>
  <c r="DS191" i="30"/>
  <c r="DT191" i="30"/>
  <c r="DU191" i="30"/>
  <c r="DV191" i="30"/>
  <c r="DW191" i="30"/>
  <c r="DX191" i="30"/>
  <c r="DY191" i="30"/>
  <c r="DZ191" i="30"/>
  <c r="EA191" i="30"/>
  <c r="EB191" i="30"/>
  <c r="EC191" i="30"/>
  <c r="ED191" i="30"/>
  <c r="EE191" i="30"/>
  <c r="EF191" i="30"/>
  <c r="EG191" i="30"/>
  <c r="EH191" i="30"/>
  <c r="EI191" i="30"/>
  <c r="EJ191" i="30"/>
  <c r="EK191" i="30"/>
  <c r="EL191" i="30"/>
  <c r="EM191" i="30"/>
  <c r="EN191" i="30"/>
  <c r="EO191" i="30"/>
  <c r="EP191" i="30"/>
  <c r="EQ191" i="30"/>
  <c r="ER191" i="30"/>
  <c r="ES191" i="30"/>
  <c r="ET191" i="30"/>
  <c r="EU191" i="30"/>
  <c r="EV191" i="30"/>
  <c r="EW191" i="30"/>
  <c r="EX191" i="30"/>
  <c r="EY191" i="30"/>
  <c r="EZ191" i="30"/>
  <c r="FA191" i="30"/>
  <c r="FB191" i="30"/>
  <c r="FC191" i="30"/>
  <c r="FD191" i="30"/>
  <c r="FE191" i="30"/>
  <c r="FF191" i="30"/>
  <c r="FG191" i="30"/>
  <c r="FH191" i="30"/>
  <c r="FI191" i="30"/>
  <c r="FJ191" i="30"/>
  <c r="FK191" i="30"/>
  <c r="FL191" i="30"/>
  <c r="FM191" i="30"/>
  <c r="FN191" i="30"/>
  <c r="FO191" i="30"/>
  <c r="FP191" i="30"/>
  <c r="FQ191" i="30"/>
  <c r="FR191" i="30"/>
  <c r="FS191" i="30"/>
  <c r="FT191" i="30"/>
  <c r="FU191" i="30"/>
  <c r="FV191" i="30"/>
  <c r="FW191" i="30"/>
  <c r="FX191" i="30"/>
  <c r="FY191" i="30"/>
  <c r="FZ191" i="30"/>
  <c r="GA191" i="30"/>
  <c r="GB191" i="30"/>
  <c r="GC191" i="30"/>
  <c r="GD191" i="30"/>
  <c r="GE191" i="30"/>
  <c r="GF191" i="30"/>
  <c r="GG191" i="30"/>
  <c r="GH191" i="30"/>
  <c r="GI191" i="30"/>
  <c r="GJ191" i="30"/>
  <c r="GK191" i="30"/>
  <c r="GL191" i="30"/>
  <c r="GM191" i="30"/>
  <c r="GN191" i="30"/>
  <c r="GO191" i="30"/>
  <c r="GP191" i="30"/>
  <c r="GQ191" i="30"/>
  <c r="GR191" i="30"/>
  <c r="GS191" i="30"/>
  <c r="GT191" i="30"/>
  <c r="GU191" i="30"/>
  <c r="GV191" i="30"/>
  <c r="GW191" i="30"/>
  <c r="GX191" i="30"/>
  <c r="GY191" i="30"/>
  <c r="GZ191" i="30"/>
  <c r="HA191" i="30"/>
  <c r="HB191" i="30"/>
  <c r="HC191" i="30"/>
  <c r="HD191" i="30"/>
  <c r="HE191" i="30"/>
  <c r="HF191" i="30"/>
  <c r="HG191" i="30"/>
  <c r="HH191" i="30"/>
  <c r="HI191" i="30"/>
  <c r="HJ191" i="30"/>
  <c r="HK191" i="30"/>
  <c r="HL191" i="30"/>
  <c r="HM191" i="30"/>
  <c r="HN191" i="30"/>
  <c r="HO191" i="30"/>
  <c r="HP191" i="30"/>
  <c r="HQ191" i="30"/>
  <c r="HR191" i="30"/>
  <c r="HS191" i="30"/>
  <c r="HT191" i="30"/>
  <c r="HU191" i="30"/>
  <c r="HV191" i="30"/>
  <c r="HW191" i="30"/>
  <c r="HX191" i="30"/>
  <c r="HY191" i="30"/>
  <c r="HZ191" i="30"/>
  <c r="IA191" i="30"/>
  <c r="IB191" i="30"/>
  <c r="IC191" i="30"/>
  <c r="ID191" i="30"/>
  <c r="IE191" i="30"/>
  <c r="IF191" i="30"/>
  <c r="IG191" i="30"/>
  <c r="IH191" i="30"/>
  <c r="II191" i="30"/>
  <c r="IJ191" i="30"/>
  <c r="IK191" i="30"/>
  <c r="IL191" i="30"/>
  <c r="IM191" i="30"/>
  <c r="IN191" i="30"/>
  <c r="IO191" i="30"/>
  <c r="IP191" i="30"/>
  <c r="IQ191" i="30"/>
  <c r="IR191" i="30"/>
  <c r="IS191" i="30"/>
  <c r="IT191" i="30"/>
  <c r="IU191" i="30"/>
  <c r="IV191" i="30"/>
  <c r="A190" i="30"/>
  <c r="B190" i="30"/>
  <c r="C190" i="30"/>
  <c r="D190" i="30"/>
  <c r="E190" i="30"/>
  <c r="F190" i="30"/>
  <c r="G190" i="30"/>
  <c r="H190" i="30"/>
  <c r="I190" i="30"/>
  <c r="J190" i="30"/>
  <c r="K190" i="30"/>
  <c r="L190" i="30"/>
  <c r="M190" i="30"/>
  <c r="N190" i="30"/>
  <c r="O190" i="30"/>
  <c r="P190" i="30"/>
  <c r="Q190" i="30"/>
  <c r="R190" i="30"/>
  <c r="S190" i="30"/>
  <c r="T190" i="30"/>
  <c r="U190" i="30"/>
  <c r="V190" i="30"/>
  <c r="W190" i="30"/>
  <c r="X190" i="30"/>
  <c r="Y190" i="30"/>
  <c r="Z190" i="30"/>
  <c r="AA190" i="30"/>
  <c r="AB190" i="30"/>
  <c r="AC190" i="30"/>
  <c r="AD190" i="30"/>
  <c r="AE190" i="30"/>
  <c r="AF190" i="30"/>
  <c r="AG190" i="30"/>
  <c r="AH190" i="30"/>
  <c r="AI190" i="30"/>
  <c r="AJ190" i="30"/>
  <c r="AK190" i="30"/>
  <c r="AL190" i="30"/>
  <c r="AM190" i="30"/>
  <c r="AN190" i="30"/>
  <c r="AO190" i="30"/>
  <c r="AP190" i="30"/>
  <c r="AQ190" i="30"/>
  <c r="AR190" i="30"/>
  <c r="AS190" i="30"/>
  <c r="AT190" i="30"/>
  <c r="AU190" i="30"/>
  <c r="AV190" i="30"/>
  <c r="AW190" i="30"/>
  <c r="AX190" i="30"/>
  <c r="AY190" i="30"/>
  <c r="AZ190" i="30"/>
  <c r="BA190" i="30"/>
  <c r="BB190" i="30"/>
  <c r="BC190" i="30"/>
  <c r="BD190" i="30"/>
  <c r="BE190" i="30"/>
  <c r="BF190" i="30"/>
  <c r="BG190" i="30"/>
  <c r="BH190" i="30"/>
  <c r="BI190" i="30"/>
  <c r="BJ190" i="30"/>
  <c r="BK190" i="30"/>
  <c r="BL190" i="30"/>
  <c r="BM190" i="30"/>
  <c r="BN190" i="30"/>
  <c r="BO190" i="30"/>
  <c r="BP190" i="30"/>
  <c r="BQ190" i="30"/>
  <c r="BR190" i="30"/>
  <c r="BS190" i="30"/>
  <c r="BT190" i="30"/>
  <c r="BU190" i="30"/>
  <c r="BV190" i="30"/>
  <c r="BW190" i="30"/>
  <c r="BX190" i="30"/>
  <c r="BY190" i="30"/>
  <c r="BZ190" i="30"/>
  <c r="CA190" i="30"/>
  <c r="CB190" i="30"/>
  <c r="CC190" i="30"/>
  <c r="CD190" i="30"/>
  <c r="CE190" i="30"/>
  <c r="CF190" i="30"/>
  <c r="CG190" i="30"/>
  <c r="CH190" i="30"/>
  <c r="CI190" i="30"/>
  <c r="CJ190" i="30"/>
  <c r="CK190" i="30"/>
  <c r="CL190" i="30"/>
  <c r="CM190" i="30"/>
  <c r="CN190" i="30"/>
  <c r="CO190" i="30"/>
  <c r="CP190" i="30"/>
  <c r="CQ190" i="30"/>
  <c r="CR190" i="30"/>
  <c r="CS190" i="30"/>
  <c r="CT190" i="30"/>
  <c r="CU190" i="30"/>
  <c r="CV190" i="30"/>
  <c r="CW190" i="30"/>
  <c r="CX190" i="30"/>
  <c r="CY190" i="30"/>
  <c r="CZ190" i="30"/>
  <c r="DA190" i="30"/>
  <c r="DB190" i="30"/>
  <c r="DC190" i="30"/>
  <c r="DD190" i="30"/>
  <c r="DE190" i="30"/>
  <c r="DF190" i="30"/>
  <c r="DG190" i="30"/>
  <c r="DH190" i="30"/>
  <c r="DI190" i="30"/>
  <c r="DJ190" i="30"/>
  <c r="DK190" i="30"/>
  <c r="DL190" i="30"/>
  <c r="DM190" i="30"/>
  <c r="DN190" i="30"/>
  <c r="DO190" i="30"/>
  <c r="DP190" i="30"/>
  <c r="DQ190" i="30"/>
  <c r="DR190" i="30"/>
  <c r="DS190" i="30"/>
  <c r="DT190" i="30"/>
  <c r="DU190" i="30"/>
  <c r="DV190" i="30"/>
  <c r="DW190" i="30"/>
  <c r="DX190" i="30"/>
  <c r="DY190" i="30"/>
  <c r="DZ190" i="30"/>
  <c r="EA190" i="30"/>
  <c r="EB190" i="30"/>
  <c r="EC190" i="30"/>
  <c r="ED190" i="30"/>
  <c r="EE190" i="30"/>
  <c r="EF190" i="30"/>
  <c r="EG190" i="30"/>
  <c r="EH190" i="30"/>
  <c r="EI190" i="30"/>
  <c r="EJ190" i="30"/>
  <c r="EK190" i="30"/>
  <c r="EL190" i="30"/>
  <c r="EM190" i="30"/>
  <c r="EN190" i="30"/>
  <c r="EO190" i="30"/>
  <c r="EP190" i="30"/>
  <c r="EQ190" i="30"/>
  <c r="ER190" i="30"/>
  <c r="ES190" i="30"/>
  <c r="ET190" i="30"/>
  <c r="EU190" i="30"/>
  <c r="EV190" i="30"/>
  <c r="EW190" i="30"/>
  <c r="EX190" i="30"/>
  <c r="EY190" i="30"/>
  <c r="EZ190" i="30"/>
  <c r="FA190" i="30"/>
  <c r="FB190" i="30"/>
  <c r="FC190" i="30"/>
  <c r="FD190" i="30"/>
  <c r="FE190" i="30"/>
  <c r="FF190" i="30"/>
  <c r="FG190" i="30"/>
  <c r="FH190" i="30"/>
  <c r="FI190" i="30"/>
  <c r="FJ190" i="30"/>
  <c r="FK190" i="30"/>
  <c r="FL190" i="30"/>
  <c r="FM190" i="30"/>
  <c r="FN190" i="30"/>
  <c r="FO190" i="30"/>
  <c r="FP190" i="30"/>
  <c r="FQ190" i="30"/>
  <c r="FR190" i="30"/>
  <c r="FS190" i="30"/>
  <c r="FT190" i="30"/>
  <c r="FU190" i="30"/>
  <c r="FV190" i="30"/>
  <c r="FW190" i="30"/>
  <c r="FX190" i="30"/>
  <c r="FY190" i="30"/>
  <c r="FZ190" i="30"/>
  <c r="GA190" i="30"/>
  <c r="GB190" i="30"/>
  <c r="GC190" i="30"/>
  <c r="GD190" i="30"/>
  <c r="GE190" i="30"/>
  <c r="GF190" i="30"/>
  <c r="GG190" i="30"/>
  <c r="GH190" i="30"/>
  <c r="GI190" i="30"/>
  <c r="GJ190" i="30"/>
  <c r="GK190" i="30"/>
  <c r="GL190" i="30"/>
  <c r="GM190" i="30"/>
  <c r="GN190" i="30"/>
  <c r="GO190" i="30"/>
  <c r="GP190" i="30"/>
  <c r="GQ190" i="30"/>
  <c r="GR190" i="30"/>
  <c r="GS190" i="30"/>
  <c r="GT190" i="30"/>
  <c r="GU190" i="30"/>
  <c r="GV190" i="30"/>
  <c r="GW190" i="30"/>
  <c r="GX190" i="30"/>
  <c r="GY190" i="30"/>
  <c r="GZ190" i="30"/>
  <c r="HA190" i="30"/>
  <c r="HB190" i="30"/>
  <c r="HC190" i="30"/>
  <c r="HD190" i="30"/>
  <c r="HE190" i="30"/>
  <c r="HF190" i="30"/>
  <c r="HG190" i="30"/>
  <c r="HH190" i="30"/>
  <c r="HI190" i="30"/>
  <c r="HJ190" i="30"/>
  <c r="HK190" i="30"/>
  <c r="HL190" i="30"/>
  <c r="HM190" i="30"/>
  <c r="HN190" i="30"/>
  <c r="HO190" i="30"/>
  <c r="HP190" i="30"/>
  <c r="HQ190" i="30"/>
  <c r="HR190" i="30"/>
  <c r="HS190" i="30"/>
  <c r="HT190" i="30"/>
  <c r="HU190" i="30"/>
  <c r="HV190" i="30"/>
  <c r="HW190" i="30"/>
  <c r="HX190" i="30"/>
  <c r="HY190" i="30"/>
  <c r="HZ190" i="30"/>
  <c r="IA190" i="30"/>
  <c r="IB190" i="30"/>
  <c r="IC190" i="30"/>
  <c r="ID190" i="30"/>
  <c r="IE190" i="30"/>
  <c r="IF190" i="30"/>
  <c r="IG190" i="30"/>
  <c r="IH190" i="30"/>
  <c r="II190" i="30"/>
  <c r="IJ190" i="30"/>
  <c r="IK190" i="30"/>
  <c r="IL190" i="30"/>
  <c r="IM190" i="30"/>
  <c r="IN190" i="30"/>
  <c r="IO190" i="30"/>
  <c r="IP190" i="30"/>
  <c r="IQ190" i="30"/>
  <c r="IR190" i="30"/>
  <c r="IS190" i="30"/>
  <c r="IT190" i="30"/>
  <c r="IU190" i="30"/>
  <c r="IV190" i="30"/>
  <c r="A189" i="30"/>
  <c r="B189" i="30"/>
  <c r="C189" i="30"/>
  <c r="D189" i="30"/>
  <c r="E189" i="30"/>
  <c r="F189" i="30"/>
  <c r="G189" i="30"/>
  <c r="H189" i="30"/>
  <c r="I189" i="30"/>
  <c r="J189" i="30"/>
  <c r="K189" i="30"/>
  <c r="L189" i="30"/>
  <c r="M189" i="30"/>
  <c r="N189" i="30"/>
  <c r="O189" i="30"/>
  <c r="P189" i="30"/>
  <c r="Q189" i="30"/>
  <c r="R189" i="30"/>
  <c r="S189" i="30"/>
  <c r="T189" i="30"/>
  <c r="U189" i="30"/>
  <c r="V189" i="30"/>
  <c r="W189" i="30"/>
  <c r="X189" i="30"/>
  <c r="Y189" i="30"/>
  <c r="Z189" i="30"/>
  <c r="AA189" i="30"/>
  <c r="AB189" i="30"/>
  <c r="AC189" i="30"/>
  <c r="AD189" i="30"/>
  <c r="AE189" i="30"/>
  <c r="AF189" i="30"/>
  <c r="AG189" i="30"/>
  <c r="AH189" i="30"/>
  <c r="AI189" i="30"/>
  <c r="AJ189" i="30"/>
  <c r="AK189" i="30"/>
  <c r="AL189" i="30"/>
  <c r="AM189" i="30"/>
  <c r="AN189" i="30"/>
  <c r="AO189" i="30"/>
  <c r="AP189" i="30"/>
  <c r="AQ189" i="30"/>
  <c r="AR189" i="30"/>
  <c r="AS189" i="30"/>
  <c r="AT189" i="30"/>
  <c r="AU189" i="30"/>
  <c r="AV189" i="30"/>
  <c r="AW189" i="30"/>
  <c r="AX189" i="30"/>
  <c r="AY189" i="30"/>
  <c r="AZ189" i="30"/>
  <c r="BA189" i="30"/>
  <c r="BB189" i="30"/>
  <c r="BC189" i="30"/>
  <c r="BD189" i="30"/>
  <c r="BE189" i="30"/>
  <c r="BF189" i="30"/>
  <c r="BG189" i="30"/>
  <c r="BH189" i="30"/>
  <c r="BI189" i="30"/>
  <c r="BJ189" i="30"/>
  <c r="BK189" i="30"/>
  <c r="BL189" i="30"/>
  <c r="BM189" i="30"/>
  <c r="BN189" i="30"/>
  <c r="BO189" i="30"/>
  <c r="BP189" i="30"/>
  <c r="BQ189" i="30"/>
  <c r="BR189" i="30"/>
  <c r="BS189" i="30"/>
  <c r="BT189" i="30"/>
  <c r="BU189" i="30"/>
  <c r="BV189" i="30"/>
  <c r="BW189" i="30"/>
  <c r="BX189" i="30"/>
  <c r="BY189" i="30"/>
  <c r="BZ189" i="30"/>
  <c r="CA189" i="30"/>
  <c r="CB189" i="30"/>
  <c r="CC189" i="30"/>
  <c r="CD189" i="30"/>
  <c r="CE189" i="30"/>
  <c r="CF189" i="30"/>
  <c r="CG189" i="30"/>
  <c r="CH189" i="30"/>
  <c r="CI189" i="30"/>
  <c r="CJ189" i="30"/>
  <c r="CK189" i="30"/>
  <c r="CL189" i="30"/>
  <c r="CM189" i="30"/>
  <c r="CN189" i="30"/>
  <c r="CO189" i="30"/>
  <c r="CP189" i="30"/>
  <c r="CQ189" i="30"/>
  <c r="CR189" i="30"/>
  <c r="CS189" i="30"/>
  <c r="CT189" i="30"/>
  <c r="CU189" i="30"/>
  <c r="CV189" i="30"/>
  <c r="CW189" i="30"/>
  <c r="CX189" i="30"/>
  <c r="CY189" i="30"/>
  <c r="CZ189" i="30"/>
  <c r="DA189" i="30"/>
  <c r="DB189" i="30"/>
  <c r="DC189" i="30"/>
  <c r="DD189" i="30"/>
  <c r="DE189" i="30"/>
  <c r="DF189" i="30"/>
  <c r="DG189" i="30"/>
  <c r="DH189" i="30"/>
  <c r="DI189" i="30"/>
  <c r="DJ189" i="30"/>
  <c r="DK189" i="30"/>
  <c r="DL189" i="30"/>
  <c r="DM189" i="30"/>
  <c r="DN189" i="30"/>
  <c r="DO189" i="30"/>
  <c r="DP189" i="30"/>
  <c r="DQ189" i="30"/>
  <c r="DR189" i="30"/>
  <c r="DS189" i="30"/>
  <c r="DT189" i="30"/>
  <c r="DU189" i="30"/>
  <c r="DV189" i="30"/>
  <c r="DW189" i="30"/>
  <c r="DX189" i="30"/>
  <c r="DY189" i="30"/>
  <c r="DZ189" i="30"/>
  <c r="EA189" i="30"/>
  <c r="EB189" i="30"/>
  <c r="EC189" i="30"/>
  <c r="ED189" i="30"/>
  <c r="EE189" i="30"/>
  <c r="EF189" i="30"/>
  <c r="EG189" i="30"/>
  <c r="EH189" i="30"/>
  <c r="EI189" i="30"/>
  <c r="EJ189" i="30"/>
  <c r="EK189" i="30"/>
  <c r="EL189" i="30"/>
  <c r="EM189" i="30"/>
  <c r="EN189" i="30"/>
  <c r="EO189" i="30"/>
  <c r="EP189" i="30"/>
  <c r="EQ189" i="30"/>
  <c r="ER189" i="30"/>
  <c r="ES189" i="30"/>
  <c r="ET189" i="30"/>
  <c r="EU189" i="30"/>
  <c r="EV189" i="30"/>
  <c r="EW189" i="30"/>
  <c r="EX189" i="30"/>
  <c r="EY189" i="30"/>
  <c r="EZ189" i="30"/>
  <c r="FA189" i="30"/>
  <c r="FB189" i="30"/>
  <c r="FC189" i="30"/>
  <c r="FD189" i="30"/>
  <c r="FE189" i="30"/>
  <c r="FF189" i="30"/>
  <c r="FG189" i="30"/>
  <c r="FH189" i="30"/>
  <c r="FI189" i="30"/>
  <c r="FJ189" i="30"/>
  <c r="FK189" i="30"/>
  <c r="FL189" i="30"/>
  <c r="FM189" i="30"/>
  <c r="FN189" i="30"/>
  <c r="FO189" i="30"/>
  <c r="FP189" i="30"/>
  <c r="FQ189" i="30"/>
  <c r="FR189" i="30"/>
  <c r="FS189" i="30"/>
  <c r="FT189" i="30"/>
  <c r="FU189" i="30"/>
  <c r="FV189" i="30"/>
  <c r="FW189" i="30"/>
  <c r="FX189" i="30"/>
  <c r="FY189" i="30"/>
  <c r="FZ189" i="30"/>
  <c r="GA189" i="30"/>
  <c r="GB189" i="30"/>
  <c r="GC189" i="30"/>
  <c r="GD189" i="30"/>
  <c r="GE189" i="30"/>
  <c r="GF189" i="30"/>
  <c r="GG189" i="30"/>
  <c r="GH189" i="30"/>
  <c r="GI189" i="30"/>
  <c r="GJ189" i="30"/>
  <c r="GK189" i="30"/>
  <c r="GL189" i="30"/>
  <c r="GM189" i="30"/>
  <c r="GN189" i="30"/>
  <c r="GO189" i="30"/>
  <c r="GP189" i="30"/>
  <c r="GQ189" i="30"/>
  <c r="GR189" i="30"/>
  <c r="GS189" i="30"/>
  <c r="GT189" i="30"/>
  <c r="GU189" i="30"/>
  <c r="GV189" i="30"/>
  <c r="GW189" i="30"/>
  <c r="GX189" i="30"/>
  <c r="GY189" i="30"/>
  <c r="GZ189" i="30"/>
  <c r="HA189" i="30"/>
  <c r="HB189" i="30"/>
  <c r="HC189" i="30"/>
  <c r="HD189" i="30"/>
  <c r="HE189" i="30"/>
  <c r="HF189" i="30"/>
  <c r="HG189" i="30"/>
  <c r="HH189" i="30"/>
  <c r="HI189" i="30"/>
  <c r="HJ189" i="30"/>
  <c r="HK189" i="30"/>
  <c r="HL189" i="30"/>
  <c r="HM189" i="30"/>
  <c r="HN189" i="30"/>
  <c r="HO189" i="30"/>
  <c r="HP189" i="30"/>
  <c r="HQ189" i="30"/>
  <c r="HR189" i="30"/>
  <c r="HS189" i="30"/>
  <c r="HT189" i="30"/>
  <c r="HU189" i="30"/>
  <c r="HV189" i="30"/>
  <c r="HW189" i="30"/>
  <c r="HX189" i="30"/>
  <c r="HY189" i="30"/>
  <c r="HZ189" i="30"/>
  <c r="IA189" i="30"/>
  <c r="IB189" i="30"/>
  <c r="IC189" i="30"/>
  <c r="ID189" i="30"/>
  <c r="IE189" i="30"/>
  <c r="IF189" i="30"/>
  <c r="IG189" i="30"/>
  <c r="IH189" i="30"/>
  <c r="II189" i="30"/>
  <c r="IJ189" i="30"/>
  <c r="IK189" i="30"/>
  <c r="IL189" i="30"/>
  <c r="IM189" i="30"/>
  <c r="IN189" i="30"/>
  <c r="IO189" i="30"/>
  <c r="IP189" i="30"/>
  <c r="IQ189" i="30"/>
  <c r="IR189" i="30"/>
  <c r="IS189" i="30"/>
  <c r="IT189" i="30"/>
  <c r="IU189" i="30"/>
  <c r="IV189" i="30"/>
  <c r="A188" i="30"/>
  <c r="B188" i="30"/>
  <c r="C188" i="30"/>
  <c r="D188" i="30"/>
  <c r="E188" i="30"/>
  <c r="F188" i="30"/>
  <c r="G188" i="30"/>
  <c r="H188" i="30"/>
  <c r="I188" i="30"/>
  <c r="J188" i="30"/>
  <c r="K188" i="30"/>
  <c r="L188" i="30"/>
  <c r="M188" i="30"/>
  <c r="N188" i="30"/>
  <c r="O188" i="30"/>
  <c r="P188" i="30"/>
  <c r="Q188" i="30"/>
  <c r="R188" i="30"/>
  <c r="S188" i="30"/>
  <c r="T188" i="30"/>
  <c r="U188" i="30"/>
  <c r="V188" i="30"/>
  <c r="W188" i="30"/>
  <c r="X188" i="30"/>
  <c r="Y188" i="30"/>
  <c r="Z188" i="30"/>
  <c r="AA188" i="30"/>
  <c r="AB188" i="30"/>
  <c r="AC188" i="30"/>
  <c r="AD188" i="30"/>
  <c r="AE188" i="30"/>
  <c r="AF188" i="30"/>
  <c r="AG188" i="30"/>
  <c r="AH188" i="30"/>
  <c r="AI188" i="30"/>
  <c r="AJ188" i="30"/>
  <c r="AK188" i="30"/>
  <c r="AL188" i="30"/>
  <c r="AM188" i="30"/>
  <c r="AN188" i="30"/>
  <c r="AO188" i="30"/>
  <c r="AP188" i="30"/>
  <c r="AQ188" i="30"/>
  <c r="AR188" i="30"/>
  <c r="AS188" i="30"/>
  <c r="AT188" i="30"/>
  <c r="AU188" i="30"/>
  <c r="AV188" i="30"/>
  <c r="AW188" i="30"/>
  <c r="AX188" i="30"/>
  <c r="AY188" i="30"/>
  <c r="AZ188" i="30"/>
  <c r="BA188" i="30"/>
  <c r="BB188" i="30"/>
  <c r="BC188" i="30"/>
  <c r="BD188" i="30"/>
  <c r="BE188" i="30"/>
  <c r="BF188" i="30"/>
  <c r="BG188" i="30"/>
  <c r="BH188" i="30"/>
  <c r="BI188" i="30"/>
  <c r="BJ188" i="30"/>
  <c r="BK188" i="30"/>
  <c r="BL188" i="30"/>
  <c r="BM188" i="30"/>
  <c r="BN188" i="30"/>
  <c r="BO188" i="30"/>
  <c r="BP188" i="30"/>
  <c r="BQ188" i="30"/>
  <c r="BR188" i="30"/>
  <c r="BS188" i="30"/>
  <c r="BT188" i="30"/>
  <c r="BU188" i="30"/>
  <c r="BV188" i="30"/>
  <c r="BW188" i="30"/>
  <c r="BX188" i="30"/>
  <c r="BY188" i="30"/>
  <c r="BZ188" i="30"/>
  <c r="CA188" i="30"/>
  <c r="CB188" i="30"/>
  <c r="CC188" i="30"/>
  <c r="CD188" i="30"/>
  <c r="CE188" i="30"/>
  <c r="CF188" i="30"/>
  <c r="CG188" i="30"/>
  <c r="CH188" i="30"/>
  <c r="CI188" i="30"/>
  <c r="CJ188" i="30"/>
  <c r="CK188" i="30"/>
  <c r="CL188" i="30"/>
  <c r="CM188" i="30"/>
  <c r="CN188" i="30"/>
  <c r="CO188" i="30"/>
  <c r="CP188" i="30"/>
  <c r="CQ188" i="30"/>
  <c r="CR188" i="30"/>
  <c r="CS188" i="30"/>
  <c r="CT188" i="30"/>
  <c r="CU188" i="30"/>
  <c r="CV188" i="30"/>
  <c r="CW188" i="30"/>
  <c r="CX188" i="30"/>
  <c r="CY188" i="30"/>
  <c r="CZ188" i="30"/>
  <c r="DA188" i="30"/>
  <c r="DB188" i="30"/>
  <c r="DC188" i="30"/>
  <c r="DD188" i="30"/>
  <c r="DE188" i="30"/>
  <c r="DF188" i="30"/>
  <c r="DG188" i="30"/>
  <c r="DH188" i="30"/>
  <c r="DI188" i="30"/>
  <c r="DJ188" i="30"/>
  <c r="DK188" i="30"/>
  <c r="DL188" i="30"/>
  <c r="DM188" i="30"/>
  <c r="DN188" i="30"/>
  <c r="DO188" i="30"/>
  <c r="DP188" i="30"/>
  <c r="DQ188" i="30"/>
  <c r="DR188" i="30"/>
  <c r="DS188" i="30"/>
  <c r="DT188" i="30"/>
  <c r="DU188" i="30"/>
  <c r="DV188" i="30"/>
  <c r="DW188" i="30"/>
  <c r="DX188" i="30"/>
  <c r="DY188" i="30"/>
  <c r="DZ188" i="30"/>
  <c r="EA188" i="30"/>
  <c r="EB188" i="30"/>
  <c r="EC188" i="30"/>
  <c r="ED188" i="30"/>
  <c r="EE188" i="30"/>
  <c r="EF188" i="30"/>
  <c r="EG188" i="30"/>
  <c r="EH188" i="30"/>
  <c r="EI188" i="30"/>
  <c r="EJ188" i="30"/>
  <c r="EK188" i="30"/>
  <c r="EL188" i="30"/>
  <c r="EM188" i="30"/>
  <c r="EN188" i="30"/>
  <c r="EO188" i="30"/>
  <c r="EP188" i="30"/>
  <c r="EQ188" i="30"/>
  <c r="ER188" i="30"/>
  <c r="ES188" i="30"/>
  <c r="ET188" i="30"/>
  <c r="EU188" i="30"/>
  <c r="EV188" i="30"/>
  <c r="EW188" i="30"/>
  <c r="EX188" i="30"/>
  <c r="EY188" i="30"/>
  <c r="EZ188" i="30"/>
  <c r="FA188" i="30"/>
  <c r="FB188" i="30"/>
  <c r="FC188" i="30"/>
  <c r="FD188" i="30"/>
  <c r="FE188" i="30"/>
  <c r="FF188" i="30"/>
  <c r="FG188" i="30"/>
  <c r="FH188" i="30"/>
  <c r="FI188" i="30"/>
  <c r="FJ188" i="30"/>
  <c r="FK188" i="30"/>
  <c r="FL188" i="30"/>
  <c r="FM188" i="30"/>
  <c r="FN188" i="30"/>
  <c r="FO188" i="30"/>
  <c r="FP188" i="30"/>
  <c r="FQ188" i="30"/>
  <c r="FR188" i="30"/>
  <c r="FS188" i="30"/>
  <c r="FT188" i="30"/>
  <c r="FU188" i="30"/>
  <c r="FV188" i="30"/>
  <c r="FW188" i="30"/>
  <c r="FX188" i="30"/>
  <c r="FY188" i="30"/>
  <c r="FZ188" i="30"/>
  <c r="GA188" i="30"/>
  <c r="GB188" i="30"/>
  <c r="GC188" i="30"/>
  <c r="GD188" i="30"/>
  <c r="GE188" i="30"/>
  <c r="GF188" i="30"/>
  <c r="GG188" i="30"/>
  <c r="GH188" i="30"/>
  <c r="GI188" i="30"/>
  <c r="GJ188" i="30"/>
  <c r="GK188" i="30"/>
  <c r="GL188" i="30"/>
  <c r="GM188" i="30"/>
  <c r="GN188" i="30"/>
  <c r="GO188" i="30"/>
  <c r="GP188" i="30"/>
  <c r="GQ188" i="30"/>
  <c r="GR188" i="30"/>
  <c r="GS188" i="30"/>
  <c r="GT188" i="30"/>
  <c r="GU188" i="30"/>
  <c r="GV188" i="30"/>
  <c r="GW188" i="30"/>
  <c r="GX188" i="30"/>
  <c r="GY188" i="30"/>
  <c r="GZ188" i="30"/>
  <c r="HA188" i="30"/>
  <c r="HB188" i="30"/>
  <c r="HC188" i="30"/>
  <c r="HD188" i="30"/>
  <c r="HE188" i="30"/>
  <c r="HF188" i="30"/>
  <c r="HG188" i="30"/>
  <c r="HH188" i="30"/>
  <c r="HI188" i="30"/>
  <c r="HJ188" i="30"/>
  <c r="HK188" i="30"/>
  <c r="HL188" i="30"/>
  <c r="HM188" i="30"/>
  <c r="HN188" i="30"/>
  <c r="HO188" i="30"/>
  <c r="HP188" i="30"/>
  <c r="HQ188" i="30"/>
  <c r="HR188" i="30"/>
  <c r="HS188" i="30"/>
  <c r="HT188" i="30"/>
  <c r="HU188" i="30"/>
  <c r="HV188" i="30"/>
  <c r="HW188" i="30"/>
  <c r="HX188" i="30"/>
  <c r="HY188" i="30"/>
  <c r="HZ188" i="30"/>
  <c r="IA188" i="30"/>
  <c r="IB188" i="30"/>
  <c r="IC188" i="30"/>
  <c r="ID188" i="30"/>
  <c r="IE188" i="30"/>
  <c r="IF188" i="30"/>
  <c r="IG188" i="30"/>
  <c r="IH188" i="30"/>
  <c r="II188" i="30"/>
  <c r="IJ188" i="30"/>
  <c r="IK188" i="30"/>
  <c r="IL188" i="30"/>
  <c r="IM188" i="30"/>
  <c r="IN188" i="30"/>
  <c r="IO188" i="30"/>
  <c r="IP188" i="30"/>
  <c r="IQ188" i="30"/>
  <c r="IR188" i="30"/>
  <c r="IS188" i="30"/>
  <c r="IT188" i="30"/>
  <c r="IU188" i="30"/>
  <c r="IV188" i="30"/>
  <c r="A187" i="30"/>
  <c r="B187" i="30"/>
  <c r="C187" i="30"/>
  <c r="D187" i="30"/>
  <c r="E187" i="30"/>
  <c r="F187" i="30"/>
  <c r="G187" i="30"/>
  <c r="H187" i="30"/>
  <c r="I187" i="30"/>
  <c r="J187" i="30"/>
  <c r="K187" i="30"/>
  <c r="L187" i="30"/>
  <c r="M187" i="30"/>
  <c r="N187" i="30"/>
  <c r="O187" i="30"/>
  <c r="P187" i="30"/>
  <c r="Q187" i="30"/>
  <c r="R187" i="30"/>
  <c r="S187" i="30"/>
  <c r="T187" i="30"/>
  <c r="U187" i="30"/>
  <c r="V187" i="30"/>
  <c r="W187" i="30"/>
  <c r="X187" i="30"/>
  <c r="Y187" i="30"/>
  <c r="Z187" i="30"/>
  <c r="AA187" i="30"/>
  <c r="AB187" i="30"/>
  <c r="AC187" i="30"/>
  <c r="AD187" i="30"/>
  <c r="AE187" i="30"/>
  <c r="AF187" i="30"/>
  <c r="AG187" i="30"/>
  <c r="AH187" i="30"/>
  <c r="AI187" i="30"/>
  <c r="AJ187" i="30"/>
  <c r="AK187" i="30"/>
  <c r="AL187" i="30"/>
  <c r="AM187" i="30"/>
  <c r="AN187" i="30"/>
  <c r="AO187" i="30"/>
  <c r="AP187" i="30"/>
  <c r="AQ187" i="30"/>
  <c r="AR187" i="30"/>
  <c r="AS187" i="30"/>
  <c r="AT187" i="30"/>
  <c r="AU187" i="30"/>
  <c r="AV187" i="30"/>
  <c r="AW187" i="30"/>
  <c r="AX187" i="30"/>
  <c r="AY187" i="30"/>
  <c r="AZ187" i="30"/>
  <c r="BA187" i="30"/>
  <c r="BB187" i="30"/>
  <c r="BC187" i="30"/>
  <c r="BD187" i="30"/>
  <c r="BE187" i="30"/>
  <c r="BF187" i="30"/>
  <c r="BG187" i="30"/>
  <c r="BH187" i="30"/>
  <c r="BI187" i="30"/>
  <c r="BJ187" i="30"/>
  <c r="BK187" i="30"/>
  <c r="BL187" i="30"/>
  <c r="BM187" i="30"/>
  <c r="BN187" i="30"/>
  <c r="BO187" i="30"/>
  <c r="BP187" i="30"/>
  <c r="BQ187" i="30"/>
  <c r="BR187" i="30"/>
  <c r="BS187" i="30"/>
  <c r="BT187" i="30"/>
  <c r="BU187" i="30"/>
  <c r="BV187" i="30"/>
  <c r="BW187" i="30"/>
  <c r="BX187" i="30"/>
  <c r="BY187" i="30"/>
  <c r="BZ187" i="30"/>
  <c r="CA187" i="30"/>
  <c r="CB187" i="30"/>
  <c r="CC187" i="30"/>
  <c r="CD187" i="30"/>
  <c r="CE187" i="30"/>
  <c r="CF187" i="30"/>
  <c r="CG187" i="30"/>
  <c r="CH187" i="30"/>
  <c r="CI187" i="30"/>
  <c r="CJ187" i="30"/>
  <c r="CK187" i="30"/>
  <c r="CL187" i="30"/>
  <c r="CM187" i="30"/>
  <c r="CN187" i="30"/>
  <c r="CO187" i="30"/>
  <c r="CP187" i="30"/>
  <c r="CQ187" i="30"/>
  <c r="CR187" i="30"/>
  <c r="CS187" i="30"/>
  <c r="CT187" i="30"/>
  <c r="CU187" i="30"/>
  <c r="CV187" i="30"/>
  <c r="CW187" i="30"/>
  <c r="CX187" i="30"/>
  <c r="CY187" i="30"/>
  <c r="CZ187" i="30"/>
  <c r="DA187" i="30"/>
  <c r="DB187" i="30"/>
  <c r="DC187" i="30"/>
  <c r="DD187" i="30"/>
  <c r="DE187" i="30"/>
  <c r="DF187" i="30"/>
  <c r="DG187" i="30"/>
  <c r="DH187" i="30"/>
  <c r="DI187" i="30"/>
  <c r="DJ187" i="30"/>
  <c r="DK187" i="30"/>
  <c r="DL187" i="30"/>
  <c r="DM187" i="30"/>
  <c r="DN187" i="30"/>
  <c r="DO187" i="30"/>
  <c r="DP187" i="30"/>
  <c r="DQ187" i="30"/>
  <c r="DR187" i="30"/>
  <c r="DS187" i="30"/>
  <c r="DT187" i="30"/>
  <c r="DU187" i="30"/>
  <c r="DV187" i="30"/>
  <c r="DW187" i="30"/>
  <c r="DX187" i="30"/>
  <c r="DY187" i="30"/>
  <c r="DZ187" i="30"/>
  <c r="EA187" i="30"/>
  <c r="EB187" i="30"/>
  <c r="EC187" i="30"/>
  <c r="ED187" i="30"/>
  <c r="EE187" i="30"/>
  <c r="EF187" i="30"/>
  <c r="EG187" i="30"/>
  <c r="EH187" i="30"/>
  <c r="EI187" i="30"/>
  <c r="EJ187" i="30"/>
  <c r="EK187" i="30"/>
  <c r="EL187" i="30"/>
  <c r="EM187" i="30"/>
  <c r="EN187" i="30"/>
  <c r="EO187" i="30"/>
  <c r="EP187" i="30"/>
  <c r="EQ187" i="30"/>
  <c r="ER187" i="30"/>
  <c r="ES187" i="30"/>
  <c r="ET187" i="30"/>
  <c r="EU187" i="30"/>
  <c r="EV187" i="30"/>
  <c r="EW187" i="30"/>
  <c r="EX187" i="30"/>
  <c r="EY187" i="30"/>
  <c r="EZ187" i="30"/>
  <c r="FA187" i="30"/>
  <c r="FB187" i="30"/>
  <c r="FC187" i="30"/>
  <c r="FD187" i="30"/>
  <c r="FE187" i="30"/>
  <c r="FF187" i="30"/>
  <c r="FG187" i="30"/>
  <c r="FH187" i="30"/>
  <c r="FI187" i="30"/>
  <c r="FJ187" i="30"/>
  <c r="FK187" i="30"/>
  <c r="FL187" i="30"/>
  <c r="FM187" i="30"/>
  <c r="FN187" i="30"/>
  <c r="FO187" i="30"/>
  <c r="FP187" i="30"/>
  <c r="FQ187" i="30"/>
  <c r="FR187" i="30"/>
  <c r="FS187" i="30"/>
  <c r="FT187" i="30"/>
  <c r="FU187" i="30"/>
  <c r="FV187" i="30"/>
  <c r="FW187" i="30"/>
  <c r="FX187" i="30"/>
  <c r="FY187" i="30"/>
  <c r="FZ187" i="30"/>
  <c r="GA187" i="30"/>
  <c r="GB187" i="30"/>
  <c r="GC187" i="30"/>
  <c r="GD187" i="30"/>
  <c r="GE187" i="30"/>
  <c r="GF187" i="30"/>
  <c r="GG187" i="30"/>
  <c r="GH187" i="30"/>
  <c r="GI187" i="30"/>
  <c r="GJ187" i="30"/>
  <c r="GK187" i="30"/>
  <c r="GL187" i="30"/>
  <c r="GM187" i="30"/>
  <c r="GN187" i="30"/>
  <c r="GO187" i="30"/>
  <c r="GP187" i="30"/>
  <c r="GQ187" i="30"/>
  <c r="GR187" i="30"/>
  <c r="GS187" i="30"/>
  <c r="GT187" i="30"/>
  <c r="GU187" i="30"/>
  <c r="GV187" i="30"/>
  <c r="GW187" i="30"/>
  <c r="GX187" i="30"/>
  <c r="GY187" i="30"/>
  <c r="GZ187" i="30"/>
  <c r="HA187" i="30"/>
  <c r="HB187" i="30"/>
  <c r="HC187" i="30"/>
  <c r="HD187" i="30"/>
  <c r="HE187" i="30"/>
  <c r="HF187" i="30"/>
  <c r="HG187" i="30"/>
  <c r="HH187" i="30"/>
  <c r="HI187" i="30"/>
  <c r="HJ187" i="30"/>
  <c r="HK187" i="30"/>
  <c r="HL187" i="30"/>
  <c r="HM187" i="30"/>
  <c r="HN187" i="30"/>
  <c r="HO187" i="30"/>
  <c r="HP187" i="30"/>
  <c r="HQ187" i="30"/>
  <c r="HR187" i="30"/>
  <c r="HS187" i="30"/>
  <c r="HT187" i="30"/>
  <c r="HU187" i="30"/>
  <c r="HV187" i="30"/>
  <c r="HW187" i="30"/>
  <c r="HX187" i="30"/>
  <c r="HY187" i="30"/>
  <c r="HZ187" i="30"/>
  <c r="IA187" i="30"/>
  <c r="IB187" i="30"/>
  <c r="IC187" i="30"/>
  <c r="ID187" i="30"/>
  <c r="IE187" i="30"/>
  <c r="IF187" i="30"/>
  <c r="IG187" i="30"/>
  <c r="IH187" i="30"/>
  <c r="II187" i="30"/>
  <c r="IJ187" i="30"/>
  <c r="IK187" i="30"/>
  <c r="IL187" i="30"/>
  <c r="IM187" i="30"/>
  <c r="IN187" i="30"/>
  <c r="IO187" i="30"/>
  <c r="IP187" i="30"/>
  <c r="IQ187" i="30"/>
  <c r="IR187" i="30"/>
  <c r="IS187" i="30"/>
  <c r="IT187" i="30"/>
  <c r="IU187" i="30"/>
  <c r="IV187" i="30"/>
  <c r="A186" i="30"/>
  <c r="B186" i="30"/>
  <c r="C186" i="30"/>
  <c r="D186" i="30"/>
  <c r="E186" i="30"/>
  <c r="F186" i="30"/>
  <c r="G186" i="30"/>
  <c r="H186" i="30"/>
  <c r="I186" i="30"/>
  <c r="J186" i="30"/>
  <c r="K186" i="30"/>
  <c r="L186" i="30"/>
  <c r="M186" i="30"/>
  <c r="N186" i="30"/>
  <c r="O186" i="30"/>
  <c r="P186" i="30"/>
  <c r="Q186" i="30"/>
  <c r="R186" i="30"/>
  <c r="S186" i="30"/>
  <c r="T186" i="30"/>
  <c r="U186" i="30"/>
  <c r="V186" i="30"/>
  <c r="W186" i="30"/>
  <c r="X186" i="30"/>
  <c r="Y186" i="30"/>
  <c r="Z186" i="30"/>
  <c r="AA186" i="30"/>
  <c r="AB186" i="30"/>
  <c r="AC186" i="30"/>
  <c r="AD186" i="30"/>
  <c r="AE186" i="30"/>
  <c r="AF186" i="30"/>
  <c r="AG186" i="30"/>
  <c r="AH186" i="30"/>
  <c r="AI186" i="30"/>
  <c r="AJ186" i="30"/>
  <c r="AK186" i="30"/>
  <c r="AL186" i="30"/>
  <c r="AM186" i="30"/>
  <c r="AN186" i="30"/>
  <c r="AO186" i="30"/>
  <c r="AP186" i="30"/>
  <c r="AQ186" i="30"/>
  <c r="AR186" i="30"/>
  <c r="AS186" i="30"/>
  <c r="AT186" i="30"/>
  <c r="AU186" i="30"/>
  <c r="AV186" i="30"/>
  <c r="AW186" i="30"/>
  <c r="AX186" i="30"/>
  <c r="AY186" i="30"/>
  <c r="AZ186" i="30"/>
  <c r="BA186" i="30"/>
  <c r="BB186" i="30"/>
  <c r="BC186" i="30"/>
  <c r="BD186" i="30"/>
  <c r="BE186" i="30"/>
  <c r="BF186" i="30"/>
  <c r="BG186" i="30"/>
  <c r="BH186" i="30"/>
  <c r="BI186" i="30"/>
  <c r="BJ186" i="30"/>
  <c r="BK186" i="30"/>
  <c r="BL186" i="30"/>
  <c r="BM186" i="30"/>
  <c r="BN186" i="30"/>
  <c r="BO186" i="30"/>
  <c r="BP186" i="30"/>
  <c r="BQ186" i="30"/>
  <c r="BR186" i="30"/>
  <c r="BS186" i="30"/>
  <c r="BT186" i="30"/>
  <c r="BU186" i="30"/>
  <c r="BV186" i="30"/>
  <c r="BW186" i="30"/>
  <c r="BX186" i="30"/>
  <c r="BY186" i="30"/>
  <c r="BZ186" i="30"/>
  <c r="CA186" i="30"/>
  <c r="CB186" i="30"/>
  <c r="CC186" i="30"/>
  <c r="CD186" i="30"/>
  <c r="CE186" i="30"/>
  <c r="CF186" i="30"/>
  <c r="CG186" i="30"/>
  <c r="CH186" i="30"/>
  <c r="CI186" i="30"/>
  <c r="CJ186" i="30"/>
  <c r="CK186" i="30"/>
  <c r="CL186" i="30"/>
  <c r="CM186" i="30"/>
  <c r="CN186" i="30"/>
  <c r="CO186" i="30"/>
  <c r="CP186" i="30"/>
  <c r="CQ186" i="30"/>
  <c r="CR186" i="30"/>
  <c r="CS186" i="30"/>
  <c r="CT186" i="30"/>
  <c r="CU186" i="30"/>
  <c r="CV186" i="30"/>
  <c r="CW186" i="30"/>
  <c r="CX186" i="30"/>
  <c r="CY186" i="30"/>
  <c r="CZ186" i="30"/>
  <c r="DA186" i="30"/>
  <c r="DB186" i="30"/>
  <c r="DC186" i="30"/>
  <c r="DD186" i="30"/>
  <c r="DE186" i="30"/>
  <c r="DF186" i="30"/>
  <c r="DG186" i="30"/>
  <c r="DH186" i="30"/>
  <c r="DI186" i="30"/>
  <c r="DJ186" i="30"/>
  <c r="DK186" i="30"/>
  <c r="DL186" i="30"/>
  <c r="DM186" i="30"/>
  <c r="DN186" i="30"/>
  <c r="DO186" i="30"/>
  <c r="DP186" i="30"/>
  <c r="DQ186" i="30"/>
  <c r="DR186" i="30"/>
  <c r="DS186" i="30"/>
  <c r="DT186" i="30"/>
  <c r="DU186" i="30"/>
  <c r="DV186" i="30"/>
  <c r="DW186" i="30"/>
  <c r="DX186" i="30"/>
  <c r="DY186" i="30"/>
  <c r="DZ186" i="30"/>
  <c r="EA186" i="30"/>
  <c r="EB186" i="30"/>
  <c r="EC186" i="30"/>
  <c r="ED186" i="30"/>
  <c r="EE186" i="30"/>
  <c r="EF186" i="30"/>
  <c r="EG186" i="30"/>
  <c r="EH186" i="30"/>
  <c r="EI186" i="30"/>
  <c r="EJ186" i="30"/>
  <c r="EK186" i="30"/>
  <c r="EL186" i="30"/>
  <c r="EM186" i="30"/>
  <c r="EN186" i="30"/>
  <c r="EO186" i="30"/>
  <c r="EP186" i="30"/>
  <c r="EQ186" i="30"/>
  <c r="ER186" i="30"/>
  <c r="ES186" i="30"/>
  <c r="ET186" i="30"/>
  <c r="EU186" i="30"/>
  <c r="EV186" i="30"/>
  <c r="EW186" i="30"/>
  <c r="EX186" i="30"/>
  <c r="EY186" i="30"/>
  <c r="EZ186" i="30"/>
  <c r="FA186" i="30"/>
  <c r="FB186" i="30"/>
  <c r="FC186" i="30"/>
  <c r="FD186" i="30"/>
  <c r="FE186" i="30"/>
  <c r="FF186" i="30"/>
  <c r="FG186" i="30"/>
  <c r="FH186" i="30"/>
  <c r="FI186" i="30"/>
  <c r="FJ186" i="30"/>
  <c r="FK186" i="30"/>
  <c r="FL186" i="30"/>
  <c r="FM186" i="30"/>
  <c r="FN186" i="30"/>
  <c r="FO186" i="30"/>
  <c r="FP186" i="30"/>
  <c r="FQ186" i="30"/>
  <c r="FR186" i="30"/>
  <c r="FS186" i="30"/>
  <c r="FT186" i="30"/>
  <c r="FU186" i="30"/>
  <c r="FV186" i="30"/>
  <c r="FW186" i="30"/>
  <c r="FX186" i="30"/>
  <c r="FY186" i="30"/>
  <c r="FZ186" i="30"/>
  <c r="GA186" i="30"/>
  <c r="GB186" i="30"/>
  <c r="GC186" i="30"/>
  <c r="GD186" i="30"/>
  <c r="GE186" i="30"/>
  <c r="GF186" i="30"/>
  <c r="GG186" i="30"/>
  <c r="GH186" i="30"/>
  <c r="GI186" i="30"/>
  <c r="GJ186" i="30"/>
  <c r="GK186" i="30"/>
  <c r="GL186" i="30"/>
  <c r="GM186" i="30"/>
  <c r="GN186" i="30"/>
  <c r="GO186" i="30"/>
  <c r="GP186" i="30"/>
  <c r="GQ186" i="30"/>
  <c r="GR186" i="30"/>
  <c r="GS186" i="30"/>
  <c r="GT186" i="30"/>
  <c r="GU186" i="30"/>
  <c r="GV186" i="30"/>
  <c r="GW186" i="30"/>
  <c r="GX186" i="30"/>
  <c r="GY186" i="30"/>
  <c r="GZ186" i="30"/>
  <c r="HA186" i="30"/>
  <c r="HB186" i="30"/>
  <c r="HC186" i="30"/>
  <c r="HD186" i="30"/>
  <c r="HE186" i="30"/>
  <c r="HF186" i="30"/>
  <c r="HG186" i="30"/>
  <c r="HH186" i="30"/>
  <c r="HI186" i="30"/>
  <c r="HJ186" i="30"/>
  <c r="HK186" i="30"/>
  <c r="HL186" i="30"/>
  <c r="HM186" i="30"/>
  <c r="HN186" i="30"/>
  <c r="HO186" i="30"/>
  <c r="HP186" i="30"/>
  <c r="HQ186" i="30"/>
  <c r="HR186" i="30"/>
  <c r="HS186" i="30"/>
  <c r="HT186" i="30"/>
  <c r="HU186" i="30"/>
  <c r="HV186" i="30"/>
  <c r="HW186" i="30"/>
  <c r="HX186" i="30"/>
  <c r="HY186" i="30"/>
  <c r="HZ186" i="30"/>
  <c r="IA186" i="30"/>
  <c r="IB186" i="30"/>
  <c r="IC186" i="30"/>
  <c r="ID186" i="30"/>
  <c r="IE186" i="30"/>
  <c r="IF186" i="30"/>
  <c r="IG186" i="30"/>
  <c r="IH186" i="30"/>
  <c r="II186" i="30"/>
  <c r="IJ186" i="30"/>
  <c r="IK186" i="30"/>
  <c r="IL186" i="30"/>
  <c r="IM186" i="30"/>
  <c r="IN186" i="30"/>
  <c r="IO186" i="30"/>
  <c r="IP186" i="30"/>
  <c r="IQ186" i="30"/>
  <c r="IR186" i="30"/>
  <c r="IS186" i="30"/>
  <c r="IT186" i="30"/>
  <c r="IU186" i="30"/>
  <c r="IV186" i="30"/>
  <c r="A185" i="30"/>
  <c r="B185" i="30"/>
  <c r="C185" i="30"/>
  <c r="D185" i="30"/>
  <c r="E185" i="30"/>
  <c r="F185" i="30"/>
  <c r="G185" i="30"/>
  <c r="H185" i="30"/>
  <c r="I185" i="30"/>
  <c r="J185" i="30"/>
  <c r="K185" i="30"/>
  <c r="L185" i="30"/>
  <c r="M185" i="30"/>
  <c r="N185" i="30"/>
  <c r="O185" i="30"/>
  <c r="P185" i="30"/>
  <c r="Q185" i="30"/>
  <c r="R185" i="30"/>
  <c r="S185" i="30"/>
  <c r="T185" i="30"/>
  <c r="U185" i="30"/>
  <c r="V185" i="30"/>
  <c r="W185" i="30"/>
  <c r="X185" i="30"/>
  <c r="Y185" i="30"/>
  <c r="Z185" i="30"/>
  <c r="AA185" i="30"/>
  <c r="AB185" i="30"/>
  <c r="AC185" i="30"/>
  <c r="AD185" i="30"/>
  <c r="AE185" i="30"/>
  <c r="AF185" i="30"/>
  <c r="AG185" i="30"/>
  <c r="AH185" i="30"/>
  <c r="AI185" i="30"/>
  <c r="AJ185" i="30"/>
  <c r="AK185" i="30"/>
  <c r="AL185" i="30"/>
  <c r="AM185" i="30"/>
  <c r="AN185" i="30"/>
  <c r="AO185" i="30"/>
  <c r="AP185" i="30"/>
  <c r="AQ185" i="30"/>
  <c r="AR185" i="30"/>
  <c r="AS185" i="30"/>
  <c r="AT185" i="30"/>
  <c r="AU185" i="30"/>
  <c r="AV185" i="30"/>
  <c r="AW185" i="30"/>
  <c r="AX185" i="30"/>
  <c r="AY185" i="30"/>
  <c r="AZ185" i="30"/>
  <c r="BA185" i="30"/>
  <c r="BB185" i="30"/>
  <c r="BC185" i="30"/>
  <c r="BD185" i="30"/>
  <c r="BE185" i="30"/>
  <c r="BF185" i="30"/>
  <c r="BG185" i="30"/>
  <c r="BH185" i="30"/>
  <c r="BI185" i="30"/>
  <c r="BJ185" i="30"/>
  <c r="BK185" i="30"/>
  <c r="BL185" i="30"/>
  <c r="BM185" i="30"/>
  <c r="BN185" i="30"/>
  <c r="BO185" i="30"/>
  <c r="BP185" i="30"/>
  <c r="BQ185" i="30"/>
  <c r="BR185" i="30"/>
  <c r="BS185" i="30"/>
  <c r="BT185" i="30"/>
  <c r="BU185" i="30"/>
  <c r="BV185" i="30"/>
  <c r="BW185" i="30"/>
  <c r="BX185" i="30"/>
  <c r="BY185" i="30"/>
  <c r="BZ185" i="30"/>
  <c r="CA185" i="30"/>
  <c r="CB185" i="30"/>
  <c r="CC185" i="30"/>
  <c r="CD185" i="30"/>
  <c r="CE185" i="30"/>
  <c r="CF185" i="30"/>
  <c r="CG185" i="30"/>
  <c r="CH185" i="30"/>
  <c r="CI185" i="30"/>
  <c r="CJ185" i="30"/>
  <c r="CK185" i="30"/>
  <c r="CL185" i="30"/>
  <c r="CM185" i="30"/>
  <c r="CN185" i="30"/>
  <c r="CO185" i="30"/>
  <c r="CP185" i="30"/>
  <c r="CQ185" i="30"/>
  <c r="CR185" i="30"/>
  <c r="CS185" i="30"/>
  <c r="CT185" i="30"/>
  <c r="CU185" i="30"/>
  <c r="CV185" i="30"/>
  <c r="CW185" i="30"/>
  <c r="CX185" i="30"/>
  <c r="CY185" i="30"/>
  <c r="CZ185" i="30"/>
  <c r="DA185" i="30"/>
  <c r="DB185" i="30"/>
  <c r="DC185" i="30"/>
  <c r="DD185" i="30"/>
  <c r="DE185" i="30"/>
  <c r="DF185" i="30"/>
  <c r="DG185" i="30"/>
  <c r="DH185" i="30"/>
  <c r="DI185" i="30"/>
  <c r="DJ185" i="30"/>
  <c r="DK185" i="30"/>
  <c r="DL185" i="30"/>
  <c r="DM185" i="30"/>
  <c r="DN185" i="30"/>
  <c r="DO185" i="30"/>
  <c r="DP185" i="30"/>
  <c r="DQ185" i="30"/>
  <c r="DR185" i="30"/>
  <c r="DS185" i="30"/>
  <c r="DT185" i="30"/>
  <c r="DU185" i="30"/>
  <c r="DV185" i="30"/>
  <c r="DW185" i="30"/>
  <c r="DX185" i="30"/>
  <c r="DY185" i="30"/>
  <c r="DZ185" i="30"/>
  <c r="EA185" i="30"/>
  <c r="EB185" i="30"/>
  <c r="EC185" i="30"/>
  <c r="ED185" i="30"/>
  <c r="EE185" i="30"/>
  <c r="EF185" i="30"/>
  <c r="EG185" i="30"/>
  <c r="EH185" i="30"/>
  <c r="EI185" i="30"/>
  <c r="EJ185" i="30"/>
  <c r="EK185" i="30"/>
  <c r="EL185" i="30"/>
  <c r="EM185" i="30"/>
  <c r="EN185" i="30"/>
  <c r="EO185" i="30"/>
  <c r="EP185" i="30"/>
  <c r="EQ185" i="30"/>
  <c r="ER185" i="30"/>
  <c r="ES185" i="30"/>
  <c r="ET185" i="30"/>
  <c r="EU185" i="30"/>
  <c r="EV185" i="30"/>
  <c r="EW185" i="30"/>
  <c r="EX185" i="30"/>
  <c r="EY185" i="30"/>
  <c r="EZ185" i="30"/>
  <c r="FA185" i="30"/>
  <c r="FB185" i="30"/>
  <c r="FC185" i="30"/>
  <c r="FD185" i="30"/>
  <c r="FE185" i="30"/>
  <c r="FF185" i="30"/>
  <c r="FG185" i="30"/>
  <c r="FH185" i="30"/>
  <c r="FI185" i="30"/>
  <c r="FJ185" i="30"/>
  <c r="FK185" i="30"/>
  <c r="FL185" i="30"/>
  <c r="FM185" i="30"/>
  <c r="FN185" i="30"/>
  <c r="FO185" i="30"/>
  <c r="FP185" i="30"/>
  <c r="FQ185" i="30"/>
  <c r="FR185" i="30"/>
  <c r="FS185" i="30"/>
  <c r="FT185" i="30"/>
  <c r="FU185" i="30"/>
  <c r="FV185" i="30"/>
  <c r="FW185" i="30"/>
  <c r="FX185" i="30"/>
  <c r="FY185" i="30"/>
  <c r="FZ185" i="30"/>
  <c r="GA185" i="30"/>
  <c r="GB185" i="30"/>
  <c r="GC185" i="30"/>
  <c r="GD185" i="30"/>
  <c r="GE185" i="30"/>
  <c r="GF185" i="30"/>
  <c r="GG185" i="30"/>
  <c r="GH185" i="30"/>
  <c r="GI185" i="30"/>
  <c r="GJ185" i="30"/>
  <c r="GK185" i="30"/>
  <c r="GL185" i="30"/>
  <c r="GM185" i="30"/>
  <c r="GN185" i="30"/>
  <c r="GO185" i="30"/>
  <c r="GP185" i="30"/>
  <c r="GQ185" i="30"/>
  <c r="GR185" i="30"/>
  <c r="GS185" i="30"/>
  <c r="GT185" i="30"/>
  <c r="GU185" i="30"/>
  <c r="GV185" i="30"/>
  <c r="GW185" i="30"/>
  <c r="GX185" i="30"/>
  <c r="GY185" i="30"/>
  <c r="GZ185" i="30"/>
  <c r="HA185" i="30"/>
  <c r="HB185" i="30"/>
  <c r="HC185" i="30"/>
  <c r="HD185" i="30"/>
  <c r="HE185" i="30"/>
  <c r="HF185" i="30"/>
  <c r="HG185" i="30"/>
  <c r="HH185" i="30"/>
  <c r="HI185" i="30"/>
  <c r="HJ185" i="30"/>
  <c r="HK185" i="30"/>
  <c r="HL185" i="30"/>
  <c r="HM185" i="30"/>
  <c r="HN185" i="30"/>
  <c r="HO185" i="30"/>
  <c r="HP185" i="30"/>
  <c r="HQ185" i="30"/>
  <c r="HR185" i="30"/>
  <c r="HS185" i="30"/>
  <c r="HT185" i="30"/>
  <c r="HU185" i="30"/>
  <c r="HV185" i="30"/>
  <c r="HW185" i="30"/>
  <c r="HX185" i="30"/>
  <c r="HY185" i="30"/>
  <c r="HZ185" i="30"/>
  <c r="IA185" i="30"/>
  <c r="IB185" i="30"/>
  <c r="IC185" i="30"/>
  <c r="ID185" i="30"/>
  <c r="IE185" i="30"/>
  <c r="IF185" i="30"/>
  <c r="IG185" i="30"/>
  <c r="IH185" i="30"/>
  <c r="II185" i="30"/>
  <c r="IJ185" i="30"/>
  <c r="IK185" i="30"/>
  <c r="IL185" i="30"/>
  <c r="IM185" i="30"/>
  <c r="IN185" i="30"/>
  <c r="IO185" i="30"/>
  <c r="IP185" i="30"/>
  <c r="IQ185" i="30"/>
  <c r="IR185" i="30"/>
  <c r="IS185" i="30"/>
  <c r="IT185" i="30"/>
  <c r="IU185" i="30"/>
  <c r="IV185" i="30"/>
  <c r="A184" i="30"/>
  <c r="B184" i="30"/>
  <c r="C184" i="30"/>
  <c r="D184" i="30"/>
  <c r="E184" i="30"/>
  <c r="F184" i="30"/>
  <c r="G184" i="30"/>
  <c r="H184" i="30"/>
  <c r="I184" i="30"/>
  <c r="J184" i="30"/>
  <c r="K184" i="30"/>
  <c r="L184" i="30"/>
  <c r="M184" i="30"/>
  <c r="N184" i="30"/>
  <c r="O184" i="30"/>
  <c r="P184" i="30"/>
  <c r="Q184" i="30"/>
  <c r="R184" i="30"/>
  <c r="S184" i="30"/>
  <c r="T184" i="30"/>
  <c r="U184" i="30"/>
  <c r="V184" i="30"/>
  <c r="W184" i="30"/>
  <c r="X184" i="30"/>
  <c r="Y184" i="30"/>
  <c r="Z184" i="30"/>
  <c r="AA184" i="30"/>
  <c r="AB184" i="30"/>
  <c r="AC184" i="30"/>
  <c r="AD184" i="30"/>
  <c r="AE184" i="30"/>
  <c r="AF184" i="30"/>
  <c r="AG184" i="30"/>
  <c r="AH184" i="30"/>
  <c r="AI184" i="30"/>
  <c r="AJ184" i="30"/>
  <c r="AK184" i="30"/>
  <c r="AL184" i="30"/>
  <c r="AM184" i="30"/>
  <c r="AN184" i="30"/>
  <c r="AO184" i="30"/>
  <c r="AP184" i="30"/>
  <c r="AQ184" i="30"/>
  <c r="AR184" i="30"/>
  <c r="AS184" i="30"/>
  <c r="AT184" i="30"/>
  <c r="AU184" i="30"/>
  <c r="AV184" i="30"/>
  <c r="AW184" i="30"/>
  <c r="AX184" i="30"/>
  <c r="AY184" i="30"/>
  <c r="AZ184" i="30"/>
  <c r="BA184" i="30"/>
  <c r="BB184" i="30"/>
  <c r="BC184" i="30"/>
  <c r="BD184" i="30"/>
  <c r="BE184" i="30"/>
  <c r="BF184" i="30"/>
  <c r="BG184" i="30"/>
  <c r="BH184" i="30"/>
  <c r="BI184" i="30"/>
  <c r="BJ184" i="30"/>
  <c r="BK184" i="30"/>
  <c r="BL184" i="30"/>
  <c r="BM184" i="30"/>
  <c r="BN184" i="30"/>
  <c r="BO184" i="30"/>
  <c r="BP184" i="30"/>
  <c r="BQ184" i="30"/>
  <c r="BR184" i="30"/>
  <c r="BS184" i="30"/>
  <c r="BT184" i="30"/>
  <c r="BU184" i="30"/>
  <c r="BV184" i="30"/>
  <c r="BW184" i="30"/>
  <c r="BX184" i="30"/>
  <c r="BY184" i="30"/>
  <c r="BZ184" i="30"/>
  <c r="CA184" i="30"/>
  <c r="CB184" i="30"/>
  <c r="CC184" i="30"/>
  <c r="CD184" i="30"/>
  <c r="CE184" i="30"/>
  <c r="CF184" i="30"/>
  <c r="CG184" i="30"/>
  <c r="CH184" i="30"/>
  <c r="CI184" i="30"/>
  <c r="CJ184" i="30"/>
  <c r="CK184" i="30"/>
  <c r="CL184" i="30"/>
  <c r="CM184" i="30"/>
  <c r="CN184" i="30"/>
  <c r="CO184" i="30"/>
  <c r="CP184" i="30"/>
  <c r="CQ184" i="30"/>
  <c r="CR184" i="30"/>
  <c r="CS184" i="30"/>
  <c r="CT184" i="30"/>
  <c r="CU184" i="30"/>
  <c r="CV184" i="30"/>
  <c r="CW184" i="30"/>
  <c r="CX184" i="30"/>
  <c r="CY184" i="30"/>
  <c r="CZ184" i="30"/>
  <c r="DA184" i="30"/>
  <c r="DB184" i="30"/>
  <c r="DC184" i="30"/>
  <c r="DD184" i="30"/>
  <c r="DE184" i="30"/>
  <c r="DF184" i="30"/>
  <c r="DG184" i="30"/>
  <c r="DH184" i="30"/>
  <c r="DI184" i="30"/>
  <c r="DJ184" i="30"/>
  <c r="DK184" i="30"/>
  <c r="DL184" i="30"/>
  <c r="DM184" i="30"/>
  <c r="DN184" i="30"/>
  <c r="DO184" i="30"/>
  <c r="DP184" i="30"/>
  <c r="DQ184" i="30"/>
  <c r="DR184" i="30"/>
  <c r="DS184" i="30"/>
  <c r="DT184" i="30"/>
  <c r="DU184" i="30"/>
  <c r="DV184" i="30"/>
  <c r="DW184" i="30"/>
  <c r="DX184" i="30"/>
  <c r="DY184" i="30"/>
  <c r="DZ184" i="30"/>
  <c r="EA184" i="30"/>
  <c r="EB184" i="30"/>
  <c r="EC184" i="30"/>
  <c r="ED184" i="30"/>
  <c r="EE184" i="30"/>
  <c r="EF184" i="30"/>
  <c r="EG184" i="30"/>
  <c r="EH184" i="30"/>
  <c r="EI184" i="30"/>
  <c r="EJ184" i="30"/>
  <c r="EK184" i="30"/>
  <c r="EL184" i="30"/>
  <c r="EM184" i="30"/>
  <c r="EN184" i="30"/>
  <c r="EO184" i="30"/>
  <c r="EP184" i="30"/>
  <c r="EQ184" i="30"/>
  <c r="ER184" i="30"/>
  <c r="ES184" i="30"/>
  <c r="ET184" i="30"/>
  <c r="EU184" i="30"/>
  <c r="EV184" i="30"/>
  <c r="EW184" i="30"/>
  <c r="EX184" i="30"/>
  <c r="EY184" i="30"/>
  <c r="EZ184" i="30"/>
  <c r="FA184" i="30"/>
  <c r="FB184" i="30"/>
  <c r="FC184" i="30"/>
  <c r="FD184" i="30"/>
  <c r="FE184" i="30"/>
  <c r="FF184" i="30"/>
  <c r="FG184" i="30"/>
  <c r="FH184" i="30"/>
  <c r="FI184" i="30"/>
  <c r="FJ184" i="30"/>
  <c r="FK184" i="30"/>
  <c r="FL184" i="30"/>
  <c r="FM184" i="30"/>
  <c r="FN184" i="30"/>
  <c r="FO184" i="30"/>
  <c r="FP184" i="30"/>
  <c r="FQ184" i="30"/>
  <c r="FR184" i="30"/>
  <c r="FS184" i="30"/>
  <c r="FT184" i="30"/>
  <c r="FU184" i="30"/>
  <c r="FV184" i="30"/>
  <c r="FW184" i="30"/>
  <c r="FX184" i="30"/>
  <c r="FY184" i="30"/>
  <c r="FZ184" i="30"/>
  <c r="GA184" i="30"/>
  <c r="GB184" i="30"/>
  <c r="GC184" i="30"/>
  <c r="GD184" i="30"/>
  <c r="GE184" i="30"/>
  <c r="GF184" i="30"/>
  <c r="GG184" i="30"/>
  <c r="GH184" i="30"/>
  <c r="GI184" i="30"/>
  <c r="GJ184" i="30"/>
  <c r="GK184" i="30"/>
  <c r="GL184" i="30"/>
  <c r="GM184" i="30"/>
  <c r="GN184" i="30"/>
  <c r="GO184" i="30"/>
  <c r="GP184" i="30"/>
  <c r="GQ184" i="30"/>
  <c r="GR184" i="30"/>
  <c r="GS184" i="30"/>
  <c r="GT184" i="30"/>
  <c r="GU184" i="30"/>
  <c r="GV184" i="30"/>
  <c r="GW184" i="30"/>
  <c r="GX184" i="30"/>
  <c r="GY184" i="30"/>
  <c r="GZ184" i="30"/>
  <c r="HA184" i="30"/>
  <c r="HB184" i="30"/>
  <c r="HC184" i="30"/>
  <c r="HD184" i="30"/>
  <c r="HE184" i="30"/>
  <c r="HF184" i="30"/>
  <c r="HG184" i="30"/>
  <c r="HH184" i="30"/>
  <c r="HI184" i="30"/>
  <c r="HJ184" i="30"/>
  <c r="HK184" i="30"/>
  <c r="HL184" i="30"/>
  <c r="HM184" i="30"/>
  <c r="HN184" i="30"/>
  <c r="HO184" i="30"/>
  <c r="HP184" i="30"/>
  <c r="HQ184" i="30"/>
  <c r="HR184" i="30"/>
  <c r="HS184" i="30"/>
  <c r="HT184" i="30"/>
  <c r="HU184" i="30"/>
  <c r="HV184" i="30"/>
  <c r="HW184" i="30"/>
  <c r="HX184" i="30"/>
  <c r="HY184" i="30"/>
  <c r="HZ184" i="30"/>
  <c r="IA184" i="30"/>
  <c r="IB184" i="30"/>
  <c r="IC184" i="30"/>
  <c r="ID184" i="30"/>
  <c r="IE184" i="30"/>
  <c r="IF184" i="30"/>
  <c r="IG184" i="30"/>
  <c r="IH184" i="30"/>
  <c r="II184" i="30"/>
  <c r="IJ184" i="30"/>
  <c r="IK184" i="30"/>
  <c r="IL184" i="30"/>
  <c r="IM184" i="30"/>
  <c r="IN184" i="30"/>
  <c r="IO184" i="30"/>
  <c r="IP184" i="30"/>
  <c r="IQ184" i="30"/>
  <c r="IR184" i="30"/>
  <c r="IS184" i="30"/>
  <c r="IT184" i="30"/>
  <c r="IU184" i="30"/>
  <c r="IV184" i="30"/>
  <c r="A183" i="30"/>
  <c r="B183" i="30"/>
  <c r="C183" i="30"/>
  <c r="D183" i="30"/>
  <c r="E183" i="30"/>
  <c r="F183" i="30"/>
  <c r="G183" i="30"/>
  <c r="H183" i="30"/>
  <c r="I183" i="30"/>
  <c r="J183" i="30"/>
  <c r="K183" i="30"/>
  <c r="L183" i="30"/>
  <c r="M183" i="30"/>
  <c r="N183" i="30"/>
  <c r="O183" i="30"/>
  <c r="P183" i="30"/>
  <c r="Q183" i="30"/>
  <c r="R183" i="30"/>
  <c r="S183" i="30"/>
  <c r="T183" i="30"/>
  <c r="U183" i="30"/>
  <c r="V183" i="30"/>
  <c r="W183" i="30"/>
  <c r="X183" i="30"/>
  <c r="Y183" i="30"/>
  <c r="Z183" i="30"/>
  <c r="AA183" i="30"/>
  <c r="AB183" i="30"/>
  <c r="AC183" i="30"/>
  <c r="AD183" i="30"/>
  <c r="AE183" i="30"/>
  <c r="AF183" i="30"/>
  <c r="AG183" i="30"/>
  <c r="AH183" i="30"/>
  <c r="AI183" i="30"/>
  <c r="AJ183" i="30"/>
  <c r="AK183" i="30"/>
  <c r="AL183" i="30"/>
  <c r="AM183" i="30"/>
  <c r="AN183" i="30"/>
  <c r="AO183" i="30"/>
  <c r="AP183" i="30"/>
  <c r="AQ183" i="30"/>
  <c r="AR183" i="30"/>
  <c r="AS183" i="30"/>
  <c r="AT183" i="30"/>
  <c r="AU183" i="30"/>
  <c r="AV183" i="30"/>
  <c r="AW183" i="30"/>
  <c r="AX183" i="30"/>
  <c r="AY183" i="30"/>
  <c r="AZ183" i="30"/>
  <c r="BA183" i="30"/>
  <c r="BB183" i="30"/>
  <c r="BC183" i="30"/>
  <c r="BD183" i="30"/>
  <c r="BE183" i="30"/>
  <c r="BF183" i="30"/>
  <c r="BG183" i="30"/>
  <c r="BH183" i="30"/>
  <c r="BI183" i="30"/>
  <c r="BJ183" i="30"/>
  <c r="BK183" i="30"/>
  <c r="BL183" i="30"/>
  <c r="BM183" i="30"/>
  <c r="BN183" i="30"/>
  <c r="BO183" i="30"/>
  <c r="BP183" i="30"/>
  <c r="BQ183" i="30"/>
  <c r="BR183" i="30"/>
  <c r="BS183" i="30"/>
  <c r="BT183" i="30"/>
  <c r="BU183" i="30"/>
  <c r="BV183" i="30"/>
  <c r="BW183" i="30"/>
  <c r="BX183" i="30"/>
  <c r="BY183" i="30"/>
  <c r="BZ183" i="30"/>
  <c r="CA183" i="30"/>
  <c r="CB183" i="30"/>
  <c r="CC183" i="30"/>
  <c r="CD183" i="30"/>
  <c r="CE183" i="30"/>
  <c r="CF183" i="30"/>
  <c r="CG183" i="30"/>
  <c r="CH183" i="30"/>
  <c r="CI183" i="30"/>
  <c r="CJ183" i="30"/>
  <c r="CK183" i="30"/>
  <c r="CL183" i="30"/>
  <c r="CM183" i="30"/>
  <c r="CN183" i="30"/>
  <c r="CO183" i="30"/>
  <c r="CP183" i="30"/>
  <c r="CQ183" i="30"/>
  <c r="CR183" i="30"/>
  <c r="CS183" i="30"/>
  <c r="CT183" i="30"/>
  <c r="CU183" i="30"/>
  <c r="CV183" i="30"/>
  <c r="CW183" i="30"/>
  <c r="CX183" i="30"/>
  <c r="CY183" i="30"/>
  <c r="CZ183" i="30"/>
  <c r="DA183" i="30"/>
  <c r="DB183" i="30"/>
  <c r="DC183" i="30"/>
  <c r="DD183" i="30"/>
  <c r="DE183" i="30"/>
  <c r="DF183" i="30"/>
  <c r="DG183" i="30"/>
  <c r="DH183" i="30"/>
  <c r="DI183" i="30"/>
  <c r="DJ183" i="30"/>
  <c r="DK183" i="30"/>
  <c r="DL183" i="30"/>
  <c r="DM183" i="30"/>
  <c r="DN183" i="30"/>
  <c r="DO183" i="30"/>
  <c r="DP183" i="30"/>
  <c r="DQ183" i="30"/>
  <c r="DR183" i="30"/>
  <c r="DS183" i="30"/>
  <c r="DT183" i="30"/>
  <c r="DU183" i="30"/>
  <c r="DV183" i="30"/>
  <c r="DW183" i="30"/>
  <c r="DX183" i="30"/>
  <c r="DY183" i="30"/>
  <c r="DZ183" i="30"/>
  <c r="EA183" i="30"/>
  <c r="EB183" i="30"/>
  <c r="EC183" i="30"/>
  <c r="ED183" i="30"/>
  <c r="EE183" i="30"/>
  <c r="EF183" i="30"/>
  <c r="EG183" i="30"/>
  <c r="EH183" i="30"/>
  <c r="EI183" i="30"/>
  <c r="EJ183" i="30"/>
  <c r="EK183" i="30"/>
  <c r="EL183" i="30"/>
  <c r="EM183" i="30"/>
  <c r="EN183" i="30"/>
  <c r="EO183" i="30"/>
  <c r="EP183" i="30"/>
  <c r="EQ183" i="30"/>
  <c r="ER183" i="30"/>
  <c r="ES183" i="30"/>
  <c r="ET183" i="30"/>
  <c r="EU183" i="30"/>
  <c r="EV183" i="30"/>
  <c r="EW183" i="30"/>
  <c r="EX183" i="30"/>
  <c r="EY183" i="30"/>
  <c r="EZ183" i="30"/>
  <c r="FA183" i="30"/>
  <c r="FB183" i="30"/>
  <c r="FC183" i="30"/>
  <c r="FD183" i="30"/>
  <c r="FE183" i="30"/>
  <c r="FF183" i="30"/>
  <c r="FG183" i="30"/>
  <c r="FH183" i="30"/>
  <c r="FI183" i="30"/>
  <c r="FJ183" i="30"/>
  <c r="FK183" i="30"/>
  <c r="FL183" i="30"/>
  <c r="FM183" i="30"/>
  <c r="FN183" i="30"/>
  <c r="FO183" i="30"/>
  <c r="FP183" i="30"/>
  <c r="FQ183" i="30"/>
  <c r="FR183" i="30"/>
  <c r="FS183" i="30"/>
  <c r="FT183" i="30"/>
  <c r="FU183" i="30"/>
  <c r="FV183" i="30"/>
  <c r="FW183" i="30"/>
  <c r="FX183" i="30"/>
  <c r="FY183" i="30"/>
  <c r="FZ183" i="30"/>
  <c r="GA183" i="30"/>
  <c r="GB183" i="30"/>
  <c r="GC183" i="30"/>
  <c r="GD183" i="30"/>
  <c r="GE183" i="30"/>
  <c r="GF183" i="30"/>
  <c r="GG183" i="30"/>
  <c r="GH183" i="30"/>
  <c r="GI183" i="30"/>
  <c r="GJ183" i="30"/>
  <c r="GK183" i="30"/>
  <c r="GL183" i="30"/>
  <c r="GM183" i="30"/>
  <c r="GN183" i="30"/>
  <c r="GO183" i="30"/>
  <c r="GP183" i="30"/>
  <c r="GQ183" i="30"/>
  <c r="GR183" i="30"/>
  <c r="GS183" i="30"/>
  <c r="GT183" i="30"/>
  <c r="GU183" i="30"/>
  <c r="GV183" i="30"/>
  <c r="GW183" i="30"/>
  <c r="GX183" i="30"/>
  <c r="GY183" i="30"/>
  <c r="GZ183" i="30"/>
  <c r="HA183" i="30"/>
  <c r="HB183" i="30"/>
  <c r="HC183" i="30"/>
  <c r="HD183" i="30"/>
  <c r="HE183" i="30"/>
  <c r="HF183" i="30"/>
  <c r="HG183" i="30"/>
  <c r="HH183" i="30"/>
  <c r="HI183" i="30"/>
  <c r="HJ183" i="30"/>
  <c r="HK183" i="30"/>
  <c r="HL183" i="30"/>
  <c r="HM183" i="30"/>
  <c r="HN183" i="30"/>
  <c r="HO183" i="30"/>
  <c r="HP183" i="30"/>
  <c r="HQ183" i="30"/>
  <c r="HR183" i="30"/>
  <c r="HS183" i="30"/>
  <c r="HT183" i="30"/>
  <c r="HU183" i="30"/>
  <c r="HV183" i="30"/>
  <c r="HW183" i="30"/>
  <c r="HX183" i="30"/>
  <c r="HY183" i="30"/>
  <c r="HZ183" i="30"/>
  <c r="IA183" i="30"/>
  <c r="IB183" i="30"/>
  <c r="IC183" i="30"/>
  <c r="ID183" i="30"/>
  <c r="IE183" i="30"/>
  <c r="IF183" i="30"/>
  <c r="IG183" i="30"/>
  <c r="IH183" i="30"/>
  <c r="II183" i="30"/>
  <c r="IJ183" i="30"/>
  <c r="IK183" i="30"/>
  <c r="IL183" i="30"/>
  <c r="IM183" i="30"/>
  <c r="IN183" i="30"/>
  <c r="IO183" i="30"/>
  <c r="IP183" i="30"/>
  <c r="IQ183" i="30"/>
  <c r="IR183" i="30"/>
  <c r="IS183" i="30"/>
  <c r="IT183" i="30"/>
  <c r="IU183" i="30"/>
  <c r="IV183" i="30"/>
  <c r="A182" i="30" l="1"/>
  <c r="B182" i="30"/>
  <c r="C182" i="30"/>
  <c r="D182" i="30"/>
  <c r="E182" i="30"/>
  <c r="F182" i="30"/>
  <c r="G182" i="30"/>
  <c r="H182" i="30"/>
  <c r="I182" i="30"/>
  <c r="J182" i="30"/>
  <c r="K182" i="30"/>
  <c r="L182" i="30"/>
  <c r="M182" i="30"/>
  <c r="N182" i="30"/>
  <c r="O182" i="30"/>
  <c r="P182" i="30"/>
  <c r="Q182" i="30"/>
  <c r="R182" i="30"/>
  <c r="S182" i="30"/>
  <c r="T182" i="30"/>
  <c r="U182" i="30"/>
  <c r="V182" i="30"/>
  <c r="W182" i="30"/>
  <c r="X182" i="30"/>
  <c r="Y182" i="30"/>
  <c r="Z182" i="30"/>
  <c r="AA182" i="30"/>
  <c r="AB182" i="30"/>
  <c r="AC182" i="30"/>
  <c r="AD182" i="30"/>
  <c r="AE182" i="30"/>
  <c r="AF182" i="30"/>
  <c r="AG182" i="30"/>
  <c r="AJ182" i="30"/>
  <c r="AK182" i="30"/>
  <c r="AL182" i="30"/>
  <c r="AM182" i="30"/>
  <c r="AN182" i="30"/>
  <c r="AO182" i="30"/>
  <c r="AP182" i="30"/>
  <c r="AQ182" i="30"/>
  <c r="AR182" i="30"/>
  <c r="A181" i="30"/>
  <c r="B181" i="30"/>
  <c r="C181" i="30"/>
  <c r="D181" i="30"/>
  <c r="E181" i="30"/>
  <c r="F181" i="30"/>
  <c r="G181" i="30"/>
  <c r="H181" i="30"/>
  <c r="I181" i="30"/>
  <c r="J181" i="30"/>
  <c r="K181" i="30"/>
  <c r="L181" i="30"/>
  <c r="M181" i="30"/>
  <c r="N181" i="30"/>
  <c r="O181" i="30"/>
  <c r="P181" i="30"/>
  <c r="Q181" i="30"/>
  <c r="R181" i="30"/>
  <c r="S181" i="30"/>
  <c r="T181" i="30"/>
  <c r="U181" i="30"/>
  <c r="V181" i="30"/>
  <c r="W181" i="30"/>
  <c r="X181" i="30"/>
  <c r="Y181" i="30"/>
  <c r="Z181" i="30"/>
  <c r="AA181" i="30"/>
  <c r="AB181" i="30"/>
  <c r="AC181" i="30"/>
  <c r="AD181" i="30"/>
  <c r="AE181" i="30"/>
  <c r="AF181" i="30"/>
  <c r="AG181" i="30"/>
  <c r="AH181" i="30"/>
  <c r="AI181" i="30"/>
  <c r="AJ181" i="30"/>
  <c r="AK181" i="30"/>
  <c r="AL181" i="30"/>
  <c r="AM181" i="30"/>
  <c r="AN181" i="30"/>
  <c r="AO181" i="30"/>
  <c r="AP181" i="30"/>
  <c r="AQ181" i="30"/>
  <c r="AR181" i="30"/>
  <c r="AS181" i="30"/>
  <c r="AT181" i="30"/>
  <c r="AU181" i="30"/>
  <c r="AV181" i="30"/>
  <c r="AW181" i="30"/>
  <c r="AX181" i="30"/>
  <c r="AY181" i="30"/>
  <c r="AZ181" i="30"/>
  <c r="BA181" i="30"/>
  <c r="BB181" i="30"/>
  <c r="BC181" i="30"/>
  <c r="BD181" i="30"/>
  <c r="BE181" i="30"/>
  <c r="BF181" i="30"/>
  <c r="BG181" i="30"/>
  <c r="BH181" i="30"/>
  <c r="BI181" i="30"/>
  <c r="BJ181" i="30"/>
  <c r="BK181" i="30"/>
  <c r="BL181" i="30"/>
  <c r="BM181" i="30"/>
  <c r="BN181" i="30"/>
  <c r="BO181" i="30"/>
  <c r="BP181" i="30"/>
  <c r="BQ181" i="30"/>
  <c r="BR181" i="30"/>
  <c r="BS181" i="30"/>
  <c r="BT181" i="30"/>
  <c r="BU181" i="30"/>
  <c r="BV181" i="30"/>
  <c r="BW181" i="30"/>
  <c r="BX181" i="30"/>
  <c r="BY181" i="30"/>
  <c r="BZ181" i="30"/>
  <c r="CA181" i="30"/>
  <c r="CB181" i="30"/>
  <c r="CC181" i="30"/>
  <c r="CD181" i="30"/>
  <c r="CE181" i="30"/>
  <c r="CF181" i="30"/>
  <c r="CG181" i="30"/>
  <c r="CH181" i="30"/>
  <c r="CI181" i="30"/>
  <c r="CJ181" i="30"/>
  <c r="CK181" i="30"/>
  <c r="CL181" i="30"/>
  <c r="CM181" i="30"/>
  <c r="CN181" i="30"/>
  <c r="CO181" i="30"/>
  <c r="CP181" i="30"/>
  <c r="CQ181" i="30"/>
  <c r="CR181" i="30"/>
  <c r="CS181" i="30"/>
  <c r="CT181" i="30"/>
  <c r="CU181" i="30"/>
  <c r="CV181" i="30"/>
  <c r="CW181" i="30"/>
  <c r="CX181" i="30"/>
  <c r="CY181" i="30"/>
  <c r="CZ181" i="30"/>
  <c r="DA181" i="30"/>
  <c r="DB181" i="30"/>
  <c r="DC181" i="30"/>
  <c r="DD181" i="30"/>
  <c r="DE181" i="30"/>
  <c r="DF181" i="30"/>
  <c r="DG181" i="30"/>
  <c r="DH181" i="30"/>
  <c r="DI181" i="30"/>
  <c r="DJ181" i="30"/>
  <c r="DK181" i="30"/>
  <c r="DL181" i="30"/>
  <c r="DM181" i="30"/>
  <c r="DN181" i="30"/>
  <c r="DO181" i="30"/>
  <c r="DP181" i="30"/>
  <c r="DQ181" i="30"/>
  <c r="DR181" i="30"/>
  <c r="DS181" i="30"/>
  <c r="DT181" i="30"/>
  <c r="DU181" i="30"/>
  <c r="DV181" i="30"/>
  <c r="DW181" i="30"/>
  <c r="DX181" i="30"/>
  <c r="DY181" i="30"/>
  <c r="DZ181" i="30"/>
  <c r="EA181" i="30"/>
  <c r="EB181" i="30"/>
  <c r="EC181" i="30"/>
  <c r="ED181" i="30"/>
  <c r="EE181" i="30"/>
  <c r="EF181" i="30"/>
  <c r="EG181" i="30"/>
  <c r="EH181" i="30"/>
  <c r="EI181" i="30"/>
  <c r="EJ181" i="30"/>
  <c r="EK181" i="30"/>
  <c r="EL181" i="30"/>
  <c r="EM181" i="30"/>
  <c r="EN181" i="30"/>
  <c r="EO181" i="30"/>
  <c r="EP181" i="30"/>
  <c r="EQ181" i="30"/>
  <c r="ER181" i="30"/>
  <c r="ES181" i="30"/>
  <c r="ET181" i="30"/>
  <c r="EU181" i="30"/>
  <c r="EV181" i="30"/>
  <c r="EW181" i="30"/>
  <c r="EX181" i="30"/>
  <c r="EY181" i="30"/>
  <c r="EZ181" i="30"/>
  <c r="FA181" i="30"/>
  <c r="FB181" i="30"/>
  <c r="FC181" i="30"/>
  <c r="FD181" i="30"/>
  <c r="FE181" i="30"/>
  <c r="FF181" i="30"/>
  <c r="FG181" i="30"/>
  <c r="FH181" i="30"/>
  <c r="FI181" i="30"/>
  <c r="FJ181" i="30"/>
  <c r="FK181" i="30"/>
  <c r="FL181" i="30"/>
  <c r="FM181" i="30"/>
  <c r="FN181" i="30"/>
  <c r="FO181" i="30"/>
  <c r="FP181" i="30"/>
  <c r="FQ181" i="30"/>
  <c r="FR181" i="30"/>
  <c r="FS181" i="30"/>
  <c r="FT181" i="30"/>
  <c r="FU181" i="30"/>
  <c r="FV181" i="30"/>
  <c r="FW181" i="30"/>
  <c r="FX181" i="30"/>
  <c r="FY181" i="30"/>
  <c r="FZ181" i="30"/>
  <c r="GA181" i="30"/>
  <c r="GB181" i="30"/>
  <c r="GC181" i="30"/>
  <c r="GD181" i="30"/>
  <c r="GE181" i="30"/>
  <c r="GF181" i="30"/>
  <c r="GG181" i="30"/>
  <c r="GH181" i="30"/>
  <c r="GI181" i="30"/>
  <c r="GJ181" i="30"/>
  <c r="GK181" i="30"/>
  <c r="GL181" i="30"/>
  <c r="GM181" i="30"/>
  <c r="GN181" i="30"/>
  <c r="GO181" i="30"/>
  <c r="GP181" i="30"/>
  <c r="GQ181" i="30"/>
  <c r="GR181" i="30"/>
  <c r="GS181" i="30"/>
  <c r="GT181" i="30"/>
  <c r="GU181" i="30"/>
  <c r="GV181" i="30"/>
  <c r="GW181" i="30"/>
  <c r="GX181" i="30"/>
  <c r="GY181" i="30"/>
  <c r="GZ181" i="30"/>
  <c r="HA181" i="30"/>
  <c r="HB181" i="30"/>
  <c r="HC181" i="30"/>
  <c r="HD181" i="30"/>
  <c r="HE181" i="30"/>
  <c r="HF181" i="30"/>
  <c r="HG181" i="30"/>
  <c r="HH181" i="30"/>
  <c r="HI181" i="30"/>
  <c r="HJ181" i="30"/>
  <c r="HK181" i="30"/>
  <c r="HL181" i="30"/>
  <c r="HM181" i="30"/>
  <c r="HN181" i="30"/>
  <c r="HO181" i="30"/>
  <c r="HP181" i="30"/>
  <c r="HQ181" i="30"/>
  <c r="HR181" i="30"/>
  <c r="HS181" i="30"/>
  <c r="HT181" i="30"/>
  <c r="HU181" i="30"/>
  <c r="HV181" i="30"/>
  <c r="HW181" i="30"/>
  <c r="HX181" i="30"/>
  <c r="HY181" i="30"/>
  <c r="HZ181" i="30"/>
  <c r="IA181" i="30"/>
  <c r="IB181" i="30"/>
  <c r="IC181" i="30"/>
  <c r="ID181" i="30"/>
  <c r="IE181" i="30"/>
  <c r="IF181" i="30"/>
  <c r="IG181" i="30"/>
  <c r="IH181" i="30"/>
  <c r="II181" i="30"/>
  <c r="IJ181" i="30"/>
  <c r="IK181" i="30"/>
  <c r="IL181" i="30"/>
  <c r="IM181" i="30"/>
  <c r="IN181" i="30"/>
  <c r="IO181" i="30"/>
  <c r="IP181" i="30"/>
  <c r="IQ181" i="30"/>
  <c r="IR181" i="30"/>
  <c r="IS181" i="30"/>
  <c r="IT181" i="30"/>
  <c r="IU181" i="30"/>
  <c r="IV181" i="30"/>
  <c r="A180" i="30"/>
  <c r="B180" i="30"/>
  <c r="C180" i="30"/>
  <c r="D180" i="30"/>
  <c r="E180" i="30"/>
  <c r="F180" i="30"/>
  <c r="G180" i="30"/>
  <c r="H180" i="30"/>
  <c r="I180" i="30"/>
  <c r="J180" i="30"/>
  <c r="K180" i="30"/>
  <c r="L180" i="30"/>
  <c r="M180" i="30"/>
  <c r="N180" i="30"/>
  <c r="O180" i="30"/>
  <c r="P180" i="30"/>
  <c r="Q180" i="30"/>
  <c r="R180" i="30"/>
  <c r="S180" i="30"/>
  <c r="T180" i="30"/>
  <c r="U180" i="30"/>
  <c r="V180" i="30"/>
  <c r="W180" i="30"/>
  <c r="X180" i="30"/>
  <c r="Y180" i="30"/>
  <c r="Z180" i="30"/>
  <c r="AA180" i="30"/>
  <c r="AB180" i="30"/>
  <c r="AC180" i="30"/>
  <c r="AD180" i="30"/>
  <c r="AE180" i="30"/>
  <c r="AF180" i="30"/>
  <c r="AG180" i="30"/>
  <c r="AH180" i="30"/>
  <c r="AI180" i="30"/>
  <c r="AJ180" i="30"/>
  <c r="AK180" i="30"/>
  <c r="AL180" i="30"/>
  <c r="AM180" i="30"/>
  <c r="AN180" i="30"/>
  <c r="AO180" i="30"/>
  <c r="AP180" i="30"/>
  <c r="AQ180" i="30"/>
  <c r="AR180" i="30"/>
  <c r="AS180" i="30"/>
  <c r="AT180" i="30"/>
  <c r="AU180" i="30"/>
  <c r="AV180" i="30"/>
  <c r="AW180" i="30"/>
  <c r="AX180" i="30"/>
  <c r="AY180" i="30"/>
  <c r="AZ180" i="30"/>
  <c r="BA180" i="30"/>
  <c r="BB180" i="30"/>
  <c r="BC180" i="30"/>
  <c r="BD180" i="30"/>
  <c r="BE180" i="30"/>
  <c r="BF180" i="30"/>
  <c r="BG180" i="30"/>
  <c r="BH180" i="30"/>
  <c r="BI180" i="30"/>
  <c r="BJ180" i="30"/>
  <c r="BK180" i="30"/>
  <c r="BL180" i="30"/>
  <c r="BM180" i="30"/>
  <c r="BN180" i="30"/>
  <c r="BO180" i="30"/>
  <c r="BP180" i="30"/>
  <c r="BQ180" i="30"/>
  <c r="BR180" i="30"/>
  <c r="BS180" i="30"/>
  <c r="BT180" i="30"/>
  <c r="BU180" i="30"/>
  <c r="BV180" i="30"/>
  <c r="BW180" i="30"/>
  <c r="BX180" i="30"/>
  <c r="BY180" i="30"/>
  <c r="BZ180" i="30"/>
  <c r="CA180" i="30"/>
  <c r="CB180" i="30"/>
  <c r="CC180" i="30"/>
  <c r="CD180" i="30"/>
  <c r="CE180" i="30"/>
  <c r="CF180" i="30"/>
  <c r="CG180" i="30"/>
  <c r="CH180" i="30"/>
  <c r="CI180" i="30"/>
  <c r="CJ180" i="30"/>
  <c r="CK180" i="30"/>
  <c r="CL180" i="30"/>
  <c r="CM180" i="30"/>
  <c r="CN180" i="30"/>
  <c r="CO180" i="30"/>
  <c r="CP180" i="30"/>
  <c r="CQ180" i="30"/>
  <c r="CR180" i="30"/>
  <c r="CS180" i="30"/>
  <c r="CT180" i="30"/>
  <c r="CU180" i="30"/>
  <c r="CV180" i="30"/>
  <c r="CW180" i="30"/>
  <c r="CX180" i="30"/>
  <c r="CY180" i="30"/>
  <c r="CZ180" i="30"/>
  <c r="DA180" i="30"/>
  <c r="DB180" i="30"/>
  <c r="DC180" i="30"/>
  <c r="DD180" i="30"/>
  <c r="DE180" i="30"/>
  <c r="DF180" i="30"/>
  <c r="DG180" i="30"/>
  <c r="DH180" i="30"/>
  <c r="DI180" i="30"/>
  <c r="DJ180" i="30"/>
  <c r="DK180" i="30"/>
  <c r="DL180" i="30"/>
  <c r="DM180" i="30"/>
  <c r="DN180" i="30"/>
  <c r="DO180" i="30"/>
  <c r="DP180" i="30"/>
  <c r="DQ180" i="30"/>
  <c r="DR180" i="30"/>
  <c r="DS180" i="30"/>
  <c r="DT180" i="30"/>
  <c r="DU180" i="30"/>
  <c r="DV180" i="30"/>
  <c r="DW180" i="30"/>
  <c r="DX180" i="30"/>
  <c r="DY180" i="30"/>
  <c r="DZ180" i="30"/>
  <c r="EA180" i="30"/>
  <c r="EB180" i="30"/>
  <c r="EC180" i="30"/>
  <c r="ED180" i="30"/>
  <c r="EE180" i="30"/>
  <c r="EF180" i="30"/>
  <c r="EG180" i="30"/>
  <c r="EH180" i="30"/>
  <c r="EI180" i="30"/>
  <c r="EJ180" i="30"/>
  <c r="EK180" i="30"/>
  <c r="EL180" i="30"/>
  <c r="EM180" i="30"/>
  <c r="EN180" i="30"/>
  <c r="EO180" i="30"/>
  <c r="EP180" i="30"/>
  <c r="EQ180" i="30"/>
  <c r="ER180" i="30"/>
  <c r="ES180" i="30"/>
  <c r="ET180" i="30"/>
  <c r="EU180" i="30"/>
  <c r="EV180" i="30"/>
  <c r="EW180" i="30"/>
  <c r="EX180" i="30"/>
  <c r="EY180" i="30"/>
  <c r="EZ180" i="30"/>
  <c r="FA180" i="30"/>
  <c r="FB180" i="30"/>
  <c r="FC180" i="30"/>
  <c r="FD180" i="30"/>
  <c r="FE180" i="30"/>
  <c r="FF180" i="30"/>
  <c r="FG180" i="30"/>
  <c r="FH180" i="30"/>
  <c r="FI180" i="30"/>
  <c r="FJ180" i="30"/>
  <c r="FK180" i="30"/>
  <c r="FL180" i="30"/>
  <c r="FM180" i="30"/>
  <c r="FN180" i="30"/>
  <c r="FO180" i="30"/>
  <c r="FP180" i="30"/>
  <c r="FQ180" i="30"/>
  <c r="FR180" i="30"/>
  <c r="FS180" i="30"/>
  <c r="FT180" i="30"/>
  <c r="FU180" i="30"/>
  <c r="FV180" i="30"/>
  <c r="FW180" i="30"/>
  <c r="FX180" i="30"/>
  <c r="FY180" i="30"/>
  <c r="FZ180" i="30"/>
  <c r="GA180" i="30"/>
  <c r="GB180" i="30"/>
  <c r="GC180" i="30"/>
  <c r="GD180" i="30"/>
  <c r="GE180" i="30"/>
  <c r="GF180" i="30"/>
  <c r="GG180" i="30"/>
  <c r="GH180" i="30"/>
  <c r="GI180" i="30"/>
  <c r="GJ180" i="30"/>
  <c r="GK180" i="30"/>
  <c r="GL180" i="30"/>
  <c r="GM180" i="30"/>
  <c r="GN180" i="30"/>
  <c r="GO180" i="30"/>
  <c r="GP180" i="30"/>
  <c r="GQ180" i="30"/>
  <c r="GR180" i="30"/>
  <c r="GS180" i="30"/>
  <c r="GT180" i="30"/>
  <c r="GU180" i="30"/>
  <c r="GV180" i="30"/>
  <c r="GW180" i="30"/>
  <c r="GX180" i="30"/>
  <c r="GY180" i="30"/>
  <c r="GZ180" i="30"/>
  <c r="HA180" i="30"/>
  <c r="HB180" i="30"/>
  <c r="HC180" i="30"/>
  <c r="HD180" i="30"/>
  <c r="HE180" i="30"/>
  <c r="HF180" i="30"/>
  <c r="HG180" i="30"/>
  <c r="HH180" i="30"/>
  <c r="HI180" i="30"/>
  <c r="HJ180" i="30"/>
  <c r="HK180" i="30"/>
  <c r="HL180" i="30"/>
  <c r="HM180" i="30"/>
  <c r="HN180" i="30"/>
  <c r="HO180" i="30"/>
  <c r="HP180" i="30"/>
  <c r="HQ180" i="30"/>
  <c r="HR180" i="30"/>
  <c r="HS180" i="30"/>
  <c r="HT180" i="30"/>
  <c r="HU180" i="30"/>
  <c r="HV180" i="30"/>
  <c r="HW180" i="30"/>
  <c r="HX180" i="30"/>
  <c r="HY180" i="30"/>
  <c r="HZ180" i="30"/>
  <c r="IA180" i="30"/>
  <c r="IB180" i="30"/>
  <c r="IC180" i="30"/>
  <c r="ID180" i="30"/>
  <c r="IE180" i="30"/>
  <c r="IF180" i="30"/>
  <c r="IG180" i="30"/>
  <c r="IH180" i="30"/>
  <c r="II180" i="30"/>
  <c r="IJ180" i="30"/>
  <c r="IK180" i="30"/>
  <c r="IL180" i="30"/>
  <c r="IM180" i="30"/>
  <c r="IN180" i="30"/>
  <c r="IO180" i="30"/>
  <c r="IP180" i="30"/>
  <c r="IQ180" i="30"/>
  <c r="IR180" i="30"/>
  <c r="IS180" i="30"/>
  <c r="IT180" i="30"/>
  <c r="IU180" i="30"/>
  <c r="IV180" i="30"/>
  <c r="A179" i="30"/>
  <c r="B179" i="30"/>
  <c r="C179" i="30"/>
  <c r="D179" i="30"/>
  <c r="E179" i="30"/>
  <c r="F179" i="30"/>
  <c r="G179" i="30"/>
  <c r="H179" i="30"/>
  <c r="I179" i="30"/>
  <c r="J179" i="30"/>
  <c r="K179" i="30"/>
  <c r="L179" i="30"/>
  <c r="M179" i="30"/>
  <c r="N179" i="30"/>
  <c r="O179" i="30"/>
  <c r="P179" i="30"/>
  <c r="Q179" i="30"/>
  <c r="R179" i="30"/>
  <c r="S179" i="30"/>
  <c r="T179" i="30"/>
  <c r="U179" i="30"/>
  <c r="V179" i="30"/>
  <c r="W179" i="30"/>
  <c r="X179" i="30"/>
  <c r="Y179" i="30"/>
  <c r="Z179" i="30"/>
  <c r="AA179" i="30"/>
  <c r="AB179" i="30"/>
  <c r="AC179" i="30"/>
  <c r="AD179" i="30"/>
  <c r="AE179" i="30"/>
  <c r="AF179" i="30"/>
  <c r="AG179" i="30"/>
  <c r="AH179" i="30"/>
  <c r="AI179" i="30"/>
  <c r="AJ179" i="30"/>
  <c r="AK179" i="30"/>
  <c r="AL179" i="30"/>
  <c r="AM179" i="30"/>
  <c r="AN179" i="30"/>
  <c r="AO179" i="30"/>
  <c r="AP179" i="30"/>
  <c r="AQ179" i="30"/>
  <c r="AR179" i="30"/>
  <c r="AS179" i="30"/>
  <c r="AT179" i="30"/>
  <c r="AU179" i="30"/>
  <c r="AV179" i="30"/>
  <c r="AW179" i="30"/>
  <c r="AX179" i="30"/>
  <c r="AY179" i="30"/>
  <c r="AZ179" i="30"/>
  <c r="BA179" i="30"/>
  <c r="BB179" i="30"/>
  <c r="BC179" i="30"/>
  <c r="BD179" i="30"/>
  <c r="BE179" i="30"/>
  <c r="BF179" i="30"/>
  <c r="BG179" i="30"/>
  <c r="BH179" i="30"/>
  <c r="BI179" i="30"/>
  <c r="BJ179" i="30"/>
  <c r="BK179" i="30"/>
  <c r="BL179" i="30"/>
  <c r="BM179" i="30"/>
  <c r="BN179" i="30"/>
  <c r="BO179" i="30"/>
  <c r="BP179" i="30"/>
  <c r="BQ179" i="30"/>
  <c r="BR179" i="30"/>
  <c r="BS179" i="30"/>
  <c r="BT179" i="30"/>
  <c r="BU179" i="30"/>
  <c r="BV179" i="30"/>
  <c r="BW179" i="30"/>
  <c r="BX179" i="30"/>
  <c r="BY179" i="30"/>
  <c r="BZ179" i="30"/>
  <c r="CA179" i="30"/>
  <c r="CB179" i="30"/>
  <c r="CC179" i="30"/>
  <c r="CD179" i="30"/>
  <c r="CE179" i="30"/>
  <c r="CF179" i="30"/>
  <c r="CG179" i="30"/>
  <c r="CH179" i="30"/>
  <c r="CI179" i="30"/>
  <c r="CJ179" i="30"/>
  <c r="CK179" i="30"/>
  <c r="CL179" i="30"/>
  <c r="CM179" i="30"/>
  <c r="CN179" i="30"/>
  <c r="CO179" i="30"/>
  <c r="CP179" i="30"/>
  <c r="CQ179" i="30"/>
  <c r="CR179" i="30"/>
  <c r="CS179" i="30"/>
  <c r="CT179" i="30"/>
  <c r="CU179" i="30"/>
  <c r="CV179" i="30"/>
  <c r="CW179" i="30"/>
  <c r="CX179" i="30"/>
  <c r="CY179" i="30"/>
  <c r="CZ179" i="30"/>
  <c r="DA179" i="30"/>
  <c r="DB179" i="30"/>
  <c r="DC179" i="30"/>
  <c r="DD179" i="30"/>
  <c r="DE179" i="30"/>
  <c r="DF179" i="30"/>
  <c r="DG179" i="30"/>
  <c r="DH179" i="30"/>
  <c r="DI179" i="30"/>
  <c r="DJ179" i="30"/>
  <c r="DK179" i="30"/>
  <c r="DL179" i="30"/>
  <c r="DM179" i="30"/>
  <c r="DN179" i="30"/>
  <c r="DO179" i="30"/>
  <c r="DP179" i="30"/>
  <c r="DQ179" i="30"/>
  <c r="DR179" i="30"/>
  <c r="DS179" i="30"/>
  <c r="DT179" i="30"/>
  <c r="DU179" i="30"/>
  <c r="DV179" i="30"/>
  <c r="DW179" i="30"/>
  <c r="DX179" i="30"/>
  <c r="DY179" i="30"/>
  <c r="DZ179" i="30"/>
  <c r="EA179" i="30"/>
  <c r="EB179" i="30"/>
  <c r="EC179" i="30"/>
  <c r="ED179" i="30"/>
  <c r="EE179" i="30"/>
  <c r="EF179" i="30"/>
  <c r="EG179" i="30"/>
  <c r="EH179" i="30"/>
  <c r="EI179" i="30"/>
  <c r="EJ179" i="30"/>
  <c r="EK179" i="30"/>
  <c r="EL179" i="30"/>
  <c r="EM179" i="30"/>
  <c r="EN179" i="30"/>
  <c r="EO179" i="30"/>
  <c r="EP179" i="30"/>
  <c r="EQ179" i="30"/>
  <c r="ER179" i="30"/>
  <c r="ES179" i="30"/>
  <c r="ET179" i="30"/>
  <c r="EU179" i="30"/>
  <c r="EV179" i="30"/>
  <c r="EW179" i="30"/>
  <c r="EX179" i="30"/>
  <c r="EY179" i="30"/>
  <c r="EZ179" i="30"/>
  <c r="FA179" i="30"/>
  <c r="FB179" i="30"/>
  <c r="FC179" i="30"/>
  <c r="FD179" i="30"/>
  <c r="FE179" i="30"/>
  <c r="FF179" i="30"/>
  <c r="FG179" i="30"/>
  <c r="FH179" i="30"/>
  <c r="FI179" i="30"/>
  <c r="FJ179" i="30"/>
  <c r="FK179" i="30"/>
  <c r="FL179" i="30"/>
  <c r="FM179" i="30"/>
  <c r="FN179" i="30"/>
  <c r="FO179" i="30"/>
  <c r="FP179" i="30"/>
  <c r="FQ179" i="30"/>
  <c r="FR179" i="30"/>
  <c r="FS179" i="30"/>
  <c r="FT179" i="30"/>
  <c r="FU179" i="30"/>
  <c r="FV179" i="30"/>
  <c r="FW179" i="30"/>
  <c r="FX179" i="30"/>
  <c r="FY179" i="30"/>
  <c r="FZ179" i="30"/>
  <c r="GA179" i="30"/>
  <c r="GB179" i="30"/>
  <c r="GC179" i="30"/>
  <c r="GD179" i="30"/>
  <c r="GE179" i="30"/>
  <c r="GF179" i="30"/>
  <c r="GG179" i="30"/>
  <c r="GH179" i="30"/>
  <c r="GI179" i="30"/>
  <c r="GJ179" i="30"/>
  <c r="GK179" i="30"/>
  <c r="GL179" i="30"/>
  <c r="GM179" i="30"/>
  <c r="GN179" i="30"/>
  <c r="GO179" i="30"/>
  <c r="GP179" i="30"/>
  <c r="GQ179" i="30"/>
  <c r="GR179" i="30"/>
  <c r="GS179" i="30"/>
  <c r="GT179" i="30"/>
  <c r="GU179" i="30"/>
  <c r="GV179" i="30"/>
  <c r="GW179" i="30"/>
  <c r="GX179" i="30"/>
  <c r="GY179" i="30"/>
  <c r="GZ179" i="30"/>
  <c r="HA179" i="30"/>
  <c r="HB179" i="30"/>
  <c r="HC179" i="30"/>
  <c r="HD179" i="30"/>
  <c r="HE179" i="30"/>
  <c r="HF179" i="30"/>
  <c r="HG179" i="30"/>
  <c r="HH179" i="30"/>
  <c r="HI179" i="30"/>
  <c r="HJ179" i="30"/>
  <c r="HK179" i="30"/>
  <c r="HL179" i="30"/>
  <c r="HM179" i="30"/>
  <c r="HN179" i="30"/>
  <c r="HO179" i="30"/>
  <c r="HP179" i="30"/>
  <c r="HQ179" i="30"/>
  <c r="HR179" i="30"/>
  <c r="HS179" i="30"/>
  <c r="HT179" i="30"/>
  <c r="HU179" i="30"/>
  <c r="HV179" i="30"/>
  <c r="HW179" i="30"/>
  <c r="HX179" i="30"/>
  <c r="HY179" i="30"/>
  <c r="HZ179" i="30"/>
  <c r="IA179" i="30"/>
  <c r="IB179" i="30"/>
  <c r="IC179" i="30"/>
  <c r="ID179" i="30"/>
  <c r="IE179" i="30"/>
  <c r="IF179" i="30"/>
  <c r="IG179" i="30"/>
  <c r="IH179" i="30"/>
  <c r="II179" i="30"/>
  <c r="IJ179" i="30"/>
  <c r="IK179" i="30"/>
  <c r="IL179" i="30"/>
  <c r="IM179" i="30"/>
  <c r="IN179" i="30"/>
  <c r="IO179" i="30"/>
  <c r="IP179" i="30"/>
  <c r="IQ179" i="30"/>
  <c r="IR179" i="30"/>
  <c r="IS179" i="30"/>
  <c r="IT179" i="30"/>
  <c r="IU179" i="30"/>
  <c r="IV179" i="30"/>
  <c r="A178" i="30"/>
  <c r="B178" i="30"/>
  <c r="C178" i="30"/>
  <c r="D178" i="30"/>
  <c r="E178" i="30"/>
  <c r="F178" i="30"/>
  <c r="G178" i="30"/>
  <c r="H178" i="30"/>
  <c r="I178" i="30"/>
  <c r="J178" i="30"/>
  <c r="K178" i="30"/>
  <c r="L178" i="30"/>
  <c r="M178" i="30"/>
  <c r="N178" i="30"/>
  <c r="O178" i="30"/>
  <c r="P178" i="30"/>
  <c r="Q178" i="30"/>
  <c r="R178" i="30"/>
  <c r="S178" i="30"/>
  <c r="T178" i="30"/>
  <c r="U178" i="30"/>
  <c r="V178" i="30"/>
  <c r="W178" i="30"/>
  <c r="X178" i="30"/>
  <c r="Y178" i="30"/>
  <c r="Z178" i="30"/>
  <c r="AA178" i="30"/>
  <c r="AB178" i="30"/>
  <c r="AC178" i="30"/>
  <c r="AD178" i="30"/>
  <c r="AE178" i="30"/>
  <c r="AF178" i="30"/>
  <c r="AG178" i="30"/>
  <c r="AH178" i="30"/>
  <c r="AI178" i="30"/>
  <c r="AJ178" i="30"/>
  <c r="AK178" i="30"/>
  <c r="AL178" i="30"/>
  <c r="AM178" i="30"/>
  <c r="AN178" i="30"/>
  <c r="AO178" i="30"/>
  <c r="AP178" i="30"/>
  <c r="AQ178" i="30"/>
  <c r="AR178" i="30"/>
  <c r="AS178" i="30"/>
  <c r="AT178" i="30"/>
  <c r="AU178" i="30"/>
  <c r="AV178" i="30"/>
  <c r="AW178" i="30"/>
  <c r="AX178" i="30"/>
  <c r="AY178" i="30"/>
  <c r="AZ178" i="30"/>
  <c r="BA178" i="30"/>
  <c r="BB178" i="30"/>
  <c r="BC178" i="30"/>
  <c r="BD178" i="30"/>
  <c r="BE178" i="30"/>
  <c r="BF178" i="30"/>
  <c r="BG178" i="30"/>
  <c r="BH178" i="30"/>
  <c r="BI178" i="30"/>
  <c r="BJ178" i="30"/>
  <c r="BK178" i="30"/>
  <c r="BL178" i="30"/>
  <c r="BM178" i="30"/>
  <c r="BN178" i="30"/>
  <c r="BO178" i="30"/>
  <c r="BP178" i="30"/>
  <c r="BQ178" i="30"/>
  <c r="BR178" i="30"/>
  <c r="BS178" i="30"/>
  <c r="BT178" i="30"/>
  <c r="BU178" i="30"/>
  <c r="BV178" i="30"/>
  <c r="BW178" i="30"/>
  <c r="BX178" i="30"/>
  <c r="BY178" i="30"/>
  <c r="BZ178" i="30"/>
  <c r="CA178" i="30"/>
  <c r="CB178" i="30"/>
  <c r="CC178" i="30"/>
  <c r="CD178" i="30"/>
  <c r="CE178" i="30"/>
  <c r="CF178" i="30"/>
  <c r="CG178" i="30"/>
  <c r="CH178" i="30"/>
  <c r="CI178" i="30"/>
  <c r="CJ178" i="30"/>
  <c r="CK178" i="30"/>
  <c r="CL178" i="30"/>
  <c r="CM178" i="30"/>
  <c r="CN178" i="30"/>
  <c r="CO178" i="30"/>
  <c r="CP178" i="30"/>
  <c r="CQ178" i="30"/>
  <c r="CR178" i="30"/>
  <c r="CS178" i="30"/>
  <c r="CT178" i="30"/>
  <c r="CU178" i="30"/>
  <c r="CV178" i="30"/>
  <c r="CW178" i="30"/>
  <c r="CX178" i="30"/>
  <c r="CY178" i="30"/>
  <c r="CZ178" i="30"/>
  <c r="DA178" i="30"/>
  <c r="DB178" i="30"/>
  <c r="DC178" i="30"/>
  <c r="DD178" i="30"/>
  <c r="DE178" i="30"/>
  <c r="DF178" i="30"/>
  <c r="DG178" i="30"/>
  <c r="DH178" i="30"/>
  <c r="DI178" i="30"/>
  <c r="DJ178" i="30"/>
  <c r="DK178" i="30"/>
  <c r="DL178" i="30"/>
  <c r="DM178" i="30"/>
  <c r="DN178" i="30"/>
  <c r="DO178" i="30"/>
  <c r="DP178" i="30"/>
  <c r="DQ178" i="30"/>
  <c r="DR178" i="30"/>
  <c r="DS178" i="30"/>
  <c r="DT178" i="30"/>
  <c r="DU178" i="30"/>
  <c r="DV178" i="30"/>
  <c r="DW178" i="30"/>
  <c r="DX178" i="30"/>
  <c r="DY178" i="30"/>
  <c r="DZ178" i="30"/>
  <c r="EA178" i="30"/>
  <c r="EB178" i="30"/>
  <c r="EC178" i="30"/>
  <c r="ED178" i="30"/>
  <c r="EE178" i="30"/>
  <c r="EF178" i="30"/>
  <c r="EG178" i="30"/>
  <c r="EH178" i="30"/>
  <c r="EI178" i="30"/>
  <c r="EJ178" i="30"/>
  <c r="EK178" i="30"/>
  <c r="EL178" i="30"/>
  <c r="EM178" i="30"/>
  <c r="EN178" i="30"/>
  <c r="EO178" i="30"/>
  <c r="EP178" i="30"/>
  <c r="EQ178" i="30"/>
  <c r="ER178" i="30"/>
  <c r="ES178" i="30"/>
  <c r="ET178" i="30"/>
  <c r="EU178" i="30"/>
  <c r="EV178" i="30"/>
  <c r="EW178" i="30"/>
  <c r="EX178" i="30"/>
  <c r="EY178" i="30"/>
  <c r="EZ178" i="30"/>
  <c r="FA178" i="30"/>
  <c r="FB178" i="30"/>
  <c r="FC178" i="30"/>
  <c r="FD178" i="30"/>
  <c r="FE178" i="30"/>
  <c r="FF178" i="30"/>
  <c r="FG178" i="30"/>
  <c r="FH178" i="30"/>
  <c r="FI178" i="30"/>
  <c r="FJ178" i="30"/>
  <c r="FK178" i="30"/>
  <c r="FL178" i="30"/>
  <c r="FM178" i="30"/>
  <c r="FN178" i="30"/>
  <c r="FO178" i="30"/>
  <c r="FP178" i="30"/>
  <c r="FQ178" i="30"/>
  <c r="FR178" i="30"/>
  <c r="FS178" i="30"/>
  <c r="FT178" i="30"/>
  <c r="FU178" i="30"/>
  <c r="FV178" i="30"/>
  <c r="FW178" i="30"/>
  <c r="FX178" i="30"/>
  <c r="FY178" i="30"/>
  <c r="FZ178" i="30"/>
  <c r="GA178" i="30"/>
  <c r="GB178" i="30"/>
  <c r="GC178" i="30"/>
  <c r="GD178" i="30"/>
  <c r="GE178" i="30"/>
  <c r="GF178" i="30"/>
  <c r="GG178" i="30"/>
  <c r="GH178" i="30"/>
  <c r="GI178" i="30"/>
  <c r="GJ178" i="30"/>
  <c r="GK178" i="30"/>
  <c r="GL178" i="30"/>
  <c r="GM178" i="30"/>
  <c r="GN178" i="30"/>
  <c r="GO178" i="30"/>
  <c r="GP178" i="30"/>
  <c r="GQ178" i="30"/>
  <c r="GR178" i="30"/>
  <c r="GS178" i="30"/>
  <c r="GT178" i="30"/>
  <c r="GU178" i="30"/>
  <c r="GV178" i="30"/>
  <c r="GW178" i="30"/>
  <c r="GX178" i="30"/>
  <c r="GY178" i="30"/>
  <c r="GZ178" i="30"/>
  <c r="HA178" i="30"/>
  <c r="HB178" i="30"/>
  <c r="HC178" i="30"/>
  <c r="HD178" i="30"/>
  <c r="HE178" i="30"/>
  <c r="HF178" i="30"/>
  <c r="HG178" i="30"/>
  <c r="HH178" i="30"/>
  <c r="HI178" i="30"/>
  <c r="HJ178" i="30"/>
  <c r="HK178" i="30"/>
  <c r="HL178" i="30"/>
  <c r="HM178" i="30"/>
  <c r="HN178" i="30"/>
  <c r="HO178" i="30"/>
  <c r="HP178" i="30"/>
  <c r="HQ178" i="30"/>
  <c r="HR178" i="30"/>
  <c r="HS178" i="30"/>
  <c r="HT178" i="30"/>
  <c r="HU178" i="30"/>
  <c r="HV178" i="30"/>
  <c r="HW178" i="30"/>
  <c r="HX178" i="30"/>
  <c r="HY178" i="30"/>
  <c r="HZ178" i="30"/>
  <c r="IA178" i="30"/>
  <c r="IB178" i="30"/>
  <c r="IC178" i="30"/>
  <c r="ID178" i="30"/>
  <c r="IE178" i="30"/>
  <c r="IF178" i="30"/>
  <c r="IG178" i="30"/>
  <c r="IH178" i="30"/>
  <c r="II178" i="30"/>
  <c r="IJ178" i="30"/>
  <c r="IK178" i="30"/>
  <c r="IL178" i="30"/>
  <c r="IM178" i="30"/>
  <c r="IN178" i="30"/>
  <c r="IO178" i="30"/>
  <c r="IP178" i="30"/>
  <c r="IQ178" i="30"/>
  <c r="IR178" i="30"/>
  <c r="IS178" i="30"/>
  <c r="IT178" i="30"/>
  <c r="IU178" i="30"/>
  <c r="IV178" i="30"/>
  <c r="A177" i="30"/>
  <c r="B177" i="30"/>
  <c r="C177" i="30"/>
  <c r="D177" i="30"/>
  <c r="E177" i="30"/>
  <c r="F177" i="30"/>
  <c r="G177" i="30"/>
  <c r="H177" i="30"/>
  <c r="I177" i="30"/>
  <c r="J177" i="30"/>
  <c r="K177" i="30"/>
  <c r="L177" i="30"/>
  <c r="M177" i="30"/>
  <c r="N177" i="30"/>
  <c r="O177" i="30"/>
  <c r="P177" i="30"/>
  <c r="Q177" i="30"/>
  <c r="R177" i="30"/>
  <c r="S177" i="30"/>
  <c r="T177" i="30"/>
  <c r="U177" i="30"/>
  <c r="V177" i="30"/>
  <c r="W177" i="30"/>
  <c r="X177" i="30"/>
  <c r="Y177" i="30"/>
  <c r="Z177" i="30"/>
  <c r="AA177" i="30"/>
  <c r="AB177" i="30"/>
  <c r="AC177" i="30"/>
  <c r="AD177" i="30"/>
  <c r="AE177" i="30"/>
  <c r="AF177" i="30"/>
  <c r="AG177" i="30"/>
  <c r="AH177" i="30"/>
  <c r="AI177" i="30"/>
  <c r="AJ177" i="30"/>
  <c r="AK177" i="30"/>
  <c r="AL177" i="30"/>
  <c r="AM177" i="30"/>
  <c r="AN177" i="30"/>
  <c r="AO177" i="30"/>
  <c r="AP177" i="30"/>
  <c r="AQ177" i="30"/>
  <c r="AR177" i="30"/>
  <c r="AS177" i="30"/>
  <c r="AT177" i="30"/>
  <c r="AU177" i="30"/>
  <c r="AV177" i="30"/>
  <c r="AW177" i="30"/>
  <c r="AX177" i="30"/>
  <c r="AY177" i="30"/>
  <c r="AZ177" i="30"/>
  <c r="BA177" i="30"/>
  <c r="BB177" i="30"/>
  <c r="BC177" i="30"/>
  <c r="BD177" i="30"/>
  <c r="BE177" i="30"/>
  <c r="BF177" i="30"/>
  <c r="BG177" i="30"/>
  <c r="BH177" i="30"/>
  <c r="BI177" i="30"/>
  <c r="BJ177" i="30"/>
  <c r="BK177" i="30"/>
  <c r="BL177" i="30"/>
  <c r="BM177" i="30"/>
  <c r="BN177" i="30"/>
  <c r="BO177" i="30"/>
  <c r="BP177" i="30"/>
  <c r="BQ177" i="30"/>
  <c r="BR177" i="30"/>
  <c r="BS177" i="30"/>
  <c r="BT177" i="30"/>
  <c r="BU177" i="30"/>
  <c r="BV177" i="30"/>
  <c r="BW177" i="30"/>
  <c r="BX177" i="30"/>
  <c r="BY177" i="30"/>
  <c r="BZ177" i="30"/>
  <c r="CA177" i="30"/>
  <c r="CB177" i="30"/>
  <c r="CC177" i="30"/>
  <c r="CD177" i="30"/>
  <c r="CE177" i="30"/>
  <c r="CF177" i="30"/>
  <c r="CG177" i="30"/>
  <c r="CH177" i="30"/>
  <c r="CI177" i="30"/>
  <c r="CJ177" i="30"/>
  <c r="CK177" i="30"/>
  <c r="CL177" i="30"/>
  <c r="CM177" i="30"/>
  <c r="CN177" i="30"/>
  <c r="CO177" i="30"/>
  <c r="CP177" i="30"/>
  <c r="CQ177" i="30"/>
  <c r="CR177" i="30"/>
  <c r="CS177" i="30"/>
  <c r="CT177" i="30"/>
  <c r="CU177" i="30"/>
  <c r="CV177" i="30"/>
  <c r="CW177" i="30"/>
  <c r="CX177" i="30"/>
  <c r="CY177" i="30"/>
  <c r="CZ177" i="30"/>
  <c r="DA177" i="30"/>
  <c r="DB177" i="30"/>
  <c r="DC177" i="30"/>
  <c r="DD177" i="30"/>
  <c r="DE177" i="30"/>
  <c r="DF177" i="30"/>
  <c r="DG177" i="30"/>
  <c r="DH177" i="30"/>
  <c r="DI177" i="30"/>
  <c r="DJ177" i="30"/>
  <c r="DK177" i="30"/>
  <c r="DL177" i="30"/>
  <c r="DM177" i="30"/>
  <c r="DN177" i="30"/>
  <c r="DO177" i="30"/>
  <c r="DP177" i="30"/>
  <c r="DQ177" i="30"/>
  <c r="DR177" i="30"/>
  <c r="DS177" i="30"/>
  <c r="DT177" i="30"/>
  <c r="DU177" i="30"/>
  <c r="DV177" i="30"/>
  <c r="DW177" i="30"/>
  <c r="DX177" i="30"/>
  <c r="DY177" i="30"/>
  <c r="DZ177" i="30"/>
  <c r="EA177" i="30"/>
  <c r="EB177" i="30"/>
  <c r="EC177" i="30"/>
  <c r="ED177" i="30"/>
  <c r="EE177" i="30"/>
  <c r="EF177" i="30"/>
  <c r="EG177" i="30"/>
  <c r="EH177" i="30"/>
  <c r="EI177" i="30"/>
  <c r="EJ177" i="30"/>
  <c r="EK177" i="30"/>
  <c r="EL177" i="30"/>
  <c r="EM177" i="30"/>
  <c r="EN177" i="30"/>
  <c r="EO177" i="30"/>
  <c r="EP177" i="30"/>
  <c r="EQ177" i="30"/>
  <c r="ER177" i="30"/>
  <c r="ES177" i="30"/>
  <c r="ET177" i="30"/>
  <c r="EU177" i="30"/>
  <c r="EV177" i="30"/>
  <c r="EW177" i="30"/>
  <c r="EX177" i="30"/>
  <c r="EY177" i="30"/>
  <c r="EZ177" i="30"/>
  <c r="FA177" i="30"/>
  <c r="FB177" i="30"/>
  <c r="FC177" i="30"/>
  <c r="FD177" i="30"/>
  <c r="FE177" i="30"/>
  <c r="FF177" i="30"/>
  <c r="FG177" i="30"/>
  <c r="FH177" i="30"/>
  <c r="FI177" i="30"/>
  <c r="FJ177" i="30"/>
  <c r="FK177" i="30"/>
  <c r="FL177" i="30"/>
  <c r="FM177" i="30"/>
  <c r="FN177" i="30"/>
  <c r="FO177" i="30"/>
  <c r="FP177" i="30"/>
  <c r="FQ177" i="30"/>
  <c r="FR177" i="30"/>
  <c r="FS177" i="30"/>
  <c r="FT177" i="30"/>
  <c r="FU177" i="30"/>
  <c r="FV177" i="30"/>
  <c r="FW177" i="30"/>
  <c r="FX177" i="30"/>
  <c r="FY177" i="30"/>
  <c r="FZ177" i="30"/>
  <c r="GA177" i="30"/>
  <c r="GB177" i="30"/>
  <c r="GC177" i="30"/>
  <c r="GD177" i="30"/>
  <c r="GE177" i="30"/>
  <c r="GF177" i="30"/>
  <c r="GG177" i="30"/>
  <c r="GH177" i="30"/>
  <c r="GI177" i="30"/>
  <c r="GJ177" i="30"/>
  <c r="GK177" i="30"/>
  <c r="GL177" i="30"/>
  <c r="GM177" i="30"/>
  <c r="GN177" i="30"/>
  <c r="GO177" i="30"/>
  <c r="GP177" i="30"/>
  <c r="GQ177" i="30"/>
  <c r="GR177" i="30"/>
  <c r="GS177" i="30"/>
  <c r="GT177" i="30"/>
  <c r="GU177" i="30"/>
  <c r="GV177" i="30"/>
  <c r="GW177" i="30"/>
  <c r="GX177" i="30"/>
  <c r="GY177" i="30"/>
  <c r="GZ177" i="30"/>
  <c r="HA177" i="30"/>
  <c r="HB177" i="30"/>
  <c r="HC177" i="30"/>
  <c r="HD177" i="30"/>
  <c r="HE177" i="30"/>
  <c r="HF177" i="30"/>
  <c r="HG177" i="30"/>
  <c r="HH177" i="30"/>
  <c r="HI177" i="30"/>
  <c r="HJ177" i="30"/>
  <c r="HK177" i="30"/>
  <c r="HL177" i="30"/>
  <c r="HM177" i="30"/>
  <c r="HN177" i="30"/>
  <c r="HO177" i="30"/>
  <c r="HP177" i="30"/>
  <c r="HQ177" i="30"/>
  <c r="HR177" i="30"/>
  <c r="HS177" i="30"/>
  <c r="HT177" i="30"/>
  <c r="HU177" i="30"/>
  <c r="HV177" i="30"/>
  <c r="HW177" i="30"/>
  <c r="HX177" i="30"/>
  <c r="HY177" i="30"/>
  <c r="HZ177" i="30"/>
  <c r="IA177" i="30"/>
  <c r="IB177" i="30"/>
  <c r="IC177" i="30"/>
  <c r="ID177" i="30"/>
  <c r="IE177" i="30"/>
  <c r="IF177" i="30"/>
  <c r="IG177" i="30"/>
  <c r="IH177" i="30"/>
  <c r="II177" i="30"/>
  <c r="IJ177" i="30"/>
  <c r="IK177" i="30"/>
  <c r="IL177" i="30"/>
  <c r="IM177" i="30"/>
  <c r="IN177" i="30"/>
  <c r="IO177" i="30"/>
  <c r="IP177" i="30"/>
  <c r="IQ177" i="30"/>
  <c r="IR177" i="30"/>
  <c r="IS177" i="30"/>
  <c r="IT177" i="30"/>
  <c r="IU177" i="30"/>
  <c r="IV177" i="30"/>
  <c r="A176" i="30"/>
  <c r="B176" i="30"/>
  <c r="C176" i="30"/>
  <c r="D176" i="30"/>
  <c r="E176" i="30"/>
  <c r="F176" i="30"/>
  <c r="G176" i="30"/>
  <c r="H176" i="30"/>
  <c r="I176" i="30"/>
  <c r="J176" i="30"/>
  <c r="K176" i="30"/>
  <c r="L176" i="30"/>
  <c r="M176" i="30"/>
  <c r="N176" i="30"/>
  <c r="O176" i="30"/>
  <c r="P176" i="30"/>
  <c r="Q176" i="30"/>
  <c r="R176" i="30"/>
  <c r="S176" i="30"/>
  <c r="T176" i="30"/>
  <c r="U176" i="30"/>
  <c r="V176" i="30"/>
  <c r="W176" i="30"/>
  <c r="X176" i="30"/>
  <c r="Y176" i="30"/>
  <c r="Z176" i="30"/>
  <c r="AA176" i="30"/>
  <c r="AB176" i="30"/>
  <c r="AC176" i="30"/>
  <c r="AD176" i="30"/>
  <c r="AE176" i="30"/>
  <c r="AF176" i="30"/>
  <c r="AG176" i="30"/>
  <c r="AH176" i="30"/>
  <c r="AI176" i="30"/>
  <c r="AJ176" i="30"/>
  <c r="AK176" i="30"/>
  <c r="AL176" i="30"/>
  <c r="AM176" i="30"/>
  <c r="AN176" i="30"/>
  <c r="AO176" i="30"/>
  <c r="AP176" i="30"/>
  <c r="AQ176" i="30"/>
  <c r="AR176" i="30"/>
  <c r="AS176" i="30"/>
  <c r="AT176" i="30"/>
  <c r="AU176" i="30"/>
  <c r="AV176" i="30"/>
  <c r="AW176" i="30"/>
  <c r="AX176" i="30"/>
  <c r="AY176" i="30"/>
  <c r="AZ176" i="30"/>
  <c r="BA176" i="30"/>
  <c r="BB176" i="30"/>
  <c r="BC176" i="30"/>
  <c r="BD176" i="30"/>
  <c r="BE176" i="30"/>
  <c r="BF176" i="30"/>
  <c r="BG176" i="30"/>
  <c r="BH176" i="30"/>
  <c r="BI176" i="30"/>
  <c r="BJ176" i="30"/>
  <c r="BK176" i="30"/>
  <c r="BL176" i="30"/>
  <c r="BM176" i="30"/>
  <c r="BN176" i="30"/>
  <c r="BO176" i="30"/>
  <c r="BP176" i="30"/>
  <c r="BQ176" i="30"/>
  <c r="BR176" i="30"/>
  <c r="BS176" i="30"/>
  <c r="BT176" i="30"/>
  <c r="BU176" i="30"/>
  <c r="BV176" i="30"/>
  <c r="BW176" i="30"/>
  <c r="BX176" i="30"/>
  <c r="BY176" i="30"/>
  <c r="BZ176" i="30"/>
  <c r="CA176" i="30"/>
  <c r="CB176" i="30"/>
  <c r="CC176" i="30"/>
  <c r="CD176" i="30"/>
  <c r="CE176" i="30"/>
  <c r="CF176" i="30"/>
  <c r="CG176" i="30"/>
  <c r="CH176" i="30"/>
  <c r="CI176" i="30"/>
  <c r="CJ176" i="30"/>
  <c r="CK176" i="30"/>
  <c r="CL176" i="30"/>
  <c r="CM176" i="30"/>
  <c r="CN176" i="30"/>
  <c r="CO176" i="30"/>
  <c r="CP176" i="30"/>
  <c r="CQ176" i="30"/>
  <c r="CR176" i="30"/>
  <c r="CS176" i="30"/>
  <c r="CT176" i="30"/>
  <c r="CU176" i="30"/>
  <c r="CV176" i="30"/>
  <c r="CW176" i="30"/>
  <c r="CX176" i="30"/>
  <c r="CY176" i="30"/>
  <c r="CZ176" i="30"/>
  <c r="DA176" i="30"/>
  <c r="DB176" i="30"/>
  <c r="DC176" i="30"/>
  <c r="DD176" i="30"/>
  <c r="DE176" i="30"/>
  <c r="DF176" i="30"/>
  <c r="DG176" i="30"/>
  <c r="DH176" i="30"/>
  <c r="DI176" i="30"/>
  <c r="DJ176" i="30"/>
  <c r="DK176" i="30"/>
  <c r="DL176" i="30"/>
  <c r="DM176" i="30"/>
  <c r="DN176" i="30"/>
  <c r="DO176" i="30"/>
  <c r="DP176" i="30"/>
  <c r="DQ176" i="30"/>
  <c r="DR176" i="30"/>
  <c r="DS176" i="30"/>
  <c r="DT176" i="30"/>
  <c r="DU176" i="30"/>
  <c r="DV176" i="30"/>
  <c r="DW176" i="30"/>
  <c r="DX176" i="30"/>
  <c r="DY176" i="30"/>
  <c r="DZ176" i="30"/>
  <c r="EA176" i="30"/>
  <c r="EB176" i="30"/>
  <c r="EC176" i="30"/>
  <c r="ED176" i="30"/>
  <c r="EE176" i="30"/>
  <c r="EF176" i="30"/>
  <c r="EG176" i="30"/>
  <c r="EH176" i="30"/>
  <c r="EI176" i="30"/>
  <c r="EJ176" i="30"/>
  <c r="EK176" i="30"/>
  <c r="EL176" i="30"/>
  <c r="EM176" i="30"/>
  <c r="EN176" i="30"/>
  <c r="EO176" i="30"/>
  <c r="EP176" i="30"/>
  <c r="EQ176" i="30"/>
  <c r="ER176" i="30"/>
  <c r="ES176" i="30"/>
  <c r="ET176" i="30"/>
  <c r="EU176" i="30"/>
  <c r="EV176" i="30"/>
  <c r="EW176" i="30"/>
  <c r="EX176" i="30"/>
  <c r="EY176" i="30"/>
  <c r="EZ176" i="30"/>
  <c r="FA176" i="30"/>
  <c r="FB176" i="30"/>
  <c r="FC176" i="30"/>
  <c r="FD176" i="30"/>
  <c r="FE176" i="30"/>
  <c r="FF176" i="30"/>
  <c r="FG176" i="30"/>
  <c r="FH176" i="30"/>
  <c r="FI176" i="30"/>
  <c r="FJ176" i="30"/>
  <c r="FK176" i="30"/>
  <c r="FL176" i="30"/>
  <c r="FM176" i="30"/>
  <c r="FN176" i="30"/>
  <c r="FO176" i="30"/>
  <c r="FP176" i="30"/>
  <c r="FQ176" i="30"/>
  <c r="FR176" i="30"/>
  <c r="FS176" i="30"/>
  <c r="FT176" i="30"/>
  <c r="FU176" i="30"/>
  <c r="FV176" i="30"/>
  <c r="FW176" i="30"/>
  <c r="FX176" i="30"/>
  <c r="FY176" i="30"/>
  <c r="FZ176" i="30"/>
  <c r="GA176" i="30"/>
  <c r="GB176" i="30"/>
  <c r="GC176" i="30"/>
  <c r="GD176" i="30"/>
  <c r="GE176" i="30"/>
  <c r="GF176" i="30"/>
  <c r="GG176" i="30"/>
  <c r="GH176" i="30"/>
  <c r="GI176" i="30"/>
  <c r="GJ176" i="30"/>
  <c r="GK176" i="30"/>
  <c r="GL176" i="30"/>
  <c r="GM176" i="30"/>
  <c r="GN176" i="30"/>
  <c r="GO176" i="30"/>
  <c r="GP176" i="30"/>
  <c r="GQ176" i="30"/>
  <c r="GR176" i="30"/>
  <c r="GS176" i="30"/>
  <c r="GT176" i="30"/>
  <c r="GU176" i="30"/>
  <c r="GV176" i="30"/>
  <c r="GW176" i="30"/>
  <c r="GX176" i="30"/>
  <c r="GY176" i="30"/>
  <c r="GZ176" i="30"/>
  <c r="HA176" i="30"/>
  <c r="HB176" i="30"/>
  <c r="HC176" i="30"/>
  <c r="HD176" i="30"/>
  <c r="HE176" i="30"/>
  <c r="HF176" i="30"/>
  <c r="HG176" i="30"/>
  <c r="HH176" i="30"/>
  <c r="HI176" i="30"/>
  <c r="HJ176" i="30"/>
  <c r="HK176" i="30"/>
  <c r="HL176" i="30"/>
  <c r="HM176" i="30"/>
  <c r="HN176" i="30"/>
  <c r="HO176" i="30"/>
  <c r="HP176" i="30"/>
  <c r="HQ176" i="30"/>
  <c r="HR176" i="30"/>
  <c r="HS176" i="30"/>
  <c r="HT176" i="30"/>
  <c r="HU176" i="30"/>
  <c r="HV176" i="30"/>
  <c r="HW176" i="30"/>
  <c r="HX176" i="30"/>
  <c r="HY176" i="30"/>
  <c r="HZ176" i="30"/>
  <c r="IA176" i="30"/>
  <c r="IB176" i="30"/>
  <c r="IC176" i="30"/>
  <c r="ID176" i="30"/>
  <c r="IE176" i="30"/>
  <c r="IF176" i="30"/>
  <c r="IG176" i="30"/>
  <c r="IH176" i="30"/>
  <c r="II176" i="30"/>
  <c r="IJ176" i="30"/>
  <c r="IK176" i="30"/>
  <c r="IL176" i="30"/>
  <c r="IM176" i="30"/>
  <c r="IN176" i="30"/>
  <c r="IO176" i="30"/>
  <c r="IP176" i="30"/>
  <c r="IQ176" i="30"/>
  <c r="IR176" i="30"/>
  <c r="IS176" i="30"/>
  <c r="IT176" i="30"/>
  <c r="IU176" i="30"/>
  <c r="IV176" i="30"/>
  <c r="A175" i="30"/>
  <c r="B175" i="30"/>
  <c r="C175" i="30"/>
  <c r="D175" i="30"/>
  <c r="E175" i="30"/>
  <c r="F175" i="30"/>
  <c r="G175" i="30"/>
  <c r="H175" i="30"/>
  <c r="I175" i="30"/>
  <c r="J175" i="30"/>
  <c r="K175" i="30"/>
  <c r="L175" i="30"/>
  <c r="M175" i="30"/>
  <c r="N175" i="30"/>
  <c r="O175" i="30"/>
  <c r="P175" i="30"/>
  <c r="Q175" i="30"/>
  <c r="R175" i="30"/>
  <c r="S175" i="30"/>
  <c r="T175" i="30"/>
  <c r="U175" i="30"/>
  <c r="V175" i="30"/>
  <c r="W175" i="30"/>
  <c r="X175" i="30"/>
  <c r="Y175" i="30"/>
  <c r="Z175" i="30"/>
  <c r="AA175" i="30"/>
  <c r="AB175" i="30"/>
  <c r="AC175" i="30"/>
  <c r="AD175" i="30"/>
  <c r="AE175" i="30"/>
  <c r="AF175" i="30"/>
  <c r="AG175" i="30"/>
  <c r="AH175" i="30"/>
  <c r="AI175" i="30"/>
  <c r="AJ175" i="30"/>
  <c r="AK175" i="30"/>
  <c r="AL175" i="30"/>
  <c r="AM175" i="30"/>
  <c r="AN175" i="30"/>
  <c r="AO175" i="30"/>
  <c r="AP175" i="30"/>
  <c r="AQ175" i="30"/>
  <c r="AR175" i="30"/>
  <c r="AS175" i="30"/>
  <c r="AT175" i="30"/>
  <c r="AU175" i="30"/>
  <c r="AV175" i="30"/>
  <c r="AW175" i="30"/>
  <c r="AX175" i="30"/>
  <c r="AY175" i="30"/>
  <c r="AZ175" i="30"/>
  <c r="BA175" i="30"/>
  <c r="BB175" i="30"/>
  <c r="BC175" i="30"/>
  <c r="BD175" i="30"/>
  <c r="BE175" i="30"/>
  <c r="BF175" i="30"/>
  <c r="BG175" i="30"/>
  <c r="BH175" i="30"/>
  <c r="BI175" i="30"/>
  <c r="BJ175" i="30"/>
  <c r="BK175" i="30"/>
  <c r="BL175" i="30"/>
  <c r="BM175" i="30"/>
  <c r="BN175" i="30"/>
  <c r="BO175" i="30"/>
  <c r="BP175" i="30"/>
  <c r="BQ175" i="30"/>
  <c r="BR175" i="30"/>
  <c r="BS175" i="30"/>
  <c r="BT175" i="30"/>
  <c r="BU175" i="30"/>
  <c r="BV175" i="30"/>
  <c r="BW175" i="30"/>
  <c r="BX175" i="30"/>
  <c r="BY175" i="30"/>
  <c r="BZ175" i="30"/>
  <c r="CA175" i="30"/>
  <c r="CB175" i="30"/>
  <c r="CC175" i="30"/>
  <c r="CD175" i="30"/>
  <c r="CE175" i="30"/>
  <c r="CF175" i="30"/>
  <c r="CG175" i="30"/>
  <c r="CH175" i="30"/>
  <c r="CI175" i="30"/>
  <c r="CJ175" i="30"/>
  <c r="CK175" i="30"/>
  <c r="CL175" i="30"/>
  <c r="CM175" i="30"/>
  <c r="CN175" i="30"/>
  <c r="CO175" i="30"/>
  <c r="CP175" i="30"/>
  <c r="CQ175" i="30"/>
  <c r="CR175" i="30"/>
  <c r="CS175" i="30"/>
  <c r="CT175" i="30"/>
  <c r="CU175" i="30"/>
  <c r="CV175" i="30"/>
  <c r="CW175" i="30"/>
  <c r="CX175" i="30"/>
  <c r="CY175" i="30"/>
  <c r="CZ175" i="30"/>
  <c r="DA175" i="30"/>
  <c r="DB175" i="30"/>
  <c r="DC175" i="30"/>
  <c r="DD175" i="30"/>
  <c r="DE175" i="30"/>
  <c r="DF175" i="30"/>
  <c r="DG175" i="30"/>
  <c r="DH175" i="30"/>
  <c r="DI175" i="30"/>
  <c r="DJ175" i="30"/>
  <c r="DK175" i="30"/>
  <c r="DL175" i="30"/>
  <c r="DM175" i="30"/>
  <c r="DN175" i="30"/>
  <c r="DO175" i="30"/>
  <c r="DP175" i="30"/>
  <c r="DQ175" i="30"/>
  <c r="DR175" i="30"/>
  <c r="DS175" i="30"/>
  <c r="DT175" i="30"/>
  <c r="DU175" i="30"/>
  <c r="DV175" i="30"/>
  <c r="DW175" i="30"/>
  <c r="DX175" i="30"/>
  <c r="DY175" i="30"/>
  <c r="DZ175" i="30"/>
  <c r="EA175" i="30"/>
  <c r="EB175" i="30"/>
  <c r="EC175" i="30"/>
  <c r="ED175" i="30"/>
  <c r="EE175" i="30"/>
  <c r="EF175" i="30"/>
  <c r="EG175" i="30"/>
  <c r="EH175" i="30"/>
  <c r="EI175" i="30"/>
  <c r="EJ175" i="30"/>
  <c r="EK175" i="30"/>
  <c r="EL175" i="30"/>
  <c r="EM175" i="30"/>
  <c r="EN175" i="30"/>
  <c r="EO175" i="30"/>
  <c r="EP175" i="30"/>
  <c r="EQ175" i="30"/>
  <c r="ER175" i="30"/>
  <c r="ES175" i="30"/>
  <c r="ET175" i="30"/>
  <c r="EU175" i="30"/>
  <c r="EV175" i="30"/>
  <c r="EW175" i="30"/>
  <c r="EX175" i="30"/>
  <c r="EY175" i="30"/>
  <c r="EZ175" i="30"/>
  <c r="FA175" i="30"/>
  <c r="FB175" i="30"/>
  <c r="FC175" i="30"/>
  <c r="FD175" i="30"/>
  <c r="FE175" i="30"/>
  <c r="FF175" i="30"/>
  <c r="FG175" i="30"/>
  <c r="FH175" i="30"/>
  <c r="FI175" i="30"/>
  <c r="FJ175" i="30"/>
  <c r="FK175" i="30"/>
  <c r="FL175" i="30"/>
  <c r="FM175" i="30"/>
  <c r="FN175" i="30"/>
  <c r="FO175" i="30"/>
  <c r="FP175" i="30"/>
  <c r="FQ175" i="30"/>
  <c r="FR175" i="30"/>
  <c r="FS175" i="30"/>
  <c r="FT175" i="30"/>
  <c r="FU175" i="30"/>
  <c r="FV175" i="30"/>
  <c r="FW175" i="30"/>
  <c r="FX175" i="30"/>
  <c r="FY175" i="30"/>
  <c r="FZ175" i="30"/>
  <c r="GA175" i="30"/>
  <c r="GB175" i="30"/>
  <c r="GC175" i="30"/>
  <c r="GD175" i="30"/>
  <c r="GE175" i="30"/>
  <c r="GF175" i="30"/>
  <c r="GG175" i="30"/>
  <c r="GH175" i="30"/>
  <c r="GI175" i="30"/>
  <c r="GJ175" i="30"/>
  <c r="GK175" i="30"/>
  <c r="GL175" i="30"/>
  <c r="GM175" i="30"/>
  <c r="GN175" i="30"/>
  <c r="GO175" i="30"/>
  <c r="GP175" i="30"/>
  <c r="GQ175" i="30"/>
  <c r="GR175" i="30"/>
  <c r="GS175" i="30"/>
  <c r="GT175" i="30"/>
  <c r="GU175" i="30"/>
  <c r="GV175" i="30"/>
  <c r="GW175" i="30"/>
  <c r="GX175" i="30"/>
  <c r="GY175" i="30"/>
  <c r="GZ175" i="30"/>
  <c r="HA175" i="30"/>
  <c r="HB175" i="30"/>
  <c r="HC175" i="30"/>
  <c r="HD175" i="30"/>
  <c r="HE175" i="30"/>
  <c r="HF175" i="30"/>
  <c r="HG175" i="30"/>
  <c r="HH175" i="30"/>
  <c r="HI175" i="30"/>
  <c r="HJ175" i="30"/>
  <c r="HK175" i="30"/>
  <c r="HL175" i="30"/>
  <c r="HM175" i="30"/>
  <c r="HN175" i="30"/>
  <c r="HO175" i="30"/>
  <c r="HP175" i="30"/>
  <c r="HQ175" i="30"/>
  <c r="HR175" i="30"/>
  <c r="HS175" i="30"/>
  <c r="HT175" i="30"/>
  <c r="HU175" i="30"/>
  <c r="HV175" i="30"/>
  <c r="HW175" i="30"/>
  <c r="HX175" i="30"/>
  <c r="HY175" i="30"/>
  <c r="HZ175" i="30"/>
  <c r="IA175" i="30"/>
  <c r="IB175" i="30"/>
  <c r="IC175" i="30"/>
  <c r="ID175" i="30"/>
  <c r="IE175" i="30"/>
  <c r="IF175" i="30"/>
  <c r="IG175" i="30"/>
  <c r="IH175" i="30"/>
  <c r="II175" i="30"/>
  <c r="IJ175" i="30"/>
  <c r="IK175" i="30"/>
  <c r="IL175" i="30"/>
  <c r="IM175" i="30"/>
  <c r="IN175" i="30"/>
  <c r="IO175" i="30"/>
  <c r="IP175" i="30"/>
  <c r="IQ175" i="30"/>
  <c r="IR175" i="30"/>
  <c r="IS175" i="30"/>
  <c r="IT175" i="30"/>
  <c r="IU175" i="30"/>
  <c r="IV175" i="30"/>
  <c r="A174" i="30"/>
  <c r="B174" i="30"/>
  <c r="C174" i="30"/>
  <c r="D174" i="30"/>
  <c r="E174" i="30"/>
  <c r="F174" i="30"/>
  <c r="G174" i="30"/>
  <c r="H174" i="30"/>
  <c r="I174" i="30"/>
  <c r="J174" i="30"/>
  <c r="K174" i="30"/>
  <c r="L174" i="30"/>
  <c r="M174" i="30"/>
  <c r="N174" i="30"/>
  <c r="O174" i="30"/>
  <c r="P174" i="30"/>
  <c r="Q174" i="30"/>
  <c r="R174" i="30"/>
  <c r="S174" i="30"/>
  <c r="T174" i="30"/>
  <c r="U174" i="30"/>
  <c r="V174" i="30"/>
  <c r="W174" i="30"/>
  <c r="X174" i="30"/>
  <c r="Y174" i="30"/>
  <c r="Z174" i="30"/>
  <c r="AA174" i="30"/>
  <c r="AB174" i="30"/>
  <c r="AC174" i="30"/>
  <c r="AD174" i="30"/>
  <c r="AE174" i="30"/>
  <c r="AF174" i="30"/>
  <c r="AG174" i="30"/>
  <c r="AH174" i="30"/>
  <c r="AI174" i="30"/>
  <c r="AJ174" i="30"/>
  <c r="AK174" i="30"/>
  <c r="AL174" i="30"/>
  <c r="AM174" i="30"/>
  <c r="AN174" i="30"/>
  <c r="AO174" i="30"/>
  <c r="AP174" i="30"/>
  <c r="AQ174" i="30"/>
  <c r="AR174" i="30"/>
  <c r="AS174" i="30"/>
  <c r="AT174" i="30"/>
  <c r="AU174" i="30"/>
  <c r="AV174" i="30"/>
  <c r="AW174" i="30"/>
  <c r="AX174" i="30"/>
  <c r="AY174" i="30"/>
  <c r="AZ174" i="30"/>
  <c r="BA174" i="30"/>
  <c r="BB174" i="30"/>
  <c r="BC174" i="30"/>
  <c r="BD174" i="30"/>
  <c r="BE174" i="30"/>
  <c r="BF174" i="30"/>
  <c r="BG174" i="30"/>
  <c r="BH174" i="30"/>
  <c r="BI174" i="30"/>
  <c r="BJ174" i="30"/>
  <c r="BK174" i="30"/>
  <c r="BL174" i="30"/>
  <c r="BM174" i="30"/>
  <c r="BN174" i="30"/>
  <c r="BO174" i="30"/>
  <c r="BP174" i="30"/>
  <c r="BQ174" i="30"/>
  <c r="BR174" i="30"/>
  <c r="BS174" i="30"/>
  <c r="BT174" i="30"/>
  <c r="BU174" i="30"/>
  <c r="BV174" i="30"/>
  <c r="BW174" i="30"/>
  <c r="BX174" i="30"/>
  <c r="BY174" i="30"/>
  <c r="BZ174" i="30"/>
  <c r="CA174" i="30"/>
  <c r="CB174" i="30"/>
  <c r="CC174" i="30"/>
  <c r="CD174" i="30"/>
  <c r="CE174" i="30"/>
  <c r="CF174" i="30"/>
  <c r="CG174" i="30"/>
  <c r="CH174" i="30"/>
  <c r="CI174" i="30"/>
  <c r="CJ174" i="30"/>
  <c r="CK174" i="30"/>
  <c r="CL174" i="30"/>
  <c r="CM174" i="30"/>
  <c r="CN174" i="30"/>
  <c r="CO174" i="30"/>
  <c r="CP174" i="30"/>
  <c r="CQ174" i="30"/>
  <c r="CR174" i="30"/>
  <c r="CS174" i="30"/>
  <c r="CT174" i="30"/>
  <c r="CU174" i="30"/>
  <c r="CV174" i="30"/>
  <c r="CW174" i="30"/>
  <c r="CX174" i="30"/>
  <c r="CY174" i="30"/>
  <c r="CZ174" i="30"/>
  <c r="DA174" i="30"/>
  <c r="DB174" i="30"/>
  <c r="DC174" i="30"/>
  <c r="DD174" i="30"/>
  <c r="DE174" i="30"/>
  <c r="DF174" i="30"/>
  <c r="DG174" i="30"/>
  <c r="DH174" i="30"/>
  <c r="DI174" i="30"/>
  <c r="DJ174" i="30"/>
  <c r="DK174" i="30"/>
  <c r="DL174" i="30"/>
  <c r="DM174" i="30"/>
  <c r="DN174" i="30"/>
  <c r="DO174" i="30"/>
  <c r="DP174" i="30"/>
  <c r="DQ174" i="30"/>
  <c r="DR174" i="30"/>
  <c r="DS174" i="30"/>
  <c r="DT174" i="30"/>
  <c r="DU174" i="30"/>
  <c r="DV174" i="30"/>
  <c r="DW174" i="30"/>
  <c r="DX174" i="30"/>
  <c r="DY174" i="30"/>
  <c r="DZ174" i="30"/>
  <c r="EA174" i="30"/>
  <c r="EB174" i="30"/>
  <c r="EC174" i="30"/>
  <c r="ED174" i="30"/>
  <c r="EE174" i="30"/>
  <c r="EF174" i="30"/>
  <c r="EG174" i="30"/>
  <c r="EH174" i="30"/>
  <c r="EI174" i="30"/>
  <c r="EJ174" i="30"/>
  <c r="EK174" i="30"/>
  <c r="EL174" i="30"/>
  <c r="EM174" i="30"/>
  <c r="EN174" i="30"/>
  <c r="EO174" i="30"/>
  <c r="EP174" i="30"/>
  <c r="EQ174" i="30"/>
  <c r="ER174" i="30"/>
  <c r="ES174" i="30"/>
  <c r="ET174" i="30"/>
  <c r="EU174" i="30"/>
  <c r="EV174" i="30"/>
  <c r="EW174" i="30"/>
  <c r="EX174" i="30"/>
  <c r="EY174" i="30"/>
  <c r="EZ174" i="30"/>
  <c r="FA174" i="30"/>
  <c r="FB174" i="30"/>
  <c r="FC174" i="30"/>
  <c r="FD174" i="30"/>
  <c r="FE174" i="30"/>
  <c r="FF174" i="30"/>
  <c r="FG174" i="30"/>
  <c r="FH174" i="30"/>
  <c r="FI174" i="30"/>
  <c r="FJ174" i="30"/>
  <c r="FK174" i="30"/>
  <c r="FL174" i="30"/>
  <c r="FM174" i="30"/>
  <c r="FN174" i="30"/>
  <c r="FO174" i="30"/>
  <c r="FP174" i="30"/>
  <c r="FQ174" i="30"/>
  <c r="FR174" i="30"/>
  <c r="FS174" i="30"/>
  <c r="FT174" i="30"/>
  <c r="FU174" i="30"/>
  <c r="FV174" i="30"/>
  <c r="FW174" i="30"/>
  <c r="FX174" i="30"/>
  <c r="FY174" i="30"/>
  <c r="FZ174" i="30"/>
  <c r="GA174" i="30"/>
  <c r="GB174" i="30"/>
  <c r="GC174" i="30"/>
  <c r="GD174" i="30"/>
  <c r="GE174" i="30"/>
  <c r="GF174" i="30"/>
  <c r="GG174" i="30"/>
  <c r="GH174" i="30"/>
  <c r="GI174" i="30"/>
  <c r="GJ174" i="30"/>
  <c r="GK174" i="30"/>
  <c r="GL174" i="30"/>
  <c r="GM174" i="30"/>
  <c r="GN174" i="30"/>
  <c r="GO174" i="30"/>
  <c r="GP174" i="30"/>
  <c r="GQ174" i="30"/>
  <c r="GR174" i="30"/>
  <c r="GS174" i="30"/>
  <c r="GT174" i="30"/>
  <c r="GU174" i="30"/>
  <c r="GV174" i="30"/>
  <c r="GW174" i="30"/>
  <c r="GX174" i="30"/>
  <c r="GY174" i="30"/>
  <c r="GZ174" i="30"/>
  <c r="HA174" i="30"/>
  <c r="HB174" i="30"/>
  <c r="HC174" i="30"/>
  <c r="HD174" i="30"/>
  <c r="HE174" i="30"/>
  <c r="HF174" i="30"/>
  <c r="HG174" i="30"/>
  <c r="HH174" i="30"/>
  <c r="HI174" i="30"/>
  <c r="HJ174" i="30"/>
  <c r="HK174" i="30"/>
  <c r="HL174" i="30"/>
  <c r="HM174" i="30"/>
  <c r="HN174" i="30"/>
  <c r="HO174" i="30"/>
  <c r="HP174" i="30"/>
  <c r="HQ174" i="30"/>
  <c r="HR174" i="30"/>
  <c r="HS174" i="30"/>
  <c r="HT174" i="30"/>
  <c r="HU174" i="30"/>
  <c r="HV174" i="30"/>
  <c r="HW174" i="30"/>
  <c r="HX174" i="30"/>
  <c r="HY174" i="30"/>
  <c r="HZ174" i="30"/>
  <c r="IA174" i="30"/>
  <c r="IB174" i="30"/>
  <c r="IC174" i="30"/>
  <c r="ID174" i="30"/>
  <c r="IE174" i="30"/>
  <c r="IF174" i="30"/>
  <c r="IG174" i="30"/>
  <c r="IH174" i="30"/>
  <c r="II174" i="30"/>
  <c r="IJ174" i="30"/>
  <c r="IK174" i="30"/>
  <c r="IL174" i="30"/>
  <c r="IM174" i="30"/>
  <c r="IN174" i="30"/>
  <c r="IO174" i="30"/>
  <c r="IP174" i="30"/>
  <c r="IQ174" i="30"/>
  <c r="IR174" i="30"/>
  <c r="IS174" i="30"/>
  <c r="IT174" i="30"/>
  <c r="IU174" i="30"/>
  <c r="IV174" i="30"/>
  <c r="A173" i="30"/>
  <c r="B173" i="30"/>
  <c r="C173" i="30"/>
  <c r="D173" i="30"/>
  <c r="E173" i="30"/>
  <c r="F173" i="30"/>
  <c r="G173" i="30"/>
  <c r="H173" i="30"/>
  <c r="I173" i="30"/>
  <c r="J173" i="30"/>
  <c r="K173" i="30"/>
  <c r="L173" i="30"/>
  <c r="M173" i="30"/>
  <c r="N173" i="30"/>
  <c r="O173" i="30"/>
  <c r="P173" i="30"/>
  <c r="Q173" i="30"/>
  <c r="R173" i="30"/>
  <c r="S173" i="30"/>
  <c r="T173" i="30"/>
  <c r="U173" i="30"/>
  <c r="V173" i="30"/>
  <c r="W173" i="30"/>
  <c r="X173" i="30"/>
  <c r="Y173" i="30"/>
  <c r="Z173" i="30"/>
  <c r="AA173" i="30"/>
  <c r="AB173" i="30"/>
  <c r="AC173" i="30"/>
  <c r="AD173" i="30"/>
  <c r="AE173" i="30"/>
  <c r="AF173" i="30"/>
  <c r="AG173" i="30"/>
  <c r="AH173" i="30"/>
  <c r="AI173" i="30"/>
  <c r="AJ173" i="30"/>
  <c r="AK173" i="30"/>
  <c r="AL173" i="30"/>
  <c r="AM173" i="30"/>
  <c r="AN173" i="30"/>
  <c r="AO173" i="30"/>
  <c r="AP173" i="30"/>
  <c r="AQ173" i="30"/>
  <c r="AR173" i="30"/>
  <c r="AS173" i="30"/>
  <c r="AT173" i="30"/>
  <c r="AU173" i="30"/>
  <c r="AV173" i="30"/>
  <c r="AW173" i="30"/>
  <c r="AX173" i="30"/>
  <c r="AY173" i="30"/>
  <c r="AZ173" i="30"/>
  <c r="BA173" i="30"/>
  <c r="BB173" i="30"/>
  <c r="BC173" i="30"/>
  <c r="BD173" i="30"/>
  <c r="BE173" i="30"/>
  <c r="BF173" i="30"/>
  <c r="BG173" i="30"/>
  <c r="BH173" i="30"/>
  <c r="BI173" i="30"/>
  <c r="BJ173" i="30"/>
  <c r="BK173" i="30"/>
  <c r="BL173" i="30"/>
  <c r="BM173" i="30"/>
  <c r="BN173" i="30"/>
  <c r="BO173" i="30"/>
  <c r="BP173" i="30"/>
  <c r="BQ173" i="30"/>
  <c r="BR173" i="30"/>
  <c r="BS173" i="30"/>
  <c r="BT173" i="30"/>
  <c r="BU173" i="30"/>
  <c r="BV173" i="30"/>
  <c r="BW173" i="30"/>
  <c r="BX173" i="30"/>
  <c r="BY173" i="30"/>
  <c r="BZ173" i="30"/>
  <c r="CA173" i="30"/>
  <c r="CB173" i="30"/>
  <c r="CC173" i="30"/>
  <c r="CD173" i="30"/>
  <c r="CE173" i="30"/>
  <c r="CF173" i="30"/>
  <c r="CG173" i="30"/>
  <c r="CH173" i="30"/>
  <c r="CI173" i="30"/>
  <c r="CJ173" i="30"/>
  <c r="CK173" i="30"/>
  <c r="CL173" i="30"/>
  <c r="CM173" i="30"/>
  <c r="CN173" i="30"/>
  <c r="CO173" i="30"/>
  <c r="CP173" i="30"/>
  <c r="CQ173" i="30"/>
  <c r="CR173" i="30"/>
  <c r="CS173" i="30"/>
  <c r="CT173" i="30"/>
  <c r="CU173" i="30"/>
  <c r="CV173" i="30"/>
  <c r="CW173" i="30"/>
  <c r="CX173" i="30"/>
  <c r="CY173" i="30"/>
  <c r="CZ173" i="30"/>
  <c r="DA173" i="30"/>
  <c r="DB173" i="30"/>
  <c r="DC173" i="30"/>
  <c r="DD173" i="30"/>
  <c r="DE173" i="30"/>
  <c r="DF173" i="30"/>
  <c r="DG173" i="30"/>
  <c r="DH173" i="30"/>
  <c r="DI173" i="30"/>
  <c r="DJ173" i="30"/>
  <c r="DK173" i="30"/>
  <c r="DL173" i="30"/>
  <c r="DM173" i="30"/>
  <c r="DN173" i="30"/>
  <c r="DO173" i="30"/>
  <c r="DP173" i="30"/>
  <c r="DQ173" i="30"/>
  <c r="DR173" i="30"/>
  <c r="DS173" i="30"/>
  <c r="DT173" i="30"/>
  <c r="DU173" i="30"/>
  <c r="DV173" i="30"/>
  <c r="DW173" i="30"/>
  <c r="DX173" i="30"/>
  <c r="DY173" i="30"/>
  <c r="DZ173" i="30"/>
  <c r="EA173" i="30"/>
  <c r="EB173" i="30"/>
  <c r="EC173" i="30"/>
  <c r="ED173" i="30"/>
  <c r="EE173" i="30"/>
  <c r="EF173" i="30"/>
  <c r="EG173" i="30"/>
  <c r="EH173" i="30"/>
  <c r="EI173" i="30"/>
  <c r="EJ173" i="30"/>
  <c r="EK173" i="30"/>
  <c r="EL173" i="30"/>
  <c r="EM173" i="30"/>
  <c r="EN173" i="30"/>
  <c r="EO173" i="30"/>
  <c r="EP173" i="30"/>
  <c r="EQ173" i="30"/>
  <c r="ER173" i="30"/>
  <c r="ES173" i="30"/>
  <c r="ET173" i="30"/>
  <c r="EU173" i="30"/>
  <c r="EV173" i="30"/>
  <c r="EW173" i="30"/>
  <c r="EX173" i="30"/>
  <c r="EY173" i="30"/>
  <c r="EZ173" i="30"/>
  <c r="FA173" i="30"/>
  <c r="FB173" i="30"/>
  <c r="FC173" i="30"/>
  <c r="FD173" i="30"/>
  <c r="FE173" i="30"/>
  <c r="FF173" i="30"/>
  <c r="FG173" i="30"/>
  <c r="FH173" i="30"/>
  <c r="FI173" i="30"/>
  <c r="FJ173" i="30"/>
  <c r="FK173" i="30"/>
  <c r="FL173" i="30"/>
  <c r="FM173" i="30"/>
  <c r="FN173" i="30"/>
  <c r="FO173" i="30"/>
  <c r="FP173" i="30"/>
  <c r="FQ173" i="30"/>
  <c r="FR173" i="30"/>
  <c r="FS173" i="30"/>
  <c r="FT173" i="30"/>
  <c r="FU173" i="30"/>
  <c r="FV173" i="30"/>
  <c r="FW173" i="30"/>
  <c r="FX173" i="30"/>
  <c r="FY173" i="30"/>
  <c r="FZ173" i="30"/>
  <c r="GA173" i="30"/>
  <c r="GB173" i="30"/>
  <c r="GC173" i="30"/>
  <c r="GD173" i="30"/>
  <c r="GE173" i="30"/>
  <c r="GF173" i="30"/>
  <c r="GG173" i="30"/>
  <c r="GH173" i="30"/>
  <c r="GI173" i="30"/>
  <c r="GJ173" i="30"/>
  <c r="GK173" i="30"/>
  <c r="GL173" i="30"/>
  <c r="GM173" i="30"/>
  <c r="GN173" i="30"/>
  <c r="GO173" i="30"/>
  <c r="GP173" i="30"/>
  <c r="GQ173" i="30"/>
  <c r="GR173" i="30"/>
  <c r="GS173" i="30"/>
  <c r="GT173" i="30"/>
  <c r="GU173" i="30"/>
  <c r="GV173" i="30"/>
  <c r="GW173" i="30"/>
  <c r="GX173" i="30"/>
  <c r="GY173" i="30"/>
  <c r="GZ173" i="30"/>
  <c r="HA173" i="30"/>
  <c r="HB173" i="30"/>
  <c r="HC173" i="30"/>
  <c r="HD173" i="30"/>
  <c r="HE173" i="30"/>
  <c r="HF173" i="30"/>
  <c r="HG173" i="30"/>
  <c r="HH173" i="30"/>
  <c r="HI173" i="30"/>
  <c r="HJ173" i="30"/>
  <c r="HK173" i="30"/>
  <c r="HL173" i="30"/>
  <c r="HM173" i="30"/>
  <c r="HN173" i="30"/>
  <c r="HO173" i="30"/>
  <c r="HP173" i="30"/>
  <c r="HQ173" i="30"/>
  <c r="HR173" i="30"/>
  <c r="HS173" i="30"/>
  <c r="HT173" i="30"/>
  <c r="HU173" i="30"/>
  <c r="HV173" i="30"/>
  <c r="HW173" i="30"/>
  <c r="HX173" i="30"/>
  <c r="HY173" i="30"/>
  <c r="HZ173" i="30"/>
  <c r="IA173" i="30"/>
  <c r="IB173" i="30"/>
  <c r="IC173" i="30"/>
  <c r="ID173" i="30"/>
  <c r="IE173" i="30"/>
  <c r="IF173" i="30"/>
  <c r="IG173" i="30"/>
  <c r="IH173" i="30"/>
  <c r="II173" i="30"/>
  <c r="IJ173" i="30"/>
  <c r="IK173" i="30"/>
  <c r="IL173" i="30"/>
  <c r="IM173" i="30"/>
  <c r="IN173" i="30"/>
  <c r="IO173" i="30"/>
  <c r="IP173" i="30"/>
  <c r="IQ173" i="30"/>
  <c r="IR173" i="30"/>
  <c r="IS173" i="30"/>
  <c r="IT173" i="30"/>
  <c r="IU173" i="30"/>
  <c r="IV173" i="30"/>
  <c r="A172" i="30"/>
  <c r="B172" i="30"/>
  <c r="C172" i="30"/>
  <c r="D172" i="30"/>
  <c r="E172" i="30"/>
  <c r="F172" i="30"/>
  <c r="G172" i="30"/>
  <c r="H172" i="30"/>
  <c r="I172" i="30"/>
  <c r="J172" i="30"/>
  <c r="K172" i="30"/>
  <c r="L172" i="30"/>
  <c r="M172" i="30"/>
  <c r="N172" i="30"/>
  <c r="O172" i="30"/>
  <c r="P172" i="30"/>
  <c r="Q172" i="30"/>
  <c r="R172" i="30"/>
  <c r="S172" i="30"/>
  <c r="T172" i="30"/>
  <c r="U172" i="30"/>
  <c r="V172" i="30"/>
  <c r="W172" i="30"/>
  <c r="X172" i="30"/>
  <c r="Y172" i="30"/>
  <c r="Z172" i="30"/>
  <c r="AA172" i="30"/>
  <c r="AB172" i="30"/>
  <c r="AC172" i="30"/>
  <c r="AD172" i="30"/>
  <c r="AE172" i="30"/>
  <c r="AF172" i="30"/>
  <c r="AG172" i="30"/>
  <c r="AH172" i="30"/>
  <c r="AI172" i="30"/>
  <c r="AJ172" i="30"/>
  <c r="AK172" i="30"/>
  <c r="AL172" i="30"/>
  <c r="AM172" i="30"/>
  <c r="AN172" i="30"/>
  <c r="AO172" i="30"/>
  <c r="AP172" i="30"/>
  <c r="AQ172" i="30"/>
  <c r="AR172" i="30"/>
  <c r="AS172" i="30"/>
  <c r="AT172" i="30"/>
  <c r="AU172" i="30"/>
  <c r="AV172" i="30"/>
  <c r="AW172" i="30"/>
  <c r="AX172" i="30"/>
  <c r="AY172" i="30"/>
  <c r="AZ172" i="30"/>
  <c r="BA172" i="30"/>
  <c r="BB172" i="30"/>
  <c r="BC172" i="30"/>
  <c r="BD172" i="30"/>
  <c r="BE172" i="30"/>
  <c r="BF172" i="30"/>
  <c r="BG172" i="30"/>
  <c r="BH172" i="30"/>
  <c r="BI172" i="30"/>
  <c r="BJ172" i="30"/>
  <c r="BK172" i="30"/>
  <c r="BL172" i="30"/>
  <c r="BM172" i="30"/>
  <c r="BN172" i="30"/>
  <c r="BO172" i="30"/>
  <c r="BP172" i="30"/>
  <c r="BQ172" i="30"/>
  <c r="BR172" i="30"/>
  <c r="BS172" i="30"/>
  <c r="BT172" i="30"/>
  <c r="BU172" i="30"/>
  <c r="BV172" i="30"/>
  <c r="BW172" i="30"/>
  <c r="BX172" i="30"/>
  <c r="BY172" i="30"/>
  <c r="BZ172" i="30"/>
  <c r="CA172" i="30"/>
  <c r="CB172" i="30"/>
  <c r="CC172" i="30"/>
  <c r="CD172" i="30"/>
  <c r="CE172" i="30"/>
  <c r="CF172" i="30"/>
  <c r="CG172" i="30"/>
  <c r="CH172" i="30"/>
  <c r="CI172" i="30"/>
  <c r="CJ172" i="30"/>
  <c r="CK172" i="30"/>
  <c r="CL172" i="30"/>
  <c r="CM172" i="30"/>
  <c r="CN172" i="30"/>
  <c r="CO172" i="30"/>
  <c r="CP172" i="30"/>
  <c r="CQ172" i="30"/>
  <c r="CR172" i="30"/>
  <c r="CS172" i="30"/>
  <c r="CT172" i="30"/>
  <c r="CU172" i="30"/>
  <c r="CV172" i="30"/>
  <c r="CW172" i="30"/>
  <c r="CX172" i="30"/>
  <c r="CY172" i="30"/>
  <c r="CZ172" i="30"/>
  <c r="DA172" i="30"/>
  <c r="DB172" i="30"/>
  <c r="DC172" i="30"/>
  <c r="DD172" i="30"/>
  <c r="DE172" i="30"/>
  <c r="DF172" i="30"/>
  <c r="DG172" i="30"/>
  <c r="DH172" i="30"/>
  <c r="DI172" i="30"/>
  <c r="DJ172" i="30"/>
  <c r="DK172" i="30"/>
  <c r="DL172" i="30"/>
  <c r="DM172" i="30"/>
  <c r="DN172" i="30"/>
  <c r="DO172" i="30"/>
  <c r="DP172" i="30"/>
  <c r="DQ172" i="30"/>
  <c r="DR172" i="30"/>
  <c r="DS172" i="30"/>
  <c r="DT172" i="30"/>
  <c r="DU172" i="30"/>
  <c r="DV172" i="30"/>
  <c r="DW172" i="30"/>
  <c r="DX172" i="30"/>
  <c r="DY172" i="30"/>
  <c r="DZ172" i="30"/>
  <c r="EA172" i="30"/>
  <c r="EB172" i="30"/>
  <c r="EC172" i="30"/>
  <c r="ED172" i="30"/>
  <c r="EE172" i="30"/>
  <c r="EF172" i="30"/>
  <c r="EG172" i="30"/>
  <c r="EH172" i="30"/>
  <c r="EI172" i="30"/>
  <c r="EJ172" i="30"/>
  <c r="EK172" i="30"/>
  <c r="EL172" i="30"/>
  <c r="EM172" i="30"/>
  <c r="EN172" i="30"/>
  <c r="EO172" i="30"/>
  <c r="EP172" i="30"/>
  <c r="EQ172" i="30"/>
  <c r="ER172" i="30"/>
  <c r="ES172" i="30"/>
  <c r="ET172" i="30"/>
  <c r="EU172" i="30"/>
  <c r="EV172" i="30"/>
  <c r="EW172" i="30"/>
  <c r="EX172" i="30"/>
  <c r="EY172" i="30"/>
  <c r="EZ172" i="30"/>
  <c r="FA172" i="30"/>
  <c r="FB172" i="30"/>
  <c r="FC172" i="30"/>
  <c r="FD172" i="30"/>
  <c r="FE172" i="30"/>
  <c r="FF172" i="30"/>
  <c r="FG172" i="30"/>
  <c r="FH172" i="30"/>
  <c r="FI172" i="30"/>
  <c r="FJ172" i="30"/>
  <c r="FK172" i="30"/>
  <c r="FL172" i="30"/>
  <c r="FM172" i="30"/>
  <c r="FN172" i="30"/>
  <c r="FO172" i="30"/>
  <c r="FP172" i="30"/>
  <c r="FQ172" i="30"/>
  <c r="FR172" i="30"/>
  <c r="FS172" i="30"/>
  <c r="FT172" i="30"/>
  <c r="FU172" i="30"/>
  <c r="FV172" i="30"/>
  <c r="FW172" i="30"/>
  <c r="FX172" i="30"/>
  <c r="FY172" i="30"/>
  <c r="FZ172" i="30"/>
  <c r="GA172" i="30"/>
  <c r="GB172" i="30"/>
  <c r="GC172" i="30"/>
  <c r="GD172" i="30"/>
  <c r="GE172" i="30"/>
  <c r="GF172" i="30"/>
  <c r="GG172" i="30"/>
  <c r="GH172" i="30"/>
  <c r="GI172" i="30"/>
  <c r="GJ172" i="30"/>
  <c r="GK172" i="30"/>
  <c r="GL172" i="30"/>
  <c r="GM172" i="30"/>
  <c r="GN172" i="30"/>
  <c r="GO172" i="30"/>
  <c r="GP172" i="30"/>
  <c r="GQ172" i="30"/>
  <c r="GR172" i="30"/>
  <c r="GS172" i="30"/>
  <c r="GT172" i="30"/>
  <c r="GU172" i="30"/>
  <c r="GV172" i="30"/>
  <c r="GW172" i="30"/>
  <c r="GX172" i="30"/>
  <c r="GY172" i="30"/>
  <c r="GZ172" i="30"/>
  <c r="HA172" i="30"/>
  <c r="HB172" i="30"/>
  <c r="HC172" i="30"/>
  <c r="HD172" i="30"/>
  <c r="HE172" i="30"/>
  <c r="HF172" i="30"/>
  <c r="HG172" i="30"/>
  <c r="HH172" i="30"/>
  <c r="HI172" i="30"/>
  <c r="HJ172" i="30"/>
  <c r="HK172" i="30"/>
  <c r="HL172" i="30"/>
  <c r="HM172" i="30"/>
  <c r="HN172" i="30"/>
  <c r="HO172" i="30"/>
  <c r="HP172" i="30"/>
  <c r="HQ172" i="30"/>
  <c r="HR172" i="30"/>
  <c r="HS172" i="30"/>
  <c r="HT172" i="30"/>
  <c r="HU172" i="30"/>
  <c r="HV172" i="30"/>
  <c r="HW172" i="30"/>
  <c r="HX172" i="30"/>
  <c r="HY172" i="30"/>
  <c r="HZ172" i="30"/>
  <c r="IA172" i="30"/>
  <c r="IB172" i="30"/>
  <c r="IC172" i="30"/>
  <c r="ID172" i="30"/>
  <c r="IE172" i="30"/>
  <c r="IF172" i="30"/>
  <c r="IG172" i="30"/>
  <c r="IH172" i="30"/>
  <c r="II172" i="30"/>
  <c r="IJ172" i="30"/>
  <c r="IK172" i="30"/>
  <c r="IL172" i="30"/>
  <c r="IM172" i="30"/>
  <c r="IN172" i="30"/>
  <c r="IO172" i="30"/>
  <c r="IP172" i="30"/>
  <c r="IQ172" i="30"/>
  <c r="IR172" i="30"/>
  <c r="IS172" i="30"/>
  <c r="IT172" i="30"/>
  <c r="IU172" i="30"/>
  <c r="IV172" i="30"/>
  <c r="A171" i="30"/>
  <c r="B171" i="30"/>
  <c r="C171" i="30"/>
  <c r="D171" i="30"/>
  <c r="E171" i="30"/>
  <c r="F171" i="30"/>
  <c r="G171" i="30"/>
  <c r="H171" i="30"/>
  <c r="I171" i="30"/>
  <c r="J171" i="30"/>
  <c r="K171" i="30"/>
  <c r="L171" i="30"/>
  <c r="M171" i="30"/>
  <c r="N171" i="30"/>
  <c r="O171" i="30"/>
  <c r="P171" i="30"/>
  <c r="Q171" i="30"/>
  <c r="R171" i="30"/>
  <c r="S171" i="30"/>
  <c r="T171" i="30"/>
  <c r="U171" i="30"/>
  <c r="V171" i="30"/>
  <c r="W171" i="30"/>
  <c r="X171" i="30"/>
  <c r="Y171" i="30"/>
  <c r="Z171" i="30"/>
  <c r="AA171" i="30"/>
  <c r="AB171" i="30"/>
  <c r="AC171" i="30"/>
  <c r="AD171" i="30"/>
  <c r="AE171" i="30"/>
  <c r="AF171" i="30"/>
  <c r="AG171" i="30"/>
  <c r="AH171" i="30"/>
  <c r="AI171" i="30"/>
  <c r="AJ171" i="30"/>
  <c r="AK171" i="30"/>
  <c r="AL171" i="30"/>
  <c r="AM171" i="30"/>
  <c r="AN171" i="30"/>
  <c r="AO171" i="30"/>
  <c r="AP171" i="30"/>
  <c r="AQ171" i="30"/>
  <c r="AR171" i="30"/>
  <c r="AS171" i="30"/>
  <c r="AT171" i="30"/>
  <c r="AU171" i="30"/>
  <c r="AV171" i="30"/>
  <c r="AW171" i="30"/>
  <c r="AX171" i="30"/>
  <c r="AY171" i="30"/>
  <c r="AZ171" i="30"/>
  <c r="BA171" i="30"/>
  <c r="BB171" i="30"/>
  <c r="BC171" i="30"/>
  <c r="BD171" i="30"/>
  <c r="BE171" i="30"/>
  <c r="BF171" i="30"/>
  <c r="BG171" i="30"/>
  <c r="BH171" i="30"/>
  <c r="BI171" i="30"/>
  <c r="BJ171" i="30"/>
  <c r="BK171" i="30"/>
  <c r="BL171" i="30"/>
  <c r="BM171" i="30"/>
  <c r="BN171" i="30"/>
  <c r="BO171" i="30"/>
  <c r="BP171" i="30"/>
  <c r="BQ171" i="30"/>
  <c r="BR171" i="30"/>
  <c r="BS171" i="30"/>
  <c r="BT171" i="30"/>
  <c r="BU171" i="30"/>
  <c r="BV171" i="30"/>
  <c r="BW171" i="30"/>
  <c r="BX171" i="30"/>
  <c r="BY171" i="30"/>
  <c r="BZ171" i="30"/>
  <c r="CA171" i="30"/>
  <c r="CB171" i="30"/>
  <c r="CC171" i="30"/>
  <c r="CD171" i="30"/>
  <c r="CE171" i="30"/>
  <c r="CF171" i="30"/>
  <c r="CG171" i="30"/>
  <c r="CH171" i="30"/>
  <c r="CI171" i="30"/>
  <c r="CJ171" i="30"/>
  <c r="CK171" i="30"/>
  <c r="CL171" i="30"/>
  <c r="CM171" i="30"/>
  <c r="CN171" i="30"/>
  <c r="CO171" i="30"/>
  <c r="CP171" i="30"/>
  <c r="CQ171" i="30"/>
  <c r="CR171" i="30"/>
  <c r="CS171" i="30"/>
  <c r="CT171" i="30"/>
  <c r="CU171" i="30"/>
  <c r="CV171" i="30"/>
  <c r="CW171" i="30"/>
  <c r="CX171" i="30"/>
  <c r="CY171" i="30"/>
  <c r="CZ171" i="30"/>
  <c r="DA171" i="30"/>
  <c r="DB171" i="30"/>
  <c r="DC171" i="30"/>
  <c r="DD171" i="30"/>
  <c r="DE171" i="30"/>
  <c r="DF171" i="30"/>
  <c r="DG171" i="30"/>
  <c r="DH171" i="30"/>
  <c r="DI171" i="30"/>
  <c r="DJ171" i="30"/>
  <c r="DK171" i="30"/>
  <c r="DL171" i="30"/>
  <c r="DM171" i="30"/>
  <c r="DN171" i="30"/>
  <c r="DO171" i="30"/>
  <c r="DP171" i="30"/>
  <c r="DQ171" i="30"/>
  <c r="DR171" i="30"/>
  <c r="DS171" i="30"/>
  <c r="DT171" i="30"/>
  <c r="DU171" i="30"/>
  <c r="DV171" i="30"/>
  <c r="DW171" i="30"/>
  <c r="DX171" i="30"/>
  <c r="DY171" i="30"/>
  <c r="DZ171" i="30"/>
  <c r="EA171" i="30"/>
  <c r="EB171" i="30"/>
  <c r="EC171" i="30"/>
  <c r="ED171" i="30"/>
  <c r="EE171" i="30"/>
  <c r="EF171" i="30"/>
  <c r="EG171" i="30"/>
  <c r="EH171" i="30"/>
  <c r="EI171" i="30"/>
  <c r="EJ171" i="30"/>
  <c r="EK171" i="30"/>
  <c r="EL171" i="30"/>
  <c r="EM171" i="30"/>
  <c r="EN171" i="30"/>
  <c r="EO171" i="30"/>
  <c r="EP171" i="30"/>
  <c r="EQ171" i="30"/>
  <c r="ER171" i="30"/>
  <c r="ES171" i="30"/>
  <c r="ET171" i="30"/>
  <c r="EU171" i="30"/>
  <c r="EV171" i="30"/>
  <c r="EW171" i="30"/>
  <c r="EX171" i="30"/>
  <c r="EY171" i="30"/>
  <c r="EZ171" i="30"/>
  <c r="FA171" i="30"/>
  <c r="FB171" i="30"/>
  <c r="FC171" i="30"/>
  <c r="FD171" i="30"/>
  <c r="FE171" i="30"/>
  <c r="FF171" i="30"/>
  <c r="FG171" i="30"/>
  <c r="FH171" i="30"/>
  <c r="FI171" i="30"/>
  <c r="FJ171" i="30"/>
  <c r="FK171" i="30"/>
  <c r="FL171" i="30"/>
  <c r="FM171" i="30"/>
  <c r="FN171" i="30"/>
  <c r="FO171" i="30"/>
  <c r="FP171" i="30"/>
  <c r="FQ171" i="30"/>
  <c r="FR171" i="30"/>
  <c r="FS171" i="30"/>
  <c r="FT171" i="30"/>
  <c r="FU171" i="30"/>
  <c r="FV171" i="30"/>
  <c r="FW171" i="30"/>
  <c r="FX171" i="30"/>
  <c r="FY171" i="30"/>
  <c r="FZ171" i="30"/>
  <c r="GA171" i="30"/>
  <c r="GB171" i="30"/>
  <c r="GC171" i="30"/>
  <c r="GD171" i="30"/>
  <c r="GE171" i="30"/>
  <c r="GF171" i="30"/>
  <c r="GG171" i="30"/>
  <c r="GH171" i="30"/>
  <c r="GI171" i="30"/>
  <c r="GJ171" i="30"/>
  <c r="GK171" i="30"/>
  <c r="GL171" i="30"/>
  <c r="GM171" i="30"/>
  <c r="GN171" i="30"/>
  <c r="GO171" i="30"/>
  <c r="GP171" i="30"/>
  <c r="GQ171" i="30"/>
  <c r="GR171" i="30"/>
  <c r="GS171" i="30"/>
  <c r="GT171" i="30"/>
  <c r="GU171" i="30"/>
  <c r="GV171" i="30"/>
  <c r="GW171" i="30"/>
  <c r="GX171" i="30"/>
  <c r="GY171" i="30"/>
  <c r="GZ171" i="30"/>
  <c r="HA171" i="30"/>
  <c r="HB171" i="30"/>
  <c r="HC171" i="30"/>
  <c r="HD171" i="30"/>
  <c r="HE171" i="30"/>
  <c r="HF171" i="30"/>
  <c r="HG171" i="30"/>
  <c r="HH171" i="30"/>
  <c r="HI171" i="30"/>
  <c r="HJ171" i="30"/>
  <c r="HK171" i="30"/>
  <c r="HL171" i="30"/>
  <c r="HM171" i="30"/>
  <c r="HN171" i="30"/>
  <c r="HO171" i="30"/>
  <c r="HP171" i="30"/>
  <c r="HQ171" i="30"/>
  <c r="HR171" i="30"/>
  <c r="HS171" i="30"/>
  <c r="HT171" i="30"/>
  <c r="HU171" i="30"/>
  <c r="HV171" i="30"/>
  <c r="HW171" i="30"/>
  <c r="HX171" i="30"/>
  <c r="HY171" i="30"/>
  <c r="HZ171" i="30"/>
  <c r="IA171" i="30"/>
  <c r="IB171" i="30"/>
  <c r="IC171" i="30"/>
  <c r="ID171" i="30"/>
  <c r="IE171" i="30"/>
  <c r="IF171" i="30"/>
  <c r="IG171" i="30"/>
  <c r="IH171" i="30"/>
  <c r="II171" i="30"/>
  <c r="IJ171" i="30"/>
  <c r="IK171" i="30"/>
  <c r="IL171" i="30"/>
  <c r="IM171" i="30"/>
  <c r="IN171" i="30"/>
  <c r="IO171" i="30"/>
  <c r="IP171" i="30"/>
  <c r="IQ171" i="30"/>
  <c r="IR171" i="30"/>
  <c r="IS171" i="30"/>
  <c r="IT171" i="30"/>
  <c r="IU171" i="30"/>
  <c r="IV171" i="30"/>
  <c r="A170" i="30"/>
  <c r="B170" i="30"/>
  <c r="C170" i="30"/>
  <c r="D170" i="30"/>
  <c r="E170" i="30"/>
  <c r="F170" i="30"/>
  <c r="G170" i="30"/>
  <c r="H170" i="30"/>
  <c r="I170" i="30"/>
  <c r="J170" i="30"/>
  <c r="K170" i="30"/>
  <c r="L170" i="30"/>
  <c r="M170" i="30"/>
  <c r="N170" i="30"/>
  <c r="O170" i="30"/>
  <c r="P170" i="30"/>
  <c r="Q170" i="30"/>
  <c r="R170" i="30"/>
  <c r="S170" i="30"/>
  <c r="T170" i="30"/>
  <c r="U170" i="30"/>
  <c r="V170" i="30"/>
  <c r="W170" i="30"/>
  <c r="X170" i="30"/>
  <c r="Y170" i="30"/>
  <c r="Z170" i="30"/>
  <c r="AA170" i="30"/>
  <c r="AB170" i="30"/>
  <c r="AC170" i="30"/>
  <c r="AD170" i="30"/>
  <c r="AE170" i="30"/>
  <c r="AF170" i="30"/>
  <c r="AG170" i="30"/>
  <c r="AH170" i="30"/>
  <c r="AI170" i="30"/>
  <c r="AJ170" i="30"/>
  <c r="AK170" i="30"/>
  <c r="AL170" i="30"/>
  <c r="AM170" i="30"/>
  <c r="AN170" i="30"/>
  <c r="AO170" i="30"/>
  <c r="AP170" i="30"/>
  <c r="AQ170" i="30"/>
  <c r="AR170" i="30"/>
  <c r="AS170" i="30"/>
  <c r="AT170" i="30"/>
  <c r="AU170" i="30"/>
  <c r="AV170" i="30"/>
  <c r="AW170" i="30"/>
  <c r="AX170" i="30"/>
  <c r="AY170" i="30"/>
  <c r="AZ170" i="30"/>
  <c r="BA170" i="30"/>
  <c r="BB170" i="30"/>
  <c r="BC170" i="30"/>
  <c r="BD170" i="30"/>
  <c r="BE170" i="30"/>
  <c r="BF170" i="30"/>
  <c r="BG170" i="30"/>
  <c r="BH170" i="30"/>
  <c r="BI170" i="30"/>
  <c r="BJ170" i="30"/>
  <c r="BK170" i="30"/>
  <c r="BL170" i="30"/>
  <c r="BM170" i="30"/>
  <c r="BN170" i="30"/>
  <c r="BO170" i="30"/>
  <c r="BP170" i="30"/>
  <c r="BQ170" i="30"/>
  <c r="BR170" i="30"/>
  <c r="BS170" i="30"/>
  <c r="BT170" i="30"/>
  <c r="BU170" i="30"/>
  <c r="BV170" i="30"/>
  <c r="BW170" i="30"/>
  <c r="BX170" i="30"/>
  <c r="BY170" i="30"/>
  <c r="BZ170" i="30"/>
  <c r="CA170" i="30"/>
  <c r="CB170" i="30"/>
  <c r="CC170" i="30"/>
  <c r="CD170" i="30"/>
  <c r="CE170" i="30"/>
  <c r="CF170" i="30"/>
  <c r="CG170" i="30"/>
  <c r="CH170" i="30"/>
  <c r="CI170" i="30"/>
  <c r="CJ170" i="30"/>
  <c r="CK170" i="30"/>
  <c r="CL170" i="30"/>
  <c r="CM170" i="30"/>
  <c r="CN170" i="30"/>
  <c r="CO170" i="30"/>
  <c r="CP170" i="30"/>
  <c r="CQ170" i="30"/>
  <c r="CR170" i="30"/>
  <c r="CS170" i="30"/>
  <c r="CT170" i="30"/>
  <c r="CU170" i="30"/>
  <c r="CV170" i="30"/>
  <c r="CW170" i="30"/>
  <c r="CX170" i="30"/>
  <c r="CY170" i="30"/>
  <c r="CZ170" i="30"/>
  <c r="DA170" i="30"/>
  <c r="DB170" i="30"/>
  <c r="DC170" i="30"/>
  <c r="DD170" i="30"/>
  <c r="DE170" i="30"/>
  <c r="DF170" i="30"/>
  <c r="DG170" i="30"/>
  <c r="DH170" i="30"/>
  <c r="DI170" i="30"/>
  <c r="DJ170" i="30"/>
  <c r="DK170" i="30"/>
  <c r="DL170" i="30"/>
  <c r="DM170" i="30"/>
  <c r="DN170" i="30"/>
  <c r="DO170" i="30"/>
  <c r="DP170" i="30"/>
  <c r="DQ170" i="30"/>
  <c r="DR170" i="30"/>
  <c r="DS170" i="30"/>
  <c r="DT170" i="30"/>
  <c r="DU170" i="30"/>
  <c r="DV170" i="30"/>
  <c r="DW170" i="30"/>
  <c r="DX170" i="30"/>
  <c r="DY170" i="30"/>
  <c r="DZ170" i="30"/>
  <c r="EA170" i="30"/>
  <c r="EB170" i="30"/>
  <c r="EC170" i="30"/>
  <c r="ED170" i="30"/>
  <c r="EE170" i="30"/>
  <c r="EF170" i="30"/>
  <c r="EG170" i="30"/>
  <c r="EH170" i="30"/>
  <c r="EI170" i="30"/>
  <c r="EJ170" i="30"/>
  <c r="EK170" i="30"/>
  <c r="EL170" i="30"/>
  <c r="EM170" i="30"/>
  <c r="EN170" i="30"/>
  <c r="EO170" i="30"/>
  <c r="EP170" i="30"/>
  <c r="EQ170" i="30"/>
  <c r="ER170" i="30"/>
  <c r="ES170" i="30"/>
  <c r="ET170" i="30"/>
  <c r="EU170" i="30"/>
  <c r="EV170" i="30"/>
  <c r="EW170" i="30"/>
  <c r="EX170" i="30"/>
  <c r="EY170" i="30"/>
  <c r="EZ170" i="30"/>
  <c r="FA170" i="30"/>
  <c r="FB170" i="30"/>
  <c r="FC170" i="30"/>
  <c r="FD170" i="30"/>
  <c r="FE170" i="30"/>
  <c r="FF170" i="30"/>
  <c r="FG170" i="30"/>
  <c r="FH170" i="30"/>
  <c r="FI170" i="30"/>
  <c r="FJ170" i="30"/>
  <c r="FK170" i="30"/>
  <c r="FL170" i="30"/>
  <c r="FM170" i="30"/>
  <c r="FN170" i="30"/>
  <c r="FO170" i="30"/>
  <c r="FP170" i="30"/>
  <c r="FQ170" i="30"/>
  <c r="FR170" i="30"/>
  <c r="FS170" i="30"/>
  <c r="FT170" i="30"/>
  <c r="FU170" i="30"/>
  <c r="FV170" i="30"/>
  <c r="FW170" i="30"/>
  <c r="FX170" i="30"/>
  <c r="FY170" i="30"/>
  <c r="FZ170" i="30"/>
  <c r="GA170" i="30"/>
  <c r="GB170" i="30"/>
  <c r="GC170" i="30"/>
  <c r="GD170" i="30"/>
  <c r="GE170" i="30"/>
  <c r="GF170" i="30"/>
  <c r="GG170" i="30"/>
  <c r="GH170" i="30"/>
  <c r="GI170" i="30"/>
  <c r="GJ170" i="30"/>
  <c r="GK170" i="30"/>
  <c r="GL170" i="30"/>
  <c r="GM170" i="30"/>
  <c r="GN170" i="30"/>
  <c r="GO170" i="30"/>
  <c r="GP170" i="30"/>
  <c r="GQ170" i="30"/>
  <c r="GR170" i="30"/>
  <c r="GS170" i="30"/>
  <c r="GT170" i="30"/>
  <c r="GU170" i="30"/>
  <c r="GV170" i="30"/>
  <c r="GW170" i="30"/>
  <c r="GX170" i="30"/>
  <c r="GY170" i="30"/>
  <c r="GZ170" i="30"/>
  <c r="HA170" i="30"/>
  <c r="HB170" i="30"/>
  <c r="HC170" i="30"/>
  <c r="HD170" i="30"/>
  <c r="HE170" i="30"/>
  <c r="HF170" i="30"/>
  <c r="HG170" i="30"/>
  <c r="HH170" i="30"/>
  <c r="HI170" i="30"/>
  <c r="HJ170" i="30"/>
  <c r="HK170" i="30"/>
  <c r="HL170" i="30"/>
  <c r="HM170" i="30"/>
  <c r="HN170" i="30"/>
  <c r="HO170" i="30"/>
  <c r="HP170" i="30"/>
  <c r="HQ170" i="30"/>
  <c r="HR170" i="30"/>
  <c r="HS170" i="30"/>
  <c r="HT170" i="30"/>
  <c r="HU170" i="30"/>
  <c r="HV170" i="30"/>
  <c r="HW170" i="30"/>
  <c r="HX170" i="30"/>
  <c r="HY170" i="30"/>
  <c r="HZ170" i="30"/>
  <c r="IA170" i="30"/>
  <c r="IB170" i="30"/>
  <c r="IC170" i="30"/>
  <c r="ID170" i="30"/>
  <c r="IE170" i="30"/>
  <c r="IF170" i="30"/>
  <c r="IG170" i="30"/>
  <c r="IH170" i="30"/>
  <c r="II170" i="30"/>
  <c r="IJ170" i="30"/>
  <c r="IK170" i="30"/>
  <c r="IL170" i="30"/>
  <c r="IM170" i="30"/>
  <c r="IN170" i="30"/>
  <c r="IO170" i="30"/>
  <c r="IP170" i="30"/>
  <c r="IQ170" i="30"/>
  <c r="IR170" i="30"/>
  <c r="IS170" i="30"/>
  <c r="IT170" i="30"/>
  <c r="IU170" i="30"/>
  <c r="IV170" i="30"/>
  <c r="A169" i="30"/>
  <c r="B169" i="30"/>
  <c r="C169" i="30"/>
  <c r="D169" i="30"/>
  <c r="E169" i="30"/>
  <c r="F169" i="30"/>
  <c r="G169" i="30"/>
  <c r="H169" i="30"/>
  <c r="I169" i="30"/>
  <c r="J169" i="30"/>
  <c r="K169" i="30"/>
  <c r="L169" i="30"/>
  <c r="M169" i="30"/>
  <c r="N169" i="30"/>
  <c r="O169" i="30"/>
  <c r="P169" i="30"/>
  <c r="Q169" i="30"/>
  <c r="R169" i="30"/>
  <c r="S169" i="30"/>
  <c r="T169" i="30"/>
  <c r="U169" i="30"/>
  <c r="V169" i="30"/>
  <c r="W169" i="30"/>
  <c r="X169" i="30"/>
  <c r="Y169" i="30"/>
  <c r="Z169" i="30"/>
  <c r="AA169" i="30"/>
  <c r="AB169" i="30"/>
  <c r="AC169" i="30"/>
  <c r="AD169" i="30"/>
  <c r="AE169" i="30"/>
  <c r="AF169" i="30"/>
  <c r="AG169" i="30"/>
  <c r="AH169" i="30"/>
  <c r="AI169" i="30"/>
  <c r="AJ169" i="30"/>
  <c r="AK169" i="30"/>
  <c r="AL169" i="30"/>
  <c r="AM169" i="30"/>
  <c r="AN169" i="30"/>
  <c r="AO169" i="30"/>
  <c r="AP169" i="30"/>
  <c r="AQ169" i="30"/>
  <c r="AR169" i="30"/>
  <c r="AS169" i="30"/>
  <c r="AT169" i="30"/>
  <c r="AU169" i="30"/>
  <c r="AV169" i="30"/>
  <c r="AW169" i="30"/>
  <c r="AX169" i="30"/>
  <c r="AY169" i="30"/>
  <c r="AZ169" i="30"/>
  <c r="BA169" i="30"/>
  <c r="BB169" i="30"/>
  <c r="BC169" i="30"/>
  <c r="BD169" i="30"/>
  <c r="BE169" i="30"/>
  <c r="BF169" i="30"/>
  <c r="BG169" i="30"/>
  <c r="BH169" i="30"/>
  <c r="BI169" i="30"/>
  <c r="BJ169" i="30"/>
  <c r="BK169" i="30"/>
  <c r="BL169" i="30"/>
  <c r="BM169" i="30"/>
  <c r="BN169" i="30"/>
  <c r="BO169" i="30"/>
  <c r="BP169" i="30"/>
  <c r="BQ169" i="30"/>
  <c r="BR169" i="30"/>
  <c r="BS169" i="30"/>
  <c r="BT169" i="30"/>
  <c r="BU169" i="30"/>
  <c r="BV169" i="30"/>
  <c r="BW169" i="30"/>
  <c r="BX169" i="30"/>
  <c r="BY169" i="30"/>
  <c r="BZ169" i="30"/>
  <c r="CA169" i="30"/>
  <c r="CB169" i="30"/>
  <c r="CC169" i="30"/>
  <c r="CD169" i="30"/>
  <c r="CE169" i="30"/>
  <c r="CF169" i="30"/>
  <c r="CG169" i="30"/>
  <c r="CH169" i="30"/>
  <c r="CI169" i="30"/>
  <c r="CJ169" i="30"/>
  <c r="CK169" i="30"/>
  <c r="CL169" i="30"/>
  <c r="CM169" i="30"/>
  <c r="CN169" i="30"/>
  <c r="CO169" i="30"/>
  <c r="CP169" i="30"/>
  <c r="CQ169" i="30"/>
  <c r="CR169" i="30"/>
  <c r="CS169" i="30"/>
  <c r="CT169" i="30"/>
  <c r="CU169" i="30"/>
  <c r="CV169" i="30"/>
  <c r="CW169" i="30"/>
  <c r="CX169" i="30"/>
  <c r="CY169" i="30"/>
  <c r="CZ169" i="30"/>
  <c r="DA169" i="30"/>
  <c r="DB169" i="30"/>
  <c r="DC169" i="30"/>
  <c r="DD169" i="30"/>
  <c r="DE169" i="30"/>
  <c r="DF169" i="30"/>
  <c r="DG169" i="30"/>
  <c r="DH169" i="30"/>
  <c r="DI169" i="30"/>
  <c r="DJ169" i="30"/>
  <c r="DK169" i="30"/>
  <c r="DL169" i="30"/>
  <c r="DM169" i="30"/>
  <c r="DN169" i="30"/>
  <c r="DO169" i="30"/>
  <c r="DP169" i="30"/>
  <c r="DQ169" i="30"/>
  <c r="DR169" i="30"/>
  <c r="DS169" i="30"/>
  <c r="DT169" i="30"/>
  <c r="DU169" i="30"/>
  <c r="DV169" i="30"/>
  <c r="DW169" i="30"/>
  <c r="DX169" i="30"/>
  <c r="DY169" i="30"/>
  <c r="DZ169" i="30"/>
  <c r="EA169" i="30"/>
  <c r="EB169" i="30"/>
  <c r="EC169" i="30"/>
  <c r="ED169" i="30"/>
  <c r="EE169" i="30"/>
  <c r="EF169" i="30"/>
  <c r="EG169" i="30"/>
  <c r="EH169" i="30"/>
  <c r="EI169" i="30"/>
  <c r="EJ169" i="30"/>
  <c r="EK169" i="30"/>
  <c r="EL169" i="30"/>
  <c r="EM169" i="30"/>
  <c r="EN169" i="30"/>
  <c r="EO169" i="30"/>
  <c r="EP169" i="30"/>
  <c r="EQ169" i="30"/>
  <c r="ER169" i="30"/>
  <c r="ES169" i="30"/>
  <c r="ET169" i="30"/>
  <c r="EU169" i="30"/>
  <c r="EV169" i="30"/>
  <c r="EW169" i="30"/>
  <c r="EX169" i="30"/>
  <c r="EY169" i="30"/>
  <c r="EZ169" i="30"/>
  <c r="FA169" i="30"/>
  <c r="FB169" i="30"/>
  <c r="FC169" i="30"/>
  <c r="FD169" i="30"/>
  <c r="FE169" i="30"/>
  <c r="FF169" i="30"/>
  <c r="FG169" i="30"/>
  <c r="FH169" i="30"/>
  <c r="FI169" i="30"/>
  <c r="FJ169" i="30"/>
  <c r="FK169" i="30"/>
  <c r="FL169" i="30"/>
  <c r="FM169" i="30"/>
  <c r="FN169" i="30"/>
  <c r="FO169" i="30"/>
  <c r="FP169" i="30"/>
  <c r="FQ169" i="30"/>
  <c r="FR169" i="30"/>
  <c r="FS169" i="30"/>
  <c r="FT169" i="30"/>
  <c r="FU169" i="30"/>
  <c r="FV169" i="30"/>
  <c r="FW169" i="30"/>
  <c r="FX169" i="30"/>
  <c r="FY169" i="30"/>
  <c r="FZ169" i="30"/>
  <c r="GA169" i="30"/>
  <c r="GB169" i="30"/>
  <c r="GC169" i="30"/>
  <c r="GD169" i="30"/>
  <c r="GE169" i="30"/>
  <c r="GF169" i="30"/>
  <c r="GG169" i="30"/>
  <c r="GH169" i="30"/>
  <c r="GI169" i="30"/>
  <c r="GJ169" i="30"/>
  <c r="GK169" i="30"/>
  <c r="GL169" i="30"/>
  <c r="GM169" i="30"/>
  <c r="GN169" i="30"/>
  <c r="GO169" i="30"/>
  <c r="GP169" i="30"/>
  <c r="GQ169" i="30"/>
  <c r="GR169" i="30"/>
  <c r="GS169" i="30"/>
  <c r="GT169" i="30"/>
  <c r="GU169" i="30"/>
  <c r="GV169" i="30"/>
  <c r="GW169" i="30"/>
  <c r="GX169" i="30"/>
  <c r="GY169" i="30"/>
  <c r="GZ169" i="30"/>
  <c r="HA169" i="30"/>
  <c r="HB169" i="30"/>
  <c r="HC169" i="30"/>
  <c r="HD169" i="30"/>
  <c r="HE169" i="30"/>
  <c r="HF169" i="30"/>
  <c r="HG169" i="30"/>
  <c r="HH169" i="30"/>
  <c r="HI169" i="30"/>
  <c r="HJ169" i="30"/>
  <c r="HK169" i="30"/>
  <c r="HL169" i="30"/>
  <c r="HM169" i="30"/>
  <c r="HN169" i="30"/>
  <c r="HO169" i="30"/>
  <c r="HP169" i="30"/>
  <c r="HQ169" i="30"/>
  <c r="HR169" i="30"/>
  <c r="HS169" i="30"/>
  <c r="HT169" i="30"/>
  <c r="HU169" i="30"/>
  <c r="HV169" i="30"/>
  <c r="HW169" i="30"/>
  <c r="HX169" i="30"/>
  <c r="HY169" i="30"/>
  <c r="HZ169" i="30"/>
  <c r="IA169" i="30"/>
  <c r="IB169" i="30"/>
  <c r="IC169" i="30"/>
  <c r="ID169" i="30"/>
  <c r="IE169" i="30"/>
  <c r="IF169" i="30"/>
  <c r="IG169" i="30"/>
  <c r="IH169" i="30"/>
  <c r="II169" i="30"/>
  <c r="IJ169" i="30"/>
  <c r="IK169" i="30"/>
  <c r="IL169" i="30"/>
  <c r="IM169" i="30"/>
  <c r="IN169" i="30"/>
  <c r="IO169" i="30"/>
  <c r="IP169" i="30"/>
  <c r="IQ169" i="30"/>
  <c r="IR169" i="30"/>
  <c r="IS169" i="30"/>
  <c r="IT169" i="30"/>
  <c r="IU169" i="30"/>
  <c r="IV169" i="30"/>
  <c r="A168" i="30"/>
  <c r="B168" i="30"/>
  <c r="C168" i="30"/>
  <c r="D168" i="30"/>
  <c r="E168" i="30"/>
  <c r="F168" i="30"/>
  <c r="G168" i="30"/>
  <c r="H168" i="30"/>
  <c r="I168" i="30"/>
  <c r="J168" i="30"/>
  <c r="K168" i="30"/>
  <c r="L168" i="30"/>
  <c r="M168" i="30"/>
  <c r="N168" i="30"/>
  <c r="O168" i="30"/>
  <c r="P168" i="30"/>
  <c r="Q168" i="30"/>
  <c r="R168" i="30"/>
  <c r="S168" i="30"/>
  <c r="T168" i="30"/>
  <c r="U168" i="30"/>
  <c r="V168" i="30"/>
  <c r="W168" i="30"/>
  <c r="X168" i="30"/>
  <c r="Y168" i="30"/>
  <c r="Z168" i="30"/>
  <c r="AA168" i="30"/>
  <c r="AB168" i="30"/>
  <c r="AC168" i="30"/>
  <c r="AD168" i="30"/>
  <c r="AE168" i="30"/>
  <c r="AF168" i="30"/>
  <c r="AG168" i="30"/>
  <c r="AH168" i="30"/>
  <c r="AI168" i="30"/>
  <c r="AJ168" i="30"/>
  <c r="AK168" i="30"/>
  <c r="AL168" i="30"/>
  <c r="AM168" i="30"/>
  <c r="AN168" i="30"/>
  <c r="AO168" i="30"/>
  <c r="AP168" i="30"/>
  <c r="AQ168" i="30"/>
  <c r="AR168" i="30"/>
  <c r="AS168" i="30"/>
  <c r="AT168" i="30"/>
  <c r="AU168" i="30"/>
  <c r="AV168" i="30"/>
  <c r="AW168" i="30"/>
  <c r="AX168" i="30"/>
  <c r="AY168" i="30"/>
  <c r="AZ168" i="30"/>
  <c r="BA168" i="30"/>
  <c r="BB168" i="30"/>
  <c r="BC168" i="30"/>
  <c r="BD168" i="30"/>
  <c r="BE168" i="30"/>
  <c r="BF168" i="30"/>
  <c r="BG168" i="30"/>
  <c r="BH168" i="30"/>
  <c r="BI168" i="30"/>
  <c r="BJ168" i="30"/>
  <c r="BK168" i="30"/>
  <c r="BL168" i="30"/>
  <c r="BM168" i="30"/>
  <c r="BN168" i="30"/>
  <c r="BO168" i="30"/>
  <c r="BP168" i="30"/>
  <c r="BQ168" i="30"/>
  <c r="BR168" i="30"/>
  <c r="BS168" i="30"/>
  <c r="BT168" i="30"/>
  <c r="BU168" i="30"/>
  <c r="BV168" i="30"/>
  <c r="BW168" i="30"/>
  <c r="BX168" i="30"/>
  <c r="BY168" i="30"/>
  <c r="BZ168" i="30"/>
  <c r="CA168" i="30"/>
  <c r="CB168" i="30"/>
  <c r="CC168" i="30"/>
  <c r="CD168" i="30"/>
  <c r="CE168" i="30"/>
  <c r="CF168" i="30"/>
  <c r="CG168" i="30"/>
  <c r="CH168" i="30"/>
  <c r="CI168" i="30"/>
  <c r="CJ168" i="30"/>
  <c r="CK168" i="30"/>
  <c r="CL168" i="30"/>
  <c r="CM168" i="30"/>
  <c r="CN168" i="30"/>
  <c r="CO168" i="30"/>
  <c r="CP168" i="30"/>
  <c r="CQ168" i="30"/>
  <c r="CR168" i="30"/>
  <c r="CS168" i="30"/>
  <c r="CT168" i="30"/>
  <c r="CU168" i="30"/>
  <c r="CV168" i="30"/>
  <c r="CW168" i="30"/>
  <c r="CX168" i="30"/>
  <c r="CY168" i="30"/>
  <c r="CZ168" i="30"/>
  <c r="DA168" i="30"/>
  <c r="DB168" i="30"/>
  <c r="DC168" i="30"/>
  <c r="DD168" i="30"/>
  <c r="DE168" i="30"/>
  <c r="DF168" i="30"/>
  <c r="DG168" i="30"/>
  <c r="DH168" i="30"/>
  <c r="DI168" i="30"/>
  <c r="DJ168" i="30"/>
  <c r="DK168" i="30"/>
  <c r="DL168" i="30"/>
  <c r="DM168" i="30"/>
  <c r="DN168" i="30"/>
  <c r="DO168" i="30"/>
  <c r="DP168" i="30"/>
  <c r="DQ168" i="30"/>
  <c r="DR168" i="30"/>
  <c r="DS168" i="30"/>
  <c r="DT168" i="30"/>
  <c r="DU168" i="30"/>
  <c r="DV168" i="30"/>
  <c r="DW168" i="30"/>
  <c r="DX168" i="30"/>
  <c r="DY168" i="30"/>
  <c r="DZ168" i="30"/>
  <c r="EA168" i="30"/>
  <c r="EB168" i="30"/>
  <c r="EC168" i="30"/>
  <c r="ED168" i="30"/>
  <c r="EE168" i="30"/>
  <c r="EF168" i="30"/>
  <c r="EG168" i="30"/>
  <c r="EH168" i="30"/>
  <c r="EI168" i="30"/>
  <c r="EJ168" i="30"/>
  <c r="EK168" i="30"/>
  <c r="EL168" i="30"/>
  <c r="EM168" i="30"/>
  <c r="EN168" i="30"/>
  <c r="EO168" i="30"/>
  <c r="EP168" i="30"/>
  <c r="EQ168" i="30"/>
  <c r="ER168" i="30"/>
  <c r="ES168" i="30"/>
  <c r="ET168" i="30"/>
  <c r="EU168" i="30"/>
  <c r="EV168" i="30"/>
  <c r="EW168" i="30"/>
  <c r="EX168" i="30"/>
  <c r="EY168" i="30"/>
  <c r="EZ168" i="30"/>
  <c r="FA168" i="30"/>
  <c r="FB168" i="30"/>
  <c r="FC168" i="30"/>
  <c r="FD168" i="30"/>
  <c r="FE168" i="30"/>
  <c r="FF168" i="30"/>
  <c r="FG168" i="30"/>
  <c r="FH168" i="30"/>
  <c r="FI168" i="30"/>
  <c r="FJ168" i="30"/>
  <c r="FK168" i="30"/>
  <c r="FL168" i="30"/>
  <c r="FM168" i="30"/>
  <c r="FN168" i="30"/>
  <c r="FO168" i="30"/>
  <c r="FP168" i="30"/>
  <c r="FQ168" i="30"/>
  <c r="FR168" i="30"/>
  <c r="FS168" i="30"/>
  <c r="FT168" i="30"/>
  <c r="FU168" i="30"/>
  <c r="FV168" i="30"/>
  <c r="FW168" i="30"/>
  <c r="FX168" i="30"/>
  <c r="FY168" i="30"/>
  <c r="FZ168" i="30"/>
  <c r="GA168" i="30"/>
  <c r="GB168" i="30"/>
  <c r="GC168" i="30"/>
  <c r="GD168" i="30"/>
  <c r="GE168" i="30"/>
  <c r="GF168" i="30"/>
  <c r="GG168" i="30"/>
  <c r="GH168" i="30"/>
  <c r="GI168" i="30"/>
  <c r="GJ168" i="30"/>
  <c r="GK168" i="30"/>
  <c r="GL168" i="30"/>
  <c r="GM168" i="30"/>
  <c r="GN168" i="30"/>
  <c r="GO168" i="30"/>
  <c r="GP168" i="30"/>
  <c r="GQ168" i="30"/>
  <c r="GR168" i="30"/>
  <c r="GS168" i="30"/>
  <c r="GT168" i="30"/>
  <c r="GU168" i="30"/>
  <c r="GV168" i="30"/>
  <c r="GW168" i="30"/>
  <c r="GX168" i="30"/>
  <c r="GY168" i="30"/>
  <c r="GZ168" i="30"/>
  <c r="HA168" i="30"/>
  <c r="HB168" i="30"/>
  <c r="HC168" i="30"/>
  <c r="HD168" i="30"/>
  <c r="HE168" i="30"/>
  <c r="HF168" i="30"/>
  <c r="HG168" i="30"/>
  <c r="HH168" i="30"/>
  <c r="HI168" i="30"/>
  <c r="HJ168" i="30"/>
  <c r="HK168" i="30"/>
  <c r="HL168" i="30"/>
  <c r="HM168" i="30"/>
  <c r="HN168" i="30"/>
  <c r="HO168" i="30"/>
  <c r="HP168" i="30"/>
  <c r="HQ168" i="30"/>
  <c r="HR168" i="30"/>
  <c r="HS168" i="30"/>
  <c r="HT168" i="30"/>
  <c r="HU168" i="30"/>
  <c r="HV168" i="30"/>
  <c r="HW168" i="30"/>
  <c r="HX168" i="30"/>
  <c r="HY168" i="30"/>
  <c r="HZ168" i="30"/>
  <c r="IA168" i="30"/>
  <c r="IB168" i="30"/>
  <c r="IC168" i="30"/>
  <c r="ID168" i="30"/>
  <c r="IE168" i="30"/>
  <c r="IF168" i="30"/>
  <c r="IG168" i="30"/>
  <c r="IH168" i="30"/>
  <c r="II168" i="30"/>
  <c r="IJ168" i="30"/>
  <c r="IK168" i="30"/>
  <c r="IL168" i="30"/>
  <c r="IM168" i="30"/>
  <c r="IN168" i="30"/>
  <c r="IO168" i="30"/>
  <c r="IP168" i="30"/>
  <c r="IQ168" i="30"/>
  <c r="IR168" i="30"/>
  <c r="IS168" i="30"/>
  <c r="IT168" i="30"/>
  <c r="IU168" i="30"/>
  <c r="IV168" i="30"/>
  <c r="A167" i="30"/>
  <c r="B167" i="30"/>
  <c r="C167" i="30"/>
  <c r="D167" i="30"/>
  <c r="E167" i="30"/>
  <c r="F167" i="30"/>
  <c r="G167" i="30"/>
  <c r="H167" i="30"/>
  <c r="I167" i="30"/>
  <c r="J167" i="30"/>
  <c r="K167" i="30"/>
  <c r="L167" i="30"/>
  <c r="M167" i="30"/>
  <c r="N167" i="30"/>
  <c r="O167" i="30"/>
  <c r="P167" i="30"/>
  <c r="Q167" i="30"/>
  <c r="R167" i="30"/>
  <c r="S167" i="30"/>
  <c r="T167" i="30"/>
  <c r="U167" i="30"/>
  <c r="V167" i="30"/>
  <c r="W167" i="30"/>
  <c r="X167" i="30"/>
  <c r="Y167" i="30"/>
  <c r="Z167" i="30"/>
  <c r="AA167" i="30"/>
  <c r="AB167" i="30"/>
  <c r="AC167" i="30"/>
  <c r="AD167" i="30"/>
  <c r="AE167" i="30"/>
  <c r="AF167" i="30"/>
  <c r="AG167" i="30"/>
  <c r="AH167" i="30"/>
  <c r="AI167" i="30"/>
  <c r="AJ167" i="30"/>
  <c r="AK167" i="30"/>
  <c r="AL167" i="30"/>
  <c r="AM167" i="30"/>
  <c r="AN167" i="30"/>
  <c r="AO167" i="30"/>
  <c r="AP167" i="30"/>
  <c r="AQ167" i="30"/>
  <c r="AR167" i="30"/>
  <c r="AS167" i="30"/>
  <c r="AT167" i="30"/>
  <c r="AU167" i="30"/>
  <c r="AV167" i="30"/>
  <c r="AW167" i="30"/>
  <c r="AX167" i="30"/>
  <c r="AY167" i="30"/>
  <c r="AZ167" i="30"/>
  <c r="BA167" i="30"/>
  <c r="BB167" i="30"/>
  <c r="BC167" i="30"/>
  <c r="BD167" i="30"/>
  <c r="BE167" i="30"/>
  <c r="BF167" i="30"/>
  <c r="BG167" i="30"/>
  <c r="BH167" i="30"/>
  <c r="BI167" i="30"/>
  <c r="BJ167" i="30"/>
  <c r="BK167" i="30"/>
  <c r="BL167" i="30"/>
  <c r="BM167" i="30"/>
  <c r="BN167" i="30"/>
  <c r="BO167" i="30"/>
  <c r="BP167" i="30"/>
  <c r="BQ167" i="30"/>
  <c r="BR167" i="30"/>
  <c r="BS167" i="30"/>
  <c r="BT167" i="30"/>
  <c r="BU167" i="30"/>
  <c r="BV167" i="30"/>
  <c r="BW167" i="30"/>
  <c r="BX167" i="30"/>
  <c r="BY167" i="30"/>
  <c r="BZ167" i="30"/>
  <c r="CA167" i="30"/>
  <c r="CB167" i="30"/>
  <c r="CC167" i="30"/>
  <c r="CD167" i="30"/>
  <c r="CE167" i="30"/>
  <c r="CF167" i="30"/>
  <c r="CG167" i="30"/>
  <c r="CH167" i="30"/>
  <c r="CI167" i="30"/>
  <c r="CJ167" i="30"/>
  <c r="CK167" i="30"/>
  <c r="CL167" i="30"/>
  <c r="CM167" i="30"/>
  <c r="CN167" i="30"/>
  <c r="CO167" i="30"/>
  <c r="CP167" i="30"/>
  <c r="CQ167" i="30"/>
  <c r="CR167" i="30"/>
  <c r="CS167" i="30"/>
  <c r="CT167" i="30"/>
  <c r="CU167" i="30"/>
  <c r="CV167" i="30"/>
  <c r="CW167" i="30"/>
  <c r="CX167" i="30"/>
  <c r="CY167" i="30"/>
  <c r="CZ167" i="30"/>
  <c r="DA167" i="30"/>
  <c r="DB167" i="30"/>
  <c r="DC167" i="30"/>
  <c r="DD167" i="30"/>
  <c r="DE167" i="30"/>
  <c r="DF167" i="30"/>
  <c r="DG167" i="30"/>
  <c r="DH167" i="30"/>
  <c r="DI167" i="30"/>
  <c r="DJ167" i="30"/>
  <c r="DK167" i="30"/>
  <c r="DL167" i="30"/>
  <c r="DM167" i="30"/>
  <c r="DN167" i="30"/>
  <c r="DO167" i="30"/>
  <c r="DP167" i="30"/>
  <c r="DQ167" i="30"/>
  <c r="DR167" i="30"/>
  <c r="DS167" i="30"/>
  <c r="DT167" i="30"/>
  <c r="DU167" i="30"/>
  <c r="DV167" i="30"/>
  <c r="DW167" i="30"/>
  <c r="DX167" i="30"/>
  <c r="DY167" i="30"/>
  <c r="DZ167" i="30"/>
  <c r="EA167" i="30"/>
  <c r="EB167" i="30"/>
  <c r="EC167" i="30"/>
  <c r="ED167" i="30"/>
  <c r="EE167" i="30"/>
  <c r="EF167" i="30"/>
  <c r="EG167" i="30"/>
  <c r="EH167" i="30"/>
  <c r="EI167" i="30"/>
  <c r="EJ167" i="30"/>
  <c r="EK167" i="30"/>
  <c r="EL167" i="30"/>
  <c r="EM167" i="30"/>
  <c r="EN167" i="30"/>
  <c r="EO167" i="30"/>
  <c r="EP167" i="30"/>
  <c r="EQ167" i="30"/>
  <c r="ER167" i="30"/>
  <c r="ES167" i="30"/>
  <c r="ET167" i="30"/>
  <c r="EU167" i="30"/>
  <c r="EV167" i="30"/>
  <c r="EW167" i="30"/>
  <c r="EX167" i="30"/>
  <c r="EY167" i="30"/>
  <c r="EZ167" i="30"/>
  <c r="FA167" i="30"/>
  <c r="FB167" i="30"/>
  <c r="FC167" i="30"/>
  <c r="FD167" i="30"/>
  <c r="FE167" i="30"/>
  <c r="FF167" i="30"/>
  <c r="FG167" i="30"/>
  <c r="FH167" i="30"/>
  <c r="FI167" i="30"/>
  <c r="FJ167" i="30"/>
  <c r="FK167" i="30"/>
  <c r="FL167" i="30"/>
  <c r="FM167" i="30"/>
  <c r="FN167" i="30"/>
  <c r="FO167" i="30"/>
  <c r="FP167" i="30"/>
  <c r="FQ167" i="30"/>
  <c r="FR167" i="30"/>
  <c r="FS167" i="30"/>
  <c r="FT167" i="30"/>
  <c r="FU167" i="30"/>
  <c r="FV167" i="30"/>
  <c r="FW167" i="30"/>
  <c r="FX167" i="30"/>
  <c r="FY167" i="30"/>
  <c r="FZ167" i="30"/>
  <c r="GA167" i="30"/>
  <c r="GB167" i="30"/>
  <c r="GC167" i="30"/>
  <c r="GD167" i="30"/>
  <c r="GE167" i="30"/>
  <c r="GF167" i="30"/>
  <c r="GG167" i="30"/>
  <c r="GH167" i="30"/>
  <c r="GI167" i="30"/>
  <c r="GJ167" i="30"/>
  <c r="GK167" i="30"/>
  <c r="GL167" i="30"/>
  <c r="GM167" i="30"/>
  <c r="GN167" i="30"/>
  <c r="GO167" i="30"/>
  <c r="GP167" i="30"/>
  <c r="GQ167" i="30"/>
  <c r="GR167" i="30"/>
  <c r="GS167" i="30"/>
  <c r="GT167" i="30"/>
  <c r="GU167" i="30"/>
  <c r="GV167" i="30"/>
  <c r="GW167" i="30"/>
  <c r="GX167" i="30"/>
  <c r="GY167" i="30"/>
  <c r="GZ167" i="30"/>
  <c r="HA167" i="30"/>
  <c r="HB167" i="30"/>
  <c r="HC167" i="30"/>
  <c r="HD167" i="30"/>
  <c r="HE167" i="30"/>
  <c r="HF167" i="30"/>
  <c r="HG167" i="30"/>
  <c r="HH167" i="30"/>
  <c r="HI167" i="30"/>
  <c r="HJ167" i="30"/>
  <c r="HK167" i="30"/>
  <c r="HL167" i="30"/>
  <c r="HM167" i="30"/>
  <c r="HN167" i="30"/>
  <c r="HO167" i="30"/>
  <c r="HP167" i="30"/>
  <c r="HQ167" i="30"/>
  <c r="HR167" i="30"/>
  <c r="HS167" i="30"/>
  <c r="HT167" i="30"/>
  <c r="HU167" i="30"/>
  <c r="HV167" i="30"/>
  <c r="HW167" i="30"/>
  <c r="HX167" i="30"/>
  <c r="HY167" i="30"/>
  <c r="HZ167" i="30"/>
  <c r="IA167" i="30"/>
  <c r="IB167" i="30"/>
  <c r="IC167" i="30"/>
  <c r="ID167" i="30"/>
  <c r="IE167" i="30"/>
  <c r="IF167" i="30"/>
  <c r="IG167" i="30"/>
  <c r="IH167" i="30"/>
  <c r="II167" i="30"/>
  <c r="IJ167" i="30"/>
  <c r="IK167" i="30"/>
  <c r="IL167" i="30"/>
  <c r="IM167" i="30"/>
  <c r="IN167" i="30"/>
  <c r="IO167" i="30"/>
  <c r="IP167" i="30"/>
  <c r="IQ167" i="30"/>
  <c r="IR167" i="30"/>
  <c r="IS167" i="30"/>
  <c r="IT167" i="30"/>
  <c r="IU167" i="30"/>
  <c r="IV167" i="30"/>
  <c r="A166" i="30"/>
  <c r="B166" i="30"/>
  <c r="C166" i="30"/>
  <c r="D166" i="30"/>
  <c r="E166" i="30"/>
  <c r="F166" i="30"/>
  <c r="G166" i="30"/>
  <c r="H166" i="30"/>
  <c r="I166" i="30"/>
  <c r="J166" i="30"/>
  <c r="K166" i="30"/>
  <c r="L166" i="30"/>
  <c r="M166" i="30"/>
  <c r="N166" i="30"/>
  <c r="O166" i="30"/>
  <c r="P166" i="30"/>
  <c r="Q166" i="30"/>
  <c r="R166" i="30"/>
  <c r="S166" i="30"/>
  <c r="T166" i="30"/>
  <c r="U166" i="30"/>
  <c r="V166" i="30"/>
  <c r="W166" i="30"/>
  <c r="X166" i="30"/>
  <c r="Y166" i="30"/>
  <c r="Z166" i="30"/>
  <c r="AA166" i="30"/>
  <c r="AB166" i="30"/>
  <c r="AC166" i="30"/>
  <c r="AD166" i="30"/>
  <c r="AE166" i="30"/>
  <c r="AF166" i="30"/>
  <c r="AG166" i="30"/>
  <c r="AH166" i="30"/>
  <c r="AI166" i="30"/>
  <c r="AJ166" i="30"/>
  <c r="AK166" i="30"/>
  <c r="AL166" i="30"/>
  <c r="AM166" i="30"/>
  <c r="AN166" i="30"/>
  <c r="AO166" i="30"/>
  <c r="AP166" i="30"/>
  <c r="AQ166" i="30"/>
  <c r="AR166" i="30"/>
  <c r="AS166" i="30"/>
  <c r="AT166" i="30"/>
  <c r="AU166" i="30"/>
  <c r="AV166" i="30"/>
  <c r="AW166" i="30"/>
  <c r="AX166" i="30"/>
  <c r="AY166" i="30"/>
  <c r="AZ166" i="30"/>
  <c r="BA166" i="30"/>
  <c r="BB166" i="30"/>
  <c r="BC166" i="30"/>
  <c r="BD166" i="30"/>
  <c r="BE166" i="30"/>
  <c r="BF166" i="30"/>
  <c r="BG166" i="30"/>
  <c r="BH166" i="30"/>
  <c r="BI166" i="30"/>
  <c r="BJ166" i="30"/>
  <c r="BK166" i="30"/>
  <c r="BL166" i="30"/>
  <c r="BM166" i="30"/>
  <c r="BN166" i="30"/>
  <c r="BO166" i="30"/>
  <c r="BP166" i="30"/>
  <c r="BQ166" i="30"/>
  <c r="BR166" i="30"/>
  <c r="BS166" i="30"/>
  <c r="BT166" i="30"/>
  <c r="BU166" i="30"/>
  <c r="BV166" i="30"/>
  <c r="BW166" i="30"/>
  <c r="BX166" i="30"/>
  <c r="BY166" i="30"/>
  <c r="BZ166" i="30"/>
  <c r="CA166" i="30"/>
  <c r="CB166" i="30"/>
  <c r="CC166" i="30"/>
  <c r="CD166" i="30"/>
  <c r="CE166" i="30"/>
  <c r="CF166" i="30"/>
  <c r="CG166" i="30"/>
  <c r="CH166" i="30"/>
  <c r="CI166" i="30"/>
  <c r="CJ166" i="30"/>
  <c r="CK166" i="30"/>
  <c r="CL166" i="30"/>
  <c r="CM166" i="30"/>
  <c r="CN166" i="30"/>
  <c r="CO166" i="30"/>
  <c r="CP166" i="30"/>
  <c r="CQ166" i="30"/>
  <c r="CR166" i="30"/>
  <c r="CS166" i="30"/>
  <c r="CT166" i="30"/>
  <c r="CU166" i="30"/>
  <c r="CV166" i="30"/>
  <c r="CW166" i="30"/>
  <c r="CX166" i="30"/>
  <c r="CY166" i="30"/>
  <c r="CZ166" i="30"/>
  <c r="DA166" i="30"/>
  <c r="DB166" i="30"/>
  <c r="DC166" i="30"/>
  <c r="DD166" i="30"/>
  <c r="DE166" i="30"/>
  <c r="DF166" i="30"/>
  <c r="DG166" i="30"/>
  <c r="DH166" i="30"/>
  <c r="DI166" i="30"/>
  <c r="DJ166" i="30"/>
  <c r="DK166" i="30"/>
  <c r="DL166" i="30"/>
  <c r="DM166" i="30"/>
  <c r="DN166" i="30"/>
  <c r="DO166" i="30"/>
  <c r="DP166" i="30"/>
  <c r="DQ166" i="30"/>
  <c r="DR166" i="30"/>
  <c r="DS166" i="30"/>
  <c r="DT166" i="30"/>
  <c r="DU166" i="30"/>
  <c r="DV166" i="30"/>
  <c r="DW166" i="30"/>
  <c r="DX166" i="30"/>
  <c r="DY166" i="30"/>
  <c r="DZ166" i="30"/>
  <c r="EA166" i="30"/>
  <c r="EB166" i="30"/>
  <c r="EC166" i="30"/>
  <c r="ED166" i="30"/>
  <c r="EE166" i="30"/>
  <c r="EF166" i="30"/>
  <c r="EG166" i="30"/>
  <c r="EH166" i="30"/>
  <c r="EI166" i="30"/>
  <c r="EJ166" i="30"/>
  <c r="EK166" i="30"/>
  <c r="EL166" i="30"/>
  <c r="EM166" i="30"/>
  <c r="EN166" i="30"/>
  <c r="EO166" i="30"/>
  <c r="EP166" i="30"/>
  <c r="EQ166" i="30"/>
  <c r="ER166" i="30"/>
  <c r="ES166" i="30"/>
  <c r="ET166" i="30"/>
  <c r="EU166" i="30"/>
  <c r="EV166" i="30"/>
  <c r="EW166" i="30"/>
  <c r="EX166" i="30"/>
  <c r="EY166" i="30"/>
  <c r="EZ166" i="30"/>
  <c r="FA166" i="30"/>
  <c r="FB166" i="30"/>
  <c r="FC166" i="30"/>
  <c r="FD166" i="30"/>
  <c r="FE166" i="30"/>
  <c r="FF166" i="30"/>
  <c r="FG166" i="30"/>
  <c r="FH166" i="30"/>
  <c r="FI166" i="30"/>
  <c r="FJ166" i="30"/>
  <c r="FK166" i="30"/>
  <c r="FL166" i="30"/>
  <c r="FM166" i="30"/>
  <c r="FN166" i="30"/>
  <c r="FO166" i="30"/>
  <c r="FP166" i="30"/>
  <c r="FQ166" i="30"/>
  <c r="FR166" i="30"/>
  <c r="FS166" i="30"/>
  <c r="FT166" i="30"/>
  <c r="FU166" i="30"/>
  <c r="FV166" i="30"/>
  <c r="FW166" i="30"/>
  <c r="FX166" i="30"/>
  <c r="FY166" i="30"/>
  <c r="FZ166" i="30"/>
  <c r="GA166" i="30"/>
  <c r="GB166" i="30"/>
  <c r="GC166" i="30"/>
  <c r="GD166" i="30"/>
  <c r="GE166" i="30"/>
  <c r="GF166" i="30"/>
  <c r="GG166" i="30"/>
  <c r="GH166" i="30"/>
  <c r="GI166" i="30"/>
  <c r="GJ166" i="30"/>
  <c r="GK166" i="30"/>
  <c r="GL166" i="30"/>
  <c r="GM166" i="30"/>
  <c r="GN166" i="30"/>
  <c r="GO166" i="30"/>
  <c r="GP166" i="30"/>
  <c r="GQ166" i="30"/>
  <c r="GR166" i="30"/>
  <c r="GS166" i="30"/>
  <c r="GT166" i="30"/>
  <c r="GU166" i="30"/>
  <c r="GV166" i="30"/>
  <c r="GW166" i="30"/>
  <c r="GX166" i="30"/>
  <c r="GY166" i="30"/>
  <c r="GZ166" i="30"/>
  <c r="HA166" i="30"/>
  <c r="HB166" i="30"/>
  <c r="HC166" i="30"/>
  <c r="HD166" i="30"/>
  <c r="HE166" i="30"/>
  <c r="HF166" i="30"/>
  <c r="HG166" i="30"/>
  <c r="HH166" i="30"/>
  <c r="HI166" i="30"/>
  <c r="HJ166" i="30"/>
  <c r="HK166" i="30"/>
  <c r="HL166" i="30"/>
  <c r="HM166" i="30"/>
  <c r="HN166" i="30"/>
  <c r="HO166" i="30"/>
  <c r="HP166" i="30"/>
  <c r="HQ166" i="30"/>
  <c r="HR166" i="30"/>
  <c r="HS166" i="30"/>
  <c r="HT166" i="30"/>
  <c r="HU166" i="30"/>
  <c r="HV166" i="30"/>
  <c r="HW166" i="30"/>
  <c r="HX166" i="30"/>
  <c r="HY166" i="30"/>
  <c r="HZ166" i="30"/>
  <c r="IA166" i="30"/>
  <c r="IB166" i="30"/>
  <c r="IC166" i="30"/>
  <c r="ID166" i="30"/>
  <c r="IE166" i="30"/>
  <c r="IF166" i="30"/>
  <c r="IG166" i="30"/>
  <c r="IH166" i="30"/>
  <c r="II166" i="30"/>
  <c r="IJ166" i="30"/>
  <c r="IK166" i="30"/>
  <c r="IL166" i="30"/>
  <c r="IM166" i="30"/>
  <c r="IN166" i="30"/>
  <c r="IO166" i="30"/>
  <c r="IP166" i="30"/>
  <c r="IQ166" i="30"/>
  <c r="IR166" i="30"/>
  <c r="IS166" i="30"/>
  <c r="IT166" i="30"/>
  <c r="IU166" i="30"/>
  <c r="IV166" i="30"/>
  <c r="A165" i="30"/>
  <c r="B165" i="30"/>
  <c r="C165" i="30"/>
  <c r="D165" i="30"/>
  <c r="E165" i="30"/>
  <c r="F165" i="30"/>
  <c r="G165" i="30"/>
  <c r="H165" i="30"/>
  <c r="I165" i="30"/>
  <c r="J165" i="30"/>
  <c r="K165" i="30"/>
  <c r="L165" i="30"/>
  <c r="M165" i="30"/>
  <c r="N165" i="30"/>
  <c r="O165" i="30"/>
  <c r="P165" i="30"/>
  <c r="Q165" i="30"/>
  <c r="R165" i="30"/>
  <c r="S165" i="30"/>
  <c r="T165" i="30"/>
  <c r="U165" i="30"/>
  <c r="V165" i="30"/>
  <c r="W165" i="30"/>
  <c r="X165" i="30"/>
  <c r="Y165" i="30"/>
  <c r="Z165" i="30"/>
  <c r="AA165" i="30"/>
  <c r="AB165" i="30"/>
  <c r="AC165" i="30"/>
  <c r="AD165" i="30"/>
  <c r="AE165" i="30"/>
  <c r="AF165" i="30"/>
  <c r="AG165" i="30"/>
  <c r="AH165" i="30"/>
  <c r="AI165" i="30"/>
  <c r="AJ165" i="30"/>
  <c r="AK165" i="30"/>
  <c r="AL165" i="30"/>
  <c r="AM165" i="30"/>
  <c r="AN165" i="30"/>
  <c r="AO165" i="30"/>
  <c r="AP165" i="30"/>
  <c r="AQ165" i="30"/>
  <c r="AR165" i="30"/>
  <c r="AS165" i="30"/>
  <c r="AT165" i="30"/>
  <c r="AU165" i="30"/>
  <c r="AV165" i="30"/>
  <c r="AW165" i="30"/>
  <c r="AX165" i="30"/>
  <c r="AY165" i="30"/>
  <c r="AZ165" i="30"/>
  <c r="BA165" i="30"/>
  <c r="BB165" i="30"/>
  <c r="BC165" i="30"/>
  <c r="BD165" i="30"/>
  <c r="BE165" i="30"/>
  <c r="BF165" i="30"/>
  <c r="BG165" i="30"/>
  <c r="BH165" i="30"/>
  <c r="BI165" i="30"/>
  <c r="BJ165" i="30"/>
  <c r="BK165" i="30"/>
  <c r="BL165" i="30"/>
  <c r="BM165" i="30"/>
  <c r="BN165" i="30"/>
  <c r="BO165" i="30"/>
  <c r="BP165" i="30"/>
  <c r="BQ165" i="30"/>
  <c r="BR165" i="30"/>
  <c r="BS165" i="30"/>
  <c r="BT165" i="30"/>
  <c r="BU165" i="30"/>
  <c r="BV165" i="30"/>
  <c r="BW165" i="30"/>
  <c r="BX165" i="30"/>
  <c r="BY165" i="30"/>
  <c r="BZ165" i="30"/>
  <c r="CA165" i="30"/>
  <c r="CB165" i="30"/>
  <c r="CC165" i="30"/>
  <c r="CD165" i="30"/>
  <c r="CE165" i="30"/>
  <c r="CF165" i="30"/>
  <c r="CG165" i="30"/>
  <c r="CH165" i="30"/>
  <c r="CI165" i="30"/>
  <c r="CJ165" i="30"/>
  <c r="CK165" i="30"/>
  <c r="CL165" i="30"/>
  <c r="CM165" i="30"/>
  <c r="CN165" i="30"/>
  <c r="CO165" i="30"/>
  <c r="CP165" i="30"/>
  <c r="CQ165" i="30"/>
  <c r="CR165" i="30"/>
  <c r="CS165" i="30"/>
  <c r="CT165" i="30"/>
  <c r="CU165" i="30"/>
  <c r="CV165" i="30"/>
  <c r="CW165" i="30"/>
  <c r="CX165" i="30"/>
  <c r="CY165" i="30"/>
  <c r="CZ165" i="30"/>
  <c r="DA165" i="30"/>
  <c r="DB165" i="30"/>
  <c r="DC165" i="30"/>
  <c r="DD165" i="30"/>
  <c r="DE165" i="30"/>
  <c r="DF165" i="30"/>
  <c r="DG165" i="30"/>
  <c r="DH165" i="30"/>
  <c r="DI165" i="30"/>
  <c r="DJ165" i="30"/>
  <c r="DK165" i="30"/>
  <c r="DL165" i="30"/>
  <c r="DM165" i="30"/>
  <c r="DN165" i="30"/>
  <c r="DO165" i="30"/>
  <c r="DP165" i="30"/>
  <c r="DQ165" i="30"/>
  <c r="DR165" i="30"/>
  <c r="DS165" i="30"/>
  <c r="DT165" i="30"/>
  <c r="DU165" i="30"/>
  <c r="DV165" i="30"/>
  <c r="DW165" i="30"/>
  <c r="DX165" i="30"/>
  <c r="DY165" i="30"/>
  <c r="DZ165" i="30"/>
  <c r="EA165" i="30"/>
  <c r="EB165" i="30"/>
  <c r="EC165" i="30"/>
  <c r="ED165" i="30"/>
  <c r="EE165" i="30"/>
  <c r="EF165" i="30"/>
  <c r="EG165" i="30"/>
  <c r="EH165" i="30"/>
  <c r="EI165" i="30"/>
  <c r="EJ165" i="30"/>
  <c r="EK165" i="30"/>
  <c r="EL165" i="30"/>
  <c r="EM165" i="30"/>
  <c r="EN165" i="30"/>
  <c r="EO165" i="30"/>
  <c r="EP165" i="30"/>
  <c r="EQ165" i="30"/>
  <c r="ER165" i="30"/>
  <c r="ES165" i="30"/>
  <c r="ET165" i="30"/>
  <c r="EU165" i="30"/>
  <c r="EV165" i="30"/>
  <c r="EW165" i="30"/>
  <c r="EX165" i="30"/>
  <c r="EY165" i="30"/>
  <c r="EZ165" i="30"/>
  <c r="FA165" i="30"/>
  <c r="FB165" i="30"/>
  <c r="FC165" i="30"/>
  <c r="FD165" i="30"/>
  <c r="FE165" i="30"/>
  <c r="FF165" i="30"/>
  <c r="FG165" i="30"/>
  <c r="FH165" i="30"/>
  <c r="FI165" i="30"/>
  <c r="FJ165" i="30"/>
  <c r="FK165" i="30"/>
  <c r="FL165" i="30"/>
  <c r="FM165" i="30"/>
  <c r="FN165" i="30"/>
  <c r="FO165" i="30"/>
  <c r="FP165" i="30"/>
  <c r="FQ165" i="30"/>
  <c r="FR165" i="30"/>
  <c r="FS165" i="30"/>
  <c r="FT165" i="30"/>
  <c r="FU165" i="30"/>
  <c r="FV165" i="30"/>
  <c r="FW165" i="30"/>
  <c r="FX165" i="30"/>
  <c r="FY165" i="30"/>
  <c r="FZ165" i="30"/>
  <c r="GA165" i="30"/>
  <c r="GB165" i="30"/>
  <c r="GC165" i="30"/>
  <c r="GD165" i="30"/>
  <c r="GE165" i="30"/>
  <c r="GF165" i="30"/>
  <c r="GG165" i="30"/>
  <c r="GH165" i="30"/>
  <c r="GI165" i="30"/>
  <c r="GJ165" i="30"/>
  <c r="GK165" i="30"/>
  <c r="GL165" i="30"/>
  <c r="GM165" i="30"/>
  <c r="GN165" i="30"/>
  <c r="GO165" i="30"/>
  <c r="GP165" i="30"/>
  <c r="GQ165" i="30"/>
  <c r="GR165" i="30"/>
  <c r="GS165" i="30"/>
  <c r="GT165" i="30"/>
  <c r="GU165" i="30"/>
  <c r="GV165" i="30"/>
  <c r="GW165" i="30"/>
  <c r="GX165" i="30"/>
  <c r="GY165" i="30"/>
  <c r="GZ165" i="30"/>
  <c r="HA165" i="30"/>
  <c r="HB165" i="30"/>
  <c r="HC165" i="30"/>
  <c r="HD165" i="30"/>
  <c r="HE165" i="30"/>
  <c r="HF165" i="30"/>
  <c r="HG165" i="30"/>
  <c r="HH165" i="30"/>
  <c r="HI165" i="30"/>
  <c r="HJ165" i="30"/>
  <c r="HK165" i="30"/>
  <c r="HL165" i="30"/>
  <c r="HM165" i="30"/>
  <c r="HN165" i="30"/>
  <c r="HO165" i="30"/>
  <c r="HP165" i="30"/>
  <c r="HQ165" i="30"/>
  <c r="HR165" i="30"/>
  <c r="HS165" i="30"/>
  <c r="HT165" i="30"/>
  <c r="HU165" i="30"/>
  <c r="HV165" i="30"/>
  <c r="HW165" i="30"/>
  <c r="HX165" i="30"/>
  <c r="HY165" i="30"/>
  <c r="HZ165" i="30"/>
  <c r="IA165" i="30"/>
  <c r="IB165" i="30"/>
  <c r="IC165" i="30"/>
  <c r="ID165" i="30"/>
  <c r="IE165" i="30"/>
  <c r="IF165" i="30"/>
  <c r="IG165" i="30"/>
  <c r="IH165" i="30"/>
  <c r="II165" i="30"/>
  <c r="IJ165" i="30"/>
  <c r="IK165" i="30"/>
  <c r="IL165" i="30"/>
  <c r="IM165" i="30"/>
  <c r="IN165" i="30"/>
  <c r="IO165" i="30"/>
  <c r="IP165" i="30"/>
  <c r="IQ165" i="30"/>
  <c r="IR165" i="30"/>
  <c r="IS165" i="30"/>
  <c r="IT165" i="30"/>
  <c r="IU165" i="30"/>
  <c r="IV165" i="30"/>
  <c r="A164" i="30"/>
  <c r="B164" i="30"/>
  <c r="C164" i="30"/>
  <c r="D164" i="30"/>
  <c r="E164" i="30"/>
  <c r="F164" i="30"/>
  <c r="G164" i="30"/>
  <c r="H164" i="30"/>
  <c r="I164" i="30"/>
  <c r="J164" i="30"/>
  <c r="K164" i="30"/>
  <c r="L164" i="30"/>
  <c r="M164" i="30"/>
  <c r="N164" i="30"/>
  <c r="O164" i="30"/>
  <c r="P164" i="30"/>
  <c r="Q164" i="30"/>
  <c r="R164" i="30"/>
  <c r="S164" i="30"/>
  <c r="T164" i="30"/>
  <c r="U164" i="30"/>
  <c r="V164" i="30"/>
  <c r="W164" i="30"/>
  <c r="X164" i="30"/>
  <c r="Y164" i="30"/>
  <c r="Z164" i="30"/>
  <c r="AA164" i="30"/>
  <c r="AB164" i="30"/>
  <c r="AC164" i="30"/>
  <c r="AD164" i="30"/>
  <c r="AE164" i="30"/>
  <c r="AF164" i="30"/>
  <c r="AG164" i="30"/>
  <c r="AH164" i="30"/>
  <c r="AI164" i="30"/>
  <c r="AJ164" i="30"/>
  <c r="AK164" i="30"/>
  <c r="AL164" i="30"/>
  <c r="AM164" i="30"/>
  <c r="AN164" i="30"/>
  <c r="AO164" i="30"/>
  <c r="AP164" i="30"/>
  <c r="AQ164" i="30"/>
  <c r="AR164" i="30"/>
  <c r="AS164" i="30"/>
  <c r="AT164" i="30"/>
  <c r="AU164" i="30"/>
  <c r="AV164" i="30"/>
  <c r="AW164" i="30"/>
  <c r="AX164" i="30"/>
  <c r="AY164" i="30"/>
  <c r="AZ164" i="30"/>
  <c r="BA164" i="30"/>
  <c r="BB164" i="30"/>
  <c r="BC164" i="30"/>
  <c r="BD164" i="30"/>
  <c r="BE164" i="30"/>
  <c r="BF164" i="30"/>
  <c r="BG164" i="30"/>
  <c r="BH164" i="30"/>
  <c r="BI164" i="30"/>
  <c r="BJ164" i="30"/>
  <c r="BK164" i="30"/>
  <c r="BL164" i="30"/>
  <c r="BM164" i="30"/>
  <c r="BN164" i="30"/>
  <c r="BO164" i="30"/>
  <c r="BP164" i="30"/>
  <c r="BQ164" i="30"/>
  <c r="BR164" i="30"/>
  <c r="BS164" i="30"/>
  <c r="BT164" i="30"/>
  <c r="BU164" i="30"/>
  <c r="BV164" i="30"/>
  <c r="BW164" i="30"/>
  <c r="BX164" i="30"/>
  <c r="BY164" i="30"/>
  <c r="BZ164" i="30"/>
  <c r="CA164" i="30"/>
  <c r="CB164" i="30"/>
  <c r="CC164" i="30"/>
  <c r="CD164" i="30"/>
  <c r="CE164" i="30"/>
  <c r="CF164" i="30"/>
  <c r="CG164" i="30"/>
  <c r="CH164" i="30"/>
  <c r="CI164" i="30"/>
  <c r="CJ164" i="30"/>
  <c r="CK164" i="30"/>
  <c r="CL164" i="30"/>
  <c r="CM164" i="30"/>
  <c r="CN164" i="30"/>
  <c r="CO164" i="30"/>
  <c r="CP164" i="30"/>
  <c r="CQ164" i="30"/>
  <c r="CR164" i="30"/>
  <c r="CS164" i="30"/>
  <c r="CT164" i="30"/>
  <c r="CU164" i="30"/>
  <c r="CV164" i="30"/>
  <c r="CW164" i="30"/>
  <c r="CX164" i="30"/>
  <c r="CY164" i="30"/>
  <c r="CZ164" i="30"/>
  <c r="DA164" i="30"/>
  <c r="DB164" i="30"/>
  <c r="DC164" i="30"/>
  <c r="DD164" i="30"/>
  <c r="DE164" i="30"/>
  <c r="DF164" i="30"/>
  <c r="DG164" i="30"/>
  <c r="DH164" i="30"/>
  <c r="DI164" i="30"/>
  <c r="DJ164" i="30"/>
  <c r="DK164" i="30"/>
  <c r="DL164" i="30"/>
  <c r="DM164" i="30"/>
  <c r="DN164" i="30"/>
  <c r="DO164" i="30"/>
  <c r="DP164" i="30"/>
  <c r="DQ164" i="30"/>
  <c r="DR164" i="30"/>
  <c r="DS164" i="30"/>
  <c r="DT164" i="30"/>
  <c r="DU164" i="30"/>
  <c r="DV164" i="30"/>
  <c r="DW164" i="30"/>
  <c r="DX164" i="30"/>
  <c r="DY164" i="30"/>
  <c r="DZ164" i="30"/>
  <c r="EA164" i="30"/>
  <c r="EB164" i="30"/>
  <c r="EC164" i="30"/>
  <c r="ED164" i="30"/>
  <c r="EE164" i="30"/>
  <c r="EF164" i="30"/>
  <c r="EG164" i="30"/>
  <c r="EH164" i="30"/>
  <c r="EI164" i="30"/>
  <c r="EJ164" i="30"/>
  <c r="EK164" i="30"/>
  <c r="EL164" i="30"/>
  <c r="EM164" i="30"/>
  <c r="EN164" i="30"/>
  <c r="EO164" i="30"/>
  <c r="EP164" i="30"/>
  <c r="EQ164" i="30"/>
  <c r="ER164" i="30"/>
  <c r="ES164" i="30"/>
  <c r="ET164" i="30"/>
  <c r="EU164" i="30"/>
  <c r="EV164" i="30"/>
  <c r="EW164" i="30"/>
  <c r="EX164" i="30"/>
  <c r="EY164" i="30"/>
  <c r="EZ164" i="30"/>
  <c r="FA164" i="30"/>
  <c r="FB164" i="30"/>
  <c r="FC164" i="30"/>
  <c r="FD164" i="30"/>
  <c r="FE164" i="30"/>
  <c r="FF164" i="30"/>
  <c r="FG164" i="30"/>
  <c r="FH164" i="30"/>
  <c r="FI164" i="30"/>
  <c r="FJ164" i="30"/>
  <c r="FK164" i="30"/>
  <c r="FL164" i="30"/>
  <c r="FM164" i="30"/>
  <c r="FN164" i="30"/>
  <c r="FO164" i="30"/>
  <c r="FP164" i="30"/>
  <c r="FQ164" i="30"/>
  <c r="FR164" i="30"/>
  <c r="FS164" i="30"/>
  <c r="FT164" i="30"/>
  <c r="FU164" i="30"/>
  <c r="FV164" i="30"/>
  <c r="FW164" i="30"/>
  <c r="FX164" i="30"/>
  <c r="FY164" i="30"/>
  <c r="FZ164" i="30"/>
  <c r="GA164" i="30"/>
  <c r="GB164" i="30"/>
  <c r="GC164" i="30"/>
  <c r="GD164" i="30"/>
  <c r="GE164" i="30"/>
  <c r="GF164" i="30"/>
  <c r="GG164" i="30"/>
  <c r="GH164" i="30"/>
  <c r="GI164" i="30"/>
  <c r="GJ164" i="30"/>
  <c r="GK164" i="30"/>
  <c r="GL164" i="30"/>
  <c r="GM164" i="30"/>
  <c r="GN164" i="30"/>
  <c r="GO164" i="30"/>
  <c r="GP164" i="30"/>
  <c r="GQ164" i="30"/>
  <c r="GR164" i="30"/>
  <c r="GS164" i="30"/>
  <c r="GT164" i="30"/>
  <c r="GU164" i="30"/>
  <c r="GV164" i="30"/>
  <c r="GW164" i="30"/>
  <c r="GX164" i="30"/>
  <c r="GY164" i="30"/>
  <c r="GZ164" i="30"/>
  <c r="HA164" i="30"/>
  <c r="HB164" i="30"/>
  <c r="HC164" i="30"/>
  <c r="HD164" i="30"/>
  <c r="HE164" i="30"/>
  <c r="HF164" i="30"/>
  <c r="HG164" i="30"/>
  <c r="HH164" i="30"/>
  <c r="HI164" i="30"/>
  <c r="HJ164" i="30"/>
  <c r="HK164" i="30"/>
  <c r="HL164" i="30"/>
  <c r="HM164" i="30"/>
  <c r="HN164" i="30"/>
  <c r="HO164" i="30"/>
  <c r="HP164" i="30"/>
  <c r="HQ164" i="30"/>
  <c r="HR164" i="30"/>
  <c r="HS164" i="30"/>
  <c r="HT164" i="30"/>
  <c r="HU164" i="30"/>
  <c r="HV164" i="30"/>
  <c r="HW164" i="30"/>
  <c r="HX164" i="30"/>
  <c r="HY164" i="30"/>
  <c r="HZ164" i="30"/>
  <c r="IA164" i="30"/>
  <c r="IB164" i="30"/>
  <c r="IC164" i="30"/>
  <c r="ID164" i="30"/>
  <c r="IE164" i="30"/>
  <c r="IF164" i="30"/>
  <c r="IG164" i="30"/>
  <c r="IH164" i="30"/>
  <c r="II164" i="30"/>
  <c r="IJ164" i="30"/>
  <c r="IK164" i="30"/>
  <c r="IL164" i="30"/>
  <c r="IM164" i="30"/>
  <c r="IN164" i="30"/>
  <c r="IO164" i="30"/>
  <c r="IP164" i="30"/>
  <c r="IQ164" i="30"/>
  <c r="IR164" i="30"/>
  <c r="IS164" i="30"/>
  <c r="IT164" i="30"/>
  <c r="IU164" i="30"/>
  <c r="IV164" i="30"/>
  <c r="A163" i="30"/>
  <c r="B163" i="30"/>
  <c r="C163" i="30"/>
  <c r="D163" i="30"/>
  <c r="E163" i="30"/>
  <c r="F163" i="30"/>
  <c r="G163" i="30"/>
  <c r="H163" i="30"/>
  <c r="I163" i="30"/>
  <c r="J163" i="30"/>
  <c r="K163" i="30"/>
  <c r="L163" i="30"/>
  <c r="M163" i="30"/>
  <c r="N163" i="30"/>
  <c r="O163" i="30"/>
  <c r="P163" i="30"/>
  <c r="Q163" i="30"/>
  <c r="R163" i="30"/>
  <c r="S163" i="30"/>
  <c r="T163" i="30"/>
  <c r="U163" i="30"/>
  <c r="V163" i="30"/>
  <c r="W163" i="30"/>
  <c r="X163" i="30"/>
  <c r="Y163" i="30"/>
  <c r="Z163" i="30"/>
  <c r="AA163" i="30"/>
  <c r="AB163" i="30"/>
  <c r="AC163" i="30"/>
  <c r="AD163" i="30"/>
  <c r="AE163" i="30"/>
  <c r="AF163" i="30"/>
  <c r="AG163" i="30"/>
  <c r="AH163" i="30"/>
  <c r="AI163" i="30"/>
  <c r="AJ163" i="30"/>
  <c r="AK163" i="30"/>
  <c r="AL163" i="30"/>
  <c r="AM163" i="30"/>
  <c r="AN163" i="30"/>
  <c r="AO163" i="30"/>
  <c r="AP163" i="30"/>
  <c r="AQ163" i="30"/>
  <c r="AR163" i="30"/>
  <c r="AS163" i="30"/>
  <c r="AT163" i="30"/>
  <c r="AU163" i="30"/>
  <c r="AV163" i="30"/>
  <c r="AW163" i="30"/>
  <c r="AX163" i="30"/>
  <c r="AY163" i="30"/>
  <c r="AZ163" i="30"/>
  <c r="BA163" i="30"/>
  <c r="BB163" i="30"/>
  <c r="BC163" i="30"/>
  <c r="BD163" i="30"/>
  <c r="BE163" i="30"/>
  <c r="BF163" i="30"/>
  <c r="BG163" i="30"/>
  <c r="BH163" i="30"/>
  <c r="BI163" i="30"/>
  <c r="BJ163" i="30"/>
  <c r="BK163" i="30"/>
  <c r="BL163" i="30"/>
  <c r="BM163" i="30"/>
  <c r="BN163" i="30"/>
  <c r="BO163" i="30"/>
  <c r="BP163" i="30"/>
  <c r="BQ163" i="30"/>
  <c r="BR163" i="30"/>
  <c r="BS163" i="30"/>
  <c r="BT163" i="30"/>
  <c r="BU163" i="30"/>
  <c r="BV163" i="30"/>
  <c r="BW163" i="30"/>
  <c r="BX163" i="30"/>
  <c r="BY163" i="30"/>
  <c r="BZ163" i="30"/>
  <c r="CA163" i="30"/>
  <c r="CB163" i="30"/>
  <c r="CC163" i="30"/>
  <c r="CD163" i="30"/>
  <c r="CE163" i="30"/>
  <c r="CF163" i="30"/>
  <c r="CG163" i="30"/>
  <c r="CH163" i="30"/>
  <c r="CI163" i="30"/>
  <c r="CJ163" i="30"/>
  <c r="CK163" i="30"/>
  <c r="CL163" i="30"/>
  <c r="CM163" i="30"/>
  <c r="CN163" i="30"/>
  <c r="CO163" i="30"/>
  <c r="CP163" i="30"/>
  <c r="CQ163" i="30"/>
  <c r="CR163" i="30"/>
  <c r="CS163" i="30"/>
  <c r="CT163" i="30"/>
  <c r="CU163" i="30"/>
  <c r="CV163" i="30"/>
  <c r="CW163" i="30"/>
  <c r="CX163" i="30"/>
  <c r="CY163" i="30"/>
  <c r="CZ163" i="30"/>
  <c r="DA163" i="30"/>
  <c r="DB163" i="30"/>
  <c r="DC163" i="30"/>
  <c r="DD163" i="30"/>
  <c r="DE163" i="30"/>
  <c r="DF163" i="30"/>
  <c r="DG163" i="30"/>
  <c r="DH163" i="30"/>
  <c r="DI163" i="30"/>
  <c r="DJ163" i="30"/>
  <c r="DK163" i="30"/>
  <c r="DL163" i="30"/>
  <c r="DM163" i="30"/>
  <c r="DN163" i="30"/>
  <c r="DO163" i="30"/>
  <c r="DP163" i="30"/>
  <c r="DQ163" i="30"/>
  <c r="DR163" i="30"/>
  <c r="DS163" i="30"/>
  <c r="DT163" i="30"/>
  <c r="DU163" i="30"/>
  <c r="DV163" i="30"/>
  <c r="DW163" i="30"/>
  <c r="DX163" i="30"/>
  <c r="DY163" i="30"/>
  <c r="DZ163" i="30"/>
  <c r="EA163" i="30"/>
  <c r="EB163" i="30"/>
  <c r="EC163" i="30"/>
  <c r="ED163" i="30"/>
  <c r="EE163" i="30"/>
  <c r="EF163" i="30"/>
  <c r="EG163" i="30"/>
  <c r="EH163" i="30"/>
  <c r="EI163" i="30"/>
  <c r="EJ163" i="30"/>
  <c r="EK163" i="30"/>
  <c r="EL163" i="30"/>
  <c r="EM163" i="30"/>
  <c r="EN163" i="30"/>
  <c r="EO163" i="30"/>
  <c r="EP163" i="30"/>
  <c r="EQ163" i="30"/>
  <c r="ER163" i="30"/>
  <c r="ES163" i="30"/>
  <c r="ET163" i="30"/>
  <c r="EU163" i="30"/>
  <c r="EV163" i="30"/>
  <c r="EW163" i="30"/>
  <c r="EX163" i="30"/>
  <c r="EY163" i="30"/>
  <c r="EZ163" i="30"/>
  <c r="FA163" i="30"/>
  <c r="FB163" i="30"/>
  <c r="FC163" i="30"/>
  <c r="FD163" i="30"/>
  <c r="FE163" i="30"/>
  <c r="FF163" i="30"/>
  <c r="FG163" i="30"/>
  <c r="FH163" i="30"/>
  <c r="FI163" i="30"/>
  <c r="FJ163" i="30"/>
  <c r="FK163" i="30"/>
  <c r="FL163" i="30"/>
  <c r="FM163" i="30"/>
  <c r="FN163" i="30"/>
  <c r="FO163" i="30"/>
  <c r="FP163" i="30"/>
  <c r="FQ163" i="30"/>
  <c r="FR163" i="30"/>
  <c r="FS163" i="30"/>
  <c r="FT163" i="30"/>
  <c r="FU163" i="30"/>
  <c r="FV163" i="30"/>
  <c r="FW163" i="30"/>
  <c r="FX163" i="30"/>
  <c r="FY163" i="30"/>
  <c r="FZ163" i="30"/>
  <c r="GA163" i="30"/>
  <c r="GB163" i="30"/>
  <c r="GC163" i="30"/>
  <c r="GD163" i="30"/>
  <c r="GE163" i="30"/>
  <c r="GF163" i="30"/>
  <c r="GG163" i="30"/>
  <c r="GH163" i="30"/>
  <c r="GI163" i="30"/>
  <c r="GJ163" i="30"/>
  <c r="GK163" i="30"/>
  <c r="GL163" i="30"/>
  <c r="GM163" i="30"/>
  <c r="GN163" i="30"/>
  <c r="GO163" i="30"/>
  <c r="GP163" i="30"/>
  <c r="GQ163" i="30"/>
  <c r="GR163" i="30"/>
  <c r="GS163" i="30"/>
  <c r="GT163" i="30"/>
  <c r="GU163" i="30"/>
  <c r="GV163" i="30"/>
  <c r="GW163" i="30"/>
  <c r="GX163" i="30"/>
  <c r="GY163" i="30"/>
  <c r="GZ163" i="30"/>
  <c r="HA163" i="30"/>
  <c r="HB163" i="30"/>
  <c r="HC163" i="30"/>
  <c r="HD163" i="30"/>
  <c r="HE163" i="30"/>
  <c r="HF163" i="30"/>
  <c r="HG163" i="30"/>
  <c r="HH163" i="30"/>
  <c r="HI163" i="30"/>
  <c r="HJ163" i="30"/>
  <c r="HK163" i="30"/>
  <c r="HL163" i="30"/>
  <c r="HM163" i="30"/>
  <c r="HN163" i="30"/>
  <c r="HO163" i="30"/>
  <c r="HP163" i="30"/>
  <c r="HQ163" i="30"/>
  <c r="HR163" i="30"/>
  <c r="HS163" i="30"/>
  <c r="HT163" i="30"/>
  <c r="HU163" i="30"/>
  <c r="HV163" i="30"/>
  <c r="HW163" i="30"/>
  <c r="HX163" i="30"/>
  <c r="HY163" i="30"/>
  <c r="HZ163" i="30"/>
  <c r="IA163" i="30"/>
  <c r="IB163" i="30"/>
  <c r="IC163" i="30"/>
  <c r="ID163" i="30"/>
  <c r="IE163" i="30"/>
  <c r="IF163" i="30"/>
  <c r="IG163" i="30"/>
  <c r="IH163" i="30"/>
  <c r="II163" i="30"/>
  <c r="IJ163" i="30"/>
  <c r="IK163" i="30"/>
  <c r="IL163" i="30"/>
  <c r="IM163" i="30"/>
  <c r="IN163" i="30"/>
  <c r="IO163" i="30"/>
  <c r="IP163" i="30"/>
  <c r="IQ163" i="30"/>
  <c r="IR163" i="30"/>
  <c r="IS163" i="30"/>
  <c r="IT163" i="30"/>
  <c r="IU163" i="30"/>
  <c r="IV163" i="30"/>
  <c r="A162" i="30"/>
  <c r="B162" i="30"/>
  <c r="C162" i="30"/>
  <c r="D162" i="30"/>
  <c r="E162" i="30"/>
  <c r="F162" i="30"/>
  <c r="G162" i="30"/>
  <c r="H162" i="30"/>
  <c r="I162" i="30"/>
  <c r="J162" i="30"/>
  <c r="K162" i="30"/>
  <c r="L162" i="30"/>
  <c r="M162" i="30"/>
  <c r="N162" i="30"/>
  <c r="O162" i="30"/>
  <c r="P162" i="30"/>
  <c r="Q162" i="30"/>
  <c r="R162" i="30"/>
  <c r="S162" i="30"/>
  <c r="T162" i="30"/>
  <c r="U162" i="30"/>
  <c r="V162" i="30"/>
  <c r="W162" i="30"/>
  <c r="X162" i="30"/>
  <c r="Y162" i="30"/>
  <c r="Z162" i="30"/>
  <c r="AA162" i="30"/>
  <c r="AB162" i="30"/>
  <c r="AC162" i="30"/>
  <c r="AD162" i="30"/>
  <c r="AE162" i="30"/>
  <c r="AF162" i="30"/>
  <c r="AG162" i="30"/>
  <c r="AH162" i="30"/>
  <c r="AI162" i="30"/>
  <c r="AJ162" i="30"/>
  <c r="AK162" i="30"/>
  <c r="AL162" i="30"/>
  <c r="AM162" i="30"/>
  <c r="AN162" i="30"/>
  <c r="AO162" i="30"/>
  <c r="AP162" i="30"/>
  <c r="AQ162" i="30"/>
  <c r="AR162" i="30"/>
  <c r="AS162" i="30"/>
  <c r="AT162" i="30"/>
  <c r="AU162" i="30"/>
  <c r="AV162" i="30"/>
  <c r="AW162" i="30"/>
  <c r="AX162" i="30"/>
  <c r="AY162" i="30"/>
  <c r="AZ162" i="30"/>
  <c r="BA162" i="30"/>
  <c r="BB162" i="30"/>
  <c r="BC162" i="30"/>
  <c r="BD162" i="30"/>
  <c r="BE162" i="30"/>
  <c r="BF162" i="30"/>
  <c r="BG162" i="30"/>
  <c r="BH162" i="30"/>
  <c r="BI162" i="30"/>
  <c r="BJ162" i="30"/>
  <c r="BK162" i="30"/>
  <c r="BL162" i="30"/>
  <c r="BM162" i="30"/>
  <c r="BN162" i="30"/>
  <c r="BO162" i="30"/>
  <c r="BP162" i="30"/>
  <c r="BQ162" i="30"/>
  <c r="BR162" i="30"/>
  <c r="BS162" i="30"/>
  <c r="BT162" i="30"/>
  <c r="BU162" i="30"/>
  <c r="BV162" i="30"/>
  <c r="BW162" i="30"/>
  <c r="BX162" i="30"/>
  <c r="BY162" i="30"/>
  <c r="BZ162" i="30"/>
  <c r="CA162" i="30"/>
  <c r="CB162" i="30"/>
  <c r="CC162" i="30"/>
  <c r="CD162" i="30"/>
  <c r="CE162" i="30"/>
  <c r="CF162" i="30"/>
  <c r="CG162" i="30"/>
  <c r="CH162" i="30"/>
  <c r="CI162" i="30"/>
  <c r="CJ162" i="30"/>
  <c r="CK162" i="30"/>
  <c r="CL162" i="30"/>
  <c r="CM162" i="30"/>
  <c r="CN162" i="30"/>
  <c r="CO162" i="30"/>
  <c r="CP162" i="30"/>
  <c r="CQ162" i="30"/>
  <c r="CR162" i="30"/>
  <c r="CS162" i="30"/>
  <c r="CT162" i="30"/>
  <c r="CU162" i="30"/>
  <c r="CV162" i="30"/>
  <c r="CW162" i="30"/>
  <c r="CX162" i="30"/>
  <c r="CY162" i="30"/>
  <c r="CZ162" i="30"/>
  <c r="DA162" i="30"/>
  <c r="DB162" i="30"/>
  <c r="DC162" i="30"/>
  <c r="DD162" i="30"/>
  <c r="DE162" i="30"/>
  <c r="DF162" i="30"/>
  <c r="DG162" i="30"/>
  <c r="DH162" i="30"/>
  <c r="DI162" i="30"/>
  <c r="DJ162" i="30"/>
  <c r="DK162" i="30"/>
  <c r="DL162" i="30"/>
  <c r="DM162" i="30"/>
  <c r="DN162" i="30"/>
  <c r="DO162" i="30"/>
  <c r="DP162" i="30"/>
  <c r="DQ162" i="30"/>
  <c r="DR162" i="30"/>
  <c r="DS162" i="30"/>
  <c r="DT162" i="30"/>
  <c r="DU162" i="30"/>
  <c r="DV162" i="30"/>
  <c r="DW162" i="30"/>
  <c r="DX162" i="30"/>
  <c r="DY162" i="30"/>
  <c r="DZ162" i="30"/>
  <c r="EA162" i="30"/>
  <c r="EB162" i="30"/>
  <c r="EC162" i="30"/>
  <c r="ED162" i="30"/>
  <c r="EE162" i="30"/>
  <c r="EF162" i="30"/>
  <c r="EG162" i="30"/>
  <c r="EH162" i="30"/>
  <c r="EI162" i="30"/>
  <c r="EJ162" i="30"/>
  <c r="EK162" i="30"/>
  <c r="EL162" i="30"/>
  <c r="EM162" i="30"/>
  <c r="EN162" i="30"/>
  <c r="EO162" i="30"/>
  <c r="EP162" i="30"/>
  <c r="EQ162" i="30"/>
  <c r="ER162" i="30"/>
  <c r="ES162" i="30"/>
  <c r="ET162" i="30"/>
  <c r="EU162" i="30"/>
  <c r="EV162" i="30"/>
  <c r="EW162" i="30"/>
  <c r="EX162" i="30"/>
  <c r="EY162" i="30"/>
  <c r="EZ162" i="30"/>
  <c r="FA162" i="30"/>
  <c r="FB162" i="30"/>
  <c r="FC162" i="30"/>
  <c r="FD162" i="30"/>
  <c r="FE162" i="30"/>
  <c r="FF162" i="30"/>
  <c r="FG162" i="30"/>
  <c r="FH162" i="30"/>
  <c r="FI162" i="30"/>
  <c r="FJ162" i="30"/>
  <c r="FK162" i="30"/>
  <c r="FL162" i="30"/>
  <c r="FM162" i="30"/>
  <c r="FN162" i="30"/>
  <c r="FO162" i="30"/>
  <c r="FP162" i="30"/>
  <c r="FQ162" i="30"/>
  <c r="FR162" i="30"/>
  <c r="FS162" i="30"/>
  <c r="FT162" i="30"/>
  <c r="FU162" i="30"/>
  <c r="FV162" i="30"/>
  <c r="FW162" i="30"/>
  <c r="FX162" i="30"/>
  <c r="FY162" i="30"/>
  <c r="FZ162" i="30"/>
  <c r="GA162" i="30"/>
  <c r="GB162" i="30"/>
  <c r="GC162" i="30"/>
  <c r="GD162" i="30"/>
  <c r="GE162" i="30"/>
  <c r="GF162" i="30"/>
  <c r="GG162" i="30"/>
  <c r="GH162" i="30"/>
  <c r="GI162" i="30"/>
  <c r="GJ162" i="30"/>
  <c r="GK162" i="30"/>
  <c r="GL162" i="30"/>
  <c r="GM162" i="30"/>
  <c r="GN162" i="30"/>
  <c r="GO162" i="30"/>
  <c r="GP162" i="30"/>
  <c r="GQ162" i="30"/>
  <c r="GR162" i="30"/>
  <c r="GS162" i="30"/>
  <c r="GT162" i="30"/>
  <c r="GU162" i="30"/>
  <c r="GV162" i="30"/>
  <c r="GW162" i="30"/>
  <c r="GX162" i="30"/>
  <c r="GY162" i="30"/>
  <c r="GZ162" i="30"/>
  <c r="HA162" i="30"/>
  <c r="HB162" i="30"/>
  <c r="HC162" i="30"/>
  <c r="HD162" i="30"/>
  <c r="HE162" i="30"/>
  <c r="HF162" i="30"/>
  <c r="HG162" i="30"/>
  <c r="HH162" i="30"/>
  <c r="HI162" i="30"/>
  <c r="HJ162" i="30"/>
  <c r="HK162" i="30"/>
  <c r="HL162" i="30"/>
  <c r="HM162" i="30"/>
  <c r="HN162" i="30"/>
  <c r="HO162" i="30"/>
  <c r="HP162" i="30"/>
  <c r="HQ162" i="30"/>
  <c r="HR162" i="30"/>
  <c r="HS162" i="30"/>
  <c r="HT162" i="30"/>
  <c r="HU162" i="30"/>
  <c r="HV162" i="30"/>
  <c r="HW162" i="30"/>
  <c r="HX162" i="30"/>
  <c r="HY162" i="30"/>
  <c r="HZ162" i="30"/>
  <c r="IA162" i="30"/>
  <c r="IB162" i="30"/>
  <c r="IC162" i="30"/>
  <c r="ID162" i="30"/>
  <c r="IE162" i="30"/>
  <c r="IF162" i="30"/>
  <c r="IG162" i="30"/>
  <c r="IH162" i="30"/>
  <c r="II162" i="30"/>
  <c r="IJ162" i="30"/>
  <c r="IK162" i="30"/>
  <c r="IL162" i="30"/>
  <c r="IM162" i="30"/>
  <c r="IN162" i="30"/>
  <c r="IO162" i="30"/>
  <c r="IP162" i="30"/>
  <c r="IQ162" i="30"/>
  <c r="IR162" i="30"/>
  <c r="IS162" i="30"/>
  <c r="IT162" i="30"/>
  <c r="IU162" i="30"/>
  <c r="IV162" i="30"/>
  <c r="A161" i="30"/>
  <c r="B161" i="30"/>
  <c r="C161" i="30"/>
  <c r="D161" i="30"/>
  <c r="E161" i="30"/>
  <c r="F161" i="30"/>
  <c r="G161" i="30"/>
  <c r="H161" i="30"/>
  <c r="I161" i="30"/>
  <c r="J161" i="30"/>
  <c r="K161" i="30"/>
  <c r="L161" i="30"/>
  <c r="M161" i="30"/>
  <c r="N161" i="30"/>
  <c r="O161" i="30"/>
  <c r="P161" i="30"/>
  <c r="Q161" i="30"/>
  <c r="R161" i="30"/>
  <c r="S161" i="30"/>
  <c r="T161" i="30"/>
  <c r="U161" i="30"/>
  <c r="V161" i="30"/>
  <c r="W161" i="30"/>
  <c r="X161" i="30"/>
  <c r="Y161" i="30"/>
  <c r="Z161" i="30"/>
  <c r="AA161" i="30"/>
  <c r="AB161" i="30"/>
  <c r="AC161" i="30"/>
  <c r="AD161" i="30"/>
  <c r="AE161" i="30"/>
  <c r="AF161" i="30"/>
  <c r="AG161" i="30"/>
  <c r="AH161" i="30"/>
  <c r="AI161" i="30"/>
  <c r="AJ161" i="30"/>
  <c r="AK161" i="30"/>
  <c r="AL161" i="30"/>
  <c r="AM161" i="30"/>
  <c r="AN161" i="30"/>
  <c r="AO161" i="30"/>
  <c r="AP161" i="30"/>
  <c r="AQ161" i="30"/>
  <c r="AR161" i="30"/>
  <c r="AS161" i="30"/>
  <c r="AT161" i="30"/>
  <c r="AU161" i="30"/>
  <c r="AV161" i="30"/>
  <c r="AW161" i="30"/>
  <c r="AX161" i="30"/>
  <c r="AY161" i="30"/>
  <c r="AZ161" i="30"/>
  <c r="BA161" i="30"/>
  <c r="BB161" i="30"/>
  <c r="BC161" i="30"/>
  <c r="BD161" i="30"/>
  <c r="BE161" i="30"/>
  <c r="BF161" i="30"/>
  <c r="BG161" i="30"/>
  <c r="BH161" i="30"/>
  <c r="BI161" i="30"/>
  <c r="BJ161" i="30"/>
  <c r="BK161" i="30"/>
  <c r="BL161" i="30"/>
  <c r="BM161" i="30"/>
  <c r="BN161" i="30"/>
  <c r="BO161" i="30"/>
  <c r="BP161" i="30"/>
  <c r="BQ161" i="30"/>
  <c r="BR161" i="30"/>
  <c r="BS161" i="30"/>
  <c r="BT161" i="30"/>
  <c r="BU161" i="30"/>
  <c r="BV161" i="30"/>
  <c r="BW161" i="30"/>
  <c r="BX161" i="30"/>
  <c r="BY161" i="30"/>
  <c r="BZ161" i="30"/>
  <c r="CA161" i="30"/>
  <c r="CB161" i="30"/>
  <c r="CC161" i="30"/>
  <c r="CD161" i="30"/>
  <c r="CE161" i="30"/>
  <c r="CF161" i="30"/>
  <c r="CG161" i="30"/>
  <c r="CH161" i="30"/>
  <c r="CI161" i="30"/>
  <c r="CJ161" i="30"/>
  <c r="CK161" i="30"/>
  <c r="CL161" i="30"/>
  <c r="CM161" i="30"/>
  <c r="CN161" i="30"/>
  <c r="CO161" i="30"/>
  <c r="CP161" i="30"/>
  <c r="CQ161" i="30"/>
  <c r="CR161" i="30"/>
  <c r="CS161" i="30"/>
  <c r="CT161" i="30"/>
  <c r="CU161" i="30"/>
  <c r="CV161" i="30"/>
  <c r="CW161" i="30"/>
  <c r="CX161" i="30"/>
  <c r="CY161" i="30"/>
  <c r="CZ161" i="30"/>
  <c r="DA161" i="30"/>
  <c r="DB161" i="30"/>
  <c r="DC161" i="30"/>
  <c r="DD161" i="30"/>
  <c r="DE161" i="30"/>
  <c r="DF161" i="30"/>
  <c r="DG161" i="30"/>
  <c r="DH161" i="30"/>
  <c r="DI161" i="30"/>
  <c r="DJ161" i="30"/>
  <c r="DK161" i="30"/>
  <c r="DL161" i="30"/>
  <c r="DM161" i="30"/>
  <c r="DN161" i="30"/>
  <c r="DO161" i="30"/>
  <c r="DP161" i="30"/>
  <c r="DQ161" i="30"/>
  <c r="DR161" i="30"/>
  <c r="DS161" i="30"/>
  <c r="DT161" i="30"/>
  <c r="DU161" i="30"/>
  <c r="DV161" i="30"/>
  <c r="DW161" i="30"/>
  <c r="DX161" i="30"/>
  <c r="DY161" i="30"/>
  <c r="DZ161" i="30"/>
  <c r="EA161" i="30"/>
  <c r="EB161" i="30"/>
  <c r="EC161" i="30"/>
  <c r="ED161" i="30"/>
  <c r="EE161" i="30"/>
  <c r="EF161" i="30"/>
  <c r="EG161" i="30"/>
  <c r="EH161" i="30"/>
  <c r="EI161" i="30"/>
  <c r="EJ161" i="30"/>
  <c r="EK161" i="30"/>
  <c r="EL161" i="30"/>
  <c r="EM161" i="30"/>
  <c r="EN161" i="30"/>
  <c r="EO161" i="30"/>
  <c r="EP161" i="30"/>
  <c r="EQ161" i="30"/>
  <c r="ER161" i="30"/>
  <c r="ES161" i="30"/>
  <c r="ET161" i="30"/>
  <c r="EU161" i="30"/>
  <c r="EV161" i="30"/>
  <c r="EW161" i="30"/>
  <c r="EX161" i="30"/>
  <c r="EY161" i="30"/>
  <c r="EZ161" i="30"/>
  <c r="FA161" i="30"/>
  <c r="FB161" i="30"/>
  <c r="FC161" i="30"/>
  <c r="FD161" i="30"/>
  <c r="FE161" i="30"/>
  <c r="FF161" i="30"/>
  <c r="FG161" i="30"/>
  <c r="FH161" i="30"/>
  <c r="FI161" i="30"/>
  <c r="FJ161" i="30"/>
  <c r="FK161" i="30"/>
  <c r="FL161" i="30"/>
  <c r="FM161" i="30"/>
  <c r="FN161" i="30"/>
  <c r="FO161" i="30"/>
  <c r="FP161" i="30"/>
  <c r="FQ161" i="30"/>
  <c r="FR161" i="30"/>
  <c r="FS161" i="30"/>
  <c r="FT161" i="30"/>
  <c r="FU161" i="30"/>
  <c r="FV161" i="30"/>
  <c r="FW161" i="30"/>
  <c r="FX161" i="30"/>
  <c r="FY161" i="30"/>
  <c r="FZ161" i="30"/>
  <c r="GA161" i="30"/>
  <c r="GB161" i="30"/>
  <c r="GC161" i="30"/>
  <c r="GD161" i="30"/>
  <c r="GE161" i="30"/>
  <c r="GF161" i="30"/>
  <c r="GG161" i="30"/>
  <c r="GH161" i="30"/>
  <c r="GI161" i="30"/>
  <c r="GJ161" i="30"/>
  <c r="GK161" i="30"/>
  <c r="GL161" i="30"/>
  <c r="GM161" i="30"/>
  <c r="GN161" i="30"/>
  <c r="GO161" i="30"/>
  <c r="GP161" i="30"/>
  <c r="GQ161" i="30"/>
  <c r="GR161" i="30"/>
  <c r="GS161" i="30"/>
  <c r="GT161" i="30"/>
  <c r="GU161" i="30"/>
  <c r="GV161" i="30"/>
  <c r="GW161" i="30"/>
  <c r="GX161" i="30"/>
  <c r="GY161" i="30"/>
  <c r="GZ161" i="30"/>
  <c r="HA161" i="30"/>
  <c r="HB161" i="30"/>
  <c r="HC161" i="30"/>
  <c r="HD161" i="30"/>
  <c r="HE161" i="30"/>
  <c r="HF161" i="30"/>
  <c r="HG161" i="30"/>
  <c r="HH161" i="30"/>
  <c r="HI161" i="30"/>
  <c r="HJ161" i="30"/>
  <c r="HK161" i="30"/>
  <c r="HL161" i="30"/>
  <c r="HM161" i="30"/>
  <c r="HN161" i="30"/>
  <c r="HO161" i="30"/>
  <c r="HP161" i="30"/>
  <c r="HQ161" i="30"/>
  <c r="HR161" i="30"/>
  <c r="HS161" i="30"/>
  <c r="HT161" i="30"/>
  <c r="HU161" i="30"/>
  <c r="HV161" i="30"/>
  <c r="HW161" i="30"/>
  <c r="HX161" i="30"/>
  <c r="HY161" i="30"/>
  <c r="HZ161" i="30"/>
  <c r="IA161" i="30"/>
  <c r="IB161" i="30"/>
  <c r="IC161" i="30"/>
  <c r="ID161" i="30"/>
  <c r="IE161" i="30"/>
  <c r="IF161" i="30"/>
  <c r="IG161" i="30"/>
  <c r="IH161" i="30"/>
  <c r="II161" i="30"/>
  <c r="IJ161" i="30"/>
  <c r="IK161" i="30"/>
  <c r="IL161" i="30"/>
  <c r="IM161" i="30"/>
  <c r="IN161" i="30"/>
  <c r="IO161" i="30"/>
  <c r="IP161" i="30"/>
  <c r="IQ161" i="30"/>
  <c r="IR161" i="30"/>
  <c r="IS161" i="30"/>
  <c r="IT161" i="30"/>
  <c r="IU161" i="30"/>
  <c r="IV161" i="30"/>
  <c r="A160" i="30"/>
  <c r="B160" i="30"/>
  <c r="C160" i="30"/>
  <c r="D160" i="30"/>
  <c r="E160" i="30"/>
  <c r="F160" i="30"/>
  <c r="G160" i="30"/>
  <c r="H160" i="30"/>
  <c r="I160" i="30"/>
  <c r="J160" i="30"/>
  <c r="K160" i="30"/>
  <c r="L160" i="30"/>
  <c r="M160" i="30"/>
  <c r="N160" i="30"/>
  <c r="O160" i="30"/>
  <c r="P160" i="30"/>
  <c r="Q160" i="30"/>
  <c r="R160" i="30"/>
  <c r="S160" i="30"/>
  <c r="T160" i="30"/>
  <c r="U160" i="30"/>
  <c r="V160" i="30"/>
  <c r="W160" i="30"/>
  <c r="X160" i="30"/>
  <c r="Y160" i="30"/>
  <c r="Z160" i="30"/>
  <c r="AA160" i="30"/>
  <c r="AB160" i="30"/>
  <c r="AC160" i="30"/>
  <c r="AD160" i="30"/>
  <c r="AE160" i="30"/>
  <c r="AF160" i="30"/>
  <c r="AG160" i="30"/>
  <c r="AH160" i="30"/>
  <c r="AI160" i="30"/>
  <c r="AJ160" i="30"/>
  <c r="AK160" i="30"/>
  <c r="AL160" i="30"/>
  <c r="AM160" i="30"/>
  <c r="AN160" i="30"/>
  <c r="AO160" i="30"/>
  <c r="AP160" i="30"/>
  <c r="AQ160" i="30"/>
  <c r="AR160" i="30"/>
  <c r="AS160" i="30"/>
  <c r="AT160" i="30"/>
  <c r="AU160" i="30"/>
  <c r="AV160" i="30"/>
  <c r="AW160" i="30"/>
  <c r="AX160" i="30"/>
  <c r="AY160" i="30"/>
  <c r="AZ160" i="30"/>
  <c r="BA160" i="30"/>
  <c r="BB160" i="30"/>
  <c r="BC160" i="30"/>
  <c r="BD160" i="30"/>
  <c r="BE160" i="30"/>
  <c r="BF160" i="30"/>
  <c r="BG160" i="30"/>
  <c r="BH160" i="30"/>
  <c r="BI160" i="30"/>
  <c r="BJ160" i="30"/>
  <c r="BK160" i="30"/>
  <c r="BL160" i="30"/>
  <c r="BM160" i="30"/>
  <c r="BN160" i="30"/>
  <c r="BO160" i="30"/>
  <c r="BP160" i="30"/>
  <c r="BQ160" i="30"/>
  <c r="BR160" i="30"/>
  <c r="BS160" i="30"/>
  <c r="BT160" i="30"/>
  <c r="BU160" i="30"/>
  <c r="BV160" i="30"/>
  <c r="BW160" i="30"/>
  <c r="BX160" i="30"/>
  <c r="BY160" i="30"/>
  <c r="BZ160" i="30"/>
  <c r="CA160" i="30"/>
  <c r="CB160" i="30"/>
  <c r="CC160" i="30"/>
  <c r="CD160" i="30"/>
  <c r="CE160" i="30"/>
  <c r="CF160" i="30"/>
  <c r="CG160" i="30"/>
  <c r="CH160" i="30"/>
  <c r="CI160" i="30"/>
  <c r="CJ160" i="30"/>
  <c r="CK160" i="30"/>
  <c r="CL160" i="30"/>
  <c r="CM160" i="30"/>
  <c r="CN160" i="30"/>
  <c r="CO160" i="30"/>
  <c r="CP160" i="30"/>
  <c r="CQ160" i="30"/>
  <c r="CR160" i="30"/>
  <c r="CS160" i="30"/>
  <c r="CT160" i="30"/>
  <c r="CU160" i="30"/>
  <c r="CV160" i="30"/>
  <c r="CW160" i="30"/>
  <c r="CX160" i="30"/>
  <c r="CY160" i="30"/>
  <c r="CZ160" i="30"/>
  <c r="DA160" i="30"/>
  <c r="DB160" i="30"/>
  <c r="DC160" i="30"/>
  <c r="DD160" i="30"/>
  <c r="DE160" i="30"/>
  <c r="DF160" i="30"/>
  <c r="DG160" i="30"/>
  <c r="DH160" i="30"/>
  <c r="DI160" i="30"/>
  <c r="DJ160" i="30"/>
  <c r="DK160" i="30"/>
  <c r="DL160" i="30"/>
  <c r="DM160" i="30"/>
  <c r="DN160" i="30"/>
  <c r="DO160" i="30"/>
  <c r="DP160" i="30"/>
  <c r="DQ160" i="30"/>
  <c r="DR160" i="30"/>
  <c r="DS160" i="30"/>
  <c r="DT160" i="30"/>
  <c r="DU160" i="30"/>
  <c r="DV160" i="30"/>
  <c r="DW160" i="30"/>
  <c r="DX160" i="30"/>
  <c r="DY160" i="30"/>
  <c r="DZ160" i="30"/>
  <c r="EA160" i="30"/>
  <c r="EB160" i="30"/>
  <c r="EC160" i="30"/>
  <c r="ED160" i="30"/>
  <c r="EE160" i="30"/>
  <c r="EF160" i="30"/>
  <c r="EG160" i="30"/>
  <c r="EH160" i="30"/>
  <c r="EI160" i="30"/>
  <c r="EJ160" i="30"/>
  <c r="EK160" i="30"/>
  <c r="EL160" i="30"/>
  <c r="EM160" i="30"/>
  <c r="EN160" i="30"/>
  <c r="EO160" i="30"/>
  <c r="EP160" i="30"/>
  <c r="EQ160" i="30"/>
  <c r="ER160" i="30"/>
  <c r="ES160" i="30"/>
  <c r="ET160" i="30"/>
  <c r="EU160" i="30"/>
  <c r="EV160" i="30"/>
  <c r="EW160" i="30"/>
  <c r="EX160" i="30"/>
  <c r="EY160" i="30"/>
  <c r="EZ160" i="30"/>
  <c r="FA160" i="30"/>
  <c r="FB160" i="30"/>
  <c r="FC160" i="30"/>
  <c r="FD160" i="30"/>
  <c r="FE160" i="30"/>
  <c r="FF160" i="30"/>
  <c r="FG160" i="30"/>
  <c r="FH160" i="30"/>
  <c r="FI160" i="30"/>
  <c r="FJ160" i="30"/>
  <c r="FK160" i="30"/>
  <c r="FL160" i="30"/>
  <c r="FM160" i="30"/>
  <c r="FN160" i="30"/>
  <c r="FO160" i="30"/>
  <c r="FP160" i="30"/>
  <c r="FQ160" i="30"/>
  <c r="FR160" i="30"/>
  <c r="FS160" i="30"/>
  <c r="FT160" i="30"/>
  <c r="FU160" i="30"/>
  <c r="FV160" i="30"/>
  <c r="FW160" i="30"/>
  <c r="FX160" i="30"/>
  <c r="FY160" i="30"/>
  <c r="FZ160" i="30"/>
  <c r="GA160" i="30"/>
  <c r="GB160" i="30"/>
  <c r="GC160" i="30"/>
  <c r="GD160" i="30"/>
  <c r="GE160" i="30"/>
  <c r="GF160" i="30"/>
  <c r="GG160" i="30"/>
  <c r="GH160" i="30"/>
  <c r="GI160" i="30"/>
  <c r="GJ160" i="30"/>
  <c r="GK160" i="30"/>
  <c r="GL160" i="30"/>
  <c r="GM160" i="30"/>
  <c r="GN160" i="30"/>
  <c r="GO160" i="30"/>
  <c r="GP160" i="30"/>
  <c r="GQ160" i="30"/>
  <c r="GR160" i="30"/>
  <c r="GS160" i="30"/>
  <c r="GT160" i="30"/>
  <c r="GU160" i="30"/>
  <c r="GV160" i="30"/>
  <c r="GW160" i="30"/>
  <c r="GX160" i="30"/>
  <c r="GY160" i="30"/>
  <c r="GZ160" i="30"/>
  <c r="HA160" i="30"/>
  <c r="HB160" i="30"/>
  <c r="HC160" i="30"/>
  <c r="HD160" i="30"/>
  <c r="HE160" i="30"/>
  <c r="HF160" i="30"/>
  <c r="HG160" i="30"/>
  <c r="HH160" i="30"/>
  <c r="HI160" i="30"/>
  <c r="HJ160" i="30"/>
  <c r="HK160" i="30"/>
  <c r="HL160" i="30"/>
  <c r="HM160" i="30"/>
  <c r="HN160" i="30"/>
  <c r="HO160" i="30"/>
  <c r="HP160" i="30"/>
  <c r="HQ160" i="30"/>
  <c r="HR160" i="30"/>
  <c r="HS160" i="30"/>
  <c r="HT160" i="30"/>
  <c r="HU160" i="30"/>
  <c r="HV160" i="30"/>
  <c r="HW160" i="30"/>
  <c r="HX160" i="30"/>
  <c r="HY160" i="30"/>
  <c r="HZ160" i="30"/>
  <c r="IA160" i="30"/>
  <c r="IB160" i="30"/>
  <c r="IC160" i="30"/>
  <c r="ID160" i="30"/>
  <c r="IE160" i="30"/>
  <c r="IF160" i="30"/>
  <c r="IG160" i="30"/>
  <c r="IH160" i="30"/>
  <c r="II160" i="30"/>
  <c r="IJ160" i="30"/>
  <c r="IK160" i="30"/>
  <c r="IL160" i="30"/>
  <c r="IM160" i="30"/>
  <c r="IN160" i="30"/>
  <c r="IO160" i="30"/>
  <c r="IP160" i="30"/>
  <c r="IQ160" i="30"/>
  <c r="IR160" i="30"/>
  <c r="IS160" i="30"/>
  <c r="IT160" i="30"/>
  <c r="IU160" i="30"/>
  <c r="IV160" i="30"/>
  <c r="A159" i="30"/>
  <c r="B159" i="30"/>
  <c r="C159" i="30"/>
  <c r="D159" i="30"/>
  <c r="E159" i="30"/>
  <c r="F159" i="30"/>
  <c r="G159" i="30"/>
  <c r="H159" i="30"/>
  <c r="I159" i="30"/>
  <c r="J159" i="30"/>
  <c r="K159" i="30"/>
  <c r="L159" i="30"/>
  <c r="M159" i="30"/>
  <c r="N159" i="30"/>
  <c r="O159" i="30"/>
  <c r="P159" i="30"/>
  <c r="Q159" i="30"/>
  <c r="R159" i="30"/>
  <c r="S159" i="30"/>
  <c r="T159" i="30"/>
  <c r="U159" i="30"/>
  <c r="V159" i="30"/>
  <c r="W159" i="30"/>
  <c r="X159" i="30"/>
  <c r="Y159" i="30"/>
  <c r="Z159" i="30"/>
  <c r="AA159" i="30"/>
  <c r="AB159" i="30"/>
  <c r="AC159" i="30"/>
  <c r="AD159" i="30"/>
  <c r="AE159" i="30"/>
  <c r="AF159" i="30"/>
  <c r="AG159" i="30"/>
  <c r="AH159" i="30"/>
  <c r="AI159" i="30"/>
  <c r="AJ159" i="30"/>
  <c r="AK159" i="30"/>
  <c r="AL159" i="30"/>
  <c r="AM159" i="30"/>
  <c r="AN159" i="30"/>
  <c r="AO159" i="30"/>
  <c r="AP159" i="30"/>
  <c r="AQ159" i="30"/>
  <c r="AR159" i="30"/>
  <c r="AS159" i="30"/>
  <c r="AT159" i="30"/>
  <c r="AU159" i="30"/>
  <c r="AV159" i="30"/>
  <c r="AW159" i="30"/>
  <c r="AX159" i="30"/>
  <c r="AY159" i="30"/>
  <c r="AZ159" i="30"/>
  <c r="BA159" i="30"/>
  <c r="BB159" i="30"/>
  <c r="BC159" i="30"/>
  <c r="BD159" i="30"/>
  <c r="BE159" i="30"/>
  <c r="BF159" i="30"/>
  <c r="BG159" i="30"/>
  <c r="BH159" i="30"/>
  <c r="BI159" i="30"/>
  <c r="BJ159" i="30"/>
  <c r="BK159" i="30"/>
  <c r="BL159" i="30"/>
  <c r="BM159" i="30"/>
  <c r="BN159" i="30"/>
  <c r="BO159" i="30"/>
  <c r="BP159" i="30"/>
  <c r="BQ159" i="30"/>
  <c r="BR159" i="30"/>
  <c r="BS159" i="30"/>
  <c r="BT159" i="30"/>
  <c r="BU159" i="30"/>
  <c r="BV159" i="30"/>
  <c r="BW159" i="30"/>
  <c r="BX159" i="30"/>
  <c r="BY159" i="30"/>
  <c r="BZ159" i="30"/>
  <c r="CA159" i="30"/>
  <c r="CB159" i="30"/>
  <c r="CC159" i="30"/>
  <c r="CD159" i="30"/>
  <c r="CE159" i="30"/>
  <c r="CF159" i="30"/>
  <c r="CG159" i="30"/>
  <c r="CH159" i="30"/>
  <c r="CI159" i="30"/>
  <c r="CJ159" i="30"/>
  <c r="CK159" i="30"/>
  <c r="CL159" i="30"/>
  <c r="CM159" i="30"/>
  <c r="CN159" i="30"/>
  <c r="CO159" i="30"/>
  <c r="CP159" i="30"/>
  <c r="CQ159" i="30"/>
  <c r="CR159" i="30"/>
  <c r="CS159" i="30"/>
  <c r="CT159" i="30"/>
  <c r="CU159" i="30"/>
  <c r="CV159" i="30"/>
  <c r="CW159" i="30"/>
  <c r="CX159" i="30"/>
  <c r="CY159" i="30"/>
  <c r="CZ159" i="30"/>
  <c r="DA159" i="30"/>
  <c r="DB159" i="30"/>
  <c r="DC159" i="30"/>
  <c r="DD159" i="30"/>
  <c r="DE159" i="30"/>
  <c r="DF159" i="30"/>
  <c r="DG159" i="30"/>
  <c r="DH159" i="30"/>
  <c r="DI159" i="30"/>
  <c r="DJ159" i="30"/>
  <c r="DK159" i="30"/>
  <c r="DL159" i="30"/>
  <c r="DM159" i="30"/>
  <c r="DN159" i="30"/>
  <c r="DO159" i="30"/>
  <c r="DP159" i="30"/>
  <c r="DQ159" i="30"/>
  <c r="DR159" i="30"/>
  <c r="DS159" i="30"/>
  <c r="DT159" i="30"/>
  <c r="DU159" i="30"/>
  <c r="DV159" i="30"/>
  <c r="DW159" i="30"/>
  <c r="DX159" i="30"/>
  <c r="DY159" i="30"/>
  <c r="DZ159" i="30"/>
  <c r="EA159" i="30"/>
  <c r="EB159" i="30"/>
  <c r="EC159" i="30"/>
  <c r="ED159" i="30"/>
  <c r="EE159" i="30"/>
  <c r="EF159" i="30"/>
  <c r="EG159" i="30"/>
  <c r="EH159" i="30"/>
  <c r="EI159" i="30"/>
  <c r="EJ159" i="30"/>
  <c r="EK159" i="30"/>
  <c r="EL159" i="30"/>
  <c r="EM159" i="30"/>
  <c r="EN159" i="30"/>
  <c r="EO159" i="30"/>
  <c r="EP159" i="30"/>
  <c r="EQ159" i="30"/>
  <c r="ER159" i="30"/>
  <c r="ES159" i="30"/>
  <c r="ET159" i="30"/>
  <c r="EU159" i="30"/>
  <c r="EV159" i="30"/>
  <c r="EW159" i="30"/>
  <c r="EX159" i="30"/>
  <c r="EY159" i="30"/>
  <c r="EZ159" i="30"/>
  <c r="FA159" i="30"/>
  <c r="FB159" i="30"/>
  <c r="FC159" i="30"/>
  <c r="FD159" i="30"/>
  <c r="FE159" i="30"/>
  <c r="FF159" i="30"/>
  <c r="FG159" i="30"/>
  <c r="FH159" i="30"/>
  <c r="FI159" i="30"/>
  <c r="FJ159" i="30"/>
  <c r="FK159" i="30"/>
  <c r="FL159" i="30"/>
  <c r="FM159" i="30"/>
  <c r="FN159" i="30"/>
  <c r="FO159" i="30"/>
  <c r="FP159" i="30"/>
  <c r="FQ159" i="30"/>
  <c r="FR159" i="30"/>
  <c r="FS159" i="30"/>
  <c r="FT159" i="30"/>
  <c r="FU159" i="30"/>
  <c r="FV159" i="30"/>
  <c r="FW159" i="30"/>
  <c r="FX159" i="30"/>
  <c r="FY159" i="30"/>
  <c r="FZ159" i="30"/>
  <c r="GA159" i="30"/>
  <c r="GB159" i="30"/>
  <c r="GC159" i="30"/>
  <c r="GD159" i="30"/>
  <c r="GE159" i="30"/>
  <c r="GF159" i="30"/>
  <c r="GG159" i="30"/>
  <c r="GH159" i="30"/>
  <c r="GI159" i="30"/>
  <c r="GJ159" i="30"/>
  <c r="GK159" i="30"/>
  <c r="GL159" i="30"/>
  <c r="GM159" i="30"/>
  <c r="GN159" i="30"/>
  <c r="GO159" i="30"/>
  <c r="GP159" i="30"/>
  <c r="GQ159" i="30"/>
  <c r="GR159" i="30"/>
  <c r="GS159" i="30"/>
  <c r="GT159" i="30"/>
  <c r="GU159" i="30"/>
  <c r="GV159" i="30"/>
  <c r="GW159" i="30"/>
  <c r="GX159" i="30"/>
  <c r="GY159" i="30"/>
  <c r="GZ159" i="30"/>
  <c r="HA159" i="30"/>
  <c r="HB159" i="30"/>
  <c r="HC159" i="30"/>
  <c r="HD159" i="30"/>
  <c r="HE159" i="30"/>
  <c r="HF159" i="30"/>
  <c r="HG159" i="30"/>
  <c r="HH159" i="30"/>
  <c r="HI159" i="30"/>
  <c r="HJ159" i="30"/>
  <c r="HK159" i="30"/>
  <c r="HL159" i="30"/>
  <c r="HM159" i="30"/>
  <c r="HN159" i="30"/>
  <c r="HO159" i="30"/>
  <c r="HP159" i="30"/>
  <c r="HQ159" i="30"/>
  <c r="HR159" i="30"/>
  <c r="HS159" i="30"/>
  <c r="HT159" i="30"/>
  <c r="HU159" i="30"/>
  <c r="HV159" i="30"/>
  <c r="HW159" i="30"/>
  <c r="HX159" i="30"/>
  <c r="HY159" i="30"/>
  <c r="HZ159" i="30"/>
  <c r="IA159" i="30"/>
  <c r="IB159" i="30"/>
  <c r="IC159" i="30"/>
  <c r="ID159" i="30"/>
  <c r="IE159" i="30"/>
  <c r="IF159" i="30"/>
  <c r="IG159" i="30"/>
  <c r="IH159" i="30"/>
  <c r="II159" i="30"/>
  <c r="IJ159" i="30"/>
  <c r="IK159" i="30"/>
  <c r="IL159" i="30"/>
  <c r="IM159" i="30"/>
  <c r="IN159" i="30"/>
  <c r="IO159" i="30"/>
  <c r="IP159" i="30"/>
  <c r="IQ159" i="30"/>
  <c r="IR159" i="30"/>
  <c r="IS159" i="30"/>
  <c r="IT159" i="30"/>
  <c r="IU159" i="30"/>
  <c r="IV159" i="30"/>
  <c r="A158" i="30"/>
  <c r="B158" i="30"/>
  <c r="C158" i="30"/>
  <c r="D158" i="30"/>
  <c r="E158" i="30"/>
  <c r="F158" i="30"/>
  <c r="G158" i="30"/>
  <c r="H158" i="30"/>
  <c r="I158" i="30"/>
  <c r="J158" i="30"/>
  <c r="K158" i="30"/>
  <c r="L158" i="30"/>
  <c r="M158" i="30"/>
  <c r="N158" i="30"/>
  <c r="O158" i="30"/>
  <c r="P158" i="30"/>
  <c r="Q158" i="30"/>
  <c r="R158" i="30"/>
  <c r="S158" i="30"/>
  <c r="T158" i="30"/>
  <c r="U158" i="30"/>
  <c r="V158" i="30"/>
  <c r="W158" i="30"/>
  <c r="X158" i="30"/>
  <c r="Y158" i="30"/>
  <c r="Z158" i="30"/>
  <c r="AA158" i="30"/>
  <c r="AB158" i="30"/>
  <c r="AC158" i="30"/>
  <c r="AD158" i="30"/>
  <c r="AE158" i="30"/>
  <c r="AF158" i="30"/>
  <c r="AG158" i="30"/>
  <c r="AH158" i="30"/>
  <c r="AI158" i="30"/>
  <c r="AJ158" i="30"/>
  <c r="AK158" i="30"/>
  <c r="AL158" i="30"/>
  <c r="AM158" i="30"/>
  <c r="AN158" i="30"/>
  <c r="AO158" i="30"/>
  <c r="AP158" i="30"/>
  <c r="AQ158" i="30"/>
  <c r="AR158" i="30"/>
  <c r="AS158" i="30"/>
  <c r="AT158" i="30"/>
  <c r="AU158" i="30"/>
  <c r="AV158" i="30"/>
  <c r="AW158" i="30"/>
  <c r="AX158" i="30"/>
  <c r="AY158" i="30"/>
  <c r="AZ158" i="30"/>
  <c r="BA158" i="30"/>
  <c r="BB158" i="30"/>
  <c r="BC158" i="30"/>
  <c r="BD158" i="30"/>
  <c r="BE158" i="30"/>
  <c r="BF158" i="30"/>
  <c r="BG158" i="30"/>
  <c r="BH158" i="30"/>
  <c r="BI158" i="30"/>
  <c r="BJ158" i="30"/>
  <c r="BK158" i="30"/>
  <c r="BL158" i="30"/>
  <c r="BM158" i="30"/>
  <c r="BN158" i="30"/>
  <c r="BO158" i="30"/>
  <c r="BP158" i="30"/>
  <c r="BQ158" i="30"/>
  <c r="BR158" i="30"/>
  <c r="BS158" i="30"/>
  <c r="BT158" i="30"/>
  <c r="BU158" i="30"/>
  <c r="BV158" i="30"/>
  <c r="BW158" i="30"/>
  <c r="BX158" i="30"/>
  <c r="BY158" i="30"/>
  <c r="BZ158" i="30"/>
  <c r="CA158" i="30"/>
  <c r="CB158" i="30"/>
  <c r="CC158" i="30"/>
  <c r="CD158" i="30"/>
  <c r="CE158" i="30"/>
  <c r="CF158" i="30"/>
  <c r="CG158" i="30"/>
  <c r="CH158" i="30"/>
  <c r="CI158" i="30"/>
  <c r="CJ158" i="30"/>
  <c r="CK158" i="30"/>
  <c r="CL158" i="30"/>
  <c r="CM158" i="30"/>
  <c r="CN158" i="30"/>
  <c r="CO158" i="30"/>
  <c r="CP158" i="30"/>
  <c r="CQ158" i="30"/>
  <c r="CR158" i="30"/>
  <c r="CS158" i="30"/>
  <c r="CT158" i="30"/>
  <c r="CU158" i="30"/>
  <c r="CV158" i="30"/>
  <c r="CW158" i="30"/>
  <c r="CX158" i="30"/>
  <c r="CY158" i="30"/>
  <c r="CZ158" i="30"/>
  <c r="DA158" i="30"/>
  <c r="DB158" i="30"/>
  <c r="DC158" i="30"/>
  <c r="DD158" i="30"/>
  <c r="DE158" i="30"/>
  <c r="DF158" i="30"/>
  <c r="DG158" i="30"/>
  <c r="DH158" i="30"/>
  <c r="DI158" i="30"/>
  <c r="DJ158" i="30"/>
  <c r="DK158" i="30"/>
  <c r="DL158" i="30"/>
  <c r="DM158" i="30"/>
  <c r="DN158" i="30"/>
  <c r="DO158" i="30"/>
  <c r="DP158" i="30"/>
  <c r="DQ158" i="30"/>
  <c r="DR158" i="30"/>
  <c r="DS158" i="30"/>
  <c r="DT158" i="30"/>
  <c r="DU158" i="30"/>
  <c r="DV158" i="30"/>
  <c r="DW158" i="30"/>
  <c r="DX158" i="30"/>
  <c r="DY158" i="30"/>
  <c r="DZ158" i="30"/>
  <c r="EA158" i="30"/>
  <c r="EB158" i="30"/>
  <c r="EC158" i="30"/>
  <c r="ED158" i="30"/>
  <c r="EE158" i="30"/>
  <c r="EF158" i="30"/>
  <c r="EG158" i="30"/>
  <c r="EH158" i="30"/>
  <c r="EI158" i="30"/>
  <c r="EJ158" i="30"/>
  <c r="EK158" i="30"/>
  <c r="EL158" i="30"/>
  <c r="EM158" i="30"/>
  <c r="EN158" i="30"/>
  <c r="EO158" i="30"/>
  <c r="EP158" i="30"/>
  <c r="EQ158" i="30"/>
  <c r="ER158" i="30"/>
  <c r="ES158" i="30"/>
  <c r="ET158" i="30"/>
  <c r="EU158" i="30"/>
  <c r="EV158" i="30"/>
  <c r="EW158" i="30"/>
  <c r="EX158" i="30"/>
  <c r="EY158" i="30"/>
  <c r="EZ158" i="30"/>
  <c r="FA158" i="30"/>
  <c r="FB158" i="30"/>
  <c r="FC158" i="30"/>
  <c r="FD158" i="30"/>
  <c r="FE158" i="30"/>
  <c r="FF158" i="30"/>
  <c r="FG158" i="30"/>
  <c r="FH158" i="30"/>
  <c r="FI158" i="30"/>
  <c r="FJ158" i="30"/>
  <c r="FK158" i="30"/>
  <c r="FL158" i="30"/>
  <c r="FM158" i="30"/>
  <c r="FN158" i="30"/>
  <c r="FO158" i="30"/>
  <c r="FP158" i="30"/>
  <c r="FQ158" i="30"/>
  <c r="FR158" i="30"/>
  <c r="FS158" i="30"/>
  <c r="FT158" i="30"/>
  <c r="FU158" i="30"/>
  <c r="FV158" i="30"/>
  <c r="FW158" i="30"/>
  <c r="FX158" i="30"/>
  <c r="FY158" i="30"/>
  <c r="FZ158" i="30"/>
  <c r="GA158" i="30"/>
  <c r="GB158" i="30"/>
  <c r="GC158" i="30"/>
  <c r="GD158" i="30"/>
  <c r="GE158" i="30"/>
  <c r="GF158" i="30"/>
  <c r="GG158" i="30"/>
  <c r="GH158" i="30"/>
  <c r="GI158" i="30"/>
  <c r="GJ158" i="30"/>
  <c r="GK158" i="30"/>
  <c r="GL158" i="30"/>
  <c r="GM158" i="30"/>
  <c r="GN158" i="30"/>
  <c r="GO158" i="30"/>
  <c r="GP158" i="30"/>
  <c r="GQ158" i="30"/>
  <c r="GR158" i="30"/>
  <c r="GS158" i="30"/>
  <c r="GT158" i="30"/>
  <c r="GU158" i="30"/>
  <c r="GV158" i="30"/>
  <c r="GW158" i="30"/>
  <c r="GX158" i="30"/>
  <c r="GY158" i="30"/>
  <c r="GZ158" i="30"/>
  <c r="HA158" i="30"/>
  <c r="HB158" i="30"/>
  <c r="HC158" i="30"/>
  <c r="HD158" i="30"/>
  <c r="HE158" i="30"/>
  <c r="HF158" i="30"/>
  <c r="HG158" i="30"/>
  <c r="HH158" i="30"/>
  <c r="HI158" i="30"/>
  <c r="HJ158" i="30"/>
  <c r="HK158" i="30"/>
  <c r="HL158" i="30"/>
  <c r="HM158" i="30"/>
  <c r="HN158" i="30"/>
  <c r="HO158" i="30"/>
  <c r="HP158" i="30"/>
  <c r="HQ158" i="30"/>
  <c r="HR158" i="30"/>
  <c r="HS158" i="30"/>
  <c r="HT158" i="30"/>
  <c r="HU158" i="30"/>
  <c r="HV158" i="30"/>
  <c r="HW158" i="30"/>
  <c r="HX158" i="30"/>
  <c r="HY158" i="30"/>
  <c r="HZ158" i="30"/>
  <c r="IA158" i="30"/>
  <c r="IB158" i="30"/>
  <c r="IC158" i="30"/>
  <c r="ID158" i="30"/>
  <c r="IE158" i="30"/>
  <c r="IF158" i="30"/>
  <c r="IG158" i="30"/>
  <c r="IH158" i="30"/>
  <c r="II158" i="30"/>
  <c r="IJ158" i="30"/>
  <c r="IK158" i="30"/>
  <c r="IL158" i="30"/>
  <c r="IM158" i="30"/>
  <c r="IN158" i="30"/>
  <c r="IO158" i="30"/>
  <c r="IP158" i="30"/>
  <c r="IQ158" i="30"/>
  <c r="IR158" i="30"/>
  <c r="IS158" i="30"/>
  <c r="IT158" i="30"/>
  <c r="IU158" i="30"/>
  <c r="IV158" i="30"/>
  <c r="A157" i="30"/>
  <c r="B157" i="30"/>
  <c r="C157" i="30"/>
  <c r="D157" i="30"/>
  <c r="E157" i="30"/>
  <c r="F157" i="30"/>
  <c r="G157" i="30"/>
  <c r="H157" i="30"/>
  <c r="I157" i="30"/>
  <c r="J157" i="30"/>
  <c r="K157" i="30"/>
  <c r="L157" i="30"/>
  <c r="M157" i="30"/>
  <c r="N157" i="30"/>
  <c r="O157" i="30"/>
  <c r="P157" i="30"/>
  <c r="Q157" i="30"/>
  <c r="R157" i="30"/>
  <c r="S157" i="30"/>
  <c r="T157" i="30"/>
  <c r="U157" i="30"/>
  <c r="V157" i="30"/>
  <c r="W157" i="30"/>
  <c r="X157" i="30"/>
  <c r="Y157" i="30"/>
  <c r="Z157" i="30"/>
  <c r="AA157" i="30"/>
  <c r="AB157" i="30"/>
  <c r="AC157" i="30"/>
  <c r="AD157" i="30"/>
  <c r="AE157" i="30"/>
  <c r="AF157" i="30"/>
  <c r="AG157" i="30"/>
  <c r="AH157" i="30"/>
  <c r="AI157" i="30"/>
  <c r="AJ157" i="30"/>
  <c r="AK157" i="30"/>
  <c r="AL157" i="30"/>
  <c r="AM157" i="30"/>
  <c r="AN157" i="30"/>
  <c r="AO157" i="30"/>
  <c r="AP157" i="30"/>
  <c r="AQ157" i="30"/>
  <c r="AR157" i="30"/>
  <c r="AS157" i="30"/>
  <c r="AT157" i="30"/>
  <c r="AU157" i="30"/>
  <c r="AV157" i="30"/>
  <c r="AW157" i="30"/>
  <c r="AX157" i="30"/>
  <c r="AY157" i="30"/>
  <c r="AZ157" i="30"/>
  <c r="BA157" i="30"/>
  <c r="BB157" i="30"/>
  <c r="BC157" i="30"/>
  <c r="BD157" i="30"/>
  <c r="BE157" i="30"/>
  <c r="BF157" i="30"/>
  <c r="BG157" i="30"/>
  <c r="BH157" i="30"/>
  <c r="BI157" i="30"/>
  <c r="BJ157" i="30"/>
  <c r="BK157" i="30"/>
  <c r="BL157" i="30"/>
  <c r="BM157" i="30"/>
  <c r="BN157" i="30"/>
  <c r="BO157" i="30"/>
  <c r="BP157" i="30"/>
  <c r="BQ157" i="30"/>
  <c r="BR157" i="30"/>
  <c r="BS157" i="30"/>
  <c r="BT157" i="30"/>
  <c r="BU157" i="30"/>
  <c r="BV157" i="30"/>
  <c r="BW157" i="30"/>
  <c r="BX157" i="30"/>
  <c r="BY157" i="30"/>
  <c r="BZ157" i="30"/>
  <c r="CA157" i="30"/>
  <c r="CB157" i="30"/>
  <c r="CC157" i="30"/>
  <c r="CD157" i="30"/>
  <c r="CE157" i="30"/>
  <c r="CF157" i="30"/>
  <c r="CG157" i="30"/>
  <c r="CH157" i="30"/>
  <c r="CI157" i="30"/>
  <c r="CJ157" i="30"/>
  <c r="CK157" i="30"/>
  <c r="CL157" i="30"/>
  <c r="CM157" i="30"/>
  <c r="CN157" i="30"/>
  <c r="CO157" i="30"/>
  <c r="CP157" i="30"/>
  <c r="CQ157" i="30"/>
  <c r="CR157" i="30"/>
  <c r="CS157" i="30"/>
  <c r="CT157" i="30"/>
  <c r="CU157" i="30"/>
  <c r="CV157" i="30"/>
  <c r="CW157" i="30"/>
  <c r="CX157" i="30"/>
  <c r="CY157" i="30"/>
  <c r="CZ157" i="30"/>
  <c r="DA157" i="30"/>
  <c r="DB157" i="30"/>
  <c r="DC157" i="30"/>
  <c r="DD157" i="30"/>
  <c r="DE157" i="30"/>
  <c r="DF157" i="30"/>
  <c r="DG157" i="30"/>
  <c r="DH157" i="30"/>
  <c r="DI157" i="30"/>
  <c r="DJ157" i="30"/>
  <c r="DK157" i="30"/>
  <c r="DL157" i="30"/>
  <c r="DM157" i="30"/>
  <c r="DN157" i="30"/>
  <c r="DO157" i="30"/>
  <c r="DP157" i="30"/>
  <c r="DQ157" i="30"/>
  <c r="DR157" i="30"/>
  <c r="DS157" i="30"/>
  <c r="DT157" i="30"/>
  <c r="DU157" i="30"/>
  <c r="DV157" i="30"/>
  <c r="DW157" i="30"/>
  <c r="DX157" i="30"/>
  <c r="DY157" i="30"/>
  <c r="DZ157" i="30"/>
  <c r="EA157" i="30"/>
  <c r="EB157" i="30"/>
  <c r="EC157" i="30"/>
  <c r="ED157" i="30"/>
  <c r="EE157" i="30"/>
  <c r="EF157" i="30"/>
  <c r="EG157" i="30"/>
  <c r="EH157" i="30"/>
  <c r="EI157" i="30"/>
  <c r="EJ157" i="30"/>
  <c r="EK157" i="30"/>
  <c r="EL157" i="30"/>
  <c r="EM157" i="30"/>
  <c r="EN157" i="30"/>
  <c r="EO157" i="30"/>
  <c r="EP157" i="30"/>
  <c r="EQ157" i="30"/>
  <c r="ER157" i="30"/>
  <c r="ES157" i="30"/>
  <c r="ET157" i="30"/>
  <c r="EU157" i="30"/>
  <c r="EV157" i="30"/>
  <c r="EW157" i="30"/>
  <c r="EX157" i="30"/>
  <c r="EY157" i="30"/>
  <c r="EZ157" i="30"/>
  <c r="FA157" i="30"/>
  <c r="FB157" i="30"/>
  <c r="FC157" i="30"/>
  <c r="FD157" i="30"/>
  <c r="FE157" i="30"/>
  <c r="FF157" i="30"/>
  <c r="FG157" i="30"/>
  <c r="FH157" i="30"/>
  <c r="FI157" i="30"/>
  <c r="FJ157" i="30"/>
  <c r="FK157" i="30"/>
  <c r="FL157" i="30"/>
  <c r="FM157" i="30"/>
  <c r="FN157" i="30"/>
  <c r="FO157" i="30"/>
  <c r="FP157" i="30"/>
  <c r="FQ157" i="30"/>
  <c r="FR157" i="30"/>
  <c r="FS157" i="30"/>
  <c r="FT157" i="30"/>
  <c r="FU157" i="30"/>
  <c r="FV157" i="30"/>
  <c r="FW157" i="30"/>
  <c r="FX157" i="30"/>
  <c r="FY157" i="30"/>
  <c r="FZ157" i="30"/>
  <c r="GA157" i="30"/>
  <c r="GB157" i="30"/>
  <c r="GC157" i="30"/>
  <c r="GD157" i="30"/>
  <c r="GE157" i="30"/>
  <c r="GF157" i="30"/>
  <c r="GG157" i="30"/>
  <c r="GH157" i="30"/>
  <c r="GI157" i="30"/>
  <c r="GJ157" i="30"/>
  <c r="GK157" i="30"/>
  <c r="GL157" i="30"/>
  <c r="GM157" i="30"/>
  <c r="GN157" i="30"/>
  <c r="GO157" i="30"/>
  <c r="GP157" i="30"/>
  <c r="GQ157" i="30"/>
  <c r="GR157" i="30"/>
  <c r="GS157" i="30"/>
  <c r="GT157" i="30"/>
  <c r="GU157" i="30"/>
  <c r="GV157" i="30"/>
  <c r="GW157" i="30"/>
  <c r="GX157" i="30"/>
  <c r="GY157" i="30"/>
  <c r="GZ157" i="30"/>
  <c r="HA157" i="30"/>
  <c r="HB157" i="30"/>
  <c r="HC157" i="30"/>
  <c r="HD157" i="30"/>
  <c r="HE157" i="30"/>
  <c r="HF157" i="30"/>
  <c r="HG157" i="30"/>
  <c r="HH157" i="30"/>
  <c r="HI157" i="30"/>
  <c r="HJ157" i="30"/>
  <c r="HK157" i="30"/>
  <c r="HL157" i="30"/>
  <c r="HM157" i="30"/>
  <c r="HN157" i="30"/>
  <c r="HO157" i="30"/>
  <c r="HP157" i="30"/>
  <c r="HQ157" i="30"/>
  <c r="HR157" i="30"/>
  <c r="HS157" i="30"/>
  <c r="HT157" i="30"/>
  <c r="HU157" i="30"/>
  <c r="HV157" i="30"/>
  <c r="HW157" i="30"/>
  <c r="HX157" i="30"/>
  <c r="HY157" i="30"/>
  <c r="HZ157" i="30"/>
  <c r="IA157" i="30"/>
  <c r="IB157" i="30"/>
  <c r="IC157" i="30"/>
  <c r="ID157" i="30"/>
  <c r="IE157" i="30"/>
  <c r="IF157" i="30"/>
  <c r="IG157" i="30"/>
  <c r="IH157" i="30"/>
  <c r="II157" i="30"/>
  <c r="IJ157" i="30"/>
  <c r="IK157" i="30"/>
  <c r="IL157" i="30"/>
  <c r="IM157" i="30"/>
  <c r="IN157" i="30"/>
  <c r="IO157" i="30"/>
  <c r="IP157" i="30"/>
  <c r="IQ157" i="30"/>
  <c r="IR157" i="30"/>
  <c r="IS157" i="30"/>
  <c r="IT157" i="30"/>
  <c r="IU157" i="30"/>
  <c r="IV157" i="30"/>
  <c r="A156" i="30"/>
  <c r="B156" i="30"/>
  <c r="C156" i="30"/>
  <c r="D156" i="30"/>
  <c r="E156" i="30"/>
  <c r="F156" i="30"/>
  <c r="G156" i="30"/>
  <c r="H156" i="30"/>
  <c r="I156" i="30"/>
  <c r="J156" i="30"/>
  <c r="K156" i="30"/>
  <c r="L156" i="30"/>
  <c r="M156" i="30"/>
  <c r="N156" i="30"/>
  <c r="O156" i="30"/>
  <c r="P156" i="30"/>
  <c r="Q156" i="30"/>
  <c r="R156" i="30"/>
  <c r="S156" i="30"/>
  <c r="T156" i="30"/>
  <c r="U156" i="30"/>
  <c r="V156" i="30"/>
  <c r="W156" i="30"/>
  <c r="X156" i="30"/>
  <c r="Y156" i="30"/>
  <c r="Z156" i="30"/>
  <c r="AA156" i="30"/>
  <c r="AB156" i="30"/>
  <c r="AC156" i="30"/>
  <c r="AD156" i="30"/>
  <c r="AE156" i="30"/>
  <c r="AF156" i="30"/>
  <c r="AG156" i="30"/>
  <c r="AH156" i="30"/>
  <c r="AI156" i="30"/>
  <c r="AJ156" i="30"/>
  <c r="AK156" i="30"/>
  <c r="AL156" i="30"/>
  <c r="AM156" i="30"/>
  <c r="AN156" i="30"/>
  <c r="AO156" i="30"/>
  <c r="AP156" i="30"/>
  <c r="AQ156" i="30"/>
  <c r="AR156" i="30"/>
  <c r="AS156" i="30"/>
  <c r="AT156" i="30"/>
  <c r="AU156" i="30"/>
  <c r="AV156" i="30"/>
  <c r="AW156" i="30"/>
  <c r="AX156" i="30"/>
  <c r="AY156" i="30"/>
  <c r="AZ156" i="30"/>
  <c r="BA156" i="30"/>
  <c r="BB156" i="30"/>
  <c r="BC156" i="30"/>
  <c r="BD156" i="30"/>
  <c r="BE156" i="30"/>
  <c r="BF156" i="30"/>
  <c r="BG156" i="30"/>
  <c r="BH156" i="30"/>
  <c r="BI156" i="30"/>
  <c r="BJ156" i="30"/>
  <c r="BK156" i="30"/>
  <c r="BL156" i="30"/>
  <c r="BM156" i="30"/>
  <c r="BN156" i="30"/>
  <c r="BO156" i="30"/>
  <c r="BP156" i="30"/>
  <c r="BQ156" i="30"/>
  <c r="BR156" i="30"/>
  <c r="BS156" i="30"/>
  <c r="BT156" i="30"/>
  <c r="BU156" i="30"/>
  <c r="BV156" i="30"/>
  <c r="BW156" i="30"/>
  <c r="BX156" i="30"/>
  <c r="BY156" i="30"/>
  <c r="BZ156" i="30"/>
  <c r="CA156" i="30"/>
  <c r="CB156" i="30"/>
  <c r="CC156" i="30"/>
  <c r="CD156" i="30"/>
  <c r="CE156" i="30"/>
  <c r="CF156" i="30"/>
  <c r="CG156" i="30"/>
  <c r="CH156" i="30"/>
  <c r="CI156" i="30"/>
  <c r="CJ156" i="30"/>
  <c r="CK156" i="30"/>
  <c r="CL156" i="30"/>
  <c r="CM156" i="30"/>
  <c r="CN156" i="30"/>
  <c r="CO156" i="30"/>
  <c r="CP156" i="30"/>
  <c r="CQ156" i="30"/>
  <c r="CR156" i="30"/>
  <c r="CS156" i="30"/>
  <c r="CT156" i="30"/>
  <c r="CU156" i="30"/>
  <c r="CV156" i="30"/>
  <c r="CW156" i="30"/>
  <c r="CX156" i="30"/>
  <c r="CY156" i="30"/>
  <c r="CZ156" i="30"/>
  <c r="DA156" i="30"/>
  <c r="DB156" i="30"/>
  <c r="DC156" i="30"/>
  <c r="DD156" i="30"/>
  <c r="DE156" i="30"/>
  <c r="DF156" i="30"/>
  <c r="DG156" i="30"/>
  <c r="DH156" i="30"/>
  <c r="DI156" i="30"/>
  <c r="DJ156" i="30"/>
  <c r="DK156" i="30"/>
  <c r="DL156" i="30"/>
  <c r="DM156" i="30"/>
  <c r="DN156" i="30"/>
  <c r="DO156" i="30"/>
  <c r="DP156" i="30"/>
  <c r="DQ156" i="30"/>
  <c r="DR156" i="30"/>
  <c r="DS156" i="30"/>
  <c r="DT156" i="30"/>
  <c r="DU156" i="30"/>
  <c r="DV156" i="30"/>
  <c r="DW156" i="30"/>
  <c r="DX156" i="30"/>
  <c r="DY156" i="30"/>
  <c r="DZ156" i="30"/>
  <c r="EA156" i="30"/>
  <c r="EB156" i="30"/>
  <c r="EC156" i="30"/>
  <c r="ED156" i="30"/>
  <c r="EE156" i="30"/>
  <c r="EF156" i="30"/>
  <c r="EG156" i="30"/>
  <c r="EH156" i="30"/>
  <c r="EI156" i="30"/>
  <c r="EJ156" i="30"/>
  <c r="EK156" i="30"/>
  <c r="EL156" i="30"/>
  <c r="EM156" i="30"/>
  <c r="EN156" i="30"/>
  <c r="EO156" i="30"/>
  <c r="EP156" i="30"/>
  <c r="EQ156" i="30"/>
  <c r="ER156" i="30"/>
  <c r="ES156" i="30"/>
  <c r="ET156" i="30"/>
  <c r="EU156" i="30"/>
  <c r="EV156" i="30"/>
  <c r="EW156" i="30"/>
  <c r="EX156" i="30"/>
  <c r="EY156" i="30"/>
  <c r="EZ156" i="30"/>
  <c r="FA156" i="30"/>
  <c r="FB156" i="30"/>
  <c r="FC156" i="30"/>
  <c r="FD156" i="30"/>
  <c r="FE156" i="30"/>
  <c r="FF156" i="30"/>
  <c r="FG156" i="30"/>
  <c r="FH156" i="30"/>
  <c r="FI156" i="30"/>
  <c r="FJ156" i="30"/>
  <c r="FK156" i="30"/>
  <c r="FL156" i="30"/>
  <c r="FM156" i="30"/>
  <c r="FN156" i="30"/>
  <c r="FO156" i="30"/>
  <c r="FP156" i="30"/>
  <c r="FQ156" i="30"/>
  <c r="FR156" i="30"/>
  <c r="FS156" i="30"/>
  <c r="FT156" i="30"/>
  <c r="FU156" i="30"/>
  <c r="FV156" i="30"/>
  <c r="FW156" i="30"/>
  <c r="FX156" i="30"/>
  <c r="FY156" i="30"/>
  <c r="FZ156" i="30"/>
  <c r="GA156" i="30"/>
  <c r="GB156" i="30"/>
  <c r="GC156" i="30"/>
  <c r="GD156" i="30"/>
  <c r="GE156" i="30"/>
  <c r="GF156" i="30"/>
  <c r="GG156" i="30"/>
  <c r="GH156" i="30"/>
  <c r="GI156" i="30"/>
  <c r="GJ156" i="30"/>
  <c r="GK156" i="30"/>
  <c r="GL156" i="30"/>
  <c r="GM156" i="30"/>
  <c r="GN156" i="30"/>
  <c r="GO156" i="30"/>
  <c r="GP156" i="30"/>
  <c r="GQ156" i="30"/>
  <c r="GR156" i="30"/>
  <c r="GS156" i="30"/>
  <c r="GT156" i="30"/>
  <c r="GU156" i="30"/>
  <c r="GV156" i="30"/>
  <c r="GW156" i="30"/>
  <c r="GX156" i="30"/>
  <c r="GY156" i="30"/>
  <c r="GZ156" i="30"/>
  <c r="HA156" i="30"/>
  <c r="HB156" i="30"/>
  <c r="HC156" i="30"/>
  <c r="HD156" i="30"/>
  <c r="HE156" i="30"/>
  <c r="HF156" i="30"/>
  <c r="HG156" i="30"/>
  <c r="HH156" i="30"/>
  <c r="HI156" i="30"/>
  <c r="HJ156" i="30"/>
  <c r="HK156" i="30"/>
  <c r="HL156" i="30"/>
  <c r="HM156" i="30"/>
  <c r="HN156" i="30"/>
  <c r="HO156" i="30"/>
  <c r="HP156" i="30"/>
  <c r="HQ156" i="30"/>
  <c r="HR156" i="30"/>
  <c r="HS156" i="30"/>
  <c r="HT156" i="30"/>
  <c r="HU156" i="30"/>
  <c r="HV156" i="30"/>
  <c r="HW156" i="30"/>
  <c r="HX156" i="30"/>
  <c r="HY156" i="30"/>
  <c r="HZ156" i="30"/>
  <c r="IA156" i="30"/>
  <c r="IB156" i="30"/>
  <c r="IC156" i="30"/>
  <c r="ID156" i="30"/>
  <c r="IE156" i="30"/>
  <c r="IF156" i="30"/>
  <c r="IG156" i="30"/>
  <c r="IH156" i="30"/>
  <c r="II156" i="30"/>
  <c r="IJ156" i="30"/>
  <c r="IK156" i="30"/>
  <c r="IL156" i="30"/>
  <c r="IM156" i="30"/>
  <c r="IN156" i="30"/>
  <c r="IO156" i="30"/>
  <c r="IP156" i="30"/>
  <c r="IQ156" i="30"/>
  <c r="IR156" i="30"/>
  <c r="IS156" i="30"/>
  <c r="IT156" i="30"/>
  <c r="IU156" i="30"/>
  <c r="IV156" i="30"/>
  <c r="A155" i="30"/>
  <c r="B155" i="30"/>
  <c r="C155" i="30"/>
  <c r="D155" i="30"/>
  <c r="E155" i="30"/>
  <c r="F155" i="30"/>
  <c r="G155" i="30"/>
  <c r="H155" i="30"/>
  <c r="I155" i="30"/>
  <c r="J155" i="30"/>
  <c r="K155" i="30"/>
  <c r="L155" i="30"/>
  <c r="M155" i="30"/>
  <c r="N155" i="30"/>
  <c r="O155" i="30"/>
  <c r="P155" i="30"/>
  <c r="Q155" i="30"/>
  <c r="R155" i="30"/>
  <c r="S155" i="30"/>
  <c r="T155" i="30"/>
  <c r="U155" i="30"/>
  <c r="V155" i="30"/>
  <c r="W155" i="30"/>
  <c r="X155" i="30"/>
  <c r="Y155" i="30"/>
  <c r="Z155" i="30"/>
  <c r="AA155" i="30"/>
  <c r="AB155" i="30"/>
  <c r="AC155" i="30"/>
  <c r="AD155" i="30"/>
  <c r="AE155" i="30"/>
  <c r="AF155" i="30"/>
  <c r="AG155" i="30"/>
  <c r="AH155" i="30"/>
  <c r="AI155" i="30"/>
  <c r="AJ155" i="30"/>
  <c r="AK155" i="30"/>
  <c r="AL155" i="30"/>
  <c r="AM155" i="30"/>
  <c r="AN155" i="30"/>
  <c r="AO155" i="30"/>
  <c r="AP155" i="30"/>
  <c r="AQ155" i="30"/>
  <c r="AR155" i="30"/>
  <c r="AS155" i="30"/>
  <c r="AT155" i="30"/>
  <c r="AU155" i="30"/>
  <c r="AV155" i="30"/>
  <c r="AW155" i="30"/>
  <c r="AX155" i="30"/>
  <c r="AY155" i="30"/>
  <c r="AZ155" i="30"/>
  <c r="BA155" i="30"/>
  <c r="BB155" i="30"/>
  <c r="BC155" i="30"/>
  <c r="BD155" i="30"/>
  <c r="BE155" i="30"/>
  <c r="BF155" i="30"/>
  <c r="BG155" i="30"/>
  <c r="BH155" i="30"/>
  <c r="BI155" i="30"/>
  <c r="BJ155" i="30"/>
  <c r="BK155" i="30"/>
  <c r="BL155" i="30"/>
  <c r="BM155" i="30"/>
  <c r="BN155" i="30"/>
  <c r="BO155" i="30"/>
  <c r="BP155" i="30"/>
  <c r="BQ155" i="30"/>
  <c r="BR155" i="30"/>
  <c r="BS155" i="30"/>
  <c r="BT155" i="30"/>
  <c r="BU155" i="30"/>
  <c r="BV155" i="30"/>
  <c r="BW155" i="30"/>
  <c r="BX155" i="30"/>
  <c r="BY155" i="30"/>
  <c r="BZ155" i="30"/>
  <c r="CA155" i="30"/>
  <c r="CB155" i="30"/>
  <c r="CC155" i="30"/>
  <c r="CD155" i="30"/>
  <c r="CE155" i="30"/>
  <c r="CF155" i="30"/>
  <c r="CG155" i="30"/>
  <c r="CH155" i="30"/>
  <c r="CI155" i="30"/>
  <c r="CJ155" i="30"/>
  <c r="CK155" i="30"/>
  <c r="CL155" i="30"/>
  <c r="CM155" i="30"/>
  <c r="CN155" i="30"/>
  <c r="CO155" i="30"/>
  <c r="CP155" i="30"/>
  <c r="CQ155" i="30"/>
  <c r="CR155" i="30"/>
  <c r="CS155" i="30"/>
  <c r="CT155" i="30"/>
  <c r="CU155" i="30"/>
  <c r="CV155" i="30"/>
  <c r="CW155" i="30"/>
  <c r="CX155" i="30"/>
  <c r="CY155" i="30"/>
  <c r="CZ155" i="30"/>
  <c r="DA155" i="30"/>
  <c r="DB155" i="30"/>
  <c r="DC155" i="30"/>
  <c r="DD155" i="30"/>
  <c r="DE155" i="30"/>
  <c r="DF155" i="30"/>
  <c r="DG155" i="30"/>
  <c r="DH155" i="30"/>
  <c r="DI155" i="30"/>
  <c r="DJ155" i="30"/>
  <c r="DK155" i="30"/>
  <c r="DL155" i="30"/>
  <c r="DM155" i="30"/>
  <c r="DN155" i="30"/>
  <c r="DO155" i="30"/>
  <c r="DP155" i="30"/>
  <c r="DQ155" i="30"/>
  <c r="DR155" i="30"/>
  <c r="DS155" i="30"/>
  <c r="DT155" i="30"/>
  <c r="DU155" i="30"/>
  <c r="DV155" i="30"/>
  <c r="DW155" i="30"/>
  <c r="DX155" i="30"/>
  <c r="DY155" i="30"/>
  <c r="DZ155" i="30"/>
  <c r="EA155" i="30"/>
  <c r="EB155" i="30"/>
  <c r="EC155" i="30"/>
  <c r="ED155" i="30"/>
  <c r="EE155" i="30"/>
  <c r="EF155" i="30"/>
  <c r="EG155" i="30"/>
  <c r="EH155" i="30"/>
  <c r="EI155" i="30"/>
  <c r="EJ155" i="30"/>
  <c r="EK155" i="30"/>
  <c r="EL155" i="30"/>
  <c r="EM155" i="30"/>
  <c r="EN155" i="30"/>
  <c r="EO155" i="30"/>
  <c r="EP155" i="30"/>
  <c r="EQ155" i="30"/>
  <c r="ER155" i="30"/>
  <c r="ES155" i="30"/>
  <c r="ET155" i="30"/>
  <c r="EU155" i="30"/>
  <c r="EV155" i="30"/>
  <c r="EW155" i="30"/>
  <c r="EX155" i="30"/>
  <c r="EY155" i="30"/>
  <c r="EZ155" i="30"/>
  <c r="FA155" i="30"/>
  <c r="FB155" i="30"/>
  <c r="FC155" i="30"/>
  <c r="FD155" i="30"/>
  <c r="FE155" i="30"/>
  <c r="FF155" i="30"/>
  <c r="FG155" i="30"/>
  <c r="FH155" i="30"/>
  <c r="FI155" i="30"/>
  <c r="FJ155" i="30"/>
  <c r="FK155" i="30"/>
  <c r="FL155" i="30"/>
  <c r="FM155" i="30"/>
  <c r="FN155" i="30"/>
  <c r="FO155" i="30"/>
  <c r="FP155" i="30"/>
  <c r="FQ155" i="30"/>
  <c r="FR155" i="30"/>
  <c r="FS155" i="30"/>
  <c r="FT155" i="30"/>
  <c r="FU155" i="30"/>
  <c r="FV155" i="30"/>
  <c r="FW155" i="30"/>
  <c r="FX155" i="30"/>
  <c r="FY155" i="30"/>
  <c r="FZ155" i="30"/>
  <c r="GA155" i="30"/>
  <c r="GB155" i="30"/>
  <c r="GC155" i="30"/>
  <c r="GD155" i="30"/>
  <c r="GE155" i="30"/>
  <c r="GF155" i="30"/>
  <c r="GG155" i="30"/>
  <c r="GH155" i="30"/>
  <c r="GI155" i="30"/>
  <c r="GJ155" i="30"/>
  <c r="GK155" i="30"/>
  <c r="GL155" i="30"/>
  <c r="GM155" i="30"/>
  <c r="GN155" i="30"/>
  <c r="GO155" i="30"/>
  <c r="GP155" i="30"/>
  <c r="GQ155" i="30"/>
  <c r="GR155" i="30"/>
  <c r="GS155" i="30"/>
  <c r="GT155" i="30"/>
  <c r="GU155" i="30"/>
  <c r="GV155" i="30"/>
  <c r="GW155" i="30"/>
  <c r="GX155" i="30"/>
  <c r="GY155" i="30"/>
  <c r="GZ155" i="30"/>
  <c r="HA155" i="30"/>
  <c r="HB155" i="30"/>
  <c r="HC155" i="30"/>
  <c r="HD155" i="30"/>
  <c r="HE155" i="30"/>
  <c r="HF155" i="30"/>
  <c r="HG155" i="30"/>
  <c r="HH155" i="30"/>
  <c r="HI155" i="30"/>
  <c r="HJ155" i="30"/>
  <c r="HK155" i="30"/>
  <c r="HL155" i="30"/>
  <c r="HM155" i="30"/>
  <c r="HN155" i="30"/>
  <c r="HO155" i="30"/>
  <c r="HP155" i="30"/>
  <c r="HQ155" i="30"/>
  <c r="HR155" i="30"/>
  <c r="HS155" i="30"/>
  <c r="HT155" i="30"/>
  <c r="HU155" i="30"/>
  <c r="HV155" i="30"/>
  <c r="HW155" i="30"/>
  <c r="HX155" i="30"/>
  <c r="HY155" i="30"/>
  <c r="HZ155" i="30"/>
  <c r="IA155" i="30"/>
  <c r="IB155" i="30"/>
  <c r="IC155" i="30"/>
  <c r="ID155" i="30"/>
  <c r="IE155" i="30"/>
  <c r="IF155" i="30"/>
  <c r="IG155" i="30"/>
  <c r="IH155" i="30"/>
  <c r="II155" i="30"/>
  <c r="IJ155" i="30"/>
  <c r="IK155" i="30"/>
  <c r="IL155" i="30"/>
  <c r="IM155" i="30"/>
  <c r="IN155" i="30"/>
  <c r="IO155" i="30"/>
  <c r="IP155" i="30"/>
  <c r="IQ155" i="30"/>
  <c r="IR155" i="30"/>
  <c r="IS155" i="30"/>
  <c r="IT155" i="30"/>
  <c r="IU155" i="30"/>
  <c r="IV155" i="30"/>
  <c r="A154" i="30"/>
  <c r="B154" i="30"/>
  <c r="C154" i="30"/>
  <c r="D154" i="30"/>
  <c r="E154" i="30"/>
  <c r="F154" i="30"/>
  <c r="G154" i="30"/>
  <c r="H154" i="30"/>
  <c r="I154" i="30"/>
  <c r="J154" i="30"/>
  <c r="K154" i="30"/>
  <c r="L154" i="30"/>
  <c r="M154" i="30"/>
  <c r="N154" i="30"/>
  <c r="O154" i="30"/>
  <c r="P154" i="30"/>
  <c r="Q154" i="30"/>
  <c r="R154" i="30"/>
  <c r="S154" i="30"/>
  <c r="T154" i="30"/>
  <c r="U154" i="30"/>
  <c r="V154" i="30"/>
  <c r="W154" i="30"/>
  <c r="X154" i="30"/>
  <c r="Y154" i="30"/>
  <c r="Z154" i="30"/>
  <c r="AA154" i="30"/>
  <c r="AB154" i="30"/>
  <c r="AC154" i="30"/>
  <c r="AD154" i="30"/>
  <c r="AE154" i="30"/>
  <c r="AF154" i="30"/>
  <c r="AG154" i="30"/>
  <c r="AH154" i="30"/>
  <c r="AI154" i="30"/>
  <c r="AJ154" i="30"/>
  <c r="AK154" i="30"/>
  <c r="AL154" i="30"/>
  <c r="AM154" i="30"/>
  <c r="AN154" i="30"/>
  <c r="AO154" i="30"/>
  <c r="AP154" i="30"/>
  <c r="AQ154" i="30"/>
  <c r="AR154" i="30"/>
  <c r="AS154" i="30"/>
  <c r="AT154" i="30"/>
  <c r="AU154" i="30"/>
  <c r="AV154" i="30"/>
  <c r="AW154" i="30"/>
  <c r="AX154" i="30"/>
  <c r="AY154" i="30"/>
  <c r="AZ154" i="30"/>
  <c r="BA154" i="30"/>
  <c r="BB154" i="30"/>
  <c r="BC154" i="30"/>
  <c r="BD154" i="30"/>
  <c r="BE154" i="30"/>
  <c r="BF154" i="30"/>
  <c r="BG154" i="30"/>
  <c r="BH154" i="30"/>
  <c r="BI154" i="30"/>
  <c r="BJ154" i="30"/>
  <c r="BK154" i="30"/>
  <c r="BL154" i="30"/>
  <c r="BM154" i="30"/>
  <c r="BN154" i="30"/>
  <c r="BO154" i="30"/>
  <c r="BP154" i="30"/>
  <c r="BQ154" i="30"/>
  <c r="BR154" i="30"/>
  <c r="BS154" i="30"/>
  <c r="BT154" i="30"/>
  <c r="BU154" i="30"/>
  <c r="BV154" i="30"/>
  <c r="BW154" i="30"/>
  <c r="BX154" i="30"/>
  <c r="BY154" i="30"/>
  <c r="BZ154" i="30"/>
  <c r="CA154" i="30"/>
  <c r="CB154" i="30"/>
  <c r="CC154" i="30"/>
  <c r="CD154" i="30"/>
  <c r="CE154" i="30"/>
  <c r="CF154" i="30"/>
  <c r="CG154" i="30"/>
  <c r="CH154" i="30"/>
  <c r="CI154" i="30"/>
  <c r="CJ154" i="30"/>
  <c r="CK154" i="30"/>
  <c r="CL154" i="30"/>
  <c r="CM154" i="30"/>
  <c r="CN154" i="30"/>
  <c r="CO154" i="30"/>
  <c r="CP154" i="30"/>
  <c r="CQ154" i="30"/>
  <c r="CR154" i="30"/>
  <c r="CS154" i="30"/>
  <c r="CT154" i="30"/>
  <c r="CU154" i="30"/>
  <c r="CV154" i="30"/>
  <c r="CW154" i="30"/>
  <c r="CX154" i="30"/>
  <c r="CY154" i="30"/>
  <c r="CZ154" i="30"/>
  <c r="DA154" i="30"/>
  <c r="DB154" i="30"/>
  <c r="DC154" i="30"/>
  <c r="DD154" i="30"/>
  <c r="DE154" i="30"/>
  <c r="DF154" i="30"/>
  <c r="DG154" i="30"/>
  <c r="DH154" i="30"/>
  <c r="DI154" i="30"/>
  <c r="DJ154" i="30"/>
  <c r="DK154" i="30"/>
  <c r="DL154" i="30"/>
  <c r="DM154" i="30"/>
  <c r="DN154" i="30"/>
  <c r="DO154" i="30"/>
  <c r="DP154" i="30"/>
  <c r="DQ154" i="30"/>
  <c r="DR154" i="30"/>
  <c r="DS154" i="30"/>
  <c r="DT154" i="30"/>
  <c r="DU154" i="30"/>
  <c r="DV154" i="30"/>
  <c r="DW154" i="30"/>
  <c r="DX154" i="30"/>
  <c r="DY154" i="30"/>
  <c r="DZ154" i="30"/>
  <c r="EA154" i="30"/>
  <c r="EB154" i="30"/>
  <c r="EC154" i="30"/>
  <c r="ED154" i="30"/>
  <c r="EE154" i="30"/>
  <c r="EF154" i="30"/>
  <c r="EG154" i="30"/>
  <c r="EH154" i="30"/>
  <c r="EI154" i="30"/>
  <c r="EJ154" i="30"/>
  <c r="EK154" i="30"/>
  <c r="EL154" i="30"/>
  <c r="EM154" i="30"/>
  <c r="EN154" i="30"/>
  <c r="EO154" i="30"/>
  <c r="EP154" i="30"/>
  <c r="EQ154" i="30"/>
  <c r="ER154" i="30"/>
  <c r="ES154" i="30"/>
  <c r="ET154" i="30"/>
  <c r="EU154" i="30"/>
  <c r="EV154" i="30"/>
  <c r="EW154" i="30"/>
  <c r="EX154" i="30"/>
  <c r="EY154" i="30"/>
  <c r="EZ154" i="30"/>
  <c r="FA154" i="30"/>
  <c r="FB154" i="30"/>
  <c r="FC154" i="30"/>
  <c r="FD154" i="30"/>
  <c r="FE154" i="30"/>
  <c r="FF154" i="30"/>
  <c r="FG154" i="30"/>
  <c r="FH154" i="30"/>
  <c r="FI154" i="30"/>
  <c r="FJ154" i="30"/>
  <c r="FK154" i="30"/>
  <c r="FL154" i="30"/>
  <c r="FM154" i="30"/>
  <c r="FN154" i="30"/>
  <c r="FO154" i="30"/>
  <c r="FP154" i="30"/>
  <c r="FQ154" i="30"/>
  <c r="FR154" i="30"/>
  <c r="FS154" i="30"/>
  <c r="FT154" i="30"/>
  <c r="FU154" i="30"/>
  <c r="FV154" i="30"/>
  <c r="FW154" i="30"/>
  <c r="FX154" i="30"/>
  <c r="FY154" i="30"/>
  <c r="FZ154" i="30"/>
  <c r="GA154" i="30"/>
  <c r="GB154" i="30"/>
  <c r="GC154" i="30"/>
  <c r="GD154" i="30"/>
  <c r="GE154" i="30"/>
  <c r="GF154" i="30"/>
  <c r="GG154" i="30"/>
  <c r="GH154" i="30"/>
  <c r="GI154" i="30"/>
  <c r="GJ154" i="30"/>
  <c r="GK154" i="30"/>
  <c r="GL154" i="30"/>
  <c r="GM154" i="30"/>
  <c r="GN154" i="30"/>
  <c r="GO154" i="30"/>
  <c r="GP154" i="30"/>
  <c r="GQ154" i="30"/>
  <c r="GR154" i="30"/>
  <c r="GS154" i="30"/>
  <c r="GT154" i="30"/>
  <c r="GU154" i="30"/>
  <c r="GV154" i="30"/>
  <c r="GW154" i="30"/>
  <c r="GX154" i="30"/>
  <c r="GY154" i="30"/>
  <c r="GZ154" i="30"/>
  <c r="HA154" i="30"/>
  <c r="HB154" i="30"/>
  <c r="HC154" i="30"/>
  <c r="HD154" i="30"/>
  <c r="HE154" i="30"/>
  <c r="HF154" i="30"/>
  <c r="HG154" i="30"/>
  <c r="HH154" i="30"/>
  <c r="HI154" i="30"/>
  <c r="HJ154" i="30"/>
  <c r="HK154" i="30"/>
  <c r="HL154" i="30"/>
  <c r="HM154" i="30"/>
  <c r="HN154" i="30"/>
  <c r="HO154" i="30"/>
  <c r="HP154" i="30"/>
  <c r="HQ154" i="30"/>
  <c r="HR154" i="30"/>
  <c r="HS154" i="30"/>
  <c r="HT154" i="30"/>
  <c r="HU154" i="30"/>
  <c r="HV154" i="30"/>
  <c r="HW154" i="30"/>
  <c r="HX154" i="30"/>
  <c r="HY154" i="30"/>
  <c r="HZ154" i="30"/>
  <c r="IA154" i="30"/>
  <c r="IB154" i="30"/>
  <c r="IC154" i="30"/>
  <c r="ID154" i="30"/>
  <c r="IE154" i="30"/>
  <c r="IF154" i="30"/>
  <c r="IG154" i="30"/>
  <c r="IH154" i="30"/>
  <c r="II154" i="30"/>
  <c r="IJ154" i="30"/>
  <c r="IK154" i="30"/>
  <c r="IL154" i="30"/>
  <c r="IM154" i="30"/>
  <c r="IN154" i="30"/>
  <c r="IO154" i="30"/>
  <c r="IP154" i="30"/>
  <c r="IQ154" i="30"/>
  <c r="IR154" i="30"/>
  <c r="IS154" i="30"/>
  <c r="IT154" i="30"/>
  <c r="IU154" i="30"/>
  <c r="IV154" i="30"/>
  <c r="A153" i="30"/>
  <c r="B153" i="30"/>
  <c r="C153" i="30"/>
  <c r="D153" i="30"/>
  <c r="E153" i="30"/>
  <c r="F153" i="30"/>
  <c r="G153" i="30"/>
  <c r="H153" i="30"/>
  <c r="I153" i="30"/>
  <c r="J153" i="30"/>
  <c r="K153" i="30"/>
  <c r="L153" i="30"/>
  <c r="M153" i="30"/>
  <c r="N153" i="30"/>
  <c r="O153" i="30"/>
  <c r="P153" i="30"/>
  <c r="Q153" i="30"/>
  <c r="R153" i="30"/>
  <c r="S153" i="30"/>
  <c r="T153" i="30"/>
  <c r="U153" i="30"/>
  <c r="V153" i="30"/>
  <c r="W153" i="30"/>
  <c r="X153" i="30"/>
  <c r="Y153" i="30"/>
  <c r="Z153" i="30"/>
  <c r="AA153" i="30"/>
  <c r="AB153" i="30"/>
  <c r="AC153" i="30"/>
  <c r="AD153" i="30"/>
  <c r="AE153" i="30"/>
  <c r="AF153" i="30"/>
  <c r="AG153" i="30"/>
  <c r="AH153" i="30"/>
  <c r="AI153" i="30"/>
  <c r="AJ153" i="30"/>
  <c r="AK153" i="30"/>
  <c r="AL153" i="30"/>
  <c r="AM153" i="30"/>
  <c r="AN153" i="30"/>
  <c r="AO153" i="30"/>
  <c r="AP153" i="30"/>
  <c r="AQ153" i="30"/>
  <c r="AR153" i="30"/>
  <c r="AS153" i="30"/>
  <c r="AT153" i="30"/>
  <c r="AU153" i="30"/>
  <c r="AV153" i="30"/>
  <c r="AW153" i="30"/>
  <c r="AX153" i="30"/>
  <c r="AY153" i="30"/>
  <c r="AZ153" i="30"/>
  <c r="BA153" i="30"/>
  <c r="BB153" i="30"/>
  <c r="BC153" i="30"/>
  <c r="BD153" i="30"/>
  <c r="BE153" i="30"/>
  <c r="BF153" i="30"/>
  <c r="BG153" i="30"/>
  <c r="BH153" i="30"/>
  <c r="BI153" i="30"/>
  <c r="BJ153" i="30"/>
  <c r="BK153" i="30"/>
  <c r="BL153" i="30"/>
  <c r="BM153" i="30"/>
  <c r="BN153" i="30"/>
  <c r="BO153" i="30"/>
  <c r="BP153" i="30"/>
  <c r="BQ153" i="30"/>
  <c r="BR153" i="30"/>
  <c r="BS153" i="30"/>
  <c r="BT153" i="30"/>
  <c r="BU153" i="30"/>
  <c r="BV153" i="30"/>
  <c r="BW153" i="30"/>
  <c r="BX153" i="30"/>
  <c r="BY153" i="30"/>
  <c r="BZ153" i="30"/>
  <c r="CA153" i="30"/>
  <c r="CB153" i="30"/>
  <c r="CC153" i="30"/>
  <c r="CD153" i="30"/>
  <c r="CE153" i="30"/>
  <c r="CF153" i="30"/>
  <c r="CG153" i="30"/>
  <c r="CH153" i="30"/>
  <c r="CI153" i="30"/>
  <c r="CJ153" i="30"/>
  <c r="CK153" i="30"/>
  <c r="CL153" i="30"/>
  <c r="CM153" i="30"/>
  <c r="CN153" i="30"/>
  <c r="CO153" i="30"/>
  <c r="CP153" i="30"/>
  <c r="CQ153" i="30"/>
  <c r="CR153" i="30"/>
  <c r="CS153" i="30"/>
  <c r="CT153" i="30"/>
  <c r="CU153" i="30"/>
  <c r="CV153" i="30"/>
  <c r="CW153" i="30"/>
  <c r="CX153" i="30"/>
  <c r="CY153" i="30"/>
  <c r="CZ153" i="30"/>
  <c r="DA153" i="30"/>
  <c r="DB153" i="30"/>
  <c r="DC153" i="30"/>
  <c r="DD153" i="30"/>
  <c r="DE153" i="30"/>
  <c r="DF153" i="30"/>
  <c r="DG153" i="30"/>
  <c r="DH153" i="30"/>
  <c r="DI153" i="30"/>
  <c r="DJ153" i="30"/>
  <c r="DK153" i="30"/>
  <c r="DL153" i="30"/>
  <c r="DM153" i="30"/>
  <c r="DN153" i="30"/>
  <c r="DO153" i="30"/>
  <c r="DP153" i="30"/>
  <c r="DQ153" i="30"/>
  <c r="DR153" i="30"/>
  <c r="DS153" i="30"/>
  <c r="DT153" i="30"/>
  <c r="DU153" i="30"/>
  <c r="DV153" i="30"/>
  <c r="DW153" i="30"/>
  <c r="DX153" i="30"/>
  <c r="DY153" i="30"/>
  <c r="DZ153" i="30"/>
  <c r="EA153" i="30"/>
  <c r="EB153" i="30"/>
  <c r="EC153" i="30"/>
  <c r="ED153" i="30"/>
  <c r="EE153" i="30"/>
  <c r="EF153" i="30"/>
  <c r="EG153" i="30"/>
  <c r="EH153" i="30"/>
  <c r="EI153" i="30"/>
  <c r="EJ153" i="30"/>
  <c r="EK153" i="30"/>
  <c r="EL153" i="30"/>
  <c r="EM153" i="30"/>
  <c r="EN153" i="30"/>
  <c r="EO153" i="30"/>
  <c r="EP153" i="30"/>
  <c r="EQ153" i="30"/>
  <c r="ER153" i="30"/>
  <c r="ES153" i="30"/>
  <c r="ET153" i="30"/>
  <c r="EU153" i="30"/>
  <c r="EV153" i="30"/>
  <c r="EW153" i="30"/>
  <c r="EX153" i="30"/>
  <c r="EY153" i="30"/>
  <c r="EZ153" i="30"/>
  <c r="FA153" i="30"/>
  <c r="FB153" i="30"/>
  <c r="FC153" i="30"/>
  <c r="FD153" i="30"/>
  <c r="FE153" i="30"/>
  <c r="FF153" i="30"/>
  <c r="FG153" i="30"/>
  <c r="FH153" i="30"/>
  <c r="FI153" i="30"/>
  <c r="FJ153" i="30"/>
  <c r="FK153" i="30"/>
  <c r="FL153" i="30"/>
  <c r="FM153" i="30"/>
  <c r="FN153" i="30"/>
  <c r="FO153" i="30"/>
  <c r="FP153" i="30"/>
  <c r="FQ153" i="30"/>
  <c r="FR153" i="30"/>
  <c r="FS153" i="30"/>
  <c r="FT153" i="30"/>
  <c r="FU153" i="30"/>
  <c r="FV153" i="30"/>
  <c r="FW153" i="30"/>
  <c r="FX153" i="30"/>
  <c r="FY153" i="30"/>
  <c r="FZ153" i="30"/>
  <c r="GA153" i="30"/>
  <c r="GB153" i="30"/>
  <c r="GC153" i="30"/>
  <c r="GD153" i="30"/>
  <c r="GE153" i="30"/>
  <c r="GF153" i="30"/>
  <c r="GG153" i="30"/>
  <c r="GH153" i="30"/>
  <c r="GI153" i="30"/>
  <c r="GJ153" i="30"/>
  <c r="GK153" i="30"/>
  <c r="GL153" i="30"/>
  <c r="GM153" i="30"/>
  <c r="GN153" i="30"/>
  <c r="GO153" i="30"/>
  <c r="GP153" i="30"/>
  <c r="GQ153" i="30"/>
  <c r="GR153" i="30"/>
  <c r="GS153" i="30"/>
  <c r="GT153" i="30"/>
  <c r="GU153" i="30"/>
  <c r="GV153" i="30"/>
  <c r="GW153" i="30"/>
  <c r="GX153" i="30"/>
  <c r="GY153" i="30"/>
  <c r="GZ153" i="30"/>
  <c r="HA153" i="30"/>
  <c r="HB153" i="30"/>
  <c r="HC153" i="30"/>
  <c r="HD153" i="30"/>
  <c r="HE153" i="30"/>
  <c r="HF153" i="30"/>
  <c r="HG153" i="30"/>
  <c r="HH153" i="30"/>
  <c r="HI153" i="30"/>
  <c r="HJ153" i="30"/>
  <c r="HK153" i="30"/>
  <c r="HL153" i="30"/>
  <c r="HM153" i="30"/>
  <c r="HN153" i="30"/>
  <c r="HO153" i="30"/>
  <c r="HP153" i="30"/>
  <c r="HQ153" i="30"/>
  <c r="HR153" i="30"/>
  <c r="HS153" i="30"/>
  <c r="HT153" i="30"/>
  <c r="HU153" i="30"/>
  <c r="HV153" i="30"/>
  <c r="HW153" i="30"/>
  <c r="HX153" i="30"/>
  <c r="HY153" i="30"/>
  <c r="HZ153" i="30"/>
  <c r="IA153" i="30"/>
  <c r="IB153" i="30"/>
  <c r="IC153" i="30"/>
  <c r="ID153" i="30"/>
  <c r="IE153" i="30"/>
  <c r="IF153" i="30"/>
  <c r="IG153" i="30"/>
  <c r="IH153" i="30"/>
  <c r="II153" i="30"/>
  <c r="IJ153" i="30"/>
  <c r="IK153" i="30"/>
  <c r="IL153" i="30"/>
  <c r="IM153" i="30"/>
  <c r="IN153" i="30"/>
  <c r="IO153" i="30"/>
  <c r="IP153" i="30"/>
  <c r="IQ153" i="30"/>
  <c r="IR153" i="30"/>
  <c r="IS153" i="30"/>
  <c r="IT153" i="30"/>
  <c r="IU153" i="30"/>
  <c r="IV153" i="30"/>
  <c r="A152" i="30"/>
  <c r="B152" i="30"/>
  <c r="C152" i="30"/>
  <c r="D152" i="30"/>
  <c r="E152" i="30"/>
  <c r="F152" i="30"/>
  <c r="G152" i="30"/>
  <c r="H152" i="30"/>
  <c r="I152" i="30"/>
  <c r="J152" i="30"/>
  <c r="K152" i="30"/>
  <c r="L152" i="30"/>
  <c r="M152" i="30"/>
  <c r="N152" i="30"/>
  <c r="O152" i="30"/>
  <c r="P152" i="30"/>
  <c r="Q152" i="30"/>
  <c r="R152" i="30"/>
  <c r="S152" i="30"/>
  <c r="T152" i="30"/>
  <c r="U152" i="30"/>
  <c r="V152" i="30"/>
  <c r="W152" i="30"/>
  <c r="X152" i="30"/>
  <c r="Y152" i="30"/>
  <c r="Z152" i="30"/>
  <c r="AA152" i="30"/>
  <c r="AB152" i="30"/>
  <c r="AC152" i="30"/>
  <c r="AD152" i="30"/>
  <c r="AE152" i="30"/>
  <c r="AF152" i="30"/>
  <c r="AG152" i="30"/>
  <c r="AH152" i="30"/>
  <c r="AI152" i="30"/>
  <c r="AJ152" i="30"/>
  <c r="AK152" i="30"/>
  <c r="AL152" i="30"/>
  <c r="AM152" i="30"/>
  <c r="AN152" i="30"/>
  <c r="AO152" i="30"/>
  <c r="AP152" i="30"/>
  <c r="AQ152" i="30"/>
  <c r="AR152" i="30"/>
  <c r="AS152" i="30"/>
  <c r="AT152" i="30"/>
  <c r="AU152" i="30"/>
  <c r="AV152" i="30"/>
  <c r="AW152" i="30"/>
  <c r="AX152" i="30"/>
  <c r="AY152" i="30"/>
  <c r="AZ152" i="30"/>
  <c r="BA152" i="30"/>
  <c r="BB152" i="30"/>
  <c r="BC152" i="30"/>
  <c r="BD152" i="30"/>
  <c r="BE152" i="30"/>
  <c r="BF152" i="30"/>
  <c r="BG152" i="30"/>
  <c r="BH152" i="30"/>
  <c r="BI152" i="30"/>
  <c r="BJ152" i="30"/>
  <c r="BK152" i="30"/>
  <c r="BL152" i="30"/>
  <c r="BM152" i="30"/>
  <c r="BN152" i="30"/>
  <c r="BO152" i="30"/>
  <c r="BP152" i="30"/>
  <c r="BQ152" i="30"/>
  <c r="BR152" i="30"/>
  <c r="BS152" i="30"/>
  <c r="BT152" i="30"/>
  <c r="BU152" i="30"/>
  <c r="BV152" i="30"/>
  <c r="BW152" i="30"/>
  <c r="BX152" i="30"/>
  <c r="BY152" i="30"/>
  <c r="BZ152" i="30"/>
  <c r="CA152" i="30"/>
  <c r="CB152" i="30"/>
  <c r="CC152" i="30"/>
  <c r="CD152" i="30"/>
  <c r="CE152" i="30"/>
  <c r="CF152" i="30"/>
  <c r="CG152" i="30"/>
  <c r="CH152" i="30"/>
  <c r="CI152" i="30"/>
  <c r="CJ152" i="30"/>
  <c r="CK152" i="30"/>
  <c r="CL152" i="30"/>
  <c r="CM152" i="30"/>
  <c r="CN152" i="30"/>
  <c r="CO152" i="30"/>
  <c r="CP152" i="30"/>
  <c r="CQ152" i="30"/>
  <c r="CR152" i="30"/>
  <c r="CS152" i="30"/>
  <c r="CT152" i="30"/>
  <c r="CU152" i="30"/>
  <c r="CV152" i="30"/>
  <c r="CW152" i="30"/>
  <c r="CX152" i="30"/>
  <c r="CY152" i="30"/>
  <c r="CZ152" i="30"/>
  <c r="DA152" i="30"/>
  <c r="DB152" i="30"/>
  <c r="DC152" i="30"/>
  <c r="DD152" i="30"/>
  <c r="DE152" i="30"/>
  <c r="DF152" i="30"/>
  <c r="DG152" i="30"/>
  <c r="DH152" i="30"/>
  <c r="DI152" i="30"/>
  <c r="DJ152" i="30"/>
  <c r="DK152" i="30"/>
  <c r="DL152" i="30"/>
  <c r="DM152" i="30"/>
  <c r="DN152" i="30"/>
  <c r="DO152" i="30"/>
  <c r="DP152" i="30"/>
  <c r="DQ152" i="30"/>
  <c r="DR152" i="30"/>
  <c r="DS152" i="30"/>
  <c r="DT152" i="30"/>
  <c r="DU152" i="30"/>
  <c r="DV152" i="30"/>
  <c r="DW152" i="30"/>
  <c r="DX152" i="30"/>
  <c r="DY152" i="30"/>
  <c r="DZ152" i="30"/>
  <c r="EA152" i="30"/>
  <c r="EB152" i="30"/>
  <c r="EC152" i="30"/>
  <c r="ED152" i="30"/>
  <c r="EE152" i="30"/>
  <c r="EF152" i="30"/>
  <c r="EG152" i="30"/>
  <c r="EH152" i="30"/>
  <c r="EI152" i="30"/>
  <c r="EJ152" i="30"/>
  <c r="EK152" i="30"/>
  <c r="EL152" i="30"/>
  <c r="EM152" i="30"/>
  <c r="EN152" i="30"/>
  <c r="EO152" i="30"/>
  <c r="EP152" i="30"/>
  <c r="EQ152" i="30"/>
  <c r="ER152" i="30"/>
  <c r="ES152" i="30"/>
  <c r="ET152" i="30"/>
  <c r="EU152" i="30"/>
  <c r="EV152" i="30"/>
  <c r="EW152" i="30"/>
  <c r="EX152" i="30"/>
  <c r="EY152" i="30"/>
  <c r="EZ152" i="30"/>
  <c r="FA152" i="30"/>
  <c r="FB152" i="30"/>
  <c r="FC152" i="30"/>
  <c r="FD152" i="30"/>
  <c r="FE152" i="30"/>
  <c r="FF152" i="30"/>
  <c r="FG152" i="30"/>
  <c r="FH152" i="30"/>
  <c r="FI152" i="30"/>
  <c r="FJ152" i="30"/>
  <c r="FK152" i="30"/>
  <c r="FL152" i="30"/>
  <c r="FM152" i="30"/>
  <c r="FN152" i="30"/>
  <c r="FO152" i="30"/>
  <c r="FP152" i="30"/>
  <c r="FQ152" i="30"/>
  <c r="FR152" i="30"/>
  <c r="FS152" i="30"/>
  <c r="FT152" i="30"/>
  <c r="FU152" i="30"/>
  <c r="FV152" i="30"/>
  <c r="FW152" i="30"/>
  <c r="FX152" i="30"/>
  <c r="FY152" i="30"/>
  <c r="FZ152" i="30"/>
  <c r="GA152" i="30"/>
  <c r="GB152" i="30"/>
  <c r="GC152" i="30"/>
  <c r="GD152" i="30"/>
  <c r="GE152" i="30"/>
  <c r="GF152" i="30"/>
  <c r="GG152" i="30"/>
  <c r="GH152" i="30"/>
  <c r="GI152" i="30"/>
  <c r="GJ152" i="30"/>
  <c r="GK152" i="30"/>
  <c r="GL152" i="30"/>
  <c r="GM152" i="30"/>
  <c r="GN152" i="30"/>
  <c r="GO152" i="30"/>
  <c r="GP152" i="30"/>
  <c r="GQ152" i="30"/>
  <c r="GR152" i="30"/>
  <c r="GS152" i="30"/>
  <c r="GT152" i="30"/>
  <c r="GU152" i="30"/>
  <c r="GV152" i="30"/>
  <c r="GW152" i="30"/>
  <c r="GX152" i="30"/>
  <c r="GY152" i="30"/>
  <c r="GZ152" i="30"/>
  <c r="HA152" i="30"/>
  <c r="HB152" i="30"/>
  <c r="HC152" i="30"/>
  <c r="HD152" i="30"/>
  <c r="HE152" i="30"/>
  <c r="HF152" i="30"/>
  <c r="HG152" i="30"/>
  <c r="HH152" i="30"/>
  <c r="HI152" i="30"/>
  <c r="HJ152" i="30"/>
  <c r="HK152" i="30"/>
  <c r="HL152" i="30"/>
  <c r="HM152" i="30"/>
  <c r="HN152" i="30"/>
  <c r="HO152" i="30"/>
  <c r="HP152" i="30"/>
  <c r="HQ152" i="30"/>
  <c r="HR152" i="30"/>
  <c r="HS152" i="30"/>
  <c r="HT152" i="30"/>
  <c r="HU152" i="30"/>
  <c r="HV152" i="30"/>
  <c r="HW152" i="30"/>
  <c r="HX152" i="30"/>
  <c r="HY152" i="30"/>
  <c r="HZ152" i="30"/>
  <c r="IA152" i="30"/>
  <c r="IB152" i="30"/>
  <c r="IC152" i="30"/>
  <c r="ID152" i="30"/>
  <c r="IE152" i="30"/>
  <c r="IF152" i="30"/>
  <c r="IG152" i="30"/>
  <c r="IH152" i="30"/>
  <c r="II152" i="30"/>
  <c r="IJ152" i="30"/>
  <c r="IK152" i="30"/>
  <c r="IL152" i="30"/>
  <c r="IM152" i="30"/>
  <c r="IN152" i="30"/>
  <c r="IO152" i="30"/>
  <c r="IP152" i="30"/>
  <c r="IQ152" i="30"/>
  <c r="IR152" i="30"/>
  <c r="IS152" i="30"/>
  <c r="IT152" i="30"/>
  <c r="IU152" i="30"/>
  <c r="IV152" i="30"/>
  <c r="A151" i="30"/>
  <c r="B151" i="30"/>
  <c r="C151" i="30"/>
  <c r="D151" i="30"/>
  <c r="E151" i="30"/>
  <c r="F151" i="30"/>
  <c r="G151" i="30"/>
  <c r="H151" i="30"/>
  <c r="I151" i="30"/>
  <c r="J151" i="30"/>
  <c r="K151" i="30"/>
  <c r="L151" i="30"/>
  <c r="M151" i="30"/>
  <c r="N151" i="30"/>
  <c r="O151" i="30"/>
  <c r="P151" i="30"/>
  <c r="Q151" i="30"/>
  <c r="R151" i="30"/>
  <c r="S151" i="30"/>
  <c r="T151" i="30"/>
  <c r="U151" i="30"/>
  <c r="V151" i="30"/>
  <c r="W151" i="30"/>
  <c r="X151" i="30"/>
  <c r="Y151" i="30"/>
  <c r="Z151" i="30"/>
  <c r="AA151" i="30"/>
  <c r="AB151" i="30"/>
  <c r="AC151" i="30"/>
  <c r="AD151" i="30"/>
  <c r="AE151" i="30"/>
  <c r="AF151" i="30"/>
  <c r="AG151" i="30"/>
  <c r="AH151" i="30"/>
  <c r="AI151" i="30"/>
  <c r="AJ151" i="30"/>
  <c r="AK151" i="30"/>
  <c r="AL151" i="30"/>
  <c r="AM151" i="30"/>
  <c r="AN151" i="30"/>
  <c r="AO151" i="30"/>
  <c r="AP151" i="30"/>
  <c r="AQ151" i="30"/>
  <c r="AR151" i="30"/>
  <c r="AS151" i="30"/>
  <c r="AT151" i="30"/>
  <c r="AU151" i="30"/>
  <c r="AV151" i="30"/>
  <c r="AW151" i="30"/>
  <c r="AX151" i="30"/>
  <c r="AY151" i="30"/>
  <c r="AZ151" i="30"/>
  <c r="BA151" i="30"/>
  <c r="BB151" i="30"/>
  <c r="BC151" i="30"/>
  <c r="BD151" i="30"/>
  <c r="BE151" i="30"/>
  <c r="BF151" i="30"/>
  <c r="BG151" i="30"/>
  <c r="BH151" i="30"/>
  <c r="BI151" i="30"/>
  <c r="BJ151" i="30"/>
  <c r="BK151" i="30"/>
  <c r="BL151" i="30"/>
  <c r="BM151" i="30"/>
  <c r="BN151" i="30"/>
  <c r="BO151" i="30"/>
  <c r="BP151" i="30"/>
  <c r="BQ151" i="30"/>
  <c r="BR151" i="30"/>
  <c r="BS151" i="30"/>
  <c r="BT151" i="30"/>
  <c r="BU151" i="30"/>
  <c r="BV151" i="30"/>
  <c r="BW151" i="30"/>
  <c r="BX151" i="30"/>
  <c r="BY151" i="30"/>
  <c r="BZ151" i="30"/>
  <c r="CA151" i="30"/>
  <c r="CB151" i="30"/>
  <c r="CC151" i="30"/>
  <c r="CD151" i="30"/>
  <c r="CE151" i="30"/>
  <c r="CF151" i="30"/>
  <c r="CG151" i="30"/>
  <c r="CH151" i="30"/>
  <c r="CI151" i="30"/>
  <c r="CJ151" i="30"/>
  <c r="CK151" i="30"/>
  <c r="CL151" i="30"/>
  <c r="CM151" i="30"/>
  <c r="CN151" i="30"/>
  <c r="CO151" i="30"/>
  <c r="CP151" i="30"/>
  <c r="CQ151" i="30"/>
  <c r="CR151" i="30"/>
  <c r="CS151" i="30"/>
  <c r="CT151" i="30"/>
  <c r="CU151" i="30"/>
  <c r="CV151" i="30"/>
  <c r="CW151" i="30"/>
  <c r="CX151" i="30"/>
  <c r="CY151" i="30"/>
  <c r="CZ151" i="30"/>
  <c r="DA151" i="30"/>
  <c r="DB151" i="30"/>
  <c r="DC151" i="30"/>
  <c r="DD151" i="30"/>
  <c r="DE151" i="30"/>
  <c r="DF151" i="30"/>
  <c r="DG151" i="30"/>
  <c r="DH151" i="30"/>
  <c r="DI151" i="30"/>
  <c r="DJ151" i="30"/>
  <c r="DK151" i="30"/>
  <c r="DL151" i="30"/>
  <c r="DM151" i="30"/>
  <c r="DN151" i="30"/>
  <c r="DO151" i="30"/>
  <c r="DP151" i="30"/>
  <c r="DQ151" i="30"/>
  <c r="DR151" i="30"/>
  <c r="DS151" i="30"/>
  <c r="DT151" i="30"/>
  <c r="DU151" i="30"/>
  <c r="DV151" i="30"/>
  <c r="DW151" i="30"/>
  <c r="DX151" i="30"/>
  <c r="DY151" i="30"/>
  <c r="DZ151" i="30"/>
  <c r="EA151" i="30"/>
  <c r="EB151" i="30"/>
  <c r="EC151" i="30"/>
  <c r="ED151" i="30"/>
  <c r="EE151" i="30"/>
  <c r="EF151" i="30"/>
  <c r="EG151" i="30"/>
  <c r="EH151" i="30"/>
  <c r="EI151" i="30"/>
  <c r="EJ151" i="30"/>
  <c r="EK151" i="30"/>
  <c r="EL151" i="30"/>
  <c r="EM151" i="30"/>
  <c r="EN151" i="30"/>
  <c r="EO151" i="30"/>
  <c r="EP151" i="30"/>
  <c r="EQ151" i="30"/>
  <c r="ER151" i="30"/>
  <c r="ES151" i="30"/>
  <c r="ET151" i="30"/>
  <c r="EU151" i="30"/>
  <c r="EV151" i="30"/>
  <c r="EW151" i="30"/>
  <c r="EX151" i="30"/>
  <c r="EY151" i="30"/>
  <c r="EZ151" i="30"/>
  <c r="FA151" i="30"/>
  <c r="FB151" i="30"/>
  <c r="FC151" i="30"/>
  <c r="FD151" i="30"/>
  <c r="FE151" i="30"/>
  <c r="FF151" i="30"/>
  <c r="FG151" i="30"/>
  <c r="FH151" i="30"/>
  <c r="FI151" i="30"/>
  <c r="FJ151" i="30"/>
  <c r="FK151" i="30"/>
  <c r="FL151" i="30"/>
  <c r="FM151" i="30"/>
  <c r="FN151" i="30"/>
  <c r="FO151" i="30"/>
  <c r="FP151" i="30"/>
  <c r="FQ151" i="30"/>
  <c r="FR151" i="30"/>
  <c r="FS151" i="30"/>
  <c r="FT151" i="30"/>
  <c r="FU151" i="30"/>
  <c r="FV151" i="30"/>
  <c r="FW151" i="30"/>
  <c r="FX151" i="30"/>
  <c r="FY151" i="30"/>
  <c r="FZ151" i="30"/>
  <c r="GA151" i="30"/>
  <c r="GB151" i="30"/>
  <c r="GC151" i="30"/>
  <c r="GD151" i="30"/>
  <c r="GE151" i="30"/>
  <c r="GF151" i="30"/>
  <c r="GG151" i="30"/>
  <c r="GH151" i="30"/>
  <c r="GI151" i="30"/>
  <c r="GJ151" i="30"/>
  <c r="GK151" i="30"/>
  <c r="GL151" i="30"/>
  <c r="GM151" i="30"/>
  <c r="GN151" i="30"/>
  <c r="GO151" i="30"/>
  <c r="GP151" i="30"/>
  <c r="GQ151" i="30"/>
  <c r="GR151" i="30"/>
  <c r="GS151" i="30"/>
  <c r="GT151" i="30"/>
  <c r="GU151" i="30"/>
  <c r="GV151" i="30"/>
  <c r="GW151" i="30"/>
  <c r="GX151" i="30"/>
  <c r="GY151" i="30"/>
  <c r="GZ151" i="30"/>
  <c r="HA151" i="30"/>
  <c r="HB151" i="30"/>
  <c r="HC151" i="30"/>
  <c r="HD151" i="30"/>
  <c r="HE151" i="30"/>
  <c r="HF151" i="30"/>
  <c r="HG151" i="30"/>
  <c r="HH151" i="30"/>
  <c r="HI151" i="30"/>
  <c r="HJ151" i="30"/>
  <c r="HK151" i="30"/>
  <c r="HL151" i="30"/>
  <c r="HM151" i="30"/>
  <c r="HN151" i="30"/>
  <c r="HO151" i="30"/>
  <c r="HP151" i="30"/>
  <c r="HQ151" i="30"/>
  <c r="HR151" i="30"/>
  <c r="HS151" i="30"/>
  <c r="HT151" i="30"/>
  <c r="HU151" i="30"/>
  <c r="HV151" i="30"/>
  <c r="HW151" i="30"/>
  <c r="HX151" i="30"/>
  <c r="HY151" i="30"/>
  <c r="HZ151" i="30"/>
  <c r="IA151" i="30"/>
  <c r="IB151" i="30"/>
  <c r="IC151" i="30"/>
  <c r="ID151" i="30"/>
  <c r="IE151" i="30"/>
  <c r="IF151" i="30"/>
  <c r="IG151" i="30"/>
  <c r="IH151" i="30"/>
  <c r="II151" i="30"/>
  <c r="IJ151" i="30"/>
  <c r="IK151" i="30"/>
  <c r="IL151" i="30"/>
  <c r="IM151" i="30"/>
  <c r="IN151" i="30"/>
  <c r="IO151" i="30"/>
  <c r="IP151" i="30"/>
  <c r="IQ151" i="30"/>
  <c r="IR151" i="30"/>
  <c r="IS151" i="30"/>
  <c r="IT151" i="30"/>
  <c r="IU151" i="30"/>
  <c r="IV151" i="30"/>
  <c r="A150" i="30"/>
  <c r="B150" i="30"/>
  <c r="C150" i="30"/>
  <c r="D150" i="30"/>
  <c r="E150" i="30"/>
  <c r="F150" i="30"/>
  <c r="G150" i="30"/>
  <c r="H150" i="30"/>
  <c r="I150" i="30"/>
  <c r="J150" i="30"/>
  <c r="K150" i="30"/>
  <c r="L150" i="30"/>
  <c r="M150" i="30"/>
  <c r="N150" i="30"/>
  <c r="O150" i="30"/>
  <c r="P150" i="30"/>
  <c r="Q150" i="30"/>
  <c r="R150" i="30"/>
  <c r="S150" i="30"/>
  <c r="T150" i="30"/>
  <c r="U150" i="30"/>
  <c r="V150" i="30"/>
  <c r="W150" i="30"/>
  <c r="X150" i="30"/>
  <c r="Y150" i="30"/>
  <c r="Z150" i="30"/>
  <c r="AA150" i="30"/>
  <c r="AB150" i="30"/>
  <c r="AC150" i="30"/>
  <c r="AD150" i="30"/>
  <c r="AE150" i="30"/>
  <c r="AF150" i="30"/>
  <c r="AG150" i="30"/>
  <c r="AH150" i="30"/>
  <c r="AI150" i="30"/>
  <c r="AJ150" i="30"/>
  <c r="AK150" i="30"/>
  <c r="AL150" i="30"/>
  <c r="AM150" i="30"/>
  <c r="AN150" i="30"/>
  <c r="AO150" i="30"/>
  <c r="AP150" i="30"/>
  <c r="AQ150" i="30"/>
  <c r="AR150" i="30"/>
  <c r="AS150" i="30"/>
  <c r="AT150" i="30"/>
  <c r="AU150" i="30"/>
  <c r="AV150" i="30"/>
  <c r="AW150" i="30"/>
  <c r="AX150" i="30"/>
  <c r="AY150" i="30"/>
  <c r="AZ150" i="30"/>
  <c r="BA150" i="30"/>
  <c r="BB150" i="30"/>
  <c r="BC150" i="30"/>
  <c r="BD150" i="30"/>
  <c r="BE150" i="30"/>
  <c r="BF150" i="30"/>
  <c r="BG150" i="30"/>
  <c r="BH150" i="30"/>
  <c r="BI150" i="30"/>
  <c r="BJ150" i="30"/>
  <c r="BK150" i="30"/>
  <c r="BL150" i="30"/>
  <c r="BM150" i="30"/>
  <c r="BN150" i="30"/>
  <c r="BO150" i="30"/>
  <c r="BP150" i="30"/>
  <c r="BQ150" i="30"/>
  <c r="BR150" i="30"/>
  <c r="BS150" i="30"/>
  <c r="BT150" i="30"/>
  <c r="BU150" i="30"/>
  <c r="BV150" i="30"/>
  <c r="BW150" i="30"/>
  <c r="BX150" i="30"/>
  <c r="BY150" i="30"/>
  <c r="BZ150" i="30"/>
  <c r="CA150" i="30"/>
  <c r="CB150" i="30"/>
  <c r="CC150" i="30"/>
  <c r="CD150" i="30"/>
  <c r="CE150" i="30"/>
  <c r="CF150" i="30"/>
  <c r="CG150" i="30"/>
  <c r="CH150" i="30"/>
  <c r="CI150" i="30"/>
  <c r="CJ150" i="30"/>
  <c r="CK150" i="30"/>
  <c r="CL150" i="30"/>
  <c r="CM150" i="30"/>
  <c r="CN150" i="30"/>
  <c r="CO150" i="30"/>
  <c r="CP150" i="30"/>
  <c r="CQ150" i="30"/>
  <c r="CR150" i="30"/>
  <c r="CS150" i="30"/>
  <c r="CT150" i="30"/>
  <c r="CU150" i="30"/>
  <c r="CV150" i="30"/>
  <c r="CW150" i="30"/>
  <c r="CX150" i="30"/>
  <c r="CY150" i="30"/>
  <c r="CZ150" i="30"/>
  <c r="DA150" i="30"/>
  <c r="DB150" i="30"/>
  <c r="DC150" i="30"/>
  <c r="DD150" i="30"/>
  <c r="DE150" i="30"/>
  <c r="DF150" i="30"/>
  <c r="DG150" i="30"/>
  <c r="DH150" i="30"/>
  <c r="DI150" i="30"/>
  <c r="DJ150" i="30"/>
  <c r="DK150" i="30"/>
  <c r="DL150" i="30"/>
  <c r="DM150" i="30"/>
  <c r="DN150" i="30"/>
  <c r="DO150" i="30"/>
  <c r="DP150" i="30"/>
  <c r="DQ150" i="30"/>
  <c r="DR150" i="30"/>
  <c r="DS150" i="30"/>
  <c r="DT150" i="30"/>
  <c r="DU150" i="30"/>
  <c r="DV150" i="30"/>
  <c r="DW150" i="30"/>
  <c r="DX150" i="30"/>
  <c r="DY150" i="30"/>
  <c r="DZ150" i="30"/>
  <c r="EA150" i="30"/>
  <c r="EB150" i="30"/>
  <c r="EC150" i="30"/>
  <c r="ED150" i="30"/>
  <c r="EE150" i="30"/>
  <c r="EF150" i="30"/>
  <c r="EG150" i="30"/>
  <c r="EH150" i="30"/>
  <c r="EI150" i="30"/>
  <c r="EJ150" i="30"/>
  <c r="EK150" i="30"/>
  <c r="EL150" i="30"/>
  <c r="EM150" i="30"/>
  <c r="EN150" i="30"/>
  <c r="EO150" i="30"/>
  <c r="EP150" i="30"/>
  <c r="EQ150" i="30"/>
  <c r="ER150" i="30"/>
  <c r="ES150" i="30"/>
  <c r="ET150" i="30"/>
  <c r="EU150" i="30"/>
  <c r="EV150" i="30"/>
  <c r="EW150" i="30"/>
  <c r="EX150" i="30"/>
  <c r="EY150" i="30"/>
  <c r="EZ150" i="30"/>
  <c r="FA150" i="30"/>
  <c r="FB150" i="30"/>
  <c r="FC150" i="30"/>
  <c r="FD150" i="30"/>
  <c r="FE150" i="30"/>
  <c r="FF150" i="30"/>
  <c r="FG150" i="30"/>
  <c r="FH150" i="30"/>
  <c r="FI150" i="30"/>
  <c r="FJ150" i="30"/>
  <c r="FK150" i="30"/>
  <c r="FL150" i="30"/>
  <c r="FM150" i="30"/>
  <c r="FN150" i="30"/>
  <c r="FO150" i="30"/>
  <c r="FP150" i="30"/>
  <c r="FQ150" i="30"/>
  <c r="FR150" i="30"/>
  <c r="FS150" i="30"/>
  <c r="FT150" i="30"/>
  <c r="FU150" i="30"/>
  <c r="FV150" i="30"/>
  <c r="FW150" i="30"/>
  <c r="FX150" i="30"/>
  <c r="FY150" i="30"/>
  <c r="FZ150" i="30"/>
  <c r="GA150" i="30"/>
  <c r="GB150" i="30"/>
  <c r="GC150" i="30"/>
  <c r="GD150" i="30"/>
  <c r="GE150" i="30"/>
  <c r="GF150" i="30"/>
  <c r="GG150" i="30"/>
  <c r="GH150" i="30"/>
  <c r="GI150" i="30"/>
  <c r="GJ150" i="30"/>
  <c r="GK150" i="30"/>
  <c r="GL150" i="30"/>
  <c r="GM150" i="30"/>
  <c r="GN150" i="30"/>
  <c r="GO150" i="30"/>
  <c r="GP150" i="30"/>
  <c r="GQ150" i="30"/>
  <c r="GR150" i="30"/>
  <c r="GS150" i="30"/>
  <c r="GT150" i="30"/>
  <c r="GU150" i="30"/>
  <c r="GV150" i="30"/>
  <c r="GW150" i="30"/>
  <c r="GX150" i="30"/>
  <c r="GY150" i="30"/>
  <c r="GZ150" i="30"/>
  <c r="HA150" i="30"/>
  <c r="HB150" i="30"/>
  <c r="HC150" i="30"/>
  <c r="HD150" i="30"/>
  <c r="HE150" i="30"/>
  <c r="HF150" i="30"/>
  <c r="HG150" i="30"/>
  <c r="HH150" i="30"/>
  <c r="HI150" i="30"/>
  <c r="HJ150" i="30"/>
  <c r="HK150" i="30"/>
  <c r="HL150" i="30"/>
  <c r="HM150" i="30"/>
  <c r="HN150" i="30"/>
  <c r="HO150" i="30"/>
  <c r="HP150" i="30"/>
  <c r="HQ150" i="30"/>
  <c r="HR150" i="30"/>
  <c r="HS150" i="30"/>
  <c r="HT150" i="30"/>
  <c r="HU150" i="30"/>
  <c r="HV150" i="30"/>
  <c r="HW150" i="30"/>
  <c r="HX150" i="30"/>
  <c r="HY150" i="30"/>
  <c r="HZ150" i="30"/>
  <c r="IA150" i="30"/>
  <c r="IB150" i="30"/>
  <c r="IC150" i="30"/>
  <c r="ID150" i="30"/>
  <c r="IE150" i="30"/>
  <c r="IF150" i="30"/>
  <c r="IG150" i="30"/>
  <c r="IH150" i="30"/>
  <c r="II150" i="30"/>
  <c r="IJ150" i="30"/>
  <c r="IK150" i="30"/>
  <c r="IL150" i="30"/>
  <c r="IM150" i="30"/>
  <c r="IN150" i="30"/>
  <c r="IO150" i="30"/>
  <c r="IP150" i="30"/>
  <c r="IQ150" i="30"/>
  <c r="IR150" i="30"/>
  <c r="IS150" i="30"/>
  <c r="IT150" i="30"/>
  <c r="IU150" i="30"/>
  <c r="IV150" i="30"/>
  <c r="A149" i="30"/>
  <c r="B149" i="30"/>
  <c r="C149" i="30"/>
  <c r="D149" i="30"/>
  <c r="E149" i="30"/>
  <c r="F149" i="30"/>
  <c r="G149" i="30"/>
  <c r="H149" i="30"/>
  <c r="I149" i="30"/>
  <c r="J149" i="30"/>
  <c r="K149" i="30"/>
  <c r="L149" i="30"/>
  <c r="M149" i="30"/>
  <c r="N149" i="30"/>
  <c r="O149" i="30"/>
  <c r="P149" i="30"/>
  <c r="Q149" i="30"/>
  <c r="R149" i="30"/>
  <c r="S149" i="30"/>
  <c r="T149" i="30"/>
  <c r="U149" i="30"/>
  <c r="V149" i="30"/>
  <c r="W149" i="30"/>
  <c r="X149" i="30"/>
  <c r="Y149" i="30"/>
  <c r="Z149" i="30"/>
  <c r="AA149" i="30"/>
  <c r="AB149" i="30"/>
  <c r="AC149" i="30"/>
  <c r="AD149" i="30"/>
  <c r="AE149" i="30"/>
  <c r="AF149" i="30"/>
  <c r="AG149" i="30"/>
  <c r="AH149" i="30"/>
  <c r="AI149" i="30"/>
  <c r="AJ149" i="30"/>
  <c r="AK149" i="30"/>
  <c r="AL149" i="30"/>
  <c r="AM149" i="30"/>
  <c r="AN149" i="30"/>
  <c r="AO149" i="30"/>
  <c r="AP149" i="30"/>
  <c r="AQ149" i="30"/>
  <c r="AR149" i="30"/>
  <c r="AS149" i="30"/>
  <c r="AT149" i="30"/>
  <c r="AU149" i="30"/>
  <c r="AV149" i="30"/>
  <c r="AW149" i="30"/>
  <c r="AX149" i="30"/>
  <c r="AY149" i="30"/>
  <c r="AZ149" i="30"/>
  <c r="BA149" i="30"/>
  <c r="BB149" i="30"/>
  <c r="BC149" i="30"/>
  <c r="BD149" i="30"/>
  <c r="BE149" i="30"/>
  <c r="BF149" i="30"/>
  <c r="BG149" i="30"/>
  <c r="BH149" i="30"/>
  <c r="BI149" i="30"/>
  <c r="BJ149" i="30"/>
  <c r="BK149" i="30"/>
  <c r="BL149" i="30"/>
  <c r="BM149" i="30"/>
  <c r="BN149" i="30"/>
  <c r="BO149" i="30"/>
  <c r="BP149" i="30"/>
  <c r="BQ149" i="30"/>
  <c r="BR149" i="30"/>
  <c r="BS149" i="30"/>
  <c r="BT149" i="30"/>
  <c r="BU149" i="30"/>
  <c r="BV149" i="30"/>
  <c r="BW149" i="30"/>
  <c r="BX149" i="30"/>
  <c r="BY149" i="30"/>
  <c r="BZ149" i="30"/>
  <c r="CA149" i="30"/>
  <c r="CB149" i="30"/>
  <c r="CC149" i="30"/>
  <c r="CD149" i="30"/>
  <c r="CE149" i="30"/>
  <c r="CF149" i="30"/>
  <c r="CG149" i="30"/>
  <c r="CH149" i="30"/>
  <c r="CI149" i="30"/>
  <c r="CJ149" i="30"/>
  <c r="CK149" i="30"/>
  <c r="CL149" i="30"/>
  <c r="CM149" i="30"/>
  <c r="CN149" i="30"/>
  <c r="CO149" i="30"/>
  <c r="CP149" i="30"/>
  <c r="CQ149" i="30"/>
  <c r="CR149" i="30"/>
  <c r="CS149" i="30"/>
  <c r="CT149" i="30"/>
  <c r="CU149" i="30"/>
  <c r="CV149" i="30"/>
  <c r="CW149" i="30"/>
  <c r="CX149" i="30"/>
  <c r="CY149" i="30"/>
  <c r="CZ149" i="30"/>
  <c r="DA149" i="30"/>
  <c r="DB149" i="30"/>
  <c r="DC149" i="30"/>
  <c r="DD149" i="30"/>
  <c r="DE149" i="30"/>
  <c r="DF149" i="30"/>
  <c r="DG149" i="30"/>
  <c r="DH149" i="30"/>
  <c r="DI149" i="30"/>
  <c r="DJ149" i="30"/>
  <c r="DK149" i="30"/>
  <c r="DL149" i="30"/>
  <c r="DM149" i="30"/>
  <c r="DN149" i="30"/>
  <c r="DO149" i="30"/>
  <c r="DP149" i="30"/>
  <c r="DQ149" i="30"/>
  <c r="DR149" i="30"/>
  <c r="DS149" i="30"/>
  <c r="DT149" i="30"/>
  <c r="DU149" i="30"/>
  <c r="DV149" i="30"/>
  <c r="DW149" i="30"/>
  <c r="DX149" i="30"/>
  <c r="DY149" i="30"/>
  <c r="DZ149" i="30"/>
  <c r="EA149" i="30"/>
  <c r="EB149" i="30"/>
  <c r="EC149" i="30"/>
  <c r="ED149" i="30"/>
  <c r="EE149" i="30"/>
  <c r="EF149" i="30"/>
  <c r="EG149" i="30"/>
  <c r="EH149" i="30"/>
  <c r="EI149" i="30"/>
  <c r="EJ149" i="30"/>
  <c r="EK149" i="30"/>
  <c r="EL149" i="30"/>
  <c r="EM149" i="30"/>
  <c r="EN149" i="30"/>
  <c r="EO149" i="30"/>
  <c r="EP149" i="30"/>
  <c r="EQ149" i="30"/>
  <c r="ER149" i="30"/>
  <c r="ES149" i="30"/>
  <c r="ET149" i="30"/>
  <c r="EU149" i="30"/>
  <c r="EV149" i="30"/>
  <c r="EW149" i="30"/>
  <c r="EX149" i="30"/>
  <c r="EY149" i="30"/>
  <c r="EZ149" i="30"/>
  <c r="FA149" i="30"/>
  <c r="FB149" i="30"/>
  <c r="FC149" i="30"/>
  <c r="FD149" i="30"/>
  <c r="FE149" i="30"/>
  <c r="FF149" i="30"/>
  <c r="FG149" i="30"/>
  <c r="FH149" i="30"/>
  <c r="FI149" i="30"/>
  <c r="FJ149" i="30"/>
  <c r="FK149" i="30"/>
  <c r="FL149" i="30"/>
  <c r="FM149" i="30"/>
  <c r="FN149" i="30"/>
  <c r="FO149" i="30"/>
  <c r="FP149" i="30"/>
  <c r="FQ149" i="30"/>
  <c r="FR149" i="30"/>
  <c r="FS149" i="30"/>
  <c r="FT149" i="30"/>
  <c r="FU149" i="30"/>
  <c r="FV149" i="30"/>
  <c r="FW149" i="30"/>
  <c r="FX149" i="30"/>
  <c r="FY149" i="30"/>
  <c r="FZ149" i="30"/>
  <c r="GA149" i="30"/>
  <c r="GB149" i="30"/>
  <c r="GC149" i="30"/>
  <c r="GD149" i="30"/>
  <c r="GE149" i="30"/>
  <c r="GF149" i="30"/>
  <c r="GG149" i="30"/>
  <c r="GH149" i="30"/>
  <c r="GI149" i="30"/>
  <c r="GJ149" i="30"/>
  <c r="GK149" i="30"/>
  <c r="GL149" i="30"/>
  <c r="GM149" i="30"/>
  <c r="GN149" i="30"/>
  <c r="GO149" i="30"/>
  <c r="GP149" i="30"/>
  <c r="GQ149" i="30"/>
  <c r="GR149" i="30"/>
  <c r="GS149" i="30"/>
  <c r="GT149" i="30"/>
  <c r="GU149" i="30"/>
  <c r="GV149" i="30"/>
  <c r="GW149" i="30"/>
  <c r="GX149" i="30"/>
  <c r="GY149" i="30"/>
  <c r="GZ149" i="30"/>
  <c r="HA149" i="30"/>
  <c r="HB149" i="30"/>
  <c r="HC149" i="30"/>
  <c r="HD149" i="30"/>
  <c r="HE149" i="30"/>
  <c r="HF149" i="30"/>
  <c r="HG149" i="30"/>
  <c r="HH149" i="30"/>
  <c r="HI149" i="30"/>
  <c r="HJ149" i="30"/>
  <c r="HK149" i="30"/>
  <c r="HL149" i="30"/>
  <c r="HM149" i="30"/>
  <c r="HN149" i="30"/>
  <c r="HO149" i="30"/>
  <c r="HP149" i="30"/>
  <c r="HQ149" i="30"/>
  <c r="HR149" i="30"/>
  <c r="HS149" i="30"/>
  <c r="HT149" i="30"/>
  <c r="HU149" i="30"/>
  <c r="HV149" i="30"/>
  <c r="HW149" i="30"/>
  <c r="HX149" i="30"/>
  <c r="HY149" i="30"/>
  <c r="HZ149" i="30"/>
  <c r="IA149" i="30"/>
  <c r="IB149" i="30"/>
  <c r="IC149" i="30"/>
  <c r="ID149" i="30"/>
  <c r="IE149" i="30"/>
  <c r="IF149" i="30"/>
  <c r="IG149" i="30"/>
  <c r="IH149" i="30"/>
  <c r="II149" i="30"/>
  <c r="IJ149" i="30"/>
  <c r="IK149" i="30"/>
  <c r="IL149" i="30"/>
  <c r="IM149" i="30"/>
  <c r="IN149" i="30"/>
  <c r="IO149" i="30"/>
  <c r="IP149" i="30"/>
  <c r="IQ149" i="30"/>
  <c r="IR149" i="30"/>
  <c r="IS149" i="30"/>
  <c r="IT149" i="30"/>
  <c r="IU149" i="30"/>
  <c r="IV149" i="30"/>
  <c r="A148" i="30"/>
  <c r="B148" i="30"/>
  <c r="C148" i="30"/>
  <c r="D148" i="30"/>
  <c r="E148" i="30"/>
  <c r="F148" i="30"/>
  <c r="G148" i="30"/>
  <c r="H148" i="30"/>
  <c r="I148" i="30"/>
  <c r="J148" i="30"/>
  <c r="K148" i="30"/>
  <c r="L148" i="30"/>
  <c r="M148" i="30"/>
  <c r="N148" i="30"/>
  <c r="O148" i="30"/>
  <c r="P148" i="30"/>
  <c r="Q148" i="30"/>
  <c r="R148" i="30"/>
  <c r="S148" i="30"/>
  <c r="T148" i="30"/>
  <c r="U148" i="30"/>
  <c r="V148" i="30"/>
  <c r="W148" i="30"/>
  <c r="X148" i="30"/>
  <c r="Y148" i="30"/>
  <c r="Z148" i="30"/>
  <c r="AA148" i="30"/>
  <c r="AB148" i="30"/>
  <c r="AC148" i="30"/>
  <c r="AD148" i="30"/>
  <c r="AE148" i="30"/>
  <c r="AF148" i="30"/>
  <c r="AG148" i="30"/>
  <c r="AH148" i="30"/>
  <c r="AI148" i="30"/>
  <c r="AJ148" i="30"/>
  <c r="AK148" i="30"/>
  <c r="AL148" i="30"/>
  <c r="AM148" i="30"/>
  <c r="AN148" i="30"/>
  <c r="AO148" i="30"/>
  <c r="AP148" i="30"/>
  <c r="AQ148" i="30"/>
  <c r="AR148" i="30"/>
  <c r="AS148" i="30"/>
  <c r="AT148" i="30"/>
  <c r="AU148" i="30"/>
  <c r="AV148" i="30"/>
  <c r="AW148" i="30"/>
  <c r="AX148" i="30"/>
  <c r="AY148" i="30"/>
  <c r="AZ148" i="30"/>
  <c r="BA148" i="30"/>
  <c r="BB148" i="30"/>
  <c r="BC148" i="30"/>
  <c r="BD148" i="30"/>
  <c r="BE148" i="30"/>
  <c r="BF148" i="30"/>
  <c r="BG148" i="30"/>
  <c r="BH148" i="30"/>
  <c r="BI148" i="30"/>
  <c r="BJ148" i="30"/>
  <c r="BK148" i="30"/>
  <c r="BL148" i="30"/>
  <c r="BM148" i="30"/>
  <c r="BN148" i="30"/>
  <c r="BO148" i="30"/>
  <c r="BP148" i="30"/>
  <c r="BQ148" i="30"/>
  <c r="BR148" i="30"/>
  <c r="BS148" i="30"/>
  <c r="BT148" i="30"/>
  <c r="BU148" i="30"/>
  <c r="BV148" i="30"/>
  <c r="BW148" i="30"/>
  <c r="BX148" i="30"/>
  <c r="BY148" i="30"/>
  <c r="BZ148" i="30"/>
  <c r="CA148" i="30"/>
  <c r="CB148" i="30"/>
  <c r="CC148" i="30"/>
  <c r="CD148" i="30"/>
  <c r="CE148" i="30"/>
  <c r="CF148" i="30"/>
  <c r="CG148" i="30"/>
  <c r="CH148" i="30"/>
  <c r="CI148" i="30"/>
  <c r="CJ148" i="30"/>
  <c r="CK148" i="30"/>
  <c r="CL148" i="30"/>
  <c r="CM148" i="30"/>
  <c r="CN148" i="30"/>
  <c r="CO148" i="30"/>
  <c r="CP148" i="30"/>
  <c r="CQ148" i="30"/>
  <c r="CR148" i="30"/>
  <c r="CS148" i="30"/>
  <c r="CT148" i="30"/>
  <c r="CU148" i="30"/>
  <c r="CV148" i="30"/>
  <c r="CW148" i="30"/>
  <c r="CX148" i="30"/>
  <c r="CY148" i="30"/>
  <c r="CZ148" i="30"/>
  <c r="DA148" i="30"/>
  <c r="DB148" i="30"/>
  <c r="DC148" i="30"/>
  <c r="DD148" i="30"/>
  <c r="DE148" i="30"/>
  <c r="DF148" i="30"/>
  <c r="DG148" i="30"/>
  <c r="DH148" i="30"/>
  <c r="DI148" i="30"/>
  <c r="DJ148" i="30"/>
  <c r="DK148" i="30"/>
  <c r="DL148" i="30"/>
  <c r="DM148" i="30"/>
  <c r="DN148" i="30"/>
  <c r="DO148" i="30"/>
  <c r="DP148" i="30"/>
  <c r="DQ148" i="30"/>
  <c r="DR148" i="30"/>
  <c r="DS148" i="30"/>
  <c r="DT148" i="30"/>
  <c r="DU148" i="30"/>
  <c r="DV148" i="30"/>
  <c r="DW148" i="30"/>
  <c r="DX148" i="30"/>
  <c r="DY148" i="30"/>
  <c r="DZ148" i="30"/>
  <c r="EA148" i="30"/>
  <c r="EB148" i="30"/>
  <c r="EC148" i="30"/>
  <c r="ED148" i="30"/>
  <c r="EE148" i="30"/>
  <c r="EF148" i="30"/>
  <c r="EG148" i="30"/>
  <c r="EH148" i="30"/>
  <c r="EI148" i="30"/>
  <c r="EJ148" i="30"/>
  <c r="EK148" i="30"/>
  <c r="EL148" i="30"/>
  <c r="EM148" i="30"/>
  <c r="EN148" i="30"/>
  <c r="EO148" i="30"/>
  <c r="EP148" i="30"/>
  <c r="EQ148" i="30"/>
  <c r="ER148" i="30"/>
  <c r="ES148" i="30"/>
  <c r="ET148" i="30"/>
  <c r="EU148" i="30"/>
  <c r="EV148" i="30"/>
  <c r="EW148" i="30"/>
  <c r="EX148" i="30"/>
  <c r="EY148" i="30"/>
  <c r="EZ148" i="30"/>
  <c r="FA148" i="30"/>
  <c r="FB148" i="30"/>
  <c r="FC148" i="30"/>
  <c r="FD148" i="30"/>
  <c r="FE148" i="30"/>
  <c r="FF148" i="30"/>
  <c r="FG148" i="30"/>
  <c r="FH148" i="30"/>
  <c r="FI148" i="30"/>
  <c r="FJ148" i="30"/>
  <c r="FK148" i="30"/>
  <c r="FL148" i="30"/>
  <c r="FM148" i="30"/>
  <c r="FN148" i="30"/>
  <c r="FO148" i="30"/>
  <c r="FP148" i="30"/>
  <c r="FQ148" i="30"/>
  <c r="FR148" i="30"/>
  <c r="FS148" i="30"/>
  <c r="FT148" i="30"/>
  <c r="FU148" i="30"/>
  <c r="FV148" i="30"/>
  <c r="FW148" i="30"/>
  <c r="FX148" i="30"/>
  <c r="FY148" i="30"/>
  <c r="FZ148" i="30"/>
  <c r="GA148" i="30"/>
  <c r="GB148" i="30"/>
  <c r="GC148" i="30"/>
  <c r="GD148" i="30"/>
  <c r="GE148" i="30"/>
  <c r="GF148" i="30"/>
  <c r="GG148" i="30"/>
  <c r="GH148" i="30"/>
  <c r="GI148" i="30"/>
  <c r="GJ148" i="30"/>
  <c r="GK148" i="30"/>
  <c r="GL148" i="30"/>
  <c r="GM148" i="30"/>
  <c r="GN148" i="30"/>
  <c r="GO148" i="30"/>
  <c r="GP148" i="30"/>
  <c r="GQ148" i="30"/>
  <c r="GR148" i="30"/>
  <c r="GS148" i="30"/>
  <c r="GT148" i="30"/>
  <c r="GU148" i="30"/>
  <c r="GV148" i="30"/>
  <c r="GW148" i="30"/>
  <c r="GX148" i="30"/>
  <c r="GY148" i="30"/>
  <c r="GZ148" i="30"/>
  <c r="HA148" i="30"/>
  <c r="HB148" i="30"/>
  <c r="HC148" i="30"/>
  <c r="HD148" i="30"/>
  <c r="HE148" i="30"/>
  <c r="HF148" i="30"/>
  <c r="HG148" i="30"/>
  <c r="HH148" i="30"/>
  <c r="HI148" i="30"/>
  <c r="HJ148" i="30"/>
  <c r="HK148" i="30"/>
  <c r="HL148" i="30"/>
  <c r="HM148" i="30"/>
  <c r="HN148" i="30"/>
  <c r="HO148" i="30"/>
  <c r="HP148" i="30"/>
  <c r="HQ148" i="30"/>
  <c r="HR148" i="30"/>
  <c r="HS148" i="30"/>
  <c r="HT148" i="30"/>
  <c r="HU148" i="30"/>
  <c r="HV148" i="30"/>
  <c r="HW148" i="30"/>
  <c r="HX148" i="30"/>
  <c r="HY148" i="30"/>
  <c r="HZ148" i="30"/>
  <c r="IA148" i="30"/>
  <c r="IB148" i="30"/>
  <c r="IC148" i="30"/>
  <c r="ID148" i="30"/>
  <c r="IE148" i="30"/>
  <c r="IF148" i="30"/>
  <c r="IG148" i="30"/>
  <c r="IH148" i="30"/>
  <c r="II148" i="30"/>
  <c r="IJ148" i="30"/>
  <c r="IK148" i="30"/>
  <c r="IL148" i="30"/>
  <c r="IM148" i="30"/>
  <c r="IN148" i="30"/>
  <c r="IO148" i="30"/>
  <c r="IP148" i="30"/>
  <c r="IQ148" i="30"/>
  <c r="IR148" i="30"/>
  <c r="IS148" i="30"/>
  <c r="IT148" i="30"/>
  <c r="IU148" i="30"/>
  <c r="IV148" i="30"/>
  <c r="A147" i="30"/>
  <c r="B147" i="30"/>
  <c r="C147" i="30"/>
  <c r="D147" i="30"/>
  <c r="E147" i="30"/>
  <c r="F147" i="30"/>
  <c r="G147" i="30"/>
  <c r="H147" i="30"/>
  <c r="I147" i="30"/>
  <c r="J147" i="30"/>
  <c r="K147" i="30"/>
  <c r="L147" i="30"/>
  <c r="M147" i="30"/>
  <c r="N147" i="30"/>
  <c r="O147" i="30"/>
  <c r="P147" i="30"/>
  <c r="Q147" i="30"/>
  <c r="R147" i="30"/>
  <c r="S147" i="30"/>
  <c r="T147" i="30"/>
  <c r="U147" i="30"/>
  <c r="V147" i="30"/>
  <c r="W147" i="30"/>
  <c r="X147" i="30"/>
  <c r="Y147" i="30"/>
  <c r="Z147" i="30"/>
  <c r="AA147" i="30"/>
  <c r="AB147" i="30"/>
  <c r="AC147" i="30"/>
  <c r="AD147" i="30"/>
  <c r="AE147" i="30"/>
  <c r="AF147" i="30"/>
  <c r="AG147" i="30"/>
  <c r="AH147" i="30"/>
  <c r="AI147" i="30"/>
  <c r="AJ147" i="30"/>
  <c r="AK147" i="30"/>
  <c r="AL147" i="30"/>
  <c r="AM147" i="30"/>
  <c r="AN147" i="30"/>
  <c r="AO147" i="30"/>
  <c r="AP147" i="30"/>
  <c r="AQ147" i="30"/>
  <c r="AR147" i="30"/>
  <c r="AS147" i="30"/>
  <c r="AT147" i="30"/>
  <c r="AU147" i="30"/>
  <c r="AV147" i="30"/>
  <c r="AW147" i="30"/>
  <c r="AX147" i="30"/>
  <c r="AY147" i="30"/>
  <c r="AZ147" i="30"/>
  <c r="BA147" i="30"/>
  <c r="BB147" i="30"/>
  <c r="BC147" i="30"/>
  <c r="BD147" i="30"/>
  <c r="BE147" i="30"/>
  <c r="BF147" i="30"/>
  <c r="BG147" i="30"/>
  <c r="BH147" i="30"/>
  <c r="BI147" i="30"/>
  <c r="BJ147" i="30"/>
  <c r="BK147" i="30"/>
  <c r="BL147" i="30"/>
  <c r="BM147" i="30"/>
  <c r="BN147" i="30"/>
  <c r="BO147" i="30"/>
  <c r="BP147" i="30"/>
  <c r="BQ147" i="30"/>
  <c r="BR147" i="30"/>
  <c r="BS147" i="30"/>
  <c r="BT147" i="30"/>
  <c r="BU147" i="30"/>
  <c r="BV147" i="30"/>
  <c r="BW147" i="30"/>
  <c r="BX147" i="30"/>
  <c r="BY147" i="30"/>
  <c r="BZ147" i="30"/>
  <c r="CA147" i="30"/>
  <c r="CB147" i="30"/>
  <c r="CC147" i="30"/>
  <c r="CD147" i="30"/>
  <c r="CE147" i="30"/>
  <c r="CF147" i="30"/>
  <c r="CG147" i="30"/>
  <c r="CH147" i="30"/>
  <c r="CI147" i="30"/>
  <c r="CJ147" i="30"/>
  <c r="CK147" i="30"/>
  <c r="CL147" i="30"/>
  <c r="CM147" i="30"/>
  <c r="CN147" i="30"/>
  <c r="CO147" i="30"/>
  <c r="CP147" i="30"/>
  <c r="CQ147" i="30"/>
  <c r="CR147" i="30"/>
  <c r="CS147" i="30"/>
  <c r="CT147" i="30"/>
  <c r="CU147" i="30"/>
  <c r="CV147" i="30"/>
  <c r="CW147" i="30"/>
  <c r="CX147" i="30"/>
  <c r="CY147" i="30"/>
  <c r="CZ147" i="30"/>
  <c r="DA147" i="30"/>
  <c r="DB147" i="30"/>
  <c r="DC147" i="30"/>
  <c r="DD147" i="30"/>
  <c r="DE147" i="30"/>
  <c r="DF147" i="30"/>
  <c r="DG147" i="30"/>
  <c r="DH147" i="30"/>
  <c r="DI147" i="30"/>
  <c r="DJ147" i="30"/>
  <c r="DK147" i="30"/>
  <c r="DL147" i="30"/>
  <c r="DM147" i="30"/>
  <c r="DN147" i="30"/>
  <c r="DO147" i="30"/>
  <c r="DP147" i="30"/>
  <c r="DQ147" i="30"/>
  <c r="DR147" i="30"/>
  <c r="DS147" i="30"/>
  <c r="DT147" i="30"/>
  <c r="DU147" i="30"/>
  <c r="DV147" i="30"/>
  <c r="DW147" i="30"/>
  <c r="DX147" i="30"/>
  <c r="DY147" i="30"/>
  <c r="DZ147" i="30"/>
  <c r="EA147" i="30"/>
  <c r="EB147" i="30"/>
  <c r="EC147" i="30"/>
  <c r="ED147" i="30"/>
  <c r="EE147" i="30"/>
  <c r="EF147" i="30"/>
  <c r="EG147" i="30"/>
  <c r="EH147" i="30"/>
  <c r="EI147" i="30"/>
  <c r="EJ147" i="30"/>
  <c r="EK147" i="30"/>
  <c r="EL147" i="30"/>
  <c r="EM147" i="30"/>
  <c r="EN147" i="30"/>
  <c r="EO147" i="30"/>
  <c r="EP147" i="30"/>
  <c r="EQ147" i="30"/>
  <c r="ER147" i="30"/>
  <c r="ES147" i="30"/>
  <c r="ET147" i="30"/>
  <c r="EU147" i="30"/>
  <c r="EV147" i="30"/>
  <c r="EW147" i="30"/>
  <c r="EX147" i="30"/>
  <c r="EY147" i="30"/>
  <c r="EZ147" i="30"/>
  <c r="FA147" i="30"/>
  <c r="FB147" i="30"/>
  <c r="FC147" i="30"/>
  <c r="FD147" i="30"/>
  <c r="FE147" i="30"/>
  <c r="FF147" i="30"/>
  <c r="FG147" i="30"/>
  <c r="FH147" i="30"/>
  <c r="FI147" i="30"/>
  <c r="FJ147" i="30"/>
  <c r="FK147" i="30"/>
  <c r="FL147" i="30"/>
  <c r="FM147" i="30"/>
  <c r="FN147" i="30"/>
  <c r="FO147" i="30"/>
  <c r="FP147" i="30"/>
  <c r="FQ147" i="30"/>
  <c r="FR147" i="30"/>
  <c r="FS147" i="30"/>
  <c r="FT147" i="30"/>
  <c r="FU147" i="30"/>
  <c r="FV147" i="30"/>
  <c r="FW147" i="30"/>
  <c r="FX147" i="30"/>
  <c r="FY147" i="30"/>
  <c r="FZ147" i="30"/>
  <c r="GA147" i="30"/>
  <c r="GB147" i="30"/>
  <c r="GC147" i="30"/>
  <c r="GD147" i="30"/>
  <c r="GE147" i="30"/>
  <c r="GF147" i="30"/>
  <c r="GG147" i="30"/>
  <c r="GH147" i="30"/>
  <c r="GI147" i="30"/>
  <c r="GJ147" i="30"/>
  <c r="GK147" i="30"/>
  <c r="GL147" i="30"/>
  <c r="GM147" i="30"/>
  <c r="GN147" i="30"/>
  <c r="GO147" i="30"/>
  <c r="GP147" i="30"/>
  <c r="GQ147" i="30"/>
  <c r="GR147" i="30"/>
  <c r="GS147" i="30"/>
  <c r="GT147" i="30"/>
  <c r="GU147" i="30"/>
  <c r="GV147" i="30"/>
  <c r="GW147" i="30"/>
  <c r="GX147" i="30"/>
  <c r="GY147" i="30"/>
  <c r="GZ147" i="30"/>
  <c r="HA147" i="30"/>
  <c r="HB147" i="30"/>
  <c r="HC147" i="30"/>
  <c r="HD147" i="30"/>
  <c r="HE147" i="30"/>
  <c r="HF147" i="30"/>
  <c r="HG147" i="30"/>
  <c r="HH147" i="30"/>
  <c r="HI147" i="30"/>
  <c r="HJ147" i="30"/>
  <c r="HK147" i="30"/>
  <c r="HL147" i="30"/>
  <c r="HM147" i="30"/>
  <c r="HN147" i="30"/>
  <c r="HO147" i="30"/>
  <c r="HP147" i="30"/>
  <c r="HQ147" i="30"/>
  <c r="HR147" i="30"/>
  <c r="HS147" i="30"/>
  <c r="HT147" i="30"/>
  <c r="HU147" i="30"/>
  <c r="HV147" i="30"/>
  <c r="HW147" i="30"/>
  <c r="HX147" i="30"/>
  <c r="HY147" i="30"/>
  <c r="HZ147" i="30"/>
  <c r="IA147" i="30"/>
  <c r="IB147" i="30"/>
  <c r="IC147" i="30"/>
  <c r="ID147" i="30"/>
  <c r="IE147" i="30"/>
  <c r="IF147" i="30"/>
  <c r="IG147" i="30"/>
  <c r="IH147" i="30"/>
  <c r="II147" i="30"/>
  <c r="IJ147" i="30"/>
  <c r="IK147" i="30"/>
  <c r="IL147" i="30"/>
  <c r="IM147" i="30"/>
  <c r="IN147" i="30"/>
  <c r="IO147" i="30"/>
  <c r="IP147" i="30"/>
  <c r="IQ147" i="30"/>
  <c r="IR147" i="30"/>
  <c r="IS147" i="30"/>
  <c r="IT147" i="30"/>
  <c r="IU147" i="30"/>
  <c r="IV147" i="30"/>
  <c r="A146" i="30"/>
  <c r="B146" i="30"/>
  <c r="C146" i="30"/>
  <c r="D146" i="30"/>
  <c r="E146" i="30"/>
  <c r="F146" i="30"/>
  <c r="G146" i="30"/>
  <c r="H146" i="30"/>
  <c r="I146" i="30"/>
  <c r="J146" i="30"/>
  <c r="K146" i="30"/>
  <c r="L146" i="30"/>
  <c r="M146" i="30"/>
  <c r="N146" i="30"/>
  <c r="O146" i="30"/>
  <c r="P146" i="30"/>
  <c r="Q146" i="30"/>
  <c r="R146" i="30"/>
  <c r="S146" i="30"/>
  <c r="T146" i="30"/>
  <c r="U146" i="30"/>
  <c r="V146" i="30"/>
  <c r="W146" i="30"/>
  <c r="X146" i="30"/>
  <c r="Y146" i="30"/>
  <c r="Z146" i="30"/>
  <c r="AA146" i="30"/>
  <c r="AB146" i="30"/>
  <c r="AC146" i="30"/>
  <c r="AD146" i="30"/>
  <c r="AE146" i="30"/>
  <c r="AF146" i="30"/>
  <c r="AG146" i="30"/>
  <c r="AH146" i="30"/>
  <c r="AI146" i="30"/>
  <c r="AJ146" i="30"/>
  <c r="AK146" i="30"/>
  <c r="AL146" i="30"/>
  <c r="AM146" i="30"/>
  <c r="AN146" i="30"/>
  <c r="AO146" i="30"/>
  <c r="AP146" i="30"/>
  <c r="AQ146" i="30"/>
  <c r="AR146" i="30"/>
  <c r="AS146" i="30"/>
  <c r="AT146" i="30"/>
  <c r="AU146" i="30"/>
  <c r="AV146" i="30"/>
  <c r="AW146" i="30"/>
  <c r="AX146" i="30"/>
  <c r="AY146" i="30"/>
  <c r="AZ146" i="30"/>
  <c r="BA146" i="30"/>
  <c r="BB146" i="30"/>
  <c r="BC146" i="30"/>
  <c r="BD146" i="30"/>
  <c r="BE146" i="30"/>
  <c r="BF146" i="30"/>
  <c r="BG146" i="30"/>
  <c r="BH146" i="30"/>
  <c r="BI146" i="30"/>
  <c r="BJ146" i="30"/>
  <c r="BK146" i="30"/>
  <c r="BL146" i="30"/>
  <c r="BM146" i="30"/>
  <c r="BN146" i="30"/>
  <c r="BO146" i="30"/>
  <c r="BP146" i="30"/>
  <c r="BQ146" i="30"/>
  <c r="BR146" i="30"/>
  <c r="BS146" i="30"/>
  <c r="BT146" i="30"/>
  <c r="BU146" i="30"/>
  <c r="BV146" i="30"/>
  <c r="BW146" i="30"/>
  <c r="BX146" i="30"/>
  <c r="BY146" i="30"/>
  <c r="BZ146" i="30"/>
  <c r="CA146" i="30"/>
  <c r="CB146" i="30"/>
  <c r="CC146" i="30"/>
  <c r="CD146" i="30"/>
  <c r="CE146" i="30"/>
  <c r="CF146" i="30"/>
  <c r="CG146" i="30"/>
  <c r="CH146" i="30"/>
  <c r="CI146" i="30"/>
  <c r="CJ146" i="30"/>
  <c r="CK146" i="30"/>
  <c r="CL146" i="30"/>
  <c r="CM146" i="30"/>
  <c r="CN146" i="30"/>
  <c r="CO146" i="30"/>
  <c r="CP146" i="30"/>
  <c r="CQ146" i="30"/>
  <c r="CR146" i="30"/>
  <c r="CS146" i="30"/>
  <c r="CT146" i="30"/>
  <c r="CU146" i="30"/>
  <c r="CV146" i="30"/>
  <c r="CW146" i="30"/>
  <c r="CX146" i="30"/>
  <c r="CY146" i="30"/>
  <c r="CZ146" i="30"/>
  <c r="DA146" i="30"/>
  <c r="DB146" i="30"/>
  <c r="DC146" i="30"/>
  <c r="DD146" i="30"/>
  <c r="DE146" i="30"/>
  <c r="DF146" i="30"/>
  <c r="DG146" i="30"/>
  <c r="DH146" i="30"/>
  <c r="DI146" i="30"/>
  <c r="DJ146" i="30"/>
  <c r="DK146" i="30"/>
  <c r="DL146" i="30"/>
  <c r="DM146" i="30"/>
  <c r="DN146" i="30"/>
  <c r="DO146" i="30"/>
  <c r="DP146" i="30"/>
  <c r="DQ146" i="30"/>
  <c r="DR146" i="30"/>
  <c r="DS146" i="30"/>
  <c r="DT146" i="30"/>
  <c r="DU146" i="30"/>
  <c r="DV146" i="30"/>
  <c r="DW146" i="30"/>
  <c r="DX146" i="30"/>
  <c r="DY146" i="30"/>
  <c r="DZ146" i="30"/>
  <c r="EA146" i="30"/>
  <c r="EB146" i="30"/>
  <c r="EC146" i="30"/>
  <c r="ED146" i="30"/>
  <c r="EE146" i="30"/>
  <c r="EF146" i="30"/>
  <c r="EG146" i="30"/>
  <c r="EH146" i="30"/>
  <c r="EI146" i="30"/>
  <c r="EJ146" i="30"/>
  <c r="EK146" i="30"/>
  <c r="EL146" i="30"/>
  <c r="EM146" i="30"/>
  <c r="EN146" i="30"/>
  <c r="EO146" i="30"/>
  <c r="EP146" i="30"/>
  <c r="EQ146" i="30"/>
  <c r="ER146" i="30"/>
  <c r="ES146" i="30"/>
  <c r="ET146" i="30"/>
  <c r="EU146" i="30"/>
  <c r="EV146" i="30"/>
  <c r="EW146" i="30"/>
  <c r="EX146" i="30"/>
  <c r="EY146" i="30"/>
  <c r="EZ146" i="30"/>
  <c r="FA146" i="30"/>
  <c r="FB146" i="30"/>
  <c r="FC146" i="30"/>
  <c r="FD146" i="30"/>
  <c r="FE146" i="30"/>
  <c r="FF146" i="30"/>
  <c r="FG146" i="30"/>
  <c r="FH146" i="30"/>
  <c r="FI146" i="30"/>
  <c r="FJ146" i="30"/>
  <c r="FK146" i="30"/>
  <c r="FL146" i="30"/>
  <c r="FM146" i="30"/>
  <c r="FN146" i="30"/>
  <c r="FO146" i="30"/>
  <c r="FP146" i="30"/>
  <c r="FQ146" i="30"/>
  <c r="FR146" i="30"/>
  <c r="FS146" i="30"/>
  <c r="FT146" i="30"/>
  <c r="FU146" i="30"/>
  <c r="FV146" i="30"/>
  <c r="FW146" i="30"/>
  <c r="FX146" i="30"/>
  <c r="FY146" i="30"/>
  <c r="FZ146" i="30"/>
  <c r="GA146" i="30"/>
  <c r="GB146" i="30"/>
  <c r="GC146" i="30"/>
  <c r="GD146" i="30"/>
  <c r="GE146" i="30"/>
  <c r="GF146" i="30"/>
  <c r="GG146" i="30"/>
  <c r="GH146" i="30"/>
  <c r="GI146" i="30"/>
  <c r="GJ146" i="30"/>
  <c r="GK146" i="30"/>
  <c r="GL146" i="30"/>
  <c r="GM146" i="30"/>
  <c r="GN146" i="30"/>
  <c r="GO146" i="30"/>
  <c r="GP146" i="30"/>
  <c r="GQ146" i="30"/>
  <c r="GR146" i="30"/>
  <c r="GS146" i="30"/>
  <c r="GT146" i="30"/>
  <c r="GU146" i="30"/>
  <c r="GV146" i="30"/>
  <c r="GW146" i="30"/>
  <c r="GX146" i="30"/>
  <c r="GY146" i="30"/>
  <c r="GZ146" i="30"/>
  <c r="HA146" i="30"/>
  <c r="HB146" i="30"/>
  <c r="HC146" i="30"/>
  <c r="HD146" i="30"/>
  <c r="HE146" i="30"/>
  <c r="HF146" i="30"/>
  <c r="HG146" i="30"/>
  <c r="HH146" i="30"/>
  <c r="HI146" i="30"/>
  <c r="HJ146" i="30"/>
  <c r="HK146" i="30"/>
  <c r="HL146" i="30"/>
  <c r="HM146" i="30"/>
  <c r="HN146" i="30"/>
  <c r="HO146" i="30"/>
  <c r="HP146" i="30"/>
  <c r="HQ146" i="30"/>
  <c r="HR146" i="30"/>
  <c r="HS146" i="30"/>
  <c r="HT146" i="30"/>
  <c r="HU146" i="30"/>
  <c r="HV146" i="30"/>
  <c r="HW146" i="30"/>
  <c r="HX146" i="30"/>
  <c r="HY146" i="30"/>
  <c r="HZ146" i="30"/>
  <c r="IA146" i="30"/>
  <c r="IB146" i="30"/>
  <c r="IC146" i="30"/>
  <c r="ID146" i="30"/>
  <c r="IE146" i="30"/>
  <c r="IF146" i="30"/>
  <c r="IG146" i="30"/>
  <c r="IH146" i="30"/>
  <c r="II146" i="30"/>
  <c r="IJ146" i="30"/>
  <c r="IK146" i="30"/>
  <c r="IL146" i="30"/>
  <c r="IM146" i="30"/>
  <c r="IN146" i="30"/>
  <c r="IO146" i="30"/>
  <c r="IP146" i="30"/>
  <c r="IQ146" i="30"/>
  <c r="IR146" i="30"/>
  <c r="IS146" i="30"/>
  <c r="IT146" i="30"/>
  <c r="IU146" i="30"/>
  <c r="IV146" i="30"/>
  <c r="A145" i="30"/>
  <c r="B145" i="30"/>
  <c r="C145" i="30"/>
  <c r="D145" i="30"/>
  <c r="E145" i="30"/>
  <c r="F145" i="30"/>
  <c r="G145" i="30"/>
  <c r="H145" i="30"/>
  <c r="I145" i="30"/>
  <c r="J145" i="30"/>
  <c r="K145" i="30"/>
  <c r="L145" i="30"/>
  <c r="M145" i="30"/>
  <c r="N145" i="30"/>
  <c r="O145" i="30"/>
  <c r="P145" i="30"/>
  <c r="Q145" i="30"/>
  <c r="R145" i="30"/>
  <c r="S145" i="30"/>
  <c r="T145" i="30"/>
  <c r="U145" i="30"/>
  <c r="V145" i="30"/>
  <c r="W145" i="30"/>
  <c r="X145" i="30"/>
  <c r="Y145" i="30"/>
  <c r="Z145" i="30"/>
  <c r="AA145" i="30"/>
  <c r="AB145" i="30"/>
  <c r="AC145" i="30"/>
  <c r="AD145" i="30"/>
  <c r="AE145" i="30"/>
  <c r="AF145" i="30"/>
  <c r="AG145" i="30"/>
  <c r="AH145" i="30"/>
  <c r="AI145" i="30"/>
  <c r="AJ145" i="30"/>
  <c r="AK145" i="30"/>
  <c r="AL145" i="30"/>
  <c r="AM145" i="30"/>
  <c r="AN145" i="30"/>
  <c r="AO145" i="30"/>
  <c r="AP145" i="30"/>
  <c r="AQ145" i="30"/>
  <c r="AR145" i="30"/>
  <c r="AS145" i="30"/>
  <c r="AT145" i="30"/>
  <c r="AU145" i="30"/>
  <c r="AV145" i="30"/>
  <c r="AW145" i="30"/>
  <c r="AX145" i="30"/>
  <c r="AY145" i="30"/>
  <c r="AZ145" i="30"/>
  <c r="BA145" i="30"/>
  <c r="BB145" i="30"/>
  <c r="BC145" i="30"/>
  <c r="BD145" i="30"/>
  <c r="BE145" i="30"/>
  <c r="BF145" i="30"/>
  <c r="BG145" i="30"/>
  <c r="BH145" i="30"/>
  <c r="BI145" i="30"/>
  <c r="BJ145" i="30"/>
  <c r="BK145" i="30"/>
  <c r="BL145" i="30"/>
  <c r="BM145" i="30"/>
  <c r="BN145" i="30"/>
  <c r="BO145" i="30"/>
  <c r="BP145" i="30"/>
  <c r="BQ145" i="30"/>
  <c r="BR145" i="30"/>
  <c r="BS145" i="30"/>
  <c r="BT145" i="30"/>
  <c r="BU145" i="30"/>
  <c r="BV145" i="30"/>
  <c r="BW145" i="30"/>
  <c r="BX145" i="30"/>
  <c r="BY145" i="30"/>
  <c r="BZ145" i="30"/>
  <c r="CA145" i="30"/>
  <c r="CB145" i="30"/>
  <c r="CC145" i="30"/>
  <c r="CD145" i="30"/>
  <c r="CE145" i="30"/>
  <c r="CF145" i="30"/>
  <c r="CG145" i="30"/>
  <c r="CH145" i="30"/>
  <c r="CI145" i="30"/>
  <c r="CJ145" i="30"/>
  <c r="CK145" i="30"/>
  <c r="CL145" i="30"/>
  <c r="CM145" i="30"/>
  <c r="CN145" i="30"/>
  <c r="CO145" i="30"/>
  <c r="CP145" i="30"/>
  <c r="CQ145" i="30"/>
  <c r="CR145" i="30"/>
  <c r="CS145" i="30"/>
  <c r="CT145" i="30"/>
  <c r="CU145" i="30"/>
  <c r="CV145" i="30"/>
  <c r="CW145" i="30"/>
  <c r="CX145" i="30"/>
  <c r="CY145" i="30"/>
  <c r="CZ145" i="30"/>
  <c r="DA145" i="30"/>
  <c r="DB145" i="30"/>
  <c r="DC145" i="30"/>
  <c r="DD145" i="30"/>
  <c r="DE145" i="30"/>
  <c r="DF145" i="30"/>
  <c r="DG145" i="30"/>
  <c r="DH145" i="30"/>
  <c r="DI145" i="30"/>
  <c r="DJ145" i="30"/>
  <c r="DK145" i="30"/>
  <c r="DL145" i="30"/>
  <c r="DM145" i="30"/>
  <c r="DN145" i="30"/>
  <c r="DO145" i="30"/>
  <c r="DP145" i="30"/>
  <c r="DQ145" i="30"/>
  <c r="DR145" i="30"/>
  <c r="DS145" i="30"/>
  <c r="DT145" i="30"/>
  <c r="DU145" i="30"/>
  <c r="DV145" i="30"/>
  <c r="DW145" i="30"/>
  <c r="DX145" i="30"/>
  <c r="DY145" i="30"/>
  <c r="DZ145" i="30"/>
  <c r="EA145" i="30"/>
  <c r="EB145" i="30"/>
  <c r="EC145" i="30"/>
  <c r="ED145" i="30"/>
  <c r="EE145" i="30"/>
  <c r="EF145" i="30"/>
  <c r="EG145" i="30"/>
  <c r="EH145" i="30"/>
  <c r="EI145" i="30"/>
  <c r="EJ145" i="30"/>
  <c r="EK145" i="30"/>
  <c r="EL145" i="30"/>
  <c r="EM145" i="30"/>
  <c r="EN145" i="30"/>
  <c r="EO145" i="30"/>
  <c r="EP145" i="30"/>
  <c r="EQ145" i="30"/>
  <c r="ER145" i="30"/>
  <c r="ES145" i="30"/>
  <c r="ET145" i="30"/>
  <c r="EU145" i="30"/>
  <c r="EV145" i="30"/>
  <c r="EW145" i="30"/>
  <c r="EX145" i="30"/>
  <c r="EY145" i="30"/>
  <c r="EZ145" i="30"/>
  <c r="FA145" i="30"/>
  <c r="FB145" i="30"/>
  <c r="FC145" i="30"/>
  <c r="FD145" i="30"/>
  <c r="FE145" i="30"/>
  <c r="FF145" i="30"/>
  <c r="FG145" i="30"/>
  <c r="FH145" i="30"/>
  <c r="FI145" i="30"/>
  <c r="FJ145" i="30"/>
  <c r="FK145" i="30"/>
  <c r="FL145" i="30"/>
  <c r="FM145" i="30"/>
  <c r="FN145" i="30"/>
  <c r="FO145" i="30"/>
  <c r="FP145" i="30"/>
  <c r="FQ145" i="30"/>
  <c r="FR145" i="30"/>
  <c r="FS145" i="30"/>
  <c r="FT145" i="30"/>
  <c r="FU145" i="30"/>
  <c r="FV145" i="30"/>
  <c r="FW145" i="30"/>
  <c r="FX145" i="30"/>
  <c r="FY145" i="30"/>
  <c r="FZ145" i="30"/>
  <c r="GA145" i="30"/>
  <c r="GB145" i="30"/>
  <c r="GC145" i="30"/>
  <c r="GD145" i="30"/>
  <c r="GE145" i="30"/>
  <c r="GF145" i="30"/>
  <c r="GG145" i="30"/>
  <c r="GH145" i="30"/>
  <c r="GI145" i="30"/>
  <c r="GJ145" i="30"/>
  <c r="GK145" i="30"/>
  <c r="GL145" i="30"/>
  <c r="GM145" i="30"/>
  <c r="GN145" i="30"/>
  <c r="GO145" i="30"/>
  <c r="GP145" i="30"/>
  <c r="GQ145" i="30"/>
  <c r="GR145" i="30"/>
  <c r="GS145" i="30"/>
  <c r="GT145" i="30"/>
  <c r="GU145" i="30"/>
  <c r="GV145" i="30"/>
  <c r="GW145" i="30"/>
  <c r="GX145" i="30"/>
  <c r="GY145" i="30"/>
  <c r="GZ145" i="30"/>
  <c r="HA145" i="30"/>
  <c r="HB145" i="30"/>
  <c r="HC145" i="30"/>
  <c r="HD145" i="30"/>
  <c r="HE145" i="30"/>
  <c r="HF145" i="30"/>
  <c r="HG145" i="30"/>
  <c r="HH145" i="30"/>
  <c r="HI145" i="30"/>
  <c r="HJ145" i="30"/>
  <c r="HK145" i="30"/>
  <c r="HL145" i="30"/>
  <c r="HM145" i="30"/>
  <c r="HN145" i="30"/>
  <c r="HO145" i="30"/>
  <c r="HP145" i="30"/>
  <c r="HQ145" i="30"/>
  <c r="HR145" i="30"/>
  <c r="HS145" i="30"/>
  <c r="HT145" i="30"/>
  <c r="HU145" i="30"/>
  <c r="HV145" i="30"/>
  <c r="HW145" i="30"/>
  <c r="HX145" i="30"/>
  <c r="HY145" i="30"/>
  <c r="HZ145" i="30"/>
  <c r="IA145" i="30"/>
  <c r="IB145" i="30"/>
  <c r="IC145" i="30"/>
  <c r="ID145" i="30"/>
  <c r="IE145" i="30"/>
  <c r="IF145" i="30"/>
  <c r="IG145" i="30"/>
  <c r="IH145" i="30"/>
  <c r="II145" i="30"/>
  <c r="IJ145" i="30"/>
  <c r="IK145" i="30"/>
  <c r="IL145" i="30"/>
  <c r="IM145" i="30"/>
  <c r="IN145" i="30"/>
  <c r="IO145" i="30"/>
  <c r="IP145" i="30"/>
  <c r="IQ145" i="30"/>
  <c r="IR145" i="30"/>
  <c r="IS145" i="30"/>
  <c r="IT145" i="30"/>
  <c r="IU145" i="30"/>
  <c r="IV145" i="30"/>
  <c r="A144" i="30"/>
  <c r="B144" i="30"/>
  <c r="C144" i="30"/>
  <c r="D144" i="30"/>
  <c r="E144" i="30"/>
  <c r="F144" i="30"/>
  <c r="G144" i="30"/>
  <c r="H144" i="30"/>
  <c r="I144" i="30"/>
  <c r="J144" i="30"/>
  <c r="K144" i="30"/>
  <c r="L144" i="30"/>
  <c r="M144" i="30"/>
  <c r="N144" i="30"/>
  <c r="O144" i="30"/>
  <c r="P144" i="30"/>
  <c r="Q144" i="30"/>
  <c r="R144" i="30"/>
  <c r="S144" i="30"/>
  <c r="T144" i="30"/>
  <c r="U144" i="30"/>
  <c r="V144" i="30"/>
  <c r="W144" i="30"/>
  <c r="X144" i="30"/>
  <c r="Y144" i="30"/>
  <c r="Z144" i="30"/>
  <c r="AA144" i="30"/>
  <c r="AB144" i="30"/>
  <c r="AC144" i="30"/>
  <c r="AD144" i="30"/>
  <c r="AE144" i="30"/>
  <c r="AF144" i="30"/>
  <c r="AG144" i="30"/>
  <c r="AH144" i="30"/>
  <c r="AI144" i="30"/>
  <c r="AJ144" i="30"/>
  <c r="AK144" i="30"/>
  <c r="AL144" i="30"/>
  <c r="AM144" i="30"/>
  <c r="AN144" i="30"/>
  <c r="AO144" i="30"/>
  <c r="AP144" i="30"/>
  <c r="AQ144" i="30"/>
  <c r="AR144" i="30"/>
  <c r="AS144" i="30"/>
  <c r="AT144" i="30"/>
  <c r="AU144" i="30"/>
  <c r="AV144" i="30"/>
  <c r="AW144" i="30"/>
  <c r="AX144" i="30"/>
  <c r="AY144" i="30"/>
  <c r="AZ144" i="30"/>
  <c r="BA144" i="30"/>
  <c r="BB144" i="30"/>
  <c r="BC144" i="30"/>
  <c r="BD144" i="30"/>
  <c r="BE144" i="30"/>
  <c r="BF144" i="30"/>
  <c r="BG144" i="30"/>
  <c r="BH144" i="30"/>
  <c r="BI144" i="30"/>
  <c r="BJ144" i="30"/>
  <c r="BK144" i="30"/>
  <c r="BL144" i="30"/>
  <c r="BM144" i="30"/>
  <c r="BN144" i="30"/>
  <c r="BO144" i="30"/>
  <c r="BP144" i="30"/>
  <c r="BQ144" i="30"/>
  <c r="BR144" i="30"/>
  <c r="BS144" i="30"/>
  <c r="BT144" i="30"/>
  <c r="BU144" i="30"/>
  <c r="BV144" i="30"/>
  <c r="BW144" i="30"/>
  <c r="BX144" i="30"/>
  <c r="BY144" i="30"/>
  <c r="BZ144" i="30"/>
  <c r="CA144" i="30"/>
  <c r="CB144" i="30"/>
  <c r="CC144" i="30"/>
  <c r="CD144" i="30"/>
  <c r="CE144" i="30"/>
  <c r="CF144" i="30"/>
  <c r="CG144" i="30"/>
  <c r="CH144" i="30"/>
  <c r="CI144" i="30"/>
  <c r="CJ144" i="30"/>
  <c r="CK144" i="30"/>
  <c r="CL144" i="30"/>
  <c r="CM144" i="30"/>
  <c r="CN144" i="30"/>
  <c r="CO144" i="30"/>
  <c r="CP144" i="30"/>
  <c r="CQ144" i="30"/>
  <c r="CR144" i="30"/>
  <c r="CS144" i="30"/>
  <c r="CT144" i="30"/>
  <c r="CU144" i="30"/>
  <c r="CV144" i="30"/>
  <c r="CW144" i="30"/>
  <c r="CX144" i="30"/>
  <c r="CY144" i="30"/>
  <c r="CZ144" i="30"/>
  <c r="DA144" i="30"/>
  <c r="DB144" i="30"/>
  <c r="DC144" i="30"/>
  <c r="DD144" i="30"/>
  <c r="DE144" i="30"/>
  <c r="DF144" i="30"/>
  <c r="DG144" i="30"/>
  <c r="DH144" i="30"/>
  <c r="DI144" i="30"/>
  <c r="DJ144" i="30"/>
  <c r="DK144" i="30"/>
  <c r="DL144" i="30"/>
  <c r="DM144" i="30"/>
  <c r="DN144" i="30"/>
  <c r="DO144" i="30"/>
  <c r="DP144" i="30"/>
  <c r="DQ144" i="30"/>
  <c r="DR144" i="30"/>
  <c r="DS144" i="30"/>
  <c r="DT144" i="30"/>
  <c r="DU144" i="30"/>
  <c r="DV144" i="30"/>
  <c r="DW144" i="30"/>
  <c r="DX144" i="30"/>
  <c r="DY144" i="30"/>
  <c r="DZ144" i="30"/>
  <c r="EA144" i="30"/>
  <c r="EB144" i="30"/>
  <c r="EC144" i="30"/>
  <c r="ED144" i="30"/>
  <c r="EE144" i="30"/>
  <c r="EF144" i="30"/>
  <c r="EG144" i="30"/>
  <c r="EH144" i="30"/>
  <c r="EI144" i="30"/>
  <c r="EJ144" i="30"/>
  <c r="EK144" i="30"/>
  <c r="EL144" i="30"/>
  <c r="EM144" i="30"/>
  <c r="EN144" i="30"/>
  <c r="EO144" i="30"/>
  <c r="EP144" i="30"/>
  <c r="EQ144" i="30"/>
  <c r="ER144" i="30"/>
  <c r="ES144" i="30"/>
  <c r="ET144" i="30"/>
  <c r="EU144" i="30"/>
  <c r="EV144" i="30"/>
  <c r="EW144" i="30"/>
  <c r="EX144" i="30"/>
  <c r="EY144" i="30"/>
  <c r="EZ144" i="30"/>
  <c r="FA144" i="30"/>
  <c r="FB144" i="30"/>
  <c r="FC144" i="30"/>
  <c r="FD144" i="30"/>
  <c r="FE144" i="30"/>
  <c r="FF144" i="30"/>
  <c r="FG144" i="30"/>
  <c r="FH144" i="30"/>
  <c r="FI144" i="30"/>
  <c r="FJ144" i="30"/>
  <c r="FK144" i="30"/>
  <c r="FL144" i="30"/>
  <c r="FM144" i="30"/>
  <c r="FN144" i="30"/>
  <c r="FO144" i="30"/>
  <c r="FP144" i="30"/>
  <c r="FQ144" i="30"/>
  <c r="FR144" i="30"/>
  <c r="FS144" i="30"/>
  <c r="FT144" i="30"/>
  <c r="FU144" i="30"/>
  <c r="FV144" i="30"/>
  <c r="FW144" i="30"/>
  <c r="FX144" i="30"/>
  <c r="FY144" i="30"/>
  <c r="FZ144" i="30"/>
  <c r="GA144" i="30"/>
  <c r="GB144" i="30"/>
  <c r="GC144" i="30"/>
  <c r="GD144" i="30"/>
  <c r="GE144" i="30"/>
  <c r="GF144" i="30"/>
  <c r="GG144" i="30"/>
  <c r="GH144" i="30"/>
  <c r="GI144" i="30"/>
  <c r="GJ144" i="30"/>
  <c r="GK144" i="30"/>
  <c r="GL144" i="30"/>
  <c r="GM144" i="30"/>
  <c r="GN144" i="30"/>
  <c r="GO144" i="30"/>
  <c r="GP144" i="30"/>
  <c r="GQ144" i="30"/>
  <c r="GR144" i="30"/>
  <c r="GS144" i="30"/>
  <c r="GT144" i="30"/>
  <c r="GU144" i="30"/>
  <c r="GV144" i="30"/>
  <c r="GW144" i="30"/>
  <c r="GX144" i="30"/>
  <c r="GY144" i="30"/>
  <c r="GZ144" i="30"/>
  <c r="HA144" i="30"/>
  <c r="HB144" i="30"/>
  <c r="HC144" i="30"/>
  <c r="HD144" i="30"/>
  <c r="HE144" i="30"/>
  <c r="HF144" i="30"/>
  <c r="HG144" i="30"/>
  <c r="HH144" i="30"/>
  <c r="HI144" i="30"/>
  <c r="HJ144" i="30"/>
  <c r="HK144" i="30"/>
  <c r="HL144" i="30"/>
  <c r="HM144" i="30"/>
  <c r="HN144" i="30"/>
  <c r="HO144" i="30"/>
  <c r="HP144" i="30"/>
  <c r="HQ144" i="30"/>
  <c r="HR144" i="30"/>
  <c r="HS144" i="30"/>
  <c r="HT144" i="30"/>
  <c r="HU144" i="30"/>
  <c r="HV144" i="30"/>
  <c r="HW144" i="30"/>
  <c r="HX144" i="30"/>
  <c r="HY144" i="30"/>
  <c r="HZ144" i="30"/>
  <c r="IA144" i="30"/>
  <c r="IB144" i="30"/>
  <c r="IC144" i="30"/>
  <c r="ID144" i="30"/>
  <c r="IE144" i="30"/>
  <c r="IF144" i="30"/>
  <c r="IG144" i="30"/>
  <c r="IH144" i="30"/>
  <c r="II144" i="30"/>
  <c r="IJ144" i="30"/>
  <c r="IK144" i="30"/>
  <c r="IL144" i="30"/>
  <c r="IM144" i="30"/>
  <c r="IN144" i="30"/>
  <c r="IO144" i="30"/>
  <c r="IP144" i="30"/>
  <c r="IQ144" i="30"/>
  <c r="IR144" i="30"/>
  <c r="IS144" i="30"/>
  <c r="IT144" i="30"/>
  <c r="IU144" i="30"/>
  <c r="IV144" i="30"/>
  <c r="A143" i="30"/>
  <c r="B143" i="30"/>
  <c r="C143" i="30"/>
  <c r="D143" i="30"/>
  <c r="E143" i="30"/>
  <c r="F143" i="30"/>
  <c r="G143" i="30"/>
  <c r="H143" i="30"/>
  <c r="I143" i="30"/>
  <c r="J143" i="30"/>
  <c r="K143" i="30"/>
  <c r="L143" i="30"/>
  <c r="M143" i="30"/>
  <c r="N143" i="30"/>
  <c r="O143" i="30"/>
  <c r="P143" i="30"/>
  <c r="Q143" i="30"/>
  <c r="R143" i="30"/>
  <c r="S143" i="30"/>
  <c r="T143" i="30"/>
  <c r="U143" i="30"/>
  <c r="V143" i="30"/>
  <c r="W143" i="30"/>
  <c r="X143" i="30"/>
  <c r="Y143" i="30"/>
  <c r="Z143" i="30"/>
  <c r="AA143" i="30"/>
  <c r="AB143" i="30"/>
  <c r="AC143" i="30"/>
  <c r="AD143" i="30"/>
  <c r="AE143" i="30"/>
  <c r="AF143" i="30"/>
  <c r="AG143" i="30"/>
  <c r="AH143" i="30"/>
  <c r="AI143" i="30"/>
  <c r="AJ143" i="30"/>
  <c r="AK143" i="30"/>
  <c r="AL143" i="30"/>
  <c r="AM143" i="30"/>
  <c r="AN143" i="30"/>
  <c r="AO143" i="30"/>
  <c r="AP143" i="30"/>
  <c r="AQ143" i="30"/>
  <c r="AR143" i="30"/>
  <c r="AS143" i="30"/>
  <c r="AT143" i="30"/>
  <c r="AU143" i="30"/>
  <c r="AV143" i="30"/>
  <c r="AW143" i="30"/>
  <c r="AX143" i="30"/>
  <c r="AY143" i="30"/>
  <c r="AZ143" i="30"/>
  <c r="BA143" i="30"/>
  <c r="BB143" i="30"/>
  <c r="BC143" i="30"/>
  <c r="BD143" i="30"/>
  <c r="BE143" i="30"/>
  <c r="BF143" i="30"/>
  <c r="BG143" i="30"/>
  <c r="BH143" i="30"/>
  <c r="BI143" i="30"/>
  <c r="BJ143" i="30"/>
  <c r="BK143" i="30"/>
  <c r="BL143" i="30"/>
  <c r="BM143" i="30"/>
  <c r="BN143" i="30"/>
  <c r="BO143" i="30"/>
  <c r="BP143" i="30"/>
  <c r="BQ143" i="30"/>
  <c r="BR143" i="30"/>
  <c r="BS143" i="30"/>
  <c r="BT143" i="30"/>
  <c r="BU143" i="30"/>
  <c r="BV143" i="30"/>
  <c r="BW143" i="30"/>
  <c r="BX143" i="30"/>
  <c r="BY143" i="30"/>
  <c r="BZ143" i="30"/>
  <c r="CA143" i="30"/>
  <c r="CB143" i="30"/>
  <c r="CC143" i="30"/>
  <c r="CD143" i="30"/>
  <c r="CE143" i="30"/>
  <c r="CF143" i="30"/>
  <c r="CG143" i="30"/>
  <c r="CH143" i="30"/>
  <c r="CI143" i="30"/>
  <c r="CJ143" i="30"/>
  <c r="CK143" i="30"/>
  <c r="CL143" i="30"/>
  <c r="CM143" i="30"/>
  <c r="CN143" i="30"/>
  <c r="CO143" i="30"/>
  <c r="CP143" i="30"/>
  <c r="CQ143" i="30"/>
  <c r="CR143" i="30"/>
  <c r="CS143" i="30"/>
  <c r="CT143" i="30"/>
  <c r="CU143" i="30"/>
  <c r="CV143" i="30"/>
  <c r="CW143" i="30"/>
  <c r="CX143" i="30"/>
  <c r="CY143" i="30"/>
  <c r="CZ143" i="30"/>
  <c r="DA143" i="30"/>
  <c r="DB143" i="30"/>
  <c r="DC143" i="30"/>
  <c r="DD143" i="30"/>
  <c r="DE143" i="30"/>
  <c r="DF143" i="30"/>
  <c r="DG143" i="30"/>
  <c r="DH143" i="30"/>
  <c r="DI143" i="30"/>
  <c r="DJ143" i="30"/>
  <c r="DK143" i="30"/>
  <c r="DL143" i="30"/>
  <c r="DM143" i="30"/>
  <c r="DN143" i="30"/>
  <c r="DO143" i="30"/>
  <c r="DP143" i="30"/>
  <c r="DQ143" i="30"/>
  <c r="DR143" i="30"/>
  <c r="DS143" i="30"/>
  <c r="DT143" i="30"/>
  <c r="DU143" i="30"/>
  <c r="DV143" i="30"/>
  <c r="DW143" i="30"/>
  <c r="DX143" i="30"/>
  <c r="DY143" i="30"/>
  <c r="DZ143" i="30"/>
  <c r="EA143" i="30"/>
  <c r="EB143" i="30"/>
  <c r="EC143" i="30"/>
  <c r="ED143" i="30"/>
  <c r="EE143" i="30"/>
  <c r="EF143" i="30"/>
  <c r="EG143" i="30"/>
  <c r="EH143" i="30"/>
  <c r="EI143" i="30"/>
  <c r="EJ143" i="30"/>
  <c r="EK143" i="30"/>
  <c r="EL143" i="30"/>
  <c r="EM143" i="30"/>
  <c r="EN143" i="30"/>
  <c r="EO143" i="30"/>
  <c r="EP143" i="30"/>
  <c r="EQ143" i="30"/>
  <c r="ER143" i="30"/>
  <c r="ES143" i="30"/>
  <c r="ET143" i="30"/>
  <c r="EU143" i="30"/>
  <c r="EV143" i="30"/>
  <c r="EW143" i="30"/>
  <c r="EX143" i="30"/>
  <c r="EY143" i="30"/>
  <c r="EZ143" i="30"/>
  <c r="FA143" i="30"/>
  <c r="FB143" i="30"/>
  <c r="FC143" i="30"/>
  <c r="FD143" i="30"/>
  <c r="FE143" i="30"/>
  <c r="FF143" i="30"/>
  <c r="FG143" i="30"/>
  <c r="FH143" i="30"/>
  <c r="FI143" i="30"/>
  <c r="FJ143" i="30"/>
  <c r="FK143" i="30"/>
  <c r="FL143" i="30"/>
  <c r="FM143" i="30"/>
  <c r="FN143" i="30"/>
  <c r="FO143" i="30"/>
  <c r="FP143" i="30"/>
  <c r="FQ143" i="30"/>
  <c r="FR143" i="30"/>
  <c r="FS143" i="30"/>
  <c r="FT143" i="30"/>
  <c r="FU143" i="30"/>
  <c r="FV143" i="30"/>
  <c r="FW143" i="30"/>
  <c r="FX143" i="30"/>
  <c r="FY143" i="30"/>
  <c r="FZ143" i="30"/>
  <c r="GA143" i="30"/>
  <c r="GB143" i="30"/>
  <c r="GC143" i="30"/>
  <c r="GD143" i="30"/>
  <c r="GE143" i="30"/>
  <c r="GF143" i="30"/>
  <c r="GG143" i="30"/>
  <c r="GH143" i="30"/>
  <c r="GI143" i="30"/>
  <c r="GJ143" i="30"/>
  <c r="GK143" i="30"/>
  <c r="GL143" i="30"/>
  <c r="GM143" i="30"/>
  <c r="GN143" i="30"/>
  <c r="GO143" i="30"/>
  <c r="GP143" i="30"/>
  <c r="GQ143" i="30"/>
  <c r="GR143" i="30"/>
  <c r="GS143" i="30"/>
  <c r="GT143" i="30"/>
  <c r="GU143" i="30"/>
  <c r="GV143" i="30"/>
  <c r="GW143" i="30"/>
  <c r="GX143" i="30"/>
  <c r="GY143" i="30"/>
  <c r="GZ143" i="30"/>
  <c r="HA143" i="30"/>
  <c r="HB143" i="30"/>
  <c r="HC143" i="30"/>
  <c r="HD143" i="30"/>
  <c r="HE143" i="30"/>
  <c r="HF143" i="30"/>
  <c r="HG143" i="30"/>
  <c r="HH143" i="30"/>
  <c r="HI143" i="30"/>
  <c r="HJ143" i="30"/>
  <c r="HK143" i="30"/>
  <c r="HL143" i="30"/>
  <c r="HM143" i="30"/>
  <c r="HN143" i="30"/>
  <c r="HO143" i="30"/>
  <c r="HP143" i="30"/>
  <c r="HQ143" i="30"/>
  <c r="HR143" i="30"/>
  <c r="HS143" i="30"/>
  <c r="HT143" i="30"/>
  <c r="HU143" i="30"/>
  <c r="HV143" i="30"/>
  <c r="HW143" i="30"/>
  <c r="HX143" i="30"/>
  <c r="HY143" i="30"/>
  <c r="HZ143" i="30"/>
  <c r="IA143" i="30"/>
  <c r="IB143" i="30"/>
  <c r="IC143" i="30"/>
  <c r="ID143" i="30"/>
  <c r="IE143" i="30"/>
  <c r="IF143" i="30"/>
  <c r="IG143" i="30"/>
  <c r="IH143" i="30"/>
  <c r="II143" i="30"/>
  <c r="IJ143" i="30"/>
  <c r="IK143" i="30"/>
  <c r="IL143" i="30"/>
  <c r="IM143" i="30"/>
  <c r="IN143" i="30"/>
  <c r="IO143" i="30"/>
  <c r="IP143" i="30"/>
  <c r="IQ143" i="30"/>
  <c r="IR143" i="30"/>
  <c r="IS143" i="30"/>
  <c r="IT143" i="30"/>
  <c r="IU143" i="30"/>
  <c r="IV143" i="30"/>
  <c r="A142" i="30"/>
  <c r="B142" i="30"/>
  <c r="C142" i="30"/>
  <c r="D142" i="30"/>
  <c r="E142" i="30"/>
  <c r="F142" i="30"/>
  <c r="G142" i="30"/>
  <c r="H142" i="30"/>
  <c r="I142" i="30"/>
  <c r="J142" i="30"/>
  <c r="K142" i="30"/>
  <c r="L142" i="30"/>
  <c r="M142" i="30"/>
  <c r="N142" i="30"/>
  <c r="O142" i="30"/>
  <c r="P142" i="30"/>
  <c r="Q142" i="30"/>
  <c r="R142" i="30"/>
  <c r="S142" i="30"/>
  <c r="T142" i="30"/>
  <c r="U142" i="30"/>
  <c r="V142" i="30"/>
  <c r="W142" i="30"/>
  <c r="X142" i="30"/>
  <c r="Y142" i="30"/>
  <c r="Z142" i="30"/>
  <c r="AA142" i="30"/>
  <c r="AB142" i="30"/>
  <c r="AC142" i="30"/>
  <c r="AD142" i="30"/>
  <c r="AE142" i="30"/>
  <c r="AF142" i="30"/>
  <c r="AG142" i="30"/>
  <c r="AH142" i="30"/>
  <c r="AI142" i="30"/>
  <c r="AJ142" i="30"/>
  <c r="AK142" i="30"/>
  <c r="AL142" i="30"/>
  <c r="AM142" i="30"/>
  <c r="AN142" i="30"/>
  <c r="AO142" i="30"/>
  <c r="AP142" i="30"/>
  <c r="AQ142" i="30"/>
  <c r="AR142" i="30"/>
  <c r="AS142" i="30"/>
  <c r="AT142" i="30"/>
  <c r="AU142" i="30"/>
  <c r="AV142" i="30"/>
  <c r="AW142" i="30"/>
  <c r="AX142" i="30"/>
  <c r="AY142" i="30"/>
  <c r="AZ142" i="30"/>
  <c r="BA142" i="30"/>
  <c r="BB142" i="30"/>
  <c r="BC142" i="30"/>
  <c r="BD142" i="30"/>
  <c r="BE142" i="30"/>
  <c r="BF142" i="30"/>
  <c r="BG142" i="30"/>
  <c r="BH142" i="30"/>
  <c r="BI142" i="30"/>
  <c r="BJ142" i="30"/>
  <c r="BK142" i="30"/>
  <c r="BL142" i="30"/>
  <c r="BM142" i="30"/>
  <c r="BN142" i="30"/>
  <c r="BO142" i="30"/>
  <c r="BP142" i="30"/>
  <c r="BQ142" i="30"/>
  <c r="BR142" i="30"/>
  <c r="BS142" i="30"/>
  <c r="BT142" i="30"/>
  <c r="BU142" i="30"/>
  <c r="BV142" i="30"/>
  <c r="BW142" i="30"/>
  <c r="BX142" i="30"/>
  <c r="BY142" i="30"/>
  <c r="BZ142" i="30"/>
  <c r="CA142" i="30"/>
  <c r="CB142" i="30"/>
  <c r="CC142" i="30"/>
  <c r="CD142" i="30"/>
  <c r="CE142" i="30"/>
  <c r="CF142" i="30"/>
  <c r="CG142" i="30"/>
  <c r="CH142" i="30"/>
  <c r="CI142" i="30"/>
  <c r="CJ142" i="30"/>
  <c r="CK142" i="30"/>
  <c r="CL142" i="30"/>
  <c r="CM142" i="30"/>
  <c r="CN142" i="30"/>
  <c r="CO142" i="30"/>
  <c r="CP142" i="30"/>
  <c r="CQ142" i="30"/>
  <c r="CR142" i="30"/>
  <c r="CS142" i="30"/>
  <c r="CT142" i="30"/>
  <c r="CU142" i="30"/>
  <c r="CV142" i="30"/>
  <c r="CW142" i="30"/>
  <c r="CX142" i="30"/>
  <c r="CY142" i="30"/>
  <c r="CZ142" i="30"/>
  <c r="DA142" i="30"/>
  <c r="DB142" i="30"/>
  <c r="DC142" i="30"/>
  <c r="DD142" i="30"/>
  <c r="DE142" i="30"/>
  <c r="DF142" i="30"/>
  <c r="DG142" i="30"/>
  <c r="DH142" i="30"/>
  <c r="DI142" i="30"/>
  <c r="DJ142" i="30"/>
  <c r="DK142" i="30"/>
  <c r="DL142" i="30"/>
  <c r="DM142" i="30"/>
  <c r="DN142" i="30"/>
  <c r="DO142" i="30"/>
  <c r="DP142" i="30"/>
  <c r="DQ142" i="30"/>
  <c r="DR142" i="30"/>
  <c r="DS142" i="30"/>
  <c r="DT142" i="30"/>
  <c r="DU142" i="30"/>
  <c r="DV142" i="30"/>
  <c r="DW142" i="30"/>
  <c r="DX142" i="30"/>
  <c r="DY142" i="30"/>
  <c r="DZ142" i="30"/>
  <c r="EA142" i="30"/>
  <c r="EB142" i="30"/>
  <c r="EC142" i="30"/>
  <c r="ED142" i="30"/>
  <c r="EE142" i="30"/>
  <c r="EF142" i="30"/>
  <c r="EG142" i="30"/>
  <c r="EH142" i="30"/>
  <c r="EI142" i="30"/>
  <c r="EJ142" i="30"/>
  <c r="EK142" i="30"/>
  <c r="EL142" i="30"/>
  <c r="EM142" i="30"/>
  <c r="EN142" i="30"/>
  <c r="EO142" i="30"/>
  <c r="EP142" i="30"/>
  <c r="EQ142" i="30"/>
  <c r="ER142" i="30"/>
  <c r="ES142" i="30"/>
  <c r="ET142" i="30"/>
  <c r="EU142" i="30"/>
  <c r="EV142" i="30"/>
  <c r="EW142" i="30"/>
  <c r="EX142" i="30"/>
  <c r="EY142" i="30"/>
  <c r="EZ142" i="30"/>
  <c r="FA142" i="30"/>
  <c r="FB142" i="30"/>
  <c r="FC142" i="30"/>
  <c r="FD142" i="30"/>
  <c r="FE142" i="30"/>
  <c r="FF142" i="30"/>
  <c r="FG142" i="30"/>
  <c r="FH142" i="30"/>
  <c r="FI142" i="30"/>
  <c r="FJ142" i="30"/>
  <c r="FK142" i="30"/>
  <c r="FL142" i="30"/>
  <c r="FM142" i="30"/>
  <c r="FN142" i="30"/>
  <c r="FO142" i="30"/>
  <c r="FP142" i="30"/>
  <c r="FQ142" i="30"/>
  <c r="FR142" i="30"/>
  <c r="FS142" i="30"/>
  <c r="FT142" i="30"/>
  <c r="FU142" i="30"/>
  <c r="FV142" i="30"/>
  <c r="FW142" i="30"/>
  <c r="FX142" i="30"/>
  <c r="FY142" i="30"/>
  <c r="FZ142" i="30"/>
  <c r="GA142" i="30"/>
  <c r="GB142" i="30"/>
  <c r="GC142" i="30"/>
  <c r="GD142" i="30"/>
  <c r="GE142" i="30"/>
  <c r="GF142" i="30"/>
  <c r="GG142" i="30"/>
  <c r="GH142" i="30"/>
  <c r="GI142" i="30"/>
  <c r="GJ142" i="30"/>
  <c r="GK142" i="30"/>
  <c r="GL142" i="30"/>
  <c r="GM142" i="30"/>
  <c r="GN142" i="30"/>
  <c r="GO142" i="30"/>
  <c r="GP142" i="30"/>
  <c r="GQ142" i="30"/>
  <c r="GR142" i="30"/>
  <c r="GS142" i="30"/>
  <c r="GT142" i="30"/>
  <c r="GU142" i="30"/>
  <c r="GV142" i="30"/>
  <c r="GW142" i="30"/>
  <c r="GX142" i="30"/>
  <c r="GY142" i="30"/>
  <c r="GZ142" i="30"/>
  <c r="HA142" i="30"/>
  <c r="HB142" i="30"/>
  <c r="HC142" i="30"/>
  <c r="HD142" i="30"/>
  <c r="HE142" i="30"/>
  <c r="HF142" i="30"/>
  <c r="HG142" i="30"/>
  <c r="HH142" i="30"/>
  <c r="HI142" i="30"/>
  <c r="HJ142" i="30"/>
  <c r="HK142" i="30"/>
  <c r="HL142" i="30"/>
  <c r="HM142" i="30"/>
  <c r="HN142" i="30"/>
  <c r="HO142" i="30"/>
  <c r="HP142" i="30"/>
  <c r="HQ142" i="30"/>
  <c r="HR142" i="30"/>
  <c r="HS142" i="30"/>
  <c r="HT142" i="30"/>
  <c r="HU142" i="30"/>
  <c r="HV142" i="30"/>
  <c r="HW142" i="30"/>
  <c r="HX142" i="30"/>
  <c r="HY142" i="30"/>
  <c r="HZ142" i="30"/>
  <c r="IA142" i="30"/>
  <c r="IB142" i="30"/>
  <c r="IC142" i="30"/>
  <c r="ID142" i="30"/>
  <c r="IE142" i="30"/>
  <c r="IF142" i="30"/>
  <c r="IG142" i="30"/>
  <c r="IH142" i="30"/>
  <c r="II142" i="30"/>
  <c r="IJ142" i="30"/>
  <c r="IK142" i="30"/>
  <c r="IL142" i="30"/>
  <c r="IM142" i="30"/>
  <c r="IN142" i="30"/>
  <c r="IO142" i="30"/>
  <c r="IP142" i="30"/>
  <c r="IQ142" i="30"/>
  <c r="IR142" i="30"/>
  <c r="IS142" i="30"/>
  <c r="IT142" i="30"/>
  <c r="IU142" i="30"/>
  <c r="IV142" i="30"/>
  <c r="A141" i="30"/>
  <c r="B141" i="30"/>
  <c r="C141" i="30"/>
  <c r="D141" i="30"/>
  <c r="E141" i="30"/>
  <c r="F141" i="30"/>
  <c r="G141" i="30"/>
  <c r="H141" i="30"/>
  <c r="I141" i="30"/>
  <c r="J141" i="30"/>
  <c r="K141" i="30"/>
  <c r="L141" i="30"/>
  <c r="M141" i="30"/>
  <c r="N141" i="30"/>
  <c r="O141" i="30"/>
  <c r="P141" i="30"/>
  <c r="Q141" i="30"/>
  <c r="R141" i="30"/>
  <c r="S141" i="30"/>
  <c r="T141" i="30"/>
  <c r="U141" i="30"/>
  <c r="V141" i="30"/>
  <c r="W141" i="30"/>
  <c r="X141" i="30"/>
  <c r="Y141" i="30"/>
  <c r="Z141" i="30"/>
  <c r="AA141" i="30"/>
  <c r="AB141" i="30"/>
  <c r="AC141" i="30"/>
  <c r="AD141" i="30"/>
  <c r="AE141" i="30"/>
  <c r="AF141" i="30"/>
  <c r="AG141" i="30"/>
  <c r="AH141" i="30"/>
  <c r="AI141" i="30"/>
  <c r="AJ141" i="30"/>
  <c r="AK141" i="30"/>
  <c r="AL141" i="30"/>
  <c r="AM141" i="30"/>
  <c r="AN141" i="30"/>
  <c r="AO141" i="30"/>
  <c r="AP141" i="30"/>
  <c r="AQ141" i="30"/>
  <c r="AR141" i="30"/>
  <c r="AS141" i="30"/>
  <c r="AT141" i="30"/>
  <c r="AU141" i="30"/>
  <c r="AV141" i="30"/>
  <c r="AW141" i="30"/>
  <c r="AX141" i="30"/>
  <c r="AY141" i="30"/>
  <c r="AZ141" i="30"/>
  <c r="BA141" i="30"/>
  <c r="BB141" i="30"/>
  <c r="BC141" i="30"/>
  <c r="BD141" i="30"/>
  <c r="BE141" i="30"/>
  <c r="BF141" i="30"/>
  <c r="BG141" i="30"/>
  <c r="BH141" i="30"/>
  <c r="BI141" i="30"/>
  <c r="BJ141" i="30"/>
  <c r="BK141" i="30"/>
  <c r="BL141" i="30"/>
  <c r="BM141" i="30"/>
  <c r="BN141" i="30"/>
  <c r="BO141" i="30"/>
  <c r="BP141" i="30"/>
  <c r="BQ141" i="30"/>
  <c r="BR141" i="30"/>
  <c r="BS141" i="30"/>
  <c r="BT141" i="30"/>
  <c r="BU141" i="30"/>
  <c r="BV141" i="30"/>
  <c r="BW141" i="30"/>
  <c r="BX141" i="30"/>
  <c r="BY141" i="30"/>
  <c r="BZ141" i="30"/>
  <c r="CA141" i="30"/>
  <c r="CB141" i="30"/>
  <c r="CC141" i="30"/>
  <c r="CD141" i="30"/>
  <c r="CE141" i="30"/>
  <c r="CF141" i="30"/>
  <c r="CG141" i="30"/>
  <c r="CH141" i="30"/>
  <c r="CI141" i="30"/>
  <c r="CJ141" i="30"/>
  <c r="CK141" i="30"/>
  <c r="CL141" i="30"/>
  <c r="CM141" i="30"/>
  <c r="CN141" i="30"/>
  <c r="CO141" i="30"/>
  <c r="CP141" i="30"/>
  <c r="CQ141" i="30"/>
  <c r="CR141" i="30"/>
  <c r="CS141" i="30"/>
  <c r="CT141" i="30"/>
  <c r="CU141" i="30"/>
  <c r="CV141" i="30"/>
  <c r="CW141" i="30"/>
  <c r="CX141" i="30"/>
  <c r="CY141" i="30"/>
  <c r="CZ141" i="30"/>
  <c r="DA141" i="30"/>
  <c r="DB141" i="30"/>
  <c r="DC141" i="30"/>
  <c r="DD141" i="30"/>
  <c r="DE141" i="30"/>
  <c r="DF141" i="30"/>
  <c r="DG141" i="30"/>
  <c r="DH141" i="30"/>
  <c r="DI141" i="30"/>
  <c r="DJ141" i="30"/>
  <c r="DK141" i="30"/>
  <c r="DL141" i="30"/>
  <c r="DM141" i="30"/>
  <c r="DN141" i="30"/>
  <c r="DO141" i="30"/>
  <c r="DP141" i="30"/>
  <c r="DQ141" i="30"/>
  <c r="DR141" i="30"/>
  <c r="DS141" i="30"/>
  <c r="DT141" i="30"/>
  <c r="DU141" i="30"/>
  <c r="DV141" i="30"/>
  <c r="DW141" i="30"/>
  <c r="DX141" i="30"/>
  <c r="DY141" i="30"/>
  <c r="DZ141" i="30"/>
  <c r="EA141" i="30"/>
  <c r="EB141" i="30"/>
  <c r="EC141" i="30"/>
  <c r="ED141" i="30"/>
  <c r="EE141" i="30"/>
  <c r="EF141" i="30"/>
  <c r="EG141" i="30"/>
  <c r="EH141" i="30"/>
  <c r="EI141" i="30"/>
  <c r="EJ141" i="30"/>
  <c r="EK141" i="30"/>
  <c r="EL141" i="30"/>
  <c r="EM141" i="30"/>
  <c r="EN141" i="30"/>
  <c r="EO141" i="30"/>
  <c r="EP141" i="30"/>
  <c r="EQ141" i="30"/>
  <c r="ER141" i="30"/>
  <c r="ES141" i="30"/>
  <c r="ET141" i="30"/>
  <c r="EU141" i="30"/>
  <c r="EV141" i="30"/>
  <c r="EW141" i="30"/>
  <c r="EX141" i="30"/>
  <c r="EY141" i="30"/>
  <c r="EZ141" i="30"/>
  <c r="FA141" i="30"/>
  <c r="FB141" i="30"/>
  <c r="FC141" i="30"/>
  <c r="FD141" i="30"/>
  <c r="FE141" i="30"/>
  <c r="FF141" i="30"/>
  <c r="FG141" i="30"/>
  <c r="FH141" i="30"/>
  <c r="FI141" i="30"/>
  <c r="FJ141" i="30"/>
  <c r="FK141" i="30"/>
  <c r="FL141" i="30"/>
  <c r="FM141" i="30"/>
  <c r="FN141" i="30"/>
  <c r="FO141" i="30"/>
  <c r="FP141" i="30"/>
  <c r="FQ141" i="30"/>
  <c r="FR141" i="30"/>
  <c r="FS141" i="30"/>
  <c r="FT141" i="30"/>
  <c r="FU141" i="30"/>
  <c r="FV141" i="30"/>
  <c r="FW141" i="30"/>
  <c r="FX141" i="30"/>
  <c r="FY141" i="30"/>
  <c r="FZ141" i="30"/>
  <c r="GA141" i="30"/>
  <c r="GB141" i="30"/>
  <c r="GC141" i="30"/>
  <c r="GD141" i="30"/>
  <c r="GE141" i="30"/>
  <c r="GF141" i="30"/>
  <c r="GG141" i="30"/>
  <c r="GH141" i="30"/>
  <c r="GI141" i="30"/>
  <c r="GJ141" i="30"/>
  <c r="GK141" i="30"/>
  <c r="GL141" i="30"/>
  <c r="GM141" i="30"/>
  <c r="GN141" i="30"/>
  <c r="GO141" i="30"/>
  <c r="GP141" i="30"/>
  <c r="GQ141" i="30"/>
  <c r="GR141" i="30"/>
  <c r="GS141" i="30"/>
  <c r="GT141" i="30"/>
  <c r="GU141" i="30"/>
  <c r="GV141" i="30"/>
  <c r="GW141" i="30"/>
  <c r="GX141" i="30"/>
  <c r="GY141" i="30"/>
  <c r="GZ141" i="30"/>
  <c r="HA141" i="30"/>
  <c r="HB141" i="30"/>
  <c r="HC141" i="30"/>
  <c r="HD141" i="30"/>
  <c r="HE141" i="30"/>
  <c r="HF141" i="30"/>
  <c r="HG141" i="30"/>
  <c r="HH141" i="30"/>
  <c r="HI141" i="30"/>
  <c r="HJ141" i="30"/>
  <c r="HK141" i="30"/>
  <c r="HL141" i="30"/>
  <c r="HM141" i="30"/>
  <c r="HN141" i="30"/>
  <c r="HO141" i="30"/>
  <c r="HP141" i="30"/>
  <c r="HQ141" i="30"/>
  <c r="HR141" i="30"/>
  <c r="HS141" i="30"/>
  <c r="HT141" i="30"/>
  <c r="HU141" i="30"/>
  <c r="HV141" i="30"/>
  <c r="HW141" i="30"/>
  <c r="HX141" i="30"/>
  <c r="HY141" i="30"/>
  <c r="HZ141" i="30"/>
  <c r="IA141" i="30"/>
  <c r="IB141" i="30"/>
  <c r="IC141" i="30"/>
  <c r="ID141" i="30"/>
  <c r="IE141" i="30"/>
  <c r="IF141" i="30"/>
  <c r="IG141" i="30"/>
  <c r="IH141" i="30"/>
  <c r="II141" i="30"/>
  <c r="IJ141" i="30"/>
  <c r="IK141" i="30"/>
  <c r="IL141" i="30"/>
  <c r="IM141" i="30"/>
  <c r="IN141" i="30"/>
  <c r="IO141" i="30"/>
  <c r="IP141" i="30"/>
  <c r="IQ141" i="30"/>
  <c r="IR141" i="30"/>
  <c r="IS141" i="30"/>
  <c r="IT141" i="30"/>
  <c r="IU141" i="30"/>
  <c r="IV141" i="30"/>
  <c r="A140" i="30"/>
  <c r="B140" i="30"/>
  <c r="C140" i="30"/>
  <c r="D140" i="30"/>
  <c r="E140" i="30"/>
  <c r="F140" i="30"/>
  <c r="G140" i="30"/>
  <c r="H140" i="30"/>
  <c r="I140" i="30"/>
  <c r="J140" i="30"/>
  <c r="K140" i="30"/>
  <c r="L140" i="30"/>
  <c r="M140" i="30"/>
  <c r="N140" i="30"/>
  <c r="O140" i="30"/>
  <c r="P140" i="30"/>
  <c r="Q140" i="30"/>
  <c r="R140" i="30"/>
  <c r="S140" i="30"/>
  <c r="T140" i="30"/>
  <c r="U140" i="30"/>
  <c r="V140" i="30"/>
  <c r="W140" i="30"/>
  <c r="X140" i="30"/>
  <c r="Y140" i="30"/>
  <c r="Z140" i="30"/>
  <c r="AA140" i="30"/>
  <c r="AB140" i="30"/>
  <c r="AC140" i="30"/>
  <c r="AD140" i="30"/>
  <c r="AE140" i="30"/>
  <c r="AF140" i="30"/>
  <c r="AG140" i="30"/>
  <c r="AH140" i="30"/>
  <c r="AI140" i="30"/>
  <c r="AJ140" i="30"/>
  <c r="AK140" i="30"/>
  <c r="AL140" i="30"/>
  <c r="AM140" i="30"/>
  <c r="AN140" i="30"/>
  <c r="AO140" i="30"/>
  <c r="AP140" i="30"/>
  <c r="AQ140" i="30"/>
  <c r="AR140" i="30"/>
  <c r="AS140" i="30"/>
  <c r="AT140" i="30"/>
  <c r="AU140" i="30"/>
  <c r="AV140" i="30"/>
  <c r="AW140" i="30"/>
  <c r="AX140" i="30"/>
  <c r="AY140" i="30"/>
  <c r="AZ140" i="30"/>
  <c r="BA140" i="30"/>
  <c r="BB140" i="30"/>
  <c r="BC140" i="30"/>
  <c r="BD140" i="30"/>
  <c r="BE140" i="30"/>
  <c r="BF140" i="30"/>
  <c r="BG140" i="30"/>
  <c r="BH140" i="30"/>
  <c r="BI140" i="30"/>
  <c r="BJ140" i="30"/>
  <c r="BK140" i="30"/>
  <c r="BL140" i="30"/>
  <c r="BM140" i="30"/>
  <c r="BN140" i="30"/>
  <c r="BO140" i="30"/>
  <c r="BP140" i="30"/>
  <c r="BQ140" i="30"/>
  <c r="BR140" i="30"/>
  <c r="BS140" i="30"/>
  <c r="BT140" i="30"/>
  <c r="BU140" i="30"/>
  <c r="BV140" i="30"/>
  <c r="BW140" i="30"/>
  <c r="BX140" i="30"/>
  <c r="BY140" i="30"/>
  <c r="BZ140" i="30"/>
  <c r="CA140" i="30"/>
  <c r="CB140" i="30"/>
  <c r="CC140" i="30"/>
  <c r="CD140" i="30"/>
  <c r="CE140" i="30"/>
  <c r="CF140" i="30"/>
  <c r="CG140" i="30"/>
  <c r="CH140" i="30"/>
  <c r="CI140" i="30"/>
  <c r="CJ140" i="30"/>
  <c r="CK140" i="30"/>
  <c r="CL140" i="30"/>
  <c r="CM140" i="30"/>
  <c r="CN140" i="30"/>
  <c r="CO140" i="30"/>
  <c r="CP140" i="30"/>
  <c r="CQ140" i="30"/>
  <c r="CR140" i="30"/>
  <c r="CS140" i="30"/>
  <c r="CT140" i="30"/>
  <c r="CU140" i="30"/>
  <c r="CV140" i="30"/>
  <c r="CW140" i="30"/>
  <c r="CX140" i="30"/>
  <c r="CY140" i="30"/>
  <c r="CZ140" i="30"/>
  <c r="DA140" i="30"/>
  <c r="DB140" i="30"/>
  <c r="DC140" i="30"/>
  <c r="DD140" i="30"/>
  <c r="DE140" i="30"/>
  <c r="DF140" i="30"/>
  <c r="DG140" i="30"/>
  <c r="DH140" i="30"/>
  <c r="DI140" i="30"/>
  <c r="DJ140" i="30"/>
  <c r="DK140" i="30"/>
  <c r="DL140" i="30"/>
  <c r="DM140" i="30"/>
  <c r="DN140" i="30"/>
  <c r="DO140" i="30"/>
  <c r="DP140" i="30"/>
  <c r="DQ140" i="30"/>
  <c r="DR140" i="30"/>
  <c r="DS140" i="30"/>
  <c r="DT140" i="30"/>
  <c r="DU140" i="30"/>
  <c r="DV140" i="30"/>
  <c r="DW140" i="30"/>
  <c r="DX140" i="30"/>
  <c r="DY140" i="30"/>
  <c r="DZ140" i="30"/>
  <c r="EA140" i="30"/>
  <c r="EB140" i="30"/>
  <c r="EC140" i="30"/>
  <c r="ED140" i="30"/>
  <c r="EE140" i="30"/>
  <c r="EF140" i="30"/>
  <c r="EG140" i="30"/>
  <c r="EH140" i="30"/>
  <c r="EI140" i="30"/>
  <c r="EJ140" i="30"/>
  <c r="EK140" i="30"/>
  <c r="EL140" i="30"/>
  <c r="EM140" i="30"/>
  <c r="EN140" i="30"/>
  <c r="EO140" i="30"/>
  <c r="EP140" i="30"/>
  <c r="EQ140" i="30"/>
  <c r="ER140" i="30"/>
  <c r="ES140" i="30"/>
  <c r="ET140" i="30"/>
  <c r="EU140" i="30"/>
  <c r="EV140" i="30"/>
  <c r="EW140" i="30"/>
  <c r="EX140" i="30"/>
  <c r="EY140" i="30"/>
  <c r="EZ140" i="30"/>
  <c r="FA140" i="30"/>
  <c r="FB140" i="30"/>
  <c r="FC140" i="30"/>
  <c r="FD140" i="30"/>
  <c r="FE140" i="30"/>
  <c r="FF140" i="30"/>
  <c r="FG140" i="30"/>
  <c r="FH140" i="30"/>
  <c r="FI140" i="30"/>
  <c r="FJ140" i="30"/>
  <c r="FK140" i="30"/>
  <c r="FL140" i="30"/>
  <c r="FM140" i="30"/>
  <c r="FN140" i="30"/>
  <c r="FO140" i="30"/>
  <c r="FP140" i="30"/>
  <c r="FQ140" i="30"/>
  <c r="FR140" i="30"/>
  <c r="FS140" i="30"/>
  <c r="FT140" i="30"/>
  <c r="FU140" i="30"/>
  <c r="FV140" i="30"/>
  <c r="FW140" i="30"/>
  <c r="FX140" i="30"/>
  <c r="FY140" i="30"/>
  <c r="FZ140" i="30"/>
  <c r="GA140" i="30"/>
  <c r="GB140" i="30"/>
  <c r="GC140" i="30"/>
  <c r="GD140" i="30"/>
  <c r="GE140" i="30"/>
  <c r="GF140" i="30"/>
  <c r="GG140" i="30"/>
  <c r="GH140" i="30"/>
  <c r="GI140" i="30"/>
  <c r="GJ140" i="30"/>
  <c r="GK140" i="30"/>
  <c r="GL140" i="30"/>
  <c r="GM140" i="30"/>
  <c r="GN140" i="30"/>
  <c r="GO140" i="30"/>
  <c r="GP140" i="30"/>
  <c r="GQ140" i="30"/>
  <c r="GR140" i="30"/>
  <c r="GS140" i="30"/>
  <c r="GT140" i="30"/>
  <c r="GU140" i="30"/>
  <c r="GV140" i="30"/>
  <c r="GW140" i="30"/>
  <c r="GX140" i="30"/>
  <c r="GY140" i="30"/>
  <c r="GZ140" i="30"/>
  <c r="HA140" i="30"/>
  <c r="HB140" i="30"/>
  <c r="HC140" i="30"/>
  <c r="HD140" i="30"/>
  <c r="HE140" i="30"/>
  <c r="HF140" i="30"/>
  <c r="HG140" i="30"/>
  <c r="HH140" i="30"/>
  <c r="HI140" i="30"/>
  <c r="HJ140" i="30"/>
  <c r="HK140" i="30"/>
  <c r="HL140" i="30"/>
  <c r="HM140" i="30"/>
  <c r="HN140" i="30"/>
  <c r="HO140" i="30"/>
  <c r="HP140" i="30"/>
  <c r="HQ140" i="30"/>
  <c r="HR140" i="30"/>
  <c r="HS140" i="30"/>
  <c r="HT140" i="30"/>
  <c r="HU140" i="30"/>
  <c r="HV140" i="30"/>
  <c r="HW140" i="30"/>
  <c r="HX140" i="30"/>
  <c r="HY140" i="30"/>
  <c r="HZ140" i="30"/>
  <c r="IA140" i="30"/>
  <c r="IB140" i="30"/>
  <c r="IC140" i="30"/>
  <c r="ID140" i="30"/>
  <c r="IE140" i="30"/>
  <c r="IF140" i="30"/>
  <c r="IG140" i="30"/>
  <c r="IH140" i="30"/>
  <c r="II140" i="30"/>
  <c r="IJ140" i="30"/>
  <c r="IK140" i="30"/>
  <c r="IL140" i="30"/>
  <c r="IM140" i="30"/>
  <c r="IN140" i="30"/>
  <c r="IO140" i="30"/>
  <c r="IP140" i="30"/>
  <c r="IQ140" i="30"/>
  <c r="IR140" i="30"/>
  <c r="IS140" i="30"/>
  <c r="IT140" i="30"/>
  <c r="IU140" i="30"/>
  <c r="IV140" i="30"/>
  <c r="A139" i="30"/>
  <c r="B139" i="30"/>
  <c r="C139" i="30"/>
  <c r="D139" i="30"/>
  <c r="E139" i="30"/>
  <c r="F139" i="30"/>
  <c r="G139" i="30"/>
  <c r="H139" i="30"/>
  <c r="I139" i="30"/>
  <c r="J139" i="30"/>
  <c r="K139" i="30"/>
  <c r="L139" i="30"/>
  <c r="M139" i="30"/>
  <c r="N139" i="30"/>
  <c r="O139" i="30"/>
  <c r="P139" i="30"/>
  <c r="Q139" i="30"/>
  <c r="R139" i="30"/>
  <c r="S139" i="30"/>
  <c r="T139" i="30"/>
  <c r="U139" i="30"/>
  <c r="V139" i="30"/>
  <c r="W139" i="30"/>
  <c r="X139" i="30"/>
  <c r="Y139" i="30"/>
  <c r="Z139" i="30"/>
  <c r="AA139" i="30"/>
  <c r="AB139" i="30"/>
  <c r="AC139" i="30"/>
  <c r="AD139" i="30"/>
  <c r="AE139" i="30"/>
  <c r="AF139" i="30"/>
  <c r="AG139" i="30"/>
  <c r="AH139" i="30"/>
  <c r="AI139" i="30"/>
  <c r="AJ139" i="30"/>
  <c r="AK139" i="30"/>
  <c r="AL139" i="30"/>
  <c r="AM139" i="30"/>
  <c r="AN139" i="30"/>
  <c r="AO139" i="30"/>
  <c r="AP139" i="30"/>
  <c r="AQ139" i="30"/>
  <c r="AR139" i="30"/>
  <c r="AS139" i="30"/>
  <c r="AT139" i="30"/>
  <c r="AU139" i="30"/>
  <c r="AV139" i="30"/>
  <c r="AW139" i="30"/>
  <c r="AX139" i="30"/>
  <c r="AY139" i="30"/>
  <c r="AZ139" i="30"/>
  <c r="BA139" i="30"/>
  <c r="BB139" i="30"/>
  <c r="BC139" i="30"/>
  <c r="BD139" i="30"/>
  <c r="BE139" i="30"/>
  <c r="BF139" i="30"/>
  <c r="BG139" i="30"/>
  <c r="BH139" i="30"/>
  <c r="BI139" i="30"/>
  <c r="BJ139" i="30"/>
  <c r="BK139" i="30"/>
  <c r="BL139" i="30"/>
  <c r="BM139" i="30"/>
  <c r="BN139" i="30"/>
  <c r="BO139" i="30"/>
  <c r="BP139" i="30"/>
  <c r="BQ139" i="30"/>
  <c r="BR139" i="30"/>
  <c r="BS139" i="30"/>
  <c r="BT139" i="30"/>
  <c r="BU139" i="30"/>
  <c r="BV139" i="30"/>
  <c r="BW139" i="30"/>
  <c r="BX139" i="30"/>
  <c r="BY139" i="30"/>
  <c r="BZ139" i="30"/>
  <c r="CA139" i="30"/>
  <c r="CB139" i="30"/>
  <c r="CC139" i="30"/>
  <c r="CD139" i="30"/>
  <c r="CE139" i="30"/>
  <c r="CF139" i="30"/>
  <c r="CG139" i="30"/>
  <c r="CH139" i="30"/>
  <c r="CI139" i="30"/>
  <c r="CJ139" i="30"/>
  <c r="CK139" i="30"/>
  <c r="CL139" i="30"/>
  <c r="CM139" i="30"/>
  <c r="CN139" i="30"/>
  <c r="CO139" i="30"/>
  <c r="CP139" i="30"/>
  <c r="CQ139" i="30"/>
  <c r="CR139" i="30"/>
  <c r="CS139" i="30"/>
  <c r="CT139" i="30"/>
  <c r="CU139" i="30"/>
  <c r="CV139" i="30"/>
  <c r="CW139" i="30"/>
  <c r="CX139" i="30"/>
  <c r="CY139" i="30"/>
  <c r="CZ139" i="30"/>
  <c r="DA139" i="30"/>
  <c r="DB139" i="30"/>
  <c r="DC139" i="30"/>
  <c r="DD139" i="30"/>
  <c r="DE139" i="30"/>
  <c r="DF139" i="30"/>
  <c r="DG139" i="30"/>
  <c r="DH139" i="30"/>
  <c r="DI139" i="30"/>
  <c r="DJ139" i="30"/>
  <c r="DK139" i="30"/>
  <c r="DL139" i="30"/>
  <c r="DM139" i="30"/>
  <c r="DN139" i="30"/>
  <c r="DO139" i="30"/>
  <c r="DP139" i="30"/>
  <c r="DQ139" i="30"/>
  <c r="DR139" i="30"/>
  <c r="DS139" i="30"/>
  <c r="DT139" i="30"/>
  <c r="DU139" i="30"/>
  <c r="DV139" i="30"/>
  <c r="DW139" i="30"/>
  <c r="DX139" i="30"/>
  <c r="DY139" i="30"/>
  <c r="DZ139" i="30"/>
  <c r="EA139" i="30"/>
  <c r="EB139" i="30"/>
  <c r="EC139" i="30"/>
  <c r="ED139" i="30"/>
  <c r="EE139" i="30"/>
  <c r="EF139" i="30"/>
  <c r="EG139" i="30"/>
  <c r="EH139" i="30"/>
  <c r="EI139" i="30"/>
  <c r="EJ139" i="30"/>
  <c r="EK139" i="30"/>
  <c r="EL139" i="30"/>
  <c r="EM139" i="30"/>
  <c r="EN139" i="30"/>
  <c r="EO139" i="30"/>
  <c r="EP139" i="30"/>
  <c r="EQ139" i="30"/>
  <c r="ER139" i="30"/>
  <c r="ES139" i="30"/>
  <c r="ET139" i="30"/>
  <c r="EU139" i="30"/>
  <c r="EV139" i="30"/>
  <c r="EW139" i="30"/>
  <c r="EX139" i="30"/>
  <c r="EY139" i="30"/>
  <c r="EZ139" i="30"/>
  <c r="FA139" i="30"/>
  <c r="FB139" i="30"/>
  <c r="FC139" i="30"/>
  <c r="FD139" i="30"/>
  <c r="FE139" i="30"/>
  <c r="FF139" i="30"/>
  <c r="FG139" i="30"/>
  <c r="FH139" i="30"/>
  <c r="FI139" i="30"/>
  <c r="FJ139" i="30"/>
  <c r="FK139" i="30"/>
  <c r="FL139" i="30"/>
  <c r="FM139" i="30"/>
  <c r="FN139" i="30"/>
  <c r="FO139" i="30"/>
  <c r="FP139" i="30"/>
  <c r="FQ139" i="30"/>
  <c r="FR139" i="30"/>
  <c r="FS139" i="30"/>
  <c r="FT139" i="30"/>
  <c r="FU139" i="30"/>
  <c r="FV139" i="30"/>
  <c r="FW139" i="30"/>
  <c r="FX139" i="30"/>
  <c r="FY139" i="30"/>
  <c r="FZ139" i="30"/>
  <c r="GA139" i="30"/>
  <c r="GB139" i="30"/>
  <c r="GC139" i="30"/>
  <c r="GD139" i="30"/>
  <c r="GE139" i="30"/>
  <c r="GF139" i="30"/>
  <c r="GG139" i="30"/>
  <c r="GH139" i="30"/>
  <c r="GI139" i="30"/>
  <c r="GJ139" i="30"/>
  <c r="GK139" i="30"/>
  <c r="GL139" i="30"/>
  <c r="GM139" i="30"/>
  <c r="GN139" i="30"/>
  <c r="GO139" i="30"/>
  <c r="GP139" i="30"/>
  <c r="GQ139" i="30"/>
  <c r="GR139" i="30"/>
  <c r="GS139" i="30"/>
  <c r="GT139" i="30"/>
  <c r="GU139" i="30"/>
  <c r="GV139" i="30"/>
  <c r="GW139" i="30"/>
  <c r="GX139" i="30"/>
  <c r="GY139" i="30"/>
  <c r="GZ139" i="30"/>
  <c r="HA139" i="30"/>
  <c r="HB139" i="30"/>
  <c r="HC139" i="30"/>
  <c r="HD139" i="30"/>
  <c r="HE139" i="30"/>
  <c r="HF139" i="30"/>
  <c r="HG139" i="30"/>
  <c r="HH139" i="30"/>
  <c r="HI139" i="30"/>
  <c r="HJ139" i="30"/>
  <c r="HK139" i="30"/>
  <c r="HL139" i="30"/>
  <c r="HM139" i="30"/>
  <c r="HN139" i="30"/>
  <c r="HO139" i="30"/>
  <c r="HP139" i="30"/>
  <c r="HQ139" i="30"/>
  <c r="HR139" i="30"/>
  <c r="HS139" i="30"/>
  <c r="HT139" i="30"/>
  <c r="HU139" i="30"/>
  <c r="HV139" i="30"/>
  <c r="HW139" i="30"/>
  <c r="HX139" i="30"/>
  <c r="HY139" i="30"/>
  <c r="HZ139" i="30"/>
  <c r="IA139" i="30"/>
  <c r="IB139" i="30"/>
  <c r="IC139" i="30"/>
  <c r="ID139" i="30"/>
  <c r="IE139" i="30"/>
  <c r="IF139" i="30"/>
  <c r="IG139" i="30"/>
  <c r="IH139" i="30"/>
  <c r="II139" i="30"/>
  <c r="IJ139" i="30"/>
  <c r="IK139" i="30"/>
  <c r="IL139" i="30"/>
  <c r="IM139" i="30"/>
  <c r="IN139" i="30"/>
  <c r="IO139" i="30"/>
  <c r="IP139" i="30"/>
  <c r="IQ139" i="30"/>
  <c r="IR139" i="30"/>
  <c r="IS139" i="30"/>
  <c r="IT139" i="30"/>
  <c r="IU139" i="30"/>
  <c r="IV139" i="30"/>
  <c r="A138" i="30"/>
  <c r="B138" i="30"/>
  <c r="C138" i="30"/>
  <c r="D138" i="30"/>
  <c r="E138" i="30"/>
  <c r="F138" i="30"/>
  <c r="G138" i="30"/>
  <c r="H138" i="30"/>
  <c r="I138" i="30"/>
  <c r="J138" i="30"/>
  <c r="K138" i="30"/>
  <c r="L138" i="30"/>
  <c r="M138" i="30"/>
  <c r="N138" i="30"/>
  <c r="O138" i="30"/>
  <c r="P138" i="30"/>
  <c r="Q138" i="30"/>
  <c r="R138" i="30"/>
  <c r="S138" i="30"/>
  <c r="T138" i="30"/>
  <c r="U138" i="30"/>
  <c r="V138" i="30"/>
  <c r="W138" i="30"/>
  <c r="X138" i="30"/>
  <c r="Y138" i="30"/>
  <c r="Z138" i="30"/>
  <c r="AA138" i="30"/>
  <c r="AB138" i="30"/>
  <c r="AC138" i="30"/>
  <c r="AD138" i="30"/>
  <c r="AE138" i="30"/>
  <c r="AF138" i="30"/>
  <c r="AG138" i="30"/>
  <c r="AH138" i="30"/>
  <c r="AI138" i="30"/>
  <c r="AJ138" i="30"/>
  <c r="AK138" i="30"/>
  <c r="AL138" i="30"/>
  <c r="AM138" i="30"/>
  <c r="AN138" i="30"/>
  <c r="AO138" i="30"/>
  <c r="AP138" i="30"/>
  <c r="AQ138" i="30"/>
  <c r="AR138" i="30"/>
  <c r="AS138" i="30"/>
  <c r="AT138" i="30"/>
  <c r="AU138" i="30"/>
  <c r="AV138" i="30"/>
  <c r="AW138" i="30"/>
  <c r="AX138" i="30"/>
  <c r="AY138" i="30"/>
  <c r="AZ138" i="30"/>
  <c r="BA138" i="30"/>
  <c r="BB138" i="30"/>
  <c r="BC138" i="30"/>
  <c r="BD138" i="30"/>
  <c r="BE138" i="30"/>
  <c r="BF138" i="30"/>
  <c r="BG138" i="30"/>
  <c r="BH138" i="30"/>
  <c r="BI138" i="30"/>
  <c r="BJ138" i="30"/>
  <c r="BK138" i="30"/>
  <c r="BL138" i="30"/>
  <c r="BM138" i="30"/>
  <c r="BN138" i="30"/>
  <c r="BO138" i="30"/>
  <c r="BP138" i="30"/>
  <c r="BQ138" i="30"/>
  <c r="BR138" i="30"/>
  <c r="BS138" i="30"/>
  <c r="BT138" i="30"/>
  <c r="BU138" i="30"/>
  <c r="BV138" i="30"/>
  <c r="BW138" i="30"/>
  <c r="BX138" i="30"/>
  <c r="BY138" i="30"/>
  <c r="BZ138" i="30"/>
  <c r="CA138" i="30"/>
  <c r="CB138" i="30"/>
  <c r="CC138" i="30"/>
  <c r="CD138" i="30"/>
  <c r="CE138" i="30"/>
  <c r="CF138" i="30"/>
  <c r="CG138" i="30"/>
  <c r="CH138" i="30"/>
  <c r="CI138" i="30"/>
  <c r="CJ138" i="30"/>
  <c r="CK138" i="30"/>
  <c r="CL138" i="30"/>
  <c r="CM138" i="30"/>
  <c r="CN138" i="30"/>
  <c r="CO138" i="30"/>
  <c r="CP138" i="30"/>
  <c r="CQ138" i="30"/>
  <c r="CR138" i="30"/>
  <c r="CS138" i="30"/>
  <c r="CT138" i="30"/>
  <c r="CU138" i="30"/>
  <c r="CV138" i="30"/>
  <c r="CW138" i="30"/>
  <c r="CX138" i="30"/>
  <c r="CY138" i="30"/>
  <c r="CZ138" i="30"/>
  <c r="DA138" i="30"/>
  <c r="DB138" i="30"/>
  <c r="DC138" i="30"/>
  <c r="DD138" i="30"/>
  <c r="DE138" i="30"/>
  <c r="DF138" i="30"/>
  <c r="DG138" i="30"/>
  <c r="DH138" i="30"/>
  <c r="DI138" i="30"/>
  <c r="DJ138" i="30"/>
  <c r="DK138" i="30"/>
  <c r="DL138" i="30"/>
  <c r="DM138" i="30"/>
  <c r="DN138" i="30"/>
  <c r="DO138" i="30"/>
  <c r="DP138" i="30"/>
  <c r="DQ138" i="30"/>
  <c r="DR138" i="30"/>
  <c r="DS138" i="30"/>
  <c r="DT138" i="30"/>
  <c r="DU138" i="30"/>
  <c r="DV138" i="30"/>
  <c r="DW138" i="30"/>
  <c r="DX138" i="30"/>
  <c r="DY138" i="30"/>
  <c r="DZ138" i="30"/>
  <c r="EA138" i="30"/>
  <c r="EB138" i="30"/>
  <c r="EC138" i="30"/>
  <c r="ED138" i="30"/>
  <c r="EE138" i="30"/>
  <c r="EF138" i="30"/>
  <c r="EG138" i="30"/>
  <c r="EH138" i="30"/>
  <c r="EI138" i="30"/>
  <c r="EJ138" i="30"/>
  <c r="EK138" i="30"/>
  <c r="EL138" i="30"/>
  <c r="EM138" i="30"/>
  <c r="EN138" i="30"/>
  <c r="EO138" i="30"/>
  <c r="EP138" i="30"/>
  <c r="EQ138" i="30"/>
  <c r="ER138" i="30"/>
  <c r="ES138" i="30"/>
  <c r="ET138" i="30"/>
  <c r="EU138" i="30"/>
  <c r="EV138" i="30"/>
  <c r="EW138" i="30"/>
  <c r="EX138" i="30"/>
  <c r="EY138" i="30"/>
  <c r="EZ138" i="30"/>
  <c r="FA138" i="30"/>
  <c r="FB138" i="30"/>
  <c r="FC138" i="30"/>
  <c r="FD138" i="30"/>
  <c r="FE138" i="30"/>
  <c r="FF138" i="30"/>
  <c r="FG138" i="30"/>
  <c r="FH138" i="30"/>
  <c r="FI138" i="30"/>
  <c r="FJ138" i="30"/>
  <c r="FK138" i="30"/>
  <c r="FL138" i="30"/>
  <c r="FM138" i="30"/>
  <c r="FN138" i="30"/>
  <c r="FO138" i="30"/>
  <c r="FP138" i="30"/>
  <c r="FQ138" i="30"/>
  <c r="FR138" i="30"/>
  <c r="FS138" i="30"/>
  <c r="FT138" i="30"/>
  <c r="FU138" i="30"/>
  <c r="FV138" i="30"/>
  <c r="FW138" i="30"/>
  <c r="FX138" i="30"/>
  <c r="FY138" i="30"/>
  <c r="FZ138" i="30"/>
  <c r="GA138" i="30"/>
  <c r="GB138" i="30"/>
  <c r="GC138" i="30"/>
  <c r="GD138" i="30"/>
  <c r="GE138" i="30"/>
  <c r="GF138" i="30"/>
  <c r="GG138" i="30"/>
  <c r="GH138" i="30"/>
  <c r="GI138" i="30"/>
  <c r="GJ138" i="30"/>
  <c r="GK138" i="30"/>
  <c r="GL138" i="30"/>
  <c r="GM138" i="30"/>
  <c r="GN138" i="30"/>
  <c r="GO138" i="30"/>
  <c r="GP138" i="30"/>
  <c r="GQ138" i="30"/>
  <c r="GR138" i="30"/>
  <c r="GS138" i="30"/>
  <c r="GT138" i="30"/>
  <c r="GU138" i="30"/>
  <c r="GV138" i="30"/>
  <c r="GW138" i="30"/>
  <c r="GX138" i="30"/>
  <c r="GY138" i="30"/>
  <c r="GZ138" i="30"/>
  <c r="HA138" i="30"/>
  <c r="HB138" i="30"/>
  <c r="HC138" i="30"/>
  <c r="HD138" i="30"/>
  <c r="HE138" i="30"/>
  <c r="HF138" i="30"/>
  <c r="HG138" i="30"/>
  <c r="HH138" i="30"/>
  <c r="HI138" i="30"/>
  <c r="HJ138" i="30"/>
  <c r="HK138" i="30"/>
  <c r="HL138" i="30"/>
  <c r="HM138" i="30"/>
  <c r="HN138" i="30"/>
  <c r="HO138" i="30"/>
  <c r="HP138" i="30"/>
  <c r="HQ138" i="30"/>
  <c r="HR138" i="30"/>
  <c r="HS138" i="30"/>
  <c r="HT138" i="30"/>
  <c r="HU138" i="30"/>
  <c r="HV138" i="30"/>
  <c r="HW138" i="30"/>
  <c r="HX138" i="30"/>
  <c r="HY138" i="30"/>
  <c r="HZ138" i="30"/>
  <c r="IA138" i="30"/>
  <c r="IB138" i="30"/>
  <c r="IC138" i="30"/>
  <c r="ID138" i="30"/>
  <c r="IE138" i="30"/>
  <c r="IF138" i="30"/>
  <c r="IG138" i="30"/>
  <c r="IH138" i="30"/>
  <c r="II138" i="30"/>
  <c r="IJ138" i="30"/>
  <c r="IK138" i="30"/>
  <c r="IL138" i="30"/>
  <c r="IM138" i="30"/>
  <c r="IN138" i="30"/>
  <c r="IO138" i="30"/>
  <c r="IP138" i="30"/>
  <c r="IQ138" i="30"/>
  <c r="IR138" i="30"/>
  <c r="IS138" i="30"/>
  <c r="IT138" i="30"/>
  <c r="IU138" i="30"/>
  <c r="IV138" i="30"/>
  <c r="A137" i="30"/>
  <c r="B137" i="30"/>
  <c r="C137" i="30"/>
  <c r="D137" i="30"/>
  <c r="E137" i="30"/>
  <c r="F137" i="30"/>
  <c r="G137" i="30"/>
  <c r="H137" i="30"/>
  <c r="I137" i="30"/>
  <c r="J137" i="30"/>
  <c r="K137" i="30"/>
  <c r="L137" i="30"/>
  <c r="M137" i="30"/>
  <c r="N137" i="30"/>
  <c r="O137" i="30"/>
  <c r="P137" i="30"/>
  <c r="Q137" i="30"/>
  <c r="R137" i="30"/>
  <c r="S137" i="30"/>
  <c r="T137" i="30"/>
  <c r="U137" i="30"/>
  <c r="V137" i="30"/>
  <c r="W137" i="30"/>
  <c r="X137" i="30"/>
  <c r="Y137" i="30"/>
  <c r="Z137" i="30"/>
  <c r="AA137" i="30"/>
  <c r="AB137" i="30"/>
  <c r="AC137" i="30"/>
  <c r="AD137" i="30"/>
  <c r="AE137" i="30"/>
  <c r="AF137" i="30"/>
  <c r="AG137" i="30"/>
  <c r="AH137" i="30"/>
  <c r="AI137" i="30"/>
  <c r="AJ137" i="30"/>
  <c r="AK137" i="30"/>
  <c r="AL137" i="30"/>
  <c r="AM137" i="30"/>
  <c r="AN137" i="30"/>
  <c r="AO137" i="30"/>
  <c r="AP137" i="30"/>
  <c r="AQ137" i="30"/>
  <c r="AR137" i="30"/>
  <c r="AS137" i="30"/>
  <c r="AT137" i="30"/>
  <c r="AU137" i="30"/>
  <c r="AV137" i="30"/>
  <c r="AW137" i="30"/>
  <c r="AX137" i="30"/>
  <c r="AY137" i="30"/>
  <c r="AZ137" i="30"/>
  <c r="BA137" i="30"/>
  <c r="BB137" i="30"/>
  <c r="BC137" i="30"/>
  <c r="BD137" i="30"/>
  <c r="BE137" i="30"/>
  <c r="BF137" i="30"/>
  <c r="BG137" i="30"/>
  <c r="BH137" i="30"/>
  <c r="BI137" i="30"/>
  <c r="BJ137" i="30"/>
  <c r="BK137" i="30"/>
  <c r="BL137" i="30"/>
  <c r="BM137" i="30"/>
  <c r="BN137" i="30"/>
  <c r="BO137" i="30"/>
  <c r="BP137" i="30"/>
  <c r="BQ137" i="30"/>
  <c r="BR137" i="30"/>
  <c r="BS137" i="30"/>
  <c r="BT137" i="30"/>
  <c r="BU137" i="30"/>
  <c r="BV137" i="30"/>
  <c r="BW137" i="30"/>
  <c r="BX137" i="30"/>
  <c r="BY137" i="30"/>
  <c r="BZ137" i="30"/>
  <c r="CA137" i="30"/>
  <c r="CB137" i="30"/>
  <c r="CC137" i="30"/>
  <c r="CD137" i="30"/>
  <c r="CE137" i="30"/>
  <c r="CF137" i="30"/>
  <c r="CG137" i="30"/>
  <c r="CH137" i="30"/>
  <c r="CI137" i="30"/>
  <c r="CJ137" i="30"/>
  <c r="CK137" i="30"/>
  <c r="CL137" i="30"/>
  <c r="CM137" i="30"/>
  <c r="CN137" i="30"/>
  <c r="CO137" i="30"/>
  <c r="CP137" i="30"/>
  <c r="CQ137" i="30"/>
  <c r="CR137" i="30"/>
  <c r="CS137" i="30"/>
  <c r="CT137" i="30"/>
  <c r="CU137" i="30"/>
  <c r="CV137" i="30"/>
  <c r="CW137" i="30"/>
  <c r="CX137" i="30"/>
  <c r="CY137" i="30"/>
  <c r="CZ137" i="30"/>
  <c r="DA137" i="30"/>
  <c r="DB137" i="30"/>
  <c r="DC137" i="30"/>
  <c r="DD137" i="30"/>
  <c r="DE137" i="30"/>
  <c r="DF137" i="30"/>
  <c r="DG137" i="30"/>
  <c r="DH137" i="30"/>
  <c r="DI137" i="30"/>
  <c r="DJ137" i="30"/>
  <c r="DK137" i="30"/>
  <c r="DL137" i="30"/>
  <c r="DM137" i="30"/>
  <c r="DN137" i="30"/>
  <c r="DO137" i="30"/>
  <c r="DP137" i="30"/>
  <c r="DQ137" i="30"/>
  <c r="DR137" i="30"/>
  <c r="DS137" i="30"/>
  <c r="DT137" i="30"/>
  <c r="DU137" i="30"/>
  <c r="DV137" i="30"/>
  <c r="DW137" i="30"/>
  <c r="DX137" i="30"/>
  <c r="DY137" i="30"/>
  <c r="DZ137" i="30"/>
  <c r="EA137" i="30"/>
  <c r="EB137" i="30"/>
  <c r="EC137" i="30"/>
  <c r="ED137" i="30"/>
  <c r="EE137" i="30"/>
  <c r="EF137" i="30"/>
  <c r="EG137" i="30"/>
  <c r="EH137" i="30"/>
  <c r="EI137" i="30"/>
  <c r="EJ137" i="30"/>
  <c r="EK137" i="30"/>
  <c r="EL137" i="30"/>
  <c r="EM137" i="30"/>
  <c r="EN137" i="30"/>
  <c r="EO137" i="30"/>
  <c r="EP137" i="30"/>
  <c r="EQ137" i="30"/>
  <c r="ER137" i="30"/>
  <c r="ES137" i="30"/>
  <c r="ET137" i="30"/>
  <c r="EU137" i="30"/>
  <c r="EV137" i="30"/>
  <c r="EW137" i="30"/>
  <c r="EX137" i="30"/>
  <c r="EY137" i="30"/>
  <c r="EZ137" i="30"/>
  <c r="FA137" i="30"/>
  <c r="FB137" i="30"/>
  <c r="FC137" i="30"/>
  <c r="FD137" i="30"/>
  <c r="FE137" i="30"/>
  <c r="FF137" i="30"/>
  <c r="FG137" i="30"/>
  <c r="FH137" i="30"/>
  <c r="FI137" i="30"/>
  <c r="FJ137" i="30"/>
  <c r="FK137" i="30"/>
  <c r="FL137" i="30"/>
  <c r="FM137" i="30"/>
  <c r="FN137" i="30"/>
  <c r="FO137" i="30"/>
  <c r="FP137" i="30"/>
  <c r="FQ137" i="30"/>
  <c r="FR137" i="30"/>
  <c r="FS137" i="30"/>
  <c r="FT137" i="30"/>
  <c r="FU137" i="30"/>
  <c r="FV137" i="30"/>
  <c r="FW137" i="30"/>
  <c r="FX137" i="30"/>
  <c r="FY137" i="30"/>
  <c r="FZ137" i="30"/>
  <c r="GA137" i="30"/>
  <c r="GB137" i="30"/>
  <c r="GC137" i="30"/>
  <c r="GD137" i="30"/>
  <c r="GE137" i="30"/>
  <c r="GF137" i="30"/>
  <c r="GG137" i="30"/>
  <c r="GH137" i="30"/>
  <c r="GI137" i="30"/>
  <c r="GJ137" i="30"/>
  <c r="GK137" i="30"/>
  <c r="GL137" i="30"/>
  <c r="GM137" i="30"/>
  <c r="GN137" i="30"/>
  <c r="GO137" i="30"/>
  <c r="GP137" i="30"/>
  <c r="GQ137" i="30"/>
  <c r="GR137" i="30"/>
  <c r="GS137" i="30"/>
  <c r="GT137" i="30"/>
  <c r="GU137" i="30"/>
  <c r="GV137" i="30"/>
  <c r="GW137" i="30"/>
  <c r="GX137" i="30"/>
  <c r="GY137" i="30"/>
  <c r="GZ137" i="30"/>
  <c r="HA137" i="30"/>
  <c r="HB137" i="30"/>
  <c r="HC137" i="30"/>
  <c r="HD137" i="30"/>
  <c r="HE137" i="30"/>
  <c r="HF137" i="30"/>
  <c r="HG137" i="30"/>
  <c r="HH137" i="30"/>
  <c r="HI137" i="30"/>
  <c r="HJ137" i="30"/>
  <c r="HK137" i="30"/>
  <c r="HL137" i="30"/>
  <c r="HM137" i="30"/>
  <c r="HN137" i="30"/>
  <c r="HO137" i="30"/>
  <c r="HP137" i="30"/>
  <c r="HQ137" i="30"/>
  <c r="HR137" i="30"/>
  <c r="HS137" i="30"/>
  <c r="HT137" i="30"/>
  <c r="HU137" i="30"/>
  <c r="HV137" i="30"/>
  <c r="HW137" i="30"/>
  <c r="HX137" i="30"/>
  <c r="HY137" i="30"/>
  <c r="HZ137" i="30"/>
  <c r="IA137" i="30"/>
  <c r="IB137" i="30"/>
  <c r="IC137" i="30"/>
  <c r="ID137" i="30"/>
  <c r="IE137" i="30"/>
  <c r="IF137" i="30"/>
  <c r="IG137" i="30"/>
  <c r="IH137" i="30"/>
  <c r="II137" i="30"/>
  <c r="IJ137" i="30"/>
  <c r="IK137" i="30"/>
  <c r="IL137" i="30"/>
  <c r="IM137" i="30"/>
  <c r="IN137" i="30"/>
  <c r="IO137" i="30"/>
  <c r="IP137" i="30"/>
  <c r="IQ137" i="30"/>
  <c r="IR137" i="30"/>
  <c r="IS137" i="30"/>
  <c r="IT137" i="30"/>
  <c r="IU137" i="30"/>
  <c r="IV137" i="30"/>
  <c r="A136" i="30"/>
  <c r="B136" i="30"/>
  <c r="C136" i="30"/>
  <c r="D136" i="30"/>
  <c r="E136" i="30"/>
  <c r="F136" i="30"/>
  <c r="G136" i="30"/>
  <c r="H136" i="30"/>
  <c r="I136" i="30"/>
  <c r="J136" i="30"/>
  <c r="K136" i="30"/>
  <c r="L136" i="30"/>
  <c r="M136" i="30"/>
  <c r="N136" i="30"/>
  <c r="O136" i="30"/>
  <c r="P136" i="30"/>
  <c r="Q136" i="30"/>
  <c r="R136" i="30"/>
  <c r="S136" i="30"/>
  <c r="T136" i="30"/>
  <c r="U136" i="30"/>
  <c r="V136" i="30"/>
  <c r="W136" i="30"/>
  <c r="X136" i="30"/>
  <c r="Y136" i="30"/>
  <c r="Z136" i="30"/>
  <c r="AA136" i="30"/>
  <c r="AB136" i="30"/>
  <c r="AC136" i="30"/>
  <c r="AD136" i="30"/>
  <c r="AE136" i="30"/>
  <c r="AF136" i="30"/>
  <c r="AG136" i="30"/>
  <c r="AH136" i="30"/>
  <c r="AI136" i="30"/>
  <c r="AJ136" i="30"/>
  <c r="AK136" i="30"/>
  <c r="AL136" i="30"/>
  <c r="AM136" i="30"/>
  <c r="AN136" i="30"/>
  <c r="AO136" i="30"/>
  <c r="AP136" i="30"/>
  <c r="AQ136" i="30"/>
  <c r="AR136" i="30"/>
  <c r="AS136" i="30"/>
  <c r="AT136" i="30"/>
  <c r="AU136" i="30"/>
  <c r="AV136" i="30"/>
  <c r="AW136" i="30"/>
  <c r="AX136" i="30"/>
  <c r="AY136" i="30"/>
  <c r="AZ136" i="30"/>
  <c r="BA136" i="30"/>
  <c r="BB136" i="30"/>
  <c r="BC136" i="30"/>
  <c r="BD136" i="30"/>
  <c r="BE136" i="30"/>
  <c r="BF136" i="30"/>
  <c r="BG136" i="30"/>
  <c r="BH136" i="30"/>
  <c r="BI136" i="30"/>
  <c r="BJ136" i="30"/>
  <c r="BK136" i="30"/>
  <c r="BL136" i="30"/>
  <c r="BM136" i="30"/>
  <c r="BN136" i="30"/>
  <c r="BO136" i="30"/>
  <c r="BP136" i="30"/>
  <c r="BQ136" i="30"/>
  <c r="BR136" i="30"/>
  <c r="BS136" i="30"/>
  <c r="BT136" i="30"/>
  <c r="BU136" i="30"/>
  <c r="BV136" i="30"/>
  <c r="BW136" i="30"/>
  <c r="BX136" i="30"/>
  <c r="BY136" i="30"/>
  <c r="BZ136" i="30"/>
  <c r="CA136" i="30"/>
  <c r="CB136" i="30"/>
  <c r="CC136" i="30"/>
  <c r="CD136" i="30"/>
  <c r="CE136" i="30"/>
  <c r="CF136" i="30"/>
  <c r="CG136" i="30"/>
  <c r="CH136" i="30"/>
  <c r="CI136" i="30"/>
  <c r="CJ136" i="30"/>
  <c r="CK136" i="30"/>
  <c r="CL136" i="30"/>
  <c r="CM136" i="30"/>
  <c r="CN136" i="30"/>
  <c r="CO136" i="30"/>
  <c r="CP136" i="30"/>
  <c r="CQ136" i="30"/>
  <c r="CR136" i="30"/>
  <c r="CS136" i="30"/>
  <c r="CT136" i="30"/>
  <c r="CU136" i="30"/>
  <c r="CV136" i="30"/>
  <c r="CW136" i="30"/>
  <c r="CX136" i="30"/>
  <c r="CY136" i="30"/>
  <c r="CZ136" i="30"/>
  <c r="DA136" i="30"/>
  <c r="DB136" i="30"/>
  <c r="DC136" i="30"/>
  <c r="DD136" i="30"/>
  <c r="DE136" i="30"/>
  <c r="DF136" i="30"/>
  <c r="DG136" i="30"/>
  <c r="DH136" i="30"/>
  <c r="DI136" i="30"/>
  <c r="DJ136" i="30"/>
  <c r="DK136" i="30"/>
  <c r="DL136" i="30"/>
  <c r="DM136" i="30"/>
  <c r="DN136" i="30"/>
  <c r="DO136" i="30"/>
  <c r="DP136" i="30"/>
  <c r="DQ136" i="30"/>
  <c r="DR136" i="30"/>
  <c r="DS136" i="30"/>
  <c r="DT136" i="30"/>
  <c r="DU136" i="30"/>
  <c r="DV136" i="30"/>
  <c r="DW136" i="30"/>
  <c r="DX136" i="30"/>
  <c r="DY136" i="30"/>
  <c r="DZ136" i="30"/>
  <c r="EA136" i="30"/>
  <c r="EB136" i="30"/>
  <c r="EC136" i="30"/>
  <c r="ED136" i="30"/>
  <c r="EE136" i="30"/>
  <c r="EF136" i="30"/>
  <c r="EG136" i="30"/>
  <c r="EH136" i="30"/>
  <c r="EI136" i="30"/>
  <c r="EJ136" i="30"/>
  <c r="EK136" i="30"/>
  <c r="EL136" i="30"/>
  <c r="EM136" i="30"/>
  <c r="EN136" i="30"/>
  <c r="EO136" i="30"/>
  <c r="EP136" i="30"/>
  <c r="EQ136" i="30"/>
  <c r="ER136" i="30"/>
  <c r="ES136" i="30"/>
  <c r="ET136" i="30"/>
  <c r="EU136" i="30"/>
  <c r="EV136" i="30"/>
  <c r="EW136" i="30"/>
  <c r="EX136" i="30"/>
  <c r="EY136" i="30"/>
  <c r="EZ136" i="30"/>
  <c r="FA136" i="30"/>
  <c r="FB136" i="30"/>
  <c r="FC136" i="30"/>
  <c r="FD136" i="30"/>
  <c r="FE136" i="30"/>
  <c r="FF136" i="30"/>
  <c r="FG136" i="30"/>
  <c r="FH136" i="30"/>
  <c r="FI136" i="30"/>
  <c r="FJ136" i="30"/>
  <c r="FK136" i="30"/>
  <c r="FL136" i="30"/>
  <c r="FM136" i="30"/>
  <c r="FN136" i="30"/>
  <c r="FO136" i="30"/>
  <c r="FP136" i="30"/>
  <c r="FQ136" i="30"/>
  <c r="FR136" i="30"/>
  <c r="FS136" i="30"/>
  <c r="FT136" i="30"/>
  <c r="FU136" i="30"/>
  <c r="FV136" i="30"/>
  <c r="FW136" i="30"/>
  <c r="FX136" i="30"/>
  <c r="FY136" i="30"/>
  <c r="FZ136" i="30"/>
  <c r="GA136" i="30"/>
  <c r="GB136" i="30"/>
  <c r="GC136" i="30"/>
  <c r="GD136" i="30"/>
  <c r="GE136" i="30"/>
  <c r="GF136" i="30"/>
  <c r="GG136" i="30"/>
  <c r="GH136" i="30"/>
  <c r="GI136" i="30"/>
  <c r="GJ136" i="30"/>
  <c r="GK136" i="30"/>
  <c r="GL136" i="30"/>
  <c r="GM136" i="30"/>
  <c r="GN136" i="30"/>
  <c r="GO136" i="30"/>
  <c r="GP136" i="30"/>
  <c r="GQ136" i="30"/>
  <c r="GR136" i="30"/>
  <c r="GS136" i="30"/>
  <c r="GT136" i="30"/>
  <c r="GU136" i="30"/>
  <c r="GV136" i="30"/>
  <c r="GW136" i="30"/>
  <c r="GX136" i="30"/>
  <c r="GY136" i="30"/>
  <c r="GZ136" i="30"/>
  <c r="HA136" i="30"/>
  <c r="HB136" i="30"/>
  <c r="HC136" i="30"/>
  <c r="HD136" i="30"/>
  <c r="HE136" i="30"/>
  <c r="HF136" i="30"/>
  <c r="HG136" i="30"/>
  <c r="HH136" i="30"/>
  <c r="HI136" i="30"/>
  <c r="HJ136" i="30"/>
  <c r="HK136" i="30"/>
  <c r="HL136" i="30"/>
  <c r="HM136" i="30"/>
  <c r="HN136" i="30"/>
  <c r="HO136" i="30"/>
  <c r="HP136" i="30"/>
  <c r="HQ136" i="30"/>
  <c r="HR136" i="30"/>
  <c r="HS136" i="30"/>
  <c r="HT136" i="30"/>
  <c r="HU136" i="30"/>
  <c r="HV136" i="30"/>
  <c r="HW136" i="30"/>
  <c r="HX136" i="30"/>
  <c r="HY136" i="30"/>
  <c r="HZ136" i="30"/>
  <c r="IA136" i="30"/>
  <c r="IB136" i="30"/>
  <c r="IC136" i="30"/>
  <c r="ID136" i="30"/>
  <c r="IE136" i="30"/>
  <c r="IF136" i="30"/>
  <c r="IG136" i="30"/>
  <c r="IH136" i="30"/>
  <c r="II136" i="30"/>
  <c r="IJ136" i="30"/>
  <c r="IK136" i="30"/>
  <c r="IL136" i="30"/>
  <c r="IM136" i="30"/>
  <c r="IN136" i="30"/>
  <c r="IO136" i="30"/>
  <c r="IP136" i="30"/>
  <c r="IQ136" i="30"/>
  <c r="IR136" i="30"/>
  <c r="IS136" i="30"/>
  <c r="IT136" i="30"/>
  <c r="IU136" i="30"/>
  <c r="IV136" i="30"/>
  <c r="A135" i="30"/>
  <c r="B135" i="30"/>
  <c r="C135" i="30"/>
  <c r="D135" i="30"/>
  <c r="E135" i="30"/>
  <c r="F135" i="30"/>
  <c r="G135" i="30"/>
  <c r="H135" i="30"/>
  <c r="I135" i="30"/>
  <c r="J135" i="30"/>
  <c r="K135" i="30"/>
  <c r="L135" i="30"/>
  <c r="M135" i="30"/>
  <c r="N135" i="30"/>
  <c r="O135" i="30"/>
  <c r="P135" i="30"/>
  <c r="Q135" i="30"/>
  <c r="R135" i="30"/>
  <c r="S135" i="30"/>
  <c r="T135" i="30"/>
  <c r="U135" i="30"/>
  <c r="V135" i="30"/>
  <c r="W135" i="30"/>
  <c r="X135" i="30"/>
  <c r="Y135" i="30"/>
  <c r="Z135" i="30"/>
  <c r="AA135" i="30"/>
  <c r="AB135" i="30"/>
  <c r="AC135" i="30"/>
  <c r="AD135" i="30"/>
  <c r="AE135" i="30"/>
  <c r="AF135" i="30"/>
  <c r="AG135" i="30"/>
  <c r="AH135" i="30"/>
  <c r="AI135" i="30"/>
  <c r="AJ135" i="30"/>
  <c r="AK135" i="30"/>
  <c r="AL135" i="30"/>
  <c r="AM135" i="30"/>
  <c r="AN135" i="30"/>
  <c r="AO135" i="30"/>
  <c r="AP135" i="30"/>
  <c r="AQ135" i="30"/>
  <c r="AR135" i="30"/>
  <c r="AS135" i="30"/>
  <c r="AT135" i="30"/>
  <c r="AU135" i="30"/>
  <c r="AV135" i="30"/>
  <c r="AW135" i="30"/>
  <c r="AX135" i="30"/>
  <c r="AY135" i="30"/>
  <c r="AZ135" i="30"/>
  <c r="BA135" i="30"/>
  <c r="BB135" i="30"/>
  <c r="BC135" i="30"/>
  <c r="BD135" i="30"/>
  <c r="BE135" i="30"/>
  <c r="BF135" i="30"/>
  <c r="BG135" i="30"/>
  <c r="BH135" i="30"/>
  <c r="BI135" i="30"/>
  <c r="BJ135" i="30"/>
  <c r="BK135" i="30"/>
  <c r="BL135" i="30"/>
  <c r="BM135" i="30"/>
  <c r="BN135" i="30"/>
  <c r="BO135" i="30"/>
  <c r="BP135" i="30"/>
  <c r="BQ135" i="30"/>
  <c r="BR135" i="30"/>
  <c r="BS135" i="30"/>
  <c r="BT135" i="30"/>
  <c r="BU135" i="30"/>
  <c r="BV135" i="30"/>
  <c r="BW135" i="30"/>
  <c r="BX135" i="30"/>
  <c r="BY135" i="30"/>
  <c r="BZ135" i="30"/>
  <c r="CA135" i="30"/>
  <c r="CB135" i="30"/>
  <c r="CC135" i="30"/>
  <c r="CD135" i="30"/>
  <c r="CE135" i="30"/>
  <c r="CF135" i="30"/>
  <c r="CG135" i="30"/>
  <c r="CH135" i="30"/>
  <c r="CI135" i="30"/>
  <c r="CJ135" i="30"/>
  <c r="CK135" i="30"/>
  <c r="CL135" i="30"/>
  <c r="CM135" i="30"/>
  <c r="CN135" i="30"/>
  <c r="CO135" i="30"/>
  <c r="CP135" i="30"/>
  <c r="CQ135" i="30"/>
  <c r="CR135" i="30"/>
  <c r="CS135" i="30"/>
  <c r="CT135" i="30"/>
  <c r="CU135" i="30"/>
  <c r="CV135" i="30"/>
  <c r="CW135" i="30"/>
  <c r="CX135" i="30"/>
  <c r="CY135" i="30"/>
  <c r="CZ135" i="30"/>
  <c r="DA135" i="30"/>
  <c r="DB135" i="30"/>
  <c r="DC135" i="30"/>
  <c r="DD135" i="30"/>
  <c r="DE135" i="30"/>
  <c r="DF135" i="30"/>
  <c r="DG135" i="30"/>
  <c r="DH135" i="30"/>
  <c r="DI135" i="30"/>
  <c r="DJ135" i="30"/>
  <c r="DK135" i="30"/>
  <c r="DL135" i="30"/>
  <c r="DM135" i="30"/>
  <c r="DN135" i="30"/>
  <c r="DO135" i="30"/>
  <c r="DP135" i="30"/>
  <c r="DQ135" i="30"/>
  <c r="DR135" i="30"/>
  <c r="DS135" i="30"/>
  <c r="DT135" i="30"/>
  <c r="DU135" i="30"/>
  <c r="DV135" i="30"/>
  <c r="DW135" i="30"/>
  <c r="DX135" i="30"/>
  <c r="DY135" i="30"/>
  <c r="DZ135" i="30"/>
  <c r="EA135" i="30"/>
  <c r="EB135" i="30"/>
  <c r="EC135" i="30"/>
  <c r="ED135" i="30"/>
  <c r="EE135" i="30"/>
  <c r="EF135" i="30"/>
  <c r="EG135" i="30"/>
  <c r="EH135" i="30"/>
  <c r="EI135" i="30"/>
  <c r="EJ135" i="30"/>
  <c r="EK135" i="30"/>
  <c r="EL135" i="30"/>
  <c r="EM135" i="30"/>
  <c r="EN135" i="30"/>
  <c r="EO135" i="30"/>
  <c r="EP135" i="30"/>
  <c r="EQ135" i="30"/>
  <c r="ER135" i="30"/>
  <c r="ES135" i="30"/>
  <c r="ET135" i="30"/>
  <c r="EU135" i="30"/>
  <c r="EV135" i="30"/>
  <c r="EW135" i="30"/>
  <c r="EX135" i="30"/>
  <c r="EY135" i="30"/>
  <c r="EZ135" i="30"/>
  <c r="FA135" i="30"/>
  <c r="FB135" i="30"/>
  <c r="FC135" i="30"/>
  <c r="FD135" i="30"/>
  <c r="FE135" i="30"/>
  <c r="FF135" i="30"/>
  <c r="FG135" i="30"/>
  <c r="FH135" i="30"/>
  <c r="FI135" i="30"/>
  <c r="FJ135" i="30"/>
  <c r="FK135" i="30"/>
  <c r="FL135" i="30"/>
  <c r="FM135" i="30"/>
  <c r="FN135" i="30"/>
  <c r="FO135" i="30"/>
  <c r="FP135" i="30"/>
  <c r="FQ135" i="30"/>
  <c r="FR135" i="30"/>
  <c r="FS135" i="30"/>
  <c r="FT135" i="30"/>
  <c r="FU135" i="30"/>
  <c r="FV135" i="30"/>
  <c r="FW135" i="30"/>
  <c r="FX135" i="30"/>
  <c r="FY135" i="30"/>
  <c r="FZ135" i="30"/>
  <c r="GA135" i="30"/>
  <c r="GB135" i="30"/>
  <c r="GC135" i="30"/>
  <c r="GD135" i="30"/>
  <c r="GE135" i="30"/>
  <c r="GF135" i="30"/>
  <c r="GG135" i="30"/>
  <c r="GH135" i="30"/>
  <c r="GI135" i="30"/>
  <c r="GJ135" i="30"/>
  <c r="GK135" i="30"/>
  <c r="GL135" i="30"/>
  <c r="GM135" i="30"/>
  <c r="GN135" i="30"/>
  <c r="GO135" i="30"/>
  <c r="GP135" i="30"/>
  <c r="GQ135" i="30"/>
  <c r="GR135" i="30"/>
  <c r="GS135" i="30"/>
  <c r="GT135" i="30"/>
  <c r="GU135" i="30"/>
  <c r="GV135" i="30"/>
  <c r="GW135" i="30"/>
  <c r="GX135" i="30"/>
  <c r="GY135" i="30"/>
  <c r="GZ135" i="30"/>
  <c r="HA135" i="30"/>
  <c r="HB135" i="30"/>
  <c r="HC135" i="30"/>
  <c r="HD135" i="30"/>
  <c r="HE135" i="30"/>
  <c r="HF135" i="30"/>
  <c r="HG135" i="30"/>
  <c r="HH135" i="30"/>
  <c r="HI135" i="30"/>
  <c r="HJ135" i="30"/>
  <c r="HK135" i="30"/>
  <c r="HL135" i="30"/>
  <c r="HM135" i="30"/>
  <c r="HN135" i="30"/>
  <c r="HO135" i="30"/>
  <c r="HP135" i="30"/>
  <c r="HQ135" i="30"/>
  <c r="HR135" i="30"/>
  <c r="HS135" i="30"/>
  <c r="HT135" i="30"/>
  <c r="HU135" i="30"/>
  <c r="HV135" i="30"/>
  <c r="HW135" i="30"/>
  <c r="HX135" i="30"/>
  <c r="HY135" i="30"/>
  <c r="HZ135" i="30"/>
  <c r="IA135" i="30"/>
  <c r="IB135" i="30"/>
  <c r="IC135" i="30"/>
  <c r="ID135" i="30"/>
  <c r="IE135" i="30"/>
  <c r="IF135" i="30"/>
  <c r="IG135" i="30"/>
  <c r="IH135" i="30"/>
  <c r="II135" i="30"/>
  <c r="IJ135" i="30"/>
  <c r="IK135" i="30"/>
  <c r="IL135" i="30"/>
  <c r="IM135" i="30"/>
  <c r="IN135" i="30"/>
  <c r="IO135" i="30"/>
  <c r="IP135" i="30"/>
  <c r="IQ135" i="30"/>
  <c r="IR135" i="30"/>
  <c r="IS135" i="30"/>
  <c r="IT135" i="30"/>
  <c r="IU135" i="30"/>
  <c r="IV135" i="30"/>
  <c r="A134" i="30"/>
  <c r="B134" i="30"/>
  <c r="C134" i="30"/>
  <c r="D134" i="30"/>
  <c r="E134" i="30"/>
  <c r="F134" i="30"/>
  <c r="G134" i="30"/>
  <c r="H134" i="30"/>
  <c r="I134" i="30"/>
  <c r="J134" i="30"/>
  <c r="K134" i="30"/>
  <c r="L134" i="30"/>
  <c r="M134" i="30"/>
  <c r="N134" i="30"/>
  <c r="O134" i="30"/>
  <c r="P134" i="30"/>
  <c r="Q134" i="30"/>
  <c r="R134" i="30"/>
  <c r="S134" i="30"/>
  <c r="T134" i="30"/>
  <c r="U134" i="30"/>
  <c r="V134" i="30"/>
  <c r="W134" i="30"/>
  <c r="X134" i="30"/>
  <c r="Y134" i="30"/>
  <c r="Z134" i="30"/>
  <c r="AA134" i="30"/>
  <c r="AB134" i="30"/>
  <c r="AC134" i="30"/>
  <c r="AD134" i="30"/>
  <c r="AE134" i="30"/>
  <c r="AF134" i="30"/>
  <c r="AG134" i="30"/>
  <c r="AH134" i="30"/>
  <c r="AI134" i="30"/>
  <c r="AJ134" i="30"/>
  <c r="AK134" i="30"/>
  <c r="AL134" i="30"/>
  <c r="AM134" i="30"/>
  <c r="AN134" i="30"/>
  <c r="AO134" i="30"/>
  <c r="AP134" i="30"/>
  <c r="AQ134" i="30"/>
  <c r="AR134" i="30"/>
  <c r="AS134" i="30"/>
  <c r="AT134" i="30"/>
  <c r="AU134" i="30"/>
  <c r="AV134" i="30"/>
  <c r="AW134" i="30"/>
  <c r="AX134" i="30"/>
  <c r="AY134" i="30"/>
  <c r="AZ134" i="30"/>
  <c r="BA134" i="30"/>
  <c r="BB134" i="30"/>
  <c r="BC134" i="30"/>
  <c r="BD134" i="30"/>
  <c r="BE134" i="30"/>
  <c r="BF134" i="30"/>
  <c r="BG134" i="30"/>
  <c r="BH134" i="30"/>
  <c r="BI134" i="30"/>
  <c r="BJ134" i="30"/>
  <c r="BK134" i="30"/>
  <c r="BL134" i="30"/>
  <c r="BM134" i="30"/>
  <c r="BN134" i="30"/>
  <c r="BO134" i="30"/>
  <c r="BP134" i="30"/>
  <c r="BQ134" i="30"/>
  <c r="BR134" i="30"/>
  <c r="BS134" i="30"/>
  <c r="BT134" i="30"/>
  <c r="BU134" i="30"/>
  <c r="BV134" i="30"/>
  <c r="BW134" i="30"/>
  <c r="BX134" i="30"/>
  <c r="BY134" i="30"/>
  <c r="BZ134" i="30"/>
  <c r="CA134" i="30"/>
  <c r="CB134" i="30"/>
  <c r="CC134" i="30"/>
  <c r="CD134" i="30"/>
  <c r="CE134" i="30"/>
  <c r="CF134" i="30"/>
  <c r="CG134" i="30"/>
  <c r="CH134" i="30"/>
  <c r="CI134" i="30"/>
  <c r="CJ134" i="30"/>
  <c r="CK134" i="30"/>
  <c r="CL134" i="30"/>
  <c r="CM134" i="30"/>
  <c r="CN134" i="30"/>
  <c r="CO134" i="30"/>
  <c r="CP134" i="30"/>
  <c r="CQ134" i="30"/>
  <c r="CR134" i="30"/>
  <c r="CS134" i="30"/>
  <c r="CT134" i="30"/>
  <c r="CU134" i="30"/>
  <c r="CV134" i="30"/>
  <c r="CW134" i="30"/>
  <c r="CX134" i="30"/>
  <c r="CY134" i="30"/>
  <c r="CZ134" i="30"/>
  <c r="DA134" i="30"/>
  <c r="DB134" i="30"/>
  <c r="DC134" i="30"/>
  <c r="DD134" i="30"/>
  <c r="DE134" i="30"/>
  <c r="DF134" i="30"/>
  <c r="DG134" i="30"/>
  <c r="DH134" i="30"/>
  <c r="DI134" i="30"/>
  <c r="DJ134" i="30"/>
  <c r="DK134" i="30"/>
  <c r="DL134" i="30"/>
  <c r="DM134" i="30"/>
  <c r="DN134" i="30"/>
  <c r="DO134" i="30"/>
  <c r="DP134" i="30"/>
  <c r="DQ134" i="30"/>
  <c r="DR134" i="30"/>
  <c r="DS134" i="30"/>
  <c r="DT134" i="30"/>
  <c r="DU134" i="30"/>
  <c r="DV134" i="30"/>
  <c r="DW134" i="30"/>
  <c r="DX134" i="30"/>
  <c r="DY134" i="30"/>
  <c r="DZ134" i="30"/>
  <c r="EA134" i="30"/>
  <c r="EB134" i="30"/>
  <c r="EC134" i="30"/>
  <c r="ED134" i="30"/>
  <c r="EE134" i="30"/>
  <c r="EF134" i="30"/>
  <c r="EG134" i="30"/>
  <c r="EH134" i="30"/>
  <c r="EI134" i="30"/>
  <c r="EJ134" i="30"/>
  <c r="EK134" i="30"/>
  <c r="EL134" i="30"/>
  <c r="EM134" i="30"/>
  <c r="EN134" i="30"/>
  <c r="EO134" i="30"/>
  <c r="EP134" i="30"/>
  <c r="EQ134" i="30"/>
  <c r="ER134" i="30"/>
  <c r="ES134" i="30"/>
  <c r="ET134" i="30"/>
  <c r="EU134" i="30"/>
  <c r="EV134" i="30"/>
  <c r="EW134" i="30"/>
  <c r="EX134" i="30"/>
  <c r="EY134" i="30"/>
  <c r="EZ134" i="30"/>
  <c r="FA134" i="30"/>
  <c r="FB134" i="30"/>
  <c r="FC134" i="30"/>
  <c r="FD134" i="30"/>
  <c r="FE134" i="30"/>
  <c r="FF134" i="30"/>
  <c r="FG134" i="30"/>
  <c r="FH134" i="30"/>
  <c r="FI134" i="30"/>
  <c r="FJ134" i="30"/>
  <c r="FK134" i="30"/>
  <c r="FL134" i="30"/>
  <c r="FM134" i="30"/>
  <c r="FN134" i="30"/>
  <c r="FO134" i="30"/>
  <c r="FP134" i="30"/>
  <c r="FQ134" i="30"/>
  <c r="FR134" i="30"/>
  <c r="FS134" i="30"/>
  <c r="FT134" i="30"/>
  <c r="FU134" i="30"/>
  <c r="FV134" i="30"/>
  <c r="FW134" i="30"/>
  <c r="FX134" i="30"/>
  <c r="FY134" i="30"/>
  <c r="FZ134" i="30"/>
  <c r="GA134" i="30"/>
  <c r="GB134" i="30"/>
  <c r="GC134" i="30"/>
  <c r="GD134" i="30"/>
  <c r="GE134" i="30"/>
  <c r="GF134" i="30"/>
  <c r="GG134" i="30"/>
  <c r="GH134" i="30"/>
  <c r="GI134" i="30"/>
  <c r="GJ134" i="30"/>
  <c r="GK134" i="30"/>
  <c r="GL134" i="30"/>
  <c r="GM134" i="30"/>
  <c r="GN134" i="30"/>
  <c r="GO134" i="30"/>
  <c r="GP134" i="30"/>
  <c r="GQ134" i="30"/>
  <c r="GR134" i="30"/>
  <c r="GS134" i="30"/>
  <c r="GT134" i="30"/>
  <c r="GU134" i="30"/>
  <c r="GV134" i="30"/>
  <c r="GW134" i="30"/>
  <c r="GX134" i="30"/>
  <c r="GY134" i="30"/>
  <c r="GZ134" i="30"/>
  <c r="HA134" i="30"/>
  <c r="HB134" i="30"/>
  <c r="HC134" i="30"/>
  <c r="HD134" i="30"/>
  <c r="HE134" i="30"/>
  <c r="HF134" i="30"/>
  <c r="HG134" i="30"/>
  <c r="HH134" i="30"/>
  <c r="HI134" i="30"/>
  <c r="HJ134" i="30"/>
  <c r="HK134" i="30"/>
  <c r="HL134" i="30"/>
  <c r="HM134" i="30"/>
  <c r="HN134" i="30"/>
  <c r="HO134" i="30"/>
  <c r="HP134" i="30"/>
  <c r="HQ134" i="30"/>
  <c r="HR134" i="30"/>
  <c r="HS134" i="30"/>
  <c r="HT134" i="30"/>
  <c r="HU134" i="30"/>
  <c r="HV134" i="30"/>
  <c r="HW134" i="30"/>
  <c r="HX134" i="30"/>
  <c r="HY134" i="30"/>
  <c r="HZ134" i="30"/>
  <c r="IA134" i="30"/>
  <c r="IB134" i="30"/>
  <c r="IC134" i="30"/>
  <c r="ID134" i="30"/>
  <c r="IE134" i="30"/>
  <c r="IF134" i="30"/>
  <c r="IG134" i="30"/>
  <c r="IH134" i="30"/>
  <c r="II134" i="30"/>
  <c r="IJ134" i="30"/>
  <c r="IK134" i="30"/>
  <c r="IL134" i="30"/>
  <c r="IM134" i="30"/>
  <c r="IN134" i="30"/>
  <c r="IO134" i="30"/>
  <c r="IP134" i="30"/>
  <c r="IQ134" i="30"/>
  <c r="IR134" i="30"/>
  <c r="IS134" i="30"/>
  <c r="IT134" i="30"/>
  <c r="IU134" i="30"/>
  <c r="IV134" i="30"/>
  <c r="A133" i="30"/>
  <c r="B133" i="30"/>
  <c r="C133" i="30"/>
  <c r="D133" i="30"/>
  <c r="E133" i="30"/>
  <c r="F133" i="30"/>
  <c r="G133" i="30"/>
  <c r="H133" i="30"/>
  <c r="I133" i="30"/>
  <c r="J133" i="30"/>
  <c r="K133" i="30"/>
  <c r="L133" i="30"/>
  <c r="M133" i="30"/>
  <c r="N133" i="30"/>
  <c r="O133" i="30"/>
  <c r="P133" i="30"/>
  <c r="Q133" i="30"/>
  <c r="R133" i="30"/>
  <c r="S133" i="30"/>
  <c r="T133" i="30"/>
  <c r="U133" i="30"/>
  <c r="V133" i="30"/>
  <c r="W133" i="30"/>
  <c r="X133" i="30"/>
  <c r="Y133" i="30"/>
  <c r="Z133" i="30"/>
  <c r="AA133" i="30"/>
  <c r="AB133" i="30"/>
  <c r="AC133" i="30"/>
  <c r="AD133" i="30"/>
  <c r="AE133" i="30"/>
  <c r="AF133" i="30"/>
  <c r="AG133" i="30"/>
  <c r="AH133" i="30"/>
  <c r="AI133" i="30"/>
  <c r="AJ133" i="30"/>
  <c r="AK133" i="30"/>
  <c r="AL133" i="30"/>
  <c r="AM133" i="30"/>
  <c r="AN133" i="30"/>
  <c r="AO133" i="30"/>
  <c r="AP133" i="30"/>
  <c r="AQ133" i="30"/>
  <c r="AR133" i="30"/>
  <c r="AS133" i="30"/>
  <c r="AT133" i="30"/>
  <c r="AU133" i="30"/>
  <c r="AV133" i="30"/>
  <c r="AW133" i="30"/>
  <c r="AX133" i="30"/>
  <c r="AY133" i="30"/>
  <c r="AZ133" i="30"/>
  <c r="BA133" i="30"/>
  <c r="BB133" i="30"/>
  <c r="BC133" i="30"/>
  <c r="BD133" i="30"/>
  <c r="BE133" i="30"/>
  <c r="BF133" i="30"/>
  <c r="BG133" i="30"/>
  <c r="BH133" i="30"/>
  <c r="BI133" i="30"/>
  <c r="BJ133" i="30"/>
  <c r="BK133" i="30"/>
  <c r="BL133" i="30"/>
  <c r="BM133" i="30"/>
  <c r="BN133" i="30"/>
  <c r="BO133" i="30"/>
  <c r="BP133" i="30"/>
  <c r="BQ133" i="30"/>
  <c r="BR133" i="30"/>
  <c r="BS133" i="30"/>
  <c r="BT133" i="30"/>
  <c r="BU133" i="30"/>
  <c r="BV133" i="30"/>
  <c r="BW133" i="30"/>
  <c r="BX133" i="30"/>
  <c r="BY133" i="30"/>
  <c r="BZ133" i="30"/>
  <c r="CA133" i="30"/>
  <c r="CB133" i="30"/>
  <c r="CC133" i="30"/>
  <c r="CD133" i="30"/>
  <c r="CE133" i="30"/>
  <c r="CF133" i="30"/>
  <c r="CG133" i="30"/>
  <c r="CH133" i="30"/>
  <c r="CI133" i="30"/>
  <c r="CJ133" i="30"/>
  <c r="CK133" i="30"/>
  <c r="CL133" i="30"/>
  <c r="CM133" i="30"/>
  <c r="CN133" i="30"/>
  <c r="CO133" i="30"/>
  <c r="CP133" i="30"/>
  <c r="CQ133" i="30"/>
  <c r="CR133" i="30"/>
  <c r="CS133" i="30"/>
  <c r="CT133" i="30"/>
  <c r="CU133" i="30"/>
  <c r="CV133" i="30"/>
  <c r="CW133" i="30"/>
  <c r="CX133" i="30"/>
  <c r="CY133" i="30"/>
  <c r="CZ133" i="30"/>
  <c r="DA133" i="30"/>
  <c r="DB133" i="30"/>
  <c r="DC133" i="30"/>
  <c r="DD133" i="30"/>
  <c r="DE133" i="30"/>
  <c r="DF133" i="30"/>
  <c r="DG133" i="30"/>
  <c r="DH133" i="30"/>
  <c r="DI133" i="30"/>
  <c r="DJ133" i="30"/>
  <c r="DK133" i="30"/>
  <c r="DL133" i="30"/>
  <c r="DM133" i="30"/>
  <c r="DN133" i="30"/>
  <c r="DO133" i="30"/>
  <c r="DP133" i="30"/>
  <c r="DQ133" i="30"/>
  <c r="DR133" i="30"/>
  <c r="DS133" i="30"/>
  <c r="DT133" i="30"/>
  <c r="DU133" i="30"/>
  <c r="DV133" i="30"/>
  <c r="DW133" i="30"/>
  <c r="DX133" i="30"/>
  <c r="DY133" i="30"/>
  <c r="DZ133" i="30"/>
  <c r="EA133" i="30"/>
  <c r="EB133" i="30"/>
  <c r="EC133" i="30"/>
  <c r="ED133" i="30"/>
  <c r="EE133" i="30"/>
  <c r="EF133" i="30"/>
  <c r="EG133" i="30"/>
  <c r="EH133" i="30"/>
  <c r="EI133" i="30"/>
  <c r="EJ133" i="30"/>
  <c r="EK133" i="30"/>
  <c r="EL133" i="30"/>
  <c r="EM133" i="30"/>
  <c r="EN133" i="30"/>
  <c r="EO133" i="30"/>
  <c r="EP133" i="30"/>
  <c r="EQ133" i="30"/>
  <c r="ER133" i="30"/>
  <c r="ES133" i="30"/>
  <c r="ET133" i="30"/>
  <c r="EU133" i="30"/>
  <c r="EV133" i="30"/>
  <c r="EW133" i="30"/>
  <c r="EX133" i="30"/>
  <c r="EY133" i="30"/>
  <c r="EZ133" i="30"/>
  <c r="FA133" i="30"/>
  <c r="FB133" i="30"/>
  <c r="FC133" i="30"/>
  <c r="FD133" i="30"/>
  <c r="FE133" i="30"/>
  <c r="FF133" i="30"/>
  <c r="FG133" i="30"/>
  <c r="FH133" i="30"/>
  <c r="FI133" i="30"/>
  <c r="FJ133" i="30"/>
  <c r="FK133" i="30"/>
  <c r="FL133" i="30"/>
  <c r="FM133" i="30"/>
  <c r="FN133" i="30"/>
  <c r="FO133" i="30"/>
  <c r="FP133" i="30"/>
  <c r="FQ133" i="30"/>
  <c r="FR133" i="30"/>
  <c r="FS133" i="30"/>
  <c r="FT133" i="30"/>
  <c r="FU133" i="30"/>
  <c r="FV133" i="30"/>
  <c r="FW133" i="30"/>
  <c r="FX133" i="30"/>
  <c r="FY133" i="30"/>
  <c r="FZ133" i="30"/>
  <c r="GA133" i="30"/>
  <c r="GB133" i="30"/>
  <c r="GC133" i="30"/>
  <c r="GD133" i="30"/>
  <c r="GE133" i="30"/>
  <c r="GF133" i="30"/>
  <c r="GG133" i="30"/>
  <c r="GH133" i="30"/>
  <c r="GI133" i="30"/>
  <c r="GJ133" i="30"/>
  <c r="GK133" i="30"/>
  <c r="GL133" i="30"/>
  <c r="GM133" i="30"/>
  <c r="GN133" i="30"/>
  <c r="GO133" i="30"/>
  <c r="GP133" i="30"/>
  <c r="GQ133" i="30"/>
  <c r="GR133" i="30"/>
  <c r="GS133" i="30"/>
  <c r="GT133" i="30"/>
  <c r="GU133" i="30"/>
  <c r="GV133" i="30"/>
  <c r="GW133" i="30"/>
  <c r="GX133" i="30"/>
  <c r="GY133" i="30"/>
  <c r="GZ133" i="30"/>
  <c r="HA133" i="30"/>
  <c r="HB133" i="30"/>
  <c r="HC133" i="30"/>
  <c r="HD133" i="30"/>
  <c r="HE133" i="30"/>
  <c r="HF133" i="30"/>
  <c r="HG133" i="30"/>
  <c r="HH133" i="30"/>
  <c r="HI133" i="30"/>
  <c r="HJ133" i="30"/>
  <c r="HK133" i="30"/>
  <c r="HL133" i="30"/>
  <c r="HM133" i="30"/>
  <c r="HN133" i="30"/>
  <c r="HO133" i="30"/>
  <c r="HP133" i="30"/>
  <c r="HQ133" i="30"/>
  <c r="HR133" i="30"/>
  <c r="HS133" i="30"/>
  <c r="HT133" i="30"/>
  <c r="HU133" i="30"/>
  <c r="HV133" i="30"/>
  <c r="HW133" i="30"/>
  <c r="HX133" i="30"/>
  <c r="HY133" i="30"/>
  <c r="HZ133" i="30"/>
  <c r="IA133" i="30"/>
  <c r="IB133" i="30"/>
  <c r="IC133" i="30"/>
  <c r="ID133" i="30"/>
  <c r="IE133" i="30"/>
  <c r="IF133" i="30"/>
  <c r="IG133" i="30"/>
  <c r="IH133" i="30"/>
  <c r="II133" i="30"/>
  <c r="IJ133" i="30"/>
  <c r="IK133" i="30"/>
  <c r="IL133" i="30"/>
  <c r="IM133" i="30"/>
  <c r="IN133" i="30"/>
  <c r="IO133" i="30"/>
  <c r="IP133" i="30"/>
  <c r="IQ133" i="30"/>
  <c r="IR133" i="30"/>
  <c r="IS133" i="30"/>
  <c r="IT133" i="30"/>
  <c r="IU133" i="30"/>
  <c r="IV133" i="30"/>
  <c r="A132" i="30"/>
  <c r="B132" i="30"/>
  <c r="C132" i="30"/>
  <c r="D132" i="30"/>
  <c r="E132" i="30"/>
  <c r="F132" i="30"/>
  <c r="G132" i="30"/>
  <c r="H132" i="30"/>
  <c r="I132" i="30"/>
  <c r="J132" i="30"/>
  <c r="K132" i="30"/>
  <c r="L132" i="30"/>
  <c r="M132" i="30"/>
  <c r="N132" i="30"/>
  <c r="O132" i="30"/>
  <c r="P132" i="30"/>
  <c r="Q132" i="30"/>
  <c r="R132" i="30"/>
  <c r="S132" i="30"/>
  <c r="T132" i="30"/>
  <c r="U132" i="30"/>
  <c r="V132" i="30"/>
  <c r="W132" i="30"/>
  <c r="X132" i="30"/>
  <c r="Y132" i="30"/>
  <c r="Z132" i="30"/>
  <c r="AA132" i="30"/>
  <c r="AB132" i="30"/>
  <c r="AC132" i="30"/>
  <c r="AD132" i="30"/>
  <c r="AE132" i="30"/>
  <c r="AF132" i="30"/>
  <c r="AG132" i="30"/>
  <c r="AH132" i="30"/>
  <c r="AI132" i="30"/>
  <c r="AJ132" i="30"/>
  <c r="AK132" i="30"/>
  <c r="AL132" i="30"/>
  <c r="AM132" i="30"/>
  <c r="AN132" i="30"/>
  <c r="AO132" i="30"/>
  <c r="AP132" i="30"/>
  <c r="AQ132" i="30"/>
  <c r="AR132" i="30"/>
  <c r="AS132" i="30"/>
  <c r="AT132" i="30"/>
  <c r="AU132" i="30"/>
  <c r="AV132" i="30"/>
  <c r="AW132" i="30"/>
  <c r="AX132" i="30"/>
  <c r="AY132" i="30"/>
  <c r="AZ132" i="30"/>
  <c r="BA132" i="30"/>
  <c r="BB132" i="30"/>
  <c r="BC132" i="30"/>
  <c r="BD132" i="30"/>
  <c r="BE132" i="30"/>
  <c r="BF132" i="30"/>
  <c r="BG132" i="30"/>
  <c r="BH132" i="30"/>
  <c r="BI132" i="30"/>
  <c r="BJ132" i="30"/>
  <c r="BK132" i="30"/>
  <c r="BL132" i="30"/>
  <c r="BM132" i="30"/>
  <c r="BN132" i="30"/>
  <c r="BO132" i="30"/>
  <c r="BP132" i="30"/>
  <c r="BQ132" i="30"/>
  <c r="BR132" i="30"/>
  <c r="BS132" i="30"/>
  <c r="BT132" i="30"/>
  <c r="BU132" i="30"/>
  <c r="BV132" i="30"/>
  <c r="BW132" i="30"/>
  <c r="BX132" i="30"/>
  <c r="BY132" i="30"/>
  <c r="BZ132" i="30"/>
  <c r="CA132" i="30"/>
  <c r="CB132" i="30"/>
  <c r="CC132" i="30"/>
  <c r="CD132" i="30"/>
  <c r="CE132" i="30"/>
  <c r="CF132" i="30"/>
  <c r="CG132" i="30"/>
  <c r="CH132" i="30"/>
  <c r="CI132" i="30"/>
  <c r="CJ132" i="30"/>
  <c r="CK132" i="30"/>
  <c r="CL132" i="30"/>
  <c r="CM132" i="30"/>
  <c r="CN132" i="30"/>
  <c r="CO132" i="30"/>
  <c r="CP132" i="30"/>
  <c r="CQ132" i="30"/>
  <c r="CR132" i="30"/>
  <c r="CS132" i="30"/>
  <c r="CT132" i="30"/>
  <c r="CU132" i="30"/>
  <c r="CV132" i="30"/>
  <c r="CW132" i="30"/>
  <c r="CX132" i="30"/>
  <c r="CY132" i="30"/>
  <c r="CZ132" i="30"/>
  <c r="DA132" i="30"/>
  <c r="DB132" i="30"/>
  <c r="DC132" i="30"/>
  <c r="DD132" i="30"/>
  <c r="DE132" i="30"/>
  <c r="DF132" i="30"/>
  <c r="DG132" i="30"/>
  <c r="DH132" i="30"/>
  <c r="DI132" i="30"/>
  <c r="DJ132" i="30"/>
  <c r="DK132" i="30"/>
  <c r="DL132" i="30"/>
  <c r="DM132" i="30"/>
  <c r="DN132" i="30"/>
  <c r="DO132" i="30"/>
  <c r="DP132" i="30"/>
  <c r="DQ132" i="30"/>
  <c r="DR132" i="30"/>
  <c r="DS132" i="30"/>
  <c r="DT132" i="30"/>
  <c r="DU132" i="30"/>
  <c r="DV132" i="30"/>
  <c r="DW132" i="30"/>
  <c r="DX132" i="30"/>
  <c r="DY132" i="30"/>
  <c r="DZ132" i="30"/>
  <c r="EA132" i="30"/>
  <c r="EB132" i="30"/>
  <c r="EC132" i="30"/>
  <c r="ED132" i="30"/>
  <c r="EE132" i="30"/>
  <c r="EF132" i="30"/>
  <c r="EG132" i="30"/>
  <c r="EH132" i="30"/>
  <c r="EI132" i="30"/>
  <c r="EJ132" i="30"/>
  <c r="EK132" i="30"/>
  <c r="EL132" i="30"/>
  <c r="EM132" i="30"/>
  <c r="EN132" i="30"/>
  <c r="EO132" i="30"/>
  <c r="EP132" i="30"/>
  <c r="EQ132" i="30"/>
  <c r="ER132" i="30"/>
  <c r="ES132" i="30"/>
  <c r="ET132" i="30"/>
  <c r="EU132" i="30"/>
  <c r="EV132" i="30"/>
  <c r="EW132" i="30"/>
  <c r="EX132" i="30"/>
  <c r="EY132" i="30"/>
  <c r="EZ132" i="30"/>
  <c r="FA132" i="30"/>
  <c r="FB132" i="30"/>
  <c r="FC132" i="30"/>
  <c r="FD132" i="30"/>
  <c r="FE132" i="30"/>
  <c r="FF132" i="30"/>
  <c r="FG132" i="30"/>
  <c r="FH132" i="30"/>
  <c r="FI132" i="30"/>
  <c r="FJ132" i="30"/>
  <c r="FK132" i="30"/>
  <c r="FL132" i="30"/>
  <c r="FM132" i="30"/>
  <c r="FN132" i="30"/>
  <c r="FO132" i="30"/>
  <c r="FP132" i="30"/>
  <c r="FQ132" i="30"/>
  <c r="FR132" i="30"/>
  <c r="FS132" i="30"/>
  <c r="FT132" i="30"/>
  <c r="FU132" i="30"/>
  <c r="FV132" i="30"/>
  <c r="FW132" i="30"/>
  <c r="FX132" i="30"/>
  <c r="FY132" i="30"/>
  <c r="FZ132" i="30"/>
  <c r="GA132" i="30"/>
  <c r="GB132" i="30"/>
  <c r="GC132" i="30"/>
  <c r="GD132" i="30"/>
  <c r="GE132" i="30"/>
  <c r="GF132" i="30"/>
  <c r="GG132" i="30"/>
  <c r="GH132" i="30"/>
  <c r="GI132" i="30"/>
  <c r="GJ132" i="30"/>
  <c r="GK132" i="30"/>
  <c r="GL132" i="30"/>
  <c r="GM132" i="30"/>
  <c r="GN132" i="30"/>
  <c r="GO132" i="30"/>
  <c r="GP132" i="30"/>
  <c r="GQ132" i="30"/>
  <c r="GR132" i="30"/>
  <c r="GS132" i="30"/>
  <c r="GT132" i="30"/>
  <c r="GU132" i="30"/>
  <c r="GV132" i="30"/>
  <c r="GW132" i="30"/>
  <c r="GX132" i="30"/>
  <c r="GY132" i="30"/>
  <c r="GZ132" i="30"/>
  <c r="HA132" i="30"/>
  <c r="HB132" i="30"/>
  <c r="HC132" i="30"/>
  <c r="HD132" i="30"/>
  <c r="HE132" i="30"/>
  <c r="HF132" i="30"/>
  <c r="HG132" i="30"/>
  <c r="HH132" i="30"/>
  <c r="HI132" i="30"/>
  <c r="HJ132" i="30"/>
  <c r="HK132" i="30"/>
  <c r="HL132" i="30"/>
  <c r="HM132" i="30"/>
  <c r="HN132" i="30"/>
  <c r="HO132" i="30"/>
  <c r="HP132" i="30"/>
  <c r="HQ132" i="30"/>
  <c r="HR132" i="30"/>
  <c r="HS132" i="30"/>
  <c r="HT132" i="30"/>
  <c r="HU132" i="30"/>
  <c r="HV132" i="30"/>
  <c r="HW132" i="30"/>
  <c r="HX132" i="30"/>
  <c r="HY132" i="30"/>
  <c r="HZ132" i="30"/>
  <c r="IA132" i="30"/>
  <c r="IB132" i="30"/>
  <c r="IC132" i="30"/>
  <c r="ID132" i="30"/>
  <c r="IE132" i="30"/>
  <c r="IF132" i="30"/>
  <c r="IG132" i="30"/>
  <c r="IH132" i="30"/>
  <c r="II132" i="30"/>
  <c r="IJ132" i="30"/>
  <c r="IK132" i="30"/>
  <c r="IL132" i="30"/>
  <c r="IM132" i="30"/>
  <c r="IN132" i="30"/>
  <c r="IO132" i="30"/>
  <c r="IP132" i="30"/>
  <c r="IQ132" i="30"/>
  <c r="IR132" i="30"/>
  <c r="IS132" i="30"/>
  <c r="IT132" i="30"/>
  <c r="IU132" i="30"/>
  <c r="IV132" i="30"/>
  <c r="A131" i="30"/>
  <c r="B131" i="30"/>
  <c r="C131" i="30"/>
  <c r="D131" i="30"/>
  <c r="E131" i="30"/>
  <c r="F131" i="30"/>
  <c r="G131" i="30"/>
  <c r="H131" i="30"/>
  <c r="I131" i="30"/>
  <c r="J131" i="30"/>
  <c r="K131" i="30"/>
  <c r="L131" i="30"/>
  <c r="M131" i="30"/>
  <c r="N131" i="30"/>
  <c r="O131" i="30"/>
  <c r="P131" i="30"/>
  <c r="Q131" i="30"/>
  <c r="R131" i="30"/>
  <c r="S131" i="30"/>
  <c r="T131" i="30"/>
  <c r="U131" i="30"/>
  <c r="V131" i="30"/>
  <c r="W131" i="30"/>
  <c r="X131" i="30"/>
  <c r="Y131" i="30"/>
  <c r="Z131" i="30"/>
  <c r="AA131" i="30"/>
  <c r="AB131" i="30"/>
  <c r="AC131" i="30"/>
  <c r="AD131" i="30"/>
  <c r="AE131" i="30"/>
  <c r="AF131" i="30"/>
  <c r="AG131" i="30"/>
  <c r="AH131" i="30"/>
  <c r="AI131" i="30"/>
  <c r="AJ131" i="30"/>
  <c r="AK131" i="30"/>
  <c r="AL131" i="30"/>
  <c r="AM131" i="30"/>
  <c r="AN131" i="30"/>
  <c r="AO131" i="30"/>
  <c r="AP131" i="30"/>
  <c r="AQ131" i="30"/>
  <c r="AR131" i="30"/>
  <c r="AS131" i="30"/>
  <c r="AT131" i="30"/>
  <c r="AU131" i="30"/>
  <c r="AV131" i="30"/>
  <c r="AW131" i="30"/>
  <c r="AX131" i="30"/>
  <c r="AY131" i="30"/>
  <c r="AZ131" i="30"/>
  <c r="BA131" i="30"/>
  <c r="BB131" i="30"/>
  <c r="BC131" i="30"/>
  <c r="BD131" i="30"/>
  <c r="BE131" i="30"/>
  <c r="BF131" i="30"/>
  <c r="BG131" i="30"/>
  <c r="BH131" i="30"/>
  <c r="BI131" i="30"/>
  <c r="BJ131" i="30"/>
  <c r="BK131" i="30"/>
  <c r="BL131" i="30"/>
  <c r="BM131" i="30"/>
  <c r="BN131" i="30"/>
  <c r="BO131" i="30"/>
  <c r="BP131" i="30"/>
  <c r="BQ131" i="30"/>
  <c r="BR131" i="30"/>
  <c r="BS131" i="30"/>
  <c r="BT131" i="30"/>
  <c r="BU131" i="30"/>
  <c r="BV131" i="30"/>
  <c r="BW131" i="30"/>
  <c r="BX131" i="30"/>
  <c r="BY131" i="30"/>
  <c r="BZ131" i="30"/>
  <c r="CA131" i="30"/>
  <c r="CB131" i="30"/>
  <c r="CC131" i="30"/>
  <c r="CD131" i="30"/>
  <c r="CE131" i="30"/>
  <c r="CF131" i="30"/>
  <c r="CG131" i="30"/>
  <c r="CH131" i="30"/>
  <c r="CI131" i="30"/>
  <c r="CJ131" i="30"/>
  <c r="CK131" i="30"/>
  <c r="CL131" i="30"/>
  <c r="CM131" i="30"/>
  <c r="CN131" i="30"/>
  <c r="CO131" i="30"/>
  <c r="CP131" i="30"/>
  <c r="CQ131" i="30"/>
  <c r="CR131" i="30"/>
  <c r="CS131" i="30"/>
  <c r="CT131" i="30"/>
  <c r="CU131" i="30"/>
  <c r="CV131" i="30"/>
  <c r="CW131" i="30"/>
  <c r="CX131" i="30"/>
  <c r="CY131" i="30"/>
  <c r="CZ131" i="30"/>
  <c r="DA131" i="30"/>
  <c r="DB131" i="30"/>
  <c r="DC131" i="30"/>
  <c r="DD131" i="30"/>
  <c r="DE131" i="30"/>
  <c r="DF131" i="30"/>
  <c r="DG131" i="30"/>
  <c r="DH131" i="30"/>
  <c r="DI131" i="30"/>
  <c r="DJ131" i="30"/>
  <c r="DK131" i="30"/>
  <c r="DL131" i="30"/>
  <c r="DM131" i="30"/>
  <c r="DN131" i="30"/>
  <c r="DO131" i="30"/>
  <c r="DP131" i="30"/>
  <c r="DQ131" i="30"/>
  <c r="DR131" i="30"/>
  <c r="DS131" i="30"/>
  <c r="DT131" i="30"/>
  <c r="DU131" i="30"/>
  <c r="DV131" i="30"/>
  <c r="DW131" i="30"/>
  <c r="DX131" i="30"/>
  <c r="DY131" i="30"/>
  <c r="DZ131" i="30"/>
  <c r="EA131" i="30"/>
  <c r="EB131" i="30"/>
  <c r="EC131" i="30"/>
  <c r="ED131" i="30"/>
  <c r="EE131" i="30"/>
  <c r="EF131" i="30"/>
  <c r="EG131" i="30"/>
  <c r="EH131" i="30"/>
  <c r="EI131" i="30"/>
  <c r="EJ131" i="30"/>
  <c r="EK131" i="30"/>
  <c r="EL131" i="30"/>
  <c r="EM131" i="30"/>
  <c r="EN131" i="30"/>
  <c r="EO131" i="30"/>
  <c r="EP131" i="30"/>
  <c r="EQ131" i="30"/>
  <c r="ER131" i="30"/>
  <c r="ES131" i="30"/>
  <c r="ET131" i="30"/>
  <c r="EU131" i="30"/>
  <c r="EV131" i="30"/>
  <c r="EW131" i="30"/>
  <c r="EX131" i="30"/>
  <c r="EY131" i="30"/>
  <c r="EZ131" i="30"/>
  <c r="FA131" i="30"/>
  <c r="FB131" i="30"/>
  <c r="FC131" i="30"/>
  <c r="FD131" i="30"/>
  <c r="FE131" i="30"/>
  <c r="FF131" i="30"/>
  <c r="FG131" i="30"/>
  <c r="FH131" i="30"/>
  <c r="FI131" i="30"/>
  <c r="FJ131" i="30"/>
  <c r="FK131" i="30"/>
  <c r="FL131" i="30"/>
  <c r="FM131" i="30"/>
  <c r="FN131" i="30"/>
  <c r="FO131" i="30"/>
  <c r="FP131" i="30"/>
  <c r="FQ131" i="30"/>
  <c r="FR131" i="30"/>
  <c r="FS131" i="30"/>
  <c r="FT131" i="30"/>
  <c r="FU131" i="30"/>
  <c r="FV131" i="30"/>
  <c r="FW131" i="30"/>
  <c r="FX131" i="30"/>
  <c r="FY131" i="30"/>
  <c r="FZ131" i="30"/>
  <c r="GA131" i="30"/>
  <c r="GB131" i="30"/>
  <c r="GC131" i="30"/>
  <c r="GD131" i="30"/>
  <c r="GE131" i="30"/>
  <c r="GF131" i="30"/>
  <c r="GG131" i="30"/>
  <c r="GH131" i="30"/>
  <c r="GI131" i="30"/>
  <c r="GJ131" i="30"/>
  <c r="GK131" i="30"/>
  <c r="GL131" i="30"/>
  <c r="GM131" i="30"/>
  <c r="GN131" i="30"/>
  <c r="GO131" i="30"/>
  <c r="GP131" i="30"/>
  <c r="GQ131" i="30"/>
  <c r="GR131" i="30"/>
  <c r="GS131" i="30"/>
  <c r="GT131" i="30"/>
  <c r="GU131" i="30"/>
  <c r="GV131" i="30"/>
  <c r="GW131" i="30"/>
  <c r="GX131" i="30"/>
  <c r="GY131" i="30"/>
  <c r="GZ131" i="30"/>
  <c r="HA131" i="30"/>
  <c r="HB131" i="30"/>
  <c r="HC131" i="30"/>
  <c r="HD131" i="30"/>
  <c r="HE131" i="30"/>
  <c r="HF131" i="30"/>
  <c r="HG131" i="30"/>
  <c r="HH131" i="30"/>
  <c r="HI131" i="30"/>
  <c r="HJ131" i="30"/>
  <c r="HK131" i="30"/>
  <c r="HL131" i="30"/>
  <c r="HM131" i="30"/>
  <c r="HN131" i="30"/>
  <c r="HO131" i="30"/>
  <c r="HP131" i="30"/>
  <c r="HQ131" i="30"/>
  <c r="HR131" i="30"/>
  <c r="HS131" i="30"/>
  <c r="HT131" i="30"/>
  <c r="HU131" i="30"/>
  <c r="HV131" i="30"/>
  <c r="HW131" i="30"/>
  <c r="HX131" i="30"/>
  <c r="HY131" i="30"/>
  <c r="HZ131" i="30"/>
  <c r="IA131" i="30"/>
  <c r="IB131" i="30"/>
  <c r="IC131" i="30"/>
  <c r="ID131" i="30"/>
  <c r="IE131" i="30"/>
  <c r="IF131" i="30"/>
  <c r="IG131" i="30"/>
  <c r="IH131" i="30"/>
  <c r="II131" i="30"/>
  <c r="IJ131" i="30"/>
  <c r="IK131" i="30"/>
  <c r="IL131" i="30"/>
  <c r="IM131" i="30"/>
  <c r="IN131" i="30"/>
  <c r="IO131" i="30"/>
  <c r="IP131" i="30"/>
  <c r="IQ131" i="30"/>
  <c r="IR131" i="30"/>
  <c r="IS131" i="30"/>
  <c r="IT131" i="30"/>
  <c r="IU131" i="30"/>
  <c r="IV131" i="30"/>
  <c r="A130" i="30"/>
  <c r="B130" i="30"/>
  <c r="C130" i="30"/>
  <c r="D130" i="30"/>
  <c r="E130" i="30"/>
  <c r="F130" i="30"/>
  <c r="G130" i="30"/>
  <c r="H130" i="30"/>
  <c r="I130" i="30"/>
  <c r="J130" i="30"/>
  <c r="K130" i="30"/>
  <c r="L130" i="30"/>
  <c r="M130" i="30"/>
  <c r="N130" i="30"/>
  <c r="O130" i="30"/>
  <c r="P130" i="30"/>
  <c r="Q130" i="30"/>
  <c r="R130" i="30"/>
  <c r="S130" i="30"/>
  <c r="T130" i="30"/>
  <c r="U130" i="30"/>
  <c r="V130" i="30"/>
  <c r="W130" i="30"/>
  <c r="X130" i="30"/>
  <c r="Y130" i="30"/>
  <c r="Z130" i="30"/>
  <c r="AA130" i="30"/>
  <c r="AB130" i="30"/>
  <c r="AC130" i="30"/>
  <c r="AD130" i="30"/>
  <c r="AE130" i="30"/>
  <c r="AF130" i="30"/>
  <c r="AG130" i="30"/>
  <c r="AH130" i="30"/>
  <c r="AI130" i="30"/>
  <c r="AJ130" i="30"/>
  <c r="AK130" i="30"/>
  <c r="AL130" i="30"/>
  <c r="AM130" i="30"/>
  <c r="AN130" i="30"/>
  <c r="AO130" i="30"/>
  <c r="AP130" i="30"/>
  <c r="AQ130" i="30"/>
  <c r="AR130" i="30"/>
  <c r="AS130" i="30"/>
  <c r="AT130" i="30"/>
  <c r="AU130" i="30"/>
  <c r="AV130" i="30"/>
  <c r="AW130" i="30"/>
  <c r="AX130" i="30"/>
  <c r="AY130" i="30"/>
  <c r="AZ130" i="30"/>
  <c r="BA130" i="30"/>
  <c r="BB130" i="30"/>
  <c r="BC130" i="30"/>
  <c r="BD130" i="30"/>
  <c r="BE130" i="30"/>
  <c r="BF130" i="30"/>
  <c r="BG130" i="30"/>
  <c r="BH130" i="30"/>
  <c r="BI130" i="30"/>
  <c r="BJ130" i="30"/>
  <c r="BK130" i="30"/>
  <c r="BL130" i="30"/>
  <c r="BM130" i="30"/>
  <c r="BN130" i="30"/>
  <c r="BO130" i="30"/>
  <c r="BP130" i="30"/>
  <c r="BQ130" i="30"/>
  <c r="BR130" i="30"/>
  <c r="BS130" i="30"/>
  <c r="BT130" i="30"/>
  <c r="BU130" i="30"/>
  <c r="BV130" i="30"/>
  <c r="BW130" i="30"/>
  <c r="BX130" i="30"/>
  <c r="BY130" i="30"/>
  <c r="BZ130" i="30"/>
  <c r="CA130" i="30"/>
  <c r="CB130" i="30"/>
  <c r="CC130" i="30"/>
  <c r="CD130" i="30"/>
  <c r="CE130" i="30"/>
  <c r="CF130" i="30"/>
  <c r="CG130" i="30"/>
  <c r="CH130" i="30"/>
  <c r="CI130" i="30"/>
  <c r="CJ130" i="30"/>
  <c r="CK130" i="30"/>
  <c r="CL130" i="30"/>
  <c r="CM130" i="30"/>
  <c r="CN130" i="30"/>
  <c r="CO130" i="30"/>
  <c r="CP130" i="30"/>
  <c r="CQ130" i="30"/>
  <c r="CR130" i="30"/>
  <c r="CS130" i="30"/>
  <c r="CT130" i="30"/>
  <c r="CU130" i="30"/>
  <c r="CV130" i="30"/>
  <c r="CW130" i="30"/>
  <c r="CX130" i="30"/>
  <c r="CY130" i="30"/>
  <c r="CZ130" i="30"/>
  <c r="DA130" i="30"/>
  <c r="DB130" i="30"/>
  <c r="DC130" i="30"/>
  <c r="DD130" i="30"/>
  <c r="DE130" i="30"/>
  <c r="DF130" i="30"/>
  <c r="DG130" i="30"/>
  <c r="DH130" i="30"/>
  <c r="DI130" i="30"/>
  <c r="DJ130" i="30"/>
  <c r="DK130" i="30"/>
  <c r="DL130" i="30"/>
  <c r="DM130" i="30"/>
  <c r="DN130" i="30"/>
  <c r="DO130" i="30"/>
  <c r="DP130" i="30"/>
  <c r="DQ130" i="30"/>
  <c r="DR130" i="30"/>
  <c r="DS130" i="30"/>
  <c r="DT130" i="30"/>
  <c r="DU130" i="30"/>
  <c r="DV130" i="30"/>
  <c r="DW130" i="30"/>
  <c r="DX130" i="30"/>
  <c r="DY130" i="30"/>
  <c r="DZ130" i="30"/>
  <c r="EA130" i="30"/>
  <c r="EB130" i="30"/>
  <c r="EC130" i="30"/>
  <c r="ED130" i="30"/>
  <c r="EE130" i="30"/>
  <c r="EF130" i="30"/>
  <c r="EG130" i="30"/>
  <c r="EH130" i="30"/>
  <c r="EI130" i="30"/>
  <c r="EJ130" i="30"/>
  <c r="EK130" i="30"/>
  <c r="EL130" i="30"/>
  <c r="EM130" i="30"/>
  <c r="EN130" i="30"/>
  <c r="EO130" i="30"/>
  <c r="EP130" i="30"/>
  <c r="EQ130" i="30"/>
  <c r="ER130" i="30"/>
  <c r="ES130" i="30"/>
  <c r="ET130" i="30"/>
  <c r="EU130" i="30"/>
  <c r="EV130" i="30"/>
  <c r="EW130" i="30"/>
  <c r="EX130" i="30"/>
  <c r="EY130" i="30"/>
  <c r="EZ130" i="30"/>
  <c r="FA130" i="30"/>
  <c r="FB130" i="30"/>
  <c r="FC130" i="30"/>
  <c r="FD130" i="30"/>
  <c r="FE130" i="30"/>
  <c r="FF130" i="30"/>
  <c r="FG130" i="30"/>
  <c r="FH130" i="30"/>
  <c r="FI130" i="30"/>
  <c r="FJ130" i="30"/>
  <c r="FK130" i="30"/>
  <c r="FL130" i="30"/>
  <c r="FM130" i="30"/>
  <c r="FN130" i="30"/>
  <c r="FO130" i="30"/>
  <c r="FP130" i="30"/>
  <c r="FQ130" i="30"/>
  <c r="FR130" i="30"/>
  <c r="FS130" i="30"/>
  <c r="FT130" i="30"/>
  <c r="FU130" i="30"/>
  <c r="FV130" i="30"/>
  <c r="FW130" i="30"/>
  <c r="FX130" i="30"/>
  <c r="FY130" i="30"/>
  <c r="FZ130" i="30"/>
  <c r="GA130" i="30"/>
  <c r="GB130" i="30"/>
  <c r="GC130" i="30"/>
  <c r="GD130" i="30"/>
  <c r="GE130" i="30"/>
  <c r="GF130" i="30"/>
  <c r="GG130" i="30"/>
  <c r="GH130" i="30"/>
  <c r="GI130" i="30"/>
  <c r="GJ130" i="30"/>
  <c r="GK130" i="30"/>
  <c r="GL130" i="30"/>
  <c r="GM130" i="30"/>
  <c r="GN130" i="30"/>
  <c r="GO130" i="30"/>
  <c r="GP130" i="30"/>
  <c r="GQ130" i="30"/>
  <c r="GR130" i="30"/>
  <c r="GS130" i="30"/>
  <c r="GT130" i="30"/>
  <c r="GU130" i="30"/>
  <c r="GV130" i="30"/>
  <c r="GW130" i="30"/>
  <c r="GX130" i="30"/>
  <c r="GY130" i="30"/>
  <c r="GZ130" i="30"/>
  <c r="HA130" i="30"/>
  <c r="HB130" i="30"/>
  <c r="HC130" i="30"/>
  <c r="HD130" i="30"/>
  <c r="HE130" i="30"/>
  <c r="HF130" i="30"/>
  <c r="HG130" i="30"/>
  <c r="HH130" i="30"/>
  <c r="HI130" i="30"/>
  <c r="HJ130" i="30"/>
  <c r="HK130" i="30"/>
  <c r="HL130" i="30"/>
  <c r="HM130" i="30"/>
  <c r="HN130" i="30"/>
  <c r="HO130" i="30"/>
  <c r="HP130" i="30"/>
  <c r="HQ130" i="30"/>
  <c r="HR130" i="30"/>
  <c r="HS130" i="30"/>
  <c r="HT130" i="30"/>
  <c r="HU130" i="30"/>
  <c r="HV130" i="30"/>
  <c r="HW130" i="30"/>
  <c r="HX130" i="30"/>
  <c r="HY130" i="30"/>
  <c r="HZ130" i="30"/>
  <c r="IA130" i="30"/>
  <c r="IB130" i="30"/>
  <c r="IC130" i="30"/>
  <c r="ID130" i="30"/>
  <c r="IE130" i="30"/>
  <c r="IF130" i="30"/>
  <c r="IG130" i="30"/>
  <c r="IH130" i="30"/>
  <c r="II130" i="30"/>
  <c r="IJ130" i="30"/>
  <c r="IK130" i="30"/>
  <c r="IL130" i="30"/>
  <c r="IM130" i="30"/>
  <c r="IN130" i="30"/>
  <c r="IO130" i="30"/>
  <c r="IP130" i="30"/>
  <c r="IQ130" i="30"/>
  <c r="IR130" i="30"/>
  <c r="IS130" i="30"/>
  <c r="IT130" i="30"/>
  <c r="IU130" i="30"/>
  <c r="IV130" i="30"/>
  <c r="A129" i="30"/>
  <c r="B129" i="30"/>
  <c r="C129" i="30"/>
  <c r="D129" i="30"/>
  <c r="E129" i="30"/>
  <c r="F129" i="30"/>
  <c r="G129" i="30"/>
  <c r="H129" i="30"/>
  <c r="I129" i="30"/>
  <c r="J129" i="30"/>
  <c r="K129" i="30"/>
  <c r="L129" i="30"/>
  <c r="M129" i="30"/>
  <c r="N129" i="30"/>
  <c r="O129" i="30"/>
  <c r="P129" i="30"/>
  <c r="Q129" i="30"/>
  <c r="R129" i="30"/>
  <c r="S129" i="30"/>
  <c r="T129" i="30"/>
  <c r="U129" i="30"/>
  <c r="V129" i="30"/>
  <c r="W129" i="30"/>
  <c r="X129" i="30"/>
  <c r="Y129" i="30"/>
  <c r="Z129" i="30"/>
  <c r="AA129" i="30"/>
  <c r="AB129" i="30"/>
  <c r="AC129" i="30"/>
  <c r="AD129" i="30"/>
  <c r="AE129" i="30"/>
  <c r="AF129" i="30"/>
  <c r="AG129" i="30"/>
  <c r="AH129" i="30"/>
  <c r="AI129" i="30"/>
  <c r="AJ129" i="30"/>
  <c r="AK129" i="30"/>
  <c r="AL129" i="30"/>
  <c r="AM129" i="30"/>
  <c r="AN129" i="30"/>
  <c r="AO129" i="30"/>
  <c r="AP129" i="30"/>
  <c r="AQ129" i="30"/>
  <c r="AR129" i="30"/>
  <c r="AS129" i="30"/>
  <c r="AT129" i="30"/>
  <c r="AU129" i="30"/>
  <c r="AV129" i="30"/>
  <c r="AW129" i="30"/>
  <c r="AX129" i="30"/>
  <c r="AY129" i="30"/>
  <c r="AZ129" i="30"/>
  <c r="BA129" i="30"/>
  <c r="BB129" i="30"/>
  <c r="BC129" i="30"/>
  <c r="BD129" i="30"/>
  <c r="BE129" i="30"/>
  <c r="BF129" i="30"/>
  <c r="BG129" i="30"/>
  <c r="BH129" i="30"/>
  <c r="BI129" i="30"/>
  <c r="BJ129" i="30"/>
  <c r="BK129" i="30"/>
  <c r="BL129" i="30"/>
  <c r="BM129" i="30"/>
  <c r="BN129" i="30"/>
  <c r="BO129" i="30"/>
  <c r="BP129" i="30"/>
  <c r="BQ129" i="30"/>
  <c r="BR129" i="30"/>
  <c r="BS129" i="30"/>
  <c r="BT129" i="30"/>
  <c r="BU129" i="30"/>
  <c r="BV129" i="30"/>
  <c r="BW129" i="30"/>
  <c r="BX129" i="30"/>
  <c r="BY129" i="30"/>
  <c r="BZ129" i="30"/>
  <c r="CA129" i="30"/>
  <c r="CB129" i="30"/>
  <c r="CC129" i="30"/>
  <c r="CD129" i="30"/>
  <c r="CE129" i="30"/>
  <c r="CF129" i="30"/>
  <c r="CG129" i="30"/>
  <c r="CH129" i="30"/>
  <c r="CI129" i="30"/>
  <c r="CJ129" i="30"/>
  <c r="CK129" i="30"/>
  <c r="CL129" i="30"/>
  <c r="CM129" i="30"/>
  <c r="CN129" i="30"/>
  <c r="CO129" i="30"/>
  <c r="CP129" i="30"/>
  <c r="CQ129" i="30"/>
  <c r="CR129" i="30"/>
  <c r="CS129" i="30"/>
  <c r="CT129" i="30"/>
  <c r="CU129" i="30"/>
  <c r="CV129" i="30"/>
  <c r="CW129" i="30"/>
  <c r="CX129" i="30"/>
  <c r="CY129" i="30"/>
  <c r="CZ129" i="30"/>
  <c r="DA129" i="30"/>
  <c r="DB129" i="30"/>
  <c r="DC129" i="30"/>
  <c r="DD129" i="30"/>
  <c r="DE129" i="30"/>
  <c r="DF129" i="30"/>
  <c r="DG129" i="30"/>
  <c r="DH129" i="30"/>
  <c r="DI129" i="30"/>
  <c r="DJ129" i="30"/>
  <c r="DK129" i="30"/>
  <c r="DL129" i="30"/>
  <c r="DM129" i="30"/>
  <c r="DN129" i="30"/>
  <c r="DO129" i="30"/>
  <c r="DP129" i="30"/>
  <c r="DQ129" i="30"/>
  <c r="DR129" i="30"/>
  <c r="DS129" i="30"/>
  <c r="DT129" i="30"/>
  <c r="DU129" i="30"/>
  <c r="DV129" i="30"/>
  <c r="DW129" i="30"/>
  <c r="DX129" i="30"/>
  <c r="DY129" i="30"/>
  <c r="DZ129" i="30"/>
  <c r="EA129" i="30"/>
  <c r="EB129" i="30"/>
  <c r="EC129" i="30"/>
  <c r="ED129" i="30"/>
  <c r="EE129" i="30"/>
  <c r="EF129" i="30"/>
  <c r="EG129" i="30"/>
  <c r="EH129" i="30"/>
  <c r="EI129" i="30"/>
  <c r="EJ129" i="30"/>
  <c r="EK129" i="30"/>
  <c r="EL129" i="30"/>
  <c r="EM129" i="30"/>
  <c r="EN129" i="30"/>
  <c r="EO129" i="30"/>
  <c r="EP129" i="30"/>
  <c r="EQ129" i="30"/>
  <c r="ER129" i="30"/>
  <c r="ES129" i="30"/>
  <c r="ET129" i="30"/>
  <c r="EU129" i="30"/>
  <c r="EV129" i="30"/>
  <c r="EW129" i="30"/>
  <c r="EX129" i="30"/>
  <c r="EY129" i="30"/>
  <c r="EZ129" i="30"/>
  <c r="FA129" i="30"/>
  <c r="FB129" i="30"/>
  <c r="FC129" i="30"/>
  <c r="FD129" i="30"/>
  <c r="FE129" i="30"/>
  <c r="FF129" i="30"/>
  <c r="FG129" i="30"/>
  <c r="FH129" i="30"/>
  <c r="FI129" i="30"/>
  <c r="FJ129" i="30"/>
  <c r="FK129" i="30"/>
  <c r="FL129" i="30"/>
  <c r="FM129" i="30"/>
  <c r="FN129" i="30"/>
  <c r="FO129" i="30"/>
  <c r="FP129" i="30"/>
  <c r="FQ129" i="30"/>
  <c r="FR129" i="30"/>
  <c r="FS129" i="30"/>
  <c r="FT129" i="30"/>
  <c r="FU129" i="30"/>
  <c r="FV129" i="30"/>
  <c r="FW129" i="30"/>
  <c r="FX129" i="30"/>
  <c r="FY129" i="30"/>
  <c r="FZ129" i="30"/>
  <c r="GA129" i="30"/>
  <c r="GB129" i="30"/>
  <c r="GC129" i="30"/>
  <c r="GD129" i="30"/>
  <c r="GE129" i="30"/>
  <c r="GF129" i="30"/>
  <c r="GG129" i="30"/>
  <c r="GH129" i="30"/>
  <c r="GI129" i="30"/>
  <c r="GJ129" i="30"/>
  <c r="GK129" i="30"/>
  <c r="GL129" i="30"/>
  <c r="GM129" i="30"/>
  <c r="GN129" i="30"/>
  <c r="GO129" i="30"/>
  <c r="GP129" i="30"/>
  <c r="GQ129" i="30"/>
  <c r="GR129" i="30"/>
  <c r="GS129" i="30"/>
  <c r="GT129" i="30"/>
  <c r="GU129" i="30"/>
  <c r="GV129" i="30"/>
  <c r="GW129" i="30"/>
  <c r="GX129" i="30"/>
  <c r="GY129" i="30"/>
  <c r="GZ129" i="30"/>
  <c r="HA129" i="30"/>
  <c r="HB129" i="30"/>
  <c r="HC129" i="30"/>
  <c r="HD129" i="30"/>
  <c r="HE129" i="30"/>
  <c r="HF129" i="30"/>
  <c r="HG129" i="30"/>
  <c r="HH129" i="30"/>
  <c r="HI129" i="30"/>
  <c r="HJ129" i="30"/>
  <c r="HK129" i="30"/>
  <c r="HL129" i="30"/>
  <c r="HM129" i="30"/>
  <c r="HN129" i="30"/>
  <c r="HO129" i="30"/>
  <c r="HP129" i="30"/>
  <c r="HQ129" i="30"/>
  <c r="HR129" i="30"/>
  <c r="HS129" i="30"/>
  <c r="HT129" i="30"/>
  <c r="HU129" i="30"/>
  <c r="HV129" i="30"/>
  <c r="HW129" i="30"/>
  <c r="HX129" i="30"/>
  <c r="HY129" i="30"/>
  <c r="HZ129" i="30"/>
  <c r="IA129" i="30"/>
  <c r="IB129" i="30"/>
  <c r="IC129" i="30"/>
  <c r="ID129" i="30"/>
  <c r="IE129" i="30"/>
  <c r="IF129" i="30"/>
  <c r="IG129" i="30"/>
  <c r="IH129" i="30"/>
  <c r="II129" i="30"/>
  <c r="IJ129" i="30"/>
  <c r="IK129" i="30"/>
  <c r="IL129" i="30"/>
  <c r="IM129" i="30"/>
  <c r="IN129" i="30"/>
  <c r="IO129" i="30"/>
  <c r="IP129" i="30"/>
  <c r="IQ129" i="30"/>
  <c r="IR129" i="30"/>
  <c r="IS129" i="30"/>
  <c r="IT129" i="30"/>
  <c r="IU129" i="30"/>
  <c r="IV129" i="30"/>
  <c r="A128" i="30"/>
  <c r="B128" i="30"/>
  <c r="C128" i="30"/>
  <c r="D128" i="30"/>
  <c r="E128" i="30"/>
  <c r="F128" i="30"/>
  <c r="G128" i="30"/>
  <c r="H128" i="30"/>
  <c r="I128" i="30"/>
  <c r="J128" i="30"/>
  <c r="K128" i="30"/>
  <c r="L128" i="30"/>
  <c r="M128" i="30"/>
  <c r="N128" i="30"/>
  <c r="O128" i="30"/>
  <c r="P128" i="30"/>
  <c r="Q128" i="30"/>
  <c r="R128" i="30"/>
  <c r="S128" i="30"/>
  <c r="T128" i="30"/>
  <c r="U128" i="30"/>
  <c r="V128" i="30"/>
  <c r="W128" i="30"/>
  <c r="X128" i="30"/>
  <c r="Y128" i="30"/>
  <c r="Z128" i="30"/>
  <c r="AA128" i="30"/>
  <c r="AB128" i="30"/>
  <c r="AC128" i="30"/>
  <c r="AD128" i="30"/>
  <c r="AE128" i="30"/>
  <c r="AF128" i="30"/>
  <c r="AG128" i="30"/>
  <c r="AH128" i="30"/>
  <c r="AI128" i="30"/>
  <c r="AJ128" i="30"/>
  <c r="AK128" i="30"/>
  <c r="AL128" i="30"/>
  <c r="AM128" i="30"/>
  <c r="AN128" i="30"/>
  <c r="AO128" i="30"/>
  <c r="AP128" i="30"/>
  <c r="AQ128" i="30"/>
  <c r="AR128" i="30"/>
  <c r="AS128" i="30"/>
  <c r="AT128" i="30"/>
  <c r="AU128" i="30"/>
  <c r="AV128" i="30"/>
  <c r="AW128" i="30"/>
  <c r="AX128" i="30"/>
  <c r="AY128" i="30"/>
  <c r="AZ128" i="30"/>
  <c r="BA128" i="30"/>
  <c r="BB128" i="30"/>
  <c r="BC128" i="30"/>
  <c r="BD128" i="30"/>
  <c r="BE128" i="30"/>
  <c r="BF128" i="30"/>
  <c r="BG128" i="30"/>
  <c r="BH128" i="30"/>
  <c r="BI128" i="30"/>
  <c r="BJ128" i="30"/>
  <c r="BK128" i="30"/>
  <c r="BL128" i="30"/>
  <c r="BM128" i="30"/>
  <c r="BN128" i="30"/>
  <c r="BO128" i="30"/>
  <c r="BP128" i="30"/>
  <c r="BQ128" i="30"/>
  <c r="BR128" i="30"/>
  <c r="BS128" i="30"/>
  <c r="BT128" i="30"/>
  <c r="BU128" i="30"/>
  <c r="BV128" i="30"/>
  <c r="BW128" i="30"/>
  <c r="BX128" i="30"/>
  <c r="BY128" i="30"/>
  <c r="BZ128" i="30"/>
  <c r="CA128" i="30"/>
  <c r="CB128" i="30"/>
  <c r="CC128" i="30"/>
  <c r="CD128" i="30"/>
  <c r="CE128" i="30"/>
  <c r="CF128" i="30"/>
  <c r="CG128" i="30"/>
  <c r="CH128" i="30"/>
  <c r="CI128" i="30"/>
  <c r="CJ128" i="30"/>
  <c r="CK128" i="30"/>
  <c r="CL128" i="30"/>
  <c r="CM128" i="30"/>
  <c r="CN128" i="30"/>
  <c r="CO128" i="30"/>
  <c r="CP128" i="30"/>
  <c r="CQ128" i="30"/>
  <c r="CR128" i="30"/>
  <c r="CS128" i="30"/>
  <c r="CT128" i="30"/>
  <c r="CU128" i="30"/>
  <c r="CV128" i="30"/>
  <c r="CW128" i="30"/>
  <c r="CX128" i="30"/>
  <c r="CY128" i="30"/>
  <c r="CZ128" i="30"/>
  <c r="DA128" i="30"/>
  <c r="DB128" i="30"/>
  <c r="DC128" i="30"/>
  <c r="DD128" i="30"/>
  <c r="DE128" i="30"/>
  <c r="DF128" i="30"/>
  <c r="DG128" i="30"/>
  <c r="DH128" i="30"/>
  <c r="DI128" i="30"/>
  <c r="DJ128" i="30"/>
  <c r="DK128" i="30"/>
  <c r="DL128" i="30"/>
  <c r="DM128" i="30"/>
  <c r="DN128" i="30"/>
  <c r="DO128" i="30"/>
  <c r="DP128" i="30"/>
  <c r="DQ128" i="30"/>
  <c r="DR128" i="30"/>
  <c r="DS128" i="30"/>
  <c r="DT128" i="30"/>
  <c r="DU128" i="30"/>
  <c r="DV128" i="30"/>
  <c r="DW128" i="30"/>
  <c r="DX128" i="30"/>
  <c r="DY128" i="30"/>
  <c r="DZ128" i="30"/>
  <c r="EA128" i="30"/>
  <c r="EB128" i="30"/>
  <c r="EC128" i="30"/>
  <c r="ED128" i="30"/>
  <c r="EE128" i="30"/>
  <c r="EF128" i="30"/>
  <c r="EG128" i="30"/>
  <c r="EH128" i="30"/>
  <c r="EI128" i="30"/>
  <c r="EJ128" i="30"/>
  <c r="EK128" i="30"/>
  <c r="EL128" i="30"/>
  <c r="EM128" i="30"/>
  <c r="EN128" i="30"/>
  <c r="EO128" i="30"/>
  <c r="EP128" i="30"/>
  <c r="EQ128" i="30"/>
  <c r="ER128" i="30"/>
  <c r="ES128" i="30"/>
  <c r="ET128" i="30"/>
  <c r="EU128" i="30"/>
  <c r="EV128" i="30"/>
  <c r="EW128" i="30"/>
  <c r="EX128" i="30"/>
  <c r="EY128" i="30"/>
  <c r="EZ128" i="30"/>
  <c r="FA128" i="30"/>
  <c r="FB128" i="30"/>
  <c r="FC128" i="30"/>
  <c r="FD128" i="30"/>
  <c r="FE128" i="30"/>
  <c r="FF128" i="30"/>
  <c r="FG128" i="30"/>
  <c r="FH128" i="30"/>
  <c r="FI128" i="30"/>
  <c r="FJ128" i="30"/>
  <c r="FK128" i="30"/>
  <c r="FL128" i="30"/>
  <c r="FM128" i="30"/>
  <c r="FN128" i="30"/>
  <c r="FO128" i="30"/>
  <c r="FP128" i="30"/>
  <c r="FQ128" i="30"/>
  <c r="FR128" i="30"/>
  <c r="FS128" i="30"/>
  <c r="FT128" i="30"/>
  <c r="FU128" i="30"/>
  <c r="FV128" i="30"/>
  <c r="FW128" i="30"/>
  <c r="FX128" i="30"/>
  <c r="FY128" i="30"/>
  <c r="FZ128" i="30"/>
  <c r="GA128" i="30"/>
  <c r="GB128" i="30"/>
  <c r="GC128" i="30"/>
  <c r="GD128" i="30"/>
  <c r="GE128" i="30"/>
  <c r="GF128" i="30"/>
  <c r="GG128" i="30"/>
  <c r="GH128" i="30"/>
  <c r="GI128" i="30"/>
  <c r="GJ128" i="30"/>
  <c r="GK128" i="30"/>
  <c r="GL128" i="30"/>
  <c r="GM128" i="30"/>
  <c r="GN128" i="30"/>
  <c r="GO128" i="30"/>
  <c r="GP128" i="30"/>
  <c r="GQ128" i="30"/>
  <c r="GR128" i="30"/>
  <c r="GS128" i="30"/>
  <c r="GT128" i="30"/>
  <c r="GU128" i="30"/>
  <c r="GV128" i="30"/>
  <c r="GW128" i="30"/>
  <c r="GX128" i="30"/>
  <c r="GY128" i="30"/>
  <c r="GZ128" i="30"/>
  <c r="HA128" i="30"/>
  <c r="HB128" i="30"/>
  <c r="HC128" i="30"/>
  <c r="HD128" i="30"/>
  <c r="HE128" i="30"/>
  <c r="HF128" i="30"/>
  <c r="HG128" i="30"/>
  <c r="HH128" i="30"/>
  <c r="HI128" i="30"/>
  <c r="HJ128" i="30"/>
  <c r="HK128" i="30"/>
  <c r="HL128" i="30"/>
  <c r="HM128" i="30"/>
  <c r="HN128" i="30"/>
  <c r="HO128" i="30"/>
  <c r="HP128" i="30"/>
  <c r="HQ128" i="30"/>
  <c r="HR128" i="30"/>
  <c r="HS128" i="30"/>
  <c r="HT128" i="30"/>
  <c r="HU128" i="30"/>
  <c r="HV128" i="30"/>
  <c r="HW128" i="30"/>
  <c r="HX128" i="30"/>
  <c r="HY128" i="30"/>
  <c r="HZ128" i="30"/>
  <c r="IA128" i="30"/>
  <c r="IB128" i="30"/>
  <c r="IC128" i="30"/>
  <c r="ID128" i="30"/>
  <c r="IE128" i="30"/>
  <c r="IF128" i="30"/>
  <c r="IG128" i="30"/>
  <c r="IH128" i="30"/>
  <c r="II128" i="30"/>
  <c r="IJ128" i="30"/>
  <c r="IK128" i="30"/>
  <c r="IL128" i="30"/>
  <c r="IM128" i="30"/>
  <c r="IN128" i="30"/>
  <c r="IO128" i="30"/>
  <c r="IP128" i="30"/>
  <c r="IQ128" i="30"/>
  <c r="IR128" i="30"/>
  <c r="IS128" i="30"/>
  <c r="IT128" i="30"/>
  <c r="IU128" i="30"/>
  <c r="IV128" i="30"/>
  <c r="A127" i="30"/>
  <c r="B127" i="30"/>
  <c r="C127" i="30"/>
  <c r="D127" i="30"/>
  <c r="E127" i="30"/>
  <c r="F127" i="30"/>
  <c r="G127" i="30"/>
  <c r="H127" i="30"/>
  <c r="I127" i="30"/>
  <c r="J127" i="30"/>
  <c r="K127" i="30"/>
  <c r="L127" i="30"/>
  <c r="M127" i="30"/>
  <c r="N127" i="30"/>
  <c r="O127" i="30"/>
  <c r="P127" i="30"/>
  <c r="Q127" i="30"/>
  <c r="R127" i="30"/>
  <c r="S127" i="30"/>
  <c r="T127" i="30"/>
  <c r="U127" i="30"/>
  <c r="V127" i="30"/>
  <c r="W127" i="30"/>
  <c r="X127" i="30"/>
  <c r="Y127" i="30"/>
  <c r="Z127" i="30"/>
  <c r="AA127" i="30"/>
  <c r="AB127" i="30"/>
  <c r="AC127" i="30"/>
  <c r="AD127" i="30"/>
  <c r="AE127" i="30"/>
  <c r="AF127" i="30"/>
  <c r="AG127" i="30"/>
  <c r="AH127" i="30"/>
  <c r="AI127" i="30"/>
  <c r="AJ127" i="30"/>
  <c r="AK127" i="30"/>
  <c r="AL127" i="30"/>
  <c r="AM127" i="30"/>
  <c r="AN127" i="30"/>
  <c r="AO127" i="30"/>
  <c r="AP127" i="30"/>
  <c r="AQ127" i="30"/>
  <c r="AR127" i="30"/>
  <c r="AS127" i="30"/>
  <c r="AT127" i="30"/>
  <c r="AU127" i="30"/>
  <c r="AV127" i="30"/>
  <c r="AW127" i="30"/>
  <c r="AX127" i="30"/>
  <c r="AY127" i="30"/>
  <c r="AZ127" i="30"/>
  <c r="BA127" i="30"/>
  <c r="BB127" i="30"/>
  <c r="BC127" i="30"/>
  <c r="BD127" i="30"/>
  <c r="BE127" i="30"/>
  <c r="BF127" i="30"/>
  <c r="BG127" i="30"/>
  <c r="BH127" i="30"/>
  <c r="BI127" i="30"/>
  <c r="BJ127" i="30"/>
  <c r="BK127" i="30"/>
  <c r="BL127" i="30"/>
  <c r="BM127" i="30"/>
  <c r="BN127" i="30"/>
  <c r="BO127" i="30"/>
  <c r="BP127" i="30"/>
  <c r="BQ127" i="30"/>
  <c r="BR127" i="30"/>
  <c r="BS127" i="30"/>
  <c r="BT127" i="30"/>
  <c r="BU127" i="30"/>
  <c r="BV127" i="30"/>
  <c r="BW127" i="30"/>
  <c r="BX127" i="30"/>
  <c r="BY127" i="30"/>
  <c r="BZ127" i="30"/>
  <c r="CA127" i="30"/>
  <c r="CB127" i="30"/>
  <c r="CC127" i="30"/>
  <c r="CD127" i="30"/>
  <c r="CE127" i="30"/>
  <c r="CF127" i="30"/>
  <c r="CG127" i="30"/>
  <c r="CH127" i="30"/>
  <c r="CI127" i="30"/>
  <c r="CJ127" i="30"/>
  <c r="CK127" i="30"/>
  <c r="CL127" i="30"/>
  <c r="CM127" i="30"/>
  <c r="CN127" i="30"/>
  <c r="CO127" i="30"/>
  <c r="CP127" i="30"/>
  <c r="CQ127" i="30"/>
  <c r="CR127" i="30"/>
  <c r="CS127" i="30"/>
  <c r="CT127" i="30"/>
  <c r="CU127" i="30"/>
  <c r="CV127" i="30"/>
  <c r="CW127" i="30"/>
  <c r="CX127" i="30"/>
  <c r="CY127" i="30"/>
  <c r="CZ127" i="30"/>
  <c r="DA127" i="30"/>
  <c r="DB127" i="30"/>
  <c r="DC127" i="30"/>
  <c r="DD127" i="30"/>
  <c r="DE127" i="30"/>
  <c r="DF127" i="30"/>
  <c r="DG127" i="30"/>
  <c r="DH127" i="30"/>
  <c r="DI127" i="30"/>
  <c r="DJ127" i="30"/>
  <c r="DK127" i="30"/>
  <c r="DL127" i="30"/>
  <c r="DM127" i="30"/>
  <c r="DN127" i="30"/>
  <c r="DO127" i="30"/>
  <c r="DP127" i="30"/>
  <c r="DQ127" i="30"/>
  <c r="DR127" i="30"/>
  <c r="DS127" i="30"/>
  <c r="DT127" i="30"/>
  <c r="DU127" i="30"/>
  <c r="DV127" i="30"/>
  <c r="DW127" i="30"/>
  <c r="DX127" i="30"/>
  <c r="DY127" i="30"/>
  <c r="DZ127" i="30"/>
  <c r="EA127" i="30"/>
  <c r="EB127" i="30"/>
  <c r="EC127" i="30"/>
  <c r="ED127" i="30"/>
  <c r="EE127" i="30"/>
  <c r="EF127" i="30"/>
  <c r="EG127" i="30"/>
  <c r="EH127" i="30"/>
  <c r="EI127" i="30"/>
  <c r="EJ127" i="30"/>
  <c r="EK127" i="30"/>
  <c r="EL127" i="30"/>
  <c r="EM127" i="30"/>
  <c r="EN127" i="30"/>
  <c r="EO127" i="30"/>
  <c r="EP127" i="30"/>
  <c r="EQ127" i="30"/>
  <c r="ER127" i="30"/>
  <c r="ES127" i="30"/>
  <c r="ET127" i="30"/>
  <c r="EU127" i="30"/>
  <c r="EV127" i="30"/>
  <c r="EW127" i="30"/>
  <c r="EX127" i="30"/>
  <c r="EY127" i="30"/>
  <c r="EZ127" i="30"/>
  <c r="FA127" i="30"/>
  <c r="FB127" i="30"/>
  <c r="FC127" i="30"/>
  <c r="FD127" i="30"/>
  <c r="FE127" i="30"/>
  <c r="FF127" i="30"/>
  <c r="FG127" i="30"/>
  <c r="FH127" i="30"/>
  <c r="FI127" i="30"/>
  <c r="FJ127" i="30"/>
  <c r="FK127" i="30"/>
  <c r="FL127" i="30"/>
  <c r="FM127" i="30"/>
  <c r="FN127" i="30"/>
  <c r="FO127" i="30"/>
  <c r="FP127" i="30"/>
  <c r="FQ127" i="30"/>
  <c r="FR127" i="30"/>
  <c r="FS127" i="30"/>
  <c r="FT127" i="30"/>
  <c r="FU127" i="30"/>
  <c r="FV127" i="30"/>
  <c r="FW127" i="30"/>
  <c r="FX127" i="30"/>
  <c r="FY127" i="30"/>
  <c r="FZ127" i="30"/>
  <c r="GA127" i="30"/>
  <c r="GB127" i="30"/>
  <c r="GC127" i="30"/>
  <c r="GD127" i="30"/>
  <c r="GE127" i="30"/>
  <c r="GF127" i="30"/>
  <c r="GG127" i="30"/>
  <c r="GH127" i="30"/>
  <c r="GI127" i="30"/>
  <c r="GJ127" i="30"/>
  <c r="GK127" i="30"/>
  <c r="GL127" i="30"/>
  <c r="GM127" i="30"/>
  <c r="GN127" i="30"/>
  <c r="GO127" i="30"/>
  <c r="GP127" i="30"/>
  <c r="GQ127" i="30"/>
  <c r="GR127" i="30"/>
  <c r="GS127" i="30"/>
  <c r="GT127" i="30"/>
  <c r="GU127" i="30"/>
  <c r="GV127" i="30"/>
  <c r="GW127" i="30"/>
  <c r="GX127" i="30"/>
  <c r="GY127" i="30"/>
  <c r="GZ127" i="30"/>
  <c r="HA127" i="30"/>
  <c r="HB127" i="30"/>
  <c r="HC127" i="30"/>
  <c r="HD127" i="30"/>
  <c r="HE127" i="30"/>
  <c r="HF127" i="30"/>
  <c r="HG127" i="30"/>
  <c r="HH127" i="30"/>
  <c r="HI127" i="30"/>
  <c r="HJ127" i="30"/>
  <c r="HK127" i="30"/>
  <c r="HL127" i="30"/>
  <c r="HM127" i="30"/>
  <c r="HN127" i="30"/>
  <c r="HO127" i="30"/>
  <c r="HP127" i="30"/>
  <c r="HQ127" i="30"/>
  <c r="HR127" i="30"/>
  <c r="HS127" i="30"/>
  <c r="HT127" i="30"/>
  <c r="HU127" i="30"/>
  <c r="HV127" i="30"/>
  <c r="HW127" i="30"/>
  <c r="HX127" i="30"/>
  <c r="HY127" i="30"/>
  <c r="HZ127" i="30"/>
  <c r="IA127" i="30"/>
  <c r="IB127" i="30"/>
  <c r="IC127" i="30"/>
  <c r="ID127" i="30"/>
  <c r="IE127" i="30"/>
  <c r="IF127" i="30"/>
  <c r="IG127" i="30"/>
  <c r="IH127" i="30"/>
  <c r="II127" i="30"/>
  <c r="IJ127" i="30"/>
  <c r="IK127" i="30"/>
  <c r="IL127" i="30"/>
  <c r="IM127" i="30"/>
  <c r="IN127" i="30"/>
  <c r="IO127" i="30"/>
  <c r="IP127" i="30"/>
  <c r="IQ127" i="30"/>
  <c r="IR127" i="30"/>
  <c r="IS127" i="30"/>
  <c r="IT127" i="30"/>
  <c r="IU127" i="30"/>
  <c r="IV127" i="30"/>
  <c r="A126" i="30"/>
  <c r="B126" i="30"/>
  <c r="C126" i="30"/>
  <c r="D126" i="30"/>
  <c r="E126" i="30"/>
  <c r="F126" i="30"/>
  <c r="G126" i="30"/>
  <c r="H126" i="30"/>
  <c r="I126" i="30"/>
  <c r="J126" i="30"/>
  <c r="K126" i="30"/>
  <c r="L126" i="30"/>
  <c r="M126" i="30"/>
  <c r="N126" i="30"/>
  <c r="O126" i="30"/>
  <c r="P126" i="30"/>
  <c r="Q126" i="30"/>
  <c r="R126" i="30"/>
  <c r="S126" i="30"/>
  <c r="T126" i="30"/>
  <c r="U126" i="30"/>
  <c r="V126" i="30"/>
  <c r="W126" i="30"/>
  <c r="X126" i="30"/>
  <c r="Y126" i="30"/>
  <c r="Z126" i="30"/>
  <c r="AA126" i="30"/>
  <c r="AB126" i="30"/>
  <c r="AC126" i="30"/>
  <c r="AD126" i="30"/>
  <c r="AE126" i="30"/>
  <c r="AF126" i="30"/>
  <c r="AG126" i="30"/>
  <c r="AH126" i="30"/>
  <c r="AI126" i="30"/>
  <c r="AJ126" i="30"/>
  <c r="AK126" i="30"/>
  <c r="AL126" i="30"/>
  <c r="AM126" i="30"/>
  <c r="AN126" i="30"/>
  <c r="AO126" i="30"/>
  <c r="AP126" i="30"/>
  <c r="AQ126" i="30"/>
  <c r="AR126" i="30"/>
  <c r="AS126" i="30"/>
  <c r="AT126" i="30"/>
  <c r="AU126" i="30"/>
  <c r="AV126" i="30"/>
  <c r="AW126" i="30"/>
  <c r="AX126" i="30"/>
  <c r="AY126" i="30"/>
  <c r="AZ126" i="30"/>
  <c r="BA126" i="30"/>
  <c r="BB126" i="30"/>
  <c r="BC126" i="30"/>
  <c r="BD126" i="30"/>
  <c r="BE126" i="30"/>
  <c r="BF126" i="30"/>
  <c r="BG126" i="30"/>
  <c r="BH126" i="30"/>
  <c r="BI126" i="30"/>
  <c r="BJ126" i="30"/>
  <c r="BK126" i="30"/>
  <c r="BL126" i="30"/>
  <c r="BM126" i="30"/>
  <c r="BN126" i="30"/>
  <c r="BO126" i="30"/>
  <c r="BP126" i="30"/>
  <c r="BQ126" i="30"/>
  <c r="BR126" i="30"/>
  <c r="BS126" i="30"/>
  <c r="BT126" i="30"/>
  <c r="BU126" i="30"/>
  <c r="BV126" i="30"/>
  <c r="BW126" i="30"/>
  <c r="BX126" i="30"/>
  <c r="BY126" i="30"/>
  <c r="BZ126" i="30"/>
  <c r="CA126" i="30"/>
  <c r="CB126" i="30"/>
  <c r="CC126" i="30"/>
  <c r="CD126" i="30"/>
  <c r="CE126" i="30"/>
  <c r="CF126" i="30"/>
  <c r="CG126" i="30"/>
  <c r="CH126" i="30"/>
  <c r="CI126" i="30"/>
  <c r="CJ126" i="30"/>
  <c r="CK126" i="30"/>
  <c r="CL126" i="30"/>
  <c r="CM126" i="30"/>
  <c r="CN126" i="30"/>
  <c r="CO126" i="30"/>
  <c r="CP126" i="30"/>
  <c r="CQ126" i="30"/>
  <c r="CR126" i="30"/>
  <c r="CS126" i="30"/>
  <c r="CT126" i="30"/>
  <c r="CU126" i="30"/>
  <c r="CV126" i="30"/>
  <c r="CW126" i="30"/>
  <c r="CX126" i="30"/>
  <c r="CY126" i="30"/>
  <c r="CZ126" i="30"/>
  <c r="DA126" i="30"/>
  <c r="DB126" i="30"/>
  <c r="DC126" i="30"/>
  <c r="DD126" i="30"/>
  <c r="DE126" i="30"/>
  <c r="DF126" i="30"/>
  <c r="DG126" i="30"/>
  <c r="DH126" i="30"/>
  <c r="DI126" i="30"/>
  <c r="DJ126" i="30"/>
  <c r="DK126" i="30"/>
  <c r="DL126" i="30"/>
  <c r="DM126" i="30"/>
  <c r="DN126" i="30"/>
  <c r="DO126" i="30"/>
  <c r="DP126" i="30"/>
  <c r="DQ126" i="30"/>
  <c r="DR126" i="30"/>
  <c r="DS126" i="30"/>
  <c r="DT126" i="30"/>
  <c r="DU126" i="30"/>
  <c r="DV126" i="30"/>
  <c r="DW126" i="30"/>
  <c r="DX126" i="30"/>
  <c r="DY126" i="30"/>
  <c r="DZ126" i="30"/>
  <c r="EA126" i="30"/>
  <c r="EB126" i="30"/>
  <c r="EC126" i="30"/>
  <c r="ED126" i="30"/>
  <c r="EE126" i="30"/>
  <c r="EF126" i="30"/>
  <c r="EG126" i="30"/>
  <c r="EH126" i="30"/>
  <c r="EI126" i="30"/>
  <c r="EJ126" i="30"/>
  <c r="EK126" i="30"/>
  <c r="EL126" i="30"/>
  <c r="EM126" i="30"/>
  <c r="EN126" i="30"/>
  <c r="EO126" i="30"/>
  <c r="EP126" i="30"/>
  <c r="EQ126" i="30"/>
  <c r="ER126" i="30"/>
  <c r="ES126" i="30"/>
  <c r="ET126" i="30"/>
  <c r="EU126" i="30"/>
  <c r="EV126" i="30"/>
  <c r="EW126" i="30"/>
  <c r="EX126" i="30"/>
  <c r="EY126" i="30"/>
  <c r="EZ126" i="30"/>
  <c r="FA126" i="30"/>
  <c r="FB126" i="30"/>
  <c r="FC126" i="30"/>
  <c r="FD126" i="30"/>
  <c r="FE126" i="30"/>
  <c r="FF126" i="30"/>
  <c r="FG126" i="30"/>
  <c r="FH126" i="30"/>
  <c r="FI126" i="30"/>
  <c r="FJ126" i="30"/>
  <c r="FK126" i="30"/>
  <c r="FL126" i="30"/>
  <c r="FM126" i="30"/>
  <c r="FN126" i="30"/>
  <c r="FO126" i="30"/>
  <c r="FP126" i="30"/>
  <c r="FQ126" i="30"/>
  <c r="FR126" i="30"/>
  <c r="FS126" i="30"/>
  <c r="FT126" i="30"/>
  <c r="FU126" i="30"/>
  <c r="FV126" i="30"/>
  <c r="FW126" i="30"/>
  <c r="FX126" i="30"/>
  <c r="FY126" i="30"/>
  <c r="FZ126" i="30"/>
  <c r="GA126" i="30"/>
  <c r="GB126" i="30"/>
  <c r="GC126" i="30"/>
  <c r="GD126" i="30"/>
  <c r="GE126" i="30"/>
  <c r="GF126" i="30"/>
  <c r="GG126" i="30"/>
  <c r="GH126" i="30"/>
  <c r="GI126" i="30"/>
  <c r="GJ126" i="30"/>
  <c r="GK126" i="30"/>
  <c r="GL126" i="30"/>
  <c r="GM126" i="30"/>
  <c r="GN126" i="30"/>
  <c r="GO126" i="30"/>
  <c r="GP126" i="30"/>
  <c r="GQ126" i="30"/>
  <c r="GR126" i="30"/>
  <c r="GS126" i="30"/>
  <c r="GT126" i="30"/>
  <c r="GU126" i="30"/>
  <c r="GV126" i="30"/>
  <c r="GW126" i="30"/>
  <c r="GX126" i="30"/>
  <c r="GY126" i="30"/>
  <c r="GZ126" i="30"/>
  <c r="HA126" i="30"/>
  <c r="HB126" i="30"/>
  <c r="HC126" i="30"/>
  <c r="HD126" i="30"/>
  <c r="HE126" i="30"/>
  <c r="HF126" i="30"/>
  <c r="HG126" i="30"/>
  <c r="HH126" i="30"/>
  <c r="HI126" i="30"/>
  <c r="HJ126" i="30"/>
  <c r="HK126" i="30"/>
  <c r="HL126" i="30"/>
  <c r="HM126" i="30"/>
  <c r="HN126" i="30"/>
  <c r="HO126" i="30"/>
  <c r="HP126" i="30"/>
  <c r="HQ126" i="30"/>
  <c r="HR126" i="30"/>
  <c r="HS126" i="30"/>
  <c r="HT126" i="30"/>
  <c r="HU126" i="30"/>
  <c r="HV126" i="30"/>
  <c r="HW126" i="30"/>
  <c r="HX126" i="30"/>
  <c r="HY126" i="30"/>
  <c r="HZ126" i="30"/>
  <c r="IA126" i="30"/>
  <c r="IB126" i="30"/>
  <c r="IC126" i="30"/>
  <c r="ID126" i="30"/>
  <c r="IE126" i="30"/>
  <c r="IF126" i="30"/>
  <c r="IG126" i="30"/>
  <c r="IH126" i="30"/>
  <c r="II126" i="30"/>
  <c r="IJ126" i="30"/>
  <c r="IK126" i="30"/>
  <c r="IL126" i="30"/>
  <c r="IM126" i="30"/>
  <c r="IN126" i="30"/>
  <c r="IO126" i="30"/>
  <c r="IP126" i="30"/>
  <c r="IQ126" i="30"/>
  <c r="IR126" i="30"/>
  <c r="IS126" i="30"/>
  <c r="IT126" i="30"/>
  <c r="IU126" i="30"/>
  <c r="IV126" i="30"/>
  <c r="A125" i="30"/>
  <c r="B125" i="30"/>
  <c r="C125" i="30"/>
  <c r="D125" i="30"/>
  <c r="E125" i="30"/>
  <c r="F125" i="30"/>
  <c r="G125" i="30"/>
  <c r="H125" i="30"/>
  <c r="I125" i="30"/>
  <c r="J125" i="30"/>
  <c r="K125" i="30"/>
  <c r="L125" i="30"/>
  <c r="M125" i="30"/>
  <c r="N125" i="30"/>
  <c r="O125" i="30"/>
  <c r="P125" i="30"/>
  <c r="Q125" i="30"/>
  <c r="R125" i="30"/>
  <c r="S125" i="30"/>
  <c r="T125" i="30"/>
  <c r="U125" i="30"/>
  <c r="V125" i="30"/>
  <c r="W125" i="30"/>
  <c r="X125" i="30"/>
  <c r="Y125" i="30"/>
  <c r="Z125" i="30"/>
  <c r="AA125" i="30"/>
  <c r="AB125" i="30"/>
  <c r="AC125" i="30"/>
  <c r="AD125" i="30"/>
  <c r="AE125" i="30"/>
  <c r="AF125" i="30"/>
  <c r="AG125" i="30"/>
  <c r="AH125" i="30"/>
  <c r="AI125" i="30"/>
  <c r="AJ125" i="30"/>
  <c r="AK125" i="30"/>
  <c r="AL125" i="30"/>
  <c r="AM125" i="30"/>
  <c r="AN125" i="30"/>
  <c r="AO125" i="30"/>
  <c r="AP125" i="30"/>
  <c r="AQ125" i="30"/>
  <c r="AR125" i="30"/>
  <c r="AS125" i="30"/>
  <c r="AT125" i="30"/>
  <c r="AU125" i="30"/>
  <c r="AV125" i="30"/>
  <c r="AW125" i="30"/>
  <c r="AX125" i="30"/>
  <c r="AY125" i="30"/>
  <c r="AZ125" i="30"/>
  <c r="BA125" i="30"/>
  <c r="BB125" i="30"/>
  <c r="BC125" i="30"/>
  <c r="BD125" i="30"/>
  <c r="BE125" i="30"/>
  <c r="BF125" i="30"/>
  <c r="BG125" i="30"/>
  <c r="BH125" i="30"/>
  <c r="BI125" i="30"/>
  <c r="BJ125" i="30"/>
  <c r="BK125" i="30"/>
  <c r="BL125" i="30"/>
  <c r="BM125" i="30"/>
  <c r="BN125" i="30"/>
  <c r="BO125" i="30"/>
  <c r="BP125" i="30"/>
  <c r="BQ125" i="30"/>
  <c r="BR125" i="30"/>
  <c r="BS125" i="30"/>
  <c r="BT125" i="30"/>
  <c r="BU125" i="30"/>
  <c r="BV125" i="30"/>
  <c r="BW125" i="30"/>
  <c r="BX125" i="30"/>
  <c r="BY125" i="30"/>
  <c r="BZ125" i="30"/>
  <c r="CA125" i="30"/>
  <c r="CB125" i="30"/>
  <c r="CC125" i="30"/>
  <c r="CD125" i="30"/>
  <c r="CE125" i="30"/>
  <c r="CF125" i="30"/>
  <c r="CG125" i="30"/>
  <c r="CH125" i="30"/>
  <c r="CI125" i="30"/>
  <c r="CJ125" i="30"/>
  <c r="CK125" i="30"/>
  <c r="CL125" i="30"/>
  <c r="CM125" i="30"/>
  <c r="CN125" i="30"/>
  <c r="CO125" i="30"/>
  <c r="CP125" i="30"/>
  <c r="CQ125" i="30"/>
  <c r="CR125" i="30"/>
  <c r="CS125" i="30"/>
  <c r="CT125" i="30"/>
  <c r="CU125" i="30"/>
  <c r="CV125" i="30"/>
  <c r="CW125" i="30"/>
  <c r="CX125" i="30"/>
  <c r="CY125" i="30"/>
  <c r="CZ125" i="30"/>
  <c r="DA125" i="30"/>
  <c r="DB125" i="30"/>
  <c r="DC125" i="30"/>
  <c r="DD125" i="30"/>
  <c r="DE125" i="30"/>
  <c r="DF125" i="30"/>
  <c r="DG125" i="30"/>
  <c r="DH125" i="30"/>
  <c r="DI125" i="30"/>
  <c r="DJ125" i="30"/>
  <c r="DK125" i="30"/>
  <c r="DL125" i="30"/>
  <c r="DM125" i="30"/>
  <c r="DN125" i="30"/>
  <c r="DO125" i="30"/>
  <c r="DP125" i="30"/>
  <c r="DQ125" i="30"/>
  <c r="DR125" i="30"/>
  <c r="DS125" i="30"/>
  <c r="DT125" i="30"/>
  <c r="DU125" i="30"/>
  <c r="DV125" i="30"/>
  <c r="DW125" i="30"/>
  <c r="DX125" i="30"/>
  <c r="DY125" i="30"/>
  <c r="DZ125" i="30"/>
  <c r="EA125" i="30"/>
  <c r="EB125" i="30"/>
  <c r="EC125" i="30"/>
  <c r="ED125" i="30"/>
  <c r="EE125" i="30"/>
  <c r="EF125" i="30"/>
  <c r="EG125" i="30"/>
  <c r="EH125" i="30"/>
  <c r="EI125" i="30"/>
  <c r="EJ125" i="30"/>
  <c r="EK125" i="30"/>
  <c r="EL125" i="30"/>
  <c r="EM125" i="30"/>
  <c r="EN125" i="30"/>
  <c r="EO125" i="30"/>
  <c r="EP125" i="30"/>
  <c r="EQ125" i="30"/>
  <c r="ER125" i="30"/>
  <c r="ES125" i="30"/>
  <c r="ET125" i="30"/>
  <c r="EU125" i="30"/>
  <c r="EV125" i="30"/>
  <c r="EW125" i="30"/>
  <c r="EX125" i="30"/>
  <c r="EY125" i="30"/>
  <c r="EZ125" i="30"/>
  <c r="FA125" i="30"/>
  <c r="FB125" i="30"/>
  <c r="FC125" i="30"/>
  <c r="FD125" i="30"/>
  <c r="FE125" i="30"/>
  <c r="FF125" i="30"/>
  <c r="FG125" i="30"/>
  <c r="FH125" i="30"/>
  <c r="FI125" i="30"/>
  <c r="FJ125" i="30"/>
  <c r="FK125" i="30"/>
  <c r="FL125" i="30"/>
  <c r="FM125" i="30"/>
  <c r="FN125" i="30"/>
  <c r="FO125" i="30"/>
  <c r="FP125" i="30"/>
  <c r="FQ125" i="30"/>
  <c r="FR125" i="30"/>
  <c r="FS125" i="30"/>
  <c r="FT125" i="30"/>
  <c r="FU125" i="30"/>
  <c r="FV125" i="30"/>
  <c r="FW125" i="30"/>
  <c r="FX125" i="30"/>
  <c r="FY125" i="30"/>
  <c r="FZ125" i="30"/>
  <c r="GA125" i="30"/>
  <c r="GB125" i="30"/>
  <c r="GC125" i="30"/>
  <c r="GD125" i="30"/>
  <c r="GE125" i="30"/>
  <c r="GF125" i="30"/>
  <c r="GG125" i="30"/>
  <c r="GH125" i="30"/>
  <c r="GI125" i="30"/>
  <c r="GJ125" i="30"/>
  <c r="GK125" i="30"/>
  <c r="GL125" i="30"/>
  <c r="GM125" i="30"/>
  <c r="GN125" i="30"/>
  <c r="GO125" i="30"/>
  <c r="GP125" i="30"/>
  <c r="GQ125" i="30"/>
  <c r="GR125" i="30"/>
  <c r="GS125" i="30"/>
  <c r="GT125" i="30"/>
  <c r="GU125" i="30"/>
  <c r="GV125" i="30"/>
  <c r="GW125" i="30"/>
  <c r="GX125" i="30"/>
  <c r="GY125" i="30"/>
  <c r="GZ125" i="30"/>
  <c r="HA125" i="30"/>
  <c r="HB125" i="30"/>
  <c r="HC125" i="30"/>
  <c r="HD125" i="30"/>
  <c r="HE125" i="30"/>
  <c r="HF125" i="30"/>
  <c r="HG125" i="30"/>
  <c r="HH125" i="30"/>
  <c r="HI125" i="30"/>
  <c r="HJ125" i="30"/>
  <c r="HK125" i="30"/>
  <c r="HL125" i="30"/>
  <c r="HM125" i="30"/>
  <c r="HN125" i="30"/>
  <c r="HO125" i="30"/>
  <c r="HP125" i="30"/>
  <c r="HQ125" i="30"/>
  <c r="HR125" i="30"/>
  <c r="HS125" i="30"/>
  <c r="HT125" i="30"/>
  <c r="HU125" i="30"/>
  <c r="HV125" i="30"/>
  <c r="HW125" i="30"/>
  <c r="HX125" i="30"/>
  <c r="HY125" i="30"/>
  <c r="HZ125" i="30"/>
  <c r="IA125" i="30"/>
  <c r="IB125" i="30"/>
  <c r="IC125" i="30"/>
  <c r="ID125" i="30"/>
  <c r="IE125" i="30"/>
  <c r="IF125" i="30"/>
  <c r="IG125" i="30"/>
  <c r="IH125" i="30"/>
  <c r="II125" i="30"/>
  <c r="IJ125" i="30"/>
  <c r="IK125" i="30"/>
  <c r="IL125" i="30"/>
  <c r="IM125" i="30"/>
  <c r="IN125" i="30"/>
  <c r="IO125" i="30"/>
  <c r="IP125" i="30"/>
  <c r="IQ125" i="30"/>
  <c r="IR125" i="30"/>
  <c r="IS125" i="30"/>
  <c r="IT125" i="30"/>
  <c r="IU125" i="30"/>
  <c r="IV125" i="30"/>
  <c r="A124" i="30"/>
  <c r="B124" i="30"/>
  <c r="C124" i="30"/>
  <c r="D124" i="30"/>
  <c r="E124" i="30"/>
  <c r="F124" i="30"/>
  <c r="G124" i="30"/>
  <c r="H124" i="30"/>
  <c r="I124" i="30"/>
  <c r="J124" i="30"/>
  <c r="K124" i="30"/>
  <c r="L124" i="30"/>
  <c r="M124" i="30"/>
  <c r="N124" i="30"/>
  <c r="O124" i="30"/>
  <c r="P124" i="30"/>
  <c r="Q124" i="30"/>
  <c r="R124" i="30"/>
  <c r="S124" i="30"/>
  <c r="T124" i="30"/>
  <c r="U124" i="30"/>
  <c r="V124" i="30"/>
  <c r="W124" i="30"/>
  <c r="X124" i="30"/>
  <c r="Y124" i="30"/>
  <c r="Z124" i="30"/>
  <c r="AA124" i="30"/>
  <c r="AB124" i="30"/>
  <c r="AC124" i="30"/>
  <c r="AD124" i="30"/>
  <c r="AE124" i="30"/>
  <c r="AF124" i="30"/>
  <c r="AG124" i="30"/>
  <c r="AH124" i="30"/>
  <c r="AI124" i="30"/>
  <c r="AJ124" i="30"/>
  <c r="AK124" i="30"/>
  <c r="AL124" i="30"/>
  <c r="AM124" i="30"/>
  <c r="AN124" i="30"/>
  <c r="AO124" i="30"/>
  <c r="AP124" i="30"/>
  <c r="AQ124" i="30"/>
  <c r="AR124" i="30"/>
  <c r="AS124" i="30"/>
  <c r="AT124" i="30"/>
  <c r="AU124" i="30"/>
  <c r="AV124" i="30"/>
  <c r="AW124" i="30"/>
  <c r="AX124" i="30"/>
  <c r="AY124" i="30"/>
  <c r="AZ124" i="30"/>
  <c r="BA124" i="30"/>
  <c r="BB124" i="30"/>
  <c r="BC124" i="30"/>
  <c r="BD124" i="30"/>
  <c r="BE124" i="30"/>
  <c r="BF124" i="30"/>
  <c r="BG124" i="30"/>
  <c r="BH124" i="30"/>
  <c r="BI124" i="30"/>
  <c r="BJ124" i="30"/>
  <c r="BK124" i="30"/>
  <c r="BL124" i="30"/>
  <c r="BM124" i="30"/>
  <c r="BN124" i="30"/>
  <c r="BO124" i="30"/>
  <c r="BP124" i="30"/>
  <c r="BQ124" i="30"/>
  <c r="BR124" i="30"/>
  <c r="BS124" i="30"/>
  <c r="BT124" i="30"/>
  <c r="BU124" i="30"/>
  <c r="BV124" i="30"/>
  <c r="BW124" i="30"/>
  <c r="BX124" i="30"/>
  <c r="BY124" i="30"/>
  <c r="BZ124" i="30"/>
  <c r="CA124" i="30"/>
  <c r="CB124" i="30"/>
  <c r="CC124" i="30"/>
  <c r="CD124" i="30"/>
  <c r="CE124" i="30"/>
  <c r="CF124" i="30"/>
  <c r="CG124" i="30"/>
  <c r="CH124" i="30"/>
  <c r="CI124" i="30"/>
  <c r="CJ124" i="30"/>
  <c r="CK124" i="30"/>
  <c r="CL124" i="30"/>
  <c r="CM124" i="30"/>
  <c r="CN124" i="30"/>
  <c r="CO124" i="30"/>
  <c r="CP124" i="30"/>
  <c r="CQ124" i="30"/>
  <c r="CR124" i="30"/>
  <c r="CS124" i="30"/>
  <c r="CT124" i="30"/>
  <c r="CU124" i="30"/>
  <c r="CV124" i="30"/>
  <c r="CW124" i="30"/>
  <c r="CX124" i="30"/>
  <c r="CY124" i="30"/>
  <c r="CZ124" i="30"/>
  <c r="DA124" i="30"/>
  <c r="DB124" i="30"/>
  <c r="DC124" i="30"/>
  <c r="DD124" i="30"/>
  <c r="DE124" i="30"/>
  <c r="DF124" i="30"/>
  <c r="DG124" i="30"/>
  <c r="DH124" i="30"/>
  <c r="DI124" i="30"/>
  <c r="DJ124" i="30"/>
  <c r="DK124" i="30"/>
  <c r="DL124" i="30"/>
  <c r="DM124" i="30"/>
  <c r="DN124" i="30"/>
  <c r="DO124" i="30"/>
  <c r="DP124" i="30"/>
  <c r="DQ124" i="30"/>
  <c r="DR124" i="30"/>
  <c r="DS124" i="30"/>
  <c r="DT124" i="30"/>
  <c r="DU124" i="30"/>
  <c r="DV124" i="30"/>
  <c r="DW124" i="30"/>
  <c r="DX124" i="30"/>
  <c r="DY124" i="30"/>
  <c r="DZ124" i="30"/>
  <c r="EA124" i="30"/>
  <c r="EB124" i="30"/>
  <c r="EC124" i="30"/>
  <c r="ED124" i="30"/>
  <c r="EE124" i="30"/>
  <c r="EF124" i="30"/>
  <c r="EG124" i="30"/>
  <c r="EH124" i="30"/>
  <c r="EI124" i="30"/>
  <c r="EJ124" i="30"/>
  <c r="EK124" i="30"/>
  <c r="EL124" i="30"/>
  <c r="EM124" i="30"/>
  <c r="EN124" i="30"/>
  <c r="EO124" i="30"/>
  <c r="EP124" i="30"/>
  <c r="EQ124" i="30"/>
  <c r="ER124" i="30"/>
  <c r="ES124" i="30"/>
  <c r="ET124" i="30"/>
  <c r="EU124" i="30"/>
  <c r="EV124" i="30"/>
  <c r="EW124" i="30"/>
  <c r="EX124" i="30"/>
  <c r="EY124" i="30"/>
  <c r="EZ124" i="30"/>
  <c r="FA124" i="30"/>
  <c r="FB124" i="30"/>
  <c r="FC124" i="30"/>
  <c r="FD124" i="30"/>
  <c r="FE124" i="30"/>
  <c r="FF124" i="30"/>
  <c r="FG124" i="30"/>
  <c r="FH124" i="30"/>
  <c r="FI124" i="30"/>
  <c r="FJ124" i="30"/>
  <c r="FK124" i="30"/>
  <c r="FL124" i="30"/>
  <c r="FM124" i="30"/>
  <c r="FN124" i="30"/>
  <c r="FO124" i="30"/>
  <c r="FP124" i="30"/>
  <c r="FQ124" i="30"/>
  <c r="FR124" i="30"/>
  <c r="FS124" i="30"/>
  <c r="FT124" i="30"/>
  <c r="FU124" i="30"/>
  <c r="FV124" i="30"/>
  <c r="FW124" i="30"/>
  <c r="FX124" i="30"/>
  <c r="FY124" i="30"/>
  <c r="FZ124" i="30"/>
  <c r="GA124" i="30"/>
  <c r="GB124" i="30"/>
  <c r="GC124" i="30"/>
  <c r="GD124" i="30"/>
  <c r="GE124" i="30"/>
  <c r="GF124" i="30"/>
  <c r="GG124" i="30"/>
  <c r="GH124" i="30"/>
  <c r="GI124" i="30"/>
  <c r="GJ124" i="30"/>
  <c r="GK124" i="30"/>
  <c r="GL124" i="30"/>
  <c r="GM124" i="30"/>
  <c r="GN124" i="30"/>
  <c r="GO124" i="30"/>
  <c r="GP124" i="30"/>
  <c r="GQ124" i="30"/>
  <c r="GR124" i="30"/>
  <c r="GS124" i="30"/>
  <c r="GT124" i="30"/>
  <c r="GU124" i="30"/>
  <c r="GV124" i="30"/>
  <c r="GW124" i="30"/>
  <c r="GX124" i="30"/>
  <c r="GY124" i="30"/>
  <c r="GZ124" i="30"/>
  <c r="HA124" i="30"/>
  <c r="HB124" i="30"/>
  <c r="HC124" i="30"/>
  <c r="HD124" i="30"/>
  <c r="HE124" i="30"/>
  <c r="HF124" i="30"/>
  <c r="HG124" i="30"/>
  <c r="HH124" i="30"/>
  <c r="HI124" i="30"/>
  <c r="HJ124" i="30"/>
  <c r="HK124" i="30"/>
  <c r="HL124" i="30"/>
  <c r="HM124" i="30"/>
  <c r="HN124" i="30"/>
  <c r="HO124" i="30"/>
  <c r="HP124" i="30"/>
  <c r="HQ124" i="30"/>
  <c r="HR124" i="30"/>
  <c r="HS124" i="30"/>
  <c r="HT124" i="30"/>
  <c r="HU124" i="30"/>
  <c r="HV124" i="30"/>
  <c r="HW124" i="30"/>
  <c r="HX124" i="30"/>
  <c r="HY124" i="30"/>
  <c r="HZ124" i="30"/>
  <c r="IA124" i="30"/>
  <c r="IB124" i="30"/>
  <c r="IC124" i="30"/>
  <c r="ID124" i="30"/>
  <c r="IE124" i="30"/>
  <c r="IF124" i="30"/>
  <c r="IG124" i="30"/>
  <c r="IH124" i="30"/>
  <c r="II124" i="30"/>
  <c r="IJ124" i="30"/>
  <c r="IK124" i="30"/>
  <c r="IL124" i="30"/>
  <c r="IM124" i="30"/>
  <c r="IN124" i="30"/>
  <c r="IO124" i="30"/>
  <c r="IP124" i="30"/>
  <c r="IQ124" i="30"/>
  <c r="IR124" i="30"/>
  <c r="IS124" i="30"/>
  <c r="IT124" i="30"/>
  <c r="IU124" i="30"/>
  <c r="IV124" i="30"/>
  <c r="A123" i="30"/>
  <c r="B123" i="30"/>
  <c r="C123" i="30"/>
  <c r="D123" i="30"/>
  <c r="E123" i="30"/>
  <c r="F123" i="30"/>
  <c r="G123" i="30"/>
  <c r="H123" i="30"/>
  <c r="I123" i="30"/>
  <c r="J123" i="30"/>
  <c r="K123" i="30"/>
  <c r="L123" i="30"/>
  <c r="M123" i="30"/>
  <c r="N123" i="30"/>
  <c r="O123" i="30"/>
  <c r="P123" i="30"/>
  <c r="Q123" i="30"/>
  <c r="R123" i="30"/>
  <c r="S123" i="30"/>
  <c r="T123" i="30"/>
  <c r="U123" i="30"/>
  <c r="V123" i="30"/>
  <c r="W123" i="30"/>
  <c r="X123" i="30"/>
  <c r="Y123" i="30"/>
  <c r="Z123" i="30"/>
  <c r="AA123" i="30"/>
  <c r="AB123" i="30"/>
  <c r="AC123" i="30"/>
  <c r="AD123" i="30"/>
  <c r="AE123" i="30"/>
  <c r="AF123" i="30"/>
  <c r="AG123" i="30"/>
  <c r="AH123" i="30"/>
  <c r="AI123" i="30"/>
  <c r="AJ123" i="30"/>
  <c r="AK123" i="30"/>
  <c r="AL123" i="30"/>
  <c r="AM123" i="30"/>
  <c r="AN123" i="30"/>
  <c r="AO123" i="30"/>
  <c r="AP123" i="30"/>
  <c r="AQ123" i="30"/>
  <c r="AR123" i="30"/>
  <c r="AS123" i="30"/>
  <c r="AT123" i="30"/>
  <c r="AU123" i="30"/>
  <c r="AV123" i="30"/>
  <c r="AW123" i="30"/>
  <c r="AX123" i="30"/>
  <c r="AY123" i="30"/>
  <c r="AZ123" i="30"/>
  <c r="BA123" i="30"/>
  <c r="BB123" i="30"/>
  <c r="BC123" i="30"/>
  <c r="BD123" i="30"/>
  <c r="BE123" i="30"/>
  <c r="BF123" i="30"/>
  <c r="BG123" i="30"/>
  <c r="BH123" i="30"/>
  <c r="BI123" i="30"/>
  <c r="BJ123" i="30"/>
  <c r="BK123" i="30"/>
  <c r="BL123" i="30"/>
  <c r="BM123" i="30"/>
  <c r="BN123" i="30"/>
  <c r="BO123" i="30"/>
  <c r="BP123" i="30"/>
  <c r="BQ123" i="30"/>
  <c r="BR123" i="30"/>
  <c r="BS123" i="30"/>
  <c r="BT123" i="30"/>
  <c r="BU123" i="30"/>
  <c r="BV123" i="30"/>
  <c r="BW123" i="30"/>
  <c r="BX123" i="30"/>
  <c r="BY123" i="30"/>
  <c r="BZ123" i="30"/>
  <c r="CA123" i="30"/>
  <c r="CB123" i="30"/>
  <c r="CC123" i="30"/>
  <c r="CD123" i="30"/>
  <c r="CE123" i="30"/>
  <c r="CF123" i="30"/>
  <c r="CG123" i="30"/>
  <c r="CH123" i="30"/>
  <c r="CI123" i="30"/>
  <c r="CJ123" i="30"/>
  <c r="CK123" i="30"/>
  <c r="CL123" i="30"/>
  <c r="CM123" i="30"/>
  <c r="CN123" i="30"/>
  <c r="CO123" i="30"/>
  <c r="CP123" i="30"/>
  <c r="CQ123" i="30"/>
  <c r="CR123" i="30"/>
  <c r="CS123" i="30"/>
  <c r="CT123" i="30"/>
  <c r="CU123" i="30"/>
  <c r="CV123" i="30"/>
  <c r="CW123" i="30"/>
  <c r="CX123" i="30"/>
  <c r="CY123" i="30"/>
  <c r="CZ123" i="30"/>
  <c r="DA123" i="30"/>
  <c r="DB123" i="30"/>
  <c r="DC123" i="30"/>
  <c r="DD123" i="30"/>
  <c r="DE123" i="30"/>
  <c r="DF123" i="30"/>
  <c r="DG123" i="30"/>
  <c r="DH123" i="30"/>
  <c r="DI123" i="30"/>
  <c r="DJ123" i="30"/>
  <c r="DK123" i="30"/>
  <c r="DL123" i="30"/>
  <c r="DM123" i="30"/>
  <c r="DN123" i="30"/>
  <c r="DO123" i="30"/>
  <c r="DP123" i="30"/>
  <c r="DQ123" i="30"/>
  <c r="DR123" i="30"/>
  <c r="DS123" i="30"/>
  <c r="DT123" i="30"/>
  <c r="DU123" i="30"/>
  <c r="DV123" i="30"/>
  <c r="DW123" i="30"/>
  <c r="DX123" i="30"/>
  <c r="DY123" i="30"/>
  <c r="DZ123" i="30"/>
  <c r="EA123" i="30"/>
  <c r="EB123" i="30"/>
  <c r="EC123" i="30"/>
  <c r="ED123" i="30"/>
  <c r="EE123" i="30"/>
  <c r="EF123" i="30"/>
  <c r="EG123" i="30"/>
  <c r="EH123" i="30"/>
  <c r="EI123" i="30"/>
  <c r="EJ123" i="30"/>
  <c r="EK123" i="30"/>
  <c r="EL123" i="30"/>
  <c r="EM123" i="30"/>
  <c r="EN123" i="30"/>
  <c r="EO123" i="30"/>
  <c r="EP123" i="30"/>
  <c r="EQ123" i="30"/>
  <c r="ER123" i="30"/>
  <c r="ES123" i="30"/>
  <c r="ET123" i="30"/>
  <c r="EU123" i="30"/>
  <c r="EV123" i="30"/>
  <c r="EW123" i="30"/>
  <c r="EX123" i="30"/>
  <c r="EY123" i="30"/>
  <c r="EZ123" i="30"/>
  <c r="FA123" i="30"/>
  <c r="FB123" i="30"/>
  <c r="FC123" i="30"/>
  <c r="FD123" i="30"/>
  <c r="FE123" i="30"/>
  <c r="FF123" i="30"/>
  <c r="FG123" i="30"/>
  <c r="FH123" i="30"/>
  <c r="FI123" i="30"/>
  <c r="FJ123" i="30"/>
  <c r="FK123" i="30"/>
  <c r="FL123" i="30"/>
  <c r="FM123" i="30"/>
  <c r="FN123" i="30"/>
  <c r="FO123" i="30"/>
  <c r="FP123" i="30"/>
  <c r="FQ123" i="30"/>
  <c r="FR123" i="30"/>
  <c r="FS123" i="30"/>
  <c r="FT123" i="30"/>
  <c r="FU123" i="30"/>
  <c r="FV123" i="30"/>
  <c r="FW123" i="30"/>
  <c r="FX123" i="30"/>
  <c r="FY123" i="30"/>
  <c r="FZ123" i="30"/>
  <c r="GA123" i="30"/>
  <c r="GB123" i="30"/>
  <c r="GC123" i="30"/>
  <c r="GD123" i="30"/>
  <c r="GE123" i="30"/>
  <c r="GF123" i="30"/>
  <c r="GG123" i="30"/>
  <c r="GH123" i="30"/>
  <c r="GI123" i="30"/>
  <c r="GJ123" i="30"/>
  <c r="GK123" i="30"/>
  <c r="GL123" i="30"/>
  <c r="GM123" i="30"/>
  <c r="GN123" i="30"/>
  <c r="GO123" i="30"/>
  <c r="GP123" i="30"/>
  <c r="GQ123" i="30"/>
  <c r="GR123" i="30"/>
  <c r="GS123" i="30"/>
  <c r="GT123" i="30"/>
  <c r="GU123" i="30"/>
  <c r="GV123" i="30"/>
  <c r="GW123" i="30"/>
  <c r="GX123" i="30"/>
  <c r="GY123" i="30"/>
  <c r="GZ123" i="30"/>
  <c r="HA123" i="30"/>
  <c r="HB123" i="30"/>
  <c r="HC123" i="30"/>
  <c r="HD123" i="30"/>
  <c r="HE123" i="30"/>
  <c r="HF123" i="30"/>
  <c r="HG123" i="30"/>
  <c r="HH123" i="30"/>
  <c r="HI123" i="30"/>
  <c r="HJ123" i="30"/>
  <c r="HK123" i="30"/>
  <c r="HL123" i="30"/>
  <c r="HM123" i="30"/>
  <c r="HN123" i="30"/>
  <c r="HO123" i="30"/>
  <c r="HP123" i="30"/>
  <c r="HQ123" i="30"/>
  <c r="HR123" i="30"/>
  <c r="HS123" i="30"/>
  <c r="HT123" i="30"/>
  <c r="HU123" i="30"/>
  <c r="HV123" i="30"/>
  <c r="HW123" i="30"/>
  <c r="HX123" i="30"/>
  <c r="HY123" i="30"/>
  <c r="HZ123" i="30"/>
  <c r="IA123" i="30"/>
  <c r="IB123" i="30"/>
  <c r="IC123" i="30"/>
  <c r="ID123" i="30"/>
  <c r="IE123" i="30"/>
  <c r="IF123" i="30"/>
  <c r="IG123" i="30"/>
  <c r="IH123" i="30"/>
  <c r="II123" i="30"/>
  <c r="IJ123" i="30"/>
  <c r="IK123" i="30"/>
  <c r="IL123" i="30"/>
  <c r="IM123" i="30"/>
  <c r="IN123" i="30"/>
  <c r="IO123" i="30"/>
  <c r="IP123" i="30"/>
  <c r="IQ123" i="30"/>
  <c r="IR123" i="30"/>
  <c r="IS123" i="30"/>
  <c r="IT123" i="30"/>
  <c r="IU123" i="30"/>
  <c r="IV123" i="30"/>
  <c r="A122" i="30"/>
  <c r="B122" i="30"/>
  <c r="C122" i="30"/>
  <c r="D122" i="30"/>
  <c r="E122" i="30"/>
  <c r="F122" i="30"/>
  <c r="G122" i="30"/>
  <c r="H122" i="30"/>
  <c r="I122" i="30"/>
  <c r="J122" i="30"/>
  <c r="K122" i="30"/>
  <c r="L122" i="30"/>
  <c r="M122" i="30"/>
  <c r="N122" i="30"/>
  <c r="O122" i="30"/>
  <c r="P122" i="30"/>
  <c r="Q122" i="30"/>
  <c r="R122" i="30"/>
  <c r="S122" i="30"/>
  <c r="T122" i="30"/>
  <c r="U122" i="30"/>
  <c r="V122" i="30"/>
  <c r="W122" i="30"/>
  <c r="X122" i="30"/>
  <c r="Y122" i="30"/>
  <c r="Z122" i="30"/>
  <c r="AA122" i="30"/>
  <c r="AB122" i="30"/>
  <c r="AC122" i="30"/>
  <c r="AD122" i="30"/>
  <c r="AE122" i="30"/>
  <c r="AF122" i="30"/>
  <c r="AG122" i="30"/>
  <c r="AH122" i="30"/>
  <c r="AI122" i="30"/>
  <c r="AJ122" i="30"/>
  <c r="AK122" i="30"/>
  <c r="AL122" i="30"/>
  <c r="AM122" i="30"/>
  <c r="AN122" i="30"/>
  <c r="AO122" i="30"/>
  <c r="AP122" i="30"/>
  <c r="AQ122" i="30"/>
  <c r="AR122" i="30"/>
  <c r="AS122" i="30"/>
  <c r="AT122" i="30"/>
  <c r="AU122" i="30"/>
  <c r="AV122" i="30"/>
  <c r="AW122" i="30"/>
  <c r="AX122" i="30"/>
  <c r="AY122" i="30"/>
  <c r="AZ122" i="30"/>
  <c r="BA122" i="30"/>
  <c r="BB122" i="30"/>
  <c r="BC122" i="30"/>
  <c r="BD122" i="30"/>
  <c r="BE122" i="30"/>
  <c r="BF122" i="30"/>
  <c r="BG122" i="30"/>
  <c r="BH122" i="30"/>
  <c r="BI122" i="30"/>
  <c r="BJ122" i="30"/>
  <c r="BK122" i="30"/>
  <c r="BL122" i="30"/>
  <c r="BM122" i="30"/>
  <c r="BN122" i="30"/>
  <c r="BO122" i="30"/>
  <c r="BP122" i="30"/>
  <c r="BQ122" i="30"/>
  <c r="BR122" i="30"/>
  <c r="BS122" i="30"/>
  <c r="BT122" i="30"/>
  <c r="BU122" i="30"/>
  <c r="BV122" i="30"/>
  <c r="BW122" i="30"/>
  <c r="BX122" i="30"/>
  <c r="BY122" i="30"/>
  <c r="BZ122" i="30"/>
  <c r="CA122" i="30"/>
  <c r="CB122" i="30"/>
  <c r="CC122" i="30"/>
  <c r="CD122" i="30"/>
  <c r="CE122" i="30"/>
  <c r="CF122" i="30"/>
  <c r="CG122" i="30"/>
  <c r="CH122" i="30"/>
  <c r="CI122" i="30"/>
  <c r="CJ122" i="30"/>
  <c r="CK122" i="30"/>
  <c r="CL122" i="30"/>
  <c r="CM122" i="30"/>
  <c r="CN122" i="30"/>
  <c r="CO122" i="30"/>
  <c r="CP122" i="30"/>
  <c r="CQ122" i="30"/>
  <c r="CR122" i="30"/>
  <c r="CS122" i="30"/>
  <c r="CT122" i="30"/>
  <c r="CU122" i="30"/>
  <c r="CV122" i="30"/>
  <c r="CW122" i="30"/>
  <c r="CX122" i="30"/>
  <c r="CY122" i="30"/>
  <c r="CZ122" i="30"/>
  <c r="DA122" i="30"/>
  <c r="DB122" i="30"/>
  <c r="DC122" i="30"/>
  <c r="DD122" i="30"/>
  <c r="DE122" i="30"/>
  <c r="DF122" i="30"/>
  <c r="DG122" i="30"/>
  <c r="DH122" i="30"/>
  <c r="DI122" i="30"/>
  <c r="DJ122" i="30"/>
  <c r="DK122" i="30"/>
  <c r="DL122" i="30"/>
  <c r="DM122" i="30"/>
  <c r="DN122" i="30"/>
  <c r="DO122" i="30"/>
  <c r="DP122" i="30"/>
  <c r="DQ122" i="30"/>
  <c r="DR122" i="30"/>
  <c r="DS122" i="30"/>
  <c r="DT122" i="30"/>
  <c r="DU122" i="30"/>
  <c r="DV122" i="30"/>
  <c r="DW122" i="30"/>
  <c r="DX122" i="30"/>
  <c r="DY122" i="30"/>
  <c r="DZ122" i="30"/>
  <c r="EA122" i="30"/>
  <c r="EB122" i="30"/>
  <c r="EC122" i="30"/>
  <c r="ED122" i="30"/>
  <c r="EE122" i="30"/>
  <c r="EF122" i="30"/>
  <c r="EG122" i="30"/>
  <c r="EH122" i="30"/>
  <c r="EI122" i="30"/>
  <c r="EJ122" i="30"/>
  <c r="EK122" i="30"/>
  <c r="EL122" i="30"/>
  <c r="EM122" i="30"/>
  <c r="EN122" i="30"/>
  <c r="EO122" i="30"/>
  <c r="EP122" i="30"/>
  <c r="EQ122" i="30"/>
  <c r="ER122" i="30"/>
  <c r="ES122" i="30"/>
  <c r="ET122" i="30"/>
  <c r="EU122" i="30"/>
  <c r="EV122" i="30"/>
  <c r="EW122" i="30"/>
  <c r="EX122" i="30"/>
  <c r="EY122" i="30"/>
  <c r="EZ122" i="30"/>
  <c r="FA122" i="30"/>
  <c r="FB122" i="30"/>
  <c r="FC122" i="30"/>
  <c r="FD122" i="30"/>
  <c r="FE122" i="30"/>
  <c r="FF122" i="30"/>
  <c r="FG122" i="30"/>
  <c r="FH122" i="30"/>
  <c r="FI122" i="30"/>
  <c r="FJ122" i="30"/>
  <c r="FK122" i="30"/>
  <c r="FL122" i="30"/>
  <c r="FM122" i="30"/>
  <c r="FN122" i="30"/>
  <c r="FO122" i="30"/>
  <c r="FP122" i="30"/>
  <c r="FQ122" i="30"/>
  <c r="FR122" i="30"/>
  <c r="FS122" i="30"/>
  <c r="FT122" i="30"/>
  <c r="FU122" i="30"/>
  <c r="FV122" i="30"/>
  <c r="FW122" i="30"/>
  <c r="FX122" i="30"/>
  <c r="FY122" i="30"/>
  <c r="FZ122" i="30"/>
  <c r="GA122" i="30"/>
  <c r="GB122" i="30"/>
  <c r="GC122" i="30"/>
  <c r="GD122" i="30"/>
  <c r="GE122" i="30"/>
  <c r="GF122" i="30"/>
  <c r="GG122" i="30"/>
  <c r="GH122" i="30"/>
  <c r="GI122" i="30"/>
  <c r="GJ122" i="30"/>
  <c r="GK122" i="30"/>
  <c r="GL122" i="30"/>
  <c r="GM122" i="30"/>
  <c r="GN122" i="30"/>
  <c r="GO122" i="30"/>
  <c r="GP122" i="30"/>
  <c r="GQ122" i="30"/>
  <c r="GR122" i="30"/>
  <c r="GS122" i="30"/>
  <c r="GT122" i="30"/>
  <c r="GU122" i="30"/>
  <c r="GV122" i="30"/>
  <c r="GW122" i="30"/>
  <c r="GX122" i="30"/>
  <c r="GY122" i="30"/>
  <c r="GZ122" i="30"/>
  <c r="HA122" i="30"/>
  <c r="HB122" i="30"/>
  <c r="HC122" i="30"/>
  <c r="HD122" i="30"/>
  <c r="HE122" i="30"/>
  <c r="HF122" i="30"/>
  <c r="HG122" i="30"/>
  <c r="HH122" i="30"/>
  <c r="HI122" i="30"/>
  <c r="HJ122" i="30"/>
  <c r="HK122" i="30"/>
  <c r="HL122" i="30"/>
  <c r="HM122" i="30"/>
  <c r="HN122" i="30"/>
  <c r="HO122" i="30"/>
  <c r="HP122" i="30"/>
  <c r="HQ122" i="30"/>
  <c r="HR122" i="30"/>
  <c r="HS122" i="30"/>
  <c r="HT122" i="30"/>
  <c r="HU122" i="30"/>
  <c r="HV122" i="30"/>
  <c r="HW122" i="30"/>
  <c r="HX122" i="30"/>
  <c r="HY122" i="30"/>
  <c r="HZ122" i="30"/>
  <c r="IA122" i="30"/>
  <c r="IB122" i="30"/>
  <c r="IC122" i="30"/>
  <c r="ID122" i="30"/>
  <c r="IE122" i="30"/>
  <c r="IF122" i="30"/>
  <c r="IG122" i="30"/>
  <c r="IH122" i="30"/>
  <c r="II122" i="30"/>
  <c r="IJ122" i="30"/>
  <c r="IK122" i="30"/>
  <c r="IL122" i="30"/>
  <c r="IM122" i="30"/>
  <c r="IN122" i="30"/>
  <c r="IO122" i="30"/>
  <c r="IP122" i="30"/>
  <c r="IQ122" i="30"/>
  <c r="IR122" i="30"/>
  <c r="IS122" i="30"/>
  <c r="IT122" i="30"/>
  <c r="IU122" i="30"/>
  <c r="IV122" i="30"/>
  <c r="A121" i="30"/>
  <c r="B121" i="30"/>
  <c r="C121" i="30"/>
  <c r="D121" i="30"/>
  <c r="E121" i="30"/>
  <c r="F121" i="30"/>
  <c r="G121" i="30"/>
  <c r="H121" i="30"/>
  <c r="I121" i="30"/>
  <c r="J121" i="30"/>
  <c r="K121" i="30"/>
  <c r="L121" i="30"/>
  <c r="M121" i="30"/>
  <c r="N121" i="30"/>
  <c r="O121" i="30"/>
  <c r="P121" i="30"/>
  <c r="Q121" i="30"/>
  <c r="R121" i="30"/>
  <c r="S121" i="30"/>
  <c r="T121" i="30"/>
  <c r="U121" i="30"/>
  <c r="V121" i="30"/>
  <c r="W121" i="30"/>
  <c r="X121" i="30"/>
  <c r="Y121" i="30"/>
  <c r="Z121" i="30"/>
  <c r="AA121" i="30"/>
  <c r="AB121" i="30"/>
  <c r="AC121" i="30"/>
  <c r="AD121" i="30"/>
  <c r="AE121" i="30"/>
  <c r="AF121" i="30"/>
  <c r="AG121" i="30"/>
  <c r="AH121" i="30"/>
  <c r="AI121" i="30"/>
  <c r="AJ121" i="30"/>
  <c r="AK121" i="30"/>
  <c r="AL121" i="30"/>
  <c r="AM121" i="30"/>
  <c r="AN121" i="30"/>
  <c r="AO121" i="30"/>
  <c r="AP121" i="30"/>
  <c r="AQ121" i="30"/>
  <c r="AR121" i="30"/>
  <c r="AS121" i="30"/>
  <c r="AT121" i="30"/>
  <c r="AU121" i="30"/>
  <c r="AV121" i="30"/>
  <c r="AW121" i="30"/>
  <c r="AX121" i="30"/>
  <c r="AY121" i="30"/>
  <c r="AZ121" i="30"/>
  <c r="BA121" i="30"/>
  <c r="BB121" i="30"/>
  <c r="BC121" i="30"/>
  <c r="BD121" i="30"/>
  <c r="BE121" i="30"/>
  <c r="BF121" i="30"/>
  <c r="BG121" i="30"/>
  <c r="BH121" i="30"/>
  <c r="BI121" i="30"/>
  <c r="BJ121" i="30"/>
  <c r="BK121" i="30"/>
  <c r="BL121" i="30"/>
  <c r="BM121" i="30"/>
  <c r="BN121" i="30"/>
  <c r="BO121" i="30"/>
  <c r="BP121" i="30"/>
  <c r="BQ121" i="30"/>
  <c r="BR121" i="30"/>
  <c r="BS121" i="30"/>
  <c r="BT121" i="30"/>
  <c r="BU121" i="30"/>
  <c r="BV121" i="30"/>
  <c r="BW121" i="30"/>
  <c r="BX121" i="30"/>
  <c r="BY121" i="30"/>
  <c r="BZ121" i="30"/>
  <c r="CA121" i="30"/>
  <c r="CB121" i="30"/>
  <c r="CC121" i="30"/>
  <c r="CD121" i="30"/>
  <c r="CE121" i="30"/>
  <c r="CF121" i="30"/>
  <c r="CG121" i="30"/>
  <c r="CH121" i="30"/>
  <c r="CI121" i="30"/>
  <c r="CJ121" i="30"/>
  <c r="CK121" i="30"/>
  <c r="CL121" i="30"/>
  <c r="CM121" i="30"/>
  <c r="CN121" i="30"/>
  <c r="CO121" i="30"/>
  <c r="CP121" i="30"/>
  <c r="CQ121" i="30"/>
  <c r="CR121" i="30"/>
  <c r="CS121" i="30"/>
  <c r="CT121" i="30"/>
  <c r="CU121" i="30"/>
  <c r="CV121" i="30"/>
  <c r="CW121" i="30"/>
  <c r="CX121" i="30"/>
  <c r="CY121" i="30"/>
  <c r="CZ121" i="30"/>
  <c r="DA121" i="30"/>
  <c r="DB121" i="30"/>
  <c r="DC121" i="30"/>
  <c r="DD121" i="30"/>
  <c r="DE121" i="30"/>
  <c r="DF121" i="30"/>
  <c r="DG121" i="30"/>
  <c r="DH121" i="30"/>
  <c r="DI121" i="30"/>
  <c r="DJ121" i="30"/>
  <c r="DK121" i="30"/>
  <c r="DL121" i="30"/>
  <c r="DM121" i="30"/>
  <c r="DN121" i="30"/>
  <c r="DO121" i="30"/>
  <c r="DP121" i="30"/>
  <c r="DQ121" i="30"/>
  <c r="DR121" i="30"/>
  <c r="DS121" i="30"/>
  <c r="DT121" i="30"/>
  <c r="DU121" i="30"/>
  <c r="DV121" i="30"/>
  <c r="DW121" i="30"/>
  <c r="DX121" i="30"/>
  <c r="DY121" i="30"/>
  <c r="DZ121" i="30"/>
  <c r="EA121" i="30"/>
  <c r="EB121" i="30"/>
  <c r="EC121" i="30"/>
  <c r="ED121" i="30"/>
  <c r="EE121" i="30"/>
  <c r="EF121" i="30"/>
  <c r="EG121" i="30"/>
  <c r="EH121" i="30"/>
  <c r="EI121" i="30"/>
  <c r="EJ121" i="30"/>
  <c r="EK121" i="30"/>
  <c r="EL121" i="30"/>
  <c r="EM121" i="30"/>
  <c r="EN121" i="30"/>
  <c r="EO121" i="30"/>
  <c r="EP121" i="30"/>
  <c r="EQ121" i="30"/>
  <c r="ER121" i="30"/>
  <c r="ES121" i="30"/>
  <c r="ET121" i="30"/>
  <c r="EU121" i="30"/>
  <c r="EV121" i="30"/>
  <c r="EW121" i="30"/>
  <c r="EX121" i="30"/>
  <c r="EY121" i="30"/>
  <c r="EZ121" i="30"/>
  <c r="FA121" i="30"/>
  <c r="FB121" i="30"/>
  <c r="FC121" i="30"/>
  <c r="FD121" i="30"/>
  <c r="FE121" i="30"/>
  <c r="FF121" i="30"/>
  <c r="FG121" i="30"/>
  <c r="FH121" i="30"/>
  <c r="FI121" i="30"/>
  <c r="FJ121" i="30"/>
  <c r="FK121" i="30"/>
  <c r="FL121" i="30"/>
  <c r="FM121" i="30"/>
  <c r="FN121" i="30"/>
  <c r="FO121" i="30"/>
  <c r="FP121" i="30"/>
  <c r="FQ121" i="30"/>
  <c r="FR121" i="30"/>
  <c r="FS121" i="30"/>
  <c r="FT121" i="30"/>
  <c r="FU121" i="30"/>
  <c r="FV121" i="30"/>
  <c r="FW121" i="30"/>
  <c r="FX121" i="30"/>
  <c r="FY121" i="30"/>
  <c r="FZ121" i="30"/>
  <c r="GA121" i="30"/>
  <c r="GB121" i="30"/>
  <c r="GC121" i="30"/>
  <c r="GD121" i="30"/>
  <c r="GE121" i="30"/>
  <c r="GF121" i="30"/>
  <c r="GG121" i="30"/>
  <c r="GH121" i="30"/>
  <c r="GI121" i="30"/>
  <c r="GJ121" i="30"/>
  <c r="GK121" i="30"/>
  <c r="GL121" i="30"/>
  <c r="GM121" i="30"/>
  <c r="GN121" i="30"/>
  <c r="GO121" i="30"/>
  <c r="GP121" i="30"/>
  <c r="GQ121" i="30"/>
  <c r="GR121" i="30"/>
  <c r="GS121" i="30"/>
  <c r="GT121" i="30"/>
  <c r="GU121" i="30"/>
  <c r="GV121" i="30"/>
  <c r="GW121" i="30"/>
  <c r="GX121" i="30"/>
  <c r="GY121" i="30"/>
  <c r="GZ121" i="30"/>
  <c r="HA121" i="30"/>
  <c r="HB121" i="30"/>
  <c r="HC121" i="30"/>
  <c r="HD121" i="30"/>
  <c r="HE121" i="30"/>
  <c r="HF121" i="30"/>
  <c r="HG121" i="30"/>
  <c r="HH121" i="30"/>
  <c r="HI121" i="30"/>
  <c r="HJ121" i="30"/>
  <c r="HK121" i="30"/>
  <c r="HL121" i="30"/>
  <c r="HM121" i="30"/>
  <c r="HN121" i="30"/>
  <c r="HO121" i="30"/>
  <c r="HP121" i="30"/>
  <c r="HQ121" i="30"/>
  <c r="HR121" i="30"/>
  <c r="HS121" i="30"/>
  <c r="HT121" i="30"/>
  <c r="HU121" i="30"/>
  <c r="HV121" i="30"/>
  <c r="HW121" i="30"/>
  <c r="HX121" i="30"/>
  <c r="HY121" i="30"/>
  <c r="HZ121" i="30"/>
  <c r="IA121" i="30"/>
  <c r="IB121" i="30"/>
  <c r="IC121" i="30"/>
  <c r="ID121" i="30"/>
  <c r="IE121" i="30"/>
  <c r="IF121" i="30"/>
  <c r="IG121" i="30"/>
  <c r="IH121" i="30"/>
  <c r="II121" i="30"/>
  <c r="IJ121" i="30"/>
  <c r="IK121" i="30"/>
  <c r="IL121" i="30"/>
  <c r="IM121" i="30"/>
  <c r="IN121" i="30"/>
  <c r="IO121" i="30"/>
  <c r="IP121" i="30"/>
  <c r="IQ121" i="30"/>
  <c r="IR121" i="30"/>
  <c r="IS121" i="30"/>
  <c r="IT121" i="30"/>
  <c r="IU121" i="30"/>
  <c r="IV121" i="30"/>
  <c r="A120" i="30"/>
  <c r="B120" i="30"/>
  <c r="C120" i="30"/>
  <c r="D120" i="30"/>
  <c r="E120" i="30"/>
  <c r="F120" i="30"/>
  <c r="G120" i="30"/>
  <c r="H120" i="30"/>
  <c r="I120" i="30"/>
  <c r="J120" i="30"/>
  <c r="K120" i="30"/>
  <c r="L120" i="30"/>
  <c r="M120" i="30"/>
  <c r="N120" i="30"/>
  <c r="O120" i="30"/>
  <c r="P120" i="30"/>
  <c r="Q120" i="30"/>
  <c r="R120" i="30"/>
  <c r="S120" i="30"/>
  <c r="T120" i="30"/>
  <c r="U120" i="30"/>
  <c r="V120" i="30"/>
  <c r="W120" i="30"/>
  <c r="X120" i="30"/>
  <c r="Y120" i="30"/>
  <c r="Z120" i="30"/>
  <c r="AA120" i="30"/>
  <c r="AB120" i="30"/>
  <c r="AC120" i="30"/>
  <c r="AD120" i="30"/>
  <c r="AE120" i="30"/>
  <c r="AF120" i="30"/>
  <c r="AG120" i="30"/>
  <c r="AH120" i="30"/>
  <c r="AI120" i="30"/>
  <c r="AJ120" i="30"/>
  <c r="AK120" i="30"/>
  <c r="AL120" i="30"/>
  <c r="AM120" i="30"/>
  <c r="AN120" i="30"/>
  <c r="AO120" i="30"/>
  <c r="AP120" i="30"/>
  <c r="AQ120" i="30"/>
  <c r="AR120" i="30"/>
  <c r="AS120" i="30"/>
  <c r="AT120" i="30"/>
  <c r="AU120" i="30"/>
  <c r="AV120" i="30"/>
  <c r="AW120" i="30"/>
  <c r="AX120" i="30"/>
  <c r="AY120" i="30"/>
  <c r="AZ120" i="30"/>
  <c r="BA120" i="30"/>
  <c r="BB120" i="30"/>
  <c r="BC120" i="30"/>
  <c r="BD120" i="30"/>
  <c r="BE120" i="30"/>
  <c r="BF120" i="30"/>
  <c r="BG120" i="30"/>
  <c r="BH120" i="30"/>
  <c r="BI120" i="30"/>
  <c r="BJ120" i="30"/>
  <c r="BK120" i="30"/>
  <c r="BL120" i="30"/>
  <c r="BM120" i="30"/>
  <c r="BN120" i="30"/>
  <c r="BO120" i="30"/>
  <c r="BP120" i="30"/>
  <c r="BQ120" i="30"/>
  <c r="BR120" i="30"/>
  <c r="BS120" i="30"/>
  <c r="BT120" i="30"/>
  <c r="BU120" i="30"/>
  <c r="BV120" i="30"/>
  <c r="BW120" i="30"/>
  <c r="BX120" i="30"/>
  <c r="BY120" i="30"/>
  <c r="BZ120" i="30"/>
  <c r="CA120" i="30"/>
  <c r="CB120" i="30"/>
  <c r="CC120" i="30"/>
  <c r="CD120" i="30"/>
  <c r="CE120" i="30"/>
  <c r="CF120" i="30"/>
  <c r="CG120" i="30"/>
  <c r="CH120" i="30"/>
  <c r="CI120" i="30"/>
  <c r="CJ120" i="30"/>
  <c r="CK120" i="30"/>
  <c r="CL120" i="30"/>
  <c r="CM120" i="30"/>
  <c r="CN120" i="30"/>
  <c r="CO120" i="30"/>
  <c r="CP120" i="30"/>
  <c r="CQ120" i="30"/>
  <c r="CR120" i="30"/>
  <c r="CS120" i="30"/>
  <c r="CT120" i="30"/>
  <c r="CU120" i="30"/>
  <c r="CV120" i="30"/>
  <c r="CW120" i="30"/>
  <c r="CX120" i="30"/>
  <c r="CY120" i="30"/>
  <c r="CZ120" i="30"/>
  <c r="DA120" i="30"/>
  <c r="DB120" i="30"/>
  <c r="DC120" i="30"/>
  <c r="DD120" i="30"/>
  <c r="DE120" i="30"/>
  <c r="DF120" i="30"/>
  <c r="DG120" i="30"/>
  <c r="DH120" i="30"/>
  <c r="DI120" i="30"/>
  <c r="DJ120" i="30"/>
  <c r="DK120" i="30"/>
  <c r="DL120" i="30"/>
  <c r="DM120" i="30"/>
  <c r="DN120" i="30"/>
  <c r="DO120" i="30"/>
  <c r="DP120" i="30"/>
  <c r="DQ120" i="30"/>
  <c r="DR120" i="30"/>
  <c r="DS120" i="30"/>
  <c r="DT120" i="30"/>
  <c r="DU120" i="30"/>
  <c r="DV120" i="30"/>
  <c r="DW120" i="30"/>
  <c r="DX120" i="30"/>
  <c r="DY120" i="30"/>
  <c r="DZ120" i="30"/>
  <c r="EA120" i="30"/>
  <c r="EB120" i="30"/>
  <c r="EC120" i="30"/>
  <c r="ED120" i="30"/>
  <c r="EE120" i="30"/>
  <c r="EF120" i="30"/>
  <c r="EG120" i="30"/>
  <c r="EH120" i="30"/>
  <c r="EI120" i="30"/>
  <c r="EJ120" i="30"/>
  <c r="EK120" i="30"/>
  <c r="EL120" i="30"/>
  <c r="EM120" i="30"/>
  <c r="EN120" i="30"/>
  <c r="EO120" i="30"/>
  <c r="EP120" i="30"/>
  <c r="EQ120" i="30"/>
  <c r="ER120" i="30"/>
  <c r="ES120" i="30"/>
  <c r="ET120" i="30"/>
  <c r="EU120" i="30"/>
  <c r="EV120" i="30"/>
  <c r="EW120" i="30"/>
  <c r="EX120" i="30"/>
  <c r="EY120" i="30"/>
  <c r="EZ120" i="30"/>
  <c r="FA120" i="30"/>
  <c r="FB120" i="30"/>
  <c r="FC120" i="30"/>
  <c r="FD120" i="30"/>
  <c r="FE120" i="30"/>
  <c r="FF120" i="30"/>
  <c r="FG120" i="30"/>
  <c r="FH120" i="30"/>
  <c r="FI120" i="30"/>
  <c r="FJ120" i="30"/>
  <c r="FK120" i="30"/>
  <c r="FL120" i="30"/>
  <c r="FM120" i="30"/>
  <c r="FN120" i="30"/>
  <c r="FO120" i="30"/>
  <c r="FP120" i="30"/>
  <c r="FQ120" i="30"/>
  <c r="FR120" i="30"/>
  <c r="FS120" i="30"/>
  <c r="FT120" i="30"/>
  <c r="FU120" i="30"/>
  <c r="FV120" i="30"/>
  <c r="FW120" i="30"/>
  <c r="FX120" i="30"/>
  <c r="FY120" i="30"/>
  <c r="FZ120" i="30"/>
  <c r="GA120" i="30"/>
  <c r="GB120" i="30"/>
  <c r="GC120" i="30"/>
  <c r="GD120" i="30"/>
  <c r="GE120" i="30"/>
  <c r="GF120" i="30"/>
  <c r="GG120" i="30"/>
  <c r="GH120" i="30"/>
  <c r="GI120" i="30"/>
  <c r="GJ120" i="30"/>
  <c r="GK120" i="30"/>
  <c r="GL120" i="30"/>
  <c r="GM120" i="30"/>
  <c r="GN120" i="30"/>
  <c r="GO120" i="30"/>
  <c r="GP120" i="30"/>
  <c r="GQ120" i="30"/>
  <c r="GR120" i="30"/>
  <c r="GS120" i="30"/>
  <c r="GT120" i="30"/>
  <c r="GU120" i="30"/>
  <c r="GV120" i="30"/>
  <c r="GW120" i="30"/>
  <c r="GX120" i="30"/>
  <c r="GY120" i="30"/>
  <c r="GZ120" i="30"/>
  <c r="HA120" i="30"/>
  <c r="HB120" i="30"/>
  <c r="HC120" i="30"/>
  <c r="HD120" i="30"/>
  <c r="HE120" i="30"/>
  <c r="HF120" i="30"/>
  <c r="HG120" i="30"/>
  <c r="HH120" i="30"/>
  <c r="HI120" i="30"/>
  <c r="HJ120" i="30"/>
  <c r="HK120" i="30"/>
  <c r="HL120" i="30"/>
  <c r="HM120" i="30"/>
  <c r="HN120" i="30"/>
  <c r="HO120" i="30"/>
  <c r="HP120" i="30"/>
  <c r="HQ120" i="30"/>
  <c r="HR120" i="30"/>
  <c r="HS120" i="30"/>
  <c r="HT120" i="30"/>
  <c r="HU120" i="30"/>
  <c r="HV120" i="30"/>
  <c r="HW120" i="30"/>
  <c r="HX120" i="30"/>
  <c r="HY120" i="30"/>
  <c r="HZ120" i="30"/>
  <c r="IA120" i="30"/>
  <c r="IB120" i="30"/>
  <c r="IC120" i="30"/>
  <c r="ID120" i="30"/>
  <c r="IE120" i="30"/>
  <c r="IF120" i="30"/>
  <c r="IG120" i="30"/>
  <c r="IH120" i="30"/>
  <c r="II120" i="30"/>
  <c r="IJ120" i="30"/>
  <c r="IK120" i="30"/>
  <c r="IL120" i="30"/>
  <c r="IM120" i="30"/>
  <c r="IN120" i="30"/>
  <c r="IO120" i="30"/>
  <c r="IP120" i="30"/>
  <c r="IQ120" i="30"/>
  <c r="IR120" i="30"/>
  <c r="IS120" i="30"/>
  <c r="IT120" i="30"/>
  <c r="IU120" i="30"/>
  <c r="IV120" i="30"/>
  <c r="A119" i="30"/>
  <c r="B119" i="30"/>
  <c r="C119" i="30"/>
  <c r="D119" i="30"/>
  <c r="E119" i="30"/>
  <c r="F119" i="30"/>
  <c r="G119" i="30"/>
  <c r="H119" i="30"/>
  <c r="I119" i="30"/>
  <c r="J119" i="30"/>
  <c r="K119" i="30"/>
  <c r="L119" i="30"/>
  <c r="M119" i="30"/>
  <c r="N119" i="30"/>
  <c r="O119" i="30"/>
  <c r="P119" i="30"/>
  <c r="Q119" i="30"/>
  <c r="R119" i="30"/>
  <c r="S119" i="30"/>
  <c r="T119" i="30"/>
  <c r="U119" i="30"/>
  <c r="V119" i="30"/>
  <c r="W119" i="30"/>
  <c r="X119" i="30"/>
  <c r="Y119" i="30"/>
  <c r="Z119" i="30"/>
  <c r="AA119" i="30"/>
  <c r="AB119" i="30"/>
  <c r="AC119" i="30"/>
  <c r="AD119" i="30"/>
  <c r="AE119" i="30"/>
  <c r="AF119" i="30"/>
  <c r="AG119" i="30"/>
  <c r="AH119" i="30"/>
  <c r="AI119" i="30"/>
  <c r="AJ119" i="30"/>
  <c r="AK119" i="30"/>
  <c r="AL119" i="30"/>
  <c r="AM119" i="30"/>
  <c r="AN119" i="30"/>
  <c r="AO119" i="30"/>
  <c r="AP119" i="30"/>
  <c r="AQ119" i="30"/>
  <c r="AR119" i="30"/>
  <c r="AS119" i="30"/>
  <c r="AT119" i="30"/>
  <c r="AU119" i="30"/>
  <c r="AV119" i="30"/>
  <c r="AW119" i="30"/>
  <c r="AX119" i="30"/>
  <c r="AY119" i="30"/>
  <c r="AZ119" i="30"/>
  <c r="BA119" i="30"/>
  <c r="BB119" i="30"/>
  <c r="BC119" i="30"/>
  <c r="BD119" i="30"/>
  <c r="BE119" i="30"/>
  <c r="BF119" i="30"/>
  <c r="BG119" i="30"/>
  <c r="BH119" i="30"/>
  <c r="BI119" i="30"/>
  <c r="BJ119" i="30"/>
  <c r="BK119" i="30"/>
  <c r="BL119" i="30"/>
  <c r="BM119" i="30"/>
  <c r="BN119" i="30"/>
  <c r="BO119" i="30"/>
  <c r="BP119" i="30"/>
  <c r="BQ119" i="30"/>
  <c r="BR119" i="30"/>
  <c r="BS119" i="30"/>
  <c r="BT119" i="30"/>
  <c r="BU119" i="30"/>
  <c r="BV119" i="30"/>
  <c r="BW119" i="30"/>
  <c r="BX119" i="30"/>
  <c r="BY119" i="30"/>
  <c r="BZ119" i="30"/>
  <c r="CA119" i="30"/>
  <c r="CB119" i="30"/>
  <c r="CC119" i="30"/>
  <c r="CD119" i="30"/>
  <c r="CE119" i="30"/>
  <c r="CF119" i="30"/>
  <c r="CG119" i="30"/>
  <c r="CH119" i="30"/>
  <c r="CI119" i="30"/>
  <c r="CJ119" i="30"/>
  <c r="CK119" i="30"/>
  <c r="CL119" i="30"/>
  <c r="CM119" i="30"/>
  <c r="CN119" i="30"/>
  <c r="CO119" i="30"/>
  <c r="CP119" i="30"/>
  <c r="CQ119" i="30"/>
  <c r="CR119" i="30"/>
  <c r="CS119" i="30"/>
  <c r="CT119" i="30"/>
  <c r="CU119" i="30"/>
  <c r="CV119" i="30"/>
  <c r="CW119" i="30"/>
  <c r="CX119" i="30"/>
  <c r="CY119" i="30"/>
  <c r="CZ119" i="30"/>
  <c r="DA119" i="30"/>
  <c r="DB119" i="30"/>
  <c r="DC119" i="30"/>
  <c r="DD119" i="30"/>
  <c r="DE119" i="30"/>
  <c r="DF119" i="30"/>
  <c r="DG119" i="30"/>
  <c r="DH119" i="30"/>
  <c r="DI119" i="30"/>
  <c r="DJ119" i="30"/>
  <c r="DK119" i="30"/>
  <c r="DL119" i="30"/>
  <c r="DM119" i="30"/>
  <c r="DN119" i="30"/>
  <c r="DO119" i="30"/>
  <c r="DP119" i="30"/>
  <c r="DQ119" i="30"/>
  <c r="DR119" i="30"/>
  <c r="DS119" i="30"/>
  <c r="DT119" i="30"/>
  <c r="DU119" i="30"/>
  <c r="DV119" i="30"/>
  <c r="DW119" i="30"/>
  <c r="DX119" i="30"/>
  <c r="DY119" i="30"/>
  <c r="DZ119" i="30"/>
  <c r="EA119" i="30"/>
  <c r="EB119" i="30"/>
  <c r="EC119" i="30"/>
  <c r="ED119" i="30"/>
  <c r="EE119" i="30"/>
  <c r="EF119" i="30"/>
  <c r="EG119" i="30"/>
  <c r="EH119" i="30"/>
  <c r="EI119" i="30"/>
  <c r="EJ119" i="30"/>
  <c r="EK119" i="30"/>
  <c r="EL119" i="30"/>
  <c r="EM119" i="30"/>
  <c r="EN119" i="30"/>
  <c r="EO119" i="30"/>
  <c r="EP119" i="30"/>
  <c r="EQ119" i="30"/>
  <c r="ER119" i="30"/>
  <c r="ES119" i="30"/>
  <c r="ET119" i="30"/>
  <c r="EU119" i="30"/>
  <c r="EV119" i="30"/>
  <c r="EW119" i="30"/>
  <c r="EX119" i="30"/>
  <c r="EY119" i="30"/>
  <c r="EZ119" i="30"/>
  <c r="FA119" i="30"/>
  <c r="FB119" i="30"/>
  <c r="FC119" i="30"/>
  <c r="FD119" i="30"/>
  <c r="FE119" i="30"/>
  <c r="FF119" i="30"/>
  <c r="FG119" i="30"/>
  <c r="FH119" i="30"/>
  <c r="FI119" i="30"/>
  <c r="FJ119" i="30"/>
  <c r="FK119" i="30"/>
  <c r="FL119" i="30"/>
  <c r="FM119" i="30"/>
  <c r="FN119" i="30"/>
  <c r="FO119" i="30"/>
  <c r="FP119" i="30"/>
  <c r="FQ119" i="30"/>
  <c r="FR119" i="30"/>
  <c r="FS119" i="30"/>
  <c r="FT119" i="30"/>
  <c r="FU119" i="30"/>
  <c r="FV119" i="30"/>
  <c r="FW119" i="30"/>
  <c r="FX119" i="30"/>
  <c r="FY119" i="30"/>
  <c r="FZ119" i="30"/>
  <c r="GA119" i="30"/>
  <c r="GB119" i="30"/>
  <c r="GC119" i="30"/>
  <c r="GD119" i="30"/>
  <c r="GE119" i="30"/>
  <c r="GF119" i="30"/>
  <c r="GG119" i="30"/>
  <c r="GH119" i="30"/>
  <c r="GI119" i="30"/>
  <c r="GJ119" i="30"/>
  <c r="GK119" i="30"/>
  <c r="GL119" i="30"/>
  <c r="GM119" i="30"/>
  <c r="GN119" i="30"/>
  <c r="GO119" i="30"/>
  <c r="GP119" i="30"/>
  <c r="GQ119" i="30"/>
  <c r="GR119" i="30"/>
  <c r="GS119" i="30"/>
  <c r="GT119" i="30"/>
  <c r="GU119" i="30"/>
  <c r="GV119" i="30"/>
  <c r="GW119" i="30"/>
  <c r="GX119" i="30"/>
  <c r="GY119" i="30"/>
  <c r="GZ119" i="30"/>
  <c r="HA119" i="30"/>
  <c r="HB119" i="30"/>
  <c r="HC119" i="30"/>
  <c r="HD119" i="30"/>
  <c r="HE119" i="30"/>
  <c r="HF119" i="30"/>
  <c r="HG119" i="30"/>
  <c r="HH119" i="30"/>
  <c r="HI119" i="30"/>
  <c r="HJ119" i="30"/>
  <c r="HK119" i="30"/>
  <c r="HL119" i="30"/>
  <c r="HM119" i="30"/>
  <c r="HN119" i="30"/>
  <c r="HO119" i="30"/>
  <c r="HP119" i="30"/>
  <c r="HQ119" i="30"/>
  <c r="HR119" i="30"/>
  <c r="HS119" i="30"/>
  <c r="HT119" i="30"/>
  <c r="HU119" i="30"/>
  <c r="HV119" i="30"/>
  <c r="HW119" i="30"/>
  <c r="HX119" i="30"/>
  <c r="HY119" i="30"/>
  <c r="HZ119" i="30"/>
  <c r="IA119" i="30"/>
  <c r="IB119" i="30"/>
  <c r="IC119" i="30"/>
  <c r="ID119" i="30"/>
  <c r="IE119" i="30"/>
  <c r="IF119" i="30"/>
  <c r="IG119" i="30"/>
  <c r="IH119" i="30"/>
  <c r="II119" i="30"/>
  <c r="IJ119" i="30"/>
  <c r="IK119" i="30"/>
  <c r="IL119" i="30"/>
  <c r="IM119" i="30"/>
  <c r="IN119" i="30"/>
  <c r="IO119" i="30"/>
  <c r="IP119" i="30"/>
  <c r="IQ119" i="30"/>
  <c r="IR119" i="30"/>
  <c r="IS119" i="30"/>
  <c r="IT119" i="30"/>
  <c r="IU119" i="30"/>
  <c r="IV119" i="30"/>
  <c r="A118" i="30"/>
  <c r="B118" i="30"/>
  <c r="C118" i="30"/>
  <c r="D118" i="30"/>
  <c r="E118" i="30"/>
  <c r="F118" i="30"/>
  <c r="G118" i="30"/>
  <c r="H118" i="30"/>
  <c r="I118" i="30"/>
  <c r="J118" i="30"/>
  <c r="K118" i="30"/>
  <c r="L118" i="30"/>
  <c r="M118" i="30"/>
  <c r="N118" i="30"/>
  <c r="O118" i="30"/>
  <c r="P118" i="30"/>
  <c r="Q118" i="30"/>
  <c r="R118" i="30"/>
  <c r="S118" i="30"/>
  <c r="T118" i="30"/>
  <c r="U118" i="30"/>
  <c r="V118" i="30"/>
  <c r="W118" i="30"/>
  <c r="X118" i="30"/>
  <c r="Y118" i="30"/>
  <c r="Z118" i="30"/>
  <c r="AA118" i="30"/>
  <c r="AB118" i="30"/>
  <c r="AC118" i="30"/>
  <c r="AD118" i="30"/>
  <c r="AE118" i="30"/>
  <c r="AF118" i="30"/>
  <c r="AG118" i="30"/>
  <c r="AH118" i="30"/>
  <c r="AI118" i="30"/>
  <c r="AJ118" i="30"/>
  <c r="AK118" i="30"/>
  <c r="AL118" i="30"/>
  <c r="AM118" i="30"/>
  <c r="AN118" i="30"/>
  <c r="AO118" i="30"/>
  <c r="AP118" i="30"/>
  <c r="AQ118" i="30"/>
  <c r="AR118" i="30"/>
  <c r="AS118" i="30"/>
  <c r="AT118" i="30"/>
  <c r="AU118" i="30"/>
  <c r="AV118" i="30"/>
  <c r="AW118" i="30"/>
  <c r="AX118" i="30"/>
  <c r="AY118" i="30"/>
  <c r="AZ118" i="30"/>
  <c r="BA118" i="30"/>
  <c r="BB118" i="30"/>
  <c r="BC118" i="30"/>
  <c r="BD118" i="30"/>
  <c r="BE118" i="30"/>
  <c r="BF118" i="30"/>
  <c r="BG118" i="30"/>
  <c r="BH118" i="30"/>
  <c r="BI118" i="30"/>
  <c r="BJ118" i="30"/>
  <c r="BK118" i="30"/>
  <c r="BL118" i="30"/>
  <c r="BM118" i="30"/>
  <c r="BN118" i="30"/>
  <c r="BO118" i="30"/>
  <c r="BP118" i="30"/>
  <c r="BQ118" i="30"/>
  <c r="BR118" i="30"/>
  <c r="BS118" i="30"/>
  <c r="BT118" i="30"/>
  <c r="BU118" i="30"/>
  <c r="BV118" i="30"/>
  <c r="BW118" i="30"/>
  <c r="BX118" i="30"/>
  <c r="BY118" i="30"/>
  <c r="BZ118" i="30"/>
  <c r="CA118" i="30"/>
  <c r="CB118" i="30"/>
  <c r="CC118" i="30"/>
  <c r="CD118" i="30"/>
  <c r="CE118" i="30"/>
  <c r="CF118" i="30"/>
  <c r="CG118" i="30"/>
  <c r="CH118" i="30"/>
  <c r="CI118" i="30"/>
  <c r="CJ118" i="30"/>
  <c r="CK118" i="30"/>
  <c r="CL118" i="30"/>
  <c r="CM118" i="30"/>
  <c r="CN118" i="30"/>
  <c r="CO118" i="30"/>
  <c r="CP118" i="30"/>
  <c r="CQ118" i="30"/>
  <c r="CR118" i="30"/>
  <c r="CS118" i="30"/>
  <c r="CT118" i="30"/>
  <c r="CU118" i="30"/>
  <c r="CV118" i="30"/>
  <c r="CW118" i="30"/>
  <c r="CX118" i="30"/>
  <c r="CY118" i="30"/>
  <c r="CZ118" i="30"/>
  <c r="DA118" i="30"/>
  <c r="DB118" i="30"/>
  <c r="DC118" i="30"/>
  <c r="DD118" i="30"/>
  <c r="DE118" i="30"/>
  <c r="DF118" i="30"/>
  <c r="DG118" i="30"/>
  <c r="DH118" i="30"/>
  <c r="DI118" i="30"/>
  <c r="DJ118" i="30"/>
  <c r="DK118" i="30"/>
  <c r="DL118" i="30"/>
  <c r="DM118" i="30"/>
  <c r="DN118" i="30"/>
  <c r="DO118" i="30"/>
  <c r="DP118" i="30"/>
  <c r="DQ118" i="30"/>
  <c r="DR118" i="30"/>
  <c r="DS118" i="30"/>
  <c r="DT118" i="30"/>
  <c r="DU118" i="30"/>
  <c r="DV118" i="30"/>
  <c r="DW118" i="30"/>
  <c r="DX118" i="30"/>
  <c r="DY118" i="30"/>
  <c r="DZ118" i="30"/>
  <c r="EA118" i="30"/>
  <c r="EB118" i="30"/>
  <c r="EC118" i="30"/>
  <c r="ED118" i="30"/>
  <c r="EE118" i="30"/>
  <c r="EF118" i="30"/>
  <c r="EG118" i="30"/>
  <c r="EH118" i="30"/>
  <c r="EI118" i="30"/>
  <c r="EJ118" i="30"/>
  <c r="EK118" i="30"/>
  <c r="EL118" i="30"/>
  <c r="EM118" i="30"/>
  <c r="EN118" i="30"/>
  <c r="EO118" i="30"/>
  <c r="EP118" i="30"/>
  <c r="EQ118" i="30"/>
  <c r="ER118" i="30"/>
  <c r="ES118" i="30"/>
  <c r="ET118" i="30"/>
  <c r="EU118" i="30"/>
  <c r="EV118" i="30"/>
  <c r="EW118" i="30"/>
  <c r="EX118" i="30"/>
  <c r="EY118" i="30"/>
  <c r="EZ118" i="30"/>
  <c r="FA118" i="30"/>
  <c r="FB118" i="30"/>
  <c r="FC118" i="30"/>
  <c r="FD118" i="30"/>
  <c r="FE118" i="30"/>
  <c r="FF118" i="30"/>
  <c r="FG118" i="30"/>
  <c r="FH118" i="30"/>
  <c r="FI118" i="30"/>
  <c r="FJ118" i="30"/>
  <c r="FK118" i="30"/>
  <c r="FL118" i="30"/>
  <c r="FM118" i="30"/>
  <c r="FN118" i="30"/>
  <c r="FO118" i="30"/>
  <c r="FP118" i="30"/>
  <c r="FQ118" i="30"/>
  <c r="FR118" i="30"/>
  <c r="FS118" i="30"/>
  <c r="FT118" i="30"/>
  <c r="FU118" i="30"/>
  <c r="FV118" i="30"/>
  <c r="FW118" i="30"/>
  <c r="FX118" i="30"/>
  <c r="FY118" i="30"/>
  <c r="FZ118" i="30"/>
  <c r="GA118" i="30"/>
  <c r="GB118" i="30"/>
  <c r="GC118" i="30"/>
  <c r="GD118" i="30"/>
  <c r="GE118" i="30"/>
  <c r="GF118" i="30"/>
  <c r="GG118" i="30"/>
  <c r="GH118" i="30"/>
  <c r="GI118" i="30"/>
  <c r="GJ118" i="30"/>
  <c r="GK118" i="30"/>
  <c r="GL118" i="30"/>
  <c r="GM118" i="30"/>
  <c r="GN118" i="30"/>
  <c r="GO118" i="30"/>
  <c r="GP118" i="30"/>
  <c r="GQ118" i="30"/>
  <c r="GR118" i="30"/>
  <c r="GS118" i="30"/>
  <c r="GT118" i="30"/>
  <c r="GU118" i="30"/>
  <c r="GV118" i="30"/>
  <c r="GW118" i="30"/>
  <c r="GX118" i="30"/>
  <c r="GY118" i="30"/>
  <c r="GZ118" i="30"/>
  <c r="HA118" i="30"/>
  <c r="HB118" i="30"/>
  <c r="HC118" i="30"/>
  <c r="HD118" i="30"/>
  <c r="HE118" i="30"/>
  <c r="HF118" i="30"/>
  <c r="HG118" i="30"/>
  <c r="HH118" i="30"/>
  <c r="HI118" i="30"/>
  <c r="HJ118" i="30"/>
  <c r="HK118" i="30"/>
  <c r="HL118" i="30"/>
  <c r="HM118" i="30"/>
  <c r="HN118" i="30"/>
  <c r="HO118" i="30"/>
  <c r="HP118" i="30"/>
  <c r="HQ118" i="30"/>
  <c r="HR118" i="30"/>
  <c r="HS118" i="30"/>
  <c r="HT118" i="30"/>
  <c r="HU118" i="30"/>
  <c r="HV118" i="30"/>
  <c r="HW118" i="30"/>
  <c r="HX118" i="30"/>
  <c r="HY118" i="30"/>
  <c r="HZ118" i="30"/>
  <c r="IA118" i="30"/>
  <c r="IB118" i="30"/>
  <c r="IC118" i="30"/>
  <c r="ID118" i="30"/>
  <c r="IE118" i="30"/>
  <c r="IF118" i="30"/>
  <c r="IG118" i="30"/>
  <c r="IH118" i="30"/>
  <c r="II118" i="30"/>
  <c r="IJ118" i="30"/>
  <c r="IK118" i="30"/>
  <c r="IL118" i="30"/>
  <c r="IM118" i="30"/>
  <c r="IN118" i="30"/>
  <c r="IO118" i="30"/>
  <c r="IP118" i="30"/>
  <c r="IQ118" i="30"/>
  <c r="IR118" i="30"/>
  <c r="IS118" i="30"/>
  <c r="IT118" i="30"/>
  <c r="IU118" i="30"/>
  <c r="IV118" i="30"/>
  <c r="A117" i="30"/>
  <c r="B117" i="30"/>
  <c r="C117" i="30"/>
  <c r="D117" i="30"/>
  <c r="E117" i="30"/>
  <c r="F117" i="30"/>
  <c r="G117" i="30"/>
  <c r="H117" i="30"/>
  <c r="I117" i="30"/>
  <c r="J117" i="30"/>
  <c r="K117" i="30"/>
  <c r="L117" i="30"/>
  <c r="M117" i="30"/>
  <c r="N117" i="30"/>
  <c r="O117" i="30"/>
  <c r="P117" i="30"/>
  <c r="Q117" i="30"/>
  <c r="R117" i="30"/>
  <c r="S117" i="30"/>
  <c r="T117" i="30"/>
  <c r="U117" i="30"/>
  <c r="V117" i="30"/>
  <c r="W117" i="30"/>
  <c r="X117" i="30"/>
  <c r="Y117" i="30"/>
  <c r="Z117" i="30"/>
  <c r="AA117" i="30"/>
  <c r="AB117" i="30"/>
  <c r="AC117" i="30"/>
  <c r="AD117" i="30"/>
  <c r="AE117" i="30"/>
  <c r="AF117" i="30"/>
  <c r="AG117" i="30"/>
  <c r="AH117" i="30"/>
  <c r="AI117" i="30"/>
  <c r="AJ117" i="30"/>
  <c r="AK117" i="30"/>
  <c r="AL117" i="30"/>
  <c r="AM117" i="30"/>
  <c r="AN117" i="30"/>
  <c r="AO117" i="30"/>
  <c r="AP117" i="30"/>
  <c r="AQ117" i="30"/>
  <c r="AR117" i="30"/>
  <c r="AS117" i="30"/>
  <c r="AT117" i="30"/>
  <c r="AU117" i="30"/>
  <c r="AV117" i="30"/>
  <c r="AW117" i="30"/>
  <c r="AX117" i="30"/>
  <c r="AY117" i="30"/>
  <c r="AZ117" i="30"/>
  <c r="BA117" i="30"/>
  <c r="BB117" i="30"/>
  <c r="BC117" i="30"/>
  <c r="BD117" i="30"/>
  <c r="BE117" i="30"/>
  <c r="BF117" i="30"/>
  <c r="BG117" i="30"/>
  <c r="BH117" i="30"/>
  <c r="BI117" i="30"/>
  <c r="BJ117" i="30"/>
  <c r="BK117" i="30"/>
  <c r="BL117" i="30"/>
  <c r="BM117" i="30"/>
  <c r="BN117" i="30"/>
  <c r="BO117" i="30"/>
  <c r="BP117" i="30"/>
  <c r="BQ117" i="30"/>
  <c r="BR117" i="30"/>
  <c r="BS117" i="30"/>
  <c r="BT117" i="30"/>
  <c r="BU117" i="30"/>
  <c r="BV117" i="30"/>
  <c r="BW117" i="30"/>
  <c r="BX117" i="30"/>
  <c r="BY117" i="30"/>
  <c r="BZ117" i="30"/>
  <c r="CA117" i="30"/>
  <c r="CB117" i="30"/>
  <c r="CC117" i="30"/>
  <c r="CD117" i="30"/>
  <c r="CE117" i="30"/>
  <c r="CF117" i="30"/>
  <c r="CG117" i="30"/>
  <c r="CH117" i="30"/>
  <c r="CI117" i="30"/>
  <c r="CJ117" i="30"/>
  <c r="CK117" i="30"/>
  <c r="CL117" i="30"/>
  <c r="CM117" i="30"/>
  <c r="CN117" i="30"/>
  <c r="CO117" i="30"/>
  <c r="CP117" i="30"/>
  <c r="CQ117" i="30"/>
  <c r="CR117" i="30"/>
  <c r="CS117" i="30"/>
  <c r="CT117" i="30"/>
  <c r="CU117" i="30"/>
  <c r="CV117" i="30"/>
  <c r="CW117" i="30"/>
  <c r="CX117" i="30"/>
  <c r="CY117" i="30"/>
  <c r="CZ117" i="30"/>
  <c r="DA117" i="30"/>
  <c r="DB117" i="30"/>
  <c r="DC117" i="30"/>
  <c r="DD117" i="30"/>
  <c r="DE117" i="30"/>
  <c r="DF117" i="30"/>
  <c r="DG117" i="30"/>
  <c r="DH117" i="30"/>
  <c r="DI117" i="30"/>
  <c r="DJ117" i="30"/>
  <c r="DK117" i="30"/>
  <c r="DL117" i="30"/>
  <c r="DM117" i="30"/>
  <c r="DN117" i="30"/>
  <c r="DO117" i="30"/>
  <c r="DP117" i="30"/>
  <c r="DQ117" i="30"/>
  <c r="DR117" i="30"/>
  <c r="DS117" i="30"/>
  <c r="DT117" i="30"/>
  <c r="DU117" i="30"/>
  <c r="DV117" i="30"/>
  <c r="DW117" i="30"/>
  <c r="DX117" i="30"/>
  <c r="DY117" i="30"/>
  <c r="DZ117" i="30"/>
  <c r="EA117" i="30"/>
  <c r="EB117" i="30"/>
  <c r="EC117" i="30"/>
  <c r="ED117" i="30"/>
  <c r="EE117" i="30"/>
  <c r="EF117" i="30"/>
  <c r="EG117" i="30"/>
  <c r="EH117" i="30"/>
  <c r="EI117" i="30"/>
  <c r="EJ117" i="30"/>
  <c r="EK117" i="30"/>
  <c r="EL117" i="30"/>
  <c r="EM117" i="30"/>
  <c r="EN117" i="30"/>
  <c r="EO117" i="30"/>
  <c r="EP117" i="30"/>
  <c r="EQ117" i="30"/>
  <c r="ER117" i="30"/>
  <c r="ES117" i="30"/>
  <c r="ET117" i="30"/>
  <c r="EU117" i="30"/>
  <c r="EV117" i="30"/>
  <c r="EW117" i="30"/>
  <c r="EX117" i="30"/>
  <c r="EY117" i="30"/>
  <c r="EZ117" i="30"/>
  <c r="FA117" i="30"/>
  <c r="FB117" i="30"/>
  <c r="FC117" i="30"/>
  <c r="FD117" i="30"/>
  <c r="FE117" i="30"/>
  <c r="FF117" i="30"/>
  <c r="FG117" i="30"/>
  <c r="FH117" i="30"/>
  <c r="FI117" i="30"/>
  <c r="FJ117" i="30"/>
  <c r="FK117" i="30"/>
  <c r="FL117" i="30"/>
  <c r="FM117" i="30"/>
  <c r="FN117" i="30"/>
  <c r="FO117" i="30"/>
  <c r="FP117" i="30"/>
  <c r="FQ117" i="30"/>
  <c r="FR117" i="30"/>
  <c r="FS117" i="30"/>
  <c r="FT117" i="30"/>
  <c r="FU117" i="30"/>
  <c r="FV117" i="30"/>
  <c r="FW117" i="30"/>
  <c r="FX117" i="30"/>
  <c r="FY117" i="30"/>
  <c r="FZ117" i="30"/>
  <c r="GA117" i="30"/>
  <c r="GB117" i="30"/>
  <c r="GC117" i="30"/>
  <c r="GD117" i="30"/>
  <c r="GE117" i="30"/>
  <c r="GF117" i="30"/>
  <c r="GG117" i="30"/>
  <c r="GH117" i="30"/>
  <c r="GI117" i="30"/>
  <c r="GJ117" i="30"/>
  <c r="GK117" i="30"/>
  <c r="GL117" i="30"/>
  <c r="GM117" i="30"/>
  <c r="GN117" i="30"/>
  <c r="GO117" i="30"/>
  <c r="GP117" i="30"/>
  <c r="GQ117" i="30"/>
  <c r="GR117" i="30"/>
  <c r="GS117" i="30"/>
  <c r="GT117" i="30"/>
  <c r="GU117" i="30"/>
  <c r="GV117" i="30"/>
  <c r="GW117" i="30"/>
  <c r="GX117" i="30"/>
  <c r="GY117" i="30"/>
  <c r="GZ117" i="30"/>
  <c r="HA117" i="30"/>
  <c r="HB117" i="30"/>
  <c r="HC117" i="30"/>
  <c r="HD117" i="30"/>
  <c r="HE117" i="30"/>
  <c r="HF117" i="30"/>
  <c r="HG117" i="30"/>
  <c r="HH117" i="30"/>
  <c r="HI117" i="30"/>
  <c r="HJ117" i="30"/>
  <c r="HK117" i="30"/>
  <c r="HL117" i="30"/>
  <c r="HM117" i="30"/>
  <c r="HN117" i="30"/>
  <c r="HO117" i="30"/>
  <c r="HP117" i="30"/>
  <c r="HQ117" i="30"/>
  <c r="HR117" i="30"/>
  <c r="HS117" i="30"/>
  <c r="HT117" i="30"/>
  <c r="HU117" i="30"/>
  <c r="HV117" i="30"/>
  <c r="HW117" i="30"/>
  <c r="HX117" i="30"/>
  <c r="HY117" i="30"/>
  <c r="HZ117" i="30"/>
  <c r="IA117" i="30"/>
  <c r="IB117" i="30"/>
  <c r="IC117" i="30"/>
  <c r="ID117" i="30"/>
  <c r="IE117" i="30"/>
  <c r="IF117" i="30"/>
  <c r="IG117" i="30"/>
  <c r="IH117" i="30"/>
  <c r="II117" i="30"/>
  <c r="IJ117" i="30"/>
  <c r="IK117" i="30"/>
  <c r="IL117" i="30"/>
  <c r="IM117" i="30"/>
  <c r="IN117" i="30"/>
  <c r="IO117" i="30"/>
  <c r="IP117" i="30"/>
  <c r="IQ117" i="30"/>
  <c r="IR117" i="30"/>
  <c r="IS117" i="30"/>
  <c r="IT117" i="30"/>
  <c r="IU117" i="30"/>
  <c r="IV117" i="30"/>
  <c r="A116" i="30"/>
  <c r="B116" i="30"/>
  <c r="C116" i="30"/>
  <c r="D116" i="30"/>
  <c r="E116" i="30"/>
  <c r="F116" i="30"/>
  <c r="G116" i="30"/>
  <c r="H116" i="30"/>
  <c r="I116" i="30"/>
  <c r="J116" i="30"/>
  <c r="K116" i="30"/>
  <c r="L116" i="30"/>
  <c r="M116" i="30"/>
  <c r="N116" i="30"/>
  <c r="O116" i="30"/>
  <c r="P116" i="30"/>
  <c r="Q116" i="30"/>
  <c r="R116" i="30"/>
  <c r="S116" i="30"/>
  <c r="T116" i="30"/>
  <c r="U116" i="30"/>
  <c r="V116" i="30"/>
  <c r="W116" i="30"/>
  <c r="X116" i="30"/>
  <c r="Y116" i="30"/>
  <c r="Z116" i="30"/>
  <c r="AA116" i="30"/>
  <c r="AB116" i="30"/>
  <c r="AC116" i="30"/>
  <c r="AD116" i="30"/>
  <c r="AE116" i="30"/>
  <c r="AF116" i="30"/>
  <c r="AG116" i="30"/>
  <c r="AH116" i="30"/>
  <c r="AI116" i="30"/>
  <c r="AJ116" i="30"/>
  <c r="AK116" i="30"/>
  <c r="AL116" i="30"/>
  <c r="AM116" i="30"/>
  <c r="AN116" i="30"/>
  <c r="AO116" i="30"/>
  <c r="AP116" i="30"/>
  <c r="AQ116" i="30"/>
  <c r="AR116" i="30"/>
  <c r="AS116" i="30"/>
  <c r="AT116" i="30"/>
  <c r="AU116" i="30"/>
  <c r="AV116" i="30"/>
  <c r="AW116" i="30"/>
  <c r="AX116" i="30"/>
  <c r="AY116" i="30"/>
  <c r="AZ116" i="30"/>
  <c r="BA116" i="30"/>
  <c r="BB116" i="30"/>
  <c r="BC116" i="30"/>
  <c r="BD116" i="30"/>
  <c r="BE116" i="30"/>
  <c r="BF116" i="30"/>
  <c r="BG116" i="30"/>
  <c r="BH116" i="30"/>
  <c r="BI116" i="30"/>
  <c r="BJ116" i="30"/>
  <c r="BK116" i="30"/>
  <c r="BL116" i="30"/>
  <c r="BM116" i="30"/>
  <c r="BN116" i="30"/>
  <c r="BO116" i="30"/>
  <c r="BP116" i="30"/>
  <c r="BQ116" i="30"/>
  <c r="BR116" i="30"/>
  <c r="BS116" i="30"/>
  <c r="BT116" i="30"/>
  <c r="BU116" i="30"/>
  <c r="BV116" i="30"/>
  <c r="BW116" i="30"/>
  <c r="BX116" i="30"/>
  <c r="BY116" i="30"/>
  <c r="BZ116" i="30"/>
  <c r="CA116" i="30"/>
  <c r="CB116" i="30"/>
  <c r="CC116" i="30"/>
  <c r="CD116" i="30"/>
  <c r="CE116" i="30"/>
  <c r="CF116" i="30"/>
  <c r="CG116" i="30"/>
  <c r="CH116" i="30"/>
  <c r="CI116" i="30"/>
  <c r="CJ116" i="30"/>
  <c r="CK116" i="30"/>
  <c r="CL116" i="30"/>
  <c r="CM116" i="30"/>
  <c r="CN116" i="30"/>
  <c r="CO116" i="30"/>
  <c r="CP116" i="30"/>
  <c r="CQ116" i="30"/>
  <c r="CR116" i="30"/>
  <c r="CS116" i="30"/>
  <c r="CT116" i="30"/>
  <c r="CU116" i="30"/>
  <c r="CV116" i="30"/>
  <c r="CW116" i="30"/>
  <c r="CX116" i="30"/>
  <c r="CY116" i="30"/>
  <c r="CZ116" i="30"/>
  <c r="DA116" i="30"/>
  <c r="DB116" i="30"/>
  <c r="DC116" i="30"/>
  <c r="DD116" i="30"/>
  <c r="DE116" i="30"/>
  <c r="DF116" i="30"/>
  <c r="DG116" i="30"/>
  <c r="DH116" i="30"/>
  <c r="DI116" i="30"/>
  <c r="DJ116" i="30"/>
  <c r="DK116" i="30"/>
  <c r="DL116" i="30"/>
  <c r="DM116" i="30"/>
  <c r="DN116" i="30"/>
  <c r="DO116" i="30"/>
  <c r="DP116" i="30"/>
  <c r="DQ116" i="30"/>
  <c r="DR116" i="30"/>
  <c r="DS116" i="30"/>
  <c r="DT116" i="30"/>
  <c r="DU116" i="30"/>
  <c r="DV116" i="30"/>
  <c r="DW116" i="30"/>
  <c r="DX116" i="30"/>
  <c r="DY116" i="30"/>
  <c r="DZ116" i="30"/>
  <c r="EA116" i="30"/>
  <c r="EB116" i="30"/>
  <c r="EC116" i="30"/>
  <c r="ED116" i="30"/>
  <c r="EE116" i="30"/>
  <c r="EF116" i="30"/>
  <c r="EG116" i="30"/>
  <c r="EH116" i="30"/>
  <c r="EI116" i="30"/>
  <c r="EJ116" i="30"/>
  <c r="EK116" i="30"/>
  <c r="EL116" i="30"/>
  <c r="EM116" i="30"/>
  <c r="EN116" i="30"/>
  <c r="EO116" i="30"/>
  <c r="EP116" i="30"/>
  <c r="EQ116" i="30"/>
  <c r="ER116" i="30"/>
  <c r="ES116" i="30"/>
  <c r="ET116" i="30"/>
  <c r="EU116" i="30"/>
  <c r="EV116" i="30"/>
  <c r="EW116" i="30"/>
  <c r="EX116" i="30"/>
  <c r="EY116" i="30"/>
  <c r="EZ116" i="30"/>
  <c r="FA116" i="30"/>
  <c r="FB116" i="30"/>
  <c r="FC116" i="30"/>
  <c r="FD116" i="30"/>
  <c r="FE116" i="30"/>
  <c r="FF116" i="30"/>
  <c r="FG116" i="30"/>
  <c r="FH116" i="30"/>
  <c r="FI116" i="30"/>
  <c r="FJ116" i="30"/>
  <c r="FK116" i="30"/>
  <c r="FL116" i="30"/>
  <c r="FM116" i="30"/>
  <c r="FN116" i="30"/>
  <c r="FO116" i="30"/>
  <c r="FP116" i="30"/>
  <c r="FQ116" i="30"/>
  <c r="FR116" i="30"/>
  <c r="FS116" i="30"/>
  <c r="FT116" i="30"/>
  <c r="FU116" i="30"/>
  <c r="FV116" i="30"/>
  <c r="FW116" i="30"/>
  <c r="FX116" i="30"/>
  <c r="FY116" i="30"/>
  <c r="FZ116" i="30"/>
  <c r="GA116" i="30"/>
  <c r="GB116" i="30"/>
  <c r="GC116" i="30"/>
  <c r="GD116" i="30"/>
  <c r="GE116" i="30"/>
  <c r="GF116" i="30"/>
  <c r="GG116" i="30"/>
  <c r="GH116" i="30"/>
  <c r="GI116" i="30"/>
  <c r="GJ116" i="30"/>
  <c r="GK116" i="30"/>
  <c r="GL116" i="30"/>
  <c r="GM116" i="30"/>
  <c r="GN116" i="30"/>
  <c r="GO116" i="30"/>
  <c r="GP116" i="30"/>
  <c r="GQ116" i="30"/>
  <c r="GR116" i="30"/>
  <c r="GS116" i="30"/>
  <c r="GT116" i="30"/>
  <c r="GU116" i="30"/>
  <c r="GV116" i="30"/>
  <c r="GW116" i="30"/>
  <c r="GX116" i="30"/>
  <c r="GY116" i="30"/>
  <c r="GZ116" i="30"/>
  <c r="HA116" i="30"/>
  <c r="HB116" i="30"/>
  <c r="HC116" i="30"/>
  <c r="HD116" i="30"/>
  <c r="HE116" i="30"/>
  <c r="HF116" i="30"/>
  <c r="HG116" i="30"/>
  <c r="HH116" i="30"/>
  <c r="HI116" i="30"/>
  <c r="HJ116" i="30"/>
  <c r="HK116" i="30"/>
  <c r="HL116" i="30"/>
  <c r="HM116" i="30"/>
  <c r="HN116" i="30"/>
  <c r="HO116" i="30"/>
  <c r="HP116" i="30"/>
  <c r="HQ116" i="30"/>
  <c r="HR116" i="30"/>
  <c r="HS116" i="30"/>
  <c r="HT116" i="30"/>
  <c r="HU116" i="30"/>
  <c r="HV116" i="30"/>
  <c r="HW116" i="30"/>
  <c r="HX116" i="30"/>
  <c r="HY116" i="30"/>
  <c r="HZ116" i="30"/>
  <c r="IA116" i="30"/>
  <c r="IB116" i="30"/>
  <c r="IC116" i="30"/>
  <c r="ID116" i="30"/>
  <c r="IE116" i="30"/>
  <c r="IF116" i="30"/>
  <c r="IG116" i="30"/>
  <c r="IH116" i="30"/>
  <c r="II116" i="30"/>
  <c r="IJ116" i="30"/>
  <c r="IK116" i="30"/>
  <c r="IL116" i="30"/>
  <c r="IM116" i="30"/>
  <c r="IN116" i="30"/>
  <c r="IO116" i="30"/>
  <c r="IP116" i="30"/>
  <c r="IQ116" i="30"/>
  <c r="IR116" i="30"/>
  <c r="IS116" i="30"/>
  <c r="IT116" i="30"/>
  <c r="IU116" i="30"/>
  <c r="IV116" i="30"/>
  <c r="A115" i="30"/>
  <c r="B115" i="30"/>
  <c r="C115" i="30"/>
  <c r="D115" i="30"/>
  <c r="E115" i="30"/>
  <c r="F115" i="30"/>
  <c r="G115" i="30"/>
  <c r="H115" i="30"/>
  <c r="I115" i="30"/>
  <c r="J115" i="30"/>
  <c r="K115" i="30"/>
  <c r="L115" i="30"/>
  <c r="M115" i="30"/>
  <c r="N115" i="30"/>
  <c r="O115" i="30"/>
  <c r="P115" i="30"/>
  <c r="Q115" i="30"/>
  <c r="R115" i="30"/>
  <c r="S115" i="30"/>
  <c r="T115" i="30"/>
  <c r="U115" i="30"/>
  <c r="V115" i="30"/>
  <c r="W115" i="30"/>
  <c r="X115" i="30"/>
  <c r="Y115" i="30"/>
  <c r="Z115" i="30"/>
  <c r="AA115" i="30"/>
  <c r="AB115" i="30"/>
  <c r="AC115" i="30"/>
  <c r="AD115" i="30"/>
  <c r="AE115" i="30"/>
  <c r="AF115" i="30"/>
  <c r="AG115" i="30"/>
  <c r="AH115" i="30"/>
  <c r="AI115" i="30"/>
  <c r="AJ115" i="30"/>
  <c r="AK115" i="30"/>
  <c r="AL115" i="30"/>
  <c r="AM115" i="30"/>
  <c r="AN115" i="30"/>
  <c r="AO115" i="30"/>
  <c r="AP115" i="30"/>
  <c r="AQ115" i="30"/>
  <c r="AR115" i="30"/>
  <c r="AS115" i="30"/>
  <c r="AT115" i="30"/>
  <c r="AU115" i="30"/>
  <c r="AV115" i="30"/>
  <c r="AW115" i="30"/>
  <c r="AX115" i="30"/>
  <c r="AY115" i="30"/>
  <c r="AZ115" i="30"/>
  <c r="BA115" i="30"/>
  <c r="BB115" i="30"/>
  <c r="BC115" i="30"/>
  <c r="BD115" i="30"/>
  <c r="BE115" i="30"/>
  <c r="BF115" i="30"/>
  <c r="BG115" i="30"/>
  <c r="BH115" i="30"/>
  <c r="BI115" i="30"/>
  <c r="BJ115" i="30"/>
  <c r="BK115" i="30"/>
  <c r="BL115" i="30"/>
  <c r="BM115" i="30"/>
  <c r="BN115" i="30"/>
  <c r="BO115" i="30"/>
  <c r="BP115" i="30"/>
  <c r="BQ115" i="30"/>
  <c r="BR115" i="30"/>
  <c r="BS115" i="30"/>
  <c r="BT115" i="30"/>
  <c r="BU115" i="30"/>
  <c r="BV115" i="30"/>
  <c r="BW115" i="30"/>
  <c r="BX115" i="30"/>
  <c r="BY115" i="30"/>
  <c r="BZ115" i="30"/>
  <c r="CA115" i="30"/>
  <c r="CB115" i="30"/>
  <c r="CC115" i="30"/>
  <c r="CD115" i="30"/>
  <c r="CE115" i="30"/>
  <c r="CF115" i="30"/>
  <c r="CG115" i="30"/>
  <c r="CH115" i="30"/>
  <c r="CI115" i="30"/>
  <c r="CJ115" i="30"/>
  <c r="CK115" i="30"/>
  <c r="CL115" i="30"/>
  <c r="CM115" i="30"/>
  <c r="CN115" i="30"/>
  <c r="CO115" i="30"/>
  <c r="CP115" i="30"/>
  <c r="CQ115" i="30"/>
  <c r="CR115" i="30"/>
  <c r="CS115" i="30"/>
  <c r="CT115" i="30"/>
  <c r="CU115" i="30"/>
  <c r="CV115" i="30"/>
  <c r="CW115" i="30"/>
  <c r="CX115" i="30"/>
  <c r="CY115" i="30"/>
  <c r="CZ115" i="30"/>
  <c r="DA115" i="30"/>
  <c r="DB115" i="30"/>
  <c r="DC115" i="30"/>
  <c r="DD115" i="30"/>
  <c r="DE115" i="30"/>
  <c r="DF115" i="30"/>
  <c r="DG115" i="30"/>
  <c r="DH115" i="30"/>
  <c r="DI115" i="30"/>
  <c r="DJ115" i="30"/>
  <c r="DK115" i="30"/>
  <c r="DL115" i="30"/>
  <c r="DM115" i="30"/>
  <c r="DN115" i="30"/>
  <c r="DO115" i="30"/>
  <c r="DP115" i="30"/>
  <c r="DQ115" i="30"/>
  <c r="DR115" i="30"/>
  <c r="DS115" i="30"/>
  <c r="DT115" i="30"/>
  <c r="DU115" i="30"/>
  <c r="DV115" i="30"/>
  <c r="DW115" i="30"/>
  <c r="DX115" i="30"/>
  <c r="DY115" i="30"/>
  <c r="DZ115" i="30"/>
  <c r="EA115" i="30"/>
  <c r="EB115" i="30"/>
  <c r="EC115" i="30"/>
  <c r="ED115" i="30"/>
  <c r="EE115" i="30"/>
  <c r="EF115" i="30"/>
  <c r="EG115" i="30"/>
  <c r="EH115" i="30"/>
  <c r="EI115" i="30"/>
  <c r="EJ115" i="30"/>
  <c r="EK115" i="30"/>
  <c r="EL115" i="30"/>
  <c r="EM115" i="30"/>
  <c r="EN115" i="30"/>
  <c r="EO115" i="30"/>
  <c r="EP115" i="30"/>
  <c r="EQ115" i="30"/>
  <c r="ER115" i="30"/>
  <c r="ES115" i="30"/>
  <c r="ET115" i="30"/>
  <c r="EU115" i="30"/>
  <c r="EV115" i="30"/>
  <c r="EW115" i="30"/>
  <c r="EX115" i="30"/>
  <c r="EY115" i="30"/>
  <c r="EZ115" i="30"/>
  <c r="FA115" i="30"/>
  <c r="FB115" i="30"/>
  <c r="FC115" i="30"/>
  <c r="FD115" i="30"/>
  <c r="FE115" i="30"/>
  <c r="FF115" i="30"/>
  <c r="FG115" i="30"/>
  <c r="FH115" i="30"/>
  <c r="FI115" i="30"/>
  <c r="FJ115" i="30"/>
  <c r="FK115" i="30"/>
  <c r="FL115" i="30"/>
  <c r="FM115" i="30"/>
  <c r="FN115" i="30"/>
  <c r="FO115" i="30"/>
  <c r="FP115" i="30"/>
  <c r="FQ115" i="30"/>
  <c r="FR115" i="30"/>
  <c r="FS115" i="30"/>
  <c r="FT115" i="30"/>
  <c r="FU115" i="30"/>
  <c r="FV115" i="30"/>
  <c r="FW115" i="30"/>
  <c r="FX115" i="30"/>
  <c r="FY115" i="30"/>
  <c r="FZ115" i="30"/>
  <c r="GA115" i="30"/>
  <c r="GB115" i="30"/>
  <c r="GC115" i="30"/>
  <c r="GD115" i="30"/>
  <c r="GE115" i="30"/>
  <c r="GF115" i="30"/>
  <c r="GG115" i="30"/>
  <c r="GH115" i="30"/>
  <c r="GI115" i="30"/>
  <c r="GJ115" i="30"/>
  <c r="GK115" i="30"/>
  <c r="GL115" i="30"/>
  <c r="GM115" i="30"/>
  <c r="GN115" i="30"/>
  <c r="GO115" i="30"/>
  <c r="GP115" i="30"/>
  <c r="GQ115" i="30"/>
  <c r="GR115" i="30"/>
  <c r="GS115" i="30"/>
  <c r="GT115" i="30"/>
  <c r="GU115" i="30"/>
  <c r="GV115" i="30"/>
  <c r="GW115" i="30"/>
  <c r="GX115" i="30"/>
  <c r="GY115" i="30"/>
  <c r="GZ115" i="30"/>
  <c r="HA115" i="30"/>
  <c r="HB115" i="30"/>
  <c r="HC115" i="30"/>
  <c r="HD115" i="30"/>
  <c r="HE115" i="30"/>
  <c r="HF115" i="30"/>
  <c r="HG115" i="30"/>
  <c r="HH115" i="30"/>
  <c r="HI115" i="30"/>
  <c r="HJ115" i="30"/>
  <c r="HK115" i="30"/>
  <c r="HL115" i="30"/>
  <c r="HM115" i="30"/>
  <c r="HN115" i="30"/>
  <c r="HO115" i="30"/>
  <c r="HP115" i="30"/>
  <c r="HQ115" i="30"/>
  <c r="HR115" i="30"/>
  <c r="HS115" i="30"/>
  <c r="HT115" i="30"/>
  <c r="HU115" i="30"/>
  <c r="HV115" i="30"/>
  <c r="HW115" i="30"/>
  <c r="HX115" i="30"/>
  <c r="HY115" i="30"/>
  <c r="HZ115" i="30"/>
  <c r="IA115" i="30"/>
  <c r="IB115" i="30"/>
  <c r="IC115" i="30"/>
  <c r="ID115" i="30"/>
  <c r="IE115" i="30"/>
  <c r="IF115" i="30"/>
  <c r="IG115" i="30"/>
  <c r="IH115" i="30"/>
  <c r="II115" i="30"/>
  <c r="IJ115" i="30"/>
  <c r="IK115" i="30"/>
  <c r="IL115" i="30"/>
  <c r="IM115" i="30"/>
  <c r="IN115" i="30"/>
  <c r="IO115" i="30"/>
  <c r="IP115" i="30"/>
  <c r="IQ115" i="30"/>
  <c r="IR115" i="30"/>
  <c r="IS115" i="30"/>
  <c r="IT115" i="30"/>
  <c r="IU115" i="30"/>
  <c r="IV115" i="30"/>
  <c r="A114" i="30"/>
  <c r="B114" i="30"/>
  <c r="C114" i="30"/>
  <c r="D114" i="30"/>
  <c r="E114" i="30"/>
  <c r="F114" i="30"/>
  <c r="G114" i="30"/>
  <c r="H114" i="30"/>
  <c r="I114" i="30"/>
  <c r="J114" i="30"/>
  <c r="K114" i="30"/>
  <c r="L114" i="30"/>
  <c r="M114" i="30"/>
  <c r="N114" i="30"/>
  <c r="O114" i="30"/>
  <c r="P114" i="30"/>
  <c r="Q114" i="30"/>
  <c r="R114" i="30"/>
  <c r="S114" i="30"/>
  <c r="T114" i="30"/>
  <c r="U114" i="30"/>
  <c r="V114" i="30"/>
  <c r="W114" i="30"/>
  <c r="X114" i="30"/>
  <c r="Y114" i="30"/>
  <c r="Z114" i="30"/>
  <c r="AA114" i="30"/>
  <c r="AB114" i="30"/>
  <c r="AC114" i="30"/>
  <c r="AD114" i="30"/>
  <c r="AE114" i="30"/>
  <c r="AF114" i="30"/>
  <c r="AG114" i="30"/>
  <c r="AH114" i="30"/>
  <c r="AI114" i="30"/>
  <c r="AJ114" i="30"/>
  <c r="AK114" i="30"/>
  <c r="AL114" i="30"/>
  <c r="AM114" i="30"/>
  <c r="AN114" i="30"/>
  <c r="AO114" i="30"/>
  <c r="AP114" i="30"/>
  <c r="AQ114" i="30"/>
  <c r="AR114" i="30"/>
  <c r="AS114" i="30"/>
  <c r="AT114" i="30"/>
  <c r="AU114" i="30"/>
  <c r="AV114" i="30"/>
  <c r="AW114" i="30"/>
  <c r="AX114" i="30"/>
  <c r="AY114" i="30"/>
  <c r="AZ114" i="30"/>
  <c r="BA114" i="30"/>
  <c r="BB114" i="30"/>
  <c r="BC114" i="30"/>
  <c r="BD114" i="30"/>
  <c r="BE114" i="30"/>
  <c r="BF114" i="30"/>
  <c r="BG114" i="30"/>
  <c r="BH114" i="30"/>
  <c r="BI114" i="30"/>
  <c r="BJ114" i="30"/>
  <c r="BK114" i="30"/>
  <c r="BL114" i="30"/>
  <c r="BM114" i="30"/>
  <c r="BN114" i="30"/>
  <c r="BO114" i="30"/>
  <c r="BP114" i="30"/>
  <c r="BQ114" i="30"/>
  <c r="BR114" i="30"/>
  <c r="BS114" i="30"/>
  <c r="BT114" i="30"/>
  <c r="BU114" i="30"/>
  <c r="BV114" i="30"/>
  <c r="BW114" i="30"/>
  <c r="BX114" i="30"/>
  <c r="BY114" i="30"/>
  <c r="BZ114" i="30"/>
  <c r="CA114" i="30"/>
  <c r="CB114" i="30"/>
  <c r="CC114" i="30"/>
  <c r="CD114" i="30"/>
  <c r="CE114" i="30"/>
  <c r="CF114" i="30"/>
  <c r="CG114" i="30"/>
  <c r="CH114" i="30"/>
  <c r="CI114" i="30"/>
  <c r="CJ114" i="30"/>
  <c r="CK114" i="30"/>
  <c r="CL114" i="30"/>
  <c r="CM114" i="30"/>
  <c r="CN114" i="30"/>
  <c r="CO114" i="30"/>
  <c r="CP114" i="30"/>
  <c r="CQ114" i="30"/>
  <c r="CR114" i="30"/>
  <c r="CS114" i="30"/>
  <c r="CT114" i="30"/>
  <c r="CU114" i="30"/>
  <c r="CV114" i="30"/>
  <c r="CW114" i="30"/>
  <c r="CX114" i="30"/>
  <c r="CY114" i="30"/>
  <c r="CZ114" i="30"/>
  <c r="DA114" i="30"/>
  <c r="DB114" i="30"/>
  <c r="DC114" i="30"/>
  <c r="DD114" i="30"/>
  <c r="DE114" i="30"/>
  <c r="DF114" i="30"/>
  <c r="DG114" i="30"/>
  <c r="DH114" i="30"/>
  <c r="DI114" i="30"/>
  <c r="DJ114" i="30"/>
  <c r="DK114" i="30"/>
  <c r="DL114" i="30"/>
  <c r="DM114" i="30"/>
  <c r="DN114" i="30"/>
  <c r="DO114" i="30"/>
  <c r="DP114" i="30"/>
  <c r="DQ114" i="30"/>
  <c r="DR114" i="30"/>
  <c r="DS114" i="30"/>
  <c r="DT114" i="30"/>
  <c r="DU114" i="30"/>
  <c r="DV114" i="30"/>
  <c r="DW114" i="30"/>
  <c r="DX114" i="30"/>
  <c r="DY114" i="30"/>
  <c r="DZ114" i="30"/>
  <c r="EA114" i="30"/>
  <c r="EB114" i="30"/>
  <c r="EC114" i="30"/>
  <c r="ED114" i="30"/>
  <c r="EE114" i="30"/>
  <c r="EF114" i="30"/>
  <c r="EG114" i="30"/>
  <c r="EH114" i="30"/>
  <c r="EI114" i="30"/>
  <c r="EJ114" i="30"/>
  <c r="EK114" i="30"/>
  <c r="EL114" i="30"/>
  <c r="EM114" i="30"/>
  <c r="EN114" i="30"/>
  <c r="EO114" i="30"/>
  <c r="EP114" i="30"/>
  <c r="EQ114" i="30"/>
  <c r="ER114" i="30"/>
  <c r="ES114" i="30"/>
  <c r="ET114" i="30"/>
  <c r="EU114" i="30"/>
  <c r="EV114" i="30"/>
  <c r="EW114" i="30"/>
  <c r="EX114" i="30"/>
  <c r="EY114" i="30"/>
  <c r="EZ114" i="30"/>
  <c r="FA114" i="30"/>
  <c r="FB114" i="30"/>
  <c r="FC114" i="30"/>
  <c r="FD114" i="30"/>
  <c r="FE114" i="30"/>
  <c r="FF114" i="30"/>
  <c r="FG114" i="30"/>
  <c r="FH114" i="30"/>
  <c r="FI114" i="30"/>
  <c r="FJ114" i="30"/>
  <c r="FK114" i="30"/>
  <c r="FL114" i="30"/>
  <c r="FM114" i="30"/>
  <c r="FN114" i="30"/>
  <c r="FO114" i="30"/>
  <c r="FP114" i="30"/>
  <c r="FQ114" i="30"/>
  <c r="FR114" i="30"/>
  <c r="FS114" i="30"/>
  <c r="FT114" i="30"/>
  <c r="FU114" i="30"/>
  <c r="FV114" i="30"/>
  <c r="FW114" i="30"/>
  <c r="FX114" i="30"/>
  <c r="FY114" i="30"/>
  <c r="FZ114" i="30"/>
  <c r="GA114" i="30"/>
  <c r="GB114" i="30"/>
  <c r="GC114" i="30"/>
  <c r="GD114" i="30"/>
  <c r="GE114" i="30"/>
  <c r="GF114" i="30"/>
  <c r="GG114" i="30"/>
  <c r="GH114" i="30"/>
  <c r="GI114" i="30"/>
  <c r="GJ114" i="30"/>
  <c r="GK114" i="30"/>
  <c r="GL114" i="30"/>
  <c r="GM114" i="30"/>
  <c r="GN114" i="30"/>
  <c r="GO114" i="30"/>
  <c r="GP114" i="30"/>
  <c r="GQ114" i="30"/>
  <c r="GR114" i="30"/>
  <c r="GS114" i="30"/>
  <c r="GT114" i="30"/>
  <c r="GU114" i="30"/>
  <c r="GV114" i="30"/>
  <c r="GW114" i="30"/>
  <c r="GX114" i="30"/>
  <c r="GY114" i="30"/>
  <c r="GZ114" i="30"/>
  <c r="HA114" i="30"/>
  <c r="HB114" i="30"/>
  <c r="HC114" i="30"/>
  <c r="HD114" i="30"/>
  <c r="HE114" i="30"/>
  <c r="HF114" i="30"/>
  <c r="HG114" i="30"/>
  <c r="HH114" i="30"/>
  <c r="HI114" i="30"/>
  <c r="HJ114" i="30"/>
  <c r="HK114" i="30"/>
  <c r="HL114" i="30"/>
  <c r="HM114" i="30"/>
  <c r="HN114" i="30"/>
  <c r="HO114" i="30"/>
  <c r="HP114" i="30"/>
  <c r="HQ114" i="30"/>
  <c r="HR114" i="30"/>
  <c r="HS114" i="30"/>
  <c r="HT114" i="30"/>
  <c r="HU114" i="30"/>
  <c r="HV114" i="30"/>
  <c r="HW114" i="30"/>
  <c r="HX114" i="30"/>
  <c r="HY114" i="30"/>
  <c r="HZ114" i="30"/>
  <c r="IA114" i="30"/>
  <c r="IB114" i="30"/>
  <c r="IC114" i="30"/>
  <c r="ID114" i="30"/>
  <c r="IE114" i="30"/>
  <c r="IF114" i="30"/>
  <c r="IG114" i="30"/>
  <c r="IH114" i="30"/>
  <c r="II114" i="30"/>
  <c r="IJ114" i="30"/>
  <c r="IK114" i="30"/>
  <c r="IL114" i="30"/>
  <c r="IM114" i="30"/>
  <c r="IN114" i="30"/>
  <c r="IO114" i="30"/>
  <c r="IP114" i="30"/>
  <c r="IQ114" i="30"/>
  <c r="IR114" i="30"/>
  <c r="IS114" i="30"/>
  <c r="IT114" i="30"/>
  <c r="IU114" i="30"/>
  <c r="IV114" i="30"/>
  <c r="A113" i="30"/>
  <c r="B113" i="30"/>
  <c r="C113" i="30"/>
  <c r="D113" i="30"/>
  <c r="E113" i="30"/>
  <c r="F113" i="30"/>
  <c r="G113" i="30"/>
  <c r="H113" i="30"/>
  <c r="I113" i="30"/>
  <c r="J113" i="30"/>
  <c r="K113" i="30"/>
  <c r="L113" i="30"/>
  <c r="M113" i="30"/>
  <c r="N113" i="30"/>
  <c r="O113" i="30"/>
  <c r="P113" i="30"/>
  <c r="Q113" i="30"/>
  <c r="R113" i="30"/>
  <c r="S113" i="30"/>
  <c r="T113" i="30"/>
  <c r="U113" i="30"/>
  <c r="V113" i="30"/>
  <c r="W113" i="30"/>
  <c r="X113" i="30"/>
  <c r="Y113" i="30"/>
  <c r="Z113" i="30"/>
  <c r="AA113" i="30"/>
  <c r="AB113" i="30"/>
  <c r="AC113" i="30"/>
  <c r="AD113" i="30"/>
  <c r="AE113" i="30"/>
  <c r="AF113" i="30"/>
  <c r="AG113" i="30"/>
  <c r="AH113" i="30"/>
  <c r="AI113" i="30"/>
  <c r="AJ113" i="30"/>
  <c r="AK113" i="30"/>
  <c r="AL113" i="30"/>
  <c r="AM113" i="30"/>
  <c r="AN113" i="30"/>
  <c r="AO113" i="30"/>
  <c r="AP113" i="30"/>
  <c r="AQ113" i="30"/>
  <c r="AR113" i="30"/>
  <c r="AS113" i="30"/>
  <c r="AT113" i="30"/>
  <c r="AU113" i="30"/>
  <c r="AV113" i="30"/>
  <c r="AW113" i="30"/>
  <c r="AX113" i="30"/>
  <c r="AY113" i="30"/>
  <c r="AZ113" i="30"/>
  <c r="BA113" i="30"/>
  <c r="BB113" i="30"/>
  <c r="BC113" i="30"/>
  <c r="BD113" i="30"/>
  <c r="BE113" i="30"/>
  <c r="BF113" i="30"/>
  <c r="BG113" i="30"/>
  <c r="BH113" i="30"/>
  <c r="BI113" i="30"/>
  <c r="BJ113" i="30"/>
  <c r="BK113" i="30"/>
  <c r="BL113" i="30"/>
  <c r="BM113" i="30"/>
  <c r="BN113" i="30"/>
  <c r="BO113" i="30"/>
  <c r="BP113" i="30"/>
  <c r="BQ113" i="30"/>
  <c r="BR113" i="30"/>
  <c r="BS113" i="30"/>
  <c r="BT113" i="30"/>
  <c r="BU113" i="30"/>
  <c r="BV113" i="30"/>
  <c r="BW113" i="30"/>
  <c r="BX113" i="30"/>
  <c r="BY113" i="30"/>
  <c r="BZ113" i="30"/>
  <c r="CA113" i="30"/>
  <c r="CB113" i="30"/>
  <c r="CC113" i="30"/>
  <c r="CD113" i="30"/>
  <c r="CE113" i="30"/>
  <c r="CF113" i="30"/>
  <c r="CG113" i="30"/>
  <c r="CH113" i="30"/>
  <c r="CI113" i="30"/>
  <c r="CJ113" i="30"/>
  <c r="CK113" i="30"/>
  <c r="CL113" i="30"/>
  <c r="CM113" i="30"/>
  <c r="CN113" i="30"/>
  <c r="CO113" i="30"/>
  <c r="CP113" i="30"/>
  <c r="CQ113" i="30"/>
  <c r="CR113" i="30"/>
  <c r="CS113" i="30"/>
  <c r="CT113" i="30"/>
  <c r="CU113" i="30"/>
  <c r="CV113" i="30"/>
  <c r="CW113" i="30"/>
  <c r="CX113" i="30"/>
  <c r="CY113" i="30"/>
  <c r="CZ113" i="30"/>
  <c r="DA113" i="30"/>
  <c r="DB113" i="30"/>
  <c r="DC113" i="30"/>
  <c r="DD113" i="30"/>
  <c r="DE113" i="30"/>
  <c r="DF113" i="30"/>
  <c r="DG113" i="30"/>
  <c r="DH113" i="30"/>
  <c r="DI113" i="30"/>
  <c r="DJ113" i="30"/>
  <c r="DK113" i="30"/>
  <c r="DL113" i="30"/>
  <c r="DM113" i="30"/>
  <c r="DN113" i="30"/>
  <c r="DO113" i="30"/>
  <c r="DP113" i="30"/>
  <c r="DQ113" i="30"/>
  <c r="DR113" i="30"/>
  <c r="DS113" i="30"/>
  <c r="DT113" i="30"/>
  <c r="DU113" i="30"/>
  <c r="DV113" i="30"/>
  <c r="DW113" i="30"/>
  <c r="DX113" i="30"/>
  <c r="DY113" i="30"/>
  <c r="DZ113" i="30"/>
  <c r="EA113" i="30"/>
  <c r="EB113" i="30"/>
  <c r="EC113" i="30"/>
  <c r="ED113" i="30"/>
  <c r="EE113" i="30"/>
  <c r="EF113" i="30"/>
  <c r="EG113" i="30"/>
  <c r="EH113" i="30"/>
  <c r="EI113" i="30"/>
  <c r="EJ113" i="30"/>
  <c r="EK113" i="30"/>
  <c r="EL113" i="30"/>
  <c r="EM113" i="30"/>
  <c r="EN113" i="30"/>
  <c r="EO113" i="30"/>
  <c r="EP113" i="30"/>
  <c r="EQ113" i="30"/>
  <c r="ER113" i="30"/>
  <c r="ES113" i="30"/>
  <c r="ET113" i="30"/>
  <c r="EU113" i="30"/>
  <c r="EV113" i="30"/>
  <c r="EW113" i="30"/>
  <c r="EX113" i="30"/>
  <c r="EY113" i="30"/>
  <c r="EZ113" i="30"/>
  <c r="FA113" i="30"/>
  <c r="FB113" i="30"/>
  <c r="FC113" i="30"/>
  <c r="FD113" i="30"/>
  <c r="FE113" i="30"/>
  <c r="FF113" i="30"/>
  <c r="FG113" i="30"/>
  <c r="FH113" i="30"/>
  <c r="FI113" i="30"/>
  <c r="FJ113" i="30"/>
  <c r="FK113" i="30"/>
  <c r="FL113" i="30"/>
  <c r="FM113" i="30"/>
  <c r="FN113" i="30"/>
  <c r="FO113" i="30"/>
  <c r="FP113" i="30"/>
  <c r="FQ113" i="30"/>
  <c r="FR113" i="30"/>
  <c r="FS113" i="30"/>
  <c r="FT113" i="30"/>
  <c r="FU113" i="30"/>
  <c r="FV113" i="30"/>
  <c r="FW113" i="30"/>
  <c r="FX113" i="30"/>
  <c r="FY113" i="30"/>
  <c r="FZ113" i="30"/>
  <c r="GA113" i="30"/>
  <c r="GB113" i="30"/>
  <c r="GC113" i="30"/>
  <c r="GD113" i="30"/>
  <c r="GE113" i="30"/>
  <c r="GF113" i="30"/>
  <c r="GG113" i="30"/>
  <c r="GH113" i="30"/>
  <c r="GI113" i="30"/>
  <c r="GJ113" i="30"/>
  <c r="GK113" i="30"/>
  <c r="GL113" i="30"/>
  <c r="GM113" i="30"/>
  <c r="GN113" i="30"/>
  <c r="GO113" i="30"/>
  <c r="GP113" i="30"/>
  <c r="GQ113" i="30"/>
  <c r="GR113" i="30"/>
  <c r="GS113" i="30"/>
  <c r="GT113" i="30"/>
  <c r="GU113" i="30"/>
  <c r="GV113" i="30"/>
  <c r="GW113" i="30"/>
  <c r="GX113" i="30"/>
  <c r="GY113" i="30"/>
  <c r="GZ113" i="30"/>
  <c r="HA113" i="30"/>
  <c r="HB113" i="30"/>
  <c r="HC113" i="30"/>
  <c r="HD113" i="30"/>
  <c r="HE113" i="30"/>
  <c r="HF113" i="30"/>
  <c r="HG113" i="30"/>
  <c r="HH113" i="30"/>
  <c r="HI113" i="30"/>
  <c r="HJ113" i="30"/>
  <c r="HK113" i="30"/>
  <c r="HL113" i="30"/>
  <c r="HM113" i="30"/>
  <c r="HN113" i="30"/>
  <c r="HO113" i="30"/>
  <c r="HP113" i="30"/>
  <c r="HQ113" i="30"/>
  <c r="HR113" i="30"/>
  <c r="HS113" i="30"/>
  <c r="HT113" i="30"/>
  <c r="HU113" i="30"/>
  <c r="HV113" i="30"/>
  <c r="HW113" i="30"/>
  <c r="HX113" i="30"/>
  <c r="HY113" i="30"/>
  <c r="HZ113" i="30"/>
  <c r="IA113" i="30"/>
  <c r="IB113" i="30"/>
  <c r="IC113" i="30"/>
  <c r="ID113" i="30"/>
  <c r="IE113" i="30"/>
  <c r="IF113" i="30"/>
  <c r="IG113" i="30"/>
  <c r="IH113" i="30"/>
  <c r="II113" i="30"/>
  <c r="IJ113" i="30"/>
  <c r="IK113" i="30"/>
  <c r="IL113" i="30"/>
  <c r="IM113" i="30"/>
  <c r="IN113" i="30"/>
  <c r="IO113" i="30"/>
  <c r="IP113" i="30"/>
  <c r="IQ113" i="30"/>
  <c r="IR113" i="30"/>
  <c r="IS113" i="30"/>
  <c r="IT113" i="30"/>
  <c r="IU113" i="30"/>
  <c r="IV113" i="30"/>
  <c r="A112" i="30"/>
  <c r="B112" i="30"/>
  <c r="C112" i="30"/>
  <c r="D112" i="30"/>
  <c r="E112" i="30"/>
  <c r="F112" i="30"/>
  <c r="G112" i="30"/>
  <c r="H112" i="30"/>
  <c r="I112" i="30"/>
  <c r="J112" i="30"/>
  <c r="K112" i="30"/>
  <c r="L112" i="30"/>
  <c r="M112" i="30"/>
  <c r="N112" i="30"/>
  <c r="O112" i="30"/>
  <c r="P112" i="30"/>
  <c r="Q112" i="30"/>
  <c r="R112" i="30"/>
  <c r="S112" i="30"/>
  <c r="T112" i="30"/>
  <c r="U112" i="30"/>
  <c r="V112" i="30"/>
  <c r="W112" i="30"/>
  <c r="X112" i="30"/>
  <c r="Y112" i="30"/>
  <c r="Z112" i="30"/>
  <c r="AA112" i="30"/>
  <c r="AB112" i="30"/>
  <c r="AC112" i="30"/>
  <c r="AD112" i="30"/>
  <c r="AE112" i="30"/>
  <c r="AF112" i="30"/>
  <c r="AG112" i="30"/>
  <c r="AH112" i="30"/>
  <c r="AI112" i="30"/>
  <c r="AJ112" i="30"/>
  <c r="AK112" i="30"/>
  <c r="AL112" i="30"/>
  <c r="AM112" i="30"/>
  <c r="AN112" i="30"/>
  <c r="AO112" i="30"/>
  <c r="AP112" i="30"/>
  <c r="AQ112" i="30"/>
  <c r="AR112" i="30"/>
  <c r="AS112" i="30"/>
  <c r="AT112" i="30"/>
  <c r="AU112" i="30"/>
  <c r="AV112" i="30"/>
  <c r="AW112" i="30"/>
  <c r="AX112" i="30"/>
  <c r="AY112" i="30"/>
  <c r="AZ112" i="30"/>
  <c r="BA112" i="30"/>
  <c r="BB112" i="30"/>
  <c r="BC112" i="30"/>
  <c r="BD112" i="30"/>
  <c r="BE112" i="30"/>
  <c r="BF112" i="30"/>
  <c r="BG112" i="30"/>
  <c r="BH112" i="30"/>
  <c r="BI112" i="30"/>
  <c r="BJ112" i="30"/>
  <c r="BK112" i="30"/>
  <c r="BL112" i="30"/>
  <c r="BM112" i="30"/>
  <c r="BN112" i="30"/>
  <c r="BO112" i="30"/>
  <c r="BP112" i="30"/>
  <c r="BQ112" i="30"/>
  <c r="BR112" i="30"/>
  <c r="BS112" i="30"/>
  <c r="BT112" i="30"/>
  <c r="BU112" i="30"/>
  <c r="BV112" i="30"/>
  <c r="BW112" i="30"/>
  <c r="BX112" i="30"/>
  <c r="BY112" i="30"/>
  <c r="BZ112" i="30"/>
  <c r="CA112" i="30"/>
  <c r="CB112" i="30"/>
  <c r="CC112" i="30"/>
  <c r="CD112" i="30"/>
  <c r="CE112" i="30"/>
  <c r="CF112" i="30"/>
  <c r="CG112" i="30"/>
  <c r="CH112" i="30"/>
  <c r="CI112" i="30"/>
  <c r="CJ112" i="30"/>
  <c r="CK112" i="30"/>
  <c r="CL112" i="30"/>
  <c r="CM112" i="30"/>
  <c r="CN112" i="30"/>
  <c r="CO112" i="30"/>
  <c r="CP112" i="30"/>
  <c r="CQ112" i="30"/>
  <c r="CR112" i="30"/>
  <c r="CS112" i="30"/>
  <c r="CT112" i="30"/>
  <c r="CU112" i="30"/>
  <c r="CV112" i="30"/>
  <c r="CW112" i="30"/>
  <c r="CX112" i="30"/>
  <c r="CY112" i="30"/>
  <c r="CZ112" i="30"/>
  <c r="DA112" i="30"/>
  <c r="DB112" i="30"/>
  <c r="DC112" i="30"/>
  <c r="DD112" i="30"/>
  <c r="DE112" i="30"/>
  <c r="DF112" i="30"/>
  <c r="DG112" i="30"/>
  <c r="DH112" i="30"/>
  <c r="DI112" i="30"/>
  <c r="DJ112" i="30"/>
  <c r="DK112" i="30"/>
  <c r="DL112" i="30"/>
  <c r="DM112" i="30"/>
  <c r="DN112" i="30"/>
  <c r="DO112" i="30"/>
  <c r="DP112" i="30"/>
  <c r="DQ112" i="30"/>
  <c r="DR112" i="30"/>
  <c r="DS112" i="30"/>
  <c r="DT112" i="30"/>
  <c r="DU112" i="30"/>
  <c r="DV112" i="30"/>
  <c r="DW112" i="30"/>
  <c r="DX112" i="30"/>
  <c r="DY112" i="30"/>
  <c r="DZ112" i="30"/>
  <c r="EA112" i="30"/>
  <c r="EB112" i="30"/>
  <c r="EC112" i="30"/>
  <c r="ED112" i="30"/>
  <c r="EE112" i="30"/>
  <c r="EF112" i="30"/>
  <c r="EG112" i="30"/>
  <c r="EH112" i="30"/>
  <c r="EI112" i="30"/>
  <c r="EJ112" i="30"/>
  <c r="EK112" i="30"/>
  <c r="EL112" i="30"/>
  <c r="EM112" i="30"/>
  <c r="EN112" i="30"/>
  <c r="EO112" i="30"/>
  <c r="EP112" i="30"/>
  <c r="EQ112" i="30"/>
  <c r="ER112" i="30"/>
  <c r="ES112" i="30"/>
  <c r="ET112" i="30"/>
  <c r="EU112" i="30"/>
  <c r="EV112" i="30"/>
  <c r="EW112" i="30"/>
  <c r="EX112" i="30"/>
  <c r="EY112" i="30"/>
  <c r="EZ112" i="30"/>
  <c r="FA112" i="30"/>
  <c r="FB112" i="30"/>
  <c r="FC112" i="30"/>
  <c r="FD112" i="30"/>
  <c r="FE112" i="30"/>
  <c r="FF112" i="30"/>
  <c r="FG112" i="30"/>
  <c r="FH112" i="30"/>
  <c r="FI112" i="30"/>
  <c r="FJ112" i="30"/>
  <c r="FK112" i="30"/>
  <c r="FL112" i="30"/>
  <c r="FM112" i="30"/>
  <c r="FN112" i="30"/>
  <c r="FO112" i="30"/>
  <c r="FP112" i="30"/>
  <c r="FQ112" i="30"/>
  <c r="FR112" i="30"/>
  <c r="FS112" i="30"/>
  <c r="FT112" i="30"/>
  <c r="FU112" i="30"/>
  <c r="FV112" i="30"/>
  <c r="FW112" i="30"/>
  <c r="FX112" i="30"/>
  <c r="FY112" i="30"/>
  <c r="FZ112" i="30"/>
  <c r="GA112" i="30"/>
  <c r="GB112" i="30"/>
  <c r="GC112" i="30"/>
  <c r="GD112" i="30"/>
  <c r="GE112" i="30"/>
  <c r="GF112" i="30"/>
  <c r="GG112" i="30"/>
  <c r="GH112" i="30"/>
  <c r="GI112" i="30"/>
  <c r="GJ112" i="30"/>
  <c r="GK112" i="30"/>
  <c r="GL112" i="30"/>
  <c r="GM112" i="30"/>
  <c r="GN112" i="30"/>
  <c r="GO112" i="30"/>
  <c r="GP112" i="30"/>
  <c r="GQ112" i="30"/>
  <c r="GR112" i="30"/>
  <c r="GS112" i="30"/>
  <c r="GT112" i="30"/>
  <c r="GU112" i="30"/>
  <c r="GV112" i="30"/>
  <c r="GW112" i="30"/>
  <c r="GX112" i="30"/>
  <c r="GY112" i="30"/>
  <c r="GZ112" i="30"/>
  <c r="HA112" i="30"/>
  <c r="HB112" i="30"/>
  <c r="HC112" i="30"/>
  <c r="HD112" i="30"/>
  <c r="HE112" i="30"/>
  <c r="HF112" i="30"/>
  <c r="HG112" i="30"/>
  <c r="HH112" i="30"/>
  <c r="HI112" i="30"/>
  <c r="HJ112" i="30"/>
  <c r="HK112" i="30"/>
  <c r="HL112" i="30"/>
  <c r="HM112" i="30"/>
  <c r="HN112" i="30"/>
  <c r="HO112" i="30"/>
  <c r="HP112" i="30"/>
  <c r="HQ112" i="30"/>
  <c r="HR112" i="30"/>
  <c r="HS112" i="30"/>
  <c r="HT112" i="30"/>
  <c r="HU112" i="30"/>
  <c r="HV112" i="30"/>
  <c r="HW112" i="30"/>
  <c r="HX112" i="30"/>
  <c r="HY112" i="30"/>
  <c r="HZ112" i="30"/>
  <c r="IA112" i="30"/>
  <c r="IB112" i="30"/>
  <c r="IC112" i="30"/>
  <c r="ID112" i="30"/>
  <c r="IE112" i="30"/>
  <c r="IF112" i="30"/>
  <c r="IG112" i="30"/>
  <c r="IH112" i="30"/>
  <c r="II112" i="30"/>
  <c r="IJ112" i="30"/>
  <c r="IK112" i="30"/>
  <c r="IL112" i="30"/>
  <c r="IM112" i="30"/>
  <c r="IN112" i="30"/>
  <c r="IO112" i="30"/>
  <c r="IP112" i="30"/>
  <c r="IQ112" i="30"/>
  <c r="IR112" i="30"/>
  <c r="IS112" i="30"/>
  <c r="IT112" i="30"/>
  <c r="IU112" i="30"/>
  <c r="IV112" i="30"/>
  <c r="A111" i="30"/>
  <c r="B111" i="30"/>
  <c r="C111" i="30"/>
  <c r="D111" i="30"/>
  <c r="E111" i="30"/>
  <c r="F111" i="30"/>
  <c r="G111" i="30"/>
  <c r="H111" i="30"/>
  <c r="I111" i="30"/>
  <c r="J111" i="30"/>
  <c r="K111" i="30"/>
  <c r="L111" i="30"/>
  <c r="M111" i="30"/>
  <c r="N111" i="30"/>
  <c r="O111" i="30"/>
  <c r="P111" i="30"/>
  <c r="Q111" i="30"/>
  <c r="R111" i="30"/>
  <c r="S111" i="30"/>
  <c r="T111" i="30"/>
  <c r="U111" i="30"/>
  <c r="V111" i="30"/>
  <c r="W111" i="30"/>
  <c r="X111" i="30"/>
  <c r="Y111" i="30"/>
  <c r="Z111" i="30"/>
  <c r="AA111" i="30"/>
  <c r="AB111" i="30"/>
  <c r="AC111" i="30"/>
  <c r="AD111" i="30"/>
  <c r="AE111" i="30"/>
  <c r="AF111" i="30"/>
  <c r="AG111" i="30"/>
  <c r="AH111" i="30"/>
  <c r="AI111" i="30"/>
  <c r="AJ111" i="30"/>
  <c r="AK111" i="30"/>
  <c r="AL111" i="30"/>
  <c r="AM111" i="30"/>
  <c r="AN111" i="30"/>
  <c r="AO111" i="30"/>
  <c r="AP111" i="30"/>
  <c r="AQ111" i="30"/>
  <c r="AR111" i="30"/>
  <c r="AS111" i="30"/>
  <c r="AT111" i="30"/>
  <c r="AU111" i="30"/>
  <c r="AV111" i="30"/>
  <c r="AW111" i="30"/>
  <c r="AX111" i="30"/>
  <c r="AY111" i="30"/>
  <c r="AZ111" i="30"/>
  <c r="BA111" i="30"/>
  <c r="BB111" i="30"/>
  <c r="BC111" i="30"/>
  <c r="BD111" i="30"/>
  <c r="BE111" i="30"/>
  <c r="BF111" i="30"/>
  <c r="BG111" i="30"/>
  <c r="BH111" i="30"/>
  <c r="BI111" i="30"/>
  <c r="BJ111" i="30"/>
  <c r="BK111" i="30"/>
  <c r="BL111" i="30"/>
  <c r="BM111" i="30"/>
  <c r="BN111" i="30"/>
  <c r="BO111" i="30"/>
  <c r="BP111" i="30"/>
  <c r="BQ111" i="30"/>
  <c r="BR111" i="30"/>
  <c r="BS111" i="30"/>
  <c r="BT111" i="30"/>
  <c r="BU111" i="30"/>
  <c r="BV111" i="30"/>
  <c r="BW111" i="30"/>
  <c r="BX111" i="30"/>
  <c r="BY111" i="30"/>
  <c r="BZ111" i="30"/>
  <c r="CA111" i="30"/>
  <c r="CB111" i="30"/>
  <c r="CC111" i="30"/>
  <c r="CD111" i="30"/>
  <c r="CE111" i="30"/>
  <c r="CF111" i="30"/>
  <c r="CG111" i="30"/>
  <c r="CH111" i="30"/>
  <c r="CI111" i="30"/>
  <c r="CJ111" i="30"/>
  <c r="CK111" i="30"/>
  <c r="CL111" i="30"/>
  <c r="CM111" i="30"/>
  <c r="CN111" i="30"/>
  <c r="CO111" i="30"/>
  <c r="CP111" i="30"/>
  <c r="CQ111" i="30"/>
  <c r="CR111" i="30"/>
  <c r="CS111" i="30"/>
  <c r="CT111" i="30"/>
  <c r="CU111" i="30"/>
  <c r="CV111" i="30"/>
  <c r="CW111" i="30"/>
  <c r="CX111" i="30"/>
  <c r="CY111" i="30"/>
  <c r="CZ111" i="30"/>
  <c r="DA111" i="30"/>
  <c r="DB111" i="30"/>
  <c r="DC111" i="30"/>
  <c r="DD111" i="30"/>
  <c r="DE111" i="30"/>
  <c r="DF111" i="30"/>
  <c r="DG111" i="30"/>
  <c r="DH111" i="30"/>
  <c r="DI111" i="30"/>
  <c r="DJ111" i="30"/>
  <c r="DK111" i="30"/>
  <c r="DL111" i="30"/>
  <c r="DM111" i="30"/>
  <c r="DN111" i="30"/>
  <c r="DO111" i="30"/>
  <c r="DP111" i="30"/>
  <c r="DQ111" i="30"/>
  <c r="DR111" i="30"/>
  <c r="DS111" i="30"/>
  <c r="DT111" i="30"/>
  <c r="DU111" i="30"/>
  <c r="DV111" i="30"/>
  <c r="DW111" i="30"/>
  <c r="DX111" i="30"/>
  <c r="DY111" i="30"/>
  <c r="DZ111" i="30"/>
  <c r="EA111" i="30"/>
  <c r="EB111" i="30"/>
  <c r="EC111" i="30"/>
  <c r="ED111" i="30"/>
  <c r="EE111" i="30"/>
  <c r="EF111" i="30"/>
  <c r="EG111" i="30"/>
  <c r="EH111" i="30"/>
  <c r="EI111" i="30"/>
  <c r="EJ111" i="30"/>
  <c r="EK111" i="30"/>
  <c r="EL111" i="30"/>
  <c r="EM111" i="30"/>
  <c r="EN111" i="30"/>
  <c r="EO111" i="30"/>
  <c r="EP111" i="30"/>
  <c r="EQ111" i="30"/>
  <c r="ER111" i="30"/>
  <c r="ES111" i="30"/>
  <c r="ET111" i="30"/>
  <c r="EU111" i="30"/>
  <c r="EV111" i="30"/>
  <c r="EW111" i="30"/>
  <c r="EX111" i="30"/>
  <c r="EY111" i="30"/>
  <c r="EZ111" i="30"/>
  <c r="FA111" i="30"/>
  <c r="FB111" i="30"/>
  <c r="FC111" i="30"/>
  <c r="FD111" i="30"/>
  <c r="FE111" i="30"/>
  <c r="FF111" i="30"/>
  <c r="FG111" i="30"/>
  <c r="FH111" i="30"/>
  <c r="FI111" i="30"/>
  <c r="FJ111" i="30"/>
  <c r="FK111" i="30"/>
  <c r="FL111" i="30"/>
  <c r="FM111" i="30"/>
  <c r="FN111" i="30"/>
  <c r="FO111" i="30"/>
  <c r="FP111" i="30"/>
  <c r="FQ111" i="30"/>
  <c r="FR111" i="30"/>
  <c r="FS111" i="30"/>
  <c r="FT111" i="30"/>
  <c r="FU111" i="30"/>
  <c r="FV111" i="30"/>
  <c r="FW111" i="30"/>
  <c r="FX111" i="30"/>
  <c r="FY111" i="30"/>
  <c r="FZ111" i="30"/>
  <c r="GA111" i="30"/>
  <c r="GB111" i="30"/>
  <c r="GC111" i="30"/>
  <c r="GD111" i="30"/>
  <c r="GE111" i="30"/>
  <c r="GF111" i="30"/>
  <c r="GG111" i="30"/>
  <c r="GH111" i="30"/>
  <c r="GI111" i="30"/>
  <c r="GJ111" i="30"/>
  <c r="GK111" i="30"/>
  <c r="GL111" i="30"/>
  <c r="GM111" i="30"/>
  <c r="GN111" i="30"/>
  <c r="GO111" i="30"/>
  <c r="GP111" i="30"/>
  <c r="GQ111" i="30"/>
  <c r="GR111" i="30"/>
  <c r="GS111" i="30"/>
  <c r="GT111" i="30"/>
  <c r="GU111" i="30"/>
  <c r="GV111" i="30"/>
  <c r="GW111" i="30"/>
  <c r="GX111" i="30"/>
  <c r="GY111" i="30"/>
  <c r="GZ111" i="30"/>
  <c r="HA111" i="30"/>
  <c r="HB111" i="30"/>
  <c r="HC111" i="30"/>
  <c r="HD111" i="30"/>
  <c r="HE111" i="30"/>
  <c r="HF111" i="30"/>
  <c r="HG111" i="30"/>
  <c r="HH111" i="30"/>
  <c r="HI111" i="30"/>
  <c r="HJ111" i="30"/>
  <c r="HK111" i="30"/>
  <c r="HL111" i="30"/>
  <c r="HM111" i="30"/>
  <c r="HN111" i="30"/>
  <c r="HO111" i="30"/>
  <c r="HP111" i="30"/>
  <c r="HQ111" i="30"/>
  <c r="HR111" i="30"/>
  <c r="HS111" i="30"/>
  <c r="HT111" i="30"/>
  <c r="HU111" i="30"/>
  <c r="HV111" i="30"/>
  <c r="HW111" i="30"/>
  <c r="HX111" i="30"/>
  <c r="HY111" i="30"/>
  <c r="HZ111" i="30"/>
  <c r="IA111" i="30"/>
  <c r="IB111" i="30"/>
  <c r="IC111" i="30"/>
  <c r="ID111" i="30"/>
  <c r="IE111" i="30"/>
  <c r="IF111" i="30"/>
  <c r="IG111" i="30"/>
  <c r="IH111" i="30"/>
  <c r="II111" i="30"/>
  <c r="IJ111" i="30"/>
  <c r="IK111" i="30"/>
  <c r="IL111" i="30"/>
  <c r="IM111" i="30"/>
  <c r="IN111" i="30"/>
  <c r="IO111" i="30"/>
  <c r="IP111" i="30"/>
  <c r="IQ111" i="30"/>
  <c r="IR111" i="30"/>
  <c r="IS111" i="30"/>
  <c r="IT111" i="30"/>
  <c r="IU111" i="30"/>
  <c r="IV111" i="30"/>
  <c r="A110" i="30"/>
  <c r="B110" i="30"/>
  <c r="C110" i="30"/>
  <c r="D110" i="30"/>
  <c r="E110" i="30"/>
  <c r="F110" i="30"/>
  <c r="G110" i="30"/>
  <c r="H110" i="30"/>
  <c r="I110" i="30"/>
  <c r="J110" i="30"/>
  <c r="K110" i="30"/>
  <c r="L110" i="30"/>
  <c r="M110" i="30"/>
  <c r="N110" i="30"/>
  <c r="O110" i="30"/>
  <c r="P110" i="30"/>
  <c r="Q110" i="30"/>
  <c r="R110" i="30"/>
  <c r="S110" i="30"/>
  <c r="T110" i="30"/>
  <c r="U110" i="30"/>
  <c r="V110" i="30"/>
  <c r="W110" i="30"/>
  <c r="X110" i="30"/>
  <c r="Y110" i="30"/>
  <c r="Z110" i="30"/>
  <c r="AA110" i="30"/>
  <c r="AB110" i="30"/>
  <c r="AC110" i="30"/>
  <c r="AD110" i="30"/>
  <c r="AE110" i="30"/>
  <c r="AF110" i="30"/>
  <c r="AG110" i="30"/>
  <c r="AH110" i="30"/>
  <c r="AI110" i="30"/>
  <c r="AJ110" i="30"/>
  <c r="AK110" i="30"/>
  <c r="AL110" i="30"/>
  <c r="AM110" i="30"/>
  <c r="AN110" i="30"/>
  <c r="AO110" i="30"/>
  <c r="AP110" i="30"/>
  <c r="AQ110" i="30"/>
  <c r="AR110" i="30"/>
  <c r="AS110" i="30"/>
  <c r="AT110" i="30"/>
  <c r="AU110" i="30"/>
  <c r="AV110" i="30"/>
  <c r="AW110" i="30"/>
  <c r="AX110" i="30"/>
  <c r="AY110" i="30"/>
  <c r="AZ110" i="30"/>
  <c r="BA110" i="30"/>
  <c r="BB110" i="30"/>
  <c r="BC110" i="30"/>
  <c r="BD110" i="30"/>
  <c r="BE110" i="30"/>
  <c r="BF110" i="30"/>
  <c r="BG110" i="30"/>
  <c r="BH110" i="30"/>
  <c r="BI110" i="30"/>
  <c r="BJ110" i="30"/>
  <c r="BK110" i="30"/>
  <c r="BL110" i="30"/>
  <c r="BM110" i="30"/>
  <c r="BN110" i="30"/>
  <c r="BO110" i="30"/>
  <c r="BP110" i="30"/>
  <c r="BQ110" i="30"/>
  <c r="BR110" i="30"/>
  <c r="BS110" i="30"/>
  <c r="BT110" i="30"/>
  <c r="BU110" i="30"/>
  <c r="BV110" i="30"/>
  <c r="BW110" i="30"/>
  <c r="BX110" i="30"/>
  <c r="BY110" i="30"/>
  <c r="BZ110" i="30"/>
  <c r="CA110" i="30"/>
  <c r="CB110" i="30"/>
  <c r="CC110" i="30"/>
  <c r="CD110" i="30"/>
  <c r="CE110" i="30"/>
  <c r="CF110" i="30"/>
  <c r="CG110" i="30"/>
  <c r="CH110" i="30"/>
  <c r="CI110" i="30"/>
  <c r="CJ110" i="30"/>
  <c r="CK110" i="30"/>
  <c r="CL110" i="30"/>
  <c r="CM110" i="30"/>
  <c r="CN110" i="30"/>
  <c r="CO110" i="30"/>
  <c r="CP110" i="30"/>
  <c r="CQ110" i="30"/>
  <c r="CR110" i="30"/>
  <c r="CS110" i="30"/>
  <c r="CT110" i="30"/>
  <c r="CU110" i="30"/>
  <c r="CV110" i="30"/>
  <c r="CW110" i="30"/>
  <c r="CX110" i="30"/>
  <c r="CY110" i="30"/>
  <c r="CZ110" i="30"/>
  <c r="DA110" i="30"/>
  <c r="DB110" i="30"/>
  <c r="DC110" i="30"/>
  <c r="DD110" i="30"/>
  <c r="DE110" i="30"/>
  <c r="DF110" i="30"/>
  <c r="DG110" i="30"/>
  <c r="DH110" i="30"/>
  <c r="DI110" i="30"/>
  <c r="DJ110" i="30"/>
  <c r="DK110" i="30"/>
  <c r="DL110" i="30"/>
  <c r="DM110" i="30"/>
  <c r="DN110" i="30"/>
  <c r="DO110" i="30"/>
  <c r="DP110" i="30"/>
  <c r="DQ110" i="30"/>
  <c r="DR110" i="30"/>
  <c r="DS110" i="30"/>
  <c r="DT110" i="30"/>
  <c r="DU110" i="30"/>
  <c r="DV110" i="30"/>
  <c r="DW110" i="30"/>
  <c r="DX110" i="30"/>
  <c r="DY110" i="30"/>
  <c r="DZ110" i="30"/>
  <c r="EA110" i="30"/>
  <c r="EB110" i="30"/>
  <c r="EC110" i="30"/>
  <c r="ED110" i="30"/>
  <c r="EE110" i="30"/>
  <c r="EF110" i="30"/>
  <c r="EG110" i="30"/>
  <c r="EH110" i="30"/>
  <c r="EI110" i="30"/>
  <c r="EJ110" i="30"/>
  <c r="EK110" i="30"/>
  <c r="EL110" i="30"/>
  <c r="EM110" i="30"/>
  <c r="EN110" i="30"/>
  <c r="EO110" i="30"/>
  <c r="EP110" i="30"/>
  <c r="EQ110" i="30"/>
  <c r="ER110" i="30"/>
  <c r="ES110" i="30"/>
  <c r="ET110" i="30"/>
  <c r="EU110" i="30"/>
  <c r="EV110" i="30"/>
  <c r="EW110" i="30"/>
  <c r="EX110" i="30"/>
  <c r="EY110" i="30"/>
  <c r="EZ110" i="30"/>
  <c r="FA110" i="30"/>
  <c r="FB110" i="30"/>
  <c r="FC110" i="30"/>
  <c r="FD110" i="30"/>
  <c r="FE110" i="30"/>
  <c r="FF110" i="30"/>
  <c r="FG110" i="30"/>
  <c r="FH110" i="30"/>
  <c r="FI110" i="30"/>
  <c r="FJ110" i="30"/>
  <c r="FK110" i="30"/>
  <c r="FL110" i="30"/>
  <c r="FM110" i="30"/>
  <c r="FN110" i="30"/>
  <c r="FO110" i="30"/>
  <c r="FP110" i="30"/>
  <c r="FQ110" i="30"/>
  <c r="FR110" i="30"/>
  <c r="FS110" i="30"/>
  <c r="FT110" i="30"/>
  <c r="FU110" i="30"/>
  <c r="FV110" i="30"/>
  <c r="FW110" i="30"/>
  <c r="FX110" i="30"/>
  <c r="FY110" i="30"/>
  <c r="FZ110" i="30"/>
  <c r="GA110" i="30"/>
  <c r="GB110" i="30"/>
  <c r="GC110" i="30"/>
  <c r="GD110" i="30"/>
  <c r="GE110" i="30"/>
  <c r="GF110" i="30"/>
  <c r="GG110" i="30"/>
  <c r="GH110" i="30"/>
  <c r="GI110" i="30"/>
  <c r="GJ110" i="30"/>
  <c r="GK110" i="30"/>
  <c r="GL110" i="30"/>
  <c r="GM110" i="30"/>
  <c r="GN110" i="30"/>
  <c r="GO110" i="30"/>
  <c r="GP110" i="30"/>
  <c r="GQ110" i="30"/>
  <c r="GR110" i="30"/>
  <c r="GS110" i="30"/>
  <c r="GT110" i="30"/>
  <c r="GU110" i="30"/>
  <c r="GV110" i="30"/>
  <c r="GW110" i="30"/>
  <c r="GX110" i="30"/>
  <c r="GY110" i="30"/>
  <c r="GZ110" i="30"/>
  <c r="HA110" i="30"/>
  <c r="HB110" i="30"/>
  <c r="HC110" i="30"/>
  <c r="HD110" i="30"/>
  <c r="HE110" i="30"/>
  <c r="HF110" i="30"/>
  <c r="HG110" i="30"/>
  <c r="HH110" i="30"/>
  <c r="HI110" i="30"/>
  <c r="HJ110" i="30"/>
  <c r="HK110" i="30"/>
  <c r="HL110" i="30"/>
  <c r="HM110" i="30"/>
  <c r="HN110" i="30"/>
  <c r="HO110" i="30"/>
  <c r="HP110" i="30"/>
  <c r="HQ110" i="30"/>
  <c r="HR110" i="30"/>
  <c r="HS110" i="30"/>
  <c r="HT110" i="30"/>
  <c r="HU110" i="30"/>
  <c r="HV110" i="30"/>
  <c r="HW110" i="30"/>
  <c r="HX110" i="30"/>
  <c r="HY110" i="30"/>
  <c r="HZ110" i="30"/>
  <c r="IA110" i="30"/>
  <c r="IB110" i="30"/>
  <c r="IC110" i="30"/>
  <c r="ID110" i="30"/>
  <c r="IE110" i="30"/>
  <c r="IF110" i="30"/>
  <c r="IG110" i="30"/>
  <c r="IH110" i="30"/>
  <c r="II110" i="30"/>
  <c r="IJ110" i="30"/>
  <c r="IK110" i="30"/>
  <c r="IL110" i="30"/>
  <c r="IM110" i="30"/>
  <c r="IN110" i="30"/>
  <c r="IO110" i="30"/>
  <c r="IP110" i="30"/>
  <c r="IQ110" i="30"/>
  <c r="IR110" i="30"/>
  <c r="IS110" i="30"/>
  <c r="IT110" i="30"/>
  <c r="IU110" i="30"/>
  <c r="IV110" i="30"/>
  <c r="A109" i="30"/>
  <c r="B109" i="30"/>
  <c r="C109" i="30"/>
  <c r="D109" i="30"/>
  <c r="E109" i="30"/>
  <c r="F109" i="30"/>
  <c r="G109" i="30"/>
  <c r="H109" i="30"/>
  <c r="I109" i="30"/>
  <c r="J109" i="30"/>
  <c r="K109" i="30"/>
  <c r="L109" i="30"/>
  <c r="M109" i="30"/>
  <c r="N109" i="30"/>
  <c r="O109" i="30"/>
  <c r="P109" i="30"/>
  <c r="Q109" i="30"/>
  <c r="R109" i="30"/>
  <c r="S109" i="30"/>
  <c r="T109" i="30"/>
  <c r="U109" i="30"/>
  <c r="V109" i="30"/>
  <c r="W109" i="30"/>
  <c r="X109" i="30"/>
  <c r="Y109" i="30"/>
  <c r="Z109" i="30"/>
  <c r="AA109" i="30"/>
  <c r="AB109" i="30"/>
  <c r="AC109" i="30"/>
  <c r="AD109" i="30"/>
  <c r="AE109" i="30"/>
  <c r="AF109" i="30"/>
  <c r="AG109" i="30"/>
  <c r="AH109" i="30"/>
  <c r="AI109" i="30"/>
  <c r="AJ109" i="30"/>
  <c r="AK109" i="30"/>
  <c r="AL109" i="30"/>
  <c r="AM109" i="30"/>
  <c r="AN109" i="30"/>
  <c r="AO109" i="30"/>
  <c r="AP109" i="30"/>
  <c r="AQ109" i="30"/>
  <c r="AR109" i="30"/>
  <c r="AS109" i="30"/>
  <c r="AT109" i="30"/>
  <c r="AU109" i="30"/>
  <c r="AV109" i="30"/>
  <c r="AW109" i="30"/>
  <c r="AX109" i="30"/>
  <c r="AY109" i="30"/>
  <c r="AZ109" i="30"/>
  <c r="BA109" i="30"/>
  <c r="BB109" i="30"/>
  <c r="BC109" i="30"/>
  <c r="BD109" i="30"/>
  <c r="BE109" i="30"/>
  <c r="BF109" i="30"/>
  <c r="BG109" i="30"/>
  <c r="BH109" i="30"/>
  <c r="BI109" i="30"/>
  <c r="BJ109" i="30"/>
  <c r="BK109" i="30"/>
  <c r="BL109" i="30"/>
  <c r="BM109" i="30"/>
  <c r="BN109" i="30"/>
  <c r="BO109" i="30"/>
  <c r="BP109" i="30"/>
  <c r="BQ109" i="30"/>
  <c r="BR109" i="30"/>
  <c r="BS109" i="30"/>
  <c r="BT109" i="30"/>
  <c r="BU109" i="30"/>
  <c r="BV109" i="30"/>
  <c r="BW109" i="30"/>
  <c r="BX109" i="30"/>
  <c r="BY109" i="30"/>
  <c r="BZ109" i="30"/>
  <c r="CA109" i="30"/>
  <c r="CB109" i="30"/>
  <c r="CC109" i="30"/>
  <c r="CD109" i="30"/>
  <c r="CE109" i="30"/>
  <c r="CF109" i="30"/>
  <c r="CG109" i="30"/>
  <c r="CH109" i="30"/>
  <c r="CI109" i="30"/>
  <c r="CJ109" i="30"/>
  <c r="CK109" i="30"/>
  <c r="CL109" i="30"/>
  <c r="CM109" i="30"/>
  <c r="CN109" i="30"/>
  <c r="CO109" i="30"/>
  <c r="CP109" i="30"/>
  <c r="CQ109" i="30"/>
  <c r="CR109" i="30"/>
  <c r="CS109" i="30"/>
  <c r="CT109" i="30"/>
  <c r="CU109" i="30"/>
  <c r="CV109" i="30"/>
  <c r="CW109" i="30"/>
  <c r="CX109" i="30"/>
  <c r="CY109" i="30"/>
  <c r="CZ109" i="30"/>
  <c r="DA109" i="30"/>
  <c r="DB109" i="30"/>
  <c r="DC109" i="30"/>
  <c r="DD109" i="30"/>
  <c r="DE109" i="30"/>
  <c r="DF109" i="30"/>
  <c r="DG109" i="30"/>
  <c r="DH109" i="30"/>
  <c r="DI109" i="30"/>
  <c r="DJ109" i="30"/>
  <c r="DK109" i="30"/>
  <c r="DL109" i="30"/>
  <c r="DM109" i="30"/>
  <c r="DN109" i="30"/>
  <c r="DO109" i="30"/>
  <c r="DP109" i="30"/>
  <c r="DQ109" i="30"/>
  <c r="DR109" i="30"/>
  <c r="DS109" i="30"/>
  <c r="DT109" i="30"/>
  <c r="DU109" i="30"/>
  <c r="DV109" i="30"/>
  <c r="DW109" i="30"/>
  <c r="DX109" i="30"/>
  <c r="DY109" i="30"/>
  <c r="DZ109" i="30"/>
  <c r="EA109" i="30"/>
  <c r="EB109" i="30"/>
  <c r="EC109" i="30"/>
  <c r="ED109" i="30"/>
  <c r="EE109" i="30"/>
  <c r="EF109" i="30"/>
  <c r="EG109" i="30"/>
  <c r="EH109" i="30"/>
  <c r="EI109" i="30"/>
  <c r="EJ109" i="30"/>
  <c r="EK109" i="30"/>
  <c r="EL109" i="30"/>
  <c r="EM109" i="30"/>
  <c r="EN109" i="30"/>
  <c r="EO109" i="30"/>
  <c r="EP109" i="30"/>
  <c r="EQ109" i="30"/>
  <c r="ER109" i="30"/>
  <c r="ES109" i="30"/>
  <c r="ET109" i="30"/>
  <c r="EU109" i="30"/>
  <c r="EV109" i="30"/>
  <c r="EW109" i="30"/>
  <c r="EX109" i="30"/>
  <c r="EY109" i="30"/>
  <c r="EZ109" i="30"/>
  <c r="FA109" i="30"/>
  <c r="FB109" i="30"/>
  <c r="FC109" i="30"/>
  <c r="FD109" i="30"/>
  <c r="FE109" i="30"/>
  <c r="FF109" i="30"/>
  <c r="FG109" i="30"/>
  <c r="FH109" i="30"/>
  <c r="FI109" i="30"/>
  <c r="FJ109" i="30"/>
  <c r="FK109" i="30"/>
  <c r="FL109" i="30"/>
  <c r="FM109" i="30"/>
  <c r="FN109" i="30"/>
  <c r="FO109" i="30"/>
  <c r="FP109" i="30"/>
  <c r="FQ109" i="30"/>
  <c r="FR109" i="30"/>
  <c r="FS109" i="30"/>
  <c r="FT109" i="30"/>
  <c r="FU109" i="30"/>
  <c r="FV109" i="30"/>
  <c r="FW109" i="30"/>
  <c r="FX109" i="30"/>
  <c r="FY109" i="30"/>
  <c r="FZ109" i="30"/>
  <c r="GA109" i="30"/>
  <c r="GB109" i="30"/>
  <c r="GC109" i="30"/>
  <c r="GD109" i="30"/>
  <c r="GE109" i="30"/>
  <c r="GF109" i="30"/>
  <c r="GG109" i="30"/>
  <c r="GH109" i="30"/>
  <c r="GI109" i="30"/>
  <c r="GJ109" i="30"/>
  <c r="GK109" i="30"/>
  <c r="GL109" i="30"/>
  <c r="GM109" i="30"/>
  <c r="GN109" i="30"/>
  <c r="GO109" i="30"/>
  <c r="GP109" i="30"/>
  <c r="GQ109" i="30"/>
  <c r="GR109" i="30"/>
  <c r="GS109" i="30"/>
  <c r="GT109" i="30"/>
  <c r="GU109" i="30"/>
  <c r="GV109" i="30"/>
  <c r="GW109" i="30"/>
  <c r="GX109" i="30"/>
  <c r="GY109" i="30"/>
  <c r="GZ109" i="30"/>
  <c r="HA109" i="30"/>
  <c r="HB109" i="30"/>
  <c r="HC109" i="30"/>
  <c r="HD109" i="30"/>
  <c r="HE109" i="30"/>
  <c r="HF109" i="30"/>
  <c r="HG109" i="30"/>
  <c r="HH109" i="30"/>
  <c r="HI109" i="30"/>
  <c r="HJ109" i="30"/>
  <c r="HK109" i="30"/>
  <c r="HL109" i="30"/>
  <c r="HM109" i="30"/>
  <c r="HN109" i="30"/>
  <c r="HO109" i="30"/>
  <c r="HP109" i="30"/>
  <c r="HQ109" i="30"/>
  <c r="HR109" i="30"/>
  <c r="HS109" i="30"/>
  <c r="HT109" i="30"/>
  <c r="HU109" i="30"/>
  <c r="HV109" i="30"/>
  <c r="HW109" i="30"/>
  <c r="HX109" i="30"/>
  <c r="HY109" i="30"/>
  <c r="HZ109" i="30"/>
  <c r="IA109" i="30"/>
  <c r="IB109" i="30"/>
  <c r="IC109" i="30"/>
  <c r="ID109" i="30"/>
  <c r="IE109" i="30"/>
  <c r="IF109" i="30"/>
  <c r="IG109" i="30"/>
  <c r="IH109" i="30"/>
  <c r="II109" i="30"/>
  <c r="IJ109" i="30"/>
  <c r="IK109" i="30"/>
  <c r="IL109" i="30"/>
  <c r="IM109" i="30"/>
  <c r="IN109" i="30"/>
  <c r="IO109" i="30"/>
  <c r="IP109" i="30"/>
  <c r="IQ109" i="30"/>
  <c r="IR109" i="30"/>
  <c r="IS109" i="30"/>
  <c r="IT109" i="30"/>
  <c r="IU109" i="30"/>
  <c r="IV109" i="30"/>
  <c r="A108" i="30"/>
  <c r="B108" i="30"/>
  <c r="C108" i="30"/>
  <c r="D108" i="30"/>
  <c r="E108" i="30"/>
  <c r="F108" i="30"/>
  <c r="G108" i="30"/>
  <c r="H108" i="30"/>
  <c r="I108" i="30"/>
  <c r="J108" i="30"/>
  <c r="K108" i="30"/>
  <c r="L108" i="30"/>
  <c r="M108" i="30"/>
  <c r="N108" i="30"/>
  <c r="O108" i="30"/>
  <c r="P108" i="30"/>
  <c r="Q108" i="30"/>
  <c r="R108" i="30"/>
  <c r="S108" i="30"/>
  <c r="T108" i="30"/>
  <c r="U108" i="30"/>
  <c r="V108" i="30"/>
  <c r="W108" i="30"/>
  <c r="X108" i="30"/>
  <c r="Y108" i="30"/>
  <c r="Z108" i="30"/>
  <c r="AA108" i="30"/>
  <c r="AB108" i="30"/>
  <c r="AC108" i="30"/>
  <c r="AD108" i="30"/>
  <c r="AE108" i="30"/>
  <c r="AF108" i="30"/>
  <c r="AG108" i="30"/>
  <c r="AH108" i="30"/>
  <c r="AI108" i="30"/>
  <c r="AJ108" i="30"/>
  <c r="AK108" i="30"/>
  <c r="AL108" i="30"/>
  <c r="AM108" i="30"/>
  <c r="AN108" i="30"/>
  <c r="AO108" i="30"/>
  <c r="AP108" i="30"/>
  <c r="AQ108" i="30"/>
  <c r="AR108" i="30"/>
  <c r="AS108" i="30"/>
  <c r="AT108" i="30"/>
  <c r="AU108" i="30"/>
  <c r="AV108" i="30"/>
  <c r="AW108" i="30"/>
  <c r="AX108" i="30"/>
  <c r="AY108" i="30"/>
  <c r="AZ108" i="30"/>
  <c r="BA108" i="30"/>
  <c r="BB108" i="30"/>
  <c r="BC108" i="30"/>
  <c r="BD108" i="30"/>
  <c r="BE108" i="30"/>
  <c r="BF108" i="30"/>
  <c r="BG108" i="30"/>
  <c r="BH108" i="30"/>
  <c r="BI108" i="30"/>
  <c r="BJ108" i="30"/>
  <c r="BK108" i="30"/>
  <c r="BL108" i="30"/>
  <c r="BM108" i="30"/>
  <c r="BN108" i="30"/>
  <c r="BO108" i="30"/>
  <c r="BP108" i="30"/>
  <c r="BQ108" i="30"/>
  <c r="BR108" i="30"/>
  <c r="BS108" i="30"/>
  <c r="BT108" i="30"/>
  <c r="BU108" i="30"/>
  <c r="BV108" i="30"/>
  <c r="BW108" i="30"/>
  <c r="BX108" i="30"/>
  <c r="BY108" i="30"/>
  <c r="BZ108" i="30"/>
  <c r="CA108" i="30"/>
  <c r="CB108" i="30"/>
  <c r="CC108" i="30"/>
  <c r="CD108" i="30"/>
  <c r="CE108" i="30"/>
  <c r="CF108" i="30"/>
  <c r="CG108" i="30"/>
  <c r="CH108" i="30"/>
  <c r="CI108" i="30"/>
  <c r="CJ108" i="30"/>
  <c r="CK108" i="30"/>
  <c r="CL108" i="30"/>
  <c r="CM108" i="30"/>
  <c r="CN108" i="30"/>
  <c r="CO108" i="30"/>
  <c r="CP108" i="30"/>
  <c r="CQ108" i="30"/>
  <c r="CR108" i="30"/>
  <c r="CS108" i="30"/>
  <c r="CT108" i="30"/>
  <c r="CU108" i="30"/>
  <c r="CV108" i="30"/>
  <c r="CW108" i="30"/>
  <c r="CX108" i="30"/>
  <c r="CY108" i="30"/>
  <c r="CZ108" i="30"/>
  <c r="DA108" i="30"/>
  <c r="DB108" i="30"/>
  <c r="DC108" i="30"/>
  <c r="DD108" i="30"/>
  <c r="DE108" i="30"/>
  <c r="DF108" i="30"/>
  <c r="DG108" i="30"/>
  <c r="DH108" i="30"/>
  <c r="DI108" i="30"/>
  <c r="DJ108" i="30"/>
  <c r="DK108" i="30"/>
  <c r="DL108" i="30"/>
  <c r="DM108" i="30"/>
  <c r="DN108" i="30"/>
  <c r="DO108" i="30"/>
  <c r="DP108" i="30"/>
  <c r="DQ108" i="30"/>
  <c r="DR108" i="30"/>
  <c r="DS108" i="30"/>
  <c r="DT108" i="30"/>
  <c r="DU108" i="30"/>
  <c r="DV108" i="30"/>
  <c r="DW108" i="30"/>
  <c r="DX108" i="30"/>
  <c r="DY108" i="30"/>
  <c r="DZ108" i="30"/>
  <c r="EA108" i="30"/>
  <c r="EB108" i="30"/>
  <c r="EC108" i="30"/>
  <c r="ED108" i="30"/>
  <c r="EE108" i="30"/>
  <c r="EF108" i="30"/>
  <c r="EG108" i="30"/>
  <c r="EH108" i="30"/>
  <c r="EI108" i="30"/>
  <c r="EJ108" i="30"/>
  <c r="EK108" i="30"/>
  <c r="EL108" i="30"/>
  <c r="EM108" i="30"/>
  <c r="EN108" i="30"/>
  <c r="EO108" i="30"/>
  <c r="EP108" i="30"/>
  <c r="EQ108" i="30"/>
  <c r="ER108" i="30"/>
  <c r="ES108" i="30"/>
  <c r="ET108" i="30"/>
  <c r="EU108" i="30"/>
  <c r="EV108" i="30"/>
  <c r="EW108" i="30"/>
  <c r="EX108" i="30"/>
  <c r="EY108" i="30"/>
  <c r="EZ108" i="30"/>
  <c r="FA108" i="30"/>
  <c r="FB108" i="30"/>
  <c r="FC108" i="30"/>
  <c r="FD108" i="30"/>
  <c r="FE108" i="30"/>
  <c r="FF108" i="30"/>
  <c r="FG108" i="30"/>
  <c r="FH108" i="30"/>
  <c r="FI108" i="30"/>
  <c r="FJ108" i="30"/>
  <c r="FK108" i="30"/>
  <c r="FL108" i="30"/>
  <c r="FM108" i="30"/>
  <c r="FN108" i="30"/>
  <c r="FO108" i="30"/>
  <c r="FP108" i="30"/>
  <c r="FQ108" i="30"/>
  <c r="FR108" i="30"/>
  <c r="FS108" i="30"/>
  <c r="FT108" i="30"/>
  <c r="FU108" i="30"/>
  <c r="FV108" i="30"/>
  <c r="FW108" i="30"/>
  <c r="FX108" i="30"/>
  <c r="FY108" i="30"/>
  <c r="FZ108" i="30"/>
  <c r="GA108" i="30"/>
  <c r="GB108" i="30"/>
  <c r="GC108" i="30"/>
  <c r="GD108" i="30"/>
  <c r="GE108" i="30"/>
  <c r="GF108" i="30"/>
  <c r="GG108" i="30"/>
  <c r="GH108" i="30"/>
  <c r="GI108" i="30"/>
  <c r="GJ108" i="30"/>
  <c r="GK108" i="30"/>
  <c r="GL108" i="30"/>
  <c r="GM108" i="30"/>
  <c r="GN108" i="30"/>
  <c r="GO108" i="30"/>
  <c r="GP108" i="30"/>
  <c r="GQ108" i="30"/>
  <c r="GR108" i="30"/>
  <c r="GS108" i="30"/>
  <c r="GT108" i="30"/>
  <c r="GU108" i="30"/>
  <c r="GV108" i="30"/>
  <c r="GW108" i="30"/>
  <c r="GX108" i="30"/>
  <c r="GY108" i="30"/>
  <c r="GZ108" i="30"/>
  <c r="HA108" i="30"/>
  <c r="HB108" i="30"/>
  <c r="HC108" i="30"/>
  <c r="HD108" i="30"/>
  <c r="HE108" i="30"/>
  <c r="HF108" i="30"/>
  <c r="HG108" i="30"/>
  <c r="HH108" i="30"/>
  <c r="HI108" i="30"/>
  <c r="HJ108" i="30"/>
  <c r="HK108" i="30"/>
  <c r="HL108" i="30"/>
  <c r="HM108" i="30"/>
  <c r="HN108" i="30"/>
  <c r="HO108" i="30"/>
  <c r="HP108" i="30"/>
  <c r="HQ108" i="30"/>
  <c r="HR108" i="30"/>
  <c r="HS108" i="30"/>
  <c r="HT108" i="30"/>
  <c r="HU108" i="30"/>
  <c r="HV108" i="30"/>
  <c r="HW108" i="30"/>
  <c r="HX108" i="30"/>
  <c r="HY108" i="30"/>
  <c r="HZ108" i="30"/>
  <c r="IA108" i="30"/>
  <c r="IB108" i="30"/>
  <c r="IC108" i="30"/>
  <c r="ID108" i="30"/>
  <c r="IE108" i="30"/>
  <c r="IF108" i="30"/>
  <c r="IG108" i="30"/>
  <c r="IH108" i="30"/>
  <c r="II108" i="30"/>
  <c r="IJ108" i="30"/>
  <c r="IK108" i="30"/>
  <c r="IL108" i="30"/>
  <c r="IM108" i="30"/>
  <c r="IN108" i="30"/>
  <c r="IO108" i="30"/>
  <c r="IP108" i="30"/>
  <c r="IQ108" i="30"/>
  <c r="IR108" i="30"/>
  <c r="IS108" i="30"/>
  <c r="IT108" i="30"/>
  <c r="IU108" i="30"/>
  <c r="IV108" i="30"/>
  <c r="A107" i="30"/>
  <c r="B107" i="30"/>
  <c r="C107" i="30"/>
  <c r="D107" i="30"/>
  <c r="E107" i="30"/>
  <c r="F107" i="30"/>
  <c r="G107" i="30"/>
  <c r="H107" i="30"/>
  <c r="I107" i="30"/>
  <c r="J107" i="30"/>
  <c r="K107" i="30"/>
  <c r="L107" i="30"/>
  <c r="M107" i="30"/>
  <c r="N107" i="30"/>
  <c r="O107" i="30"/>
  <c r="P107" i="30"/>
  <c r="Q107" i="30"/>
  <c r="R107" i="30"/>
  <c r="S107" i="30"/>
  <c r="T107" i="30"/>
  <c r="U107" i="30"/>
  <c r="V107" i="30"/>
  <c r="W107" i="30"/>
  <c r="X107" i="30"/>
  <c r="Y107" i="30"/>
  <c r="Z107" i="30"/>
  <c r="AA107" i="30"/>
  <c r="AB107" i="30"/>
  <c r="AC107" i="30"/>
  <c r="AD107" i="30"/>
  <c r="AE107" i="30"/>
  <c r="AF107" i="30"/>
  <c r="AG107" i="30"/>
  <c r="AH107" i="30"/>
  <c r="AI107" i="30"/>
  <c r="AJ107" i="30"/>
  <c r="AK107" i="30"/>
  <c r="AL107" i="30"/>
  <c r="AM107" i="30"/>
  <c r="AN107" i="30"/>
  <c r="AO107" i="30"/>
  <c r="AP107" i="30"/>
  <c r="AQ107" i="30"/>
  <c r="AR107" i="30"/>
  <c r="AS107" i="30"/>
  <c r="AT107" i="30"/>
  <c r="AU107" i="30"/>
  <c r="AV107" i="30"/>
  <c r="AW107" i="30"/>
  <c r="AX107" i="30"/>
  <c r="AY107" i="30"/>
  <c r="AZ107" i="30"/>
  <c r="BA107" i="30"/>
  <c r="BB107" i="30"/>
  <c r="BC107" i="30"/>
  <c r="BD107" i="30"/>
  <c r="BE107" i="30"/>
  <c r="BF107" i="30"/>
  <c r="BG107" i="30"/>
  <c r="BH107" i="30"/>
  <c r="BI107" i="30"/>
  <c r="BJ107" i="30"/>
  <c r="BK107" i="30"/>
  <c r="BL107" i="30"/>
  <c r="BM107" i="30"/>
  <c r="BN107" i="30"/>
  <c r="BO107" i="30"/>
  <c r="BP107" i="30"/>
  <c r="BQ107" i="30"/>
  <c r="BR107" i="30"/>
  <c r="BS107" i="30"/>
  <c r="BT107" i="30"/>
  <c r="BU107" i="30"/>
  <c r="BV107" i="30"/>
  <c r="BW107" i="30"/>
  <c r="BX107" i="30"/>
  <c r="BY107" i="30"/>
  <c r="BZ107" i="30"/>
  <c r="CA107" i="30"/>
  <c r="CB107" i="30"/>
  <c r="CC107" i="30"/>
  <c r="CD107" i="30"/>
  <c r="CE107" i="30"/>
  <c r="CF107" i="30"/>
  <c r="CG107" i="30"/>
  <c r="CH107" i="30"/>
  <c r="CI107" i="30"/>
  <c r="CJ107" i="30"/>
  <c r="CK107" i="30"/>
  <c r="CL107" i="30"/>
  <c r="CM107" i="30"/>
  <c r="CN107" i="30"/>
  <c r="CO107" i="30"/>
  <c r="CP107" i="30"/>
  <c r="CQ107" i="30"/>
  <c r="CR107" i="30"/>
  <c r="CS107" i="30"/>
  <c r="CT107" i="30"/>
  <c r="CU107" i="30"/>
  <c r="CV107" i="30"/>
  <c r="CW107" i="30"/>
  <c r="CX107" i="30"/>
  <c r="CY107" i="30"/>
  <c r="CZ107" i="30"/>
  <c r="DA107" i="30"/>
  <c r="DB107" i="30"/>
  <c r="DC107" i="30"/>
  <c r="DD107" i="30"/>
  <c r="DE107" i="30"/>
  <c r="DF107" i="30"/>
  <c r="DG107" i="30"/>
  <c r="DH107" i="30"/>
  <c r="DI107" i="30"/>
  <c r="DJ107" i="30"/>
  <c r="DK107" i="30"/>
  <c r="DL107" i="30"/>
  <c r="DM107" i="30"/>
  <c r="DN107" i="30"/>
  <c r="DO107" i="30"/>
  <c r="DP107" i="30"/>
  <c r="DQ107" i="30"/>
  <c r="DR107" i="30"/>
  <c r="DS107" i="30"/>
  <c r="DT107" i="30"/>
  <c r="DU107" i="30"/>
  <c r="DV107" i="30"/>
  <c r="DW107" i="30"/>
  <c r="DX107" i="30"/>
  <c r="DY107" i="30"/>
  <c r="DZ107" i="30"/>
  <c r="EA107" i="30"/>
  <c r="EB107" i="30"/>
  <c r="EC107" i="30"/>
  <c r="ED107" i="30"/>
  <c r="EE107" i="30"/>
  <c r="EF107" i="30"/>
  <c r="EG107" i="30"/>
  <c r="EH107" i="30"/>
  <c r="EI107" i="30"/>
  <c r="EJ107" i="30"/>
  <c r="EK107" i="30"/>
  <c r="EL107" i="30"/>
  <c r="EM107" i="30"/>
  <c r="EN107" i="30"/>
  <c r="EO107" i="30"/>
  <c r="EP107" i="30"/>
  <c r="EQ107" i="30"/>
  <c r="ER107" i="30"/>
  <c r="ES107" i="30"/>
  <c r="ET107" i="30"/>
  <c r="EU107" i="30"/>
  <c r="EV107" i="30"/>
  <c r="EW107" i="30"/>
  <c r="EX107" i="30"/>
  <c r="EY107" i="30"/>
  <c r="EZ107" i="30"/>
  <c r="FA107" i="30"/>
  <c r="FB107" i="30"/>
  <c r="FC107" i="30"/>
  <c r="FD107" i="30"/>
  <c r="FE107" i="30"/>
  <c r="FF107" i="30"/>
  <c r="FG107" i="30"/>
  <c r="FH107" i="30"/>
  <c r="FI107" i="30"/>
  <c r="FJ107" i="30"/>
  <c r="FK107" i="30"/>
  <c r="FL107" i="30"/>
  <c r="FM107" i="30"/>
  <c r="FN107" i="30"/>
  <c r="FO107" i="30"/>
  <c r="FP107" i="30"/>
  <c r="FQ107" i="30"/>
  <c r="FR107" i="30"/>
  <c r="FS107" i="30"/>
  <c r="FT107" i="30"/>
  <c r="FU107" i="30"/>
  <c r="FV107" i="30"/>
  <c r="FW107" i="30"/>
  <c r="FX107" i="30"/>
  <c r="FY107" i="30"/>
  <c r="FZ107" i="30"/>
  <c r="GA107" i="30"/>
  <c r="GB107" i="30"/>
  <c r="GC107" i="30"/>
  <c r="GD107" i="30"/>
  <c r="GE107" i="30"/>
  <c r="GF107" i="30"/>
  <c r="GG107" i="30"/>
  <c r="GH107" i="30"/>
  <c r="GI107" i="30"/>
  <c r="GJ107" i="30"/>
  <c r="GK107" i="30"/>
  <c r="GL107" i="30"/>
  <c r="GM107" i="30"/>
  <c r="GN107" i="30"/>
  <c r="GO107" i="30"/>
  <c r="GP107" i="30"/>
  <c r="GQ107" i="30"/>
  <c r="GR107" i="30"/>
  <c r="GS107" i="30"/>
  <c r="GT107" i="30"/>
  <c r="GU107" i="30"/>
  <c r="GV107" i="30"/>
  <c r="GW107" i="30"/>
  <c r="GX107" i="30"/>
  <c r="GY107" i="30"/>
  <c r="GZ107" i="30"/>
  <c r="HA107" i="30"/>
  <c r="HB107" i="30"/>
  <c r="HC107" i="30"/>
  <c r="HD107" i="30"/>
  <c r="HE107" i="30"/>
  <c r="HF107" i="30"/>
  <c r="HG107" i="30"/>
  <c r="HH107" i="30"/>
  <c r="HI107" i="30"/>
  <c r="HJ107" i="30"/>
  <c r="HK107" i="30"/>
  <c r="HL107" i="30"/>
  <c r="HM107" i="30"/>
  <c r="HN107" i="30"/>
  <c r="HO107" i="30"/>
  <c r="HP107" i="30"/>
  <c r="HQ107" i="30"/>
  <c r="HR107" i="30"/>
  <c r="HS107" i="30"/>
  <c r="HT107" i="30"/>
  <c r="HU107" i="30"/>
  <c r="HV107" i="30"/>
  <c r="HW107" i="30"/>
  <c r="HX107" i="30"/>
  <c r="HY107" i="30"/>
  <c r="HZ107" i="30"/>
  <c r="IA107" i="30"/>
  <c r="IB107" i="30"/>
  <c r="IC107" i="30"/>
  <c r="ID107" i="30"/>
  <c r="IE107" i="30"/>
  <c r="IF107" i="30"/>
  <c r="IG107" i="30"/>
  <c r="IH107" i="30"/>
  <c r="II107" i="30"/>
  <c r="IJ107" i="30"/>
  <c r="IK107" i="30"/>
  <c r="IL107" i="30"/>
  <c r="IM107" i="30"/>
  <c r="IN107" i="30"/>
  <c r="IO107" i="30"/>
  <c r="IP107" i="30"/>
  <c r="IQ107" i="30"/>
  <c r="IR107" i="30"/>
  <c r="IS107" i="30"/>
  <c r="IT107" i="30"/>
  <c r="IU107" i="30"/>
  <c r="IV107" i="30"/>
  <c r="A106" i="30"/>
  <c r="B106" i="30"/>
  <c r="C106" i="30"/>
  <c r="D106" i="30"/>
  <c r="E106" i="30"/>
  <c r="F106" i="30"/>
  <c r="G106" i="30"/>
  <c r="H106" i="30"/>
  <c r="I106" i="30"/>
  <c r="J106" i="30"/>
  <c r="K106" i="30"/>
  <c r="L106" i="30"/>
  <c r="M106" i="30"/>
  <c r="N106" i="30"/>
  <c r="O106" i="30"/>
  <c r="P106" i="30"/>
  <c r="Q106" i="30"/>
  <c r="R106" i="30"/>
  <c r="S106" i="30"/>
  <c r="T106" i="30"/>
  <c r="U106" i="30"/>
  <c r="V106" i="30"/>
  <c r="W106" i="30"/>
  <c r="X106" i="30"/>
  <c r="Y106" i="30"/>
  <c r="Z106" i="30"/>
  <c r="AA106" i="30"/>
  <c r="AB106" i="30"/>
  <c r="AC106" i="30"/>
  <c r="AD106" i="30"/>
  <c r="AE106" i="30"/>
  <c r="AF106" i="30"/>
  <c r="AG106" i="30"/>
  <c r="AH106" i="30"/>
  <c r="AI106" i="30"/>
  <c r="AJ106" i="30"/>
  <c r="AK106" i="30"/>
  <c r="AL106" i="30"/>
  <c r="AM106" i="30"/>
  <c r="AN106" i="30"/>
  <c r="AO106" i="30"/>
  <c r="AP106" i="30"/>
  <c r="AQ106" i="30"/>
  <c r="AR106" i="30"/>
  <c r="AS106" i="30"/>
  <c r="AT106" i="30"/>
  <c r="AU106" i="30"/>
  <c r="AV106" i="30"/>
  <c r="AW106" i="30"/>
  <c r="AX106" i="30"/>
  <c r="AY106" i="30"/>
  <c r="AZ106" i="30"/>
  <c r="BA106" i="30"/>
  <c r="BB106" i="30"/>
  <c r="BC106" i="30"/>
  <c r="BD106" i="30"/>
  <c r="BE106" i="30"/>
  <c r="BF106" i="30"/>
  <c r="BG106" i="30"/>
  <c r="BH106" i="30"/>
  <c r="BI106" i="30"/>
  <c r="BJ106" i="30"/>
  <c r="BK106" i="30"/>
  <c r="BL106" i="30"/>
  <c r="BM106" i="30"/>
  <c r="BN106" i="30"/>
  <c r="BO106" i="30"/>
  <c r="BP106" i="30"/>
  <c r="BQ106" i="30"/>
  <c r="BR106" i="30"/>
  <c r="BS106" i="30"/>
  <c r="BT106" i="30"/>
  <c r="BU106" i="30"/>
  <c r="BV106" i="30"/>
  <c r="BW106" i="30"/>
  <c r="BX106" i="30"/>
  <c r="BY106" i="30"/>
  <c r="BZ106" i="30"/>
  <c r="CA106" i="30"/>
  <c r="CB106" i="30"/>
  <c r="CC106" i="30"/>
  <c r="CD106" i="30"/>
  <c r="CE106" i="30"/>
  <c r="CF106" i="30"/>
  <c r="CG106" i="30"/>
  <c r="CH106" i="30"/>
  <c r="CI106" i="30"/>
  <c r="CJ106" i="30"/>
  <c r="CK106" i="30"/>
  <c r="CL106" i="30"/>
  <c r="CM106" i="30"/>
  <c r="CN106" i="30"/>
  <c r="CO106" i="30"/>
  <c r="CP106" i="30"/>
  <c r="CQ106" i="30"/>
  <c r="CR106" i="30"/>
  <c r="CS106" i="30"/>
  <c r="CT106" i="30"/>
  <c r="CU106" i="30"/>
  <c r="CV106" i="30"/>
  <c r="CW106" i="30"/>
  <c r="CX106" i="30"/>
  <c r="CY106" i="30"/>
  <c r="CZ106" i="30"/>
  <c r="DA106" i="30"/>
  <c r="DB106" i="30"/>
  <c r="DC106" i="30"/>
  <c r="DD106" i="30"/>
  <c r="DE106" i="30"/>
  <c r="DF106" i="30"/>
  <c r="DG106" i="30"/>
  <c r="DH106" i="30"/>
  <c r="DI106" i="30"/>
  <c r="DJ106" i="30"/>
  <c r="DK106" i="30"/>
  <c r="DL106" i="30"/>
  <c r="DM106" i="30"/>
  <c r="DN106" i="30"/>
  <c r="DO106" i="30"/>
  <c r="DP106" i="30"/>
  <c r="DQ106" i="30"/>
  <c r="DR106" i="30"/>
  <c r="DS106" i="30"/>
  <c r="DT106" i="30"/>
  <c r="DU106" i="30"/>
  <c r="DV106" i="30"/>
  <c r="DW106" i="30"/>
  <c r="DX106" i="30"/>
  <c r="DY106" i="30"/>
  <c r="DZ106" i="30"/>
  <c r="EA106" i="30"/>
  <c r="EB106" i="30"/>
  <c r="EC106" i="30"/>
  <c r="ED106" i="30"/>
  <c r="EE106" i="30"/>
  <c r="EF106" i="30"/>
  <c r="EG106" i="30"/>
  <c r="EH106" i="30"/>
  <c r="EI106" i="30"/>
  <c r="EJ106" i="30"/>
  <c r="EK106" i="30"/>
  <c r="EL106" i="30"/>
  <c r="EM106" i="30"/>
  <c r="EN106" i="30"/>
  <c r="EO106" i="30"/>
  <c r="EP106" i="30"/>
  <c r="EQ106" i="30"/>
  <c r="ER106" i="30"/>
  <c r="ES106" i="30"/>
  <c r="ET106" i="30"/>
  <c r="EU106" i="30"/>
  <c r="EV106" i="30"/>
  <c r="EW106" i="30"/>
  <c r="EX106" i="30"/>
  <c r="EY106" i="30"/>
  <c r="EZ106" i="30"/>
  <c r="FA106" i="30"/>
  <c r="FB106" i="30"/>
  <c r="FC106" i="30"/>
  <c r="FD106" i="30"/>
  <c r="FE106" i="30"/>
  <c r="FF106" i="30"/>
  <c r="FG106" i="30"/>
  <c r="FH106" i="30"/>
  <c r="FI106" i="30"/>
  <c r="FJ106" i="30"/>
  <c r="FK106" i="30"/>
  <c r="FL106" i="30"/>
  <c r="FM106" i="30"/>
  <c r="FN106" i="30"/>
  <c r="FO106" i="30"/>
  <c r="FP106" i="30"/>
  <c r="FQ106" i="30"/>
  <c r="FR106" i="30"/>
  <c r="FS106" i="30"/>
  <c r="FT106" i="30"/>
  <c r="FU106" i="30"/>
  <c r="FV106" i="30"/>
  <c r="FW106" i="30"/>
  <c r="FX106" i="30"/>
  <c r="FY106" i="30"/>
  <c r="FZ106" i="30"/>
  <c r="GA106" i="30"/>
  <c r="GB106" i="30"/>
  <c r="GC106" i="30"/>
  <c r="GD106" i="30"/>
  <c r="GE106" i="30"/>
  <c r="GF106" i="30"/>
  <c r="GG106" i="30"/>
  <c r="GH106" i="30"/>
  <c r="GI106" i="30"/>
  <c r="GJ106" i="30"/>
  <c r="GK106" i="30"/>
  <c r="GL106" i="30"/>
  <c r="GM106" i="30"/>
  <c r="GN106" i="30"/>
  <c r="GO106" i="30"/>
  <c r="GP106" i="30"/>
  <c r="GQ106" i="30"/>
  <c r="GR106" i="30"/>
  <c r="GS106" i="30"/>
  <c r="GT106" i="30"/>
  <c r="GU106" i="30"/>
  <c r="GV106" i="30"/>
  <c r="GW106" i="30"/>
  <c r="GX106" i="30"/>
  <c r="GY106" i="30"/>
  <c r="GZ106" i="30"/>
  <c r="HA106" i="30"/>
  <c r="HB106" i="30"/>
  <c r="HC106" i="30"/>
  <c r="HD106" i="30"/>
  <c r="HE106" i="30"/>
  <c r="HF106" i="30"/>
  <c r="HG106" i="30"/>
  <c r="HH106" i="30"/>
  <c r="HI106" i="30"/>
  <c r="HJ106" i="30"/>
  <c r="HK106" i="30"/>
  <c r="HL106" i="30"/>
  <c r="HM106" i="30"/>
  <c r="HN106" i="30"/>
  <c r="HO106" i="30"/>
  <c r="HP106" i="30"/>
  <c r="HQ106" i="30"/>
  <c r="HR106" i="30"/>
  <c r="HS106" i="30"/>
  <c r="HT106" i="30"/>
  <c r="HU106" i="30"/>
  <c r="HV106" i="30"/>
  <c r="HW106" i="30"/>
  <c r="HX106" i="30"/>
  <c r="HY106" i="30"/>
  <c r="HZ106" i="30"/>
  <c r="IA106" i="30"/>
  <c r="IB106" i="30"/>
  <c r="IC106" i="30"/>
  <c r="ID106" i="30"/>
  <c r="IE106" i="30"/>
  <c r="IF106" i="30"/>
  <c r="IG106" i="30"/>
  <c r="IH106" i="30"/>
  <c r="II106" i="30"/>
  <c r="IJ106" i="30"/>
  <c r="IK106" i="30"/>
  <c r="IL106" i="30"/>
  <c r="IM106" i="30"/>
  <c r="IN106" i="30"/>
  <c r="IO106" i="30"/>
  <c r="IP106" i="30"/>
  <c r="IQ106" i="30"/>
  <c r="IR106" i="30"/>
  <c r="IS106" i="30"/>
  <c r="IT106" i="30"/>
  <c r="IU106" i="30"/>
  <c r="IV106" i="30"/>
  <c r="A105" i="30"/>
  <c r="B105" i="30"/>
  <c r="C105" i="30"/>
  <c r="D105" i="30"/>
  <c r="E105" i="30"/>
  <c r="F105" i="30"/>
  <c r="G105" i="30"/>
  <c r="H105" i="30"/>
  <c r="I105" i="30"/>
  <c r="J105" i="30"/>
  <c r="K105" i="30"/>
  <c r="L105" i="30"/>
  <c r="M105" i="30"/>
  <c r="N105" i="30"/>
  <c r="O105" i="30"/>
  <c r="P105" i="30"/>
  <c r="Q105" i="30"/>
  <c r="R105" i="30"/>
  <c r="S105" i="30"/>
  <c r="T105" i="30"/>
  <c r="U105" i="30"/>
  <c r="V105" i="30"/>
  <c r="W105" i="30"/>
  <c r="X105" i="30"/>
  <c r="Y105" i="30"/>
  <c r="Z105" i="30"/>
  <c r="AA105" i="30"/>
  <c r="AB105" i="30"/>
  <c r="AC105" i="30"/>
  <c r="AD105" i="30"/>
  <c r="AE105" i="30"/>
  <c r="AF105" i="30"/>
  <c r="AG105" i="30"/>
  <c r="AH105" i="30"/>
  <c r="AI105" i="30"/>
  <c r="AJ105" i="30"/>
  <c r="AK105" i="30"/>
  <c r="AL105" i="30"/>
  <c r="AM105" i="30"/>
  <c r="AN105" i="30"/>
  <c r="AO105" i="30"/>
  <c r="AP105" i="30"/>
  <c r="AQ105" i="30"/>
  <c r="AR105" i="30"/>
  <c r="AS105" i="30"/>
  <c r="AT105" i="30"/>
  <c r="AU105" i="30"/>
  <c r="AV105" i="30"/>
  <c r="AW105" i="30"/>
  <c r="AX105" i="30"/>
  <c r="AY105" i="30"/>
  <c r="AZ105" i="30"/>
  <c r="BA105" i="30"/>
  <c r="BB105" i="30"/>
  <c r="BC105" i="30"/>
  <c r="BD105" i="30"/>
  <c r="BE105" i="30"/>
  <c r="BF105" i="30"/>
  <c r="BG105" i="30"/>
  <c r="BH105" i="30"/>
  <c r="BI105" i="30"/>
  <c r="BJ105" i="30"/>
  <c r="BK105" i="30"/>
  <c r="BL105" i="30"/>
  <c r="BM105" i="30"/>
  <c r="BN105" i="30"/>
  <c r="BO105" i="30"/>
  <c r="BP105" i="30"/>
  <c r="BQ105" i="30"/>
  <c r="BR105" i="30"/>
  <c r="BS105" i="30"/>
  <c r="BT105" i="30"/>
  <c r="BU105" i="30"/>
  <c r="BV105" i="30"/>
  <c r="BW105" i="30"/>
  <c r="BX105" i="30"/>
  <c r="BY105" i="30"/>
  <c r="BZ105" i="30"/>
  <c r="CA105" i="30"/>
  <c r="CB105" i="30"/>
  <c r="CC105" i="30"/>
  <c r="CD105" i="30"/>
  <c r="CE105" i="30"/>
  <c r="CF105" i="30"/>
  <c r="CG105" i="30"/>
  <c r="CH105" i="30"/>
  <c r="CI105" i="30"/>
  <c r="CJ105" i="30"/>
  <c r="CK105" i="30"/>
  <c r="CL105" i="30"/>
  <c r="CM105" i="30"/>
  <c r="CN105" i="30"/>
  <c r="CO105" i="30"/>
  <c r="CP105" i="30"/>
  <c r="CQ105" i="30"/>
  <c r="CR105" i="30"/>
  <c r="CS105" i="30"/>
  <c r="CT105" i="30"/>
  <c r="CU105" i="30"/>
  <c r="CV105" i="30"/>
  <c r="CW105" i="30"/>
  <c r="CX105" i="30"/>
  <c r="CY105" i="30"/>
  <c r="CZ105" i="30"/>
  <c r="DA105" i="30"/>
  <c r="DB105" i="30"/>
  <c r="DC105" i="30"/>
  <c r="DD105" i="30"/>
  <c r="DE105" i="30"/>
  <c r="DF105" i="30"/>
  <c r="DG105" i="30"/>
  <c r="DH105" i="30"/>
  <c r="DI105" i="30"/>
  <c r="DJ105" i="30"/>
  <c r="DK105" i="30"/>
  <c r="DL105" i="30"/>
  <c r="DM105" i="30"/>
  <c r="DN105" i="30"/>
  <c r="DO105" i="30"/>
  <c r="DP105" i="30"/>
  <c r="DQ105" i="30"/>
  <c r="DR105" i="30"/>
  <c r="DS105" i="30"/>
  <c r="DT105" i="30"/>
  <c r="DU105" i="30"/>
  <c r="DV105" i="30"/>
  <c r="DW105" i="30"/>
  <c r="DX105" i="30"/>
  <c r="DY105" i="30"/>
  <c r="DZ105" i="30"/>
  <c r="EA105" i="30"/>
  <c r="EB105" i="30"/>
  <c r="EC105" i="30"/>
  <c r="ED105" i="30"/>
  <c r="EE105" i="30"/>
  <c r="EF105" i="30"/>
  <c r="EG105" i="30"/>
  <c r="EH105" i="30"/>
  <c r="EI105" i="30"/>
  <c r="EJ105" i="30"/>
  <c r="EK105" i="30"/>
  <c r="EL105" i="30"/>
  <c r="EM105" i="30"/>
  <c r="EN105" i="30"/>
  <c r="EO105" i="30"/>
  <c r="EP105" i="30"/>
  <c r="EQ105" i="30"/>
  <c r="ER105" i="30"/>
  <c r="ES105" i="30"/>
  <c r="ET105" i="30"/>
  <c r="EU105" i="30"/>
  <c r="EV105" i="30"/>
  <c r="EW105" i="30"/>
  <c r="EX105" i="30"/>
  <c r="EY105" i="30"/>
  <c r="EZ105" i="30"/>
  <c r="FA105" i="30"/>
  <c r="FB105" i="30"/>
  <c r="FC105" i="30"/>
  <c r="FD105" i="30"/>
  <c r="FE105" i="30"/>
  <c r="FF105" i="30"/>
  <c r="FG105" i="30"/>
  <c r="FH105" i="30"/>
  <c r="FI105" i="30"/>
  <c r="FJ105" i="30"/>
  <c r="FK105" i="30"/>
  <c r="FL105" i="30"/>
  <c r="FM105" i="30"/>
  <c r="FN105" i="30"/>
  <c r="FO105" i="30"/>
  <c r="FP105" i="30"/>
  <c r="FQ105" i="30"/>
  <c r="FR105" i="30"/>
  <c r="FS105" i="30"/>
  <c r="FT105" i="30"/>
  <c r="FU105" i="30"/>
  <c r="FV105" i="30"/>
  <c r="FW105" i="30"/>
  <c r="FX105" i="30"/>
  <c r="FY105" i="30"/>
  <c r="FZ105" i="30"/>
  <c r="GA105" i="30"/>
  <c r="GB105" i="30"/>
  <c r="GC105" i="30"/>
  <c r="GD105" i="30"/>
  <c r="GE105" i="30"/>
  <c r="GF105" i="30"/>
  <c r="GG105" i="30"/>
  <c r="GH105" i="30"/>
  <c r="GI105" i="30"/>
  <c r="GJ105" i="30"/>
  <c r="GK105" i="30"/>
  <c r="GL105" i="30"/>
  <c r="GM105" i="30"/>
  <c r="GN105" i="30"/>
  <c r="GO105" i="30"/>
  <c r="GP105" i="30"/>
  <c r="GQ105" i="30"/>
  <c r="GR105" i="30"/>
  <c r="GS105" i="30"/>
  <c r="GT105" i="30"/>
  <c r="GU105" i="30"/>
  <c r="GV105" i="30"/>
  <c r="GW105" i="30"/>
  <c r="GX105" i="30"/>
  <c r="GY105" i="30"/>
  <c r="GZ105" i="30"/>
  <c r="HA105" i="30"/>
  <c r="HB105" i="30"/>
  <c r="HC105" i="30"/>
  <c r="HD105" i="30"/>
  <c r="HE105" i="30"/>
  <c r="HF105" i="30"/>
  <c r="HG105" i="30"/>
  <c r="HH105" i="30"/>
  <c r="HI105" i="30"/>
  <c r="HJ105" i="30"/>
  <c r="HK105" i="30"/>
  <c r="HL105" i="30"/>
  <c r="HM105" i="30"/>
  <c r="HN105" i="30"/>
  <c r="HO105" i="30"/>
  <c r="HP105" i="30"/>
  <c r="HQ105" i="30"/>
  <c r="HR105" i="30"/>
  <c r="HS105" i="30"/>
  <c r="HT105" i="30"/>
  <c r="HU105" i="30"/>
  <c r="HV105" i="30"/>
  <c r="HW105" i="30"/>
  <c r="HX105" i="30"/>
  <c r="HY105" i="30"/>
  <c r="HZ105" i="30"/>
  <c r="IA105" i="30"/>
  <c r="IB105" i="30"/>
  <c r="IC105" i="30"/>
  <c r="ID105" i="30"/>
  <c r="IE105" i="30"/>
  <c r="IF105" i="30"/>
  <c r="IG105" i="30"/>
  <c r="IH105" i="30"/>
  <c r="II105" i="30"/>
  <c r="IJ105" i="30"/>
  <c r="IK105" i="30"/>
  <c r="IL105" i="30"/>
  <c r="IM105" i="30"/>
  <c r="IN105" i="30"/>
  <c r="IO105" i="30"/>
  <c r="IP105" i="30"/>
  <c r="IQ105" i="30"/>
  <c r="IR105" i="30"/>
  <c r="IS105" i="30"/>
  <c r="IT105" i="30"/>
  <c r="IU105" i="30"/>
  <c r="IV105" i="30"/>
  <c r="A104" i="30"/>
  <c r="B104" i="30"/>
  <c r="C104" i="30"/>
  <c r="D104" i="30"/>
  <c r="E104" i="30"/>
  <c r="F104" i="30"/>
  <c r="G104" i="30"/>
  <c r="H104" i="30"/>
  <c r="I104" i="30"/>
  <c r="J104" i="30"/>
  <c r="K104" i="30"/>
  <c r="L104" i="30"/>
  <c r="M104" i="30"/>
  <c r="N104" i="30"/>
  <c r="O104" i="30"/>
  <c r="P104" i="30"/>
  <c r="Q104" i="30"/>
  <c r="R104" i="30"/>
  <c r="S104" i="30"/>
  <c r="T104" i="30"/>
  <c r="U104" i="30"/>
  <c r="V104" i="30"/>
  <c r="W104" i="30"/>
  <c r="X104" i="30"/>
  <c r="Y104" i="30"/>
  <c r="Z104" i="30"/>
  <c r="AA104" i="30"/>
  <c r="AB104" i="30"/>
  <c r="AC104" i="30"/>
  <c r="AD104" i="30"/>
  <c r="AE104" i="30"/>
  <c r="AF104" i="30"/>
  <c r="AG104" i="30"/>
  <c r="AH104" i="30"/>
  <c r="AI104" i="30"/>
  <c r="AJ104" i="30"/>
  <c r="AK104" i="30"/>
  <c r="AL104" i="30"/>
  <c r="AM104" i="30"/>
  <c r="AN104" i="30"/>
  <c r="AO104" i="30"/>
  <c r="AP104" i="30"/>
  <c r="AQ104" i="30"/>
  <c r="AR104" i="30"/>
  <c r="AS104" i="30"/>
  <c r="AT104" i="30"/>
  <c r="AU104" i="30"/>
  <c r="AV104" i="30"/>
  <c r="AW104" i="30"/>
  <c r="AX104" i="30"/>
  <c r="AY104" i="30"/>
  <c r="AZ104" i="30"/>
  <c r="BA104" i="30"/>
  <c r="BB104" i="30"/>
  <c r="BC104" i="30"/>
  <c r="BD104" i="30"/>
  <c r="BE104" i="30"/>
  <c r="BF104" i="30"/>
  <c r="BG104" i="30"/>
  <c r="BH104" i="30"/>
  <c r="BI104" i="30"/>
  <c r="BJ104" i="30"/>
  <c r="BK104" i="30"/>
  <c r="BL104" i="30"/>
  <c r="BM104" i="30"/>
  <c r="BN104" i="30"/>
  <c r="BO104" i="30"/>
  <c r="BP104" i="30"/>
  <c r="BQ104" i="30"/>
  <c r="BR104" i="30"/>
  <c r="BS104" i="30"/>
  <c r="BT104" i="30"/>
  <c r="BU104" i="30"/>
  <c r="BV104" i="30"/>
  <c r="BW104" i="30"/>
  <c r="BX104" i="30"/>
  <c r="BY104" i="30"/>
  <c r="BZ104" i="30"/>
  <c r="CA104" i="30"/>
  <c r="CB104" i="30"/>
  <c r="CC104" i="30"/>
  <c r="CD104" i="30"/>
  <c r="CE104" i="30"/>
  <c r="CF104" i="30"/>
  <c r="CG104" i="30"/>
  <c r="CH104" i="30"/>
  <c r="CI104" i="30"/>
  <c r="CJ104" i="30"/>
  <c r="CK104" i="30"/>
  <c r="CL104" i="30"/>
  <c r="CM104" i="30"/>
  <c r="CN104" i="30"/>
  <c r="CO104" i="30"/>
  <c r="CP104" i="30"/>
  <c r="CQ104" i="30"/>
  <c r="CR104" i="30"/>
  <c r="CS104" i="30"/>
  <c r="CT104" i="30"/>
  <c r="CU104" i="30"/>
  <c r="CV104" i="30"/>
  <c r="CW104" i="30"/>
  <c r="CX104" i="30"/>
  <c r="CY104" i="30"/>
  <c r="CZ104" i="30"/>
  <c r="DA104" i="30"/>
  <c r="DB104" i="30"/>
  <c r="DC104" i="30"/>
  <c r="DD104" i="30"/>
  <c r="DE104" i="30"/>
  <c r="DF104" i="30"/>
  <c r="DG104" i="30"/>
  <c r="DH104" i="30"/>
  <c r="DI104" i="30"/>
  <c r="DJ104" i="30"/>
  <c r="DK104" i="30"/>
  <c r="DL104" i="30"/>
  <c r="DM104" i="30"/>
  <c r="DN104" i="30"/>
  <c r="DO104" i="30"/>
  <c r="DP104" i="30"/>
  <c r="DQ104" i="30"/>
  <c r="DR104" i="30"/>
  <c r="DS104" i="30"/>
  <c r="DT104" i="30"/>
  <c r="DU104" i="30"/>
  <c r="DV104" i="30"/>
  <c r="DW104" i="30"/>
  <c r="DX104" i="30"/>
  <c r="DY104" i="30"/>
  <c r="DZ104" i="30"/>
  <c r="EA104" i="30"/>
  <c r="EB104" i="30"/>
  <c r="EC104" i="30"/>
  <c r="ED104" i="30"/>
  <c r="EE104" i="30"/>
  <c r="EF104" i="30"/>
  <c r="EG104" i="30"/>
  <c r="EH104" i="30"/>
  <c r="EI104" i="30"/>
  <c r="EJ104" i="30"/>
  <c r="EK104" i="30"/>
  <c r="EL104" i="30"/>
  <c r="EM104" i="30"/>
  <c r="EN104" i="30"/>
  <c r="EO104" i="30"/>
  <c r="EP104" i="30"/>
  <c r="EQ104" i="30"/>
  <c r="ER104" i="30"/>
  <c r="ES104" i="30"/>
  <c r="ET104" i="30"/>
  <c r="EU104" i="30"/>
  <c r="EV104" i="30"/>
  <c r="EW104" i="30"/>
  <c r="EX104" i="30"/>
  <c r="EY104" i="30"/>
  <c r="EZ104" i="30"/>
  <c r="FA104" i="30"/>
  <c r="FB104" i="30"/>
  <c r="FC104" i="30"/>
  <c r="FD104" i="30"/>
  <c r="FE104" i="30"/>
  <c r="FF104" i="30"/>
  <c r="FG104" i="30"/>
  <c r="FH104" i="30"/>
  <c r="FI104" i="30"/>
  <c r="FJ104" i="30"/>
  <c r="FK104" i="30"/>
  <c r="FL104" i="30"/>
  <c r="FM104" i="30"/>
  <c r="FN104" i="30"/>
  <c r="FO104" i="30"/>
  <c r="FP104" i="30"/>
  <c r="FQ104" i="30"/>
  <c r="FR104" i="30"/>
  <c r="FS104" i="30"/>
  <c r="FT104" i="30"/>
  <c r="FU104" i="30"/>
  <c r="FV104" i="30"/>
  <c r="FW104" i="30"/>
  <c r="FX104" i="30"/>
  <c r="FY104" i="30"/>
  <c r="FZ104" i="30"/>
  <c r="GA104" i="30"/>
  <c r="GB104" i="30"/>
  <c r="GC104" i="30"/>
  <c r="GD104" i="30"/>
  <c r="GE104" i="30"/>
  <c r="GF104" i="30"/>
  <c r="GG104" i="30"/>
  <c r="GH104" i="30"/>
  <c r="GI104" i="30"/>
  <c r="GJ104" i="30"/>
  <c r="GK104" i="30"/>
  <c r="GL104" i="30"/>
  <c r="GM104" i="30"/>
  <c r="GN104" i="30"/>
  <c r="GO104" i="30"/>
  <c r="GP104" i="30"/>
  <c r="GQ104" i="30"/>
  <c r="GR104" i="30"/>
  <c r="GS104" i="30"/>
  <c r="GT104" i="30"/>
  <c r="GU104" i="30"/>
  <c r="GV104" i="30"/>
  <c r="GW104" i="30"/>
  <c r="GX104" i="30"/>
  <c r="GY104" i="30"/>
  <c r="GZ104" i="30"/>
  <c r="HA104" i="30"/>
  <c r="HB104" i="30"/>
  <c r="HC104" i="30"/>
  <c r="HD104" i="30"/>
  <c r="HE104" i="30"/>
  <c r="HF104" i="30"/>
  <c r="HG104" i="30"/>
  <c r="HH104" i="30"/>
  <c r="HI104" i="30"/>
  <c r="HJ104" i="30"/>
  <c r="HK104" i="30"/>
  <c r="HL104" i="30"/>
  <c r="HM104" i="30"/>
  <c r="HN104" i="30"/>
  <c r="HO104" i="30"/>
  <c r="HP104" i="30"/>
  <c r="HQ104" i="30"/>
  <c r="HR104" i="30"/>
  <c r="HS104" i="30"/>
  <c r="HT104" i="30"/>
  <c r="HU104" i="30"/>
  <c r="HV104" i="30"/>
  <c r="HW104" i="30"/>
  <c r="HX104" i="30"/>
  <c r="HY104" i="30"/>
  <c r="HZ104" i="30"/>
  <c r="IA104" i="30"/>
  <c r="IB104" i="30"/>
  <c r="IC104" i="30"/>
  <c r="ID104" i="30"/>
  <c r="IE104" i="30"/>
  <c r="IF104" i="30"/>
  <c r="IG104" i="30"/>
  <c r="IH104" i="30"/>
  <c r="II104" i="30"/>
  <c r="IJ104" i="30"/>
  <c r="IK104" i="30"/>
  <c r="IL104" i="30"/>
  <c r="IM104" i="30"/>
  <c r="IN104" i="30"/>
  <c r="IO104" i="30"/>
  <c r="IP104" i="30"/>
  <c r="IQ104" i="30"/>
  <c r="IR104" i="30"/>
  <c r="IS104" i="30"/>
  <c r="IT104" i="30"/>
  <c r="IU104" i="30"/>
  <c r="IV104" i="30"/>
  <c r="A103" i="30"/>
  <c r="B103" i="30"/>
  <c r="C103" i="30"/>
  <c r="D103" i="30"/>
  <c r="E103" i="30"/>
  <c r="F103" i="30"/>
  <c r="G103" i="30"/>
  <c r="H103" i="30"/>
  <c r="I103" i="30"/>
  <c r="J103" i="30"/>
  <c r="K103" i="30"/>
  <c r="L103" i="30"/>
  <c r="M103" i="30"/>
  <c r="N103" i="30"/>
  <c r="O103" i="30"/>
  <c r="P103" i="30"/>
  <c r="Q103" i="30"/>
  <c r="R103" i="30"/>
  <c r="S103" i="30"/>
  <c r="T103" i="30"/>
  <c r="U103" i="30"/>
  <c r="V103" i="30"/>
  <c r="W103" i="30"/>
  <c r="X103" i="30"/>
  <c r="Y103" i="30"/>
  <c r="Z103" i="30"/>
  <c r="AA103" i="30"/>
  <c r="AB103" i="30"/>
  <c r="AC103" i="30"/>
  <c r="AD103" i="30"/>
  <c r="AE103" i="30"/>
  <c r="AF103" i="30"/>
  <c r="AG103" i="30"/>
  <c r="AH103" i="30"/>
  <c r="AI103" i="30"/>
  <c r="AJ103" i="30"/>
  <c r="AK103" i="30"/>
  <c r="AL103" i="30"/>
  <c r="AM103" i="30"/>
  <c r="AN103" i="30"/>
  <c r="AO103" i="30"/>
  <c r="AP103" i="30"/>
  <c r="AQ103" i="30"/>
  <c r="AR103" i="30"/>
  <c r="AS103" i="30"/>
  <c r="AT103" i="30"/>
  <c r="AU103" i="30"/>
  <c r="AV103" i="30"/>
  <c r="AW103" i="30"/>
  <c r="AX103" i="30"/>
  <c r="AY103" i="30"/>
  <c r="AZ103" i="30"/>
  <c r="BA103" i="30"/>
  <c r="BB103" i="30"/>
  <c r="BC103" i="30"/>
  <c r="BD103" i="30"/>
  <c r="BE103" i="30"/>
  <c r="BF103" i="30"/>
  <c r="BG103" i="30"/>
  <c r="BH103" i="30"/>
  <c r="BI103" i="30"/>
  <c r="BJ103" i="30"/>
  <c r="BK103" i="30"/>
  <c r="BL103" i="30"/>
  <c r="BM103" i="30"/>
  <c r="BN103" i="30"/>
  <c r="BO103" i="30"/>
  <c r="BP103" i="30"/>
  <c r="BQ103" i="30"/>
  <c r="BR103" i="30"/>
  <c r="BS103" i="30"/>
  <c r="BT103" i="30"/>
  <c r="BU103" i="30"/>
  <c r="BV103" i="30"/>
  <c r="BW103" i="30"/>
  <c r="BX103" i="30"/>
  <c r="BY103" i="30"/>
  <c r="BZ103" i="30"/>
  <c r="CA103" i="30"/>
  <c r="CB103" i="30"/>
  <c r="CC103" i="30"/>
  <c r="CD103" i="30"/>
  <c r="CE103" i="30"/>
  <c r="CF103" i="30"/>
  <c r="CG103" i="30"/>
  <c r="CH103" i="30"/>
  <c r="CI103" i="30"/>
  <c r="CJ103" i="30"/>
  <c r="CK103" i="30"/>
  <c r="CL103" i="30"/>
  <c r="CM103" i="30"/>
  <c r="CN103" i="30"/>
  <c r="CO103" i="30"/>
  <c r="CP103" i="30"/>
  <c r="CQ103" i="30"/>
  <c r="CR103" i="30"/>
  <c r="CS103" i="30"/>
  <c r="CT103" i="30"/>
  <c r="CU103" i="30"/>
  <c r="CV103" i="30"/>
  <c r="CW103" i="30"/>
  <c r="CX103" i="30"/>
  <c r="CY103" i="30"/>
  <c r="CZ103" i="30"/>
  <c r="DA103" i="30"/>
  <c r="DB103" i="30"/>
  <c r="DC103" i="30"/>
  <c r="DD103" i="30"/>
  <c r="DE103" i="30"/>
  <c r="DF103" i="30"/>
  <c r="DG103" i="30"/>
  <c r="DH103" i="30"/>
  <c r="DI103" i="30"/>
  <c r="DJ103" i="30"/>
  <c r="DK103" i="30"/>
  <c r="DL103" i="30"/>
  <c r="DM103" i="30"/>
  <c r="DN103" i="30"/>
  <c r="DO103" i="30"/>
  <c r="DP103" i="30"/>
  <c r="DQ103" i="30"/>
  <c r="DR103" i="30"/>
  <c r="DS103" i="30"/>
  <c r="DT103" i="30"/>
  <c r="DU103" i="30"/>
  <c r="DV103" i="30"/>
  <c r="DW103" i="30"/>
  <c r="DX103" i="30"/>
  <c r="DY103" i="30"/>
  <c r="DZ103" i="30"/>
  <c r="EA103" i="30"/>
  <c r="EB103" i="30"/>
  <c r="EC103" i="30"/>
  <c r="ED103" i="30"/>
  <c r="EE103" i="30"/>
  <c r="EF103" i="30"/>
  <c r="EG103" i="30"/>
  <c r="EH103" i="30"/>
  <c r="EI103" i="30"/>
  <c r="EJ103" i="30"/>
  <c r="EK103" i="30"/>
  <c r="EL103" i="30"/>
  <c r="EM103" i="30"/>
  <c r="EN103" i="30"/>
  <c r="EO103" i="30"/>
  <c r="EP103" i="30"/>
  <c r="EQ103" i="30"/>
  <c r="ER103" i="30"/>
  <c r="ES103" i="30"/>
  <c r="ET103" i="30"/>
  <c r="EU103" i="30"/>
  <c r="EV103" i="30"/>
  <c r="EW103" i="30"/>
  <c r="EX103" i="30"/>
  <c r="EY103" i="30"/>
  <c r="EZ103" i="30"/>
  <c r="FA103" i="30"/>
  <c r="FB103" i="30"/>
  <c r="FC103" i="30"/>
  <c r="FD103" i="30"/>
  <c r="FE103" i="30"/>
  <c r="FF103" i="30"/>
  <c r="FG103" i="30"/>
  <c r="FH103" i="30"/>
  <c r="FI103" i="30"/>
  <c r="FJ103" i="30"/>
  <c r="FK103" i="30"/>
  <c r="FL103" i="30"/>
  <c r="FM103" i="30"/>
  <c r="FN103" i="30"/>
  <c r="FO103" i="30"/>
  <c r="FP103" i="30"/>
  <c r="FQ103" i="30"/>
  <c r="FR103" i="30"/>
  <c r="FS103" i="30"/>
  <c r="FT103" i="30"/>
  <c r="FU103" i="30"/>
  <c r="FV103" i="30"/>
  <c r="FW103" i="30"/>
  <c r="FX103" i="30"/>
  <c r="FY103" i="30"/>
  <c r="FZ103" i="30"/>
  <c r="GA103" i="30"/>
  <c r="GB103" i="30"/>
  <c r="GC103" i="30"/>
  <c r="GD103" i="30"/>
  <c r="GE103" i="30"/>
  <c r="GF103" i="30"/>
  <c r="GG103" i="30"/>
  <c r="GH103" i="30"/>
  <c r="GI103" i="30"/>
  <c r="GJ103" i="30"/>
  <c r="GK103" i="30"/>
  <c r="GL103" i="30"/>
  <c r="GM103" i="30"/>
  <c r="GN103" i="30"/>
  <c r="GO103" i="30"/>
  <c r="GP103" i="30"/>
  <c r="GQ103" i="30"/>
  <c r="GR103" i="30"/>
  <c r="GS103" i="30"/>
  <c r="GT103" i="30"/>
  <c r="GU103" i="30"/>
  <c r="GV103" i="30"/>
  <c r="GW103" i="30"/>
  <c r="GX103" i="30"/>
  <c r="GY103" i="30"/>
  <c r="GZ103" i="30"/>
  <c r="HA103" i="30"/>
  <c r="HB103" i="30"/>
  <c r="HC103" i="30"/>
  <c r="HD103" i="30"/>
  <c r="HE103" i="30"/>
  <c r="HF103" i="30"/>
  <c r="HG103" i="30"/>
  <c r="HH103" i="30"/>
  <c r="HI103" i="30"/>
  <c r="HJ103" i="30"/>
  <c r="HK103" i="30"/>
  <c r="HL103" i="30"/>
  <c r="HM103" i="30"/>
  <c r="HN103" i="30"/>
  <c r="HO103" i="30"/>
  <c r="HP103" i="30"/>
  <c r="HQ103" i="30"/>
  <c r="HR103" i="30"/>
  <c r="HS103" i="30"/>
  <c r="HT103" i="30"/>
  <c r="HU103" i="30"/>
  <c r="HV103" i="30"/>
  <c r="HW103" i="30"/>
  <c r="HX103" i="30"/>
  <c r="HY103" i="30"/>
  <c r="HZ103" i="30"/>
  <c r="IA103" i="30"/>
  <c r="IB103" i="30"/>
  <c r="IC103" i="30"/>
  <c r="ID103" i="30"/>
  <c r="IE103" i="30"/>
  <c r="IF103" i="30"/>
  <c r="IG103" i="30"/>
  <c r="IH103" i="30"/>
  <c r="II103" i="30"/>
  <c r="IJ103" i="30"/>
  <c r="IK103" i="30"/>
  <c r="IL103" i="30"/>
  <c r="IM103" i="30"/>
  <c r="IN103" i="30"/>
  <c r="IO103" i="30"/>
  <c r="IP103" i="30"/>
  <c r="IQ103" i="30"/>
  <c r="IR103" i="30"/>
  <c r="IS103" i="30"/>
  <c r="IT103" i="30"/>
  <c r="IU103" i="30"/>
  <c r="IV103" i="30"/>
  <c r="A102" i="30"/>
  <c r="B102" i="30"/>
  <c r="C102" i="30"/>
  <c r="D102" i="30"/>
  <c r="E102" i="30"/>
  <c r="F102" i="30"/>
  <c r="G102" i="30"/>
  <c r="H102" i="30"/>
  <c r="I102" i="30"/>
  <c r="J102" i="30"/>
  <c r="K102" i="30"/>
  <c r="L102" i="30"/>
  <c r="M102" i="30"/>
  <c r="N102" i="30"/>
  <c r="O102" i="30"/>
  <c r="P102" i="30"/>
  <c r="Q102" i="30"/>
  <c r="R102" i="30"/>
  <c r="S102" i="30"/>
  <c r="T102" i="30"/>
  <c r="U102" i="30"/>
  <c r="V102" i="30"/>
  <c r="W102" i="30"/>
  <c r="X102" i="30"/>
  <c r="Y102" i="30"/>
  <c r="Z102" i="30"/>
  <c r="AA102" i="30"/>
  <c r="AB102" i="30"/>
  <c r="AC102" i="30"/>
  <c r="AD102" i="30"/>
  <c r="AE102" i="30"/>
  <c r="AF102" i="30"/>
  <c r="AG102" i="30"/>
  <c r="AH102" i="30"/>
  <c r="AI102" i="30"/>
  <c r="AJ102" i="30"/>
  <c r="AK102" i="30"/>
  <c r="AL102" i="30"/>
  <c r="AM102" i="30"/>
  <c r="AN102" i="30"/>
  <c r="AO102" i="30"/>
  <c r="AP102" i="30"/>
  <c r="AQ102" i="30"/>
  <c r="AR102" i="30"/>
  <c r="AS102" i="30"/>
  <c r="AT102" i="30"/>
  <c r="AU102" i="30"/>
  <c r="AV102" i="30"/>
  <c r="AW102" i="30"/>
  <c r="AX102" i="30"/>
  <c r="AY102" i="30"/>
  <c r="AZ102" i="30"/>
  <c r="BA102" i="30"/>
  <c r="BB102" i="30"/>
  <c r="BC102" i="30"/>
  <c r="BD102" i="30"/>
  <c r="BE102" i="30"/>
  <c r="BF102" i="30"/>
  <c r="BG102" i="30"/>
  <c r="BH102" i="30"/>
  <c r="BI102" i="30"/>
  <c r="BJ102" i="30"/>
  <c r="BK102" i="30"/>
  <c r="BL102" i="30"/>
  <c r="BM102" i="30"/>
  <c r="BN102" i="30"/>
  <c r="BO102" i="30"/>
  <c r="BP102" i="30"/>
  <c r="BQ102" i="30"/>
  <c r="BR102" i="30"/>
  <c r="BS102" i="30"/>
  <c r="BT102" i="30"/>
  <c r="BU102" i="30"/>
  <c r="BV102" i="30"/>
  <c r="BW102" i="30"/>
  <c r="BX102" i="30"/>
  <c r="BY102" i="30"/>
  <c r="BZ102" i="30"/>
  <c r="CA102" i="30"/>
  <c r="CB102" i="30"/>
  <c r="CC102" i="30"/>
  <c r="CD102" i="30"/>
  <c r="CE102" i="30"/>
  <c r="CF102" i="30"/>
  <c r="CG102" i="30"/>
  <c r="CH102" i="30"/>
  <c r="CI102" i="30"/>
  <c r="CJ102" i="30"/>
  <c r="CK102" i="30"/>
  <c r="CL102" i="30"/>
  <c r="CM102" i="30"/>
  <c r="CN102" i="30"/>
  <c r="CO102" i="30"/>
  <c r="CP102" i="30"/>
  <c r="CQ102" i="30"/>
  <c r="CR102" i="30"/>
  <c r="CS102" i="30"/>
  <c r="CT102" i="30"/>
  <c r="CU102" i="30"/>
  <c r="CV102" i="30"/>
  <c r="CW102" i="30"/>
  <c r="CX102" i="30"/>
  <c r="CY102" i="30"/>
  <c r="CZ102" i="30"/>
  <c r="DA102" i="30"/>
  <c r="DB102" i="30"/>
  <c r="DC102" i="30"/>
  <c r="DD102" i="30"/>
  <c r="DE102" i="30"/>
  <c r="DF102" i="30"/>
  <c r="DG102" i="30"/>
  <c r="DH102" i="30"/>
  <c r="DI102" i="30"/>
  <c r="DJ102" i="30"/>
  <c r="DK102" i="30"/>
  <c r="DL102" i="30"/>
  <c r="DM102" i="30"/>
  <c r="DN102" i="30"/>
  <c r="DO102" i="30"/>
  <c r="DP102" i="30"/>
  <c r="DQ102" i="30"/>
  <c r="DR102" i="30"/>
  <c r="DS102" i="30"/>
  <c r="DT102" i="30"/>
  <c r="DU102" i="30"/>
  <c r="DV102" i="30"/>
  <c r="DW102" i="30"/>
  <c r="DX102" i="30"/>
  <c r="DY102" i="30"/>
  <c r="DZ102" i="30"/>
  <c r="EA102" i="30"/>
  <c r="EB102" i="30"/>
  <c r="EC102" i="30"/>
  <c r="ED102" i="30"/>
  <c r="EE102" i="30"/>
  <c r="EF102" i="30"/>
  <c r="EG102" i="30"/>
  <c r="EH102" i="30"/>
  <c r="EI102" i="30"/>
  <c r="EJ102" i="30"/>
  <c r="EK102" i="30"/>
  <c r="EL102" i="30"/>
  <c r="EM102" i="30"/>
  <c r="EN102" i="30"/>
  <c r="EO102" i="30"/>
  <c r="EP102" i="30"/>
  <c r="EQ102" i="30"/>
  <c r="ER102" i="30"/>
  <c r="ES102" i="30"/>
  <c r="ET102" i="30"/>
  <c r="EU102" i="30"/>
  <c r="EV102" i="30"/>
  <c r="EW102" i="30"/>
  <c r="EX102" i="30"/>
  <c r="EY102" i="30"/>
  <c r="EZ102" i="30"/>
  <c r="FA102" i="30"/>
  <c r="FB102" i="30"/>
  <c r="FC102" i="30"/>
  <c r="FD102" i="30"/>
  <c r="FE102" i="30"/>
  <c r="FF102" i="30"/>
  <c r="FG102" i="30"/>
  <c r="FH102" i="30"/>
  <c r="FI102" i="30"/>
  <c r="FJ102" i="30"/>
  <c r="FK102" i="30"/>
  <c r="FL102" i="30"/>
  <c r="FM102" i="30"/>
  <c r="FN102" i="30"/>
  <c r="FO102" i="30"/>
  <c r="FP102" i="30"/>
  <c r="FQ102" i="30"/>
  <c r="FR102" i="30"/>
  <c r="FS102" i="30"/>
  <c r="FT102" i="30"/>
  <c r="FU102" i="30"/>
  <c r="FV102" i="30"/>
  <c r="FW102" i="30"/>
  <c r="FX102" i="30"/>
  <c r="FY102" i="30"/>
  <c r="FZ102" i="30"/>
  <c r="GA102" i="30"/>
  <c r="GB102" i="30"/>
  <c r="GC102" i="30"/>
  <c r="GD102" i="30"/>
  <c r="GE102" i="30"/>
  <c r="GF102" i="30"/>
  <c r="GG102" i="30"/>
  <c r="GH102" i="30"/>
  <c r="GI102" i="30"/>
  <c r="GJ102" i="30"/>
  <c r="GK102" i="30"/>
  <c r="GL102" i="30"/>
  <c r="GM102" i="30"/>
  <c r="GN102" i="30"/>
  <c r="GO102" i="30"/>
  <c r="GP102" i="30"/>
  <c r="GQ102" i="30"/>
  <c r="GR102" i="30"/>
  <c r="GS102" i="30"/>
  <c r="GT102" i="30"/>
  <c r="GU102" i="30"/>
  <c r="GV102" i="30"/>
  <c r="GW102" i="30"/>
  <c r="GX102" i="30"/>
  <c r="GY102" i="30"/>
  <c r="GZ102" i="30"/>
  <c r="HA102" i="30"/>
  <c r="HB102" i="30"/>
  <c r="HC102" i="30"/>
  <c r="HD102" i="30"/>
  <c r="HE102" i="30"/>
  <c r="HF102" i="30"/>
  <c r="HG102" i="30"/>
  <c r="HH102" i="30"/>
  <c r="HI102" i="30"/>
  <c r="HJ102" i="30"/>
  <c r="HK102" i="30"/>
  <c r="HL102" i="30"/>
  <c r="HM102" i="30"/>
  <c r="HN102" i="30"/>
  <c r="HO102" i="30"/>
  <c r="HP102" i="30"/>
  <c r="HQ102" i="30"/>
  <c r="HR102" i="30"/>
  <c r="HS102" i="30"/>
  <c r="HT102" i="30"/>
  <c r="HU102" i="30"/>
  <c r="HV102" i="30"/>
  <c r="HW102" i="30"/>
  <c r="HX102" i="30"/>
  <c r="HY102" i="30"/>
  <c r="HZ102" i="30"/>
  <c r="IA102" i="30"/>
  <c r="IB102" i="30"/>
  <c r="IC102" i="30"/>
  <c r="ID102" i="30"/>
  <c r="IE102" i="30"/>
  <c r="IF102" i="30"/>
  <c r="IG102" i="30"/>
  <c r="IH102" i="30"/>
  <c r="II102" i="30"/>
  <c r="IJ102" i="30"/>
  <c r="IK102" i="30"/>
  <c r="IL102" i="30"/>
  <c r="IM102" i="30"/>
  <c r="IN102" i="30"/>
  <c r="IO102" i="30"/>
  <c r="IP102" i="30"/>
  <c r="IQ102" i="30"/>
  <c r="IR102" i="30"/>
  <c r="IS102" i="30"/>
  <c r="IT102" i="30"/>
  <c r="IU102" i="30"/>
  <c r="IV102" i="30"/>
  <c r="A101" i="30"/>
  <c r="B101" i="30"/>
  <c r="C101" i="30"/>
  <c r="D101" i="30"/>
  <c r="E101" i="30"/>
  <c r="F101" i="30"/>
  <c r="G101" i="30"/>
  <c r="H101" i="30"/>
  <c r="I101" i="30"/>
  <c r="J101" i="30"/>
  <c r="K101" i="30"/>
  <c r="L101" i="30"/>
  <c r="M101" i="30"/>
  <c r="N101" i="30"/>
  <c r="O101" i="30"/>
  <c r="P101" i="30"/>
  <c r="Q101" i="30"/>
  <c r="R101" i="30"/>
  <c r="S101" i="30"/>
  <c r="T101" i="30"/>
  <c r="U101" i="30"/>
  <c r="V101" i="30"/>
  <c r="W101" i="30"/>
  <c r="X101" i="30"/>
  <c r="Y101" i="30"/>
  <c r="Z101" i="30"/>
  <c r="AA101" i="30"/>
  <c r="AB101" i="30"/>
  <c r="AC101" i="30"/>
  <c r="AD101" i="30"/>
  <c r="AE101" i="30"/>
  <c r="AF101" i="30"/>
  <c r="AG101" i="30"/>
  <c r="AH101" i="30"/>
  <c r="AI101" i="30"/>
  <c r="AJ101" i="30"/>
  <c r="AK101" i="30"/>
  <c r="AL101" i="30"/>
  <c r="AM101" i="30"/>
  <c r="AN101" i="30"/>
  <c r="AO101" i="30"/>
  <c r="AP101" i="30"/>
  <c r="AQ101" i="30"/>
  <c r="AR101" i="30"/>
  <c r="AS101" i="30"/>
  <c r="AT101" i="30"/>
  <c r="AU101" i="30"/>
  <c r="AV101" i="30"/>
  <c r="AW101" i="30"/>
  <c r="AX101" i="30"/>
  <c r="AY101" i="30"/>
  <c r="AZ101" i="30"/>
  <c r="BA101" i="30"/>
  <c r="BB101" i="30"/>
  <c r="BC101" i="30"/>
  <c r="BD101" i="30"/>
  <c r="BE101" i="30"/>
  <c r="BF101" i="30"/>
  <c r="BG101" i="30"/>
  <c r="BH101" i="30"/>
  <c r="BI101" i="30"/>
  <c r="BJ101" i="30"/>
  <c r="BK101" i="30"/>
  <c r="BL101" i="30"/>
  <c r="BM101" i="30"/>
  <c r="BN101" i="30"/>
  <c r="BO101" i="30"/>
  <c r="BP101" i="30"/>
  <c r="BQ101" i="30"/>
  <c r="BR101" i="30"/>
  <c r="BS101" i="30"/>
  <c r="BT101" i="30"/>
  <c r="BU101" i="30"/>
  <c r="BV101" i="30"/>
  <c r="BW101" i="30"/>
  <c r="BX101" i="30"/>
  <c r="BY101" i="30"/>
  <c r="BZ101" i="30"/>
  <c r="CA101" i="30"/>
  <c r="CB101" i="30"/>
  <c r="CC101" i="30"/>
  <c r="CD101" i="30"/>
  <c r="CE101" i="30"/>
  <c r="CF101" i="30"/>
  <c r="CG101" i="30"/>
  <c r="CH101" i="30"/>
  <c r="CI101" i="30"/>
  <c r="CJ101" i="30"/>
  <c r="CK101" i="30"/>
  <c r="CL101" i="30"/>
  <c r="CM101" i="30"/>
  <c r="CN101" i="30"/>
  <c r="CO101" i="30"/>
  <c r="CP101" i="30"/>
  <c r="CQ101" i="30"/>
  <c r="CR101" i="30"/>
  <c r="CS101" i="30"/>
  <c r="CT101" i="30"/>
  <c r="CU101" i="30"/>
  <c r="CV101" i="30"/>
  <c r="CW101" i="30"/>
  <c r="CX101" i="30"/>
  <c r="CY101" i="30"/>
  <c r="CZ101" i="30"/>
  <c r="DA101" i="30"/>
  <c r="DB101" i="30"/>
  <c r="DC101" i="30"/>
  <c r="DD101" i="30"/>
  <c r="DE101" i="30"/>
  <c r="DF101" i="30"/>
  <c r="DG101" i="30"/>
  <c r="DH101" i="30"/>
  <c r="DI101" i="30"/>
  <c r="DJ101" i="30"/>
  <c r="DK101" i="30"/>
  <c r="DL101" i="30"/>
  <c r="DM101" i="30"/>
  <c r="DN101" i="30"/>
  <c r="DO101" i="30"/>
  <c r="DP101" i="30"/>
  <c r="DQ101" i="30"/>
  <c r="DR101" i="30"/>
  <c r="DS101" i="30"/>
  <c r="DT101" i="30"/>
  <c r="DU101" i="30"/>
  <c r="DV101" i="30"/>
  <c r="DW101" i="30"/>
  <c r="DX101" i="30"/>
  <c r="DY101" i="30"/>
  <c r="DZ101" i="30"/>
  <c r="EA101" i="30"/>
  <c r="EB101" i="30"/>
  <c r="EC101" i="30"/>
  <c r="ED101" i="30"/>
  <c r="EE101" i="30"/>
  <c r="EF101" i="30"/>
  <c r="EG101" i="30"/>
  <c r="EH101" i="30"/>
  <c r="EI101" i="30"/>
  <c r="EJ101" i="30"/>
  <c r="EK101" i="30"/>
  <c r="EL101" i="30"/>
  <c r="EM101" i="30"/>
  <c r="EN101" i="30"/>
  <c r="EO101" i="30"/>
  <c r="EP101" i="30"/>
  <c r="EQ101" i="30"/>
  <c r="ER101" i="30"/>
  <c r="ES101" i="30"/>
  <c r="ET101" i="30"/>
  <c r="EU101" i="30"/>
  <c r="EV101" i="30"/>
  <c r="EW101" i="30"/>
  <c r="EX101" i="30"/>
  <c r="EY101" i="30"/>
  <c r="EZ101" i="30"/>
  <c r="FA101" i="30"/>
  <c r="FB101" i="30"/>
  <c r="FC101" i="30"/>
  <c r="FD101" i="30"/>
  <c r="FE101" i="30"/>
  <c r="FF101" i="30"/>
  <c r="FG101" i="30"/>
  <c r="FH101" i="30"/>
  <c r="FI101" i="30"/>
  <c r="FJ101" i="30"/>
  <c r="FK101" i="30"/>
  <c r="FL101" i="30"/>
  <c r="FM101" i="30"/>
  <c r="FN101" i="30"/>
  <c r="FO101" i="30"/>
  <c r="FP101" i="30"/>
  <c r="FQ101" i="30"/>
  <c r="FR101" i="30"/>
  <c r="FS101" i="30"/>
  <c r="FT101" i="30"/>
  <c r="FU101" i="30"/>
  <c r="FV101" i="30"/>
  <c r="FW101" i="30"/>
  <c r="FX101" i="30"/>
  <c r="FY101" i="30"/>
  <c r="FZ101" i="30"/>
  <c r="GA101" i="30"/>
  <c r="GB101" i="30"/>
  <c r="GC101" i="30"/>
  <c r="GD101" i="30"/>
  <c r="GE101" i="30"/>
  <c r="GF101" i="30"/>
  <c r="GG101" i="30"/>
  <c r="GH101" i="30"/>
  <c r="GI101" i="30"/>
  <c r="GJ101" i="30"/>
  <c r="GK101" i="30"/>
  <c r="GL101" i="30"/>
  <c r="GM101" i="30"/>
  <c r="GN101" i="30"/>
  <c r="GO101" i="30"/>
  <c r="GP101" i="30"/>
  <c r="GQ101" i="30"/>
  <c r="GR101" i="30"/>
  <c r="GS101" i="30"/>
  <c r="GT101" i="30"/>
  <c r="GU101" i="30"/>
  <c r="GV101" i="30"/>
  <c r="GW101" i="30"/>
  <c r="GX101" i="30"/>
  <c r="GY101" i="30"/>
  <c r="GZ101" i="30"/>
  <c r="HA101" i="30"/>
  <c r="HB101" i="30"/>
  <c r="HC101" i="30"/>
  <c r="HD101" i="30"/>
  <c r="HE101" i="30"/>
  <c r="HF101" i="30"/>
  <c r="HG101" i="30"/>
  <c r="HH101" i="30"/>
  <c r="HI101" i="30"/>
  <c r="HJ101" i="30"/>
  <c r="HK101" i="30"/>
  <c r="HL101" i="30"/>
  <c r="HM101" i="30"/>
  <c r="HN101" i="30"/>
  <c r="HO101" i="30"/>
  <c r="HP101" i="30"/>
  <c r="HQ101" i="30"/>
  <c r="HR101" i="30"/>
  <c r="HS101" i="30"/>
  <c r="HT101" i="30"/>
  <c r="HU101" i="30"/>
  <c r="HV101" i="30"/>
  <c r="HW101" i="30"/>
  <c r="HX101" i="30"/>
  <c r="HY101" i="30"/>
  <c r="HZ101" i="30"/>
  <c r="IA101" i="30"/>
  <c r="IB101" i="30"/>
  <c r="IC101" i="30"/>
  <c r="ID101" i="30"/>
  <c r="IE101" i="30"/>
  <c r="IF101" i="30"/>
  <c r="IG101" i="30"/>
  <c r="IH101" i="30"/>
  <c r="II101" i="30"/>
  <c r="IJ101" i="30"/>
  <c r="IK101" i="30"/>
  <c r="IL101" i="30"/>
  <c r="IM101" i="30"/>
  <c r="IN101" i="30"/>
  <c r="IO101" i="30"/>
  <c r="IP101" i="30"/>
  <c r="IQ101" i="30"/>
  <c r="IR101" i="30"/>
  <c r="IS101" i="30"/>
  <c r="IT101" i="30"/>
  <c r="IU101" i="30"/>
  <c r="IV101" i="30"/>
  <c r="A100" i="30"/>
  <c r="B100" i="30"/>
  <c r="C100" i="30"/>
  <c r="D100" i="30"/>
  <c r="E100" i="30"/>
  <c r="F100" i="30"/>
  <c r="G100" i="30"/>
  <c r="H100" i="30"/>
  <c r="I100" i="30"/>
  <c r="J100" i="30"/>
  <c r="K100" i="30"/>
  <c r="L100" i="30"/>
  <c r="M100" i="30"/>
  <c r="N100" i="30"/>
  <c r="O100" i="30"/>
  <c r="P100" i="30"/>
  <c r="Q100" i="30"/>
  <c r="R100" i="30"/>
  <c r="S100" i="30"/>
  <c r="T100" i="30"/>
  <c r="U100" i="30"/>
  <c r="V100" i="30"/>
  <c r="W100" i="30"/>
  <c r="X100" i="30"/>
  <c r="Y100" i="30"/>
  <c r="Z100" i="30"/>
  <c r="AA100" i="30"/>
  <c r="AB100" i="30"/>
  <c r="AC100" i="30"/>
  <c r="AD100" i="30"/>
  <c r="AE100" i="30"/>
  <c r="AF100" i="30"/>
  <c r="AG100" i="30"/>
  <c r="AH100" i="30"/>
  <c r="AI100" i="30"/>
  <c r="AJ100" i="30"/>
  <c r="AK100" i="30"/>
  <c r="AL100" i="30"/>
  <c r="AM100" i="30"/>
  <c r="AN100" i="30"/>
  <c r="AO100" i="30"/>
  <c r="AP100" i="30"/>
  <c r="AQ100" i="30"/>
  <c r="AR100" i="30"/>
  <c r="AS100" i="30"/>
  <c r="AT100" i="30"/>
  <c r="AU100" i="30"/>
  <c r="AV100" i="30"/>
  <c r="AW100" i="30"/>
  <c r="AX100" i="30"/>
  <c r="AY100" i="30"/>
  <c r="AZ100" i="30"/>
  <c r="BA100" i="30"/>
  <c r="BB100" i="30"/>
  <c r="BC100" i="30"/>
  <c r="BD100" i="30"/>
  <c r="BE100" i="30"/>
  <c r="BF100" i="30"/>
  <c r="BG100" i="30"/>
  <c r="BH100" i="30"/>
  <c r="BI100" i="30"/>
  <c r="BJ100" i="30"/>
  <c r="BK100" i="30"/>
  <c r="BL100" i="30"/>
  <c r="BM100" i="30"/>
  <c r="BN100" i="30"/>
  <c r="BO100" i="30"/>
  <c r="BP100" i="30"/>
  <c r="BQ100" i="30"/>
  <c r="BR100" i="30"/>
  <c r="BS100" i="30"/>
  <c r="BT100" i="30"/>
  <c r="BU100" i="30"/>
  <c r="BV100" i="30"/>
  <c r="BW100" i="30"/>
  <c r="BX100" i="30"/>
  <c r="BY100" i="30"/>
  <c r="BZ100" i="30"/>
  <c r="CA100" i="30"/>
  <c r="CB100" i="30"/>
  <c r="CC100" i="30"/>
  <c r="CD100" i="30"/>
  <c r="CE100" i="30"/>
  <c r="CF100" i="30"/>
  <c r="CG100" i="30"/>
  <c r="CH100" i="30"/>
  <c r="CI100" i="30"/>
  <c r="CJ100" i="30"/>
  <c r="CK100" i="30"/>
  <c r="CL100" i="30"/>
  <c r="CM100" i="30"/>
  <c r="CN100" i="30"/>
  <c r="CO100" i="30"/>
  <c r="CP100" i="30"/>
  <c r="CQ100" i="30"/>
  <c r="CR100" i="30"/>
  <c r="CS100" i="30"/>
  <c r="CT100" i="30"/>
  <c r="CU100" i="30"/>
  <c r="CV100" i="30"/>
  <c r="CW100" i="30"/>
  <c r="CX100" i="30"/>
  <c r="CY100" i="30"/>
  <c r="CZ100" i="30"/>
  <c r="DA100" i="30"/>
  <c r="DB100" i="30"/>
  <c r="DC100" i="30"/>
  <c r="DD100" i="30"/>
  <c r="DE100" i="30"/>
  <c r="DF100" i="30"/>
  <c r="DG100" i="30"/>
  <c r="DH100" i="30"/>
  <c r="DI100" i="30"/>
  <c r="DJ100" i="30"/>
  <c r="DK100" i="30"/>
  <c r="DL100" i="30"/>
  <c r="DM100" i="30"/>
  <c r="DN100" i="30"/>
  <c r="DO100" i="30"/>
  <c r="DP100" i="30"/>
  <c r="DQ100" i="30"/>
  <c r="DR100" i="30"/>
  <c r="DS100" i="30"/>
  <c r="DT100" i="30"/>
  <c r="DU100" i="30"/>
  <c r="DV100" i="30"/>
  <c r="DW100" i="30"/>
  <c r="DX100" i="30"/>
  <c r="DY100" i="30"/>
  <c r="DZ100" i="30"/>
  <c r="EA100" i="30"/>
  <c r="EB100" i="30"/>
  <c r="EC100" i="30"/>
  <c r="ED100" i="30"/>
  <c r="EE100" i="30"/>
  <c r="EF100" i="30"/>
  <c r="EG100" i="30"/>
  <c r="EH100" i="30"/>
  <c r="EI100" i="30"/>
  <c r="EJ100" i="30"/>
  <c r="EK100" i="30"/>
  <c r="EL100" i="30"/>
  <c r="EM100" i="30"/>
  <c r="EN100" i="30"/>
  <c r="EO100" i="30"/>
  <c r="EP100" i="30"/>
  <c r="EQ100" i="30"/>
  <c r="ER100" i="30"/>
  <c r="ES100" i="30"/>
  <c r="ET100" i="30"/>
  <c r="EU100" i="30"/>
  <c r="EV100" i="30"/>
  <c r="EW100" i="30"/>
  <c r="EX100" i="30"/>
  <c r="EY100" i="30"/>
  <c r="EZ100" i="30"/>
  <c r="FA100" i="30"/>
  <c r="FB100" i="30"/>
  <c r="FC100" i="30"/>
  <c r="FD100" i="30"/>
  <c r="FE100" i="30"/>
  <c r="FF100" i="30"/>
  <c r="FG100" i="30"/>
  <c r="FH100" i="30"/>
  <c r="FI100" i="30"/>
  <c r="FJ100" i="30"/>
  <c r="FK100" i="30"/>
  <c r="FL100" i="30"/>
  <c r="FM100" i="30"/>
  <c r="FN100" i="30"/>
  <c r="FO100" i="30"/>
  <c r="FP100" i="30"/>
  <c r="FQ100" i="30"/>
  <c r="FR100" i="30"/>
  <c r="FS100" i="30"/>
  <c r="FT100" i="30"/>
  <c r="FU100" i="30"/>
  <c r="FV100" i="30"/>
  <c r="FW100" i="30"/>
  <c r="FX100" i="30"/>
  <c r="FY100" i="30"/>
  <c r="FZ100" i="30"/>
  <c r="GA100" i="30"/>
  <c r="GB100" i="30"/>
  <c r="GC100" i="30"/>
  <c r="GD100" i="30"/>
  <c r="GE100" i="30"/>
  <c r="GF100" i="30"/>
  <c r="GG100" i="30"/>
  <c r="GH100" i="30"/>
  <c r="GI100" i="30"/>
  <c r="GJ100" i="30"/>
  <c r="GK100" i="30"/>
  <c r="GL100" i="30"/>
  <c r="GM100" i="30"/>
  <c r="GN100" i="30"/>
  <c r="GO100" i="30"/>
  <c r="GP100" i="30"/>
  <c r="GQ100" i="30"/>
  <c r="GR100" i="30"/>
  <c r="GS100" i="30"/>
  <c r="GT100" i="30"/>
  <c r="GU100" i="30"/>
  <c r="GV100" i="30"/>
  <c r="GW100" i="30"/>
  <c r="GX100" i="30"/>
  <c r="GY100" i="30"/>
  <c r="GZ100" i="30"/>
  <c r="HA100" i="30"/>
  <c r="HB100" i="30"/>
  <c r="HC100" i="30"/>
  <c r="HD100" i="30"/>
  <c r="HE100" i="30"/>
  <c r="HF100" i="30"/>
  <c r="HG100" i="30"/>
  <c r="HH100" i="30"/>
  <c r="HI100" i="30"/>
  <c r="HJ100" i="30"/>
  <c r="HK100" i="30"/>
  <c r="HL100" i="30"/>
  <c r="HM100" i="30"/>
  <c r="HN100" i="30"/>
  <c r="HO100" i="30"/>
  <c r="HP100" i="30"/>
  <c r="HQ100" i="30"/>
  <c r="HR100" i="30"/>
  <c r="HS100" i="30"/>
  <c r="HT100" i="30"/>
  <c r="HU100" i="30"/>
  <c r="HV100" i="30"/>
  <c r="HW100" i="30"/>
  <c r="HX100" i="30"/>
  <c r="HY100" i="30"/>
  <c r="HZ100" i="30"/>
  <c r="IA100" i="30"/>
  <c r="IB100" i="30"/>
  <c r="IC100" i="30"/>
  <c r="ID100" i="30"/>
  <c r="IE100" i="30"/>
  <c r="IF100" i="30"/>
  <c r="IG100" i="30"/>
  <c r="IH100" i="30"/>
  <c r="II100" i="30"/>
  <c r="IJ100" i="30"/>
  <c r="IK100" i="30"/>
  <c r="IL100" i="30"/>
  <c r="IM100" i="30"/>
  <c r="IN100" i="30"/>
  <c r="IO100" i="30"/>
  <c r="IP100" i="30"/>
  <c r="IQ100" i="30"/>
  <c r="IR100" i="30"/>
  <c r="IS100" i="30"/>
  <c r="IT100" i="30"/>
  <c r="IU100" i="30"/>
  <c r="IV100" i="30"/>
  <c r="A99" i="30"/>
  <c r="B99" i="30"/>
  <c r="C99" i="30"/>
  <c r="D99" i="30"/>
  <c r="E99" i="30"/>
  <c r="F99" i="30"/>
  <c r="G99" i="30"/>
  <c r="H99" i="30"/>
  <c r="I99" i="30"/>
  <c r="J99" i="30"/>
  <c r="K99" i="30"/>
  <c r="L99" i="30"/>
  <c r="M99" i="30"/>
  <c r="N99" i="30"/>
  <c r="O99" i="30"/>
  <c r="P99" i="30"/>
  <c r="Q99" i="30"/>
  <c r="R99" i="30"/>
  <c r="S99" i="30"/>
  <c r="T99" i="30"/>
  <c r="U99" i="30"/>
  <c r="V99" i="30"/>
  <c r="W99" i="30"/>
  <c r="X99" i="30"/>
  <c r="Y99" i="30"/>
  <c r="Z99" i="30"/>
  <c r="AA99" i="30"/>
  <c r="AB99" i="30"/>
  <c r="AC99" i="30"/>
  <c r="AD99" i="30"/>
  <c r="AE99" i="30"/>
  <c r="AF99" i="30"/>
  <c r="AG99" i="30"/>
  <c r="AH99" i="30"/>
  <c r="AI99" i="30"/>
  <c r="AJ99" i="30"/>
  <c r="AK99" i="30"/>
  <c r="AL99" i="30"/>
  <c r="AM99" i="30"/>
  <c r="AN99" i="30"/>
  <c r="AO99" i="30"/>
  <c r="AP99" i="30"/>
  <c r="AQ99" i="30"/>
  <c r="AR99" i="30"/>
  <c r="AS99" i="30"/>
  <c r="AT99" i="30"/>
  <c r="AU99" i="30"/>
  <c r="AV99" i="30"/>
  <c r="AW99" i="30"/>
  <c r="AX99" i="30"/>
  <c r="AY99" i="30"/>
  <c r="AZ99" i="30"/>
  <c r="BA99" i="30"/>
  <c r="BB99" i="30"/>
  <c r="BC99" i="30"/>
  <c r="BD99" i="30"/>
  <c r="BE99" i="30"/>
  <c r="BF99" i="30"/>
  <c r="BG99" i="30"/>
  <c r="BH99" i="30"/>
  <c r="BI99" i="30"/>
  <c r="BJ99" i="30"/>
  <c r="BK99" i="30"/>
  <c r="BL99" i="30"/>
  <c r="BM99" i="30"/>
  <c r="BN99" i="30"/>
  <c r="BO99" i="30"/>
  <c r="BP99" i="30"/>
  <c r="BQ99" i="30"/>
  <c r="BR99" i="30"/>
  <c r="BS99" i="30"/>
  <c r="BT99" i="30"/>
  <c r="BU99" i="30"/>
  <c r="BV99" i="30"/>
  <c r="BW99" i="30"/>
  <c r="BX99" i="30"/>
  <c r="BY99" i="30"/>
  <c r="BZ99" i="30"/>
  <c r="CA99" i="30"/>
  <c r="CB99" i="30"/>
  <c r="CC99" i="30"/>
  <c r="CD99" i="30"/>
  <c r="CE99" i="30"/>
  <c r="CF99" i="30"/>
  <c r="CG99" i="30"/>
  <c r="CH99" i="30"/>
  <c r="CI99" i="30"/>
  <c r="CJ99" i="30"/>
  <c r="CK99" i="30"/>
  <c r="CL99" i="30"/>
  <c r="CM99" i="30"/>
  <c r="CN99" i="30"/>
  <c r="CO99" i="30"/>
  <c r="CP99" i="30"/>
  <c r="CQ99" i="30"/>
  <c r="CR99" i="30"/>
  <c r="CS99" i="30"/>
  <c r="CT99" i="30"/>
  <c r="CU99" i="30"/>
  <c r="CV99" i="30"/>
  <c r="CW99" i="30"/>
  <c r="CX99" i="30"/>
  <c r="CY99" i="30"/>
  <c r="CZ99" i="30"/>
  <c r="DA99" i="30"/>
  <c r="DB99" i="30"/>
  <c r="DC99" i="30"/>
  <c r="DD99" i="30"/>
  <c r="DE99" i="30"/>
  <c r="DF99" i="30"/>
  <c r="DG99" i="30"/>
  <c r="DH99" i="30"/>
  <c r="DI99" i="30"/>
  <c r="DJ99" i="30"/>
  <c r="DK99" i="30"/>
  <c r="DL99" i="30"/>
  <c r="DM99" i="30"/>
  <c r="DN99" i="30"/>
  <c r="DO99" i="30"/>
  <c r="DP99" i="30"/>
  <c r="DQ99" i="30"/>
  <c r="DR99" i="30"/>
  <c r="DS99" i="30"/>
  <c r="DT99" i="30"/>
  <c r="DU99" i="30"/>
  <c r="DV99" i="30"/>
  <c r="DW99" i="30"/>
  <c r="DX99" i="30"/>
  <c r="DY99" i="30"/>
  <c r="DZ99" i="30"/>
  <c r="EA99" i="30"/>
  <c r="EB99" i="30"/>
  <c r="EC99" i="30"/>
  <c r="ED99" i="30"/>
  <c r="EE99" i="30"/>
  <c r="EF99" i="30"/>
  <c r="EG99" i="30"/>
  <c r="EH99" i="30"/>
  <c r="EI99" i="30"/>
  <c r="EJ99" i="30"/>
  <c r="EK99" i="30"/>
  <c r="EL99" i="30"/>
  <c r="EM99" i="30"/>
  <c r="EN99" i="30"/>
  <c r="EO99" i="30"/>
  <c r="EP99" i="30"/>
  <c r="EQ99" i="30"/>
  <c r="ER99" i="30"/>
  <c r="ES99" i="30"/>
  <c r="ET99" i="30"/>
  <c r="EU99" i="30"/>
  <c r="EV99" i="30"/>
  <c r="EW99" i="30"/>
  <c r="EX99" i="30"/>
  <c r="EY99" i="30"/>
  <c r="EZ99" i="30"/>
  <c r="FA99" i="30"/>
  <c r="FB99" i="30"/>
  <c r="FC99" i="30"/>
  <c r="FD99" i="30"/>
  <c r="FE99" i="30"/>
  <c r="FF99" i="30"/>
  <c r="FG99" i="30"/>
  <c r="FH99" i="30"/>
  <c r="FI99" i="30"/>
  <c r="FJ99" i="30"/>
  <c r="FK99" i="30"/>
  <c r="FL99" i="30"/>
  <c r="FM99" i="30"/>
  <c r="FN99" i="30"/>
  <c r="FO99" i="30"/>
  <c r="FP99" i="30"/>
  <c r="FQ99" i="30"/>
  <c r="FR99" i="30"/>
  <c r="FS99" i="30"/>
  <c r="FT99" i="30"/>
  <c r="FU99" i="30"/>
  <c r="FV99" i="30"/>
  <c r="FW99" i="30"/>
  <c r="FX99" i="30"/>
  <c r="FY99" i="30"/>
  <c r="FZ99" i="30"/>
  <c r="GA99" i="30"/>
  <c r="GB99" i="30"/>
  <c r="GC99" i="30"/>
  <c r="GD99" i="30"/>
  <c r="GE99" i="30"/>
  <c r="GF99" i="30"/>
  <c r="GG99" i="30"/>
  <c r="GH99" i="30"/>
  <c r="GI99" i="30"/>
  <c r="GJ99" i="30"/>
  <c r="GK99" i="30"/>
  <c r="GL99" i="30"/>
  <c r="GM99" i="30"/>
  <c r="GN99" i="30"/>
  <c r="GO99" i="30"/>
  <c r="GP99" i="30"/>
  <c r="GQ99" i="30"/>
  <c r="GR99" i="30"/>
  <c r="GS99" i="30"/>
  <c r="GT99" i="30"/>
  <c r="GU99" i="30"/>
  <c r="GV99" i="30"/>
  <c r="GW99" i="30"/>
  <c r="GX99" i="30"/>
  <c r="GY99" i="30"/>
  <c r="GZ99" i="30"/>
  <c r="HA99" i="30"/>
  <c r="HB99" i="30"/>
  <c r="HC99" i="30"/>
  <c r="HD99" i="30"/>
  <c r="HE99" i="30"/>
  <c r="HF99" i="30"/>
  <c r="HG99" i="30"/>
  <c r="HH99" i="30"/>
  <c r="HI99" i="30"/>
  <c r="HJ99" i="30"/>
  <c r="HK99" i="30"/>
  <c r="HL99" i="30"/>
  <c r="HM99" i="30"/>
  <c r="HN99" i="30"/>
  <c r="HO99" i="30"/>
  <c r="HP99" i="30"/>
  <c r="HQ99" i="30"/>
  <c r="HR99" i="30"/>
  <c r="HS99" i="30"/>
  <c r="HT99" i="30"/>
  <c r="HU99" i="30"/>
  <c r="HV99" i="30"/>
  <c r="HW99" i="30"/>
  <c r="HX99" i="30"/>
  <c r="HY99" i="30"/>
  <c r="HZ99" i="30"/>
  <c r="IA99" i="30"/>
  <c r="IB99" i="30"/>
  <c r="IC99" i="30"/>
  <c r="ID99" i="30"/>
  <c r="IE99" i="30"/>
  <c r="IF99" i="30"/>
  <c r="IG99" i="30"/>
  <c r="IH99" i="30"/>
  <c r="II99" i="30"/>
  <c r="IJ99" i="30"/>
  <c r="IK99" i="30"/>
  <c r="IL99" i="30"/>
  <c r="IM99" i="30"/>
  <c r="IN99" i="30"/>
  <c r="IO99" i="30"/>
  <c r="IP99" i="30"/>
  <c r="IQ99" i="30"/>
  <c r="IR99" i="30"/>
  <c r="IS99" i="30"/>
  <c r="IT99" i="30"/>
  <c r="IU99" i="30"/>
  <c r="IV99" i="30"/>
  <c r="A98" i="30"/>
  <c r="B98" i="30"/>
  <c r="C98" i="30"/>
  <c r="D98" i="30"/>
  <c r="E98" i="30"/>
  <c r="F98" i="30"/>
  <c r="G98" i="30"/>
  <c r="H98" i="30"/>
  <c r="I98" i="30"/>
  <c r="J98" i="30"/>
  <c r="K98" i="30"/>
  <c r="L98" i="30"/>
  <c r="M98" i="30"/>
  <c r="N98" i="30"/>
  <c r="O98" i="30"/>
  <c r="P98" i="30"/>
  <c r="Q98" i="30"/>
  <c r="R98" i="30"/>
  <c r="S98" i="30"/>
  <c r="T98" i="30"/>
  <c r="U98" i="30"/>
  <c r="V98" i="30"/>
  <c r="W98" i="30"/>
  <c r="X98" i="30"/>
  <c r="Y98" i="30"/>
  <c r="Z98" i="30"/>
  <c r="AA98" i="30"/>
  <c r="AB98" i="30"/>
  <c r="AC98" i="30"/>
  <c r="AD98" i="30"/>
  <c r="AE98" i="30"/>
  <c r="AF98" i="30"/>
  <c r="AG98" i="30"/>
  <c r="AH98" i="30"/>
  <c r="AI98" i="30"/>
  <c r="AJ98" i="30"/>
  <c r="AK98" i="30"/>
  <c r="AL98" i="30"/>
  <c r="AM98" i="30"/>
  <c r="AN98" i="30"/>
  <c r="AO98" i="30"/>
  <c r="AP98" i="30"/>
  <c r="AQ98" i="30"/>
  <c r="AR98" i="30"/>
  <c r="AS98" i="30"/>
  <c r="AT98" i="30"/>
  <c r="AU98" i="30"/>
  <c r="AV98" i="30"/>
  <c r="AW98" i="30"/>
  <c r="AX98" i="30"/>
  <c r="AY98" i="30"/>
  <c r="AZ98" i="30"/>
  <c r="BA98" i="30"/>
  <c r="BB98" i="30"/>
  <c r="BC98" i="30"/>
  <c r="BD98" i="30"/>
  <c r="BE98" i="30"/>
  <c r="BF98" i="30"/>
  <c r="BG98" i="30"/>
  <c r="BH98" i="30"/>
  <c r="BI98" i="30"/>
  <c r="BJ98" i="30"/>
  <c r="BK98" i="30"/>
  <c r="BL98" i="30"/>
  <c r="BM98" i="30"/>
  <c r="BN98" i="30"/>
  <c r="BO98" i="30"/>
  <c r="BP98" i="30"/>
  <c r="BQ98" i="30"/>
  <c r="BR98" i="30"/>
  <c r="BS98" i="30"/>
  <c r="BT98" i="30"/>
  <c r="BU98" i="30"/>
  <c r="BV98" i="30"/>
  <c r="BW98" i="30"/>
  <c r="BX98" i="30"/>
  <c r="BY98" i="30"/>
  <c r="BZ98" i="30"/>
  <c r="CA98" i="30"/>
  <c r="CB98" i="30"/>
  <c r="CC98" i="30"/>
  <c r="CD98" i="30"/>
  <c r="CE98" i="30"/>
  <c r="CF98" i="30"/>
  <c r="CG98" i="30"/>
  <c r="CH98" i="30"/>
  <c r="CI98" i="30"/>
  <c r="CJ98" i="30"/>
  <c r="CK98" i="30"/>
  <c r="CL98" i="30"/>
  <c r="CM98" i="30"/>
  <c r="CN98" i="30"/>
  <c r="CO98" i="30"/>
  <c r="CP98" i="30"/>
  <c r="CQ98" i="30"/>
  <c r="CR98" i="30"/>
  <c r="CS98" i="30"/>
  <c r="CT98" i="30"/>
  <c r="CU98" i="30"/>
  <c r="CV98" i="30"/>
  <c r="CW98" i="30"/>
  <c r="CX98" i="30"/>
  <c r="CY98" i="30"/>
  <c r="CZ98" i="30"/>
  <c r="DA98" i="30"/>
  <c r="DB98" i="30"/>
  <c r="DC98" i="30"/>
  <c r="DD98" i="30"/>
  <c r="DE98" i="30"/>
  <c r="DF98" i="30"/>
  <c r="DG98" i="30"/>
  <c r="DH98" i="30"/>
  <c r="DI98" i="30"/>
  <c r="DJ98" i="30"/>
  <c r="DK98" i="30"/>
  <c r="DL98" i="30"/>
  <c r="DM98" i="30"/>
  <c r="DN98" i="30"/>
  <c r="DO98" i="30"/>
  <c r="DP98" i="30"/>
  <c r="DQ98" i="30"/>
  <c r="DR98" i="30"/>
  <c r="DS98" i="30"/>
  <c r="DT98" i="30"/>
  <c r="DU98" i="30"/>
  <c r="DV98" i="30"/>
  <c r="DW98" i="30"/>
  <c r="DX98" i="30"/>
  <c r="DY98" i="30"/>
  <c r="DZ98" i="30"/>
  <c r="EA98" i="30"/>
  <c r="EB98" i="30"/>
  <c r="EC98" i="30"/>
  <c r="ED98" i="30"/>
  <c r="EE98" i="30"/>
  <c r="EF98" i="30"/>
  <c r="EG98" i="30"/>
  <c r="EH98" i="30"/>
  <c r="EI98" i="30"/>
  <c r="EJ98" i="30"/>
  <c r="EK98" i="30"/>
  <c r="EL98" i="30"/>
  <c r="EM98" i="30"/>
  <c r="EN98" i="30"/>
  <c r="EO98" i="30"/>
  <c r="EP98" i="30"/>
  <c r="EQ98" i="30"/>
  <c r="ER98" i="30"/>
  <c r="ES98" i="30"/>
  <c r="ET98" i="30"/>
  <c r="EU98" i="30"/>
  <c r="EV98" i="30"/>
  <c r="EW98" i="30"/>
  <c r="EX98" i="30"/>
  <c r="EY98" i="30"/>
  <c r="EZ98" i="30"/>
  <c r="FA98" i="30"/>
  <c r="FB98" i="30"/>
  <c r="FC98" i="30"/>
  <c r="FD98" i="30"/>
  <c r="FE98" i="30"/>
  <c r="FF98" i="30"/>
  <c r="FG98" i="30"/>
  <c r="FH98" i="30"/>
  <c r="FI98" i="30"/>
  <c r="FJ98" i="30"/>
  <c r="FK98" i="30"/>
  <c r="FL98" i="30"/>
  <c r="FM98" i="30"/>
  <c r="FN98" i="30"/>
  <c r="FO98" i="30"/>
  <c r="FP98" i="30"/>
  <c r="FQ98" i="30"/>
  <c r="FR98" i="30"/>
  <c r="FS98" i="30"/>
  <c r="FT98" i="30"/>
  <c r="FU98" i="30"/>
  <c r="FV98" i="30"/>
  <c r="FW98" i="30"/>
  <c r="FX98" i="30"/>
  <c r="FY98" i="30"/>
  <c r="FZ98" i="30"/>
  <c r="GA98" i="30"/>
  <c r="GB98" i="30"/>
  <c r="GC98" i="30"/>
  <c r="GD98" i="30"/>
  <c r="GE98" i="30"/>
  <c r="GF98" i="30"/>
  <c r="GG98" i="30"/>
  <c r="GH98" i="30"/>
  <c r="GI98" i="30"/>
  <c r="GJ98" i="30"/>
  <c r="GK98" i="30"/>
  <c r="GL98" i="30"/>
  <c r="GM98" i="30"/>
  <c r="GN98" i="30"/>
  <c r="GO98" i="30"/>
  <c r="GP98" i="30"/>
  <c r="GQ98" i="30"/>
  <c r="GR98" i="30"/>
  <c r="GS98" i="30"/>
  <c r="GT98" i="30"/>
  <c r="GU98" i="30"/>
  <c r="GV98" i="30"/>
  <c r="GW98" i="30"/>
  <c r="GX98" i="30"/>
  <c r="GY98" i="30"/>
  <c r="GZ98" i="30"/>
  <c r="HA98" i="30"/>
  <c r="HB98" i="30"/>
  <c r="HC98" i="30"/>
  <c r="HD98" i="30"/>
  <c r="HE98" i="30"/>
  <c r="HF98" i="30"/>
  <c r="HG98" i="30"/>
  <c r="HH98" i="30"/>
  <c r="HI98" i="30"/>
  <c r="HJ98" i="30"/>
  <c r="HK98" i="30"/>
  <c r="HL98" i="30"/>
  <c r="HM98" i="30"/>
  <c r="HN98" i="30"/>
  <c r="HO98" i="30"/>
  <c r="HP98" i="30"/>
  <c r="HQ98" i="30"/>
  <c r="HR98" i="30"/>
  <c r="HS98" i="30"/>
  <c r="HT98" i="30"/>
  <c r="HU98" i="30"/>
  <c r="HV98" i="30"/>
  <c r="HW98" i="30"/>
  <c r="HX98" i="30"/>
  <c r="HY98" i="30"/>
  <c r="HZ98" i="30"/>
  <c r="IA98" i="30"/>
  <c r="IB98" i="30"/>
  <c r="IC98" i="30"/>
  <c r="ID98" i="30"/>
  <c r="IE98" i="30"/>
  <c r="IF98" i="30"/>
  <c r="IG98" i="30"/>
  <c r="IH98" i="30"/>
  <c r="II98" i="30"/>
  <c r="IJ98" i="30"/>
  <c r="IK98" i="30"/>
  <c r="IL98" i="30"/>
  <c r="IM98" i="30"/>
  <c r="IN98" i="30"/>
  <c r="IO98" i="30"/>
  <c r="IP98" i="30"/>
  <c r="IQ98" i="30"/>
  <c r="IR98" i="30"/>
  <c r="IS98" i="30"/>
  <c r="IT98" i="30"/>
  <c r="IU98" i="30"/>
  <c r="IV98" i="30"/>
  <c r="A97" i="30"/>
  <c r="B97" i="30"/>
  <c r="C97" i="30"/>
  <c r="D97" i="30"/>
  <c r="E97" i="30"/>
  <c r="F97" i="30"/>
  <c r="G97" i="30"/>
  <c r="H97" i="30"/>
  <c r="I97" i="30"/>
  <c r="J97" i="30"/>
  <c r="K97" i="30"/>
  <c r="L97" i="30"/>
  <c r="M97" i="30"/>
  <c r="N97" i="30"/>
  <c r="O97" i="30"/>
  <c r="P97" i="30"/>
  <c r="Q97" i="30"/>
  <c r="R97" i="30"/>
  <c r="S97" i="30"/>
  <c r="T97" i="30"/>
  <c r="U97" i="30"/>
  <c r="V97" i="30"/>
  <c r="W97" i="30"/>
  <c r="X97" i="30"/>
  <c r="Y97" i="30"/>
  <c r="Z97" i="30"/>
  <c r="AA97" i="30"/>
  <c r="AB97" i="30"/>
  <c r="AC97" i="30"/>
  <c r="AD97" i="30"/>
  <c r="AE97" i="30"/>
  <c r="AF97" i="30"/>
  <c r="AG97" i="30"/>
  <c r="AH97" i="30"/>
  <c r="AI97" i="30"/>
  <c r="AJ97" i="30"/>
  <c r="AK97" i="30"/>
  <c r="AL97" i="30"/>
  <c r="AM97" i="30"/>
  <c r="AN97" i="30"/>
  <c r="AO97" i="30"/>
  <c r="AP97" i="30"/>
  <c r="AQ97" i="30"/>
  <c r="AR97" i="30"/>
  <c r="AS97" i="30"/>
  <c r="AT97" i="30"/>
  <c r="AU97" i="30"/>
  <c r="AV97" i="30"/>
  <c r="AW97" i="30"/>
  <c r="AX97" i="30"/>
  <c r="AY97" i="30"/>
  <c r="AZ97" i="30"/>
  <c r="BA97" i="30"/>
  <c r="BB97" i="30"/>
  <c r="BC97" i="30"/>
  <c r="BD97" i="30"/>
  <c r="BE97" i="30"/>
  <c r="BF97" i="30"/>
  <c r="BG97" i="30"/>
  <c r="BH97" i="30"/>
  <c r="BI97" i="30"/>
  <c r="BJ97" i="30"/>
  <c r="BK97" i="30"/>
  <c r="BL97" i="30"/>
  <c r="BM97" i="30"/>
  <c r="BN97" i="30"/>
  <c r="BO97" i="30"/>
  <c r="BP97" i="30"/>
  <c r="BQ97" i="30"/>
  <c r="BR97" i="30"/>
  <c r="BS97" i="30"/>
  <c r="BT97" i="30"/>
  <c r="BU97" i="30"/>
  <c r="BV97" i="30"/>
  <c r="BW97" i="30"/>
  <c r="BX97" i="30"/>
  <c r="BY97" i="30"/>
  <c r="BZ97" i="30"/>
  <c r="CA97" i="30"/>
  <c r="CB97" i="30"/>
  <c r="CC97" i="30"/>
  <c r="CD97" i="30"/>
  <c r="CE97" i="30"/>
  <c r="CF97" i="30"/>
  <c r="CG97" i="30"/>
  <c r="CH97" i="30"/>
  <c r="CI97" i="30"/>
  <c r="CJ97" i="30"/>
  <c r="CK97" i="30"/>
  <c r="CL97" i="30"/>
  <c r="CM97" i="30"/>
  <c r="CN97" i="30"/>
  <c r="CO97" i="30"/>
  <c r="CP97" i="30"/>
  <c r="CQ97" i="30"/>
  <c r="CR97" i="30"/>
  <c r="CS97" i="30"/>
  <c r="CT97" i="30"/>
  <c r="CU97" i="30"/>
  <c r="CV97" i="30"/>
  <c r="CW97" i="30"/>
  <c r="CX97" i="30"/>
  <c r="CY97" i="30"/>
  <c r="CZ97" i="30"/>
  <c r="DA97" i="30"/>
  <c r="DB97" i="30"/>
  <c r="DC97" i="30"/>
  <c r="DD97" i="30"/>
  <c r="DE97" i="30"/>
  <c r="DF97" i="30"/>
  <c r="DG97" i="30"/>
  <c r="DH97" i="30"/>
  <c r="DI97" i="30"/>
  <c r="DJ97" i="30"/>
  <c r="DK97" i="30"/>
  <c r="DL97" i="30"/>
  <c r="DM97" i="30"/>
  <c r="DN97" i="30"/>
  <c r="DO97" i="30"/>
  <c r="DP97" i="30"/>
  <c r="DQ97" i="30"/>
  <c r="DR97" i="30"/>
  <c r="DS97" i="30"/>
  <c r="DT97" i="30"/>
  <c r="DU97" i="30"/>
  <c r="DV97" i="30"/>
  <c r="DW97" i="30"/>
  <c r="DX97" i="30"/>
  <c r="DY97" i="30"/>
  <c r="DZ97" i="30"/>
  <c r="EA97" i="30"/>
  <c r="EB97" i="30"/>
  <c r="EC97" i="30"/>
  <c r="ED97" i="30"/>
  <c r="EE97" i="30"/>
  <c r="EF97" i="30"/>
  <c r="EG97" i="30"/>
  <c r="EH97" i="30"/>
  <c r="EI97" i="30"/>
  <c r="EJ97" i="30"/>
  <c r="EK97" i="30"/>
  <c r="EL97" i="30"/>
  <c r="EM97" i="30"/>
  <c r="EN97" i="30"/>
  <c r="EO97" i="30"/>
  <c r="EP97" i="30"/>
  <c r="EQ97" i="30"/>
  <c r="ER97" i="30"/>
  <c r="ES97" i="30"/>
  <c r="ET97" i="30"/>
  <c r="EU97" i="30"/>
  <c r="EV97" i="30"/>
  <c r="EW97" i="30"/>
  <c r="EX97" i="30"/>
  <c r="EY97" i="30"/>
  <c r="EZ97" i="30"/>
  <c r="FA97" i="30"/>
  <c r="FB97" i="30"/>
  <c r="FC97" i="30"/>
  <c r="FD97" i="30"/>
  <c r="FE97" i="30"/>
  <c r="FF97" i="30"/>
  <c r="FG97" i="30"/>
  <c r="FH97" i="30"/>
  <c r="FI97" i="30"/>
  <c r="FJ97" i="30"/>
  <c r="FK97" i="30"/>
  <c r="FL97" i="30"/>
  <c r="FM97" i="30"/>
  <c r="FN97" i="30"/>
  <c r="FO97" i="30"/>
  <c r="FP97" i="30"/>
  <c r="FQ97" i="30"/>
  <c r="FR97" i="30"/>
  <c r="FS97" i="30"/>
  <c r="FT97" i="30"/>
  <c r="FU97" i="30"/>
  <c r="FV97" i="30"/>
  <c r="FW97" i="30"/>
  <c r="FX97" i="30"/>
  <c r="FY97" i="30"/>
  <c r="FZ97" i="30"/>
  <c r="GA97" i="30"/>
  <c r="GB97" i="30"/>
  <c r="GC97" i="30"/>
  <c r="GD97" i="30"/>
  <c r="GE97" i="30"/>
  <c r="GF97" i="30"/>
  <c r="GG97" i="30"/>
  <c r="GH97" i="30"/>
  <c r="GI97" i="30"/>
  <c r="GJ97" i="30"/>
  <c r="GK97" i="30"/>
  <c r="GL97" i="30"/>
  <c r="GM97" i="30"/>
  <c r="GN97" i="30"/>
  <c r="GO97" i="30"/>
  <c r="GP97" i="30"/>
  <c r="GQ97" i="30"/>
  <c r="GR97" i="30"/>
  <c r="GS97" i="30"/>
  <c r="GT97" i="30"/>
  <c r="GU97" i="30"/>
  <c r="GV97" i="30"/>
  <c r="GW97" i="30"/>
  <c r="GX97" i="30"/>
  <c r="GY97" i="30"/>
  <c r="GZ97" i="30"/>
  <c r="HA97" i="30"/>
  <c r="HB97" i="30"/>
  <c r="HC97" i="30"/>
  <c r="HD97" i="30"/>
  <c r="HE97" i="30"/>
  <c r="HF97" i="30"/>
  <c r="HG97" i="30"/>
  <c r="HH97" i="30"/>
  <c r="HI97" i="30"/>
  <c r="HJ97" i="30"/>
  <c r="HK97" i="30"/>
  <c r="HL97" i="30"/>
  <c r="HM97" i="30"/>
  <c r="HN97" i="30"/>
  <c r="HO97" i="30"/>
  <c r="HP97" i="30"/>
  <c r="HQ97" i="30"/>
  <c r="HR97" i="30"/>
  <c r="HS97" i="30"/>
  <c r="HT97" i="30"/>
  <c r="HU97" i="30"/>
  <c r="HV97" i="30"/>
  <c r="HW97" i="30"/>
  <c r="HX97" i="30"/>
  <c r="HY97" i="30"/>
  <c r="HZ97" i="30"/>
  <c r="IA97" i="30"/>
  <c r="IB97" i="30"/>
  <c r="IC97" i="30"/>
  <c r="ID97" i="30"/>
  <c r="IE97" i="30"/>
  <c r="IF97" i="30"/>
  <c r="IG97" i="30"/>
  <c r="IH97" i="30"/>
  <c r="II97" i="30"/>
  <c r="IJ97" i="30"/>
  <c r="IK97" i="30"/>
  <c r="IL97" i="30"/>
  <c r="IM97" i="30"/>
  <c r="IN97" i="30"/>
  <c r="IO97" i="30"/>
  <c r="IP97" i="30"/>
  <c r="IQ97" i="30"/>
  <c r="IR97" i="30"/>
  <c r="IS97" i="30"/>
  <c r="IT97" i="30"/>
  <c r="IU97" i="30"/>
  <c r="IV97" i="30"/>
  <c r="A96" i="30"/>
  <c r="B96" i="30"/>
  <c r="C96" i="30"/>
  <c r="D96" i="30"/>
  <c r="E96" i="30"/>
  <c r="F96" i="30"/>
  <c r="G96" i="30"/>
  <c r="H96" i="30"/>
  <c r="I96" i="30"/>
  <c r="J96" i="30"/>
  <c r="K96" i="30"/>
  <c r="L96" i="30"/>
  <c r="M96" i="30"/>
  <c r="N96" i="30"/>
  <c r="O96" i="30"/>
  <c r="P96" i="30"/>
  <c r="Q96" i="30"/>
  <c r="R96" i="30"/>
  <c r="S96" i="30"/>
  <c r="T96" i="30"/>
  <c r="U96" i="30"/>
  <c r="V96" i="30"/>
  <c r="W96" i="30"/>
  <c r="X96" i="30"/>
  <c r="Y96" i="30"/>
  <c r="Z96" i="30"/>
  <c r="AA96" i="30"/>
  <c r="AB96" i="30"/>
  <c r="AC96" i="30"/>
  <c r="AD96" i="30"/>
  <c r="AE96" i="30"/>
  <c r="AF96" i="30"/>
  <c r="AG96" i="30"/>
  <c r="AH96" i="30"/>
  <c r="AI96" i="30"/>
  <c r="AJ96" i="30"/>
  <c r="AK96" i="30"/>
  <c r="AL96" i="30"/>
  <c r="AM96" i="30"/>
  <c r="AN96" i="30"/>
  <c r="AO96" i="30"/>
  <c r="AP96" i="30"/>
  <c r="AQ96" i="30"/>
  <c r="AR96" i="30"/>
  <c r="AS96" i="30"/>
  <c r="AT96" i="30"/>
  <c r="AU96" i="30"/>
  <c r="AV96" i="30"/>
  <c r="AW96" i="30"/>
  <c r="AX96" i="30"/>
  <c r="AY96" i="30"/>
  <c r="AZ96" i="30"/>
  <c r="BA96" i="30"/>
  <c r="BB96" i="30"/>
  <c r="BC96" i="30"/>
  <c r="BD96" i="30"/>
  <c r="BE96" i="30"/>
  <c r="BF96" i="30"/>
  <c r="BG96" i="30"/>
  <c r="BH96" i="30"/>
  <c r="BI96" i="30"/>
  <c r="BJ96" i="30"/>
  <c r="BK96" i="30"/>
  <c r="BL96" i="30"/>
  <c r="BM96" i="30"/>
  <c r="BN96" i="30"/>
  <c r="BO96" i="30"/>
  <c r="BP96" i="30"/>
  <c r="BQ96" i="30"/>
  <c r="BR96" i="30"/>
  <c r="BS96" i="30"/>
  <c r="BT96" i="30"/>
  <c r="BU96" i="30"/>
  <c r="BV96" i="30"/>
  <c r="BW96" i="30"/>
  <c r="BX96" i="30"/>
  <c r="BY96" i="30"/>
  <c r="BZ96" i="30"/>
  <c r="CA96" i="30"/>
  <c r="CB96" i="30"/>
  <c r="CC96" i="30"/>
  <c r="CD96" i="30"/>
  <c r="CE96" i="30"/>
  <c r="CF96" i="30"/>
  <c r="CG96" i="30"/>
  <c r="CH96" i="30"/>
  <c r="CI96" i="30"/>
  <c r="CJ96" i="30"/>
  <c r="CK96" i="30"/>
  <c r="CL96" i="30"/>
  <c r="CM96" i="30"/>
  <c r="CN96" i="30"/>
  <c r="CO96" i="30"/>
  <c r="CP96" i="30"/>
  <c r="CQ96" i="30"/>
  <c r="CR96" i="30"/>
  <c r="CS96" i="30"/>
  <c r="CT96" i="30"/>
  <c r="CU96" i="30"/>
  <c r="CV96" i="30"/>
  <c r="CW96" i="30"/>
  <c r="CX96" i="30"/>
  <c r="CY96" i="30"/>
  <c r="CZ96" i="30"/>
  <c r="DA96" i="30"/>
  <c r="DB96" i="30"/>
  <c r="DC96" i="30"/>
  <c r="DD96" i="30"/>
  <c r="DE96" i="30"/>
  <c r="DF96" i="30"/>
  <c r="DG96" i="30"/>
  <c r="DH96" i="30"/>
  <c r="DI96" i="30"/>
  <c r="DJ96" i="30"/>
  <c r="DK96" i="30"/>
  <c r="DL96" i="30"/>
  <c r="DM96" i="30"/>
  <c r="DN96" i="30"/>
  <c r="DO96" i="30"/>
  <c r="DP96" i="30"/>
  <c r="DQ96" i="30"/>
  <c r="DR96" i="30"/>
  <c r="DS96" i="30"/>
  <c r="DT96" i="30"/>
  <c r="DU96" i="30"/>
  <c r="DV96" i="30"/>
  <c r="DW96" i="30"/>
  <c r="DX96" i="30"/>
  <c r="DY96" i="30"/>
  <c r="DZ96" i="30"/>
  <c r="EA96" i="30"/>
  <c r="EB96" i="30"/>
  <c r="EC96" i="30"/>
  <c r="ED96" i="30"/>
  <c r="EE96" i="30"/>
  <c r="EF96" i="30"/>
  <c r="EG96" i="30"/>
  <c r="EH96" i="30"/>
  <c r="EI96" i="30"/>
  <c r="EJ96" i="30"/>
  <c r="EK96" i="30"/>
  <c r="EL96" i="30"/>
  <c r="EM96" i="30"/>
  <c r="EN96" i="30"/>
  <c r="EO96" i="30"/>
  <c r="EP96" i="30"/>
  <c r="EQ96" i="30"/>
  <c r="ER96" i="30"/>
  <c r="ES96" i="30"/>
  <c r="ET96" i="30"/>
  <c r="EU96" i="30"/>
  <c r="EV96" i="30"/>
  <c r="EW96" i="30"/>
  <c r="EX96" i="30"/>
  <c r="EY96" i="30"/>
  <c r="EZ96" i="30"/>
  <c r="FA96" i="30"/>
  <c r="FB96" i="30"/>
  <c r="FC96" i="30"/>
  <c r="FD96" i="30"/>
  <c r="FE96" i="30"/>
  <c r="FF96" i="30"/>
  <c r="FG96" i="30"/>
  <c r="FH96" i="30"/>
  <c r="FI96" i="30"/>
  <c r="FJ96" i="30"/>
  <c r="FK96" i="30"/>
  <c r="FL96" i="30"/>
  <c r="FM96" i="30"/>
  <c r="FN96" i="30"/>
  <c r="FO96" i="30"/>
  <c r="FP96" i="30"/>
  <c r="FQ96" i="30"/>
  <c r="FR96" i="30"/>
  <c r="FS96" i="30"/>
  <c r="FT96" i="30"/>
  <c r="FU96" i="30"/>
  <c r="FV96" i="30"/>
  <c r="FW96" i="30"/>
  <c r="FX96" i="30"/>
  <c r="FY96" i="30"/>
  <c r="FZ96" i="30"/>
  <c r="GA96" i="30"/>
  <c r="GB96" i="30"/>
  <c r="GC96" i="30"/>
  <c r="GD96" i="30"/>
  <c r="GE96" i="30"/>
  <c r="GF96" i="30"/>
  <c r="GG96" i="30"/>
  <c r="GH96" i="30"/>
  <c r="GI96" i="30"/>
  <c r="GJ96" i="30"/>
  <c r="GK96" i="30"/>
  <c r="GL96" i="30"/>
  <c r="GM96" i="30"/>
  <c r="GN96" i="30"/>
  <c r="GO96" i="30"/>
  <c r="GP96" i="30"/>
  <c r="GQ96" i="30"/>
  <c r="GR96" i="30"/>
  <c r="GS96" i="30"/>
  <c r="GT96" i="30"/>
  <c r="GU96" i="30"/>
  <c r="GV96" i="30"/>
  <c r="GW96" i="30"/>
  <c r="GX96" i="30"/>
  <c r="GY96" i="30"/>
  <c r="GZ96" i="30"/>
  <c r="HA96" i="30"/>
  <c r="HB96" i="30"/>
  <c r="HC96" i="30"/>
  <c r="HD96" i="30"/>
  <c r="HE96" i="30"/>
  <c r="HF96" i="30"/>
  <c r="HG96" i="30"/>
  <c r="HH96" i="30"/>
  <c r="HI96" i="30"/>
  <c r="HJ96" i="30"/>
  <c r="HK96" i="30"/>
  <c r="HL96" i="30"/>
  <c r="HM96" i="30"/>
  <c r="HN96" i="30"/>
  <c r="HO96" i="30"/>
  <c r="HP96" i="30"/>
  <c r="HQ96" i="30"/>
  <c r="HR96" i="30"/>
  <c r="HS96" i="30"/>
  <c r="HT96" i="30"/>
  <c r="HU96" i="30"/>
  <c r="HV96" i="30"/>
  <c r="HW96" i="30"/>
  <c r="HX96" i="30"/>
  <c r="HY96" i="30"/>
  <c r="HZ96" i="30"/>
  <c r="IA96" i="30"/>
  <c r="IB96" i="30"/>
  <c r="IC96" i="30"/>
  <c r="ID96" i="30"/>
  <c r="IE96" i="30"/>
  <c r="IF96" i="30"/>
  <c r="IG96" i="30"/>
  <c r="IH96" i="30"/>
  <c r="II96" i="30"/>
  <c r="IJ96" i="30"/>
  <c r="IK96" i="30"/>
  <c r="IL96" i="30"/>
  <c r="IM96" i="30"/>
  <c r="IN96" i="30"/>
  <c r="IO96" i="30"/>
  <c r="IP96" i="30"/>
  <c r="IQ96" i="30"/>
  <c r="IR96" i="30"/>
  <c r="IS96" i="30"/>
  <c r="IT96" i="30"/>
  <c r="IU96" i="30"/>
  <c r="IV96" i="30"/>
  <c r="A95" i="30"/>
  <c r="B95" i="30"/>
  <c r="C95" i="30"/>
  <c r="D95" i="30"/>
  <c r="E95" i="30"/>
  <c r="F95" i="30"/>
  <c r="G95" i="30"/>
  <c r="H95" i="30"/>
  <c r="I95" i="30"/>
  <c r="J95" i="30"/>
  <c r="K95" i="30"/>
  <c r="L95" i="30"/>
  <c r="M95" i="30"/>
  <c r="N95" i="30"/>
  <c r="O95" i="30"/>
  <c r="P95" i="30"/>
  <c r="Q95" i="30"/>
  <c r="R95" i="30"/>
  <c r="S95" i="30"/>
  <c r="T95" i="30"/>
  <c r="U95" i="30"/>
  <c r="V95" i="30"/>
  <c r="W95" i="30"/>
  <c r="X95" i="30"/>
  <c r="Y95" i="30"/>
  <c r="Z95" i="30"/>
  <c r="AA95" i="30"/>
  <c r="AB95" i="30"/>
  <c r="AC95" i="30"/>
  <c r="AD95" i="30"/>
  <c r="AE95" i="30"/>
  <c r="AF95" i="30"/>
  <c r="AG95" i="30"/>
  <c r="AH95" i="30"/>
  <c r="AI95" i="30"/>
  <c r="AJ95" i="30"/>
  <c r="AK95" i="30"/>
  <c r="AL95" i="30"/>
  <c r="AM95" i="30"/>
  <c r="AN95" i="30"/>
  <c r="AO95" i="30"/>
  <c r="AP95" i="30"/>
  <c r="AQ95" i="30"/>
  <c r="AR95" i="30"/>
  <c r="AS95" i="30"/>
  <c r="AT95" i="30"/>
  <c r="AU95" i="30"/>
  <c r="AV95" i="30"/>
  <c r="AW95" i="30"/>
  <c r="AX95" i="30"/>
  <c r="AY95" i="30"/>
  <c r="AZ95" i="30"/>
  <c r="BA95" i="30"/>
  <c r="BB95" i="30"/>
  <c r="BC95" i="30"/>
  <c r="BD95" i="30"/>
  <c r="BE95" i="30"/>
  <c r="BF95" i="30"/>
  <c r="BG95" i="30"/>
  <c r="BH95" i="30"/>
  <c r="BI95" i="30"/>
  <c r="BJ95" i="30"/>
  <c r="BK95" i="30"/>
  <c r="BL95" i="30"/>
  <c r="BM95" i="30"/>
  <c r="BN95" i="30"/>
  <c r="BO95" i="30"/>
  <c r="BP95" i="30"/>
  <c r="BQ95" i="30"/>
  <c r="BR95" i="30"/>
  <c r="BS95" i="30"/>
  <c r="BT95" i="30"/>
  <c r="BU95" i="30"/>
  <c r="BV95" i="30"/>
  <c r="BW95" i="30"/>
  <c r="BX95" i="30"/>
  <c r="BY95" i="30"/>
  <c r="BZ95" i="30"/>
  <c r="CA95" i="30"/>
  <c r="CB95" i="30"/>
  <c r="CC95" i="30"/>
  <c r="CD95" i="30"/>
  <c r="CE95" i="30"/>
  <c r="CF95" i="30"/>
  <c r="CG95" i="30"/>
  <c r="CH95" i="30"/>
  <c r="CI95" i="30"/>
  <c r="CJ95" i="30"/>
  <c r="CK95" i="30"/>
  <c r="CL95" i="30"/>
  <c r="CM95" i="30"/>
  <c r="CN95" i="30"/>
  <c r="CO95" i="30"/>
  <c r="CP95" i="30"/>
  <c r="CQ95" i="30"/>
  <c r="CR95" i="30"/>
  <c r="CS95" i="30"/>
  <c r="CT95" i="30"/>
  <c r="CU95" i="30"/>
  <c r="CV95" i="30"/>
  <c r="CW95" i="30"/>
  <c r="CX95" i="30"/>
  <c r="CY95" i="30"/>
  <c r="CZ95" i="30"/>
  <c r="DA95" i="30"/>
  <c r="DB95" i="30"/>
  <c r="DC95" i="30"/>
  <c r="DD95" i="30"/>
  <c r="DE95" i="30"/>
  <c r="DF95" i="30"/>
  <c r="DG95" i="30"/>
  <c r="DH95" i="30"/>
  <c r="DI95" i="30"/>
  <c r="DJ95" i="30"/>
  <c r="DK95" i="30"/>
  <c r="DL95" i="30"/>
  <c r="DM95" i="30"/>
  <c r="DN95" i="30"/>
  <c r="DO95" i="30"/>
  <c r="DP95" i="30"/>
  <c r="DQ95" i="30"/>
  <c r="DR95" i="30"/>
  <c r="DS95" i="30"/>
  <c r="DT95" i="30"/>
  <c r="DU95" i="30"/>
  <c r="DV95" i="30"/>
  <c r="DW95" i="30"/>
  <c r="DX95" i="30"/>
  <c r="DY95" i="30"/>
  <c r="DZ95" i="30"/>
  <c r="EA95" i="30"/>
  <c r="EB95" i="30"/>
  <c r="EC95" i="30"/>
  <c r="ED95" i="30"/>
  <c r="EE95" i="30"/>
  <c r="EF95" i="30"/>
  <c r="EG95" i="30"/>
  <c r="EH95" i="30"/>
  <c r="EI95" i="30"/>
  <c r="EJ95" i="30"/>
  <c r="EK95" i="30"/>
  <c r="EL95" i="30"/>
  <c r="EM95" i="30"/>
  <c r="EN95" i="30"/>
  <c r="EO95" i="30"/>
  <c r="EP95" i="30"/>
  <c r="EQ95" i="30"/>
  <c r="ER95" i="30"/>
  <c r="ES95" i="30"/>
  <c r="ET95" i="30"/>
  <c r="EU95" i="30"/>
  <c r="EV95" i="30"/>
  <c r="EW95" i="30"/>
  <c r="EX95" i="30"/>
  <c r="EY95" i="30"/>
  <c r="EZ95" i="30"/>
  <c r="FA95" i="30"/>
  <c r="FB95" i="30"/>
  <c r="FC95" i="30"/>
  <c r="FD95" i="30"/>
  <c r="FE95" i="30"/>
  <c r="FF95" i="30"/>
  <c r="FG95" i="30"/>
  <c r="FH95" i="30"/>
  <c r="FI95" i="30"/>
  <c r="FJ95" i="30"/>
  <c r="FK95" i="30"/>
  <c r="FL95" i="30"/>
  <c r="FM95" i="30"/>
  <c r="FN95" i="30"/>
  <c r="FO95" i="30"/>
  <c r="FP95" i="30"/>
  <c r="FQ95" i="30"/>
  <c r="FR95" i="30"/>
  <c r="FS95" i="30"/>
  <c r="FT95" i="30"/>
  <c r="FU95" i="30"/>
  <c r="FV95" i="30"/>
  <c r="FW95" i="30"/>
  <c r="FX95" i="30"/>
  <c r="FY95" i="30"/>
  <c r="FZ95" i="30"/>
  <c r="GA95" i="30"/>
  <c r="GB95" i="30"/>
  <c r="GC95" i="30"/>
  <c r="GD95" i="30"/>
  <c r="GE95" i="30"/>
  <c r="GF95" i="30"/>
  <c r="GG95" i="30"/>
  <c r="GH95" i="30"/>
  <c r="GI95" i="30"/>
  <c r="GJ95" i="30"/>
  <c r="GK95" i="30"/>
  <c r="GL95" i="30"/>
  <c r="GM95" i="30"/>
  <c r="GN95" i="30"/>
  <c r="GO95" i="30"/>
  <c r="GP95" i="30"/>
  <c r="GQ95" i="30"/>
  <c r="GR95" i="30"/>
  <c r="GS95" i="30"/>
  <c r="GT95" i="30"/>
  <c r="GU95" i="30"/>
  <c r="GV95" i="30"/>
  <c r="GW95" i="30"/>
  <c r="GX95" i="30"/>
  <c r="GY95" i="30"/>
  <c r="GZ95" i="30"/>
  <c r="HA95" i="30"/>
  <c r="HB95" i="30"/>
  <c r="HC95" i="30"/>
  <c r="HD95" i="30"/>
  <c r="HE95" i="30"/>
  <c r="HF95" i="30"/>
  <c r="HG95" i="30"/>
  <c r="HH95" i="30"/>
  <c r="HI95" i="30"/>
  <c r="HJ95" i="30"/>
  <c r="HK95" i="30"/>
  <c r="HL95" i="30"/>
  <c r="HM95" i="30"/>
  <c r="HN95" i="30"/>
  <c r="HO95" i="30"/>
  <c r="HP95" i="30"/>
  <c r="HQ95" i="30"/>
  <c r="HR95" i="30"/>
  <c r="HS95" i="30"/>
  <c r="HT95" i="30"/>
  <c r="HU95" i="30"/>
  <c r="HV95" i="30"/>
  <c r="HW95" i="30"/>
  <c r="HX95" i="30"/>
  <c r="HY95" i="30"/>
  <c r="HZ95" i="30"/>
  <c r="IA95" i="30"/>
  <c r="IB95" i="30"/>
  <c r="IC95" i="30"/>
  <c r="ID95" i="30"/>
  <c r="IE95" i="30"/>
  <c r="IF95" i="30"/>
  <c r="IG95" i="30"/>
  <c r="IH95" i="30"/>
  <c r="II95" i="30"/>
  <c r="IJ95" i="30"/>
  <c r="IK95" i="30"/>
  <c r="IL95" i="30"/>
  <c r="IM95" i="30"/>
  <c r="IN95" i="30"/>
  <c r="IO95" i="30"/>
  <c r="IP95" i="30"/>
  <c r="IQ95" i="30"/>
  <c r="IR95" i="30"/>
  <c r="IS95" i="30"/>
  <c r="IT95" i="30"/>
  <c r="IU95" i="30"/>
  <c r="IV95" i="30"/>
  <c r="A94" i="30"/>
  <c r="B94" i="30"/>
  <c r="C94" i="30"/>
  <c r="D94" i="30"/>
  <c r="E94" i="30"/>
  <c r="F94" i="30"/>
  <c r="G94" i="30"/>
  <c r="H94" i="30"/>
  <c r="I94" i="30"/>
  <c r="J94" i="30"/>
  <c r="K94" i="30"/>
  <c r="L94" i="30"/>
  <c r="M94" i="30"/>
  <c r="N94" i="30"/>
  <c r="O94" i="30"/>
  <c r="P94" i="30"/>
  <c r="Q94" i="30"/>
  <c r="R94" i="30"/>
  <c r="S94" i="30"/>
  <c r="T94" i="30"/>
  <c r="U94" i="30"/>
  <c r="V94" i="30"/>
  <c r="W94" i="30"/>
  <c r="X94" i="30"/>
  <c r="Y94" i="30"/>
  <c r="Z94" i="30"/>
  <c r="AA94" i="30"/>
  <c r="AB94" i="30"/>
  <c r="AC94" i="30"/>
  <c r="AD94" i="30"/>
  <c r="AE94" i="30"/>
  <c r="AF94" i="30"/>
  <c r="AG94" i="30"/>
  <c r="AH94" i="30"/>
  <c r="AI94" i="30"/>
  <c r="AJ94" i="30"/>
  <c r="AK94" i="30"/>
  <c r="AL94" i="30"/>
  <c r="AM94" i="30"/>
  <c r="AN94" i="30"/>
  <c r="AO94" i="30"/>
  <c r="AP94" i="30"/>
  <c r="AQ94" i="30"/>
  <c r="AR94" i="30"/>
  <c r="AS94" i="30"/>
  <c r="AT94" i="30"/>
  <c r="AU94" i="30"/>
  <c r="AV94" i="30"/>
  <c r="AW94" i="30"/>
  <c r="AX94" i="30"/>
  <c r="AY94" i="30"/>
  <c r="AZ94" i="30"/>
  <c r="BA94" i="30"/>
  <c r="BB94" i="30"/>
  <c r="BC94" i="30"/>
  <c r="BD94" i="30"/>
  <c r="BE94" i="30"/>
  <c r="BF94" i="30"/>
  <c r="BG94" i="30"/>
  <c r="BH94" i="30"/>
  <c r="BI94" i="30"/>
  <c r="BJ94" i="30"/>
  <c r="BK94" i="30"/>
  <c r="BL94" i="30"/>
  <c r="BM94" i="30"/>
  <c r="BN94" i="30"/>
  <c r="BO94" i="30"/>
  <c r="BP94" i="30"/>
  <c r="BQ94" i="30"/>
  <c r="BR94" i="30"/>
  <c r="BS94" i="30"/>
  <c r="BT94" i="30"/>
  <c r="BU94" i="30"/>
  <c r="BV94" i="30"/>
  <c r="BW94" i="30"/>
  <c r="BX94" i="30"/>
  <c r="BY94" i="30"/>
  <c r="BZ94" i="30"/>
  <c r="CA94" i="30"/>
  <c r="CB94" i="30"/>
  <c r="CC94" i="30"/>
  <c r="CD94" i="30"/>
  <c r="CE94" i="30"/>
  <c r="CF94" i="30"/>
  <c r="CG94" i="30"/>
  <c r="CH94" i="30"/>
  <c r="CI94" i="30"/>
  <c r="CJ94" i="30"/>
  <c r="CK94" i="30"/>
  <c r="CL94" i="30"/>
  <c r="CM94" i="30"/>
  <c r="CN94" i="30"/>
  <c r="CO94" i="30"/>
  <c r="CP94" i="30"/>
  <c r="CQ94" i="30"/>
  <c r="CR94" i="30"/>
  <c r="CS94" i="30"/>
  <c r="CT94" i="30"/>
  <c r="CU94" i="30"/>
  <c r="CV94" i="30"/>
  <c r="CW94" i="30"/>
  <c r="CX94" i="30"/>
  <c r="CY94" i="30"/>
  <c r="CZ94" i="30"/>
  <c r="DA94" i="30"/>
  <c r="DB94" i="30"/>
  <c r="DC94" i="30"/>
  <c r="DD94" i="30"/>
  <c r="DE94" i="30"/>
  <c r="DF94" i="30"/>
  <c r="DG94" i="30"/>
  <c r="DH94" i="30"/>
  <c r="DI94" i="30"/>
  <c r="DJ94" i="30"/>
  <c r="DK94" i="30"/>
  <c r="DL94" i="30"/>
  <c r="DM94" i="30"/>
  <c r="DN94" i="30"/>
  <c r="DO94" i="30"/>
  <c r="DP94" i="30"/>
  <c r="DQ94" i="30"/>
  <c r="DR94" i="30"/>
  <c r="DS94" i="30"/>
  <c r="DT94" i="30"/>
  <c r="DU94" i="30"/>
  <c r="DV94" i="30"/>
  <c r="DW94" i="30"/>
  <c r="DX94" i="30"/>
  <c r="DY94" i="30"/>
  <c r="DZ94" i="30"/>
  <c r="EA94" i="30"/>
  <c r="EB94" i="30"/>
  <c r="EC94" i="30"/>
  <c r="ED94" i="30"/>
  <c r="EE94" i="30"/>
  <c r="EF94" i="30"/>
  <c r="EG94" i="30"/>
  <c r="EH94" i="30"/>
  <c r="EI94" i="30"/>
  <c r="EJ94" i="30"/>
  <c r="EK94" i="30"/>
  <c r="EL94" i="30"/>
  <c r="EM94" i="30"/>
  <c r="EN94" i="30"/>
  <c r="EO94" i="30"/>
  <c r="EP94" i="30"/>
  <c r="EQ94" i="30"/>
  <c r="ER94" i="30"/>
  <c r="ES94" i="30"/>
  <c r="ET94" i="30"/>
  <c r="EU94" i="30"/>
  <c r="EV94" i="30"/>
  <c r="EW94" i="30"/>
  <c r="EX94" i="30"/>
  <c r="EY94" i="30"/>
  <c r="EZ94" i="30"/>
  <c r="FA94" i="30"/>
  <c r="FB94" i="30"/>
  <c r="FC94" i="30"/>
  <c r="FD94" i="30"/>
  <c r="FE94" i="30"/>
  <c r="FF94" i="30"/>
  <c r="FG94" i="30"/>
  <c r="FH94" i="30"/>
  <c r="FI94" i="30"/>
  <c r="FJ94" i="30"/>
  <c r="FK94" i="30"/>
  <c r="FL94" i="30"/>
  <c r="FM94" i="30"/>
  <c r="FN94" i="30"/>
  <c r="FO94" i="30"/>
  <c r="FP94" i="30"/>
  <c r="FQ94" i="30"/>
  <c r="FR94" i="30"/>
  <c r="FS94" i="30"/>
  <c r="FT94" i="30"/>
  <c r="FU94" i="30"/>
  <c r="FV94" i="30"/>
  <c r="FW94" i="30"/>
  <c r="FX94" i="30"/>
  <c r="FY94" i="30"/>
  <c r="FZ94" i="30"/>
  <c r="GA94" i="30"/>
  <c r="GB94" i="30"/>
  <c r="GC94" i="30"/>
  <c r="GD94" i="30"/>
  <c r="GE94" i="30"/>
  <c r="GF94" i="30"/>
  <c r="GG94" i="30"/>
  <c r="GH94" i="30"/>
  <c r="GI94" i="30"/>
  <c r="GJ94" i="30"/>
  <c r="GK94" i="30"/>
  <c r="GL94" i="30"/>
  <c r="GM94" i="30"/>
  <c r="GN94" i="30"/>
  <c r="GO94" i="30"/>
  <c r="GP94" i="30"/>
  <c r="GQ94" i="30"/>
  <c r="GR94" i="30"/>
  <c r="GS94" i="30"/>
  <c r="GT94" i="30"/>
  <c r="GU94" i="30"/>
  <c r="GV94" i="30"/>
  <c r="GW94" i="30"/>
  <c r="GX94" i="30"/>
  <c r="GY94" i="30"/>
  <c r="GZ94" i="30"/>
  <c r="HA94" i="30"/>
  <c r="HB94" i="30"/>
  <c r="HC94" i="30"/>
  <c r="HD94" i="30"/>
  <c r="HE94" i="30"/>
  <c r="HF94" i="30"/>
  <c r="HG94" i="30"/>
  <c r="HH94" i="30"/>
  <c r="HI94" i="30"/>
  <c r="HJ94" i="30"/>
  <c r="HK94" i="30"/>
  <c r="HL94" i="30"/>
  <c r="HM94" i="30"/>
  <c r="HN94" i="30"/>
  <c r="HO94" i="30"/>
  <c r="HP94" i="30"/>
  <c r="HQ94" i="30"/>
  <c r="HR94" i="30"/>
  <c r="HS94" i="30"/>
  <c r="HT94" i="30"/>
  <c r="HU94" i="30"/>
  <c r="HV94" i="30"/>
  <c r="HW94" i="30"/>
  <c r="HX94" i="30"/>
  <c r="HY94" i="30"/>
  <c r="HZ94" i="30"/>
  <c r="IA94" i="30"/>
  <c r="IB94" i="30"/>
  <c r="IC94" i="30"/>
  <c r="ID94" i="30"/>
  <c r="IE94" i="30"/>
  <c r="IF94" i="30"/>
  <c r="IG94" i="30"/>
  <c r="IH94" i="30"/>
  <c r="II94" i="30"/>
  <c r="IJ94" i="30"/>
  <c r="IK94" i="30"/>
  <c r="IL94" i="30"/>
  <c r="IM94" i="30"/>
  <c r="IN94" i="30"/>
  <c r="IO94" i="30"/>
  <c r="IP94" i="30"/>
  <c r="IQ94" i="30"/>
  <c r="IR94" i="30"/>
  <c r="IS94" i="30"/>
  <c r="IT94" i="30"/>
  <c r="IU94" i="30"/>
  <c r="IV94" i="30"/>
  <c r="A93" i="30"/>
  <c r="B93" i="30"/>
  <c r="C93" i="30"/>
  <c r="D93" i="30"/>
  <c r="E93" i="30"/>
  <c r="F93" i="30"/>
  <c r="G93" i="30"/>
  <c r="H93" i="30"/>
  <c r="I93" i="30"/>
  <c r="J93" i="30"/>
  <c r="K93" i="30"/>
  <c r="L93" i="30"/>
  <c r="M93" i="30"/>
  <c r="N93" i="30"/>
  <c r="O93" i="30"/>
  <c r="P93" i="30"/>
  <c r="Q93" i="30"/>
  <c r="R93" i="30"/>
  <c r="S93" i="30"/>
  <c r="T93" i="30"/>
  <c r="U93" i="30"/>
  <c r="V93" i="30"/>
  <c r="W93" i="30"/>
  <c r="X93" i="30"/>
  <c r="Y93" i="30"/>
  <c r="Z93" i="30"/>
  <c r="AA93" i="30"/>
  <c r="AB93" i="30"/>
  <c r="AC93" i="30"/>
  <c r="AD93" i="30"/>
  <c r="AE93" i="30"/>
  <c r="AF93" i="30"/>
  <c r="AG93" i="30"/>
  <c r="AH93" i="30"/>
  <c r="AI93" i="30"/>
  <c r="AJ93" i="30"/>
  <c r="AK93" i="30"/>
  <c r="AL93" i="30"/>
  <c r="AM93" i="30"/>
  <c r="AN93" i="30"/>
  <c r="AO93" i="30"/>
  <c r="AP93" i="30"/>
  <c r="AQ93" i="30"/>
  <c r="AR93" i="30"/>
  <c r="AS93" i="30"/>
  <c r="AT93" i="30"/>
  <c r="AU93" i="30"/>
  <c r="AV93" i="30"/>
  <c r="AW93" i="30"/>
  <c r="AX93" i="30"/>
  <c r="AY93" i="30"/>
  <c r="AZ93" i="30"/>
  <c r="BA93" i="30"/>
  <c r="BB93" i="30"/>
  <c r="BC93" i="30"/>
  <c r="BD93" i="30"/>
  <c r="BE93" i="30"/>
  <c r="BF93" i="30"/>
  <c r="BG93" i="30"/>
  <c r="BH93" i="30"/>
  <c r="BI93" i="30"/>
  <c r="BJ93" i="30"/>
  <c r="BK93" i="30"/>
  <c r="BL93" i="30"/>
  <c r="BM93" i="30"/>
  <c r="BN93" i="30"/>
  <c r="BO93" i="30"/>
  <c r="BP93" i="30"/>
  <c r="BQ93" i="30"/>
  <c r="BR93" i="30"/>
  <c r="BS93" i="30"/>
  <c r="BT93" i="30"/>
  <c r="BU93" i="30"/>
  <c r="BV93" i="30"/>
  <c r="BW93" i="30"/>
  <c r="BX93" i="30"/>
  <c r="BY93" i="30"/>
  <c r="BZ93" i="30"/>
  <c r="CA93" i="30"/>
  <c r="CB93" i="30"/>
  <c r="CC93" i="30"/>
  <c r="CD93" i="30"/>
  <c r="CE93" i="30"/>
  <c r="CF93" i="30"/>
  <c r="CG93" i="30"/>
  <c r="CH93" i="30"/>
  <c r="CI93" i="30"/>
  <c r="CJ93" i="30"/>
  <c r="CK93" i="30"/>
  <c r="CL93" i="30"/>
  <c r="CM93" i="30"/>
  <c r="CN93" i="30"/>
  <c r="CO93" i="30"/>
  <c r="CP93" i="30"/>
  <c r="CQ93" i="30"/>
  <c r="CR93" i="30"/>
  <c r="CS93" i="30"/>
  <c r="CT93" i="30"/>
  <c r="CU93" i="30"/>
  <c r="CV93" i="30"/>
  <c r="CW93" i="30"/>
  <c r="CX93" i="30"/>
  <c r="CY93" i="30"/>
  <c r="CZ93" i="30"/>
  <c r="DA93" i="30"/>
  <c r="DB93" i="30"/>
  <c r="DC93" i="30"/>
  <c r="DD93" i="30"/>
  <c r="DE93" i="30"/>
  <c r="DF93" i="30"/>
  <c r="DG93" i="30"/>
  <c r="DH93" i="30"/>
  <c r="DI93" i="30"/>
  <c r="DJ93" i="30"/>
  <c r="DK93" i="30"/>
  <c r="DL93" i="30"/>
  <c r="DM93" i="30"/>
  <c r="DN93" i="30"/>
  <c r="DO93" i="30"/>
  <c r="DP93" i="30"/>
  <c r="DQ93" i="30"/>
  <c r="DR93" i="30"/>
  <c r="DS93" i="30"/>
  <c r="DT93" i="30"/>
  <c r="DU93" i="30"/>
  <c r="DV93" i="30"/>
  <c r="DW93" i="30"/>
  <c r="DX93" i="30"/>
  <c r="DY93" i="30"/>
  <c r="DZ93" i="30"/>
  <c r="EA93" i="30"/>
  <c r="EB93" i="30"/>
  <c r="EC93" i="30"/>
  <c r="ED93" i="30"/>
  <c r="EE93" i="30"/>
  <c r="EF93" i="30"/>
  <c r="EG93" i="30"/>
  <c r="EH93" i="30"/>
  <c r="EI93" i="30"/>
  <c r="EJ93" i="30"/>
  <c r="EK93" i="30"/>
  <c r="EL93" i="30"/>
  <c r="EM93" i="30"/>
  <c r="EN93" i="30"/>
  <c r="EO93" i="30"/>
  <c r="EP93" i="30"/>
  <c r="EQ93" i="30"/>
  <c r="ER93" i="30"/>
  <c r="ES93" i="30"/>
  <c r="ET93" i="30"/>
  <c r="EU93" i="30"/>
  <c r="EV93" i="30"/>
  <c r="EW93" i="30"/>
  <c r="EX93" i="30"/>
  <c r="EY93" i="30"/>
  <c r="EZ93" i="30"/>
  <c r="FA93" i="30"/>
  <c r="FB93" i="30"/>
  <c r="FC93" i="30"/>
  <c r="FD93" i="30"/>
  <c r="FE93" i="30"/>
  <c r="FF93" i="30"/>
  <c r="FG93" i="30"/>
  <c r="FH93" i="30"/>
  <c r="FI93" i="30"/>
  <c r="FJ93" i="30"/>
  <c r="FK93" i="30"/>
  <c r="FL93" i="30"/>
  <c r="FM93" i="30"/>
  <c r="FN93" i="30"/>
  <c r="FO93" i="30"/>
  <c r="FP93" i="30"/>
  <c r="FQ93" i="30"/>
  <c r="FR93" i="30"/>
  <c r="FS93" i="30"/>
  <c r="FT93" i="30"/>
  <c r="FU93" i="30"/>
  <c r="FV93" i="30"/>
  <c r="FW93" i="30"/>
  <c r="FX93" i="30"/>
  <c r="FY93" i="30"/>
  <c r="FZ93" i="30"/>
  <c r="GA93" i="30"/>
  <c r="GB93" i="30"/>
  <c r="GC93" i="30"/>
  <c r="GD93" i="30"/>
  <c r="GE93" i="30"/>
  <c r="GF93" i="30"/>
  <c r="GG93" i="30"/>
  <c r="GH93" i="30"/>
  <c r="GI93" i="30"/>
  <c r="GJ93" i="30"/>
  <c r="GK93" i="30"/>
  <c r="GL93" i="30"/>
  <c r="GM93" i="30"/>
  <c r="GN93" i="30"/>
  <c r="GO93" i="30"/>
  <c r="GP93" i="30"/>
  <c r="GQ93" i="30"/>
  <c r="GR93" i="30"/>
  <c r="GS93" i="30"/>
  <c r="GT93" i="30"/>
  <c r="GU93" i="30"/>
  <c r="GV93" i="30"/>
  <c r="GW93" i="30"/>
  <c r="GX93" i="30"/>
  <c r="GY93" i="30"/>
  <c r="GZ93" i="30"/>
  <c r="HA93" i="30"/>
  <c r="HB93" i="30"/>
  <c r="HC93" i="30"/>
  <c r="HD93" i="30"/>
  <c r="HE93" i="30"/>
  <c r="HF93" i="30"/>
  <c r="HG93" i="30"/>
  <c r="HH93" i="30"/>
  <c r="HI93" i="30"/>
  <c r="HJ93" i="30"/>
  <c r="HK93" i="30"/>
  <c r="HL93" i="30"/>
  <c r="HM93" i="30"/>
  <c r="HN93" i="30"/>
  <c r="HO93" i="30"/>
  <c r="HP93" i="30"/>
  <c r="HQ93" i="30"/>
  <c r="HR93" i="30"/>
  <c r="HS93" i="30"/>
  <c r="HT93" i="30"/>
  <c r="HU93" i="30"/>
  <c r="HV93" i="30"/>
  <c r="HW93" i="30"/>
  <c r="HX93" i="30"/>
  <c r="HY93" i="30"/>
  <c r="HZ93" i="30"/>
  <c r="IA93" i="30"/>
  <c r="IB93" i="30"/>
  <c r="IC93" i="30"/>
  <c r="ID93" i="30"/>
  <c r="IE93" i="30"/>
  <c r="IF93" i="30"/>
  <c r="IG93" i="30"/>
  <c r="IH93" i="30"/>
  <c r="II93" i="30"/>
  <c r="IJ93" i="30"/>
  <c r="IK93" i="30"/>
  <c r="IL93" i="30"/>
  <c r="IM93" i="30"/>
  <c r="IN93" i="30"/>
  <c r="IO93" i="30"/>
  <c r="IP93" i="30"/>
  <c r="IQ93" i="30"/>
  <c r="IR93" i="30"/>
  <c r="IS93" i="30"/>
  <c r="IT93" i="30"/>
  <c r="IU93" i="30"/>
  <c r="IV93" i="30"/>
  <c r="A92" i="30"/>
  <c r="B92" i="30"/>
  <c r="C92" i="30"/>
  <c r="D92" i="30"/>
  <c r="E92" i="30"/>
  <c r="F92" i="30"/>
  <c r="G92" i="30"/>
  <c r="H92" i="30"/>
  <c r="I92" i="30"/>
  <c r="J92" i="30"/>
  <c r="K92" i="30"/>
  <c r="L92" i="30"/>
  <c r="M92" i="30"/>
  <c r="N92" i="30"/>
  <c r="O92" i="30"/>
  <c r="P92" i="30"/>
  <c r="Q92" i="30"/>
  <c r="R92" i="30"/>
  <c r="S92" i="30"/>
  <c r="T92" i="30"/>
  <c r="U92" i="30"/>
  <c r="V92" i="30"/>
  <c r="W92" i="30"/>
  <c r="X92" i="30"/>
  <c r="Y92" i="30"/>
  <c r="Z92" i="30"/>
  <c r="AA92" i="30"/>
  <c r="AB92" i="30"/>
  <c r="AC92" i="30"/>
  <c r="AD92" i="30"/>
  <c r="AE92" i="30"/>
  <c r="AF92" i="30"/>
  <c r="AG92" i="30"/>
  <c r="AH92" i="30"/>
  <c r="AI92" i="30"/>
  <c r="AJ92" i="30"/>
  <c r="AK92" i="30"/>
  <c r="AL92" i="30"/>
  <c r="AM92" i="30"/>
  <c r="AN92" i="30"/>
  <c r="AO92" i="30"/>
  <c r="AP92" i="30"/>
  <c r="AQ92" i="30"/>
  <c r="AR92" i="30"/>
  <c r="AS92" i="30"/>
  <c r="AT92" i="30"/>
  <c r="AU92" i="30"/>
  <c r="AV92" i="30"/>
  <c r="AW92" i="30"/>
  <c r="AX92" i="30"/>
  <c r="AY92" i="30"/>
  <c r="AZ92" i="30"/>
  <c r="BA92" i="30"/>
  <c r="BB92" i="30"/>
  <c r="BC92" i="30"/>
  <c r="BD92" i="30"/>
  <c r="BE92" i="30"/>
  <c r="BF92" i="30"/>
  <c r="BG92" i="30"/>
  <c r="BH92" i="30"/>
  <c r="BI92" i="30"/>
  <c r="BJ92" i="30"/>
  <c r="BK92" i="30"/>
  <c r="BL92" i="30"/>
  <c r="BM92" i="30"/>
  <c r="BN92" i="30"/>
  <c r="BO92" i="30"/>
  <c r="BP92" i="30"/>
  <c r="BQ92" i="30"/>
  <c r="BR92" i="30"/>
  <c r="BS92" i="30"/>
  <c r="BT92" i="30"/>
  <c r="BU92" i="30"/>
  <c r="BV92" i="30"/>
  <c r="BW92" i="30"/>
  <c r="BX92" i="30"/>
  <c r="BY92" i="30"/>
  <c r="BZ92" i="30"/>
  <c r="CA92" i="30"/>
  <c r="CB92" i="30"/>
  <c r="CC92" i="30"/>
  <c r="CD92" i="30"/>
  <c r="CE92" i="30"/>
  <c r="CF92" i="30"/>
  <c r="CG92" i="30"/>
  <c r="CH92" i="30"/>
  <c r="CI92" i="30"/>
  <c r="CJ92" i="30"/>
  <c r="CK92" i="30"/>
  <c r="CL92" i="30"/>
  <c r="CM92" i="30"/>
  <c r="CN92" i="30"/>
  <c r="CO92" i="30"/>
  <c r="CP92" i="30"/>
  <c r="CQ92" i="30"/>
  <c r="CR92" i="30"/>
  <c r="CS92" i="30"/>
  <c r="CT92" i="30"/>
  <c r="CU92" i="30"/>
  <c r="CV92" i="30"/>
  <c r="CW92" i="30"/>
  <c r="CX92" i="30"/>
  <c r="CY92" i="30"/>
  <c r="CZ92" i="30"/>
  <c r="DA92" i="30"/>
  <c r="DB92" i="30"/>
  <c r="DC92" i="30"/>
  <c r="DD92" i="30"/>
  <c r="DE92" i="30"/>
  <c r="DF92" i="30"/>
  <c r="DG92" i="30"/>
  <c r="DH92" i="30"/>
  <c r="DI92" i="30"/>
  <c r="DJ92" i="30"/>
  <c r="DK92" i="30"/>
  <c r="DL92" i="30"/>
  <c r="DM92" i="30"/>
  <c r="DN92" i="30"/>
  <c r="DO92" i="30"/>
  <c r="DP92" i="30"/>
  <c r="DQ92" i="30"/>
  <c r="DR92" i="30"/>
  <c r="DS92" i="30"/>
  <c r="DT92" i="30"/>
  <c r="DU92" i="30"/>
  <c r="DV92" i="30"/>
  <c r="DW92" i="30"/>
  <c r="DX92" i="30"/>
  <c r="DY92" i="30"/>
  <c r="DZ92" i="30"/>
  <c r="EA92" i="30"/>
  <c r="EB92" i="30"/>
  <c r="EC92" i="30"/>
  <c r="ED92" i="30"/>
  <c r="EE92" i="30"/>
  <c r="EF92" i="30"/>
  <c r="EG92" i="30"/>
  <c r="EH92" i="30"/>
  <c r="EI92" i="30"/>
  <c r="EJ92" i="30"/>
  <c r="EK92" i="30"/>
  <c r="EL92" i="30"/>
  <c r="EM92" i="30"/>
  <c r="EN92" i="30"/>
  <c r="EO92" i="30"/>
  <c r="EP92" i="30"/>
  <c r="EQ92" i="30"/>
  <c r="ER92" i="30"/>
  <c r="ES92" i="30"/>
  <c r="ET92" i="30"/>
  <c r="EU92" i="30"/>
  <c r="EV92" i="30"/>
  <c r="EW92" i="30"/>
  <c r="EX92" i="30"/>
  <c r="EY92" i="30"/>
  <c r="EZ92" i="30"/>
  <c r="FA92" i="30"/>
  <c r="FB92" i="30"/>
  <c r="FC92" i="30"/>
  <c r="FD92" i="30"/>
  <c r="FE92" i="30"/>
  <c r="FF92" i="30"/>
  <c r="FG92" i="30"/>
  <c r="FH92" i="30"/>
  <c r="FI92" i="30"/>
  <c r="FJ92" i="30"/>
  <c r="FK92" i="30"/>
  <c r="FL92" i="30"/>
  <c r="FM92" i="30"/>
  <c r="FN92" i="30"/>
  <c r="FO92" i="30"/>
  <c r="FP92" i="30"/>
  <c r="FQ92" i="30"/>
  <c r="FR92" i="30"/>
  <c r="FS92" i="30"/>
  <c r="FT92" i="30"/>
  <c r="FU92" i="30"/>
  <c r="FV92" i="30"/>
  <c r="FW92" i="30"/>
  <c r="FX92" i="30"/>
  <c r="FY92" i="30"/>
  <c r="FZ92" i="30"/>
  <c r="GA92" i="30"/>
  <c r="GB92" i="30"/>
  <c r="GC92" i="30"/>
  <c r="GD92" i="30"/>
  <c r="GE92" i="30"/>
  <c r="GF92" i="30"/>
  <c r="GG92" i="30"/>
  <c r="GH92" i="30"/>
  <c r="GI92" i="30"/>
  <c r="GJ92" i="30"/>
  <c r="GK92" i="30"/>
  <c r="GL92" i="30"/>
  <c r="GM92" i="30"/>
  <c r="GN92" i="30"/>
  <c r="GO92" i="30"/>
  <c r="GP92" i="30"/>
  <c r="GQ92" i="30"/>
  <c r="GR92" i="30"/>
  <c r="GS92" i="30"/>
  <c r="GT92" i="30"/>
  <c r="GU92" i="30"/>
  <c r="GV92" i="30"/>
  <c r="GW92" i="30"/>
  <c r="GX92" i="30"/>
  <c r="GY92" i="30"/>
  <c r="GZ92" i="30"/>
  <c r="HA92" i="30"/>
  <c r="HB92" i="30"/>
  <c r="HC92" i="30"/>
  <c r="HD92" i="30"/>
  <c r="HE92" i="30"/>
  <c r="HF92" i="30"/>
  <c r="HG92" i="30"/>
  <c r="HH92" i="30"/>
  <c r="HI92" i="30"/>
  <c r="HJ92" i="30"/>
  <c r="HK92" i="30"/>
  <c r="HL92" i="30"/>
  <c r="HM92" i="30"/>
  <c r="HN92" i="30"/>
  <c r="HO92" i="30"/>
  <c r="HP92" i="30"/>
  <c r="HQ92" i="30"/>
  <c r="HR92" i="30"/>
  <c r="HS92" i="30"/>
  <c r="HT92" i="30"/>
  <c r="HU92" i="30"/>
  <c r="HV92" i="30"/>
  <c r="HW92" i="30"/>
  <c r="HX92" i="30"/>
  <c r="HY92" i="30"/>
  <c r="HZ92" i="30"/>
  <c r="IA92" i="30"/>
  <c r="IB92" i="30"/>
  <c r="IC92" i="30"/>
  <c r="ID92" i="30"/>
  <c r="IE92" i="30"/>
  <c r="IF92" i="30"/>
  <c r="IG92" i="30"/>
  <c r="IH92" i="30"/>
  <c r="II92" i="30"/>
  <c r="IJ92" i="30"/>
  <c r="IK92" i="30"/>
  <c r="IL92" i="30"/>
  <c r="IM92" i="30"/>
  <c r="IN92" i="30"/>
  <c r="IO92" i="30"/>
  <c r="IP92" i="30"/>
  <c r="IQ92" i="30"/>
  <c r="IR92" i="30"/>
  <c r="IS92" i="30"/>
  <c r="IT92" i="30"/>
  <c r="IU92" i="30"/>
  <c r="IV92" i="30"/>
  <c r="A91" i="30"/>
  <c r="B91" i="30"/>
  <c r="C91" i="30"/>
  <c r="D91" i="30"/>
  <c r="E91" i="30"/>
  <c r="F91" i="30"/>
  <c r="G91" i="30"/>
  <c r="H91" i="30"/>
  <c r="I91" i="30"/>
  <c r="J91" i="30"/>
  <c r="K91" i="30"/>
  <c r="L91" i="30"/>
  <c r="M91" i="30"/>
  <c r="N91" i="30"/>
  <c r="O91" i="30"/>
  <c r="P91" i="30"/>
  <c r="Q91" i="30"/>
  <c r="R91" i="30"/>
  <c r="S91" i="30"/>
  <c r="T91" i="30"/>
  <c r="U91" i="30"/>
  <c r="V91" i="30"/>
  <c r="W91" i="30"/>
  <c r="X91" i="30"/>
  <c r="Y91" i="30"/>
  <c r="Z91" i="30"/>
  <c r="AA91" i="30"/>
  <c r="AB91" i="30"/>
  <c r="AC91" i="30"/>
  <c r="AD91" i="30"/>
  <c r="AE91" i="30"/>
  <c r="AF91" i="30"/>
  <c r="AG91" i="30"/>
  <c r="AH91" i="30"/>
  <c r="AI91" i="30"/>
  <c r="AJ91" i="30"/>
  <c r="AK91" i="30"/>
  <c r="AL91" i="30"/>
  <c r="AM91" i="30"/>
  <c r="AN91" i="30"/>
  <c r="AO91" i="30"/>
  <c r="AP91" i="30"/>
  <c r="AQ91" i="30"/>
  <c r="AR91" i="30"/>
  <c r="AS91" i="30"/>
  <c r="AT91" i="30"/>
  <c r="AU91" i="30"/>
  <c r="AV91" i="30"/>
  <c r="AW91" i="30"/>
  <c r="AX91" i="30"/>
  <c r="AY91" i="30"/>
  <c r="AZ91" i="30"/>
  <c r="BA91" i="30"/>
  <c r="BB91" i="30"/>
  <c r="BC91" i="30"/>
  <c r="BD91" i="30"/>
  <c r="BE91" i="30"/>
  <c r="BF91" i="30"/>
  <c r="BG91" i="30"/>
  <c r="BH91" i="30"/>
  <c r="BI91" i="30"/>
  <c r="BJ91" i="30"/>
  <c r="BK91" i="30"/>
  <c r="BL91" i="30"/>
  <c r="BM91" i="30"/>
  <c r="BN91" i="30"/>
  <c r="BO91" i="30"/>
  <c r="BP91" i="30"/>
  <c r="BQ91" i="30"/>
  <c r="BR91" i="30"/>
  <c r="BS91" i="30"/>
  <c r="BT91" i="30"/>
  <c r="BU91" i="30"/>
  <c r="BV91" i="30"/>
  <c r="BW91" i="30"/>
  <c r="BX91" i="30"/>
  <c r="BY91" i="30"/>
  <c r="BZ91" i="30"/>
  <c r="CA91" i="30"/>
  <c r="CB91" i="30"/>
  <c r="CC91" i="30"/>
  <c r="CD91" i="30"/>
  <c r="CE91" i="30"/>
  <c r="CF91" i="30"/>
  <c r="CG91" i="30"/>
  <c r="CH91" i="30"/>
  <c r="CI91" i="30"/>
  <c r="CJ91" i="30"/>
  <c r="CK91" i="30"/>
  <c r="CL91" i="30"/>
  <c r="CM91" i="30"/>
  <c r="CN91" i="30"/>
  <c r="CO91" i="30"/>
  <c r="CP91" i="30"/>
  <c r="CQ91" i="30"/>
  <c r="CR91" i="30"/>
  <c r="CS91" i="30"/>
  <c r="CT91" i="30"/>
  <c r="CU91" i="30"/>
  <c r="CV91" i="30"/>
  <c r="CW91" i="30"/>
  <c r="CX91" i="30"/>
  <c r="CY91" i="30"/>
  <c r="CZ91" i="30"/>
  <c r="DA91" i="30"/>
  <c r="DB91" i="30"/>
  <c r="DC91" i="30"/>
  <c r="DD91" i="30"/>
  <c r="DE91" i="30"/>
  <c r="DF91" i="30"/>
  <c r="DG91" i="30"/>
  <c r="DH91" i="30"/>
  <c r="DI91" i="30"/>
  <c r="DJ91" i="30"/>
  <c r="DK91" i="30"/>
  <c r="DL91" i="30"/>
  <c r="DM91" i="30"/>
  <c r="DN91" i="30"/>
  <c r="DO91" i="30"/>
  <c r="DP91" i="30"/>
  <c r="DQ91" i="30"/>
  <c r="DR91" i="30"/>
  <c r="DS91" i="30"/>
  <c r="DT91" i="30"/>
  <c r="DU91" i="30"/>
  <c r="DV91" i="30"/>
  <c r="DW91" i="30"/>
  <c r="DX91" i="30"/>
  <c r="DY91" i="30"/>
  <c r="DZ91" i="30"/>
  <c r="EA91" i="30"/>
  <c r="EB91" i="30"/>
  <c r="EC91" i="30"/>
  <c r="ED91" i="30"/>
  <c r="EE91" i="30"/>
  <c r="EF91" i="30"/>
  <c r="EG91" i="30"/>
  <c r="EH91" i="30"/>
  <c r="EI91" i="30"/>
  <c r="EJ91" i="30"/>
  <c r="EK91" i="30"/>
  <c r="EL91" i="30"/>
  <c r="EM91" i="30"/>
  <c r="EN91" i="30"/>
  <c r="EO91" i="30"/>
  <c r="EP91" i="30"/>
  <c r="EQ91" i="30"/>
  <c r="ER91" i="30"/>
  <c r="ES91" i="30"/>
  <c r="ET91" i="30"/>
  <c r="EU91" i="30"/>
  <c r="EV91" i="30"/>
  <c r="EW91" i="30"/>
  <c r="EX91" i="30"/>
  <c r="EY91" i="30"/>
  <c r="EZ91" i="30"/>
  <c r="FA91" i="30"/>
  <c r="FB91" i="30"/>
  <c r="FC91" i="30"/>
  <c r="FD91" i="30"/>
  <c r="FE91" i="30"/>
  <c r="FF91" i="30"/>
  <c r="FG91" i="30"/>
  <c r="FH91" i="30"/>
  <c r="FI91" i="30"/>
  <c r="FJ91" i="30"/>
  <c r="FK91" i="30"/>
  <c r="FL91" i="30"/>
  <c r="FM91" i="30"/>
  <c r="FN91" i="30"/>
  <c r="FO91" i="30"/>
  <c r="FP91" i="30"/>
  <c r="FQ91" i="30"/>
  <c r="FR91" i="30"/>
  <c r="FS91" i="30"/>
  <c r="FT91" i="30"/>
  <c r="FU91" i="30"/>
  <c r="FV91" i="30"/>
  <c r="FW91" i="30"/>
  <c r="FX91" i="30"/>
  <c r="FY91" i="30"/>
  <c r="FZ91" i="30"/>
  <c r="GA91" i="30"/>
  <c r="GB91" i="30"/>
  <c r="GC91" i="30"/>
  <c r="GD91" i="30"/>
  <c r="GE91" i="30"/>
  <c r="GF91" i="30"/>
  <c r="GG91" i="30"/>
  <c r="GH91" i="30"/>
  <c r="GI91" i="30"/>
  <c r="GJ91" i="30"/>
  <c r="GK91" i="30"/>
  <c r="GL91" i="30"/>
  <c r="GM91" i="30"/>
  <c r="GN91" i="30"/>
  <c r="GO91" i="30"/>
  <c r="GP91" i="30"/>
  <c r="GQ91" i="30"/>
  <c r="GR91" i="30"/>
  <c r="GS91" i="30"/>
  <c r="GT91" i="30"/>
  <c r="GU91" i="30"/>
  <c r="GV91" i="30"/>
  <c r="GW91" i="30"/>
  <c r="GX91" i="30"/>
  <c r="GY91" i="30"/>
  <c r="GZ91" i="30"/>
  <c r="HA91" i="30"/>
  <c r="HB91" i="30"/>
  <c r="HC91" i="30"/>
  <c r="HD91" i="30"/>
  <c r="HE91" i="30"/>
  <c r="HF91" i="30"/>
  <c r="HG91" i="30"/>
  <c r="HH91" i="30"/>
  <c r="HI91" i="30"/>
  <c r="HJ91" i="30"/>
  <c r="HK91" i="30"/>
  <c r="HL91" i="30"/>
  <c r="HM91" i="30"/>
  <c r="HN91" i="30"/>
  <c r="HO91" i="30"/>
  <c r="HP91" i="30"/>
  <c r="HQ91" i="30"/>
  <c r="HR91" i="30"/>
  <c r="HS91" i="30"/>
  <c r="HT91" i="30"/>
  <c r="HU91" i="30"/>
  <c r="HV91" i="30"/>
  <c r="HW91" i="30"/>
  <c r="HX91" i="30"/>
  <c r="HY91" i="30"/>
  <c r="HZ91" i="30"/>
  <c r="IA91" i="30"/>
  <c r="IB91" i="30"/>
  <c r="IC91" i="30"/>
  <c r="ID91" i="30"/>
  <c r="IE91" i="30"/>
  <c r="IF91" i="30"/>
  <c r="IG91" i="30"/>
  <c r="IH91" i="30"/>
  <c r="II91" i="30"/>
  <c r="IJ91" i="30"/>
  <c r="IK91" i="30"/>
  <c r="IL91" i="30"/>
  <c r="IM91" i="30"/>
  <c r="IN91" i="30"/>
  <c r="IO91" i="30"/>
  <c r="IP91" i="30"/>
  <c r="IQ91" i="30"/>
  <c r="IR91" i="30"/>
  <c r="IS91" i="30"/>
  <c r="IT91" i="30"/>
  <c r="IU91" i="30"/>
  <c r="IV91" i="30"/>
  <c r="A90" i="30"/>
  <c r="B90" i="30"/>
  <c r="C90" i="30"/>
  <c r="D90" i="30"/>
  <c r="E90" i="30"/>
  <c r="F90" i="30"/>
  <c r="G90" i="30"/>
  <c r="H90" i="30"/>
  <c r="I90" i="30"/>
  <c r="J90" i="30"/>
  <c r="K90" i="30"/>
  <c r="L90" i="30"/>
  <c r="M90" i="30"/>
  <c r="N90" i="30"/>
  <c r="O90" i="30"/>
  <c r="P90" i="30"/>
  <c r="Q90" i="30"/>
  <c r="R90" i="30"/>
  <c r="S90" i="30"/>
  <c r="T90" i="30"/>
  <c r="U90" i="30"/>
  <c r="V90" i="30"/>
  <c r="W90" i="30"/>
  <c r="X90" i="30"/>
  <c r="Y90" i="30"/>
  <c r="Z90" i="30"/>
  <c r="AA90" i="30"/>
  <c r="AB90" i="30"/>
  <c r="AC90" i="30"/>
  <c r="AD90" i="30"/>
  <c r="AE90" i="30"/>
  <c r="AF90" i="30"/>
  <c r="AG90" i="30"/>
  <c r="AH90" i="30"/>
  <c r="AI90" i="30"/>
  <c r="AJ90" i="30"/>
  <c r="AK90" i="30"/>
  <c r="AL90" i="30"/>
  <c r="AM90" i="30"/>
  <c r="AN90" i="30"/>
  <c r="AO90" i="30"/>
  <c r="AP90" i="30"/>
  <c r="AQ90" i="30"/>
  <c r="AR90" i="30"/>
  <c r="AS90" i="30"/>
  <c r="AT90" i="30"/>
  <c r="AU90" i="30"/>
  <c r="AV90" i="30"/>
  <c r="AW90" i="30"/>
  <c r="AX90" i="30"/>
  <c r="AY90" i="30"/>
  <c r="AZ90" i="30"/>
  <c r="BA90" i="30"/>
  <c r="BB90" i="30"/>
  <c r="BC90" i="30"/>
  <c r="BD90" i="30"/>
  <c r="BE90" i="30"/>
  <c r="BF90" i="30"/>
  <c r="BG90" i="30"/>
  <c r="BH90" i="30"/>
  <c r="BI90" i="30"/>
  <c r="BJ90" i="30"/>
  <c r="BK90" i="30"/>
  <c r="BL90" i="30"/>
  <c r="BM90" i="30"/>
  <c r="BN90" i="30"/>
  <c r="BO90" i="30"/>
  <c r="BP90" i="30"/>
  <c r="BQ90" i="30"/>
  <c r="BR90" i="30"/>
  <c r="BS90" i="30"/>
  <c r="BT90" i="30"/>
  <c r="BU90" i="30"/>
  <c r="BV90" i="30"/>
  <c r="BW90" i="30"/>
  <c r="BX90" i="30"/>
  <c r="BY90" i="30"/>
  <c r="BZ90" i="30"/>
  <c r="CA90" i="30"/>
  <c r="CB90" i="30"/>
  <c r="CC90" i="30"/>
  <c r="CD90" i="30"/>
  <c r="CE90" i="30"/>
  <c r="CF90" i="30"/>
  <c r="CG90" i="30"/>
  <c r="CH90" i="30"/>
  <c r="CI90" i="30"/>
  <c r="CJ90" i="30"/>
  <c r="CK90" i="30"/>
  <c r="CL90" i="30"/>
  <c r="CM90" i="30"/>
  <c r="CN90" i="30"/>
  <c r="CO90" i="30"/>
  <c r="CP90" i="30"/>
  <c r="CQ90" i="30"/>
  <c r="CR90" i="30"/>
  <c r="CS90" i="30"/>
  <c r="CT90" i="30"/>
  <c r="CU90" i="30"/>
  <c r="CV90" i="30"/>
  <c r="CW90" i="30"/>
  <c r="CX90" i="30"/>
  <c r="CY90" i="30"/>
  <c r="CZ90" i="30"/>
  <c r="DA90" i="30"/>
  <c r="DB90" i="30"/>
  <c r="DC90" i="30"/>
  <c r="DD90" i="30"/>
  <c r="DE90" i="30"/>
  <c r="DF90" i="30"/>
  <c r="DG90" i="30"/>
  <c r="DH90" i="30"/>
  <c r="DI90" i="30"/>
  <c r="DJ90" i="30"/>
  <c r="DK90" i="30"/>
  <c r="DL90" i="30"/>
  <c r="DM90" i="30"/>
  <c r="DN90" i="30"/>
  <c r="DO90" i="30"/>
  <c r="DP90" i="30"/>
  <c r="DQ90" i="30"/>
  <c r="DR90" i="30"/>
  <c r="DS90" i="30"/>
  <c r="DT90" i="30"/>
  <c r="DU90" i="30"/>
  <c r="DV90" i="30"/>
  <c r="DW90" i="30"/>
  <c r="DX90" i="30"/>
  <c r="DY90" i="30"/>
  <c r="DZ90" i="30"/>
  <c r="EA90" i="30"/>
  <c r="EB90" i="30"/>
  <c r="EC90" i="30"/>
  <c r="ED90" i="30"/>
  <c r="EE90" i="30"/>
  <c r="EF90" i="30"/>
  <c r="EG90" i="30"/>
  <c r="EH90" i="30"/>
  <c r="EI90" i="30"/>
  <c r="EJ90" i="30"/>
  <c r="EK90" i="30"/>
  <c r="EL90" i="30"/>
  <c r="EM90" i="30"/>
  <c r="EN90" i="30"/>
  <c r="EO90" i="30"/>
  <c r="EP90" i="30"/>
  <c r="EQ90" i="30"/>
  <c r="ER90" i="30"/>
  <c r="ES90" i="30"/>
  <c r="ET90" i="30"/>
  <c r="EU90" i="30"/>
  <c r="EV90" i="30"/>
  <c r="EW90" i="30"/>
  <c r="EX90" i="30"/>
  <c r="EY90" i="30"/>
  <c r="EZ90" i="30"/>
  <c r="FA90" i="30"/>
  <c r="FB90" i="30"/>
  <c r="FC90" i="30"/>
  <c r="FD90" i="30"/>
  <c r="FE90" i="30"/>
  <c r="FF90" i="30"/>
  <c r="FG90" i="30"/>
  <c r="FH90" i="30"/>
  <c r="FI90" i="30"/>
  <c r="FJ90" i="30"/>
  <c r="FK90" i="30"/>
  <c r="FL90" i="30"/>
  <c r="FM90" i="30"/>
  <c r="FN90" i="30"/>
  <c r="FO90" i="30"/>
  <c r="FP90" i="30"/>
  <c r="FQ90" i="30"/>
  <c r="FR90" i="30"/>
  <c r="FS90" i="30"/>
  <c r="FT90" i="30"/>
  <c r="FU90" i="30"/>
  <c r="FV90" i="30"/>
  <c r="FW90" i="30"/>
  <c r="FX90" i="30"/>
  <c r="FY90" i="30"/>
  <c r="FZ90" i="30"/>
  <c r="GA90" i="30"/>
  <c r="GB90" i="30"/>
  <c r="GC90" i="30"/>
  <c r="GD90" i="30"/>
  <c r="GE90" i="30"/>
  <c r="GF90" i="30"/>
  <c r="GG90" i="30"/>
  <c r="GH90" i="30"/>
  <c r="GI90" i="30"/>
  <c r="GJ90" i="30"/>
  <c r="GK90" i="30"/>
  <c r="GL90" i="30"/>
  <c r="GM90" i="30"/>
  <c r="GN90" i="30"/>
  <c r="GO90" i="30"/>
  <c r="GP90" i="30"/>
  <c r="GQ90" i="30"/>
  <c r="GR90" i="30"/>
  <c r="GS90" i="30"/>
  <c r="GT90" i="30"/>
  <c r="GU90" i="30"/>
  <c r="GV90" i="30"/>
  <c r="GW90" i="30"/>
  <c r="GX90" i="30"/>
  <c r="GY90" i="30"/>
  <c r="GZ90" i="30"/>
  <c r="HA90" i="30"/>
  <c r="HB90" i="30"/>
  <c r="HC90" i="30"/>
  <c r="HD90" i="30"/>
  <c r="HE90" i="30"/>
  <c r="HF90" i="30"/>
  <c r="HG90" i="30"/>
  <c r="HH90" i="30"/>
  <c r="HI90" i="30"/>
  <c r="HJ90" i="30"/>
  <c r="HK90" i="30"/>
  <c r="HL90" i="30"/>
  <c r="HM90" i="30"/>
  <c r="HN90" i="30"/>
  <c r="HO90" i="30"/>
  <c r="HP90" i="30"/>
  <c r="HQ90" i="30"/>
  <c r="HR90" i="30"/>
  <c r="HS90" i="30"/>
  <c r="HT90" i="30"/>
  <c r="HU90" i="30"/>
  <c r="HV90" i="30"/>
  <c r="HW90" i="30"/>
  <c r="HX90" i="30"/>
  <c r="HY90" i="30"/>
  <c r="HZ90" i="30"/>
  <c r="IA90" i="30"/>
  <c r="IB90" i="30"/>
  <c r="IC90" i="30"/>
  <c r="ID90" i="30"/>
  <c r="IE90" i="30"/>
  <c r="IF90" i="30"/>
  <c r="IG90" i="30"/>
  <c r="IH90" i="30"/>
  <c r="II90" i="30"/>
  <c r="IJ90" i="30"/>
  <c r="IK90" i="30"/>
  <c r="IL90" i="30"/>
  <c r="IM90" i="30"/>
  <c r="IN90" i="30"/>
  <c r="IO90" i="30"/>
  <c r="IP90" i="30"/>
  <c r="IQ90" i="30"/>
  <c r="IR90" i="30"/>
  <c r="IS90" i="30"/>
  <c r="IT90" i="30"/>
  <c r="IU90" i="30"/>
  <c r="IV90" i="30"/>
  <c r="A89" i="30"/>
  <c r="B89" i="30"/>
  <c r="C89" i="30"/>
  <c r="D89" i="30"/>
  <c r="E89" i="30"/>
  <c r="F89" i="30"/>
  <c r="G89" i="30"/>
  <c r="H89" i="30"/>
  <c r="I89" i="30"/>
  <c r="J89" i="30"/>
  <c r="K89" i="30"/>
  <c r="L89" i="30"/>
  <c r="M89" i="30"/>
  <c r="N89" i="30"/>
  <c r="O89" i="30"/>
  <c r="P89" i="30"/>
  <c r="Q89" i="30"/>
  <c r="R89" i="30"/>
  <c r="S89" i="30"/>
  <c r="T89" i="30"/>
  <c r="U89" i="30"/>
  <c r="V89" i="30"/>
  <c r="W89" i="30"/>
  <c r="X89" i="30"/>
  <c r="Y89" i="30"/>
  <c r="Z89" i="30"/>
  <c r="AA89" i="30"/>
  <c r="AB89" i="30"/>
  <c r="AC89" i="30"/>
  <c r="AD89" i="30"/>
  <c r="AE89" i="30"/>
  <c r="AF89" i="30"/>
  <c r="AG89" i="30"/>
  <c r="AH89" i="30"/>
  <c r="AI89" i="30"/>
  <c r="AJ89" i="30"/>
  <c r="AK89" i="30"/>
  <c r="AL89" i="30"/>
  <c r="AM89" i="30"/>
  <c r="AN89" i="30"/>
  <c r="AO89" i="30"/>
  <c r="AP89" i="30"/>
  <c r="AQ89" i="30"/>
  <c r="AR89" i="30"/>
  <c r="AS89" i="30"/>
  <c r="AT89" i="30"/>
  <c r="AU89" i="30"/>
  <c r="AV89" i="30"/>
  <c r="AW89" i="30"/>
  <c r="AX89" i="30"/>
  <c r="AY89" i="30"/>
  <c r="AZ89" i="30"/>
  <c r="BA89" i="30"/>
  <c r="BB89" i="30"/>
  <c r="BC89" i="30"/>
  <c r="BD89" i="30"/>
  <c r="BE89" i="30"/>
  <c r="BF89" i="30"/>
  <c r="BG89" i="30"/>
  <c r="BH89" i="30"/>
  <c r="BI89" i="30"/>
  <c r="BJ89" i="30"/>
  <c r="BK89" i="30"/>
  <c r="BL89" i="30"/>
  <c r="BM89" i="30"/>
  <c r="BN89" i="30"/>
  <c r="BO89" i="30"/>
  <c r="BP89" i="30"/>
  <c r="BQ89" i="30"/>
  <c r="BR89" i="30"/>
  <c r="BS89" i="30"/>
  <c r="BT89" i="30"/>
  <c r="BU89" i="30"/>
  <c r="BV89" i="30"/>
  <c r="BW89" i="30"/>
  <c r="BX89" i="30"/>
  <c r="BY89" i="30"/>
  <c r="BZ89" i="30"/>
  <c r="CA89" i="30"/>
  <c r="CB89" i="30"/>
  <c r="CC89" i="30"/>
  <c r="CD89" i="30"/>
  <c r="CE89" i="30"/>
  <c r="CF89" i="30"/>
  <c r="CG89" i="30"/>
  <c r="CH89" i="30"/>
  <c r="CI89" i="30"/>
  <c r="CJ89" i="30"/>
  <c r="CK89" i="30"/>
  <c r="CL89" i="30"/>
  <c r="CM89" i="30"/>
  <c r="CN89" i="30"/>
  <c r="CO89" i="30"/>
  <c r="CP89" i="30"/>
  <c r="CQ89" i="30"/>
  <c r="CR89" i="30"/>
  <c r="CS89" i="30"/>
  <c r="CT89" i="30"/>
  <c r="CU89" i="30"/>
  <c r="CV89" i="30"/>
  <c r="CW89" i="30"/>
  <c r="CX89" i="30"/>
  <c r="CY89" i="30"/>
  <c r="CZ89" i="30"/>
  <c r="DA89" i="30"/>
  <c r="DB89" i="30"/>
  <c r="DC89" i="30"/>
  <c r="DD89" i="30"/>
  <c r="DE89" i="30"/>
  <c r="DF89" i="30"/>
  <c r="DG89" i="30"/>
  <c r="DH89" i="30"/>
  <c r="DI89" i="30"/>
  <c r="DJ89" i="30"/>
  <c r="DK89" i="30"/>
  <c r="DL89" i="30"/>
  <c r="DM89" i="30"/>
  <c r="DN89" i="30"/>
  <c r="DO89" i="30"/>
  <c r="DP89" i="30"/>
  <c r="DQ89" i="30"/>
  <c r="DR89" i="30"/>
  <c r="DS89" i="30"/>
  <c r="DT89" i="30"/>
  <c r="DU89" i="30"/>
  <c r="DV89" i="30"/>
  <c r="DW89" i="30"/>
  <c r="DX89" i="30"/>
  <c r="DY89" i="30"/>
  <c r="DZ89" i="30"/>
  <c r="EA89" i="30"/>
  <c r="EB89" i="30"/>
  <c r="EC89" i="30"/>
  <c r="ED89" i="30"/>
  <c r="EE89" i="30"/>
  <c r="EF89" i="30"/>
  <c r="EG89" i="30"/>
  <c r="EH89" i="30"/>
  <c r="EI89" i="30"/>
  <c r="EJ89" i="30"/>
  <c r="EK89" i="30"/>
  <c r="EL89" i="30"/>
  <c r="EM89" i="30"/>
  <c r="EN89" i="30"/>
  <c r="EO89" i="30"/>
  <c r="EP89" i="30"/>
  <c r="EQ89" i="30"/>
  <c r="ER89" i="30"/>
  <c r="ES89" i="30"/>
  <c r="ET89" i="30"/>
  <c r="EU89" i="30"/>
  <c r="EV89" i="30"/>
  <c r="EW89" i="30"/>
  <c r="EX89" i="30"/>
  <c r="EY89" i="30"/>
  <c r="EZ89" i="30"/>
  <c r="FA89" i="30"/>
  <c r="FB89" i="30"/>
  <c r="FC89" i="30"/>
  <c r="FD89" i="30"/>
  <c r="FE89" i="30"/>
  <c r="FF89" i="30"/>
  <c r="FG89" i="30"/>
  <c r="FH89" i="30"/>
  <c r="FI89" i="30"/>
  <c r="FJ89" i="30"/>
  <c r="FK89" i="30"/>
  <c r="FL89" i="30"/>
  <c r="FM89" i="30"/>
  <c r="FN89" i="30"/>
  <c r="FO89" i="30"/>
  <c r="FP89" i="30"/>
  <c r="FQ89" i="30"/>
  <c r="FR89" i="30"/>
  <c r="FS89" i="30"/>
  <c r="FT89" i="30"/>
  <c r="FU89" i="30"/>
  <c r="FV89" i="30"/>
  <c r="FW89" i="30"/>
  <c r="FX89" i="30"/>
  <c r="FY89" i="30"/>
  <c r="FZ89" i="30"/>
  <c r="GA89" i="30"/>
  <c r="GB89" i="30"/>
  <c r="GC89" i="30"/>
  <c r="GD89" i="30"/>
  <c r="GE89" i="30"/>
  <c r="GF89" i="30"/>
  <c r="GG89" i="30"/>
  <c r="GH89" i="30"/>
  <c r="GI89" i="30"/>
  <c r="GJ89" i="30"/>
  <c r="GK89" i="30"/>
  <c r="GL89" i="30"/>
  <c r="GM89" i="30"/>
  <c r="GN89" i="30"/>
  <c r="GO89" i="30"/>
  <c r="GP89" i="30"/>
  <c r="GQ89" i="30"/>
  <c r="GR89" i="30"/>
  <c r="GS89" i="30"/>
  <c r="GT89" i="30"/>
  <c r="GU89" i="30"/>
  <c r="GV89" i="30"/>
  <c r="GW89" i="30"/>
  <c r="GX89" i="30"/>
  <c r="GY89" i="30"/>
  <c r="GZ89" i="30"/>
  <c r="HA89" i="30"/>
  <c r="HB89" i="30"/>
  <c r="HC89" i="30"/>
  <c r="HD89" i="30"/>
  <c r="HE89" i="30"/>
  <c r="HF89" i="30"/>
  <c r="HG89" i="30"/>
  <c r="HH89" i="30"/>
  <c r="HI89" i="30"/>
  <c r="HJ89" i="30"/>
  <c r="HK89" i="30"/>
  <c r="HL89" i="30"/>
  <c r="HM89" i="30"/>
  <c r="HN89" i="30"/>
  <c r="HO89" i="30"/>
  <c r="HP89" i="30"/>
  <c r="HQ89" i="30"/>
  <c r="HR89" i="30"/>
  <c r="HS89" i="30"/>
  <c r="HT89" i="30"/>
  <c r="HU89" i="30"/>
  <c r="HV89" i="30"/>
  <c r="HW89" i="30"/>
  <c r="HX89" i="30"/>
  <c r="HY89" i="30"/>
  <c r="HZ89" i="30"/>
  <c r="IA89" i="30"/>
  <c r="IB89" i="30"/>
  <c r="IC89" i="30"/>
  <c r="ID89" i="30"/>
  <c r="IE89" i="30"/>
  <c r="IF89" i="30"/>
  <c r="IG89" i="30"/>
  <c r="IH89" i="30"/>
  <c r="II89" i="30"/>
  <c r="IJ89" i="30"/>
  <c r="IK89" i="30"/>
  <c r="IL89" i="30"/>
  <c r="IM89" i="30"/>
  <c r="IN89" i="30"/>
  <c r="IO89" i="30"/>
  <c r="IP89" i="30"/>
  <c r="IQ89" i="30"/>
  <c r="IR89" i="30"/>
  <c r="IS89" i="30"/>
  <c r="IT89" i="30"/>
  <c r="IU89" i="30"/>
  <c r="IV89" i="30"/>
  <c r="A88" i="30"/>
  <c r="B88" i="30"/>
  <c r="C88" i="30"/>
  <c r="D88" i="30"/>
  <c r="E88" i="30"/>
  <c r="F88" i="30"/>
  <c r="G88" i="30"/>
  <c r="H88" i="30"/>
  <c r="I88" i="30"/>
  <c r="J88" i="30"/>
  <c r="K88" i="30"/>
  <c r="L88" i="30"/>
  <c r="M88" i="30"/>
  <c r="N88" i="30"/>
  <c r="O88" i="30"/>
  <c r="P88" i="30"/>
  <c r="Q88" i="30"/>
  <c r="R88" i="30"/>
  <c r="S88" i="30"/>
  <c r="T88" i="30"/>
  <c r="U88" i="30"/>
  <c r="V88" i="30"/>
  <c r="W88" i="30"/>
  <c r="X88" i="30"/>
  <c r="Y88" i="30"/>
  <c r="Z88" i="30"/>
  <c r="AA88" i="30"/>
  <c r="AB88" i="30"/>
  <c r="AC88" i="30"/>
  <c r="AD88" i="30"/>
  <c r="AE88" i="30"/>
  <c r="AF88" i="30"/>
  <c r="AG88" i="30"/>
  <c r="AH88" i="30"/>
  <c r="AI88" i="30"/>
  <c r="AJ88" i="30"/>
  <c r="AK88" i="30"/>
  <c r="AL88" i="30"/>
  <c r="AM88" i="30"/>
  <c r="AN88" i="30"/>
  <c r="AO88" i="30"/>
  <c r="AP88" i="30"/>
  <c r="AQ88" i="30"/>
  <c r="AR88" i="30"/>
  <c r="AS88" i="30"/>
  <c r="AT88" i="30"/>
  <c r="AU88" i="30"/>
  <c r="AV88" i="30"/>
  <c r="AW88" i="30"/>
  <c r="AX88" i="30"/>
  <c r="AY88" i="30"/>
  <c r="AZ88" i="30"/>
  <c r="BA88" i="30"/>
  <c r="BB88" i="30"/>
  <c r="BC88" i="30"/>
  <c r="BD88" i="30"/>
  <c r="BE88" i="30"/>
  <c r="BF88" i="30"/>
  <c r="BG88" i="30"/>
  <c r="BH88" i="30"/>
  <c r="BI88" i="30"/>
  <c r="BJ88" i="30"/>
  <c r="BK88" i="30"/>
  <c r="BL88" i="30"/>
  <c r="BM88" i="30"/>
  <c r="BN88" i="30"/>
  <c r="BO88" i="30"/>
  <c r="BP88" i="30"/>
  <c r="BQ88" i="30"/>
  <c r="BR88" i="30"/>
  <c r="BS88" i="30"/>
  <c r="BT88" i="30"/>
  <c r="BU88" i="30"/>
  <c r="BV88" i="30"/>
  <c r="BW88" i="30"/>
  <c r="BX88" i="30"/>
  <c r="BY88" i="30"/>
  <c r="BZ88" i="30"/>
  <c r="CA88" i="30"/>
  <c r="CB88" i="30"/>
  <c r="CC88" i="30"/>
  <c r="CD88" i="30"/>
  <c r="CE88" i="30"/>
  <c r="CF88" i="30"/>
  <c r="CG88" i="30"/>
  <c r="CH88" i="30"/>
  <c r="CI88" i="30"/>
  <c r="CJ88" i="30"/>
  <c r="CK88" i="30"/>
  <c r="CL88" i="30"/>
  <c r="CM88" i="30"/>
  <c r="CN88" i="30"/>
  <c r="CO88" i="30"/>
  <c r="CP88" i="30"/>
  <c r="CQ88" i="30"/>
  <c r="CR88" i="30"/>
  <c r="CS88" i="30"/>
  <c r="CT88" i="30"/>
  <c r="CU88" i="30"/>
  <c r="CV88" i="30"/>
  <c r="CW88" i="30"/>
  <c r="CX88" i="30"/>
  <c r="CY88" i="30"/>
  <c r="CZ88" i="30"/>
  <c r="DA88" i="30"/>
  <c r="DB88" i="30"/>
  <c r="DC88" i="30"/>
  <c r="DD88" i="30"/>
  <c r="DE88" i="30"/>
  <c r="DF88" i="30"/>
  <c r="DG88" i="30"/>
  <c r="DH88" i="30"/>
  <c r="DI88" i="30"/>
  <c r="DJ88" i="30"/>
  <c r="DK88" i="30"/>
  <c r="DL88" i="30"/>
  <c r="DM88" i="30"/>
  <c r="DN88" i="30"/>
  <c r="DO88" i="30"/>
  <c r="DP88" i="30"/>
  <c r="DQ88" i="30"/>
  <c r="DR88" i="30"/>
  <c r="DS88" i="30"/>
  <c r="DT88" i="30"/>
  <c r="DU88" i="30"/>
  <c r="DV88" i="30"/>
  <c r="DW88" i="30"/>
  <c r="DX88" i="30"/>
  <c r="DY88" i="30"/>
  <c r="DZ88" i="30"/>
  <c r="EA88" i="30"/>
  <c r="EB88" i="30"/>
  <c r="EC88" i="30"/>
  <c r="ED88" i="30"/>
  <c r="EE88" i="30"/>
  <c r="EF88" i="30"/>
  <c r="EG88" i="30"/>
  <c r="EH88" i="30"/>
  <c r="EI88" i="30"/>
  <c r="EJ88" i="30"/>
  <c r="EK88" i="30"/>
  <c r="EL88" i="30"/>
  <c r="EM88" i="30"/>
  <c r="EN88" i="30"/>
  <c r="EO88" i="30"/>
  <c r="EP88" i="30"/>
  <c r="EQ88" i="30"/>
  <c r="ER88" i="30"/>
  <c r="ES88" i="30"/>
  <c r="ET88" i="30"/>
  <c r="EU88" i="30"/>
  <c r="EV88" i="30"/>
  <c r="EW88" i="30"/>
  <c r="EX88" i="30"/>
  <c r="EY88" i="30"/>
  <c r="EZ88" i="30"/>
  <c r="FA88" i="30"/>
  <c r="FB88" i="30"/>
  <c r="FC88" i="30"/>
  <c r="FD88" i="30"/>
  <c r="FE88" i="30"/>
  <c r="FF88" i="30"/>
  <c r="FG88" i="30"/>
  <c r="FH88" i="30"/>
  <c r="FI88" i="30"/>
  <c r="FJ88" i="30"/>
  <c r="FK88" i="30"/>
  <c r="FL88" i="30"/>
  <c r="FM88" i="30"/>
  <c r="FN88" i="30"/>
  <c r="FO88" i="30"/>
  <c r="FP88" i="30"/>
  <c r="FQ88" i="30"/>
  <c r="FR88" i="30"/>
  <c r="FS88" i="30"/>
  <c r="FT88" i="30"/>
  <c r="FU88" i="30"/>
  <c r="FV88" i="30"/>
  <c r="FW88" i="30"/>
  <c r="FX88" i="30"/>
  <c r="FY88" i="30"/>
  <c r="FZ88" i="30"/>
  <c r="GA88" i="30"/>
  <c r="GB88" i="30"/>
  <c r="GC88" i="30"/>
  <c r="GD88" i="30"/>
  <c r="GE88" i="30"/>
  <c r="GF88" i="30"/>
  <c r="GG88" i="30"/>
  <c r="GH88" i="30"/>
  <c r="GI88" i="30"/>
  <c r="GJ88" i="30"/>
  <c r="GK88" i="30"/>
  <c r="GL88" i="30"/>
  <c r="GM88" i="30"/>
  <c r="GN88" i="30"/>
  <c r="GO88" i="30"/>
  <c r="GP88" i="30"/>
  <c r="GQ88" i="30"/>
  <c r="GR88" i="30"/>
  <c r="GS88" i="30"/>
  <c r="GT88" i="30"/>
  <c r="GU88" i="30"/>
  <c r="GV88" i="30"/>
  <c r="GW88" i="30"/>
  <c r="GX88" i="30"/>
  <c r="GY88" i="30"/>
  <c r="GZ88" i="30"/>
  <c r="HA88" i="30"/>
  <c r="HB88" i="30"/>
  <c r="HC88" i="30"/>
  <c r="HD88" i="30"/>
  <c r="HE88" i="30"/>
  <c r="HF88" i="30"/>
  <c r="HG88" i="30"/>
  <c r="HH88" i="30"/>
  <c r="HI88" i="30"/>
  <c r="HJ88" i="30"/>
  <c r="HK88" i="30"/>
  <c r="HL88" i="30"/>
  <c r="HM88" i="30"/>
  <c r="HN88" i="30"/>
  <c r="HO88" i="30"/>
  <c r="HP88" i="30"/>
  <c r="HQ88" i="30"/>
  <c r="HR88" i="30"/>
  <c r="HS88" i="30"/>
  <c r="HT88" i="30"/>
  <c r="HU88" i="30"/>
  <c r="HV88" i="30"/>
  <c r="HW88" i="30"/>
  <c r="HX88" i="30"/>
  <c r="HY88" i="30"/>
  <c r="HZ88" i="30"/>
  <c r="IA88" i="30"/>
  <c r="IB88" i="30"/>
  <c r="IC88" i="30"/>
  <c r="ID88" i="30"/>
  <c r="IE88" i="30"/>
  <c r="IF88" i="30"/>
  <c r="IG88" i="30"/>
  <c r="IH88" i="30"/>
  <c r="II88" i="30"/>
  <c r="IJ88" i="30"/>
  <c r="IK88" i="30"/>
  <c r="IL88" i="30"/>
  <c r="IM88" i="30"/>
  <c r="IN88" i="30"/>
  <c r="IO88" i="30"/>
  <c r="IP88" i="30"/>
  <c r="IQ88" i="30"/>
  <c r="IR88" i="30"/>
  <c r="IS88" i="30"/>
  <c r="IT88" i="30"/>
  <c r="IU88" i="30"/>
  <c r="IV88" i="30"/>
  <c r="A87" i="30"/>
  <c r="B87" i="30"/>
  <c r="C87" i="30"/>
  <c r="D87" i="30"/>
  <c r="E87" i="30"/>
  <c r="F87" i="30"/>
  <c r="G87" i="30"/>
  <c r="H87" i="30"/>
  <c r="I87" i="30"/>
  <c r="J87" i="30"/>
  <c r="K87" i="30"/>
  <c r="L87" i="30"/>
  <c r="M87" i="30"/>
  <c r="N87" i="30"/>
  <c r="O87" i="30"/>
  <c r="P87" i="30"/>
  <c r="Q87" i="30"/>
  <c r="R87" i="30"/>
  <c r="S87" i="30"/>
  <c r="T87" i="30"/>
  <c r="U87" i="30"/>
  <c r="V87" i="30"/>
  <c r="W87" i="30"/>
  <c r="X87" i="30"/>
  <c r="Y87" i="30"/>
  <c r="Z87" i="30"/>
  <c r="AA87" i="30"/>
  <c r="AB87" i="30"/>
  <c r="AC87" i="30"/>
  <c r="AD87" i="30"/>
  <c r="AE87" i="30"/>
  <c r="AF87" i="30"/>
  <c r="AG87" i="30"/>
  <c r="AH87" i="30"/>
  <c r="AI87" i="30"/>
  <c r="AJ87" i="30"/>
  <c r="AK87" i="30"/>
  <c r="AL87" i="30"/>
  <c r="AM87" i="30"/>
  <c r="AN87" i="30"/>
  <c r="AO87" i="30"/>
  <c r="AP87" i="30"/>
  <c r="AQ87" i="30"/>
  <c r="AR87" i="30"/>
  <c r="AS87" i="30"/>
  <c r="AT87" i="30"/>
  <c r="AU87" i="30"/>
  <c r="AV87" i="30"/>
  <c r="AW87" i="30"/>
  <c r="AX87" i="30"/>
  <c r="AY87" i="30"/>
  <c r="AZ87" i="30"/>
  <c r="BA87" i="30"/>
  <c r="BB87" i="30"/>
  <c r="BC87" i="30"/>
  <c r="BD87" i="30"/>
  <c r="BE87" i="30"/>
  <c r="BF87" i="30"/>
  <c r="BG87" i="30"/>
  <c r="BH87" i="30"/>
  <c r="BI87" i="30"/>
  <c r="BJ87" i="30"/>
  <c r="BK87" i="30"/>
  <c r="BL87" i="30"/>
  <c r="BM87" i="30"/>
  <c r="BN87" i="30"/>
  <c r="BO87" i="30"/>
  <c r="BP87" i="30"/>
  <c r="BQ87" i="30"/>
  <c r="BR87" i="30"/>
  <c r="BS87" i="30"/>
  <c r="BT87" i="30"/>
  <c r="BU87" i="30"/>
  <c r="BV87" i="30"/>
  <c r="BW87" i="30"/>
  <c r="BX87" i="30"/>
  <c r="BY87" i="30"/>
  <c r="BZ87" i="30"/>
  <c r="CA87" i="30"/>
  <c r="CB87" i="30"/>
  <c r="CC87" i="30"/>
  <c r="CD87" i="30"/>
  <c r="CE87" i="30"/>
  <c r="CF87" i="30"/>
  <c r="CG87" i="30"/>
  <c r="CH87" i="30"/>
  <c r="CI87" i="30"/>
  <c r="CJ87" i="30"/>
  <c r="CK87" i="30"/>
  <c r="CL87" i="30"/>
  <c r="CM87" i="30"/>
  <c r="CN87" i="30"/>
  <c r="CO87" i="30"/>
  <c r="CP87" i="30"/>
  <c r="CQ87" i="30"/>
  <c r="CR87" i="30"/>
  <c r="CS87" i="30"/>
  <c r="CT87" i="30"/>
  <c r="CU87" i="30"/>
  <c r="CV87" i="30"/>
  <c r="CW87" i="30"/>
  <c r="CX87" i="30"/>
  <c r="CY87" i="30"/>
  <c r="CZ87" i="30"/>
  <c r="DA87" i="30"/>
  <c r="DB87" i="30"/>
  <c r="DC87" i="30"/>
  <c r="DD87" i="30"/>
  <c r="DE87" i="30"/>
  <c r="DF87" i="30"/>
  <c r="DG87" i="30"/>
  <c r="DH87" i="30"/>
  <c r="DI87" i="30"/>
  <c r="DJ87" i="30"/>
  <c r="DK87" i="30"/>
  <c r="DL87" i="30"/>
  <c r="DM87" i="30"/>
  <c r="DN87" i="30"/>
  <c r="DO87" i="30"/>
  <c r="DP87" i="30"/>
  <c r="DQ87" i="30"/>
  <c r="DR87" i="30"/>
  <c r="DS87" i="30"/>
  <c r="DT87" i="30"/>
  <c r="DU87" i="30"/>
  <c r="DV87" i="30"/>
  <c r="DW87" i="30"/>
  <c r="DX87" i="30"/>
  <c r="DY87" i="30"/>
  <c r="DZ87" i="30"/>
  <c r="EA87" i="30"/>
  <c r="EB87" i="30"/>
  <c r="EC87" i="30"/>
  <c r="ED87" i="30"/>
  <c r="EE87" i="30"/>
  <c r="EF87" i="30"/>
  <c r="EG87" i="30"/>
  <c r="EH87" i="30"/>
  <c r="EI87" i="30"/>
  <c r="EJ87" i="30"/>
  <c r="EK87" i="30"/>
  <c r="EL87" i="30"/>
  <c r="EM87" i="30"/>
  <c r="EN87" i="30"/>
  <c r="EO87" i="30"/>
  <c r="EP87" i="30"/>
  <c r="EQ87" i="30"/>
  <c r="ER87" i="30"/>
  <c r="ES87" i="30"/>
  <c r="ET87" i="30"/>
  <c r="EU87" i="30"/>
  <c r="EV87" i="30"/>
  <c r="EW87" i="30"/>
  <c r="EX87" i="30"/>
  <c r="EY87" i="30"/>
  <c r="EZ87" i="30"/>
  <c r="FA87" i="30"/>
  <c r="FB87" i="30"/>
  <c r="FC87" i="30"/>
  <c r="FD87" i="30"/>
  <c r="FE87" i="30"/>
  <c r="FF87" i="30"/>
  <c r="FG87" i="30"/>
  <c r="FH87" i="30"/>
  <c r="FI87" i="30"/>
  <c r="FJ87" i="30"/>
  <c r="FK87" i="30"/>
  <c r="FL87" i="30"/>
  <c r="FM87" i="30"/>
  <c r="FN87" i="30"/>
  <c r="FO87" i="30"/>
  <c r="FP87" i="30"/>
  <c r="FQ87" i="30"/>
  <c r="FR87" i="30"/>
  <c r="FS87" i="30"/>
  <c r="FT87" i="30"/>
  <c r="FU87" i="30"/>
  <c r="FV87" i="30"/>
  <c r="FW87" i="30"/>
  <c r="FX87" i="30"/>
  <c r="FY87" i="30"/>
  <c r="FZ87" i="30"/>
  <c r="GA87" i="30"/>
  <c r="GB87" i="30"/>
  <c r="GC87" i="30"/>
  <c r="GD87" i="30"/>
  <c r="GE87" i="30"/>
  <c r="GF87" i="30"/>
  <c r="GG87" i="30"/>
  <c r="GH87" i="30"/>
  <c r="GI87" i="30"/>
  <c r="GJ87" i="30"/>
  <c r="GK87" i="30"/>
  <c r="GL87" i="30"/>
  <c r="GM87" i="30"/>
  <c r="GN87" i="30"/>
  <c r="GO87" i="30"/>
  <c r="GP87" i="30"/>
  <c r="GQ87" i="30"/>
  <c r="GR87" i="30"/>
  <c r="GS87" i="30"/>
  <c r="GT87" i="30"/>
  <c r="GU87" i="30"/>
  <c r="GV87" i="30"/>
  <c r="GW87" i="30"/>
  <c r="GX87" i="30"/>
  <c r="GY87" i="30"/>
  <c r="GZ87" i="30"/>
  <c r="HA87" i="30"/>
  <c r="HB87" i="30"/>
  <c r="HC87" i="30"/>
  <c r="HD87" i="30"/>
  <c r="HE87" i="30"/>
  <c r="HF87" i="30"/>
  <c r="HG87" i="30"/>
  <c r="HH87" i="30"/>
  <c r="HI87" i="30"/>
  <c r="HJ87" i="30"/>
  <c r="HK87" i="30"/>
  <c r="HL87" i="30"/>
  <c r="HM87" i="30"/>
  <c r="HN87" i="30"/>
  <c r="HO87" i="30"/>
  <c r="HP87" i="30"/>
  <c r="HQ87" i="30"/>
  <c r="HR87" i="30"/>
  <c r="HS87" i="30"/>
  <c r="HT87" i="30"/>
  <c r="HU87" i="30"/>
  <c r="HV87" i="30"/>
  <c r="HW87" i="30"/>
  <c r="HX87" i="30"/>
  <c r="HY87" i="30"/>
  <c r="HZ87" i="30"/>
  <c r="IA87" i="30"/>
  <c r="IB87" i="30"/>
  <c r="IC87" i="30"/>
  <c r="ID87" i="30"/>
  <c r="IE87" i="30"/>
  <c r="IF87" i="30"/>
  <c r="IG87" i="30"/>
  <c r="IH87" i="30"/>
  <c r="II87" i="30"/>
  <c r="IJ87" i="30"/>
  <c r="IK87" i="30"/>
  <c r="IL87" i="30"/>
  <c r="IM87" i="30"/>
  <c r="IN87" i="30"/>
  <c r="IO87" i="30"/>
  <c r="IP87" i="30"/>
  <c r="IQ87" i="30"/>
  <c r="IR87" i="30"/>
  <c r="IS87" i="30"/>
  <c r="IT87" i="30"/>
  <c r="IU87" i="30"/>
  <c r="IV87" i="30"/>
  <c r="A86" i="30"/>
  <c r="B86" i="30"/>
  <c r="C86" i="30"/>
  <c r="D86" i="30"/>
  <c r="E86" i="30"/>
  <c r="F86" i="30"/>
  <c r="G86" i="30"/>
  <c r="H86" i="30"/>
  <c r="I86" i="30"/>
  <c r="J86" i="30"/>
  <c r="K86" i="30"/>
  <c r="L86" i="30"/>
  <c r="M86" i="30"/>
  <c r="N86" i="30"/>
  <c r="O86" i="30"/>
  <c r="P86" i="30"/>
  <c r="Q86" i="30"/>
  <c r="R86" i="30"/>
  <c r="S86" i="30"/>
  <c r="T86" i="30"/>
  <c r="U86" i="30"/>
  <c r="V86" i="30"/>
  <c r="W86" i="30"/>
  <c r="X86" i="30"/>
  <c r="Y86" i="30"/>
  <c r="Z86" i="30"/>
  <c r="AA86" i="30"/>
  <c r="AB86" i="30"/>
  <c r="AC86" i="30"/>
  <c r="AD86" i="30"/>
  <c r="AE86" i="30"/>
  <c r="AF86" i="30"/>
  <c r="AG86" i="30"/>
  <c r="AH86" i="30"/>
  <c r="AI86" i="30"/>
  <c r="AJ86" i="30"/>
  <c r="AK86" i="30"/>
  <c r="AL86" i="30"/>
  <c r="AM86" i="30"/>
  <c r="AN86" i="30"/>
  <c r="AO86" i="30"/>
  <c r="AP86" i="30"/>
  <c r="AQ86" i="30"/>
  <c r="AR86" i="30"/>
  <c r="AS86" i="30"/>
  <c r="AT86" i="30"/>
  <c r="AU86" i="30"/>
  <c r="AV86" i="30"/>
  <c r="AW86" i="30"/>
  <c r="AX86" i="30"/>
  <c r="AY86" i="30"/>
  <c r="AZ86" i="30"/>
  <c r="BA86" i="30"/>
  <c r="BB86" i="30"/>
  <c r="BC86" i="30"/>
  <c r="BD86" i="30"/>
  <c r="BE86" i="30"/>
  <c r="BF86" i="30"/>
  <c r="BG86" i="30"/>
  <c r="BH86" i="30"/>
  <c r="BI86" i="30"/>
  <c r="BJ86" i="30"/>
  <c r="BK86" i="30"/>
  <c r="BL86" i="30"/>
  <c r="BM86" i="30"/>
  <c r="BN86" i="30"/>
  <c r="BO86" i="30"/>
  <c r="BP86" i="30"/>
  <c r="BQ86" i="30"/>
  <c r="BR86" i="30"/>
  <c r="BS86" i="30"/>
  <c r="BT86" i="30"/>
  <c r="BU86" i="30"/>
  <c r="BV86" i="30"/>
  <c r="BW86" i="30"/>
  <c r="BX86" i="30"/>
  <c r="BY86" i="30"/>
  <c r="BZ86" i="30"/>
  <c r="CA86" i="30"/>
  <c r="CB86" i="30"/>
  <c r="CC86" i="30"/>
  <c r="CD86" i="30"/>
  <c r="CE86" i="30"/>
  <c r="CF86" i="30"/>
  <c r="CG86" i="30"/>
  <c r="CH86" i="30"/>
  <c r="CI86" i="30"/>
  <c r="CJ86" i="30"/>
  <c r="CK86" i="30"/>
  <c r="CL86" i="30"/>
  <c r="CM86" i="30"/>
  <c r="CN86" i="30"/>
  <c r="CO86" i="30"/>
  <c r="CP86" i="30"/>
  <c r="CQ86" i="30"/>
  <c r="CR86" i="30"/>
  <c r="CS86" i="30"/>
  <c r="CT86" i="30"/>
  <c r="CU86" i="30"/>
  <c r="CV86" i="30"/>
  <c r="CW86" i="30"/>
  <c r="CX86" i="30"/>
  <c r="CY86" i="30"/>
  <c r="CZ86" i="30"/>
  <c r="DA86" i="30"/>
  <c r="DB86" i="30"/>
  <c r="DC86" i="30"/>
  <c r="DD86" i="30"/>
  <c r="DE86" i="30"/>
  <c r="DF86" i="30"/>
  <c r="DG86" i="30"/>
  <c r="DH86" i="30"/>
  <c r="DI86" i="30"/>
  <c r="DJ86" i="30"/>
  <c r="DK86" i="30"/>
  <c r="DL86" i="30"/>
  <c r="DM86" i="30"/>
  <c r="DN86" i="30"/>
  <c r="DO86" i="30"/>
  <c r="DP86" i="30"/>
  <c r="DQ86" i="30"/>
  <c r="DR86" i="30"/>
  <c r="DS86" i="30"/>
  <c r="DT86" i="30"/>
  <c r="DU86" i="30"/>
  <c r="DV86" i="30"/>
  <c r="DW86" i="30"/>
  <c r="DX86" i="30"/>
  <c r="DY86" i="30"/>
  <c r="DZ86" i="30"/>
  <c r="EA86" i="30"/>
  <c r="EB86" i="30"/>
  <c r="EC86" i="30"/>
  <c r="ED86" i="30"/>
  <c r="EE86" i="30"/>
  <c r="EF86" i="30"/>
  <c r="EG86" i="30"/>
  <c r="EH86" i="30"/>
  <c r="EI86" i="30"/>
  <c r="EJ86" i="30"/>
  <c r="EK86" i="30"/>
  <c r="EL86" i="30"/>
  <c r="EM86" i="30"/>
  <c r="EN86" i="30"/>
  <c r="EO86" i="30"/>
  <c r="EP86" i="30"/>
  <c r="EQ86" i="30"/>
  <c r="ER86" i="30"/>
  <c r="ES86" i="30"/>
  <c r="ET86" i="30"/>
  <c r="EU86" i="30"/>
  <c r="EV86" i="30"/>
  <c r="EW86" i="30"/>
  <c r="EX86" i="30"/>
  <c r="EY86" i="30"/>
  <c r="EZ86" i="30"/>
  <c r="FA86" i="30"/>
  <c r="FB86" i="30"/>
  <c r="FC86" i="30"/>
  <c r="FD86" i="30"/>
  <c r="FE86" i="30"/>
  <c r="FF86" i="30"/>
  <c r="FG86" i="30"/>
  <c r="FH86" i="30"/>
  <c r="FI86" i="30"/>
  <c r="FJ86" i="30"/>
  <c r="FK86" i="30"/>
  <c r="FL86" i="30"/>
  <c r="FM86" i="30"/>
  <c r="FN86" i="30"/>
  <c r="FO86" i="30"/>
  <c r="FP86" i="30"/>
  <c r="FQ86" i="30"/>
  <c r="FR86" i="30"/>
  <c r="FS86" i="30"/>
  <c r="FT86" i="30"/>
  <c r="FU86" i="30"/>
  <c r="FV86" i="30"/>
  <c r="FW86" i="30"/>
  <c r="FX86" i="30"/>
  <c r="FY86" i="30"/>
  <c r="FZ86" i="30"/>
  <c r="GA86" i="30"/>
  <c r="GB86" i="30"/>
  <c r="GC86" i="30"/>
  <c r="GD86" i="30"/>
  <c r="GE86" i="30"/>
  <c r="GF86" i="30"/>
  <c r="GG86" i="30"/>
  <c r="GH86" i="30"/>
  <c r="GI86" i="30"/>
  <c r="GJ86" i="30"/>
  <c r="GK86" i="30"/>
  <c r="GL86" i="30"/>
  <c r="GM86" i="30"/>
  <c r="GN86" i="30"/>
  <c r="GO86" i="30"/>
  <c r="GP86" i="30"/>
  <c r="GQ86" i="30"/>
  <c r="GR86" i="30"/>
  <c r="GS86" i="30"/>
  <c r="GT86" i="30"/>
  <c r="GU86" i="30"/>
  <c r="GV86" i="30"/>
  <c r="GW86" i="30"/>
  <c r="GX86" i="30"/>
  <c r="GY86" i="30"/>
  <c r="GZ86" i="30"/>
  <c r="HA86" i="30"/>
  <c r="HB86" i="30"/>
  <c r="HC86" i="30"/>
  <c r="HD86" i="30"/>
  <c r="HE86" i="30"/>
  <c r="HF86" i="30"/>
  <c r="HG86" i="30"/>
  <c r="HH86" i="30"/>
  <c r="HI86" i="30"/>
  <c r="HJ86" i="30"/>
  <c r="HK86" i="30"/>
  <c r="HL86" i="30"/>
  <c r="HM86" i="30"/>
  <c r="HN86" i="30"/>
  <c r="HO86" i="30"/>
  <c r="HP86" i="30"/>
  <c r="HQ86" i="30"/>
  <c r="HR86" i="30"/>
  <c r="HS86" i="30"/>
  <c r="HT86" i="30"/>
  <c r="HU86" i="30"/>
  <c r="HV86" i="30"/>
  <c r="HW86" i="30"/>
  <c r="HX86" i="30"/>
  <c r="HY86" i="30"/>
  <c r="HZ86" i="30"/>
  <c r="IA86" i="30"/>
  <c r="IB86" i="30"/>
  <c r="IC86" i="30"/>
  <c r="ID86" i="30"/>
  <c r="IE86" i="30"/>
  <c r="IF86" i="30"/>
  <c r="IG86" i="30"/>
  <c r="IH86" i="30"/>
  <c r="II86" i="30"/>
  <c r="IJ86" i="30"/>
  <c r="IK86" i="30"/>
  <c r="IL86" i="30"/>
  <c r="IM86" i="30"/>
  <c r="IN86" i="30"/>
  <c r="IO86" i="30"/>
  <c r="IP86" i="30"/>
  <c r="IQ86" i="30"/>
  <c r="IR86" i="30"/>
  <c r="IS86" i="30"/>
  <c r="IT86" i="30"/>
  <c r="IU86" i="30"/>
  <c r="IV86" i="30"/>
  <c r="A85" i="30"/>
  <c r="B85" i="30"/>
  <c r="C85" i="30"/>
  <c r="D85" i="30"/>
  <c r="E85" i="30"/>
  <c r="F85" i="30"/>
  <c r="G85" i="30"/>
  <c r="H85" i="30"/>
  <c r="I85" i="30"/>
  <c r="J85" i="30"/>
  <c r="K85" i="30"/>
  <c r="L85" i="30"/>
  <c r="M85" i="30"/>
  <c r="N85" i="30"/>
  <c r="O85" i="30"/>
  <c r="P85" i="30"/>
  <c r="Q85" i="30"/>
  <c r="R85" i="30"/>
  <c r="S85" i="30"/>
  <c r="T85" i="30"/>
  <c r="U85" i="30"/>
  <c r="V85" i="30"/>
  <c r="W85" i="30"/>
  <c r="X85" i="30"/>
  <c r="Y85" i="30"/>
  <c r="Z85" i="30"/>
  <c r="AA85" i="30"/>
  <c r="AB85" i="30"/>
  <c r="AC85" i="30"/>
  <c r="AD85" i="30"/>
  <c r="AE85" i="30"/>
  <c r="AF85" i="30"/>
  <c r="AG85" i="30"/>
  <c r="AH85" i="30"/>
  <c r="AI85" i="30"/>
  <c r="AJ85" i="30"/>
  <c r="AK85" i="30"/>
  <c r="AL85" i="30"/>
  <c r="AM85" i="30"/>
  <c r="AN85" i="30"/>
  <c r="AO85" i="30"/>
  <c r="AP85" i="30"/>
  <c r="AQ85" i="30"/>
  <c r="AR85" i="30"/>
  <c r="AS85" i="30"/>
  <c r="AT85" i="30"/>
  <c r="AU85" i="30"/>
  <c r="AV85" i="30"/>
  <c r="AW85" i="30"/>
  <c r="AX85" i="30"/>
  <c r="AY85" i="30"/>
  <c r="AZ85" i="30"/>
  <c r="BA85" i="30"/>
  <c r="BB85" i="30"/>
  <c r="BC85" i="30"/>
  <c r="BD85" i="30"/>
  <c r="BE85" i="30"/>
  <c r="BF85" i="30"/>
  <c r="BG85" i="30"/>
  <c r="BH85" i="30"/>
  <c r="BI85" i="30"/>
  <c r="BJ85" i="30"/>
  <c r="BK85" i="30"/>
  <c r="BL85" i="30"/>
  <c r="BM85" i="30"/>
  <c r="BN85" i="30"/>
  <c r="BO85" i="30"/>
  <c r="BP85" i="30"/>
  <c r="BQ85" i="30"/>
  <c r="BR85" i="30"/>
  <c r="BS85" i="30"/>
  <c r="BT85" i="30"/>
  <c r="BU85" i="30"/>
  <c r="BV85" i="30"/>
  <c r="BW85" i="30"/>
  <c r="BX85" i="30"/>
  <c r="BY85" i="30"/>
  <c r="BZ85" i="30"/>
  <c r="CA85" i="30"/>
  <c r="CB85" i="30"/>
  <c r="CC85" i="30"/>
  <c r="CD85" i="30"/>
  <c r="CE85" i="30"/>
  <c r="CF85" i="30"/>
  <c r="CG85" i="30"/>
  <c r="CH85" i="30"/>
  <c r="CI85" i="30"/>
  <c r="CJ85" i="30"/>
  <c r="CK85" i="30"/>
  <c r="CL85" i="30"/>
  <c r="CM85" i="30"/>
  <c r="CN85" i="30"/>
  <c r="CO85" i="30"/>
  <c r="CP85" i="30"/>
  <c r="CQ85" i="30"/>
  <c r="CR85" i="30"/>
  <c r="CS85" i="30"/>
  <c r="CT85" i="30"/>
  <c r="CU85" i="30"/>
  <c r="CV85" i="30"/>
  <c r="CW85" i="30"/>
  <c r="CX85" i="30"/>
  <c r="CY85" i="30"/>
  <c r="CZ85" i="30"/>
  <c r="DA85" i="30"/>
  <c r="DB85" i="30"/>
  <c r="DC85" i="30"/>
  <c r="DD85" i="30"/>
  <c r="DE85" i="30"/>
  <c r="DF85" i="30"/>
  <c r="DG85" i="30"/>
  <c r="DH85" i="30"/>
  <c r="DI85" i="30"/>
  <c r="DJ85" i="30"/>
  <c r="DK85" i="30"/>
  <c r="DL85" i="30"/>
  <c r="DM85" i="30"/>
  <c r="DN85" i="30"/>
  <c r="DO85" i="30"/>
  <c r="DP85" i="30"/>
  <c r="DQ85" i="30"/>
  <c r="DR85" i="30"/>
  <c r="DS85" i="30"/>
  <c r="DT85" i="30"/>
  <c r="DU85" i="30"/>
  <c r="DV85" i="30"/>
  <c r="DW85" i="30"/>
  <c r="DX85" i="30"/>
  <c r="DY85" i="30"/>
  <c r="DZ85" i="30"/>
  <c r="EA85" i="30"/>
  <c r="EB85" i="30"/>
  <c r="EC85" i="30"/>
  <c r="ED85" i="30"/>
  <c r="EE85" i="30"/>
  <c r="EF85" i="30"/>
  <c r="EG85" i="30"/>
  <c r="EH85" i="30"/>
  <c r="EI85" i="30"/>
  <c r="EJ85" i="30"/>
  <c r="EK85" i="30"/>
  <c r="EL85" i="30"/>
  <c r="EM85" i="30"/>
  <c r="EN85" i="30"/>
  <c r="EO85" i="30"/>
  <c r="EP85" i="30"/>
  <c r="EQ85" i="30"/>
  <c r="ER85" i="30"/>
  <c r="ES85" i="30"/>
  <c r="ET85" i="30"/>
  <c r="EU85" i="30"/>
  <c r="EV85" i="30"/>
  <c r="EW85" i="30"/>
  <c r="EX85" i="30"/>
  <c r="EY85" i="30"/>
  <c r="EZ85" i="30"/>
  <c r="FA85" i="30"/>
  <c r="FB85" i="30"/>
  <c r="FC85" i="30"/>
  <c r="FD85" i="30"/>
  <c r="FE85" i="30"/>
  <c r="FF85" i="30"/>
  <c r="FG85" i="30"/>
  <c r="FH85" i="30"/>
  <c r="FI85" i="30"/>
  <c r="FJ85" i="30"/>
  <c r="FK85" i="30"/>
  <c r="FL85" i="30"/>
  <c r="FM85" i="30"/>
  <c r="FN85" i="30"/>
  <c r="FO85" i="30"/>
  <c r="FP85" i="30"/>
  <c r="FQ85" i="30"/>
  <c r="FR85" i="30"/>
  <c r="FS85" i="30"/>
  <c r="FT85" i="30"/>
  <c r="FU85" i="30"/>
  <c r="FV85" i="30"/>
  <c r="FW85" i="30"/>
  <c r="FX85" i="30"/>
  <c r="FY85" i="30"/>
  <c r="FZ85" i="30"/>
  <c r="GA85" i="30"/>
  <c r="GB85" i="30"/>
  <c r="GC85" i="30"/>
  <c r="GD85" i="30"/>
  <c r="GE85" i="30"/>
  <c r="GF85" i="30"/>
  <c r="GG85" i="30"/>
  <c r="GH85" i="30"/>
  <c r="GI85" i="30"/>
  <c r="GJ85" i="30"/>
  <c r="GK85" i="30"/>
  <c r="GL85" i="30"/>
  <c r="GM85" i="30"/>
  <c r="GN85" i="30"/>
  <c r="GO85" i="30"/>
  <c r="GP85" i="30"/>
  <c r="GQ85" i="30"/>
  <c r="GR85" i="30"/>
  <c r="GS85" i="30"/>
  <c r="GT85" i="30"/>
  <c r="GU85" i="30"/>
  <c r="GV85" i="30"/>
  <c r="GW85" i="30"/>
  <c r="GX85" i="30"/>
  <c r="GY85" i="30"/>
  <c r="GZ85" i="30"/>
  <c r="HA85" i="30"/>
  <c r="HB85" i="30"/>
  <c r="HC85" i="30"/>
  <c r="HD85" i="30"/>
  <c r="HE85" i="30"/>
  <c r="HF85" i="30"/>
  <c r="HG85" i="30"/>
  <c r="HH85" i="30"/>
  <c r="HI85" i="30"/>
  <c r="HJ85" i="30"/>
  <c r="HK85" i="30"/>
  <c r="HL85" i="30"/>
  <c r="HM85" i="30"/>
  <c r="HN85" i="30"/>
  <c r="HO85" i="30"/>
  <c r="HP85" i="30"/>
  <c r="HQ85" i="30"/>
  <c r="HR85" i="30"/>
  <c r="HS85" i="30"/>
  <c r="HT85" i="30"/>
  <c r="HU85" i="30"/>
  <c r="HV85" i="30"/>
  <c r="HW85" i="30"/>
  <c r="HX85" i="30"/>
  <c r="HY85" i="30"/>
  <c r="HZ85" i="30"/>
  <c r="IA85" i="30"/>
  <c r="IB85" i="30"/>
  <c r="IC85" i="30"/>
  <c r="ID85" i="30"/>
  <c r="IE85" i="30"/>
  <c r="IF85" i="30"/>
  <c r="IG85" i="30"/>
  <c r="IH85" i="30"/>
  <c r="II85" i="30"/>
  <c r="IJ85" i="30"/>
  <c r="IK85" i="30"/>
  <c r="IL85" i="30"/>
  <c r="IM85" i="30"/>
  <c r="IN85" i="30"/>
  <c r="IO85" i="30"/>
  <c r="IP85" i="30"/>
  <c r="IQ85" i="30"/>
  <c r="IR85" i="30"/>
  <c r="IS85" i="30"/>
  <c r="IT85" i="30"/>
  <c r="IU85" i="30"/>
  <c r="IV85" i="30"/>
  <c r="A84" i="30"/>
  <c r="B84" i="30"/>
  <c r="C84" i="30"/>
  <c r="D84" i="30"/>
  <c r="E84" i="30"/>
  <c r="F84" i="30"/>
  <c r="G84" i="30"/>
  <c r="H84" i="30"/>
  <c r="I84" i="30"/>
  <c r="J84" i="30"/>
  <c r="K84" i="30"/>
  <c r="L84" i="30"/>
  <c r="M84" i="30"/>
  <c r="N84" i="30"/>
  <c r="O84" i="30"/>
  <c r="P84" i="30"/>
  <c r="Q84" i="30"/>
  <c r="R84" i="30"/>
  <c r="S84" i="30"/>
  <c r="T84" i="30"/>
  <c r="U84" i="30"/>
  <c r="V84" i="30"/>
  <c r="W84" i="30"/>
  <c r="X84" i="30"/>
  <c r="Y84" i="30"/>
  <c r="Z84" i="30"/>
  <c r="AA84" i="30"/>
  <c r="AB84" i="30"/>
  <c r="AC84" i="30"/>
  <c r="AD84" i="30"/>
  <c r="AE84" i="30"/>
  <c r="AF84" i="30"/>
  <c r="AG84" i="30"/>
  <c r="AH84" i="30"/>
  <c r="AI84" i="30"/>
  <c r="AJ84" i="30"/>
  <c r="AK84" i="30"/>
  <c r="AL84" i="30"/>
  <c r="AM84" i="30"/>
  <c r="AN84" i="30"/>
  <c r="AO84" i="30"/>
  <c r="AP84" i="30"/>
  <c r="AQ84" i="30"/>
  <c r="AR84" i="30"/>
  <c r="AS84" i="30"/>
  <c r="AT84" i="30"/>
  <c r="AU84" i="30"/>
  <c r="AV84" i="30"/>
  <c r="AW84" i="30"/>
  <c r="AX84" i="30"/>
  <c r="AY84" i="30"/>
  <c r="AZ84" i="30"/>
  <c r="BA84" i="30"/>
  <c r="BB84" i="30"/>
  <c r="BC84" i="30"/>
  <c r="BD84" i="30"/>
  <c r="BE84" i="30"/>
  <c r="BF84" i="30"/>
  <c r="BG84" i="30"/>
  <c r="BH84" i="30"/>
  <c r="BI84" i="30"/>
  <c r="BJ84" i="30"/>
  <c r="BK84" i="30"/>
  <c r="BL84" i="30"/>
  <c r="BM84" i="30"/>
  <c r="BN84" i="30"/>
  <c r="BO84" i="30"/>
  <c r="BP84" i="30"/>
  <c r="BQ84" i="30"/>
  <c r="BR84" i="30"/>
  <c r="BS84" i="30"/>
  <c r="BT84" i="30"/>
  <c r="BU84" i="30"/>
  <c r="BV84" i="30"/>
  <c r="BW84" i="30"/>
  <c r="BX84" i="30"/>
  <c r="BY84" i="30"/>
  <c r="BZ84" i="30"/>
  <c r="CA84" i="30"/>
  <c r="CB84" i="30"/>
  <c r="CC84" i="30"/>
  <c r="CD84" i="30"/>
  <c r="CE84" i="30"/>
  <c r="CF84" i="30"/>
  <c r="CG84" i="30"/>
  <c r="CH84" i="30"/>
  <c r="CI84" i="30"/>
  <c r="CJ84" i="30"/>
  <c r="CK84" i="30"/>
  <c r="CL84" i="30"/>
  <c r="CM84" i="30"/>
  <c r="CN84" i="30"/>
  <c r="CO84" i="30"/>
  <c r="CP84" i="30"/>
  <c r="CQ84" i="30"/>
  <c r="CR84" i="30"/>
  <c r="CS84" i="30"/>
  <c r="CT84" i="30"/>
  <c r="CU84" i="30"/>
  <c r="CV84" i="30"/>
  <c r="CW84" i="30"/>
  <c r="CX84" i="30"/>
  <c r="CY84" i="30"/>
  <c r="CZ84" i="30"/>
  <c r="DA84" i="30"/>
  <c r="DB84" i="30"/>
  <c r="DC84" i="30"/>
  <c r="DD84" i="30"/>
  <c r="DE84" i="30"/>
  <c r="DF84" i="30"/>
  <c r="DG84" i="30"/>
  <c r="DH84" i="30"/>
  <c r="DI84" i="30"/>
  <c r="DJ84" i="30"/>
  <c r="DK84" i="30"/>
  <c r="DL84" i="30"/>
  <c r="DM84" i="30"/>
  <c r="DN84" i="30"/>
  <c r="DO84" i="30"/>
  <c r="DP84" i="30"/>
  <c r="DQ84" i="30"/>
  <c r="DR84" i="30"/>
  <c r="DS84" i="30"/>
  <c r="DT84" i="30"/>
  <c r="DU84" i="30"/>
  <c r="DV84" i="30"/>
  <c r="DW84" i="30"/>
  <c r="DX84" i="30"/>
  <c r="DY84" i="30"/>
  <c r="DZ84" i="30"/>
  <c r="EA84" i="30"/>
  <c r="EB84" i="30"/>
  <c r="EC84" i="30"/>
  <c r="ED84" i="30"/>
  <c r="EE84" i="30"/>
  <c r="EF84" i="30"/>
  <c r="EG84" i="30"/>
  <c r="EH84" i="30"/>
  <c r="EI84" i="30"/>
  <c r="EJ84" i="30"/>
  <c r="EK84" i="30"/>
  <c r="EL84" i="30"/>
  <c r="EM84" i="30"/>
  <c r="EN84" i="30"/>
  <c r="EO84" i="30"/>
  <c r="EP84" i="30"/>
  <c r="EQ84" i="30"/>
  <c r="ER84" i="30"/>
  <c r="ES84" i="30"/>
  <c r="ET84" i="30"/>
  <c r="EU84" i="30"/>
  <c r="EV84" i="30"/>
  <c r="EW84" i="30"/>
  <c r="EX84" i="30"/>
  <c r="EY84" i="30"/>
  <c r="EZ84" i="30"/>
  <c r="FA84" i="30"/>
  <c r="FB84" i="30"/>
  <c r="FC84" i="30"/>
  <c r="FD84" i="30"/>
  <c r="FE84" i="30"/>
  <c r="FF84" i="30"/>
  <c r="FG84" i="30"/>
  <c r="FH84" i="30"/>
  <c r="FI84" i="30"/>
  <c r="FJ84" i="30"/>
  <c r="FK84" i="30"/>
  <c r="FL84" i="30"/>
  <c r="FM84" i="30"/>
  <c r="FN84" i="30"/>
  <c r="FO84" i="30"/>
  <c r="FP84" i="30"/>
  <c r="FQ84" i="30"/>
  <c r="FR84" i="30"/>
  <c r="FS84" i="30"/>
  <c r="FT84" i="30"/>
  <c r="FU84" i="30"/>
  <c r="FV84" i="30"/>
  <c r="FW84" i="30"/>
  <c r="FX84" i="30"/>
  <c r="FY84" i="30"/>
  <c r="FZ84" i="30"/>
  <c r="GA84" i="30"/>
  <c r="GB84" i="30"/>
  <c r="GC84" i="30"/>
  <c r="GD84" i="30"/>
  <c r="GE84" i="30"/>
  <c r="GF84" i="30"/>
  <c r="GG84" i="30"/>
  <c r="GH84" i="30"/>
  <c r="GI84" i="30"/>
  <c r="GJ84" i="30"/>
  <c r="GK84" i="30"/>
  <c r="GL84" i="30"/>
  <c r="GM84" i="30"/>
  <c r="GN84" i="30"/>
  <c r="GO84" i="30"/>
  <c r="GP84" i="30"/>
  <c r="GQ84" i="30"/>
  <c r="GR84" i="30"/>
  <c r="GS84" i="30"/>
  <c r="GT84" i="30"/>
  <c r="GU84" i="30"/>
  <c r="GV84" i="30"/>
  <c r="GW84" i="30"/>
  <c r="GX84" i="30"/>
  <c r="GY84" i="30"/>
  <c r="GZ84" i="30"/>
  <c r="HA84" i="30"/>
  <c r="HB84" i="30"/>
  <c r="HC84" i="30"/>
  <c r="HD84" i="30"/>
  <c r="HE84" i="30"/>
  <c r="HF84" i="30"/>
  <c r="HG84" i="30"/>
  <c r="HH84" i="30"/>
  <c r="HI84" i="30"/>
  <c r="HJ84" i="30"/>
  <c r="HK84" i="30"/>
  <c r="HL84" i="30"/>
  <c r="HM84" i="30"/>
  <c r="HN84" i="30"/>
  <c r="HO84" i="30"/>
  <c r="HP84" i="30"/>
  <c r="HQ84" i="30"/>
  <c r="HR84" i="30"/>
  <c r="HS84" i="30"/>
  <c r="HT84" i="30"/>
  <c r="HU84" i="30"/>
  <c r="HV84" i="30"/>
  <c r="HW84" i="30"/>
  <c r="HX84" i="30"/>
  <c r="HY84" i="30"/>
  <c r="HZ84" i="30"/>
  <c r="IA84" i="30"/>
  <c r="IB84" i="30"/>
  <c r="IC84" i="30"/>
  <c r="ID84" i="30"/>
  <c r="IE84" i="30"/>
  <c r="IF84" i="30"/>
  <c r="IG84" i="30"/>
  <c r="IH84" i="30"/>
  <c r="II84" i="30"/>
  <c r="IJ84" i="30"/>
  <c r="IK84" i="30"/>
  <c r="IL84" i="30"/>
  <c r="IM84" i="30"/>
  <c r="IN84" i="30"/>
  <c r="IO84" i="30"/>
  <c r="IP84" i="30"/>
  <c r="IQ84" i="30"/>
  <c r="IR84" i="30"/>
  <c r="IS84" i="30"/>
  <c r="IT84" i="30"/>
  <c r="IU84" i="30"/>
  <c r="IV84" i="30"/>
  <c r="A83" i="30"/>
  <c r="B83" i="30"/>
  <c r="C83" i="30"/>
  <c r="D83" i="30"/>
  <c r="E83" i="30"/>
  <c r="F83" i="30"/>
  <c r="G83" i="30"/>
  <c r="H83" i="30"/>
  <c r="I83" i="30"/>
  <c r="J83" i="30"/>
  <c r="K83" i="30"/>
  <c r="L83" i="30"/>
  <c r="M83" i="30"/>
  <c r="N83" i="30"/>
  <c r="O83" i="30"/>
  <c r="P83" i="30"/>
  <c r="Q83" i="30"/>
  <c r="R83" i="30"/>
  <c r="S83" i="30"/>
  <c r="T83" i="30"/>
  <c r="U83" i="30"/>
  <c r="V83" i="30"/>
  <c r="W83" i="30"/>
  <c r="X83" i="30"/>
  <c r="Y83" i="30"/>
  <c r="Z83" i="30"/>
  <c r="AA83" i="30"/>
  <c r="AB83" i="30"/>
  <c r="AC83" i="30"/>
  <c r="AD83" i="30"/>
  <c r="AE83" i="30"/>
  <c r="AF83" i="30"/>
  <c r="AG83" i="30"/>
  <c r="AH83" i="30"/>
  <c r="AI83" i="30"/>
  <c r="AJ83" i="30"/>
  <c r="AK83" i="30"/>
  <c r="AL83" i="30"/>
  <c r="AM83" i="30"/>
  <c r="AN83" i="30"/>
  <c r="AO83" i="30"/>
  <c r="AP83" i="30"/>
  <c r="AQ83" i="30"/>
  <c r="AR83" i="30"/>
  <c r="AS83" i="30"/>
  <c r="AT83" i="30"/>
  <c r="AU83" i="30"/>
  <c r="AV83" i="30"/>
  <c r="AW83" i="30"/>
  <c r="AX83" i="30"/>
  <c r="AY83" i="30"/>
  <c r="AZ83" i="30"/>
  <c r="BA83" i="30"/>
  <c r="BB83" i="30"/>
  <c r="BC83" i="30"/>
  <c r="BD83" i="30"/>
  <c r="BE83" i="30"/>
  <c r="BF83" i="30"/>
  <c r="BG83" i="30"/>
  <c r="BH83" i="30"/>
  <c r="BI83" i="30"/>
  <c r="BJ83" i="30"/>
  <c r="BK83" i="30"/>
  <c r="BL83" i="30"/>
  <c r="BM83" i="30"/>
  <c r="BN83" i="30"/>
  <c r="BO83" i="30"/>
  <c r="BP83" i="30"/>
  <c r="BQ83" i="30"/>
  <c r="BR83" i="30"/>
  <c r="BS83" i="30"/>
  <c r="BT83" i="30"/>
  <c r="BU83" i="30"/>
  <c r="BV83" i="30"/>
  <c r="BW83" i="30"/>
  <c r="BX83" i="30"/>
  <c r="BY83" i="30"/>
  <c r="BZ83" i="30"/>
  <c r="CA83" i="30"/>
  <c r="CB83" i="30"/>
  <c r="CC83" i="30"/>
  <c r="CD83" i="30"/>
  <c r="CE83" i="30"/>
  <c r="CF83" i="30"/>
  <c r="CG83" i="30"/>
  <c r="CH83" i="30"/>
  <c r="CI83" i="30"/>
  <c r="CJ83" i="30"/>
  <c r="CK83" i="30"/>
  <c r="CL83" i="30"/>
  <c r="CM83" i="30"/>
  <c r="CN83" i="30"/>
  <c r="CO83" i="30"/>
  <c r="CP83" i="30"/>
  <c r="CQ83" i="30"/>
  <c r="CR83" i="30"/>
  <c r="CS83" i="30"/>
  <c r="CT83" i="30"/>
  <c r="CU83" i="30"/>
  <c r="CV83" i="30"/>
  <c r="CW83" i="30"/>
  <c r="CX83" i="30"/>
  <c r="CY83" i="30"/>
  <c r="CZ83" i="30"/>
  <c r="DA83" i="30"/>
  <c r="DB83" i="30"/>
  <c r="DC83" i="30"/>
  <c r="DD83" i="30"/>
  <c r="DE83" i="30"/>
  <c r="DF83" i="30"/>
  <c r="DG83" i="30"/>
  <c r="DH83" i="30"/>
  <c r="DI83" i="30"/>
  <c r="DJ83" i="30"/>
  <c r="DK83" i="30"/>
  <c r="DL83" i="30"/>
  <c r="DM83" i="30"/>
  <c r="DN83" i="30"/>
  <c r="DO83" i="30"/>
  <c r="DP83" i="30"/>
  <c r="DQ83" i="30"/>
  <c r="DR83" i="30"/>
  <c r="DS83" i="30"/>
  <c r="DT83" i="30"/>
  <c r="DU83" i="30"/>
  <c r="DV83" i="30"/>
  <c r="DW83" i="30"/>
  <c r="DX83" i="30"/>
  <c r="DY83" i="30"/>
  <c r="DZ83" i="30"/>
  <c r="EA83" i="30"/>
  <c r="EB83" i="30"/>
  <c r="EC83" i="30"/>
  <c r="ED83" i="30"/>
  <c r="EE83" i="30"/>
  <c r="EF83" i="30"/>
  <c r="EG83" i="30"/>
  <c r="EH83" i="30"/>
  <c r="EI83" i="30"/>
  <c r="EJ83" i="30"/>
  <c r="EK83" i="30"/>
  <c r="EL83" i="30"/>
  <c r="EM83" i="30"/>
  <c r="EN83" i="30"/>
  <c r="EO83" i="30"/>
  <c r="EP83" i="30"/>
  <c r="EQ83" i="30"/>
  <c r="ER83" i="30"/>
  <c r="ES83" i="30"/>
  <c r="ET83" i="30"/>
  <c r="EU83" i="30"/>
  <c r="EV83" i="30"/>
  <c r="EW83" i="30"/>
  <c r="EX83" i="30"/>
  <c r="EY83" i="30"/>
  <c r="EZ83" i="30"/>
  <c r="FA83" i="30"/>
  <c r="FB83" i="30"/>
  <c r="FC83" i="30"/>
  <c r="FD83" i="30"/>
  <c r="FE83" i="30"/>
  <c r="FF83" i="30"/>
  <c r="FG83" i="30"/>
  <c r="FH83" i="30"/>
  <c r="FI83" i="30"/>
  <c r="FJ83" i="30"/>
  <c r="FK83" i="30"/>
  <c r="FL83" i="30"/>
  <c r="FM83" i="30"/>
  <c r="FN83" i="30"/>
  <c r="FO83" i="30"/>
  <c r="FP83" i="30"/>
  <c r="FQ83" i="30"/>
  <c r="FR83" i="30"/>
  <c r="FS83" i="30"/>
  <c r="FT83" i="30"/>
  <c r="FU83" i="30"/>
  <c r="FV83" i="30"/>
  <c r="FW83" i="30"/>
  <c r="FX83" i="30"/>
  <c r="FY83" i="30"/>
  <c r="FZ83" i="30"/>
  <c r="GA83" i="30"/>
  <c r="GB83" i="30"/>
  <c r="GC83" i="30"/>
  <c r="GD83" i="30"/>
  <c r="GE83" i="30"/>
  <c r="GF83" i="30"/>
  <c r="GG83" i="30"/>
  <c r="GH83" i="30"/>
  <c r="GI83" i="30"/>
  <c r="GJ83" i="30"/>
  <c r="GK83" i="30"/>
  <c r="GL83" i="30"/>
  <c r="GM83" i="30"/>
  <c r="GN83" i="30"/>
  <c r="GO83" i="30"/>
  <c r="GP83" i="30"/>
  <c r="GQ83" i="30"/>
  <c r="GR83" i="30"/>
  <c r="GS83" i="30"/>
  <c r="GT83" i="30"/>
  <c r="GU83" i="30"/>
  <c r="GV83" i="30"/>
  <c r="GW83" i="30"/>
  <c r="GX83" i="30"/>
  <c r="GY83" i="30"/>
  <c r="GZ83" i="30"/>
  <c r="HA83" i="30"/>
  <c r="HB83" i="30"/>
  <c r="HC83" i="30"/>
  <c r="HD83" i="30"/>
  <c r="HE83" i="30"/>
  <c r="HF83" i="30"/>
  <c r="HG83" i="30"/>
  <c r="HH83" i="30"/>
  <c r="HI83" i="30"/>
  <c r="HJ83" i="30"/>
  <c r="HK83" i="30"/>
  <c r="HL83" i="30"/>
  <c r="HM83" i="30"/>
  <c r="HN83" i="30"/>
  <c r="HO83" i="30"/>
  <c r="HP83" i="30"/>
  <c r="HQ83" i="30"/>
  <c r="HR83" i="30"/>
  <c r="HS83" i="30"/>
  <c r="HT83" i="30"/>
  <c r="HU83" i="30"/>
  <c r="HV83" i="30"/>
  <c r="HW83" i="30"/>
  <c r="HX83" i="30"/>
  <c r="HY83" i="30"/>
  <c r="HZ83" i="30"/>
  <c r="IA83" i="30"/>
  <c r="IB83" i="30"/>
  <c r="IC83" i="30"/>
  <c r="ID83" i="30"/>
  <c r="IE83" i="30"/>
  <c r="IF83" i="30"/>
  <c r="IG83" i="30"/>
  <c r="IH83" i="30"/>
  <c r="II83" i="30"/>
  <c r="IJ83" i="30"/>
  <c r="IK83" i="30"/>
  <c r="IL83" i="30"/>
  <c r="IM83" i="30"/>
  <c r="IN83" i="30"/>
  <c r="IO83" i="30"/>
  <c r="IP83" i="30"/>
  <c r="IQ83" i="30"/>
  <c r="IR83" i="30"/>
  <c r="IS83" i="30"/>
  <c r="IT83" i="30"/>
  <c r="IU83" i="30"/>
  <c r="IV83" i="30"/>
  <c r="A82" i="30"/>
  <c r="B82" i="30"/>
  <c r="C82" i="30"/>
  <c r="D82" i="30"/>
  <c r="E82" i="30"/>
  <c r="F82" i="30"/>
  <c r="G82" i="30"/>
  <c r="H82" i="30"/>
  <c r="I82" i="30"/>
  <c r="J82" i="30"/>
  <c r="K82" i="30"/>
  <c r="L82" i="30"/>
  <c r="M82" i="30"/>
  <c r="N82" i="30"/>
  <c r="O82" i="30"/>
  <c r="P82" i="30"/>
  <c r="Q82" i="30"/>
  <c r="R82" i="30"/>
  <c r="S82" i="30"/>
  <c r="T82" i="30"/>
  <c r="U82" i="30"/>
  <c r="V82" i="30"/>
  <c r="W82" i="30"/>
  <c r="X82" i="30"/>
  <c r="Y82" i="30"/>
  <c r="Z82" i="30"/>
  <c r="AA82" i="30"/>
  <c r="AB82" i="30"/>
  <c r="AC82" i="30"/>
  <c r="AD82" i="30"/>
  <c r="AE82" i="30"/>
  <c r="AF82" i="30"/>
  <c r="AG82" i="30"/>
  <c r="AH82" i="30"/>
  <c r="AI82" i="30"/>
  <c r="AJ82" i="30"/>
  <c r="AK82" i="30"/>
  <c r="AL82" i="30"/>
  <c r="AM82" i="30"/>
  <c r="AN82" i="30"/>
  <c r="AO82" i="30"/>
  <c r="AP82" i="30"/>
  <c r="AQ82" i="30"/>
  <c r="AR82" i="30"/>
  <c r="AS82" i="30"/>
  <c r="AT82" i="30"/>
  <c r="AU82" i="30"/>
  <c r="AV82" i="30"/>
  <c r="AW82" i="30"/>
  <c r="AX82" i="30"/>
  <c r="AY82" i="30"/>
  <c r="AZ82" i="30"/>
  <c r="BA82" i="30"/>
  <c r="BB82" i="30"/>
  <c r="BC82" i="30"/>
  <c r="BD82" i="30"/>
  <c r="BE82" i="30"/>
  <c r="BF82" i="30"/>
  <c r="BG82" i="30"/>
  <c r="BH82" i="30"/>
  <c r="BI82" i="30"/>
  <c r="BJ82" i="30"/>
  <c r="BK82" i="30"/>
  <c r="BL82" i="30"/>
  <c r="BM82" i="30"/>
  <c r="BN82" i="30"/>
  <c r="BO82" i="30"/>
  <c r="BP82" i="30"/>
  <c r="BQ82" i="30"/>
  <c r="BR82" i="30"/>
  <c r="BS82" i="30"/>
  <c r="BT82" i="30"/>
  <c r="BU82" i="30"/>
  <c r="BV82" i="30"/>
  <c r="BW82" i="30"/>
  <c r="BX82" i="30"/>
  <c r="BY82" i="30"/>
  <c r="BZ82" i="30"/>
  <c r="CA82" i="30"/>
  <c r="CB82" i="30"/>
  <c r="CC82" i="30"/>
  <c r="CD82" i="30"/>
  <c r="CE82" i="30"/>
  <c r="CF82" i="30"/>
  <c r="CG82" i="30"/>
  <c r="CH82" i="30"/>
  <c r="CI82" i="30"/>
  <c r="CJ82" i="30"/>
  <c r="CK82" i="30"/>
  <c r="CL82" i="30"/>
  <c r="CM82" i="30"/>
  <c r="CN82" i="30"/>
  <c r="CO82" i="30"/>
  <c r="CP82" i="30"/>
  <c r="CQ82" i="30"/>
  <c r="CR82" i="30"/>
  <c r="CS82" i="30"/>
  <c r="CT82" i="30"/>
  <c r="CU82" i="30"/>
  <c r="CV82" i="30"/>
  <c r="CW82" i="30"/>
  <c r="CX82" i="30"/>
  <c r="CY82" i="30"/>
  <c r="CZ82" i="30"/>
  <c r="DA82" i="30"/>
  <c r="DB82" i="30"/>
  <c r="DC82" i="30"/>
  <c r="DD82" i="30"/>
  <c r="DE82" i="30"/>
  <c r="DF82" i="30"/>
  <c r="DG82" i="30"/>
  <c r="DH82" i="30"/>
  <c r="DI82" i="30"/>
  <c r="DJ82" i="30"/>
  <c r="DK82" i="30"/>
  <c r="DL82" i="30"/>
  <c r="DM82" i="30"/>
  <c r="DN82" i="30"/>
  <c r="DO82" i="30"/>
  <c r="DP82" i="30"/>
  <c r="DQ82" i="30"/>
  <c r="DR82" i="30"/>
  <c r="DS82" i="30"/>
  <c r="DT82" i="30"/>
  <c r="DU82" i="30"/>
  <c r="DV82" i="30"/>
  <c r="DW82" i="30"/>
  <c r="DX82" i="30"/>
  <c r="DY82" i="30"/>
  <c r="DZ82" i="30"/>
  <c r="EA82" i="30"/>
  <c r="EB82" i="30"/>
  <c r="EC82" i="30"/>
  <c r="ED82" i="30"/>
  <c r="EE82" i="30"/>
  <c r="EF82" i="30"/>
  <c r="EG82" i="30"/>
  <c r="EH82" i="30"/>
  <c r="EI82" i="30"/>
  <c r="EJ82" i="30"/>
  <c r="EK82" i="30"/>
  <c r="EL82" i="30"/>
  <c r="EM82" i="30"/>
  <c r="EN82" i="30"/>
  <c r="EO82" i="30"/>
  <c r="EP82" i="30"/>
  <c r="EQ82" i="30"/>
  <c r="ER82" i="30"/>
  <c r="ES82" i="30"/>
  <c r="ET82" i="30"/>
  <c r="EU82" i="30"/>
  <c r="EV82" i="30"/>
  <c r="EW82" i="30"/>
  <c r="EX82" i="30"/>
  <c r="EY82" i="30"/>
  <c r="EZ82" i="30"/>
  <c r="FA82" i="30"/>
  <c r="FB82" i="30"/>
  <c r="FC82" i="30"/>
  <c r="FD82" i="30"/>
  <c r="FE82" i="30"/>
  <c r="FF82" i="30"/>
  <c r="FG82" i="30"/>
  <c r="FH82" i="30"/>
  <c r="FI82" i="30"/>
  <c r="FJ82" i="30"/>
  <c r="FK82" i="30"/>
  <c r="FL82" i="30"/>
  <c r="FM82" i="30"/>
  <c r="FN82" i="30"/>
  <c r="FO82" i="30"/>
  <c r="FP82" i="30"/>
  <c r="FQ82" i="30"/>
  <c r="FR82" i="30"/>
  <c r="FS82" i="30"/>
  <c r="FT82" i="30"/>
  <c r="FU82" i="30"/>
  <c r="FV82" i="30"/>
  <c r="FW82" i="30"/>
  <c r="FX82" i="30"/>
  <c r="FY82" i="30"/>
  <c r="FZ82" i="30"/>
  <c r="GA82" i="30"/>
  <c r="GB82" i="30"/>
  <c r="GC82" i="30"/>
  <c r="GD82" i="30"/>
  <c r="GE82" i="30"/>
  <c r="GF82" i="30"/>
  <c r="GG82" i="30"/>
  <c r="GH82" i="30"/>
  <c r="GI82" i="30"/>
  <c r="GJ82" i="30"/>
  <c r="GK82" i="30"/>
  <c r="GL82" i="30"/>
  <c r="GM82" i="30"/>
  <c r="GN82" i="30"/>
  <c r="GO82" i="30"/>
  <c r="GP82" i="30"/>
  <c r="GQ82" i="30"/>
  <c r="GR82" i="30"/>
  <c r="GS82" i="30"/>
  <c r="GT82" i="30"/>
  <c r="GU82" i="30"/>
  <c r="GV82" i="30"/>
  <c r="GW82" i="30"/>
  <c r="GX82" i="30"/>
  <c r="GY82" i="30"/>
  <c r="GZ82" i="30"/>
  <c r="HA82" i="30"/>
  <c r="HB82" i="30"/>
  <c r="HC82" i="30"/>
  <c r="HD82" i="30"/>
  <c r="HE82" i="30"/>
  <c r="HF82" i="30"/>
  <c r="HG82" i="30"/>
  <c r="HH82" i="30"/>
  <c r="HI82" i="30"/>
  <c r="HJ82" i="30"/>
  <c r="HK82" i="30"/>
  <c r="HL82" i="30"/>
  <c r="HM82" i="30"/>
  <c r="HN82" i="30"/>
  <c r="HO82" i="30"/>
  <c r="HP82" i="30"/>
  <c r="HQ82" i="30"/>
  <c r="HR82" i="30"/>
  <c r="HS82" i="30"/>
  <c r="HT82" i="30"/>
  <c r="HU82" i="30"/>
  <c r="HV82" i="30"/>
  <c r="HW82" i="30"/>
  <c r="HX82" i="30"/>
  <c r="HY82" i="30"/>
  <c r="HZ82" i="30"/>
  <c r="IA82" i="30"/>
  <c r="IB82" i="30"/>
  <c r="IC82" i="30"/>
  <c r="ID82" i="30"/>
  <c r="IE82" i="30"/>
  <c r="IF82" i="30"/>
  <c r="IG82" i="30"/>
  <c r="IH82" i="30"/>
  <c r="II82" i="30"/>
  <c r="IJ82" i="30"/>
  <c r="IK82" i="30"/>
  <c r="IL82" i="30"/>
  <c r="IM82" i="30"/>
  <c r="IN82" i="30"/>
  <c r="IO82" i="30"/>
  <c r="IP82" i="30"/>
  <c r="IQ82" i="30"/>
  <c r="IR82" i="30"/>
  <c r="IS82" i="30"/>
  <c r="IT82" i="30"/>
  <c r="IU82" i="30"/>
  <c r="IV82" i="30"/>
  <c r="A81" i="30"/>
  <c r="B81" i="30"/>
  <c r="C81" i="30"/>
  <c r="D81" i="30"/>
  <c r="E81" i="30"/>
  <c r="F81" i="30"/>
  <c r="G81" i="30"/>
  <c r="H81" i="30"/>
  <c r="I81" i="30"/>
  <c r="J81" i="30"/>
  <c r="K81" i="30"/>
  <c r="L81" i="30"/>
  <c r="M81" i="30"/>
  <c r="N81" i="30"/>
  <c r="O81" i="30"/>
  <c r="P81" i="30"/>
  <c r="Q81" i="30"/>
  <c r="R81" i="30"/>
  <c r="S81" i="30"/>
  <c r="T81" i="30"/>
  <c r="U81" i="30"/>
  <c r="V81" i="30"/>
  <c r="W81" i="30"/>
  <c r="X81" i="30"/>
  <c r="Y81" i="30"/>
  <c r="Z81" i="30"/>
  <c r="AA81" i="30"/>
  <c r="AB81" i="30"/>
  <c r="AC81" i="30"/>
  <c r="AD81" i="30"/>
  <c r="AE81" i="30"/>
  <c r="AF81" i="30"/>
  <c r="AG81" i="30"/>
  <c r="AH81" i="30"/>
  <c r="AI81" i="30"/>
  <c r="AJ81" i="30"/>
  <c r="AK81" i="30"/>
  <c r="AL81" i="30"/>
  <c r="AM81" i="30"/>
  <c r="AN81" i="30"/>
  <c r="AO81" i="30"/>
  <c r="AP81" i="30"/>
  <c r="AQ81" i="30"/>
  <c r="AR81" i="30"/>
  <c r="AS81" i="30"/>
  <c r="AT81" i="30"/>
  <c r="AU81" i="30"/>
  <c r="AV81" i="30"/>
  <c r="AW81" i="30"/>
  <c r="AX81" i="30"/>
  <c r="AY81" i="30"/>
  <c r="AZ81" i="30"/>
  <c r="BA81" i="30"/>
  <c r="BB81" i="30"/>
  <c r="BC81" i="30"/>
  <c r="BD81" i="30"/>
  <c r="BE81" i="30"/>
  <c r="BF81" i="30"/>
  <c r="BG81" i="30"/>
  <c r="BH81" i="30"/>
  <c r="BI81" i="30"/>
  <c r="BJ81" i="30"/>
  <c r="BK81" i="30"/>
  <c r="BL81" i="30"/>
  <c r="BM81" i="30"/>
  <c r="BN81" i="30"/>
  <c r="BO81" i="30"/>
  <c r="BP81" i="30"/>
  <c r="BQ81" i="30"/>
  <c r="BR81" i="30"/>
  <c r="BS81" i="30"/>
  <c r="BT81" i="30"/>
  <c r="BU81" i="30"/>
  <c r="BV81" i="30"/>
  <c r="BW81" i="30"/>
  <c r="BX81" i="30"/>
  <c r="BY81" i="30"/>
  <c r="BZ81" i="30"/>
  <c r="CA81" i="30"/>
  <c r="CB81" i="30"/>
  <c r="CC81" i="30"/>
  <c r="CD81" i="30"/>
  <c r="CE81" i="30"/>
  <c r="CF81" i="30"/>
  <c r="CG81" i="30"/>
  <c r="CH81" i="30"/>
  <c r="CI81" i="30"/>
  <c r="CJ81" i="30"/>
  <c r="CK81" i="30"/>
  <c r="CL81" i="30"/>
  <c r="CM81" i="30"/>
  <c r="CN81" i="30"/>
  <c r="CO81" i="30"/>
  <c r="CP81" i="30"/>
  <c r="CQ81" i="30"/>
  <c r="CR81" i="30"/>
  <c r="CS81" i="30"/>
  <c r="CT81" i="30"/>
  <c r="CU81" i="30"/>
  <c r="CV81" i="30"/>
  <c r="CW81" i="30"/>
  <c r="CX81" i="30"/>
  <c r="CY81" i="30"/>
  <c r="CZ81" i="30"/>
  <c r="DA81" i="30"/>
  <c r="DB81" i="30"/>
  <c r="DC81" i="30"/>
  <c r="DD81" i="30"/>
  <c r="DE81" i="30"/>
  <c r="DF81" i="30"/>
  <c r="DG81" i="30"/>
  <c r="DH81" i="30"/>
  <c r="DI81" i="30"/>
  <c r="DJ81" i="30"/>
  <c r="DK81" i="30"/>
  <c r="DL81" i="30"/>
  <c r="DM81" i="30"/>
  <c r="DN81" i="30"/>
  <c r="DO81" i="30"/>
  <c r="DP81" i="30"/>
  <c r="DQ81" i="30"/>
  <c r="DR81" i="30"/>
  <c r="DS81" i="30"/>
  <c r="DT81" i="30"/>
  <c r="DU81" i="30"/>
  <c r="DV81" i="30"/>
  <c r="DW81" i="30"/>
  <c r="DX81" i="30"/>
  <c r="DY81" i="30"/>
  <c r="DZ81" i="30"/>
  <c r="EA81" i="30"/>
  <c r="EB81" i="30"/>
  <c r="EC81" i="30"/>
  <c r="ED81" i="30"/>
  <c r="EE81" i="30"/>
  <c r="EF81" i="30"/>
  <c r="EG81" i="30"/>
  <c r="EH81" i="30"/>
  <c r="EI81" i="30"/>
  <c r="EJ81" i="30"/>
  <c r="EK81" i="30"/>
  <c r="EL81" i="30"/>
  <c r="EM81" i="30"/>
  <c r="EN81" i="30"/>
  <c r="EO81" i="30"/>
  <c r="EP81" i="30"/>
  <c r="EQ81" i="30"/>
  <c r="ER81" i="30"/>
  <c r="ES81" i="30"/>
  <c r="ET81" i="30"/>
  <c r="EU81" i="30"/>
  <c r="EV81" i="30"/>
  <c r="EW81" i="30"/>
  <c r="EX81" i="30"/>
  <c r="EY81" i="30"/>
  <c r="EZ81" i="30"/>
  <c r="FA81" i="30"/>
  <c r="FB81" i="30"/>
  <c r="FC81" i="30"/>
  <c r="FD81" i="30"/>
  <c r="FE81" i="30"/>
  <c r="FF81" i="30"/>
  <c r="FG81" i="30"/>
  <c r="FH81" i="30"/>
  <c r="FI81" i="30"/>
  <c r="FJ81" i="30"/>
  <c r="FK81" i="30"/>
  <c r="FL81" i="30"/>
  <c r="FM81" i="30"/>
  <c r="FN81" i="30"/>
  <c r="FO81" i="30"/>
  <c r="FP81" i="30"/>
  <c r="FQ81" i="30"/>
  <c r="FR81" i="30"/>
  <c r="FS81" i="30"/>
  <c r="FT81" i="30"/>
  <c r="FU81" i="30"/>
  <c r="FV81" i="30"/>
  <c r="FW81" i="30"/>
  <c r="FX81" i="30"/>
  <c r="FY81" i="30"/>
  <c r="FZ81" i="30"/>
  <c r="GA81" i="30"/>
  <c r="GB81" i="30"/>
  <c r="GC81" i="30"/>
  <c r="GD81" i="30"/>
  <c r="GE81" i="30"/>
  <c r="GF81" i="30"/>
  <c r="GG81" i="30"/>
  <c r="GH81" i="30"/>
  <c r="GI81" i="30"/>
  <c r="GJ81" i="30"/>
  <c r="GK81" i="30"/>
  <c r="GL81" i="30"/>
  <c r="GM81" i="30"/>
  <c r="GN81" i="30"/>
  <c r="GO81" i="30"/>
  <c r="GP81" i="30"/>
  <c r="GQ81" i="30"/>
  <c r="GR81" i="30"/>
  <c r="GS81" i="30"/>
  <c r="GT81" i="30"/>
  <c r="GU81" i="30"/>
  <c r="GV81" i="30"/>
  <c r="GW81" i="30"/>
  <c r="GX81" i="30"/>
  <c r="GY81" i="30"/>
  <c r="GZ81" i="30"/>
  <c r="HA81" i="30"/>
  <c r="HB81" i="30"/>
  <c r="HC81" i="30"/>
  <c r="HD81" i="30"/>
  <c r="HE81" i="30"/>
  <c r="HF81" i="30"/>
  <c r="HG81" i="30"/>
  <c r="HH81" i="30"/>
  <c r="HI81" i="30"/>
  <c r="HJ81" i="30"/>
  <c r="HK81" i="30"/>
  <c r="HL81" i="30"/>
  <c r="HM81" i="30"/>
  <c r="HN81" i="30"/>
  <c r="HO81" i="30"/>
  <c r="HP81" i="30"/>
  <c r="HQ81" i="30"/>
  <c r="HR81" i="30"/>
  <c r="HS81" i="30"/>
  <c r="HT81" i="30"/>
  <c r="HU81" i="30"/>
  <c r="HV81" i="30"/>
  <c r="HW81" i="30"/>
  <c r="HX81" i="30"/>
  <c r="HY81" i="30"/>
  <c r="HZ81" i="30"/>
  <c r="IA81" i="30"/>
  <c r="IB81" i="30"/>
  <c r="IC81" i="30"/>
  <c r="ID81" i="30"/>
  <c r="IE81" i="30"/>
  <c r="IF81" i="30"/>
  <c r="IG81" i="30"/>
  <c r="IH81" i="30"/>
  <c r="II81" i="30"/>
  <c r="IJ81" i="30"/>
  <c r="IK81" i="30"/>
  <c r="IL81" i="30"/>
  <c r="IM81" i="30"/>
  <c r="IN81" i="30"/>
  <c r="IO81" i="30"/>
  <c r="IP81" i="30"/>
  <c r="IQ81" i="30"/>
  <c r="IR81" i="30"/>
  <c r="IS81" i="30"/>
  <c r="IT81" i="30"/>
  <c r="IU81" i="30"/>
  <c r="IV81" i="30"/>
  <c r="A80" i="30"/>
  <c r="B80" i="30"/>
  <c r="C80" i="30"/>
  <c r="D80" i="30"/>
  <c r="E80" i="30"/>
  <c r="F80" i="30"/>
  <c r="G80" i="30"/>
  <c r="H80" i="30"/>
  <c r="I80" i="30"/>
  <c r="J80" i="30"/>
  <c r="K80" i="30"/>
  <c r="L80" i="30"/>
  <c r="M80" i="30"/>
  <c r="N80" i="30"/>
  <c r="O80" i="30"/>
  <c r="P80" i="30"/>
  <c r="Q80" i="30"/>
  <c r="R80" i="30"/>
  <c r="S80" i="30"/>
  <c r="T80" i="30"/>
  <c r="U80" i="30"/>
  <c r="V80" i="30"/>
  <c r="W80" i="30"/>
  <c r="X80" i="30"/>
  <c r="Y80" i="30"/>
  <c r="Z80" i="30"/>
  <c r="AA80" i="30"/>
  <c r="AB80" i="30"/>
  <c r="AC80" i="30"/>
  <c r="AD80" i="30"/>
  <c r="AE80" i="30"/>
  <c r="AF80" i="30"/>
  <c r="AG80" i="30"/>
  <c r="AH80" i="30"/>
  <c r="AI80" i="30"/>
  <c r="AJ80" i="30"/>
  <c r="AK80" i="30"/>
  <c r="AL80" i="30"/>
  <c r="AM80" i="30"/>
  <c r="AN80" i="30"/>
  <c r="AO80" i="30"/>
  <c r="AP80" i="30"/>
  <c r="AQ80" i="30"/>
  <c r="AR80" i="30"/>
  <c r="AS80" i="30"/>
  <c r="AT80" i="30"/>
  <c r="AU80" i="30"/>
  <c r="AV80" i="30"/>
  <c r="AW80" i="30"/>
  <c r="AX80" i="30"/>
  <c r="AY80" i="30"/>
  <c r="AZ80" i="30"/>
  <c r="BA80" i="30"/>
  <c r="BB80" i="30"/>
  <c r="BC80" i="30"/>
  <c r="BD80" i="30"/>
  <c r="BE80" i="30"/>
  <c r="BF80" i="30"/>
  <c r="BG80" i="30"/>
  <c r="BH80" i="30"/>
  <c r="BI80" i="30"/>
  <c r="BJ80" i="30"/>
  <c r="BK80" i="30"/>
  <c r="BL80" i="30"/>
  <c r="BM80" i="30"/>
  <c r="BN80" i="30"/>
  <c r="BO80" i="30"/>
  <c r="BP80" i="30"/>
  <c r="BQ80" i="30"/>
  <c r="BR80" i="30"/>
  <c r="BS80" i="30"/>
  <c r="BT80" i="30"/>
  <c r="BU80" i="30"/>
  <c r="BV80" i="30"/>
  <c r="BW80" i="30"/>
  <c r="BX80" i="30"/>
  <c r="BY80" i="30"/>
  <c r="BZ80" i="30"/>
  <c r="CA80" i="30"/>
  <c r="CB80" i="30"/>
  <c r="CC80" i="30"/>
  <c r="CD80" i="30"/>
  <c r="CE80" i="30"/>
  <c r="CF80" i="30"/>
  <c r="CG80" i="30"/>
  <c r="CH80" i="30"/>
  <c r="CI80" i="30"/>
  <c r="CJ80" i="30"/>
  <c r="CK80" i="30"/>
  <c r="CL80" i="30"/>
  <c r="CM80" i="30"/>
  <c r="CN80" i="30"/>
  <c r="CO80" i="30"/>
  <c r="CP80" i="30"/>
  <c r="CQ80" i="30"/>
  <c r="CR80" i="30"/>
  <c r="CS80" i="30"/>
  <c r="CT80" i="30"/>
  <c r="CU80" i="30"/>
  <c r="CV80" i="30"/>
  <c r="CW80" i="30"/>
  <c r="CX80" i="30"/>
  <c r="CY80" i="30"/>
  <c r="CZ80" i="30"/>
  <c r="DA80" i="30"/>
  <c r="DB80" i="30"/>
  <c r="DC80" i="30"/>
  <c r="DD80" i="30"/>
  <c r="DE80" i="30"/>
  <c r="DF80" i="30"/>
  <c r="DG80" i="30"/>
  <c r="DH80" i="30"/>
  <c r="DI80" i="30"/>
  <c r="DJ80" i="30"/>
  <c r="DK80" i="30"/>
  <c r="DL80" i="30"/>
  <c r="DM80" i="30"/>
  <c r="DN80" i="30"/>
  <c r="DO80" i="30"/>
  <c r="DP80" i="30"/>
  <c r="DQ80" i="30"/>
  <c r="DR80" i="30"/>
  <c r="DS80" i="30"/>
  <c r="DT80" i="30"/>
  <c r="DU80" i="30"/>
  <c r="DV80" i="30"/>
  <c r="DW80" i="30"/>
  <c r="DX80" i="30"/>
  <c r="DY80" i="30"/>
  <c r="DZ80" i="30"/>
  <c r="EA80" i="30"/>
  <c r="EB80" i="30"/>
  <c r="EC80" i="30"/>
  <c r="ED80" i="30"/>
  <c r="EE80" i="30"/>
  <c r="EF80" i="30"/>
  <c r="EG80" i="30"/>
  <c r="EH80" i="30"/>
  <c r="EI80" i="30"/>
  <c r="EJ80" i="30"/>
  <c r="EK80" i="30"/>
  <c r="EL80" i="30"/>
  <c r="EM80" i="30"/>
  <c r="EN80" i="30"/>
  <c r="EO80" i="30"/>
  <c r="EP80" i="30"/>
  <c r="EQ80" i="30"/>
  <c r="ER80" i="30"/>
  <c r="ES80" i="30"/>
  <c r="ET80" i="30"/>
  <c r="EU80" i="30"/>
  <c r="EV80" i="30"/>
  <c r="EW80" i="30"/>
  <c r="EX80" i="30"/>
  <c r="EY80" i="30"/>
  <c r="EZ80" i="30"/>
  <c r="FA80" i="30"/>
  <c r="FB80" i="30"/>
  <c r="FC80" i="30"/>
  <c r="FD80" i="30"/>
  <c r="FE80" i="30"/>
  <c r="FF80" i="30"/>
  <c r="FG80" i="30"/>
  <c r="FH80" i="30"/>
  <c r="FI80" i="30"/>
  <c r="FJ80" i="30"/>
  <c r="FK80" i="30"/>
  <c r="FL80" i="30"/>
  <c r="FM80" i="30"/>
  <c r="FN80" i="30"/>
  <c r="FO80" i="30"/>
  <c r="FP80" i="30"/>
  <c r="FQ80" i="30"/>
  <c r="FR80" i="30"/>
  <c r="FS80" i="30"/>
  <c r="FT80" i="30"/>
  <c r="FU80" i="30"/>
  <c r="FV80" i="30"/>
  <c r="FW80" i="30"/>
  <c r="FX80" i="30"/>
  <c r="FY80" i="30"/>
  <c r="FZ80" i="30"/>
  <c r="GA80" i="30"/>
  <c r="GB80" i="30"/>
  <c r="GC80" i="30"/>
  <c r="GD80" i="30"/>
  <c r="GE80" i="30"/>
  <c r="GF80" i="30"/>
  <c r="GG80" i="30"/>
  <c r="GH80" i="30"/>
  <c r="GI80" i="30"/>
  <c r="GJ80" i="30"/>
  <c r="GK80" i="30"/>
  <c r="GL80" i="30"/>
  <c r="GM80" i="30"/>
  <c r="GN80" i="30"/>
  <c r="GO80" i="30"/>
  <c r="GP80" i="30"/>
  <c r="GQ80" i="30"/>
  <c r="GR80" i="30"/>
  <c r="GS80" i="30"/>
  <c r="GT80" i="30"/>
  <c r="GU80" i="30"/>
  <c r="GV80" i="30"/>
  <c r="GW80" i="30"/>
  <c r="GX80" i="30"/>
  <c r="GY80" i="30"/>
  <c r="GZ80" i="30"/>
  <c r="HA80" i="30"/>
  <c r="HB80" i="30"/>
  <c r="HC80" i="30"/>
  <c r="HD80" i="30"/>
  <c r="HE80" i="30"/>
  <c r="HF80" i="30"/>
  <c r="HG80" i="30"/>
  <c r="HH80" i="30"/>
  <c r="HI80" i="30"/>
  <c r="HJ80" i="30"/>
  <c r="HK80" i="30"/>
  <c r="HL80" i="30"/>
  <c r="HM80" i="30"/>
  <c r="HN80" i="30"/>
  <c r="HO80" i="30"/>
  <c r="HP80" i="30"/>
  <c r="HQ80" i="30"/>
  <c r="HR80" i="30"/>
  <c r="HS80" i="30"/>
  <c r="HT80" i="30"/>
  <c r="HU80" i="30"/>
  <c r="HV80" i="30"/>
  <c r="HW80" i="30"/>
  <c r="HX80" i="30"/>
  <c r="HY80" i="30"/>
  <c r="HZ80" i="30"/>
  <c r="IA80" i="30"/>
  <c r="IB80" i="30"/>
  <c r="IC80" i="30"/>
  <c r="ID80" i="30"/>
  <c r="IE80" i="30"/>
  <c r="IF80" i="30"/>
  <c r="IG80" i="30"/>
  <c r="IH80" i="30"/>
  <c r="II80" i="30"/>
  <c r="IJ80" i="30"/>
  <c r="IK80" i="30"/>
  <c r="IL80" i="30"/>
  <c r="IM80" i="30"/>
  <c r="IN80" i="30"/>
  <c r="IO80" i="30"/>
  <c r="IP80" i="30"/>
  <c r="IQ80" i="30"/>
  <c r="IR80" i="30"/>
  <c r="IS80" i="30"/>
  <c r="IT80" i="30"/>
  <c r="IU80" i="30"/>
  <c r="IV80" i="30"/>
  <c r="A79" i="30"/>
  <c r="B79" i="30"/>
  <c r="C79" i="30"/>
  <c r="D79" i="30"/>
  <c r="E79" i="30"/>
  <c r="F79" i="30"/>
  <c r="G79" i="30"/>
  <c r="H79" i="30"/>
  <c r="I79" i="30"/>
  <c r="J79" i="30"/>
  <c r="K79" i="30"/>
  <c r="L79" i="30"/>
  <c r="M79" i="30"/>
  <c r="N79" i="30"/>
  <c r="O79" i="30"/>
  <c r="P79" i="30"/>
  <c r="Q79" i="30"/>
  <c r="R79" i="30"/>
  <c r="S79" i="30"/>
  <c r="T79" i="30"/>
  <c r="U79" i="30"/>
  <c r="V79" i="30"/>
  <c r="W79" i="30"/>
  <c r="X79" i="30"/>
  <c r="Y79" i="30"/>
  <c r="Z79" i="30"/>
  <c r="AA79" i="30"/>
  <c r="AB79" i="30"/>
  <c r="AC79" i="30"/>
  <c r="AD79" i="30"/>
  <c r="AE79" i="30"/>
  <c r="AF79" i="30"/>
  <c r="AG79" i="30"/>
  <c r="AH79" i="30"/>
  <c r="AI79" i="30"/>
  <c r="AJ79" i="30"/>
  <c r="AK79" i="30"/>
  <c r="AL79" i="30"/>
  <c r="AM79" i="30"/>
  <c r="AN79" i="30"/>
  <c r="AO79" i="30"/>
  <c r="AP79" i="30"/>
  <c r="AQ79" i="30"/>
  <c r="AR79" i="30"/>
  <c r="AS79" i="30"/>
  <c r="AT79" i="30"/>
  <c r="AU79" i="30"/>
  <c r="AV79" i="30"/>
  <c r="AW79" i="30"/>
  <c r="AX79" i="30"/>
  <c r="AY79" i="30"/>
  <c r="AZ79" i="30"/>
  <c r="BA79" i="30"/>
  <c r="BB79" i="30"/>
  <c r="BC79" i="30"/>
  <c r="BD79" i="30"/>
  <c r="BE79" i="30"/>
  <c r="BF79" i="30"/>
  <c r="BG79" i="30"/>
  <c r="BH79" i="30"/>
  <c r="BI79" i="30"/>
  <c r="BJ79" i="30"/>
  <c r="BK79" i="30"/>
  <c r="BL79" i="30"/>
  <c r="BM79" i="30"/>
  <c r="BN79" i="30"/>
  <c r="BO79" i="30"/>
  <c r="BP79" i="30"/>
  <c r="BQ79" i="30"/>
  <c r="BR79" i="30"/>
  <c r="BS79" i="30"/>
  <c r="BT79" i="30"/>
  <c r="BU79" i="30"/>
  <c r="BV79" i="30"/>
  <c r="BW79" i="30"/>
  <c r="BX79" i="30"/>
  <c r="BY79" i="30"/>
  <c r="BZ79" i="30"/>
  <c r="CA79" i="30"/>
  <c r="CB79" i="30"/>
  <c r="CC79" i="30"/>
  <c r="CD79" i="30"/>
  <c r="CE79" i="30"/>
  <c r="CF79" i="30"/>
  <c r="CG79" i="30"/>
  <c r="CH79" i="30"/>
  <c r="CI79" i="30"/>
  <c r="CJ79" i="30"/>
  <c r="CK79" i="30"/>
  <c r="CL79" i="30"/>
  <c r="CM79" i="30"/>
  <c r="CN79" i="30"/>
  <c r="CO79" i="30"/>
  <c r="CP79" i="30"/>
  <c r="CQ79" i="30"/>
  <c r="CR79" i="30"/>
  <c r="CS79" i="30"/>
  <c r="CT79" i="30"/>
  <c r="CU79" i="30"/>
  <c r="CV79" i="30"/>
  <c r="CW79" i="30"/>
  <c r="CX79" i="30"/>
  <c r="CY79" i="30"/>
  <c r="CZ79" i="30"/>
  <c r="DA79" i="30"/>
  <c r="DB79" i="30"/>
  <c r="DC79" i="30"/>
  <c r="DD79" i="30"/>
  <c r="DE79" i="30"/>
  <c r="DF79" i="30"/>
  <c r="DG79" i="30"/>
  <c r="DH79" i="30"/>
  <c r="DI79" i="30"/>
  <c r="DJ79" i="30"/>
  <c r="DK79" i="30"/>
  <c r="DL79" i="30"/>
  <c r="DM79" i="30"/>
  <c r="DN79" i="30"/>
  <c r="DO79" i="30"/>
  <c r="DP79" i="30"/>
  <c r="DQ79" i="30"/>
  <c r="DR79" i="30"/>
  <c r="DS79" i="30"/>
  <c r="DT79" i="30"/>
  <c r="DU79" i="30"/>
  <c r="DV79" i="30"/>
  <c r="DW79" i="30"/>
  <c r="DX79" i="30"/>
  <c r="DY79" i="30"/>
  <c r="DZ79" i="30"/>
  <c r="EA79" i="30"/>
  <c r="EB79" i="30"/>
  <c r="EC79" i="30"/>
  <c r="ED79" i="30"/>
  <c r="EE79" i="30"/>
  <c r="EF79" i="30"/>
  <c r="EG79" i="30"/>
  <c r="EH79" i="30"/>
  <c r="EI79" i="30"/>
  <c r="EJ79" i="30"/>
  <c r="EK79" i="30"/>
  <c r="EL79" i="30"/>
  <c r="EM79" i="30"/>
  <c r="EN79" i="30"/>
  <c r="EO79" i="30"/>
  <c r="EP79" i="30"/>
  <c r="EQ79" i="30"/>
  <c r="ER79" i="30"/>
  <c r="ES79" i="30"/>
  <c r="ET79" i="30"/>
  <c r="EU79" i="30"/>
  <c r="EV79" i="30"/>
  <c r="EW79" i="30"/>
  <c r="EX79" i="30"/>
  <c r="EY79" i="30"/>
  <c r="EZ79" i="30"/>
  <c r="FA79" i="30"/>
  <c r="FB79" i="30"/>
  <c r="FC79" i="30"/>
  <c r="FD79" i="30"/>
  <c r="FE79" i="30"/>
  <c r="FF79" i="30"/>
  <c r="FG79" i="30"/>
  <c r="FH79" i="30"/>
  <c r="FI79" i="30"/>
  <c r="FJ79" i="30"/>
  <c r="FK79" i="30"/>
  <c r="FL79" i="30"/>
  <c r="FM79" i="30"/>
  <c r="FN79" i="30"/>
  <c r="FO79" i="30"/>
  <c r="FP79" i="30"/>
  <c r="FQ79" i="30"/>
  <c r="FR79" i="30"/>
  <c r="FS79" i="30"/>
  <c r="FT79" i="30"/>
  <c r="FU79" i="30"/>
  <c r="FV79" i="30"/>
  <c r="FW79" i="30"/>
  <c r="FX79" i="30"/>
  <c r="FY79" i="30"/>
  <c r="FZ79" i="30"/>
  <c r="GA79" i="30"/>
  <c r="GB79" i="30"/>
  <c r="GC79" i="30"/>
  <c r="GD79" i="30"/>
  <c r="GE79" i="30"/>
  <c r="GF79" i="30"/>
  <c r="GG79" i="30"/>
  <c r="GH79" i="30"/>
  <c r="GI79" i="30"/>
  <c r="GJ79" i="30"/>
  <c r="GK79" i="30"/>
  <c r="GL79" i="30"/>
  <c r="GM79" i="30"/>
  <c r="GN79" i="30"/>
  <c r="GO79" i="30"/>
  <c r="GP79" i="30"/>
  <c r="GQ79" i="30"/>
  <c r="GR79" i="30"/>
  <c r="GS79" i="30"/>
  <c r="GT79" i="30"/>
  <c r="GU79" i="30"/>
  <c r="GV79" i="30"/>
  <c r="GW79" i="30"/>
  <c r="GX79" i="30"/>
  <c r="GY79" i="30"/>
  <c r="GZ79" i="30"/>
  <c r="HA79" i="30"/>
  <c r="HB79" i="30"/>
  <c r="HC79" i="30"/>
  <c r="HD79" i="30"/>
  <c r="HE79" i="30"/>
  <c r="HF79" i="30"/>
  <c r="HG79" i="30"/>
  <c r="HH79" i="30"/>
  <c r="HI79" i="30"/>
  <c r="HJ79" i="30"/>
  <c r="HK79" i="30"/>
  <c r="HL79" i="30"/>
  <c r="HM79" i="30"/>
  <c r="HN79" i="30"/>
  <c r="HO79" i="30"/>
  <c r="HP79" i="30"/>
  <c r="HQ79" i="30"/>
  <c r="HR79" i="30"/>
  <c r="HS79" i="30"/>
  <c r="HT79" i="30"/>
  <c r="HU79" i="30"/>
  <c r="HV79" i="30"/>
  <c r="HW79" i="30"/>
  <c r="HX79" i="30"/>
  <c r="HY79" i="30"/>
  <c r="HZ79" i="30"/>
  <c r="IA79" i="30"/>
  <c r="IB79" i="30"/>
  <c r="IC79" i="30"/>
  <c r="ID79" i="30"/>
  <c r="IE79" i="30"/>
  <c r="IF79" i="30"/>
  <c r="IG79" i="30"/>
  <c r="IH79" i="30"/>
  <c r="II79" i="30"/>
  <c r="IJ79" i="30"/>
  <c r="IK79" i="30"/>
  <c r="IL79" i="30"/>
  <c r="IM79" i="30"/>
  <c r="IN79" i="30"/>
  <c r="IO79" i="30"/>
  <c r="IP79" i="30"/>
  <c r="IQ79" i="30"/>
  <c r="IR79" i="30"/>
  <c r="IS79" i="30"/>
  <c r="IT79" i="30"/>
  <c r="IU79" i="30"/>
  <c r="IV79" i="30"/>
  <c r="A78" i="30"/>
  <c r="B78" i="30"/>
  <c r="C78" i="30"/>
  <c r="D78" i="30"/>
  <c r="E78" i="30"/>
  <c r="F78" i="30"/>
  <c r="G78" i="30"/>
  <c r="H78" i="30"/>
  <c r="I78" i="30"/>
  <c r="J78" i="30"/>
  <c r="K78" i="30"/>
  <c r="L78" i="30"/>
  <c r="M78" i="30"/>
  <c r="N78" i="30"/>
  <c r="O78" i="30"/>
  <c r="P78" i="30"/>
  <c r="Q78" i="30"/>
  <c r="R78" i="30"/>
  <c r="S78" i="30"/>
  <c r="T78" i="30"/>
  <c r="U78" i="30"/>
  <c r="V78" i="30"/>
  <c r="W78" i="30"/>
  <c r="X78" i="30"/>
  <c r="Y78" i="30"/>
  <c r="Z78" i="30"/>
  <c r="AA78" i="30"/>
  <c r="AB78" i="30"/>
  <c r="AC78" i="30"/>
  <c r="AD78" i="30"/>
  <c r="AE78" i="30"/>
  <c r="AF78" i="30"/>
  <c r="AG78" i="30"/>
  <c r="AH78" i="30"/>
  <c r="AI78" i="30"/>
  <c r="AJ78" i="30"/>
  <c r="AK78" i="30"/>
  <c r="AL78" i="30"/>
  <c r="AM78" i="30"/>
  <c r="AN78" i="30"/>
  <c r="AO78" i="30"/>
  <c r="AP78" i="30"/>
  <c r="AQ78" i="30"/>
  <c r="AR78" i="30"/>
  <c r="AS78" i="30"/>
  <c r="AT78" i="30"/>
  <c r="AU78" i="30"/>
  <c r="AV78" i="30"/>
  <c r="AW78" i="30"/>
  <c r="AX78" i="30"/>
  <c r="AY78" i="30"/>
  <c r="AZ78" i="30"/>
  <c r="BA78" i="30"/>
  <c r="BB78" i="30"/>
  <c r="BC78" i="30"/>
  <c r="BD78" i="30"/>
  <c r="BE78" i="30"/>
  <c r="BF78" i="30"/>
  <c r="BG78" i="30"/>
  <c r="BH78" i="30"/>
  <c r="BI78" i="30"/>
  <c r="BJ78" i="30"/>
  <c r="BK78" i="30"/>
  <c r="BL78" i="30"/>
  <c r="BM78" i="30"/>
  <c r="BN78" i="30"/>
  <c r="BO78" i="30"/>
  <c r="BP78" i="30"/>
  <c r="BQ78" i="30"/>
  <c r="BR78" i="30"/>
  <c r="BS78" i="30"/>
  <c r="BT78" i="30"/>
  <c r="BU78" i="30"/>
  <c r="BV78" i="30"/>
  <c r="BW78" i="30"/>
  <c r="BX78" i="30"/>
  <c r="BY78" i="30"/>
  <c r="BZ78" i="30"/>
  <c r="CA78" i="30"/>
  <c r="CB78" i="30"/>
  <c r="CC78" i="30"/>
  <c r="CD78" i="30"/>
  <c r="CE78" i="30"/>
  <c r="CF78" i="30"/>
  <c r="CG78" i="30"/>
  <c r="CH78" i="30"/>
  <c r="CI78" i="30"/>
  <c r="CJ78" i="30"/>
  <c r="CK78" i="30"/>
  <c r="CL78" i="30"/>
  <c r="CM78" i="30"/>
  <c r="CN78" i="30"/>
  <c r="CO78" i="30"/>
  <c r="CP78" i="30"/>
  <c r="CQ78" i="30"/>
  <c r="CR78" i="30"/>
  <c r="CS78" i="30"/>
  <c r="CT78" i="30"/>
  <c r="CU78" i="30"/>
  <c r="CV78" i="30"/>
  <c r="CW78" i="30"/>
  <c r="CX78" i="30"/>
  <c r="CY78" i="30"/>
  <c r="CZ78" i="30"/>
  <c r="DA78" i="30"/>
  <c r="DB78" i="30"/>
  <c r="DC78" i="30"/>
  <c r="DD78" i="30"/>
  <c r="DE78" i="30"/>
  <c r="DF78" i="30"/>
  <c r="DG78" i="30"/>
  <c r="DH78" i="30"/>
  <c r="DI78" i="30"/>
  <c r="DJ78" i="30"/>
  <c r="DK78" i="30"/>
  <c r="DL78" i="30"/>
  <c r="DM78" i="30"/>
  <c r="DN78" i="30"/>
  <c r="DO78" i="30"/>
  <c r="DP78" i="30"/>
  <c r="DQ78" i="30"/>
  <c r="DR78" i="30"/>
  <c r="DS78" i="30"/>
  <c r="DT78" i="30"/>
  <c r="DU78" i="30"/>
  <c r="DV78" i="30"/>
  <c r="DW78" i="30"/>
  <c r="DX78" i="30"/>
  <c r="DY78" i="30"/>
  <c r="DZ78" i="30"/>
  <c r="EA78" i="30"/>
  <c r="EB78" i="30"/>
  <c r="EC78" i="30"/>
  <c r="ED78" i="30"/>
  <c r="EE78" i="30"/>
  <c r="EF78" i="30"/>
  <c r="EG78" i="30"/>
  <c r="EH78" i="30"/>
  <c r="EI78" i="30"/>
  <c r="EJ78" i="30"/>
  <c r="EK78" i="30"/>
  <c r="EL78" i="30"/>
  <c r="EM78" i="30"/>
  <c r="EN78" i="30"/>
  <c r="EO78" i="30"/>
  <c r="EP78" i="30"/>
  <c r="EQ78" i="30"/>
  <c r="ER78" i="30"/>
  <c r="ES78" i="30"/>
  <c r="ET78" i="30"/>
  <c r="EU78" i="30"/>
  <c r="EV78" i="30"/>
  <c r="EW78" i="30"/>
  <c r="EX78" i="30"/>
  <c r="EY78" i="30"/>
  <c r="EZ78" i="30"/>
  <c r="FA78" i="30"/>
  <c r="FB78" i="30"/>
  <c r="FC78" i="30"/>
  <c r="FD78" i="30"/>
  <c r="FE78" i="30"/>
  <c r="FF78" i="30"/>
  <c r="FG78" i="30"/>
  <c r="FH78" i="30"/>
  <c r="FI78" i="30"/>
  <c r="FJ78" i="30"/>
  <c r="FK78" i="30"/>
  <c r="FL78" i="30"/>
  <c r="FM78" i="30"/>
  <c r="FN78" i="30"/>
  <c r="FO78" i="30"/>
  <c r="FP78" i="30"/>
  <c r="FQ78" i="30"/>
  <c r="FR78" i="30"/>
  <c r="FS78" i="30"/>
  <c r="FT78" i="30"/>
  <c r="FU78" i="30"/>
  <c r="FV78" i="30"/>
  <c r="FW78" i="30"/>
  <c r="FX78" i="30"/>
  <c r="FY78" i="30"/>
  <c r="FZ78" i="30"/>
  <c r="GA78" i="30"/>
  <c r="GB78" i="30"/>
  <c r="GC78" i="30"/>
  <c r="GD78" i="30"/>
  <c r="GE78" i="30"/>
  <c r="GF78" i="30"/>
  <c r="GG78" i="30"/>
  <c r="GH78" i="30"/>
  <c r="GI78" i="30"/>
  <c r="GJ78" i="30"/>
  <c r="GK78" i="30"/>
  <c r="GL78" i="30"/>
  <c r="GM78" i="30"/>
  <c r="GN78" i="30"/>
  <c r="GO78" i="30"/>
  <c r="GP78" i="30"/>
  <c r="GQ78" i="30"/>
  <c r="GR78" i="30"/>
  <c r="GS78" i="30"/>
  <c r="GT78" i="30"/>
  <c r="GU78" i="30"/>
  <c r="GV78" i="30"/>
  <c r="GW78" i="30"/>
  <c r="GX78" i="30"/>
  <c r="GY78" i="30"/>
  <c r="GZ78" i="30"/>
  <c r="HA78" i="30"/>
  <c r="HB78" i="30"/>
  <c r="HC78" i="30"/>
  <c r="HD78" i="30"/>
  <c r="HE78" i="30"/>
  <c r="HF78" i="30"/>
  <c r="HG78" i="30"/>
  <c r="HH78" i="30"/>
  <c r="HI78" i="30"/>
  <c r="HJ78" i="30"/>
  <c r="HK78" i="30"/>
  <c r="HL78" i="30"/>
  <c r="HM78" i="30"/>
  <c r="HN78" i="30"/>
  <c r="HO78" i="30"/>
  <c r="HP78" i="30"/>
  <c r="HQ78" i="30"/>
  <c r="HR78" i="30"/>
  <c r="HS78" i="30"/>
  <c r="HT78" i="30"/>
  <c r="HU78" i="30"/>
  <c r="HV78" i="30"/>
  <c r="HW78" i="30"/>
  <c r="HX78" i="30"/>
  <c r="HY78" i="30"/>
  <c r="HZ78" i="30"/>
  <c r="IA78" i="30"/>
  <c r="IB78" i="30"/>
  <c r="IC78" i="30"/>
  <c r="ID78" i="30"/>
  <c r="IE78" i="30"/>
  <c r="IF78" i="30"/>
  <c r="IG78" i="30"/>
  <c r="IH78" i="30"/>
  <c r="II78" i="30"/>
  <c r="IJ78" i="30"/>
  <c r="IK78" i="30"/>
  <c r="IL78" i="30"/>
  <c r="IM78" i="30"/>
  <c r="IN78" i="30"/>
  <c r="IO78" i="30"/>
  <c r="IP78" i="30"/>
  <c r="IQ78" i="30"/>
  <c r="IR78" i="30"/>
  <c r="IS78" i="30"/>
  <c r="IT78" i="30"/>
  <c r="IU78" i="30"/>
  <c r="IV78" i="30"/>
  <c r="A77" i="30"/>
  <c r="B77" i="30"/>
  <c r="C77" i="30"/>
  <c r="D77" i="30"/>
  <c r="E77" i="30"/>
  <c r="F77" i="30"/>
  <c r="G77" i="30"/>
  <c r="H77" i="30"/>
  <c r="I77" i="30"/>
  <c r="J77" i="30"/>
  <c r="K77" i="30"/>
  <c r="L77" i="30"/>
  <c r="M77" i="30"/>
  <c r="N77" i="30"/>
  <c r="O77" i="30"/>
  <c r="P77" i="30"/>
  <c r="Q77" i="30"/>
  <c r="R77" i="30"/>
  <c r="S77" i="30"/>
  <c r="T77" i="30"/>
  <c r="U77" i="30"/>
  <c r="V77" i="30"/>
  <c r="W77" i="30"/>
  <c r="X77" i="30"/>
  <c r="Y77" i="30"/>
  <c r="Z77" i="30"/>
  <c r="AA77" i="30"/>
  <c r="AB77" i="30"/>
  <c r="AC77" i="30"/>
  <c r="AD77" i="30"/>
  <c r="AE77" i="30"/>
  <c r="AF77" i="30"/>
  <c r="AG77" i="30"/>
  <c r="AH77" i="30"/>
  <c r="AI77" i="30"/>
  <c r="AJ77" i="30"/>
  <c r="AK77" i="30"/>
  <c r="AL77" i="30"/>
  <c r="AM77" i="30"/>
  <c r="AN77" i="30"/>
  <c r="AO77" i="30"/>
  <c r="AP77" i="30"/>
  <c r="AQ77" i="30"/>
  <c r="AR77" i="30"/>
  <c r="AS77" i="30"/>
  <c r="AT77" i="30"/>
  <c r="AU77" i="30"/>
  <c r="AV77" i="30"/>
  <c r="AW77" i="30"/>
  <c r="AX77" i="30"/>
  <c r="AY77" i="30"/>
  <c r="AZ77" i="30"/>
  <c r="BA77" i="30"/>
  <c r="BB77" i="30"/>
  <c r="BC77" i="30"/>
  <c r="BD77" i="30"/>
  <c r="BE77" i="30"/>
  <c r="BF77" i="30"/>
  <c r="BG77" i="30"/>
  <c r="BH77" i="30"/>
  <c r="BI77" i="30"/>
  <c r="BJ77" i="30"/>
  <c r="BK77" i="30"/>
  <c r="BL77" i="30"/>
  <c r="BM77" i="30"/>
  <c r="BN77" i="30"/>
  <c r="BO77" i="30"/>
  <c r="BP77" i="30"/>
  <c r="BQ77" i="30"/>
  <c r="BR77" i="30"/>
  <c r="BS77" i="30"/>
  <c r="BT77" i="30"/>
  <c r="BU77" i="30"/>
  <c r="BV77" i="30"/>
  <c r="BW77" i="30"/>
  <c r="BX77" i="30"/>
  <c r="BY77" i="30"/>
  <c r="BZ77" i="30"/>
  <c r="CA77" i="30"/>
  <c r="CB77" i="30"/>
  <c r="CC77" i="30"/>
  <c r="CD77" i="30"/>
  <c r="CE77" i="30"/>
  <c r="CF77" i="30"/>
  <c r="CG77" i="30"/>
  <c r="CH77" i="30"/>
  <c r="CI77" i="30"/>
  <c r="CJ77" i="30"/>
  <c r="CK77" i="30"/>
  <c r="CL77" i="30"/>
  <c r="CM77" i="30"/>
  <c r="CN77" i="30"/>
  <c r="CO77" i="30"/>
  <c r="CP77" i="30"/>
  <c r="CQ77" i="30"/>
  <c r="CR77" i="30"/>
  <c r="CS77" i="30"/>
  <c r="CT77" i="30"/>
  <c r="CU77" i="30"/>
  <c r="CV77" i="30"/>
  <c r="CW77" i="30"/>
  <c r="CX77" i="30"/>
  <c r="CY77" i="30"/>
  <c r="CZ77" i="30"/>
  <c r="DA77" i="30"/>
  <c r="DB77" i="30"/>
  <c r="DC77" i="30"/>
  <c r="DD77" i="30"/>
  <c r="DE77" i="30"/>
  <c r="DF77" i="30"/>
  <c r="DG77" i="30"/>
  <c r="DH77" i="30"/>
  <c r="DI77" i="30"/>
  <c r="DJ77" i="30"/>
  <c r="DK77" i="30"/>
  <c r="DL77" i="30"/>
  <c r="DM77" i="30"/>
  <c r="DN77" i="30"/>
  <c r="DO77" i="30"/>
  <c r="DP77" i="30"/>
  <c r="DQ77" i="30"/>
  <c r="DR77" i="30"/>
  <c r="DS77" i="30"/>
  <c r="DT77" i="30"/>
  <c r="DU77" i="30"/>
  <c r="DV77" i="30"/>
  <c r="DW77" i="30"/>
  <c r="DX77" i="30"/>
  <c r="DY77" i="30"/>
  <c r="DZ77" i="30"/>
  <c r="EA77" i="30"/>
  <c r="EB77" i="30"/>
  <c r="EC77" i="30"/>
  <c r="ED77" i="30"/>
  <c r="EE77" i="30"/>
  <c r="EF77" i="30"/>
  <c r="EG77" i="30"/>
  <c r="EH77" i="30"/>
  <c r="EI77" i="30"/>
  <c r="EJ77" i="30"/>
  <c r="EK77" i="30"/>
  <c r="EL77" i="30"/>
  <c r="EM77" i="30"/>
  <c r="EN77" i="30"/>
  <c r="EO77" i="30"/>
  <c r="EP77" i="30"/>
  <c r="EQ77" i="30"/>
  <c r="ER77" i="30"/>
  <c r="ES77" i="30"/>
  <c r="ET77" i="30"/>
  <c r="EU77" i="30"/>
  <c r="EV77" i="30"/>
  <c r="EW77" i="30"/>
  <c r="EX77" i="30"/>
  <c r="EY77" i="30"/>
  <c r="EZ77" i="30"/>
  <c r="FA77" i="30"/>
  <c r="FB77" i="30"/>
  <c r="FC77" i="30"/>
  <c r="FD77" i="30"/>
  <c r="FE77" i="30"/>
  <c r="FF77" i="30"/>
  <c r="FG77" i="30"/>
  <c r="FH77" i="30"/>
  <c r="FI77" i="30"/>
  <c r="FJ77" i="30"/>
  <c r="FK77" i="30"/>
  <c r="FL77" i="30"/>
  <c r="FM77" i="30"/>
  <c r="FN77" i="30"/>
  <c r="FO77" i="30"/>
  <c r="FP77" i="30"/>
  <c r="FQ77" i="30"/>
  <c r="FR77" i="30"/>
  <c r="FS77" i="30"/>
  <c r="FT77" i="30"/>
  <c r="FU77" i="30"/>
  <c r="FV77" i="30"/>
  <c r="FW77" i="30"/>
  <c r="FX77" i="30"/>
  <c r="FY77" i="30"/>
  <c r="FZ77" i="30"/>
  <c r="GA77" i="30"/>
  <c r="GB77" i="30"/>
  <c r="GC77" i="30"/>
  <c r="GD77" i="30"/>
  <c r="GE77" i="30"/>
  <c r="GF77" i="30"/>
  <c r="GG77" i="30"/>
  <c r="GH77" i="30"/>
  <c r="GI77" i="30"/>
  <c r="GJ77" i="30"/>
  <c r="GK77" i="30"/>
  <c r="GL77" i="30"/>
  <c r="GM77" i="30"/>
  <c r="GN77" i="30"/>
  <c r="GO77" i="30"/>
  <c r="GP77" i="30"/>
  <c r="GQ77" i="30"/>
  <c r="GR77" i="30"/>
  <c r="GS77" i="30"/>
  <c r="GT77" i="30"/>
  <c r="GU77" i="30"/>
  <c r="GV77" i="30"/>
  <c r="GW77" i="30"/>
  <c r="GX77" i="30"/>
  <c r="GY77" i="30"/>
  <c r="GZ77" i="30"/>
  <c r="HA77" i="30"/>
  <c r="HB77" i="30"/>
  <c r="HC77" i="30"/>
  <c r="HD77" i="30"/>
  <c r="HE77" i="30"/>
  <c r="HF77" i="30"/>
  <c r="HG77" i="30"/>
  <c r="HH77" i="30"/>
  <c r="HI77" i="30"/>
  <c r="HJ77" i="30"/>
  <c r="HK77" i="30"/>
  <c r="HL77" i="30"/>
  <c r="HM77" i="30"/>
  <c r="HN77" i="30"/>
  <c r="HO77" i="30"/>
  <c r="HP77" i="30"/>
  <c r="HQ77" i="30"/>
  <c r="HR77" i="30"/>
  <c r="HS77" i="30"/>
  <c r="HT77" i="30"/>
  <c r="HU77" i="30"/>
  <c r="HV77" i="30"/>
  <c r="HW77" i="30"/>
  <c r="HX77" i="30"/>
  <c r="HY77" i="30"/>
  <c r="HZ77" i="30"/>
  <c r="IA77" i="30"/>
  <c r="IB77" i="30"/>
  <c r="IC77" i="30"/>
  <c r="ID77" i="30"/>
  <c r="IE77" i="30"/>
  <c r="IF77" i="30"/>
  <c r="IG77" i="30"/>
  <c r="IH77" i="30"/>
  <c r="II77" i="30"/>
  <c r="IJ77" i="30"/>
  <c r="IK77" i="30"/>
  <c r="IL77" i="30"/>
  <c r="IM77" i="30"/>
  <c r="IN77" i="30"/>
  <c r="IO77" i="30"/>
  <c r="IP77" i="30"/>
  <c r="IQ77" i="30"/>
  <c r="IR77" i="30"/>
  <c r="IS77" i="30"/>
  <c r="IT77" i="30"/>
  <c r="IU77" i="30"/>
  <c r="IV77" i="30"/>
  <c r="A76" i="30"/>
  <c r="B76" i="30"/>
  <c r="C76" i="30"/>
  <c r="D76" i="30"/>
  <c r="E76" i="30"/>
  <c r="F76" i="30"/>
  <c r="G76" i="30"/>
  <c r="H76" i="30"/>
  <c r="I76" i="30"/>
  <c r="J76" i="30"/>
  <c r="K76" i="30"/>
  <c r="L76" i="30"/>
  <c r="M76" i="30"/>
  <c r="N76" i="30"/>
  <c r="O76" i="30"/>
  <c r="P76" i="30"/>
  <c r="Q76" i="30"/>
  <c r="R76" i="30"/>
  <c r="S76" i="30"/>
  <c r="T76" i="30"/>
  <c r="U76" i="30"/>
  <c r="V76" i="30"/>
  <c r="W76" i="30"/>
  <c r="X76" i="30"/>
  <c r="Y76" i="30"/>
  <c r="Z76" i="30"/>
  <c r="AA76" i="30"/>
  <c r="AB76" i="30"/>
  <c r="AC76" i="30"/>
  <c r="AD76" i="30"/>
  <c r="AE76" i="30"/>
  <c r="AF76" i="30"/>
  <c r="AG76" i="30"/>
  <c r="AH76" i="30"/>
  <c r="AI76" i="30"/>
  <c r="AJ76" i="30"/>
  <c r="AK76" i="30"/>
  <c r="AL76" i="30"/>
  <c r="AM76" i="30"/>
  <c r="AN76" i="30"/>
  <c r="AO76" i="30"/>
  <c r="AP76" i="30"/>
  <c r="AQ76" i="30"/>
  <c r="AR76" i="30"/>
  <c r="AS76" i="30"/>
  <c r="AT76" i="30"/>
  <c r="AU76" i="30"/>
  <c r="AV76" i="30"/>
  <c r="AW76" i="30"/>
  <c r="AX76" i="30"/>
  <c r="AY76" i="30"/>
  <c r="AZ76" i="30"/>
  <c r="BA76" i="30"/>
  <c r="BB76" i="30"/>
  <c r="BC76" i="30"/>
  <c r="BD76" i="30"/>
  <c r="BE76" i="30"/>
  <c r="BF76" i="30"/>
  <c r="BG76" i="30"/>
  <c r="BH76" i="30"/>
  <c r="BI76" i="30"/>
  <c r="BJ76" i="30"/>
  <c r="BK76" i="30"/>
  <c r="BL76" i="30"/>
  <c r="BM76" i="30"/>
  <c r="BN76" i="30"/>
  <c r="BO76" i="30"/>
  <c r="BP76" i="30"/>
  <c r="BQ76" i="30"/>
  <c r="BR76" i="30"/>
  <c r="BS76" i="30"/>
  <c r="BT76" i="30"/>
  <c r="BU76" i="30"/>
  <c r="BV76" i="30"/>
  <c r="BW76" i="30"/>
  <c r="BX76" i="30"/>
  <c r="BY76" i="30"/>
  <c r="BZ76" i="30"/>
  <c r="CA76" i="30"/>
  <c r="CB76" i="30"/>
  <c r="CC76" i="30"/>
  <c r="CD76" i="30"/>
  <c r="CE76" i="30"/>
  <c r="CF76" i="30"/>
  <c r="CG76" i="30"/>
  <c r="CH76" i="30"/>
  <c r="CI76" i="30"/>
  <c r="CJ76" i="30"/>
  <c r="CK76" i="30"/>
  <c r="CL76" i="30"/>
  <c r="CM76" i="30"/>
  <c r="CN76" i="30"/>
  <c r="CO76" i="30"/>
  <c r="CP76" i="30"/>
  <c r="CQ76" i="30"/>
  <c r="CR76" i="30"/>
  <c r="CS76" i="30"/>
  <c r="CT76" i="30"/>
  <c r="CU76" i="30"/>
  <c r="CV76" i="30"/>
  <c r="CW76" i="30"/>
  <c r="CX76" i="30"/>
  <c r="CY76" i="30"/>
  <c r="CZ76" i="30"/>
  <c r="DA76" i="30"/>
  <c r="DB76" i="30"/>
  <c r="DC76" i="30"/>
  <c r="DD76" i="30"/>
  <c r="DE76" i="30"/>
  <c r="DF76" i="30"/>
  <c r="DG76" i="30"/>
  <c r="DH76" i="30"/>
  <c r="DI76" i="30"/>
  <c r="DJ76" i="30"/>
  <c r="DK76" i="30"/>
  <c r="DL76" i="30"/>
  <c r="DM76" i="30"/>
  <c r="DN76" i="30"/>
  <c r="DO76" i="30"/>
  <c r="DP76" i="30"/>
  <c r="DQ76" i="30"/>
  <c r="DR76" i="30"/>
  <c r="DS76" i="30"/>
  <c r="DT76" i="30"/>
  <c r="DU76" i="30"/>
  <c r="DV76" i="30"/>
  <c r="DW76" i="30"/>
  <c r="DX76" i="30"/>
  <c r="DY76" i="30"/>
  <c r="DZ76" i="30"/>
  <c r="EA76" i="30"/>
  <c r="EB76" i="30"/>
  <c r="EC76" i="30"/>
  <c r="ED76" i="30"/>
  <c r="EE76" i="30"/>
  <c r="EF76" i="30"/>
  <c r="EG76" i="30"/>
  <c r="EH76" i="30"/>
  <c r="EI76" i="30"/>
  <c r="EJ76" i="30"/>
  <c r="EK76" i="30"/>
  <c r="EL76" i="30"/>
  <c r="EM76" i="30"/>
  <c r="EN76" i="30"/>
  <c r="EO76" i="30"/>
  <c r="EP76" i="30"/>
  <c r="EQ76" i="30"/>
  <c r="ER76" i="30"/>
  <c r="ES76" i="30"/>
  <c r="ET76" i="30"/>
  <c r="EU76" i="30"/>
  <c r="EV76" i="30"/>
  <c r="EW76" i="30"/>
  <c r="EX76" i="30"/>
  <c r="EY76" i="30"/>
  <c r="EZ76" i="30"/>
  <c r="FA76" i="30"/>
  <c r="FB76" i="30"/>
  <c r="FC76" i="30"/>
  <c r="FD76" i="30"/>
  <c r="FE76" i="30"/>
  <c r="FF76" i="30"/>
  <c r="FG76" i="30"/>
  <c r="FH76" i="30"/>
  <c r="FI76" i="30"/>
  <c r="FJ76" i="30"/>
  <c r="FK76" i="30"/>
  <c r="FL76" i="30"/>
  <c r="FM76" i="30"/>
  <c r="FN76" i="30"/>
  <c r="FO76" i="30"/>
  <c r="FP76" i="30"/>
  <c r="FQ76" i="30"/>
  <c r="FR76" i="30"/>
  <c r="FS76" i="30"/>
  <c r="FT76" i="30"/>
  <c r="FU76" i="30"/>
  <c r="FV76" i="30"/>
  <c r="FW76" i="30"/>
  <c r="FX76" i="30"/>
  <c r="FY76" i="30"/>
  <c r="FZ76" i="30"/>
  <c r="GA76" i="30"/>
  <c r="GB76" i="30"/>
  <c r="GC76" i="30"/>
  <c r="GD76" i="30"/>
  <c r="GE76" i="30"/>
  <c r="GF76" i="30"/>
  <c r="GG76" i="30"/>
  <c r="GH76" i="30"/>
  <c r="GI76" i="30"/>
  <c r="GJ76" i="30"/>
  <c r="GK76" i="30"/>
  <c r="GL76" i="30"/>
  <c r="GM76" i="30"/>
  <c r="GN76" i="30"/>
  <c r="GO76" i="30"/>
  <c r="GP76" i="30"/>
  <c r="GQ76" i="30"/>
  <c r="GR76" i="30"/>
  <c r="GS76" i="30"/>
  <c r="GT76" i="30"/>
  <c r="GU76" i="30"/>
  <c r="GV76" i="30"/>
  <c r="GW76" i="30"/>
  <c r="GX76" i="30"/>
  <c r="GY76" i="30"/>
  <c r="GZ76" i="30"/>
  <c r="HA76" i="30"/>
  <c r="HB76" i="30"/>
  <c r="HC76" i="30"/>
  <c r="HD76" i="30"/>
  <c r="HE76" i="30"/>
  <c r="HF76" i="30"/>
  <c r="HG76" i="30"/>
  <c r="HH76" i="30"/>
  <c r="HI76" i="30"/>
  <c r="HJ76" i="30"/>
  <c r="HK76" i="30"/>
  <c r="HL76" i="30"/>
  <c r="HM76" i="30"/>
  <c r="HN76" i="30"/>
  <c r="HO76" i="30"/>
  <c r="HP76" i="30"/>
  <c r="HQ76" i="30"/>
  <c r="HR76" i="30"/>
  <c r="HS76" i="30"/>
  <c r="HT76" i="30"/>
  <c r="HU76" i="30"/>
  <c r="HV76" i="30"/>
  <c r="HW76" i="30"/>
  <c r="HX76" i="30"/>
  <c r="HY76" i="30"/>
  <c r="HZ76" i="30"/>
  <c r="IA76" i="30"/>
  <c r="IB76" i="30"/>
  <c r="IC76" i="30"/>
  <c r="ID76" i="30"/>
  <c r="IE76" i="30"/>
  <c r="IF76" i="30"/>
  <c r="IG76" i="30"/>
  <c r="IH76" i="30"/>
  <c r="II76" i="30"/>
  <c r="IJ76" i="30"/>
  <c r="IK76" i="30"/>
  <c r="IL76" i="30"/>
  <c r="IM76" i="30"/>
  <c r="IN76" i="30"/>
  <c r="IO76" i="30"/>
  <c r="IP76" i="30"/>
  <c r="IQ76" i="30"/>
  <c r="IR76" i="30"/>
  <c r="IS76" i="30"/>
  <c r="IT76" i="30"/>
  <c r="IU76" i="30"/>
  <c r="IV76" i="30"/>
  <c r="A75" i="30"/>
  <c r="B75" i="30"/>
  <c r="C75" i="30"/>
  <c r="D75" i="30"/>
  <c r="E75" i="30"/>
  <c r="F75" i="30"/>
  <c r="G75" i="30"/>
  <c r="H75" i="30"/>
  <c r="I75" i="30"/>
  <c r="J75" i="30"/>
  <c r="K75" i="30"/>
  <c r="L75" i="30"/>
  <c r="M75" i="30"/>
  <c r="N75" i="30"/>
  <c r="O75" i="30"/>
  <c r="P75" i="30"/>
  <c r="Q75" i="30"/>
  <c r="R75" i="30"/>
  <c r="S75" i="30"/>
  <c r="T75" i="30"/>
  <c r="U75" i="30"/>
  <c r="V75" i="30"/>
  <c r="W75" i="30"/>
  <c r="X75" i="30"/>
  <c r="Y75" i="30"/>
  <c r="Z75" i="30"/>
  <c r="AA75" i="30"/>
  <c r="AB75" i="30"/>
  <c r="AC75" i="30"/>
  <c r="AD75" i="30"/>
  <c r="AE75" i="30"/>
  <c r="AF75" i="30"/>
  <c r="AG75" i="30"/>
  <c r="AH75" i="30"/>
  <c r="AI75" i="30"/>
  <c r="AJ75" i="30"/>
  <c r="AK75" i="30"/>
  <c r="AL75" i="30"/>
  <c r="AM75" i="30"/>
  <c r="AN75" i="30"/>
  <c r="AO75" i="30"/>
  <c r="AP75" i="30"/>
  <c r="AQ75" i="30"/>
  <c r="AR75" i="30"/>
  <c r="AS75" i="30"/>
  <c r="AT75" i="30"/>
  <c r="AU75" i="30"/>
  <c r="AV75" i="30"/>
  <c r="AW75" i="30"/>
  <c r="AX75" i="30"/>
  <c r="AY75" i="30"/>
  <c r="AZ75" i="30"/>
  <c r="BA75" i="30"/>
  <c r="BB75" i="30"/>
  <c r="BC75" i="30"/>
  <c r="BD75" i="30"/>
  <c r="BE75" i="30"/>
  <c r="BF75" i="30"/>
  <c r="BG75" i="30"/>
  <c r="BH75" i="30"/>
  <c r="BI75" i="30"/>
  <c r="BJ75" i="30"/>
  <c r="BK75" i="30"/>
  <c r="BL75" i="30"/>
  <c r="BM75" i="30"/>
  <c r="BN75" i="30"/>
  <c r="BO75" i="30"/>
  <c r="BP75" i="30"/>
  <c r="BQ75" i="30"/>
  <c r="BR75" i="30"/>
  <c r="BS75" i="30"/>
  <c r="BT75" i="30"/>
  <c r="BU75" i="30"/>
  <c r="BV75" i="30"/>
  <c r="BW75" i="30"/>
  <c r="BX75" i="30"/>
  <c r="BY75" i="30"/>
  <c r="BZ75" i="30"/>
  <c r="CA75" i="30"/>
  <c r="CB75" i="30"/>
  <c r="CC75" i="30"/>
  <c r="CD75" i="30"/>
  <c r="CE75" i="30"/>
  <c r="CF75" i="30"/>
  <c r="CG75" i="30"/>
  <c r="CH75" i="30"/>
  <c r="CI75" i="30"/>
  <c r="CJ75" i="30"/>
  <c r="CK75" i="30"/>
  <c r="CL75" i="30"/>
  <c r="CM75" i="30"/>
  <c r="CN75" i="30"/>
  <c r="CO75" i="30"/>
  <c r="CP75" i="30"/>
  <c r="CQ75" i="30"/>
  <c r="CR75" i="30"/>
  <c r="CS75" i="30"/>
  <c r="CT75" i="30"/>
  <c r="CU75" i="30"/>
  <c r="CV75" i="30"/>
  <c r="CW75" i="30"/>
  <c r="CX75" i="30"/>
  <c r="CY75" i="30"/>
  <c r="CZ75" i="30"/>
  <c r="DA75" i="30"/>
  <c r="DB75" i="30"/>
  <c r="DC75" i="30"/>
  <c r="DD75" i="30"/>
  <c r="DE75" i="30"/>
  <c r="DF75" i="30"/>
  <c r="DG75" i="30"/>
  <c r="DH75" i="30"/>
  <c r="DI75" i="30"/>
  <c r="DJ75" i="30"/>
  <c r="DK75" i="30"/>
  <c r="DL75" i="30"/>
  <c r="DM75" i="30"/>
  <c r="DN75" i="30"/>
  <c r="DO75" i="30"/>
  <c r="DP75" i="30"/>
  <c r="DQ75" i="30"/>
  <c r="DR75" i="30"/>
  <c r="DS75" i="30"/>
  <c r="DT75" i="30"/>
  <c r="DU75" i="30"/>
  <c r="DV75" i="30"/>
  <c r="DW75" i="30"/>
  <c r="DX75" i="30"/>
  <c r="DY75" i="30"/>
  <c r="DZ75" i="30"/>
  <c r="EA75" i="30"/>
  <c r="EB75" i="30"/>
  <c r="EC75" i="30"/>
  <c r="ED75" i="30"/>
  <c r="EE75" i="30"/>
  <c r="EF75" i="30"/>
  <c r="EG75" i="30"/>
  <c r="EH75" i="30"/>
  <c r="EI75" i="30"/>
  <c r="EJ75" i="30"/>
  <c r="EK75" i="30"/>
  <c r="EL75" i="30"/>
  <c r="EM75" i="30"/>
  <c r="EN75" i="30"/>
  <c r="EO75" i="30"/>
  <c r="EP75" i="30"/>
  <c r="EQ75" i="30"/>
  <c r="ER75" i="30"/>
  <c r="ES75" i="30"/>
  <c r="ET75" i="30"/>
  <c r="EU75" i="30"/>
  <c r="EV75" i="30"/>
  <c r="EW75" i="30"/>
  <c r="EX75" i="30"/>
  <c r="EY75" i="30"/>
  <c r="EZ75" i="30"/>
  <c r="FA75" i="30"/>
  <c r="FB75" i="30"/>
  <c r="FC75" i="30"/>
  <c r="FD75" i="30"/>
  <c r="FE75" i="30"/>
  <c r="FF75" i="30"/>
  <c r="FG75" i="30"/>
  <c r="FH75" i="30"/>
  <c r="FI75" i="30"/>
  <c r="FJ75" i="30"/>
  <c r="FK75" i="30"/>
  <c r="FL75" i="30"/>
  <c r="FM75" i="30"/>
  <c r="FN75" i="30"/>
  <c r="FO75" i="30"/>
  <c r="FP75" i="30"/>
  <c r="FQ75" i="30"/>
  <c r="FR75" i="30"/>
  <c r="FS75" i="30"/>
  <c r="FT75" i="30"/>
  <c r="FU75" i="30"/>
  <c r="FV75" i="30"/>
  <c r="FW75" i="30"/>
  <c r="FX75" i="30"/>
  <c r="FY75" i="30"/>
  <c r="FZ75" i="30"/>
  <c r="GA75" i="30"/>
  <c r="GB75" i="30"/>
  <c r="GC75" i="30"/>
  <c r="GD75" i="30"/>
  <c r="GE75" i="30"/>
  <c r="GF75" i="30"/>
  <c r="GG75" i="30"/>
  <c r="GH75" i="30"/>
  <c r="GI75" i="30"/>
  <c r="GJ75" i="30"/>
  <c r="GK75" i="30"/>
  <c r="GL75" i="30"/>
  <c r="GM75" i="30"/>
  <c r="GN75" i="30"/>
  <c r="GO75" i="30"/>
  <c r="GP75" i="30"/>
  <c r="GQ75" i="30"/>
  <c r="GR75" i="30"/>
  <c r="GS75" i="30"/>
  <c r="GT75" i="30"/>
  <c r="GU75" i="30"/>
  <c r="GV75" i="30"/>
  <c r="GW75" i="30"/>
  <c r="GX75" i="30"/>
  <c r="GY75" i="30"/>
  <c r="GZ75" i="30"/>
  <c r="HA75" i="30"/>
  <c r="HB75" i="30"/>
  <c r="HC75" i="30"/>
  <c r="HD75" i="30"/>
  <c r="HE75" i="30"/>
  <c r="HF75" i="30"/>
  <c r="HG75" i="30"/>
  <c r="HH75" i="30"/>
  <c r="HI75" i="30"/>
  <c r="HJ75" i="30"/>
  <c r="HK75" i="30"/>
  <c r="HL75" i="30"/>
  <c r="HM75" i="30"/>
  <c r="HN75" i="30"/>
  <c r="HO75" i="30"/>
  <c r="HP75" i="30"/>
  <c r="HQ75" i="30"/>
  <c r="HR75" i="30"/>
  <c r="HS75" i="30"/>
  <c r="HT75" i="30"/>
  <c r="HU75" i="30"/>
  <c r="HV75" i="30"/>
  <c r="HW75" i="30"/>
  <c r="HX75" i="30"/>
  <c r="HY75" i="30"/>
  <c r="HZ75" i="30"/>
  <c r="IA75" i="30"/>
  <c r="IB75" i="30"/>
  <c r="IC75" i="30"/>
  <c r="ID75" i="30"/>
  <c r="IE75" i="30"/>
  <c r="IF75" i="30"/>
  <c r="IG75" i="30"/>
  <c r="IH75" i="30"/>
  <c r="II75" i="30"/>
  <c r="IJ75" i="30"/>
  <c r="IK75" i="30"/>
  <c r="IL75" i="30"/>
  <c r="IM75" i="30"/>
  <c r="IN75" i="30"/>
  <c r="IO75" i="30"/>
  <c r="IP75" i="30"/>
  <c r="IQ75" i="30"/>
  <c r="IR75" i="30"/>
  <c r="IS75" i="30"/>
  <c r="IT75" i="30"/>
  <c r="IU75" i="30"/>
  <c r="IV75" i="30"/>
  <c r="A74" i="30"/>
  <c r="B74" i="30"/>
  <c r="C74" i="30"/>
  <c r="D74" i="30"/>
  <c r="E74" i="30"/>
  <c r="F74" i="30"/>
  <c r="G74" i="30"/>
  <c r="H74" i="30"/>
  <c r="I74" i="30"/>
  <c r="J74" i="30"/>
  <c r="K74" i="30"/>
  <c r="L74" i="30"/>
  <c r="M74" i="30"/>
  <c r="N74" i="30"/>
  <c r="O74" i="30"/>
  <c r="P74" i="30"/>
  <c r="Q74" i="30"/>
  <c r="R74" i="30"/>
  <c r="S74" i="30"/>
  <c r="T74" i="30"/>
  <c r="U74" i="30"/>
  <c r="V74" i="30"/>
  <c r="W74" i="30"/>
  <c r="X74" i="30"/>
  <c r="Y74" i="30"/>
  <c r="Z74" i="30"/>
  <c r="AA74" i="30"/>
  <c r="AB74" i="30"/>
  <c r="AC74" i="30"/>
  <c r="AD74" i="30"/>
  <c r="AE74" i="30"/>
  <c r="AF74" i="30"/>
  <c r="AG74" i="30"/>
  <c r="AH74" i="30"/>
  <c r="AI74" i="30"/>
  <c r="AJ74" i="30"/>
  <c r="AK74" i="30"/>
  <c r="AL74" i="30"/>
  <c r="AM74" i="30"/>
  <c r="AN74" i="30"/>
  <c r="AO74" i="30"/>
  <c r="AP74" i="30"/>
  <c r="AQ74" i="30"/>
  <c r="AR74" i="30"/>
  <c r="AS74" i="30"/>
  <c r="AT74" i="30"/>
  <c r="AU74" i="30"/>
  <c r="AV74" i="30"/>
  <c r="AW74" i="30"/>
  <c r="AX74" i="30"/>
  <c r="AY74" i="30"/>
  <c r="AZ74" i="30"/>
  <c r="BA74" i="30"/>
  <c r="BB74" i="30"/>
  <c r="BC74" i="30"/>
  <c r="BD74" i="30"/>
  <c r="BE74" i="30"/>
  <c r="BF74" i="30"/>
  <c r="BG74" i="30"/>
  <c r="BH74" i="30"/>
  <c r="BI74" i="30"/>
  <c r="BJ74" i="30"/>
  <c r="BK74" i="30"/>
  <c r="BL74" i="30"/>
  <c r="BM74" i="30"/>
  <c r="BN74" i="30"/>
  <c r="BO74" i="30"/>
  <c r="BP74" i="30"/>
  <c r="BQ74" i="30"/>
  <c r="BR74" i="30"/>
  <c r="BS74" i="30"/>
  <c r="BT74" i="30"/>
  <c r="BU74" i="30"/>
  <c r="BV74" i="30"/>
  <c r="BW74" i="30"/>
  <c r="BX74" i="30"/>
  <c r="BY74" i="30"/>
  <c r="BZ74" i="30"/>
  <c r="CA74" i="30"/>
  <c r="CB74" i="30"/>
  <c r="CC74" i="30"/>
  <c r="CD74" i="30"/>
  <c r="CE74" i="30"/>
  <c r="CF74" i="30"/>
  <c r="CG74" i="30"/>
  <c r="CH74" i="30"/>
  <c r="CI74" i="30"/>
  <c r="CJ74" i="30"/>
  <c r="CK74" i="30"/>
  <c r="CL74" i="30"/>
  <c r="CM74" i="30"/>
  <c r="CN74" i="30"/>
  <c r="CO74" i="30"/>
  <c r="CP74" i="30"/>
  <c r="CQ74" i="30"/>
  <c r="CR74" i="30"/>
  <c r="CS74" i="30"/>
  <c r="CT74" i="30"/>
  <c r="CU74" i="30"/>
  <c r="CV74" i="30"/>
  <c r="CW74" i="30"/>
  <c r="CX74" i="30"/>
  <c r="CY74" i="30"/>
  <c r="CZ74" i="30"/>
  <c r="DA74" i="30"/>
  <c r="DB74" i="30"/>
  <c r="DC74" i="30"/>
  <c r="DD74" i="30"/>
  <c r="DE74" i="30"/>
  <c r="DF74" i="30"/>
  <c r="DG74" i="30"/>
  <c r="DH74" i="30"/>
  <c r="DI74" i="30"/>
  <c r="DJ74" i="30"/>
  <c r="DK74" i="30"/>
  <c r="DL74" i="30"/>
  <c r="DM74" i="30"/>
  <c r="DN74" i="30"/>
  <c r="DO74" i="30"/>
  <c r="DP74" i="30"/>
  <c r="DQ74" i="30"/>
  <c r="DR74" i="30"/>
  <c r="DS74" i="30"/>
  <c r="DT74" i="30"/>
  <c r="DU74" i="30"/>
  <c r="DV74" i="30"/>
  <c r="DW74" i="30"/>
  <c r="DX74" i="30"/>
  <c r="DY74" i="30"/>
  <c r="DZ74" i="30"/>
  <c r="EA74" i="30"/>
  <c r="EB74" i="30"/>
  <c r="EC74" i="30"/>
  <c r="ED74" i="30"/>
  <c r="EE74" i="30"/>
  <c r="EF74" i="30"/>
  <c r="EG74" i="30"/>
  <c r="EH74" i="30"/>
  <c r="EI74" i="30"/>
  <c r="EJ74" i="30"/>
  <c r="EK74" i="30"/>
  <c r="EL74" i="30"/>
  <c r="EM74" i="30"/>
  <c r="EN74" i="30"/>
  <c r="EO74" i="30"/>
  <c r="EP74" i="30"/>
  <c r="EQ74" i="30"/>
  <c r="ER74" i="30"/>
  <c r="ES74" i="30"/>
  <c r="ET74" i="30"/>
  <c r="EU74" i="30"/>
  <c r="EV74" i="30"/>
  <c r="EW74" i="30"/>
  <c r="EX74" i="30"/>
  <c r="EY74" i="30"/>
  <c r="EZ74" i="30"/>
  <c r="FA74" i="30"/>
  <c r="FB74" i="30"/>
  <c r="FC74" i="30"/>
  <c r="FD74" i="30"/>
  <c r="FE74" i="30"/>
  <c r="FF74" i="30"/>
  <c r="FG74" i="30"/>
  <c r="FH74" i="30"/>
  <c r="FI74" i="30"/>
  <c r="FJ74" i="30"/>
  <c r="FK74" i="30"/>
  <c r="FL74" i="30"/>
  <c r="FM74" i="30"/>
  <c r="FN74" i="30"/>
  <c r="FO74" i="30"/>
  <c r="FP74" i="30"/>
  <c r="FQ74" i="30"/>
  <c r="FR74" i="30"/>
  <c r="FS74" i="30"/>
  <c r="FT74" i="30"/>
  <c r="FU74" i="30"/>
  <c r="FV74" i="30"/>
  <c r="FW74" i="30"/>
  <c r="FX74" i="30"/>
  <c r="FY74" i="30"/>
  <c r="FZ74" i="30"/>
  <c r="GA74" i="30"/>
  <c r="GB74" i="30"/>
  <c r="GC74" i="30"/>
  <c r="GD74" i="30"/>
  <c r="GE74" i="30"/>
  <c r="GF74" i="30"/>
  <c r="GG74" i="30"/>
  <c r="GH74" i="30"/>
  <c r="GI74" i="30"/>
  <c r="GJ74" i="30"/>
  <c r="GK74" i="30"/>
  <c r="GL74" i="30"/>
  <c r="GM74" i="30"/>
  <c r="GN74" i="30"/>
  <c r="GO74" i="30"/>
  <c r="GP74" i="30"/>
  <c r="GQ74" i="30"/>
  <c r="GR74" i="30"/>
  <c r="GS74" i="30"/>
  <c r="GT74" i="30"/>
  <c r="GU74" i="30"/>
  <c r="GV74" i="30"/>
  <c r="GW74" i="30"/>
  <c r="GX74" i="30"/>
  <c r="GY74" i="30"/>
  <c r="GZ74" i="30"/>
  <c r="HA74" i="30"/>
  <c r="HB74" i="30"/>
  <c r="HC74" i="30"/>
  <c r="HD74" i="30"/>
  <c r="HE74" i="30"/>
  <c r="HF74" i="30"/>
  <c r="HG74" i="30"/>
  <c r="HH74" i="30"/>
  <c r="HI74" i="30"/>
  <c r="HJ74" i="30"/>
  <c r="HK74" i="30"/>
  <c r="HL74" i="30"/>
  <c r="HM74" i="30"/>
  <c r="HN74" i="30"/>
  <c r="HO74" i="30"/>
  <c r="HP74" i="30"/>
  <c r="HQ74" i="30"/>
  <c r="HR74" i="30"/>
  <c r="HS74" i="30"/>
  <c r="HT74" i="30"/>
  <c r="HU74" i="30"/>
  <c r="HV74" i="30"/>
  <c r="HW74" i="30"/>
  <c r="HX74" i="30"/>
  <c r="HY74" i="30"/>
  <c r="HZ74" i="30"/>
  <c r="IA74" i="30"/>
  <c r="IB74" i="30"/>
  <c r="IC74" i="30"/>
  <c r="ID74" i="30"/>
  <c r="IE74" i="30"/>
  <c r="IF74" i="30"/>
  <c r="IG74" i="30"/>
  <c r="IH74" i="30"/>
  <c r="II74" i="30"/>
  <c r="IJ74" i="30"/>
  <c r="IK74" i="30"/>
  <c r="IL74" i="30"/>
  <c r="IM74" i="30"/>
  <c r="IN74" i="30"/>
  <c r="IO74" i="30"/>
  <c r="IP74" i="30"/>
  <c r="IQ74" i="30"/>
  <c r="IR74" i="30"/>
  <c r="IS74" i="30"/>
  <c r="IT74" i="30"/>
  <c r="IU74" i="30"/>
  <c r="IV74" i="30"/>
  <c r="A73" i="30"/>
  <c r="B73" i="30"/>
  <c r="C73" i="30"/>
  <c r="D73" i="30"/>
  <c r="E73" i="30"/>
  <c r="F73" i="30"/>
  <c r="G73" i="30"/>
  <c r="H73" i="30"/>
  <c r="I73" i="30"/>
  <c r="J73" i="30"/>
  <c r="K73" i="30"/>
  <c r="L73" i="30"/>
  <c r="M73" i="30"/>
  <c r="N73" i="30"/>
  <c r="O73" i="30"/>
  <c r="P73" i="30"/>
  <c r="Q73" i="30"/>
  <c r="R73" i="30"/>
  <c r="S73" i="30"/>
  <c r="T73" i="30"/>
  <c r="U73" i="30"/>
  <c r="V73" i="30"/>
  <c r="W73" i="30"/>
  <c r="X73" i="30"/>
  <c r="Y73" i="30"/>
  <c r="Z73" i="30"/>
  <c r="AA73" i="30"/>
  <c r="AB73" i="30"/>
  <c r="AC73" i="30"/>
  <c r="AD73" i="30"/>
  <c r="AE73" i="30"/>
  <c r="AF73" i="30"/>
  <c r="AG73" i="30"/>
  <c r="AH73" i="30"/>
  <c r="AI73" i="30"/>
  <c r="AJ73" i="30"/>
  <c r="AK73" i="30"/>
  <c r="AL73" i="30"/>
  <c r="AM73" i="30"/>
  <c r="AN73" i="30"/>
  <c r="AO73" i="30"/>
  <c r="AP73" i="30"/>
  <c r="AQ73" i="30"/>
  <c r="AR73" i="30"/>
  <c r="AS73" i="30"/>
  <c r="AT73" i="30"/>
  <c r="AU73" i="30"/>
  <c r="AV73" i="30"/>
  <c r="AW73" i="30"/>
  <c r="AX73" i="30"/>
  <c r="AY73" i="30"/>
  <c r="AZ73" i="30"/>
  <c r="BA73" i="30"/>
  <c r="BB73" i="30"/>
  <c r="BC73" i="30"/>
  <c r="BD73" i="30"/>
  <c r="BE73" i="30"/>
  <c r="BF73" i="30"/>
  <c r="BG73" i="30"/>
  <c r="BH73" i="30"/>
  <c r="BI73" i="30"/>
  <c r="BJ73" i="30"/>
  <c r="BK73" i="30"/>
  <c r="BL73" i="30"/>
  <c r="BM73" i="30"/>
  <c r="BN73" i="30"/>
  <c r="BO73" i="30"/>
  <c r="BP73" i="30"/>
  <c r="BQ73" i="30"/>
  <c r="BR73" i="30"/>
  <c r="BS73" i="30"/>
  <c r="BT73" i="30"/>
  <c r="BU73" i="30"/>
  <c r="BV73" i="30"/>
  <c r="BW73" i="30"/>
  <c r="BX73" i="30"/>
  <c r="BY73" i="30"/>
  <c r="BZ73" i="30"/>
  <c r="CA73" i="30"/>
  <c r="CB73" i="30"/>
  <c r="CC73" i="30"/>
  <c r="CD73" i="30"/>
  <c r="CE73" i="30"/>
  <c r="CF73" i="30"/>
  <c r="CG73" i="30"/>
  <c r="CH73" i="30"/>
  <c r="CI73" i="30"/>
  <c r="CJ73" i="30"/>
  <c r="CK73" i="30"/>
  <c r="CL73" i="30"/>
  <c r="CM73" i="30"/>
  <c r="CN73" i="30"/>
  <c r="CO73" i="30"/>
  <c r="CP73" i="30"/>
  <c r="CQ73" i="30"/>
  <c r="CR73" i="30"/>
  <c r="CS73" i="30"/>
  <c r="CT73" i="30"/>
  <c r="CU73" i="30"/>
  <c r="CV73" i="30"/>
  <c r="CW73" i="30"/>
  <c r="CX73" i="30"/>
  <c r="CY73" i="30"/>
  <c r="CZ73" i="30"/>
  <c r="DA73" i="30"/>
  <c r="DB73" i="30"/>
  <c r="DC73" i="30"/>
  <c r="DD73" i="30"/>
  <c r="DE73" i="30"/>
  <c r="DF73" i="30"/>
  <c r="DG73" i="30"/>
  <c r="DH73" i="30"/>
  <c r="DI73" i="30"/>
  <c r="DJ73" i="30"/>
  <c r="DK73" i="30"/>
  <c r="DL73" i="30"/>
  <c r="DM73" i="30"/>
  <c r="DN73" i="30"/>
  <c r="DO73" i="30"/>
  <c r="DP73" i="30"/>
  <c r="DQ73" i="30"/>
  <c r="DR73" i="30"/>
  <c r="DS73" i="30"/>
  <c r="DT73" i="30"/>
  <c r="DU73" i="30"/>
  <c r="DV73" i="30"/>
  <c r="DW73" i="30"/>
  <c r="DX73" i="30"/>
  <c r="DY73" i="30"/>
  <c r="DZ73" i="30"/>
  <c r="EA73" i="30"/>
  <c r="EB73" i="30"/>
  <c r="EC73" i="30"/>
  <c r="ED73" i="30"/>
  <c r="EE73" i="30"/>
  <c r="EF73" i="30"/>
  <c r="EG73" i="30"/>
  <c r="EH73" i="30"/>
  <c r="EI73" i="30"/>
  <c r="EJ73" i="30"/>
  <c r="EK73" i="30"/>
  <c r="EL73" i="30"/>
  <c r="EM73" i="30"/>
  <c r="EN73" i="30"/>
  <c r="EO73" i="30"/>
  <c r="EP73" i="30"/>
  <c r="EQ73" i="30"/>
  <c r="ER73" i="30"/>
  <c r="ES73" i="30"/>
  <c r="ET73" i="30"/>
  <c r="EU73" i="30"/>
  <c r="EV73" i="30"/>
  <c r="EW73" i="30"/>
  <c r="EX73" i="30"/>
  <c r="EY73" i="30"/>
  <c r="EZ73" i="30"/>
  <c r="FA73" i="30"/>
  <c r="FB73" i="30"/>
  <c r="FC73" i="30"/>
  <c r="FD73" i="30"/>
  <c r="FE73" i="30"/>
  <c r="FF73" i="30"/>
  <c r="FG73" i="30"/>
  <c r="FH73" i="30"/>
  <c r="FI73" i="30"/>
  <c r="FJ73" i="30"/>
  <c r="FK73" i="30"/>
  <c r="FL73" i="30"/>
  <c r="FM73" i="30"/>
  <c r="FN73" i="30"/>
  <c r="FO73" i="30"/>
  <c r="FP73" i="30"/>
  <c r="FQ73" i="30"/>
  <c r="FR73" i="30"/>
  <c r="FS73" i="30"/>
  <c r="FT73" i="30"/>
  <c r="FU73" i="30"/>
  <c r="FV73" i="30"/>
  <c r="FW73" i="30"/>
  <c r="FX73" i="30"/>
  <c r="FY73" i="30"/>
  <c r="FZ73" i="30"/>
  <c r="GA73" i="30"/>
  <c r="GB73" i="30"/>
  <c r="GC73" i="30"/>
  <c r="GD73" i="30"/>
  <c r="GE73" i="30"/>
  <c r="GF73" i="30"/>
  <c r="GG73" i="30"/>
  <c r="GH73" i="30"/>
  <c r="GI73" i="30"/>
  <c r="GJ73" i="30"/>
  <c r="GK73" i="30"/>
  <c r="GL73" i="30"/>
  <c r="GM73" i="30"/>
  <c r="GN73" i="30"/>
  <c r="GO73" i="30"/>
  <c r="GP73" i="30"/>
  <c r="GQ73" i="30"/>
  <c r="GR73" i="30"/>
  <c r="GS73" i="30"/>
  <c r="GT73" i="30"/>
  <c r="GU73" i="30"/>
  <c r="GV73" i="30"/>
  <c r="GW73" i="30"/>
  <c r="GX73" i="30"/>
  <c r="GY73" i="30"/>
  <c r="GZ73" i="30"/>
  <c r="HA73" i="30"/>
  <c r="HB73" i="30"/>
  <c r="HC73" i="30"/>
  <c r="HD73" i="30"/>
  <c r="HE73" i="30"/>
  <c r="HF73" i="30"/>
  <c r="HG73" i="30"/>
  <c r="HH73" i="30"/>
  <c r="HI73" i="30"/>
  <c r="HJ73" i="30"/>
  <c r="HK73" i="30"/>
  <c r="HL73" i="30"/>
  <c r="HM73" i="30"/>
  <c r="HN73" i="30"/>
  <c r="HO73" i="30"/>
  <c r="HP73" i="30"/>
  <c r="HQ73" i="30"/>
  <c r="HR73" i="30"/>
  <c r="HS73" i="30"/>
  <c r="HT73" i="30"/>
  <c r="HU73" i="30"/>
  <c r="HV73" i="30"/>
  <c r="HW73" i="30"/>
  <c r="HX73" i="30"/>
  <c r="HY73" i="30"/>
  <c r="HZ73" i="30"/>
  <c r="IA73" i="30"/>
  <c r="IB73" i="30"/>
  <c r="IC73" i="30"/>
  <c r="ID73" i="30"/>
  <c r="IE73" i="30"/>
  <c r="IF73" i="30"/>
  <c r="IG73" i="30"/>
  <c r="IH73" i="30"/>
  <c r="II73" i="30"/>
  <c r="IJ73" i="30"/>
  <c r="IK73" i="30"/>
  <c r="IL73" i="30"/>
  <c r="IM73" i="30"/>
  <c r="IN73" i="30"/>
  <c r="IO73" i="30"/>
  <c r="IP73" i="30"/>
  <c r="IQ73" i="30"/>
  <c r="IR73" i="30"/>
  <c r="IS73" i="30"/>
  <c r="IT73" i="30"/>
  <c r="IU73" i="30"/>
  <c r="IV73" i="30"/>
  <c r="A72" i="30"/>
  <c r="B72" i="30"/>
  <c r="C72" i="30"/>
  <c r="D72" i="30"/>
  <c r="E72" i="30"/>
  <c r="F72" i="30"/>
  <c r="G72" i="30"/>
  <c r="H72" i="30"/>
  <c r="I72" i="30"/>
  <c r="J72" i="30"/>
  <c r="K72" i="30"/>
  <c r="L72" i="30"/>
  <c r="M72" i="30"/>
  <c r="N72" i="30"/>
  <c r="O72" i="30"/>
  <c r="P72" i="30"/>
  <c r="Q72" i="30"/>
  <c r="R72" i="30"/>
  <c r="S72" i="30"/>
  <c r="T72" i="30"/>
  <c r="U72" i="30"/>
  <c r="V72" i="30"/>
  <c r="W72" i="30"/>
  <c r="X72" i="30"/>
  <c r="Y72" i="30"/>
  <c r="Z72" i="30"/>
  <c r="AA72" i="30"/>
  <c r="AB72" i="30"/>
  <c r="AC72" i="30"/>
  <c r="AD72" i="30"/>
  <c r="AE72" i="30"/>
  <c r="AF72" i="30"/>
  <c r="AG72" i="30"/>
  <c r="AH72" i="30"/>
  <c r="AI72" i="30"/>
  <c r="AJ72" i="30"/>
  <c r="AK72" i="30"/>
  <c r="AL72" i="30"/>
  <c r="AM72" i="30"/>
  <c r="AN72" i="30"/>
  <c r="AO72" i="30"/>
  <c r="AP72" i="30"/>
  <c r="AQ72" i="30"/>
  <c r="AR72" i="30"/>
  <c r="AS72" i="30"/>
  <c r="AT72" i="30"/>
  <c r="AU72" i="30"/>
  <c r="AV72" i="30"/>
  <c r="AW72" i="30"/>
  <c r="AX72" i="30"/>
  <c r="AY72" i="30"/>
  <c r="AZ72" i="30"/>
  <c r="BA72" i="30"/>
  <c r="BB72" i="30"/>
  <c r="BC72" i="30"/>
  <c r="BD72" i="30"/>
  <c r="BE72" i="30"/>
  <c r="BF72" i="30"/>
  <c r="BG72" i="30"/>
  <c r="BH72" i="30"/>
  <c r="BI72" i="30"/>
  <c r="BJ72" i="30"/>
  <c r="BK72" i="30"/>
  <c r="BL72" i="30"/>
  <c r="BM72" i="30"/>
  <c r="BN72" i="30"/>
  <c r="BO72" i="30"/>
  <c r="BP72" i="30"/>
  <c r="BQ72" i="30"/>
  <c r="BR72" i="30"/>
  <c r="BS72" i="30"/>
  <c r="BT72" i="30"/>
  <c r="BU72" i="30"/>
  <c r="BV72" i="30"/>
  <c r="BW72" i="30"/>
  <c r="BX72" i="30"/>
  <c r="BY72" i="30"/>
  <c r="BZ72" i="30"/>
  <c r="CA72" i="30"/>
  <c r="CB72" i="30"/>
  <c r="CC72" i="30"/>
  <c r="CD72" i="30"/>
  <c r="CE72" i="30"/>
  <c r="CF72" i="30"/>
  <c r="CG72" i="30"/>
  <c r="CH72" i="30"/>
  <c r="CI72" i="30"/>
  <c r="CJ72" i="30"/>
  <c r="CK72" i="30"/>
  <c r="CL72" i="30"/>
  <c r="CM72" i="30"/>
  <c r="CN72" i="30"/>
  <c r="CO72" i="30"/>
  <c r="CP72" i="30"/>
  <c r="CQ72" i="30"/>
  <c r="CR72" i="30"/>
  <c r="CS72" i="30"/>
  <c r="CT72" i="30"/>
  <c r="CU72" i="30"/>
  <c r="CV72" i="30"/>
  <c r="CW72" i="30"/>
  <c r="CX72" i="30"/>
  <c r="CY72" i="30"/>
  <c r="CZ72" i="30"/>
  <c r="DA72" i="30"/>
  <c r="DB72" i="30"/>
  <c r="DC72" i="30"/>
  <c r="DD72" i="30"/>
  <c r="DE72" i="30"/>
  <c r="DF72" i="30"/>
  <c r="DG72" i="30"/>
  <c r="DH72" i="30"/>
  <c r="DI72" i="30"/>
  <c r="DJ72" i="30"/>
  <c r="DK72" i="30"/>
  <c r="DL72" i="30"/>
  <c r="DM72" i="30"/>
  <c r="DN72" i="30"/>
  <c r="DO72" i="30"/>
  <c r="DP72" i="30"/>
  <c r="DQ72" i="30"/>
  <c r="DR72" i="30"/>
  <c r="DS72" i="30"/>
  <c r="DT72" i="30"/>
  <c r="DU72" i="30"/>
  <c r="DV72" i="30"/>
  <c r="DW72" i="30"/>
  <c r="DX72" i="30"/>
  <c r="DY72" i="30"/>
  <c r="DZ72" i="30"/>
  <c r="EA72" i="30"/>
  <c r="EB72" i="30"/>
  <c r="EC72" i="30"/>
  <c r="ED72" i="30"/>
  <c r="EE72" i="30"/>
  <c r="EF72" i="30"/>
  <c r="EG72" i="30"/>
  <c r="EH72" i="30"/>
  <c r="EI72" i="30"/>
  <c r="EJ72" i="30"/>
  <c r="EK72" i="30"/>
  <c r="EL72" i="30"/>
  <c r="EM72" i="30"/>
  <c r="EN72" i="30"/>
  <c r="EO72" i="30"/>
  <c r="EP72" i="30"/>
  <c r="EQ72" i="30"/>
  <c r="ER72" i="30"/>
  <c r="ES72" i="30"/>
  <c r="ET72" i="30"/>
  <c r="EU72" i="30"/>
  <c r="EV72" i="30"/>
  <c r="EW72" i="30"/>
  <c r="EX72" i="30"/>
  <c r="EY72" i="30"/>
  <c r="EZ72" i="30"/>
  <c r="FA72" i="30"/>
  <c r="FB72" i="30"/>
  <c r="FC72" i="30"/>
  <c r="FD72" i="30"/>
  <c r="FE72" i="30"/>
  <c r="FF72" i="30"/>
  <c r="FG72" i="30"/>
  <c r="FH72" i="30"/>
  <c r="FI72" i="30"/>
  <c r="FJ72" i="30"/>
  <c r="FK72" i="30"/>
  <c r="FL72" i="30"/>
  <c r="FM72" i="30"/>
  <c r="FN72" i="30"/>
  <c r="FO72" i="30"/>
  <c r="FP72" i="30"/>
  <c r="FQ72" i="30"/>
  <c r="FR72" i="30"/>
  <c r="FS72" i="30"/>
  <c r="FT72" i="30"/>
  <c r="FU72" i="30"/>
  <c r="FV72" i="30"/>
  <c r="FW72" i="30"/>
  <c r="FX72" i="30"/>
  <c r="FY72" i="30"/>
  <c r="FZ72" i="30"/>
  <c r="GA72" i="30"/>
  <c r="GB72" i="30"/>
  <c r="GC72" i="30"/>
  <c r="GD72" i="30"/>
  <c r="GE72" i="30"/>
  <c r="GF72" i="30"/>
  <c r="GG72" i="30"/>
  <c r="GH72" i="30"/>
  <c r="GI72" i="30"/>
  <c r="GJ72" i="30"/>
  <c r="GK72" i="30"/>
  <c r="GL72" i="30"/>
  <c r="GM72" i="30"/>
  <c r="GN72" i="30"/>
  <c r="GO72" i="30"/>
  <c r="GP72" i="30"/>
  <c r="GQ72" i="30"/>
  <c r="GR72" i="30"/>
  <c r="GS72" i="30"/>
  <c r="GT72" i="30"/>
  <c r="GU72" i="30"/>
  <c r="GV72" i="30"/>
  <c r="GW72" i="30"/>
  <c r="GX72" i="30"/>
  <c r="GY72" i="30"/>
  <c r="GZ72" i="30"/>
  <c r="HA72" i="30"/>
  <c r="HB72" i="30"/>
  <c r="HC72" i="30"/>
  <c r="HD72" i="30"/>
  <c r="HE72" i="30"/>
  <c r="HF72" i="30"/>
  <c r="HG72" i="30"/>
  <c r="HH72" i="30"/>
  <c r="HI72" i="30"/>
  <c r="HJ72" i="30"/>
  <c r="HK72" i="30"/>
  <c r="HL72" i="30"/>
  <c r="HM72" i="30"/>
  <c r="HN72" i="30"/>
  <c r="HO72" i="30"/>
  <c r="HP72" i="30"/>
  <c r="HQ72" i="30"/>
  <c r="HR72" i="30"/>
  <c r="HS72" i="30"/>
  <c r="HT72" i="30"/>
  <c r="HU72" i="30"/>
  <c r="HV72" i="30"/>
  <c r="HW72" i="30"/>
  <c r="HX72" i="30"/>
  <c r="HY72" i="30"/>
  <c r="HZ72" i="30"/>
  <c r="IA72" i="30"/>
  <c r="IB72" i="30"/>
  <c r="IC72" i="30"/>
  <c r="ID72" i="30"/>
  <c r="IE72" i="30"/>
  <c r="IF72" i="30"/>
  <c r="IG72" i="30"/>
  <c r="IH72" i="30"/>
  <c r="II72" i="30"/>
  <c r="IJ72" i="30"/>
  <c r="IK72" i="30"/>
  <c r="IL72" i="30"/>
  <c r="IM72" i="30"/>
  <c r="IN72" i="30"/>
  <c r="IO72" i="30"/>
  <c r="IP72" i="30"/>
  <c r="IQ72" i="30"/>
  <c r="IR72" i="30"/>
  <c r="IS72" i="30"/>
  <c r="IT72" i="30"/>
  <c r="IU72" i="30"/>
  <c r="IV72" i="30"/>
  <c r="A71" i="30"/>
  <c r="B71" i="30"/>
  <c r="C71" i="30"/>
  <c r="D71" i="30"/>
  <c r="E71" i="30"/>
  <c r="F71" i="30"/>
  <c r="G71" i="30"/>
  <c r="H71" i="30"/>
  <c r="I71" i="30"/>
  <c r="J71" i="30"/>
  <c r="K71" i="30"/>
  <c r="L71" i="30"/>
  <c r="M71" i="30"/>
  <c r="N71" i="30"/>
  <c r="O71" i="30"/>
  <c r="P71" i="30"/>
  <c r="Q71" i="30"/>
  <c r="R71" i="30"/>
  <c r="S71" i="30"/>
  <c r="T71" i="30"/>
  <c r="U71" i="30"/>
  <c r="V71" i="30"/>
  <c r="W71" i="30"/>
  <c r="X71" i="30"/>
  <c r="Y71" i="30"/>
  <c r="Z71" i="30"/>
  <c r="AA71" i="30"/>
  <c r="AB71" i="30"/>
  <c r="AC71" i="30"/>
  <c r="AD71" i="30"/>
  <c r="AE71" i="30"/>
  <c r="AF71" i="30"/>
  <c r="AG71" i="30"/>
  <c r="AH71" i="30"/>
  <c r="AI71" i="30"/>
  <c r="AJ71" i="30"/>
  <c r="AK71" i="30"/>
  <c r="AL71" i="30"/>
  <c r="AM71" i="30"/>
  <c r="AN71" i="30"/>
  <c r="AO71" i="30"/>
  <c r="AP71" i="30"/>
  <c r="AQ71" i="30"/>
  <c r="AR71" i="30"/>
  <c r="AS71" i="30"/>
  <c r="AT71" i="30"/>
  <c r="AU71" i="30"/>
  <c r="AV71" i="30"/>
  <c r="AW71" i="30"/>
  <c r="AX71" i="30"/>
  <c r="AY71" i="30"/>
  <c r="AZ71" i="30"/>
  <c r="BA71" i="30"/>
  <c r="BB71" i="30"/>
  <c r="BC71" i="30"/>
  <c r="BD71" i="30"/>
  <c r="BE71" i="30"/>
  <c r="BF71" i="30"/>
  <c r="BG71" i="30"/>
  <c r="BH71" i="30"/>
  <c r="BI71" i="30"/>
  <c r="BJ71" i="30"/>
  <c r="BK71" i="30"/>
  <c r="BL71" i="30"/>
  <c r="BM71" i="30"/>
  <c r="BN71" i="30"/>
  <c r="BO71" i="30"/>
  <c r="BP71" i="30"/>
  <c r="BQ71" i="30"/>
  <c r="BR71" i="30"/>
  <c r="BS71" i="30"/>
  <c r="BT71" i="30"/>
  <c r="BU71" i="30"/>
  <c r="BV71" i="30"/>
  <c r="BW71" i="30"/>
  <c r="BX71" i="30"/>
  <c r="BY71" i="30"/>
  <c r="BZ71" i="30"/>
  <c r="CA71" i="30"/>
  <c r="CB71" i="30"/>
  <c r="CC71" i="30"/>
  <c r="CD71" i="30"/>
  <c r="CE71" i="30"/>
  <c r="CF71" i="30"/>
  <c r="CG71" i="30"/>
  <c r="CH71" i="30"/>
  <c r="CI71" i="30"/>
  <c r="CJ71" i="30"/>
  <c r="CK71" i="30"/>
  <c r="CL71" i="30"/>
  <c r="CM71" i="30"/>
  <c r="CN71" i="30"/>
  <c r="CO71" i="30"/>
  <c r="CP71" i="30"/>
  <c r="CQ71" i="30"/>
  <c r="CR71" i="30"/>
  <c r="CS71" i="30"/>
  <c r="CT71" i="30"/>
  <c r="CU71" i="30"/>
  <c r="CV71" i="30"/>
  <c r="CW71" i="30"/>
  <c r="CX71" i="30"/>
  <c r="CY71" i="30"/>
  <c r="CZ71" i="30"/>
  <c r="DA71" i="30"/>
  <c r="DB71" i="30"/>
  <c r="DC71" i="30"/>
  <c r="DD71" i="30"/>
  <c r="DE71" i="30"/>
  <c r="DF71" i="30"/>
  <c r="DG71" i="30"/>
  <c r="DH71" i="30"/>
  <c r="DI71" i="30"/>
  <c r="DJ71" i="30"/>
  <c r="DK71" i="30"/>
  <c r="DL71" i="30"/>
  <c r="DM71" i="30"/>
  <c r="DN71" i="30"/>
  <c r="DO71" i="30"/>
  <c r="DP71" i="30"/>
  <c r="DQ71" i="30"/>
  <c r="DR71" i="30"/>
  <c r="DS71" i="30"/>
  <c r="DT71" i="30"/>
  <c r="DU71" i="30"/>
  <c r="DV71" i="30"/>
  <c r="DW71" i="30"/>
  <c r="DX71" i="30"/>
  <c r="DY71" i="30"/>
  <c r="DZ71" i="30"/>
  <c r="EA71" i="30"/>
  <c r="EB71" i="30"/>
  <c r="EC71" i="30"/>
  <c r="ED71" i="30"/>
  <c r="EE71" i="30"/>
  <c r="EF71" i="30"/>
  <c r="EG71" i="30"/>
  <c r="EH71" i="30"/>
  <c r="EI71" i="30"/>
  <c r="EJ71" i="30"/>
  <c r="EK71" i="30"/>
  <c r="EL71" i="30"/>
  <c r="EM71" i="30"/>
  <c r="EN71" i="30"/>
  <c r="EO71" i="30"/>
  <c r="EP71" i="30"/>
  <c r="EQ71" i="30"/>
  <c r="ER71" i="30"/>
  <c r="ES71" i="30"/>
  <c r="ET71" i="30"/>
  <c r="EU71" i="30"/>
  <c r="EV71" i="30"/>
  <c r="EW71" i="30"/>
  <c r="EX71" i="30"/>
  <c r="EY71" i="30"/>
  <c r="EZ71" i="30"/>
  <c r="FA71" i="30"/>
  <c r="FB71" i="30"/>
  <c r="FC71" i="30"/>
  <c r="FD71" i="30"/>
  <c r="FE71" i="30"/>
  <c r="FF71" i="30"/>
  <c r="FG71" i="30"/>
  <c r="FH71" i="30"/>
  <c r="FI71" i="30"/>
  <c r="FJ71" i="30"/>
  <c r="FK71" i="30"/>
  <c r="FL71" i="30"/>
  <c r="FM71" i="30"/>
  <c r="FN71" i="30"/>
  <c r="FO71" i="30"/>
  <c r="FP71" i="30"/>
  <c r="FQ71" i="30"/>
  <c r="FR71" i="30"/>
  <c r="FS71" i="30"/>
  <c r="FT71" i="30"/>
  <c r="FU71" i="30"/>
  <c r="FV71" i="30"/>
  <c r="FW71" i="30"/>
  <c r="FX71" i="30"/>
  <c r="FY71" i="30"/>
  <c r="FZ71" i="30"/>
  <c r="GA71" i="30"/>
  <c r="GB71" i="30"/>
  <c r="GC71" i="30"/>
  <c r="GD71" i="30"/>
  <c r="GE71" i="30"/>
  <c r="GF71" i="30"/>
  <c r="GG71" i="30"/>
  <c r="GH71" i="30"/>
  <c r="GI71" i="30"/>
  <c r="GJ71" i="30"/>
  <c r="GK71" i="30"/>
  <c r="GL71" i="30"/>
  <c r="GM71" i="30"/>
  <c r="GN71" i="30"/>
  <c r="GO71" i="30"/>
  <c r="GP71" i="30"/>
  <c r="GQ71" i="30"/>
  <c r="GR71" i="30"/>
  <c r="GS71" i="30"/>
  <c r="GT71" i="30"/>
  <c r="GU71" i="30"/>
  <c r="GV71" i="30"/>
  <c r="GW71" i="30"/>
  <c r="GX71" i="30"/>
  <c r="GY71" i="30"/>
  <c r="GZ71" i="30"/>
  <c r="HA71" i="30"/>
  <c r="HB71" i="30"/>
  <c r="HC71" i="30"/>
  <c r="HD71" i="30"/>
  <c r="HE71" i="30"/>
  <c r="HF71" i="30"/>
  <c r="HG71" i="30"/>
  <c r="HH71" i="30"/>
  <c r="HI71" i="30"/>
  <c r="HJ71" i="30"/>
  <c r="HK71" i="30"/>
  <c r="HL71" i="30"/>
  <c r="HM71" i="30"/>
  <c r="HN71" i="30"/>
  <c r="HO71" i="30"/>
  <c r="HP71" i="30"/>
  <c r="HQ71" i="30"/>
  <c r="HR71" i="30"/>
  <c r="HS71" i="30"/>
  <c r="HT71" i="30"/>
  <c r="HU71" i="30"/>
  <c r="HV71" i="30"/>
  <c r="HW71" i="30"/>
  <c r="HX71" i="30"/>
  <c r="HY71" i="30"/>
  <c r="HZ71" i="30"/>
  <c r="IA71" i="30"/>
  <c r="IB71" i="30"/>
  <c r="IC71" i="30"/>
  <c r="ID71" i="30"/>
  <c r="IE71" i="30"/>
  <c r="IF71" i="30"/>
  <c r="IG71" i="30"/>
  <c r="IH71" i="30"/>
  <c r="II71" i="30"/>
  <c r="IJ71" i="30"/>
  <c r="IK71" i="30"/>
  <c r="IL71" i="30"/>
  <c r="IM71" i="30"/>
  <c r="IN71" i="30"/>
  <c r="IO71" i="30"/>
  <c r="IP71" i="30"/>
  <c r="IQ71" i="30"/>
  <c r="IR71" i="30"/>
  <c r="IS71" i="30"/>
  <c r="IT71" i="30"/>
  <c r="IU71" i="30"/>
  <c r="IV71" i="30"/>
  <c r="A70" i="30"/>
  <c r="B70" i="30"/>
  <c r="C70" i="30"/>
  <c r="D70" i="30"/>
  <c r="E70" i="30"/>
  <c r="F70" i="30"/>
  <c r="G70" i="30"/>
  <c r="H70" i="30"/>
  <c r="I70" i="30"/>
  <c r="J70" i="30"/>
  <c r="K70" i="30"/>
  <c r="L70" i="30"/>
  <c r="M70" i="30"/>
  <c r="N70" i="30"/>
  <c r="O70" i="30"/>
  <c r="P70" i="30"/>
  <c r="Q70" i="30"/>
  <c r="R70" i="30"/>
  <c r="S70" i="30"/>
  <c r="T70" i="30"/>
  <c r="U70" i="30"/>
  <c r="V70" i="30"/>
  <c r="W70" i="30"/>
  <c r="X70" i="30"/>
  <c r="Y70" i="30"/>
  <c r="Z70" i="30"/>
  <c r="AA70" i="30"/>
  <c r="AB70" i="30"/>
  <c r="AC70" i="30"/>
  <c r="AD70" i="30"/>
  <c r="AE70" i="30"/>
  <c r="AF70" i="30"/>
  <c r="AG70" i="30"/>
  <c r="AH70" i="30"/>
  <c r="AI70" i="30"/>
  <c r="AJ70" i="30"/>
  <c r="AK70" i="30"/>
  <c r="AL70" i="30"/>
  <c r="AM70" i="30"/>
  <c r="AN70" i="30"/>
  <c r="AO70" i="30"/>
  <c r="AP70" i="30"/>
  <c r="AQ70" i="30"/>
  <c r="AR70" i="30"/>
  <c r="AS70" i="30"/>
  <c r="AT70" i="30"/>
  <c r="AU70" i="30"/>
  <c r="AV70" i="30"/>
  <c r="AW70" i="30"/>
  <c r="AX70" i="30"/>
  <c r="AY70" i="30"/>
  <c r="AZ70" i="30"/>
  <c r="BA70" i="30"/>
  <c r="BB70" i="30"/>
  <c r="BC70" i="30"/>
  <c r="BD70" i="30"/>
  <c r="BE70" i="30"/>
  <c r="BF70" i="30"/>
  <c r="BG70" i="30"/>
  <c r="BH70" i="30"/>
  <c r="BI70" i="30"/>
  <c r="BJ70" i="30"/>
  <c r="BK70" i="30"/>
  <c r="BL70" i="30"/>
  <c r="BM70" i="30"/>
  <c r="BN70" i="30"/>
  <c r="BO70" i="30"/>
  <c r="BP70" i="30"/>
  <c r="BQ70" i="30"/>
  <c r="BR70" i="30"/>
  <c r="BS70" i="30"/>
  <c r="BT70" i="30"/>
  <c r="BU70" i="30"/>
  <c r="BV70" i="30"/>
  <c r="BW70" i="30"/>
  <c r="BX70" i="30"/>
  <c r="BY70" i="30"/>
  <c r="BZ70" i="30"/>
  <c r="CA70" i="30"/>
  <c r="CB70" i="30"/>
  <c r="CC70" i="30"/>
  <c r="CD70" i="30"/>
  <c r="CE70" i="30"/>
  <c r="CF70" i="30"/>
  <c r="CG70" i="30"/>
  <c r="CH70" i="30"/>
  <c r="CI70" i="30"/>
  <c r="CJ70" i="30"/>
  <c r="CK70" i="30"/>
  <c r="CL70" i="30"/>
  <c r="CM70" i="30"/>
  <c r="CN70" i="30"/>
  <c r="CO70" i="30"/>
  <c r="CP70" i="30"/>
  <c r="CQ70" i="30"/>
  <c r="CR70" i="30"/>
  <c r="CS70" i="30"/>
  <c r="CT70" i="30"/>
  <c r="CU70" i="30"/>
  <c r="CV70" i="30"/>
  <c r="CW70" i="30"/>
  <c r="CX70" i="30"/>
  <c r="CY70" i="30"/>
  <c r="CZ70" i="30"/>
  <c r="DA70" i="30"/>
  <c r="DB70" i="30"/>
  <c r="DC70" i="30"/>
  <c r="DD70" i="30"/>
  <c r="DE70" i="30"/>
  <c r="DF70" i="30"/>
  <c r="DG70" i="30"/>
  <c r="DH70" i="30"/>
  <c r="DI70" i="30"/>
  <c r="DJ70" i="30"/>
  <c r="DK70" i="30"/>
  <c r="DL70" i="30"/>
  <c r="DM70" i="30"/>
  <c r="DN70" i="30"/>
  <c r="DO70" i="30"/>
  <c r="DP70" i="30"/>
  <c r="DQ70" i="30"/>
  <c r="DR70" i="30"/>
  <c r="DS70" i="30"/>
  <c r="DT70" i="30"/>
  <c r="DU70" i="30"/>
  <c r="DV70" i="30"/>
  <c r="DW70" i="30"/>
  <c r="DX70" i="30"/>
  <c r="DY70" i="30"/>
  <c r="DZ70" i="30"/>
  <c r="EA70" i="30"/>
  <c r="EB70" i="30"/>
  <c r="EC70" i="30"/>
  <c r="ED70" i="30"/>
  <c r="EE70" i="30"/>
  <c r="EF70" i="30"/>
  <c r="EG70" i="30"/>
  <c r="EH70" i="30"/>
  <c r="EI70" i="30"/>
  <c r="EJ70" i="30"/>
  <c r="EK70" i="30"/>
  <c r="EL70" i="30"/>
  <c r="EM70" i="30"/>
  <c r="EN70" i="30"/>
  <c r="EO70" i="30"/>
  <c r="EP70" i="30"/>
  <c r="EQ70" i="30"/>
  <c r="ER70" i="30"/>
  <c r="ES70" i="30"/>
  <c r="ET70" i="30"/>
  <c r="EU70" i="30"/>
  <c r="EV70" i="30"/>
  <c r="EW70" i="30"/>
  <c r="EX70" i="30"/>
  <c r="EY70" i="30"/>
  <c r="EZ70" i="30"/>
  <c r="FA70" i="30"/>
  <c r="FB70" i="30"/>
  <c r="FC70" i="30"/>
  <c r="FD70" i="30"/>
  <c r="FE70" i="30"/>
  <c r="FF70" i="30"/>
  <c r="FG70" i="30"/>
  <c r="FH70" i="30"/>
  <c r="FI70" i="30"/>
  <c r="FJ70" i="30"/>
  <c r="FK70" i="30"/>
  <c r="FL70" i="30"/>
  <c r="FM70" i="30"/>
  <c r="FN70" i="30"/>
  <c r="FO70" i="30"/>
  <c r="FP70" i="30"/>
  <c r="FQ70" i="30"/>
  <c r="FR70" i="30"/>
  <c r="FS70" i="30"/>
  <c r="FT70" i="30"/>
  <c r="FU70" i="30"/>
  <c r="FV70" i="30"/>
  <c r="FW70" i="30"/>
  <c r="FX70" i="30"/>
  <c r="FY70" i="30"/>
  <c r="FZ70" i="30"/>
  <c r="GA70" i="30"/>
  <c r="GB70" i="30"/>
  <c r="GC70" i="30"/>
  <c r="GD70" i="30"/>
  <c r="GE70" i="30"/>
  <c r="GF70" i="30"/>
  <c r="GG70" i="30"/>
  <c r="GH70" i="30"/>
  <c r="GI70" i="30"/>
  <c r="GJ70" i="30"/>
  <c r="GK70" i="30"/>
  <c r="GL70" i="30"/>
  <c r="GM70" i="30"/>
  <c r="GN70" i="30"/>
  <c r="GO70" i="30"/>
  <c r="GP70" i="30"/>
  <c r="GQ70" i="30"/>
  <c r="GR70" i="30"/>
  <c r="GS70" i="30"/>
  <c r="GT70" i="30"/>
  <c r="GU70" i="30"/>
  <c r="GV70" i="30"/>
  <c r="GW70" i="30"/>
  <c r="GX70" i="30"/>
  <c r="GY70" i="30"/>
  <c r="GZ70" i="30"/>
  <c r="HA70" i="30"/>
  <c r="HB70" i="30"/>
  <c r="HC70" i="30"/>
  <c r="HD70" i="30"/>
  <c r="HE70" i="30"/>
  <c r="HF70" i="30"/>
  <c r="HG70" i="30"/>
  <c r="HH70" i="30"/>
  <c r="HI70" i="30"/>
  <c r="HJ70" i="30"/>
  <c r="HK70" i="30"/>
  <c r="HL70" i="30"/>
  <c r="HM70" i="30"/>
  <c r="HN70" i="30"/>
  <c r="HO70" i="30"/>
  <c r="HP70" i="30"/>
  <c r="HQ70" i="30"/>
  <c r="HR70" i="30"/>
  <c r="HS70" i="30"/>
  <c r="HT70" i="30"/>
  <c r="HU70" i="30"/>
  <c r="HV70" i="30"/>
  <c r="HW70" i="30"/>
  <c r="HX70" i="30"/>
  <c r="HY70" i="30"/>
  <c r="HZ70" i="30"/>
  <c r="IA70" i="30"/>
  <c r="IB70" i="30"/>
  <c r="IC70" i="30"/>
  <c r="ID70" i="30"/>
  <c r="IE70" i="30"/>
  <c r="IF70" i="30"/>
  <c r="IG70" i="30"/>
  <c r="IH70" i="30"/>
  <c r="II70" i="30"/>
  <c r="IJ70" i="30"/>
  <c r="IK70" i="30"/>
  <c r="IL70" i="30"/>
  <c r="IM70" i="30"/>
  <c r="IN70" i="30"/>
  <c r="IO70" i="30"/>
  <c r="IP70" i="30"/>
  <c r="IQ70" i="30"/>
  <c r="IR70" i="30"/>
  <c r="IS70" i="30"/>
  <c r="IT70" i="30"/>
  <c r="IU70" i="30"/>
  <c r="IV70" i="30"/>
  <c r="A69" i="30"/>
  <c r="B69" i="30"/>
  <c r="C69" i="30"/>
  <c r="D69" i="30"/>
  <c r="E69" i="30"/>
  <c r="F69" i="30"/>
  <c r="G69" i="30"/>
  <c r="H69" i="30"/>
  <c r="I69" i="30"/>
  <c r="J69" i="30"/>
  <c r="K69" i="30"/>
  <c r="L69" i="30"/>
  <c r="M69" i="30"/>
  <c r="N69" i="30"/>
  <c r="O69" i="30"/>
  <c r="P69" i="30"/>
  <c r="Q69" i="30"/>
  <c r="R69" i="30"/>
  <c r="S69" i="30"/>
  <c r="T69" i="30"/>
  <c r="U69" i="30"/>
  <c r="V69" i="30"/>
  <c r="W69" i="30"/>
  <c r="X69" i="30"/>
  <c r="Y69" i="30"/>
  <c r="Z69" i="30"/>
  <c r="AA69" i="30"/>
  <c r="AB69" i="30"/>
  <c r="AC69" i="30"/>
  <c r="AD69" i="30"/>
  <c r="AE69" i="30"/>
  <c r="AF69" i="30"/>
  <c r="AG69" i="30"/>
  <c r="AH69" i="30"/>
  <c r="AI69" i="30"/>
  <c r="AJ69" i="30"/>
  <c r="AK69" i="30"/>
  <c r="AL69" i="30"/>
  <c r="AM69" i="30"/>
  <c r="AN69" i="30"/>
  <c r="AO69" i="30"/>
  <c r="AP69" i="30"/>
  <c r="AQ69" i="30"/>
  <c r="AR69" i="30"/>
  <c r="AS69" i="30"/>
  <c r="AT69" i="30"/>
  <c r="AU69" i="30"/>
  <c r="AV69" i="30"/>
  <c r="AW69" i="30"/>
  <c r="AX69" i="30"/>
  <c r="AY69" i="30"/>
  <c r="AZ69" i="30"/>
  <c r="BA69" i="30"/>
  <c r="BB69" i="30"/>
  <c r="BC69" i="30"/>
  <c r="BD69" i="30"/>
  <c r="BE69" i="30"/>
  <c r="BF69" i="30"/>
  <c r="BG69" i="30"/>
  <c r="BH69" i="30"/>
  <c r="BI69" i="30"/>
  <c r="BJ69" i="30"/>
  <c r="BK69" i="30"/>
  <c r="BL69" i="30"/>
  <c r="BM69" i="30"/>
  <c r="BN69" i="30"/>
  <c r="BO69" i="30"/>
  <c r="BP69" i="30"/>
  <c r="BQ69" i="30"/>
  <c r="BR69" i="30"/>
  <c r="BS69" i="30"/>
  <c r="BT69" i="30"/>
  <c r="BU69" i="30"/>
  <c r="BV69" i="30"/>
  <c r="BW69" i="30"/>
  <c r="BX69" i="30"/>
  <c r="BY69" i="30"/>
  <c r="BZ69" i="30"/>
  <c r="CA69" i="30"/>
  <c r="CB69" i="30"/>
  <c r="CC69" i="30"/>
  <c r="CD69" i="30"/>
  <c r="CE69" i="30"/>
  <c r="CF69" i="30"/>
  <c r="CG69" i="30"/>
  <c r="CH69" i="30"/>
  <c r="CI69" i="30"/>
  <c r="CJ69" i="30"/>
  <c r="CK69" i="30"/>
  <c r="CL69" i="30"/>
  <c r="CM69" i="30"/>
  <c r="CN69" i="30"/>
  <c r="CO69" i="30"/>
  <c r="CP69" i="30"/>
  <c r="CQ69" i="30"/>
  <c r="CR69" i="30"/>
  <c r="CS69" i="30"/>
  <c r="CT69" i="30"/>
  <c r="CU69" i="30"/>
  <c r="CV69" i="30"/>
  <c r="CW69" i="30"/>
  <c r="CX69" i="30"/>
  <c r="CY69" i="30"/>
  <c r="CZ69" i="30"/>
  <c r="DA69" i="30"/>
  <c r="DB69" i="30"/>
  <c r="DC69" i="30"/>
  <c r="DD69" i="30"/>
  <c r="DE69" i="30"/>
  <c r="DF69" i="30"/>
  <c r="DG69" i="30"/>
  <c r="DH69" i="30"/>
  <c r="DI69" i="30"/>
  <c r="DJ69" i="30"/>
  <c r="DK69" i="30"/>
  <c r="DL69" i="30"/>
  <c r="DM69" i="30"/>
  <c r="DN69" i="30"/>
  <c r="DO69" i="30"/>
  <c r="DP69" i="30"/>
  <c r="DQ69" i="30"/>
  <c r="DR69" i="30"/>
  <c r="DS69" i="30"/>
  <c r="DT69" i="30"/>
  <c r="DU69" i="30"/>
  <c r="DV69" i="30"/>
  <c r="DW69" i="30"/>
  <c r="DX69" i="30"/>
  <c r="DY69" i="30"/>
  <c r="DZ69" i="30"/>
  <c r="EA69" i="30"/>
  <c r="EB69" i="30"/>
  <c r="EC69" i="30"/>
  <c r="ED69" i="30"/>
  <c r="EE69" i="30"/>
  <c r="EF69" i="30"/>
  <c r="EG69" i="30"/>
  <c r="EH69" i="30"/>
  <c r="EI69" i="30"/>
  <c r="EJ69" i="30"/>
  <c r="EK69" i="30"/>
  <c r="EL69" i="30"/>
  <c r="EM69" i="30"/>
  <c r="EN69" i="30"/>
  <c r="EO69" i="30"/>
  <c r="EP69" i="30"/>
  <c r="EQ69" i="30"/>
  <c r="ER69" i="30"/>
  <c r="ES69" i="30"/>
  <c r="ET69" i="30"/>
  <c r="EU69" i="30"/>
  <c r="EV69" i="30"/>
  <c r="EW69" i="30"/>
  <c r="EX69" i="30"/>
  <c r="EY69" i="30"/>
  <c r="EZ69" i="30"/>
  <c r="FA69" i="30"/>
  <c r="FB69" i="30"/>
  <c r="FC69" i="30"/>
  <c r="FD69" i="30"/>
  <c r="FE69" i="30"/>
  <c r="FF69" i="30"/>
  <c r="FG69" i="30"/>
  <c r="FH69" i="30"/>
  <c r="FI69" i="30"/>
  <c r="FJ69" i="30"/>
  <c r="FK69" i="30"/>
  <c r="FL69" i="30"/>
  <c r="FM69" i="30"/>
  <c r="FN69" i="30"/>
  <c r="FO69" i="30"/>
  <c r="FP69" i="30"/>
  <c r="FQ69" i="30"/>
  <c r="FR69" i="30"/>
  <c r="FS69" i="30"/>
  <c r="FT69" i="30"/>
  <c r="FU69" i="30"/>
  <c r="FV69" i="30"/>
  <c r="FW69" i="30"/>
  <c r="FX69" i="30"/>
  <c r="FY69" i="30"/>
  <c r="FZ69" i="30"/>
  <c r="GA69" i="30"/>
  <c r="GB69" i="30"/>
  <c r="GC69" i="30"/>
  <c r="GD69" i="30"/>
  <c r="GE69" i="30"/>
  <c r="GF69" i="30"/>
  <c r="GG69" i="30"/>
  <c r="GH69" i="30"/>
  <c r="GI69" i="30"/>
  <c r="GJ69" i="30"/>
  <c r="GK69" i="30"/>
  <c r="GL69" i="30"/>
  <c r="GM69" i="30"/>
  <c r="GN69" i="30"/>
  <c r="GO69" i="30"/>
  <c r="GP69" i="30"/>
  <c r="GQ69" i="30"/>
  <c r="GR69" i="30"/>
  <c r="GS69" i="30"/>
  <c r="GT69" i="30"/>
  <c r="GU69" i="30"/>
  <c r="GV69" i="30"/>
  <c r="GW69" i="30"/>
  <c r="GX69" i="30"/>
  <c r="GY69" i="30"/>
  <c r="GZ69" i="30"/>
  <c r="HA69" i="30"/>
  <c r="HB69" i="30"/>
  <c r="HC69" i="30"/>
  <c r="HD69" i="30"/>
  <c r="HE69" i="30"/>
  <c r="HF69" i="30"/>
  <c r="HG69" i="30"/>
  <c r="HH69" i="30"/>
  <c r="HI69" i="30"/>
  <c r="HJ69" i="30"/>
  <c r="HK69" i="30"/>
  <c r="HL69" i="30"/>
  <c r="HM69" i="30"/>
  <c r="HN69" i="30"/>
  <c r="HO69" i="30"/>
  <c r="HP69" i="30"/>
  <c r="HQ69" i="30"/>
  <c r="HR69" i="30"/>
  <c r="HS69" i="30"/>
  <c r="HT69" i="30"/>
  <c r="HU69" i="30"/>
  <c r="HV69" i="30"/>
  <c r="HW69" i="30"/>
  <c r="HX69" i="30"/>
  <c r="HY69" i="30"/>
  <c r="HZ69" i="30"/>
  <c r="IA69" i="30"/>
  <c r="IB69" i="30"/>
  <c r="IC69" i="30"/>
  <c r="ID69" i="30"/>
  <c r="IE69" i="30"/>
  <c r="IF69" i="30"/>
  <c r="IG69" i="30"/>
  <c r="IH69" i="30"/>
  <c r="II69" i="30"/>
  <c r="IJ69" i="30"/>
  <c r="IK69" i="30"/>
  <c r="IL69" i="30"/>
  <c r="IM69" i="30"/>
  <c r="IN69" i="30"/>
  <c r="IO69" i="30"/>
  <c r="IP69" i="30"/>
  <c r="IQ69" i="30"/>
  <c r="IR69" i="30"/>
  <c r="IS69" i="30"/>
  <c r="IT69" i="30"/>
  <c r="IU69" i="30"/>
  <c r="IV69" i="30"/>
  <c r="A68" i="30"/>
  <c r="B68" i="30"/>
  <c r="C68" i="30"/>
  <c r="D68" i="30"/>
  <c r="E68" i="30"/>
  <c r="F68" i="30"/>
  <c r="G68" i="30"/>
  <c r="H68" i="30"/>
  <c r="I68" i="30"/>
  <c r="J68" i="30"/>
  <c r="K68" i="30"/>
  <c r="L68" i="30"/>
  <c r="M68" i="30"/>
  <c r="N68" i="30"/>
  <c r="O68" i="30"/>
  <c r="P68" i="30"/>
  <c r="Q68" i="30"/>
  <c r="R68" i="30"/>
  <c r="S68" i="30"/>
  <c r="T68" i="30"/>
  <c r="U68" i="30"/>
  <c r="V68" i="30"/>
  <c r="W68" i="30"/>
  <c r="X68" i="30"/>
  <c r="Y68" i="30"/>
  <c r="Z68" i="30"/>
  <c r="AA68" i="30"/>
  <c r="AB68" i="30"/>
  <c r="AC68" i="30"/>
  <c r="AD68" i="30"/>
  <c r="AE68" i="30"/>
  <c r="AF68" i="30"/>
  <c r="AG68" i="30"/>
  <c r="AH68" i="30"/>
  <c r="AI68" i="30"/>
  <c r="AJ68" i="30"/>
  <c r="AK68" i="30"/>
  <c r="AL68" i="30"/>
  <c r="AM68" i="30"/>
  <c r="AN68" i="30"/>
  <c r="AO68" i="30"/>
  <c r="AP68" i="30"/>
  <c r="AQ68" i="30"/>
  <c r="AR68" i="30"/>
  <c r="AS68" i="30"/>
  <c r="AT68" i="30"/>
  <c r="AU68" i="30"/>
  <c r="AV68" i="30"/>
  <c r="AW68" i="30"/>
  <c r="AX68" i="30"/>
  <c r="AY68" i="30"/>
  <c r="AZ68" i="30"/>
  <c r="BA68" i="30"/>
  <c r="BB68" i="30"/>
  <c r="BC68" i="30"/>
  <c r="BD68" i="30"/>
  <c r="BE68" i="30"/>
  <c r="BF68" i="30"/>
  <c r="BG68" i="30"/>
  <c r="BH68" i="30"/>
  <c r="BI68" i="30"/>
  <c r="BJ68" i="30"/>
  <c r="BK68" i="30"/>
  <c r="BL68" i="30"/>
  <c r="BM68" i="30"/>
  <c r="BN68" i="30"/>
  <c r="BO68" i="30"/>
  <c r="BP68" i="30"/>
  <c r="BQ68" i="30"/>
  <c r="BR68" i="30"/>
  <c r="BS68" i="30"/>
  <c r="BT68" i="30"/>
  <c r="BU68" i="30"/>
  <c r="BV68" i="30"/>
  <c r="BW68" i="30"/>
  <c r="BX68" i="30"/>
  <c r="BY68" i="30"/>
  <c r="BZ68" i="30"/>
  <c r="CA68" i="30"/>
  <c r="CB68" i="30"/>
  <c r="CC68" i="30"/>
  <c r="CD68" i="30"/>
  <c r="CE68" i="30"/>
  <c r="CF68" i="30"/>
  <c r="CG68" i="30"/>
  <c r="CH68" i="30"/>
  <c r="CI68" i="30"/>
  <c r="CJ68" i="30"/>
  <c r="CK68" i="30"/>
  <c r="CL68" i="30"/>
  <c r="CM68" i="30"/>
  <c r="CN68" i="30"/>
  <c r="CO68" i="30"/>
  <c r="CP68" i="30"/>
  <c r="CQ68" i="30"/>
  <c r="CR68" i="30"/>
  <c r="CS68" i="30"/>
  <c r="CT68" i="30"/>
  <c r="CU68" i="30"/>
  <c r="CV68" i="30"/>
  <c r="CW68" i="30"/>
  <c r="CX68" i="30"/>
  <c r="CY68" i="30"/>
  <c r="CZ68" i="30"/>
  <c r="DA68" i="30"/>
  <c r="DB68" i="30"/>
  <c r="DC68" i="30"/>
  <c r="DD68" i="30"/>
  <c r="DE68" i="30"/>
  <c r="DF68" i="30"/>
  <c r="DG68" i="30"/>
  <c r="DH68" i="30"/>
  <c r="DI68" i="30"/>
  <c r="DJ68" i="30"/>
  <c r="DK68" i="30"/>
  <c r="DL68" i="30"/>
  <c r="DM68" i="30"/>
  <c r="DN68" i="30"/>
  <c r="DO68" i="30"/>
  <c r="DP68" i="30"/>
  <c r="DQ68" i="30"/>
  <c r="DR68" i="30"/>
  <c r="DS68" i="30"/>
  <c r="DT68" i="30"/>
  <c r="DU68" i="30"/>
  <c r="DV68" i="30"/>
  <c r="DW68" i="30"/>
  <c r="DX68" i="30"/>
  <c r="DY68" i="30"/>
  <c r="DZ68" i="30"/>
  <c r="EA68" i="30"/>
  <c r="EB68" i="30"/>
  <c r="EC68" i="30"/>
  <c r="ED68" i="30"/>
  <c r="EE68" i="30"/>
  <c r="EF68" i="30"/>
  <c r="EG68" i="30"/>
  <c r="EH68" i="30"/>
  <c r="EI68" i="30"/>
  <c r="EJ68" i="30"/>
  <c r="EK68" i="30"/>
  <c r="EL68" i="30"/>
  <c r="EM68" i="30"/>
  <c r="EN68" i="30"/>
  <c r="EO68" i="30"/>
  <c r="EP68" i="30"/>
  <c r="EQ68" i="30"/>
  <c r="ER68" i="30"/>
  <c r="ES68" i="30"/>
  <c r="ET68" i="30"/>
  <c r="EU68" i="30"/>
  <c r="EV68" i="30"/>
  <c r="EW68" i="30"/>
  <c r="EX68" i="30"/>
  <c r="EY68" i="30"/>
  <c r="EZ68" i="30"/>
  <c r="FA68" i="30"/>
  <c r="FB68" i="30"/>
  <c r="FC68" i="30"/>
  <c r="FD68" i="30"/>
  <c r="FE68" i="30"/>
  <c r="FF68" i="30"/>
  <c r="FG68" i="30"/>
  <c r="FH68" i="30"/>
  <c r="FI68" i="30"/>
  <c r="FJ68" i="30"/>
  <c r="FK68" i="30"/>
  <c r="FL68" i="30"/>
  <c r="FM68" i="30"/>
  <c r="FN68" i="30"/>
  <c r="FO68" i="30"/>
  <c r="FP68" i="30"/>
  <c r="FQ68" i="30"/>
  <c r="FR68" i="30"/>
  <c r="FS68" i="30"/>
  <c r="FT68" i="30"/>
  <c r="FU68" i="30"/>
  <c r="FV68" i="30"/>
  <c r="FW68" i="30"/>
  <c r="FX68" i="30"/>
  <c r="FY68" i="30"/>
  <c r="FZ68" i="30"/>
  <c r="GA68" i="30"/>
  <c r="GB68" i="30"/>
  <c r="GC68" i="30"/>
  <c r="GD68" i="30"/>
  <c r="GE68" i="30"/>
  <c r="GF68" i="30"/>
  <c r="GG68" i="30"/>
  <c r="GH68" i="30"/>
  <c r="GI68" i="30"/>
  <c r="GJ68" i="30"/>
  <c r="GK68" i="30"/>
  <c r="GL68" i="30"/>
  <c r="GM68" i="30"/>
  <c r="GN68" i="30"/>
  <c r="GO68" i="30"/>
  <c r="GP68" i="30"/>
  <c r="GQ68" i="30"/>
  <c r="GR68" i="30"/>
  <c r="GS68" i="30"/>
  <c r="GT68" i="30"/>
  <c r="GU68" i="30"/>
  <c r="GV68" i="30"/>
  <c r="GW68" i="30"/>
  <c r="GX68" i="30"/>
  <c r="GY68" i="30"/>
  <c r="GZ68" i="30"/>
  <c r="HA68" i="30"/>
  <c r="HB68" i="30"/>
  <c r="HC68" i="30"/>
  <c r="HD68" i="30"/>
  <c r="HE68" i="30"/>
  <c r="HF68" i="30"/>
  <c r="HG68" i="30"/>
  <c r="HH68" i="30"/>
  <c r="HI68" i="30"/>
  <c r="HJ68" i="30"/>
  <c r="HK68" i="30"/>
  <c r="HL68" i="30"/>
  <c r="HM68" i="30"/>
  <c r="HN68" i="30"/>
  <c r="HO68" i="30"/>
  <c r="HP68" i="30"/>
  <c r="HQ68" i="30"/>
  <c r="HR68" i="30"/>
  <c r="HS68" i="30"/>
  <c r="HT68" i="30"/>
  <c r="HU68" i="30"/>
  <c r="HV68" i="30"/>
  <c r="HW68" i="30"/>
  <c r="HX68" i="30"/>
  <c r="HY68" i="30"/>
  <c r="HZ68" i="30"/>
  <c r="IA68" i="30"/>
  <c r="IB68" i="30"/>
  <c r="IC68" i="30"/>
  <c r="ID68" i="30"/>
  <c r="IE68" i="30"/>
  <c r="IF68" i="30"/>
  <c r="IG68" i="30"/>
  <c r="IH68" i="30"/>
  <c r="II68" i="30"/>
  <c r="IJ68" i="30"/>
  <c r="IK68" i="30"/>
  <c r="IL68" i="30"/>
  <c r="IM68" i="30"/>
  <c r="IN68" i="30"/>
  <c r="IO68" i="30"/>
  <c r="IP68" i="30"/>
  <c r="IQ68" i="30"/>
  <c r="IR68" i="30"/>
  <c r="IS68" i="30"/>
  <c r="IT68" i="30"/>
  <c r="IU68" i="30"/>
  <c r="IV68" i="30"/>
  <c r="A67" i="30"/>
  <c r="B67" i="30"/>
  <c r="C67" i="30"/>
  <c r="D67" i="30"/>
  <c r="E67" i="30"/>
  <c r="F67" i="30"/>
  <c r="G67" i="30"/>
  <c r="H67" i="30"/>
  <c r="I67" i="30"/>
  <c r="J67" i="30"/>
  <c r="K67" i="30"/>
  <c r="L67" i="30"/>
  <c r="M67" i="30"/>
  <c r="N67" i="30"/>
  <c r="O67" i="30"/>
  <c r="P67" i="30"/>
  <c r="Q67" i="30"/>
  <c r="R67" i="30"/>
  <c r="S67" i="30"/>
  <c r="T67" i="30"/>
  <c r="U67" i="30"/>
  <c r="V67" i="30"/>
  <c r="W67" i="30"/>
  <c r="X67" i="30"/>
  <c r="Y67" i="30"/>
  <c r="Z67" i="30"/>
  <c r="AA67" i="30"/>
  <c r="AB67" i="30"/>
  <c r="AC67" i="30"/>
  <c r="AD67" i="30"/>
  <c r="AE67" i="30"/>
  <c r="AF67" i="30"/>
  <c r="AG67" i="30"/>
  <c r="AH67" i="30"/>
  <c r="AI67" i="30"/>
  <c r="AJ67" i="30"/>
  <c r="AK67" i="30"/>
  <c r="AL67" i="30"/>
  <c r="AM67" i="30"/>
  <c r="AN67" i="30"/>
  <c r="AO67" i="30"/>
  <c r="AP67" i="30"/>
  <c r="AQ67" i="30"/>
  <c r="AR67" i="30"/>
  <c r="AS67" i="30"/>
  <c r="AT67" i="30"/>
  <c r="AU67" i="30"/>
  <c r="AV67" i="30"/>
  <c r="AW67" i="30"/>
  <c r="AX67" i="30"/>
  <c r="AY67" i="30"/>
  <c r="AZ67" i="30"/>
  <c r="BA67" i="30"/>
  <c r="BB67" i="30"/>
  <c r="BC67" i="30"/>
  <c r="BD67" i="30"/>
  <c r="BE67" i="30"/>
  <c r="BF67" i="30"/>
  <c r="BG67" i="30"/>
  <c r="BH67" i="30"/>
  <c r="BI67" i="30"/>
  <c r="BJ67" i="30"/>
  <c r="BK67" i="30"/>
  <c r="BL67" i="30"/>
  <c r="BM67" i="30"/>
  <c r="BN67" i="30"/>
  <c r="BO67" i="30"/>
  <c r="BP67" i="30"/>
  <c r="BQ67" i="30"/>
  <c r="BR67" i="30"/>
  <c r="BS67" i="30"/>
  <c r="BT67" i="30"/>
  <c r="BU67" i="30"/>
  <c r="BV67" i="30"/>
  <c r="BW67" i="30"/>
  <c r="BX67" i="30"/>
  <c r="BY67" i="30"/>
  <c r="BZ67" i="30"/>
  <c r="CA67" i="30"/>
  <c r="CB67" i="30"/>
  <c r="CC67" i="30"/>
  <c r="CD67" i="30"/>
  <c r="CE67" i="30"/>
  <c r="CF67" i="30"/>
  <c r="CG67" i="30"/>
  <c r="CH67" i="30"/>
  <c r="CI67" i="30"/>
  <c r="CJ67" i="30"/>
  <c r="CK67" i="30"/>
  <c r="CL67" i="30"/>
  <c r="CM67" i="30"/>
  <c r="CN67" i="30"/>
  <c r="CO67" i="30"/>
  <c r="CP67" i="30"/>
  <c r="CQ67" i="30"/>
  <c r="CR67" i="30"/>
  <c r="CS67" i="30"/>
  <c r="CT67" i="30"/>
  <c r="CU67" i="30"/>
  <c r="CV67" i="30"/>
  <c r="CW67" i="30"/>
  <c r="CX67" i="30"/>
  <c r="CY67" i="30"/>
  <c r="CZ67" i="30"/>
  <c r="DA67" i="30"/>
  <c r="DB67" i="30"/>
  <c r="DC67" i="30"/>
  <c r="DD67" i="30"/>
  <c r="DE67" i="30"/>
  <c r="DF67" i="30"/>
  <c r="DG67" i="30"/>
  <c r="DH67" i="30"/>
  <c r="DI67" i="30"/>
  <c r="DJ67" i="30"/>
  <c r="DK67" i="30"/>
  <c r="DL67" i="30"/>
  <c r="DM67" i="30"/>
  <c r="DN67" i="30"/>
  <c r="DO67" i="30"/>
  <c r="DP67" i="30"/>
  <c r="DQ67" i="30"/>
  <c r="DR67" i="30"/>
  <c r="DS67" i="30"/>
  <c r="DT67" i="30"/>
  <c r="DU67" i="30"/>
  <c r="DV67" i="30"/>
  <c r="DW67" i="30"/>
  <c r="DX67" i="30"/>
  <c r="DY67" i="30"/>
  <c r="DZ67" i="30"/>
  <c r="EA67" i="30"/>
  <c r="EB67" i="30"/>
  <c r="EC67" i="30"/>
  <c r="ED67" i="30"/>
  <c r="EE67" i="30"/>
  <c r="EF67" i="30"/>
  <c r="EG67" i="30"/>
  <c r="EH67" i="30"/>
  <c r="EI67" i="30"/>
  <c r="EJ67" i="30"/>
  <c r="EK67" i="30"/>
  <c r="EL67" i="30"/>
  <c r="EM67" i="30"/>
  <c r="EN67" i="30"/>
  <c r="EO67" i="30"/>
  <c r="EP67" i="30"/>
  <c r="EQ67" i="30"/>
  <c r="ER67" i="30"/>
  <c r="ES67" i="30"/>
  <c r="ET67" i="30"/>
  <c r="EU67" i="30"/>
  <c r="EV67" i="30"/>
  <c r="EW67" i="30"/>
  <c r="EX67" i="30"/>
  <c r="EY67" i="30"/>
  <c r="EZ67" i="30"/>
  <c r="FA67" i="30"/>
  <c r="FB67" i="30"/>
  <c r="FC67" i="30"/>
  <c r="FD67" i="30"/>
  <c r="FE67" i="30"/>
  <c r="FF67" i="30"/>
  <c r="FG67" i="30"/>
  <c r="FH67" i="30"/>
  <c r="FI67" i="30"/>
  <c r="FJ67" i="30"/>
  <c r="FK67" i="30"/>
  <c r="FL67" i="30"/>
  <c r="FM67" i="30"/>
  <c r="FN67" i="30"/>
  <c r="FO67" i="30"/>
  <c r="FP67" i="30"/>
  <c r="FQ67" i="30"/>
  <c r="FR67" i="30"/>
  <c r="FS67" i="30"/>
  <c r="FT67" i="30"/>
  <c r="FU67" i="30"/>
  <c r="FV67" i="30"/>
  <c r="FW67" i="30"/>
  <c r="FX67" i="30"/>
  <c r="FY67" i="30"/>
  <c r="FZ67" i="30"/>
  <c r="GA67" i="30"/>
  <c r="GB67" i="30"/>
  <c r="GC67" i="30"/>
  <c r="GD67" i="30"/>
  <c r="GE67" i="30"/>
  <c r="GF67" i="30"/>
  <c r="GG67" i="30"/>
  <c r="GH67" i="30"/>
  <c r="GI67" i="30"/>
  <c r="GJ67" i="30"/>
  <c r="GK67" i="30"/>
  <c r="GL67" i="30"/>
  <c r="GM67" i="30"/>
  <c r="GN67" i="30"/>
  <c r="GO67" i="30"/>
  <c r="GP67" i="30"/>
  <c r="GQ67" i="30"/>
  <c r="GR67" i="30"/>
  <c r="GS67" i="30"/>
  <c r="GT67" i="30"/>
  <c r="GU67" i="30"/>
  <c r="GV67" i="30"/>
  <c r="GW67" i="30"/>
  <c r="GX67" i="30"/>
  <c r="GY67" i="30"/>
  <c r="GZ67" i="30"/>
  <c r="HA67" i="30"/>
  <c r="HB67" i="30"/>
  <c r="HC67" i="30"/>
  <c r="HD67" i="30"/>
  <c r="HE67" i="30"/>
  <c r="HF67" i="30"/>
  <c r="HG67" i="30"/>
  <c r="HH67" i="30"/>
  <c r="HI67" i="30"/>
  <c r="HJ67" i="30"/>
  <c r="HK67" i="30"/>
  <c r="HL67" i="30"/>
  <c r="HM67" i="30"/>
  <c r="HN67" i="30"/>
  <c r="HO67" i="30"/>
  <c r="HP67" i="30"/>
  <c r="HQ67" i="30"/>
  <c r="HR67" i="30"/>
  <c r="HS67" i="30"/>
  <c r="HT67" i="30"/>
  <c r="HU67" i="30"/>
  <c r="HV67" i="30"/>
  <c r="HW67" i="30"/>
  <c r="HX67" i="30"/>
  <c r="HY67" i="30"/>
  <c r="HZ67" i="30"/>
  <c r="IA67" i="30"/>
  <c r="IB67" i="30"/>
  <c r="IC67" i="30"/>
  <c r="ID67" i="30"/>
  <c r="IE67" i="30"/>
  <c r="IF67" i="30"/>
  <c r="IG67" i="30"/>
  <c r="IH67" i="30"/>
  <c r="II67" i="30"/>
  <c r="IJ67" i="30"/>
  <c r="IK67" i="30"/>
  <c r="IL67" i="30"/>
  <c r="IM67" i="30"/>
  <c r="IN67" i="30"/>
  <c r="IO67" i="30"/>
  <c r="IP67" i="30"/>
  <c r="IQ67" i="30"/>
  <c r="IR67" i="30"/>
  <c r="IS67" i="30"/>
  <c r="IT67" i="30"/>
  <c r="IU67" i="30"/>
  <c r="IV67" i="30"/>
  <c r="A66" i="30"/>
  <c r="B66" i="30"/>
  <c r="C66" i="30"/>
  <c r="D66" i="30"/>
  <c r="E66" i="30"/>
  <c r="F66" i="30"/>
  <c r="G66" i="30"/>
  <c r="H66" i="30"/>
  <c r="I66" i="30"/>
  <c r="J66" i="30"/>
  <c r="K66" i="30"/>
  <c r="L66" i="30"/>
  <c r="M66" i="30"/>
  <c r="N66" i="30"/>
  <c r="O66" i="30"/>
  <c r="P66" i="30"/>
  <c r="Q66" i="30"/>
  <c r="R66" i="30"/>
  <c r="S66" i="30"/>
  <c r="T66" i="30"/>
  <c r="U66" i="30"/>
  <c r="V66" i="30"/>
  <c r="W66" i="30"/>
  <c r="X66" i="30"/>
  <c r="Y66" i="30"/>
  <c r="Z66" i="30"/>
  <c r="AA66" i="30"/>
  <c r="AB66" i="30"/>
  <c r="AC66" i="30"/>
  <c r="AD66" i="30"/>
  <c r="AE66" i="30"/>
  <c r="AF66" i="30"/>
  <c r="AG66" i="30"/>
  <c r="AH66" i="30"/>
  <c r="AI66" i="30"/>
  <c r="AJ66" i="30"/>
  <c r="AK66" i="30"/>
  <c r="AL66" i="30"/>
  <c r="AM66" i="30"/>
  <c r="AN66" i="30"/>
  <c r="AO66" i="30"/>
  <c r="AP66" i="30"/>
  <c r="AQ66" i="30"/>
  <c r="AR66" i="30"/>
  <c r="AS66" i="30"/>
  <c r="AT66" i="30"/>
  <c r="AU66" i="30"/>
  <c r="AV66" i="30"/>
  <c r="AW66" i="30"/>
  <c r="AX66" i="30"/>
  <c r="AY66" i="30"/>
  <c r="AZ66" i="30"/>
  <c r="BA66" i="30"/>
  <c r="BB66" i="30"/>
  <c r="BC66" i="30"/>
  <c r="BD66" i="30"/>
  <c r="BE66" i="30"/>
  <c r="BF66" i="30"/>
  <c r="BG66" i="30"/>
  <c r="BH66" i="30"/>
  <c r="BI66" i="30"/>
  <c r="BJ66" i="30"/>
  <c r="BK66" i="30"/>
  <c r="BL66" i="30"/>
  <c r="BM66" i="30"/>
  <c r="BN66" i="30"/>
  <c r="BO66" i="30"/>
  <c r="BP66" i="30"/>
  <c r="BQ66" i="30"/>
  <c r="BR66" i="30"/>
  <c r="BS66" i="30"/>
  <c r="BT66" i="30"/>
  <c r="BU66" i="30"/>
  <c r="BV66" i="30"/>
  <c r="BW66" i="30"/>
  <c r="BX66" i="30"/>
  <c r="BY66" i="30"/>
  <c r="BZ66" i="30"/>
  <c r="CA66" i="30"/>
  <c r="CB66" i="30"/>
  <c r="CC66" i="30"/>
  <c r="CD66" i="30"/>
  <c r="CE66" i="30"/>
  <c r="CF66" i="30"/>
  <c r="CG66" i="30"/>
  <c r="CH66" i="30"/>
  <c r="CI66" i="30"/>
  <c r="CJ66" i="30"/>
  <c r="CK66" i="30"/>
  <c r="CL66" i="30"/>
  <c r="CM66" i="30"/>
  <c r="CN66" i="30"/>
  <c r="CO66" i="30"/>
  <c r="CP66" i="30"/>
  <c r="CQ66" i="30"/>
  <c r="CR66" i="30"/>
  <c r="CS66" i="30"/>
  <c r="CT66" i="30"/>
  <c r="CU66" i="30"/>
  <c r="CV66" i="30"/>
  <c r="CW66" i="30"/>
  <c r="CX66" i="30"/>
  <c r="CY66" i="30"/>
  <c r="CZ66" i="30"/>
  <c r="DA66" i="30"/>
  <c r="DB66" i="30"/>
  <c r="DC66" i="30"/>
  <c r="DD66" i="30"/>
  <c r="DE66" i="30"/>
  <c r="DF66" i="30"/>
  <c r="DG66" i="30"/>
  <c r="DH66" i="30"/>
  <c r="DI66" i="30"/>
  <c r="DJ66" i="30"/>
  <c r="DK66" i="30"/>
  <c r="DL66" i="30"/>
  <c r="DM66" i="30"/>
  <c r="DN66" i="30"/>
  <c r="DO66" i="30"/>
  <c r="DP66" i="30"/>
  <c r="DQ66" i="30"/>
  <c r="DR66" i="30"/>
  <c r="DS66" i="30"/>
  <c r="DT66" i="30"/>
  <c r="DU66" i="30"/>
  <c r="DV66" i="30"/>
  <c r="DW66" i="30"/>
  <c r="DX66" i="30"/>
  <c r="DY66" i="30"/>
  <c r="DZ66" i="30"/>
  <c r="EA66" i="30"/>
  <c r="EB66" i="30"/>
  <c r="EC66" i="30"/>
  <c r="ED66" i="30"/>
  <c r="EE66" i="30"/>
  <c r="EF66" i="30"/>
  <c r="EG66" i="30"/>
  <c r="EH66" i="30"/>
  <c r="EI66" i="30"/>
  <c r="EJ66" i="30"/>
  <c r="EK66" i="30"/>
  <c r="EL66" i="30"/>
  <c r="EM66" i="30"/>
  <c r="EN66" i="30"/>
  <c r="EO66" i="30"/>
  <c r="EP66" i="30"/>
  <c r="EQ66" i="30"/>
  <c r="ER66" i="30"/>
  <c r="ES66" i="30"/>
  <c r="ET66" i="30"/>
  <c r="EU66" i="30"/>
  <c r="EV66" i="30"/>
  <c r="EW66" i="30"/>
  <c r="EX66" i="30"/>
  <c r="EY66" i="30"/>
  <c r="EZ66" i="30"/>
  <c r="FA66" i="30"/>
  <c r="FB66" i="30"/>
  <c r="FC66" i="30"/>
  <c r="FD66" i="30"/>
  <c r="FE66" i="30"/>
  <c r="FF66" i="30"/>
  <c r="FG66" i="30"/>
  <c r="FH66" i="30"/>
  <c r="FI66" i="30"/>
  <c r="FJ66" i="30"/>
  <c r="FK66" i="30"/>
  <c r="FL66" i="30"/>
  <c r="FM66" i="30"/>
  <c r="FN66" i="30"/>
  <c r="FO66" i="30"/>
  <c r="FP66" i="30"/>
  <c r="FQ66" i="30"/>
  <c r="FR66" i="30"/>
  <c r="FS66" i="30"/>
  <c r="FT66" i="30"/>
  <c r="FU66" i="30"/>
  <c r="FV66" i="30"/>
  <c r="FW66" i="30"/>
  <c r="FX66" i="30"/>
  <c r="FY66" i="30"/>
  <c r="FZ66" i="30"/>
  <c r="GA66" i="30"/>
  <c r="GB66" i="30"/>
  <c r="GC66" i="30"/>
  <c r="GD66" i="30"/>
  <c r="GE66" i="30"/>
  <c r="GF66" i="30"/>
  <c r="GG66" i="30"/>
  <c r="GH66" i="30"/>
  <c r="GI66" i="30"/>
  <c r="GJ66" i="30"/>
  <c r="GK66" i="30"/>
  <c r="GL66" i="30"/>
  <c r="GM66" i="30"/>
  <c r="GN66" i="30"/>
  <c r="GO66" i="30"/>
  <c r="GP66" i="30"/>
  <c r="GQ66" i="30"/>
  <c r="GR66" i="30"/>
  <c r="GS66" i="30"/>
  <c r="GT66" i="30"/>
  <c r="GU66" i="30"/>
  <c r="GV66" i="30"/>
  <c r="GW66" i="30"/>
  <c r="GX66" i="30"/>
  <c r="GY66" i="30"/>
  <c r="GZ66" i="30"/>
  <c r="HA66" i="30"/>
  <c r="HB66" i="30"/>
  <c r="HC66" i="30"/>
  <c r="HD66" i="30"/>
  <c r="HE66" i="30"/>
  <c r="HF66" i="30"/>
  <c r="HG66" i="30"/>
  <c r="HH66" i="30"/>
  <c r="HI66" i="30"/>
  <c r="HJ66" i="30"/>
  <c r="HK66" i="30"/>
  <c r="HL66" i="30"/>
  <c r="HM66" i="30"/>
  <c r="HN66" i="30"/>
  <c r="HO66" i="30"/>
  <c r="HP66" i="30"/>
  <c r="HQ66" i="30"/>
  <c r="HR66" i="30"/>
  <c r="HS66" i="30"/>
  <c r="HT66" i="30"/>
  <c r="HU66" i="30"/>
  <c r="HV66" i="30"/>
  <c r="HW66" i="30"/>
  <c r="HX66" i="30"/>
  <c r="HY66" i="30"/>
  <c r="HZ66" i="30"/>
  <c r="IA66" i="30"/>
  <c r="IB66" i="30"/>
  <c r="IC66" i="30"/>
  <c r="ID66" i="30"/>
  <c r="IE66" i="30"/>
  <c r="IF66" i="30"/>
  <c r="IG66" i="30"/>
  <c r="IH66" i="30"/>
  <c r="II66" i="30"/>
  <c r="IJ66" i="30"/>
  <c r="IK66" i="30"/>
  <c r="IL66" i="30"/>
  <c r="IM66" i="30"/>
  <c r="IN66" i="30"/>
  <c r="IO66" i="30"/>
  <c r="IP66" i="30"/>
  <c r="IQ66" i="30"/>
  <c r="IR66" i="30"/>
  <c r="IS66" i="30"/>
  <c r="IT66" i="30"/>
  <c r="IU66" i="30"/>
  <c r="IV66" i="30"/>
  <c r="A65" i="30"/>
  <c r="B65" i="30"/>
  <c r="C65" i="30"/>
  <c r="D65" i="30"/>
  <c r="E65" i="30"/>
  <c r="F65" i="30"/>
  <c r="G65" i="30"/>
  <c r="H65" i="30"/>
  <c r="I65" i="30"/>
  <c r="J65" i="30"/>
  <c r="K65" i="30"/>
  <c r="L65" i="30"/>
  <c r="M65" i="30"/>
  <c r="N65" i="30"/>
  <c r="O65" i="30"/>
  <c r="P65" i="30"/>
  <c r="Q65" i="30"/>
  <c r="R65" i="30"/>
  <c r="S65" i="30"/>
  <c r="T65" i="30"/>
  <c r="U65" i="30"/>
  <c r="V65" i="30"/>
  <c r="W65" i="30"/>
  <c r="X65" i="30"/>
  <c r="Y65" i="30"/>
  <c r="Z65" i="30"/>
  <c r="AA65" i="30"/>
  <c r="AB65" i="30"/>
  <c r="AC65" i="30"/>
  <c r="AD65" i="30"/>
  <c r="AE65" i="30"/>
  <c r="AF65" i="30"/>
  <c r="AG65" i="30"/>
  <c r="AH65" i="30"/>
  <c r="AI65" i="30"/>
  <c r="AJ65" i="30"/>
  <c r="AK65" i="30"/>
  <c r="AL65" i="30"/>
  <c r="AM65" i="30"/>
  <c r="AN65" i="30"/>
  <c r="AO65" i="30"/>
  <c r="AP65" i="30"/>
  <c r="AQ65" i="30"/>
  <c r="AR65" i="30"/>
  <c r="AS65" i="30"/>
  <c r="AT65" i="30"/>
  <c r="AU65" i="30"/>
  <c r="AV65" i="30"/>
  <c r="AW65" i="30"/>
  <c r="AX65" i="30"/>
  <c r="AY65" i="30"/>
  <c r="AZ65" i="30"/>
  <c r="BA65" i="30"/>
  <c r="BB65" i="30"/>
  <c r="BC65" i="30"/>
  <c r="BD65" i="30"/>
  <c r="BE65" i="30"/>
  <c r="BF65" i="30"/>
  <c r="BG65" i="30"/>
  <c r="BH65" i="30"/>
  <c r="BI65" i="30"/>
  <c r="BJ65" i="30"/>
  <c r="BK65" i="30"/>
  <c r="BL65" i="30"/>
  <c r="BM65" i="30"/>
  <c r="BN65" i="30"/>
  <c r="BO65" i="30"/>
  <c r="BP65" i="30"/>
  <c r="BQ65" i="30"/>
  <c r="BR65" i="30"/>
  <c r="BS65" i="30"/>
  <c r="BT65" i="30"/>
  <c r="BU65" i="30"/>
  <c r="BV65" i="30"/>
  <c r="BW65" i="30"/>
  <c r="BX65" i="30"/>
  <c r="BY65" i="30"/>
  <c r="BZ65" i="30"/>
  <c r="CA65" i="30"/>
  <c r="CB65" i="30"/>
  <c r="CC65" i="30"/>
  <c r="CD65" i="30"/>
  <c r="CE65" i="30"/>
  <c r="CF65" i="30"/>
  <c r="CG65" i="30"/>
  <c r="CH65" i="30"/>
  <c r="CI65" i="30"/>
  <c r="CJ65" i="30"/>
  <c r="CK65" i="30"/>
  <c r="CL65" i="30"/>
  <c r="CM65" i="30"/>
  <c r="CN65" i="30"/>
  <c r="CO65" i="30"/>
  <c r="CP65" i="30"/>
  <c r="CQ65" i="30"/>
  <c r="CR65" i="30"/>
  <c r="CS65" i="30"/>
  <c r="CT65" i="30"/>
  <c r="CU65" i="30"/>
  <c r="CV65" i="30"/>
  <c r="CW65" i="30"/>
  <c r="CX65" i="30"/>
  <c r="CY65" i="30"/>
  <c r="CZ65" i="30"/>
  <c r="DA65" i="30"/>
  <c r="DB65" i="30"/>
  <c r="DC65" i="30"/>
  <c r="DD65" i="30"/>
  <c r="DE65" i="30"/>
  <c r="DF65" i="30"/>
  <c r="DG65" i="30"/>
  <c r="DH65" i="30"/>
  <c r="DI65" i="30"/>
  <c r="DJ65" i="30"/>
  <c r="DK65" i="30"/>
  <c r="DL65" i="30"/>
  <c r="DM65" i="30"/>
  <c r="DN65" i="30"/>
  <c r="DO65" i="30"/>
  <c r="DP65" i="30"/>
  <c r="DQ65" i="30"/>
  <c r="DR65" i="30"/>
  <c r="DS65" i="30"/>
  <c r="DT65" i="30"/>
  <c r="DU65" i="30"/>
  <c r="DV65" i="30"/>
  <c r="DW65" i="30"/>
  <c r="DX65" i="30"/>
  <c r="DY65" i="30"/>
  <c r="DZ65" i="30"/>
  <c r="EA65" i="30"/>
  <c r="EB65" i="30"/>
  <c r="EC65" i="30"/>
  <c r="ED65" i="30"/>
  <c r="EE65" i="30"/>
  <c r="EF65" i="30"/>
  <c r="EG65" i="30"/>
  <c r="EH65" i="30"/>
  <c r="EI65" i="30"/>
  <c r="EJ65" i="30"/>
  <c r="EK65" i="30"/>
  <c r="EL65" i="30"/>
  <c r="EM65" i="30"/>
  <c r="EN65" i="30"/>
  <c r="EO65" i="30"/>
  <c r="EP65" i="30"/>
  <c r="EQ65" i="30"/>
  <c r="ER65" i="30"/>
  <c r="ES65" i="30"/>
  <c r="ET65" i="30"/>
  <c r="EU65" i="30"/>
  <c r="EV65" i="30"/>
  <c r="EW65" i="30"/>
  <c r="EX65" i="30"/>
  <c r="EY65" i="30"/>
  <c r="EZ65" i="30"/>
  <c r="FA65" i="30"/>
  <c r="FB65" i="30"/>
  <c r="FC65" i="30"/>
  <c r="FD65" i="30"/>
  <c r="FE65" i="30"/>
  <c r="FF65" i="30"/>
  <c r="FG65" i="30"/>
  <c r="FH65" i="30"/>
  <c r="FI65" i="30"/>
  <c r="FJ65" i="30"/>
  <c r="FK65" i="30"/>
  <c r="FL65" i="30"/>
  <c r="FM65" i="30"/>
  <c r="FN65" i="30"/>
  <c r="FO65" i="30"/>
  <c r="FP65" i="30"/>
  <c r="FQ65" i="30"/>
  <c r="FR65" i="30"/>
  <c r="FS65" i="30"/>
  <c r="FT65" i="30"/>
  <c r="FU65" i="30"/>
  <c r="FV65" i="30"/>
  <c r="FW65" i="30"/>
  <c r="FX65" i="30"/>
  <c r="FY65" i="30"/>
  <c r="FZ65" i="30"/>
  <c r="GA65" i="30"/>
  <c r="GB65" i="30"/>
  <c r="GC65" i="30"/>
  <c r="GD65" i="30"/>
  <c r="GE65" i="30"/>
  <c r="GF65" i="30"/>
  <c r="GG65" i="30"/>
  <c r="GH65" i="30"/>
  <c r="GI65" i="30"/>
  <c r="GJ65" i="30"/>
  <c r="GK65" i="30"/>
  <c r="GL65" i="30"/>
  <c r="GM65" i="30"/>
  <c r="GN65" i="30"/>
  <c r="GO65" i="30"/>
  <c r="GP65" i="30"/>
  <c r="GQ65" i="30"/>
  <c r="GR65" i="30"/>
  <c r="GS65" i="30"/>
  <c r="GT65" i="30"/>
  <c r="GU65" i="30"/>
  <c r="GV65" i="30"/>
  <c r="GW65" i="30"/>
  <c r="GX65" i="30"/>
  <c r="GY65" i="30"/>
  <c r="GZ65" i="30"/>
  <c r="HA65" i="30"/>
  <c r="HB65" i="30"/>
  <c r="HC65" i="30"/>
  <c r="HD65" i="30"/>
  <c r="HE65" i="30"/>
  <c r="HF65" i="30"/>
  <c r="HG65" i="30"/>
  <c r="HH65" i="30"/>
  <c r="HI65" i="30"/>
  <c r="HJ65" i="30"/>
  <c r="HK65" i="30"/>
  <c r="HL65" i="30"/>
  <c r="HM65" i="30"/>
  <c r="HN65" i="30"/>
  <c r="HO65" i="30"/>
  <c r="HP65" i="30"/>
  <c r="HQ65" i="30"/>
  <c r="HR65" i="30"/>
  <c r="HS65" i="30"/>
  <c r="HT65" i="30"/>
  <c r="HU65" i="30"/>
  <c r="HV65" i="30"/>
  <c r="HW65" i="30"/>
  <c r="HX65" i="30"/>
  <c r="HY65" i="30"/>
  <c r="HZ65" i="30"/>
  <c r="IA65" i="30"/>
  <c r="IB65" i="30"/>
  <c r="IC65" i="30"/>
  <c r="ID65" i="30"/>
  <c r="IE65" i="30"/>
  <c r="IF65" i="30"/>
  <c r="IG65" i="30"/>
  <c r="IH65" i="30"/>
  <c r="II65" i="30"/>
  <c r="IJ65" i="30"/>
  <c r="IK65" i="30"/>
  <c r="IL65" i="30"/>
  <c r="IM65" i="30"/>
  <c r="IN65" i="30"/>
  <c r="IO65" i="30"/>
  <c r="IP65" i="30"/>
  <c r="IQ65" i="30"/>
  <c r="IR65" i="30"/>
  <c r="IS65" i="30"/>
  <c r="IT65" i="30"/>
  <c r="IU65" i="30"/>
  <c r="IV65" i="30"/>
  <c r="A64" i="30"/>
  <c r="B64" i="30"/>
  <c r="C64" i="30"/>
  <c r="D64" i="30"/>
  <c r="E64" i="30"/>
  <c r="F64" i="30"/>
  <c r="G64" i="30"/>
  <c r="H64" i="30"/>
  <c r="I64" i="30"/>
  <c r="J64" i="30"/>
  <c r="K64" i="30"/>
  <c r="L64" i="30"/>
  <c r="M64" i="30"/>
  <c r="N64" i="30"/>
  <c r="O64" i="30"/>
  <c r="P64" i="30"/>
  <c r="Q64" i="30"/>
  <c r="R64" i="30"/>
  <c r="S64" i="30"/>
  <c r="T64" i="30"/>
  <c r="U64" i="30"/>
  <c r="V64" i="30"/>
  <c r="W64" i="30"/>
  <c r="X64" i="30"/>
  <c r="Y64" i="30"/>
  <c r="Z64" i="30"/>
  <c r="AA64" i="30"/>
  <c r="AB64" i="30"/>
  <c r="AC64" i="30"/>
  <c r="AD64" i="30"/>
  <c r="AE64" i="30"/>
  <c r="AF64" i="30"/>
  <c r="AG64" i="30"/>
  <c r="AH64" i="30"/>
  <c r="AI64" i="30"/>
  <c r="AJ64" i="30"/>
  <c r="AK64" i="30"/>
  <c r="AL64" i="30"/>
  <c r="AM64" i="30"/>
  <c r="AN64" i="30"/>
  <c r="AO64" i="30"/>
  <c r="AP64" i="30"/>
  <c r="AQ64" i="30"/>
  <c r="AR64" i="30"/>
  <c r="AS64" i="30"/>
  <c r="AT64" i="30"/>
  <c r="AU64" i="30"/>
  <c r="AV64" i="30"/>
  <c r="AW64" i="30"/>
  <c r="AX64" i="30"/>
  <c r="AY64" i="30"/>
  <c r="AZ64" i="30"/>
  <c r="BA64" i="30"/>
  <c r="BB64" i="30"/>
  <c r="BC64" i="30"/>
  <c r="BD64" i="30"/>
  <c r="BE64" i="30"/>
  <c r="BF64" i="30"/>
  <c r="BG64" i="30"/>
  <c r="BH64" i="30"/>
  <c r="BI64" i="30"/>
  <c r="BJ64" i="30"/>
  <c r="BK64" i="30"/>
  <c r="BL64" i="30"/>
  <c r="BM64" i="30"/>
  <c r="BN64" i="30"/>
  <c r="BO64" i="30"/>
  <c r="BP64" i="30"/>
  <c r="BQ64" i="30"/>
  <c r="BR64" i="30"/>
  <c r="BS64" i="30"/>
  <c r="BT64" i="30"/>
  <c r="BU64" i="30"/>
  <c r="BV64" i="30"/>
  <c r="BW64" i="30"/>
  <c r="BX64" i="30"/>
  <c r="BY64" i="30"/>
  <c r="BZ64" i="30"/>
  <c r="CA64" i="30"/>
  <c r="CB64" i="30"/>
  <c r="CC64" i="30"/>
  <c r="CD64" i="30"/>
  <c r="CE64" i="30"/>
  <c r="CF64" i="30"/>
  <c r="CG64" i="30"/>
  <c r="CH64" i="30"/>
  <c r="CI64" i="30"/>
  <c r="CJ64" i="30"/>
  <c r="CK64" i="30"/>
  <c r="CL64" i="30"/>
  <c r="CM64" i="30"/>
  <c r="CN64" i="30"/>
  <c r="CO64" i="30"/>
  <c r="CP64" i="30"/>
  <c r="CQ64" i="30"/>
  <c r="CR64" i="30"/>
  <c r="CS64" i="30"/>
  <c r="CT64" i="30"/>
  <c r="CU64" i="30"/>
  <c r="CV64" i="30"/>
  <c r="CW64" i="30"/>
  <c r="CX64" i="30"/>
  <c r="CY64" i="30"/>
  <c r="CZ64" i="30"/>
  <c r="DA64" i="30"/>
  <c r="DB64" i="30"/>
  <c r="DC64" i="30"/>
  <c r="DD64" i="30"/>
  <c r="DE64" i="30"/>
  <c r="DF64" i="30"/>
  <c r="DG64" i="30"/>
  <c r="DH64" i="30"/>
  <c r="DI64" i="30"/>
  <c r="DJ64" i="30"/>
  <c r="DK64" i="30"/>
  <c r="DL64" i="30"/>
  <c r="DM64" i="30"/>
  <c r="DN64" i="30"/>
  <c r="DO64" i="30"/>
  <c r="DP64" i="30"/>
  <c r="DQ64" i="30"/>
  <c r="DR64" i="30"/>
  <c r="DS64" i="30"/>
  <c r="DT64" i="30"/>
  <c r="DU64" i="30"/>
  <c r="DV64" i="30"/>
  <c r="DW64" i="30"/>
  <c r="DX64" i="30"/>
  <c r="DY64" i="30"/>
  <c r="DZ64" i="30"/>
  <c r="EA64" i="30"/>
  <c r="EB64" i="30"/>
  <c r="EC64" i="30"/>
  <c r="ED64" i="30"/>
  <c r="EE64" i="30"/>
  <c r="EF64" i="30"/>
  <c r="EG64" i="30"/>
  <c r="EH64" i="30"/>
  <c r="EI64" i="30"/>
  <c r="EJ64" i="30"/>
  <c r="EK64" i="30"/>
  <c r="EL64" i="30"/>
  <c r="EM64" i="30"/>
  <c r="EN64" i="30"/>
  <c r="EO64" i="30"/>
  <c r="EP64" i="30"/>
  <c r="EQ64" i="30"/>
  <c r="ER64" i="30"/>
  <c r="ES64" i="30"/>
  <c r="ET64" i="30"/>
  <c r="EU64" i="30"/>
  <c r="EV64" i="30"/>
  <c r="EW64" i="30"/>
  <c r="EX64" i="30"/>
  <c r="EY64" i="30"/>
  <c r="EZ64" i="30"/>
  <c r="FA64" i="30"/>
  <c r="FB64" i="30"/>
  <c r="FC64" i="30"/>
  <c r="FD64" i="30"/>
  <c r="FE64" i="30"/>
  <c r="FF64" i="30"/>
  <c r="FG64" i="30"/>
  <c r="FH64" i="30"/>
  <c r="FI64" i="30"/>
  <c r="FJ64" i="30"/>
  <c r="FK64" i="30"/>
  <c r="FL64" i="30"/>
  <c r="FM64" i="30"/>
  <c r="FN64" i="30"/>
  <c r="FO64" i="30"/>
  <c r="FP64" i="30"/>
  <c r="FQ64" i="30"/>
  <c r="FR64" i="30"/>
  <c r="FS64" i="30"/>
  <c r="FT64" i="30"/>
  <c r="FU64" i="30"/>
  <c r="FV64" i="30"/>
  <c r="FW64" i="30"/>
  <c r="FX64" i="30"/>
  <c r="FY64" i="30"/>
  <c r="FZ64" i="30"/>
  <c r="GA64" i="30"/>
  <c r="GB64" i="30"/>
  <c r="GC64" i="30"/>
  <c r="GD64" i="30"/>
  <c r="GE64" i="30"/>
  <c r="GF64" i="30"/>
  <c r="GG64" i="30"/>
  <c r="GH64" i="30"/>
  <c r="GI64" i="30"/>
  <c r="GJ64" i="30"/>
  <c r="GK64" i="30"/>
  <c r="GL64" i="30"/>
  <c r="GM64" i="30"/>
  <c r="GN64" i="30"/>
  <c r="GO64" i="30"/>
  <c r="GP64" i="30"/>
  <c r="GQ64" i="30"/>
  <c r="GR64" i="30"/>
  <c r="GS64" i="30"/>
  <c r="GT64" i="30"/>
  <c r="GU64" i="30"/>
  <c r="GV64" i="30"/>
  <c r="GW64" i="30"/>
  <c r="GX64" i="30"/>
  <c r="GY64" i="30"/>
  <c r="GZ64" i="30"/>
  <c r="HA64" i="30"/>
  <c r="HB64" i="30"/>
  <c r="HC64" i="30"/>
  <c r="HD64" i="30"/>
  <c r="HE64" i="30"/>
  <c r="HF64" i="30"/>
  <c r="HG64" i="30"/>
  <c r="HH64" i="30"/>
  <c r="HI64" i="30"/>
  <c r="HJ64" i="30"/>
  <c r="HK64" i="30"/>
  <c r="HL64" i="30"/>
  <c r="HM64" i="30"/>
  <c r="HN64" i="30"/>
  <c r="HO64" i="30"/>
  <c r="HP64" i="30"/>
  <c r="HQ64" i="30"/>
  <c r="HR64" i="30"/>
  <c r="HS64" i="30"/>
  <c r="HT64" i="30"/>
  <c r="HU64" i="30"/>
  <c r="HV64" i="30"/>
  <c r="HW64" i="30"/>
  <c r="HX64" i="30"/>
  <c r="HY64" i="30"/>
  <c r="HZ64" i="30"/>
  <c r="IA64" i="30"/>
  <c r="IB64" i="30"/>
  <c r="IC64" i="30"/>
  <c r="ID64" i="30"/>
  <c r="IE64" i="30"/>
  <c r="IF64" i="30"/>
  <c r="IG64" i="30"/>
  <c r="IH64" i="30"/>
  <c r="II64" i="30"/>
  <c r="IJ64" i="30"/>
  <c r="IK64" i="30"/>
  <c r="IL64" i="30"/>
  <c r="IM64" i="30"/>
  <c r="IN64" i="30"/>
  <c r="IO64" i="30"/>
  <c r="IP64" i="30"/>
  <c r="IQ64" i="30"/>
  <c r="IR64" i="30"/>
  <c r="IS64" i="30"/>
  <c r="IT64" i="30"/>
  <c r="IU64" i="30"/>
  <c r="IV64" i="30"/>
  <c r="A63" i="30"/>
  <c r="B63" i="30"/>
  <c r="C63" i="30"/>
  <c r="D63" i="30"/>
  <c r="E63" i="30"/>
  <c r="F63" i="30"/>
  <c r="G63" i="30"/>
  <c r="H63" i="30"/>
  <c r="I63" i="30"/>
  <c r="J63" i="30"/>
  <c r="K63" i="30"/>
  <c r="L63" i="30"/>
  <c r="M63" i="30"/>
  <c r="N63" i="30"/>
  <c r="O63" i="30"/>
  <c r="P63" i="30"/>
  <c r="Q63" i="30"/>
  <c r="R63" i="30"/>
  <c r="S63" i="30"/>
  <c r="T63" i="30"/>
  <c r="U63" i="30"/>
  <c r="V63" i="30"/>
  <c r="W63" i="30"/>
  <c r="X63" i="30"/>
  <c r="Y63" i="30"/>
  <c r="Z63" i="30"/>
  <c r="AA63" i="30"/>
  <c r="AB63" i="30"/>
  <c r="AC63" i="30"/>
  <c r="AD63" i="30"/>
  <c r="AE63" i="30"/>
  <c r="AF63" i="30"/>
  <c r="AG63" i="30"/>
  <c r="AH63" i="30"/>
  <c r="AI63" i="30"/>
  <c r="AJ63" i="30"/>
  <c r="AK63" i="30"/>
  <c r="AL63" i="30"/>
  <c r="AM63" i="30"/>
  <c r="AN63" i="30"/>
  <c r="AO63" i="30"/>
  <c r="AP63" i="30"/>
  <c r="AQ63" i="30"/>
  <c r="AR63" i="30"/>
  <c r="AS63" i="30"/>
  <c r="AT63" i="30"/>
  <c r="AU63" i="30"/>
  <c r="AV63" i="30"/>
  <c r="AW63" i="30"/>
  <c r="AX63" i="30"/>
  <c r="AY63" i="30"/>
  <c r="AZ63" i="30"/>
  <c r="BA63" i="30"/>
  <c r="BB63" i="30"/>
  <c r="BC63" i="30"/>
  <c r="BD63" i="30"/>
  <c r="BE63" i="30"/>
  <c r="BF63" i="30"/>
  <c r="BG63" i="30"/>
  <c r="BH63" i="30"/>
  <c r="BI63" i="30"/>
  <c r="BJ63" i="30"/>
  <c r="BK63" i="30"/>
  <c r="BL63" i="30"/>
  <c r="BM63" i="30"/>
  <c r="BN63" i="30"/>
  <c r="BO63" i="30"/>
  <c r="BP63" i="30"/>
  <c r="BQ63" i="30"/>
  <c r="BR63" i="30"/>
  <c r="BS63" i="30"/>
  <c r="BT63" i="30"/>
  <c r="BU63" i="30"/>
  <c r="BV63" i="30"/>
  <c r="BW63" i="30"/>
  <c r="BX63" i="30"/>
  <c r="BY63" i="30"/>
  <c r="BZ63" i="30"/>
  <c r="CA63" i="30"/>
  <c r="CB63" i="30"/>
  <c r="CC63" i="30"/>
  <c r="CD63" i="30"/>
  <c r="CE63" i="30"/>
  <c r="CF63" i="30"/>
  <c r="CG63" i="30"/>
  <c r="CH63" i="30"/>
  <c r="CI63" i="30"/>
  <c r="CJ63" i="30"/>
  <c r="CK63" i="30"/>
  <c r="CL63" i="30"/>
  <c r="CM63" i="30"/>
  <c r="CN63" i="30"/>
  <c r="CO63" i="30"/>
  <c r="CP63" i="30"/>
  <c r="CQ63" i="30"/>
  <c r="CR63" i="30"/>
  <c r="CS63" i="30"/>
  <c r="CT63" i="30"/>
  <c r="CU63" i="30"/>
  <c r="CV63" i="30"/>
  <c r="CW63" i="30"/>
  <c r="CX63" i="30"/>
  <c r="CY63" i="30"/>
  <c r="CZ63" i="30"/>
  <c r="DA63" i="30"/>
  <c r="DB63" i="30"/>
  <c r="DC63" i="30"/>
  <c r="DD63" i="30"/>
  <c r="DE63" i="30"/>
  <c r="DF63" i="30"/>
  <c r="DG63" i="30"/>
  <c r="DH63" i="30"/>
  <c r="DI63" i="30"/>
  <c r="DJ63" i="30"/>
  <c r="DK63" i="30"/>
  <c r="DL63" i="30"/>
  <c r="DM63" i="30"/>
  <c r="DN63" i="30"/>
  <c r="DO63" i="30"/>
  <c r="DP63" i="30"/>
  <c r="DQ63" i="30"/>
  <c r="DR63" i="30"/>
  <c r="DS63" i="30"/>
  <c r="DT63" i="30"/>
  <c r="DU63" i="30"/>
  <c r="DV63" i="30"/>
  <c r="DW63" i="30"/>
  <c r="DX63" i="30"/>
  <c r="DY63" i="30"/>
  <c r="DZ63" i="30"/>
  <c r="EA63" i="30"/>
  <c r="EB63" i="30"/>
  <c r="EC63" i="30"/>
  <c r="ED63" i="30"/>
  <c r="EE63" i="30"/>
  <c r="EF63" i="30"/>
  <c r="EG63" i="30"/>
  <c r="EH63" i="30"/>
  <c r="EI63" i="30"/>
  <c r="EJ63" i="30"/>
  <c r="EK63" i="30"/>
  <c r="EL63" i="30"/>
  <c r="EM63" i="30"/>
  <c r="EN63" i="30"/>
  <c r="EO63" i="30"/>
  <c r="EP63" i="30"/>
  <c r="EQ63" i="30"/>
  <c r="ER63" i="30"/>
  <c r="ES63" i="30"/>
  <c r="ET63" i="30"/>
  <c r="EU63" i="30"/>
  <c r="EV63" i="30"/>
  <c r="EW63" i="30"/>
  <c r="EX63" i="30"/>
  <c r="EY63" i="30"/>
  <c r="EZ63" i="30"/>
  <c r="FA63" i="30"/>
  <c r="FB63" i="30"/>
  <c r="FC63" i="30"/>
  <c r="FD63" i="30"/>
  <c r="FE63" i="30"/>
  <c r="FF63" i="30"/>
  <c r="FG63" i="30"/>
  <c r="FH63" i="30"/>
  <c r="FI63" i="30"/>
  <c r="FJ63" i="30"/>
  <c r="FK63" i="30"/>
  <c r="FL63" i="30"/>
  <c r="FM63" i="30"/>
  <c r="FN63" i="30"/>
  <c r="FO63" i="30"/>
  <c r="FP63" i="30"/>
  <c r="FQ63" i="30"/>
  <c r="FR63" i="30"/>
  <c r="FS63" i="30"/>
  <c r="FT63" i="30"/>
  <c r="FU63" i="30"/>
  <c r="FV63" i="30"/>
  <c r="FW63" i="30"/>
  <c r="FX63" i="30"/>
  <c r="FY63" i="30"/>
  <c r="FZ63" i="30"/>
  <c r="GA63" i="30"/>
  <c r="GB63" i="30"/>
  <c r="GC63" i="30"/>
  <c r="GD63" i="30"/>
  <c r="GE63" i="30"/>
  <c r="GF63" i="30"/>
  <c r="GG63" i="30"/>
  <c r="GH63" i="30"/>
  <c r="GI63" i="30"/>
  <c r="GJ63" i="30"/>
  <c r="GK63" i="30"/>
  <c r="GL63" i="30"/>
  <c r="GM63" i="30"/>
  <c r="GN63" i="30"/>
  <c r="GO63" i="30"/>
  <c r="GP63" i="30"/>
  <c r="GQ63" i="30"/>
  <c r="GR63" i="30"/>
  <c r="GS63" i="30"/>
  <c r="GT63" i="30"/>
  <c r="GU63" i="30"/>
  <c r="GV63" i="30"/>
  <c r="GW63" i="30"/>
  <c r="GX63" i="30"/>
  <c r="GY63" i="30"/>
  <c r="GZ63" i="30"/>
  <c r="HA63" i="30"/>
  <c r="HB63" i="30"/>
  <c r="HC63" i="30"/>
  <c r="HD63" i="30"/>
  <c r="HE63" i="30"/>
  <c r="HF63" i="30"/>
  <c r="HG63" i="30"/>
  <c r="HH63" i="30"/>
  <c r="HI63" i="30"/>
  <c r="HJ63" i="30"/>
  <c r="HK63" i="30"/>
  <c r="HL63" i="30"/>
  <c r="HM63" i="30"/>
  <c r="HN63" i="30"/>
  <c r="HO63" i="30"/>
  <c r="HP63" i="30"/>
  <c r="HQ63" i="30"/>
  <c r="HR63" i="30"/>
  <c r="HS63" i="30"/>
  <c r="HT63" i="30"/>
  <c r="HU63" i="30"/>
  <c r="HV63" i="30"/>
  <c r="HW63" i="30"/>
  <c r="HX63" i="30"/>
  <c r="HY63" i="30"/>
  <c r="HZ63" i="30"/>
  <c r="IA63" i="30"/>
  <c r="IB63" i="30"/>
  <c r="IC63" i="30"/>
  <c r="ID63" i="30"/>
  <c r="IE63" i="30"/>
  <c r="IF63" i="30"/>
  <c r="IG63" i="30"/>
  <c r="IH63" i="30"/>
  <c r="II63" i="30"/>
  <c r="IJ63" i="30"/>
  <c r="IK63" i="30"/>
  <c r="IL63" i="30"/>
  <c r="IM63" i="30"/>
  <c r="IN63" i="30"/>
  <c r="IO63" i="30"/>
  <c r="IP63" i="30"/>
  <c r="IQ63" i="30"/>
  <c r="IR63" i="30"/>
  <c r="IS63" i="30"/>
  <c r="IT63" i="30"/>
  <c r="IU63" i="30"/>
  <c r="IV63" i="30"/>
  <c r="A62" i="30"/>
  <c r="B62" i="30"/>
  <c r="C62" i="30"/>
  <c r="D62" i="30"/>
  <c r="E62" i="30"/>
  <c r="F62" i="30"/>
  <c r="G62" i="30"/>
  <c r="H62" i="30"/>
  <c r="I62" i="30"/>
  <c r="J62" i="30"/>
  <c r="K62" i="30"/>
  <c r="L62" i="30"/>
  <c r="M62" i="30"/>
  <c r="N62" i="30"/>
  <c r="O62" i="30"/>
  <c r="P62" i="30"/>
  <c r="Q62" i="30"/>
  <c r="R62" i="30"/>
  <c r="S62" i="30"/>
  <c r="T62" i="30"/>
  <c r="U62" i="30"/>
  <c r="V62" i="30"/>
  <c r="W62" i="30"/>
  <c r="X62" i="30"/>
  <c r="Y62" i="30"/>
  <c r="Z62" i="30"/>
  <c r="AA62" i="30"/>
  <c r="AB62" i="30"/>
  <c r="AC62" i="30"/>
  <c r="AD62" i="30"/>
  <c r="AE62" i="30"/>
  <c r="AF62" i="30"/>
  <c r="AG62" i="30"/>
  <c r="AH62" i="30"/>
  <c r="AI62" i="30"/>
  <c r="AJ62" i="30"/>
  <c r="AK62" i="30"/>
  <c r="AL62" i="30"/>
  <c r="AM62" i="30"/>
  <c r="AN62" i="30"/>
  <c r="AO62" i="30"/>
  <c r="AP62" i="30"/>
  <c r="AQ62" i="30"/>
  <c r="AR62" i="30"/>
  <c r="AS62" i="30"/>
  <c r="AT62" i="30"/>
  <c r="AU62" i="30"/>
  <c r="AV62" i="30"/>
  <c r="AW62" i="30"/>
  <c r="AX62" i="30"/>
  <c r="AY62" i="30"/>
  <c r="AZ62" i="30"/>
  <c r="BA62" i="30"/>
  <c r="BB62" i="30"/>
  <c r="BC62" i="30"/>
  <c r="BD62" i="30"/>
  <c r="BE62" i="30"/>
  <c r="BF62" i="30"/>
  <c r="BG62" i="30"/>
  <c r="BH62" i="30"/>
  <c r="BI62" i="30"/>
  <c r="BJ62" i="30"/>
  <c r="BK62" i="30"/>
  <c r="BL62" i="30"/>
  <c r="BM62" i="30"/>
  <c r="BN62" i="30"/>
  <c r="BO62" i="30"/>
  <c r="BP62" i="30"/>
  <c r="BQ62" i="30"/>
  <c r="BR62" i="30"/>
  <c r="BS62" i="30"/>
  <c r="BT62" i="30"/>
  <c r="BU62" i="30"/>
  <c r="BV62" i="30"/>
  <c r="BW62" i="30"/>
  <c r="BX62" i="30"/>
  <c r="BY62" i="30"/>
  <c r="BZ62" i="30"/>
  <c r="CA62" i="30"/>
  <c r="CB62" i="30"/>
  <c r="CC62" i="30"/>
  <c r="CD62" i="30"/>
  <c r="CE62" i="30"/>
  <c r="CF62" i="30"/>
  <c r="CG62" i="30"/>
  <c r="CH62" i="30"/>
  <c r="CI62" i="30"/>
  <c r="CJ62" i="30"/>
  <c r="CK62" i="30"/>
  <c r="CL62" i="30"/>
  <c r="CM62" i="30"/>
  <c r="CN62" i="30"/>
  <c r="CO62" i="30"/>
  <c r="CP62" i="30"/>
  <c r="CQ62" i="30"/>
  <c r="CR62" i="30"/>
  <c r="CS62" i="30"/>
  <c r="CT62" i="30"/>
  <c r="CU62" i="30"/>
  <c r="CV62" i="30"/>
  <c r="CW62" i="30"/>
  <c r="CX62" i="30"/>
  <c r="CY62" i="30"/>
  <c r="CZ62" i="30"/>
  <c r="DA62" i="30"/>
  <c r="DB62" i="30"/>
  <c r="DC62" i="30"/>
  <c r="DD62" i="30"/>
  <c r="DE62" i="30"/>
  <c r="DF62" i="30"/>
  <c r="DG62" i="30"/>
  <c r="DH62" i="30"/>
  <c r="DI62" i="30"/>
  <c r="DJ62" i="30"/>
  <c r="DK62" i="30"/>
  <c r="DL62" i="30"/>
  <c r="DM62" i="30"/>
  <c r="DN62" i="30"/>
  <c r="DO62" i="30"/>
  <c r="DP62" i="30"/>
  <c r="DQ62" i="30"/>
  <c r="DR62" i="30"/>
  <c r="DS62" i="30"/>
  <c r="DT62" i="30"/>
  <c r="DU62" i="30"/>
  <c r="DV62" i="30"/>
  <c r="DW62" i="30"/>
  <c r="DX62" i="30"/>
  <c r="DY62" i="30"/>
  <c r="DZ62" i="30"/>
  <c r="EA62" i="30"/>
  <c r="EB62" i="30"/>
  <c r="EC62" i="30"/>
  <c r="ED62" i="30"/>
  <c r="EE62" i="30"/>
  <c r="EF62" i="30"/>
  <c r="EG62" i="30"/>
  <c r="EH62" i="30"/>
  <c r="EI62" i="30"/>
  <c r="EJ62" i="30"/>
  <c r="EK62" i="30"/>
  <c r="EL62" i="30"/>
  <c r="EM62" i="30"/>
  <c r="EN62" i="30"/>
  <c r="EO62" i="30"/>
  <c r="EP62" i="30"/>
  <c r="EQ62" i="30"/>
  <c r="ER62" i="30"/>
  <c r="ES62" i="30"/>
  <c r="ET62" i="30"/>
  <c r="EU62" i="30"/>
  <c r="EV62" i="30"/>
  <c r="EW62" i="30"/>
  <c r="EX62" i="30"/>
  <c r="EY62" i="30"/>
  <c r="EZ62" i="30"/>
  <c r="FA62" i="30"/>
  <c r="FB62" i="30"/>
  <c r="FC62" i="30"/>
  <c r="FD62" i="30"/>
  <c r="FE62" i="30"/>
  <c r="FF62" i="30"/>
  <c r="FG62" i="30"/>
  <c r="FH62" i="30"/>
  <c r="FI62" i="30"/>
  <c r="FJ62" i="30"/>
  <c r="FK62" i="30"/>
  <c r="FL62" i="30"/>
  <c r="FM62" i="30"/>
  <c r="FN62" i="30"/>
  <c r="FO62" i="30"/>
  <c r="FP62" i="30"/>
  <c r="FQ62" i="30"/>
  <c r="FR62" i="30"/>
  <c r="FS62" i="30"/>
  <c r="FT62" i="30"/>
  <c r="FU62" i="30"/>
  <c r="FV62" i="30"/>
  <c r="FW62" i="30"/>
  <c r="FX62" i="30"/>
  <c r="FY62" i="30"/>
  <c r="FZ62" i="30"/>
  <c r="GA62" i="30"/>
  <c r="GB62" i="30"/>
  <c r="GC62" i="30"/>
  <c r="GD62" i="30"/>
  <c r="GE62" i="30"/>
  <c r="GF62" i="30"/>
  <c r="GG62" i="30"/>
  <c r="GH62" i="30"/>
  <c r="GI62" i="30"/>
  <c r="GJ62" i="30"/>
  <c r="GK62" i="30"/>
  <c r="GL62" i="30"/>
  <c r="GM62" i="30"/>
  <c r="GN62" i="30"/>
  <c r="GO62" i="30"/>
  <c r="GP62" i="30"/>
  <c r="GQ62" i="30"/>
  <c r="GR62" i="30"/>
  <c r="GS62" i="30"/>
  <c r="GT62" i="30"/>
  <c r="GU62" i="30"/>
  <c r="GV62" i="30"/>
  <c r="GW62" i="30"/>
  <c r="GX62" i="30"/>
  <c r="GY62" i="30"/>
  <c r="GZ62" i="30"/>
  <c r="HA62" i="30"/>
  <c r="HB62" i="30"/>
  <c r="HC62" i="30"/>
  <c r="HD62" i="30"/>
  <c r="HE62" i="30"/>
  <c r="HF62" i="30"/>
  <c r="HG62" i="30"/>
  <c r="HH62" i="30"/>
  <c r="HI62" i="30"/>
  <c r="HJ62" i="30"/>
  <c r="HK62" i="30"/>
  <c r="HL62" i="30"/>
  <c r="HM62" i="30"/>
  <c r="HN62" i="30"/>
  <c r="HO62" i="30"/>
  <c r="HP62" i="30"/>
  <c r="HQ62" i="30"/>
  <c r="HR62" i="30"/>
  <c r="HS62" i="30"/>
  <c r="HT62" i="30"/>
  <c r="HU62" i="30"/>
  <c r="HV62" i="30"/>
  <c r="HW62" i="30"/>
  <c r="HX62" i="30"/>
  <c r="HY62" i="30"/>
  <c r="HZ62" i="30"/>
  <c r="IA62" i="30"/>
  <c r="IB62" i="30"/>
  <c r="IC62" i="30"/>
  <c r="ID62" i="30"/>
  <c r="IE62" i="30"/>
  <c r="IF62" i="30"/>
  <c r="IG62" i="30"/>
  <c r="IH62" i="30"/>
  <c r="II62" i="30"/>
  <c r="IJ62" i="30"/>
  <c r="IK62" i="30"/>
  <c r="IL62" i="30"/>
  <c r="IM62" i="30"/>
  <c r="IN62" i="30"/>
  <c r="IO62" i="30"/>
  <c r="IP62" i="30"/>
  <c r="IQ62" i="30"/>
  <c r="IR62" i="30"/>
  <c r="IS62" i="30"/>
  <c r="IT62" i="30"/>
  <c r="IU62" i="30"/>
  <c r="IV62" i="30"/>
  <c r="A61" i="30"/>
  <c r="B61" i="30"/>
  <c r="C61" i="30"/>
  <c r="D61" i="30"/>
  <c r="E61" i="30"/>
  <c r="F61" i="30"/>
  <c r="G61" i="30"/>
  <c r="H61" i="30"/>
  <c r="I61" i="30"/>
  <c r="J61" i="30"/>
  <c r="K61" i="30"/>
  <c r="L61" i="30"/>
  <c r="M61" i="30"/>
  <c r="N61" i="30"/>
  <c r="O61" i="30"/>
  <c r="P61" i="30"/>
  <c r="Q61" i="30"/>
  <c r="R61" i="30"/>
  <c r="S61" i="30"/>
  <c r="T61" i="30"/>
  <c r="U61" i="30"/>
  <c r="V61" i="30"/>
  <c r="W61" i="30"/>
  <c r="X61" i="30"/>
  <c r="Y61" i="30"/>
  <c r="Z61" i="30"/>
  <c r="AA61" i="30"/>
  <c r="AB61" i="30"/>
  <c r="AC61" i="30"/>
  <c r="AD61" i="30"/>
  <c r="AE61" i="30"/>
  <c r="AF61" i="30"/>
  <c r="AG61" i="30"/>
  <c r="AH61" i="30"/>
  <c r="AI61" i="30"/>
  <c r="AJ61" i="30"/>
  <c r="AK61" i="30"/>
  <c r="AL61" i="30"/>
  <c r="AM61" i="30"/>
  <c r="AN61" i="30"/>
  <c r="AO61" i="30"/>
  <c r="AP61" i="30"/>
  <c r="AQ61" i="30"/>
  <c r="AR61" i="30"/>
  <c r="AS61" i="30"/>
  <c r="AT61" i="30"/>
  <c r="AU61" i="30"/>
  <c r="AV61" i="30"/>
  <c r="AW61" i="30"/>
  <c r="AX61" i="30"/>
  <c r="AY61" i="30"/>
  <c r="AZ61" i="30"/>
  <c r="BA61" i="30"/>
  <c r="BB61" i="30"/>
  <c r="BC61" i="30"/>
  <c r="BD61" i="30"/>
  <c r="BE61" i="30"/>
  <c r="BF61" i="30"/>
  <c r="BG61" i="30"/>
  <c r="BH61" i="30"/>
  <c r="BI61" i="30"/>
  <c r="BJ61" i="30"/>
  <c r="BK61" i="30"/>
  <c r="BL61" i="30"/>
  <c r="BM61" i="30"/>
  <c r="BN61" i="30"/>
  <c r="BO61" i="30"/>
  <c r="BP61" i="30"/>
  <c r="BQ61" i="30"/>
  <c r="BR61" i="30"/>
  <c r="BS61" i="30"/>
  <c r="BT61" i="30"/>
  <c r="BU61" i="30"/>
  <c r="BV61" i="30"/>
  <c r="BW61" i="30"/>
  <c r="BX61" i="30"/>
  <c r="BY61" i="30"/>
  <c r="BZ61" i="30"/>
  <c r="CA61" i="30"/>
  <c r="CB61" i="30"/>
  <c r="CC61" i="30"/>
  <c r="CD61" i="30"/>
  <c r="CE61" i="30"/>
  <c r="CF61" i="30"/>
  <c r="CG61" i="30"/>
  <c r="CH61" i="30"/>
  <c r="CI61" i="30"/>
  <c r="CJ61" i="30"/>
  <c r="CK61" i="30"/>
  <c r="CL61" i="30"/>
  <c r="CM61" i="30"/>
  <c r="CN61" i="30"/>
  <c r="CO61" i="30"/>
  <c r="CP61" i="30"/>
  <c r="CQ61" i="30"/>
  <c r="CR61" i="30"/>
  <c r="CS61" i="30"/>
  <c r="CT61" i="30"/>
  <c r="CU61" i="30"/>
  <c r="CV61" i="30"/>
  <c r="CW61" i="30"/>
  <c r="CX61" i="30"/>
  <c r="CY61" i="30"/>
  <c r="CZ61" i="30"/>
  <c r="DA61" i="30"/>
  <c r="DB61" i="30"/>
  <c r="DC61" i="30"/>
  <c r="DD61" i="30"/>
  <c r="DE61" i="30"/>
  <c r="DF61" i="30"/>
  <c r="DG61" i="30"/>
  <c r="DH61" i="30"/>
  <c r="DI61" i="30"/>
  <c r="DJ61" i="30"/>
  <c r="DK61" i="30"/>
  <c r="DL61" i="30"/>
  <c r="DM61" i="30"/>
  <c r="DN61" i="30"/>
  <c r="DO61" i="30"/>
  <c r="DP61" i="30"/>
  <c r="DQ61" i="30"/>
  <c r="DR61" i="30"/>
  <c r="DS61" i="30"/>
  <c r="DT61" i="30"/>
  <c r="DU61" i="30"/>
  <c r="DV61" i="30"/>
  <c r="DW61" i="30"/>
  <c r="DX61" i="30"/>
  <c r="DY61" i="30"/>
  <c r="DZ61" i="30"/>
  <c r="EA61" i="30"/>
  <c r="EB61" i="30"/>
  <c r="EC61" i="30"/>
  <c r="ED61" i="30"/>
  <c r="EE61" i="30"/>
  <c r="EF61" i="30"/>
  <c r="EG61" i="30"/>
  <c r="EH61" i="30"/>
  <c r="EI61" i="30"/>
  <c r="EJ61" i="30"/>
  <c r="EK61" i="30"/>
  <c r="EL61" i="30"/>
  <c r="EM61" i="30"/>
  <c r="EN61" i="30"/>
  <c r="EO61" i="30"/>
  <c r="EP61" i="30"/>
  <c r="EQ61" i="30"/>
  <c r="ER61" i="30"/>
  <c r="ES61" i="30"/>
  <c r="ET61" i="30"/>
  <c r="EU61" i="30"/>
  <c r="EV61" i="30"/>
  <c r="EW61" i="30"/>
  <c r="EX61" i="30"/>
  <c r="EY61" i="30"/>
  <c r="EZ61" i="30"/>
  <c r="FA61" i="30"/>
  <c r="FB61" i="30"/>
  <c r="FC61" i="30"/>
  <c r="FD61" i="30"/>
  <c r="FE61" i="30"/>
  <c r="FF61" i="30"/>
  <c r="FG61" i="30"/>
  <c r="FH61" i="30"/>
  <c r="FI61" i="30"/>
  <c r="FJ61" i="30"/>
  <c r="FK61" i="30"/>
  <c r="FL61" i="30"/>
  <c r="FM61" i="30"/>
  <c r="FN61" i="30"/>
  <c r="FO61" i="30"/>
  <c r="FP61" i="30"/>
  <c r="FQ61" i="30"/>
  <c r="FR61" i="30"/>
  <c r="FS61" i="30"/>
  <c r="FT61" i="30"/>
  <c r="FU61" i="30"/>
  <c r="FV61" i="30"/>
  <c r="FW61" i="30"/>
  <c r="FX61" i="30"/>
  <c r="FY61" i="30"/>
  <c r="FZ61" i="30"/>
  <c r="GA61" i="30"/>
  <c r="GB61" i="30"/>
  <c r="GC61" i="30"/>
  <c r="GD61" i="30"/>
  <c r="GE61" i="30"/>
  <c r="GF61" i="30"/>
  <c r="GG61" i="30"/>
  <c r="GH61" i="30"/>
  <c r="GI61" i="30"/>
  <c r="GJ61" i="30"/>
  <c r="GK61" i="30"/>
  <c r="GL61" i="30"/>
  <c r="GM61" i="30"/>
  <c r="GN61" i="30"/>
  <c r="GO61" i="30"/>
  <c r="GP61" i="30"/>
  <c r="GQ61" i="30"/>
  <c r="GR61" i="30"/>
  <c r="GS61" i="30"/>
  <c r="GT61" i="30"/>
  <c r="GU61" i="30"/>
  <c r="GV61" i="30"/>
  <c r="GW61" i="30"/>
  <c r="GX61" i="30"/>
  <c r="GY61" i="30"/>
  <c r="GZ61" i="30"/>
  <c r="HA61" i="30"/>
  <c r="HB61" i="30"/>
  <c r="HC61" i="30"/>
  <c r="HD61" i="30"/>
  <c r="HE61" i="30"/>
  <c r="HF61" i="30"/>
  <c r="HG61" i="30"/>
  <c r="HH61" i="30"/>
  <c r="HI61" i="30"/>
  <c r="HJ61" i="30"/>
  <c r="HK61" i="30"/>
  <c r="HL61" i="30"/>
  <c r="HM61" i="30"/>
  <c r="HN61" i="30"/>
  <c r="HO61" i="30"/>
  <c r="HP61" i="30"/>
  <c r="HQ61" i="30"/>
  <c r="HR61" i="30"/>
  <c r="HS61" i="30"/>
  <c r="HT61" i="30"/>
  <c r="HU61" i="30"/>
  <c r="HV61" i="30"/>
  <c r="HW61" i="30"/>
  <c r="HX61" i="30"/>
  <c r="HY61" i="30"/>
  <c r="HZ61" i="30"/>
  <c r="IA61" i="30"/>
  <c r="IB61" i="30"/>
  <c r="IC61" i="30"/>
  <c r="ID61" i="30"/>
  <c r="IE61" i="30"/>
  <c r="IF61" i="30"/>
  <c r="IG61" i="30"/>
  <c r="IH61" i="30"/>
  <c r="II61" i="30"/>
  <c r="IJ61" i="30"/>
  <c r="IK61" i="30"/>
  <c r="IL61" i="30"/>
  <c r="IM61" i="30"/>
  <c r="IN61" i="30"/>
  <c r="IO61" i="30"/>
  <c r="IP61" i="30"/>
  <c r="IQ61" i="30"/>
  <c r="IR61" i="30"/>
  <c r="IS61" i="30"/>
  <c r="IT61" i="30"/>
  <c r="IU61" i="30"/>
  <c r="IV61" i="30"/>
  <c r="A60" i="30"/>
  <c r="B60" i="30"/>
  <c r="C60" i="30"/>
  <c r="D60" i="30"/>
  <c r="E60" i="30"/>
  <c r="F60" i="30"/>
  <c r="G60" i="30"/>
  <c r="H60" i="30"/>
  <c r="I60" i="30"/>
  <c r="J60" i="30"/>
  <c r="K60" i="30"/>
  <c r="L60" i="30"/>
  <c r="M60" i="30"/>
  <c r="N60" i="30"/>
  <c r="O60" i="30"/>
  <c r="P60" i="30"/>
  <c r="Q60" i="30"/>
  <c r="R60" i="30"/>
  <c r="S60" i="30"/>
  <c r="T60" i="30"/>
  <c r="U60" i="30"/>
  <c r="V60" i="30"/>
  <c r="W60" i="30"/>
  <c r="X60" i="30"/>
  <c r="Y60" i="30"/>
  <c r="Z60" i="30"/>
  <c r="AA60" i="30"/>
  <c r="AB60" i="30"/>
  <c r="AC60" i="30"/>
  <c r="AD60" i="30"/>
  <c r="AE60" i="30"/>
  <c r="AF60" i="30"/>
  <c r="AG60" i="30"/>
  <c r="AH60" i="30"/>
  <c r="AI60" i="30"/>
  <c r="AJ60" i="30"/>
  <c r="AK60" i="30"/>
  <c r="AL60" i="30"/>
  <c r="AM60" i="30"/>
  <c r="AN60" i="30"/>
  <c r="AO60" i="30"/>
  <c r="AP60" i="30"/>
  <c r="AQ60" i="30"/>
  <c r="AR60" i="30"/>
  <c r="AS60" i="30"/>
  <c r="AT60" i="30"/>
  <c r="AU60" i="30"/>
  <c r="AV60" i="30"/>
  <c r="AW60" i="30"/>
  <c r="AX60" i="30"/>
  <c r="AY60" i="30"/>
  <c r="AZ60" i="30"/>
  <c r="BA60" i="30"/>
  <c r="BB60" i="30"/>
  <c r="BC60" i="30"/>
  <c r="BD60" i="30"/>
  <c r="BE60" i="30"/>
  <c r="BF60" i="30"/>
  <c r="BG60" i="30"/>
  <c r="BH60" i="30"/>
  <c r="BI60" i="30"/>
  <c r="BJ60" i="30"/>
  <c r="BK60" i="30"/>
  <c r="BL60" i="30"/>
  <c r="BM60" i="30"/>
  <c r="BN60" i="30"/>
  <c r="BO60" i="30"/>
  <c r="BP60" i="30"/>
  <c r="BQ60" i="30"/>
  <c r="BR60" i="30"/>
  <c r="BS60" i="30"/>
  <c r="BT60" i="30"/>
  <c r="BU60" i="30"/>
  <c r="BV60" i="30"/>
  <c r="BW60" i="30"/>
  <c r="BX60" i="30"/>
  <c r="BY60" i="30"/>
  <c r="BZ60" i="30"/>
  <c r="CA60" i="30"/>
  <c r="CB60" i="30"/>
  <c r="CC60" i="30"/>
  <c r="CD60" i="30"/>
  <c r="CE60" i="30"/>
  <c r="CF60" i="30"/>
  <c r="CG60" i="30"/>
  <c r="CH60" i="30"/>
  <c r="CI60" i="30"/>
  <c r="CJ60" i="30"/>
  <c r="CK60" i="30"/>
  <c r="CL60" i="30"/>
  <c r="CM60" i="30"/>
  <c r="CN60" i="30"/>
  <c r="CO60" i="30"/>
  <c r="CP60" i="30"/>
  <c r="CQ60" i="30"/>
  <c r="CR60" i="30"/>
  <c r="CS60" i="30"/>
  <c r="CT60" i="30"/>
  <c r="CU60" i="30"/>
  <c r="CV60" i="30"/>
  <c r="CW60" i="30"/>
  <c r="CX60" i="30"/>
  <c r="CY60" i="30"/>
  <c r="CZ60" i="30"/>
  <c r="DA60" i="30"/>
  <c r="DB60" i="30"/>
  <c r="DC60" i="30"/>
  <c r="DD60" i="30"/>
  <c r="DE60" i="30"/>
  <c r="DF60" i="30"/>
  <c r="DG60" i="30"/>
  <c r="DH60" i="30"/>
  <c r="DI60" i="30"/>
  <c r="DJ60" i="30"/>
  <c r="DK60" i="30"/>
  <c r="DL60" i="30"/>
  <c r="DM60" i="30"/>
  <c r="DN60" i="30"/>
  <c r="DO60" i="30"/>
  <c r="DP60" i="30"/>
  <c r="DQ60" i="30"/>
  <c r="DR60" i="30"/>
  <c r="DS60" i="30"/>
  <c r="DT60" i="30"/>
  <c r="DU60" i="30"/>
  <c r="DV60" i="30"/>
  <c r="DW60" i="30"/>
  <c r="DX60" i="30"/>
  <c r="DY60" i="30"/>
  <c r="DZ60" i="30"/>
  <c r="EA60" i="30"/>
  <c r="EB60" i="30"/>
  <c r="EC60" i="30"/>
  <c r="ED60" i="30"/>
  <c r="EE60" i="30"/>
  <c r="EF60" i="30"/>
  <c r="EG60" i="30"/>
  <c r="EH60" i="30"/>
  <c r="EI60" i="30"/>
  <c r="EJ60" i="30"/>
  <c r="EK60" i="30"/>
  <c r="EL60" i="30"/>
  <c r="EM60" i="30"/>
  <c r="EN60" i="30"/>
  <c r="EO60" i="30"/>
  <c r="EP60" i="30"/>
  <c r="EQ60" i="30"/>
  <c r="ER60" i="30"/>
  <c r="ES60" i="30"/>
  <c r="ET60" i="30"/>
  <c r="EU60" i="30"/>
  <c r="EV60" i="30"/>
  <c r="EW60" i="30"/>
  <c r="EX60" i="30"/>
  <c r="EY60" i="30"/>
  <c r="EZ60" i="30"/>
  <c r="FA60" i="30"/>
  <c r="FB60" i="30"/>
  <c r="FC60" i="30"/>
  <c r="FD60" i="30"/>
  <c r="FE60" i="30"/>
  <c r="FF60" i="30"/>
  <c r="FG60" i="30"/>
  <c r="FH60" i="30"/>
  <c r="FI60" i="30"/>
  <c r="FJ60" i="30"/>
  <c r="FK60" i="30"/>
  <c r="FL60" i="30"/>
  <c r="FM60" i="30"/>
  <c r="FN60" i="30"/>
  <c r="FO60" i="30"/>
  <c r="FP60" i="30"/>
  <c r="FQ60" i="30"/>
  <c r="FR60" i="30"/>
  <c r="FS60" i="30"/>
  <c r="FT60" i="30"/>
  <c r="FU60" i="30"/>
  <c r="FV60" i="30"/>
  <c r="FW60" i="30"/>
  <c r="FX60" i="30"/>
  <c r="FY60" i="30"/>
  <c r="FZ60" i="30"/>
  <c r="GA60" i="30"/>
  <c r="GB60" i="30"/>
  <c r="GC60" i="30"/>
  <c r="GD60" i="30"/>
  <c r="GE60" i="30"/>
  <c r="GF60" i="30"/>
  <c r="GG60" i="30"/>
  <c r="GH60" i="30"/>
  <c r="GI60" i="30"/>
  <c r="GJ60" i="30"/>
  <c r="GK60" i="30"/>
  <c r="GL60" i="30"/>
  <c r="GM60" i="30"/>
  <c r="GN60" i="30"/>
  <c r="GO60" i="30"/>
  <c r="GP60" i="30"/>
  <c r="GQ60" i="30"/>
  <c r="GR60" i="30"/>
  <c r="GS60" i="30"/>
  <c r="GT60" i="30"/>
  <c r="GU60" i="30"/>
  <c r="GV60" i="30"/>
  <c r="GW60" i="30"/>
  <c r="GX60" i="30"/>
  <c r="GY60" i="30"/>
  <c r="GZ60" i="30"/>
  <c r="HA60" i="30"/>
  <c r="HB60" i="30"/>
  <c r="HC60" i="30"/>
  <c r="HD60" i="30"/>
  <c r="HE60" i="30"/>
  <c r="HF60" i="30"/>
  <c r="HG60" i="30"/>
  <c r="HH60" i="30"/>
  <c r="HI60" i="30"/>
  <c r="HJ60" i="30"/>
  <c r="HK60" i="30"/>
  <c r="HL60" i="30"/>
  <c r="HM60" i="30"/>
  <c r="HN60" i="30"/>
  <c r="HO60" i="30"/>
  <c r="HP60" i="30"/>
  <c r="HQ60" i="30"/>
  <c r="HR60" i="30"/>
  <c r="HS60" i="30"/>
  <c r="HT60" i="30"/>
  <c r="HU60" i="30"/>
  <c r="HV60" i="30"/>
  <c r="HW60" i="30"/>
  <c r="HX60" i="30"/>
  <c r="HY60" i="30"/>
  <c r="HZ60" i="30"/>
  <c r="IA60" i="30"/>
  <c r="IB60" i="30"/>
  <c r="IC60" i="30"/>
  <c r="ID60" i="30"/>
  <c r="IE60" i="30"/>
  <c r="IF60" i="30"/>
  <c r="IG60" i="30"/>
  <c r="IH60" i="30"/>
  <c r="II60" i="30"/>
  <c r="IJ60" i="30"/>
  <c r="IK60" i="30"/>
  <c r="IL60" i="30"/>
  <c r="IM60" i="30"/>
  <c r="IN60" i="30"/>
  <c r="IO60" i="30"/>
  <c r="IP60" i="30"/>
  <c r="IQ60" i="30"/>
  <c r="IR60" i="30"/>
  <c r="IS60" i="30"/>
  <c r="IT60" i="30"/>
  <c r="IU60" i="30"/>
  <c r="IV60" i="30"/>
  <c r="A59" i="30"/>
  <c r="B59" i="30"/>
  <c r="C59" i="30"/>
  <c r="D59" i="30"/>
  <c r="E59" i="30"/>
  <c r="F59" i="30"/>
  <c r="G59" i="30"/>
  <c r="H59" i="30"/>
  <c r="I59" i="30"/>
  <c r="J59" i="30"/>
  <c r="K59" i="30"/>
  <c r="L59" i="30"/>
  <c r="M59" i="30"/>
  <c r="N59" i="30"/>
  <c r="O59" i="30"/>
  <c r="P59" i="30"/>
  <c r="Q59" i="30"/>
  <c r="R59" i="30"/>
  <c r="S59" i="30"/>
  <c r="T59" i="30"/>
  <c r="U59" i="30"/>
  <c r="V59" i="30"/>
  <c r="W59" i="30"/>
  <c r="X59" i="30"/>
  <c r="Y59" i="30"/>
  <c r="Z59" i="30"/>
  <c r="AA59" i="30"/>
  <c r="AB59" i="30"/>
  <c r="AC59" i="30"/>
  <c r="AD59" i="30"/>
  <c r="AE59" i="30"/>
  <c r="AF59" i="30"/>
  <c r="AG59" i="30"/>
  <c r="AH59" i="30"/>
  <c r="AI59" i="30"/>
  <c r="AJ59" i="30"/>
  <c r="AK59" i="30"/>
  <c r="AL59" i="30"/>
  <c r="AM59" i="30"/>
  <c r="AN59" i="30"/>
  <c r="AO59" i="30"/>
  <c r="AP59" i="30"/>
  <c r="AQ59" i="30"/>
  <c r="AR59" i="30"/>
  <c r="AS59" i="30"/>
  <c r="AT59" i="30"/>
  <c r="AU59" i="30"/>
  <c r="AV59" i="30"/>
  <c r="AW59" i="30"/>
  <c r="AX59" i="30"/>
  <c r="AY59" i="30"/>
  <c r="AZ59" i="30"/>
  <c r="BA59" i="30"/>
  <c r="BB59" i="30"/>
  <c r="BC59" i="30"/>
  <c r="BD59" i="30"/>
  <c r="BE59" i="30"/>
  <c r="BF59" i="30"/>
  <c r="BG59" i="30"/>
  <c r="BH59" i="30"/>
  <c r="BI59" i="30"/>
  <c r="BJ59" i="30"/>
  <c r="BK59" i="30"/>
  <c r="BL59" i="30"/>
  <c r="BM59" i="30"/>
  <c r="BN59" i="30"/>
  <c r="BO59" i="30"/>
  <c r="BP59" i="30"/>
  <c r="BQ59" i="30"/>
  <c r="BR59" i="30"/>
  <c r="BS59" i="30"/>
  <c r="BT59" i="30"/>
  <c r="BU59" i="30"/>
  <c r="BV59" i="30"/>
  <c r="BW59" i="30"/>
  <c r="BX59" i="30"/>
  <c r="BY59" i="30"/>
  <c r="BZ59" i="30"/>
  <c r="CA59" i="30"/>
  <c r="CB59" i="30"/>
  <c r="CC59" i="30"/>
  <c r="CD59" i="30"/>
  <c r="CE59" i="30"/>
  <c r="CF59" i="30"/>
  <c r="CG59" i="30"/>
  <c r="CH59" i="30"/>
  <c r="CI59" i="30"/>
  <c r="CJ59" i="30"/>
  <c r="CK59" i="30"/>
  <c r="CL59" i="30"/>
  <c r="CM59" i="30"/>
  <c r="CN59" i="30"/>
  <c r="CO59" i="30"/>
  <c r="CP59" i="30"/>
  <c r="CQ59" i="30"/>
  <c r="CR59" i="30"/>
  <c r="CS59" i="30"/>
  <c r="CT59" i="30"/>
  <c r="CU59" i="30"/>
  <c r="CV59" i="30"/>
  <c r="CW59" i="30"/>
  <c r="CX59" i="30"/>
  <c r="CY59" i="30"/>
  <c r="CZ59" i="30"/>
  <c r="DA59" i="30"/>
  <c r="DB59" i="30"/>
  <c r="DC59" i="30"/>
  <c r="DD59" i="30"/>
  <c r="DE59" i="30"/>
  <c r="DF59" i="30"/>
  <c r="DG59" i="30"/>
  <c r="DH59" i="30"/>
  <c r="DI59" i="30"/>
  <c r="DJ59" i="30"/>
  <c r="DK59" i="30"/>
  <c r="DL59" i="30"/>
  <c r="DM59" i="30"/>
  <c r="DN59" i="30"/>
  <c r="DO59" i="30"/>
  <c r="DP59" i="30"/>
  <c r="DQ59" i="30"/>
  <c r="DR59" i="30"/>
  <c r="DS59" i="30"/>
  <c r="DT59" i="30"/>
  <c r="DU59" i="30"/>
  <c r="DV59" i="30"/>
  <c r="DW59" i="30"/>
  <c r="DX59" i="30"/>
  <c r="DY59" i="30"/>
  <c r="DZ59" i="30"/>
  <c r="EA59" i="30"/>
  <c r="EB59" i="30"/>
  <c r="EC59" i="30"/>
  <c r="ED59" i="30"/>
  <c r="EE59" i="30"/>
  <c r="EF59" i="30"/>
  <c r="EG59" i="30"/>
  <c r="EH59" i="30"/>
  <c r="EI59" i="30"/>
  <c r="EJ59" i="30"/>
  <c r="EK59" i="30"/>
  <c r="EL59" i="30"/>
  <c r="EM59" i="30"/>
  <c r="EN59" i="30"/>
  <c r="EO59" i="30"/>
  <c r="EP59" i="30"/>
  <c r="EQ59" i="30"/>
  <c r="ER59" i="30"/>
  <c r="ES59" i="30"/>
  <c r="ET59" i="30"/>
  <c r="EU59" i="30"/>
  <c r="EV59" i="30"/>
  <c r="EW59" i="30"/>
  <c r="EX59" i="30"/>
  <c r="EY59" i="30"/>
  <c r="EZ59" i="30"/>
  <c r="FA59" i="30"/>
  <c r="FB59" i="30"/>
  <c r="FC59" i="30"/>
  <c r="FD59" i="30"/>
  <c r="FE59" i="30"/>
  <c r="FF59" i="30"/>
  <c r="FG59" i="30"/>
  <c r="FH59" i="30"/>
  <c r="FI59" i="30"/>
  <c r="FJ59" i="30"/>
  <c r="FK59" i="30"/>
  <c r="FL59" i="30"/>
  <c r="FM59" i="30"/>
  <c r="FN59" i="30"/>
  <c r="FO59" i="30"/>
  <c r="FP59" i="30"/>
  <c r="FQ59" i="30"/>
  <c r="FR59" i="30"/>
  <c r="FS59" i="30"/>
  <c r="FT59" i="30"/>
  <c r="FU59" i="30"/>
  <c r="FV59" i="30"/>
  <c r="FW59" i="30"/>
  <c r="FX59" i="30"/>
  <c r="FY59" i="30"/>
  <c r="FZ59" i="30"/>
  <c r="GA59" i="30"/>
  <c r="GB59" i="30"/>
  <c r="GC59" i="30"/>
  <c r="GD59" i="30"/>
  <c r="GE59" i="30"/>
  <c r="GF59" i="30"/>
  <c r="GG59" i="30"/>
  <c r="GH59" i="30"/>
  <c r="GI59" i="30"/>
  <c r="GJ59" i="30"/>
  <c r="GK59" i="30"/>
  <c r="GL59" i="30"/>
  <c r="GM59" i="30"/>
  <c r="GN59" i="30"/>
  <c r="GO59" i="30"/>
  <c r="GP59" i="30"/>
  <c r="GQ59" i="30"/>
  <c r="GR59" i="30"/>
  <c r="GS59" i="30"/>
  <c r="GT59" i="30"/>
  <c r="GU59" i="30"/>
  <c r="GV59" i="30"/>
  <c r="GW59" i="30"/>
  <c r="GX59" i="30"/>
  <c r="GY59" i="30"/>
  <c r="GZ59" i="30"/>
  <c r="HA59" i="30"/>
  <c r="HB59" i="30"/>
  <c r="HC59" i="30"/>
  <c r="HD59" i="30"/>
  <c r="HE59" i="30"/>
  <c r="HF59" i="30"/>
  <c r="HG59" i="30"/>
  <c r="HH59" i="30"/>
  <c r="HI59" i="30"/>
  <c r="HJ59" i="30"/>
  <c r="HK59" i="30"/>
  <c r="HL59" i="30"/>
  <c r="HM59" i="30"/>
  <c r="HN59" i="30"/>
  <c r="HO59" i="30"/>
  <c r="HP59" i="30"/>
  <c r="HQ59" i="30"/>
  <c r="HR59" i="30"/>
  <c r="HS59" i="30"/>
  <c r="HT59" i="30"/>
  <c r="HU59" i="30"/>
  <c r="HV59" i="30"/>
  <c r="HW59" i="30"/>
  <c r="HX59" i="30"/>
  <c r="HY59" i="30"/>
  <c r="HZ59" i="30"/>
  <c r="IA59" i="30"/>
  <c r="IB59" i="30"/>
  <c r="IC59" i="30"/>
  <c r="ID59" i="30"/>
  <c r="IE59" i="30"/>
  <c r="IF59" i="30"/>
  <c r="IG59" i="30"/>
  <c r="IH59" i="30"/>
  <c r="II59" i="30"/>
  <c r="IJ59" i="30"/>
  <c r="IK59" i="30"/>
  <c r="IL59" i="30"/>
  <c r="IM59" i="30"/>
  <c r="IN59" i="30"/>
  <c r="IO59" i="30"/>
  <c r="IP59" i="30"/>
  <c r="IQ59" i="30"/>
  <c r="IR59" i="30"/>
  <c r="IS59" i="30"/>
  <c r="IT59" i="30"/>
  <c r="IU59" i="30"/>
  <c r="IV59" i="30"/>
  <c r="A58" i="30"/>
  <c r="B58" i="30"/>
  <c r="C58" i="30"/>
  <c r="D58" i="30"/>
  <c r="E58" i="30"/>
  <c r="F58" i="30"/>
  <c r="G58" i="30"/>
  <c r="H58" i="30"/>
  <c r="I58" i="30"/>
  <c r="J58" i="30"/>
  <c r="K58" i="30"/>
  <c r="L58" i="30"/>
  <c r="M58" i="30"/>
  <c r="N58" i="30"/>
  <c r="O58" i="30"/>
  <c r="P58" i="30"/>
  <c r="Q58" i="30"/>
  <c r="R58" i="30"/>
  <c r="S58" i="30"/>
  <c r="T58" i="30"/>
  <c r="U58" i="30"/>
  <c r="V58" i="30"/>
  <c r="W58" i="30"/>
  <c r="X58" i="30"/>
  <c r="Y58" i="30"/>
  <c r="Z58" i="30"/>
  <c r="AA58" i="30"/>
  <c r="AB58" i="30"/>
  <c r="AC58" i="30"/>
  <c r="AD58" i="30"/>
  <c r="AE58" i="30"/>
  <c r="AF58" i="30"/>
  <c r="AG58" i="30"/>
  <c r="AH58" i="30"/>
  <c r="AI58" i="30"/>
  <c r="AJ58" i="30"/>
  <c r="AK58" i="30"/>
  <c r="AL58" i="30"/>
  <c r="AM58" i="30"/>
  <c r="AN58" i="30"/>
  <c r="AO58" i="30"/>
  <c r="AP58" i="30"/>
  <c r="AQ58" i="30"/>
  <c r="AR58" i="30"/>
  <c r="AS58" i="30"/>
  <c r="AT58" i="30"/>
  <c r="AU58" i="30"/>
  <c r="AV58" i="30"/>
  <c r="AW58" i="30"/>
  <c r="AX58" i="30"/>
  <c r="AY58" i="30"/>
  <c r="AZ58" i="30"/>
  <c r="BA58" i="30"/>
  <c r="BB58" i="30"/>
  <c r="BC58" i="30"/>
  <c r="BD58" i="30"/>
  <c r="BE58" i="30"/>
  <c r="BF58" i="30"/>
  <c r="BG58" i="30"/>
  <c r="BH58" i="30"/>
  <c r="BI58" i="30"/>
  <c r="BJ58" i="30"/>
  <c r="BK58" i="30"/>
  <c r="BL58" i="30"/>
  <c r="BM58" i="30"/>
  <c r="BN58" i="30"/>
  <c r="BO58" i="30"/>
  <c r="BP58" i="30"/>
  <c r="BQ58" i="30"/>
  <c r="BR58" i="30"/>
  <c r="BS58" i="30"/>
  <c r="BT58" i="30"/>
  <c r="BU58" i="30"/>
  <c r="BV58" i="30"/>
  <c r="BW58" i="30"/>
  <c r="BX58" i="30"/>
  <c r="BY58" i="30"/>
  <c r="BZ58" i="30"/>
  <c r="CA58" i="30"/>
  <c r="CB58" i="30"/>
  <c r="CC58" i="30"/>
  <c r="CD58" i="30"/>
  <c r="CE58" i="30"/>
  <c r="CF58" i="30"/>
  <c r="CG58" i="30"/>
  <c r="CH58" i="30"/>
  <c r="CI58" i="30"/>
  <c r="CJ58" i="30"/>
  <c r="CK58" i="30"/>
  <c r="CL58" i="30"/>
  <c r="CM58" i="30"/>
  <c r="CN58" i="30"/>
  <c r="CO58" i="30"/>
  <c r="CP58" i="30"/>
  <c r="CQ58" i="30"/>
  <c r="CR58" i="30"/>
  <c r="CS58" i="30"/>
  <c r="CT58" i="30"/>
  <c r="CU58" i="30"/>
  <c r="CV58" i="30"/>
  <c r="CW58" i="30"/>
  <c r="CX58" i="30"/>
  <c r="CY58" i="30"/>
  <c r="CZ58" i="30"/>
  <c r="DA58" i="30"/>
  <c r="DB58" i="30"/>
  <c r="DC58" i="30"/>
  <c r="DD58" i="30"/>
  <c r="DE58" i="30"/>
  <c r="DF58" i="30"/>
  <c r="DG58" i="30"/>
  <c r="DH58" i="30"/>
  <c r="DI58" i="30"/>
  <c r="DJ58" i="30"/>
  <c r="DK58" i="30"/>
  <c r="DL58" i="30"/>
  <c r="DM58" i="30"/>
  <c r="DN58" i="30"/>
  <c r="DO58" i="30"/>
  <c r="DP58" i="30"/>
  <c r="DQ58" i="30"/>
  <c r="DR58" i="30"/>
  <c r="DS58" i="30"/>
  <c r="DT58" i="30"/>
  <c r="DU58" i="30"/>
  <c r="DV58" i="30"/>
  <c r="DW58" i="30"/>
  <c r="DX58" i="30"/>
  <c r="DY58" i="30"/>
  <c r="DZ58" i="30"/>
  <c r="EA58" i="30"/>
  <c r="EB58" i="30"/>
  <c r="EC58" i="30"/>
  <c r="ED58" i="30"/>
  <c r="EE58" i="30"/>
  <c r="EF58" i="30"/>
  <c r="EG58" i="30"/>
  <c r="EH58" i="30"/>
  <c r="EI58" i="30"/>
  <c r="EJ58" i="30"/>
  <c r="EK58" i="30"/>
  <c r="EL58" i="30"/>
  <c r="EM58" i="30"/>
  <c r="EN58" i="30"/>
  <c r="EO58" i="30"/>
  <c r="EP58" i="30"/>
  <c r="EQ58" i="30"/>
  <c r="ER58" i="30"/>
  <c r="ES58" i="30"/>
  <c r="ET58" i="30"/>
  <c r="EU58" i="30"/>
  <c r="EV58" i="30"/>
  <c r="EW58" i="30"/>
  <c r="EX58" i="30"/>
  <c r="EY58" i="30"/>
  <c r="EZ58" i="30"/>
  <c r="FA58" i="30"/>
  <c r="FB58" i="30"/>
  <c r="FC58" i="30"/>
  <c r="FD58" i="30"/>
  <c r="FE58" i="30"/>
  <c r="FF58" i="30"/>
  <c r="FG58" i="30"/>
  <c r="FH58" i="30"/>
  <c r="FI58" i="30"/>
  <c r="FJ58" i="30"/>
  <c r="FK58" i="30"/>
  <c r="FL58" i="30"/>
  <c r="FM58" i="30"/>
  <c r="FN58" i="30"/>
  <c r="FO58" i="30"/>
  <c r="FP58" i="30"/>
  <c r="FQ58" i="30"/>
  <c r="FR58" i="30"/>
  <c r="FS58" i="30"/>
  <c r="FT58" i="30"/>
  <c r="FU58" i="30"/>
  <c r="FV58" i="30"/>
  <c r="FW58" i="30"/>
  <c r="FX58" i="30"/>
  <c r="FY58" i="30"/>
  <c r="FZ58" i="30"/>
  <c r="GA58" i="30"/>
  <c r="GB58" i="30"/>
  <c r="GC58" i="30"/>
  <c r="GD58" i="30"/>
  <c r="GE58" i="30"/>
  <c r="GF58" i="30"/>
  <c r="GG58" i="30"/>
  <c r="GH58" i="30"/>
  <c r="GI58" i="30"/>
  <c r="GJ58" i="30"/>
  <c r="GK58" i="30"/>
  <c r="GL58" i="30"/>
  <c r="GM58" i="30"/>
  <c r="GN58" i="30"/>
  <c r="GO58" i="30"/>
  <c r="GP58" i="30"/>
  <c r="GQ58" i="30"/>
  <c r="GR58" i="30"/>
  <c r="GS58" i="30"/>
  <c r="GT58" i="30"/>
  <c r="GU58" i="30"/>
  <c r="GV58" i="30"/>
  <c r="GW58" i="30"/>
  <c r="GX58" i="30"/>
  <c r="GY58" i="30"/>
  <c r="GZ58" i="30"/>
  <c r="HA58" i="30"/>
  <c r="HB58" i="30"/>
  <c r="HC58" i="30"/>
  <c r="HD58" i="30"/>
  <c r="HE58" i="30"/>
  <c r="HF58" i="30"/>
  <c r="HG58" i="30"/>
  <c r="HH58" i="30"/>
  <c r="HI58" i="30"/>
  <c r="HJ58" i="30"/>
  <c r="HK58" i="30"/>
  <c r="HL58" i="30"/>
  <c r="HM58" i="30"/>
  <c r="HN58" i="30"/>
  <c r="HO58" i="30"/>
  <c r="HP58" i="30"/>
  <c r="HQ58" i="30"/>
  <c r="HR58" i="30"/>
  <c r="HS58" i="30"/>
  <c r="HT58" i="30"/>
  <c r="HU58" i="30"/>
  <c r="HV58" i="30"/>
  <c r="HW58" i="30"/>
  <c r="HX58" i="30"/>
  <c r="HY58" i="30"/>
  <c r="HZ58" i="30"/>
  <c r="IA58" i="30"/>
  <c r="IB58" i="30"/>
  <c r="IC58" i="30"/>
  <c r="ID58" i="30"/>
  <c r="IE58" i="30"/>
  <c r="IF58" i="30"/>
  <c r="IG58" i="30"/>
  <c r="IH58" i="30"/>
  <c r="II58" i="30"/>
  <c r="IJ58" i="30"/>
  <c r="IK58" i="30"/>
  <c r="IL58" i="30"/>
  <c r="IM58" i="30"/>
  <c r="IN58" i="30"/>
  <c r="IO58" i="30"/>
  <c r="IP58" i="30"/>
  <c r="IQ58" i="30"/>
  <c r="IR58" i="30"/>
  <c r="IS58" i="30"/>
  <c r="IT58" i="30"/>
  <c r="IU58" i="30"/>
  <c r="IV58" i="30"/>
  <c r="A57" i="30"/>
  <c r="B57" i="30"/>
  <c r="C57" i="30"/>
  <c r="D57" i="30"/>
  <c r="E57" i="30"/>
  <c r="F57" i="30"/>
  <c r="G57" i="30"/>
  <c r="H57" i="30"/>
  <c r="I57" i="30"/>
  <c r="J57" i="30"/>
  <c r="K57" i="30"/>
  <c r="L57" i="30"/>
  <c r="M57" i="30"/>
  <c r="N57" i="30"/>
  <c r="O57" i="30"/>
  <c r="P57" i="30"/>
  <c r="Q57" i="30"/>
  <c r="R57" i="30"/>
  <c r="S57" i="30"/>
  <c r="T57" i="30"/>
  <c r="U57" i="30"/>
  <c r="V57" i="30"/>
  <c r="W57" i="30"/>
  <c r="X57" i="30"/>
  <c r="Y57" i="30"/>
  <c r="Z57" i="30"/>
  <c r="AA57" i="30"/>
  <c r="AB57" i="30"/>
  <c r="AC57" i="30"/>
  <c r="AD57" i="30"/>
  <c r="AE57" i="30"/>
  <c r="AF57" i="30"/>
  <c r="AG57" i="30"/>
  <c r="AH57" i="30"/>
  <c r="AI57" i="30"/>
  <c r="AJ57" i="30"/>
  <c r="AK57" i="30"/>
  <c r="AL57" i="30"/>
  <c r="AM57" i="30"/>
  <c r="AN57" i="30"/>
  <c r="AO57" i="30"/>
  <c r="AP57" i="30"/>
  <c r="AQ57" i="30"/>
  <c r="AR57" i="30"/>
  <c r="AS57" i="30"/>
  <c r="AT57" i="30"/>
  <c r="AU57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BT57" i="30"/>
  <c r="BU57" i="30"/>
  <c r="BV57" i="30"/>
  <c r="BW57" i="30"/>
  <c r="BX57" i="30"/>
  <c r="BY57" i="30"/>
  <c r="BZ57" i="30"/>
  <c r="CA57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Z57" i="30"/>
  <c r="DA57" i="30"/>
  <c r="DB57" i="30"/>
  <c r="DC57" i="30"/>
  <c r="DD57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EC57" i="30"/>
  <c r="ED57" i="30"/>
  <c r="EE57" i="30"/>
  <c r="EF57" i="30"/>
  <c r="EG57" i="30"/>
  <c r="EH57" i="30"/>
  <c r="EI57" i="30"/>
  <c r="EJ57" i="30"/>
  <c r="EK57" i="30"/>
  <c r="EL57" i="30"/>
  <c r="EM57" i="30"/>
  <c r="EN57" i="30"/>
  <c r="EO57" i="30"/>
  <c r="EP57" i="30"/>
  <c r="EQ57" i="30"/>
  <c r="ER57" i="30"/>
  <c r="ES57" i="30"/>
  <c r="ET57" i="30"/>
  <c r="EU57" i="30"/>
  <c r="EV57" i="30"/>
  <c r="EW57" i="30"/>
  <c r="EX57" i="30"/>
  <c r="EY57" i="30"/>
  <c r="EZ57" i="30"/>
  <c r="FA57" i="30"/>
  <c r="FB57" i="30"/>
  <c r="FC57" i="30"/>
  <c r="FD57" i="30"/>
  <c r="FE57" i="30"/>
  <c r="FF57" i="30"/>
  <c r="FG57" i="30"/>
  <c r="FH57" i="30"/>
  <c r="FI57" i="30"/>
  <c r="FJ57" i="30"/>
  <c r="FK57" i="30"/>
  <c r="FL57" i="30"/>
  <c r="FM57" i="30"/>
  <c r="FN57" i="30"/>
  <c r="FO57" i="30"/>
  <c r="FP57" i="30"/>
  <c r="FQ57" i="30"/>
  <c r="FR57" i="30"/>
  <c r="FS57" i="30"/>
  <c r="FT57" i="30"/>
  <c r="FU57" i="30"/>
  <c r="FV57" i="30"/>
  <c r="FW57" i="30"/>
  <c r="FX57" i="30"/>
  <c r="FY57" i="30"/>
  <c r="FZ57" i="30"/>
  <c r="GA57" i="30"/>
  <c r="GB57" i="30"/>
  <c r="GC57" i="30"/>
  <c r="GD57" i="30"/>
  <c r="GE57" i="30"/>
  <c r="GF57" i="30"/>
  <c r="GG57" i="30"/>
  <c r="GH57" i="30"/>
  <c r="GI57" i="30"/>
  <c r="GJ57" i="30"/>
  <c r="GK57" i="30"/>
  <c r="GL57" i="30"/>
  <c r="GM57" i="30"/>
  <c r="GN57" i="30"/>
  <c r="GO57" i="30"/>
  <c r="GP57" i="30"/>
  <c r="GQ57" i="30"/>
  <c r="GR57" i="30"/>
  <c r="GS57" i="30"/>
  <c r="GT57" i="30"/>
  <c r="GU57" i="30"/>
  <c r="GV57" i="30"/>
  <c r="GW57" i="30"/>
  <c r="GX57" i="30"/>
  <c r="GY57" i="30"/>
  <c r="GZ57" i="30"/>
  <c r="HA57" i="30"/>
  <c r="HB57" i="30"/>
  <c r="HC57" i="30"/>
  <c r="HD57" i="30"/>
  <c r="HE57" i="30"/>
  <c r="HF57" i="30"/>
  <c r="HG57" i="30"/>
  <c r="HH57" i="30"/>
  <c r="HI57" i="30"/>
  <c r="HJ57" i="30"/>
  <c r="HK57" i="30"/>
  <c r="HL57" i="30"/>
  <c r="HM57" i="30"/>
  <c r="HN57" i="30"/>
  <c r="HO57" i="30"/>
  <c r="HP57" i="30"/>
  <c r="HQ57" i="30"/>
  <c r="HR57" i="30"/>
  <c r="HS57" i="30"/>
  <c r="HT57" i="30"/>
  <c r="HU57" i="30"/>
  <c r="HV57" i="30"/>
  <c r="HW57" i="30"/>
  <c r="HX57" i="30"/>
  <c r="HY57" i="30"/>
  <c r="HZ57" i="30"/>
  <c r="IA57" i="30"/>
  <c r="IB57" i="30"/>
  <c r="IC57" i="30"/>
  <c r="ID57" i="30"/>
  <c r="IE57" i="30"/>
  <c r="IF57" i="30"/>
  <c r="IG57" i="30"/>
  <c r="IH57" i="30"/>
  <c r="II57" i="30"/>
  <c r="IJ57" i="30"/>
  <c r="IK57" i="30"/>
  <c r="IL57" i="30"/>
  <c r="IM57" i="30"/>
  <c r="IN57" i="30"/>
  <c r="IO57" i="30"/>
  <c r="IP57" i="30"/>
  <c r="IQ57" i="30"/>
  <c r="IR57" i="30"/>
  <c r="IS57" i="30"/>
  <c r="IT57" i="30"/>
  <c r="IU57" i="30"/>
  <c r="IV57" i="30"/>
  <c r="A56" i="30"/>
  <c r="B56" i="30"/>
  <c r="C56" i="30"/>
  <c r="D56" i="30"/>
  <c r="E56" i="30"/>
  <c r="F56" i="30"/>
  <c r="G56" i="30"/>
  <c r="H56" i="30"/>
  <c r="I56" i="30"/>
  <c r="J56" i="30"/>
  <c r="K56" i="30"/>
  <c r="L56" i="30"/>
  <c r="M56" i="30"/>
  <c r="N56" i="30"/>
  <c r="O56" i="30"/>
  <c r="P56" i="30"/>
  <c r="Q56" i="30"/>
  <c r="R56" i="30"/>
  <c r="S56" i="30"/>
  <c r="T56" i="30"/>
  <c r="U56" i="30"/>
  <c r="V56" i="30"/>
  <c r="W56" i="30"/>
  <c r="X56" i="30"/>
  <c r="Y56" i="30"/>
  <c r="Z56" i="30"/>
  <c r="AA56" i="30"/>
  <c r="AB56" i="30"/>
  <c r="AC56" i="30"/>
  <c r="AD56" i="30"/>
  <c r="AE56" i="30"/>
  <c r="AF56" i="30"/>
  <c r="AG56" i="30"/>
  <c r="AH56" i="30"/>
  <c r="AI56" i="30"/>
  <c r="AJ56" i="30"/>
  <c r="AK56" i="30"/>
  <c r="AL56" i="30"/>
  <c r="AM56" i="30"/>
  <c r="AN56" i="30"/>
  <c r="AO56" i="30"/>
  <c r="AP56" i="30"/>
  <c r="AQ56" i="30"/>
  <c r="AR56" i="30"/>
  <c r="AS56" i="30"/>
  <c r="AT56" i="30"/>
  <c r="AU56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BT56" i="30"/>
  <c r="BU56" i="30"/>
  <c r="BV56" i="30"/>
  <c r="BW56" i="30"/>
  <c r="BX56" i="30"/>
  <c r="BY56" i="30"/>
  <c r="BZ56" i="30"/>
  <c r="CA56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Z56" i="30"/>
  <c r="DA56" i="30"/>
  <c r="DB56" i="30"/>
  <c r="DC56" i="30"/>
  <c r="DD56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EC56" i="30"/>
  <c r="ED56" i="30"/>
  <c r="EE56" i="30"/>
  <c r="EF56" i="30"/>
  <c r="EG56" i="30"/>
  <c r="EH56" i="30"/>
  <c r="EI56" i="30"/>
  <c r="EJ56" i="30"/>
  <c r="EK56" i="30"/>
  <c r="EL56" i="30"/>
  <c r="EM56" i="30"/>
  <c r="EN56" i="30"/>
  <c r="EO56" i="30"/>
  <c r="EP56" i="30"/>
  <c r="EQ56" i="30"/>
  <c r="ER56" i="30"/>
  <c r="ES56" i="30"/>
  <c r="ET56" i="30"/>
  <c r="EU56" i="30"/>
  <c r="EV56" i="30"/>
  <c r="EW56" i="30"/>
  <c r="EX56" i="30"/>
  <c r="EY56" i="30"/>
  <c r="EZ56" i="30"/>
  <c r="FA56" i="30"/>
  <c r="FB56" i="30"/>
  <c r="FC56" i="30"/>
  <c r="FD56" i="30"/>
  <c r="FE56" i="30"/>
  <c r="FF56" i="30"/>
  <c r="FG56" i="30"/>
  <c r="FH56" i="30"/>
  <c r="FI56" i="30"/>
  <c r="FJ56" i="30"/>
  <c r="FK56" i="30"/>
  <c r="FL56" i="30"/>
  <c r="FM56" i="30"/>
  <c r="FN56" i="30"/>
  <c r="FO56" i="30"/>
  <c r="FP56" i="30"/>
  <c r="FQ56" i="30"/>
  <c r="FR56" i="30"/>
  <c r="FS56" i="30"/>
  <c r="FT56" i="30"/>
  <c r="FU56" i="30"/>
  <c r="FV56" i="30"/>
  <c r="FW56" i="30"/>
  <c r="FX56" i="30"/>
  <c r="FY56" i="30"/>
  <c r="FZ56" i="30"/>
  <c r="GA56" i="30"/>
  <c r="GB56" i="30"/>
  <c r="GC56" i="30"/>
  <c r="GD56" i="30"/>
  <c r="GE56" i="30"/>
  <c r="GF56" i="30"/>
  <c r="GG56" i="30"/>
  <c r="GH56" i="30"/>
  <c r="GI56" i="30"/>
  <c r="GJ56" i="30"/>
  <c r="GK56" i="30"/>
  <c r="GL56" i="30"/>
  <c r="GM56" i="30"/>
  <c r="GN56" i="30"/>
  <c r="GO56" i="30"/>
  <c r="GP56" i="30"/>
  <c r="GQ56" i="30"/>
  <c r="GR56" i="30"/>
  <c r="GS56" i="30"/>
  <c r="GT56" i="30"/>
  <c r="GU56" i="30"/>
  <c r="GV56" i="30"/>
  <c r="GW56" i="30"/>
  <c r="GX56" i="30"/>
  <c r="GY56" i="30"/>
  <c r="GZ56" i="30"/>
  <c r="HA56" i="30"/>
  <c r="HB56" i="30"/>
  <c r="HC56" i="30"/>
  <c r="HD56" i="30"/>
  <c r="HE56" i="30"/>
  <c r="HF56" i="30"/>
  <c r="HG56" i="30"/>
  <c r="HH56" i="30"/>
  <c r="HI56" i="30"/>
  <c r="HJ56" i="30"/>
  <c r="HK56" i="30"/>
  <c r="HL56" i="30"/>
  <c r="HM56" i="30"/>
  <c r="HN56" i="30"/>
  <c r="HO56" i="30"/>
  <c r="HP56" i="30"/>
  <c r="HQ56" i="30"/>
  <c r="HR56" i="30"/>
  <c r="HS56" i="30"/>
  <c r="HT56" i="30"/>
  <c r="HU56" i="30"/>
  <c r="HV56" i="30"/>
  <c r="HW56" i="30"/>
  <c r="HX56" i="30"/>
  <c r="HY56" i="30"/>
  <c r="HZ56" i="30"/>
  <c r="IA56" i="30"/>
  <c r="IB56" i="30"/>
  <c r="IC56" i="30"/>
  <c r="ID56" i="30"/>
  <c r="IE56" i="30"/>
  <c r="IF56" i="30"/>
  <c r="IG56" i="30"/>
  <c r="IH56" i="30"/>
  <c r="II56" i="30"/>
  <c r="IJ56" i="30"/>
  <c r="IK56" i="30"/>
  <c r="IL56" i="30"/>
  <c r="IM56" i="30"/>
  <c r="IN56" i="30"/>
  <c r="IO56" i="30"/>
  <c r="IP56" i="30"/>
  <c r="IQ56" i="30"/>
  <c r="IR56" i="30"/>
  <c r="IS56" i="30"/>
  <c r="IT56" i="30"/>
  <c r="IU56" i="30"/>
  <c r="IV56" i="30"/>
  <c r="A55" i="30"/>
  <c r="B55" i="30"/>
  <c r="C55" i="30"/>
  <c r="D55" i="30"/>
  <c r="E55" i="30"/>
  <c r="F55" i="30"/>
  <c r="G55" i="30"/>
  <c r="H55" i="30"/>
  <c r="I55" i="30"/>
  <c r="J55" i="30"/>
  <c r="K55" i="30"/>
  <c r="L55" i="30"/>
  <c r="M55" i="30"/>
  <c r="N55" i="30"/>
  <c r="O55" i="30"/>
  <c r="P55" i="30"/>
  <c r="Q55" i="30"/>
  <c r="R55" i="30"/>
  <c r="S55" i="30"/>
  <c r="T55" i="30"/>
  <c r="U55" i="30"/>
  <c r="V55" i="30"/>
  <c r="W55" i="30"/>
  <c r="X55" i="30"/>
  <c r="Y55" i="30"/>
  <c r="Z55" i="30"/>
  <c r="AA55" i="30"/>
  <c r="AB55" i="30"/>
  <c r="AC55" i="30"/>
  <c r="AD55" i="30"/>
  <c r="AE55" i="30"/>
  <c r="AF55" i="30"/>
  <c r="AG55" i="30"/>
  <c r="AH55" i="30"/>
  <c r="AI55" i="30"/>
  <c r="AJ55" i="30"/>
  <c r="AK55" i="30"/>
  <c r="AL55" i="30"/>
  <c r="AM55" i="30"/>
  <c r="AN55" i="30"/>
  <c r="AO55" i="30"/>
  <c r="AP55" i="30"/>
  <c r="AQ55" i="30"/>
  <c r="AR55" i="30"/>
  <c r="AS55" i="30"/>
  <c r="AT55" i="30"/>
  <c r="AU55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BT55" i="30"/>
  <c r="BU55" i="30"/>
  <c r="BV55" i="30"/>
  <c r="BW55" i="30"/>
  <c r="BX55" i="30"/>
  <c r="BY55" i="30"/>
  <c r="BZ55" i="30"/>
  <c r="CA55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Z55" i="30"/>
  <c r="DA55" i="30"/>
  <c r="DB55" i="30"/>
  <c r="DC55" i="30"/>
  <c r="DD55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EC55" i="30"/>
  <c r="ED55" i="30"/>
  <c r="EE55" i="30"/>
  <c r="EF55" i="30"/>
  <c r="EG55" i="30"/>
  <c r="EH55" i="30"/>
  <c r="EI55" i="30"/>
  <c r="EJ55" i="30"/>
  <c r="EK55" i="30"/>
  <c r="EL55" i="30"/>
  <c r="EM55" i="30"/>
  <c r="EN55" i="30"/>
  <c r="EO55" i="30"/>
  <c r="EP55" i="30"/>
  <c r="EQ55" i="30"/>
  <c r="ER55" i="30"/>
  <c r="ES55" i="30"/>
  <c r="ET55" i="30"/>
  <c r="EU55" i="30"/>
  <c r="EV55" i="30"/>
  <c r="EW55" i="30"/>
  <c r="EX55" i="30"/>
  <c r="EY55" i="30"/>
  <c r="EZ55" i="30"/>
  <c r="FA55" i="30"/>
  <c r="FB55" i="30"/>
  <c r="FC55" i="30"/>
  <c r="FD55" i="30"/>
  <c r="FE55" i="30"/>
  <c r="FF55" i="30"/>
  <c r="FG55" i="30"/>
  <c r="FH55" i="30"/>
  <c r="FI55" i="30"/>
  <c r="FJ55" i="30"/>
  <c r="FK55" i="30"/>
  <c r="FL55" i="30"/>
  <c r="FM55" i="30"/>
  <c r="FN55" i="30"/>
  <c r="FO55" i="30"/>
  <c r="FP55" i="30"/>
  <c r="FQ55" i="30"/>
  <c r="FR55" i="30"/>
  <c r="FS55" i="30"/>
  <c r="FT55" i="30"/>
  <c r="FU55" i="30"/>
  <c r="FV55" i="30"/>
  <c r="FW55" i="30"/>
  <c r="FX55" i="30"/>
  <c r="FY55" i="30"/>
  <c r="FZ55" i="30"/>
  <c r="GA55" i="30"/>
  <c r="GB55" i="30"/>
  <c r="GC55" i="30"/>
  <c r="GD55" i="30"/>
  <c r="GE55" i="30"/>
  <c r="GF55" i="30"/>
  <c r="GG55" i="30"/>
  <c r="GH55" i="30"/>
  <c r="GI55" i="30"/>
  <c r="GJ55" i="30"/>
  <c r="GK55" i="30"/>
  <c r="GL55" i="30"/>
  <c r="GM55" i="30"/>
  <c r="GN55" i="30"/>
  <c r="GO55" i="30"/>
  <c r="GP55" i="30"/>
  <c r="GQ55" i="30"/>
  <c r="GR55" i="30"/>
  <c r="GS55" i="30"/>
  <c r="GT55" i="30"/>
  <c r="GU55" i="30"/>
  <c r="GV55" i="30"/>
  <c r="GW55" i="30"/>
  <c r="GX55" i="30"/>
  <c r="GY55" i="30"/>
  <c r="GZ55" i="30"/>
  <c r="HA55" i="30"/>
  <c r="HB55" i="30"/>
  <c r="HC55" i="30"/>
  <c r="HD55" i="30"/>
  <c r="HE55" i="30"/>
  <c r="HF55" i="30"/>
  <c r="HG55" i="30"/>
  <c r="HH55" i="30"/>
  <c r="HI55" i="30"/>
  <c r="HJ55" i="30"/>
  <c r="HK55" i="30"/>
  <c r="HL55" i="30"/>
  <c r="HM55" i="30"/>
  <c r="HN55" i="30"/>
  <c r="HO55" i="30"/>
  <c r="HP55" i="30"/>
  <c r="HQ55" i="30"/>
  <c r="HR55" i="30"/>
  <c r="HS55" i="30"/>
  <c r="HT55" i="30"/>
  <c r="HU55" i="30"/>
  <c r="HV55" i="30"/>
  <c r="HW55" i="30"/>
  <c r="HX55" i="30"/>
  <c r="HY55" i="30"/>
  <c r="HZ55" i="30"/>
  <c r="IA55" i="30"/>
  <c r="IB55" i="30"/>
  <c r="IC55" i="30"/>
  <c r="ID55" i="30"/>
  <c r="IE55" i="30"/>
  <c r="IF55" i="30"/>
  <c r="IG55" i="30"/>
  <c r="IH55" i="30"/>
  <c r="II55" i="30"/>
  <c r="IJ55" i="30"/>
  <c r="IK55" i="30"/>
  <c r="IL55" i="30"/>
  <c r="IM55" i="30"/>
  <c r="IN55" i="30"/>
  <c r="IO55" i="30"/>
  <c r="IP55" i="30"/>
  <c r="IQ55" i="30"/>
  <c r="IR55" i="30"/>
  <c r="IS55" i="30"/>
  <c r="IT55" i="30"/>
  <c r="IU55" i="30"/>
  <c r="IV55" i="30"/>
  <c r="A54" i="30"/>
  <c r="B54" i="30"/>
  <c r="C54" i="30"/>
  <c r="D54" i="30"/>
  <c r="E54" i="30"/>
  <c r="F54" i="30"/>
  <c r="G54" i="30"/>
  <c r="H54" i="30"/>
  <c r="I54" i="30"/>
  <c r="J54" i="30"/>
  <c r="K54" i="30"/>
  <c r="L54" i="30"/>
  <c r="M54" i="30"/>
  <c r="N54" i="30"/>
  <c r="O54" i="30"/>
  <c r="P54" i="30"/>
  <c r="Q54" i="30"/>
  <c r="R54" i="30"/>
  <c r="S54" i="30"/>
  <c r="T54" i="30"/>
  <c r="U54" i="30"/>
  <c r="V54" i="30"/>
  <c r="W54" i="30"/>
  <c r="X54" i="30"/>
  <c r="Y54" i="30"/>
  <c r="Z54" i="30"/>
  <c r="AA54" i="30"/>
  <c r="AB54" i="30"/>
  <c r="AC54" i="30"/>
  <c r="AD54" i="30"/>
  <c r="AE54" i="30"/>
  <c r="AF54" i="30"/>
  <c r="AG54" i="30"/>
  <c r="AH54" i="30"/>
  <c r="AI54" i="30"/>
  <c r="AJ54" i="30"/>
  <c r="AK54" i="30"/>
  <c r="AL54" i="30"/>
  <c r="AM54" i="30"/>
  <c r="AN54" i="30"/>
  <c r="AO54" i="30"/>
  <c r="AP54" i="30"/>
  <c r="AQ54" i="30"/>
  <c r="AR54" i="30"/>
  <c r="AS54" i="30"/>
  <c r="AT54" i="30"/>
  <c r="AU54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BT54" i="30"/>
  <c r="BU54" i="30"/>
  <c r="BV54" i="30"/>
  <c r="BW54" i="30"/>
  <c r="BX54" i="30"/>
  <c r="BY54" i="30"/>
  <c r="BZ54" i="30"/>
  <c r="CA54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Z54" i="30"/>
  <c r="DA54" i="30"/>
  <c r="DB54" i="30"/>
  <c r="DC54" i="30"/>
  <c r="DD54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EC54" i="30"/>
  <c r="ED54" i="30"/>
  <c r="EE54" i="30"/>
  <c r="EF54" i="30"/>
  <c r="EG54" i="30"/>
  <c r="EH54" i="30"/>
  <c r="EI54" i="30"/>
  <c r="EJ54" i="30"/>
  <c r="EK54" i="30"/>
  <c r="EL54" i="30"/>
  <c r="EM54" i="30"/>
  <c r="EN54" i="30"/>
  <c r="EO54" i="30"/>
  <c r="EP54" i="30"/>
  <c r="EQ54" i="30"/>
  <c r="ER54" i="30"/>
  <c r="ES54" i="30"/>
  <c r="ET54" i="30"/>
  <c r="EU54" i="30"/>
  <c r="EV54" i="30"/>
  <c r="EW54" i="30"/>
  <c r="EX54" i="30"/>
  <c r="EY54" i="30"/>
  <c r="EZ54" i="30"/>
  <c r="FA54" i="30"/>
  <c r="FB54" i="30"/>
  <c r="FC54" i="30"/>
  <c r="FD54" i="30"/>
  <c r="FE54" i="30"/>
  <c r="FF54" i="30"/>
  <c r="FG54" i="30"/>
  <c r="FH54" i="30"/>
  <c r="FI54" i="30"/>
  <c r="FJ54" i="30"/>
  <c r="FK54" i="30"/>
  <c r="FL54" i="30"/>
  <c r="FM54" i="30"/>
  <c r="FN54" i="30"/>
  <c r="FO54" i="30"/>
  <c r="FP54" i="30"/>
  <c r="FQ54" i="30"/>
  <c r="FR54" i="30"/>
  <c r="FS54" i="30"/>
  <c r="FT54" i="30"/>
  <c r="FU54" i="30"/>
  <c r="FV54" i="30"/>
  <c r="FW54" i="30"/>
  <c r="FX54" i="30"/>
  <c r="FY54" i="30"/>
  <c r="FZ54" i="30"/>
  <c r="GA54" i="30"/>
  <c r="GB54" i="30"/>
  <c r="GC54" i="30"/>
  <c r="GD54" i="30"/>
  <c r="GE54" i="30"/>
  <c r="GF54" i="30"/>
  <c r="GG54" i="30"/>
  <c r="GH54" i="30"/>
  <c r="GI54" i="30"/>
  <c r="GJ54" i="30"/>
  <c r="GK54" i="30"/>
  <c r="GL54" i="30"/>
  <c r="GM54" i="30"/>
  <c r="GN54" i="30"/>
  <c r="GO54" i="30"/>
  <c r="GP54" i="30"/>
  <c r="GQ54" i="30"/>
  <c r="GR54" i="30"/>
  <c r="GS54" i="30"/>
  <c r="GT54" i="30"/>
  <c r="GU54" i="30"/>
  <c r="GV54" i="30"/>
  <c r="GW54" i="30"/>
  <c r="GX54" i="30"/>
  <c r="GY54" i="30"/>
  <c r="GZ54" i="30"/>
  <c r="HA54" i="30"/>
  <c r="HB54" i="30"/>
  <c r="HC54" i="30"/>
  <c r="HD54" i="30"/>
  <c r="HE54" i="30"/>
  <c r="HF54" i="30"/>
  <c r="HG54" i="30"/>
  <c r="HH54" i="30"/>
  <c r="HI54" i="30"/>
  <c r="HJ54" i="30"/>
  <c r="HK54" i="30"/>
  <c r="HL54" i="30"/>
  <c r="HM54" i="30"/>
  <c r="HN54" i="30"/>
  <c r="HO54" i="30"/>
  <c r="HP54" i="30"/>
  <c r="HQ54" i="30"/>
  <c r="HR54" i="30"/>
  <c r="HS54" i="30"/>
  <c r="HT54" i="30"/>
  <c r="HU54" i="30"/>
  <c r="HV54" i="30"/>
  <c r="HW54" i="30"/>
  <c r="HX54" i="30"/>
  <c r="HY54" i="30"/>
  <c r="HZ54" i="30"/>
  <c r="IA54" i="30"/>
  <c r="IB54" i="30"/>
  <c r="IC54" i="30"/>
  <c r="ID54" i="30"/>
  <c r="IE54" i="30"/>
  <c r="IF54" i="30"/>
  <c r="IG54" i="30"/>
  <c r="IH54" i="30"/>
  <c r="II54" i="30"/>
  <c r="IJ54" i="30"/>
  <c r="IK54" i="30"/>
  <c r="IL54" i="30"/>
  <c r="IM54" i="30"/>
  <c r="IN54" i="30"/>
  <c r="IO54" i="30"/>
  <c r="IP54" i="30"/>
  <c r="IQ54" i="30"/>
  <c r="IR54" i="30"/>
  <c r="IS54" i="30"/>
  <c r="IT54" i="30"/>
  <c r="IU54" i="30"/>
  <c r="IV54" i="30"/>
  <c r="A53" i="30"/>
  <c r="B53" i="30"/>
  <c r="C53" i="30"/>
  <c r="D53" i="30"/>
  <c r="E53" i="30"/>
  <c r="F53" i="30"/>
  <c r="G53" i="30"/>
  <c r="H53" i="30"/>
  <c r="I53" i="30"/>
  <c r="J53" i="30"/>
  <c r="K53" i="30"/>
  <c r="L53" i="30"/>
  <c r="M53" i="30"/>
  <c r="N53" i="30"/>
  <c r="O53" i="30"/>
  <c r="P53" i="30"/>
  <c r="Q53" i="30"/>
  <c r="R53" i="30"/>
  <c r="S53" i="30"/>
  <c r="T53" i="30"/>
  <c r="U53" i="30"/>
  <c r="V53" i="30"/>
  <c r="W53" i="30"/>
  <c r="X53" i="30"/>
  <c r="Y53" i="30"/>
  <c r="Z53" i="30"/>
  <c r="AA53" i="30"/>
  <c r="AB53" i="30"/>
  <c r="AC53" i="30"/>
  <c r="AD53" i="30"/>
  <c r="AE53" i="30"/>
  <c r="AF53" i="30"/>
  <c r="AG53" i="30"/>
  <c r="AH53" i="30"/>
  <c r="AI53" i="30"/>
  <c r="AJ53" i="30"/>
  <c r="AK53" i="30"/>
  <c r="AL53" i="30"/>
  <c r="AM53" i="30"/>
  <c r="AN53" i="30"/>
  <c r="AO53" i="30"/>
  <c r="AP53" i="30"/>
  <c r="AQ53" i="30"/>
  <c r="AR53" i="30"/>
  <c r="AS53" i="30"/>
  <c r="AT53" i="30"/>
  <c r="AU53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BT53" i="30"/>
  <c r="BU53" i="30"/>
  <c r="BV53" i="30"/>
  <c r="BW53" i="30"/>
  <c r="BX53" i="30"/>
  <c r="BY53" i="30"/>
  <c r="BZ53" i="30"/>
  <c r="CA53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Z53" i="30"/>
  <c r="DA53" i="30"/>
  <c r="DB53" i="30"/>
  <c r="DC53" i="30"/>
  <c r="DD53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EC53" i="30"/>
  <c r="ED53" i="30"/>
  <c r="EE53" i="30"/>
  <c r="EF53" i="30"/>
  <c r="EG53" i="30"/>
  <c r="EH53" i="30"/>
  <c r="EI53" i="30"/>
  <c r="EJ53" i="30"/>
  <c r="EK53" i="30"/>
  <c r="EL53" i="30"/>
  <c r="EM53" i="30"/>
  <c r="EN53" i="30"/>
  <c r="EO53" i="30"/>
  <c r="EP53" i="30"/>
  <c r="EQ53" i="30"/>
  <c r="ER53" i="30"/>
  <c r="ES53" i="30"/>
  <c r="ET53" i="30"/>
  <c r="EU53" i="30"/>
  <c r="EV53" i="30"/>
  <c r="EW53" i="30"/>
  <c r="EX53" i="30"/>
  <c r="EY53" i="30"/>
  <c r="EZ53" i="30"/>
  <c r="FA53" i="30"/>
  <c r="FB53" i="30"/>
  <c r="FC53" i="30"/>
  <c r="FD53" i="30"/>
  <c r="FE53" i="30"/>
  <c r="FF53" i="30"/>
  <c r="FG53" i="30"/>
  <c r="FH53" i="30"/>
  <c r="FI53" i="30"/>
  <c r="FJ53" i="30"/>
  <c r="FK53" i="30"/>
  <c r="FL53" i="30"/>
  <c r="FM53" i="30"/>
  <c r="FN53" i="30"/>
  <c r="FO53" i="30"/>
  <c r="FP53" i="30"/>
  <c r="FQ53" i="30"/>
  <c r="FR53" i="30"/>
  <c r="FS53" i="30"/>
  <c r="FT53" i="30"/>
  <c r="FU53" i="30"/>
  <c r="FV53" i="30"/>
  <c r="FW53" i="30"/>
  <c r="FX53" i="30"/>
  <c r="FY53" i="30"/>
  <c r="FZ53" i="30"/>
  <c r="GA53" i="30"/>
  <c r="GB53" i="30"/>
  <c r="GC53" i="30"/>
  <c r="GD53" i="30"/>
  <c r="GE53" i="30"/>
  <c r="GF53" i="30"/>
  <c r="GG53" i="30"/>
  <c r="GH53" i="30"/>
  <c r="GI53" i="30"/>
  <c r="GJ53" i="30"/>
  <c r="GK53" i="30"/>
  <c r="GL53" i="30"/>
  <c r="GM53" i="30"/>
  <c r="GN53" i="30"/>
  <c r="GO53" i="30"/>
  <c r="GP53" i="30"/>
  <c r="GQ53" i="30"/>
  <c r="GR53" i="30"/>
  <c r="GS53" i="30"/>
  <c r="GT53" i="30"/>
  <c r="GU53" i="30"/>
  <c r="GV53" i="30"/>
  <c r="GW53" i="30"/>
  <c r="GX53" i="30"/>
  <c r="GY53" i="30"/>
  <c r="GZ53" i="30"/>
  <c r="HA53" i="30"/>
  <c r="HB53" i="30"/>
  <c r="HC53" i="30"/>
  <c r="HD53" i="30"/>
  <c r="HE53" i="30"/>
  <c r="HF53" i="30"/>
  <c r="HG53" i="30"/>
  <c r="HH53" i="30"/>
  <c r="HI53" i="30"/>
  <c r="HJ53" i="30"/>
  <c r="HK53" i="30"/>
  <c r="HL53" i="30"/>
  <c r="HM53" i="30"/>
  <c r="HN53" i="30"/>
  <c r="HO53" i="30"/>
  <c r="HP53" i="30"/>
  <c r="HQ53" i="30"/>
  <c r="HR53" i="30"/>
  <c r="HS53" i="30"/>
  <c r="HT53" i="30"/>
  <c r="HU53" i="30"/>
  <c r="HV53" i="30"/>
  <c r="HW53" i="30"/>
  <c r="HX53" i="30"/>
  <c r="HY53" i="30"/>
  <c r="HZ53" i="30"/>
  <c r="IA53" i="30"/>
  <c r="IB53" i="30"/>
  <c r="IC53" i="30"/>
  <c r="ID53" i="30"/>
  <c r="IE53" i="30"/>
  <c r="IF53" i="30"/>
  <c r="IG53" i="30"/>
  <c r="IH53" i="30"/>
  <c r="II53" i="30"/>
  <c r="IJ53" i="30"/>
  <c r="IK53" i="30"/>
  <c r="IL53" i="30"/>
  <c r="IM53" i="30"/>
  <c r="IN53" i="30"/>
  <c r="IO53" i="30"/>
  <c r="IP53" i="30"/>
  <c r="IQ53" i="30"/>
  <c r="IR53" i="30"/>
  <c r="IS53" i="30"/>
  <c r="IT53" i="30"/>
  <c r="IU53" i="30"/>
  <c r="IV53" i="30"/>
  <c r="A52" i="30"/>
  <c r="B52" i="30"/>
  <c r="C52" i="30"/>
  <c r="D52" i="30"/>
  <c r="E52" i="30"/>
  <c r="F52" i="30"/>
  <c r="G52" i="30"/>
  <c r="H52" i="30"/>
  <c r="I52" i="30"/>
  <c r="J52" i="30"/>
  <c r="K52" i="30"/>
  <c r="L52" i="30"/>
  <c r="M52" i="30"/>
  <c r="N52" i="30"/>
  <c r="O52" i="30"/>
  <c r="P52" i="30"/>
  <c r="Q52" i="30"/>
  <c r="R52" i="30"/>
  <c r="S52" i="30"/>
  <c r="T52" i="30"/>
  <c r="U52" i="30"/>
  <c r="V52" i="30"/>
  <c r="W52" i="30"/>
  <c r="X52" i="30"/>
  <c r="Y52" i="30"/>
  <c r="Z52" i="30"/>
  <c r="AA52" i="30"/>
  <c r="AB52" i="30"/>
  <c r="AC52" i="30"/>
  <c r="AD52" i="30"/>
  <c r="AE52" i="30"/>
  <c r="AF52" i="30"/>
  <c r="AG52" i="30"/>
  <c r="AH52" i="30"/>
  <c r="AI52" i="30"/>
  <c r="AJ52" i="30"/>
  <c r="AK52" i="30"/>
  <c r="AL52" i="30"/>
  <c r="AM52" i="30"/>
  <c r="AN52" i="30"/>
  <c r="AO52" i="30"/>
  <c r="AP52" i="30"/>
  <c r="AQ52" i="30"/>
  <c r="AR52" i="30"/>
  <c r="AS52" i="30"/>
  <c r="AT52" i="30"/>
  <c r="AU52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BT52" i="30"/>
  <c r="BU52" i="30"/>
  <c r="BV52" i="30"/>
  <c r="BW52" i="30"/>
  <c r="BX52" i="30"/>
  <c r="BY52" i="30"/>
  <c r="BZ52" i="30"/>
  <c r="CA52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Z52" i="30"/>
  <c r="DA52" i="30"/>
  <c r="DB52" i="30"/>
  <c r="DC52" i="30"/>
  <c r="DD52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EC52" i="30"/>
  <c r="ED52" i="30"/>
  <c r="EE52" i="30"/>
  <c r="EF52" i="30"/>
  <c r="EG52" i="30"/>
  <c r="EH52" i="30"/>
  <c r="EI52" i="30"/>
  <c r="EJ52" i="30"/>
  <c r="EK52" i="30"/>
  <c r="EL52" i="30"/>
  <c r="EM52" i="30"/>
  <c r="EN52" i="30"/>
  <c r="EO52" i="30"/>
  <c r="EP52" i="30"/>
  <c r="EQ52" i="30"/>
  <c r="ER52" i="30"/>
  <c r="ES52" i="30"/>
  <c r="ET52" i="30"/>
  <c r="EU52" i="30"/>
  <c r="EV52" i="30"/>
  <c r="EW52" i="30"/>
  <c r="EX52" i="30"/>
  <c r="EY52" i="30"/>
  <c r="EZ52" i="30"/>
  <c r="FA52" i="30"/>
  <c r="FB52" i="30"/>
  <c r="FC52" i="30"/>
  <c r="FD52" i="30"/>
  <c r="FE52" i="30"/>
  <c r="FF52" i="30"/>
  <c r="FG52" i="30"/>
  <c r="FH52" i="30"/>
  <c r="FI52" i="30"/>
  <c r="FJ52" i="30"/>
  <c r="FK52" i="30"/>
  <c r="FL52" i="30"/>
  <c r="FM52" i="30"/>
  <c r="FN52" i="30"/>
  <c r="FO52" i="30"/>
  <c r="FP52" i="30"/>
  <c r="FQ52" i="30"/>
  <c r="FR52" i="30"/>
  <c r="FS52" i="30"/>
  <c r="FT52" i="30"/>
  <c r="FU52" i="30"/>
  <c r="FV52" i="30"/>
  <c r="FW52" i="30"/>
  <c r="FX52" i="30"/>
  <c r="FY52" i="30"/>
  <c r="FZ52" i="30"/>
  <c r="GA52" i="30"/>
  <c r="GB52" i="30"/>
  <c r="GC52" i="30"/>
  <c r="GD52" i="30"/>
  <c r="GE52" i="30"/>
  <c r="GF52" i="30"/>
  <c r="GG52" i="30"/>
  <c r="GH52" i="30"/>
  <c r="GI52" i="30"/>
  <c r="GJ52" i="30"/>
  <c r="GK52" i="30"/>
  <c r="GL52" i="30"/>
  <c r="GM52" i="30"/>
  <c r="GN52" i="30"/>
  <c r="GO52" i="30"/>
  <c r="GP52" i="30"/>
  <c r="GQ52" i="30"/>
  <c r="GR52" i="30"/>
  <c r="GS52" i="30"/>
  <c r="GT52" i="30"/>
  <c r="GU52" i="30"/>
  <c r="GV52" i="30"/>
  <c r="GW52" i="30"/>
  <c r="GX52" i="30"/>
  <c r="GY52" i="30"/>
  <c r="GZ52" i="30"/>
  <c r="HA52" i="30"/>
  <c r="HB52" i="30"/>
  <c r="HC52" i="30"/>
  <c r="HD52" i="30"/>
  <c r="HE52" i="30"/>
  <c r="HF52" i="30"/>
  <c r="HG52" i="30"/>
  <c r="HH52" i="30"/>
  <c r="HI52" i="30"/>
  <c r="HJ52" i="30"/>
  <c r="HK52" i="30"/>
  <c r="HL52" i="30"/>
  <c r="HM52" i="30"/>
  <c r="HN52" i="30"/>
  <c r="HO52" i="30"/>
  <c r="HP52" i="30"/>
  <c r="HQ52" i="30"/>
  <c r="HR52" i="30"/>
  <c r="HS52" i="30"/>
  <c r="HT52" i="30"/>
  <c r="HU52" i="30"/>
  <c r="HV52" i="30"/>
  <c r="HW52" i="30"/>
  <c r="HX52" i="30"/>
  <c r="HY52" i="30"/>
  <c r="HZ52" i="30"/>
  <c r="IA52" i="30"/>
  <c r="IB52" i="30"/>
  <c r="IC52" i="30"/>
  <c r="ID52" i="30"/>
  <c r="IE52" i="30"/>
  <c r="IF52" i="30"/>
  <c r="IG52" i="30"/>
  <c r="IH52" i="30"/>
  <c r="II52" i="30"/>
  <c r="IJ52" i="30"/>
  <c r="IK52" i="30"/>
  <c r="IL52" i="30"/>
  <c r="IM52" i="30"/>
  <c r="IN52" i="30"/>
  <c r="IO52" i="30"/>
  <c r="IP52" i="30"/>
  <c r="IQ52" i="30"/>
  <c r="IR52" i="30"/>
  <c r="IS52" i="30"/>
  <c r="IT52" i="30"/>
  <c r="IU52" i="30"/>
  <c r="IV52" i="30"/>
  <c r="A51" i="30"/>
  <c r="B51" i="30"/>
  <c r="C51" i="30"/>
  <c r="D51" i="30"/>
  <c r="E51" i="30"/>
  <c r="F51" i="30"/>
  <c r="G51" i="30"/>
  <c r="H51" i="30"/>
  <c r="I51" i="30"/>
  <c r="J51" i="30"/>
  <c r="K51" i="30"/>
  <c r="L51" i="30"/>
  <c r="M51" i="30"/>
  <c r="N51" i="30"/>
  <c r="O51" i="30"/>
  <c r="P51" i="30"/>
  <c r="Q51" i="30"/>
  <c r="R51" i="30"/>
  <c r="S51" i="30"/>
  <c r="T51" i="30"/>
  <c r="U51" i="30"/>
  <c r="V51" i="30"/>
  <c r="W51" i="30"/>
  <c r="X51" i="30"/>
  <c r="Y51" i="30"/>
  <c r="Z51" i="30"/>
  <c r="AA51" i="30"/>
  <c r="AB51" i="30"/>
  <c r="AC51" i="30"/>
  <c r="AD51" i="30"/>
  <c r="AE51" i="30"/>
  <c r="AF51" i="30"/>
  <c r="AG51" i="30"/>
  <c r="AH51" i="30"/>
  <c r="AI51" i="30"/>
  <c r="AJ51" i="30"/>
  <c r="AK51" i="30"/>
  <c r="AL51" i="30"/>
  <c r="AM51" i="30"/>
  <c r="AN51" i="30"/>
  <c r="AO51" i="30"/>
  <c r="AP51" i="30"/>
  <c r="AQ51" i="30"/>
  <c r="AR51" i="30"/>
  <c r="AS51" i="30"/>
  <c r="AT51" i="30"/>
  <c r="AU51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BT51" i="30"/>
  <c r="BU51" i="30"/>
  <c r="BV51" i="30"/>
  <c r="BW51" i="30"/>
  <c r="BX51" i="30"/>
  <c r="BY51" i="30"/>
  <c r="BZ51" i="30"/>
  <c r="CA51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Z51" i="30"/>
  <c r="DA51" i="30"/>
  <c r="DB51" i="30"/>
  <c r="DC51" i="30"/>
  <c r="DD51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EC51" i="30"/>
  <c r="ED51" i="30"/>
  <c r="EE51" i="30"/>
  <c r="EF51" i="30"/>
  <c r="EG51" i="30"/>
  <c r="EH51" i="30"/>
  <c r="EI51" i="30"/>
  <c r="EJ51" i="30"/>
  <c r="EK51" i="30"/>
  <c r="EL51" i="30"/>
  <c r="EM51" i="30"/>
  <c r="EN51" i="30"/>
  <c r="EO51" i="30"/>
  <c r="EP51" i="30"/>
  <c r="EQ51" i="30"/>
  <c r="ER51" i="30"/>
  <c r="ES51" i="30"/>
  <c r="ET51" i="30"/>
  <c r="EU51" i="30"/>
  <c r="EV51" i="30"/>
  <c r="EW51" i="30"/>
  <c r="EX51" i="30"/>
  <c r="EY51" i="30"/>
  <c r="EZ51" i="30"/>
  <c r="FA51" i="30"/>
  <c r="FB51" i="30"/>
  <c r="FC51" i="30"/>
  <c r="FD51" i="30"/>
  <c r="FE51" i="30"/>
  <c r="FF51" i="30"/>
  <c r="FG51" i="30"/>
  <c r="FH51" i="30"/>
  <c r="FI51" i="30"/>
  <c r="FJ51" i="30"/>
  <c r="FK51" i="30"/>
  <c r="FL51" i="30"/>
  <c r="FM51" i="30"/>
  <c r="FN51" i="30"/>
  <c r="FO51" i="30"/>
  <c r="FP51" i="30"/>
  <c r="FQ51" i="30"/>
  <c r="FR51" i="30"/>
  <c r="FS51" i="30"/>
  <c r="FT51" i="30"/>
  <c r="FU51" i="30"/>
  <c r="FV51" i="30"/>
  <c r="FW51" i="30"/>
  <c r="FX51" i="30"/>
  <c r="FY51" i="30"/>
  <c r="FZ51" i="30"/>
  <c r="GA51" i="30"/>
  <c r="GB51" i="30"/>
  <c r="GC51" i="30"/>
  <c r="GD51" i="30"/>
  <c r="GE51" i="30"/>
  <c r="GF51" i="30"/>
  <c r="GG51" i="30"/>
  <c r="GH51" i="30"/>
  <c r="GI51" i="30"/>
  <c r="GJ51" i="30"/>
  <c r="GK51" i="30"/>
  <c r="GL51" i="30"/>
  <c r="GM51" i="30"/>
  <c r="GN51" i="30"/>
  <c r="GO51" i="30"/>
  <c r="GP51" i="30"/>
  <c r="GQ51" i="30"/>
  <c r="GR51" i="30"/>
  <c r="GS51" i="30"/>
  <c r="GT51" i="30"/>
  <c r="GU51" i="30"/>
  <c r="GV51" i="30"/>
  <c r="GW51" i="30"/>
  <c r="GX51" i="30"/>
  <c r="GY51" i="30"/>
  <c r="GZ51" i="30"/>
  <c r="HA51" i="30"/>
  <c r="HB51" i="30"/>
  <c r="HC51" i="30"/>
  <c r="HD51" i="30"/>
  <c r="HE51" i="30"/>
  <c r="HF51" i="30"/>
  <c r="HG51" i="30"/>
  <c r="HH51" i="30"/>
  <c r="HI51" i="30"/>
  <c r="HJ51" i="30"/>
  <c r="HK51" i="30"/>
  <c r="HL51" i="30"/>
  <c r="HM51" i="30"/>
  <c r="HN51" i="30"/>
  <c r="HO51" i="30"/>
  <c r="HP51" i="30"/>
  <c r="HQ51" i="30"/>
  <c r="HR51" i="30"/>
  <c r="HS51" i="30"/>
  <c r="HT51" i="30"/>
  <c r="HU51" i="30"/>
  <c r="HV51" i="30"/>
  <c r="HW51" i="30"/>
  <c r="HX51" i="30"/>
  <c r="HY51" i="30"/>
  <c r="HZ51" i="30"/>
  <c r="IA51" i="30"/>
  <c r="IB51" i="30"/>
  <c r="IC51" i="30"/>
  <c r="ID51" i="30"/>
  <c r="IE51" i="30"/>
  <c r="IF51" i="30"/>
  <c r="IG51" i="30"/>
  <c r="IH51" i="30"/>
  <c r="II51" i="30"/>
  <c r="IJ51" i="30"/>
  <c r="IK51" i="30"/>
  <c r="IL51" i="30"/>
  <c r="IM51" i="30"/>
  <c r="IN51" i="30"/>
  <c r="IO51" i="30"/>
  <c r="IP51" i="30"/>
  <c r="IQ51" i="30"/>
  <c r="IR51" i="30"/>
  <c r="IS51" i="30"/>
  <c r="IT51" i="30"/>
  <c r="IU51" i="30"/>
  <c r="IV51" i="30"/>
  <c r="A50" i="30"/>
  <c r="B50" i="30"/>
  <c r="C50" i="30"/>
  <c r="D50" i="30"/>
  <c r="E50" i="30"/>
  <c r="F50" i="30"/>
  <c r="G50" i="30"/>
  <c r="H50" i="30"/>
  <c r="I50" i="30"/>
  <c r="J50" i="30"/>
  <c r="K50" i="30"/>
  <c r="L50" i="30"/>
  <c r="M50" i="30"/>
  <c r="N50" i="30"/>
  <c r="O50" i="30"/>
  <c r="P50" i="30"/>
  <c r="Q50" i="30"/>
  <c r="R50" i="30"/>
  <c r="S50" i="30"/>
  <c r="T50" i="30"/>
  <c r="U50" i="30"/>
  <c r="V50" i="30"/>
  <c r="W50" i="30"/>
  <c r="X50" i="30"/>
  <c r="Y50" i="30"/>
  <c r="Z50" i="30"/>
  <c r="AA50" i="30"/>
  <c r="AB50" i="30"/>
  <c r="AC50" i="30"/>
  <c r="AD50" i="30"/>
  <c r="AE50" i="30"/>
  <c r="AF50" i="30"/>
  <c r="AG50" i="30"/>
  <c r="AH50" i="30"/>
  <c r="AI50" i="30"/>
  <c r="AJ50" i="30"/>
  <c r="AK50" i="30"/>
  <c r="AL50" i="30"/>
  <c r="AM50" i="30"/>
  <c r="AN50" i="30"/>
  <c r="AO50" i="30"/>
  <c r="AP50" i="30"/>
  <c r="AQ50" i="30"/>
  <c r="AR50" i="30"/>
  <c r="AS50" i="30"/>
  <c r="AT50" i="30"/>
  <c r="AU50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BT50" i="30"/>
  <c r="BU50" i="30"/>
  <c r="BV50" i="30"/>
  <c r="BW50" i="30"/>
  <c r="BX50" i="30"/>
  <c r="BY50" i="30"/>
  <c r="BZ50" i="30"/>
  <c r="CA50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Z50" i="30"/>
  <c r="DA50" i="30"/>
  <c r="DB50" i="30"/>
  <c r="DC50" i="30"/>
  <c r="DD50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EC50" i="30"/>
  <c r="ED50" i="30"/>
  <c r="EE50" i="30"/>
  <c r="EF50" i="30"/>
  <c r="EG50" i="30"/>
  <c r="EH50" i="30"/>
  <c r="EI50" i="30"/>
  <c r="EJ50" i="30"/>
  <c r="EK50" i="30"/>
  <c r="EL50" i="30"/>
  <c r="EM50" i="30"/>
  <c r="EN50" i="30"/>
  <c r="EO50" i="30"/>
  <c r="EP50" i="30"/>
  <c r="EQ50" i="30"/>
  <c r="ER50" i="30"/>
  <c r="ES50" i="30"/>
  <c r="ET50" i="30"/>
  <c r="EU50" i="30"/>
  <c r="EV50" i="30"/>
  <c r="EW50" i="30"/>
  <c r="EX50" i="30"/>
  <c r="EY50" i="30"/>
  <c r="EZ50" i="30"/>
  <c r="FA50" i="30"/>
  <c r="FB50" i="30"/>
  <c r="FC50" i="30"/>
  <c r="FD50" i="30"/>
  <c r="FE50" i="30"/>
  <c r="FF50" i="30"/>
  <c r="FG50" i="30"/>
  <c r="FH50" i="30"/>
  <c r="FI50" i="30"/>
  <c r="FJ50" i="30"/>
  <c r="FK50" i="30"/>
  <c r="FL50" i="30"/>
  <c r="FM50" i="30"/>
  <c r="FN50" i="30"/>
  <c r="FO50" i="30"/>
  <c r="FP50" i="30"/>
  <c r="FQ50" i="30"/>
  <c r="FR50" i="30"/>
  <c r="FS50" i="30"/>
  <c r="FT50" i="30"/>
  <c r="FU50" i="30"/>
  <c r="FV50" i="30"/>
  <c r="FW50" i="30"/>
  <c r="FX50" i="30"/>
  <c r="FY50" i="30"/>
  <c r="FZ50" i="30"/>
  <c r="GA50" i="30"/>
  <c r="GB50" i="30"/>
  <c r="GC50" i="30"/>
  <c r="GD50" i="30"/>
  <c r="GE50" i="30"/>
  <c r="GF50" i="30"/>
  <c r="GG50" i="30"/>
  <c r="GH50" i="30"/>
  <c r="GI50" i="30"/>
  <c r="GJ50" i="30"/>
  <c r="GK50" i="30"/>
  <c r="GL50" i="30"/>
  <c r="GM50" i="30"/>
  <c r="GN50" i="30"/>
  <c r="GO50" i="30"/>
  <c r="GP50" i="30"/>
  <c r="GQ50" i="30"/>
  <c r="GR50" i="30"/>
  <c r="GS50" i="30"/>
  <c r="GT50" i="30"/>
  <c r="GU50" i="30"/>
  <c r="GV50" i="30"/>
  <c r="GW50" i="30"/>
  <c r="GX50" i="30"/>
  <c r="GY50" i="30"/>
  <c r="GZ50" i="30"/>
  <c r="HA50" i="30"/>
  <c r="HB50" i="30"/>
  <c r="HC50" i="30"/>
  <c r="HD50" i="30"/>
  <c r="HE50" i="30"/>
  <c r="HF50" i="30"/>
  <c r="HG50" i="30"/>
  <c r="HH50" i="30"/>
  <c r="HI50" i="30"/>
  <c r="HJ50" i="30"/>
  <c r="HK50" i="30"/>
  <c r="HL50" i="30"/>
  <c r="HM50" i="30"/>
  <c r="HN50" i="30"/>
  <c r="HO50" i="30"/>
  <c r="HP50" i="30"/>
  <c r="HQ50" i="30"/>
  <c r="HR50" i="30"/>
  <c r="HS50" i="30"/>
  <c r="HT50" i="30"/>
  <c r="HU50" i="30"/>
  <c r="HV50" i="30"/>
  <c r="HW50" i="30"/>
  <c r="HX50" i="30"/>
  <c r="HY50" i="30"/>
  <c r="HZ50" i="30"/>
  <c r="IA50" i="30"/>
  <c r="IB50" i="30"/>
  <c r="IC50" i="30"/>
  <c r="ID50" i="30"/>
  <c r="IE50" i="30"/>
  <c r="IF50" i="30"/>
  <c r="IG50" i="30"/>
  <c r="IH50" i="30"/>
  <c r="II50" i="30"/>
  <c r="IJ50" i="30"/>
  <c r="IK50" i="30"/>
  <c r="IL50" i="30"/>
  <c r="IM50" i="30"/>
  <c r="IN50" i="30"/>
  <c r="IO50" i="30"/>
  <c r="IP50" i="30"/>
  <c r="IQ50" i="30"/>
  <c r="IR50" i="30"/>
  <c r="IS50" i="30"/>
  <c r="IT50" i="30"/>
  <c r="IU50" i="30"/>
  <c r="IV50" i="30"/>
  <c r="A49" i="30"/>
  <c r="B49" i="30"/>
  <c r="C49" i="30"/>
  <c r="D49" i="30"/>
  <c r="E49" i="30"/>
  <c r="F49" i="30"/>
  <c r="G49" i="30"/>
  <c r="H49" i="30"/>
  <c r="I49" i="30"/>
  <c r="J49" i="30"/>
  <c r="K49" i="30"/>
  <c r="L49" i="30"/>
  <c r="M49" i="30"/>
  <c r="N49" i="30"/>
  <c r="O49" i="30"/>
  <c r="P49" i="30"/>
  <c r="Q49" i="30"/>
  <c r="R49" i="30"/>
  <c r="S49" i="30"/>
  <c r="T49" i="30"/>
  <c r="U49" i="30"/>
  <c r="V49" i="30"/>
  <c r="W49" i="30"/>
  <c r="X49" i="30"/>
  <c r="Y49" i="30"/>
  <c r="Z49" i="30"/>
  <c r="AA49" i="30"/>
  <c r="AB49" i="30"/>
  <c r="AC49" i="30"/>
  <c r="AD49" i="30"/>
  <c r="AE49" i="30"/>
  <c r="AF49" i="30"/>
  <c r="AG49" i="30"/>
  <c r="AH49" i="30"/>
  <c r="AI49" i="30"/>
  <c r="AJ49" i="30"/>
  <c r="AK49" i="30"/>
  <c r="AL49" i="30"/>
  <c r="AM49" i="30"/>
  <c r="AN49" i="30"/>
  <c r="AO49" i="30"/>
  <c r="AP49" i="30"/>
  <c r="AQ49" i="30"/>
  <c r="AR49" i="30"/>
  <c r="AS49" i="30"/>
  <c r="AT49" i="30"/>
  <c r="AU49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BT49" i="30"/>
  <c r="BU49" i="30"/>
  <c r="BV49" i="30"/>
  <c r="BW49" i="30"/>
  <c r="BX49" i="30"/>
  <c r="BY49" i="30"/>
  <c r="BZ49" i="30"/>
  <c r="CA49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Z49" i="30"/>
  <c r="DA49" i="30"/>
  <c r="DB49" i="30"/>
  <c r="DC49" i="30"/>
  <c r="DD49" i="30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EC49" i="30"/>
  <c r="ED49" i="30"/>
  <c r="EE49" i="30"/>
  <c r="EF49" i="30"/>
  <c r="EG49" i="30"/>
  <c r="EH49" i="30"/>
  <c r="EI49" i="30"/>
  <c r="EJ49" i="30"/>
  <c r="EK49" i="30"/>
  <c r="EL49" i="30"/>
  <c r="EM49" i="30"/>
  <c r="EN49" i="30"/>
  <c r="EO49" i="30"/>
  <c r="EP49" i="30"/>
  <c r="EQ49" i="30"/>
  <c r="ER49" i="30"/>
  <c r="ES49" i="30"/>
  <c r="ET49" i="30"/>
  <c r="EU49" i="30"/>
  <c r="EV49" i="30"/>
  <c r="EW49" i="30"/>
  <c r="EX49" i="30"/>
  <c r="EY49" i="30"/>
  <c r="EZ49" i="30"/>
  <c r="FA49" i="30"/>
  <c r="FB49" i="30"/>
  <c r="FC49" i="30"/>
  <c r="FD49" i="30"/>
  <c r="FE49" i="30"/>
  <c r="FF49" i="30"/>
  <c r="FG49" i="30"/>
  <c r="FH49" i="30"/>
  <c r="FI49" i="30"/>
  <c r="FJ49" i="30"/>
  <c r="FK49" i="30"/>
  <c r="FL49" i="30"/>
  <c r="FM49" i="30"/>
  <c r="FN49" i="30"/>
  <c r="FO49" i="30"/>
  <c r="FP49" i="30"/>
  <c r="FQ49" i="30"/>
  <c r="FR49" i="30"/>
  <c r="FS49" i="30"/>
  <c r="FT49" i="30"/>
  <c r="FU49" i="30"/>
  <c r="FV49" i="30"/>
  <c r="FW49" i="30"/>
  <c r="FX49" i="30"/>
  <c r="FY49" i="30"/>
  <c r="FZ49" i="30"/>
  <c r="GA49" i="30"/>
  <c r="GB49" i="30"/>
  <c r="GC49" i="30"/>
  <c r="GD49" i="30"/>
  <c r="GE49" i="30"/>
  <c r="GF49" i="30"/>
  <c r="GG49" i="30"/>
  <c r="GH49" i="30"/>
  <c r="GI49" i="30"/>
  <c r="GJ49" i="30"/>
  <c r="GK49" i="30"/>
  <c r="GL49" i="30"/>
  <c r="GM49" i="30"/>
  <c r="GN49" i="30"/>
  <c r="GO49" i="30"/>
  <c r="GP49" i="30"/>
  <c r="GQ49" i="30"/>
  <c r="GR49" i="30"/>
  <c r="GS49" i="30"/>
  <c r="GT49" i="30"/>
  <c r="GU49" i="30"/>
  <c r="GV49" i="30"/>
  <c r="GW49" i="30"/>
  <c r="GX49" i="30"/>
  <c r="GY49" i="30"/>
  <c r="GZ49" i="30"/>
  <c r="HA49" i="30"/>
  <c r="HB49" i="30"/>
  <c r="HC49" i="30"/>
  <c r="HD49" i="30"/>
  <c r="HE49" i="30"/>
  <c r="HF49" i="30"/>
  <c r="HG49" i="30"/>
  <c r="HH49" i="30"/>
  <c r="HI49" i="30"/>
  <c r="HJ49" i="30"/>
  <c r="HK49" i="30"/>
  <c r="HL49" i="30"/>
  <c r="HM49" i="30"/>
  <c r="HN49" i="30"/>
  <c r="HO49" i="30"/>
  <c r="HP49" i="30"/>
  <c r="HQ49" i="30"/>
  <c r="HR49" i="30"/>
  <c r="HS49" i="30"/>
  <c r="HT49" i="30"/>
  <c r="HU49" i="30"/>
  <c r="HV49" i="30"/>
  <c r="HW49" i="30"/>
  <c r="HX49" i="30"/>
  <c r="HY49" i="30"/>
  <c r="HZ49" i="30"/>
  <c r="IA49" i="30"/>
  <c r="IB49" i="30"/>
  <c r="IC49" i="30"/>
  <c r="ID49" i="30"/>
  <c r="IE49" i="30"/>
  <c r="IF49" i="30"/>
  <c r="IG49" i="30"/>
  <c r="IH49" i="30"/>
  <c r="II49" i="30"/>
  <c r="IJ49" i="30"/>
  <c r="IK49" i="30"/>
  <c r="IL49" i="30"/>
  <c r="IM49" i="30"/>
  <c r="IN49" i="30"/>
  <c r="IO49" i="30"/>
  <c r="IP49" i="30"/>
  <c r="IQ49" i="30"/>
  <c r="IR49" i="30"/>
  <c r="IS49" i="30"/>
  <c r="IT49" i="30"/>
  <c r="IU49" i="30"/>
  <c r="IV49" i="30"/>
  <c r="A48" i="30"/>
  <c r="B48" i="30"/>
  <c r="C48" i="30"/>
  <c r="D48" i="30"/>
  <c r="E48" i="30"/>
  <c r="F48" i="30"/>
  <c r="G48" i="30"/>
  <c r="H48" i="30"/>
  <c r="I48" i="30"/>
  <c r="J48" i="30"/>
  <c r="K48" i="30"/>
  <c r="L48" i="30"/>
  <c r="M48" i="30"/>
  <c r="N48" i="30"/>
  <c r="O48" i="30"/>
  <c r="P48" i="30"/>
  <c r="Q48" i="30"/>
  <c r="R48" i="30"/>
  <c r="S48" i="30"/>
  <c r="T48" i="30"/>
  <c r="U48" i="30"/>
  <c r="V48" i="30"/>
  <c r="W48" i="30"/>
  <c r="X48" i="30"/>
  <c r="Y48" i="30"/>
  <c r="Z48" i="30"/>
  <c r="AA48" i="30"/>
  <c r="AB48" i="30"/>
  <c r="AC48" i="30"/>
  <c r="AD48" i="30"/>
  <c r="AE48" i="30"/>
  <c r="AF48" i="30"/>
  <c r="AG48" i="30"/>
  <c r="AH48" i="30"/>
  <c r="AI48" i="30"/>
  <c r="AJ48" i="30"/>
  <c r="AK48" i="30"/>
  <c r="AL48" i="30"/>
  <c r="AM48" i="30"/>
  <c r="AN48" i="30"/>
  <c r="AO48" i="30"/>
  <c r="AP48" i="30"/>
  <c r="AQ48" i="30"/>
  <c r="AR48" i="30"/>
  <c r="AS48" i="30"/>
  <c r="AT48" i="30"/>
  <c r="AU48" i="30"/>
  <c r="AV48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BT48" i="30"/>
  <c r="BU48" i="30"/>
  <c r="BV48" i="30"/>
  <c r="BW48" i="30"/>
  <c r="BX48" i="30"/>
  <c r="BY48" i="30"/>
  <c r="BZ48" i="30"/>
  <c r="CA48" i="30"/>
  <c r="CB48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Z48" i="30"/>
  <c r="DA48" i="30"/>
  <c r="DB48" i="30"/>
  <c r="DC48" i="30"/>
  <c r="DD48" i="30"/>
  <c r="DE48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EC48" i="30"/>
  <c r="ED48" i="30"/>
  <c r="EE48" i="30"/>
  <c r="EF48" i="30"/>
  <c r="EG48" i="30"/>
  <c r="EH48" i="30"/>
  <c r="EI48" i="30"/>
  <c r="EJ48" i="30"/>
  <c r="EK48" i="30"/>
  <c r="EL48" i="30"/>
  <c r="EM48" i="30"/>
  <c r="EN48" i="30"/>
  <c r="EO48" i="30"/>
  <c r="EP48" i="30"/>
  <c r="EQ48" i="30"/>
  <c r="ER48" i="30"/>
  <c r="ES48" i="30"/>
  <c r="ET48" i="30"/>
  <c r="EU48" i="30"/>
  <c r="EV48" i="30"/>
  <c r="EW48" i="30"/>
  <c r="EX48" i="30"/>
  <c r="EY48" i="30"/>
  <c r="EZ48" i="30"/>
  <c r="FA48" i="30"/>
  <c r="FB48" i="30"/>
  <c r="FC48" i="30"/>
  <c r="FD48" i="30"/>
  <c r="FE48" i="30"/>
  <c r="FF48" i="30"/>
  <c r="FG48" i="30"/>
  <c r="FH48" i="30"/>
  <c r="FI48" i="30"/>
  <c r="FJ48" i="30"/>
  <c r="FK48" i="30"/>
  <c r="FL48" i="30"/>
  <c r="FM48" i="30"/>
  <c r="FN48" i="30"/>
  <c r="FO48" i="30"/>
  <c r="FP48" i="30"/>
  <c r="FQ48" i="30"/>
  <c r="FR48" i="30"/>
  <c r="FS48" i="30"/>
  <c r="FT48" i="30"/>
  <c r="FU48" i="30"/>
  <c r="FV48" i="30"/>
  <c r="FW48" i="30"/>
  <c r="FX48" i="30"/>
  <c r="FY48" i="30"/>
  <c r="FZ48" i="30"/>
  <c r="GA48" i="30"/>
  <c r="GB48" i="30"/>
  <c r="GC48" i="30"/>
  <c r="GD48" i="30"/>
  <c r="GE48" i="30"/>
  <c r="GF48" i="30"/>
  <c r="GG48" i="30"/>
  <c r="GH48" i="30"/>
  <c r="GI48" i="30"/>
  <c r="GJ48" i="30"/>
  <c r="GK48" i="30"/>
  <c r="GL48" i="30"/>
  <c r="GM48" i="30"/>
  <c r="GN48" i="30"/>
  <c r="GO48" i="30"/>
  <c r="GP48" i="30"/>
  <c r="GQ48" i="30"/>
  <c r="GR48" i="30"/>
  <c r="GS48" i="30"/>
  <c r="GT48" i="30"/>
  <c r="GU48" i="30"/>
  <c r="GV48" i="30"/>
  <c r="GW48" i="30"/>
  <c r="GX48" i="30"/>
  <c r="GY48" i="30"/>
  <c r="GZ48" i="30"/>
  <c r="HA48" i="30"/>
  <c r="HB48" i="30"/>
  <c r="HC48" i="30"/>
  <c r="HD48" i="30"/>
  <c r="HE48" i="30"/>
  <c r="HF48" i="30"/>
  <c r="HG48" i="30"/>
  <c r="HH48" i="30"/>
  <c r="HI48" i="30"/>
  <c r="HJ48" i="30"/>
  <c r="HK48" i="30"/>
  <c r="HL48" i="30"/>
  <c r="HM48" i="30"/>
  <c r="HN48" i="30"/>
  <c r="HO48" i="30"/>
  <c r="HP48" i="30"/>
  <c r="HQ48" i="30"/>
  <c r="HR48" i="30"/>
  <c r="HS48" i="30"/>
  <c r="HT48" i="30"/>
  <c r="HU48" i="30"/>
  <c r="HV48" i="30"/>
  <c r="HW48" i="30"/>
  <c r="HX48" i="30"/>
  <c r="HY48" i="30"/>
  <c r="HZ48" i="30"/>
  <c r="IA48" i="30"/>
  <c r="IB48" i="30"/>
  <c r="IC48" i="30"/>
  <c r="ID48" i="30"/>
  <c r="IE48" i="30"/>
  <c r="IF48" i="30"/>
  <c r="IG48" i="30"/>
  <c r="IH48" i="30"/>
  <c r="II48" i="30"/>
  <c r="IJ48" i="30"/>
  <c r="IK48" i="30"/>
  <c r="IL48" i="30"/>
  <c r="IM48" i="30"/>
  <c r="IN48" i="30"/>
  <c r="IO48" i="30"/>
  <c r="IP48" i="30"/>
  <c r="IQ48" i="30"/>
  <c r="IR48" i="30"/>
  <c r="IS48" i="30"/>
  <c r="IT48" i="30"/>
  <c r="IU48" i="30"/>
  <c r="IV48" i="30"/>
  <c r="A47" i="30"/>
  <c r="B47" i="30"/>
  <c r="C47" i="30"/>
  <c r="D47" i="30"/>
  <c r="E47" i="30"/>
  <c r="F47" i="30"/>
  <c r="G47" i="30"/>
  <c r="H47" i="30"/>
  <c r="I47" i="30"/>
  <c r="J47" i="30"/>
  <c r="K47" i="30"/>
  <c r="L47" i="30"/>
  <c r="M47" i="30"/>
  <c r="N47" i="30"/>
  <c r="O47" i="30"/>
  <c r="P47" i="30"/>
  <c r="Q47" i="30"/>
  <c r="R47" i="30"/>
  <c r="S47" i="30"/>
  <c r="T47" i="30"/>
  <c r="U47" i="30"/>
  <c r="V47" i="30"/>
  <c r="W47" i="30"/>
  <c r="X47" i="30"/>
  <c r="Y47" i="30"/>
  <c r="Z47" i="30"/>
  <c r="AA47" i="30"/>
  <c r="AB47" i="30"/>
  <c r="AC47" i="30"/>
  <c r="AD47" i="30"/>
  <c r="AE47" i="30"/>
  <c r="AF47" i="30"/>
  <c r="AG47" i="30"/>
  <c r="AH47" i="30"/>
  <c r="AI47" i="30"/>
  <c r="AJ47" i="30"/>
  <c r="AK47" i="30"/>
  <c r="AL47" i="30"/>
  <c r="AM47" i="30"/>
  <c r="AN47" i="30"/>
  <c r="AO47" i="30"/>
  <c r="AP47" i="30"/>
  <c r="AQ47" i="30"/>
  <c r="AR47" i="30"/>
  <c r="AS47" i="30"/>
  <c r="AT47" i="30"/>
  <c r="AU47" i="30"/>
  <c r="AV47" i="30"/>
  <c r="AW47" i="30"/>
  <c r="AX47" i="30"/>
  <c r="AY47" i="30"/>
  <c r="AZ47" i="30"/>
  <c r="BA47" i="30"/>
  <c r="BB47" i="30"/>
  <c r="BC47" i="30"/>
  <c r="BD47" i="30"/>
  <c r="BE47" i="30"/>
  <c r="BF47" i="30"/>
  <c r="BG47" i="30"/>
  <c r="BH47" i="30"/>
  <c r="BI47" i="30"/>
  <c r="BJ47" i="30"/>
  <c r="BK47" i="30"/>
  <c r="BL47" i="30"/>
  <c r="BM47" i="30"/>
  <c r="BN47" i="30"/>
  <c r="BO47" i="30"/>
  <c r="BP47" i="30"/>
  <c r="BQ47" i="30"/>
  <c r="BR47" i="30"/>
  <c r="BS47" i="30"/>
  <c r="BT47" i="30"/>
  <c r="BU47" i="30"/>
  <c r="BV47" i="30"/>
  <c r="BW47" i="30"/>
  <c r="BX47" i="30"/>
  <c r="BY47" i="30"/>
  <c r="BZ47" i="30"/>
  <c r="CA47" i="30"/>
  <c r="CB47" i="30"/>
  <c r="CC47" i="30"/>
  <c r="CD47" i="30"/>
  <c r="CE47" i="30"/>
  <c r="CF47" i="30"/>
  <c r="CG47" i="30"/>
  <c r="CH47" i="30"/>
  <c r="CI47" i="30"/>
  <c r="CJ47" i="30"/>
  <c r="CK47" i="30"/>
  <c r="CL47" i="30"/>
  <c r="CM47" i="30"/>
  <c r="CN47" i="30"/>
  <c r="CO47" i="30"/>
  <c r="CP47" i="30"/>
  <c r="CQ47" i="30"/>
  <c r="CR47" i="30"/>
  <c r="CS47" i="30"/>
  <c r="CT47" i="30"/>
  <c r="CU47" i="30"/>
  <c r="CV47" i="30"/>
  <c r="CW47" i="30"/>
  <c r="CX47" i="30"/>
  <c r="CY47" i="30"/>
  <c r="CZ47" i="30"/>
  <c r="DA47" i="30"/>
  <c r="DB47" i="30"/>
  <c r="DC47" i="30"/>
  <c r="DD47" i="30"/>
  <c r="DE47" i="30"/>
  <c r="DF47" i="30"/>
  <c r="DG47" i="30"/>
  <c r="DH47" i="30"/>
  <c r="DI47" i="30"/>
  <c r="DJ47" i="30"/>
  <c r="DK47" i="30"/>
  <c r="DL47" i="30"/>
  <c r="DM47" i="30"/>
  <c r="DN47" i="30"/>
  <c r="DO47" i="30"/>
  <c r="DP47" i="30"/>
  <c r="DQ47" i="30"/>
  <c r="DR47" i="30"/>
  <c r="DS47" i="30"/>
  <c r="DT47" i="30"/>
  <c r="DU47" i="30"/>
  <c r="DV47" i="30"/>
  <c r="DW47" i="30"/>
  <c r="DX47" i="30"/>
  <c r="DY47" i="30"/>
  <c r="DZ47" i="30"/>
  <c r="EA47" i="30"/>
  <c r="EB47" i="30"/>
  <c r="EC47" i="30"/>
  <c r="ED47" i="30"/>
  <c r="EE47" i="30"/>
  <c r="EF47" i="30"/>
  <c r="EG47" i="30"/>
  <c r="EH47" i="30"/>
  <c r="EI47" i="30"/>
  <c r="EJ47" i="30"/>
  <c r="EK47" i="30"/>
  <c r="EL47" i="30"/>
  <c r="EM47" i="30"/>
  <c r="EN47" i="30"/>
  <c r="EO47" i="30"/>
  <c r="EP47" i="30"/>
  <c r="EQ47" i="30"/>
  <c r="ER47" i="30"/>
  <c r="ES47" i="30"/>
  <c r="ET47" i="30"/>
  <c r="EU47" i="30"/>
  <c r="EV47" i="30"/>
  <c r="EW47" i="30"/>
  <c r="EX47" i="30"/>
  <c r="EY47" i="30"/>
  <c r="EZ47" i="30"/>
  <c r="FA47" i="30"/>
  <c r="FB47" i="30"/>
  <c r="FC47" i="30"/>
  <c r="FD47" i="30"/>
  <c r="FE47" i="30"/>
  <c r="FF47" i="30"/>
  <c r="FG47" i="30"/>
  <c r="FH47" i="30"/>
  <c r="FI47" i="30"/>
  <c r="FJ47" i="30"/>
  <c r="FK47" i="30"/>
  <c r="FL47" i="30"/>
  <c r="FM47" i="30"/>
  <c r="FN47" i="30"/>
  <c r="FO47" i="30"/>
  <c r="FP47" i="30"/>
  <c r="FQ47" i="30"/>
  <c r="FR47" i="30"/>
  <c r="FS47" i="30"/>
  <c r="FT47" i="30"/>
  <c r="FU47" i="30"/>
  <c r="FV47" i="30"/>
  <c r="FW47" i="30"/>
  <c r="FX47" i="30"/>
  <c r="FY47" i="30"/>
  <c r="FZ47" i="30"/>
  <c r="GA47" i="30"/>
  <c r="GB47" i="30"/>
  <c r="GC47" i="30"/>
  <c r="GD47" i="30"/>
  <c r="GE47" i="30"/>
  <c r="GF47" i="30"/>
  <c r="GG47" i="30"/>
  <c r="GH47" i="30"/>
  <c r="GI47" i="30"/>
  <c r="GJ47" i="30"/>
  <c r="GK47" i="30"/>
  <c r="GL47" i="30"/>
  <c r="GM47" i="30"/>
  <c r="GN47" i="30"/>
  <c r="GO47" i="30"/>
  <c r="GP47" i="30"/>
  <c r="GQ47" i="30"/>
  <c r="GR47" i="30"/>
  <c r="GS47" i="30"/>
  <c r="GT47" i="30"/>
  <c r="GU47" i="30"/>
  <c r="GV47" i="30"/>
  <c r="GW47" i="30"/>
  <c r="GX47" i="30"/>
  <c r="GY47" i="30"/>
  <c r="GZ47" i="30"/>
  <c r="HA47" i="30"/>
  <c r="HB47" i="30"/>
  <c r="HC47" i="30"/>
  <c r="HD47" i="30"/>
  <c r="HE47" i="30"/>
  <c r="HF47" i="30"/>
  <c r="HG47" i="30"/>
  <c r="HH47" i="30"/>
  <c r="HI47" i="30"/>
  <c r="HJ47" i="30"/>
  <c r="HK47" i="30"/>
  <c r="HL47" i="30"/>
  <c r="HM47" i="30"/>
  <c r="HN47" i="30"/>
  <c r="HO47" i="30"/>
  <c r="HP47" i="30"/>
  <c r="HQ47" i="30"/>
  <c r="HR47" i="30"/>
  <c r="HS47" i="30"/>
  <c r="HT47" i="30"/>
  <c r="HU47" i="30"/>
  <c r="HV47" i="30"/>
  <c r="HW47" i="30"/>
  <c r="HX47" i="30"/>
  <c r="HY47" i="30"/>
  <c r="HZ47" i="30"/>
  <c r="IA47" i="30"/>
  <c r="IB47" i="30"/>
  <c r="IC47" i="30"/>
  <c r="ID47" i="30"/>
  <c r="IE47" i="30"/>
  <c r="IF47" i="30"/>
  <c r="IG47" i="30"/>
  <c r="IH47" i="30"/>
  <c r="II47" i="30"/>
  <c r="IJ47" i="30"/>
  <c r="IK47" i="30"/>
  <c r="IL47" i="30"/>
  <c r="IM47" i="30"/>
  <c r="IN47" i="30"/>
  <c r="IO47" i="30"/>
  <c r="IP47" i="30"/>
  <c r="IQ47" i="30"/>
  <c r="IR47" i="30"/>
  <c r="IS47" i="30"/>
  <c r="IT47" i="30"/>
  <c r="IU47" i="30"/>
  <c r="IV47" i="30"/>
  <c r="A46" i="30"/>
  <c r="B46" i="30"/>
  <c r="C46" i="30"/>
  <c r="D46" i="30"/>
  <c r="E46" i="30"/>
  <c r="F46" i="30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V46" i="30"/>
  <c r="W46" i="30"/>
  <c r="X46" i="30"/>
  <c r="Y46" i="30"/>
  <c r="Z46" i="30"/>
  <c r="AA46" i="30"/>
  <c r="AB46" i="30"/>
  <c r="AC46" i="30"/>
  <c r="AD46" i="30"/>
  <c r="AE46" i="30"/>
  <c r="AF46" i="30"/>
  <c r="AG46" i="30"/>
  <c r="AH46" i="30"/>
  <c r="AI46" i="30"/>
  <c r="AJ46" i="30"/>
  <c r="AK46" i="30"/>
  <c r="AL46" i="30"/>
  <c r="AM46" i="30"/>
  <c r="AN46" i="30"/>
  <c r="AO46" i="30"/>
  <c r="AP46" i="30"/>
  <c r="AQ46" i="30"/>
  <c r="AR46" i="30"/>
  <c r="AS46" i="30"/>
  <c r="AT46" i="30"/>
  <c r="AU46" i="30"/>
  <c r="AV46" i="30"/>
  <c r="AW46" i="30"/>
  <c r="AX46" i="30"/>
  <c r="AY46" i="30"/>
  <c r="AZ46" i="30"/>
  <c r="BA46" i="30"/>
  <c r="BB46" i="30"/>
  <c r="BC46" i="30"/>
  <c r="BD46" i="30"/>
  <c r="BE46" i="30"/>
  <c r="BF46" i="30"/>
  <c r="BG46" i="30"/>
  <c r="BH46" i="30"/>
  <c r="BI46" i="30"/>
  <c r="BJ46" i="30"/>
  <c r="BK46" i="30"/>
  <c r="BL46" i="30"/>
  <c r="BM46" i="30"/>
  <c r="BN46" i="30"/>
  <c r="BO46" i="30"/>
  <c r="BP46" i="30"/>
  <c r="BQ46" i="30"/>
  <c r="BR46" i="30"/>
  <c r="BS46" i="30"/>
  <c r="BT46" i="30"/>
  <c r="BU46" i="30"/>
  <c r="BV46" i="30"/>
  <c r="BW46" i="30"/>
  <c r="BX46" i="30"/>
  <c r="BY46" i="30"/>
  <c r="BZ46" i="30"/>
  <c r="CA46" i="30"/>
  <c r="CB46" i="30"/>
  <c r="CC46" i="30"/>
  <c r="CD46" i="30"/>
  <c r="CE46" i="30"/>
  <c r="CF46" i="30"/>
  <c r="CG46" i="30"/>
  <c r="CH46" i="30"/>
  <c r="CI46" i="30"/>
  <c r="CJ46" i="30"/>
  <c r="CK46" i="30"/>
  <c r="CL46" i="30"/>
  <c r="CM46" i="30"/>
  <c r="CN46" i="30"/>
  <c r="CO46" i="30"/>
  <c r="CP46" i="30"/>
  <c r="CQ46" i="30"/>
  <c r="CR46" i="30"/>
  <c r="CS46" i="30"/>
  <c r="CT46" i="30"/>
  <c r="CU46" i="30"/>
  <c r="CV46" i="30"/>
  <c r="CW46" i="30"/>
  <c r="CX46" i="30"/>
  <c r="CY46" i="30"/>
  <c r="CZ46" i="30"/>
  <c r="DA46" i="30"/>
  <c r="DB46" i="30"/>
  <c r="DC46" i="30"/>
  <c r="DD46" i="30"/>
  <c r="DE46" i="30"/>
  <c r="DF46" i="30"/>
  <c r="DG46" i="30"/>
  <c r="DH46" i="30"/>
  <c r="DI46" i="30"/>
  <c r="DJ46" i="30"/>
  <c r="DK46" i="30"/>
  <c r="DL46" i="30"/>
  <c r="DM46" i="30"/>
  <c r="DN46" i="30"/>
  <c r="DO46" i="30"/>
  <c r="DP46" i="30"/>
  <c r="DQ46" i="30"/>
  <c r="DR46" i="30"/>
  <c r="DS46" i="30"/>
  <c r="DT46" i="30"/>
  <c r="DU46" i="30"/>
  <c r="DV46" i="30"/>
  <c r="DW46" i="30"/>
  <c r="DX46" i="30"/>
  <c r="DY46" i="30"/>
  <c r="DZ46" i="30"/>
  <c r="EA46" i="30"/>
  <c r="EB46" i="30"/>
  <c r="EC46" i="30"/>
  <c r="ED46" i="30"/>
  <c r="EE46" i="30"/>
  <c r="EF46" i="30"/>
  <c r="EG46" i="30"/>
  <c r="EH46" i="30"/>
  <c r="EI46" i="30"/>
  <c r="EJ46" i="30"/>
  <c r="EK46" i="30"/>
  <c r="EL46" i="30"/>
  <c r="EM46" i="30"/>
  <c r="EN46" i="30"/>
  <c r="EO46" i="30"/>
  <c r="EP46" i="30"/>
  <c r="EQ46" i="30"/>
  <c r="ER46" i="30"/>
  <c r="ES46" i="30"/>
  <c r="ET46" i="30"/>
  <c r="EU46" i="30"/>
  <c r="EV46" i="30"/>
  <c r="EW46" i="30"/>
  <c r="EX46" i="30"/>
  <c r="EY46" i="30"/>
  <c r="EZ46" i="30"/>
  <c r="FA46" i="30"/>
  <c r="FB46" i="30"/>
  <c r="FC46" i="30"/>
  <c r="FD46" i="30"/>
  <c r="FE46" i="30"/>
  <c r="FF46" i="30"/>
  <c r="FG46" i="30"/>
  <c r="FH46" i="30"/>
  <c r="FI46" i="30"/>
  <c r="FJ46" i="30"/>
  <c r="FK46" i="30"/>
  <c r="FL46" i="30"/>
  <c r="FM46" i="30"/>
  <c r="FN46" i="30"/>
  <c r="FO46" i="30"/>
  <c r="FP46" i="30"/>
  <c r="FQ46" i="30"/>
  <c r="FR46" i="30"/>
  <c r="FS46" i="30"/>
  <c r="FT46" i="30"/>
  <c r="FU46" i="30"/>
  <c r="FV46" i="30"/>
  <c r="FW46" i="30"/>
  <c r="FX46" i="30"/>
  <c r="FY46" i="30"/>
  <c r="FZ46" i="30"/>
  <c r="GA46" i="30"/>
  <c r="GB46" i="30"/>
  <c r="GC46" i="30"/>
  <c r="GD46" i="30"/>
  <c r="GE46" i="30"/>
  <c r="GF46" i="30"/>
  <c r="GG46" i="30"/>
  <c r="GH46" i="30"/>
  <c r="GI46" i="30"/>
  <c r="GJ46" i="30"/>
  <c r="GK46" i="30"/>
  <c r="GL46" i="30"/>
  <c r="GM46" i="30"/>
  <c r="GN46" i="30"/>
  <c r="GO46" i="30"/>
  <c r="GP46" i="30"/>
  <c r="GQ46" i="30"/>
  <c r="GR46" i="30"/>
  <c r="GS46" i="30"/>
  <c r="GT46" i="30"/>
  <c r="GU46" i="30"/>
  <c r="GV46" i="30"/>
  <c r="GW46" i="30"/>
  <c r="GX46" i="30"/>
  <c r="GY46" i="30"/>
  <c r="GZ46" i="30"/>
  <c r="HA46" i="30"/>
  <c r="HB46" i="30"/>
  <c r="HC46" i="30"/>
  <c r="HD46" i="30"/>
  <c r="HE46" i="30"/>
  <c r="HF46" i="30"/>
  <c r="HG46" i="30"/>
  <c r="HH46" i="30"/>
  <c r="HI46" i="30"/>
  <c r="HJ46" i="30"/>
  <c r="HK46" i="30"/>
  <c r="HL46" i="30"/>
  <c r="HM46" i="30"/>
  <c r="HN46" i="30"/>
  <c r="HO46" i="30"/>
  <c r="HP46" i="30"/>
  <c r="HQ46" i="30"/>
  <c r="HR46" i="30"/>
  <c r="HS46" i="30"/>
  <c r="HT46" i="30"/>
  <c r="HU46" i="30"/>
  <c r="HV46" i="30"/>
  <c r="HW46" i="30"/>
  <c r="HX46" i="30"/>
  <c r="HY46" i="30"/>
  <c r="HZ46" i="30"/>
  <c r="IA46" i="30"/>
  <c r="IB46" i="30"/>
  <c r="IC46" i="30"/>
  <c r="ID46" i="30"/>
  <c r="IE46" i="30"/>
  <c r="IF46" i="30"/>
  <c r="IG46" i="30"/>
  <c r="IH46" i="30"/>
  <c r="II46" i="30"/>
  <c r="IJ46" i="30"/>
  <c r="IK46" i="30"/>
  <c r="IL46" i="30"/>
  <c r="IM46" i="30"/>
  <c r="IN46" i="30"/>
  <c r="IO46" i="30"/>
  <c r="IP46" i="30"/>
  <c r="IQ46" i="30"/>
  <c r="IR46" i="30"/>
  <c r="IS46" i="30"/>
  <c r="IT46" i="30"/>
  <c r="IU46" i="30"/>
  <c r="IV46" i="30"/>
  <c r="A45" i="30"/>
  <c r="B45" i="30"/>
  <c r="C45" i="30"/>
  <c r="D45" i="30"/>
  <c r="E45" i="30"/>
  <c r="F45" i="30"/>
  <c r="G45" i="30"/>
  <c r="H45" i="30"/>
  <c r="I45" i="30"/>
  <c r="J45" i="30"/>
  <c r="K45" i="30"/>
  <c r="L45" i="30"/>
  <c r="M45" i="30"/>
  <c r="N45" i="30"/>
  <c r="O45" i="30"/>
  <c r="P45" i="30"/>
  <c r="Q45" i="30"/>
  <c r="R45" i="30"/>
  <c r="S45" i="30"/>
  <c r="T45" i="30"/>
  <c r="U45" i="30"/>
  <c r="V45" i="30"/>
  <c r="W45" i="30"/>
  <c r="X45" i="30"/>
  <c r="Y45" i="30"/>
  <c r="Z45" i="30"/>
  <c r="AA45" i="30"/>
  <c r="AB45" i="30"/>
  <c r="AC45" i="30"/>
  <c r="AD45" i="30"/>
  <c r="AE45" i="30"/>
  <c r="AF45" i="30"/>
  <c r="AG45" i="30"/>
  <c r="AH45" i="30"/>
  <c r="AI45" i="30"/>
  <c r="AJ45" i="30"/>
  <c r="AK45" i="30"/>
  <c r="AL45" i="30"/>
  <c r="AM45" i="30"/>
  <c r="AN45" i="30"/>
  <c r="AO45" i="30"/>
  <c r="AP45" i="30"/>
  <c r="AQ45" i="30"/>
  <c r="AR45" i="30"/>
  <c r="AS45" i="30"/>
  <c r="AT45" i="30"/>
  <c r="AU45" i="30"/>
  <c r="AV45" i="30"/>
  <c r="AW45" i="30"/>
  <c r="AX45" i="30"/>
  <c r="AY45" i="30"/>
  <c r="AZ45" i="30"/>
  <c r="BA45" i="30"/>
  <c r="BB45" i="30"/>
  <c r="BC45" i="30"/>
  <c r="BD45" i="30"/>
  <c r="BE45" i="30"/>
  <c r="BF45" i="30"/>
  <c r="BG45" i="30"/>
  <c r="BH45" i="30"/>
  <c r="BI45" i="30"/>
  <c r="BJ45" i="30"/>
  <c r="BK45" i="30"/>
  <c r="BL45" i="30"/>
  <c r="BM45" i="30"/>
  <c r="BN45" i="30"/>
  <c r="BO45" i="30"/>
  <c r="BP45" i="30"/>
  <c r="BQ45" i="30"/>
  <c r="BR45" i="30"/>
  <c r="BS45" i="30"/>
  <c r="BT45" i="30"/>
  <c r="BU45" i="30"/>
  <c r="BV45" i="30"/>
  <c r="BW45" i="30"/>
  <c r="BX45" i="30"/>
  <c r="BY45" i="30"/>
  <c r="BZ45" i="30"/>
  <c r="CA45" i="30"/>
  <c r="CB45" i="30"/>
  <c r="CC45" i="30"/>
  <c r="CD45" i="30"/>
  <c r="CE45" i="30"/>
  <c r="CF45" i="30"/>
  <c r="CG45" i="30"/>
  <c r="CH45" i="30"/>
  <c r="CI45" i="30"/>
  <c r="CJ45" i="30"/>
  <c r="CK45" i="30"/>
  <c r="CL45" i="30"/>
  <c r="CM45" i="30"/>
  <c r="CN45" i="30"/>
  <c r="CO45" i="30"/>
  <c r="CP45" i="30"/>
  <c r="CQ45" i="30"/>
  <c r="CR45" i="30"/>
  <c r="CS45" i="30"/>
  <c r="CT45" i="30"/>
  <c r="CU45" i="30"/>
  <c r="CV45" i="30"/>
  <c r="CW45" i="30"/>
  <c r="CX45" i="30"/>
  <c r="CY45" i="30"/>
  <c r="CZ45" i="30"/>
  <c r="DA45" i="30"/>
  <c r="DB45" i="30"/>
  <c r="DC45" i="30"/>
  <c r="DD45" i="30"/>
  <c r="DE45" i="30"/>
  <c r="DF45" i="30"/>
  <c r="DG45" i="30"/>
  <c r="DH45" i="30"/>
  <c r="DI45" i="30"/>
  <c r="DJ45" i="30"/>
  <c r="DK45" i="30"/>
  <c r="DL45" i="30"/>
  <c r="DM45" i="30"/>
  <c r="DN45" i="30"/>
  <c r="DO45" i="30"/>
  <c r="DP45" i="30"/>
  <c r="DQ45" i="30"/>
  <c r="DR45" i="30"/>
  <c r="DS45" i="30"/>
  <c r="DT45" i="30"/>
  <c r="DU45" i="30"/>
  <c r="DV45" i="30"/>
  <c r="DW45" i="30"/>
  <c r="DX45" i="30"/>
  <c r="DY45" i="30"/>
  <c r="DZ45" i="30"/>
  <c r="EA45" i="30"/>
  <c r="EB45" i="30"/>
  <c r="EC45" i="30"/>
  <c r="ED45" i="30"/>
  <c r="EE45" i="30"/>
  <c r="EF45" i="30"/>
  <c r="EG45" i="30"/>
  <c r="EH45" i="30"/>
  <c r="EI45" i="30"/>
  <c r="EJ45" i="30"/>
  <c r="EK45" i="30"/>
  <c r="EL45" i="30"/>
  <c r="EM45" i="30"/>
  <c r="EN45" i="30"/>
  <c r="EO45" i="30"/>
  <c r="EP45" i="30"/>
  <c r="EQ45" i="30"/>
  <c r="ER45" i="30"/>
  <c r="ES45" i="30"/>
  <c r="ET45" i="30"/>
  <c r="EU45" i="30"/>
  <c r="EV45" i="30"/>
  <c r="EW45" i="30"/>
  <c r="EX45" i="30"/>
  <c r="EY45" i="30"/>
  <c r="EZ45" i="30"/>
  <c r="FA45" i="30"/>
  <c r="FB45" i="30"/>
  <c r="FC45" i="30"/>
  <c r="FD45" i="30"/>
  <c r="FE45" i="30"/>
  <c r="FF45" i="30"/>
  <c r="FG45" i="30"/>
  <c r="FH45" i="30"/>
  <c r="FI45" i="30"/>
  <c r="FJ45" i="30"/>
  <c r="FK45" i="30"/>
  <c r="FL45" i="30"/>
  <c r="FM45" i="30"/>
  <c r="FN45" i="30"/>
  <c r="FO45" i="30"/>
  <c r="FP45" i="30"/>
  <c r="FQ45" i="30"/>
  <c r="FR45" i="30"/>
  <c r="FS45" i="30"/>
  <c r="FT45" i="30"/>
  <c r="FU45" i="30"/>
  <c r="FV45" i="30"/>
  <c r="FW45" i="30"/>
  <c r="FX45" i="30"/>
  <c r="FY45" i="30"/>
  <c r="FZ45" i="30"/>
  <c r="GA45" i="30"/>
  <c r="GB45" i="30"/>
  <c r="GC45" i="30"/>
  <c r="GD45" i="30"/>
  <c r="GE45" i="30"/>
  <c r="GF45" i="30"/>
  <c r="GG45" i="30"/>
  <c r="GH45" i="30"/>
  <c r="GI45" i="30"/>
  <c r="GJ45" i="30"/>
  <c r="GK45" i="30"/>
  <c r="GL45" i="30"/>
  <c r="GM45" i="30"/>
  <c r="GN45" i="30"/>
  <c r="GO45" i="30"/>
  <c r="GP45" i="30"/>
  <c r="GQ45" i="30"/>
  <c r="GR45" i="30"/>
  <c r="GS45" i="30"/>
  <c r="GT45" i="30"/>
  <c r="GU45" i="30"/>
  <c r="GV45" i="30"/>
  <c r="GW45" i="30"/>
  <c r="GX45" i="30"/>
  <c r="GY45" i="30"/>
  <c r="GZ45" i="30"/>
  <c r="HA45" i="30"/>
  <c r="HB45" i="30"/>
  <c r="HC45" i="30"/>
  <c r="HD45" i="30"/>
  <c r="HE45" i="30"/>
  <c r="HF45" i="30"/>
  <c r="HG45" i="30"/>
  <c r="HH45" i="30"/>
  <c r="HI45" i="30"/>
  <c r="HJ45" i="30"/>
  <c r="HK45" i="30"/>
  <c r="HL45" i="30"/>
  <c r="HM45" i="30"/>
  <c r="HN45" i="30"/>
  <c r="HO45" i="30"/>
  <c r="HP45" i="30"/>
  <c r="HQ45" i="30"/>
  <c r="HR45" i="30"/>
  <c r="HS45" i="30"/>
  <c r="HT45" i="30"/>
  <c r="HU45" i="30"/>
  <c r="HV45" i="30"/>
  <c r="HW45" i="30"/>
  <c r="HX45" i="30"/>
  <c r="HY45" i="30"/>
  <c r="HZ45" i="30"/>
  <c r="IA45" i="30"/>
  <c r="IB45" i="30"/>
  <c r="IC45" i="30"/>
  <c r="ID45" i="30"/>
  <c r="IE45" i="30"/>
  <c r="IF45" i="30"/>
  <c r="IG45" i="30"/>
  <c r="IH45" i="30"/>
  <c r="II45" i="30"/>
  <c r="IJ45" i="30"/>
  <c r="IK45" i="30"/>
  <c r="IL45" i="30"/>
  <c r="IM45" i="30"/>
  <c r="IN45" i="30"/>
  <c r="IO45" i="30"/>
  <c r="IP45" i="30"/>
  <c r="IQ45" i="30"/>
  <c r="IR45" i="30"/>
  <c r="IS45" i="30"/>
  <c r="IT45" i="30"/>
  <c r="IU45" i="30"/>
  <c r="IV45" i="30"/>
  <c r="A44" i="30"/>
  <c r="B44" i="30"/>
  <c r="C44" i="30"/>
  <c r="D44" i="30"/>
  <c r="E44" i="30"/>
  <c r="F44" i="30"/>
  <c r="G44" i="30"/>
  <c r="H44" i="30"/>
  <c r="I44" i="30"/>
  <c r="J44" i="30"/>
  <c r="K44" i="30"/>
  <c r="L44" i="30"/>
  <c r="M44" i="30"/>
  <c r="N44" i="30"/>
  <c r="O44" i="30"/>
  <c r="P44" i="30"/>
  <c r="Q44" i="30"/>
  <c r="R44" i="30"/>
  <c r="S44" i="30"/>
  <c r="T44" i="30"/>
  <c r="U44" i="30"/>
  <c r="V44" i="30"/>
  <c r="W44" i="30"/>
  <c r="X44" i="30"/>
  <c r="Y44" i="30"/>
  <c r="Z44" i="30"/>
  <c r="AA44" i="30"/>
  <c r="AB44" i="30"/>
  <c r="AC44" i="30"/>
  <c r="AD44" i="30"/>
  <c r="AE44" i="30"/>
  <c r="AF44" i="30"/>
  <c r="AG44" i="30"/>
  <c r="AH44" i="30"/>
  <c r="AI44" i="30"/>
  <c r="AJ44" i="30"/>
  <c r="AK44" i="30"/>
  <c r="AL44" i="30"/>
  <c r="AM44" i="30"/>
  <c r="AN44" i="30"/>
  <c r="AO44" i="30"/>
  <c r="AP44" i="30"/>
  <c r="AQ44" i="30"/>
  <c r="AR44" i="30"/>
  <c r="AS44" i="30"/>
  <c r="AT44" i="30"/>
  <c r="AU44" i="30"/>
  <c r="AV44" i="30"/>
  <c r="AW44" i="30"/>
  <c r="AX44" i="30"/>
  <c r="AY44" i="30"/>
  <c r="AZ44" i="30"/>
  <c r="BA44" i="30"/>
  <c r="BB44" i="30"/>
  <c r="BC44" i="30"/>
  <c r="BD44" i="30"/>
  <c r="BE44" i="30"/>
  <c r="BF44" i="30"/>
  <c r="BG44" i="30"/>
  <c r="BH44" i="30"/>
  <c r="BI44" i="30"/>
  <c r="BJ44" i="30"/>
  <c r="BK44" i="30"/>
  <c r="BL44" i="30"/>
  <c r="BM44" i="30"/>
  <c r="BN44" i="30"/>
  <c r="BO44" i="30"/>
  <c r="BP44" i="30"/>
  <c r="BQ44" i="30"/>
  <c r="BR44" i="30"/>
  <c r="BS44" i="30"/>
  <c r="BT44" i="30"/>
  <c r="BU44" i="30"/>
  <c r="BV44" i="30"/>
  <c r="BW44" i="30"/>
  <c r="BX44" i="30"/>
  <c r="BY44" i="30"/>
  <c r="BZ44" i="30"/>
  <c r="CA44" i="30"/>
  <c r="CB44" i="30"/>
  <c r="CC44" i="30"/>
  <c r="CD44" i="30"/>
  <c r="CE44" i="30"/>
  <c r="CF44" i="30"/>
  <c r="CG44" i="30"/>
  <c r="CH44" i="30"/>
  <c r="CI44" i="30"/>
  <c r="CJ44" i="30"/>
  <c r="CK44" i="30"/>
  <c r="CL44" i="30"/>
  <c r="CM44" i="30"/>
  <c r="CN44" i="30"/>
  <c r="CO44" i="30"/>
  <c r="CP44" i="30"/>
  <c r="CQ44" i="30"/>
  <c r="CR44" i="30"/>
  <c r="CS44" i="30"/>
  <c r="CT44" i="30"/>
  <c r="CU44" i="30"/>
  <c r="CV44" i="30"/>
  <c r="CW44" i="30"/>
  <c r="CX44" i="30"/>
  <c r="CY44" i="30"/>
  <c r="CZ44" i="30"/>
  <c r="DA44" i="30"/>
  <c r="DB44" i="30"/>
  <c r="DC44" i="30"/>
  <c r="DD44" i="30"/>
  <c r="DE44" i="30"/>
  <c r="DF44" i="30"/>
  <c r="DG44" i="30"/>
  <c r="DH44" i="30"/>
  <c r="DI44" i="30"/>
  <c r="DJ44" i="30"/>
  <c r="DK44" i="30"/>
  <c r="DL44" i="30"/>
  <c r="DM44" i="30"/>
  <c r="DN44" i="30"/>
  <c r="DO44" i="30"/>
  <c r="DP44" i="30"/>
  <c r="DQ44" i="30"/>
  <c r="DR44" i="30"/>
  <c r="DS44" i="30"/>
  <c r="DT44" i="30"/>
  <c r="DU44" i="30"/>
  <c r="DV44" i="30"/>
  <c r="DW44" i="30"/>
  <c r="DX44" i="30"/>
  <c r="DY44" i="30"/>
  <c r="DZ44" i="30"/>
  <c r="EA44" i="30"/>
  <c r="EB44" i="30"/>
  <c r="EC44" i="30"/>
  <c r="ED44" i="30"/>
  <c r="EE44" i="30"/>
  <c r="EF44" i="30"/>
  <c r="EG44" i="30"/>
  <c r="EH44" i="30"/>
  <c r="EI44" i="30"/>
  <c r="EJ44" i="30"/>
  <c r="EK44" i="30"/>
  <c r="EL44" i="30"/>
  <c r="EM44" i="30"/>
  <c r="EN44" i="30"/>
  <c r="EO44" i="30"/>
  <c r="EP44" i="30"/>
  <c r="EQ44" i="30"/>
  <c r="ER44" i="30"/>
  <c r="ES44" i="30"/>
  <c r="ET44" i="30"/>
  <c r="EU44" i="30"/>
  <c r="EV44" i="30"/>
  <c r="EW44" i="30"/>
  <c r="EX44" i="30"/>
  <c r="EY44" i="30"/>
  <c r="EZ44" i="30"/>
  <c r="FA44" i="30"/>
  <c r="FB44" i="30"/>
  <c r="FC44" i="30"/>
  <c r="FD44" i="30"/>
  <c r="FE44" i="30"/>
  <c r="FF44" i="30"/>
  <c r="FG44" i="30"/>
  <c r="FH44" i="30"/>
  <c r="FI44" i="30"/>
  <c r="FJ44" i="30"/>
  <c r="FK44" i="30"/>
  <c r="FL44" i="30"/>
  <c r="FM44" i="30"/>
  <c r="FN44" i="30"/>
  <c r="FO44" i="30"/>
  <c r="FP44" i="30"/>
  <c r="FQ44" i="30"/>
  <c r="FR44" i="30"/>
  <c r="FS44" i="30"/>
  <c r="FT44" i="30"/>
  <c r="FU44" i="30"/>
  <c r="FV44" i="30"/>
  <c r="FW44" i="30"/>
  <c r="FX44" i="30"/>
  <c r="FY44" i="30"/>
  <c r="FZ44" i="30"/>
  <c r="GA44" i="30"/>
  <c r="GB44" i="30"/>
  <c r="GC44" i="30"/>
  <c r="GD44" i="30"/>
  <c r="GE44" i="30"/>
  <c r="GF44" i="30"/>
  <c r="GG44" i="30"/>
  <c r="GH44" i="30"/>
  <c r="GI44" i="30"/>
  <c r="GJ44" i="30"/>
  <c r="GK44" i="30"/>
  <c r="GL44" i="30"/>
  <c r="GM44" i="30"/>
  <c r="GN44" i="30"/>
  <c r="GO44" i="30"/>
  <c r="GP44" i="30"/>
  <c r="GQ44" i="30"/>
  <c r="GR44" i="30"/>
  <c r="GS44" i="30"/>
  <c r="GT44" i="30"/>
  <c r="GU44" i="30"/>
  <c r="GV44" i="30"/>
  <c r="GW44" i="30"/>
  <c r="GX44" i="30"/>
  <c r="GY44" i="30"/>
  <c r="GZ44" i="30"/>
  <c r="HA44" i="30"/>
  <c r="HB44" i="30"/>
  <c r="HC44" i="30"/>
  <c r="HD44" i="30"/>
  <c r="HE44" i="30"/>
  <c r="HF44" i="30"/>
  <c r="HG44" i="30"/>
  <c r="HH44" i="30"/>
  <c r="HI44" i="30"/>
  <c r="HJ44" i="30"/>
  <c r="HK44" i="30"/>
  <c r="HL44" i="30"/>
  <c r="HM44" i="30"/>
  <c r="HN44" i="30"/>
  <c r="HO44" i="30"/>
  <c r="HP44" i="30"/>
  <c r="HQ44" i="30"/>
  <c r="HR44" i="30"/>
  <c r="HS44" i="30"/>
  <c r="HT44" i="30"/>
  <c r="HU44" i="30"/>
  <c r="HV44" i="30"/>
  <c r="HW44" i="30"/>
  <c r="HX44" i="30"/>
  <c r="HY44" i="30"/>
  <c r="HZ44" i="30"/>
  <c r="IA44" i="30"/>
  <c r="IB44" i="30"/>
  <c r="IC44" i="30"/>
  <c r="ID44" i="30"/>
  <c r="IE44" i="30"/>
  <c r="IF44" i="30"/>
  <c r="IG44" i="30"/>
  <c r="IH44" i="30"/>
  <c r="II44" i="30"/>
  <c r="IJ44" i="30"/>
  <c r="IK44" i="30"/>
  <c r="IL44" i="30"/>
  <c r="IM44" i="30"/>
  <c r="IN44" i="30"/>
  <c r="IO44" i="30"/>
  <c r="IP44" i="30"/>
  <c r="IQ44" i="30"/>
  <c r="IR44" i="30"/>
  <c r="IS44" i="30"/>
  <c r="IT44" i="30"/>
  <c r="IU44" i="30"/>
  <c r="IV44" i="30"/>
  <c r="A43" i="30"/>
  <c r="B43" i="30"/>
  <c r="C43" i="30"/>
  <c r="D43" i="30"/>
  <c r="E43" i="30"/>
  <c r="F43" i="30"/>
  <c r="G43" i="30"/>
  <c r="H43" i="30"/>
  <c r="I43" i="30"/>
  <c r="J43" i="30"/>
  <c r="K43" i="30"/>
  <c r="L43" i="30"/>
  <c r="M43" i="30"/>
  <c r="N43" i="30"/>
  <c r="O43" i="30"/>
  <c r="P43" i="30"/>
  <c r="Q43" i="30"/>
  <c r="R43" i="30"/>
  <c r="S43" i="30"/>
  <c r="T43" i="30"/>
  <c r="U43" i="30"/>
  <c r="V43" i="30"/>
  <c r="W43" i="30"/>
  <c r="X43" i="30"/>
  <c r="Y43" i="30"/>
  <c r="Z43" i="30"/>
  <c r="AA43" i="30"/>
  <c r="AB43" i="30"/>
  <c r="AC43" i="30"/>
  <c r="AD43" i="30"/>
  <c r="AE43" i="30"/>
  <c r="AF43" i="30"/>
  <c r="AG43" i="30"/>
  <c r="AH43" i="30"/>
  <c r="AI43" i="30"/>
  <c r="AJ43" i="30"/>
  <c r="AK43" i="30"/>
  <c r="AL43" i="30"/>
  <c r="AM43" i="30"/>
  <c r="AN43" i="30"/>
  <c r="AO43" i="30"/>
  <c r="AP43" i="30"/>
  <c r="AQ43" i="30"/>
  <c r="AR43" i="30"/>
  <c r="AS43" i="30"/>
  <c r="AT43" i="30"/>
  <c r="AU43" i="30"/>
  <c r="AV43" i="30"/>
  <c r="AW43" i="30"/>
  <c r="AX43" i="30"/>
  <c r="AY43" i="30"/>
  <c r="AZ43" i="30"/>
  <c r="BA43" i="30"/>
  <c r="BB43" i="30"/>
  <c r="BC43" i="30"/>
  <c r="BD43" i="30"/>
  <c r="BE43" i="30"/>
  <c r="BF43" i="30"/>
  <c r="BG43" i="30"/>
  <c r="BH43" i="30"/>
  <c r="BI43" i="30"/>
  <c r="BJ43" i="30"/>
  <c r="BK43" i="30"/>
  <c r="BL43" i="30"/>
  <c r="BM43" i="30"/>
  <c r="BN43" i="30"/>
  <c r="BO43" i="30"/>
  <c r="BP43" i="30"/>
  <c r="BQ43" i="30"/>
  <c r="BR43" i="30"/>
  <c r="BS43" i="30"/>
  <c r="BT43" i="30"/>
  <c r="BU43" i="30"/>
  <c r="BV43" i="30"/>
  <c r="BW43" i="30"/>
  <c r="BX43" i="30"/>
  <c r="BY43" i="30"/>
  <c r="BZ43" i="30"/>
  <c r="CA43" i="30"/>
  <c r="CB43" i="30"/>
  <c r="CC43" i="30"/>
  <c r="CD43" i="30"/>
  <c r="CE43" i="30"/>
  <c r="CF43" i="30"/>
  <c r="CG43" i="30"/>
  <c r="CH43" i="30"/>
  <c r="CI43" i="30"/>
  <c r="CJ43" i="30"/>
  <c r="CK43" i="30"/>
  <c r="CL43" i="30"/>
  <c r="CM43" i="30"/>
  <c r="CN43" i="30"/>
  <c r="CO43" i="30"/>
  <c r="CP43" i="30"/>
  <c r="CQ43" i="30"/>
  <c r="CR43" i="30"/>
  <c r="CS43" i="30"/>
  <c r="CT43" i="30"/>
  <c r="CU43" i="30"/>
  <c r="CV43" i="30"/>
  <c r="CW43" i="30"/>
  <c r="CX43" i="30"/>
  <c r="CY43" i="30"/>
  <c r="CZ43" i="30"/>
  <c r="DA43" i="30"/>
  <c r="DB43" i="30"/>
  <c r="DC43" i="30"/>
  <c r="DD43" i="30"/>
  <c r="DE43" i="30"/>
  <c r="DF43" i="30"/>
  <c r="DG43" i="30"/>
  <c r="DH43" i="30"/>
  <c r="DI43" i="30"/>
  <c r="DJ43" i="30"/>
  <c r="DK43" i="30"/>
  <c r="DL43" i="30"/>
  <c r="DM43" i="30"/>
  <c r="DN43" i="30"/>
  <c r="DO43" i="30"/>
  <c r="DP43" i="30"/>
  <c r="DQ43" i="30"/>
  <c r="DR43" i="30"/>
  <c r="DS43" i="30"/>
  <c r="DT43" i="30"/>
  <c r="DU43" i="30"/>
  <c r="DV43" i="30"/>
  <c r="DW43" i="30"/>
  <c r="DX43" i="30"/>
  <c r="DY43" i="30"/>
  <c r="DZ43" i="30"/>
  <c r="EA43" i="30"/>
  <c r="EB43" i="30"/>
  <c r="EC43" i="30"/>
  <c r="ED43" i="30"/>
  <c r="EE43" i="30"/>
  <c r="EF43" i="30"/>
  <c r="EG43" i="30"/>
  <c r="EH43" i="30"/>
  <c r="EI43" i="30"/>
  <c r="EJ43" i="30"/>
  <c r="EK43" i="30"/>
  <c r="EL43" i="30"/>
  <c r="EM43" i="30"/>
  <c r="EN43" i="30"/>
  <c r="EO43" i="30"/>
  <c r="EP43" i="30"/>
  <c r="EQ43" i="30"/>
  <c r="ER43" i="30"/>
  <c r="ES43" i="30"/>
  <c r="ET43" i="30"/>
  <c r="EU43" i="30"/>
  <c r="EV43" i="30"/>
  <c r="EW43" i="30"/>
  <c r="EX43" i="30"/>
  <c r="EY43" i="30"/>
  <c r="EZ43" i="30"/>
  <c r="FA43" i="30"/>
  <c r="FB43" i="30"/>
  <c r="FC43" i="30"/>
  <c r="FD43" i="30"/>
  <c r="FE43" i="30"/>
  <c r="FF43" i="30"/>
  <c r="FG43" i="30"/>
  <c r="FH43" i="30"/>
  <c r="FI43" i="30"/>
  <c r="FJ43" i="30"/>
  <c r="FK43" i="30"/>
  <c r="FL43" i="30"/>
  <c r="FM43" i="30"/>
  <c r="FN43" i="30"/>
  <c r="FO43" i="30"/>
  <c r="FP43" i="30"/>
  <c r="FQ43" i="30"/>
  <c r="FR43" i="30"/>
  <c r="FS43" i="30"/>
  <c r="FT43" i="30"/>
  <c r="FU43" i="30"/>
  <c r="FV43" i="30"/>
  <c r="FW43" i="30"/>
  <c r="FX43" i="30"/>
  <c r="FY43" i="30"/>
  <c r="FZ43" i="30"/>
  <c r="GA43" i="30"/>
  <c r="GB43" i="30"/>
  <c r="GC43" i="30"/>
  <c r="GD43" i="30"/>
  <c r="GE43" i="30"/>
  <c r="GF43" i="30"/>
  <c r="GG43" i="30"/>
  <c r="GH43" i="30"/>
  <c r="GI43" i="30"/>
  <c r="GJ43" i="30"/>
  <c r="GK43" i="30"/>
  <c r="GL43" i="30"/>
  <c r="GM43" i="30"/>
  <c r="GN43" i="30"/>
  <c r="GO43" i="30"/>
  <c r="GP43" i="30"/>
  <c r="GQ43" i="30"/>
  <c r="GR43" i="30"/>
  <c r="GS43" i="30"/>
  <c r="GT43" i="30"/>
  <c r="GU43" i="30"/>
  <c r="GV43" i="30"/>
  <c r="GW43" i="30"/>
  <c r="GX43" i="30"/>
  <c r="GY43" i="30"/>
  <c r="GZ43" i="30"/>
  <c r="HA43" i="30"/>
  <c r="HB43" i="30"/>
  <c r="HC43" i="30"/>
  <c r="HD43" i="30"/>
  <c r="HE43" i="30"/>
  <c r="HF43" i="30"/>
  <c r="HG43" i="30"/>
  <c r="HH43" i="30"/>
  <c r="HI43" i="30"/>
  <c r="HJ43" i="30"/>
  <c r="HK43" i="30"/>
  <c r="HL43" i="30"/>
  <c r="HM43" i="30"/>
  <c r="HN43" i="30"/>
  <c r="HO43" i="30"/>
  <c r="HP43" i="30"/>
  <c r="HQ43" i="30"/>
  <c r="HR43" i="30"/>
  <c r="HS43" i="30"/>
  <c r="HT43" i="30"/>
  <c r="HU43" i="30"/>
  <c r="HV43" i="30"/>
  <c r="HW43" i="30"/>
  <c r="HX43" i="30"/>
  <c r="HY43" i="30"/>
  <c r="HZ43" i="30"/>
  <c r="IA43" i="30"/>
  <c r="IB43" i="30"/>
  <c r="IC43" i="30"/>
  <c r="ID43" i="30"/>
  <c r="IE43" i="30"/>
  <c r="IF43" i="30"/>
  <c r="IG43" i="30"/>
  <c r="IH43" i="30"/>
  <c r="II43" i="30"/>
  <c r="IJ43" i="30"/>
  <c r="IK43" i="30"/>
  <c r="IL43" i="30"/>
  <c r="IM43" i="30"/>
  <c r="IN43" i="30"/>
  <c r="IO43" i="30"/>
  <c r="IP43" i="30"/>
  <c r="IQ43" i="30"/>
  <c r="IR43" i="30"/>
  <c r="IS43" i="30"/>
  <c r="IT43" i="30"/>
  <c r="IU43" i="30"/>
  <c r="IV43" i="30"/>
  <c r="A42" i="30"/>
  <c r="B42" i="30"/>
  <c r="C42" i="30"/>
  <c r="D42" i="30"/>
  <c r="E42" i="30"/>
  <c r="F42" i="30"/>
  <c r="G42" i="30"/>
  <c r="H42" i="30"/>
  <c r="I42" i="30"/>
  <c r="J42" i="30"/>
  <c r="K42" i="30"/>
  <c r="L42" i="30"/>
  <c r="M42" i="30"/>
  <c r="N42" i="30"/>
  <c r="O42" i="30"/>
  <c r="P42" i="30"/>
  <c r="Q42" i="30"/>
  <c r="R42" i="30"/>
  <c r="S42" i="30"/>
  <c r="T42" i="30"/>
  <c r="U42" i="30"/>
  <c r="V42" i="30"/>
  <c r="W42" i="30"/>
  <c r="X42" i="30"/>
  <c r="Y42" i="30"/>
  <c r="Z42" i="30"/>
  <c r="AA42" i="30"/>
  <c r="AB42" i="30"/>
  <c r="AC42" i="30"/>
  <c r="AD42" i="30"/>
  <c r="AE42" i="30"/>
  <c r="AF42" i="30"/>
  <c r="AG42" i="30"/>
  <c r="AH42" i="30"/>
  <c r="AI42" i="30"/>
  <c r="AJ42" i="30"/>
  <c r="AK42" i="30"/>
  <c r="AL42" i="30"/>
  <c r="AM42" i="30"/>
  <c r="AN42" i="30"/>
  <c r="AO42" i="30"/>
  <c r="AP42" i="30"/>
  <c r="AQ42" i="30"/>
  <c r="AR42" i="30"/>
  <c r="AS42" i="30"/>
  <c r="AT42" i="30"/>
  <c r="AU42" i="30"/>
  <c r="AV42" i="30"/>
  <c r="AW42" i="30"/>
  <c r="AX42" i="30"/>
  <c r="AY42" i="30"/>
  <c r="AZ42" i="30"/>
  <c r="BA42" i="30"/>
  <c r="BB42" i="30"/>
  <c r="BC42" i="30"/>
  <c r="BD42" i="30"/>
  <c r="BE42" i="30"/>
  <c r="BF42" i="30"/>
  <c r="BG42" i="30"/>
  <c r="BH42" i="30"/>
  <c r="BI42" i="30"/>
  <c r="BJ42" i="30"/>
  <c r="BK42" i="30"/>
  <c r="BL42" i="30"/>
  <c r="BM42" i="30"/>
  <c r="BN42" i="30"/>
  <c r="BO42" i="30"/>
  <c r="BP42" i="30"/>
  <c r="BQ42" i="30"/>
  <c r="BR42" i="30"/>
  <c r="BS42" i="30"/>
  <c r="BT42" i="30"/>
  <c r="BU42" i="30"/>
  <c r="BV42" i="30"/>
  <c r="BW42" i="30"/>
  <c r="BX42" i="30"/>
  <c r="BY42" i="30"/>
  <c r="BZ42" i="30"/>
  <c r="CA42" i="30"/>
  <c r="CB42" i="30"/>
  <c r="CC42" i="30"/>
  <c r="CD42" i="30"/>
  <c r="CE42" i="30"/>
  <c r="CF42" i="30"/>
  <c r="CG42" i="30"/>
  <c r="CH42" i="30"/>
  <c r="CI42" i="30"/>
  <c r="CJ42" i="30"/>
  <c r="CK42" i="30"/>
  <c r="CL42" i="30"/>
  <c r="CM42" i="30"/>
  <c r="CN42" i="30"/>
  <c r="CO42" i="30"/>
  <c r="CP42" i="30"/>
  <c r="CQ42" i="30"/>
  <c r="CR42" i="30"/>
  <c r="CS42" i="30"/>
  <c r="CT42" i="30"/>
  <c r="CU42" i="30"/>
  <c r="CV42" i="30"/>
  <c r="CW42" i="30"/>
  <c r="CX42" i="30"/>
  <c r="CY42" i="30"/>
  <c r="CZ42" i="30"/>
  <c r="DA42" i="30"/>
  <c r="DB42" i="30"/>
  <c r="DC42" i="30"/>
  <c r="DD42" i="30"/>
  <c r="DE42" i="30"/>
  <c r="DF42" i="30"/>
  <c r="DG42" i="30"/>
  <c r="DH42" i="30"/>
  <c r="DI42" i="30"/>
  <c r="DJ42" i="30"/>
  <c r="DK42" i="30"/>
  <c r="DL42" i="30"/>
  <c r="DM42" i="30"/>
  <c r="DN42" i="30"/>
  <c r="DO42" i="30"/>
  <c r="DP42" i="30"/>
  <c r="DQ42" i="30"/>
  <c r="DR42" i="30"/>
  <c r="DS42" i="30"/>
  <c r="DT42" i="30"/>
  <c r="DU42" i="30"/>
  <c r="DV42" i="30"/>
  <c r="DW42" i="30"/>
  <c r="DX42" i="30"/>
  <c r="DY42" i="30"/>
  <c r="DZ42" i="30"/>
  <c r="EA42" i="30"/>
  <c r="EB42" i="30"/>
  <c r="EC42" i="30"/>
  <c r="ED42" i="30"/>
  <c r="EE42" i="30"/>
  <c r="EF42" i="30"/>
  <c r="EG42" i="30"/>
  <c r="EH42" i="30"/>
  <c r="EI42" i="30"/>
  <c r="EJ42" i="30"/>
  <c r="EK42" i="30"/>
  <c r="EL42" i="30"/>
  <c r="EM42" i="30"/>
  <c r="EN42" i="30"/>
  <c r="EO42" i="30"/>
  <c r="EP42" i="30"/>
  <c r="EQ42" i="30"/>
  <c r="ER42" i="30"/>
  <c r="ES42" i="30"/>
  <c r="ET42" i="30"/>
  <c r="EU42" i="30"/>
  <c r="EV42" i="30"/>
  <c r="EW42" i="30"/>
  <c r="EX42" i="30"/>
  <c r="EY42" i="30"/>
  <c r="EZ42" i="30"/>
  <c r="FA42" i="30"/>
  <c r="FB42" i="30"/>
  <c r="FC42" i="30"/>
  <c r="FD42" i="30"/>
  <c r="FE42" i="30"/>
  <c r="FF42" i="30"/>
  <c r="FG42" i="30"/>
  <c r="FH42" i="30"/>
  <c r="FI42" i="30"/>
  <c r="FJ42" i="30"/>
  <c r="FK42" i="30"/>
  <c r="FL42" i="30"/>
  <c r="FM42" i="30"/>
  <c r="FN42" i="30"/>
  <c r="FO42" i="30"/>
  <c r="FP42" i="30"/>
  <c r="FQ42" i="30"/>
  <c r="FR42" i="30"/>
  <c r="FS42" i="30"/>
  <c r="FT42" i="30"/>
  <c r="FU42" i="30"/>
  <c r="FV42" i="30"/>
  <c r="FW42" i="30"/>
  <c r="FX42" i="30"/>
  <c r="FY42" i="30"/>
  <c r="FZ42" i="30"/>
  <c r="GA42" i="30"/>
  <c r="GB42" i="30"/>
  <c r="GC42" i="30"/>
  <c r="GD42" i="30"/>
  <c r="GE42" i="30"/>
  <c r="GF42" i="30"/>
  <c r="GG42" i="30"/>
  <c r="GH42" i="30"/>
  <c r="GI42" i="30"/>
  <c r="GJ42" i="30"/>
  <c r="GK42" i="30"/>
  <c r="GL42" i="30"/>
  <c r="GM42" i="30"/>
  <c r="GN42" i="30"/>
  <c r="GO42" i="30"/>
  <c r="GP42" i="30"/>
  <c r="GQ42" i="30"/>
  <c r="GR42" i="30"/>
  <c r="GS42" i="30"/>
  <c r="GT42" i="30"/>
  <c r="GU42" i="30"/>
  <c r="GV42" i="30"/>
  <c r="GW42" i="30"/>
  <c r="GX42" i="30"/>
  <c r="GY42" i="30"/>
  <c r="GZ42" i="30"/>
  <c r="HA42" i="30"/>
  <c r="HB42" i="30"/>
  <c r="HC42" i="30"/>
  <c r="HD42" i="30"/>
  <c r="HE42" i="30"/>
  <c r="HF42" i="30"/>
  <c r="HG42" i="30"/>
  <c r="HH42" i="30"/>
  <c r="HI42" i="30"/>
  <c r="HJ42" i="30"/>
  <c r="HK42" i="30"/>
  <c r="HL42" i="30"/>
  <c r="HM42" i="30"/>
  <c r="HN42" i="30"/>
  <c r="HO42" i="30"/>
  <c r="HP42" i="30"/>
  <c r="HQ42" i="30"/>
  <c r="HR42" i="30"/>
  <c r="HS42" i="30"/>
  <c r="HT42" i="30"/>
  <c r="HU42" i="30"/>
  <c r="HV42" i="30"/>
  <c r="HW42" i="30"/>
  <c r="HX42" i="30"/>
  <c r="HY42" i="30"/>
  <c r="HZ42" i="30"/>
  <c r="IA42" i="30"/>
  <c r="IB42" i="30"/>
  <c r="IC42" i="30"/>
  <c r="ID42" i="30"/>
  <c r="IE42" i="30"/>
  <c r="IF42" i="30"/>
  <c r="IG42" i="30"/>
  <c r="IH42" i="30"/>
  <c r="II42" i="30"/>
  <c r="IJ42" i="30"/>
  <c r="IK42" i="30"/>
  <c r="IL42" i="30"/>
  <c r="IM42" i="30"/>
  <c r="IN42" i="30"/>
  <c r="IO42" i="30"/>
  <c r="IP42" i="30"/>
  <c r="IQ42" i="30"/>
  <c r="IR42" i="30"/>
  <c r="IS42" i="30"/>
  <c r="IT42" i="30"/>
  <c r="IU42" i="30"/>
  <c r="IV42" i="30"/>
  <c r="A41" i="30"/>
  <c r="B41" i="30"/>
  <c r="C41" i="30"/>
  <c r="D41" i="30"/>
  <c r="E41" i="30"/>
  <c r="F41" i="30"/>
  <c r="G41" i="30"/>
  <c r="H41" i="30"/>
  <c r="I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V41" i="30"/>
  <c r="W41" i="30"/>
  <c r="X41" i="30"/>
  <c r="Y41" i="30"/>
  <c r="Z41" i="30"/>
  <c r="AA41" i="30"/>
  <c r="AB41" i="30"/>
  <c r="AC41" i="30"/>
  <c r="AD41" i="30"/>
  <c r="AE41" i="30"/>
  <c r="AF41" i="30"/>
  <c r="AG41" i="30"/>
  <c r="AH41" i="30"/>
  <c r="AI41" i="30"/>
  <c r="AJ41" i="30"/>
  <c r="AK41" i="30"/>
  <c r="AL41" i="30"/>
  <c r="AM41" i="30"/>
  <c r="AN41" i="30"/>
  <c r="AO41" i="30"/>
  <c r="AP41" i="30"/>
  <c r="AQ41" i="30"/>
  <c r="AR41" i="30"/>
  <c r="AS41" i="30"/>
  <c r="AT41" i="30"/>
  <c r="AU41" i="30"/>
  <c r="AV41" i="30"/>
  <c r="AW41" i="30"/>
  <c r="AX41" i="30"/>
  <c r="AY41" i="30"/>
  <c r="AZ41" i="30"/>
  <c r="BA41" i="30"/>
  <c r="BB41" i="30"/>
  <c r="BC41" i="30"/>
  <c r="BD41" i="30"/>
  <c r="BE41" i="30"/>
  <c r="BF41" i="30"/>
  <c r="BG41" i="30"/>
  <c r="BH41" i="30"/>
  <c r="BI41" i="30"/>
  <c r="BJ41" i="30"/>
  <c r="BK41" i="30"/>
  <c r="BL41" i="30"/>
  <c r="BM41" i="30"/>
  <c r="BN41" i="30"/>
  <c r="BO41" i="30"/>
  <c r="BP41" i="30"/>
  <c r="BQ41" i="30"/>
  <c r="BR41" i="30"/>
  <c r="BS41" i="30"/>
  <c r="BT41" i="30"/>
  <c r="BU41" i="30"/>
  <c r="BV41" i="30"/>
  <c r="BW41" i="30"/>
  <c r="BX41" i="30"/>
  <c r="BY41" i="30"/>
  <c r="BZ41" i="30"/>
  <c r="CA41" i="30"/>
  <c r="CB41" i="30"/>
  <c r="CC41" i="30"/>
  <c r="CD41" i="30"/>
  <c r="CE41" i="30"/>
  <c r="CF41" i="30"/>
  <c r="CG41" i="30"/>
  <c r="CH41" i="30"/>
  <c r="CI41" i="30"/>
  <c r="CJ41" i="30"/>
  <c r="CK41" i="30"/>
  <c r="CL41" i="30"/>
  <c r="CM41" i="30"/>
  <c r="CN41" i="30"/>
  <c r="CO41" i="30"/>
  <c r="CP41" i="30"/>
  <c r="CQ41" i="30"/>
  <c r="CR41" i="30"/>
  <c r="CS41" i="30"/>
  <c r="CT41" i="30"/>
  <c r="CU41" i="30"/>
  <c r="CV41" i="30"/>
  <c r="CW41" i="30"/>
  <c r="CX41" i="30"/>
  <c r="CY41" i="30"/>
  <c r="CZ41" i="30"/>
  <c r="DA41" i="30"/>
  <c r="DB41" i="30"/>
  <c r="DC41" i="30"/>
  <c r="DD41" i="30"/>
  <c r="DE41" i="30"/>
  <c r="DF41" i="30"/>
  <c r="DG41" i="30"/>
  <c r="DH41" i="30"/>
  <c r="DI41" i="30"/>
  <c r="DJ41" i="30"/>
  <c r="DK41" i="30"/>
  <c r="DL41" i="30"/>
  <c r="DM41" i="30"/>
  <c r="DN41" i="30"/>
  <c r="DO41" i="30"/>
  <c r="DP41" i="30"/>
  <c r="DQ41" i="30"/>
  <c r="DR41" i="30"/>
  <c r="DS41" i="30"/>
  <c r="DT41" i="30"/>
  <c r="DU41" i="30"/>
  <c r="DV41" i="30"/>
  <c r="DW41" i="30"/>
  <c r="DX41" i="30"/>
  <c r="DY41" i="30"/>
  <c r="DZ41" i="30"/>
  <c r="EA41" i="30"/>
  <c r="EB41" i="30"/>
  <c r="EC41" i="30"/>
  <c r="ED41" i="30"/>
  <c r="EE41" i="30"/>
  <c r="EF41" i="30"/>
  <c r="EG41" i="30"/>
  <c r="EH41" i="30"/>
  <c r="EI41" i="30"/>
  <c r="EJ41" i="30"/>
  <c r="EK41" i="30"/>
  <c r="EL41" i="30"/>
  <c r="EM41" i="30"/>
  <c r="EN41" i="30"/>
  <c r="EO41" i="30"/>
  <c r="EP41" i="30"/>
  <c r="EQ41" i="30"/>
  <c r="ER41" i="30"/>
  <c r="ES41" i="30"/>
  <c r="ET41" i="30"/>
  <c r="EU41" i="30"/>
  <c r="EV41" i="30"/>
  <c r="EW41" i="30"/>
  <c r="EX41" i="30"/>
  <c r="EY41" i="30"/>
  <c r="EZ41" i="30"/>
  <c r="FA41" i="30"/>
  <c r="FB41" i="30"/>
  <c r="FC41" i="30"/>
  <c r="FD41" i="30"/>
  <c r="FE41" i="30"/>
  <c r="FF41" i="30"/>
  <c r="FG41" i="30"/>
  <c r="FH41" i="30"/>
  <c r="FI41" i="30"/>
  <c r="FJ41" i="30"/>
  <c r="FK41" i="30"/>
  <c r="FL41" i="30"/>
  <c r="FM41" i="30"/>
  <c r="FN41" i="30"/>
  <c r="FO41" i="30"/>
  <c r="FP41" i="30"/>
  <c r="FQ41" i="30"/>
  <c r="FR41" i="30"/>
  <c r="FS41" i="30"/>
  <c r="FT41" i="30"/>
  <c r="FU41" i="30"/>
  <c r="FV41" i="30"/>
  <c r="FW41" i="30"/>
  <c r="FX41" i="30"/>
  <c r="FY41" i="30"/>
  <c r="FZ41" i="30"/>
  <c r="GA41" i="30"/>
  <c r="GB41" i="30"/>
  <c r="GC41" i="30"/>
  <c r="GD41" i="30"/>
  <c r="GE41" i="30"/>
  <c r="GF41" i="30"/>
  <c r="GG41" i="30"/>
  <c r="GH41" i="30"/>
  <c r="GI41" i="30"/>
  <c r="GJ41" i="30"/>
  <c r="GK41" i="30"/>
  <c r="GL41" i="30"/>
  <c r="GM41" i="30"/>
  <c r="GN41" i="30"/>
  <c r="GO41" i="30"/>
  <c r="GP41" i="30"/>
  <c r="GQ41" i="30"/>
  <c r="GR41" i="30"/>
  <c r="GS41" i="30"/>
  <c r="GT41" i="30"/>
  <c r="GU41" i="30"/>
  <c r="GV41" i="30"/>
  <c r="GW41" i="30"/>
  <c r="GX41" i="30"/>
  <c r="GY41" i="30"/>
  <c r="GZ41" i="30"/>
  <c r="HA41" i="30"/>
  <c r="HB41" i="30"/>
  <c r="HC41" i="30"/>
  <c r="HD41" i="30"/>
  <c r="HE41" i="30"/>
  <c r="HF41" i="30"/>
  <c r="HG41" i="30"/>
  <c r="HH41" i="30"/>
  <c r="HI41" i="30"/>
  <c r="HJ41" i="30"/>
  <c r="HK41" i="30"/>
  <c r="HL41" i="30"/>
  <c r="HM41" i="30"/>
  <c r="HN41" i="30"/>
  <c r="HO41" i="30"/>
  <c r="HP41" i="30"/>
  <c r="HQ41" i="30"/>
  <c r="HR41" i="30"/>
  <c r="HS41" i="30"/>
  <c r="HT41" i="30"/>
  <c r="HU41" i="30"/>
  <c r="HV41" i="30"/>
  <c r="HW41" i="30"/>
  <c r="HX41" i="30"/>
  <c r="HY41" i="30"/>
  <c r="HZ41" i="30"/>
  <c r="IA41" i="30"/>
  <c r="IB41" i="30"/>
  <c r="IC41" i="30"/>
  <c r="ID41" i="30"/>
  <c r="IE41" i="30"/>
  <c r="IF41" i="30"/>
  <c r="IG41" i="30"/>
  <c r="IH41" i="30"/>
  <c r="II41" i="30"/>
  <c r="IJ41" i="30"/>
  <c r="IK41" i="30"/>
  <c r="IL41" i="30"/>
  <c r="IM41" i="30"/>
  <c r="IN41" i="30"/>
  <c r="IO41" i="30"/>
  <c r="IP41" i="30"/>
  <c r="IQ41" i="30"/>
  <c r="IR41" i="30"/>
  <c r="IS41" i="30"/>
  <c r="IT41" i="30"/>
  <c r="IU41" i="30"/>
  <c r="IV41" i="30"/>
  <c r="A40" i="30"/>
  <c r="B40" i="30"/>
  <c r="C40" i="30"/>
  <c r="D40" i="30"/>
  <c r="E40" i="30"/>
  <c r="F40" i="30"/>
  <c r="G40" i="30"/>
  <c r="H40" i="30"/>
  <c r="I40" i="30"/>
  <c r="J40" i="30"/>
  <c r="K40" i="30"/>
  <c r="L40" i="30"/>
  <c r="M40" i="30"/>
  <c r="N40" i="30"/>
  <c r="O40" i="30"/>
  <c r="P40" i="30"/>
  <c r="Q40" i="30"/>
  <c r="R40" i="30"/>
  <c r="S40" i="30"/>
  <c r="T40" i="30"/>
  <c r="U40" i="30"/>
  <c r="V40" i="30"/>
  <c r="W40" i="30"/>
  <c r="X40" i="30"/>
  <c r="Y40" i="30"/>
  <c r="Z40" i="30"/>
  <c r="AA40" i="30"/>
  <c r="AB40" i="30"/>
  <c r="AC40" i="30"/>
  <c r="AD40" i="30"/>
  <c r="AE40" i="30"/>
  <c r="AF40" i="30"/>
  <c r="AG40" i="30"/>
  <c r="AH40" i="30"/>
  <c r="AI40" i="30"/>
  <c r="AJ40" i="30"/>
  <c r="AK40" i="30"/>
  <c r="AL40" i="30"/>
  <c r="AM40" i="30"/>
  <c r="AN40" i="30"/>
  <c r="AO40" i="30"/>
  <c r="AP40" i="30"/>
  <c r="AQ40" i="30"/>
  <c r="AR40" i="30"/>
  <c r="AS40" i="30"/>
  <c r="AT40" i="30"/>
  <c r="AU40" i="30"/>
  <c r="AV40" i="30"/>
  <c r="AW40" i="30"/>
  <c r="AX40" i="30"/>
  <c r="AY40" i="30"/>
  <c r="AZ40" i="30"/>
  <c r="BA40" i="30"/>
  <c r="BB40" i="30"/>
  <c r="BC40" i="30"/>
  <c r="BD40" i="30"/>
  <c r="BE40" i="30"/>
  <c r="BF40" i="30"/>
  <c r="BG40" i="30"/>
  <c r="BH40" i="30"/>
  <c r="BI40" i="30"/>
  <c r="BJ40" i="30"/>
  <c r="BK40" i="30"/>
  <c r="BL40" i="30"/>
  <c r="BM40" i="30"/>
  <c r="BN40" i="30"/>
  <c r="BO40" i="30"/>
  <c r="BP40" i="30"/>
  <c r="BQ40" i="30"/>
  <c r="BR40" i="30"/>
  <c r="BS40" i="30"/>
  <c r="BT40" i="30"/>
  <c r="BU40" i="30"/>
  <c r="BV40" i="30"/>
  <c r="BW40" i="30"/>
  <c r="BX40" i="30"/>
  <c r="BY40" i="30"/>
  <c r="BZ40" i="30"/>
  <c r="CA40" i="30"/>
  <c r="CB40" i="30"/>
  <c r="CC40" i="30"/>
  <c r="CD40" i="30"/>
  <c r="CE40" i="30"/>
  <c r="CF40" i="30"/>
  <c r="CG40" i="30"/>
  <c r="CH40" i="30"/>
  <c r="CI40" i="30"/>
  <c r="CJ40" i="30"/>
  <c r="CK40" i="30"/>
  <c r="CL40" i="30"/>
  <c r="CM40" i="30"/>
  <c r="CN40" i="30"/>
  <c r="CO40" i="30"/>
  <c r="CP40" i="30"/>
  <c r="CQ40" i="30"/>
  <c r="CR40" i="30"/>
  <c r="CS40" i="30"/>
  <c r="CT40" i="30"/>
  <c r="CU40" i="30"/>
  <c r="CV40" i="30"/>
  <c r="CW40" i="30"/>
  <c r="CX40" i="30"/>
  <c r="CY40" i="30"/>
  <c r="CZ40" i="30"/>
  <c r="DA40" i="30"/>
  <c r="DB40" i="30"/>
  <c r="DC40" i="30"/>
  <c r="DD40" i="30"/>
  <c r="DE40" i="30"/>
  <c r="DF40" i="30"/>
  <c r="DG40" i="30"/>
  <c r="DH40" i="30"/>
  <c r="DI40" i="30"/>
  <c r="DJ40" i="30"/>
  <c r="DK40" i="30"/>
  <c r="DL40" i="30"/>
  <c r="DM40" i="30"/>
  <c r="DN40" i="30"/>
  <c r="DO40" i="30"/>
  <c r="DP40" i="30"/>
  <c r="DQ40" i="30"/>
  <c r="DR40" i="30"/>
  <c r="DS40" i="30"/>
  <c r="DT40" i="30"/>
  <c r="DU40" i="30"/>
  <c r="DV40" i="30"/>
  <c r="DW40" i="30"/>
  <c r="DX40" i="30"/>
  <c r="DY40" i="30"/>
  <c r="DZ40" i="30"/>
  <c r="EA40" i="30"/>
  <c r="EB40" i="30"/>
  <c r="EC40" i="30"/>
  <c r="ED40" i="30"/>
  <c r="EE40" i="30"/>
  <c r="EF40" i="30"/>
  <c r="EG40" i="30"/>
  <c r="EH40" i="30"/>
  <c r="EI40" i="30"/>
  <c r="EJ40" i="30"/>
  <c r="EK40" i="30"/>
  <c r="EL40" i="30"/>
  <c r="EM40" i="30"/>
  <c r="EN40" i="30"/>
  <c r="EO40" i="30"/>
  <c r="EP40" i="30"/>
  <c r="EQ40" i="30"/>
  <c r="ER40" i="30"/>
  <c r="ES40" i="30"/>
  <c r="ET40" i="30"/>
  <c r="EU40" i="30"/>
  <c r="EV40" i="30"/>
  <c r="EW40" i="30"/>
  <c r="EX40" i="30"/>
  <c r="EY40" i="30"/>
  <c r="EZ40" i="30"/>
  <c r="FA40" i="30"/>
  <c r="FB40" i="30"/>
  <c r="FC40" i="30"/>
  <c r="FD40" i="30"/>
  <c r="FE40" i="30"/>
  <c r="FF40" i="30"/>
  <c r="FG40" i="30"/>
  <c r="FH40" i="30"/>
  <c r="FI40" i="30"/>
  <c r="FJ40" i="30"/>
  <c r="FK40" i="30"/>
  <c r="FL40" i="30"/>
  <c r="FM40" i="30"/>
  <c r="FN40" i="30"/>
  <c r="FO40" i="30"/>
  <c r="FP40" i="30"/>
  <c r="FQ40" i="30"/>
  <c r="FR40" i="30"/>
  <c r="FS40" i="30"/>
  <c r="FT40" i="30"/>
  <c r="FU40" i="30"/>
  <c r="FV40" i="30"/>
  <c r="FW40" i="30"/>
  <c r="FX40" i="30"/>
  <c r="FY40" i="30"/>
  <c r="FZ40" i="30"/>
  <c r="GA40" i="30"/>
  <c r="GB40" i="30"/>
  <c r="GC40" i="30"/>
  <c r="GD40" i="30"/>
  <c r="GE40" i="30"/>
  <c r="GF40" i="30"/>
  <c r="GG40" i="30"/>
  <c r="GH40" i="30"/>
  <c r="GI40" i="30"/>
  <c r="GJ40" i="30"/>
  <c r="GK40" i="30"/>
  <c r="GL40" i="30"/>
  <c r="GM40" i="30"/>
  <c r="GN40" i="30"/>
  <c r="GO40" i="30"/>
  <c r="GP40" i="30"/>
  <c r="GQ40" i="30"/>
  <c r="GR40" i="30"/>
  <c r="GS40" i="30"/>
  <c r="GT40" i="30"/>
  <c r="GU40" i="30"/>
  <c r="GV40" i="30"/>
  <c r="GW40" i="30"/>
  <c r="GX40" i="30"/>
  <c r="GY40" i="30"/>
  <c r="GZ40" i="30"/>
  <c r="HA40" i="30"/>
  <c r="HB40" i="30"/>
  <c r="HC40" i="30"/>
  <c r="HD40" i="30"/>
  <c r="HE40" i="30"/>
  <c r="HF40" i="30"/>
  <c r="HG40" i="30"/>
  <c r="HH40" i="30"/>
  <c r="HI40" i="30"/>
  <c r="HJ40" i="30"/>
  <c r="HK40" i="30"/>
  <c r="HL40" i="30"/>
  <c r="HM40" i="30"/>
  <c r="HN40" i="30"/>
  <c r="HO40" i="30"/>
  <c r="HP40" i="30"/>
  <c r="HQ40" i="30"/>
  <c r="HR40" i="30"/>
  <c r="HS40" i="30"/>
  <c r="HT40" i="30"/>
  <c r="HU40" i="30"/>
  <c r="HV40" i="30"/>
  <c r="HW40" i="30"/>
  <c r="HX40" i="30"/>
  <c r="HY40" i="30"/>
  <c r="HZ40" i="30"/>
  <c r="IA40" i="30"/>
  <c r="IB40" i="30"/>
  <c r="IC40" i="30"/>
  <c r="ID40" i="30"/>
  <c r="IE40" i="30"/>
  <c r="IF40" i="30"/>
  <c r="IG40" i="30"/>
  <c r="IH40" i="30"/>
  <c r="II40" i="30"/>
  <c r="IJ40" i="30"/>
  <c r="IK40" i="30"/>
  <c r="IL40" i="30"/>
  <c r="IM40" i="30"/>
  <c r="IN40" i="30"/>
  <c r="IO40" i="30"/>
  <c r="IP40" i="30"/>
  <c r="IQ40" i="30"/>
  <c r="IR40" i="30"/>
  <c r="IS40" i="30"/>
  <c r="IT40" i="30"/>
  <c r="IU40" i="30"/>
  <c r="IV40" i="30"/>
  <c r="A39" i="30"/>
  <c r="B39" i="30"/>
  <c r="C39" i="30"/>
  <c r="D39" i="30"/>
  <c r="E39" i="30"/>
  <c r="F39" i="30"/>
  <c r="G39" i="30"/>
  <c r="H39" i="30"/>
  <c r="I39" i="30"/>
  <c r="J39" i="30"/>
  <c r="K39" i="30"/>
  <c r="L39" i="30"/>
  <c r="M39" i="30"/>
  <c r="N39" i="30"/>
  <c r="O39" i="30"/>
  <c r="P39" i="30"/>
  <c r="Q39" i="30"/>
  <c r="R39" i="30"/>
  <c r="S39" i="30"/>
  <c r="T39" i="30"/>
  <c r="U39" i="30"/>
  <c r="V39" i="30"/>
  <c r="W39" i="30"/>
  <c r="X39" i="30"/>
  <c r="Y39" i="30"/>
  <c r="Z39" i="30"/>
  <c r="AA39" i="30"/>
  <c r="AB39" i="30"/>
  <c r="AC39" i="30"/>
  <c r="AD39" i="30"/>
  <c r="AE39" i="30"/>
  <c r="AF39" i="30"/>
  <c r="AG39" i="30"/>
  <c r="AH39" i="30"/>
  <c r="AI39" i="30"/>
  <c r="AJ39" i="30"/>
  <c r="AK39" i="30"/>
  <c r="AL39" i="30"/>
  <c r="AM39" i="30"/>
  <c r="AN39" i="30"/>
  <c r="AO39" i="30"/>
  <c r="AP39" i="30"/>
  <c r="AQ39" i="30"/>
  <c r="AR39" i="30"/>
  <c r="AS39" i="30"/>
  <c r="AT39" i="30"/>
  <c r="AU39" i="30"/>
  <c r="AV39" i="30"/>
  <c r="AW39" i="30"/>
  <c r="AX39" i="30"/>
  <c r="AY39" i="30"/>
  <c r="AZ39" i="30"/>
  <c r="BA39" i="30"/>
  <c r="BB39" i="30"/>
  <c r="BC39" i="30"/>
  <c r="BD39" i="30"/>
  <c r="BE39" i="30"/>
  <c r="BF39" i="30"/>
  <c r="BG39" i="30"/>
  <c r="BH39" i="30"/>
  <c r="BI39" i="30"/>
  <c r="BJ39" i="30"/>
  <c r="BK39" i="30"/>
  <c r="BL39" i="30"/>
  <c r="BM39" i="30"/>
  <c r="BN39" i="30"/>
  <c r="BO39" i="30"/>
  <c r="BP39" i="30"/>
  <c r="BQ39" i="30"/>
  <c r="BR39" i="30"/>
  <c r="BS39" i="30"/>
  <c r="BT39" i="30"/>
  <c r="BU39" i="30"/>
  <c r="BV39" i="30"/>
  <c r="BW39" i="30"/>
  <c r="BX39" i="30"/>
  <c r="BY39" i="30"/>
  <c r="BZ39" i="30"/>
  <c r="CA39" i="30"/>
  <c r="CB39" i="30"/>
  <c r="CC39" i="30"/>
  <c r="CD39" i="30"/>
  <c r="CE39" i="30"/>
  <c r="CF39" i="30"/>
  <c r="CG39" i="30"/>
  <c r="CH39" i="30"/>
  <c r="CI39" i="30"/>
  <c r="CJ39" i="30"/>
  <c r="CK39" i="30"/>
  <c r="CL39" i="30"/>
  <c r="CM39" i="30"/>
  <c r="CN39" i="30"/>
  <c r="CO39" i="30"/>
  <c r="CP39" i="30"/>
  <c r="CQ39" i="30"/>
  <c r="CR39" i="30"/>
  <c r="CS39" i="30"/>
  <c r="CT39" i="30"/>
  <c r="CU39" i="30"/>
  <c r="CV39" i="30"/>
  <c r="CW39" i="30"/>
  <c r="CX39" i="30"/>
  <c r="CY39" i="30"/>
  <c r="CZ39" i="30"/>
  <c r="DA39" i="30"/>
  <c r="DB39" i="30"/>
  <c r="DC39" i="30"/>
  <c r="DD39" i="30"/>
  <c r="DE39" i="30"/>
  <c r="DF39" i="30"/>
  <c r="DG39" i="30"/>
  <c r="DH39" i="30"/>
  <c r="DI39" i="30"/>
  <c r="DJ39" i="30"/>
  <c r="DK39" i="30"/>
  <c r="DL39" i="30"/>
  <c r="DM39" i="30"/>
  <c r="DN39" i="30"/>
  <c r="DO39" i="30"/>
  <c r="DP39" i="30"/>
  <c r="DQ39" i="30"/>
  <c r="DR39" i="30"/>
  <c r="DS39" i="30"/>
  <c r="DT39" i="30"/>
  <c r="DU39" i="30"/>
  <c r="DV39" i="30"/>
  <c r="DW39" i="30"/>
  <c r="DX39" i="30"/>
  <c r="DY39" i="30"/>
  <c r="DZ39" i="30"/>
  <c r="EA39" i="30"/>
  <c r="EB39" i="30"/>
  <c r="EC39" i="30"/>
  <c r="ED39" i="30"/>
  <c r="EE39" i="30"/>
  <c r="EF39" i="30"/>
  <c r="EG39" i="30"/>
  <c r="EH39" i="30"/>
  <c r="EI39" i="30"/>
  <c r="EJ39" i="30"/>
  <c r="EK39" i="30"/>
  <c r="EL39" i="30"/>
  <c r="EM39" i="30"/>
  <c r="EN39" i="30"/>
  <c r="EO39" i="30"/>
  <c r="EP39" i="30"/>
  <c r="EQ39" i="30"/>
  <c r="ER39" i="30"/>
  <c r="ES39" i="30"/>
  <c r="ET39" i="30"/>
  <c r="EU39" i="30"/>
  <c r="EV39" i="30"/>
  <c r="EW39" i="30"/>
  <c r="EX39" i="30"/>
  <c r="EY39" i="30"/>
  <c r="EZ39" i="30"/>
  <c r="FA39" i="30"/>
  <c r="FB39" i="30"/>
  <c r="FC39" i="30"/>
  <c r="FD39" i="30"/>
  <c r="FE39" i="30"/>
  <c r="FF39" i="30"/>
  <c r="FG39" i="30"/>
  <c r="FH39" i="30"/>
  <c r="FI39" i="30"/>
  <c r="FJ39" i="30"/>
  <c r="FK39" i="30"/>
  <c r="FL39" i="30"/>
  <c r="FM39" i="30"/>
  <c r="FN39" i="30"/>
  <c r="FO39" i="30"/>
  <c r="FP39" i="30"/>
  <c r="FQ39" i="30"/>
  <c r="FR39" i="30"/>
  <c r="FS39" i="30"/>
  <c r="FT39" i="30"/>
  <c r="FU39" i="30"/>
  <c r="FV39" i="30"/>
  <c r="FW39" i="30"/>
  <c r="FX39" i="30"/>
  <c r="FY39" i="30"/>
  <c r="FZ39" i="30"/>
  <c r="GA39" i="30"/>
  <c r="GB39" i="30"/>
  <c r="GC39" i="30"/>
  <c r="GD39" i="30"/>
  <c r="GE39" i="30"/>
  <c r="GF39" i="30"/>
  <c r="GG39" i="30"/>
  <c r="GH39" i="30"/>
  <c r="GI39" i="30"/>
  <c r="GJ39" i="30"/>
  <c r="GK39" i="30"/>
  <c r="GL39" i="30"/>
  <c r="GM39" i="30"/>
  <c r="GN39" i="30"/>
  <c r="GO39" i="30"/>
  <c r="GP39" i="30"/>
  <c r="GQ39" i="30"/>
  <c r="GR39" i="30"/>
  <c r="GS39" i="30"/>
  <c r="GT39" i="30"/>
  <c r="GU39" i="30"/>
  <c r="GV39" i="30"/>
  <c r="GW39" i="30"/>
  <c r="GX39" i="30"/>
  <c r="GY39" i="30"/>
  <c r="GZ39" i="30"/>
  <c r="HA39" i="30"/>
  <c r="HB39" i="30"/>
  <c r="HC39" i="30"/>
  <c r="HD39" i="30"/>
  <c r="HE39" i="30"/>
  <c r="HF39" i="30"/>
  <c r="HG39" i="30"/>
  <c r="HH39" i="30"/>
  <c r="HI39" i="30"/>
  <c r="HJ39" i="30"/>
  <c r="HK39" i="30"/>
  <c r="HL39" i="30"/>
  <c r="HM39" i="30"/>
  <c r="HN39" i="30"/>
  <c r="HO39" i="30"/>
  <c r="HP39" i="30"/>
  <c r="HQ39" i="30"/>
  <c r="HR39" i="30"/>
  <c r="HS39" i="30"/>
  <c r="HT39" i="30"/>
  <c r="HU39" i="30"/>
  <c r="HV39" i="30"/>
  <c r="HW39" i="30"/>
  <c r="HX39" i="30"/>
  <c r="HY39" i="30"/>
  <c r="HZ39" i="30"/>
  <c r="IA39" i="30"/>
  <c r="IB39" i="30"/>
  <c r="IC39" i="30"/>
  <c r="ID39" i="30"/>
  <c r="IE39" i="30"/>
  <c r="IF39" i="30"/>
  <c r="IG39" i="30"/>
  <c r="IH39" i="30"/>
  <c r="II39" i="30"/>
  <c r="IJ39" i="30"/>
  <c r="IK39" i="30"/>
  <c r="IL39" i="30"/>
  <c r="IM39" i="30"/>
  <c r="IN39" i="30"/>
  <c r="IO39" i="30"/>
  <c r="IP39" i="30"/>
  <c r="IQ39" i="30"/>
  <c r="IR39" i="30"/>
  <c r="IS39" i="30"/>
  <c r="IT39" i="30"/>
  <c r="IU39" i="30"/>
  <c r="IV39" i="30"/>
  <c r="A38" i="30"/>
  <c r="B38" i="30"/>
  <c r="C38" i="30"/>
  <c r="D38" i="30"/>
  <c r="E38" i="30"/>
  <c r="F38" i="30"/>
  <c r="G38" i="30"/>
  <c r="H38" i="30"/>
  <c r="I38" i="30"/>
  <c r="J38" i="30"/>
  <c r="K38" i="30"/>
  <c r="L38" i="30"/>
  <c r="M38" i="30"/>
  <c r="N38" i="30"/>
  <c r="O38" i="30"/>
  <c r="P38" i="30"/>
  <c r="Q38" i="30"/>
  <c r="R38" i="30"/>
  <c r="S38" i="30"/>
  <c r="T38" i="30"/>
  <c r="U38" i="30"/>
  <c r="V38" i="30"/>
  <c r="W38" i="30"/>
  <c r="X38" i="30"/>
  <c r="Y38" i="30"/>
  <c r="Z38" i="30"/>
  <c r="AA38" i="30"/>
  <c r="AB38" i="30"/>
  <c r="AC38" i="30"/>
  <c r="AD38" i="30"/>
  <c r="AE38" i="30"/>
  <c r="AF38" i="30"/>
  <c r="AG38" i="30"/>
  <c r="AH38" i="30"/>
  <c r="AI38" i="30"/>
  <c r="AJ38" i="30"/>
  <c r="AK38" i="30"/>
  <c r="AL38" i="30"/>
  <c r="AM38" i="30"/>
  <c r="AN38" i="30"/>
  <c r="AO38" i="30"/>
  <c r="AP38" i="30"/>
  <c r="AQ38" i="30"/>
  <c r="AR38" i="30"/>
  <c r="AS38" i="30"/>
  <c r="AT38" i="30"/>
  <c r="AU38" i="30"/>
  <c r="AV38" i="30"/>
  <c r="AW38" i="30"/>
  <c r="AX38" i="30"/>
  <c r="AY38" i="30"/>
  <c r="AZ38" i="30"/>
  <c r="BA38" i="30"/>
  <c r="BB38" i="30"/>
  <c r="BC38" i="30"/>
  <c r="BD38" i="30"/>
  <c r="BE38" i="30"/>
  <c r="BF38" i="30"/>
  <c r="BG38" i="30"/>
  <c r="BH38" i="30"/>
  <c r="BI38" i="30"/>
  <c r="BJ38" i="30"/>
  <c r="BK38" i="30"/>
  <c r="BL38" i="30"/>
  <c r="BM38" i="30"/>
  <c r="BN38" i="30"/>
  <c r="BO38" i="30"/>
  <c r="BP38" i="30"/>
  <c r="BQ38" i="30"/>
  <c r="BR38" i="30"/>
  <c r="BS38" i="30"/>
  <c r="BT38" i="30"/>
  <c r="BU38" i="30"/>
  <c r="BV38" i="30"/>
  <c r="BW38" i="30"/>
  <c r="BX38" i="30"/>
  <c r="BY38" i="30"/>
  <c r="BZ38" i="30"/>
  <c r="CA38" i="30"/>
  <c r="CB38" i="30"/>
  <c r="CC38" i="30"/>
  <c r="CD38" i="30"/>
  <c r="CE38" i="30"/>
  <c r="CF38" i="30"/>
  <c r="CG38" i="30"/>
  <c r="CH38" i="30"/>
  <c r="CI38" i="30"/>
  <c r="CJ38" i="30"/>
  <c r="CK38" i="30"/>
  <c r="CL38" i="30"/>
  <c r="CM38" i="30"/>
  <c r="CN38" i="30"/>
  <c r="CO38" i="30"/>
  <c r="CP38" i="30"/>
  <c r="CQ38" i="30"/>
  <c r="CR38" i="30"/>
  <c r="CS38" i="30"/>
  <c r="CT38" i="30"/>
  <c r="CU38" i="30"/>
  <c r="CV38" i="30"/>
  <c r="CW38" i="30"/>
  <c r="CX38" i="30"/>
  <c r="CY38" i="30"/>
  <c r="CZ38" i="30"/>
  <c r="DA38" i="30"/>
  <c r="DB38" i="30"/>
  <c r="DC38" i="30"/>
  <c r="DD38" i="30"/>
  <c r="DE38" i="30"/>
  <c r="DF38" i="30"/>
  <c r="DG38" i="30"/>
  <c r="DH38" i="30"/>
  <c r="DI38" i="30"/>
  <c r="DJ38" i="30"/>
  <c r="DK38" i="30"/>
  <c r="DL38" i="30"/>
  <c r="DM38" i="30"/>
  <c r="DN38" i="30"/>
  <c r="DO38" i="30"/>
  <c r="DP38" i="30"/>
  <c r="DQ38" i="30"/>
  <c r="DR38" i="30"/>
  <c r="DS38" i="30"/>
  <c r="DT38" i="30"/>
  <c r="DU38" i="30"/>
  <c r="DV38" i="30"/>
  <c r="DW38" i="30"/>
  <c r="DX38" i="30"/>
  <c r="DY38" i="30"/>
  <c r="DZ38" i="30"/>
  <c r="EA38" i="30"/>
  <c r="EB38" i="30"/>
  <c r="EC38" i="30"/>
  <c r="ED38" i="30"/>
  <c r="EE38" i="30"/>
  <c r="EF38" i="30"/>
  <c r="EG38" i="30"/>
  <c r="EH38" i="30"/>
  <c r="EI38" i="30"/>
  <c r="EJ38" i="30"/>
  <c r="EK38" i="30"/>
  <c r="EL38" i="30"/>
  <c r="EM38" i="30"/>
  <c r="EN38" i="30"/>
  <c r="EO38" i="30"/>
  <c r="EP38" i="30"/>
  <c r="EQ38" i="30"/>
  <c r="ER38" i="30"/>
  <c r="ES38" i="30"/>
  <c r="ET38" i="30"/>
  <c r="EU38" i="30"/>
  <c r="EV38" i="30"/>
  <c r="EW38" i="30"/>
  <c r="EX38" i="30"/>
  <c r="EY38" i="30"/>
  <c r="EZ38" i="30"/>
  <c r="FA38" i="30"/>
  <c r="FB38" i="30"/>
  <c r="FC38" i="30"/>
  <c r="FD38" i="30"/>
  <c r="FE38" i="30"/>
  <c r="FF38" i="30"/>
  <c r="FG38" i="30"/>
  <c r="FH38" i="30"/>
  <c r="FI38" i="30"/>
  <c r="FJ38" i="30"/>
  <c r="FK38" i="30"/>
  <c r="FL38" i="30"/>
  <c r="FM38" i="30"/>
  <c r="FN38" i="30"/>
  <c r="FO38" i="30"/>
  <c r="FP38" i="30"/>
  <c r="FQ38" i="30"/>
  <c r="FR38" i="30"/>
  <c r="FS38" i="30"/>
  <c r="FT38" i="30"/>
  <c r="FU38" i="30"/>
  <c r="FV38" i="30"/>
  <c r="FW38" i="30"/>
  <c r="FX38" i="30"/>
  <c r="FY38" i="30"/>
  <c r="FZ38" i="30"/>
  <c r="GA38" i="30"/>
  <c r="GB38" i="30"/>
  <c r="GC38" i="30"/>
  <c r="GD38" i="30"/>
  <c r="GE38" i="30"/>
  <c r="GF38" i="30"/>
  <c r="GG38" i="30"/>
  <c r="GH38" i="30"/>
  <c r="GI38" i="30"/>
  <c r="GJ38" i="30"/>
  <c r="GK38" i="30"/>
  <c r="GL38" i="30"/>
  <c r="GM38" i="30"/>
  <c r="GN38" i="30"/>
  <c r="GO38" i="30"/>
  <c r="GP38" i="30"/>
  <c r="GQ38" i="30"/>
  <c r="GR38" i="30"/>
  <c r="GS38" i="30"/>
  <c r="GT38" i="30"/>
  <c r="GU38" i="30"/>
  <c r="GV38" i="30"/>
  <c r="GW38" i="30"/>
  <c r="GX38" i="30"/>
  <c r="GY38" i="30"/>
  <c r="GZ38" i="30"/>
  <c r="HA38" i="30"/>
  <c r="HB38" i="30"/>
  <c r="HC38" i="30"/>
  <c r="HD38" i="30"/>
  <c r="HE38" i="30"/>
  <c r="HF38" i="30"/>
  <c r="HG38" i="30"/>
  <c r="HH38" i="30"/>
  <c r="HI38" i="30"/>
  <c r="HJ38" i="30"/>
  <c r="HK38" i="30"/>
  <c r="HL38" i="30"/>
  <c r="HM38" i="30"/>
  <c r="HN38" i="30"/>
  <c r="HO38" i="30"/>
  <c r="HP38" i="30"/>
  <c r="HQ38" i="30"/>
  <c r="HR38" i="30"/>
  <c r="HS38" i="30"/>
  <c r="HT38" i="30"/>
  <c r="HU38" i="30"/>
  <c r="HV38" i="30"/>
  <c r="HW38" i="30"/>
  <c r="HX38" i="30"/>
  <c r="HY38" i="30"/>
  <c r="HZ38" i="30"/>
  <c r="IA38" i="30"/>
  <c r="IB38" i="30"/>
  <c r="IC38" i="30"/>
  <c r="ID38" i="30"/>
  <c r="IE38" i="30"/>
  <c r="IF38" i="30"/>
  <c r="IG38" i="30"/>
  <c r="IH38" i="30"/>
  <c r="II38" i="30"/>
  <c r="IJ38" i="30"/>
  <c r="IK38" i="30"/>
  <c r="IL38" i="30"/>
  <c r="IM38" i="30"/>
  <c r="IN38" i="30"/>
  <c r="IO38" i="30"/>
  <c r="IP38" i="30"/>
  <c r="IQ38" i="30"/>
  <c r="IR38" i="30"/>
  <c r="IS38" i="30"/>
  <c r="IT38" i="30"/>
  <c r="IU38" i="30"/>
  <c r="IV38" i="30"/>
  <c r="A37" i="30"/>
  <c r="B37" i="30"/>
  <c r="C37" i="30"/>
  <c r="D37" i="30"/>
  <c r="E37" i="30"/>
  <c r="F37" i="30"/>
  <c r="G37" i="30"/>
  <c r="H37" i="30"/>
  <c r="I37" i="30"/>
  <c r="J37" i="30"/>
  <c r="K37" i="30"/>
  <c r="L37" i="30"/>
  <c r="M37" i="30"/>
  <c r="N37" i="30"/>
  <c r="O37" i="30"/>
  <c r="P37" i="30"/>
  <c r="Q37" i="30"/>
  <c r="R37" i="30"/>
  <c r="S37" i="30"/>
  <c r="T37" i="30"/>
  <c r="U37" i="30"/>
  <c r="V37" i="30"/>
  <c r="W37" i="30"/>
  <c r="X37" i="30"/>
  <c r="Y37" i="30"/>
  <c r="Z37" i="30"/>
  <c r="AA37" i="30"/>
  <c r="AB37" i="30"/>
  <c r="AC37" i="30"/>
  <c r="AD37" i="30"/>
  <c r="AE37" i="30"/>
  <c r="AF37" i="30"/>
  <c r="AG37" i="30"/>
  <c r="AH37" i="30"/>
  <c r="AI37" i="30"/>
  <c r="AJ37" i="30"/>
  <c r="AK37" i="30"/>
  <c r="AL37" i="30"/>
  <c r="AM37" i="30"/>
  <c r="AN37" i="30"/>
  <c r="AO37" i="30"/>
  <c r="AP37" i="30"/>
  <c r="AQ37" i="30"/>
  <c r="AR37" i="30"/>
  <c r="AS37" i="30"/>
  <c r="AT37" i="30"/>
  <c r="AU37" i="30"/>
  <c r="AV37" i="30"/>
  <c r="AW37" i="30"/>
  <c r="AX37" i="30"/>
  <c r="AY37" i="30"/>
  <c r="AZ37" i="30"/>
  <c r="BA37" i="30"/>
  <c r="BB37" i="30"/>
  <c r="BC37" i="30"/>
  <c r="BD37" i="30"/>
  <c r="BE37" i="30"/>
  <c r="BF37" i="30"/>
  <c r="BG37" i="30"/>
  <c r="BH37" i="30"/>
  <c r="BI37" i="30"/>
  <c r="BJ37" i="30"/>
  <c r="BK37" i="30"/>
  <c r="BL37" i="30"/>
  <c r="BM37" i="30"/>
  <c r="BN37" i="30"/>
  <c r="BO37" i="30"/>
  <c r="BP37" i="30"/>
  <c r="BQ37" i="30"/>
  <c r="BR37" i="30"/>
  <c r="BS37" i="30"/>
  <c r="BT37" i="30"/>
  <c r="BU37" i="30"/>
  <c r="BV37" i="30"/>
  <c r="BW37" i="30"/>
  <c r="BX37" i="30"/>
  <c r="BY37" i="30"/>
  <c r="BZ37" i="30"/>
  <c r="CA37" i="30"/>
  <c r="CB37" i="30"/>
  <c r="CC37" i="30"/>
  <c r="CD37" i="30"/>
  <c r="CE37" i="30"/>
  <c r="CF37" i="30"/>
  <c r="CG37" i="30"/>
  <c r="CH37" i="30"/>
  <c r="CI37" i="30"/>
  <c r="CJ37" i="30"/>
  <c r="CK37" i="30"/>
  <c r="CL37" i="30"/>
  <c r="CM37" i="30"/>
  <c r="CN37" i="30"/>
  <c r="CO37" i="30"/>
  <c r="CP37" i="30"/>
  <c r="CQ37" i="30"/>
  <c r="CR37" i="30"/>
  <c r="CS37" i="30"/>
  <c r="CT37" i="30"/>
  <c r="CU37" i="30"/>
  <c r="CV37" i="30"/>
  <c r="CW37" i="30"/>
  <c r="CX37" i="30"/>
  <c r="CY37" i="30"/>
  <c r="CZ37" i="30"/>
  <c r="DA37" i="30"/>
  <c r="DB37" i="30"/>
  <c r="DC37" i="30"/>
  <c r="DD37" i="30"/>
  <c r="DE37" i="30"/>
  <c r="DF37" i="30"/>
  <c r="DG37" i="30"/>
  <c r="DH37" i="30"/>
  <c r="DI37" i="30"/>
  <c r="DJ37" i="30"/>
  <c r="DK37" i="30"/>
  <c r="DL37" i="30"/>
  <c r="DM37" i="30"/>
  <c r="DN37" i="30"/>
  <c r="DO37" i="30"/>
  <c r="DP37" i="30"/>
  <c r="DQ37" i="30"/>
  <c r="DR37" i="30"/>
  <c r="DS37" i="30"/>
  <c r="DT37" i="30"/>
  <c r="DU37" i="30"/>
  <c r="DV37" i="30"/>
  <c r="DW37" i="30"/>
  <c r="DX37" i="30"/>
  <c r="DY37" i="30"/>
  <c r="DZ37" i="30"/>
  <c r="EA37" i="30"/>
  <c r="EB37" i="30"/>
  <c r="EC37" i="30"/>
  <c r="ED37" i="30"/>
  <c r="EE37" i="30"/>
  <c r="EF37" i="30"/>
  <c r="EG37" i="30"/>
  <c r="EH37" i="30"/>
  <c r="EI37" i="30"/>
  <c r="EJ37" i="30"/>
  <c r="EK37" i="30"/>
  <c r="EL37" i="30"/>
  <c r="EM37" i="30"/>
  <c r="EN37" i="30"/>
  <c r="EO37" i="30"/>
  <c r="EP37" i="30"/>
  <c r="EQ37" i="30"/>
  <c r="ER37" i="30"/>
  <c r="ES37" i="30"/>
  <c r="ET37" i="30"/>
  <c r="EU37" i="30"/>
  <c r="EV37" i="30"/>
  <c r="EW37" i="30"/>
  <c r="EX37" i="30"/>
  <c r="EY37" i="30"/>
  <c r="EZ37" i="30"/>
  <c r="FA37" i="30"/>
  <c r="FB37" i="30"/>
  <c r="FC37" i="30"/>
  <c r="FD37" i="30"/>
  <c r="FE37" i="30"/>
  <c r="FF37" i="30"/>
  <c r="FG37" i="30"/>
  <c r="FH37" i="30"/>
  <c r="FI37" i="30"/>
  <c r="FJ37" i="30"/>
  <c r="FK37" i="30"/>
  <c r="FL37" i="30"/>
  <c r="FM37" i="30"/>
  <c r="FN37" i="30"/>
  <c r="FO37" i="30"/>
  <c r="FP37" i="30"/>
  <c r="FQ37" i="30"/>
  <c r="FR37" i="30"/>
  <c r="FS37" i="30"/>
  <c r="FT37" i="30"/>
  <c r="FU37" i="30"/>
  <c r="FV37" i="30"/>
  <c r="FW37" i="30"/>
  <c r="FX37" i="30"/>
  <c r="FY37" i="30"/>
  <c r="FZ37" i="30"/>
  <c r="GA37" i="30"/>
  <c r="GB37" i="30"/>
  <c r="GC37" i="30"/>
  <c r="GD37" i="30"/>
  <c r="GE37" i="30"/>
  <c r="GF37" i="30"/>
  <c r="GG37" i="30"/>
  <c r="GH37" i="30"/>
  <c r="GI37" i="30"/>
  <c r="GJ37" i="30"/>
  <c r="GK37" i="30"/>
  <c r="GL37" i="30"/>
  <c r="GM37" i="30"/>
  <c r="GN37" i="30"/>
  <c r="GO37" i="30"/>
  <c r="GP37" i="30"/>
  <c r="GQ37" i="30"/>
  <c r="GR37" i="30"/>
  <c r="GS37" i="30"/>
  <c r="GT37" i="30"/>
  <c r="GU37" i="30"/>
  <c r="GV37" i="30"/>
  <c r="GW37" i="30"/>
  <c r="GX37" i="30"/>
  <c r="GY37" i="30"/>
  <c r="GZ37" i="30"/>
  <c r="HA37" i="30"/>
  <c r="HB37" i="30"/>
  <c r="HC37" i="30"/>
  <c r="HD37" i="30"/>
  <c r="HE37" i="30"/>
  <c r="HF37" i="30"/>
  <c r="HG37" i="30"/>
  <c r="HH37" i="30"/>
  <c r="HI37" i="30"/>
  <c r="HJ37" i="30"/>
  <c r="HK37" i="30"/>
  <c r="HL37" i="30"/>
  <c r="HM37" i="30"/>
  <c r="HN37" i="30"/>
  <c r="HO37" i="30"/>
  <c r="HP37" i="30"/>
  <c r="HQ37" i="30"/>
  <c r="HR37" i="30"/>
  <c r="HS37" i="30"/>
  <c r="HT37" i="30"/>
  <c r="HU37" i="30"/>
  <c r="HV37" i="30"/>
  <c r="HW37" i="30"/>
  <c r="HX37" i="30"/>
  <c r="HY37" i="30"/>
  <c r="HZ37" i="30"/>
  <c r="IA37" i="30"/>
  <c r="IB37" i="30"/>
  <c r="IC37" i="30"/>
  <c r="ID37" i="30"/>
  <c r="IE37" i="30"/>
  <c r="IF37" i="30"/>
  <c r="IG37" i="30"/>
  <c r="IH37" i="30"/>
  <c r="II37" i="30"/>
  <c r="IJ37" i="30"/>
  <c r="IK37" i="30"/>
  <c r="IL37" i="30"/>
  <c r="IM37" i="30"/>
  <c r="IN37" i="30"/>
  <c r="IO37" i="30"/>
  <c r="IP37" i="30"/>
  <c r="IQ37" i="30"/>
  <c r="IR37" i="30"/>
  <c r="IS37" i="30"/>
  <c r="IT37" i="30"/>
  <c r="IU37" i="30"/>
  <c r="IV37" i="30"/>
  <c r="A36" i="30"/>
  <c r="B36" i="30"/>
  <c r="C36" i="30"/>
  <c r="D36" i="30"/>
  <c r="E36" i="30"/>
  <c r="F36" i="30"/>
  <c r="G36" i="30"/>
  <c r="H36" i="30"/>
  <c r="I36" i="30"/>
  <c r="J36" i="30"/>
  <c r="K36" i="30"/>
  <c r="L36" i="30"/>
  <c r="M36" i="30"/>
  <c r="N36" i="30"/>
  <c r="O36" i="30"/>
  <c r="P36" i="30"/>
  <c r="Q36" i="30"/>
  <c r="R36" i="30"/>
  <c r="S36" i="30"/>
  <c r="T36" i="30"/>
  <c r="U36" i="30"/>
  <c r="V36" i="30"/>
  <c r="W36" i="30"/>
  <c r="X36" i="30"/>
  <c r="Y36" i="30"/>
  <c r="Z36" i="30"/>
  <c r="AA36" i="30"/>
  <c r="AB36" i="30"/>
  <c r="AC36" i="30"/>
  <c r="AD36" i="30"/>
  <c r="AE36" i="30"/>
  <c r="AF36" i="30"/>
  <c r="AG36" i="30"/>
  <c r="AH36" i="30"/>
  <c r="AI36" i="30"/>
  <c r="AJ36" i="30"/>
  <c r="AK36" i="30"/>
  <c r="AL36" i="30"/>
  <c r="AM36" i="30"/>
  <c r="AN36" i="30"/>
  <c r="AO36" i="30"/>
  <c r="AP36" i="30"/>
  <c r="AQ36" i="30"/>
  <c r="AR36" i="30"/>
  <c r="AS36" i="30"/>
  <c r="AT36" i="30"/>
  <c r="AU36" i="30"/>
  <c r="AV36" i="30"/>
  <c r="AW36" i="30"/>
  <c r="AX36" i="30"/>
  <c r="AY36" i="30"/>
  <c r="AZ36" i="30"/>
  <c r="BA36" i="30"/>
  <c r="BB36" i="30"/>
  <c r="BC36" i="30"/>
  <c r="BD36" i="30"/>
  <c r="BE36" i="30"/>
  <c r="BF36" i="30"/>
  <c r="BG36" i="30"/>
  <c r="BH36" i="30"/>
  <c r="BI36" i="30"/>
  <c r="BJ36" i="30"/>
  <c r="BK36" i="30"/>
  <c r="BL36" i="30"/>
  <c r="BM36" i="30"/>
  <c r="BN36" i="30"/>
  <c r="BO36" i="30"/>
  <c r="BP36" i="30"/>
  <c r="BQ36" i="30"/>
  <c r="BR36" i="30"/>
  <c r="BS36" i="30"/>
  <c r="BT36" i="30"/>
  <c r="BU36" i="30"/>
  <c r="BV36" i="30"/>
  <c r="BW36" i="30"/>
  <c r="BX36" i="30"/>
  <c r="BY36" i="30"/>
  <c r="BZ36" i="30"/>
  <c r="CA36" i="30"/>
  <c r="CB36" i="30"/>
  <c r="CC36" i="30"/>
  <c r="CD36" i="30"/>
  <c r="CE36" i="30"/>
  <c r="CF36" i="30"/>
  <c r="CG36" i="30"/>
  <c r="CH36" i="30"/>
  <c r="CI36" i="30"/>
  <c r="CJ36" i="30"/>
  <c r="CK36" i="30"/>
  <c r="CL36" i="30"/>
  <c r="CM36" i="30"/>
  <c r="CN36" i="30"/>
  <c r="CO36" i="30"/>
  <c r="CP36" i="30"/>
  <c r="CQ36" i="30"/>
  <c r="CR36" i="30"/>
  <c r="CS36" i="30"/>
  <c r="CT36" i="30"/>
  <c r="CU36" i="30"/>
  <c r="CV36" i="30"/>
  <c r="CW36" i="30"/>
  <c r="CX36" i="30"/>
  <c r="CY36" i="30"/>
  <c r="CZ36" i="30"/>
  <c r="DA36" i="30"/>
  <c r="DB36" i="30"/>
  <c r="DC36" i="30"/>
  <c r="DD36" i="30"/>
  <c r="DE36" i="30"/>
  <c r="DF36" i="30"/>
  <c r="DG36" i="30"/>
  <c r="DH36" i="30"/>
  <c r="DI36" i="30"/>
  <c r="DJ36" i="30"/>
  <c r="DK36" i="30"/>
  <c r="DL36" i="30"/>
  <c r="DM36" i="30"/>
  <c r="DN36" i="30"/>
  <c r="DO36" i="30"/>
  <c r="DP36" i="30"/>
  <c r="DQ36" i="30"/>
  <c r="DR36" i="30"/>
  <c r="DS36" i="30"/>
  <c r="DT36" i="30"/>
  <c r="DU36" i="30"/>
  <c r="DV36" i="30"/>
  <c r="DW36" i="30"/>
  <c r="DX36" i="30"/>
  <c r="DY36" i="30"/>
  <c r="DZ36" i="30"/>
  <c r="EA36" i="30"/>
  <c r="EB36" i="30"/>
  <c r="EC36" i="30"/>
  <c r="ED36" i="30"/>
  <c r="EE36" i="30"/>
  <c r="EF36" i="30"/>
  <c r="EG36" i="30"/>
  <c r="EH36" i="30"/>
  <c r="EI36" i="30"/>
  <c r="EJ36" i="30"/>
  <c r="EK36" i="30"/>
  <c r="EL36" i="30"/>
  <c r="EM36" i="30"/>
  <c r="EN36" i="30"/>
  <c r="EO36" i="30"/>
  <c r="EP36" i="30"/>
  <c r="EQ36" i="30"/>
  <c r="ER36" i="30"/>
  <c r="ES36" i="30"/>
  <c r="ET36" i="30"/>
  <c r="EU36" i="30"/>
  <c r="EV36" i="30"/>
  <c r="EW36" i="30"/>
  <c r="EX36" i="30"/>
  <c r="EY36" i="30"/>
  <c r="EZ36" i="30"/>
  <c r="FA36" i="30"/>
  <c r="FB36" i="30"/>
  <c r="FC36" i="30"/>
  <c r="FD36" i="30"/>
  <c r="FE36" i="30"/>
  <c r="FF36" i="30"/>
  <c r="FG36" i="30"/>
  <c r="FH36" i="30"/>
  <c r="FI36" i="30"/>
  <c r="FJ36" i="30"/>
  <c r="FK36" i="30"/>
  <c r="FL36" i="30"/>
  <c r="FM36" i="30"/>
  <c r="FN36" i="30"/>
  <c r="FO36" i="30"/>
  <c r="FP36" i="30"/>
  <c r="FQ36" i="30"/>
  <c r="FR36" i="30"/>
  <c r="FS36" i="30"/>
  <c r="FT36" i="30"/>
  <c r="FU36" i="30"/>
  <c r="FV36" i="30"/>
  <c r="FW36" i="30"/>
  <c r="FX36" i="30"/>
  <c r="FY36" i="30"/>
  <c r="FZ36" i="30"/>
  <c r="GA36" i="30"/>
  <c r="GB36" i="30"/>
  <c r="GC36" i="30"/>
  <c r="GD36" i="30"/>
  <c r="GE36" i="30"/>
  <c r="GF36" i="30"/>
  <c r="GG36" i="30"/>
  <c r="GH36" i="30"/>
  <c r="GI36" i="30"/>
  <c r="GJ36" i="30"/>
  <c r="GK36" i="30"/>
  <c r="GL36" i="30"/>
  <c r="GM36" i="30"/>
  <c r="GN36" i="30"/>
  <c r="GO36" i="30"/>
  <c r="GP36" i="30"/>
  <c r="GQ36" i="30"/>
  <c r="GR36" i="30"/>
  <c r="GS36" i="30"/>
  <c r="GT36" i="30"/>
  <c r="GU36" i="30"/>
  <c r="GV36" i="30"/>
  <c r="GW36" i="30"/>
  <c r="GX36" i="30"/>
  <c r="GY36" i="30"/>
  <c r="GZ36" i="30"/>
  <c r="HA36" i="30"/>
  <c r="HB36" i="30"/>
  <c r="HC36" i="30"/>
  <c r="HD36" i="30"/>
  <c r="HE36" i="30"/>
  <c r="HF36" i="30"/>
  <c r="HG36" i="30"/>
  <c r="HH36" i="30"/>
  <c r="HI36" i="30"/>
  <c r="HJ36" i="30"/>
  <c r="HK36" i="30"/>
  <c r="HL36" i="30"/>
  <c r="HM36" i="30"/>
  <c r="HN36" i="30"/>
  <c r="HO36" i="30"/>
  <c r="HP36" i="30"/>
  <c r="HQ36" i="30"/>
  <c r="HR36" i="30"/>
  <c r="HS36" i="30"/>
  <c r="HT36" i="30"/>
  <c r="HU36" i="30"/>
  <c r="HV36" i="30"/>
  <c r="HW36" i="30"/>
  <c r="HX36" i="30"/>
  <c r="HY36" i="30"/>
  <c r="HZ36" i="30"/>
  <c r="IA36" i="30"/>
  <c r="IB36" i="30"/>
  <c r="IC36" i="30"/>
  <c r="ID36" i="30"/>
  <c r="IE36" i="30"/>
  <c r="IF36" i="30"/>
  <c r="IG36" i="30"/>
  <c r="IH36" i="30"/>
  <c r="II36" i="30"/>
  <c r="IJ36" i="30"/>
  <c r="IK36" i="30"/>
  <c r="IL36" i="30"/>
  <c r="IM36" i="30"/>
  <c r="IN36" i="30"/>
  <c r="IO36" i="30"/>
  <c r="IP36" i="30"/>
  <c r="IQ36" i="30"/>
  <c r="IR36" i="30"/>
  <c r="IS36" i="30"/>
  <c r="IT36" i="30"/>
  <c r="IU36" i="30"/>
  <c r="IV36" i="30"/>
  <c r="A35" i="30"/>
  <c r="B35" i="30"/>
  <c r="C35" i="30"/>
  <c r="D35" i="30"/>
  <c r="E35" i="30"/>
  <c r="F35" i="30"/>
  <c r="G35" i="30"/>
  <c r="H35" i="30"/>
  <c r="I35" i="30"/>
  <c r="J35" i="30"/>
  <c r="K35" i="30"/>
  <c r="L35" i="30"/>
  <c r="M35" i="30"/>
  <c r="N35" i="30"/>
  <c r="O35" i="30"/>
  <c r="P35" i="30"/>
  <c r="Q35" i="30"/>
  <c r="R35" i="30"/>
  <c r="S35" i="30"/>
  <c r="T35" i="30"/>
  <c r="U35" i="30"/>
  <c r="V35" i="30"/>
  <c r="W35" i="30"/>
  <c r="X35" i="30"/>
  <c r="Y35" i="30"/>
  <c r="Z35" i="30"/>
  <c r="AA35" i="30"/>
  <c r="AB35" i="30"/>
  <c r="AC35" i="30"/>
  <c r="AD35" i="30"/>
  <c r="AE35" i="30"/>
  <c r="AF35" i="30"/>
  <c r="AG35" i="30"/>
  <c r="AH35" i="30"/>
  <c r="AI35" i="30"/>
  <c r="AJ35" i="30"/>
  <c r="AK35" i="30"/>
  <c r="AL35" i="30"/>
  <c r="AM35" i="30"/>
  <c r="AN35" i="30"/>
  <c r="AO35" i="30"/>
  <c r="AP35" i="30"/>
  <c r="AQ35" i="30"/>
  <c r="AR35" i="30"/>
  <c r="AS35" i="30"/>
  <c r="AT35" i="30"/>
  <c r="AU35" i="30"/>
  <c r="AV35" i="30"/>
  <c r="AW35" i="30"/>
  <c r="AX35" i="30"/>
  <c r="AY35" i="30"/>
  <c r="AZ35" i="30"/>
  <c r="BA35" i="30"/>
  <c r="BB35" i="30"/>
  <c r="BC35" i="30"/>
  <c r="BD35" i="30"/>
  <c r="BE35" i="30"/>
  <c r="BF35" i="30"/>
  <c r="BG35" i="30"/>
  <c r="BH35" i="30"/>
  <c r="BI35" i="30"/>
  <c r="BJ35" i="30"/>
  <c r="BK35" i="30"/>
  <c r="BL35" i="30"/>
  <c r="BM35" i="30"/>
  <c r="BN35" i="30"/>
  <c r="BO35" i="30"/>
  <c r="BP35" i="30"/>
  <c r="BQ35" i="30"/>
  <c r="BR35" i="30"/>
  <c r="BS35" i="30"/>
  <c r="BT35" i="30"/>
  <c r="BU35" i="30"/>
  <c r="BV35" i="30"/>
  <c r="BW35" i="30"/>
  <c r="BX35" i="30"/>
  <c r="BY35" i="30"/>
  <c r="BZ35" i="30"/>
  <c r="CA35" i="30"/>
  <c r="CB35" i="30"/>
  <c r="CC35" i="30"/>
  <c r="CD35" i="30"/>
  <c r="CE35" i="30"/>
  <c r="CF35" i="30"/>
  <c r="CG35" i="30"/>
  <c r="CH35" i="30"/>
  <c r="CI35" i="30"/>
  <c r="CJ35" i="30"/>
  <c r="CK35" i="30"/>
  <c r="CL35" i="30"/>
  <c r="CM35" i="30"/>
  <c r="CN35" i="30"/>
  <c r="CO35" i="30"/>
  <c r="CP35" i="30"/>
  <c r="CQ35" i="30"/>
  <c r="CR35" i="30"/>
  <c r="CS35" i="30"/>
  <c r="CT35" i="30"/>
  <c r="CU35" i="30"/>
  <c r="CV35" i="30"/>
  <c r="CW35" i="30"/>
  <c r="CX35" i="30"/>
  <c r="CY35" i="30"/>
  <c r="CZ35" i="30"/>
  <c r="DA35" i="30"/>
  <c r="DB35" i="30"/>
  <c r="DC35" i="30"/>
  <c r="DD35" i="30"/>
  <c r="DE35" i="30"/>
  <c r="DF35" i="30"/>
  <c r="DG35" i="30"/>
  <c r="DH35" i="30"/>
  <c r="DI35" i="30"/>
  <c r="DJ35" i="30"/>
  <c r="DK35" i="30"/>
  <c r="DL35" i="30"/>
  <c r="DM35" i="30"/>
  <c r="DN35" i="30"/>
  <c r="DO35" i="30"/>
  <c r="DP35" i="30"/>
  <c r="DQ35" i="30"/>
  <c r="DR35" i="30"/>
  <c r="DS35" i="30"/>
  <c r="DT35" i="30"/>
  <c r="DU35" i="30"/>
  <c r="DV35" i="30"/>
  <c r="DW35" i="30"/>
  <c r="DX35" i="30"/>
  <c r="DY35" i="30"/>
  <c r="DZ35" i="30"/>
  <c r="EA35" i="30"/>
  <c r="EB35" i="30"/>
  <c r="EC35" i="30"/>
  <c r="ED35" i="30"/>
  <c r="EE35" i="30"/>
  <c r="EF35" i="30"/>
  <c r="EG35" i="30"/>
  <c r="EH35" i="30"/>
  <c r="EI35" i="30"/>
  <c r="EJ35" i="30"/>
  <c r="EK35" i="30"/>
  <c r="EL35" i="30"/>
  <c r="EM35" i="30"/>
  <c r="EN35" i="30"/>
  <c r="EO35" i="30"/>
  <c r="EP35" i="30"/>
  <c r="EQ35" i="30"/>
  <c r="ER35" i="30"/>
  <c r="ES35" i="30"/>
  <c r="ET35" i="30"/>
  <c r="EU35" i="30"/>
  <c r="EV35" i="30"/>
  <c r="EW35" i="30"/>
  <c r="EX35" i="30"/>
  <c r="EY35" i="30"/>
  <c r="EZ35" i="30"/>
  <c r="FA35" i="30"/>
  <c r="FB35" i="30"/>
  <c r="FC35" i="30"/>
  <c r="FD35" i="30"/>
  <c r="FE35" i="30"/>
  <c r="FF35" i="30"/>
  <c r="FG35" i="30"/>
  <c r="FH35" i="30"/>
  <c r="FI35" i="30"/>
  <c r="FJ35" i="30"/>
  <c r="FK35" i="30"/>
  <c r="FL35" i="30"/>
  <c r="FM35" i="30"/>
  <c r="FN35" i="30"/>
  <c r="FO35" i="30"/>
  <c r="FP35" i="30"/>
  <c r="FQ35" i="30"/>
  <c r="FR35" i="30"/>
  <c r="FS35" i="30"/>
  <c r="FT35" i="30"/>
  <c r="FU35" i="30"/>
  <c r="FV35" i="30"/>
  <c r="FW35" i="30"/>
  <c r="FX35" i="30"/>
  <c r="FY35" i="30"/>
  <c r="FZ35" i="30"/>
  <c r="GA35" i="30"/>
  <c r="GB35" i="30"/>
  <c r="GC35" i="30"/>
  <c r="GD35" i="30"/>
  <c r="GE35" i="30"/>
  <c r="GF35" i="30"/>
  <c r="GG35" i="30"/>
  <c r="GH35" i="30"/>
  <c r="GI35" i="30"/>
  <c r="GJ35" i="30"/>
  <c r="GK35" i="30"/>
  <c r="GL35" i="30"/>
  <c r="GM35" i="30"/>
  <c r="GN35" i="30"/>
  <c r="GO35" i="30"/>
  <c r="GP35" i="30"/>
  <c r="GQ35" i="30"/>
  <c r="GR35" i="30"/>
  <c r="GS35" i="30"/>
  <c r="GT35" i="30"/>
  <c r="GU35" i="30"/>
  <c r="GV35" i="30"/>
  <c r="GW35" i="30"/>
  <c r="GX35" i="30"/>
  <c r="GY35" i="30"/>
  <c r="GZ35" i="30"/>
  <c r="HA35" i="30"/>
  <c r="HB35" i="30"/>
  <c r="HC35" i="30"/>
  <c r="HD35" i="30"/>
  <c r="HE35" i="30"/>
  <c r="HF35" i="30"/>
  <c r="HG35" i="30"/>
  <c r="HH35" i="30"/>
  <c r="HI35" i="30"/>
  <c r="HJ35" i="30"/>
  <c r="HK35" i="30"/>
  <c r="HL35" i="30"/>
  <c r="HM35" i="30"/>
  <c r="HN35" i="30"/>
  <c r="HO35" i="30"/>
  <c r="HP35" i="30"/>
  <c r="HQ35" i="30"/>
  <c r="HR35" i="30"/>
  <c r="HS35" i="30"/>
  <c r="HT35" i="30"/>
  <c r="HU35" i="30"/>
  <c r="HV35" i="30"/>
  <c r="HW35" i="30"/>
  <c r="HX35" i="30"/>
  <c r="HY35" i="30"/>
  <c r="HZ35" i="30"/>
  <c r="IA35" i="30"/>
  <c r="IB35" i="30"/>
  <c r="IC35" i="30"/>
  <c r="ID35" i="30"/>
  <c r="IE35" i="30"/>
  <c r="IF35" i="30"/>
  <c r="IG35" i="30"/>
  <c r="IH35" i="30"/>
  <c r="II35" i="30"/>
  <c r="IJ35" i="30"/>
  <c r="IK35" i="30"/>
  <c r="IL35" i="30"/>
  <c r="IM35" i="30"/>
  <c r="IN35" i="30"/>
  <c r="IO35" i="30"/>
  <c r="IP35" i="30"/>
  <c r="IQ35" i="30"/>
  <c r="IR35" i="30"/>
  <c r="IS35" i="30"/>
  <c r="IT35" i="30"/>
  <c r="IU35" i="30"/>
  <c r="IV35" i="30"/>
  <c r="A34" i="30"/>
  <c r="B34" i="30"/>
  <c r="C34" i="30"/>
  <c r="D34" i="30"/>
  <c r="E34" i="30"/>
  <c r="F34" i="30"/>
  <c r="G34" i="30"/>
  <c r="H34" i="30"/>
  <c r="I34" i="30"/>
  <c r="J34" i="30"/>
  <c r="K34" i="30"/>
  <c r="L34" i="30"/>
  <c r="M34" i="30"/>
  <c r="N34" i="30"/>
  <c r="O34" i="30"/>
  <c r="P34" i="30"/>
  <c r="Q34" i="30"/>
  <c r="R34" i="30"/>
  <c r="S34" i="30"/>
  <c r="T34" i="30"/>
  <c r="U34" i="30"/>
  <c r="V34" i="30"/>
  <c r="W34" i="30"/>
  <c r="X34" i="30"/>
  <c r="Y34" i="30"/>
  <c r="Z34" i="30"/>
  <c r="AA34" i="30"/>
  <c r="AB34" i="30"/>
  <c r="AC34" i="30"/>
  <c r="AD34" i="30"/>
  <c r="AE34" i="30"/>
  <c r="AF34" i="30"/>
  <c r="AG34" i="30"/>
  <c r="AH34" i="30"/>
  <c r="AI34" i="30"/>
  <c r="AJ34" i="30"/>
  <c r="AK34" i="30"/>
  <c r="AL34" i="30"/>
  <c r="AM34" i="30"/>
  <c r="AN34" i="30"/>
  <c r="AO34" i="30"/>
  <c r="AP34" i="30"/>
  <c r="AQ34" i="30"/>
  <c r="AR34" i="30"/>
  <c r="AS34" i="30"/>
  <c r="AT34" i="30"/>
  <c r="AU34" i="30"/>
  <c r="AV34" i="30"/>
  <c r="AW34" i="30"/>
  <c r="AX34" i="30"/>
  <c r="AY34" i="30"/>
  <c r="AZ34" i="30"/>
  <c r="BA34" i="30"/>
  <c r="BB34" i="30"/>
  <c r="BC34" i="30"/>
  <c r="BD34" i="30"/>
  <c r="BE34" i="30"/>
  <c r="BF34" i="30"/>
  <c r="BG34" i="30"/>
  <c r="BH34" i="30"/>
  <c r="BI34" i="30"/>
  <c r="BJ34" i="30"/>
  <c r="BK34" i="30"/>
  <c r="BL34" i="30"/>
  <c r="BM34" i="30"/>
  <c r="BN34" i="30"/>
  <c r="BO34" i="30"/>
  <c r="BP34" i="30"/>
  <c r="BQ34" i="30"/>
  <c r="BR34" i="30"/>
  <c r="BS34" i="30"/>
  <c r="BT34" i="30"/>
  <c r="BU34" i="30"/>
  <c r="BV34" i="30"/>
  <c r="BW34" i="30"/>
  <c r="BX34" i="30"/>
  <c r="BY34" i="30"/>
  <c r="BZ34" i="30"/>
  <c r="CA34" i="30"/>
  <c r="CB34" i="30"/>
  <c r="CC34" i="30"/>
  <c r="CD34" i="30"/>
  <c r="CE34" i="30"/>
  <c r="CF34" i="30"/>
  <c r="CG34" i="30"/>
  <c r="CH34" i="30"/>
  <c r="CI34" i="30"/>
  <c r="CJ34" i="30"/>
  <c r="CK34" i="30"/>
  <c r="CL34" i="30"/>
  <c r="CM34" i="30"/>
  <c r="CN34" i="30"/>
  <c r="CO34" i="30"/>
  <c r="CP34" i="30"/>
  <c r="CQ34" i="30"/>
  <c r="CR34" i="30"/>
  <c r="CS34" i="30"/>
  <c r="CT34" i="30"/>
  <c r="CU34" i="30"/>
  <c r="CV34" i="30"/>
  <c r="CW34" i="30"/>
  <c r="CX34" i="30"/>
  <c r="CY34" i="30"/>
  <c r="CZ34" i="30"/>
  <c r="DA34" i="30"/>
  <c r="DB34" i="30"/>
  <c r="DC34" i="30"/>
  <c r="DD34" i="30"/>
  <c r="DE34" i="30"/>
  <c r="DF34" i="30"/>
  <c r="DG34" i="30"/>
  <c r="DH34" i="30"/>
  <c r="DI34" i="30"/>
  <c r="DJ34" i="30"/>
  <c r="DK34" i="30"/>
  <c r="DL34" i="30"/>
  <c r="DM34" i="30"/>
  <c r="DN34" i="30"/>
  <c r="DO34" i="30"/>
  <c r="DP34" i="30"/>
  <c r="DQ34" i="30"/>
  <c r="DR34" i="30"/>
  <c r="DS34" i="30"/>
  <c r="DT34" i="30"/>
  <c r="DU34" i="30"/>
  <c r="DV34" i="30"/>
  <c r="DW34" i="30"/>
  <c r="DX34" i="30"/>
  <c r="DY34" i="30"/>
  <c r="DZ34" i="30"/>
  <c r="EA34" i="30"/>
  <c r="EB34" i="30"/>
  <c r="EC34" i="30"/>
  <c r="ED34" i="30"/>
  <c r="EE34" i="30"/>
  <c r="EF34" i="30"/>
  <c r="EG34" i="30"/>
  <c r="EH34" i="30"/>
  <c r="EI34" i="30"/>
  <c r="EJ34" i="30"/>
  <c r="EK34" i="30"/>
  <c r="EL34" i="30"/>
  <c r="EM34" i="30"/>
  <c r="EN34" i="30"/>
  <c r="EO34" i="30"/>
  <c r="EP34" i="30"/>
  <c r="EQ34" i="30"/>
  <c r="ER34" i="30"/>
  <c r="ES34" i="30"/>
  <c r="ET34" i="30"/>
  <c r="EU34" i="30"/>
  <c r="EV34" i="30"/>
  <c r="EW34" i="30"/>
  <c r="EX34" i="30"/>
  <c r="EY34" i="30"/>
  <c r="EZ34" i="30"/>
  <c r="FA34" i="30"/>
  <c r="FB34" i="30"/>
  <c r="FC34" i="30"/>
  <c r="FD34" i="30"/>
  <c r="FE34" i="30"/>
  <c r="FF34" i="30"/>
  <c r="FG34" i="30"/>
  <c r="FH34" i="30"/>
  <c r="FI34" i="30"/>
  <c r="FJ34" i="30"/>
  <c r="FK34" i="30"/>
  <c r="FL34" i="30"/>
  <c r="FM34" i="30"/>
  <c r="FN34" i="30"/>
  <c r="FO34" i="30"/>
  <c r="FP34" i="30"/>
  <c r="FQ34" i="30"/>
  <c r="FR34" i="30"/>
  <c r="FS34" i="30"/>
  <c r="FT34" i="30"/>
  <c r="FU34" i="30"/>
  <c r="FV34" i="30"/>
  <c r="FW34" i="30"/>
  <c r="FX34" i="30"/>
  <c r="FY34" i="30"/>
  <c r="FZ34" i="30"/>
  <c r="GA34" i="30"/>
  <c r="GB34" i="30"/>
  <c r="GC34" i="30"/>
  <c r="GD34" i="30"/>
  <c r="GE34" i="30"/>
  <c r="GF34" i="30"/>
  <c r="GG34" i="30"/>
  <c r="GH34" i="30"/>
  <c r="GI34" i="30"/>
  <c r="GJ34" i="30"/>
  <c r="GK34" i="30"/>
  <c r="GL34" i="30"/>
  <c r="GM34" i="30"/>
  <c r="GN34" i="30"/>
  <c r="GO34" i="30"/>
  <c r="GP34" i="30"/>
  <c r="GQ34" i="30"/>
  <c r="GR34" i="30"/>
  <c r="GS34" i="30"/>
  <c r="GT34" i="30"/>
  <c r="GU34" i="30"/>
  <c r="GV34" i="30"/>
  <c r="GW34" i="30"/>
  <c r="GX34" i="30"/>
  <c r="GY34" i="30"/>
  <c r="GZ34" i="30"/>
  <c r="HA34" i="30"/>
  <c r="HB34" i="30"/>
  <c r="HC34" i="30"/>
  <c r="HD34" i="30"/>
  <c r="HE34" i="30"/>
  <c r="HF34" i="30"/>
  <c r="HG34" i="30"/>
  <c r="HH34" i="30"/>
  <c r="HI34" i="30"/>
  <c r="HJ34" i="30"/>
  <c r="HK34" i="30"/>
  <c r="HL34" i="30"/>
  <c r="HM34" i="30"/>
  <c r="HN34" i="30"/>
  <c r="HO34" i="30"/>
  <c r="HP34" i="30"/>
  <c r="HQ34" i="30"/>
  <c r="HR34" i="30"/>
  <c r="HS34" i="30"/>
  <c r="HT34" i="30"/>
  <c r="HU34" i="30"/>
  <c r="HV34" i="30"/>
  <c r="HW34" i="30"/>
  <c r="HX34" i="30"/>
  <c r="HY34" i="30"/>
  <c r="HZ34" i="30"/>
  <c r="IA34" i="30"/>
  <c r="IB34" i="30"/>
  <c r="IC34" i="30"/>
  <c r="ID34" i="30"/>
  <c r="IE34" i="30"/>
  <c r="IF34" i="30"/>
  <c r="IG34" i="30"/>
  <c r="IH34" i="30"/>
  <c r="II34" i="30"/>
  <c r="IJ34" i="30"/>
  <c r="IK34" i="30"/>
  <c r="IL34" i="30"/>
  <c r="IM34" i="30"/>
  <c r="IN34" i="30"/>
  <c r="IO34" i="30"/>
  <c r="IP34" i="30"/>
  <c r="IQ34" i="30"/>
  <c r="IR34" i="30"/>
  <c r="IS34" i="30"/>
  <c r="IT34" i="30"/>
  <c r="IU34" i="30"/>
  <c r="IV34" i="30"/>
  <c r="A33" i="30"/>
  <c r="B33" i="30"/>
  <c r="C33" i="30"/>
  <c r="D33" i="30"/>
  <c r="E33" i="30"/>
  <c r="F33" i="30"/>
  <c r="G33" i="30"/>
  <c r="H33" i="30"/>
  <c r="I33" i="30"/>
  <c r="J33" i="30"/>
  <c r="K33" i="30"/>
  <c r="L33" i="30"/>
  <c r="M33" i="30"/>
  <c r="N33" i="30"/>
  <c r="O33" i="30"/>
  <c r="P33" i="30"/>
  <c r="Q33" i="30"/>
  <c r="R33" i="30"/>
  <c r="S33" i="30"/>
  <c r="T33" i="30"/>
  <c r="U33" i="30"/>
  <c r="V33" i="30"/>
  <c r="W33" i="30"/>
  <c r="X33" i="30"/>
  <c r="Y33" i="30"/>
  <c r="Z33" i="30"/>
  <c r="AA33" i="30"/>
  <c r="AB33" i="30"/>
  <c r="AC33" i="30"/>
  <c r="AD33" i="30"/>
  <c r="AE33" i="30"/>
  <c r="AF33" i="30"/>
  <c r="AG33" i="30"/>
  <c r="AH33" i="30"/>
  <c r="AI33" i="30"/>
  <c r="AJ33" i="30"/>
  <c r="AK33" i="30"/>
  <c r="AL33" i="30"/>
  <c r="AM33" i="30"/>
  <c r="AN33" i="30"/>
  <c r="AO33" i="30"/>
  <c r="AP33" i="30"/>
  <c r="AQ33" i="30"/>
  <c r="AR33" i="30"/>
  <c r="AS33" i="30"/>
  <c r="AT33" i="30"/>
  <c r="AU33" i="30"/>
  <c r="AV33" i="30"/>
  <c r="AW33" i="30"/>
  <c r="AX33" i="30"/>
  <c r="AY33" i="30"/>
  <c r="AZ33" i="30"/>
  <c r="BA33" i="30"/>
  <c r="BB33" i="30"/>
  <c r="BC33" i="30"/>
  <c r="BD33" i="30"/>
  <c r="BE33" i="30"/>
  <c r="BF33" i="30"/>
  <c r="BG33" i="30"/>
  <c r="BH33" i="30"/>
  <c r="BI33" i="30"/>
  <c r="BJ33" i="30"/>
  <c r="BK33" i="30"/>
  <c r="BL33" i="30"/>
  <c r="BM33" i="30"/>
  <c r="BN33" i="30"/>
  <c r="BO33" i="30"/>
  <c r="BP33" i="30"/>
  <c r="BQ33" i="30"/>
  <c r="BR33" i="30"/>
  <c r="BS33" i="30"/>
  <c r="BT33" i="30"/>
  <c r="BU33" i="30"/>
  <c r="BV33" i="30"/>
  <c r="BW33" i="30"/>
  <c r="BX33" i="30"/>
  <c r="BY33" i="30"/>
  <c r="BZ33" i="30"/>
  <c r="CA33" i="30"/>
  <c r="CB33" i="30"/>
  <c r="CC33" i="30"/>
  <c r="CD33" i="30"/>
  <c r="CE33" i="30"/>
  <c r="CF33" i="30"/>
  <c r="CG33" i="30"/>
  <c r="CH33" i="30"/>
  <c r="CI33" i="30"/>
  <c r="CJ33" i="30"/>
  <c r="CK33" i="30"/>
  <c r="CL33" i="30"/>
  <c r="CM33" i="30"/>
  <c r="CN33" i="30"/>
  <c r="CO33" i="30"/>
  <c r="CP33" i="30"/>
  <c r="CQ33" i="30"/>
  <c r="CR33" i="30"/>
  <c r="CS33" i="30"/>
  <c r="CT33" i="30"/>
  <c r="CU33" i="30"/>
  <c r="CV33" i="30"/>
  <c r="CW33" i="30"/>
  <c r="CX33" i="30"/>
  <c r="CY33" i="30"/>
  <c r="CZ33" i="30"/>
  <c r="DA33" i="30"/>
  <c r="DB33" i="30"/>
  <c r="DC33" i="30"/>
  <c r="DD33" i="30"/>
  <c r="DE33" i="30"/>
  <c r="DF33" i="30"/>
  <c r="DG33" i="30"/>
  <c r="DH33" i="30"/>
  <c r="DI33" i="30"/>
  <c r="DJ33" i="30"/>
  <c r="DK33" i="30"/>
  <c r="DL33" i="30"/>
  <c r="DM33" i="30"/>
  <c r="DN33" i="30"/>
  <c r="DO33" i="30"/>
  <c r="DP33" i="30"/>
  <c r="DQ33" i="30"/>
  <c r="DR33" i="30"/>
  <c r="DS33" i="30"/>
  <c r="DT33" i="30"/>
  <c r="DU33" i="30"/>
  <c r="DV33" i="30"/>
  <c r="DW33" i="30"/>
  <c r="DX33" i="30"/>
  <c r="DY33" i="30"/>
  <c r="DZ33" i="30"/>
  <c r="EA33" i="30"/>
  <c r="EB33" i="30"/>
  <c r="EC33" i="30"/>
  <c r="ED33" i="30"/>
  <c r="EE33" i="30"/>
  <c r="EF33" i="30"/>
  <c r="EG33" i="30"/>
  <c r="EH33" i="30"/>
  <c r="EI33" i="30"/>
  <c r="EJ33" i="30"/>
  <c r="EK33" i="30"/>
  <c r="EL33" i="30"/>
  <c r="EM33" i="30"/>
  <c r="EN33" i="30"/>
  <c r="EO33" i="30"/>
  <c r="EP33" i="30"/>
  <c r="EQ33" i="30"/>
  <c r="ER33" i="30"/>
  <c r="ES33" i="30"/>
  <c r="ET33" i="30"/>
  <c r="EU33" i="30"/>
  <c r="EV33" i="30"/>
  <c r="EW33" i="30"/>
  <c r="EX33" i="30"/>
  <c r="EY33" i="30"/>
  <c r="EZ33" i="30"/>
  <c r="FA33" i="30"/>
  <c r="FB33" i="30"/>
  <c r="FC33" i="30"/>
  <c r="FD33" i="30"/>
  <c r="FE33" i="30"/>
  <c r="FF33" i="30"/>
  <c r="FG33" i="30"/>
  <c r="FH33" i="30"/>
  <c r="FI33" i="30"/>
  <c r="FJ33" i="30"/>
  <c r="FK33" i="30"/>
  <c r="FL33" i="30"/>
  <c r="FM33" i="30"/>
  <c r="FN33" i="30"/>
  <c r="FO33" i="30"/>
  <c r="FP33" i="30"/>
  <c r="FQ33" i="30"/>
  <c r="FR33" i="30"/>
  <c r="FS33" i="30"/>
  <c r="FT33" i="30"/>
  <c r="FU33" i="30"/>
  <c r="FV33" i="30"/>
  <c r="FW33" i="30"/>
  <c r="FX33" i="30"/>
  <c r="FY33" i="30"/>
  <c r="FZ33" i="30"/>
  <c r="GA33" i="30"/>
  <c r="GB33" i="30"/>
  <c r="GC33" i="30"/>
  <c r="GD33" i="30"/>
  <c r="GE33" i="30"/>
  <c r="GF33" i="30"/>
  <c r="GG33" i="30"/>
  <c r="GH33" i="30"/>
  <c r="GI33" i="30"/>
  <c r="GJ33" i="30"/>
  <c r="GK33" i="30"/>
  <c r="GL33" i="30"/>
  <c r="GM33" i="30"/>
  <c r="GN33" i="30"/>
  <c r="GO33" i="30"/>
  <c r="GP33" i="30"/>
  <c r="GQ33" i="30"/>
  <c r="GR33" i="30"/>
  <c r="GS33" i="30"/>
  <c r="GT33" i="30"/>
  <c r="GU33" i="30"/>
  <c r="GV33" i="30"/>
  <c r="GW33" i="30"/>
  <c r="GX33" i="30"/>
  <c r="GY33" i="30"/>
  <c r="GZ33" i="30"/>
  <c r="HA33" i="30"/>
  <c r="HB33" i="30"/>
  <c r="HC33" i="30"/>
  <c r="HD33" i="30"/>
  <c r="HE33" i="30"/>
  <c r="HF33" i="30"/>
  <c r="HG33" i="30"/>
  <c r="HH33" i="30"/>
  <c r="HI33" i="30"/>
  <c r="HJ33" i="30"/>
  <c r="HK33" i="30"/>
  <c r="HL33" i="30"/>
  <c r="HM33" i="30"/>
  <c r="HN33" i="30"/>
  <c r="HO33" i="30"/>
  <c r="HP33" i="30"/>
  <c r="HQ33" i="30"/>
  <c r="HR33" i="30"/>
  <c r="HS33" i="30"/>
  <c r="HT33" i="30"/>
  <c r="HU33" i="30"/>
  <c r="HV33" i="30"/>
  <c r="HW33" i="30"/>
  <c r="HX33" i="30"/>
  <c r="HY33" i="30"/>
  <c r="HZ33" i="30"/>
  <c r="IA33" i="30"/>
  <c r="IB33" i="30"/>
  <c r="IC33" i="30"/>
  <c r="ID33" i="30"/>
  <c r="IE33" i="30"/>
  <c r="IF33" i="30"/>
  <c r="IG33" i="30"/>
  <c r="IH33" i="30"/>
  <c r="II33" i="30"/>
  <c r="IJ33" i="30"/>
  <c r="IK33" i="30"/>
  <c r="IL33" i="30"/>
  <c r="IM33" i="30"/>
  <c r="IN33" i="30"/>
  <c r="IO33" i="30"/>
  <c r="IP33" i="30"/>
  <c r="IQ33" i="30"/>
  <c r="IR33" i="30"/>
  <c r="IS33" i="30"/>
  <c r="IT33" i="30"/>
  <c r="IU33" i="30"/>
  <c r="IV33" i="30"/>
  <c r="A32" i="30"/>
  <c r="B32" i="30"/>
  <c r="C32" i="30"/>
  <c r="D32" i="30"/>
  <c r="E32" i="30"/>
  <c r="F32" i="30"/>
  <c r="G32" i="30"/>
  <c r="H32" i="30"/>
  <c r="I32" i="30"/>
  <c r="J32" i="30"/>
  <c r="K32" i="30"/>
  <c r="L32" i="30"/>
  <c r="M32" i="30"/>
  <c r="N32" i="30"/>
  <c r="O32" i="30"/>
  <c r="P32" i="30"/>
  <c r="Q32" i="30"/>
  <c r="R32" i="30"/>
  <c r="S32" i="30"/>
  <c r="T32" i="30"/>
  <c r="U32" i="30"/>
  <c r="V32" i="30"/>
  <c r="W32" i="30"/>
  <c r="X32" i="30"/>
  <c r="Y32" i="30"/>
  <c r="Z32" i="30"/>
  <c r="AA32" i="30"/>
  <c r="AB32" i="30"/>
  <c r="AC32" i="30"/>
  <c r="AD32" i="30"/>
  <c r="AE32" i="30"/>
  <c r="AF32" i="30"/>
  <c r="AG32" i="30"/>
  <c r="AH32" i="30"/>
  <c r="AI32" i="30"/>
  <c r="AJ32" i="30"/>
  <c r="AK32" i="30"/>
  <c r="AL32" i="30"/>
  <c r="AM32" i="30"/>
  <c r="AN32" i="30"/>
  <c r="AO32" i="30"/>
  <c r="AP32" i="30"/>
  <c r="AQ32" i="30"/>
  <c r="AR32" i="30"/>
  <c r="AS32" i="30"/>
  <c r="AT32" i="30"/>
  <c r="AU32" i="30"/>
  <c r="AV32" i="30"/>
  <c r="AW32" i="30"/>
  <c r="AX32" i="30"/>
  <c r="AY32" i="30"/>
  <c r="AZ32" i="30"/>
  <c r="BA32" i="30"/>
  <c r="BB32" i="30"/>
  <c r="BC32" i="30"/>
  <c r="BD32" i="30"/>
  <c r="BE32" i="30"/>
  <c r="BF32" i="30"/>
  <c r="BG32" i="30"/>
  <c r="BH32" i="30"/>
  <c r="BI32" i="30"/>
  <c r="BJ32" i="30"/>
  <c r="BK32" i="30"/>
  <c r="BL32" i="30"/>
  <c r="BM32" i="30"/>
  <c r="BN32" i="30"/>
  <c r="BO32" i="30"/>
  <c r="BP32" i="30"/>
  <c r="BQ32" i="30"/>
  <c r="BR32" i="30"/>
  <c r="BS32" i="30"/>
  <c r="BT32" i="30"/>
  <c r="BU32" i="30"/>
  <c r="BV32" i="30"/>
  <c r="BW32" i="30"/>
  <c r="BX32" i="30"/>
  <c r="BY32" i="30"/>
  <c r="BZ32" i="30"/>
  <c r="CA32" i="30"/>
  <c r="CB32" i="30"/>
  <c r="CC32" i="30"/>
  <c r="CD32" i="30"/>
  <c r="CE32" i="30"/>
  <c r="CF32" i="30"/>
  <c r="CG32" i="30"/>
  <c r="CH32" i="30"/>
  <c r="CI32" i="30"/>
  <c r="CJ32" i="30"/>
  <c r="CK32" i="30"/>
  <c r="CL32" i="30"/>
  <c r="CM32" i="30"/>
  <c r="CN32" i="30"/>
  <c r="CO32" i="30"/>
  <c r="CP32" i="30"/>
  <c r="CQ32" i="30"/>
  <c r="CR32" i="30"/>
  <c r="CS32" i="30"/>
  <c r="CT32" i="30"/>
  <c r="CU32" i="30"/>
  <c r="CV32" i="30"/>
  <c r="CW32" i="30"/>
  <c r="CX32" i="30"/>
  <c r="CY32" i="30"/>
  <c r="CZ32" i="30"/>
  <c r="DA32" i="30"/>
  <c r="DB32" i="30"/>
  <c r="DC32" i="30"/>
  <c r="DD32" i="30"/>
  <c r="DE32" i="30"/>
  <c r="DF32" i="30"/>
  <c r="DG32" i="30"/>
  <c r="DH32" i="30"/>
  <c r="DI32" i="30"/>
  <c r="DJ32" i="30"/>
  <c r="DK32" i="30"/>
  <c r="DL32" i="30"/>
  <c r="DM32" i="30"/>
  <c r="DN32" i="30"/>
  <c r="DO32" i="30"/>
  <c r="DP32" i="30"/>
  <c r="DQ32" i="30"/>
  <c r="DR32" i="30"/>
  <c r="DS32" i="30"/>
  <c r="DT32" i="30"/>
  <c r="DU32" i="30"/>
  <c r="DV32" i="30"/>
  <c r="DW32" i="30"/>
  <c r="DX32" i="30"/>
  <c r="DY32" i="30"/>
  <c r="DZ32" i="30"/>
  <c r="EA32" i="30"/>
  <c r="EB32" i="30"/>
  <c r="EC32" i="30"/>
  <c r="ED32" i="30"/>
  <c r="EE32" i="30"/>
  <c r="EF32" i="30"/>
  <c r="EG32" i="30"/>
  <c r="EH32" i="30"/>
  <c r="EI32" i="30"/>
  <c r="EJ32" i="30"/>
  <c r="EK32" i="30"/>
  <c r="EL32" i="30"/>
  <c r="EM32" i="30"/>
  <c r="EN32" i="30"/>
  <c r="EO32" i="30"/>
  <c r="EP32" i="30"/>
  <c r="EQ32" i="30"/>
  <c r="ER32" i="30"/>
  <c r="ES32" i="30"/>
  <c r="ET32" i="30"/>
  <c r="EU32" i="30"/>
  <c r="EV32" i="30"/>
  <c r="EW32" i="30"/>
  <c r="EX32" i="30"/>
  <c r="EY32" i="30"/>
  <c r="EZ32" i="30"/>
  <c r="FA32" i="30"/>
  <c r="FB32" i="30"/>
  <c r="FC32" i="30"/>
  <c r="FD32" i="30"/>
  <c r="FE32" i="30"/>
  <c r="FF32" i="30"/>
  <c r="FG32" i="30"/>
  <c r="FH32" i="30"/>
  <c r="FI32" i="30"/>
  <c r="FJ32" i="30"/>
  <c r="FK32" i="30"/>
  <c r="FL32" i="30"/>
  <c r="FM32" i="30"/>
  <c r="FN32" i="30"/>
  <c r="FO32" i="30"/>
  <c r="FP32" i="30"/>
  <c r="FQ32" i="30"/>
  <c r="FR32" i="30"/>
  <c r="FS32" i="30"/>
  <c r="FT32" i="30"/>
  <c r="FU32" i="30"/>
  <c r="FV32" i="30"/>
  <c r="FW32" i="30"/>
  <c r="FX32" i="30"/>
  <c r="FY32" i="30"/>
  <c r="FZ32" i="30"/>
  <c r="GA32" i="30"/>
  <c r="GB32" i="30"/>
  <c r="GC32" i="30"/>
  <c r="GD32" i="30"/>
  <c r="GE32" i="30"/>
  <c r="GF32" i="30"/>
  <c r="GG32" i="30"/>
  <c r="GH32" i="30"/>
  <c r="GI32" i="30"/>
  <c r="GJ32" i="30"/>
  <c r="GK32" i="30"/>
  <c r="GL32" i="30"/>
  <c r="GM32" i="30"/>
  <c r="GN32" i="30"/>
  <c r="GO32" i="30"/>
  <c r="GP32" i="30"/>
  <c r="GQ32" i="30"/>
  <c r="GR32" i="30"/>
  <c r="GS32" i="30"/>
  <c r="GT32" i="30"/>
  <c r="GU32" i="30"/>
  <c r="GV32" i="30"/>
  <c r="GW32" i="30"/>
  <c r="GX32" i="30"/>
  <c r="GY32" i="30"/>
  <c r="GZ32" i="30"/>
  <c r="HA32" i="30"/>
  <c r="HB32" i="30"/>
  <c r="HC32" i="30"/>
  <c r="HD32" i="30"/>
  <c r="HE32" i="30"/>
  <c r="HF32" i="30"/>
  <c r="HG32" i="30"/>
  <c r="HH32" i="30"/>
  <c r="HI32" i="30"/>
  <c r="HJ32" i="30"/>
  <c r="HK32" i="30"/>
  <c r="HL32" i="30"/>
  <c r="HM32" i="30"/>
  <c r="HN32" i="30"/>
  <c r="HO32" i="30"/>
  <c r="HP32" i="30"/>
  <c r="HQ32" i="30"/>
  <c r="HR32" i="30"/>
  <c r="HS32" i="30"/>
  <c r="HT32" i="30"/>
  <c r="HU32" i="30"/>
  <c r="HV32" i="30"/>
  <c r="HW32" i="30"/>
  <c r="HX32" i="30"/>
  <c r="HY32" i="30"/>
  <c r="HZ32" i="30"/>
  <c r="IA32" i="30"/>
  <c r="IB32" i="30"/>
  <c r="IC32" i="30"/>
  <c r="ID32" i="30"/>
  <c r="IE32" i="30"/>
  <c r="IF32" i="30"/>
  <c r="IG32" i="30"/>
  <c r="IH32" i="30"/>
  <c r="II32" i="30"/>
  <c r="IJ32" i="30"/>
  <c r="IK32" i="30"/>
  <c r="IL32" i="30"/>
  <c r="IM32" i="30"/>
  <c r="IN32" i="30"/>
  <c r="IO32" i="30"/>
  <c r="IP32" i="30"/>
  <c r="IQ32" i="30"/>
  <c r="IR32" i="30"/>
  <c r="IS32" i="30"/>
  <c r="IT32" i="30"/>
  <c r="IU32" i="30"/>
  <c r="IV32" i="30"/>
  <c r="A31" i="30"/>
  <c r="B31" i="30"/>
  <c r="C31" i="30"/>
  <c r="D31" i="30"/>
  <c r="E31" i="30"/>
  <c r="F31" i="30"/>
  <c r="G31" i="30"/>
  <c r="H31" i="30"/>
  <c r="I31" i="30"/>
  <c r="J31" i="30"/>
  <c r="K31" i="30"/>
  <c r="L31" i="30"/>
  <c r="M31" i="30"/>
  <c r="N31" i="30"/>
  <c r="O31" i="30"/>
  <c r="P31" i="30"/>
  <c r="Q31" i="30"/>
  <c r="R31" i="30"/>
  <c r="S31" i="30"/>
  <c r="T31" i="30"/>
  <c r="U31" i="30"/>
  <c r="V31" i="30"/>
  <c r="W31" i="30"/>
  <c r="X31" i="30"/>
  <c r="Y31" i="30"/>
  <c r="Z31" i="30"/>
  <c r="AA31" i="30"/>
  <c r="AB31" i="30"/>
  <c r="AC31" i="30"/>
  <c r="AD31" i="30"/>
  <c r="AE31" i="30"/>
  <c r="AF31" i="30"/>
  <c r="AG31" i="30"/>
  <c r="AH31" i="30"/>
  <c r="AI31" i="30"/>
  <c r="AJ31" i="30"/>
  <c r="AK31" i="30"/>
  <c r="AL31" i="30"/>
  <c r="AM31" i="30"/>
  <c r="AN31" i="30"/>
  <c r="AO31" i="30"/>
  <c r="AP31" i="30"/>
  <c r="AQ31" i="30"/>
  <c r="AR31" i="30"/>
  <c r="AS31" i="30"/>
  <c r="AT31" i="30"/>
  <c r="AU31" i="30"/>
  <c r="AV31" i="30"/>
  <c r="AW31" i="30"/>
  <c r="AX31" i="30"/>
  <c r="AY31" i="30"/>
  <c r="AZ31" i="30"/>
  <c r="BA31" i="30"/>
  <c r="BB31" i="30"/>
  <c r="BC31" i="30"/>
  <c r="BD31" i="30"/>
  <c r="BE31" i="30"/>
  <c r="BF31" i="30"/>
  <c r="BG31" i="30"/>
  <c r="BH31" i="30"/>
  <c r="BI31" i="30"/>
  <c r="BJ31" i="30"/>
  <c r="BK31" i="30"/>
  <c r="BL31" i="30"/>
  <c r="BM31" i="30"/>
  <c r="BN31" i="30"/>
  <c r="BO31" i="30"/>
  <c r="BP31" i="30"/>
  <c r="BQ31" i="30"/>
  <c r="BR31" i="30"/>
  <c r="BS31" i="30"/>
  <c r="BT31" i="30"/>
  <c r="BU31" i="30"/>
  <c r="BV31" i="30"/>
  <c r="BW31" i="30"/>
  <c r="BX31" i="30"/>
  <c r="BY31" i="30"/>
  <c r="BZ31" i="30"/>
  <c r="CA31" i="30"/>
  <c r="CB31" i="30"/>
  <c r="CC31" i="30"/>
  <c r="CD31" i="30"/>
  <c r="CE31" i="30"/>
  <c r="CF31" i="30"/>
  <c r="CG31" i="30"/>
  <c r="CH31" i="30"/>
  <c r="CI31" i="30"/>
  <c r="CJ31" i="30"/>
  <c r="CK31" i="30"/>
  <c r="CL31" i="30"/>
  <c r="CM31" i="30"/>
  <c r="CN31" i="30"/>
  <c r="CO31" i="30"/>
  <c r="CP31" i="30"/>
  <c r="CQ31" i="30"/>
  <c r="CR31" i="30"/>
  <c r="CS31" i="30"/>
  <c r="CT31" i="30"/>
  <c r="CU31" i="30"/>
  <c r="CV31" i="30"/>
  <c r="CW31" i="30"/>
  <c r="CX31" i="30"/>
  <c r="CY31" i="30"/>
  <c r="CZ31" i="30"/>
  <c r="DA31" i="30"/>
  <c r="DB31" i="30"/>
  <c r="DC31" i="30"/>
  <c r="DD31" i="30"/>
  <c r="DE31" i="30"/>
  <c r="DF31" i="30"/>
  <c r="DG31" i="30"/>
  <c r="DH31" i="30"/>
  <c r="DI31" i="30"/>
  <c r="DJ31" i="30"/>
  <c r="DK31" i="30"/>
  <c r="DL31" i="30"/>
  <c r="DM31" i="30"/>
  <c r="DN31" i="30"/>
  <c r="DO31" i="30"/>
  <c r="DP31" i="30"/>
  <c r="DQ31" i="30"/>
  <c r="DR31" i="30"/>
  <c r="DS31" i="30"/>
  <c r="DT31" i="30"/>
  <c r="DU31" i="30"/>
  <c r="DV31" i="30"/>
  <c r="DW31" i="30"/>
  <c r="DX31" i="30"/>
  <c r="DY31" i="30"/>
  <c r="DZ31" i="30"/>
  <c r="EA31" i="30"/>
  <c r="EB31" i="30"/>
  <c r="EC31" i="30"/>
  <c r="ED31" i="30"/>
  <c r="EE31" i="30"/>
  <c r="EF31" i="30"/>
  <c r="EG31" i="30"/>
  <c r="EH31" i="30"/>
  <c r="EI31" i="30"/>
  <c r="EJ31" i="30"/>
  <c r="EK31" i="30"/>
  <c r="EL31" i="30"/>
  <c r="EM31" i="30"/>
  <c r="EN31" i="30"/>
  <c r="EO31" i="30"/>
  <c r="EP31" i="30"/>
  <c r="EQ31" i="30"/>
  <c r="ER31" i="30"/>
  <c r="ES31" i="30"/>
  <c r="ET31" i="30"/>
  <c r="EU31" i="30"/>
  <c r="EV31" i="30"/>
  <c r="EW31" i="30"/>
  <c r="EX31" i="30"/>
  <c r="EY31" i="30"/>
  <c r="EZ31" i="30"/>
  <c r="FA31" i="30"/>
  <c r="FB31" i="30"/>
  <c r="FC31" i="30"/>
  <c r="FD31" i="30"/>
  <c r="FE31" i="30"/>
  <c r="FF31" i="30"/>
  <c r="FG31" i="30"/>
  <c r="FH31" i="30"/>
  <c r="FI31" i="30"/>
  <c r="FJ31" i="30"/>
  <c r="FK31" i="30"/>
  <c r="FL31" i="30"/>
  <c r="FM31" i="30"/>
  <c r="FN31" i="30"/>
  <c r="FO31" i="30"/>
  <c r="FP31" i="30"/>
  <c r="FQ31" i="30"/>
  <c r="FR31" i="30"/>
  <c r="FS31" i="30"/>
  <c r="FT31" i="30"/>
  <c r="FU31" i="30"/>
  <c r="FV31" i="30"/>
  <c r="FW31" i="30"/>
  <c r="FX31" i="30"/>
  <c r="FY31" i="30"/>
  <c r="FZ31" i="30"/>
  <c r="GA31" i="30"/>
  <c r="GB31" i="30"/>
  <c r="GC31" i="30"/>
  <c r="GD31" i="30"/>
  <c r="GE31" i="30"/>
  <c r="GF31" i="30"/>
  <c r="GG31" i="30"/>
  <c r="GH31" i="30"/>
  <c r="GI31" i="30"/>
  <c r="GJ31" i="30"/>
  <c r="GK31" i="30"/>
  <c r="GL31" i="30"/>
  <c r="GM31" i="30"/>
  <c r="GN31" i="30"/>
  <c r="GO31" i="30"/>
  <c r="GP31" i="30"/>
  <c r="GQ31" i="30"/>
  <c r="GR31" i="30"/>
  <c r="GS31" i="30"/>
  <c r="GT31" i="30"/>
  <c r="GU31" i="30"/>
  <c r="GV31" i="30"/>
  <c r="GW31" i="30"/>
  <c r="GX31" i="30"/>
  <c r="GY31" i="30"/>
  <c r="GZ31" i="30"/>
  <c r="HA31" i="30"/>
  <c r="HB31" i="30"/>
  <c r="HC31" i="30"/>
  <c r="HD31" i="30"/>
  <c r="HE31" i="30"/>
  <c r="HF31" i="30"/>
  <c r="HG31" i="30"/>
  <c r="HH31" i="30"/>
  <c r="HI31" i="30"/>
  <c r="HJ31" i="30"/>
  <c r="HK31" i="30"/>
  <c r="HL31" i="30"/>
  <c r="HM31" i="30"/>
  <c r="HN31" i="30"/>
  <c r="HO31" i="30"/>
  <c r="HP31" i="30"/>
  <c r="HQ31" i="30"/>
  <c r="HR31" i="30"/>
  <c r="HS31" i="30"/>
  <c r="HT31" i="30"/>
  <c r="HU31" i="30"/>
  <c r="HV31" i="30"/>
  <c r="HW31" i="30"/>
  <c r="HX31" i="30"/>
  <c r="HY31" i="30"/>
  <c r="HZ31" i="30"/>
  <c r="IA31" i="30"/>
  <c r="IB31" i="30"/>
  <c r="IC31" i="30"/>
  <c r="ID31" i="30"/>
  <c r="IE31" i="30"/>
  <c r="IF31" i="30"/>
  <c r="IG31" i="30"/>
  <c r="IH31" i="30"/>
  <c r="II31" i="30"/>
  <c r="IJ31" i="30"/>
  <c r="IK31" i="30"/>
  <c r="IL31" i="30"/>
  <c r="IM31" i="30"/>
  <c r="IN31" i="30"/>
  <c r="IO31" i="30"/>
  <c r="IP31" i="30"/>
  <c r="IQ31" i="30"/>
  <c r="IR31" i="30"/>
  <c r="IS31" i="30"/>
  <c r="IT31" i="30"/>
  <c r="IU31" i="30"/>
  <c r="IV31" i="30"/>
  <c r="A30" i="30"/>
  <c r="B30" i="30"/>
  <c r="C30" i="30"/>
  <c r="D30" i="30"/>
  <c r="E30" i="30"/>
  <c r="F30" i="30"/>
  <c r="G30" i="30"/>
  <c r="H30" i="30"/>
  <c r="I30" i="30"/>
  <c r="J30" i="30"/>
  <c r="K30" i="30"/>
  <c r="L30" i="30"/>
  <c r="M30" i="30"/>
  <c r="N30" i="30"/>
  <c r="O30" i="30"/>
  <c r="P30" i="30"/>
  <c r="Q30" i="30"/>
  <c r="R30" i="30"/>
  <c r="S30" i="30"/>
  <c r="T30" i="30"/>
  <c r="U30" i="30"/>
  <c r="V30" i="30"/>
  <c r="W30" i="30"/>
  <c r="X30" i="30"/>
  <c r="Y30" i="30"/>
  <c r="Z30" i="30"/>
  <c r="AA30" i="30"/>
  <c r="AB30" i="30"/>
  <c r="AC30" i="30"/>
  <c r="AD30" i="30"/>
  <c r="AE30" i="30"/>
  <c r="AF30" i="30"/>
  <c r="AG30" i="30"/>
  <c r="AH30" i="30"/>
  <c r="AI30" i="30"/>
  <c r="AJ30" i="30"/>
  <c r="AK30" i="30"/>
  <c r="AL30" i="30"/>
  <c r="AM30" i="30"/>
  <c r="AN30" i="30"/>
  <c r="AO30" i="30"/>
  <c r="AP30" i="30"/>
  <c r="AQ30" i="30"/>
  <c r="AR30" i="30"/>
  <c r="AS30" i="30"/>
  <c r="AT30" i="30"/>
  <c r="AU30" i="30"/>
  <c r="AV30" i="30"/>
  <c r="AW30" i="30"/>
  <c r="AX30" i="30"/>
  <c r="AY30" i="30"/>
  <c r="AZ30" i="30"/>
  <c r="BA30" i="30"/>
  <c r="BB30" i="30"/>
  <c r="BC30" i="30"/>
  <c r="BD30" i="30"/>
  <c r="BE30" i="30"/>
  <c r="BF30" i="30"/>
  <c r="BG30" i="30"/>
  <c r="BH30" i="30"/>
  <c r="BI30" i="30"/>
  <c r="BJ30" i="30"/>
  <c r="BK30" i="30"/>
  <c r="BL30" i="30"/>
  <c r="BM30" i="30"/>
  <c r="BN30" i="30"/>
  <c r="BO30" i="30"/>
  <c r="BP30" i="30"/>
  <c r="BQ30" i="30"/>
  <c r="BR30" i="30"/>
  <c r="BS30" i="30"/>
  <c r="BT30" i="30"/>
  <c r="BU30" i="30"/>
  <c r="BV30" i="30"/>
  <c r="BW30" i="30"/>
  <c r="BX30" i="30"/>
  <c r="BY30" i="30"/>
  <c r="BZ30" i="30"/>
  <c r="CA30" i="30"/>
  <c r="CB30" i="30"/>
  <c r="CC30" i="30"/>
  <c r="CD30" i="30"/>
  <c r="CE30" i="30"/>
  <c r="CF30" i="30"/>
  <c r="CG30" i="30"/>
  <c r="CH30" i="30"/>
  <c r="CI30" i="30"/>
  <c r="CJ30" i="30"/>
  <c r="CK30" i="30"/>
  <c r="CL30" i="30"/>
  <c r="CM30" i="30"/>
  <c r="CN30" i="30"/>
  <c r="CO30" i="30"/>
  <c r="CP30" i="30"/>
  <c r="CQ30" i="30"/>
  <c r="CR30" i="30"/>
  <c r="CS30" i="30"/>
  <c r="CT30" i="30"/>
  <c r="CU30" i="30"/>
  <c r="CV30" i="30"/>
  <c r="CW30" i="30"/>
  <c r="CX30" i="30"/>
  <c r="CY30" i="30"/>
  <c r="CZ30" i="30"/>
  <c r="DA30" i="30"/>
  <c r="DB30" i="30"/>
  <c r="DC30" i="30"/>
  <c r="DD30" i="30"/>
  <c r="DE30" i="30"/>
  <c r="DF30" i="30"/>
  <c r="DG30" i="30"/>
  <c r="DH30" i="30"/>
  <c r="DI30" i="30"/>
  <c r="DJ30" i="30"/>
  <c r="DK30" i="30"/>
  <c r="DL30" i="30"/>
  <c r="DM30" i="30"/>
  <c r="DN30" i="30"/>
  <c r="DO30" i="30"/>
  <c r="DP30" i="30"/>
  <c r="DQ30" i="30"/>
  <c r="DR30" i="30"/>
  <c r="DS30" i="30"/>
  <c r="DT30" i="30"/>
  <c r="DU30" i="30"/>
  <c r="DV30" i="30"/>
  <c r="DW30" i="30"/>
  <c r="DX30" i="30"/>
  <c r="DY30" i="30"/>
  <c r="DZ30" i="30"/>
  <c r="EA30" i="30"/>
  <c r="EB30" i="30"/>
  <c r="EC30" i="30"/>
  <c r="ED30" i="30"/>
  <c r="EE30" i="30"/>
  <c r="EF30" i="30"/>
  <c r="EG30" i="30"/>
  <c r="EH30" i="30"/>
  <c r="EI30" i="30"/>
  <c r="EJ30" i="30"/>
  <c r="EK30" i="30"/>
  <c r="EL30" i="30"/>
  <c r="EM30" i="30"/>
  <c r="EN30" i="30"/>
  <c r="EO30" i="30"/>
  <c r="EP30" i="30"/>
  <c r="EQ30" i="30"/>
  <c r="ER30" i="30"/>
  <c r="ES30" i="30"/>
  <c r="ET30" i="30"/>
  <c r="EU30" i="30"/>
  <c r="EV30" i="30"/>
  <c r="EW30" i="30"/>
  <c r="EX30" i="30"/>
  <c r="EY30" i="30"/>
  <c r="EZ30" i="30"/>
  <c r="FA30" i="30"/>
  <c r="FB30" i="30"/>
  <c r="FC30" i="30"/>
  <c r="FD30" i="30"/>
  <c r="FE30" i="30"/>
  <c r="FF30" i="30"/>
  <c r="FG30" i="30"/>
  <c r="FH30" i="30"/>
  <c r="FI30" i="30"/>
  <c r="FJ30" i="30"/>
  <c r="FK30" i="30"/>
  <c r="FL30" i="30"/>
  <c r="FM30" i="30"/>
  <c r="FN30" i="30"/>
  <c r="FO30" i="30"/>
  <c r="FP30" i="30"/>
  <c r="FQ30" i="30"/>
  <c r="FR30" i="30"/>
  <c r="FS30" i="30"/>
  <c r="FT30" i="30"/>
  <c r="FU30" i="30"/>
  <c r="FV30" i="30"/>
  <c r="FW30" i="30"/>
  <c r="FX30" i="30"/>
  <c r="FY30" i="30"/>
  <c r="FZ30" i="30"/>
  <c r="GA30" i="30"/>
  <c r="GB30" i="30"/>
  <c r="GC30" i="30"/>
  <c r="GD30" i="30"/>
  <c r="GE30" i="30"/>
  <c r="GF30" i="30"/>
  <c r="GG30" i="30"/>
  <c r="GH30" i="30"/>
  <c r="GI30" i="30"/>
  <c r="GJ30" i="30"/>
  <c r="GK30" i="30"/>
  <c r="GL30" i="30"/>
  <c r="GM30" i="30"/>
  <c r="GN30" i="30"/>
  <c r="GO30" i="30"/>
  <c r="GP30" i="30"/>
  <c r="GQ30" i="30"/>
  <c r="GR30" i="30"/>
  <c r="GS30" i="30"/>
  <c r="GT30" i="30"/>
  <c r="GU30" i="30"/>
  <c r="GV30" i="30"/>
  <c r="GW30" i="30"/>
  <c r="GX30" i="30"/>
  <c r="GY30" i="30"/>
  <c r="GZ30" i="30"/>
  <c r="HA30" i="30"/>
  <c r="HB30" i="30"/>
  <c r="HC30" i="30"/>
  <c r="HD30" i="30"/>
  <c r="HE30" i="30"/>
  <c r="HF30" i="30"/>
  <c r="HG30" i="30"/>
  <c r="HH30" i="30"/>
  <c r="HI30" i="30"/>
  <c r="HJ30" i="30"/>
  <c r="HK30" i="30"/>
  <c r="HL30" i="30"/>
  <c r="HM30" i="30"/>
  <c r="HN30" i="30"/>
  <c r="HO30" i="30"/>
  <c r="HP30" i="30"/>
  <c r="HQ30" i="30"/>
  <c r="HR30" i="30"/>
  <c r="HS30" i="30"/>
  <c r="HT30" i="30"/>
  <c r="HU30" i="30"/>
  <c r="HV30" i="30"/>
  <c r="HW30" i="30"/>
  <c r="HX30" i="30"/>
  <c r="HY30" i="30"/>
  <c r="HZ30" i="30"/>
  <c r="IA30" i="30"/>
  <c r="IB30" i="30"/>
  <c r="IC30" i="30"/>
  <c r="ID30" i="30"/>
  <c r="IE30" i="30"/>
  <c r="IF30" i="30"/>
  <c r="IG30" i="30"/>
  <c r="IH30" i="30"/>
  <c r="II30" i="30"/>
  <c r="IJ30" i="30"/>
  <c r="IK30" i="30"/>
  <c r="IL30" i="30"/>
  <c r="IM30" i="30"/>
  <c r="IN30" i="30"/>
  <c r="IO30" i="30"/>
  <c r="IP30" i="30"/>
  <c r="IQ30" i="30"/>
  <c r="IR30" i="30"/>
  <c r="IS30" i="30"/>
  <c r="IT30" i="30"/>
  <c r="IU30" i="30"/>
  <c r="IV30" i="30"/>
  <c r="A29" i="30"/>
  <c r="B29" i="30"/>
  <c r="C29" i="30"/>
  <c r="D29" i="30"/>
  <c r="E29" i="30"/>
  <c r="F29" i="30"/>
  <c r="G29" i="30"/>
  <c r="H29" i="30"/>
  <c r="I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V29" i="30"/>
  <c r="W29" i="30"/>
  <c r="X29" i="30"/>
  <c r="Y29" i="30"/>
  <c r="Z29" i="30"/>
  <c r="AA29" i="30"/>
  <c r="AB29" i="30"/>
  <c r="AC29" i="30"/>
  <c r="AD29" i="30"/>
  <c r="AE29" i="30"/>
  <c r="AF29" i="30"/>
  <c r="AG29" i="30"/>
  <c r="AH29" i="30"/>
  <c r="AI29" i="30"/>
  <c r="AJ29" i="30"/>
  <c r="AK29" i="30"/>
  <c r="AL29" i="30"/>
  <c r="AM29" i="30"/>
  <c r="AN29" i="30"/>
  <c r="AO29" i="30"/>
  <c r="AP29" i="30"/>
  <c r="AQ29" i="30"/>
  <c r="AR29" i="30"/>
  <c r="AS29" i="30"/>
  <c r="AT29" i="30"/>
  <c r="AU29" i="30"/>
  <c r="AV29" i="30"/>
  <c r="AW29" i="30"/>
  <c r="AX29" i="30"/>
  <c r="AY29" i="30"/>
  <c r="AZ29" i="30"/>
  <c r="BA29" i="30"/>
  <c r="BB29" i="30"/>
  <c r="BC29" i="30"/>
  <c r="BD29" i="30"/>
  <c r="BE29" i="30"/>
  <c r="BF29" i="30"/>
  <c r="BG29" i="30"/>
  <c r="BH29" i="30"/>
  <c r="BI29" i="30"/>
  <c r="BJ29" i="30"/>
  <c r="BK29" i="30"/>
  <c r="BL29" i="30"/>
  <c r="BM29" i="30"/>
  <c r="BN29" i="30"/>
  <c r="BO29" i="30"/>
  <c r="BP29" i="30"/>
  <c r="BQ29" i="30"/>
  <c r="BR29" i="30"/>
  <c r="BS29" i="30"/>
  <c r="BT29" i="30"/>
  <c r="BU29" i="30"/>
  <c r="BV29" i="30"/>
  <c r="BW29" i="30"/>
  <c r="BX29" i="30"/>
  <c r="BY29" i="30"/>
  <c r="BZ29" i="30"/>
  <c r="CA29" i="30"/>
  <c r="CB29" i="30"/>
  <c r="CC29" i="30"/>
  <c r="CD29" i="30"/>
  <c r="CE29" i="30"/>
  <c r="CF29" i="30"/>
  <c r="CG29" i="30"/>
  <c r="CH29" i="30"/>
  <c r="CI29" i="30"/>
  <c r="CJ29" i="30"/>
  <c r="CK29" i="30"/>
  <c r="CL29" i="30"/>
  <c r="CM29" i="30"/>
  <c r="CN29" i="30"/>
  <c r="CO29" i="30"/>
  <c r="CP29" i="30"/>
  <c r="CQ29" i="30"/>
  <c r="CR29" i="30"/>
  <c r="CS29" i="30"/>
  <c r="CT29" i="30"/>
  <c r="CU29" i="30"/>
  <c r="CV29" i="30"/>
  <c r="CW29" i="30"/>
  <c r="CX29" i="30"/>
  <c r="CY29" i="30"/>
  <c r="CZ29" i="30"/>
  <c r="DA29" i="30"/>
  <c r="DB29" i="30"/>
  <c r="DC29" i="30"/>
  <c r="DD29" i="30"/>
  <c r="DE29" i="30"/>
  <c r="DF29" i="30"/>
  <c r="DG29" i="30"/>
  <c r="DH29" i="30"/>
  <c r="DI29" i="30"/>
  <c r="DJ29" i="30"/>
  <c r="DK29" i="30"/>
  <c r="DL29" i="30"/>
  <c r="DM29" i="30"/>
  <c r="DN29" i="30"/>
  <c r="DO29" i="30"/>
  <c r="DP29" i="30"/>
  <c r="DQ29" i="30"/>
  <c r="DR29" i="30"/>
  <c r="DS29" i="30"/>
  <c r="DT29" i="30"/>
  <c r="DU29" i="30"/>
  <c r="DV29" i="30"/>
  <c r="DW29" i="30"/>
  <c r="DX29" i="30"/>
  <c r="DY29" i="30"/>
  <c r="DZ29" i="30"/>
  <c r="EA29" i="30"/>
  <c r="EB29" i="30"/>
  <c r="EC29" i="30"/>
  <c r="ED29" i="30"/>
  <c r="EE29" i="30"/>
  <c r="EF29" i="30"/>
  <c r="EG29" i="30"/>
  <c r="EH29" i="30"/>
  <c r="EI29" i="30"/>
  <c r="EJ29" i="30"/>
  <c r="EK29" i="30"/>
  <c r="EL29" i="30"/>
  <c r="EM29" i="30"/>
  <c r="EN29" i="30"/>
  <c r="EO29" i="30"/>
  <c r="EP29" i="30"/>
  <c r="EQ29" i="30"/>
  <c r="ER29" i="30"/>
  <c r="ES29" i="30"/>
  <c r="ET29" i="30"/>
  <c r="EU29" i="30"/>
  <c r="EV29" i="30"/>
  <c r="EW29" i="30"/>
  <c r="EX29" i="30"/>
  <c r="EY29" i="30"/>
  <c r="EZ29" i="30"/>
  <c r="FA29" i="30"/>
  <c r="FB29" i="30"/>
  <c r="FC29" i="30"/>
  <c r="FD29" i="30"/>
  <c r="FE29" i="30"/>
  <c r="FF29" i="30"/>
  <c r="FG29" i="30"/>
  <c r="FH29" i="30"/>
  <c r="FI29" i="30"/>
  <c r="FJ29" i="30"/>
  <c r="FK29" i="30"/>
  <c r="FL29" i="30"/>
  <c r="FM29" i="30"/>
  <c r="FN29" i="30"/>
  <c r="FO29" i="30"/>
  <c r="FP29" i="30"/>
  <c r="FQ29" i="30"/>
  <c r="FR29" i="30"/>
  <c r="FS29" i="30"/>
  <c r="FT29" i="30"/>
  <c r="FU29" i="30"/>
  <c r="FV29" i="30"/>
  <c r="FW29" i="30"/>
  <c r="FX29" i="30"/>
  <c r="FY29" i="30"/>
  <c r="FZ29" i="30"/>
  <c r="GA29" i="30"/>
  <c r="GB29" i="30"/>
  <c r="GC29" i="30"/>
  <c r="GD29" i="30"/>
  <c r="GE29" i="30"/>
  <c r="GF29" i="30"/>
  <c r="GG29" i="30"/>
  <c r="GH29" i="30"/>
  <c r="GI29" i="30"/>
  <c r="GJ29" i="30"/>
  <c r="GK29" i="30"/>
  <c r="GL29" i="30"/>
  <c r="GM29" i="30"/>
  <c r="GN29" i="30"/>
  <c r="GO29" i="30"/>
  <c r="GP29" i="30"/>
  <c r="GQ29" i="30"/>
  <c r="GR29" i="30"/>
  <c r="GS29" i="30"/>
  <c r="GT29" i="30"/>
  <c r="GU29" i="30"/>
  <c r="GV29" i="30"/>
  <c r="GW29" i="30"/>
  <c r="GX29" i="30"/>
  <c r="GY29" i="30"/>
  <c r="GZ29" i="30"/>
  <c r="HA29" i="30"/>
  <c r="HB29" i="30"/>
  <c r="HC29" i="30"/>
  <c r="HD29" i="30"/>
  <c r="HE29" i="30"/>
  <c r="HF29" i="30"/>
  <c r="HG29" i="30"/>
  <c r="HH29" i="30"/>
  <c r="HI29" i="30"/>
  <c r="HJ29" i="30"/>
  <c r="HK29" i="30"/>
  <c r="HL29" i="30"/>
  <c r="HM29" i="30"/>
  <c r="HN29" i="30"/>
  <c r="HO29" i="30"/>
  <c r="HP29" i="30"/>
  <c r="HQ29" i="30"/>
  <c r="HR29" i="30"/>
  <c r="HS29" i="30"/>
  <c r="HT29" i="30"/>
  <c r="HU29" i="30"/>
  <c r="HV29" i="30"/>
  <c r="HW29" i="30"/>
  <c r="HX29" i="30"/>
  <c r="HY29" i="30"/>
  <c r="HZ29" i="30"/>
  <c r="IA29" i="30"/>
  <c r="IB29" i="30"/>
  <c r="IC29" i="30"/>
  <c r="ID29" i="30"/>
  <c r="IE29" i="30"/>
  <c r="IF29" i="30"/>
  <c r="IG29" i="30"/>
  <c r="IH29" i="30"/>
  <c r="II29" i="30"/>
  <c r="IJ29" i="30"/>
  <c r="IK29" i="30"/>
  <c r="IL29" i="30"/>
  <c r="IM29" i="30"/>
  <c r="IN29" i="30"/>
  <c r="IO29" i="30"/>
  <c r="IP29" i="30"/>
  <c r="IQ29" i="30"/>
  <c r="IR29" i="30"/>
  <c r="IS29" i="30"/>
  <c r="IT29" i="30"/>
  <c r="IU29" i="30"/>
  <c r="IV29" i="30"/>
  <c r="A28" i="30"/>
  <c r="B28" i="30"/>
  <c r="C28" i="30"/>
  <c r="D28" i="30"/>
  <c r="E28" i="30"/>
  <c r="F28" i="30"/>
  <c r="G28" i="30"/>
  <c r="H28" i="30"/>
  <c r="I28" i="30"/>
  <c r="J28" i="30"/>
  <c r="K28" i="30"/>
  <c r="L28" i="30"/>
  <c r="M28" i="30"/>
  <c r="N28" i="30"/>
  <c r="O28" i="30"/>
  <c r="P28" i="30"/>
  <c r="Q28" i="30"/>
  <c r="R28" i="30"/>
  <c r="S28" i="30"/>
  <c r="T28" i="30"/>
  <c r="U28" i="30"/>
  <c r="V28" i="30"/>
  <c r="W28" i="30"/>
  <c r="X28" i="30"/>
  <c r="Y28" i="30"/>
  <c r="Z28" i="30"/>
  <c r="AA28" i="30"/>
  <c r="AB28" i="30"/>
  <c r="AC28" i="30"/>
  <c r="AD28" i="30"/>
  <c r="AE28" i="30"/>
  <c r="AF28" i="30"/>
  <c r="AG28" i="30"/>
  <c r="AH28" i="30"/>
  <c r="AI28" i="30"/>
  <c r="AJ28" i="30"/>
  <c r="AK28" i="30"/>
  <c r="AL28" i="30"/>
  <c r="AM28" i="30"/>
  <c r="AN28" i="30"/>
  <c r="AO28" i="30"/>
  <c r="AP28" i="30"/>
  <c r="AQ28" i="30"/>
  <c r="AR28" i="30"/>
  <c r="AS28" i="30"/>
  <c r="AT28" i="30"/>
  <c r="AU28" i="30"/>
  <c r="AV28" i="30"/>
  <c r="AW28" i="30"/>
  <c r="AX28" i="30"/>
  <c r="AY28" i="30"/>
  <c r="AZ28" i="30"/>
  <c r="BA28" i="30"/>
  <c r="BB28" i="30"/>
  <c r="BC28" i="30"/>
  <c r="BD28" i="30"/>
  <c r="BE28" i="30"/>
  <c r="BF28" i="30"/>
  <c r="BG28" i="30"/>
  <c r="BH28" i="30"/>
  <c r="BI28" i="30"/>
  <c r="BJ28" i="30"/>
  <c r="BK28" i="30"/>
  <c r="BL28" i="30"/>
  <c r="BM28" i="30"/>
  <c r="BN28" i="30"/>
  <c r="BO28" i="30"/>
  <c r="BP28" i="30"/>
  <c r="BQ28" i="30"/>
  <c r="BR28" i="30"/>
  <c r="BS28" i="30"/>
  <c r="BT28" i="30"/>
  <c r="BU28" i="30"/>
  <c r="BV28" i="30"/>
  <c r="BW28" i="30"/>
  <c r="BX28" i="30"/>
  <c r="BY28" i="30"/>
  <c r="BZ28" i="30"/>
  <c r="CA28" i="30"/>
  <c r="CB28" i="30"/>
  <c r="CC28" i="30"/>
  <c r="CD28" i="30"/>
  <c r="CE28" i="30"/>
  <c r="CF28" i="30"/>
  <c r="CG28" i="30"/>
  <c r="CH28" i="30"/>
  <c r="CI28" i="30"/>
  <c r="CJ28" i="30"/>
  <c r="CK28" i="30"/>
  <c r="CL28" i="30"/>
  <c r="CM28" i="30"/>
  <c r="CN28" i="30"/>
  <c r="CO28" i="30"/>
  <c r="CP28" i="30"/>
  <c r="CQ28" i="30"/>
  <c r="CR28" i="30"/>
  <c r="CS28" i="30"/>
  <c r="CT28" i="30"/>
  <c r="CU28" i="30"/>
  <c r="CV28" i="30"/>
  <c r="CW28" i="30"/>
  <c r="CX28" i="30"/>
  <c r="CY28" i="30"/>
  <c r="CZ28" i="30"/>
  <c r="DA28" i="30"/>
  <c r="DB28" i="30"/>
  <c r="DC28" i="30"/>
  <c r="DD28" i="30"/>
  <c r="DE28" i="30"/>
  <c r="DF28" i="30"/>
  <c r="DG28" i="30"/>
  <c r="DH28" i="30"/>
  <c r="DI28" i="30"/>
  <c r="DJ28" i="30"/>
  <c r="DK28" i="30"/>
  <c r="DL28" i="30"/>
  <c r="DM28" i="30"/>
  <c r="DN28" i="30"/>
  <c r="DO28" i="30"/>
  <c r="DP28" i="30"/>
  <c r="DQ28" i="30"/>
  <c r="DR28" i="30"/>
  <c r="DS28" i="30"/>
  <c r="DT28" i="30"/>
  <c r="DU28" i="30"/>
  <c r="DV28" i="30"/>
  <c r="DW28" i="30"/>
  <c r="DX28" i="30"/>
  <c r="DY28" i="30"/>
  <c r="DZ28" i="30"/>
  <c r="EA28" i="30"/>
  <c r="EB28" i="30"/>
  <c r="EC28" i="30"/>
  <c r="ED28" i="30"/>
  <c r="EE28" i="30"/>
  <c r="EF28" i="30"/>
  <c r="EG28" i="30"/>
  <c r="EH28" i="30"/>
  <c r="EI28" i="30"/>
  <c r="EJ28" i="30"/>
  <c r="EK28" i="30"/>
  <c r="EL28" i="30"/>
  <c r="EM28" i="30"/>
  <c r="EN28" i="30"/>
  <c r="EO28" i="30"/>
  <c r="EP28" i="30"/>
  <c r="EQ28" i="30"/>
  <c r="ER28" i="30"/>
  <c r="ES28" i="30"/>
  <c r="ET28" i="30"/>
  <c r="EU28" i="30"/>
  <c r="EV28" i="30"/>
  <c r="EW28" i="30"/>
  <c r="EX28" i="30"/>
  <c r="EY28" i="30"/>
  <c r="EZ28" i="30"/>
  <c r="FA28" i="30"/>
  <c r="FB28" i="30"/>
  <c r="FC28" i="30"/>
  <c r="FD28" i="30"/>
  <c r="FE28" i="30"/>
  <c r="FF28" i="30"/>
  <c r="FG28" i="30"/>
  <c r="FH28" i="30"/>
  <c r="FI28" i="30"/>
  <c r="FJ28" i="30"/>
  <c r="FK28" i="30"/>
  <c r="FL28" i="30"/>
  <c r="FM28" i="30"/>
  <c r="FN28" i="30"/>
  <c r="FO28" i="30"/>
  <c r="FP28" i="30"/>
  <c r="FQ28" i="30"/>
  <c r="FR28" i="30"/>
  <c r="FS28" i="30"/>
  <c r="FT28" i="30"/>
  <c r="FU28" i="30"/>
  <c r="FV28" i="30"/>
  <c r="FW28" i="30"/>
  <c r="FX28" i="30"/>
  <c r="FY28" i="30"/>
  <c r="FZ28" i="30"/>
  <c r="GA28" i="30"/>
  <c r="GB28" i="30"/>
  <c r="GC28" i="30"/>
  <c r="GD28" i="30"/>
  <c r="GE28" i="30"/>
  <c r="GF28" i="30"/>
  <c r="GG28" i="30"/>
  <c r="GH28" i="30"/>
  <c r="GI28" i="30"/>
  <c r="GJ28" i="30"/>
  <c r="GK28" i="30"/>
  <c r="GL28" i="30"/>
  <c r="GM28" i="30"/>
  <c r="GN28" i="30"/>
  <c r="GO28" i="30"/>
  <c r="GP28" i="30"/>
  <c r="GQ28" i="30"/>
  <c r="GR28" i="30"/>
  <c r="GS28" i="30"/>
  <c r="GT28" i="30"/>
  <c r="GU28" i="30"/>
  <c r="GV28" i="30"/>
  <c r="GW28" i="30"/>
  <c r="GX28" i="30"/>
  <c r="GY28" i="30"/>
  <c r="GZ28" i="30"/>
  <c r="HA28" i="30"/>
  <c r="HB28" i="30"/>
  <c r="HC28" i="30"/>
  <c r="HD28" i="30"/>
  <c r="HE28" i="30"/>
  <c r="HF28" i="30"/>
  <c r="HG28" i="30"/>
  <c r="HH28" i="30"/>
  <c r="HI28" i="30"/>
  <c r="HJ28" i="30"/>
  <c r="HK28" i="30"/>
  <c r="HL28" i="30"/>
  <c r="HM28" i="30"/>
  <c r="HN28" i="30"/>
  <c r="HO28" i="30"/>
  <c r="HP28" i="30"/>
  <c r="HQ28" i="30"/>
  <c r="HR28" i="30"/>
  <c r="HS28" i="30"/>
  <c r="HT28" i="30"/>
  <c r="HU28" i="30"/>
  <c r="HV28" i="30"/>
  <c r="HW28" i="30"/>
  <c r="HX28" i="30"/>
  <c r="HY28" i="30"/>
  <c r="HZ28" i="30"/>
  <c r="IA28" i="30"/>
  <c r="IB28" i="30"/>
  <c r="IC28" i="30"/>
  <c r="ID28" i="30"/>
  <c r="IE28" i="30"/>
  <c r="IF28" i="30"/>
  <c r="IG28" i="30"/>
  <c r="IH28" i="30"/>
  <c r="II28" i="30"/>
  <c r="IJ28" i="30"/>
  <c r="IK28" i="30"/>
  <c r="IL28" i="30"/>
  <c r="IM28" i="30"/>
  <c r="IN28" i="30"/>
  <c r="IO28" i="30"/>
  <c r="IP28" i="30"/>
  <c r="IQ28" i="30"/>
  <c r="IR28" i="30"/>
  <c r="IS28" i="30"/>
  <c r="IT28" i="30"/>
  <c r="IU28" i="30"/>
  <c r="IV28" i="30"/>
  <c r="A27" i="30"/>
  <c r="B27" i="30"/>
  <c r="C27" i="30"/>
  <c r="D27" i="30"/>
  <c r="E27" i="30"/>
  <c r="F27" i="30"/>
  <c r="G27" i="30"/>
  <c r="H27" i="30"/>
  <c r="I27" i="30"/>
  <c r="J27" i="30"/>
  <c r="K27" i="30"/>
  <c r="L27" i="30"/>
  <c r="M27" i="30"/>
  <c r="N27" i="30"/>
  <c r="O27" i="30"/>
  <c r="P27" i="30"/>
  <c r="Q27" i="30"/>
  <c r="R27" i="30"/>
  <c r="S27" i="30"/>
  <c r="T27" i="30"/>
  <c r="U27" i="30"/>
  <c r="V27" i="30"/>
  <c r="W27" i="30"/>
  <c r="X27" i="30"/>
  <c r="Y27" i="30"/>
  <c r="Z27" i="30"/>
  <c r="AA27" i="30"/>
  <c r="AB27" i="30"/>
  <c r="AC27" i="30"/>
  <c r="AD27" i="30"/>
  <c r="AE27" i="30"/>
  <c r="AF27" i="30"/>
  <c r="AG27" i="30"/>
  <c r="AH27" i="30"/>
  <c r="AI27" i="30"/>
  <c r="AJ27" i="30"/>
  <c r="AK27" i="30"/>
  <c r="AL27" i="30"/>
  <c r="AM27" i="30"/>
  <c r="AN27" i="30"/>
  <c r="AO27" i="30"/>
  <c r="AP27" i="30"/>
  <c r="AQ27" i="30"/>
  <c r="AR27" i="30"/>
  <c r="AS27" i="30"/>
  <c r="AT27" i="30"/>
  <c r="AU27" i="30"/>
  <c r="AV27" i="30"/>
  <c r="AW27" i="30"/>
  <c r="AX27" i="30"/>
  <c r="AY27" i="30"/>
  <c r="AZ27" i="30"/>
  <c r="BA27" i="30"/>
  <c r="BB27" i="30"/>
  <c r="BC27" i="30"/>
  <c r="BD27" i="30"/>
  <c r="BE27" i="30"/>
  <c r="BF27" i="30"/>
  <c r="BG27" i="30"/>
  <c r="BH27" i="30"/>
  <c r="BI27" i="30"/>
  <c r="BJ27" i="30"/>
  <c r="BK27" i="30"/>
  <c r="BL27" i="30"/>
  <c r="BM27" i="30"/>
  <c r="BN27" i="30"/>
  <c r="BO27" i="30"/>
  <c r="BP27" i="30"/>
  <c r="BQ27" i="30"/>
  <c r="BR27" i="30"/>
  <c r="BS27" i="30"/>
  <c r="BT27" i="30"/>
  <c r="BU27" i="30"/>
  <c r="BV27" i="30"/>
  <c r="BW27" i="30"/>
  <c r="BX27" i="30"/>
  <c r="BY27" i="30"/>
  <c r="BZ27" i="30"/>
  <c r="CA27" i="30"/>
  <c r="CB27" i="30"/>
  <c r="CC27" i="30"/>
  <c r="CD27" i="30"/>
  <c r="CE27" i="30"/>
  <c r="CF27" i="30"/>
  <c r="CG27" i="30"/>
  <c r="CH27" i="30"/>
  <c r="CI27" i="30"/>
  <c r="CJ27" i="30"/>
  <c r="CK27" i="30"/>
  <c r="CL27" i="30"/>
  <c r="CM27" i="30"/>
  <c r="CN27" i="30"/>
  <c r="CO27" i="30"/>
  <c r="CP27" i="30"/>
  <c r="CQ27" i="30"/>
  <c r="CR27" i="30"/>
  <c r="CS27" i="30"/>
  <c r="CT27" i="30"/>
  <c r="CU27" i="30"/>
  <c r="CV27" i="30"/>
  <c r="CW27" i="30"/>
  <c r="CX27" i="30"/>
  <c r="CY27" i="30"/>
  <c r="CZ27" i="30"/>
  <c r="DA27" i="30"/>
  <c r="DB27" i="30"/>
  <c r="DC27" i="30"/>
  <c r="DD27" i="30"/>
  <c r="DE27" i="30"/>
  <c r="DF27" i="30"/>
  <c r="DG27" i="30"/>
  <c r="DH27" i="30"/>
  <c r="DI27" i="30"/>
  <c r="DJ27" i="30"/>
  <c r="DK27" i="30"/>
  <c r="DL27" i="30"/>
  <c r="DM27" i="30"/>
  <c r="DN27" i="30"/>
  <c r="DO27" i="30"/>
  <c r="DP27" i="30"/>
  <c r="DQ27" i="30"/>
  <c r="DR27" i="30"/>
  <c r="DS27" i="30"/>
  <c r="DT27" i="30"/>
  <c r="DU27" i="30"/>
  <c r="DV27" i="30"/>
  <c r="DW27" i="30"/>
  <c r="DX27" i="30"/>
  <c r="DY27" i="30"/>
  <c r="DZ27" i="30"/>
  <c r="EA27" i="30"/>
  <c r="EB27" i="30"/>
  <c r="EC27" i="30"/>
  <c r="ED27" i="30"/>
  <c r="EE27" i="30"/>
  <c r="EF27" i="30"/>
  <c r="EG27" i="30"/>
  <c r="EH27" i="30"/>
  <c r="EI27" i="30"/>
  <c r="EJ27" i="30"/>
  <c r="EK27" i="30"/>
  <c r="EL27" i="30"/>
  <c r="EM27" i="30"/>
  <c r="EN27" i="30"/>
  <c r="EO27" i="30"/>
  <c r="EP27" i="30"/>
  <c r="EQ27" i="30"/>
  <c r="ER27" i="30"/>
  <c r="ES27" i="30"/>
  <c r="ET27" i="30"/>
  <c r="EU27" i="30"/>
  <c r="EV27" i="30"/>
  <c r="EW27" i="30"/>
  <c r="EX27" i="30"/>
  <c r="EY27" i="30"/>
  <c r="EZ27" i="30"/>
  <c r="FA27" i="30"/>
  <c r="FB27" i="30"/>
  <c r="FC27" i="30"/>
  <c r="FD27" i="30"/>
  <c r="FE27" i="30"/>
  <c r="FF27" i="30"/>
  <c r="FG27" i="30"/>
  <c r="FH27" i="30"/>
  <c r="FI27" i="30"/>
  <c r="FJ27" i="30"/>
  <c r="FK27" i="30"/>
  <c r="FL27" i="30"/>
  <c r="FM27" i="30"/>
  <c r="FN27" i="30"/>
  <c r="FO27" i="30"/>
  <c r="FP27" i="30"/>
  <c r="FQ27" i="30"/>
  <c r="FR27" i="30"/>
  <c r="FS27" i="30"/>
  <c r="FT27" i="30"/>
  <c r="FU27" i="30"/>
  <c r="FV27" i="30"/>
  <c r="FW27" i="30"/>
  <c r="FX27" i="30"/>
  <c r="FY27" i="30"/>
  <c r="FZ27" i="30"/>
  <c r="GA27" i="30"/>
  <c r="GB27" i="30"/>
  <c r="GC27" i="30"/>
  <c r="GD27" i="30"/>
  <c r="GE27" i="30"/>
  <c r="GF27" i="30"/>
  <c r="GG27" i="30"/>
  <c r="GH27" i="30"/>
  <c r="GI27" i="30"/>
  <c r="GJ27" i="30"/>
  <c r="GK27" i="30"/>
  <c r="GL27" i="30"/>
  <c r="GM27" i="30"/>
  <c r="GN27" i="30"/>
  <c r="GO27" i="30"/>
  <c r="GP27" i="30"/>
  <c r="GQ27" i="30"/>
  <c r="GR27" i="30"/>
  <c r="GS27" i="30"/>
  <c r="GT27" i="30"/>
  <c r="GU27" i="30"/>
  <c r="GV27" i="30"/>
  <c r="GW27" i="30"/>
  <c r="GX27" i="30"/>
  <c r="GY27" i="30"/>
  <c r="GZ27" i="30"/>
  <c r="HA27" i="30"/>
  <c r="HB27" i="30"/>
  <c r="HC27" i="30"/>
  <c r="HD27" i="30"/>
  <c r="HE27" i="30"/>
  <c r="HF27" i="30"/>
  <c r="HG27" i="30"/>
  <c r="HH27" i="30"/>
  <c r="HI27" i="30"/>
  <c r="HJ27" i="30"/>
  <c r="HK27" i="30"/>
  <c r="HL27" i="30"/>
  <c r="HM27" i="30"/>
  <c r="HN27" i="30"/>
  <c r="HO27" i="30"/>
  <c r="HP27" i="30"/>
  <c r="HQ27" i="30"/>
  <c r="HR27" i="30"/>
  <c r="HS27" i="30"/>
  <c r="HT27" i="30"/>
  <c r="HU27" i="30"/>
  <c r="HV27" i="30"/>
  <c r="HW27" i="30"/>
  <c r="HX27" i="30"/>
  <c r="HY27" i="30"/>
  <c r="HZ27" i="30"/>
  <c r="IA27" i="30"/>
  <c r="IB27" i="30"/>
  <c r="IC27" i="30"/>
  <c r="ID27" i="30"/>
  <c r="IE27" i="30"/>
  <c r="IF27" i="30"/>
  <c r="IG27" i="30"/>
  <c r="IH27" i="30"/>
  <c r="II27" i="30"/>
  <c r="IJ27" i="30"/>
  <c r="IK27" i="30"/>
  <c r="IL27" i="30"/>
  <c r="IM27" i="30"/>
  <c r="IN27" i="30"/>
  <c r="IO27" i="30"/>
  <c r="IP27" i="30"/>
  <c r="IQ27" i="30"/>
  <c r="IR27" i="30"/>
  <c r="IS27" i="30"/>
  <c r="IT27" i="30"/>
  <c r="IU27" i="30"/>
  <c r="IV27" i="30"/>
  <c r="A26" i="30"/>
  <c r="B26" i="30"/>
  <c r="C26" i="30"/>
  <c r="D26" i="30"/>
  <c r="E26" i="30"/>
  <c r="F26" i="30"/>
  <c r="G26" i="30"/>
  <c r="H26" i="30"/>
  <c r="I26" i="30"/>
  <c r="J26" i="30"/>
  <c r="K26" i="30"/>
  <c r="L26" i="30"/>
  <c r="M26" i="30"/>
  <c r="N26" i="30"/>
  <c r="O26" i="30"/>
  <c r="P26" i="30"/>
  <c r="Q26" i="30"/>
  <c r="R26" i="30"/>
  <c r="S26" i="30"/>
  <c r="T26" i="30"/>
  <c r="U26" i="30"/>
  <c r="V26" i="30"/>
  <c r="W26" i="30"/>
  <c r="X26" i="30"/>
  <c r="Y26" i="30"/>
  <c r="Z26" i="30"/>
  <c r="AA26" i="30"/>
  <c r="AB26" i="30"/>
  <c r="AC26" i="30"/>
  <c r="AD26" i="30"/>
  <c r="AE26" i="30"/>
  <c r="AF26" i="30"/>
  <c r="AG26" i="30"/>
  <c r="AH26" i="30"/>
  <c r="AI26" i="30"/>
  <c r="AJ26" i="30"/>
  <c r="AK26" i="30"/>
  <c r="AL26" i="30"/>
  <c r="AM26" i="30"/>
  <c r="AN26" i="30"/>
  <c r="AO26" i="30"/>
  <c r="AP26" i="30"/>
  <c r="AQ26" i="30"/>
  <c r="AR26" i="30"/>
  <c r="AS26" i="30"/>
  <c r="AT26" i="30"/>
  <c r="AU26" i="30"/>
  <c r="AV26" i="30"/>
  <c r="AW26" i="30"/>
  <c r="AX26" i="30"/>
  <c r="AY26" i="30"/>
  <c r="AZ26" i="30"/>
  <c r="BA26" i="30"/>
  <c r="BB26" i="30"/>
  <c r="BC26" i="30"/>
  <c r="BD26" i="30"/>
  <c r="BE26" i="30"/>
  <c r="BF26" i="30"/>
  <c r="BG26" i="30"/>
  <c r="BH26" i="30"/>
  <c r="BI26" i="30"/>
  <c r="BJ26" i="30"/>
  <c r="BK26" i="30"/>
  <c r="BL26" i="30"/>
  <c r="BM26" i="30"/>
  <c r="BN26" i="30"/>
  <c r="BO26" i="30"/>
  <c r="BP26" i="30"/>
  <c r="BQ26" i="30"/>
  <c r="BR26" i="30"/>
  <c r="BS26" i="30"/>
  <c r="BT26" i="30"/>
  <c r="BU26" i="30"/>
  <c r="BV26" i="30"/>
  <c r="BW26" i="30"/>
  <c r="BX26" i="30"/>
  <c r="BY26" i="30"/>
  <c r="BZ26" i="30"/>
  <c r="CA26" i="30"/>
  <c r="CB26" i="30"/>
  <c r="CC26" i="30"/>
  <c r="CD26" i="30"/>
  <c r="CE26" i="30"/>
  <c r="CF26" i="30"/>
  <c r="CG26" i="30"/>
  <c r="CH26" i="30"/>
  <c r="CI26" i="30"/>
  <c r="CJ26" i="30"/>
  <c r="CK26" i="30"/>
  <c r="CL26" i="30"/>
  <c r="CM26" i="30"/>
  <c r="CN26" i="30"/>
  <c r="CO26" i="30"/>
  <c r="CP26" i="30"/>
  <c r="CQ26" i="30"/>
  <c r="CR26" i="30"/>
  <c r="CS26" i="30"/>
  <c r="CT26" i="30"/>
  <c r="CU26" i="30"/>
  <c r="CV26" i="30"/>
  <c r="CW26" i="30"/>
  <c r="CX26" i="30"/>
  <c r="CY26" i="30"/>
  <c r="CZ26" i="30"/>
  <c r="DA26" i="30"/>
  <c r="DB26" i="30"/>
  <c r="DC26" i="30"/>
  <c r="DD26" i="30"/>
  <c r="DE26" i="30"/>
  <c r="DF26" i="30"/>
  <c r="DG26" i="30"/>
  <c r="DH26" i="30"/>
  <c r="DI26" i="30"/>
  <c r="DJ26" i="30"/>
  <c r="DK26" i="30"/>
  <c r="DL26" i="30"/>
  <c r="DM26" i="30"/>
  <c r="DN26" i="30"/>
  <c r="DO26" i="30"/>
  <c r="DP26" i="30"/>
  <c r="DQ26" i="30"/>
  <c r="DR26" i="30"/>
  <c r="DS26" i="30"/>
  <c r="DT26" i="30"/>
  <c r="DU26" i="30"/>
  <c r="DV26" i="30"/>
  <c r="DW26" i="30"/>
  <c r="DX26" i="30"/>
  <c r="DY26" i="30"/>
  <c r="DZ26" i="30"/>
  <c r="EA26" i="30"/>
  <c r="EB26" i="30"/>
  <c r="EC26" i="30"/>
  <c r="ED26" i="30"/>
  <c r="EE26" i="30"/>
  <c r="EF26" i="30"/>
  <c r="EG26" i="30"/>
  <c r="EH26" i="30"/>
  <c r="EI26" i="30"/>
  <c r="EJ26" i="30"/>
  <c r="EK26" i="30"/>
  <c r="EL26" i="30"/>
  <c r="EM26" i="30"/>
  <c r="EN26" i="30"/>
  <c r="EO26" i="30"/>
  <c r="EP26" i="30"/>
  <c r="EQ26" i="30"/>
  <c r="ER26" i="30"/>
  <c r="ES26" i="30"/>
  <c r="ET26" i="30"/>
  <c r="EU26" i="30"/>
  <c r="EV26" i="30"/>
  <c r="EW26" i="30"/>
  <c r="EX26" i="30"/>
  <c r="EY26" i="30"/>
  <c r="EZ26" i="30"/>
  <c r="FA26" i="30"/>
  <c r="FB26" i="30"/>
  <c r="FC26" i="30"/>
  <c r="FD26" i="30"/>
  <c r="FE26" i="30"/>
  <c r="FF26" i="30"/>
  <c r="FG26" i="30"/>
  <c r="FH26" i="30"/>
  <c r="FI26" i="30"/>
  <c r="FJ26" i="30"/>
  <c r="FK26" i="30"/>
  <c r="FL26" i="30"/>
  <c r="FM26" i="30"/>
  <c r="FN26" i="30"/>
  <c r="FO26" i="30"/>
  <c r="FP26" i="30"/>
  <c r="FQ26" i="30"/>
  <c r="FR26" i="30"/>
  <c r="FS26" i="30"/>
  <c r="FT26" i="30"/>
  <c r="FU26" i="30"/>
  <c r="FV26" i="30"/>
  <c r="FW26" i="30"/>
  <c r="FX26" i="30"/>
  <c r="FY26" i="30"/>
  <c r="FZ26" i="30"/>
  <c r="GA26" i="30"/>
  <c r="GB26" i="30"/>
  <c r="GC26" i="30"/>
  <c r="GD26" i="30"/>
  <c r="GE26" i="30"/>
  <c r="GF26" i="30"/>
  <c r="GG26" i="30"/>
  <c r="GH26" i="30"/>
  <c r="GI26" i="30"/>
  <c r="GJ26" i="30"/>
  <c r="GK26" i="30"/>
  <c r="GL26" i="30"/>
  <c r="GM26" i="30"/>
  <c r="GN26" i="30"/>
  <c r="GO26" i="30"/>
  <c r="GP26" i="30"/>
  <c r="GQ26" i="30"/>
  <c r="GR26" i="30"/>
  <c r="GS26" i="30"/>
  <c r="GT26" i="30"/>
  <c r="GU26" i="30"/>
  <c r="GV26" i="30"/>
  <c r="GW26" i="30"/>
  <c r="GX26" i="30"/>
  <c r="GY26" i="30"/>
  <c r="GZ26" i="30"/>
  <c r="HA26" i="30"/>
  <c r="HB26" i="30"/>
  <c r="HC26" i="30"/>
  <c r="HD26" i="30"/>
  <c r="HE26" i="30"/>
  <c r="HF26" i="30"/>
  <c r="HG26" i="30"/>
  <c r="HH26" i="30"/>
  <c r="HI26" i="30"/>
  <c r="HJ26" i="30"/>
  <c r="HK26" i="30"/>
  <c r="HL26" i="30"/>
  <c r="HM26" i="30"/>
  <c r="HN26" i="30"/>
  <c r="HO26" i="30"/>
  <c r="HP26" i="30"/>
  <c r="HQ26" i="30"/>
  <c r="HR26" i="30"/>
  <c r="HS26" i="30"/>
  <c r="HT26" i="30"/>
  <c r="HU26" i="30"/>
  <c r="HV26" i="30"/>
  <c r="HW26" i="30"/>
  <c r="HX26" i="30"/>
  <c r="HY26" i="30"/>
  <c r="HZ26" i="30"/>
  <c r="IA26" i="30"/>
  <c r="IB26" i="30"/>
  <c r="IC26" i="30"/>
  <c r="ID26" i="30"/>
  <c r="IE26" i="30"/>
  <c r="IF26" i="30"/>
  <c r="IG26" i="30"/>
  <c r="IH26" i="30"/>
  <c r="II26" i="30"/>
  <c r="IJ26" i="30"/>
  <c r="IK26" i="30"/>
  <c r="IL26" i="30"/>
  <c r="IM26" i="30"/>
  <c r="IN26" i="30"/>
  <c r="IO26" i="30"/>
  <c r="IP26" i="30"/>
  <c r="IQ26" i="30"/>
  <c r="IR26" i="30"/>
  <c r="IS26" i="30"/>
  <c r="IT26" i="30"/>
  <c r="IU26" i="30"/>
  <c r="IV26" i="30"/>
  <c r="A25" i="30"/>
  <c r="B25" i="30"/>
  <c r="C25" i="30"/>
  <c r="D25" i="30"/>
  <c r="E25" i="30"/>
  <c r="F25" i="30"/>
  <c r="G25" i="30"/>
  <c r="H25" i="30"/>
  <c r="I25" i="30"/>
  <c r="J25" i="30"/>
  <c r="K25" i="30"/>
  <c r="L25" i="30"/>
  <c r="M25" i="30"/>
  <c r="N25" i="30"/>
  <c r="O25" i="30"/>
  <c r="P25" i="30"/>
  <c r="Q25" i="30"/>
  <c r="R25" i="30"/>
  <c r="S25" i="30"/>
  <c r="T25" i="30"/>
  <c r="U25" i="30"/>
  <c r="V25" i="30"/>
  <c r="W25" i="30"/>
  <c r="X25" i="30"/>
  <c r="Y25" i="30"/>
  <c r="Z25" i="30"/>
  <c r="AA25" i="30"/>
  <c r="AB25" i="30"/>
  <c r="AC25" i="30"/>
  <c r="AD25" i="30"/>
  <c r="AE25" i="30"/>
  <c r="AF25" i="30"/>
  <c r="AG25" i="30"/>
  <c r="AH25" i="30"/>
  <c r="AI25" i="30"/>
  <c r="AJ25" i="30"/>
  <c r="AK25" i="30"/>
  <c r="AL25" i="30"/>
  <c r="AM25" i="30"/>
  <c r="AN25" i="30"/>
  <c r="AO25" i="30"/>
  <c r="AP25" i="30"/>
  <c r="AQ25" i="30"/>
  <c r="AR25" i="30"/>
  <c r="AS25" i="30"/>
  <c r="AT25" i="30"/>
  <c r="AU25" i="30"/>
  <c r="AV25" i="30"/>
  <c r="AW25" i="30"/>
  <c r="AX25" i="30"/>
  <c r="AY25" i="30"/>
  <c r="AZ25" i="30"/>
  <c r="BA25" i="30"/>
  <c r="BB25" i="30"/>
  <c r="BC25" i="30"/>
  <c r="BD25" i="30"/>
  <c r="BE25" i="30"/>
  <c r="BF25" i="30"/>
  <c r="BG25" i="30"/>
  <c r="BH25" i="30"/>
  <c r="BI25" i="30"/>
  <c r="BJ25" i="30"/>
  <c r="BK25" i="30"/>
  <c r="BL25" i="30"/>
  <c r="BM25" i="30"/>
  <c r="BN25" i="30"/>
  <c r="BO25" i="30"/>
  <c r="BP25" i="30"/>
  <c r="BQ25" i="30"/>
  <c r="BR25" i="30"/>
  <c r="BS25" i="30"/>
  <c r="BT25" i="30"/>
  <c r="BU25" i="30"/>
  <c r="BV25" i="30"/>
  <c r="BW25" i="30"/>
  <c r="BX25" i="30"/>
  <c r="BY25" i="30"/>
  <c r="BZ25" i="30"/>
  <c r="CA25" i="30"/>
  <c r="CB25" i="30"/>
  <c r="CC25" i="30"/>
  <c r="CD25" i="30"/>
  <c r="CE25" i="30"/>
  <c r="CF25" i="30"/>
  <c r="CG25" i="30"/>
  <c r="CH25" i="30"/>
  <c r="CI25" i="30"/>
  <c r="CJ25" i="30"/>
  <c r="CK25" i="30"/>
  <c r="CL25" i="30"/>
  <c r="CM25" i="30"/>
  <c r="CN25" i="30"/>
  <c r="CO25" i="30"/>
  <c r="CP25" i="30"/>
  <c r="CQ25" i="30"/>
  <c r="CR25" i="30"/>
  <c r="CS25" i="30"/>
  <c r="CT25" i="30"/>
  <c r="CU25" i="30"/>
  <c r="CV25" i="30"/>
  <c r="CW25" i="30"/>
  <c r="CX25" i="30"/>
  <c r="CY25" i="30"/>
  <c r="CZ25" i="30"/>
  <c r="DA25" i="30"/>
  <c r="DB25" i="30"/>
  <c r="DC25" i="30"/>
  <c r="DD25" i="30"/>
  <c r="DE25" i="30"/>
  <c r="DF25" i="30"/>
  <c r="DG25" i="30"/>
  <c r="DH25" i="30"/>
  <c r="DI25" i="30"/>
  <c r="DJ25" i="30"/>
  <c r="DK25" i="30"/>
  <c r="DL25" i="30"/>
  <c r="DM25" i="30"/>
  <c r="DN25" i="30"/>
  <c r="DO25" i="30"/>
  <c r="DP25" i="30"/>
  <c r="DQ25" i="30"/>
  <c r="DR25" i="30"/>
  <c r="DS25" i="30"/>
  <c r="DT25" i="30"/>
  <c r="DU25" i="30"/>
  <c r="DV25" i="30"/>
  <c r="DW25" i="30"/>
  <c r="DX25" i="30"/>
  <c r="DY25" i="30"/>
  <c r="DZ25" i="30"/>
  <c r="EA25" i="30"/>
  <c r="EB25" i="30"/>
  <c r="EC25" i="30"/>
  <c r="ED25" i="30"/>
  <c r="EE25" i="30"/>
  <c r="EF25" i="30"/>
  <c r="EG25" i="30"/>
  <c r="EH25" i="30"/>
  <c r="EI25" i="30"/>
  <c r="EJ25" i="30"/>
  <c r="EK25" i="30"/>
  <c r="EL25" i="30"/>
  <c r="EM25" i="30"/>
  <c r="EN25" i="30"/>
  <c r="EO25" i="30"/>
  <c r="EP25" i="30"/>
  <c r="EQ25" i="30"/>
  <c r="ER25" i="30"/>
  <c r="ES25" i="30"/>
  <c r="ET25" i="30"/>
  <c r="EU25" i="30"/>
  <c r="EV25" i="30"/>
  <c r="EW25" i="30"/>
  <c r="EX25" i="30"/>
  <c r="EY25" i="30"/>
  <c r="EZ25" i="30"/>
  <c r="FA25" i="30"/>
  <c r="FB25" i="30"/>
  <c r="FC25" i="30"/>
  <c r="FD25" i="30"/>
  <c r="FE25" i="30"/>
  <c r="FF25" i="30"/>
  <c r="FG25" i="30"/>
  <c r="FH25" i="30"/>
  <c r="FI25" i="30"/>
  <c r="FJ25" i="30"/>
  <c r="FK25" i="30"/>
  <c r="FL25" i="30"/>
  <c r="FM25" i="30"/>
  <c r="FN25" i="30"/>
  <c r="FO25" i="30"/>
  <c r="FP25" i="30"/>
  <c r="FQ25" i="30"/>
  <c r="FR25" i="30"/>
  <c r="FS25" i="30"/>
  <c r="FT25" i="30"/>
  <c r="FU25" i="30"/>
  <c r="FV25" i="30"/>
  <c r="FW25" i="30"/>
  <c r="FX25" i="30"/>
  <c r="FY25" i="30"/>
  <c r="FZ25" i="30"/>
  <c r="GA25" i="30"/>
  <c r="GB25" i="30"/>
  <c r="GC25" i="30"/>
  <c r="GD25" i="30"/>
  <c r="GE25" i="30"/>
  <c r="GF25" i="30"/>
  <c r="GG25" i="30"/>
  <c r="GH25" i="30"/>
  <c r="GI25" i="30"/>
  <c r="GJ25" i="30"/>
  <c r="GK25" i="30"/>
  <c r="GL25" i="30"/>
  <c r="GM25" i="30"/>
  <c r="GN25" i="30"/>
  <c r="GO25" i="30"/>
  <c r="GP25" i="30"/>
  <c r="GQ25" i="30"/>
  <c r="GR25" i="30"/>
  <c r="GS25" i="30"/>
  <c r="GT25" i="30"/>
  <c r="GU25" i="30"/>
  <c r="GV25" i="30"/>
  <c r="GW25" i="30"/>
  <c r="GX25" i="30"/>
  <c r="GY25" i="30"/>
  <c r="GZ25" i="30"/>
  <c r="HA25" i="30"/>
  <c r="HB25" i="30"/>
  <c r="HC25" i="30"/>
  <c r="HD25" i="30"/>
  <c r="HE25" i="30"/>
  <c r="HF25" i="30"/>
  <c r="HG25" i="30"/>
  <c r="HH25" i="30"/>
  <c r="HI25" i="30"/>
  <c r="HJ25" i="30"/>
  <c r="HK25" i="30"/>
  <c r="HL25" i="30"/>
  <c r="HM25" i="30"/>
  <c r="HN25" i="30"/>
  <c r="HO25" i="30"/>
  <c r="HP25" i="30"/>
  <c r="HQ25" i="30"/>
  <c r="HR25" i="30"/>
  <c r="HS25" i="30"/>
  <c r="HT25" i="30"/>
  <c r="HU25" i="30"/>
  <c r="HV25" i="30"/>
  <c r="HW25" i="30"/>
  <c r="HX25" i="30"/>
  <c r="HY25" i="30"/>
  <c r="HZ25" i="30"/>
  <c r="IA25" i="30"/>
  <c r="IB25" i="30"/>
  <c r="IC25" i="30"/>
  <c r="ID25" i="30"/>
  <c r="IE25" i="30"/>
  <c r="IF25" i="30"/>
  <c r="IG25" i="30"/>
  <c r="IH25" i="30"/>
  <c r="II25" i="30"/>
  <c r="IJ25" i="30"/>
  <c r="IK25" i="30"/>
  <c r="IL25" i="30"/>
  <c r="IM25" i="30"/>
  <c r="IN25" i="30"/>
  <c r="IO25" i="30"/>
  <c r="IP25" i="30"/>
  <c r="IQ25" i="30"/>
  <c r="IR25" i="30"/>
  <c r="IS25" i="30"/>
  <c r="IT25" i="30"/>
  <c r="IU25" i="30"/>
  <c r="IV25" i="30"/>
  <c r="A24" i="30"/>
  <c r="B24" i="30"/>
  <c r="C24" i="30"/>
  <c r="D24" i="30"/>
  <c r="E24" i="30"/>
  <c r="F24" i="30"/>
  <c r="G24" i="30"/>
  <c r="H24" i="30"/>
  <c r="I24" i="30"/>
  <c r="J24" i="30"/>
  <c r="K24" i="30"/>
  <c r="L24" i="30"/>
  <c r="M24" i="30"/>
  <c r="N24" i="30"/>
  <c r="O24" i="30"/>
  <c r="P24" i="30"/>
  <c r="Q24" i="30"/>
  <c r="R24" i="30"/>
  <c r="S24" i="30"/>
  <c r="T24" i="30"/>
  <c r="U24" i="30"/>
  <c r="V24" i="30"/>
  <c r="W24" i="30"/>
  <c r="X24" i="30"/>
  <c r="Y24" i="30"/>
  <c r="Z24" i="30"/>
  <c r="AA24" i="30"/>
  <c r="AB24" i="30"/>
  <c r="AC24" i="30"/>
  <c r="AD24" i="30"/>
  <c r="AE24" i="30"/>
  <c r="AF24" i="30"/>
  <c r="AG24" i="30"/>
  <c r="AH24" i="30"/>
  <c r="AI24" i="30"/>
  <c r="AJ24" i="30"/>
  <c r="AK24" i="30"/>
  <c r="AL24" i="30"/>
  <c r="AM24" i="30"/>
  <c r="AN24" i="30"/>
  <c r="AO24" i="30"/>
  <c r="AP24" i="30"/>
  <c r="AQ24" i="30"/>
  <c r="AR24" i="30"/>
  <c r="AS24" i="30"/>
  <c r="AT24" i="30"/>
  <c r="AU24" i="30"/>
  <c r="AV24" i="30"/>
  <c r="AW24" i="30"/>
  <c r="AX24" i="30"/>
  <c r="AY24" i="30"/>
  <c r="AZ24" i="30"/>
  <c r="BA24" i="30"/>
  <c r="BB24" i="30"/>
  <c r="BC24" i="30"/>
  <c r="BD24" i="30"/>
  <c r="BE24" i="30"/>
  <c r="BF24" i="30"/>
  <c r="BG24" i="30"/>
  <c r="BH24" i="30"/>
  <c r="BI24" i="30"/>
  <c r="BJ24" i="30"/>
  <c r="BK24" i="30"/>
  <c r="BL24" i="30"/>
  <c r="BM24" i="30"/>
  <c r="BN24" i="30"/>
  <c r="BO24" i="30"/>
  <c r="BP24" i="30"/>
  <c r="BQ24" i="30"/>
  <c r="BR24" i="30"/>
  <c r="BS24" i="30"/>
  <c r="BT24" i="30"/>
  <c r="BU24" i="30"/>
  <c r="BV24" i="30"/>
  <c r="BW24" i="30"/>
  <c r="BX24" i="30"/>
  <c r="BY24" i="30"/>
  <c r="BZ24" i="30"/>
  <c r="CA24" i="30"/>
  <c r="CB24" i="30"/>
  <c r="CC24" i="30"/>
  <c r="CD24" i="30"/>
  <c r="CE24" i="30"/>
  <c r="CF24" i="30"/>
  <c r="CG24" i="30"/>
  <c r="CH24" i="30"/>
  <c r="CI24" i="30"/>
  <c r="CJ24" i="30"/>
  <c r="CK24" i="30"/>
  <c r="CL24" i="30"/>
  <c r="CM24" i="30"/>
  <c r="CN24" i="30"/>
  <c r="CO24" i="30"/>
  <c r="CP24" i="30"/>
  <c r="CQ24" i="30"/>
  <c r="CR24" i="30"/>
  <c r="CS24" i="30"/>
  <c r="CT24" i="30"/>
  <c r="CU24" i="30"/>
  <c r="CV24" i="30"/>
  <c r="CW24" i="30"/>
  <c r="CX24" i="30"/>
  <c r="CY24" i="30"/>
  <c r="CZ24" i="30"/>
  <c r="DA24" i="30"/>
  <c r="DB24" i="30"/>
  <c r="DC24" i="30"/>
  <c r="DD24" i="30"/>
  <c r="DE24" i="30"/>
  <c r="DF24" i="30"/>
  <c r="DG24" i="30"/>
  <c r="DH24" i="30"/>
  <c r="DI24" i="30"/>
  <c r="DJ24" i="30"/>
  <c r="DK24" i="30"/>
  <c r="DL24" i="30"/>
  <c r="DM24" i="30"/>
  <c r="DN24" i="30"/>
  <c r="DO24" i="30"/>
  <c r="DP24" i="30"/>
  <c r="DQ24" i="30"/>
  <c r="DR24" i="30"/>
  <c r="DS24" i="30"/>
  <c r="DT24" i="30"/>
  <c r="DU24" i="30"/>
  <c r="DV24" i="30"/>
  <c r="DW24" i="30"/>
  <c r="DX24" i="30"/>
  <c r="DY24" i="30"/>
  <c r="DZ24" i="30"/>
  <c r="EA24" i="30"/>
  <c r="EB24" i="30"/>
  <c r="EC24" i="30"/>
  <c r="ED24" i="30"/>
  <c r="EE24" i="30"/>
  <c r="EF24" i="30"/>
  <c r="EG24" i="30"/>
  <c r="EH24" i="30"/>
  <c r="EI24" i="30"/>
  <c r="EJ24" i="30"/>
  <c r="EK24" i="30"/>
  <c r="EL24" i="30"/>
  <c r="EM24" i="30"/>
  <c r="EN24" i="30"/>
  <c r="EO24" i="30"/>
  <c r="EP24" i="30"/>
  <c r="EQ24" i="30"/>
  <c r="ER24" i="30"/>
  <c r="ES24" i="30"/>
  <c r="ET24" i="30"/>
  <c r="EU24" i="30"/>
  <c r="EV24" i="30"/>
  <c r="EW24" i="30"/>
  <c r="EX24" i="30"/>
  <c r="EY24" i="30"/>
  <c r="EZ24" i="30"/>
  <c r="FA24" i="30"/>
  <c r="FB24" i="30"/>
  <c r="FC24" i="30"/>
  <c r="FD24" i="30"/>
  <c r="FE24" i="30"/>
  <c r="FF24" i="30"/>
  <c r="FG24" i="30"/>
  <c r="FH24" i="30"/>
  <c r="FI24" i="30"/>
  <c r="FJ24" i="30"/>
  <c r="FK24" i="30"/>
  <c r="FL24" i="30"/>
  <c r="FM24" i="30"/>
  <c r="FN24" i="30"/>
  <c r="FO24" i="30"/>
  <c r="FP24" i="30"/>
  <c r="FQ24" i="30"/>
  <c r="FR24" i="30"/>
  <c r="FS24" i="30"/>
  <c r="FT24" i="30"/>
  <c r="FU24" i="30"/>
  <c r="FV24" i="30"/>
  <c r="FW24" i="30"/>
  <c r="FX24" i="30"/>
  <c r="FY24" i="30"/>
  <c r="FZ24" i="30"/>
  <c r="GA24" i="30"/>
  <c r="GB24" i="30"/>
  <c r="GC24" i="30"/>
  <c r="GD24" i="30"/>
  <c r="GE24" i="30"/>
  <c r="GF24" i="30"/>
  <c r="GG24" i="30"/>
  <c r="GH24" i="30"/>
  <c r="GI24" i="30"/>
  <c r="GJ24" i="30"/>
  <c r="GK24" i="30"/>
  <c r="GL24" i="30"/>
  <c r="GM24" i="30"/>
  <c r="GN24" i="30"/>
  <c r="GO24" i="30"/>
  <c r="GP24" i="30"/>
  <c r="GQ24" i="30"/>
  <c r="GR24" i="30"/>
  <c r="GS24" i="30"/>
  <c r="GT24" i="30"/>
  <c r="GU24" i="30"/>
  <c r="GV24" i="30"/>
  <c r="GW24" i="30"/>
  <c r="GX24" i="30"/>
  <c r="GY24" i="30"/>
  <c r="GZ24" i="30"/>
  <c r="HA24" i="30"/>
  <c r="HB24" i="30"/>
  <c r="HC24" i="30"/>
  <c r="HD24" i="30"/>
  <c r="HE24" i="30"/>
  <c r="HF24" i="30"/>
  <c r="HG24" i="30"/>
  <c r="HH24" i="30"/>
  <c r="HI24" i="30"/>
  <c r="HJ24" i="30"/>
  <c r="HK24" i="30"/>
  <c r="HL24" i="30"/>
  <c r="HM24" i="30"/>
  <c r="HN24" i="30"/>
  <c r="HO24" i="30"/>
  <c r="HP24" i="30"/>
  <c r="HQ24" i="30"/>
  <c r="HR24" i="30"/>
  <c r="HS24" i="30"/>
  <c r="HT24" i="30"/>
  <c r="HU24" i="30"/>
  <c r="HV24" i="30"/>
  <c r="HW24" i="30"/>
  <c r="HX24" i="30"/>
  <c r="HY24" i="30"/>
  <c r="HZ24" i="30"/>
  <c r="IA24" i="30"/>
  <c r="IB24" i="30"/>
  <c r="IC24" i="30"/>
  <c r="ID24" i="30"/>
  <c r="IE24" i="30"/>
  <c r="IF24" i="30"/>
  <c r="IG24" i="30"/>
  <c r="IH24" i="30"/>
  <c r="II24" i="30"/>
  <c r="IJ24" i="30"/>
  <c r="IK24" i="30"/>
  <c r="IL24" i="30"/>
  <c r="IM24" i="30"/>
  <c r="IN24" i="30"/>
  <c r="IO24" i="30"/>
  <c r="IP24" i="30"/>
  <c r="IQ24" i="30"/>
  <c r="IR24" i="30"/>
  <c r="IS24" i="30"/>
  <c r="IT24" i="30"/>
  <c r="IU24" i="30"/>
  <c r="IV24" i="30"/>
  <c r="A23" i="30"/>
  <c r="B23" i="30"/>
  <c r="C23" i="30"/>
  <c r="D23" i="30"/>
  <c r="E23" i="30"/>
  <c r="F23" i="30"/>
  <c r="G23" i="30"/>
  <c r="H23" i="30"/>
  <c r="I23" i="30"/>
  <c r="J23" i="30"/>
  <c r="K23" i="30"/>
  <c r="L23" i="30"/>
  <c r="M23" i="30"/>
  <c r="N23" i="30"/>
  <c r="O23" i="30"/>
  <c r="P23" i="30"/>
  <c r="Q23" i="30"/>
  <c r="R23" i="30"/>
  <c r="S23" i="30"/>
  <c r="T23" i="30"/>
  <c r="U23" i="30"/>
  <c r="V23" i="30"/>
  <c r="W23" i="30"/>
  <c r="X23" i="30"/>
  <c r="Y23" i="30"/>
  <c r="Z23" i="30"/>
  <c r="AA23" i="30"/>
  <c r="AB23" i="30"/>
  <c r="AC23" i="30"/>
  <c r="AD23" i="30"/>
  <c r="AE23" i="30"/>
  <c r="AF23" i="30"/>
  <c r="AG23" i="30"/>
  <c r="AH23" i="30"/>
  <c r="AI23" i="30"/>
  <c r="AJ23" i="30"/>
  <c r="AK23" i="30"/>
  <c r="AL23" i="30"/>
  <c r="AM23" i="30"/>
  <c r="AN23" i="30"/>
  <c r="AO23" i="30"/>
  <c r="AP23" i="30"/>
  <c r="AQ23" i="30"/>
  <c r="AR23" i="30"/>
  <c r="AS23" i="30"/>
  <c r="AT23" i="30"/>
  <c r="AU23" i="30"/>
  <c r="AV23" i="30"/>
  <c r="AW23" i="30"/>
  <c r="AX23" i="30"/>
  <c r="AY23" i="30"/>
  <c r="AZ23" i="30"/>
  <c r="BA23" i="30"/>
  <c r="BB23" i="30"/>
  <c r="BC23" i="30"/>
  <c r="BD23" i="30"/>
  <c r="BE23" i="30"/>
  <c r="BF23" i="30"/>
  <c r="BG23" i="30"/>
  <c r="BH23" i="30"/>
  <c r="BI23" i="30"/>
  <c r="BJ23" i="30"/>
  <c r="BK23" i="30"/>
  <c r="BL23" i="30"/>
  <c r="BM23" i="30"/>
  <c r="BN23" i="30"/>
  <c r="BO23" i="30"/>
  <c r="BP23" i="30"/>
  <c r="BQ23" i="30"/>
  <c r="BR23" i="30"/>
  <c r="BS23" i="30"/>
  <c r="BT23" i="30"/>
  <c r="BU23" i="30"/>
  <c r="BV23" i="30"/>
  <c r="BW23" i="30"/>
  <c r="BX23" i="30"/>
  <c r="BY23" i="30"/>
  <c r="BZ23" i="30"/>
  <c r="CA23" i="30"/>
  <c r="CB23" i="30"/>
  <c r="CC23" i="30"/>
  <c r="CD23" i="30"/>
  <c r="CE23" i="30"/>
  <c r="CF23" i="30"/>
  <c r="CG23" i="30"/>
  <c r="CH23" i="30"/>
  <c r="CI23" i="30"/>
  <c r="CJ23" i="30"/>
  <c r="CK23" i="30"/>
  <c r="CL23" i="30"/>
  <c r="CM23" i="30"/>
  <c r="CN23" i="30"/>
  <c r="CO23" i="30"/>
  <c r="CP23" i="30"/>
  <c r="CQ23" i="30"/>
  <c r="CR23" i="30"/>
  <c r="CS23" i="30"/>
  <c r="CT23" i="30"/>
  <c r="CU23" i="30"/>
  <c r="CV23" i="30"/>
  <c r="CW23" i="30"/>
  <c r="CX23" i="30"/>
  <c r="CY23" i="30"/>
  <c r="CZ23" i="30"/>
  <c r="DA23" i="30"/>
  <c r="DB23" i="30"/>
  <c r="DC23" i="30"/>
  <c r="DD23" i="30"/>
  <c r="DE23" i="30"/>
  <c r="DF23" i="30"/>
  <c r="DG23" i="30"/>
  <c r="DH23" i="30"/>
  <c r="DI23" i="30"/>
  <c r="DJ23" i="30"/>
  <c r="DK23" i="30"/>
  <c r="DL23" i="30"/>
  <c r="DM23" i="30"/>
  <c r="DN23" i="30"/>
  <c r="DO23" i="30"/>
  <c r="DP23" i="30"/>
  <c r="DQ23" i="30"/>
  <c r="DR23" i="30"/>
  <c r="DS23" i="30"/>
  <c r="DT23" i="30"/>
  <c r="DU23" i="30"/>
  <c r="DV23" i="30"/>
  <c r="DW23" i="30"/>
  <c r="DX23" i="30"/>
  <c r="DY23" i="30"/>
  <c r="DZ23" i="30"/>
  <c r="EA23" i="30"/>
  <c r="EB23" i="30"/>
  <c r="EC23" i="30"/>
  <c r="ED23" i="30"/>
  <c r="EE23" i="30"/>
  <c r="EF23" i="30"/>
  <c r="EG23" i="30"/>
  <c r="EH23" i="30"/>
  <c r="EI23" i="30"/>
  <c r="EJ23" i="30"/>
  <c r="EK23" i="30"/>
  <c r="EL23" i="30"/>
  <c r="EM23" i="30"/>
  <c r="EN23" i="30"/>
  <c r="EO23" i="30"/>
  <c r="EP23" i="30"/>
  <c r="EQ23" i="30"/>
  <c r="ER23" i="30"/>
  <c r="ES23" i="30"/>
  <c r="ET23" i="30"/>
  <c r="EU23" i="30"/>
  <c r="EV23" i="30"/>
  <c r="EW23" i="30"/>
  <c r="EX23" i="30"/>
  <c r="EY23" i="30"/>
  <c r="EZ23" i="30"/>
  <c r="FA23" i="30"/>
  <c r="FB23" i="30"/>
  <c r="FC23" i="30"/>
  <c r="FD23" i="30"/>
  <c r="FE23" i="30"/>
  <c r="FF23" i="30"/>
  <c r="FG23" i="30"/>
  <c r="FH23" i="30"/>
  <c r="FI23" i="30"/>
  <c r="FJ23" i="30"/>
  <c r="FK23" i="30"/>
  <c r="FL23" i="30"/>
  <c r="FM23" i="30"/>
  <c r="FN23" i="30"/>
  <c r="FO23" i="30"/>
  <c r="FP23" i="30"/>
  <c r="FQ23" i="30"/>
  <c r="FR23" i="30"/>
  <c r="FS23" i="30"/>
  <c r="FT23" i="30"/>
  <c r="FU23" i="30"/>
  <c r="FV23" i="30"/>
  <c r="FW23" i="30"/>
  <c r="FX23" i="30"/>
  <c r="FY23" i="30"/>
  <c r="FZ23" i="30"/>
  <c r="GA23" i="30"/>
  <c r="GB23" i="30"/>
  <c r="GC23" i="30"/>
  <c r="GD23" i="30"/>
  <c r="GE23" i="30"/>
  <c r="GF23" i="30"/>
  <c r="GG23" i="30"/>
  <c r="GH23" i="30"/>
  <c r="GI23" i="30"/>
  <c r="GJ23" i="30"/>
  <c r="GK23" i="30"/>
  <c r="GL23" i="30"/>
  <c r="GM23" i="30"/>
  <c r="GN23" i="30"/>
  <c r="GO23" i="30"/>
  <c r="GP23" i="30"/>
  <c r="GQ23" i="30"/>
  <c r="GR23" i="30"/>
  <c r="GS23" i="30"/>
  <c r="GT23" i="30"/>
  <c r="GU23" i="30"/>
  <c r="GV23" i="30"/>
  <c r="GW23" i="30"/>
  <c r="GX23" i="30"/>
  <c r="GY23" i="30"/>
  <c r="GZ23" i="30"/>
  <c r="HA23" i="30"/>
  <c r="HB23" i="30"/>
  <c r="HC23" i="30"/>
  <c r="HD23" i="30"/>
  <c r="HE23" i="30"/>
  <c r="HF23" i="30"/>
  <c r="HG23" i="30"/>
  <c r="HH23" i="30"/>
  <c r="HI23" i="30"/>
  <c r="HJ23" i="30"/>
  <c r="HK23" i="30"/>
  <c r="HL23" i="30"/>
  <c r="HM23" i="30"/>
  <c r="HN23" i="30"/>
  <c r="HO23" i="30"/>
  <c r="HP23" i="30"/>
  <c r="HQ23" i="30"/>
  <c r="HR23" i="30"/>
  <c r="HS23" i="30"/>
  <c r="HT23" i="30"/>
  <c r="HU23" i="30"/>
  <c r="HV23" i="30"/>
  <c r="HW23" i="30"/>
  <c r="HX23" i="30"/>
  <c r="HY23" i="30"/>
  <c r="HZ23" i="30"/>
  <c r="IA23" i="30"/>
  <c r="IB23" i="30"/>
  <c r="IC23" i="30"/>
  <c r="ID23" i="30"/>
  <c r="IE23" i="30"/>
  <c r="IF23" i="30"/>
  <c r="IG23" i="30"/>
  <c r="IH23" i="30"/>
  <c r="II23" i="30"/>
  <c r="IJ23" i="30"/>
  <c r="IK23" i="30"/>
  <c r="IL23" i="30"/>
  <c r="IM23" i="30"/>
  <c r="IN23" i="30"/>
  <c r="IO23" i="30"/>
  <c r="IP23" i="30"/>
  <c r="IQ23" i="30"/>
  <c r="IR23" i="30"/>
  <c r="IS23" i="30"/>
  <c r="IT23" i="30"/>
  <c r="IU23" i="30"/>
  <c r="IV23" i="30"/>
  <c r="A22" i="30"/>
  <c r="B22" i="30"/>
  <c r="C22" i="30"/>
  <c r="D22" i="30"/>
  <c r="E22" i="30"/>
  <c r="F22" i="30"/>
  <c r="G22" i="30"/>
  <c r="H22" i="30"/>
  <c r="I22" i="30"/>
  <c r="J22" i="30"/>
  <c r="K22" i="30"/>
  <c r="L22" i="30"/>
  <c r="M22" i="30"/>
  <c r="N22" i="30"/>
  <c r="O22" i="30"/>
  <c r="P22" i="30"/>
  <c r="Q22" i="30"/>
  <c r="R22" i="30"/>
  <c r="S22" i="30"/>
  <c r="T22" i="30"/>
  <c r="U22" i="30"/>
  <c r="V22" i="30"/>
  <c r="W22" i="30"/>
  <c r="X22" i="30"/>
  <c r="Y22" i="30"/>
  <c r="Z22" i="30"/>
  <c r="AA22" i="30"/>
  <c r="AB22" i="30"/>
  <c r="AC22" i="30"/>
  <c r="AD22" i="30"/>
  <c r="AE22" i="30"/>
  <c r="AF22" i="30"/>
  <c r="AG22" i="30"/>
  <c r="AH22" i="30"/>
  <c r="AI22" i="30"/>
  <c r="AJ22" i="30"/>
  <c r="AK22" i="30"/>
  <c r="AL22" i="30"/>
  <c r="AM22" i="30"/>
  <c r="AN22" i="30"/>
  <c r="AO22" i="30"/>
  <c r="AP22" i="30"/>
  <c r="AQ22" i="30"/>
  <c r="AR22" i="30"/>
  <c r="AS22" i="30"/>
  <c r="AT22" i="30"/>
  <c r="AU22" i="30"/>
  <c r="AV22" i="30"/>
  <c r="AW22" i="30"/>
  <c r="AX22" i="30"/>
  <c r="AY22" i="30"/>
  <c r="AZ22" i="30"/>
  <c r="BA22" i="30"/>
  <c r="BB22" i="30"/>
  <c r="BC22" i="30"/>
  <c r="BD22" i="30"/>
  <c r="BE22" i="30"/>
  <c r="BF22" i="30"/>
  <c r="BG22" i="30"/>
  <c r="BH22" i="30"/>
  <c r="BI22" i="30"/>
  <c r="BJ22" i="30"/>
  <c r="BK22" i="30"/>
  <c r="BL22" i="30"/>
  <c r="BM22" i="30"/>
  <c r="BN22" i="30"/>
  <c r="BO22" i="30"/>
  <c r="BP22" i="30"/>
  <c r="BQ22" i="30"/>
  <c r="BR22" i="30"/>
  <c r="BS22" i="30"/>
  <c r="BT22" i="30"/>
  <c r="BU22" i="30"/>
  <c r="BV22" i="30"/>
  <c r="BW22" i="30"/>
  <c r="BX22" i="30"/>
  <c r="BY22" i="30"/>
  <c r="BZ22" i="30"/>
  <c r="CA22" i="30"/>
  <c r="CB22" i="30"/>
  <c r="CC22" i="30"/>
  <c r="CD22" i="30"/>
  <c r="CE22" i="30"/>
  <c r="CF22" i="30"/>
  <c r="CG22" i="30"/>
  <c r="CH22" i="30"/>
  <c r="CI22" i="30"/>
  <c r="CJ22" i="30"/>
  <c r="CK22" i="30"/>
  <c r="CL22" i="30"/>
  <c r="CM22" i="30"/>
  <c r="CN22" i="30"/>
  <c r="CO22" i="30"/>
  <c r="CP22" i="30"/>
  <c r="CQ22" i="30"/>
  <c r="CR22" i="30"/>
  <c r="CS22" i="30"/>
  <c r="CT22" i="30"/>
  <c r="CU22" i="30"/>
  <c r="CV22" i="30"/>
  <c r="CW22" i="30"/>
  <c r="CX22" i="30"/>
  <c r="CY22" i="30"/>
  <c r="CZ22" i="30"/>
  <c r="DA22" i="30"/>
  <c r="DB22" i="30"/>
  <c r="DC22" i="30"/>
  <c r="DD22" i="30"/>
  <c r="DE22" i="30"/>
  <c r="DF22" i="30"/>
  <c r="DG22" i="30"/>
  <c r="DH22" i="30"/>
  <c r="DI22" i="30"/>
  <c r="DJ22" i="30"/>
  <c r="DK22" i="30"/>
  <c r="DL22" i="30"/>
  <c r="DM22" i="30"/>
  <c r="DN22" i="30"/>
  <c r="DO22" i="30"/>
  <c r="DP22" i="30"/>
  <c r="DQ22" i="30"/>
  <c r="DR22" i="30"/>
  <c r="DS22" i="30"/>
  <c r="DT22" i="30"/>
  <c r="DU22" i="30"/>
  <c r="DV22" i="30"/>
  <c r="DW22" i="30"/>
  <c r="DX22" i="30"/>
  <c r="DY22" i="30"/>
  <c r="DZ22" i="30"/>
  <c r="EA22" i="30"/>
  <c r="EB22" i="30"/>
  <c r="EC22" i="30"/>
  <c r="ED22" i="30"/>
  <c r="EE22" i="30"/>
  <c r="EF22" i="30"/>
  <c r="EG22" i="30"/>
  <c r="EH22" i="30"/>
  <c r="EI22" i="30"/>
  <c r="EJ22" i="30"/>
  <c r="EK22" i="30"/>
  <c r="EL22" i="30"/>
  <c r="EM22" i="30"/>
  <c r="EN22" i="30"/>
  <c r="EO22" i="30"/>
  <c r="EP22" i="30"/>
  <c r="EQ22" i="30"/>
  <c r="ER22" i="30"/>
  <c r="ES22" i="30"/>
  <c r="ET22" i="30"/>
  <c r="EU22" i="30"/>
  <c r="EV22" i="30"/>
  <c r="EW22" i="30"/>
  <c r="EX22" i="30"/>
  <c r="EY22" i="30"/>
  <c r="EZ22" i="30"/>
  <c r="FA22" i="30"/>
  <c r="FB22" i="30"/>
  <c r="FC22" i="30"/>
  <c r="FD22" i="30"/>
  <c r="FE22" i="30"/>
  <c r="FF22" i="30"/>
  <c r="FG22" i="30"/>
  <c r="FH22" i="30"/>
  <c r="FI22" i="30"/>
  <c r="FJ22" i="30"/>
  <c r="FK22" i="30"/>
  <c r="FL22" i="30"/>
  <c r="FM22" i="30"/>
  <c r="FN22" i="30"/>
  <c r="FO22" i="30"/>
  <c r="FP22" i="30"/>
  <c r="FQ22" i="30"/>
  <c r="FR22" i="30"/>
  <c r="FS22" i="30"/>
  <c r="FT22" i="30"/>
  <c r="FU22" i="30"/>
  <c r="FV22" i="30"/>
  <c r="FW22" i="30"/>
  <c r="FX22" i="30"/>
  <c r="FY22" i="30"/>
  <c r="FZ22" i="30"/>
  <c r="GA22" i="30"/>
  <c r="GB22" i="30"/>
  <c r="GC22" i="30"/>
  <c r="GD22" i="30"/>
  <c r="GE22" i="30"/>
  <c r="GF22" i="30"/>
  <c r="GG22" i="30"/>
  <c r="GH22" i="30"/>
  <c r="GI22" i="30"/>
  <c r="GJ22" i="30"/>
  <c r="GK22" i="30"/>
  <c r="GL22" i="30"/>
  <c r="GM22" i="30"/>
  <c r="GN22" i="30"/>
  <c r="GO22" i="30"/>
  <c r="GP22" i="30"/>
  <c r="GQ22" i="30"/>
  <c r="GR22" i="30"/>
  <c r="GS22" i="30"/>
  <c r="GT22" i="30"/>
  <c r="GU22" i="30"/>
  <c r="GV22" i="30"/>
  <c r="GW22" i="30"/>
  <c r="GX22" i="30"/>
  <c r="GY22" i="30"/>
  <c r="GZ22" i="30"/>
  <c r="HA22" i="30"/>
  <c r="HB22" i="30"/>
  <c r="HC22" i="30"/>
  <c r="HD22" i="30"/>
  <c r="HE22" i="30"/>
  <c r="HF22" i="30"/>
  <c r="HG22" i="30"/>
  <c r="HH22" i="30"/>
  <c r="HI22" i="30"/>
  <c r="HJ22" i="30"/>
  <c r="HK22" i="30"/>
  <c r="HL22" i="30"/>
  <c r="HM22" i="30"/>
  <c r="HN22" i="30"/>
  <c r="HO22" i="30"/>
  <c r="HP22" i="30"/>
  <c r="HQ22" i="30"/>
  <c r="HR22" i="30"/>
  <c r="HS22" i="30"/>
  <c r="HT22" i="30"/>
  <c r="HU22" i="30"/>
  <c r="HV22" i="30"/>
  <c r="HW22" i="30"/>
  <c r="HX22" i="30"/>
  <c r="HY22" i="30"/>
  <c r="HZ22" i="30"/>
  <c r="IA22" i="30"/>
  <c r="IB22" i="30"/>
  <c r="IC22" i="30"/>
  <c r="ID22" i="30"/>
  <c r="IE22" i="30"/>
  <c r="IF22" i="30"/>
  <c r="IG22" i="30"/>
  <c r="IH22" i="30"/>
  <c r="II22" i="30"/>
  <c r="IJ22" i="30"/>
  <c r="IK22" i="30"/>
  <c r="IL22" i="30"/>
  <c r="IM22" i="30"/>
  <c r="IN22" i="30"/>
  <c r="IO22" i="30"/>
  <c r="IP22" i="30"/>
  <c r="IQ22" i="30"/>
  <c r="IR22" i="30"/>
  <c r="IS22" i="30"/>
  <c r="IT22" i="30"/>
  <c r="IU22" i="30"/>
  <c r="IV22" i="30"/>
  <c r="A21" i="30"/>
  <c r="B21" i="30"/>
  <c r="C21" i="30"/>
  <c r="D21" i="30"/>
  <c r="E21" i="30"/>
  <c r="F21" i="30"/>
  <c r="G21" i="30"/>
  <c r="H21" i="30"/>
  <c r="I21" i="30"/>
  <c r="J21" i="30"/>
  <c r="K21" i="30"/>
  <c r="L21" i="30"/>
  <c r="M21" i="30"/>
  <c r="N21" i="30"/>
  <c r="O21" i="30"/>
  <c r="P21" i="30"/>
  <c r="Q21" i="30"/>
  <c r="R21" i="30"/>
  <c r="S21" i="30"/>
  <c r="T21" i="30"/>
  <c r="U21" i="30"/>
  <c r="V21" i="30"/>
  <c r="W21" i="30"/>
  <c r="X21" i="30"/>
  <c r="Y21" i="30"/>
  <c r="Z21" i="30"/>
  <c r="AA21" i="30"/>
  <c r="AB21" i="30"/>
  <c r="AC21" i="30"/>
  <c r="AD21" i="30"/>
  <c r="AE21" i="30"/>
  <c r="AF21" i="30"/>
  <c r="AG21" i="30"/>
  <c r="AH21" i="30"/>
  <c r="AI21" i="30"/>
  <c r="AJ21" i="30"/>
  <c r="AK21" i="30"/>
  <c r="AL21" i="30"/>
  <c r="AM21" i="30"/>
  <c r="AN21" i="30"/>
  <c r="AO21" i="30"/>
  <c r="AP21" i="30"/>
  <c r="AQ21" i="30"/>
  <c r="AR21" i="30"/>
  <c r="AS21" i="30"/>
  <c r="AT21" i="30"/>
  <c r="AU21" i="30"/>
  <c r="AV21" i="30"/>
  <c r="AW21" i="30"/>
  <c r="AX21" i="30"/>
  <c r="AY21" i="30"/>
  <c r="AZ21" i="30"/>
  <c r="BA21" i="30"/>
  <c r="BB21" i="30"/>
  <c r="BC21" i="30"/>
  <c r="BD21" i="30"/>
  <c r="BE21" i="30"/>
  <c r="BF21" i="30"/>
  <c r="BG21" i="30"/>
  <c r="BH21" i="30"/>
  <c r="BI21" i="30"/>
  <c r="BJ21" i="30"/>
  <c r="BK21" i="30"/>
  <c r="BL21" i="30"/>
  <c r="BM21" i="30"/>
  <c r="BN21" i="30"/>
  <c r="BO21" i="30"/>
  <c r="BP21" i="30"/>
  <c r="BQ21" i="30"/>
  <c r="BR21" i="30"/>
  <c r="BS21" i="30"/>
  <c r="BT21" i="30"/>
  <c r="BU21" i="30"/>
  <c r="BV21" i="30"/>
  <c r="BW21" i="30"/>
  <c r="BX21" i="30"/>
  <c r="BY21" i="30"/>
  <c r="BZ21" i="30"/>
  <c r="CA21" i="30"/>
  <c r="CB21" i="30"/>
  <c r="CC21" i="30"/>
  <c r="CD21" i="30"/>
  <c r="CE21" i="30"/>
  <c r="CF21" i="30"/>
  <c r="CG21" i="30"/>
  <c r="CH21" i="30"/>
  <c r="CI21" i="30"/>
  <c r="CJ21" i="30"/>
  <c r="CK21" i="30"/>
  <c r="CL21" i="30"/>
  <c r="CM21" i="30"/>
  <c r="CN21" i="30"/>
  <c r="CO21" i="30"/>
  <c r="CP21" i="30"/>
  <c r="CQ21" i="30"/>
  <c r="CR21" i="30"/>
  <c r="CS21" i="30"/>
  <c r="CT21" i="30"/>
  <c r="CU21" i="30"/>
  <c r="CV21" i="30"/>
  <c r="CW21" i="30"/>
  <c r="CX21" i="30"/>
  <c r="CY21" i="30"/>
  <c r="CZ21" i="30"/>
  <c r="DA21" i="30"/>
  <c r="DB21" i="30"/>
  <c r="DC21" i="30"/>
  <c r="DD21" i="30"/>
  <c r="DE21" i="30"/>
  <c r="DF21" i="30"/>
  <c r="DG21" i="30"/>
  <c r="DH21" i="30"/>
  <c r="DI21" i="30"/>
  <c r="DJ21" i="30"/>
  <c r="DK21" i="30"/>
  <c r="DL21" i="30"/>
  <c r="DM21" i="30"/>
  <c r="DN21" i="30"/>
  <c r="DO21" i="30"/>
  <c r="DP21" i="30"/>
  <c r="DQ21" i="30"/>
  <c r="DR21" i="30"/>
  <c r="DS21" i="30"/>
  <c r="DT21" i="30"/>
  <c r="DU21" i="30"/>
  <c r="DV21" i="30"/>
  <c r="DW21" i="30"/>
  <c r="DX21" i="30"/>
  <c r="DY21" i="30"/>
  <c r="DZ21" i="30"/>
  <c r="EA21" i="30"/>
  <c r="EB21" i="30"/>
  <c r="EC21" i="30"/>
  <c r="ED21" i="30"/>
  <c r="EE21" i="30"/>
  <c r="EF21" i="30"/>
  <c r="EG21" i="30"/>
  <c r="EH21" i="30"/>
  <c r="EI21" i="30"/>
  <c r="EJ21" i="30"/>
  <c r="EK21" i="30"/>
  <c r="EL21" i="30"/>
  <c r="EM21" i="30"/>
  <c r="EN21" i="30"/>
  <c r="EO21" i="30"/>
  <c r="EP21" i="30"/>
  <c r="EQ21" i="30"/>
  <c r="ER21" i="30"/>
  <c r="ES21" i="30"/>
  <c r="ET21" i="30"/>
  <c r="EU21" i="30"/>
  <c r="EV21" i="30"/>
  <c r="EW21" i="30"/>
  <c r="EX21" i="30"/>
  <c r="EY21" i="30"/>
  <c r="EZ21" i="30"/>
  <c r="FA21" i="30"/>
  <c r="FB21" i="30"/>
  <c r="FC21" i="30"/>
  <c r="FD21" i="30"/>
  <c r="FE21" i="30"/>
  <c r="FF21" i="30"/>
  <c r="FG21" i="30"/>
  <c r="FH21" i="30"/>
  <c r="FI21" i="30"/>
  <c r="FJ21" i="30"/>
  <c r="FK21" i="30"/>
  <c r="FL21" i="30"/>
  <c r="FM21" i="30"/>
  <c r="FN21" i="30"/>
  <c r="FO21" i="30"/>
  <c r="FP21" i="30"/>
  <c r="FQ21" i="30"/>
  <c r="FR21" i="30"/>
  <c r="FS21" i="30"/>
  <c r="FT21" i="30"/>
  <c r="FU21" i="30"/>
  <c r="FV21" i="30"/>
  <c r="FW21" i="30"/>
  <c r="FX21" i="30"/>
  <c r="FY21" i="30"/>
  <c r="FZ21" i="30"/>
  <c r="GA21" i="30"/>
  <c r="GB21" i="30"/>
  <c r="GC21" i="30"/>
  <c r="GD21" i="30"/>
  <c r="GE21" i="30"/>
  <c r="GF21" i="30"/>
  <c r="GG21" i="30"/>
  <c r="GH21" i="30"/>
  <c r="GI21" i="30"/>
  <c r="GJ21" i="30"/>
  <c r="GK21" i="30"/>
  <c r="GL21" i="30"/>
  <c r="GM21" i="30"/>
  <c r="GN21" i="30"/>
  <c r="GO21" i="30"/>
  <c r="GP21" i="30"/>
  <c r="GQ21" i="30"/>
  <c r="GR21" i="30"/>
  <c r="GS21" i="30"/>
  <c r="GT21" i="30"/>
  <c r="GU21" i="30"/>
  <c r="GV21" i="30"/>
  <c r="GW21" i="30"/>
  <c r="GX21" i="30"/>
  <c r="GY21" i="30"/>
  <c r="GZ21" i="30"/>
  <c r="HA21" i="30"/>
  <c r="HB21" i="30"/>
  <c r="HC21" i="30"/>
  <c r="HD21" i="30"/>
  <c r="HE21" i="30"/>
  <c r="HF21" i="30"/>
  <c r="HG21" i="30"/>
  <c r="HH21" i="30"/>
  <c r="HI21" i="30"/>
  <c r="HJ21" i="30"/>
  <c r="HK21" i="30"/>
  <c r="HL21" i="30"/>
  <c r="HM21" i="30"/>
  <c r="HN21" i="30"/>
  <c r="HO21" i="30"/>
  <c r="HP21" i="30"/>
  <c r="HQ21" i="30"/>
  <c r="HR21" i="30"/>
  <c r="HS21" i="30"/>
  <c r="HT21" i="30"/>
  <c r="HU21" i="30"/>
  <c r="HV21" i="30"/>
  <c r="HW21" i="30"/>
  <c r="HX21" i="30"/>
  <c r="HY21" i="30"/>
  <c r="HZ21" i="30"/>
  <c r="IA21" i="30"/>
  <c r="IB21" i="30"/>
  <c r="IC21" i="30"/>
  <c r="ID21" i="30"/>
  <c r="IE21" i="30"/>
  <c r="IF21" i="30"/>
  <c r="IG21" i="30"/>
  <c r="IH21" i="30"/>
  <c r="II21" i="30"/>
  <c r="IJ21" i="30"/>
  <c r="IK21" i="30"/>
  <c r="IL21" i="30"/>
  <c r="IM21" i="30"/>
  <c r="IN21" i="30"/>
  <c r="IO21" i="30"/>
  <c r="IP21" i="30"/>
  <c r="IQ21" i="30"/>
  <c r="IR21" i="30"/>
  <c r="IS21" i="30"/>
  <c r="IT21" i="30"/>
  <c r="IU21" i="30"/>
  <c r="IV21" i="30"/>
  <c r="A20" i="30"/>
  <c r="B20" i="30"/>
  <c r="C20" i="30"/>
  <c r="D20" i="30"/>
  <c r="E20" i="30"/>
  <c r="F20" i="30"/>
  <c r="G20" i="30"/>
  <c r="H20" i="30"/>
  <c r="I20" i="30"/>
  <c r="J20" i="30"/>
  <c r="K20" i="30"/>
  <c r="L20" i="30"/>
  <c r="M20" i="30"/>
  <c r="N20" i="30"/>
  <c r="O20" i="30"/>
  <c r="P20" i="30"/>
  <c r="Q20" i="30"/>
  <c r="R20" i="30"/>
  <c r="S20" i="30"/>
  <c r="T20" i="30"/>
  <c r="U20" i="30"/>
  <c r="V20" i="30"/>
  <c r="W20" i="30"/>
  <c r="X20" i="30"/>
  <c r="Y20" i="30"/>
  <c r="Z20" i="30"/>
  <c r="AA20" i="30"/>
  <c r="AB20" i="30"/>
  <c r="AC20" i="30"/>
  <c r="AD20" i="30"/>
  <c r="AE20" i="30"/>
  <c r="AF20" i="30"/>
  <c r="AG20" i="30"/>
  <c r="AH20" i="30"/>
  <c r="AI20" i="30"/>
  <c r="AJ20" i="30"/>
  <c r="AK20" i="30"/>
  <c r="AL20" i="30"/>
  <c r="AM20" i="30"/>
  <c r="AN20" i="30"/>
  <c r="AO20" i="30"/>
  <c r="AP20" i="30"/>
  <c r="AQ20" i="30"/>
  <c r="AR20" i="30"/>
  <c r="AS20" i="30"/>
  <c r="AT20" i="30"/>
  <c r="AU20" i="30"/>
  <c r="AV20" i="30"/>
  <c r="AW20" i="30"/>
  <c r="AX20" i="30"/>
  <c r="AY20" i="30"/>
  <c r="AZ20" i="30"/>
  <c r="BA20" i="30"/>
  <c r="BB20" i="30"/>
  <c r="BC20" i="30"/>
  <c r="BD20" i="30"/>
  <c r="BE20" i="30"/>
  <c r="BF20" i="30"/>
  <c r="BG20" i="30"/>
  <c r="BH20" i="30"/>
  <c r="BI20" i="30"/>
  <c r="BJ20" i="30"/>
  <c r="BK20" i="30"/>
  <c r="BL20" i="30"/>
  <c r="BM20" i="30"/>
  <c r="BN20" i="30"/>
  <c r="BO20" i="30"/>
  <c r="BP20" i="30"/>
  <c r="BQ20" i="30"/>
  <c r="BR20" i="30"/>
  <c r="BS20" i="30"/>
  <c r="BT20" i="30"/>
  <c r="BU20" i="30"/>
  <c r="BV20" i="30"/>
  <c r="BW20" i="30"/>
  <c r="BX20" i="30"/>
  <c r="BY20" i="30"/>
  <c r="BZ20" i="30"/>
  <c r="CA20" i="30"/>
  <c r="CB20" i="30"/>
  <c r="CC20" i="30"/>
  <c r="CD20" i="30"/>
  <c r="CE20" i="30"/>
  <c r="CF20" i="30"/>
  <c r="CG20" i="30"/>
  <c r="CH20" i="30"/>
  <c r="CI20" i="30"/>
  <c r="CJ20" i="30"/>
  <c r="CK20" i="30"/>
  <c r="CL20" i="30"/>
  <c r="CM20" i="30"/>
  <c r="CN20" i="30"/>
  <c r="CO20" i="30"/>
  <c r="CP20" i="30"/>
  <c r="CQ20" i="30"/>
  <c r="CR20" i="30"/>
  <c r="CS20" i="30"/>
  <c r="CT20" i="30"/>
  <c r="CU20" i="30"/>
  <c r="CV20" i="30"/>
  <c r="CW20" i="30"/>
  <c r="CX20" i="30"/>
  <c r="CY20" i="30"/>
  <c r="CZ20" i="30"/>
  <c r="DA20" i="30"/>
  <c r="DB20" i="30"/>
  <c r="DC20" i="30"/>
  <c r="DD20" i="30"/>
  <c r="DE20" i="30"/>
  <c r="DF20" i="30"/>
  <c r="DG20" i="30"/>
  <c r="DH20" i="30"/>
  <c r="DI20" i="30"/>
  <c r="DJ20" i="30"/>
  <c r="DK20" i="30"/>
  <c r="DL20" i="30"/>
  <c r="DM20" i="30"/>
  <c r="DN20" i="30"/>
  <c r="DO20" i="30"/>
  <c r="DP20" i="30"/>
  <c r="DQ20" i="30"/>
  <c r="DR20" i="30"/>
  <c r="DS20" i="30"/>
  <c r="DT20" i="30"/>
  <c r="DU20" i="30"/>
  <c r="DV20" i="30"/>
  <c r="DW20" i="30"/>
  <c r="DX20" i="30"/>
  <c r="DY20" i="30"/>
  <c r="DZ20" i="30"/>
  <c r="EA20" i="30"/>
  <c r="EB20" i="30"/>
  <c r="EC20" i="30"/>
  <c r="ED20" i="30"/>
  <c r="EE20" i="30"/>
  <c r="EF20" i="30"/>
  <c r="EG20" i="30"/>
  <c r="EH20" i="30"/>
  <c r="EI20" i="30"/>
  <c r="EJ20" i="30"/>
  <c r="EK20" i="30"/>
  <c r="EL20" i="30"/>
  <c r="EM20" i="30"/>
  <c r="EN20" i="30"/>
  <c r="EO20" i="30"/>
  <c r="EP20" i="30"/>
  <c r="EQ20" i="30"/>
  <c r="ER20" i="30"/>
  <c r="ES20" i="30"/>
  <c r="ET20" i="30"/>
  <c r="EU20" i="30"/>
  <c r="EV20" i="30"/>
  <c r="EW20" i="30"/>
  <c r="EX20" i="30"/>
  <c r="EY20" i="30"/>
  <c r="EZ20" i="30"/>
  <c r="FA20" i="30"/>
  <c r="FB20" i="30"/>
  <c r="FC20" i="30"/>
  <c r="FD20" i="30"/>
  <c r="FE20" i="30"/>
  <c r="FF20" i="30"/>
  <c r="FG20" i="30"/>
  <c r="FH20" i="30"/>
  <c r="FI20" i="30"/>
  <c r="FJ20" i="30"/>
  <c r="FK20" i="30"/>
  <c r="FL20" i="30"/>
  <c r="FM20" i="30"/>
  <c r="FN20" i="30"/>
  <c r="FO20" i="30"/>
  <c r="FP20" i="30"/>
  <c r="FQ20" i="30"/>
  <c r="FR20" i="30"/>
  <c r="FS20" i="30"/>
  <c r="FT20" i="30"/>
  <c r="FU20" i="30"/>
  <c r="FV20" i="30"/>
  <c r="FW20" i="30"/>
  <c r="FX20" i="30"/>
  <c r="FY20" i="30"/>
  <c r="FZ20" i="30"/>
  <c r="GA20" i="30"/>
  <c r="GB20" i="30"/>
  <c r="GC20" i="30"/>
  <c r="GD20" i="30"/>
  <c r="GE20" i="30"/>
  <c r="GF20" i="30"/>
  <c r="GG20" i="30"/>
  <c r="GH20" i="30"/>
  <c r="GI20" i="30"/>
  <c r="GJ20" i="30"/>
  <c r="GK20" i="30"/>
  <c r="GL20" i="30"/>
  <c r="GM20" i="30"/>
  <c r="GN20" i="30"/>
  <c r="GO20" i="30"/>
  <c r="GP20" i="30"/>
  <c r="GQ20" i="30"/>
  <c r="GR20" i="30"/>
  <c r="GS20" i="30"/>
  <c r="GT20" i="30"/>
  <c r="GU20" i="30"/>
  <c r="GV20" i="30"/>
  <c r="GW20" i="30"/>
  <c r="GX20" i="30"/>
  <c r="GY20" i="30"/>
  <c r="GZ20" i="30"/>
  <c r="HA20" i="30"/>
  <c r="HB20" i="30"/>
  <c r="HC20" i="30"/>
  <c r="HD20" i="30"/>
  <c r="HE20" i="30"/>
  <c r="HF20" i="30"/>
  <c r="HG20" i="30"/>
  <c r="HH20" i="30"/>
  <c r="HI20" i="30"/>
  <c r="HJ20" i="30"/>
  <c r="HK20" i="30"/>
  <c r="HL20" i="30"/>
  <c r="HM20" i="30"/>
  <c r="HN20" i="30"/>
  <c r="HO20" i="30"/>
  <c r="HP20" i="30"/>
  <c r="HQ20" i="30"/>
  <c r="HR20" i="30"/>
  <c r="HS20" i="30"/>
  <c r="HT20" i="30"/>
  <c r="HU20" i="30"/>
  <c r="HV20" i="30"/>
  <c r="HW20" i="30"/>
  <c r="HX20" i="30"/>
  <c r="HY20" i="30"/>
  <c r="HZ20" i="30"/>
  <c r="IA20" i="30"/>
  <c r="IB20" i="30"/>
  <c r="IC20" i="30"/>
  <c r="ID20" i="30"/>
  <c r="IE20" i="30"/>
  <c r="IF20" i="30"/>
  <c r="IG20" i="30"/>
  <c r="IH20" i="30"/>
  <c r="II20" i="30"/>
  <c r="IJ20" i="30"/>
  <c r="IK20" i="30"/>
  <c r="IL20" i="30"/>
  <c r="IM20" i="30"/>
  <c r="IN20" i="30"/>
  <c r="IO20" i="30"/>
  <c r="IP20" i="30"/>
  <c r="IQ20" i="30"/>
  <c r="IR20" i="30"/>
  <c r="IS20" i="30"/>
  <c r="IT20" i="30"/>
  <c r="IU20" i="30"/>
  <c r="IV20" i="30"/>
  <c r="A19" i="30"/>
  <c r="B19" i="30"/>
  <c r="C19" i="30"/>
  <c r="D19" i="30"/>
  <c r="E19" i="30"/>
  <c r="F19" i="30"/>
  <c r="G19" i="30"/>
  <c r="H19" i="30"/>
  <c r="I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V19" i="30"/>
  <c r="W19" i="30"/>
  <c r="X19" i="30"/>
  <c r="Y19" i="30"/>
  <c r="Z19" i="30"/>
  <c r="AA19" i="30"/>
  <c r="AB19" i="30"/>
  <c r="AC19" i="30"/>
  <c r="AD19" i="30"/>
  <c r="AE19" i="30"/>
  <c r="AF19" i="30"/>
  <c r="AG19" i="30"/>
  <c r="AH19" i="30"/>
  <c r="AI19" i="30"/>
  <c r="AJ19" i="30"/>
  <c r="AK19" i="30"/>
  <c r="AL19" i="30"/>
  <c r="AM19" i="30"/>
  <c r="AN19" i="30"/>
  <c r="AO19" i="30"/>
  <c r="AP19" i="30"/>
  <c r="AQ19" i="30"/>
  <c r="AR19" i="30"/>
  <c r="AS19" i="30"/>
  <c r="AT19" i="30"/>
  <c r="AU19" i="30"/>
  <c r="AV19" i="30"/>
  <c r="AW19" i="30"/>
  <c r="AX19" i="30"/>
  <c r="AY19" i="30"/>
  <c r="AZ19" i="30"/>
  <c r="BA19" i="30"/>
  <c r="BB19" i="30"/>
  <c r="BC19" i="30"/>
  <c r="BD19" i="30"/>
  <c r="BE19" i="30"/>
  <c r="BF19" i="30"/>
  <c r="BG19" i="30"/>
  <c r="BH19" i="30"/>
  <c r="BI19" i="30"/>
  <c r="BJ19" i="30"/>
  <c r="BK19" i="30"/>
  <c r="BL19" i="30"/>
  <c r="BM19" i="30"/>
  <c r="BN19" i="30"/>
  <c r="BO19" i="30"/>
  <c r="BP19" i="30"/>
  <c r="BQ19" i="30"/>
  <c r="BR19" i="30"/>
  <c r="BS19" i="30"/>
  <c r="BT19" i="30"/>
  <c r="BU19" i="30"/>
  <c r="BV19" i="30"/>
  <c r="BW19" i="30"/>
  <c r="BX19" i="30"/>
  <c r="BY19" i="30"/>
  <c r="BZ19" i="30"/>
  <c r="CA19" i="30"/>
  <c r="CB19" i="30"/>
  <c r="CC19" i="30"/>
  <c r="CD19" i="30"/>
  <c r="CE19" i="30"/>
  <c r="CF19" i="30"/>
  <c r="CG19" i="30"/>
  <c r="CH19" i="30"/>
  <c r="CI19" i="30"/>
  <c r="CJ19" i="30"/>
  <c r="CK19" i="30"/>
  <c r="CL19" i="30"/>
  <c r="CM19" i="30"/>
  <c r="CN19" i="30"/>
  <c r="CO19" i="30"/>
  <c r="CP19" i="30"/>
  <c r="CQ19" i="30"/>
  <c r="CR19" i="30"/>
  <c r="CS19" i="30"/>
  <c r="CT19" i="30"/>
  <c r="CU19" i="30"/>
  <c r="CV19" i="30"/>
  <c r="CW19" i="30"/>
  <c r="CX19" i="30"/>
  <c r="CY19" i="30"/>
  <c r="CZ19" i="30"/>
  <c r="DA19" i="30"/>
  <c r="DB19" i="30"/>
  <c r="DC19" i="30"/>
  <c r="DD19" i="30"/>
  <c r="DE19" i="30"/>
  <c r="DF19" i="30"/>
  <c r="DG19" i="30"/>
  <c r="DH19" i="30"/>
  <c r="DI19" i="30"/>
  <c r="DJ19" i="30"/>
  <c r="DK19" i="30"/>
  <c r="DL19" i="30"/>
  <c r="DM19" i="30"/>
  <c r="DN19" i="30"/>
  <c r="DO19" i="30"/>
  <c r="DP19" i="30"/>
  <c r="DQ19" i="30"/>
  <c r="DR19" i="30"/>
  <c r="DS19" i="30"/>
  <c r="DT19" i="30"/>
  <c r="DU19" i="30"/>
  <c r="DV19" i="30"/>
  <c r="DW19" i="30"/>
  <c r="DX19" i="30"/>
  <c r="DY19" i="30"/>
  <c r="DZ19" i="30"/>
  <c r="EA19" i="30"/>
  <c r="EB19" i="30"/>
  <c r="EC19" i="30"/>
  <c r="ED19" i="30"/>
  <c r="EE19" i="30"/>
  <c r="EF19" i="30"/>
  <c r="EG19" i="30"/>
  <c r="EH19" i="30"/>
  <c r="EI19" i="30"/>
  <c r="EJ19" i="30"/>
  <c r="EK19" i="30"/>
  <c r="EL19" i="30"/>
  <c r="EM19" i="30"/>
  <c r="EN19" i="30"/>
  <c r="EO19" i="30"/>
  <c r="EP19" i="30"/>
  <c r="EQ19" i="30"/>
  <c r="ER19" i="30"/>
  <c r="ES19" i="30"/>
  <c r="ET19" i="30"/>
  <c r="EU19" i="30"/>
  <c r="EV19" i="30"/>
  <c r="EW19" i="30"/>
  <c r="EX19" i="30"/>
  <c r="EY19" i="30"/>
  <c r="EZ19" i="30"/>
  <c r="FA19" i="30"/>
  <c r="FB19" i="30"/>
  <c r="FC19" i="30"/>
  <c r="FD19" i="30"/>
  <c r="FE19" i="30"/>
  <c r="FF19" i="30"/>
  <c r="FG19" i="30"/>
  <c r="FH19" i="30"/>
  <c r="FI19" i="30"/>
  <c r="FJ19" i="30"/>
  <c r="FK19" i="30"/>
  <c r="FL19" i="30"/>
  <c r="FM19" i="30"/>
  <c r="FN19" i="30"/>
  <c r="FO19" i="30"/>
  <c r="FP19" i="30"/>
  <c r="FQ19" i="30"/>
  <c r="FR19" i="30"/>
  <c r="FS19" i="30"/>
  <c r="FT19" i="30"/>
  <c r="FU19" i="30"/>
  <c r="FV19" i="30"/>
  <c r="FW19" i="30"/>
  <c r="FX19" i="30"/>
  <c r="FY19" i="30"/>
  <c r="FZ19" i="30"/>
  <c r="GA19" i="30"/>
  <c r="GB19" i="30"/>
  <c r="GC19" i="30"/>
  <c r="GD19" i="30"/>
  <c r="GE19" i="30"/>
  <c r="GF19" i="30"/>
  <c r="GG19" i="30"/>
  <c r="GH19" i="30"/>
  <c r="GI19" i="30"/>
  <c r="GJ19" i="30"/>
  <c r="GK19" i="30"/>
  <c r="GL19" i="30"/>
  <c r="GM19" i="30"/>
  <c r="GN19" i="30"/>
  <c r="GO19" i="30"/>
  <c r="GP19" i="30"/>
  <c r="GQ19" i="30"/>
  <c r="GR19" i="30"/>
  <c r="GS19" i="30"/>
  <c r="GT19" i="30"/>
  <c r="GU19" i="30"/>
  <c r="GV19" i="30"/>
  <c r="GW19" i="30"/>
  <c r="GX19" i="30"/>
  <c r="GY19" i="30"/>
  <c r="GZ19" i="30"/>
  <c r="HA19" i="30"/>
  <c r="HB19" i="30"/>
  <c r="HC19" i="30"/>
  <c r="HD19" i="30"/>
  <c r="HE19" i="30"/>
  <c r="HF19" i="30"/>
  <c r="HG19" i="30"/>
  <c r="HH19" i="30"/>
  <c r="HI19" i="30"/>
  <c r="HJ19" i="30"/>
  <c r="HK19" i="30"/>
  <c r="HL19" i="30"/>
  <c r="HM19" i="30"/>
  <c r="HN19" i="30"/>
  <c r="HO19" i="30"/>
  <c r="HP19" i="30"/>
  <c r="HQ19" i="30"/>
  <c r="HR19" i="30"/>
  <c r="HS19" i="30"/>
  <c r="HT19" i="30"/>
  <c r="HU19" i="30"/>
  <c r="HV19" i="30"/>
  <c r="HW19" i="30"/>
  <c r="HX19" i="30"/>
  <c r="HY19" i="30"/>
  <c r="HZ19" i="30"/>
  <c r="IA19" i="30"/>
  <c r="IB19" i="30"/>
  <c r="IC19" i="30"/>
  <c r="ID19" i="30"/>
  <c r="IE19" i="30"/>
  <c r="IF19" i="30"/>
  <c r="IG19" i="30"/>
  <c r="IH19" i="30"/>
  <c r="II19" i="30"/>
  <c r="IJ19" i="30"/>
  <c r="IK19" i="30"/>
  <c r="IL19" i="30"/>
  <c r="IM19" i="30"/>
  <c r="IN19" i="30"/>
  <c r="IO19" i="30"/>
  <c r="IP19" i="30"/>
  <c r="IQ19" i="30"/>
  <c r="IR19" i="30"/>
  <c r="IS19" i="30"/>
  <c r="IT19" i="30"/>
  <c r="IU19" i="30"/>
  <c r="IV19" i="30"/>
  <c r="A18" i="30"/>
  <c r="B18" i="30"/>
  <c r="C18" i="30"/>
  <c r="D18" i="30"/>
  <c r="E18" i="30"/>
  <c r="F18" i="30"/>
  <c r="G18" i="30"/>
  <c r="H18" i="30"/>
  <c r="I18" i="30"/>
  <c r="J18" i="30"/>
  <c r="K18" i="30"/>
  <c r="L18" i="30"/>
  <c r="M18" i="30"/>
  <c r="N18" i="30"/>
  <c r="O18" i="30"/>
  <c r="P18" i="30"/>
  <c r="Q18" i="30"/>
  <c r="R18" i="30"/>
  <c r="S18" i="30"/>
  <c r="T18" i="30"/>
  <c r="U18" i="30"/>
  <c r="V18" i="30"/>
  <c r="W18" i="30"/>
  <c r="X18" i="30"/>
  <c r="Y18" i="30"/>
  <c r="Z18" i="30"/>
  <c r="AA18" i="30"/>
  <c r="AB18" i="30"/>
  <c r="AC18" i="30"/>
  <c r="AD18" i="30"/>
  <c r="AE18" i="30"/>
  <c r="AF18" i="30"/>
  <c r="AG18" i="30"/>
  <c r="AH18" i="30"/>
  <c r="AI18" i="30"/>
  <c r="AJ18" i="30"/>
  <c r="AK18" i="30"/>
  <c r="AL18" i="30"/>
  <c r="AM18" i="30"/>
  <c r="AN18" i="30"/>
  <c r="AO18" i="30"/>
  <c r="AP18" i="30"/>
  <c r="AQ18" i="30"/>
  <c r="AR18" i="30"/>
  <c r="AS18" i="30"/>
  <c r="AT18" i="30"/>
  <c r="AU18" i="30"/>
  <c r="AV18" i="30"/>
  <c r="AW18" i="30"/>
  <c r="AX18" i="30"/>
  <c r="AY18" i="30"/>
  <c r="AZ18" i="30"/>
  <c r="BA18" i="30"/>
  <c r="BB18" i="30"/>
  <c r="BC18" i="30"/>
  <c r="BD18" i="30"/>
  <c r="BE18" i="30"/>
  <c r="BF18" i="30"/>
  <c r="BG18" i="30"/>
  <c r="BH18" i="30"/>
  <c r="BI18" i="30"/>
  <c r="BJ18" i="30"/>
  <c r="BK18" i="30"/>
  <c r="BL18" i="30"/>
  <c r="BM18" i="30"/>
  <c r="BN18" i="30"/>
  <c r="BO18" i="30"/>
  <c r="BP18" i="30"/>
  <c r="BQ18" i="30"/>
  <c r="BR18" i="30"/>
  <c r="BS18" i="30"/>
  <c r="BT18" i="30"/>
  <c r="BU18" i="30"/>
  <c r="BV18" i="30"/>
  <c r="BW18" i="30"/>
  <c r="BX18" i="30"/>
  <c r="BY18" i="30"/>
  <c r="BZ18" i="30"/>
  <c r="CA18" i="30"/>
  <c r="CB18" i="30"/>
  <c r="CC18" i="30"/>
  <c r="CD18" i="30"/>
  <c r="CE18" i="30"/>
  <c r="CF18" i="30"/>
  <c r="CG18" i="30"/>
  <c r="CH18" i="30"/>
  <c r="CI18" i="30"/>
  <c r="CJ18" i="30"/>
  <c r="CK18" i="30"/>
  <c r="CL18" i="30"/>
  <c r="CM18" i="30"/>
  <c r="CN18" i="30"/>
  <c r="CO18" i="30"/>
  <c r="CP18" i="30"/>
  <c r="CQ18" i="30"/>
  <c r="CR18" i="30"/>
  <c r="CS18" i="30"/>
  <c r="CT18" i="30"/>
  <c r="CU18" i="30"/>
  <c r="CV18" i="30"/>
  <c r="CW18" i="30"/>
  <c r="CX18" i="30"/>
  <c r="CY18" i="30"/>
  <c r="CZ18" i="30"/>
  <c r="DA18" i="30"/>
  <c r="DB18" i="30"/>
  <c r="DC18" i="30"/>
  <c r="DD18" i="30"/>
  <c r="DE18" i="30"/>
  <c r="DF18" i="30"/>
  <c r="DG18" i="30"/>
  <c r="DH18" i="30"/>
  <c r="DI18" i="30"/>
  <c r="DJ18" i="30"/>
  <c r="DK18" i="30"/>
  <c r="DL18" i="30"/>
  <c r="DM18" i="30"/>
  <c r="DN18" i="30"/>
  <c r="DO18" i="30"/>
  <c r="DP18" i="30"/>
  <c r="DQ18" i="30"/>
  <c r="DR18" i="30"/>
  <c r="DS18" i="30"/>
  <c r="DT18" i="30"/>
  <c r="DU18" i="30"/>
  <c r="DV18" i="30"/>
  <c r="DW18" i="30"/>
  <c r="DX18" i="30"/>
  <c r="DY18" i="30"/>
  <c r="DZ18" i="30"/>
  <c r="EA18" i="30"/>
  <c r="EB18" i="30"/>
  <c r="EC18" i="30"/>
  <c r="ED18" i="30"/>
  <c r="EE18" i="30"/>
  <c r="EF18" i="30"/>
  <c r="EG18" i="30"/>
  <c r="EH18" i="30"/>
  <c r="EI18" i="30"/>
  <c r="EJ18" i="30"/>
  <c r="EK18" i="30"/>
  <c r="EL18" i="30"/>
  <c r="EM18" i="30"/>
  <c r="EN18" i="30"/>
  <c r="EO18" i="30"/>
  <c r="EP18" i="30"/>
  <c r="EQ18" i="30"/>
  <c r="ER18" i="30"/>
  <c r="ES18" i="30"/>
  <c r="ET18" i="30"/>
  <c r="EU18" i="30"/>
  <c r="EV18" i="30"/>
  <c r="EW18" i="30"/>
  <c r="EX18" i="30"/>
  <c r="EY18" i="30"/>
  <c r="EZ18" i="30"/>
  <c r="FA18" i="30"/>
  <c r="FB18" i="30"/>
  <c r="FC18" i="30"/>
  <c r="FD18" i="30"/>
  <c r="FE18" i="30"/>
  <c r="FF18" i="30"/>
  <c r="FG18" i="30"/>
  <c r="FH18" i="30"/>
  <c r="FI18" i="30"/>
  <c r="FJ18" i="30"/>
  <c r="FK18" i="30"/>
  <c r="FL18" i="30"/>
  <c r="FM18" i="30"/>
  <c r="FN18" i="30"/>
  <c r="FO18" i="30"/>
  <c r="FP18" i="30"/>
  <c r="FQ18" i="30"/>
  <c r="FR18" i="30"/>
  <c r="FS18" i="30"/>
  <c r="FT18" i="30"/>
  <c r="FU18" i="30"/>
  <c r="FV18" i="30"/>
  <c r="FW18" i="30"/>
  <c r="FX18" i="30"/>
  <c r="FY18" i="30"/>
  <c r="FZ18" i="30"/>
  <c r="GA18" i="30"/>
  <c r="GB18" i="30"/>
  <c r="GC18" i="30"/>
  <c r="GD18" i="30"/>
  <c r="GE18" i="30"/>
  <c r="GF18" i="30"/>
  <c r="GG18" i="30"/>
  <c r="GH18" i="30"/>
  <c r="GI18" i="30"/>
  <c r="GJ18" i="30"/>
  <c r="GK18" i="30"/>
  <c r="GL18" i="30"/>
  <c r="GM18" i="30"/>
  <c r="GN18" i="30"/>
  <c r="GO18" i="30"/>
  <c r="GP18" i="30"/>
  <c r="GQ18" i="30"/>
  <c r="GR18" i="30"/>
  <c r="GS18" i="30"/>
  <c r="GT18" i="30"/>
  <c r="GU18" i="30"/>
  <c r="GV18" i="30"/>
  <c r="GW18" i="30"/>
  <c r="GX18" i="30"/>
  <c r="GY18" i="30"/>
  <c r="GZ18" i="30"/>
  <c r="HA18" i="30"/>
  <c r="HB18" i="30"/>
  <c r="HC18" i="30"/>
  <c r="HD18" i="30"/>
  <c r="HE18" i="30"/>
  <c r="HF18" i="30"/>
  <c r="HG18" i="30"/>
  <c r="HH18" i="30"/>
  <c r="HI18" i="30"/>
  <c r="HJ18" i="30"/>
  <c r="HK18" i="30"/>
  <c r="HL18" i="30"/>
  <c r="HM18" i="30"/>
  <c r="HN18" i="30"/>
  <c r="HO18" i="30"/>
  <c r="HP18" i="30"/>
  <c r="HQ18" i="30"/>
  <c r="HR18" i="30"/>
  <c r="HS18" i="30"/>
  <c r="HT18" i="30"/>
  <c r="HU18" i="30"/>
  <c r="HV18" i="30"/>
  <c r="HW18" i="30"/>
  <c r="HX18" i="30"/>
  <c r="HY18" i="30"/>
  <c r="HZ18" i="30"/>
  <c r="IA18" i="30"/>
  <c r="IB18" i="30"/>
  <c r="IC18" i="30"/>
  <c r="ID18" i="30"/>
  <c r="IE18" i="30"/>
  <c r="IF18" i="30"/>
  <c r="IG18" i="30"/>
  <c r="IH18" i="30"/>
  <c r="II18" i="30"/>
  <c r="IJ18" i="30"/>
  <c r="IK18" i="30"/>
  <c r="IL18" i="30"/>
  <c r="IM18" i="30"/>
  <c r="IN18" i="30"/>
  <c r="IO18" i="30"/>
  <c r="IP18" i="30"/>
  <c r="IQ18" i="30"/>
  <c r="IR18" i="30"/>
  <c r="IS18" i="30"/>
  <c r="IT18" i="30"/>
  <c r="IU18" i="30"/>
  <c r="IV18" i="30"/>
  <c r="A17" i="30"/>
  <c r="B17" i="30"/>
  <c r="C17" i="30"/>
  <c r="D17" i="30"/>
  <c r="E17" i="30"/>
  <c r="F17" i="30"/>
  <c r="G17" i="30"/>
  <c r="H17" i="30"/>
  <c r="I17" i="30"/>
  <c r="J17" i="30"/>
  <c r="K17" i="30"/>
  <c r="L17" i="30"/>
  <c r="M17" i="30"/>
  <c r="N17" i="30"/>
  <c r="O17" i="30"/>
  <c r="P17" i="30"/>
  <c r="Q17" i="30"/>
  <c r="R17" i="30"/>
  <c r="S17" i="30"/>
  <c r="T17" i="30"/>
  <c r="U17" i="30"/>
  <c r="V17" i="30"/>
  <c r="W17" i="30"/>
  <c r="X17" i="30"/>
  <c r="Y17" i="30"/>
  <c r="Z17" i="30"/>
  <c r="AA17" i="30"/>
  <c r="AB17" i="30"/>
  <c r="AC17" i="30"/>
  <c r="AD17" i="30"/>
  <c r="AE17" i="30"/>
  <c r="AF17" i="30"/>
  <c r="AG17" i="30"/>
  <c r="AH17" i="30"/>
  <c r="AI17" i="30"/>
  <c r="AJ17" i="30"/>
  <c r="AK17" i="30"/>
  <c r="AL17" i="30"/>
  <c r="AM17" i="30"/>
  <c r="AN17" i="30"/>
  <c r="AO17" i="30"/>
  <c r="AP17" i="30"/>
  <c r="AQ17" i="30"/>
  <c r="AR17" i="30"/>
  <c r="AS17" i="30"/>
  <c r="AT17" i="30"/>
  <c r="AU17" i="30"/>
  <c r="AV17" i="30"/>
  <c r="AW17" i="30"/>
  <c r="AX17" i="30"/>
  <c r="AY17" i="30"/>
  <c r="AZ17" i="30"/>
  <c r="BA17" i="30"/>
  <c r="BB17" i="30"/>
  <c r="BC17" i="30"/>
  <c r="BD17" i="30"/>
  <c r="BE17" i="30"/>
  <c r="BF17" i="30"/>
  <c r="BG17" i="30"/>
  <c r="BH17" i="30"/>
  <c r="BI17" i="30"/>
  <c r="BJ17" i="30"/>
  <c r="BK17" i="30"/>
  <c r="BL17" i="30"/>
  <c r="BM17" i="30"/>
  <c r="BN17" i="30"/>
  <c r="BO17" i="30"/>
  <c r="BP17" i="30"/>
  <c r="BQ17" i="30"/>
  <c r="BR17" i="30"/>
  <c r="BS17" i="30"/>
  <c r="BT17" i="30"/>
  <c r="BU17" i="30"/>
  <c r="BV17" i="30"/>
  <c r="BW17" i="30"/>
  <c r="BX17" i="30"/>
  <c r="BY17" i="30"/>
  <c r="BZ17" i="30"/>
  <c r="CA17" i="30"/>
  <c r="CB17" i="30"/>
  <c r="CC17" i="30"/>
  <c r="CD17" i="30"/>
  <c r="CE17" i="30"/>
  <c r="CF17" i="30"/>
  <c r="CG17" i="30"/>
  <c r="CH17" i="30"/>
  <c r="CI17" i="30"/>
  <c r="CJ17" i="30"/>
  <c r="CK17" i="30"/>
  <c r="CL17" i="30"/>
  <c r="CM17" i="30"/>
  <c r="CN17" i="30"/>
  <c r="CO17" i="30"/>
  <c r="CP17" i="30"/>
  <c r="CQ17" i="30"/>
  <c r="CR17" i="30"/>
  <c r="CS17" i="30"/>
  <c r="CT17" i="30"/>
  <c r="CU17" i="30"/>
  <c r="CV17" i="30"/>
  <c r="CW17" i="30"/>
  <c r="CX17" i="30"/>
  <c r="CY17" i="30"/>
  <c r="CZ17" i="30"/>
  <c r="DA17" i="30"/>
  <c r="DB17" i="30"/>
  <c r="DC17" i="30"/>
  <c r="DD17" i="30"/>
  <c r="DE17" i="30"/>
  <c r="DF17" i="30"/>
  <c r="DG17" i="30"/>
  <c r="DH17" i="30"/>
  <c r="DI17" i="30"/>
  <c r="DJ17" i="30"/>
  <c r="DK17" i="30"/>
  <c r="DL17" i="30"/>
  <c r="DM17" i="30"/>
  <c r="DN17" i="30"/>
  <c r="DO17" i="30"/>
  <c r="DP17" i="30"/>
  <c r="DQ17" i="30"/>
  <c r="DR17" i="30"/>
  <c r="DS17" i="30"/>
  <c r="DT17" i="30"/>
  <c r="DU17" i="30"/>
  <c r="DV17" i="30"/>
  <c r="DW17" i="30"/>
  <c r="DX17" i="30"/>
  <c r="DY17" i="30"/>
  <c r="DZ17" i="30"/>
  <c r="EA17" i="30"/>
  <c r="EB17" i="30"/>
  <c r="EC17" i="30"/>
  <c r="ED17" i="30"/>
  <c r="EE17" i="30"/>
  <c r="EF17" i="30"/>
  <c r="EG17" i="30"/>
  <c r="EH17" i="30"/>
  <c r="EI17" i="30"/>
  <c r="EJ17" i="30"/>
  <c r="EK17" i="30"/>
  <c r="EL17" i="30"/>
  <c r="EM17" i="30"/>
  <c r="EN17" i="30"/>
  <c r="EO17" i="30"/>
  <c r="EP17" i="30"/>
  <c r="EQ17" i="30"/>
  <c r="ER17" i="30"/>
  <c r="ES17" i="30"/>
  <c r="ET17" i="30"/>
  <c r="EU17" i="30"/>
  <c r="EV17" i="30"/>
  <c r="EW17" i="30"/>
  <c r="EX17" i="30"/>
  <c r="EY17" i="30"/>
  <c r="EZ17" i="30"/>
  <c r="FA17" i="30"/>
  <c r="FB17" i="30"/>
  <c r="FC17" i="30"/>
  <c r="FD17" i="30"/>
  <c r="FE17" i="30"/>
  <c r="FF17" i="30"/>
  <c r="FG17" i="30"/>
  <c r="FH17" i="30"/>
  <c r="FI17" i="30"/>
  <c r="FJ17" i="30"/>
  <c r="FK17" i="30"/>
  <c r="FL17" i="30"/>
  <c r="FM17" i="30"/>
  <c r="FN17" i="30"/>
  <c r="FO17" i="30"/>
  <c r="FP17" i="30"/>
  <c r="FQ17" i="30"/>
  <c r="FR17" i="30"/>
  <c r="FS17" i="30"/>
  <c r="FT17" i="30"/>
  <c r="FU17" i="30"/>
  <c r="FV17" i="30"/>
  <c r="FW17" i="30"/>
  <c r="FX17" i="30"/>
  <c r="FY17" i="30"/>
  <c r="FZ17" i="30"/>
  <c r="GA17" i="30"/>
  <c r="GB17" i="30"/>
  <c r="GC17" i="30"/>
  <c r="GD17" i="30"/>
  <c r="GE17" i="30"/>
  <c r="GF17" i="30"/>
  <c r="GG17" i="30"/>
  <c r="GH17" i="30"/>
  <c r="GI17" i="30"/>
  <c r="GJ17" i="30"/>
  <c r="GK17" i="30"/>
  <c r="GL17" i="30"/>
  <c r="GM17" i="30"/>
  <c r="GN17" i="30"/>
  <c r="GO17" i="30"/>
  <c r="GP17" i="30"/>
  <c r="GQ17" i="30"/>
  <c r="GR17" i="30"/>
  <c r="GS17" i="30"/>
  <c r="GT17" i="30"/>
  <c r="GU17" i="30"/>
  <c r="GV17" i="30"/>
  <c r="GW17" i="30"/>
  <c r="GX17" i="30"/>
  <c r="GY17" i="30"/>
  <c r="GZ17" i="30"/>
  <c r="HA17" i="30"/>
  <c r="HB17" i="30"/>
  <c r="HC17" i="30"/>
  <c r="HD17" i="30"/>
  <c r="HE17" i="30"/>
  <c r="HF17" i="30"/>
  <c r="HG17" i="30"/>
  <c r="HH17" i="30"/>
  <c r="HI17" i="30"/>
  <c r="HJ17" i="30"/>
  <c r="HK17" i="30"/>
  <c r="HL17" i="30"/>
  <c r="HM17" i="30"/>
  <c r="HN17" i="30"/>
  <c r="HO17" i="30"/>
  <c r="HP17" i="30"/>
  <c r="HQ17" i="30"/>
  <c r="HR17" i="30"/>
  <c r="HS17" i="30"/>
  <c r="HT17" i="30"/>
  <c r="HU17" i="30"/>
  <c r="HV17" i="30"/>
  <c r="HW17" i="30"/>
  <c r="HX17" i="30"/>
  <c r="HY17" i="30"/>
  <c r="HZ17" i="30"/>
  <c r="IA17" i="30"/>
  <c r="IB17" i="30"/>
  <c r="IC17" i="30"/>
  <c r="ID17" i="30"/>
  <c r="IE17" i="30"/>
  <c r="IF17" i="30"/>
  <c r="IG17" i="30"/>
  <c r="IH17" i="30"/>
  <c r="II17" i="30"/>
  <c r="IJ17" i="30"/>
  <c r="IK17" i="30"/>
  <c r="IL17" i="30"/>
  <c r="IM17" i="30"/>
  <c r="IN17" i="30"/>
  <c r="IO17" i="30"/>
  <c r="IP17" i="30"/>
  <c r="IQ17" i="30"/>
  <c r="IR17" i="30"/>
  <c r="IS17" i="30"/>
  <c r="IT17" i="30"/>
  <c r="IU17" i="30"/>
  <c r="IV17" i="30"/>
  <c r="A16" i="30"/>
  <c r="B16" i="30"/>
  <c r="C16" i="30"/>
  <c r="D16" i="30"/>
  <c r="E16" i="30"/>
  <c r="F16" i="30"/>
  <c r="G16" i="30"/>
  <c r="H16" i="30"/>
  <c r="I16" i="30"/>
  <c r="J16" i="30"/>
  <c r="K16" i="30"/>
  <c r="L16" i="30"/>
  <c r="M16" i="30"/>
  <c r="N16" i="30"/>
  <c r="O16" i="30"/>
  <c r="P16" i="30"/>
  <c r="Q16" i="30"/>
  <c r="R16" i="30"/>
  <c r="S16" i="30"/>
  <c r="T16" i="30"/>
  <c r="U16" i="30"/>
  <c r="V16" i="30"/>
  <c r="W16" i="30"/>
  <c r="X16" i="30"/>
  <c r="Y16" i="30"/>
  <c r="Z16" i="30"/>
  <c r="AA16" i="30"/>
  <c r="AB16" i="30"/>
  <c r="AC16" i="30"/>
  <c r="AD16" i="30"/>
  <c r="AE16" i="30"/>
  <c r="AF16" i="30"/>
  <c r="AG16" i="30"/>
  <c r="AH16" i="30"/>
  <c r="AI16" i="30"/>
  <c r="AJ16" i="30"/>
  <c r="AK16" i="30"/>
  <c r="AL16" i="30"/>
  <c r="AM16" i="30"/>
  <c r="AN16" i="30"/>
  <c r="AO16" i="30"/>
  <c r="AP16" i="30"/>
  <c r="AQ16" i="30"/>
  <c r="AR16" i="30"/>
  <c r="AS16" i="30"/>
  <c r="AT16" i="30"/>
  <c r="AU16" i="30"/>
  <c r="AV16" i="30"/>
  <c r="AW16" i="30"/>
  <c r="AX16" i="30"/>
  <c r="AY16" i="30"/>
  <c r="AZ16" i="30"/>
  <c r="BA16" i="30"/>
  <c r="BB16" i="30"/>
  <c r="BC16" i="30"/>
  <c r="BD16" i="30"/>
  <c r="BE16" i="30"/>
  <c r="BF16" i="30"/>
  <c r="BG16" i="30"/>
  <c r="BH16" i="30"/>
  <c r="BI16" i="30"/>
  <c r="BJ16" i="30"/>
  <c r="BK16" i="30"/>
  <c r="BL16" i="30"/>
  <c r="BM16" i="30"/>
  <c r="BN16" i="30"/>
  <c r="BO16" i="30"/>
  <c r="BP16" i="30"/>
  <c r="BQ16" i="30"/>
  <c r="BR16" i="30"/>
  <c r="BS16" i="30"/>
  <c r="BT16" i="30"/>
  <c r="BU16" i="30"/>
  <c r="BV16" i="30"/>
  <c r="BW16" i="30"/>
  <c r="BX16" i="30"/>
  <c r="BY16" i="30"/>
  <c r="BZ16" i="30"/>
  <c r="CA16" i="30"/>
  <c r="CB16" i="30"/>
  <c r="CC16" i="30"/>
  <c r="CD16" i="30"/>
  <c r="CE16" i="30"/>
  <c r="CF16" i="30"/>
  <c r="CG16" i="30"/>
  <c r="CH16" i="30"/>
  <c r="CI16" i="30"/>
  <c r="CJ16" i="30"/>
  <c r="CK16" i="30"/>
  <c r="CL16" i="30"/>
  <c r="CM16" i="30"/>
  <c r="CN16" i="30"/>
  <c r="CO16" i="30"/>
  <c r="CP16" i="30"/>
  <c r="CQ16" i="30"/>
  <c r="CR16" i="30"/>
  <c r="CS16" i="30"/>
  <c r="CT16" i="30"/>
  <c r="CU16" i="30"/>
  <c r="CV16" i="30"/>
  <c r="CW16" i="30"/>
  <c r="CX16" i="30"/>
  <c r="CY16" i="30"/>
  <c r="CZ16" i="30"/>
  <c r="DA16" i="30"/>
  <c r="DB16" i="30"/>
  <c r="DC16" i="30"/>
  <c r="DD16" i="30"/>
  <c r="DE16" i="30"/>
  <c r="DF16" i="30"/>
  <c r="DG16" i="30"/>
  <c r="DH16" i="30"/>
  <c r="DI16" i="30"/>
  <c r="DJ16" i="30"/>
  <c r="DK16" i="30"/>
  <c r="DL16" i="30"/>
  <c r="DM16" i="30"/>
  <c r="DN16" i="30"/>
  <c r="DO16" i="30"/>
  <c r="DP16" i="30"/>
  <c r="DQ16" i="30"/>
  <c r="DR16" i="30"/>
  <c r="DS16" i="30"/>
  <c r="DT16" i="30"/>
  <c r="DU16" i="30"/>
  <c r="DV16" i="30"/>
  <c r="DW16" i="30"/>
  <c r="DX16" i="30"/>
  <c r="DY16" i="30"/>
  <c r="DZ16" i="30"/>
  <c r="EA16" i="30"/>
  <c r="EB16" i="30"/>
  <c r="EC16" i="30"/>
  <c r="ED16" i="30"/>
  <c r="EE16" i="30"/>
  <c r="EF16" i="30"/>
  <c r="EG16" i="30"/>
  <c r="EH16" i="30"/>
  <c r="EI16" i="30"/>
  <c r="EJ16" i="30"/>
  <c r="EK16" i="30"/>
  <c r="EL16" i="30"/>
  <c r="EM16" i="30"/>
  <c r="EN16" i="30"/>
  <c r="EO16" i="30"/>
  <c r="EP16" i="30"/>
  <c r="EQ16" i="30"/>
  <c r="ER16" i="30"/>
  <c r="ES16" i="30"/>
  <c r="ET16" i="30"/>
  <c r="EU16" i="30"/>
  <c r="EV16" i="30"/>
  <c r="EW16" i="30"/>
  <c r="EX16" i="30"/>
  <c r="EY16" i="30"/>
  <c r="EZ16" i="30"/>
  <c r="FA16" i="30"/>
  <c r="FB16" i="30"/>
  <c r="FC16" i="30"/>
  <c r="FD16" i="30"/>
  <c r="FE16" i="30"/>
  <c r="FF16" i="30"/>
  <c r="FG16" i="30"/>
  <c r="FH16" i="30"/>
  <c r="FI16" i="30"/>
  <c r="FJ16" i="30"/>
  <c r="FK16" i="30"/>
  <c r="FL16" i="30"/>
  <c r="FM16" i="30"/>
  <c r="FN16" i="30"/>
  <c r="FO16" i="30"/>
  <c r="FP16" i="30"/>
  <c r="FQ16" i="30"/>
  <c r="FR16" i="30"/>
  <c r="FS16" i="30"/>
  <c r="FT16" i="30"/>
  <c r="FU16" i="30"/>
  <c r="FV16" i="30"/>
  <c r="FW16" i="30"/>
  <c r="FX16" i="30"/>
  <c r="FY16" i="30"/>
  <c r="FZ16" i="30"/>
  <c r="GA16" i="30"/>
  <c r="GB16" i="30"/>
  <c r="GC16" i="30"/>
  <c r="GD16" i="30"/>
  <c r="GE16" i="30"/>
  <c r="GF16" i="30"/>
  <c r="GG16" i="30"/>
  <c r="GH16" i="30"/>
  <c r="GI16" i="30"/>
  <c r="GJ16" i="30"/>
  <c r="GK16" i="30"/>
  <c r="GL16" i="30"/>
  <c r="GM16" i="30"/>
  <c r="GN16" i="30"/>
  <c r="GO16" i="30"/>
  <c r="GP16" i="30"/>
  <c r="GQ16" i="30"/>
  <c r="GR16" i="30"/>
  <c r="GS16" i="30"/>
  <c r="GT16" i="30"/>
  <c r="GU16" i="30"/>
  <c r="GV16" i="30"/>
  <c r="GW16" i="30"/>
  <c r="GX16" i="30"/>
  <c r="GY16" i="30"/>
  <c r="GZ16" i="30"/>
  <c r="HA16" i="30"/>
  <c r="HB16" i="30"/>
  <c r="HC16" i="30"/>
  <c r="HD16" i="30"/>
  <c r="HE16" i="30"/>
  <c r="HF16" i="30"/>
  <c r="HG16" i="30"/>
  <c r="HH16" i="30"/>
  <c r="HI16" i="30"/>
  <c r="HJ16" i="30"/>
  <c r="HK16" i="30"/>
  <c r="HL16" i="30"/>
  <c r="HM16" i="30"/>
  <c r="HN16" i="30"/>
  <c r="HO16" i="30"/>
  <c r="HP16" i="30"/>
  <c r="HQ16" i="30"/>
  <c r="HR16" i="30"/>
  <c r="HS16" i="30"/>
  <c r="HT16" i="30"/>
  <c r="HU16" i="30"/>
  <c r="HV16" i="30"/>
  <c r="HW16" i="30"/>
  <c r="HX16" i="30"/>
  <c r="HY16" i="30"/>
  <c r="HZ16" i="30"/>
  <c r="IA16" i="30"/>
  <c r="IB16" i="30"/>
  <c r="IC16" i="30"/>
  <c r="ID16" i="30"/>
  <c r="IE16" i="30"/>
  <c r="IF16" i="30"/>
  <c r="IG16" i="30"/>
  <c r="IH16" i="30"/>
  <c r="II16" i="30"/>
  <c r="IJ16" i="30"/>
  <c r="IK16" i="30"/>
  <c r="IL16" i="30"/>
  <c r="IM16" i="30"/>
  <c r="IN16" i="30"/>
  <c r="IO16" i="30"/>
  <c r="IP16" i="30"/>
  <c r="IQ16" i="30"/>
  <c r="IR16" i="30"/>
  <c r="IS16" i="30"/>
  <c r="IT16" i="30"/>
  <c r="IU16" i="30"/>
  <c r="IV16" i="30"/>
  <c r="A15" i="30"/>
  <c r="B15" i="30"/>
  <c r="C15" i="30"/>
  <c r="D15" i="30"/>
  <c r="E15" i="30"/>
  <c r="F15" i="30"/>
  <c r="G15" i="30"/>
  <c r="H15" i="30"/>
  <c r="I15" i="30"/>
  <c r="J15" i="30"/>
  <c r="K15" i="30"/>
  <c r="L15" i="30"/>
  <c r="M15" i="30"/>
  <c r="N15" i="30"/>
  <c r="O15" i="30"/>
  <c r="P15" i="30"/>
  <c r="Q15" i="30"/>
  <c r="R15" i="30"/>
  <c r="S15" i="30"/>
  <c r="T15" i="30"/>
  <c r="U15" i="30"/>
  <c r="V15" i="30"/>
  <c r="W15" i="30"/>
  <c r="X15" i="30"/>
  <c r="Y15" i="30"/>
  <c r="Z15" i="30"/>
  <c r="AA15" i="30"/>
  <c r="AB15" i="30"/>
  <c r="AC15" i="30"/>
  <c r="AD15" i="30"/>
  <c r="AE15" i="30"/>
  <c r="AF15" i="30"/>
  <c r="AG15" i="30"/>
  <c r="AH15" i="30"/>
  <c r="AI15" i="30"/>
  <c r="AJ15" i="30"/>
  <c r="AK15" i="30"/>
  <c r="AL15" i="30"/>
  <c r="AM15" i="30"/>
  <c r="AN15" i="30"/>
  <c r="AO15" i="30"/>
  <c r="AP15" i="30"/>
  <c r="AQ15" i="30"/>
  <c r="AR15" i="30"/>
  <c r="AS15" i="30"/>
  <c r="AT15" i="30"/>
  <c r="AU15" i="30"/>
  <c r="AV15" i="30"/>
  <c r="AW15" i="30"/>
  <c r="AX15" i="30"/>
  <c r="AY15" i="30"/>
  <c r="AZ15" i="30"/>
  <c r="BA15" i="30"/>
  <c r="BB15" i="30"/>
  <c r="BC15" i="30"/>
  <c r="BD15" i="30"/>
  <c r="BE15" i="30"/>
  <c r="BF15" i="30"/>
  <c r="BG15" i="30"/>
  <c r="BH15" i="30"/>
  <c r="BI15" i="30"/>
  <c r="BJ15" i="30"/>
  <c r="BK15" i="30"/>
  <c r="BL15" i="30"/>
  <c r="BM15" i="30"/>
  <c r="BN15" i="30"/>
  <c r="BO15" i="30"/>
  <c r="BP15" i="30"/>
  <c r="BQ15" i="30"/>
  <c r="BR15" i="30"/>
  <c r="BS15" i="30"/>
  <c r="BT15" i="30"/>
  <c r="BU15" i="30"/>
  <c r="BV15" i="30"/>
  <c r="BW15" i="30"/>
  <c r="BX15" i="30"/>
  <c r="BY15" i="30"/>
  <c r="BZ15" i="30"/>
  <c r="CA15" i="30"/>
  <c r="CB15" i="30"/>
  <c r="CC15" i="30"/>
  <c r="CD15" i="30"/>
  <c r="CE15" i="30"/>
  <c r="CF15" i="30"/>
  <c r="CG15" i="30"/>
  <c r="CH15" i="30"/>
  <c r="CI15" i="30"/>
  <c r="CJ15" i="30"/>
  <c r="CK15" i="30"/>
  <c r="CL15" i="30"/>
  <c r="CM15" i="30"/>
  <c r="CN15" i="30"/>
  <c r="CO15" i="30"/>
  <c r="CP15" i="30"/>
  <c r="CQ15" i="30"/>
  <c r="CR15" i="30"/>
  <c r="CS15" i="30"/>
  <c r="CT15" i="30"/>
  <c r="CU15" i="30"/>
  <c r="CV15" i="30"/>
  <c r="CW15" i="30"/>
  <c r="CX15" i="30"/>
  <c r="CY15" i="30"/>
  <c r="CZ15" i="30"/>
  <c r="DA15" i="30"/>
  <c r="DB15" i="30"/>
  <c r="DC15" i="30"/>
  <c r="DD15" i="30"/>
  <c r="DE15" i="30"/>
  <c r="DF15" i="30"/>
  <c r="DG15" i="30"/>
  <c r="DH15" i="30"/>
  <c r="DI15" i="30"/>
  <c r="DJ15" i="30"/>
  <c r="DK15" i="30"/>
  <c r="DL15" i="30"/>
  <c r="DM15" i="30"/>
  <c r="DN15" i="30"/>
  <c r="DO15" i="30"/>
  <c r="DP15" i="30"/>
  <c r="DQ15" i="30"/>
  <c r="DR15" i="30"/>
  <c r="DS15" i="30"/>
  <c r="DT15" i="30"/>
  <c r="DU15" i="30"/>
  <c r="DV15" i="30"/>
  <c r="DW15" i="30"/>
  <c r="DX15" i="30"/>
  <c r="DY15" i="30"/>
  <c r="DZ15" i="30"/>
  <c r="EA15" i="30"/>
  <c r="EB15" i="30"/>
  <c r="EC15" i="30"/>
  <c r="ED15" i="30"/>
  <c r="EE15" i="30"/>
  <c r="EF15" i="30"/>
  <c r="EG15" i="30"/>
  <c r="EH15" i="30"/>
  <c r="EI15" i="30"/>
  <c r="EJ15" i="30"/>
  <c r="EK15" i="30"/>
  <c r="EL15" i="30"/>
  <c r="EM15" i="30"/>
  <c r="EN15" i="30"/>
  <c r="EO15" i="30"/>
  <c r="EP15" i="30"/>
  <c r="EQ15" i="30"/>
  <c r="ER15" i="30"/>
  <c r="ES15" i="30"/>
  <c r="ET15" i="30"/>
  <c r="EU15" i="30"/>
  <c r="EV15" i="30"/>
  <c r="EW15" i="30"/>
  <c r="EX15" i="30"/>
  <c r="EY15" i="30"/>
  <c r="EZ15" i="30"/>
  <c r="FA15" i="30"/>
  <c r="FB15" i="30"/>
  <c r="FC15" i="30"/>
  <c r="FD15" i="30"/>
  <c r="FE15" i="30"/>
  <c r="FF15" i="30"/>
  <c r="FG15" i="30"/>
  <c r="FH15" i="30"/>
  <c r="FI15" i="30"/>
  <c r="FJ15" i="30"/>
  <c r="FK15" i="30"/>
  <c r="FL15" i="30"/>
  <c r="FM15" i="30"/>
  <c r="FN15" i="30"/>
  <c r="FO15" i="30"/>
  <c r="FP15" i="30"/>
  <c r="FQ15" i="30"/>
  <c r="FR15" i="30"/>
  <c r="FS15" i="30"/>
  <c r="FT15" i="30"/>
  <c r="FU15" i="30"/>
  <c r="FV15" i="30"/>
  <c r="FW15" i="30"/>
  <c r="FX15" i="30"/>
  <c r="FY15" i="30"/>
  <c r="FZ15" i="30"/>
  <c r="GA15" i="30"/>
  <c r="GB15" i="30"/>
  <c r="GC15" i="30"/>
  <c r="GD15" i="30"/>
  <c r="GE15" i="30"/>
  <c r="GF15" i="30"/>
  <c r="GG15" i="30"/>
  <c r="GH15" i="30"/>
  <c r="GI15" i="30"/>
  <c r="GJ15" i="30"/>
  <c r="GK15" i="30"/>
  <c r="GL15" i="30"/>
  <c r="GM15" i="30"/>
  <c r="GN15" i="30"/>
  <c r="GO15" i="30"/>
  <c r="GP15" i="30"/>
  <c r="GQ15" i="30"/>
  <c r="GR15" i="30"/>
  <c r="GS15" i="30"/>
  <c r="GT15" i="30"/>
  <c r="GU15" i="30"/>
  <c r="GV15" i="30"/>
  <c r="GW15" i="30"/>
  <c r="GX15" i="30"/>
  <c r="GY15" i="30"/>
  <c r="GZ15" i="30"/>
  <c r="HA15" i="30"/>
  <c r="HB15" i="30"/>
  <c r="HC15" i="30"/>
  <c r="HD15" i="30"/>
  <c r="HE15" i="30"/>
  <c r="HF15" i="30"/>
  <c r="HG15" i="30"/>
  <c r="HH15" i="30"/>
  <c r="HI15" i="30"/>
  <c r="HJ15" i="30"/>
  <c r="HK15" i="30"/>
  <c r="HL15" i="30"/>
  <c r="HM15" i="30"/>
  <c r="HN15" i="30"/>
  <c r="HO15" i="30"/>
  <c r="HP15" i="30"/>
  <c r="HQ15" i="30"/>
  <c r="HR15" i="30"/>
  <c r="HS15" i="30"/>
  <c r="HT15" i="30"/>
  <c r="HU15" i="30"/>
  <c r="HV15" i="30"/>
  <c r="HW15" i="30"/>
  <c r="HX15" i="30"/>
  <c r="HY15" i="30"/>
  <c r="HZ15" i="30"/>
  <c r="IA15" i="30"/>
  <c r="IB15" i="30"/>
  <c r="IC15" i="30"/>
  <c r="ID15" i="30"/>
  <c r="IE15" i="30"/>
  <c r="IF15" i="30"/>
  <c r="IG15" i="30"/>
  <c r="IH15" i="30"/>
  <c r="II15" i="30"/>
  <c r="IJ15" i="30"/>
  <c r="IK15" i="30"/>
  <c r="IL15" i="30"/>
  <c r="IM15" i="30"/>
  <c r="IN15" i="30"/>
  <c r="IO15" i="30"/>
  <c r="IP15" i="30"/>
  <c r="IQ15" i="30"/>
  <c r="IR15" i="30"/>
  <c r="IS15" i="30"/>
  <c r="IT15" i="30"/>
  <c r="IU15" i="30"/>
  <c r="IV15" i="30"/>
  <c r="A14" i="30"/>
  <c r="B14" i="30"/>
  <c r="C14" i="30"/>
  <c r="D14" i="30"/>
  <c r="E14" i="30"/>
  <c r="F14" i="30"/>
  <c r="G14" i="30"/>
  <c r="H14" i="30"/>
  <c r="I14" i="30"/>
  <c r="J14" i="30"/>
  <c r="K14" i="30"/>
  <c r="L14" i="30"/>
  <c r="M14" i="30"/>
  <c r="N14" i="30"/>
  <c r="O14" i="30"/>
  <c r="P14" i="30"/>
  <c r="Q14" i="30"/>
  <c r="R14" i="30"/>
  <c r="S14" i="30"/>
  <c r="T14" i="30"/>
  <c r="U14" i="30"/>
  <c r="V14" i="30"/>
  <c r="W14" i="30"/>
  <c r="X14" i="30"/>
  <c r="Y14" i="30"/>
  <c r="Z14" i="30"/>
  <c r="AA14" i="30"/>
  <c r="AB14" i="30"/>
  <c r="AC14" i="30"/>
  <c r="AD14" i="30"/>
  <c r="AE14" i="30"/>
  <c r="AF14" i="30"/>
  <c r="AG14" i="30"/>
  <c r="AH14" i="30"/>
  <c r="AI14" i="30"/>
  <c r="AJ14" i="30"/>
  <c r="AK14" i="30"/>
  <c r="AL14" i="30"/>
  <c r="AM14" i="30"/>
  <c r="AN14" i="30"/>
  <c r="AO14" i="30"/>
  <c r="AP14" i="30"/>
  <c r="AQ14" i="30"/>
  <c r="AR14" i="30"/>
  <c r="AS14" i="30"/>
  <c r="AT14" i="30"/>
  <c r="AU14" i="30"/>
  <c r="AV14" i="30"/>
  <c r="AW14" i="30"/>
  <c r="AX14" i="30"/>
  <c r="AY14" i="30"/>
  <c r="AZ14" i="30"/>
  <c r="BA14" i="30"/>
  <c r="BB14" i="30"/>
  <c r="BC14" i="30"/>
  <c r="BD14" i="30"/>
  <c r="BE14" i="30"/>
  <c r="BF14" i="30"/>
  <c r="BG14" i="30"/>
  <c r="BH14" i="30"/>
  <c r="BI14" i="30"/>
  <c r="BJ14" i="30"/>
  <c r="BK14" i="30"/>
  <c r="BL14" i="30"/>
  <c r="BM14" i="30"/>
  <c r="BN14" i="30"/>
  <c r="BO14" i="30"/>
  <c r="BP14" i="30"/>
  <c r="BQ14" i="30"/>
  <c r="BR14" i="30"/>
  <c r="BS14" i="30"/>
  <c r="BT14" i="30"/>
  <c r="BU14" i="30"/>
  <c r="BV14" i="30"/>
  <c r="BW14" i="30"/>
  <c r="BX14" i="30"/>
  <c r="BY14" i="30"/>
  <c r="BZ14" i="30"/>
  <c r="CA14" i="30"/>
  <c r="CB14" i="30"/>
  <c r="CC14" i="30"/>
  <c r="CD14" i="30"/>
  <c r="CE14" i="30"/>
  <c r="CF14" i="30"/>
  <c r="CG14" i="30"/>
  <c r="CH14" i="30"/>
  <c r="CI14" i="30"/>
  <c r="CJ14" i="30"/>
  <c r="CK14" i="30"/>
  <c r="CL14" i="30"/>
  <c r="CM14" i="30"/>
  <c r="CN14" i="30"/>
  <c r="CO14" i="30"/>
  <c r="CP14" i="30"/>
  <c r="CQ14" i="30"/>
  <c r="CR14" i="30"/>
  <c r="CS14" i="30"/>
  <c r="CT14" i="30"/>
  <c r="CU14" i="30"/>
  <c r="CV14" i="30"/>
  <c r="CW14" i="30"/>
  <c r="CX14" i="30"/>
  <c r="CY14" i="30"/>
  <c r="CZ14" i="30"/>
  <c r="DA14" i="30"/>
  <c r="DB14" i="30"/>
  <c r="DC14" i="30"/>
  <c r="DD14" i="30"/>
  <c r="DE14" i="30"/>
  <c r="DF14" i="30"/>
  <c r="DG14" i="30"/>
  <c r="DH14" i="30"/>
  <c r="DI14" i="30"/>
  <c r="DJ14" i="30"/>
  <c r="DK14" i="30"/>
  <c r="DL14" i="30"/>
  <c r="DM14" i="30"/>
  <c r="DN14" i="30"/>
  <c r="DO14" i="30"/>
  <c r="DP14" i="30"/>
  <c r="DQ14" i="30"/>
  <c r="DR14" i="30"/>
  <c r="DS14" i="30"/>
  <c r="DT14" i="30"/>
  <c r="DU14" i="30"/>
  <c r="DV14" i="30"/>
  <c r="DW14" i="30"/>
  <c r="DX14" i="30"/>
  <c r="DY14" i="30"/>
  <c r="DZ14" i="30"/>
  <c r="EA14" i="30"/>
  <c r="EB14" i="30"/>
  <c r="EC14" i="30"/>
  <c r="ED14" i="30"/>
  <c r="EE14" i="30"/>
  <c r="EF14" i="30"/>
  <c r="EG14" i="30"/>
  <c r="EH14" i="30"/>
  <c r="EI14" i="30"/>
  <c r="EJ14" i="30"/>
  <c r="EK14" i="30"/>
  <c r="EL14" i="30"/>
  <c r="EM14" i="30"/>
  <c r="EN14" i="30"/>
  <c r="EO14" i="30"/>
  <c r="EP14" i="30"/>
  <c r="EQ14" i="30"/>
  <c r="ER14" i="30"/>
  <c r="ES14" i="30"/>
  <c r="ET14" i="30"/>
  <c r="EU14" i="30"/>
  <c r="EV14" i="30"/>
  <c r="EW14" i="30"/>
  <c r="EX14" i="30"/>
  <c r="EY14" i="30"/>
  <c r="EZ14" i="30"/>
  <c r="FA14" i="30"/>
  <c r="FB14" i="30"/>
  <c r="FC14" i="30"/>
  <c r="FD14" i="30"/>
  <c r="FE14" i="30"/>
  <c r="FF14" i="30"/>
  <c r="FG14" i="30"/>
  <c r="FH14" i="30"/>
  <c r="FI14" i="30"/>
  <c r="FJ14" i="30"/>
  <c r="FK14" i="30"/>
  <c r="FL14" i="30"/>
  <c r="FM14" i="30"/>
  <c r="FN14" i="30"/>
  <c r="FO14" i="30"/>
  <c r="FP14" i="30"/>
  <c r="FQ14" i="30"/>
  <c r="FR14" i="30"/>
  <c r="FS14" i="30"/>
  <c r="FT14" i="30"/>
  <c r="FU14" i="30"/>
  <c r="FV14" i="30"/>
  <c r="FW14" i="30"/>
  <c r="FX14" i="30"/>
  <c r="FY14" i="30"/>
  <c r="FZ14" i="30"/>
  <c r="GA14" i="30"/>
  <c r="GB14" i="30"/>
  <c r="GC14" i="30"/>
  <c r="GD14" i="30"/>
  <c r="GE14" i="30"/>
  <c r="GF14" i="30"/>
  <c r="GG14" i="30"/>
  <c r="GH14" i="30"/>
  <c r="GI14" i="30"/>
  <c r="GJ14" i="30"/>
  <c r="GK14" i="30"/>
  <c r="GL14" i="30"/>
  <c r="GM14" i="30"/>
  <c r="GN14" i="30"/>
  <c r="GO14" i="30"/>
  <c r="GP14" i="30"/>
  <c r="GQ14" i="30"/>
  <c r="GR14" i="30"/>
  <c r="GS14" i="30"/>
  <c r="GT14" i="30"/>
  <c r="GU14" i="30"/>
  <c r="GV14" i="30"/>
  <c r="GW14" i="30"/>
  <c r="GX14" i="30"/>
  <c r="GY14" i="30"/>
  <c r="GZ14" i="30"/>
  <c r="HA14" i="30"/>
  <c r="HB14" i="30"/>
  <c r="HC14" i="30"/>
  <c r="HD14" i="30"/>
  <c r="HE14" i="30"/>
  <c r="HF14" i="30"/>
  <c r="HG14" i="30"/>
  <c r="HH14" i="30"/>
  <c r="HI14" i="30"/>
  <c r="HJ14" i="30"/>
  <c r="HK14" i="30"/>
  <c r="HL14" i="30"/>
  <c r="HM14" i="30"/>
  <c r="HN14" i="30"/>
  <c r="HO14" i="30"/>
  <c r="HP14" i="30"/>
  <c r="HQ14" i="30"/>
  <c r="HR14" i="30"/>
  <c r="HS14" i="30"/>
  <c r="HT14" i="30"/>
  <c r="HU14" i="30"/>
  <c r="HV14" i="30"/>
  <c r="HW14" i="30"/>
  <c r="HX14" i="30"/>
  <c r="HY14" i="30"/>
  <c r="HZ14" i="30"/>
  <c r="IA14" i="30"/>
  <c r="IB14" i="30"/>
  <c r="IC14" i="30"/>
  <c r="ID14" i="30"/>
  <c r="IE14" i="30"/>
  <c r="IF14" i="30"/>
  <c r="IG14" i="30"/>
  <c r="IH14" i="30"/>
  <c r="II14" i="30"/>
  <c r="IJ14" i="30"/>
  <c r="IK14" i="30"/>
  <c r="IL14" i="30"/>
  <c r="IM14" i="30"/>
  <c r="IN14" i="30"/>
  <c r="IO14" i="30"/>
  <c r="IP14" i="30"/>
  <c r="IQ14" i="30"/>
  <c r="IR14" i="30"/>
  <c r="IS14" i="30"/>
  <c r="IT14" i="30"/>
  <c r="IU14" i="30"/>
  <c r="IV14" i="30"/>
  <c r="A13" i="30"/>
  <c r="B13" i="30"/>
  <c r="C13" i="30"/>
  <c r="D13" i="30"/>
  <c r="E13" i="30"/>
  <c r="F13" i="30"/>
  <c r="G13" i="30"/>
  <c r="H13" i="30"/>
  <c r="I13" i="30"/>
  <c r="J13" i="30"/>
  <c r="K13" i="30"/>
  <c r="L13" i="30"/>
  <c r="M13" i="30"/>
  <c r="N13" i="30"/>
  <c r="O13" i="30"/>
  <c r="P13" i="30"/>
  <c r="Q13" i="30"/>
  <c r="R13" i="30"/>
  <c r="S13" i="30"/>
  <c r="T13" i="30"/>
  <c r="U13" i="30"/>
  <c r="V13" i="30"/>
  <c r="W13" i="30"/>
  <c r="X13" i="30"/>
  <c r="Y13" i="30"/>
  <c r="Z13" i="30"/>
  <c r="AA13" i="30"/>
  <c r="AB13" i="30"/>
  <c r="AC13" i="30"/>
  <c r="AD13" i="30"/>
  <c r="AE13" i="30"/>
  <c r="AF13" i="30"/>
  <c r="AG13" i="30"/>
  <c r="AH13" i="30"/>
  <c r="AI13" i="30"/>
  <c r="AJ13" i="30"/>
  <c r="AK13" i="30"/>
  <c r="AL13" i="30"/>
  <c r="AM13" i="30"/>
  <c r="AN13" i="30"/>
  <c r="AO13" i="30"/>
  <c r="AP13" i="30"/>
  <c r="AQ13" i="30"/>
  <c r="AR13" i="30"/>
  <c r="AS13" i="30"/>
  <c r="AT13" i="30"/>
  <c r="AU13" i="30"/>
  <c r="AV13" i="30"/>
  <c r="AW13" i="30"/>
  <c r="AX13" i="30"/>
  <c r="AY13" i="30"/>
  <c r="AZ13" i="30"/>
  <c r="BA13" i="30"/>
  <c r="BB13" i="30"/>
  <c r="BC13" i="30"/>
  <c r="BD13" i="30"/>
  <c r="BE13" i="30"/>
  <c r="BF13" i="30"/>
  <c r="BG13" i="30"/>
  <c r="BH13" i="30"/>
  <c r="BI13" i="30"/>
  <c r="BJ13" i="30"/>
  <c r="BK13" i="30"/>
  <c r="BL13" i="30"/>
  <c r="BM13" i="30"/>
  <c r="BN13" i="30"/>
  <c r="BO13" i="30"/>
  <c r="BP13" i="30"/>
  <c r="BQ13" i="30"/>
  <c r="BR13" i="30"/>
  <c r="BS13" i="30"/>
  <c r="BT13" i="30"/>
  <c r="BU13" i="30"/>
  <c r="BV13" i="30"/>
  <c r="BW13" i="30"/>
  <c r="BX13" i="30"/>
  <c r="BY13" i="30"/>
  <c r="BZ13" i="30"/>
  <c r="CA13" i="30"/>
  <c r="CB13" i="30"/>
  <c r="CC13" i="30"/>
  <c r="CD13" i="30"/>
  <c r="CE13" i="30"/>
  <c r="CF13" i="30"/>
  <c r="CG13" i="30"/>
  <c r="CH13" i="30"/>
  <c r="CI13" i="30"/>
  <c r="CJ13" i="30"/>
  <c r="CK13" i="30"/>
  <c r="CL13" i="30"/>
  <c r="CM13" i="30"/>
  <c r="CN13" i="30"/>
  <c r="CO13" i="30"/>
  <c r="CP13" i="30"/>
  <c r="CQ13" i="30"/>
  <c r="CR13" i="30"/>
  <c r="CS13" i="30"/>
  <c r="CT13" i="30"/>
  <c r="CU13" i="30"/>
  <c r="CV13" i="30"/>
  <c r="CW13" i="30"/>
  <c r="CX13" i="30"/>
  <c r="CY13" i="30"/>
  <c r="CZ13" i="30"/>
  <c r="DA13" i="30"/>
  <c r="DB13" i="30"/>
  <c r="DC13" i="30"/>
  <c r="DD13" i="30"/>
  <c r="DE13" i="30"/>
  <c r="DF13" i="30"/>
  <c r="DG13" i="30"/>
  <c r="DH13" i="30"/>
  <c r="DI13" i="30"/>
  <c r="DJ13" i="30"/>
  <c r="DK13" i="30"/>
  <c r="DL13" i="30"/>
  <c r="DM13" i="30"/>
  <c r="DN13" i="30"/>
  <c r="DO13" i="30"/>
  <c r="DP13" i="30"/>
  <c r="DQ13" i="30"/>
  <c r="DR13" i="30"/>
  <c r="DS13" i="30"/>
  <c r="DT13" i="30"/>
  <c r="DU13" i="30"/>
  <c r="DV13" i="30"/>
  <c r="DW13" i="30"/>
  <c r="DX13" i="30"/>
  <c r="DY13" i="30"/>
  <c r="DZ13" i="30"/>
  <c r="EA13" i="30"/>
  <c r="EB13" i="30"/>
  <c r="EC13" i="30"/>
  <c r="ED13" i="30"/>
  <c r="EE13" i="30"/>
  <c r="EF13" i="30"/>
  <c r="EG13" i="30"/>
  <c r="EH13" i="30"/>
  <c r="EI13" i="30"/>
  <c r="EJ13" i="30"/>
  <c r="EK13" i="30"/>
  <c r="EL13" i="30"/>
  <c r="EM13" i="30"/>
  <c r="EN13" i="30"/>
  <c r="EO13" i="30"/>
  <c r="EP13" i="30"/>
  <c r="EQ13" i="30"/>
  <c r="ER13" i="30"/>
  <c r="ES13" i="30"/>
  <c r="ET13" i="30"/>
  <c r="EU13" i="30"/>
  <c r="EV13" i="30"/>
  <c r="EW13" i="30"/>
  <c r="EX13" i="30"/>
  <c r="EY13" i="30"/>
  <c r="EZ13" i="30"/>
  <c r="FA13" i="30"/>
  <c r="FB13" i="30"/>
  <c r="FC13" i="30"/>
  <c r="FD13" i="30"/>
  <c r="FE13" i="30"/>
  <c r="FF13" i="30"/>
  <c r="FG13" i="30"/>
  <c r="FH13" i="30"/>
  <c r="FI13" i="30"/>
  <c r="FJ13" i="30"/>
  <c r="FK13" i="30"/>
  <c r="FL13" i="30"/>
  <c r="FM13" i="30"/>
  <c r="FN13" i="30"/>
  <c r="FO13" i="30"/>
  <c r="FP13" i="30"/>
  <c r="FQ13" i="30"/>
  <c r="FR13" i="30"/>
  <c r="FS13" i="30"/>
  <c r="FT13" i="30"/>
  <c r="FU13" i="30"/>
  <c r="FV13" i="30"/>
  <c r="FW13" i="30"/>
  <c r="FX13" i="30"/>
  <c r="FY13" i="30"/>
  <c r="FZ13" i="30"/>
  <c r="GA13" i="30"/>
  <c r="GB13" i="30"/>
  <c r="GC13" i="30"/>
  <c r="GD13" i="30"/>
  <c r="GE13" i="30"/>
  <c r="GF13" i="30"/>
  <c r="GG13" i="30"/>
  <c r="GH13" i="30"/>
  <c r="GI13" i="30"/>
  <c r="GJ13" i="30"/>
  <c r="GK13" i="30"/>
  <c r="GL13" i="30"/>
  <c r="GM13" i="30"/>
  <c r="GN13" i="30"/>
  <c r="GO13" i="30"/>
  <c r="GP13" i="30"/>
  <c r="GQ13" i="30"/>
  <c r="GR13" i="30"/>
  <c r="GS13" i="30"/>
  <c r="GT13" i="30"/>
  <c r="GU13" i="30"/>
  <c r="GV13" i="30"/>
  <c r="GW13" i="30"/>
  <c r="GX13" i="30"/>
  <c r="GY13" i="30"/>
  <c r="GZ13" i="30"/>
  <c r="HA13" i="30"/>
  <c r="HB13" i="30"/>
  <c r="HC13" i="30"/>
  <c r="HD13" i="30"/>
  <c r="HE13" i="30"/>
  <c r="HF13" i="30"/>
  <c r="HG13" i="30"/>
  <c r="HH13" i="30"/>
  <c r="HI13" i="30"/>
  <c r="HJ13" i="30"/>
  <c r="HK13" i="30"/>
  <c r="HL13" i="30"/>
  <c r="HM13" i="30"/>
  <c r="HN13" i="30"/>
  <c r="HO13" i="30"/>
  <c r="HP13" i="30"/>
  <c r="HQ13" i="30"/>
  <c r="HR13" i="30"/>
  <c r="HS13" i="30"/>
  <c r="HT13" i="30"/>
  <c r="HU13" i="30"/>
  <c r="HV13" i="30"/>
  <c r="HW13" i="30"/>
  <c r="HX13" i="30"/>
  <c r="HY13" i="30"/>
  <c r="HZ13" i="30"/>
  <c r="IA13" i="30"/>
  <c r="IB13" i="30"/>
  <c r="IC13" i="30"/>
  <c r="ID13" i="30"/>
  <c r="IE13" i="30"/>
  <c r="IF13" i="30"/>
  <c r="IG13" i="30"/>
  <c r="IH13" i="30"/>
  <c r="II13" i="30"/>
  <c r="IJ13" i="30"/>
  <c r="IK13" i="30"/>
  <c r="IL13" i="30"/>
  <c r="IM13" i="30"/>
  <c r="IN13" i="30"/>
  <c r="IO13" i="30"/>
  <c r="IP13" i="30"/>
  <c r="IQ13" i="30"/>
  <c r="IR13" i="30"/>
  <c r="IS13" i="30"/>
  <c r="IT13" i="30"/>
  <c r="IU13" i="30"/>
  <c r="IV13" i="30"/>
  <c r="A12" i="30"/>
  <c r="B12" i="30"/>
  <c r="C12" i="30"/>
  <c r="D12" i="30"/>
  <c r="E12" i="30"/>
  <c r="F12" i="30"/>
  <c r="G12" i="30"/>
  <c r="H12" i="30"/>
  <c r="I12" i="30"/>
  <c r="J12" i="30"/>
  <c r="K12" i="30"/>
  <c r="L12" i="30"/>
  <c r="M12" i="30"/>
  <c r="N12" i="30"/>
  <c r="O12" i="30"/>
  <c r="P12" i="30"/>
  <c r="Q12" i="30"/>
  <c r="R12" i="30"/>
  <c r="S12" i="30"/>
  <c r="T12" i="30"/>
  <c r="U12" i="30"/>
  <c r="V12" i="30"/>
  <c r="W12" i="30"/>
  <c r="X12" i="30"/>
  <c r="Y12" i="30"/>
  <c r="Z12" i="30"/>
  <c r="AA12" i="30"/>
  <c r="AB12" i="30"/>
  <c r="AC12" i="30"/>
  <c r="AD12" i="30"/>
  <c r="AE12" i="30"/>
  <c r="AF12" i="30"/>
  <c r="AG12" i="30"/>
  <c r="AH12" i="30"/>
  <c r="AI12" i="30"/>
  <c r="AJ12" i="30"/>
  <c r="AK12" i="30"/>
  <c r="AL12" i="30"/>
  <c r="AM12" i="30"/>
  <c r="AN12" i="30"/>
  <c r="AO12" i="30"/>
  <c r="AP12" i="30"/>
  <c r="AQ12" i="30"/>
  <c r="AR12" i="30"/>
  <c r="AS12" i="30"/>
  <c r="AT12" i="30"/>
  <c r="AU12" i="30"/>
  <c r="AV12" i="30"/>
  <c r="AW12" i="30"/>
  <c r="AX12" i="30"/>
  <c r="AY12" i="30"/>
  <c r="AZ12" i="30"/>
  <c r="BA12" i="30"/>
  <c r="BB12" i="30"/>
  <c r="BC12" i="30"/>
  <c r="BD12" i="30"/>
  <c r="BE12" i="30"/>
  <c r="BF12" i="30"/>
  <c r="BG12" i="30"/>
  <c r="BH12" i="30"/>
  <c r="BI12" i="30"/>
  <c r="BJ12" i="30"/>
  <c r="BK12" i="30"/>
  <c r="BL12" i="30"/>
  <c r="BM12" i="30"/>
  <c r="BN12" i="30"/>
  <c r="BO12" i="30"/>
  <c r="BP12" i="30"/>
  <c r="BQ12" i="30"/>
  <c r="BR12" i="30"/>
  <c r="BS12" i="30"/>
  <c r="BT12" i="30"/>
  <c r="BU12" i="30"/>
  <c r="BV12" i="30"/>
  <c r="BW12" i="30"/>
  <c r="BX12" i="30"/>
  <c r="BY12" i="30"/>
  <c r="BZ12" i="30"/>
  <c r="CA12" i="30"/>
  <c r="CB12" i="30"/>
  <c r="CC12" i="30"/>
  <c r="CD12" i="30"/>
  <c r="CE12" i="30"/>
  <c r="CF12" i="30"/>
  <c r="CG12" i="30"/>
  <c r="CH12" i="30"/>
  <c r="CI12" i="30"/>
  <c r="CJ12" i="30"/>
  <c r="CK12" i="30"/>
  <c r="CL12" i="30"/>
  <c r="CM12" i="30"/>
  <c r="CN12" i="30"/>
  <c r="CO12" i="30"/>
  <c r="CP12" i="30"/>
  <c r="CQ12" i="30"/>
  <c r="CR12" i="30"/>
  <c r="CS12" i="30"/>
  <c r="CT12" i="30"/>
  <c r="CU12" i="30"/>
  <c r="CV12" i="30"/>
  <c r="CW12" i="30"/>
  <c r="CX12" i="30"/>
  <c r="CY12" i="30"/>
  <c r="CZ12" i="30"/>
  <c r="DA12" i="30"/>
  <c r="DB12" i="30"/>
  <c r="DC12" i="30"/>
  <c r="DD12" i="30"/>
  <c r="DE12" i="30"/>
  <c r="DF12" i="30"/>
  <c r="DG12" i="30"/>
  <c r="DH12" i="30"/>
  <c r="DI12" i="30"/>
  <c r="DJ12" i="30"/>
  <c r="DK12" i="30"/>
  <c r="DL12" i="30"/>
  <c r="DM12" i="30"/>
  <c r="DN12" i="30"/>
  <c r="DO12" i="30"/>
  <c r="DP12" i="30"/>
  <c r="DQ12" i="30"/>
  <c r="DR12" i="30"/>
  <c r="DS12" i="30"/>
  <c r="DT12" i="30"/>
  <c r="DU12" i="30"/>
  <c r="DV12" i="30"/>
  <c r="DW12" i="30"/>
  <c r="DX12" i="30"/>
  <c r="DY12" i="30"/>
  <c r="DZ12" i="30"/>
  <c r="EA12" i="30"/>
  <c r="EB12" i="30"/>
  <c r="EC12" i="30"/>
  <c r="ED12" i="30"/>
  <c r="EE12" i="30"/>
  <c r="EF12" i="30"/>
  <c r="EG12" i="30"/>
  <c r="EH12" i="30"/>
  <c r="EI12" i="30"/>
  <c r="EJ12" i="30"/>
  <c r="EK12" i="30"/>
  <c r="EL12" i="30"/>
  <c r="EM12" i="30"/>
  <c r="EN12" i="30"/>
  <c r="EO12" i="30"/>
  <c r="EP12" i="30"/>
  <c r="EQ12" i="30"/>
  <c r="ER12" i="30"/>
  <c r="ES12" i="30"/>
  <c r="ET12" i="30"/>
  <c r="EU12" i="30"/>
  <c r="EV12" i="30"/>
  <c r="EW12" i="30"/>
  <c r="EX12" i="30"/>
  <c r="EY12" i="30"/>
  <c r="EZ12" i="30"/>
  <c r="FA12" i="30"/>
  <c r="FB12" i="30"/>
  <c r="FC12" i="30"/>
  <c r="FD12" i="30"/>
  <c r="FE12" i="30"/>
  <c r="FF12" i="30"/>
  <c r="FG12" i="30"/>
  <c r="FH12" i="30"/>
  <c r="FI12" i="30"/>
  <c r="FJ12" i="30"/>
  <c r="FK12" i="30"/>
  <c r="FL12" i="30"/>
  <c r="FM12" i="30"/>
  <c r="FN12" i="30"/>
  <c r="FO12" i="30"/>
  <c r="FP12" i="30"/>
  <c r="FQ12" i="30"/>
  <c r="FR12" i="30"/>
  <c r="FS12" i="30"/>
  <c r="FT12" i="30"/>
  <c r="FU12" i="30"/>
  <c r="FV12" i="30"/>
  <c r="FW12" i="30"/>
  <c r="FX12" i="30"/>
  <c r="FY12" i="30"/>
  <c r="FZ12" i="30"/>
  <c r="GA12" i="30"/>
  <c r="GB12" i="30"/>
  <c r="GC12" i="30"/>
  <c r="GD12" i="30"/>
  <c r="GE12" i="30"/>
  <c r="GF12" i="30"/>
  <c r="GG12" i="30"/>
  <c r="GH12" i="30"/>
  <c r="GI12" i="30"/>
  <c r="GJ12" i="30"/>
  <c r="GK12" i="30"/>
  <c r="GL12" i="30"/>
  <c r="GM12" i="30"/>
  <c r="GN12" i="30"/>
  <c r="GO12" i="30"/>
  <c r="GP12" i="30"/>
  <c r="GQ12" i="30"/>
  <c r="GR12" i="30"/>
  <c r="GS12" i="30"/>
  <c r="GT12" i="30"/>
  <c r="GU12" i="30"/>
  <c r="GV12" i="30"/>
  <c r="GW12" i="30"/>
  <c r="GX12" i="30"/>
  <c r="GY12" i="30"/>
  <c r="GZ12" i="30"/>
  <c r="HA12" i="30"/>
  <c r="HB12" i="30"/>
  <c r="HC12" i="30"/>
  <c r="HD12" i="30"/>
  <c r="HE12" i="30"/>
  <c r="HF12" i="30"/>
  <c r="HG12" i="30"/>
  <c r="HH12" i="30"/>
  <c r="HI12" i="30"/>
  <c r="HJ12" i="30"/>
  <c r="HK12" i="30"/>
  <c r="HL12" i="30"/>
  <c r="HM12" i="30"/>
  <c r="HN12" i="30"/>
  <c r="HO12" i="30"/>
  <c r="HP12" i="30"/>
  <c r="HQ12" i="30"/>
  <c r="HR12" i="30"/>
  <c r="HS12" i="30"/>
  <c r="HT12" i="30"/>
  <c r="HU12" i="30"/>
  <c r="HV12" i="30"/>
  <c r="HW12" i="30"/>
  <c r="HX12" i="30"/>
  <c r="HY12" i="30"/>
  <c r="HZ12" i="30"/>
  <c r="IA12" i="30"/>
  <c r="IB12" i="30"/>
  <c r="IC12" i="30"/>
  <c r="ID12" i="30"/>
  <c r="IE12" i="30"/>
  <c r="IF12" i="30"/>
  <c r="IG12" i="30"/>
  <c r="IH12" i="30"/>
  <c r="II12" i="30"/>
  <c r="IJ12" i="30"/>
  <c r="IK12" i="30"/>
  <c r="IL12" i="30"/>
  <c r="IM12" i="30"/>
  <c r="IN12" i="30"/>
  <c r="IO12" i="30"/>
  <c r="IP12" i="30"/>
  <c r="IQ12" i="30"/>
  <c r="IR12" i="30"/>
  <c r="IS12" i="30"/>
  <c r="IT12" i="30"/>
  <c r="IU12" i="30"/>
  <c r="IV12" i="30"/>
  <c r="A11" i="30"/>
  <c r="B11" i="30"/>
  <c r="C11" i="30"/>
  <c r="D11" i="30"/>
  <c r="E11" i="30"/>
  <c r="F11" i="30"/>
  <c r="G11" i="30"/>
  <c r="H11" i="30"/>
  <c r="I11" i="30"/>
  <c r="J11" i="30"/>
  <c r="K11" i="30"/>
  <c r="L11" i="30"/>
  <c r="M11" i="30"/>
  <c r="N11" i="30"/>
  <c r="O11" i="30"/>
  <c r="P11" i="30"/>
  <c r="Q11" i="30"/>
  <c r="R11" i="30"/>
  <c r="S11" i="30"/>
  <c r="T11" i="30"/>
  <c r="U11" i="30"/>
  <c r="V11" i="30"/>
  <c r="W11" i="30"/>
  <c r="X11" i="30"/>
  <c r="Y11" i="30"/>
  <c r="Z11" i="30"/>
  <c r="AA11" i="30"/>
  <c r="AB11" i="30"/>
  <c r="AC11" i="30"/>
  <c r="AD11" i="30"/>
  <c r="AE11" i="30"/>
  <c r="AF11" i="30"/>
  <c r="AG11" i="30"/>
  <c r="AH11" i="30"/>
  <c r="AI11" i="30"/>
  <c r="AJ11" i="30"/>
  <c r="AK11" i="30"/>
  <c r="AL11" i="30"/>
  <c r="AM11" i="30"/>
  <c r="AN11" i="30"/>
  <c r="AO11" i="30"/>
  <c r="AP11" i="30"/>
  <c r="AQ11" i="30"/>
  <c r="AR11" i="30"/>
  <c r="AS11" i="30"/>
  <c r="AT11" i="30"/>
  <c r="AU11" i="30"/>
  <c r="AV11" i="30"/>
  <c r="AW11" i="30"/>
  <c r="AX11" i="30"/>
  <c r="AY11" i="30"/>
  <c r="AZ11" i="30"/>
  <c r="BA11" i="30"/>
  <c r="BB11" i="30"/>
  <c r="BC11" i="30"/>
  <c r="BD11" i="30"/>
  <c r="BE11" i="30"/>
  <c r="BF11" i="30"/>
  <c r="BG11" i="30"/>
  <c r="BH11" i="30"/>
  <c r="BI11" i="30"/>
  <c r="BJ11" i="30"/>
  <c r="BK11" i="30"/>
  <c r="BL11" i="30"/>
  <c r="BM11" i="30"/>
  <c r="BN11" i="30"/>
  <c r="BO11" i="30"/>
  <c r="BP11" i="30"/>
  <c r="BQ11" i="30"/>
  <c r="BR11" i="30"/>
  <c r="BS11" i="30"/>
  <c r="BT11" i="30"/>
  <c r="BU11" i="30"/>
  <c r="BV11" i="30"/>
  <c r="BW11" i="30"/>
  <c r="BX11" i="30"/>
  <c r="BY11" i="30"/>
  <c r="BZ11" i="30"/>
  <c r="CA11" i="30"/>
  <c r="CB11" i="30"/>
  <c r="CC11" i="30"/>
  <c r="CD11" i="30"/>
  <c r="CE11" i="30"/>
  <c r="CF11" i="30"/>
  <c r="CG11" i="30"/>
  <c r="CH11" i="30"/>
  <c r="CI11" i="30"/>
  <c r="CJ11" i="30"/>
  <c r="CK11" i="30"/>
  <c r="CL11" i="30"/>
  <c r="CM11" i="30"/>
  <c r="CN11" i="30"/>
  <c r="CO11" i="30"/>
  <c r="CP11" i="30"/>
  <c r="CQ11" i="30"/>
  <c r="CR11" i="30"/>
  <c r="CS11" i="30"/>
  <c r="CT11" i="30"/>
  <c r="CU11" i="30"/>
  <c r="CV11" i="30"/>
  <c r="CW11" i="30"/>
  <c r="CX11" i="30"/>
  <c r="CY11" i="30"/>
  <c r="CZ11" i="30"/>
  <c r="DA11" i="30"/>
  <c r="DB11" i="30"/>
  <c r="DC11" i="30"/>
  <c r="DD11" i="30"/>
  <c r="DE11" i="30"/>
  <c r="DF11" i="30"/>
  <c r="DG11" i="30"/>
  <c r="DH11" i="30"/>
  <c r="DI11" i="30"/>
  <c r="DJ11" i="30"/>
  <c r="DK11" i="30"/>
  <c r="DL11" i="30"/>
  <c r="DM11" i="30"/>
  <c r="DN11" i="30"/>
  <c r="DO11" i="30"/>
  <c r="DP11" i="30"/>
  <c r="DQ11" i="30"/>
  <c r="DR11" i="30"/>
  <c r="DS11" i="30"/>
  <c r="DT11" i="30"/>
  <c r="DU11" i="30"/>
  <c r="DV11" i="30"/>
  <c r="DW11" i="30"/>
  <c r="DX11" i="30"/>
  <c r="DY11" i="30"/>
  <c r="DZ11" i="30"/>
  <c r="EA11" i="30"/>
  <c r="EB11" i="30"/>
  <c r="EC11" i="30"/>
  <c r="ED11" i="30"/>
  <c r="EE11" i="30"/>
  <c r="EF11" i="30"/>
  <c r="EG11" i="30"/>
  <c r="EH11" i="30"/>
  <c r="EI11" i="30"/>
  <c r="EJ11" i="30"/>
  <c r="EK11" i="30"/>
  <c r="EL11" i="30"/>
  <c r="EM11" i="30"/>
  <c r="EN11" i="30"/>
  <c r="EO11" i="30"/>
  <c r="EP11" i="30"/>
  <c r="EQ11" i="30"/>
  <c r="ER11" i="30"/>
  <c r="ES11" i="30"/>
  <c r="ET11" i="30"/>
  <c r="EU11" i="30"/>
  <c r="EV11" i="30"/>
  <c r="EW11" i="30"/>
  <c r="EX11" i="30"/>
  <c r="EY11" i="30"/>
  <c r="EZ11" i="30"/>
  <c r="FA11" i="30"/>
  <c r="FB11" i="30"/>
  <c r="FC11" i="30"/>
  <c r="FD11" i="30"/>
  <c r="FE11" i="30"/>
  <c r="FF11" i="30"/>
  <c r="FG11" i="30"/>
  <c r="FH11" i="30"/>
  <c r="FI11" i="30"/>
  <c r="FJ11" i="30"/>
  <c r="FK11" i="30"/>
  <c r="FL11" i="30"/>
  <c r="FM11" i="30"/>
  <c r="FN11" i="30"/>
  <c r="FO11" i="30"/>
  <c r="FP11" i="30"/>
  <c r="FQ11" i="30"/>
  <c r="FR11" i="30"/>
  <c r="FS11" i="30"/>
  <c r="FT11" i="30"/>
  <c r="FU11" i="30"/>
  <c r="FV11" i="30"/>
  <c r="FW11" i="30"/>
  <c r="FX11" i="30"/>
  <c r="FY11" i="30"/>
  <c r="FZ11" i="30"/>
  <c r="GA11" i="30"/>
  <c r="GB11" i="30"/>
  <c r="GC11" i="30"/>
  <c r="GD11" i="30"/>
  <c r="GE11" i="30"/>
  <c r="GF11" i="30"/>
  <c r="GG11" i="30"/>
  <c r="GH11" i="30"/>
  <c r="GI11" i="30"/>
  <c r="GJ11" i="30"/>
  <c r="GK11" i="30"/>
  <c r="GL11" i="30"/>
  <c r="GM11" i="30"/>
  <c r="GN11" i="30"/>
  <c r="GO11" i="30"/>
  <c r="GP11" i="30"/>
  <c r="GQ11" i="30"/>
  <c r="GR11" i="30"/>
  <c r="GS11" i="30"/>
  <c r="GT11" i="30"/>
  <c r="GU11" i="30"/>
  <c r="GV11" i="30"/>
  <c r="GW11" i="30"/>
  <c r="GX11" i="30"/>
  <c r="GY11" i="30"/>
  <c r="GZ11" i="30"/>
  <c r="HA11" i="30"/>
  <c r="HB11" i="30"/>
  <c r="HC11" i="30"/>
  <c r="HD11" i="30"/>
  <c r="HE11" i="30"/>
  <c r="HF11" i="30"/>
  <c r="HG11" i="30"/>
  <c r="HH11" i="30"/>
  <c r="HI11" i="30"/>
  <c r="HJ11" i="30"/>
  <c r="HK11" i="30"/>
  <c r="HL11" i="30"/>
  <c r="HM11" i="30"/>
  <c r="HN11" i="30"/>
  <c r="HO11" i="30"/>
  <c r="HP11" i="30"/>
  <c r="HQ11" i="30"/>
  <c r="HR11" i="30"/>
  <c r="HS11" i="30"/>
  <c r="HT11" i="30"/>
  <c r="HU11" i="30"/>
  <c r="HV11" i="30"/>
  <c r="HW11" i="30"/>
  <c r="HX11" i="30"/>
  <c r="HY11" i="30"/>
  <c r="HZ11" i="30"/>
  <c r="IA11" i="30"/>
  <c r="IB11" i="30"/>
  <c r="IC11" i="30"/>
  <c r="ID11" i="30"/>
  <c r="IE11" i="30"/>
  <c r="IF11" i="30"/>
  <c r="IG11" i="30"/>
  <c r="IH11" i="30"/>
  <c r="II11" i="30"/>
  <c r="IJ11" i="30"/>
  <c r="IK11" i="30"/>
  <c r="IL11" i="30"/>
  <c r="IM11" i="30"/>
  <c r="IN11" i="30"/>
  <c r="IO11" i="30"/>
  <c r="IP11" i="30"/>
  <c r="IQ11" i="30"/>
  <c r="IR11" i="30"/>
  <c r="IS11" i="30"/>
  <c r="IT11" i="30"/>
  <c r="IU11" i="30"/>
  <c r="IV11" i="30"/>
  <c r="A10" i="30"/>
  <c r="B10" i="30"/>
  <c r="C10" i="30"/>
  <c r="D10" i="30"/>
  <c r="E10" i="30"/>
  <c r="F10" i="30"/>
  <c r="G10" i="30"/>
  <c r="H10" i="30"/>
  <c r="I10" i="30"/>
  <c r="J10" i="30"/>
  <c r="K10" i="30"/>
  <c r="L10" i="30"/>
  <c r="M10" i="30"/>
  <c r="N10" i="30"/>
  <c r="O10" i="30"/>
  <c r="P10" i="30"/>
  <c r="Q10" i="30"/>
  <c r="R10" i="30"/>
  <c r="S10" i="30"/>
  <c r="T10" i="30"/>
  <c r="U10" i="30"/>
  <c r="V10" i="30"/>
  <c r="W10" i="30"/>
  <c r="X10" i="30"/>
  <c r="Y10" i="30"/>
  <c r="Z10" i="30"/>
  <c r="AA10" i="30"/>
  <c r="AB10" i="30"/>
  <c r="AC10" i="30"/>
  <c r="AD10" i="30"/>
  <c r="AE10" i="30"/>
  <c r="AF10" i="30"/>
  <c r="AG10" i="30"/>
  <c r="AH10" i="30"/>
  <c r="AI10" i="30"/>
  <c r="AJ10" i="30"/>
  <c r="AK10" i="30"/>
  <c r="AL10" i="30"/>
  <c r="AM10" i="30"/>
  <c r="AN10" i="30"/>
  <c r="AO10" i="30"/>
  <c r="AP10" i="30"/>
  <c r="AQ10" i="30"/>
  <c r="AR10" i="30"/>
  <c r="AS10" i="30"/>
  <c r="AT10" i="30"/>
  <c r="AU10" i="30"/>
  <c r="AV10" i="30"/>
  <c r="AW10" i="30"/>
  <c r="AX10" i="30"/>
  <c r="AY10" i="30"/>
  <c r="AZ10" i="30"/>
  <c r="BA10" i="30"/>
  <c r="BB10" i="30"/>
  <c r="BC10" i="30"/>
  <c r="BD10" i="30"/>
  <c r="BE10" i="30"/>
  <c r="BF10" i="30"/>
  <c r="BG10" i="30"/>
  <c r="BH10" i="30"/>
  <c r="BI10" i="30"/>
  <c r="BJ10" i="30"/>
  <c r="BK10" i="30"/>
  <c r="BL10" i="30"/>
  <c r="BM10" i="30"/>
  <c r="BN10" i="30"/>
  <c r="BO10" i="30"/>
  <c r="BP10" i="30"/>
  <c r="BQ10" i="30"/>
  <c r="BR10" i="30"/>
  <c r="BS10" i="30"/>
  <c r="BT10" i="30"/>
  <c r="BU10" i="30"/>
  <c r="BV10" i="30"/>
  <c r="BW10" i="30"/>
  <c r="BX10" i="30"/>
  <c r="BY10" i="30"/>
  <c r="BZ10" i="30"/>
  <c r="CA10" i="30"/>
  <c r="CB10" i="30"/>
  <c r="CC10" i="30"/>
  <c r="CD10" i="30"/>
  <c r="CE10" i="30"/>
  <c r="CF10" i="30"/>
  <c r="CG10" i="30"/>
  <c r="CH10" i="30"/>
  <c r="CI10" i="30"/>
  <c r="CJ10" i="30"/>
  <c r="CK10" i="30"/>
  <c r="CL10" i="30"/>
  <c r="CM10" i="30"/>
  <c r="CN10" i="30"/>
  <c r="CO10" i="30"/>
  <c r="CP10" i="30"/>
  <c r="CQ10" i="30"/>
  <c r="CR10" i="30"/>
  <c r="CS10" i="30"/>
  <c r="CT10" i="30"/>
  <c r="CU10" i="30"/>
  <c r="CV10" i="30"/>
  <c r="CW10" i="30"/>
  <c r="CX10" i="30"/>
  <c r="CY10" i="30"/>
  <c r="CZ10" i="30"/>
  <c r="DA10" i="30"/>
  <c r="DB10" i="30"/>
  <c r="DC10" i="30"/>
  <c r="DD10" i="30"/>
  <c r="DE10" i="30"/>
  <c r="DF10" i="30"/>
  <c r="DG10" i="30"/>
  <c r="DH10" i="30"/>
  <c r="DI10" i="30"/>
  <c r="DJ10" i="30"/>
  <c r="DK10" i="30"/>
  <c r="DL10" i="30"/>
  <c r="DM10" i="30"/>
  <c r="DN10" i="30"/>
  <c r="DO10" i="30"/>
  <c r="DP10" i="30"/>
  <c r="DQ10" i="30"/>
  <c r="DR10" i="30"/>
  <c r="DS10" i="30"/>
  <c r="DT10" i="30"/>
  <c r="DU10" i="30"/>
  <c r="DV10" i="30"/>
  <c r="DW10" i="30"/>
  <c r="DX10" i="30"/>
  <c r="DY10" i="30"/>
  <c r="DZ10" i="30"/>
  <c r="EA10" i="30"/>
  <c r="EB10" i="30"/>
  <c r="EC10" i="30"/>
  <c r="ED10" i="30"/>
  <c r="EE10" i="30"/>
  <c r="EF10" i="30"/>
  <c r="EG10" i="30"/>
  <c r="EH10" i="30"/>
  <c r="EI10" i="30"/>
  <c r="EJ10" i="30"/>
  <c r="EK10" i="30"/>
  <c r="EL10" i="30"/>
  <c r="EM10" i="30"/>
  <c r="EN10" i="30"/>
  <c r="EO10" i="30"/>
  <c r="EP10" i="30"/>
  <c r="EQ10" i="30"/>
  <c r="ER10" i="30"/>
  <c r="ES10" i="30"/>
  <c r="ET10" i="30"/>
  <c r="EU10" i="30"/>
  <c r="EV10" i="30"/>
  <c r="EW10" i="30"/>
  <c r="EX10" i="30"/>
  <c r="EY10" i="30"/>
  <c r="EZ10" i="30"/>
  <c r="FA10" i="30"/>
  <c r="FB10" i="30"/>
  <c r="FC10" i="30"/>
  <c r="FD10" i="30"/>
  <c r="FE10" i="30"/>
  <c r="FF10" i="30"/>
  <c r="FG10" i="30"/>
  <c r="FH10" i="30"/>
  <c r="FI10" i="30"/>
  <c r="FJ10" i="30"/>
  <c r="FK10" i="30"/>
  <c r="FL10" i="30"/>
  <c r="FM10" i="30"/>
  <c r="FN10" i="30"/>
  <c r="FO10" i="30"/>
  <c r="FP10" i="30"/>
  <c r="FQ10" i="30"/>
  <c r="FR10" i="30"/>
  <c r="FS10" i="30"/>
  <c r="FT10" i="30"/>
  <c r="FU10" i="30"/>
  <c r="FV10" i="30"/>
  <c r="FW10" i="30"/>
  <c r="FX10" i="30"/>
  <c r="FY10" i="30"/>
  <c r="FZ10" i="30"/>
  <c r="GA10" i="30"/>
  <c r="GB10" i="30"/>
  <c r="GC10" i="30"/>
  <c r="GD10" i="30"/>
  <c r="GE10" i="30"/>
  <c r="GF10" i="30"/>
  <c r="GG10" i="30"/>
  <c r="GH10" i="30"/>
  <c r="GI10" i="30"/>
  <c r="GJ10" i="30"/>
  <c r="GK10" i="30"/>
  <c r="GL10" i="30"/>
  <c r="GM10" i="30"/>
  <c r="GN10" i="30"/>
  <c r="GO10" i="30"/>
  <c r="GP10" i="30"/>
  <c r="GQ10" i="30"/>
  <c r="GR10" i="30"/>
  <c r="GS10" i="30"/>
  <c r="GT10" i="30"/>
  <c r="GU10" i="30"/>
  <c r="GV10" i="30"/>
  <c r="GW10" i="30"/>
  <c r="GX10" i="30"/>
  <c r="GY10" i="30"/>
  <c r="GZ10" i="30"/>
  <c r="HA10" i="30"/>
  <c r="HB10" i="30"/>
  <c r="HC10" i="30"/>
  <c r="HD10" i="30"/>
  <c r="HE10" i="30"/>
  <c r="HF10" i="30"/>
  <c r="HG10" i="30"/>
  <c r="HH10" i="30"/>
  <c r="HI10" i="30"/>
  <c r="HJ10" i="30"/>
  <c r="HK10" i="30"/>
  <c r="HL10" i="30"/>
  <c r="HM10" i="30"/>
  <c r="HN10" i="30"/>
  <c r="HO10" i="30"/>
  <c r="HP10" i="30"/>
  <c r="HQ10" i="30"/>
  <c r="HR10" i="30"/>
  <c r="HS10" i="30"/>
  <c r="HT10" i="30"/>
  <c r="HU10" i="30"/>
  <c r="HV10" i="30"/>
  <c r="HW10" i="30"/>
  <c r="HX10" i="30"/>
  <c r="HY10" i="30"/>
  <c r="HZ10" i="30"/>
  <c r="IA10" i="30"/>
  <c r="IB10" i="30"/>
  <c r="IC10" i="30"/>
  <c r="ID10" i="30"/>
  <c r="IE10" i="30"/>
  <c r="IF10" i="30"/>
  <c r="IG10" i="30"/>
  <c r="IH10" i="30"/>
  <c r="II10" i="30"/>
  <c r="IJ10" i="30"/>
  <c r="IK10" i="30"/>
  <c r="IL10" i="30"/>
  <c r="IM10" i="30"/>
  <c r="IN10" i="30"/>
  <c r="IO10" i="30"/>
  <c r="IP10" i="30"/>
  <c r="IQ10" i="30"/>
  <c r="IR10" i="30"/>
  <c r="IS10" i="30"/>
  <c r="IT10" i="30"/>
  <c r="IU10" i="30"/>
  <c r="IV10" i="30"/>
  <c r="A9" i="30"/>
  <c r="B9" i="30"/>
  <c r="C9" i="30"/>
  <c r="D9" i="30"/>
  <c r="E9" i="30"/>
  <c r="F9" i="30"/>
  <c r="G9" i="30"/>
  <c r="H9" i="30"/>
  <c r="I9" i="30"/>
  <c r="J9" i="30"/>
  <c r="K9" i="30"/>
  <c r="L9" i="30"/>
  <c r="M9" i="30"/>
  <c r="N9" i="30"/>
  <c r="O9" i="30"/>
  <c r="P9" i="30"/>
  <c r="Q9" i="30"/>
  <c r="R9" i="30"/>
  <c r="S9" i="30"/>
  <c r="T9" i="30"/>
  <c r="U9" i="30"/>
  <c r="V9" i="30"/>
  <c r="W9" i="30"/>
  <c r="X9" i="30"/>
  <c r="Y9" i="30"/>
  <c r="Z9" i="30"/>
  <c r="AA9" i="30"/>
  <c r="AB9" i="30"/>
  <c r="AC9" i="30"/>
  <c r="AD9" i="30"/>
  <c r="AE9" i="30"/>
  <c r="AF9" i="30"/>
  <c r="AG9" i="30"/>
  <c r="AH9" i="30"/>
  <c r="AI9" i="30"/>
  <c r="AJ9" i="30"/>
  <c r="AK9" i="30"/>
  <c r="AL9" i="30"/>
  <c r="AM9" i="30"/>
  <c r="AN9" i="30"/>
  <c r="AO9" i="30"/>
  <c r="AP9" i="30"/>
  <c r="AQ9" i="30"/>
  <c r="AR9" i="30"/>
  <c r="AS9" i="30"/>
  <c r="AT9" i="30"/>
  <c r="AU9" i="30"/>
  <c r="AV9" i="30"/>
  <c r="AW9" i="30"/>
  <c r="AX9" i="30"/>
  <c r="AY9" i="30"/>
  <c r="AZ9" i="30"/>
  <c r="BA9" i="30"/>
  <c r="BB9" i="30"/>
  <c r="BC9" i="30"/>
  <c r="BD9" i="30"/>
  <c r="BE9" i="30"/>
  <c r="BF9" i="30"/>
  <c r="BG9" i="30"/>
  <c r="BH9" i="30"/>
  <c r="BI9" i="30"/>
  <c r="BJ9" i="30"/>
  <c r="BK9" i="30"/>
  <c r="BL9" i="30"/>
  <c r="BM9" i="30"/>
  <c r="BN9" i="30"/>
  <c r="BO9" i="30"/>
  <c r="BP9" i="30"/>
  <c r="BQ9" i="30"/>
  <c r="BR9" i="30"/>
  <c r="BS9" i="30"/>
  <c r="BT9" i="30"/>
  <c r="BU9" i="30"/>
  <c r="BV9" i="30"/>
  <c r="BW9" i="30"/>
  <c r="BX9" i="30"/>
  <c r="BY9" i="30"/>
  <c r="BZ9" i="30"/>
  <c r="CA9" i="30"/>
  <c r="CB9" i="30"/>
  <c r="CC9" i="30"/>
  <c r="CD9" i="30"/>
  <c r="CE9" i="30"/>
  <c r="CF9" i="30"/>
  <c r="CG9" i="30"/>
  <c r="CH9" i="30"/>
  <c r="CI9" i="30"/>
  <c r="CJ9" i="30"/>
  <c r="CK9" i="30"/>
  <c r="CL9" i="30"/>
  <c r="CM9" i="30"/>
  <c r="CN9" i="30"/>
  <c r="CO9" i="30"/>
  <c r="CP9" i="30"/>
  <c r="CQ9" i="30"/>
  <c r="CR9" i="30"/>
  <c r="CS9" i="30"/>
  <c r="CT9" i="30"/>
  <c r="CU9" i="30"/>
  <c r="CV9" i="30"/>
  <c r="CW9" i="30"/>
  <c r="CX9" i="30"/>
  <c r="CY9" i="30"/>
  <c r="CZ9" i="30"/>
  <c r="DA9" i="30"/>
  <c r="DB9" i="30"/>
  <c r="DC9" i="30"/>
  <c r="DD9" i="30"/>
  <c r="DE9" i="30"/>
  <c r="DF9" i="30"/>
  <c r="DG9" i="30"/>
  <c r="DH9" i="30"/>
  <c r="DI9" i="30"/>
  <c r="DJ9" i="30"/>
  <c r="DK9" i="30"/>
  <c r="DL9" i="30"/>
  <c r="DM9" i="30"/>
  <c r="DN9" i="30"/>
  <c r="DO9" i="30"/>
  <c r="DP9" i="30"/>
  <c r="DQ9" i="30"/>
  <c r="DR9" i="30"/>
  <c r="DS9" i="30"/>
  <c r="DT9" i="30"/>
  <c r="DU9" i="30"/>
  <c r="DV9" i="30"/>
  <c r="DW9" i="30"/>
  <c r="DX9" i="30"/>
  <c r="DY9" i="30"/>
  <c r="DZ9" i="30"/>
  <c r="EA9" i="30"/>
  <c r="EB9" i="30"/>
  <c r="EC9" i="30"/>
  <c r="ED9" i="30"/>
  <c r="EE9" i="30"/>
  <c r="EF9" i="30"/>
  <c r="EG9" i="30"/>
  <c r="EH9" i="30"/>
  <c r="EI9" i="30"/>
  <c r="EJ9" i="30"/>
  <c r="EK9" i="30"/>
  <c r="EL9" i="30"/>
  <c r="EM9" i="30"/>
  <c r="EN9" i="30"/>
  <c r="EO9" i="30"/>
  <c r="EP9" i="30"/>
  <c r="EQ9" i="30"/>
  <c r="ER9" i="30"/>
  <c r="ES9" i="30"/>
  <c r="ET9" i="30"/>
  <c r="EU9" i="30"/>
  <c r="EV9" i="30"/>
  <c r="EW9" i="30"/>
  <c r="EX9" i="30"/>
  <c r="EY9" i="30"/>
  <c r="EZ9" i="30"/>
  <c r="FA9" i="30"/>
  <c r="FB9" i="30"/>
  <c r="FC9" i="30"/>
  <c r="FD9" i="30"/>
  <c r="FE9" i="30"/>
  <c r="FF9" i="30"/>
  <c r="FG9" i="30"/>
  <c r="FH9" i="30"/>
  <c r="FI9" i="30"/>
  <c r="FJ9" i="30"/>
  <c r="FK9" i="30"/>
  <c r="FL9" i="30"/>
  <c r="FM9" i="30"/>
  <c r="FN9" i="30"/>
  <c r="FO9" i="30"/>
  <c r="FP9" i="30"/>
  <c r="FQ9" i="30"/>
  <c r="FR9" i="30"/>
  <c r="FS9" i="30"/>
  <c r="FT9" i="30"/>
  <c r="FU9" i="30"/>
  <c r="FV9" i="30"/>
  <c r="FW9" i="30"/>
  <c r="FX9" i="30"/>
  <c r="FY9" i="30"/>
  <c r="FZ9" i="30"/>
  <c r="GA9" i="30"/>
  <c r="GB9" i="30"/>
  <c r="GC9" i="30"/>
  <c r="GD9" i="30"/>
  <c r="GE9" i="30"/>
  <c r="GF9" i="30"/>
  <c r="GG9" i="30"/>
  <c r="GH9" i="30"/>
  <c r="GI9" i="30"/>
  <c r="GJ9" i="30"/>
  <c r="GK9" i="30"/>
  <c r="GL9" i="30"/>
  <c r="GM9" i="30"/>
  <c r="GN9" i="30"/>
  <c r="GO9" i="30"/>
  <c r="GP9" i="30"/>
  <c r="GQ9" i="30"/>
  <c r="GR9" i="30"/>
  <c r="GS9" i="30"/>
  <c r="GT9" i="30"/>
  <c r="GU9" i="30"/>
  <c r="GV9" i="30"/>
  <c r="GW9" i="30"/>
  <c r="GX9" i="30"/>
  <c r="GY9" i="30"/>
  <c r="GZ9" i="30"/>
  <c r="HA9" i="30"/>
  <c r="HB9" i="30"/>
  <c r="HC9" i="30"/>
  <c r="HD9" i="30"/>
  <c r="HE9" i="30"/>
  <c r="HF9" i="30"/>
  <c r="HG9" i="30"/>
  <c r="HH9" i="30"/>
  <c r="HI9" i="30"/>
  <c r="HJ9" i="30"/>
  <c r="HK9" i="30"/>
  <c r="HL9" i="30"/>
  <c r="HM9" i="30"/>
  <c r="HN9" i="30"/>
  <c r="HO9" i="30"/>
  <c r="HP9" i="30"/>
  <c r="HQ9" i="30"/>
  <c r="HR9" i="30"/>
  <c r="HS9" i="30"/>
  <c r="HT9" i="30"/>
  <c r="HU9" i="30"/>
  <c r="HV9" i="30"/>
  <c r="HW9" i="30"/>
  <c r="HX9" i="30"/>
  <c r="HY9" i="30"/>
  <c r="HZ9" i="30"/>
  <c r="IA9" i="30"/>
  <c r="IB9" i="30"/>
  <c r="IC9" i="30"/>
  <c r="ID9" i="30"/>
  <c r="IE9" i="30"/>
  <c r="IF9" i="30"/>
  <c r="IG9" i="30"/>
  <c r="IH9" i="30"/>
  <c r="II9" i="30"/>
  <c r="IJ9" i="30"/>
  <c r="IK9" i="30"/>
  <c r="IL9" i="30"/>
  <c r="IM9" i="30"/>
  <c r="IN9" i="30"/>
  <c r="IO9" i="30"/>
  <c r="IP9" i="30"/>
  <c r="IQ9" i="30"/>
  <c r="IR9" i="30"/>
  <c r="IS9" i="30"/>
  <c r="IT9" i="30"/>
  <c r="IU9" i="30"/>
  <c r="IV9" i="30"/>
  <c r="A8" i="30"/>
  <c r="B8" i="30"/>
  <c r="C8" i="30"/>
  <c r="D8" i="30"/>
  <c r="E8" i="30"/>
  <c r="F8" i="30"/>
  <c r="G8" i="30"/>
  <c r="H8" i="30"/>
  <c r="I8" i="30"/>
  <c r="J8" i="30"/>
  <c r="K8" i="30"/>
  <c r="L8" i="30"/>
  <c r="M8" i="30"/>
  <c r="N8" i="30"/>
  <c r="O8" i="30"/>
  <c r="P8" i="30"/>
  <c r="Q8" i="30"/>
  <c r="R8" i="30"/>
  <c r="S8" i="30"/>
  <c r="T8" i="30"/>
  <c r="U8" i="30"/>
  <c r="V8" i="30"/>
  <c r="W8" i="30"/>
  <c r="X8" i="30"/>
  <c r="Y8" i="30"/>
  <c r="Z8" i="30"/>
  <c r="AA8" i="30"/>
  <c r="AB8" i="30"/>
  <c r="AC8" i="30"/>
  <c r="AD8" i="30"/>
  <c r="AE8" i="30"/>
  <c r="AF8" i="30"/>
  <c r="AG8" i="30"/>
  <c r="AH8" i="30"/>
  <c r="AI8" i="30"/>
  <c r="AJ8" i="30"/>
  <c r="AK8" i="30"/>
  <c r="AL8" i="30"/>
  <c r="AM8" i="30"/>
  <c r="AN8" i="30"/>
  <c r="AO8" i="30"/>
  <c r="AP8" i="30"/>
  <c r="AQ8" i="30"/>
  <c r="AR8" i="30"/>
  <c r="AS8" i="30"/>
  <c r="AT8" i="30"/>
  <c r="AU8" i="30"/>
  <c r="AV8" i="30"/>
  <c r="AW8" i="30"/>
  <c r="AX8" i="30"/>
  <c r="AY8" i="30"/>
  <c r="AZ8" i="30"/>
  <c r="BA8" i="30"/>
  <c r="BB8" i="30"/>
  <c r="BC8" i="30"/>
  <c r="BD8" i="30"/>
  <c r="BE8" i="30"/>
  <c r="BF8" i="30"/>
  <c r="BG8" i="30"/>
  <c r="BH8" i="30"/>
  <c r="BI8" i="30"/>
  <c r="BJ8" i="30"/>
  <c r="BK8" i="30"/>
  <c r="BL8" i="30"/>
  <c r="BM8" i="30"/>
  <c r="BN8" i="30"/>
  <c r="BO8" i="30"/>
  <c r="BP8" i="30"/>
  <c r="BQ8" i="30"/>
  <c r="BR8" i="30"/>
  <c r="BS8" i="30"/>
  <c r="BT8" i="30"/>
  <c r="BU8" i="30"/>
  <c r="BV8" i="30"/>
  <c r="BW8" i="30"/>
  <c r="BX8" i="30"/>
  <c r="BY8" i="30"/>
  <c r="BZ8" i="30"/>
  <c r="CA8" i="30"/>
  <c r="CB8" i="30"/>
  <c r="CC8" i="30"/>
  <c r="CD8" i="30"/>
  <c r="CE8" i="30"/>
  <c r="CF8" i="30"/>
  <c r="CG8" i="30"/>
  <c r="CH8" i="30"/>
  <c r="CI8" i="30"/>
  <c r="CJ8" i="30"/>
  <c r="CK8" i="30"/>
  <c r="CL8" i="30"/>
  <c r="CM8" i="30"/>
  <c r="CN8" i="30"/>
  <c r="CO8" i="30"/>
  <c r="CP8" i="30"/>
  <c r="CQ8" i="30"/>
  <c r="CR8" i="30"/>
  <c r="CS8" i="30"/>
  <c r="CT8" i="30"/>
  <c r="CU8" i="30"/>
  <c r="CV8" i="30"/>
  <c r="CW8" i="30"/>
  <c r="CX8" i="30"/>
  <c r="CY8" i="30"/>
  <c r="CZ8" i="30"/>
  <c r="DA8" i="30"/>
  <c r="DB8" i="30"/>
  <c r="DC8" i="30"/>
  <c r="DD8" i="30"/>
  <c r="DE8" i="30"/>
  <c r="DF8" i="30"/>
  <c r="DG8" i="30"/>
  <c r="DH8" i="30"/>
  <c r="DI8" i="30"/>
  <c r="DJ8" i="30"/>
  <c r="DK8" i="30"/>
  <c r="DL8" i="30"/>
  <c r="DM8" i="30"/>
  <c r="DN8" i="30"/>
  <c r="DO8" i="30"/>
  <c r="DP8" i="30"/>
  <c r="DQ8" i="30"/>
  <c r="DR8" i="30"/>
  <c r="DS8" i="30"/>
  <c r="DT8" i="30"/>
  <c r="DU8" i="30"/>
  <c r="DV8" i="30"/>
  <c r="DW8" i="30"/>
  <c r="DX8" i="30"/>
  <c r="DY8" i="30"/>
  <c r="DZ8" i="30"/>
  <c r="EA8" i="30"/>
  <c r="EB8" i="30"/>
  <c r="EC8" i="30"/>
  <c r="ED8" i="30"/>
  <c r="EE8" i="30"/>
  <c r="EF8" i="30"/>
  <c r="EG8" i="30"/>
  <c r="EH8" i="30"/>
  <c r="EI8" i="30"/>
  <c r="EJ8" i="30"/>
  <c r="EK8" i="30"/>
  <c r="EL8" i="30"/>
  <c r="EM8" i="30"/>
  <c r="EN8" i="30"/>
  <c r="EO8" i="30"/>
  <c r="EP8" i="30"/>
  <c r="EQ8" i="30"/>
  <c r="ER8" i="30"/>
  <c r="ES8" i="30"/>
  <c r="ET8" i="30"/>
  <c r="EU8" i="30"/>
  <c r="EV8" i="30"/>
  <c r="EW8" i="30"/>
  <c r="EX8" i="30"/>
  <c r="EY8" i="30"/>
  <c r="EZ8" i="30"/>
  <c r="FA8" i="30"/>
  <c r="FB8" i="30"/>
  <c r="FC8" i="30"/>
  <c r="FD8" i="30"/>
  <c r="FE8" i="30"/>
  <c r="FF8" i="30"/>
  <c r="FG8" i="30"/>
  <c r="FH8" i="30"/>
  <c r="FI8" i="30"/>
  <c r="FJ8" i="30"/>
  <c r="FK8" i="30"/>
  <c r="FL8" i="30"/>
  <c r="FM8" i="30"/>
  <c r="FN8" i="30"/>
  <c r="FO8" i="30"/>
  <c r="FP8" i="30"/>
  <c r="FQ8" i="30"/>
  <c r="FR8" i="30"/>
  <c r="FS8" i="30"/>
  <c r="FT8" i="30"/>
  <c r="FU8" i="30"/>
  <c r="FV8" i="30"/>
  <c r="FW8" i="30"/>
  <c r="FX8" i="30"/>
  <c r="FY8" i="30"/>
  <c r="FZ8" i="30"/>
  <c r="GA8" i="30"/>
  <c r="GB8" i="30"/>
  <c r="GC8" i="30"/>
  <c r="GD8" i="30"/>
  <c r="GE8" i="30"/>
  <c r="GF8" i="30"/>
  <c r="GG8" i="30"/>
  <c r="GH8" i="30"/>
  <c r="GI8" i="30"/>
  <c r="GJ8" i="30"/>
  <c r="GK8" i="30"/>
  <c r="GL8" i="30"/>
  <c r="GM8" i="30"/>
  <c r="GN8" i="30"/>
  <c r="GO8" i="30"/>
  <c r="GP8" i="30"/>
  <c r="GQ8" i="30"/>
  <c r="GR8" i="30"/>
  <c r="GS8" i="30"/>
  <c r="GT8" i="30"/>
  <c r="GU8" i="30"/>
  <c r="GV8" i="30"/>
  <c r="GW8" i="30"/>
  <c r="GX8" i="30"/>
  <c r="GY8" i="30"/>
  <c r="GZ8" i="30"/>
  <c r="HA8" i="30"/>
  <c r="HB8" i="30"/>
  <c r="HC8" i="30"/>
  <c r="HD8" i="30"/>
  <c r="HE8" i="30"/>
  <c r="HF8" i="30"/>
  <c r="HG8" i="30"/>
  <c r="HH8" i="30"/>
  <c r="HI8" i="30"/>
  <c r="HJ8" i="30"/>
  <c r="HK8" i="30"/>
  <c r="HL8" i="30"/>
  <c r="HM8" i="30"/>
  <c r="HN8" i="30"/>
  <c r="HO8" i="30"/>
  <c r="HP8" i="30"/>
  <c r="HQ8" i="30"/>
  <c r="HR8" i="30"/>
  <c r="HS8" i="30"/>
  <c r="HT8" i="30"/>
  <c r="HU8" i="30"/>
  <c r="HV8" i="30"/>
  <c r="HW8" i="30"/>
  <c r="HX8" i="30"/>
  <c r="HY8" i="30"/>
  <c r="HZ8" i="30"/>
  <c r="IA8" i="30"/>
  <c r="IB8" i="30"/>
  <c r="IC8" i="30"/>
  <c r="ID8" i="30"/>
  <c r="IE8" i="30"/>
  <c r="IF8" i="30"/>
  <c r="IG8" i="30"/>
  <c r="IH8" i="30"/>
  <c r="II8" i="30"/>
  <c r="IJ8" i="30"/>
  <c r="IK8" i="30"/>
  <c r="IL8" i="30"/>
  <c r="IM8" i="30"/>
  <c r="IN8" i="30"/>
  <c r="IO8" i="30"/>
  <c r="IP8" i="30"/>
  <c r="IQ8" i="30"/>
  <c r="IR8" i="30"/>
  <c r="IS8" i="30"/>
  <c r="IT8" i="30"/>
  <c r="IU8" i="30"/>
  <c r="IV8" i="30"/>
  <c r="A7" i="30"/>
  <c r="B7" i="30"/>
  <c r="C7" i="30"/>
  <c r="D7" i="30"/>
  <c r="E7" i="30"/>
  <c r="F7" i="30"/>
  <c r="G7" i="30"/>
  <c r="H7" i="30"/>
  <c r="I7" i="30"/>
  <c r="J7" i="30"/>
  <c r="K7" i="30"/>
  <c r="L7" i="30"/>
  <c r="M7" i="30"/>
  <c r="N7" i="30"/>
  <c r="O7" i="30"/>
  <c r="P7" i="30"/>
  <c r="Q7" i="30"/>
  <c r="R7" i="30"/>
  <c r="S7" i="30"/>
  <c r="T7" i="30"/>
  <c r="U7" i="30"/>
  <c r="V7" i="30"/>
  <c r="W7" i="30"/>
  <c r="X7" i="30"/>
  <c r="Y7" i="30"/>
  <c r="Z7" i="30"/>
  <c r="AA7" i="30"/>
  <c r="AB7" i="30"/>
  <c r="AC7" i="30"/>
  <c r="AD7" i="30"/>
  <c r="AE7" i="30"/>
  <c r="AF7" i="30"/>
  <c r="AG7" i="30"/>
  <c r="AH7" i="30"/>
  <c r="AI7" i="30"/>
  <c r="AJ7" i="30"/>
  <c r="AK7" i="30"/>
  <c r="AL7" i="30"/>
  <c r="AM7" i="30"/>
  <c r="AN7" i="30"/>
  <c r="AO7" i="30"/>
  <c r="AP7" i="30"/>
  <c r="AQ7" i="30"/>
  <c r="AR7" i="30"/>
  <c r="AS7" i="30"/>
  <c r="AT7" i="30"/>
  <c r="AU7" i="30"/>
  <c r="AV7" i="30"/>
  <c r="AW7" i="30"/>
  <c r="AX7" i="30"/>
  <c r="AY7" i="30"/>
  <c r="AZ7" i="30"/>
  <c r="BA7" i="30"/>
  <c r="BB7" i="30"/>
  <c r="BC7" i="30"/>
  <c r="BD7" i="30"/>
  <c r="BE7" i="30"/>
  <c r="BF7" i="30"/>
  <c r="BG7" i="30"/>
  <c r="BH7" i="30"/>
  <c r="BI7" i="30"/>
  <c r="BJ7" i="30"/>
  <c r="BK7" i="30"/>
  <c r="BL7" i="30"/>
  <c r="BM7" i="30"/>
  <c r="BN7" i="30"/>
  <c r="BO7" i="30"/>
  <c r="BP7" i="30"/>
  <c r="BQ7" i="30"/>
  <c r="BR7" i="30"/>
  <c r="BS7" i="30"/>
  <c r="BT7" i="30"/>
  <c r="BU7" i="30"/>
  <c r="BV7" i="30"/>
  <c r="BW7" i="30"/>
  <c r="BX7" i="30"/>
  <c r="BY7" i="30"/>
  <c r="BZ7" i="30"/>
  <c r="CA7" i="30"/>
  <c r="CB7" i="30"/>
  <c r="CC7" i="30"/>
  <c r="CD7" i="30"/>
  <c r="CE7" i="30"/>
  <c r="CF7" i="30"/>
  <c r="CG7" i="30"/>
  <c r="CH7" i="30"/>
  <c r="CI7" i="30"/>
  <c r="CJ7" i="30"/>
  <c r="CK7" i="30"/>
  <c r="CL7" i="30"/>
  <c r="CM7" i="30"/>
  <c r="CN7" i="30"/>
  <c r="CO7" i="30"/>
  <c r="CP7" i="30"/>
  <c r="CQ7" i="30"/>
  <c r="CR7" i="30"/>
  <c r="CS7" i="30"/>
  <c r="CT7" i="30"/>
  <c r="CU7" i="30"/>
  <c r="CV7" i="30"/>
  <c r="CW7" i="30"/>
  <c r="CX7" i="30"/>
  <c r="CY7" i="30"/>
  <c r="CZ7" i="30"/>
  <c r="DA7" i="30"/>
  <c r="DB7" i="30"/>
  <c r="DC7" i="30"/>
  <c r="DD7" i="30"/>
  <c r="DE7" i="30"/>
  <c r="DF7" i="30"/>
  <c r="DG7" i="30"/>
  <c r="DH7" i="30"/>
  <c r="DI7" i="30"/>
  <c r="DJ7" i="30"/>
  <c r="DK7" i="30"/>
  <c r="DL7" i="30"/>
  <c r="DM7" i="30"/>
  <c r="DN7" i="30"/>
  <c r="DO7" i="30"/>
  <c r="DP7" i="30"/>
  <c r="DQ7" i="30"/>
  <c r="DR7" i="30"/>
  <c r="DS7" i="30"/>
  <c r="DT7" i="30"/>
  <c r="DU7" i="30"/>
  <c r="DV7" i="30"/>
  <c r="DW7" i="30"/>
  <c r="DX7" i="30"/>
  <c r="DY7" i="30"/>
  <c r="DZ7" i="30"/>
  <c r="EA7" i="30"/>
  <c r="EB7" i="30"/>
  <c r="EC7" i="30"/>
  <c r="ED7" i="30"/>
  <c r="EE7" i="30"/>
  <c r="EF7" i="30"/>
  <c r="EG7" i="30"/>
  <c r="EH7" i="30"/>
  <c r="EI7" i="30"/>
  <c r="EJ7" i="30"/>
  <c r="EK7" i="30"/>
  <c r="EL7" i="30"/>
  <c r="EM7" i="30"/>
  <c r="EN7" i="30"/>
  <c r="EO7" i="30"/>
  <c r="EP7" i="30"/>
  <c r="EQ7" i="30"/>
  <c r="ER7" i="30"/>
  <c r="ES7" i="30"/>
  <c r="ET7" i="30"/>
  <c r="EU7" i="30"/>
  <c r="EV7" i="30"/>
  <c r="EW7" i="30"/>
  <c r="EX7" i="30"/>
  <c r="EY7" i="30"/>
  <c r="EZ7" i="30"/>
  <c r="FA7" i="30"/>
  <c r="FB7" i="30"/>
  <c r="FC7" i="30"/>
  <c r="FD7" i="30"/>
  <c r="FE7" i="30"/>
  <c r="FF7" i="30"/>
  <c r="FG7" i="30"/>
  <c r="FH7" i="30"/>
  <c r="FI7" i="30"/>
  <c r="FJ7" i="30"/>
  <c r="FK7" i="30"/>
  <c r="FL7" i="30"/>
  <c r="FM7" i="30"/>
  <c r="FN7" i="30"/>
  <c r="FO7" i="30"/>
  <c r="FP7" i="30"/>
  <c r="FQ7" i="30"/>
  <c r="FR7" i="30"/>
  <c r="FS7" i="30"/>
  <c r="FT7" i="30"/>
  <c r="FU7" i="30"/>
  <c r="FV7" i="30"/>
  <c r="FW7" i="30"/>
  <c r="FX7" i="30"/>
  <c r="FY7" i="30"/>
  <c r="FZ7" i="30"/>
  <c r="GA7" i="30"/>
  <c r="GB7" i="30"/>
  <c r="GC7" i="30"/>
  <c r="GD7" i="30"/>
  <c r="GE7" i="30"/>
  <c r="GF7" i="30"/>
  <c r="GG7" i="30"/>
  <c r="GH7" i="30"/>
  <c r="GI7" i="30"/>
  <c r="GJ7" i="30"/>
  <c r="GK7" i="30"/>
  <c r="GL7" i="30"/>
  <c r="GM7" i="30"/>
  <c r="GN7" i="30"/>
  <c r="GO7" i="30"/>
  <c r="GP7" i="30"/>
  <c r="GQ7" i="30"/>
  <c r="GR7" i="30"/>
  <c r="GS7" i="30"/>
  <c r="GT7" i="30"/>
  <c r="GU7" i="30"/>
  <c r="GV7" i="30"/>
  <c r="GW7" i="30"/>
  <c r="GX7" i="30"/>
  <c r="GY7" i="30"/>
  <c r="GZ7" i="30"/>
  <c r="HA7" i="30"/>
  <c r="HB7" i="30"/>
  <c r="HC7" i="30"/>
  <c r="HD7" i="30"/>
  <c r="HE7" i="30"/>
  <c r="HF7" i="30"/>
  <c r="HG7" i="30"/>
  <c r="HH7" i="30"/>
  <c r="HI7" i="30"/>
  <c r="HJ7" i="30"/>
  <c r="HK7" i="30"/>
  <c r="HL7" i="30"/>
  <c r="HM7" i="30"/>
  <c r="HN7" i="30"/>
  <c r="HO7" i="30"/>
  <c r="HP7" i="30"/>
  <c r="HQ7" i="30"/>
  <c r="HR7" i="30"/>
  <c r="HS7" i="30"/>
  <c r="HT7" i="30"/>
  <c r="HU7" i="30"/>
  <c r="HV7" i="30"/>
  <c r="HW7" i="30"/>
  <c r="HX7" i="30"/>
  <c r="HY7" i="30"/>
  <c r="HZ7" i="30"/>
  <c r="IA7" i="30"/>
  <c r="IB7" i="30"/>
  <c r="IC7" i="30"/>
  <c r="ID7" i="30"/>
  <c r="IE7" i="30"/>
  <c r="IF7" i="30"/>
  <c r="IG7" i="30"/>
  <c r="IH7" i="30"/>
  <c r="II7" i="30"/>
  <c r="IJ7" i="30"/>
  <c r="IK7" i="30"/>
  <c r="IL7" i="30"/>
  <c r="IM7" i="30"/>
  <c r="IN7" i="30"/>
  <c r="IO7" i="30"/>
  <c r="IP7" i="30"/>
  <c r="IQ7" i="30"/>
  <c r="IR7" i="30"/>
  <c r="IS7" i="30"/>
  <c r="IT7" i="30"/>
  <c r="IU7" i="30"/>
  <c r="IV7" i="30"/>
  <c r="A6" i="30"/>
  <c r="B6" i="30"/>
  <c r="C6" i="30"/>
  <c r="D6" i="30"/>
  <c r="E6" i="30"/>
  <c r="F6" i="30"/>
  <c r="G6" i="30"/>
  <c r="H6" i="30"/>
  <c r="I6" i="30"/>
  <c r="J6" i="30"/>
  <c r="K6" i="30"/>
  <c r="L6" i="30"/>
  <c r="M6" i="30"/>
  <c r="N6" i="30"/>
  <c r="O6" i="30"/>
  <c r="P6" i="30"/>
  <c r="Q6" i="30"/>
  <c r="R6" i="30"/>
  <c r="S6" i="30"/>
  <c r="T6" i="30"/>
  <c r="U6" i="30"/>
  <c r="V6" i="30"/>
  <c r="W6" i="30"/>
  <c r="X6" i="30"/>
  <c r="Y6" i="30"/>
  <c r="Z6" i="30"/>
  <c r="AA6" i="30"/>
  <c r="AB6" i="30"/>
  <c r="AC6" i="30"/>
  <c r="AD6" i="30"/>
  <c r="AE6" i="30"/>
  <c r="AF6" i="30"/>
  <c r="AG6" i="30"/>
  <c r="AH6" i="30"/>
  <c r="AI6" i="30"/>
  <c r="AJ6" i="30"/>
  <c r="AK6" i="30"/>
  <c r="AL6" i="30"/>
  <c r="AM6" i="30"/>
  <c r="AN6" i="30"/>
  <c r="AO6" i="30"/>
  <c r="AP6" i="30"/>
  <c r="AQ6" i="30"/>
  <c r="AR6" i="30"/>
  <c r="AS6" i="30"/>
  <c r="AT6" i="30"/>
  <c r="AU6" i="30"/>
  <c r="AV6" i="30"/>
  <c r="AW6" i="30"/>
  <c r="AX6" i="30"/>
  <c r="AY6" i="30"/>
  <c r="AZ6" i="30"/>
  <c r="BA6" i="30"/>
  <c r="BB6" i="30"/>
  <c r="BC6" i="30"/>
  <c r="BD6" i="30"/>
  <c r="BE6" i="30"/>
  <c r="BF6" i="30"/>
  <c r="BG6" i="30"/>
  <c r="BH6" i="30"/>
  <c r="BI6" i="30"/>
  <c r="BJ6" i="30"/>
  <c r="BK6" i="30"/>
  <c r="BL6" i="30"/>
  <c r="BM6" i="30"/>
  <c r="BN6" i="30"/>
  <c r="BO6" i="30"/>
  <c r="BP6" i="30"/>
  <c r="BQ6" i="30"/>
  <c r="BR6" i="30"/>
  <c r="BS6" i="30"/>
  <c r="BT6" i="30"/>
  <c r="BU6" i="30"/>
  <c r="BV6" i="30"/>
  <c r="BW6" i="30"/>
  <c r="BX6" i="30"/>
  <c r="BY6" i="30"/>
  <c r="BZ6" i="30"/>
  <c r="CA6" i="30"/>
  <c r="CB6" i="30"/>
  <c r="CC6" i="30"/>
  <c r="CD6" i="30"/>
  <c r="CE6" i="30"/>
  <c r="CF6" i="30"/>
  <c r="CG6" i="30"/>
  <c r="CH6" i="30"/>
  <c r="CI6" i="30"/>
  <c r="CJ6" i="30"/>
  <c r="CK6" i="30"/>
  <c r="CL6" i="30"/>
  <c r="CM6" i="30"/>
  <c r="CN6" i="30"/>
  <c r="CO6" i="30"/>
  <c r="CP6" i="30"/>
  <c r="CQ6" i="30"/>
  <c r="CR6" i="30"/>
  <c r="CS6" i="30"/>
  <c r="CT6" i="30"/>
  <c r="CU6" i="30"/>
  <c r="CV6" i="30"/>
  <c r="CW6" i="30"/>
  <c r="CX6" i="30"/>
  <c r="CY6" i="30"/>
  <c r="CZ6" i="30"/>
  <c r="DA6" i="30"/>
  <c r="DB6" i="30"/>
  <c r="DC6" i="30"/>
  <c r="DD6" i="30"/>
  <c r="DE6" i="30"/>
  <c r="DF6" i="30"/>
  <c r="DG6" i="30"/>
  <c r="DH6" i="30"/>
  <c r="DI6" i="30"/>
  <c r="DJ6" i="30"/>
  <c r="DK6" i="30"/>
  <c r="DL6" i="30"/>
  <c r="DM6" i="30"/>
  <c r="DN6" i="30"/>
  <c r="DO6" i="30"/>
  <c r="DP6" i="30"/>
  <c r="DQ6" i="30"/>
  <c r="DR6" i="30"/>
  <c r="DS6" i="30"/>
  <c r="DT6" i="30"/>
  <c r="DU6" i="30"/>
  <c r="DV6" i="30"/>
  <c r="DW6" i="30"/>
  <c r="DX6" i="30"/>
  <c r="DY6" i="30"/>
  <c r="DZ6" i="30"/>
  <c r="EA6" i="30"/>
  <c r="EB6" i="30"/>
  <c r="EC6" i="30"/>
  <c r="ED6" i="30"/>
  <c r="EE6" i="30"/>
  <c r="EF6" i="30"/>
  <c r="EG6" i="30"/>
  <c r="EH6" i="30"/>
  <c r="EI6" i="30"/>
  <c r="EJ6" i="30"/>
  <c r="EK6" i="30"/>
  <c r="EL6" i="30"/>
  <c r="EM6" i="30"/>
  <c r="EN6" i="30"/>
  <c r="EO6" i="30"/>
  <c r="EP6" i="30"/>
  <c r="EQ6" i="30"/>
  <c r="ER6" i="30"/>
  <c r="ES6" i="30"/>
  <c r="ET6" i="30"/>
  <c r="EU6" i="30"/>
  <c r="EV6" i="30"/>
  <c r="EW6" i="30"/>
  <c r="EX6" i="30"/>
  <c r="EY6" i="30"/>
  <c r="EZ6" i="30"/>
  <c r="FA6" i="30"/>
  <c r="FB6" i="30"/>
  <c r="FC6" i="30"/>
  <c r="FD6" i="30"/>
  <c r="FE6" i="30"/>
  <c r="FF6" i="30"/>
  <c r="FG6" i="30"/>
  <c r="FH6" i="30"/>
  <c r="FI6" i="30"/>
  <c r="FJ6" i="30"/>
  <c r="FK6" i="30"/>
  <c r="FL6" i="30"/>
  <c r="FM6" i="30"/>
  <c r="FN6" i="30"/>
  <c r="FO6" i="30"/>
  <c r="FP6" i="30"/>
  <c r="FQ6" i="30"/>
  <c r="FR6" i="30"/>
  <c r="FS6" i="30"/>
  <c r="FT6" i="30"/>
  <c r="FU6" i="30"/>
  <c r="FV6" i="30"/>
  <c r="FW6" i="30"/>
  <c r="FX6" i="30"/>
  <c r="FY6" i="30"/>
  <c r="FZ6" i="30"/>
  <c r="GA6" i="30"/>
  <c r="GB6" i="30"/>
  <c r="GC6" i="30"/>
  <c r="GD6" i="30"/>
  <c r="GE6" i="30"/>
  <c r="GF6" i="30"/>
  <c r="GG6" i="30"/>
  <c r="GH6" i="30"/>
  <c r="GI6" i="30"/>
  <c r="GJ6" i="30"/>
  <c r="GK6" i="30"/>
  <c r="GL6" i="30"/>
  <c r="GM6" i="30"/>
  <c r="GN6" i="30"/>
  <c r="GO6" i="30"/>
  <c r="GP6" i="30"/>
  <c r="GQ6" i="30"/>
  <c r="GR6" i="30"/>
  <c r="GS6" i="30"/>
  <c r="GT6" i="30"/>
  <c r="GU6" i="30"/>
  <c r="GV6" i="30"/>
  <c r="GW6" i="30"/>
  <c r="GX6" i="30"/>
  <c r="GY6" i="30"/>
  <c r="GZ6" i="30"/>
  <c r="HA6" i="30"/>
  <c r="HB6" i="30"/>
  <c r="HC6" i="30"/>
  <c r="HD6" i="30"/>
  <c r="HE6" i="30"/>
  <c r="HF6" i="30"/>
  <c r="HG6" i="30"/>
  <c r="HH6" i="30"/>
  <c r="HI6" i="30"/>
  <c r="HJ6" i="30"/>
  <c r="HK6" i="30"/>
  <c r="HL6" i="30"/>
  <c r="HM6" i="30"/>
  <c r="HN6" i="30"/>
  <c r="HO6" i="30"/>
  <c r="HP6" i="30"/>
  <c r="HQ6" i="30"/>
  <c r="HR6" i="30"/>
  <c r="HS6" i="30"/>
  <c r="HT6" i="30"/>
  <c r="HU6" i="30"/>
  <c r="HV6" i="30"/>
  <c r="HW6" i="30"/>
  <c r="HX6" i="30"/>
  <c r="HY6" i="30"/>
  <c r="HZ6" i="30"/>
  <c r="IA6" i="30"/>
  <c r="IB6" i="30"/>
  <c r="IC6" i="30"/>
  <c r="ID6" i="30"/>
  <c r="IE6" i="30"/>
  <c r="IF6" i="30"/>
  <c r="IG6" i="30"/>
  <c r="IH6" i="30"/>
  <c r="II6" i="30"/>
  <c r="IJ6" i="30"/>
  <c r="IK6" i="30"/>
  <c r="IL6" i="30"/>
  <c r="IM6" i="30"/>
  <c r="IN6" i="30"/>
  <c r="IO6" i="30"/>
  <c r="IP6" i="30"/>
  <c r="IQ6" i="30"/>
  <c r="IR6" i="30"/>
  <c r="IS6" i="30"/>
  <c r="IT6" i="30"/>
  <c r="IU6" i="30"/>
  <c r="IV6" i="30"/>
  <c r="A5" i="30"/>
  <c r="B5" i="30"/>
  <c r="C5" i="30"/>
  <c r="D5" i="30"/>
  <c r="E5" i="30"/>
  <c r="F5" i="30"/>
  <c r="G5" i="30"/>
  <c r="H5" i="30"/>
  <c r="I5" i="30"/>
  <c r="J5" i="30"/>
  <c r="K5" i="30"/>
  <c r="L5" i="30"/>
  <c r="M5" i="30"/>
  <c r="N5" i="30"/>
  <c r="O5" i="30"/>
  <c r="P5" i="30"/>
  <c r="Q5" i="30"/>
  <c r="R5" i="30"/>
  <c r="S5" i="30"/>
  <c r="T5" i="30"/>
  <c r="U5" i="30"/>
  <c r="V5" i="30"/>
  <c r="W5" i="30"/>
  <c r="X5" i="30"/>
  <c r="Y5" i="30"/>
  <c r="Z5" i="30"/>
  <c r="AA5" i="30"/>
  <c r="AB5" i="30"/>
  <c r="AC5" i="30"/>
  <c r="AD5" i="30"/>
  <c r="AE5" i="30"/>
  <c r="AF5" i="30"/>
  <c r="AG5" i="30"/>
  <c r="AH5" i="30"/>
  <c r="AI5" i="30"/>
  <c r="AJ5" i="30"/>
  <c r="AK5" i="30"/>
  <c r="AL5" i="30"/>
  <c r="AM5" i="30"/>
  <c r="AN5" i="30"/>
  <c r="AO5" i="30"/>
  <c r="AP5" i="30"/>
  <c r="AQ5" i="30"/>
  <c r="AR5" i="30"/>
  <c r="AS5" i="30"/>
  <c r="AT5" i="30"/>
  <c r="AU5" i="30"/>
  <c r="AV5" i="30"/>
  <c r="AW5" i="30"/>
  <c r="AX5" i="30"/>
  <c r="AY5" i="30"/>
  <c r="AZ5" i="30"/>
  <c r="BA5" i="30"/>
  <c r="BB5" i="30"/>
  <c r="BC5" i="30"/>
  <c r="BD5" i="30"/>
  <c r="BE5" i="30"/>
  <c r="BF5" i="30"/>
  <c r="BG5" i="30"/>
  <c r="BH5" i="30"/>
  <c r="BI5" i="30"/>
  <c r="BJ5" i="30"/>
  <c r="BK5" i="30"/>
  <c r="BL5" i="30"/>
  <c r="BM5" i="30"/>
  <c r="BN5" i="30"/>
  <c r="BO5" i="30"/>
  <c r="BP5" i="30"/>
  <c r="BQ5" i="30"/>
  <c r="BR5" i="30"/>
  <c r="BS5" i="30"/>
  <c r="BT5" i="30"/>
  <c r="BU5" i="30"/>
  <c r="BV5" i="30"/>
  <c r="BW5" i="30"/>
  <c r="BX5" i="30"/>
  <c r="BY5" i="30"/>
  <c r="BZ5" i="30"/>
  <c r="CA5" i="30"/>
  <c r="CB5" i="30"/>
  <c r="CC5" i="30"/>
  <c r="CD5" i="30"/>
  <c r="CE5" i="30"/>
  <c r="CF5" i="30"/>
  <c r="CG5" i="30"/>
  <c r="CH5" i="30"/>
  <c r="CI5" i="30"/>
  <c r="CJ5" i="30"/>
  <c r="CK5" i="30"/>
  <c r="CL5" i="30"/>
  <c r="CM5" i="30"/>
  <c r="CN5" i="30"/>
  <c r="CO5" i="30"/>
  <c r="CP5" i="30"/>
  <c r="CQ5" i="30"/>
  <c r="CR5" i="30"/>
  <c r="CS5" i="30"/>
  <c r="CT5" i="30"/>
  <c r="CU5" i="30"/>
  <c r="CV5" i="30"/>
  <c r="CW5" i="30"/>
  <c r="CX5" i="30"/>
  <c r="CY5" i="30"/>
  <c r="CZ5" i="30"/>
  <c r="DA5" i="30"/>
  <c r="DB5" i="30"/>
  <c r="DC5" i="30"/>
  <c r="DD5" i="30"/>
  <c r="DE5" i="30"/>
  <c r="DF5" i="30"/>
  <c r="DG5" i="30"/>
  <c r="DH5" i="30"/>
  <c r="DI5" i="30"/>
  <c r="DJ5" i="30"/>
  <c r="DK5" i="30"/>
  <c r="DL5" i="30"/>
  <c r="DM5" i="30"/>
  <c r="DN5" i="30"/>
  <c r="DO5" i="30"/>
  <c r="DP5" i="30"/>
  <c r="DQ5" i="30"/>
  <c r="DR5" i="30"/>
  <c r="DS5" i="30"/>
  <c r="DT5" i="30"/>
  <c r="DU5" i="30"/>
  <c r="DV5" i="30"/>
  <c r="DW5" i="30"/>
  <c r="DX5" i="30"/>
  <c r="DY5" i="30"/>
  <c r="DZ5" i="30"/>
  <c r="EA5" i="30"/>
  <c r="EB5" i="30"/>
  <c r="EC5" i="30"/>
  <c r="ED5" i="30"/>
  <c r="EE5" i="30"/>
  <c r="EF5" i="30"/>
  <c r="EG5" i="30"/>
  <c r="EH5" i="30"/>
  <c r="EI5" i="30"/>
  <c r="EJ5" i="30"/>
  <c r="EK5" i="30"/>
  <c r="EL5" i="30"/>
  <c r="EM5" i="30"/>
  <c r="EN5" i="30"/>
  <c r="EO5" i="30"/>
  <c r="EP5" i="30"/>
  <c r="EQ5" i="30"/>
  <c r="ER5" i="30"/>
  <c r="ES5" i="30"/>
  <c r="ET5" i="30"/>
  <c r="EU5" i="30"/>
  <c r="EV5" i="30"/>
  <c r="EW5" i="30"/>
  <c r="EX5" i="30"/>
  <c r="EY5" i="30"/>
  <c r="EZ5" i="30"/>
  <c r="FA5" i="30"/>
  <c r="FB5" i="30"/>
  <c r="FC5" i="30"/>
  <c r="FD5" i="30"/>
  <c r="FE5" i="30"/>
  <c r="FF5" i="30"/>
  <c r="FG5" i="30"/>
  <c r="FH5" i="30"/>
  <c r="FI5" i="30"/>
  <c r="FJ5" i="30"/>
  <c r="FK5" i="30"/>
  <c r="FL5" i="30"/>
  <c r="FM5" i="30"/>
  <c r="FN5" i="30"/>
  <c r="FO5" i="30"/>
  <c r="FP5" i="30"/>
  <c r="FQ5" i="30"/>
  <c r="FR5" i="30"/>
  <c r="FS5" i="30"/>
  <c r="FT5" i="30"/>
  <c r="FU5" i="30"/>
  <c r="FV5" i="30"/>
  <c r="FW5" i="30"/>
  <c r="FX5" i="30"/>
  <c r="FY5" i="30"/>
  <c r="FZ5" i="30"/>
  <c r="GA5" i="30"/>
  <c r="GB5" i="30"/>
  <c r="GC5" i="30"/>
  <c r="GD5" i="30"/>
  <c r="GE5" i="30"/>
  <c r="GF5" i="30"/>
  <c r="GG5" i="30"/>
  <c r="GH5" i="30"/>
  <c r="GI5" i="30"/>
  <c r="GJ5" i="30"/>
  <c r="GK5" i="30"/>
  <c r="GL5" i="30"/>
  <c r="GM5" i="30"/>
  <c r="GN5" i="30"/>
  <c r="GO5" i="30"/>
  <c r="GP5" i="30"/>
  <c r="GQ5" i="30"/>
  <c r="GR5" i="30"/>
  <c r="GS5" i="30"/>
  <c r="GT5" i="30"/>
  <c r="GU5" i="30"/>
  <c r="GV5" i="30"/>
  <c r="GW5" i="30"/>
  <c r="GX5" i="30"/>
  <c r="GY5" i="30"/>
  <c r="GZ5" i="30"/>
  <c r="HA5" i="30"/>
  <c r="HB5" i="30"/>
  <c r="HC5" i="30"/>
  <c r="HD5" i="30"/>
  <c r="HE5" i="30"/>
  <c r="HF5" i="30"/>
  <c r="HG5" i="30"/>
  <c r="HH5" i="30"/>
  <c r="HI5" i="30"/>
  <c r="HJ5" i="30"/>
  <c r="HK5" i="30"/>
  <c r="HL5" i="30"/>
  <c r="HM5" i="30"/>
  <c r="HN5" i="30"/>
  <c r="HO5" i="30"/>
  <c r="HP5" i="30"/>
  <c r="HQ5" i="30"/>
  <c r="HR5" i="30"/>
  <c r="HS5" i="30"/>
  <c r="HT5" i="30"/>
  <c r="HU5" i="30"/>
  <c r="HV5" i="30"/>
  <c r="HW5" i="30"/>
  <c r="HX5" i="30"/>
  <c r="HY5" i="30"/>
  <c r="HZ5" i="30"/>
  <c r="IA5" i="30"/>
  <c r="IB5" i="30"/>
  <c r="IC5" i="30"/>
  <c r="ID5" i="30"/>
  <c r="IE5" i="30"/>
  <c r="IF5" i="30"/>
  <c r="IG5" i="30"/>
  <c r="IH5" i="30"/>
  <c r="II5" i="30"/>
  <c r="IJ5" i="30"/>
  <c r="IK5" i="30"/>
  <c r="IL5" i="30"/>
  <c r="IM5" i="30"/>
  <c r="IN5" i="30"/>
  <c r="IO5" i="30"/>
  <c r="IP5" i="30"/>
  <c r="IQ5" i="30"/>
  <c r="IR5" i="30"/>
  <c r="IS5" i="30"/>
  <c r="IT5" i="30"/>
  <c r="IU5" i="30"/>
  <c r="IV5" i="30"/>
  <c r="A4" i="30"/>
  <c r="B4" i="30"/>
  <c r="C4" i="30"/>
  <c r="D4" i="30"/>
  <c r="E4" i="30"/>
  <c r="F4" i="30"/>
  <c r="G4" i="30"/>
  <c r="H4" i="30"/>
  <c r="I4" i="30"/>
  <c r="J4" i="30"/>
  <c r="K4" i="30"/>
  <c r="L4" i="30"/>
  <c r="M4" i="30"/>
  <c r="N4" i="30"/>
  <c r="O4" i="30"/>
  <c r="P4" i="30"/>
  <c r="Q4" i="30"/>
  <c r="R4" i="30"/>
  <c r="S4" i="30"/>
  <c r="T4" i="30"/>
  <c r="U4" i="30"/>
  <c r="V4" i="30"/>
  <c r="W4" i="30"/>
  <c r="X4" i="30"/>
  <c r="Y4" i="30"/>
  <c r="Z4" i="30"/>
  <c r="AA4" i="30"/>
  <c r="AB4" i="30"/>
  <c r="AC4" i="30"/>
  <c r="AD4" i="30"/>
  <c r="AE4" i="30"/>
  <c r="AF4" i="30"/>
  <c r="AG4" i="30"/>
  <c r="AH4" i="30"/>
  <c r="AI4" i="30"/>
  <c r="AJ4" i="30"/>
  <c r="AK4" i="30"/>
  <c r="AL4" i="30"/>
  <c r="AM4" i="30"/>
  <c r="AN4" i="30"/>
  <c r="AO4" i="30"/>
  <c r="AP4" i="30"/>
  <c r="AQ4" i="30"/>
  <c r="AR4" i="30"/>
  <c r="AS4" i="30"/>
  <c r="AT4" i="30"/>
  <c r="AU4" i="30"/>
  <c r="AV4" i="30"/>
  <c r="AW4" i="30"/>
  <c r="AX4" i="30"/>
  <c r="AY4" i="30"/>
  <c r="AZ4" i="30"/>
  <c r="BA4" i="30"/>
  <c r="BB4" i="30"/>
  <c r="BC4" i="30"/>
  <c r="BD4" i="30"/>
  <c r="BE4" i="30"/>
  <c r="BF4" i="30"/>
  <c r="BG4" i="30"/>
  <c r="BH4" i="30"/>
  <c r="BI4" i="30"/>
  <c r="BJ4" i="30"/>
  <c r="BK4" i="30"/>
  <c r="BL4" i="30"/>
  <c r="BM4" i="30"/>
  <c r="BN4" i="30"/>
  <c r="BO4" i="30"/>
  <c r="BP4" i="30"/>
  <c r="BQ4" i="30"/>
  <c r="BR4" i="30"/>
  <c r="BS4" i="30"/>
  <c r="BT4" i="30"/>
  <c r="BU4" i="30"/>
  <c r="BV4" i="30"/>
  <c r="BW4" i="30"/>
  <c r="BX4" i="30"/>
  <c r="BY4" i="30"/>
  <c r="BZ4" i="30"/>
  <c r="CA4" i="30"/>
  <c r="CB4" i="30"/>
  <c r="CC4" i="30"/>
  <c r="CD4" i="30"/>
  <c r="CE4" i="30"/>
  <c r="CF4" i="30"/>
  <c r="CG4" i="30"/>
  <c r="CH4" i="30"/>
  <c r="CI4" i="30"/>
  <c r="CJ4" i="30"/>
  <c r="CK4" i="30"/>
  <c r="CL4" i="30"/>
  <c r="CM4" i="30"/>
  <c r="CN4" i="30"/>
  <c r="CO4" i="30"/>
  <c r="CP4" i="30"/>
  <c r="CQ4" i="30"/>
  <c r="CR4" i="30"/>
  <c r="CS4" i="30"/>
  <c r="CT4" i="30"/>
  <c r="CU4" i="30"/>
  <c r="CV4" i="30"/>
  <c r="CW4" i="30"/>
  <c r="CX4" i="30"/>
  <c r="CY4" i="30"/>
  <c r="CZ4" i="30"/>
  <c r="DA4" i="30"/>
  <c r="DB4" i="30"/>
  <c r="DC4" i="30"/>
  <c r="DD4" i="30"/>
  <c r="DE4" i="30"/>
  <c r="DF4" i="30"/>
  <c r="DG4" i="30"/>
  <c r="DH4" i="30"/>
  <c r="DI4" i="30"/>
  <c r="DJ4" i="30"/>
  <c r="DK4" i="30"/>
  <c r="DL4" i="30"/>
  <c r="DM4" i="30"/>
  <c r="DN4" i="30"/>
  <c r="DO4" i="30"/>
  <c r="DP4" i="30"/>
  <c r="DQ4" i="30"/>
  <c r="DR4" i="30"/>
  <c r="DS4" i="30"/>
  <c r="DT4" i="30"/>
  <c r="DU4" i="30"/>
  <c r="DV4" i="30"/>
  <c r="DW4" i="30"/>
  <c r="DX4" i="30"/>
  <c r="DY4" i="30"/>
  <c r="DZ4" i="30"/>
  <c r="EA4" i="30"/>
  <c r="EB4" i="30"/>
  <c r="EC4" i="30"/>
  <c r="ED4" i="30"/>
  <c r="EE4" i="30"/>
  <c r="EF4" i="30"/>
  <c r="EG4" i="30"/>
  <c r="EH4" i="30"/>
  <c r="EI4" i="30"/>
  <c r="EJ4" i="30"/>
  <c r="EK4" i="30"/>
  <c r="EL4" i="30"/>
  <c r="EM4" i="30"/>
  <c r="EN4" i="30"/>
  <c r="EO4" i="30"/>
  <c r="EP4" i="30"/>
  <c r="EQ4" i="30"/>
  <c r="ER4" i="30"/>
  <c r="ES4" i="30"/>
  <c r="ET4" i="30"/>
  <c r="EU4" i="30"/>
  <c r="EV4" i="30"/>
  <c r="EW4" i="30"/>
  <c r="EX4" i="30"/>
  <c r="EY4" i="30"/>
  <c r="EZ4" i="30"/>
  <c r="FA4" i="30"/>
  <c r="FB4" i="30"/>
  <c r="FC4" i="30"/>
  <c r="FD4" i="30"/>
  <c r="FE4" i="30"/>
  <c r="FF4" i="30"/>
  <c r="FG4" i="30"/>
  <c r="FH4" i="30"/>
  <c r="FI4" i="30"/>
  <c r="FJ4" i="30"/>
  <c r="FK4" i="30"/>
  <c r="FL4" i="30"/>
  <c r="FM4" i="30"/>
  <c r="FN4" i="30"/>
  <c r="FO4" i="30"/>
  <c r="FP4" i="30"/>
  <c r="FQ4" i="30"/>
  <c r="FR4" i="30"/>
  <c r="FS4" i="30"/>
  <c r="FT4" i="30"/>
  <c r="FU4" i="30"/>
  <c r="FV4" i="30"/>
  <c r="FW4" i="30"/>
  <c r="FX4" i="30"/>
  <c r="FY4" i="30"/>
  <c r="FZ4" i="30"/>
  <c r="GA4" i="30"/>
  <c r="GB4" i="30"/>
  <c r="GC4" i="30"/>
  <c r="GD4" i="30"/>
  <c r="GE4" i="30"/>
  <c r="GF4" i="30"/>
  <c r="GG4" i="30"/>
  <c r="GH4" i="30"/>
  <c r="GI4" i="30"/>
  <c r="GJ4" i="30"/>
  <c r="GK4" i="30"/>
  <c r="GL4" i="30"/>
  <c r="GM4" i="30"/>
  <c r="GN4" i="30"/>
  <c r="GO4" i="30"/>
  <c r="GP4" i="30"/>
  <c r="GQ4" i="30"/>
  <c r="GR4" i="30"/>
  <c r="GS4" i="30"/>
  <c r="GT4" i="30"/>
  <c r="GU4" i="30"/>
  <c r="GV4" i="30"/>
  <c r="GW4" i="30"/>
  <c r="GX4" i="30"/>
  <c r="GY4" i="30"/>
  <c r="GZ4" i="30"/>
  <c r="HA4" i="30"/>
  <c r="HB4" i="30"/>
  <c r="HC4" i="30"/>
  <c r="HD4" i="30"/>
  <c r="HE4" i="30"/>
  <c r="HF4" i="30"/>
  <c r="HG4" i="30"/>
  <c r="HH4" i="30"/>
  <c r="HI4" i="30"/>
  <c r="HJ4" i="30"/>
  <c r="HK4" i="30"/>
  <c r="HL4" i="30"/>
  <c r="HM4" i="30"/>
  <c r="HN4" i="30"/>
  <c r="HO4" i="30"/>
  <c r="HP4" i="30"/>
  <c r="HQ4" i="30"/>
  <c r="HR4" i="30"/>
  <c r="HS4" i="30"/>
  <c r="HT4" i="30"/>
  <c r="HU4" i="30"/>
  <c r="HV4" i="30"/>
  <c r="HW4" i="30"/>
  <c r="HX4" i="30"/>
  <c r="HY4" i="30"/>
  <c r="HZ4" i="30"/>
  <c r="IA4" i="30"/>
  <c r="IB4" i="30"/>
  <c r="IC4" i="30"/>
  <c r="ID4" i="30"/>
  <c r="IE4" i="30"/>
  <c r="IF4" i="30"/>
  <c r="IG4" i="30"/>
  <c r="IH4" i="30"/>
  <c r="II4" i="30"/>
  <c r="IJ4" i="30"/>
  <c r="IK4" i="30"/>
  <c r="IL4" i="30"/>
  <c r="IM4" i="30"/>
  <c r="IN4" i="30"/>
  <c r="IO4" i="30"/>
  <c r="IP4" i="30"/>
  <c r="IQ4" i="30"/>
  <c r="IR4" i="30"/>
  <c r="IS4" i="30"/>
  <c r="IT4" i="30"/>
  <c r="IU4" i="30"/>
  <c r="IV4" i="30"/>
  <c r="A3" i="30"/>
  <c r="B3" i="30"/>
  <c r="C3" i="30"/>
  <c r="D3" i="30"/>
  <c r="E3" i="30"/>
  <c r="F3" i="30"/>
  <c r="G3" i="30"/>
  <c r="H3" i="30"/>
  <c r="I3" i="30"/>
  <c r="J3" i="30"/>
  <c r="K3" i="30"/>
  <c r="L3" i="30"/>
  <c r="M3" i="30"/>
  <c r="N3" i="30"/>
  <c r="O3" i="30"/>
  <c r="P3" i="30"/>
  <c r="Q3" i="30"/>
  <c r="R3" i="30"/>
  <c r="S3" i="30"/>
  <c r="T3" i="30"/>
  <c r="U3" i="30"/>
  <c r="V3" i="30"/>
  <c r="W3" i="30"/>
  <c r="X3" i="30"/>
  <c r="Y3" i="30"/>
  <c r="Z3" i="30"/>
  <c r="AA3" i="30"/>
  <c r="AB3" i="30"/>
  <c r="AC3" i="30"/>
  <c r="AD3" i="30"/>
  <c r="AE3" i="30"/>
  <c r="AF3" i="30"/>
  <c r="AG3" i="30"/>
  <c r="AH3" i="30"/>
  <c r="AI3" i="30"/>
  <c r="AJ3" i="30"/>
  <c r="AK3" i="30"/>
  <c r="AL3" i="30"/>
  <c r="AM3" i="30"/>
  <c r="AN3" i="30"/>
  <c r="AO3" i="30"/>
  <c r="AP3" i="30"/>
  <c r="AQ3" i="30"/>
  <c r="AR3" i="30"/>
  <c r="AS3" i="30"/>
  <c r="AT3" i="30"/>
  <c r="AU3" i="30"/>
  <c r="AV3" i="30"/>
  <c r="AW3" i="30"/>
  <c r="AX3" i="30"/>
  <c r="AY3" i="30"/>
  <c r="AZ3" i="30"/>
  <c r="BA3" i="30"/>
  <c r="BB3" i="30"/>
  <c r="BC3" i="30"/>
  <c r="BD3" i="30"/>
  <c r="BE3" i="30"/>
  <c r="BF3" i="30"/>
  <c r="BG3" i="30"/>
  <c r="BH3" i="30"/>
  <c r="BI3" i="30"/>
  <c r="BJ3" i="30"/>
  <c r="BK3" i="30"/>
  <c r="BL3" i="30"/>
  <c r="BM3" i="30"/>
  <c r="BN3" i="30"/>
  <c r="BO3" i="30"/>
  <c r="BP3" i="30"/>
  <c r="BQ3" i="30"/>
  <c r="BR3" i="30"/>
  <c r="BS3" i="30"/>
  <c r="BT3" i="30"/>
  <c r="BU3" i="30"/>
  <c r="BV3" i="30"/>
  <c r="BW3" i="30"/>
  <c r="BX3" i="30"/>
  <c r="BY3" i="30"/>
  <c r="BZ3" i="30"/>
  <c r="CA3" i="30"/>
  <c r="CB3" i="30"/>
  <c r="CC3" i="30"/>
  <c r="CD3" i="30"/>
  <c r="CE3" i="30"/>
  <c r="CF3" i="30"/>
  <c r="CG3" i="30"/>
  <c r="CH3" i="30"/>
  <c r="CI3" i="30"/>
  <c r="CJ3" i="30"/>
  <c r="CK3" i="30"/>
  <c r="CL3" i="30"/>
  <c r="CM3" i="30"/>
  <c r="CN3" i="30"/>
  <c r="CO3" i="30"/>
  <c r="CP3" i="30"/>
  <c r="CQ3" i="30"/>
  <c r="CR3" i="30"/>
  <c r="CS3" i="30"/>
  <c r="CT3" i="30"/>
  <c r="CU3" i="30"/>
  <c r="CV3" i="30"/>
  <c r="CW3" i="30"/>
  <c r="CX3" i="30"/>
  <c r="CY3" i="30"/>
  <c r="CZ3" i="30"/>
  <c r="DA3" i="30"/>
  <c r="DB3" i="30"/>
  <c r="DC3" i="30"/>
  <c r="DD3" i="30"/>
  <c r="DE3" i="30"/>
  <c r="DF3" i="30"/>
  <c r="DG3" i="30"/>
  <c r="DH3" i="30"/>
  <c r="DI3" i="30"/>
  <c r="DJ3" i="30"/>
  <c r="DK3" i="30"/>
  <c r="DL3" i="30"/>
  <c r="DM3" i="30"/>
  <c r="DN3" i="30"/>
  <c r="DO3" i="30"/>
  <c r="DP3" i="30"/>
  <c r="DQ3" i="30"/>
  <c r="DR3" i="30"/>
  <c r="DS3" i="30"/>
  <c r="DT3" i="30"/>
  <c r="DU3" i="30"/>
  <c r="DV3" i="30"/>
  <c r="DW3" i="30"/>
  <c r="DX3" i="30"/>
  <c r="DY3" i="30"/>
  <c r="DZ3" i="30"/>
  <c r="EA3" i="30"/>
  <c r="EB3" i="30"/>
  <c r="EC3" i="30"/>
  <c r="ED3" i="30"/>
  <c r="EE3" i="30"/>
  <c r="EF3" i="30"/>
  <c r="EG3" i="30"/>
  <c r="EH3" i="30"/>
  <c r="EI3" i="30"/>
  <c r="EJ3" i="30"/>
  <c r="EK3" i="30"/>
  <c r="EL3" i="30"/>
  <c r="EM3" i="30"/>
  <c r="EN3" i="30"/>
  <c r="EO3" i="30"/>
  <c r="EP3" i="30"/>
  <c r="EQ3" i="30"/>
  <c r="ER3" i="30"/>
  <c r="ES3" i="30"/>
  <c r="ET3" i="30"/>
  <c r="EU3" i="30"/>
  <c r="EV3" i="30"/>
  <c r="EW3" i="30"/>
  <c r="EX3" i="30"/>
  <c r="EY3" i="30"/>
  <c r="EZ3" i="30"/>
  <c r="FA3" i="30"/>
  <c r="FB3" i="30"/>
  <c r="FC3" i="30"/>
  <c r="FD3" i="30"/>
  <c r="FE3" i="30"/>
  <c r="FF3" i="30"/>
  <c r="FG3" i="30"/>
  <c r="FH3" i="30"/>
  <c r="FI3" i="30"/>
  <c r="FJ3" i="30"/>
  <c r="FK3" i="30"/>
  <c r="FL3" i="30"/>
  <c r="FM3" i="30"/>
  <c r="FN3" i="30"/>
  <c r="FO3" i="30"/>
  <c r="FP3" i="30"/>
  <c r="FQ3" i="30"/>
  <c r="FR3" i="30"/>
  <c r="FS3" i="30"/>
  <c r="FT3" i="30"/>
  <c r="FU3" i="30"/>
  <c r="FV3" i="30"/>
  <c r="FW3" i="30"/>
  <c r="FX3" i="30"/>
  <c r="FY3" i="30"/>
  <c r="FZ3" i="30"/>
  <c r="GA3" i="30"/>
  <c r="GB3" i="30"/>
  <c r="GC3" i="30"/>
  <c r="GD3" i="30"/>
  <c r="GE3" i="30"/>
  <c r="GF3" i="30"/>
  <c r="GG3" i="30"/>
  <c r="GH3" i="30"/>
  <c r="GI3" i="30"/>
  <c r="GJ3" i="30"/>
  <c r="GK3" i="30"/>
  <c r="GL3" i="30"/>
  <c r="GM3" i="30"/>
  <c r="GN3" i="30"/>
  <c r="GO3" i="30"/>
  <c r="GP3" i="30"/>
  <c r="GQ3" i="30"/>
  <c r="GR3" i="30"/>
  <c r="GS3" i="30"/>
  <c r="GT3" i="30"/>
  <c r="GU3" i="30"/>
  <c r="GV3" i="30"/>
  <c r="GW3" i="30"/>
  <c r="GX3" i="30"/>
  <c r="GY3" i="30"/>
  <c r="GZ3" i="30"/>
  <c r="HA3" i="30"/>
  <c r="HB3" i="30"/>
  <c r="HC3" i="30"/>
  <c r="HD3" i="30"/>
  <c r="HE3" i="30"/>
  <c r="HF3" i="30"/>
  <c r="HG3" i="30"/>
  <c r="HH3" i="30"/>
  <c r="HI3" i="30"/>
  <c r="HJ3" i="30"/>
  <c r="HK3" i="30"/>
  <c r="HL3" i="30"/>
  <c r="HM3" i="30"/>
  <c r="HN3" i="30"/>
  <c r="HO3" i="30"/>
  <c r="HP3" i="30"/>
  <c r="HQ3" i="30"/>
  <c r="HR3" i="30"/>
  <c r="HS3" i="30"/>
  <c r="HT3" i="30"/>
  <c r="HU3" i="30"/>
  <c r="HV3" i="30"/>
  <c r="HW3" i="30"/>
  <c r="HX3" i="30"/>
  <c r="HY3" i="30"/>
  <c r="HZ3" i="30"/>
  <c r="IA3" i="30"/>
  <c r="IB3" i="30"/>
  <c r="IC3" i="30"/>
  <c r="ID3" i="30"/>
  <c r="IE3" i="30"/>
  <c r="IF3" i="30"/>
  <c r="IG3" i="30"/>
  <c r="IH3" i="30"/>
  <c r="II3" i="30"/>
  <c r="IJ3" i="30"/>
  <c r="IK3" i="30"/>
  <c r="IL3" i="30"/>
  <c r="IM3" i="30"/>
  <c r="IN3" i="30"/>
  <c r="IO3" i="30"/>
  <c r="IP3" i="30"/>
  <c r="IQ3" i="30"/>
  <c r="IR3" i="30"/>
  <c r="IS3" i="30"/>
  <c r="IT3" i="30"/>
  <c r="IU3" i="30"/>
  <c r="IV3" i="30"/>
  <c r="A2" i="30"/>
  <c r="B2" i="30"/>
  <c r="C2" i="30"/>
  <c r="D2" i="30"/>
  <c r="E2" i="30"/>
  <c r="F2" i="30"/>
  <c r="G2" i="30"/>
  <c r="H2" i="30"/>
  <c r="I2" i="30"/>
  <c r="J2" i="30"/>
  <c r="K2" i="30"/>
  <c r="L2" i="30"/>
  <c r="M2" i="30"/>
  <c r="N2" i="30"/>
  <c r="O2" i="30"/>
  <c r="P2" i="30"/>
  <c r="Q2" i="30"/>
  <c r="R2" i="30"/>
  <c r="S2" i="30"/>
  <c r="T2" i="30"/>
  <c r="U2" i="30"/>
  <c r="V2" i="30"/>
  <c r="W2" i="30"/>
  <c r="X2" i="30"/>
  <c r="Y2" i="30"/>
  <c r="Z2" i="30"/>
  <c r="AA2" i="30"/>
  <c r="AB2" i="30"/>
  <c r="AC2" i="30"/>
  <c r="AD2" i="30"/>
  <c r="AE2" i="30"/>
  <c r="AF2" i="30"/>
  <c r="AG2" i="30"/>
  <c r="AH2" i="30"/>
  <c r="AI2" i="30"/>
  <c r="AJ2" i="30"/>
  <c r="AK2" i="30"/>
  <c r="AL2" i="30"/>
  <c r="AM2" i="30"/>
  <c r="AN2" i="30"/>
  <c r="AO2" i="30"/>
  <c r="AP2" i="30"/>
  <c r="AQ2" i="30"/>
  <c r="AR2" i="30"/>
  <c r="AS2" i="30"/>
  <c r="AT2" i="30"/>
  <c r="AU2" i="30"/>
  <c r="AV2" i="30"/>
  <c r="AW2" i="30"/>
  <c r="AX2" i="30"/>
  <c r="AY2" i="30"/>
  <c r="AZ2" i="30"/>
  <c r="BA2" i="30"/>
  <c r="BB2" i="30"/>
  <c r="BC2" i="30"/>
  <c r="BD2" i="30"/>
  <c r="BE2" i="30"/>
  <c r="BF2" i="30"/>
  <c r="BG2" i="30"/>
  <c r="BH2" i="30"/>
  <c r="BI2" i="30"/>
  <c r="BJ2" i="30"/>
  <c r="BK2" i="30"/>
  <c r="BL2" i="30"/>
  <c r="BM2" i="30"/>
  <c r="BN2" i="30"/>
  <c r="BO2" i="30"/>
  <c r="BP2" i="30"/>
  <c r="BQ2" i="30"/>
  <c r="BR2" i="30"/>
  <c r="BS2" i="30"/>
  <c r="BT2" i="30"/>
  <c r="BU2" i="30"/>
  <c r="BV2" i="30"/>
  <c r="BW2" i="30"/>
  <c r="BX2" i="30"/>
  <c r="BY2" i="30"/>
  <c r="BZ2" i="30"/>
  <c r="CA2" i="30"/>
  <c r="CB2" i="30"/>
  <c r="CC2" i="30"/>
  <c r="CD2" i="30"/>
  <c r="CE2" i="30"/>
  <c r="CF2" i="30"/>
  <c r="CG2" i="30"/>
  <c r="CH2" i="30"/>
  <c r="CI2" i="30"/>
  <c r="CJ2" i="30"/>
  <c r="CK2" i="30"/>
  <c r="CL2" i="30"/>
  <c r="CM2" i="30"/>
  <c r="CN2" i="30"/>
  <c r="CO2" i="30"/>
  <c r="CP2" i="30"/>
  <c r="CQ2" i="30"/>
  <c r="CR2" i="30"/>
  <c r="CS2" i="30"/>
  <c r="CT2" i="30"/>
  <c r="CU2" i="30"/>
  <c r="CV2" i="30"/>
  <c r="CW2" i="30"/>
  <c r="CX2" i="30"/>
  <c r="CY2" i="30"/>
  <c r="CZ2" i="30"/>
  <c r="DA2" i="30"/>
  <c r="DB2" i="30"/>
  <c r="DC2" i="30"/>
  <c r="DD2" i="30"/>
  <c r="DE2" i="30"/>
  <c r="DF2" i="30"/>
  <c r="DG2" i="30"/>
  <c r="DH2" i="30"/>
  <c r="DI2" i="30"/>
  <c r="DJ2" i="30"/>
  <c r="DK2" i="30"/>
  <c r="DL2" i="30"/>
  <c r="DM2" i="30"/>
  <c r="DN2" i="30"/>
  <c r="DO2" i="30"/>
  <c r="DP2" i="30"/>
  <c r="DQ2" i="30"/>
  <c r="DR2" i="30"/>
  <c r="DS2" i="30"/>
  <c r="DT2" i="30"/>
  <c r="DU2" i="30"/>
  <c r="DV2" i="30"/>
  <c r="DW2" i="30"/>
  <c r="DX2" i="30"/>
  <c r="DY2" i="30"/>
  <c r="DZ2" i="30"/>
  <c r="EA2" i="30"/>
  <c r="EB2" i="30"/>
  <c r="EC2" i="30"/>
  <c r="ED2" i="30"/>
  <c r="EE2" i="30"/>
  <c r="EF2" i="30"/>
  <c r="EG2" i="30"/>
  <c r="EH2" i="30"/>
  <c r="EI2" i="30"/>
  <c r="EJ2" i="30"/>
  <c r="EK2" i="30"/>
  <c r="EL2" i="30"/>
  <c r="EM2" i="30"/>
  <c r="EN2" i="30"/>
  <c r="EO2" i="30"/>
  <c r="EP2" i="30"/>
  <c r="EQ2" i="30"/>
  <c r="ER2" i="30"/>
  <c r="ES2" i="30"/>
  <c r="ET2" i="30"/>
  <c r="EU2" i="30"/>
  <c r="EV2" i="30"/>
  <c r="EW2" i="30"/>
  <c r="EX2" i="30"/>
  <c r="EY2" i="30"/>
  <c r="EZ2" i="30"/>
  <c r="FA2" i="30"/>
  <c r="FB2" i="30"/>
  <c r="FC2" i="30"/>
  <c r="FD2" i="30"/>
  <c r="FE2" i="30"/>
  <c r="FF2" i="30"/>
  <c r="FG2" i="30"/>
  <c r="FH2" i="30"/>
  <c r="FI2" i="30"/>
  <c r="FJ2" i="30"/>
  <c r="FK2" i="30"/>
  <c r="FL2" i="30"/>
  <c r="FM2" i="30"/>
  <c r="FN2" i="30"/>
  <c r="FO2" i="30"/>
  <c r="FP2" i="30"/>
  <c r="FQ2" i="30"/>
  <c r="FR2" i="30"/>
  <c r="FS2" i="30"/>
  <c r="FT2" i="30"/>
  <c r="FU2" i="30"/>
  <c r="FV2" i="30"/>
  <c r="FW2" i="30"/>
  <c r="FX2" i="30"/>
  <c r="FY2" i="30"/>
  <c r="FZ2" i="30"/>
  <c r="GA2" i="30"/>
  <c r="GB2" i="30"/>
  <c r="GC2" i="30"/>
  <c r="GD2" i="30"/>
  <c r="GE2" i="30"/>
  <c r="GF2" i="30"/>
  <c r="GG2" i="30"/>
  <c r="GH2" i="30"/>
  <c r="GI2" i="30"/>
  <c r="GJ2" i="30"/>
  <c r="GK2" i="30"/>
  <c r="GL2" i="30"/>
  <c r="GM2" i="30"/>
  <c r="GN2" i="30"/>
  <c r="GO2" i="30"/>
  <c r="GP2" i="30"/>
  <c r="GQ2" i="30"/>
  <c r="GR2" i="30"/>
  <c r="GS2" i="30"/>
  <c r="GT2" i="30"/>
  <c r="GU2" i="30"/>
  <c r="GV2" i="30"/>
  <c r="GW2" i="30"/>
  <c r="GX2" i="30"/>
  <c r="GY2" i="30"/>
  <c r="GZ2" i="30"/>
  <c r="HA2" i="30"/>
  <c r="HB2" i="30"/>
  <c r="HC2" i="30"/>
  <c r="HD2" i="30"/>
  <c r="HE2" i="30"/>
  <c r="HF2" i="30"/>
  <c r="HG2" i="30"/>
  <c r="HH2" i="30"/>
  <c r="HI2" i="30"/>
  <c r="HJ2" i="30"/>
  <c r="HK2" i="30"/>
  <c r="HL2" i="30"/>
  <c r="HM2" i="30"/>
  <c r="HN2" i="30"/>
  <c r="HO2" i="30"/>
  <c r="HP2" i="30"/>
  <c r="HQ2" i="30"/>
  <c r="HR2" i="30"/>
  <c r="HS2" i="30"/>
  <c r="HT2" i="30"/>
  <c r="HU2" i="30"/>
  <c r="HV2" i="30"/>
  <c r="HW2" i="30"/>
  <c r="HX2" i="30"/>
  <c r="HY2" i="30"/>
  <c r="HZ2" i="30"/>
  <c r="IA2" i="30"/>
  <c r="IB2" i="30"/>
  <c r="IC2" i="30"/>
  <c r="ID2" i="30"/>
  <c r="IE2" i="30"/>
  <c r="IF2" i="30"/>
  <c r="IG2" i="30"/>
  <c r="IH2" i="30"/>
  <c r="II2" i="30"/>
  <c r="IJ2" i="30"/>
  <c r="IK2" i="30"/>
  <c r="IL2" i="30"/>
  <c r="IM2" i="30"/>
  <c r="IN2" i="30"/>
  <c r="IO2" i="30"/>
  <c r="IP2" i="30"/>
  <c r="IQ2" i="30"/>
  <c r="IR2" i="30"/>
  <c r="IS2" i="30"/>
  <c r="IT2" i="30"/>
  <c r="IU2" i="30"/>
  <c r="IV2" i="30"/>
  <c r="A1" i="30"/>
  <c r="B1" i="30"/>
  <c r="C1" i="30"/>
  <c r="D1" i="30"/>
  <c r="E1" i="30"/>
  <c r="F1" i="30"/>
  <c r="G1" i="30"/>
  <c r="H1" i="30"/>
  <c r="I1" i="30"/>
  <c r="J1" i="30"/>
  <c r="K1" i="30"/>
  <c r="L1" i="30"/>
  <c r="M1" i="30"/>
  <c r="N1" i="30"/>
  <c r="O1" i="30"/>
  <c r="P1" i="30"/>
  <c r="Q1" i="30"/>
  <c r="R1" i="30"/>
  <c r="S1" i="30"/>
  <c r="T1" i="30"/>
  <c r="U1" i="30"/>
  <c r="V1" i="30"/>
  <c r="W1" i="30"/>
  <c r="X1" i="30"/>
  <c r="Y1" i="30"/>
  <c r="Z1" i="30"/>
  <c r="AA1" i="30"/>
  <c r="AB1" i="30"/>
  <c r="AC1" i="30"/>
  <c r="AD1" i="30"/>
  <c r="AE1" i="30"/>
  <c r="AF1" i="30"/>
  <c r="AG1" i="30"/>
  <c r="AH1" i="30"/>
  <c r="AI1" i="30"/>
  <c r="AJ1" i="30"/>
  <c r="AK1" i="30"/>
  <c r="AL1" i="30"/>
  <c r="AM1" i="30"/>
  <c r="AN1" i="30"/>
  <c r="AO1" i="30"/>
  <c r="AP1" i="30"/>
  <c r="AQ1" i="30"/>
  <c r="AR1" i="30"/>
  <c r="AS1" i="30"/>
  <c r="AT1" i="30"/>
  <c r="AU1" i="30"/>
  <c r="AV1" i="30"/>
  <c r="AW1" i="30"/>
  <c r="AX1" i="30"/>
  <c r="AY1" i="30"/>
  <c r="AZ1" i="30"/>
  <c r="BA1" i="30"/>
  <c r="BB1" i="30"/>
  <c r="BC1" i="30"/>
  <c r="BD1" i="30"/>
  <c r="BE1" i="30"/>
  <c r="BF1" i="30"/>
  <c r="BG1" i="30"/>
  <c r="BH1" i="30"/>
  <c r="BI1" i="30"/>
  <c r="BJ1" i="30"/>
  <c r="BK1" i="30"/>
  <c r="BL1" i="30"/>
  <c r="BM1" i="30"/>
  <c r="BN1" i="30"/>
  <c r="BO1" i="30"/>
  <c r="BP1" i="30"/>
  <c r="BQ1" i="30"/>
  <c r="BR1" i="30"/>
  <c r="BS1" i="30"/>
  <c r="BT1" i="30"/>
  <c r="BU1" i="30"/>
  <c r="BV1" i="30"/>
  <c r="BW1" i="30"/>
  <c r="BX1" i="30"/>
  <c r="BY1" i="30"/>
  <c r="BZ1" i="30"/>
  <c r="CA1" i="30"/>
  <c r="CB1" i="30"/>
  <c r="CC1" i="30"/>
  <c r="CD1" i="30"/>
  <c r="CE1" i="30"/>
  <c r="CF1" i="30"/>
  <c r="CG1" i="30"/>
  <c r="CH1" i="30"/>
  <c r="CI1" i="30"/>
  <c r="CJ1" i="30"/>
  <c r="CK1" i="30"/>
  <c r="CM1" i="30"/>
  <c r="CN1" i="30"/>
  <c r="CO1" i="30"/>
  <c r="CP1" i="30"/>
  <c r="CQ1" i="30"/>
  <c r="CR1" i="30"/>
  <c r="CT1" i="30"/>
  <c r="CU1" i="30"/>
  <c r="CV1" i="30"/>
  <c r="CW1" i="30"/>
  <c r="CX1" i="30"/>
  <c r="CY1" i="30"/>
  <c r="DA1" i="30"/>
  <c r="DB1" i="30"/>
  <c r="DC1" i="30"/>
  <c r="DD1" i="30"/>
  <c r="DE1" i="30"/>
  <c r="DF1" i="30"/>
  <c r="DH1" i="30"/>
  <c r="DI1" i="30"/>
  <c r="DJ1" i="30"/>
  <c r="DK1" i="30"/>
  <c r="DL1" i="30"/>
  <c r="DM1" i="30"/>
  <c r="DO1" i="30"/>
  <c r="DP1" i="30"/>
  <c r="DQ1" i="30"/>
  <c r="DR1" i="30"/>
  <c r="DS1" i="30"/>
  <c r="DT1" i="30"/>
  <c r="DV1" i="30"/>
  <c r="DW1" i="30"/>
  <c r="DX1" i="30"/>
  <c r="DY1" i="30"/>
  <c r="DZ1" i="30"/>
  <c r="EA1" i="30"/>
  <c r="EC1" i="30"/>
  <c r="ED1" i="30"/>
  <c r="EE1" i="30"/>
  <c r="EF1" i="30"/>
  <c r="EG1" i="30"/>
  <c r="EH1" i="30"/>
  <c r="EJ1" i="30"/>
  <c r="EK1" i="30"/>
  <c r="EL1" i="30"/>
  <c r="EM1" i="30"/>
  <c r="EN1" i="30"/>
  <c r="EO1" i="30"/>
  <c r="EQ1" i="30"/>
  <c r="ER1" i="30"/>
  <c r="ES1" i="30"/>
  <c r="ET1" i="30"/>
  <c r="EU1" i="30"/>
  <c r="EV1" i="30"/>
  <c r="EX1" i="30"/>
  <c r="EY1" i="30"/>
  <c r="EZ1" i="30"/>
  <c r="FA1" i="30"/>
  <c r="FB1" i="30"/>
  <c r="FC1" i="30"/>
  <c r="FE1" i="30"/>
  <c r="FF1" i="30"/>
  <c r="FG1" i="30"/>
  <c r="FH1" i="30"/>
  <c r="FI1" i="30"/>
  <c r="FJ1" i="30"/>
  <c r="FL1" i="30"/>
  <c r="FM1" i="30"/>
  <c r="FN1" i="30"/>
  <c r="FO1" i="30"/>
  <c r="FP1" i="30"/>
  <c r="FQ1" i="30"/>
  <c r="FS1" i="30"/>
  <c r="FT1" i="30"/>
  <c r="FU1" i="30"/>
  <c r="FV1" i="30"/>
  <c r="FW1" i="30"/>
  <c r="FX1" i="30"/>
  <c r="FZ1" i="30"/>
  <c r="GA1" i="30"/>
  <c r="GB1" i="30"/>
  <c r="GC1" i="30"/>
  <c r="GD1" i="30"/>
  <c r="GE1" i="30"/>
  <c r="GG1" i="30"/>
  <c r="GH1" i="30"/>
  <c r="GI1" i="30"/>
  <c r="GJ1" i="30"/>
  <c r="GK1" i="30"/>
  <c r="GL1" i="30"/>
  <c r="GN1" i="30"/>
  <c r="GO1" i="30"/>
  <c r="GP1" i="30"/>
  <c r="GQ1" i="30"/>
  <c r="GR1" i="30"/>
  <c r="GS1" i="30"/>
  <c r="GU1" i="30"/>
  <c r="GV1" i="30"/>
  <c r="GW1" i="30"/>
  <c r="GX1" i="30"/>
  <c r="GY1" i="30"/>
  <c r="GZ1" i="30"/>
  <c r="HB1" i="30"/>
  <c r="HC1" i="30"/>
  <c r="HD1" i="30"/>
  <c r="HE1" i="30"/>
  <c r="HF1" i="30"/>
  <c r="HG1" i="30"/>
  <c r="HI1" i="30"/>
  <c r="HJ1" i="30"/>
  <c r="HK1" i="30"/>
  <c r="HL1" i="30"/>
  <c r="HM1" i="30"/>
  <c r="HN1" i="30"/>
  <c r="HP1" i="30"/>
  <c r="HQ1" i="30"/>
  <c r="HR1" i="30"/>
  <c r="HS1" i="30"/>
  <c r="HT1" i="30"/>
  <c r="HU1" i="30"/>
  <c r="HW1" i="30"/>
  <c r="HX1" i="30"/>
  <c r="HY1" i="30"/>
  <c r="HZ1" i="30"/>
  <c r="IA1" i="30"/>
  <c r="IB1" i="30"/>
  <c r="IC1" i="30"/>
  <c r="ID1" i="30"/>
  <c r="IE1" i="30"/>
  <c r="IF1" i="30"/>
  <c r="IG1" i="30"/>
  <c r="IH1" i="30"/>
  <c r="II1" i="30"/>
  <c r="IJ1" i="30"/>
  <c r="IK1" i="30"/>
  <c r="IL1" i="30"/>
  <c r="IM1" i="30"/>
  <c r="IN1" i="30"/>
  <c r="IO1" i="30"/>
  <c r="IP1" i="30"/>
  <c r="IQ1" i="30"/>
  <c r="IR1" i="30"/>
  <c r="IS1" i="30"/>
  <c r="IT1" i="30"/>
  <c r="IU1" i="30"/>
  <c r="IV1" i="30"/>
  <c r="B2" i="23" l="1"/>
  <c r="B3" i="23" l="1"/>
  <c r="CL1" i="30"/>
  <c r="B4" i="23" l="1"/>
  <c r="CS1" i="30"/>
  <c r="B5" i="23" l="1"/>
  <c r="CZ1" i="30"/>
  <c r="B6" i="23" l="1"/>
  <c r="DG1" i="30"/>
  <c r="B7" i="23" l="1"/>
  <c r="DN1" i="30"/>
  <c r="B8" i="23" l="1"/>
  <c r="DU1" i="30"/>
  <c r="B9" i="23" l="1"/>
  <c r="EB1" i="30"/>
  <c r="B10" i="23" l="1"/>
  <c r="EI1" i="30"/>
  <c r="B11" i="23" l="1"/>
  <c r="EP1" i="30"/>
  <c r="B12" i="23" l="1"/>
  <c r="EW1" i="30"/>
  <c r="B13" i="23" l="1"/>
  <c r="FD1" i="30"/>
  <c r="B14" i="23" l="1"/>
  <c r="FK1" i="30"/>
  <c r="B15" i="23" l="1"/>
  <c r="FR1" i="30"/>
  <c r="B16" i="23" l="1"/>
  <c r="FY1" i="30"/>
  <c r="B17" i="23" l="1"/>
  <c r="GF1" i="30"/>
  <c r="B18" i="23" l="1"/>
  <c r="GM1" i="30"/>
  <c r="B19" i="23" l="1"/>
  <c r="GT1" i="30"/>
  <c r="B20" i="23" l="1"/>
  <c r="HA1" i="30"/>
  <c r="B21" i="23" l="1"/>
  <c r="HH1" i="30"/>
  <c r="B22" i="23" l="1"/>
  <c r="HV1" i="30" s="1"/>
  <c r="HO1" i="30"/>
</calcChain>
</file>

<file path=xl/sharedStrings.xml><?xml version="1.0" encoding="utf-8"?>
<sst xmlns="http://schemas.openxmlformats.org/spreadsheetml/2006/main" count="1573" uniqueCount="190">
  <si>
    <t>Comments</t>
  </si>
  <si>
    <t>DrGL</t>
  </si>
  <si>
    <t>CrGL</t>
  </si>
  <si>
    <t>JEitemID</t>
  </si>
  <si>
    <t>ItemDescription</t>
  </si>
  <si>
    <t>Enabled</t>
  </si>
  <si>
    <t>PayRunNumber</t>
  </si>
  <si>
    <t>PayYear</t>
  </si>
  <si>
    <t>PayDate</t>
  </si>
  <si>
    <t>Amount</t>
  </si>
  <si>
    <t>Description</t>
  </si>
  <si>
    <t>GLCode</t>
  </si>
  <si>
    <t>JE Item</t>
  </si>
  <si>
    <t>Dept Code</t>
  </si>
  <si>
    <t>Employee Code</t>
  </si>
  <si>
    <t>JEitemCode</t>
  </si>
  <si>
    <t>Deptid</t>
  </si>
  <si>
    <t>Empid</t>
  </si>
  <si>
    <t>Allocation Count</t>
  </si>
  <si>
    <t>JEItemCode</t>
  </si>
  <si>
    <t>Dr Description</t>
  </si>
  <si>
    <t>Cr Description</t>
  </si>
  <si>
    <t>Percent Allocation</t>
  </si>
  <si>
    <t>Dept Code Override</t>
  </si>
  <si>
    <t>Home Dept Code</t>
  </si>
  <si>
    <t>InputValue</t>
  </si>
  <si>
    <t>Validation</t>
  </si>
  <si>
    <t>UserName</t>
  </si>
  <si>
    <t>FieldName</t>
  </si>
  <si>
    <t>Value</t>
  </si>
  <si>
    <t>RememberMe</t>
  </si>
  <si>
    <t>WSDL URL</t>
  </si>
  <si>
    <t>WSDL EndPoint</t>
  </si>
  <si>
    <t>Empcode</t>
  </si>
  <si>
    <t>Firstname</t>
  </si>
  <si>
    <t>Lastname</t>
  </si>
  <si>
    <t>Middlename</t>
  </si>
  <si>
    <t>Status</t>
  </si>
  <si>
    <t>Homedeptcode</t>
  </si>
  <si>
    <t>Homedeptname</t>
  </si>
  <si>
    <t>Deptcode</t>
  </si>
  <si>
    <t>Deptname</t>
  </si>
  <si>
    <t>Deleted</t>
  </si>
  <si>
    <t>Homedeptid</t>
  </si>
  <si>
    <t>Version</t>
  </si>
  <si>
    <t>LIVE URL</t>
  </si>
  <si>
    <t>LIVE EndPoint</t>
  </si>
  <si>
    <t>Date</t>
  </si>
  <si>
    <t>Type</t>
  </si>
  <si>
    <t>LIVE</t>
  </si>
  <si>
    <t>Bug</t>
  </si>
  <si>
    <t>error with birchwood</t>
  </si>
  <si>
    <t>changes in settings or URL requires a closing and opening of the file to take effect</t>
  </si>
  <si>
    <t>Soap mapper array error message is displayed when there is no data retrieved from the database. This should not appear</t>
  </si>
  <si>
    <t>After Load is completed there is no notification or alert, or message in the load screen "Load Completed"</t>
  </si>
  <si>
    <t xml:space="preserve">use log file for errors </t>
  </si>
  <si>
    <t>Enh</t>
  </si>
  <si>
    <t>Req</t>
  </si>
  <si>
    <t>install dll's automagically</t>
  </si>
  <si>
    <t>Closed</t>
  </si>
  <si>
    <t xml:space="preserve">comment out debug script. This is causing problems </t>
  </si>
  <si>
    <t>Comment</t>
  </si>
  <si>
    <t>Source</t>
  </si>
  <si>
    <t>I</t>
  </si>
  <si>
    <t>Started JE Utility</t>
  </si>
  <si>
    <t>cmdLoadData_Click</t>
  </si>
  <si>
    <t>E</t>
  </si>
  <si>
    <t>cmdLogin_Click</t>
  </si>
  <si>
    <t>cmdGenerateJEReport_Click</t>
  </si>
  <si>
    <t>GenerateJEReport-START</t>
  </si>
  <si>
    <t>RefreshUI</t>
  </si>
  <si>
    <t>UserForm_Initialize-Load Data</t>
  </si>
  <si>
    <t>UserForm_Terminate-Load Data</t>
  </si>
  <si>
    <t>PopulateCboOrganization</t>
  </si>
  <si>
    <t>cmdLoad_Click-Load Data</t>
  </si>
  <si>
    <t>UpdateStatus-Load Data</t>
  </si>
  <si>
    <t>GetEmployee-Load Data</t>
  </si>
  <si>
    <t>LoadDataInWorksheet-Load Data</t>
  </si>
  <si>
    <t>GetDepartment-Load Data</t>
  </si>
  <si>
    <t>GetJEItem-Load Data</t>
  </si>
  <si>
    <t>GetPay-Load Data</t>
  </si>
  <si>
    <t>cmdValidateConfiguration_Click</t>
  </si>
  <si>
    <t>GeneratReport</t>
  </si>
  <si>
    <t>User Logged In</t>
  </si>
  <si>
    <t>Loading Completed</t>
  </si>
  <si>
    <t>UM</t>
  </si>
  <si>
    <t>add check for invoice total versus amount going out of the bank account</t>
  </si>
  <si>
    <t>No Configuration Errors</t>
  </si>
  <si>
    <t>prevent users from using the validation column in config tab</t>
  </si>
  <si>
    <t>mark field as red when validation error occurs in GLCode tab</t>
  </si>
  <si>
    <t>WARNING: This will override entries in the Config and GLCode Tabs
Would you like to continue?</t>
  </si>
  <si>
    <t>glid</t>
  </si>
  <si>
    <t>JEItemID</t>
  </si>
  <si>
    <t>HomeDeptID</t>
  </si>
  <si>
    <t>DrGLID</t>
  </si>
  <si>
    <t>CrGLID</t>
  </si>
  <si>
    <t>HasGLCodeErrors</t>
  </si>
  <si>
    <t>cmdCopyConfig_Click</t>
  </si>
  <si>
    <t>add validation for percent allocation, possible values allowed = 0~100 and -1 only</t>
  </si>
  <si>
    <t>add functionality to copy configuration from another file</t>
  </si>
  <si>
    <t>deferred</t>
  </si>
  <si>
    <t>no known solution to date, not critical or impacting</t>
  </si>
  <si>
    <t>Cannot reproduce, user closed and re-opened excel, it fixed itself(great its self healing !)</t>
  </si>
  <si>
    <t>Errors found in the Config Tab</t>
  </si>
  <si>
    <t>open dropdown when typing in the client dropdown list</t>
  </si>
  <si>
    <t>low priority</t>
  </si>
  <si>
    <t>WARNING: Entries in the GLCode Tab will be lost and overriden by entries found in source file, Continue?</t>
  </si>
  <si>
    <t>WARNING: Entries in the Config Tab will be lost and overriden by entries found in source file, Continue?</t>
  </si>
  <si>
    <t>cmdGenerateConfigMap_Click</t>
  </si>
  <si>
    <t>GenerateConfigMap</t>
  </si>
  <si>
    <t>CreateConfigMap</t>
  </si>
  <si>
    <t>GetPaywsm_GetJournalEntryPayrollAmountsByPayRunNumber</t>
  </si>
  <si>
    <t>SoapMapper:Array dimensions do not match definition.</t>
  </si>
  <si>
    <t>No data found, Sheet Pay was not updated</t>
  </si>
  <si>
    <t>optByDateRange_Click</t>
  </si>
  <si>
    <t xml:space="preserve">Text in the command buttons resizes for some users, </t>
  </si>
  <si>
    <t>issue on the Active X contrlols, replace it with excel controls
added the version number in the Load Form Dialog box</t>
  </si>
  <si>
    <t>Copy configuration does not work if the source file is a protected workbook</t>
  </si>
  <si>
    <t>Birchwood installaler package failed, needed to run the office web services toolkit to make it work</t>
  </si>
  <si>
    <t>Birchwood - excel changes an input to date if it looks like a date "10-2009"</t>
  </si>
  <si>
    <t>Code</t>
  </si>
  <si>
    <t>JE Item cannot be empty</t>
  </si>
  <si>
    <t>check if JEitem type is an invoice, if yes Home Dept Code, Dept Code and Emp Code should be null</t>
  </si>
  <si>
    <t>comment</t>
  </si>
  <si>
    <t>Invoice items cant have a dept/emp code, please delete dept/emp code</t>
  </si>
  <si>
    <t>Error Message</t>
  </si>
  <si>
    <t>validate allocaton count field, this is a required field</t>
  </si>
  <si>
    <t>Allocation Count cannot be empty</t>
  </si>
  <si>
    <t>Invalid Allocation Amount, Please enter a value from 0~100 or -1</t>
  </si>
  <si>
    <t>validate DrGL field, this is a required field</t>
  </si>
  <si>
    <t>DrGL cannot be empty</t>
  </si>
  <si>
    <t>validate CrGL field, this is a required field</t>
  </si>
  <si>
    <t>CrGL cannot be empty</t>
  </si>
  <si>
    <t>Rule is a duplicate of previous rule, Please change Allocation count if JE item needs to be allocation more than once</t>
  </si>
  <si>
    <t>JE item already reached 100% allocation, this rule will no longer be evaluated, please delete this rule</t>
  </si>
  <si>
    <t>validate if there are duplicate configuration settings</t>
  </si>
  <si>
    <t>Dept Code Error, please update Dept code</t>
  </si>
  <si>
    <t>Home Dept Code Error, please update Home Dept code</t>
  </si>
  <si>
    <t>Employee Code Error, please update Employee code</t>
  </si>
  <si>
    <t xml:space="preserve"> DrGL Code Error, please update DrGL code</t>
  </si>
  <si>
    <t xml:space="preserve"> CrGL Code Error, please update CrGL code</t>
  </si>
  <si>
    <t>validate if code exists in the JEItem tab</t>
  </si>
  <si>
    <t>validate if code exists in the Department tab</t>
  </si>
  <si>
    <t>validate if code exists in the Employee tab</t>
  </si>
  <si>
    <t>validate if code exists in the GLCode tab</t>
  </si>
  <si>
    <t>JE Item Code Error, please update JE Item code</t>
  </si>
  <si>
    <t>validate if JE item is being allocated more than 100%</t>
  </si>
  <si>
    <t>Please delete rows with no GLCode</t>
  </si>
  <si>
    <t>empty rows exists in the tab</t>
  </si>
  <si>
    <t>Cannot maintain duplicate GLCodes</t>
  </si>
  <si>
    <t>No GL Codes Found! Please maintain GL Codes</t>
  </si>
  <si>
    <t>add a "hide" checkbox in the login section to hide and view keyed in password</t>
  </si>
  <si>
    <t>add Gross taxable earnings and Gross earnings in the JEItem list</t>
  </si>
  <si>
    <t>Configuration Error, no configuration Found!</t>
  </si>
  <si>
    <t>#</t>
  </si>
  <si>
    <t>Errror occurred during validation when there are "empty" rows in the Config Tab</t>
  </si>
  <si>
    <t>Add a Cr- Dr column in the output report</t>
  </si>
  <si>
    <t>not approved to work on</t>
  </si>
  <si>
    <t>Errror occurred when generating the report, the JEItemCode column in the Pay tab is being converted to a number when it is entered as a number in Everest UI (E.g.  "1", "10")</t>
  </si>
  <si>
    <t>The Source file is currently opened, Please close the Source file and try again</t>
  </si>
  <si>
    <t>optByPayrun_Click</t>
  </si>
  <si>
    <t>AppendPayWithNoAllocation</t>
  </si>
  <si>
    <t>CreateJournalEntryReport</t>
  </si>
  <si>
    <t>GenerateJEReport-END</t>
  </si>
  <si>
    <t>nice to have but low priority</t>
  </si>
  <si>
    <t>drop down list in the config tab is incomplete, when the column is made up of numeric and string data types(E.g. dept code 04  and  004a)</t>
  </si>
  <si>
    <t>Invalid Input: Payrun No</t>
  </si>
  <si>
    <t>Workbook_Open</t>
  </si>
  <si>
    <t>Input string was not in a correct format.</t>
  </si>
  <si>
    <t>Errors found in the Config Tab
Please fix errors before running report</t>
  </si>
  <si>
    <t xml:space="preserve">Configuration Error, no configuration Found! </t>
  </si>
  <si>
    <t>No Records Found, query: Select glid,glcode,description,validation  From [GLCode$] Where glcode&lt;&gt;Null or description&lt;&gt; Null order by glcode asc, description asc</t>
  </si>
  <si>
    <t>No GL Codes Found!
Please maintain GL Codes</t>
  </si>
  <si>
    <t>Errors found in the GLCode Tab</t>
  </si>
  <si>
    <t>Login Failed</t>
  </si>
  <si>
    <t>User Logged Out</t>
  </si>
  <si>
    <t>cmdCloseOnEscapeKey_Click</t>
  </si>
  <si>
    <t>Inclusion Preprod URL</t>
  </si>
  <si>
    <t>Inclusion Preprod Endpoint</t>
  </si>
  <si>
    <t>Inclusion Prod URL</t>
  </si>
  <si>
    <t>Inclusion Prod Endpoint</t>
  </si>
  <si>
    <t>AAAAACxj/yE=</t>
  </si>
  <si>
    <t>AAAAACxj/yI=</t>
  </si>
  <si>
    <t xml:space="preserve"> 4.0</t>
  </si>
  <si>
    <t>https://secure2.inclusionsystem.ca/EverestJournalEntry/JournalEntryService.svc</t>
  </si>
  <si>
    <t>https://secure2.inclusionsystem.ca/EverestJournalEntry/JournalEntryService.svc?wsdl</t>
  </si>
  <si>
    <t>https://secure3.inclusionsystem.ca/preprod/EverestJournalEntry/JournalEntryService.svc</t>
  </si>
  <si>
    <t>https://secure3.inclusionsystem.ca/preprod/EverestJournalEntry/JournalEntryService.svc?wsdl</t>
  </si>
  <si>
    <t>ItemType</t>
  </si>
  <si>
    <t>dev.guser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</si>
</sst>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/mm/yyyy\ h:mm:ss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26"/>
      <color theme="3" tint="0.39997558519241921"/>
      <name val="Calibri"/>
      <family val="2"/>
      <scheme val="minor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97E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2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7" fillId="0" borderId="0" applyNumberFormat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>
      <alignment vertical="top"/>
    </xf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6" applyNumberFormat="0" applyAlignment="0" applyProtection="0"/>
    <xf numFmtId="0" fontId="15" fillId="10" borderId="7" applyNumberFormat="0" applyAlignment="0" applyProtection="0"/>
    <xf numFmtId="0" fontId="16" fillId="10" borderId="6" applyNumberFormat="0" applyAlignment="0" applyProtection="0"/>
    <xf numFmtId="0" fontId="17" fillId="0" borderId="8" applyNumberFormat="0" applyFill="0" applyAlignment="0" applyProtection="0"/>
    <xf numFmtId="0" fontId="18" fillId="11" borderId="9" applyNumberFormat="0" applyAlignment="0" applyProtection="0"/>
    <xf numFmtId="0" fontId="19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2" fillId="36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32">
    <xf numFmtId="0" fontId="0" fillId="0" borderId="0" xfId="0"/>
    <xf numFmtId="14" fontId="0" fillId="0" borderId="0" xfId="0" applyNumberFormat="1"/>
    <xf numFmtId="0" fontId="0" fillId="0" borderId="0" xfId="0"/>
    <xf numFmtId="0" fontId="4" fillId="0" borderId="0" xfId="20" applyAlignment="1" applyProtection="1">
      <alignment horizontal="left" vertical="top"/>
    </xf>
    <xf numFmtId="0" fontId="4" fillId="0" borderId="0" xfId="20" applyAlignment="1" applyProtection="1">
      <alignment horizontal="left" vertical="top" wrapText="1"/>
    </xf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Alignment="1" applyProtection="1">
      <alignment horizontal="left" vertical="top"/>
    </xf>
    <xf numFmtId="0" fontId="0" fillId="2" borderId="0" xfId="0" applyFill="1" applyProtection="1"/>
    <xf numFmtId="0" fontId="0" fillId="2" borderId="0" xfId="0" applyFill="1" applyAlignment="1" applyProtection="1">
      <alignment horizontal="left" vertical="top"/>
    </xf>
    <xf numFmtId="0" fontId="0" fillId="0" borderId="0" xfId="0" applyAlignment="1">
      <alignment wrapText="1"/>
    </xf>
    <xf numFmtId="0" fontId="0" fillId="0" borderId="0" xfId="0" applyAlignment="1"/>
    <xf numFmtId="164" fontId="0" fillId="0" borderId="0" xfId="0" applyNumberFormat="1" applyAlignment="1"/>
    <xf numFmtId="0" fontId="0" fillId="3" borderId="0" xfId="0" applyFill="1"/>
    <xf numFmtId="0" fontId="4" fillId="0" borderId="0" xfId="20" applyAlignment="1" applyProtection="1">
      <alignment vertical="center" wrapText="1"/>
    </xf>
    <xf numFmtId="0" fontId="4" fillId="0" borderId="0" xfId="20" applyAlignment="1" applyProtection="1"/>
    <xf numFmtId="0" fontId="0" fillId="4" borderId="0" xfId="0" applyFill="1" applyProtection="1"/>
    <xf numFmtId="0" fontId="0" fillId="5" borderId="0" xfId="0" applyFill="1" applyBorder="1" applyProtection="1">
      <protection hidden="1"/>
    </xf>
    <xf numFmtId="0" fontId="6" fillId="5" borderId="0" xfId="0" applyFont="1" applyFill="1" applyBorder="1" applyAlignment="1" applyProtection="1">
      <alignment vertical="center" wrapText="1"/>
      <protection hidden="1"/>
    </xf>
    <xf numFmtId="0" fontId="0" fillId="5" borderId="0" xfId="0" applyFill="1" applyProtection="1">
      <protection hidden="1"/>
    </xf>
    <xf numFmtId="0" fontId="4" fillId="0" borderId="0" xfId="20" applyAlignment="1" applyProtection="1"/>
    <xf numFmtId="0" fontId="0" fillId="0" borderId="0" xfId="0" quotePrefix="1" applyProtection="1">
      <protection locked="0"/>
    </xf>
    <xf numFmtId="0" fontId="0" fillId="2" borderId="1" xfId="0" applyFill="1" applyBorder="1" applyProtection="1"/>
    <xf numFmtId="0" fontId="0" fillId="0" borderId="1" xfId="0" applyFill="1" applyBorder="1" applyProtection="1"/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</xf>
    <xf numFmtId="49" fontId="0" fillId="2" borderId="1" xfId="0" applyNumberFormat="1" applyFill="1" applyBorder="1" applyProtection="1"/>
    <xf numFmtId="49" fontId="0" fillId="0" borderId="1" xfId="0" applyNumberFormat="1" applyFill="1" applyBorder="1" applyProtection="1"/>
    <xf numFmtId="49" fontId="0" fillId="0" borderId="1" xfId="0" applyNumberFormat="1" applyFill="1" applyBorder="1" applyProtection="1">
      <protection locked="0"/>
    </xf>
    <xf numFmtId="0" fontId="6" fillId="4" borderId="2" xfId="0" applyFont="1" applyFill="1" applyBorder="1" applyAlignment="1" applyProtection="1">
      <alignment horizontal="left" vertical="center" wrapText="1" indent="30"/>
    </xf>
  </cellXfs>
  <cellStyles count="78">
    <cellStyle name="20% - Accent1" xfId="54" builtinId="30" customBuiltin="1"/>
    <cellStyle name="20% - Accent2" xfId="58" builtinId="34" customBuiltin="1"/>
    <cellStyle name="20% - Accent3" xfId="62" builtinId="38" customBuiltin="1"/>
    <cellStyle name="20% - Accent4" xfId="66" builtinId="42" customBuiltin="1"/>
    <cellStyle name="20% - Accent5" xfId="70" builtinId="46" customBuiltin="1"/>
    <cellStyle name="20% - Accent6" xfId="74" builtinId="50" customBuiltin="1"/>
    <cellStyle name="40% - Accent1" xfId="55" builtinId="31" customBuiltin="1"/>
    <cellStyle name="40% - Accent2" xfId="59" builtinId="35" customBuiltin="1"/>
    <cellStyle name="40% - Accent3" xfId="63" builtinId="39" customBuiltin="1"/>
    <cellStyle name="40% - Accent4" xfId="67" builtinId="43" customBuiltin="1"/>
    <cellStyle name="40% - Accent5" xfId="71" builtinId="47" customBuiltin="1"/>
    <cellStyle name="40% - Accent6" xfId="75" builtinId="51" customBuiltin="1"/>
    <cellStyle name="60% - Accent1" xfId="56" builtinId="32" customBuiltin="1"/>
    <cellStyle name="60% - Accent2" xfId="60" builtinId="36" customBuiltin="1"/>
    <cellStyle name="60% - Accent3" xfId="64" builtinId="40" customBuiltin="1"/>
    <cellStyle name="60% - Accent4" xfId="68" builtinId="44" customBuiltin="1"/>
    <cellStyle name="60% - Accent5" xfId="72" builtinId="48" customBuiltin="1"/>
    <cellStyle name="60% - Accent6" xfId="76" builtinId="52" customBuiltin="1"/>
    <cellStyle name="Accent1" xfId="53" builtinId="29" customBuiltin="1"/>
    <cellStyle name="Accent2" xfId="57" builtinId="33" customBuiltin="1"/>
    <cellStyle name="Accent3" xfId="61" builtinId="37" customBuiltin="1"/>
    <cellStyle name="Accent4" xfId="65" builtinId="41" customBuiltin="1"/>
    <cellStyle name="Accent5" xfId="69" builtinId="45" customBuiltin="1"/>
    <cellStyle name="Accent6" xfId="73" builtinId="49" customBuiltin="1"/>
    <cellStyle name="Bad" xfId="42" builtinId="27" customBuiltin="1"/>
    <cellStyle name="Calculation" xfId="46" builtinId="22" customBuiltin="1"/>
    <cellStyle name="Check Cell" xfId="48" builtinId="23" customBuiltin="1"/>
    <cellStyle name="Comma 2" xfId="34" xr:uid="{00000000-0005-0000-0000-00001B000000}"/>
    <cellStyle name="Currency 2" xfId="35" xr:uid="{00000000-0005-0000-0000-00001C000000}"/>
    <cellStyle name="Explanatory Text" xfId="51" builtinId="53" customBuiltin="1"/>
    <cellStyle name="Good" xfId="41" builtinId="26" customBuiltin="1"/>
    <cellStyle name="Heading 1" xfId="37" builtinId="16" customBuiltin="1"/>
    <cellStyle name="Heading 2" xfId="38" builtinId="17" customBuiltin="1"/>
    <cellStyle name="Heading 3" xfId="39" builtinId="18" customBuiltin="1"/>
    <cellStyle name="Heading 4" xfId="40" builtinId="19" customBuiltin="1"/>
    <cellStyle name="Hyperlink" xfId="20" builtinId="8"/>
    <cellStyle name="Input" xfId="44" builtinId="20" customBuiltin="1"/>
    <cellStyle name="Linked Cell" xfId="47" builtinId="24" customBuiltin="1"/>
    <cellStyle name="Neutral" xfId="43" builtinId="28" customBuiltin="1"/>
    <cellStyle name="Normal" xfId="0" builtinId="0"/>
    <cellStyle name="Normal 2" xfId="1" xr:uid="{00000000-0005-0000-0000-000028000000}"/>
    <cellStyle name="Normal 2 10" xfId="17" xr:uid="{00000000-0005-0000-0000-000029000000}"/>
    <cellStyle name="Normal 2 10 2" xfId="30" xr:uid="{00000000-0005-0000-0000-00002A000000}"/>
    <cellStyle name="Normal 2 11" xfId="36" xr:uid="{00000000-0005-0000-0000-00002B000000}"/>
    <cellStyle name="Normal 2 12" xfId="33" xr:uid="{00000000-0005-0000-0000-00002C000000}"/>
    <cellStyle name="Normal 2 2" xfId="2" xr:uid="{00000000-0005-0000-0000-00002D000000}"/>
    <cellStyle name="Normal 2 3" xfId="6" xr:uid="{00000000-0005-0000-0000-00002E000000}"/>
    <cellStyle name="Normal 2 3 2" xfId="21" xr:uid="{00000000-0005-0000-0000-00002F000000}"/>
    <cellStyle name="Normal 2 4" xfId="7" xr:uid="{00000000-0005-0000-0000-000030000000}"/>
    <cellStyle name="Normal 2 4 2" xfId="22" xr:uid="{00000000-0005-0000-0000-000031000000}"/>
    <cellStyle name="Normal 2 5" xfId="9" xr:uid="{00000000-0005-0000-0000-000032000000}"/>
    <cellStyle name="Normal 2 6" xfId="10" xr:uid="{00000000-0005-0000-0000-000033000000}"/>
    <cellStyle name="Normal 2 6 2" xfId="23" xr:uid="{00000000-0005-0000-0000-000034000000}"/>
    <cellStyle name="Normal 2 7" xfId="11" xr:uid="{00000000-0005-0000-0000-000035000000}"/>
    <cellStyle name="Normal 2 7 2" xfId="24" xr:uid="{00000000-0005-0000-0000-000036000000}"/>
    <cellStyle name="Normal 2 8" xfId="12" xr:uid="{00000000-0005-0000-0000-000037000000}"/>
    <cellStyle name="Normal 2 8 2" xfId="25" xr:uid="{00000000-0005-0000-0000-000038000000}"/>
    <cellStyle name="Normal 2 9" xfId="16" xr:uid="{00000000-0005-0000-0000-000039000000}"/>
    <cellStyle name="Normal 2 9 2" xfId="29" xr:uid="{00000000-0005-0000-0000-00003A000000}"/>
    <cellStyle name="Normal 3" xfId="3" xr:uid="{00000000-0005-0000-0000-00003B000000}"/>
    <cellStyle name="Normal 4" xfId="8" xr:uid="{00000000-0005-0000-0000-00003C000000}"/>
    <cellStyle name="Normal 4 2" xfId="13" xr:uid="{00000000-0005-0000-0000-00003D000000}"/>
    <cellStyle name="Normal 4 2 2" xfId="26" xr:uid="{00000000-0005-0000-0000-00003E000000}"/>
    <cellStyle name="Normal 4 3" xfId="14" xr:uid="{00000000-0005-0000-0000-00003F000000}"/>
    <cellStyle name="Normal 4 3 2" xfId="27" xr:uid="{00000000-0005-0000-0000-000040000000}"/>
    <cellStyle name="Normal 4 4" xfId="15" xr:uid="{00000000-0005-0000-0000-000041000000}"/>
    <cellStyle name="Normal 4 4 2" xfId="28" xr:uid="{00000000-0005-0000-0000-000042000000}"/>
    <cellStyle name="Normal 4 5" xfId="18" xr:uid="{00000000-0005-0000-0000-000043000000}"/>
    <cellStyle name="Normal 4 5 2" xfId="31" xr:uid="{00000000-0005-0000-0000-000044000000}"/>
    <cellStyle name="Normal 4 6" xfId="19" xr:uid="{00000000-0005-0000-0000-000045000000}"/>
    <cellStyle name="Normal 4 6 2" xfId="32" xr:uid="{00000000-0005-0000-0000-000046000000}"/>
    <cellStyle name="Normal 5" xfId="4" xr:uid="{00000000-0005-0000-0000-000047000000}"/>
    <cellStyle name="Normal 6" xfId="5" xr:uid="{00000000-0005-0000-0000-000048000000}"/>
    <cellStyle name="Note" xfId="50" builtinId="10" customBuiltin="1"/>
    <cellStyle name="Output" xfId="45" builtinId="21" customBuiltin="1"/>
    <cellStyle name="Title 2" xfId="77" xr:uid="{00000000-0005-0000-0000-00004B000000}"/>
    <cellStyle name="Total" xfId="52" builtinId="25" customBuiltin="1"/>
    <cellStyle name="Warning Text" xfId="49" builtinId="11" customBuiltin="1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97E6"/>
      <color rgb="FF538DD5"/>
      <color rgb="FF35F8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814187</xdr:colOff>
      <xdr:row>0</xdr:row>
      <xdr:rowOff>115317</xdr:rowOff>
    </xdr:from>
    <xdr:to>
      <xdr:col>5</xdr:col>
      <xdr:colOff>56750</xdr:colOff>
      <xdr:row>0</xdr:row>
      <xdr:rowOff>571500</xdr:rowOff>
    </xdr:to>
    <xdr:sp macro="[0]!Sheet13.cmdLoadData_Click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610420" y="115317"/>
          <a:ext cx="873258" cy="456183"/>
        </a:xfrm>
        <a:prstGeom prst="rect">
          <a:avLst/>
        </a:prstGeom>
        <a:solidFill>
          <a:srgbClr val="35F81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CA" sz="1600"/>
            <a:t>GO</a:t>
          </a:r>
        </a:p>
      </xdr:txBody>
    </xdr:sp>
    <xdr:clientData/>
  </xdr:twoCellAnchor>
  <xdr:twoCellAnchor editAs="absolute">
    <xdr:from>
      <xdr:col>3</xdr:col>
      <xdr:colOff>811785</xdr:colOff>
      <xdr:row>0</xdr:row>
      <xdr:rowOff>690501</xdr:rowOff>
    </xdr:from>
    <xdr:to>
      <xdr:col>5</xdr:col>
      <xdr:colOff>56751</xdr:colOff>
      <xdr:row>0</xdr:row>
      <xdr:rowOff>1156607</xdr:rowOff>
    </xdr:to>
    <xdr:sp macro="[0]!Sheet13.cmdGenerateJEReport_Click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608018" y="690501"/>
          <a:ext cx="875661" cy="466106"/>
        </a:xfrm>
        <a:prstGeom prst="rect">
          <a:avLst/>
        </a:prstGeom>
        <a:solidFill>
          <a:schemeClr val="accent1">
            <a:lumMod val="10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CA" sz="1600"/>
            <a:t>SAVE</a:t>
          </a:r>
          <a:endParaRPr lang="en-CA" sz="2800"/>
        </a:p>
      </xdr:txBody>
    </xdr:sp>
    <xdr:clientData/>
  </xdr:twoCellAnchor>
  <xdr:twoCellAnchor editAs="absolute">
    <xdr:from>
      <xdr:col>3</xdr:col>
      <xdr:colOff>825392</xdr:colOff>
      <xdr:row>0</xdr:row>
      <xdr:rowOff>1249994</xdr:rowOff>
    </xdr:from>
    <xdr:to>
      <xdr:col>5</xdr:col>
      <xdr:colOff>70358</xdr:colOff>
      <xdr:row>0</xdr:row>
      <xdr:rowOff>1728107</xdr:rowOff>
    </xdr:to>
    <xdr:sp macro="[0]!ShowExportUF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621625" y="1249994"/>
          <a:ext cx="875661" cy="478113"/>
        </a:xfrm>
        <a:prstGeom prst="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CA" sz="1600"/>
            <a:t>EXPORT</a:t>
          </a:r>
        </a:p>
      </xdr:txBody>
    </xdr:sp>
    <xdr:clientData/>
  </xdr:twoCellAnchor>
  <xdr:twoCellAnchor editAs="absolute">
    <xdr:from>
      <xdr:col>0</xdr:col>
      <xdr:colOff>87406</xdr:colOff>
      <xdr:row>0</xdr:row>
      <xdr:rowOff>78440</xdr:rowOff>
    </xdr:from>
    <xdr:to>
      <xdr:col>2</xdr:col>
      <xdr:colOff>640178</xdr:colOff>
      <xdr:row>0</xdr:row>
      <xdr:rowOff>1860175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06" y="78440"/>
          <a:ext cx="2166419" cy="1781735"/>
        </a:xfrm>
        <a:prstGeom prst="rect">
          <a:avLst/>
        </a:prstGeom>
      </xdr:spPr>
    </xdr:pic>
    <xdr:clientData/>
  </xdr:twoCellAnchor>
  <xdr:twoCellAnchor editAs="absolute">
    <xdr:from>
      <xdr:col>5</xdr:col>
      <xdr:colOff>122383</xdr:colOff>
      <xdr:row>0</xdr:row>
      <xdr:rowOff>100852</xdr:rowOff>
    </xdr:from>
    <xdr:to>
      <xdr:col>9</xdr:col>
      <xdr:colOff>468244</xdr:colOff>
      <xdr:row>0</xdr:row>
      <xdr:rowOff>612321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478795" y="100852"/>
          <a:ext cx="2968037" cy="5114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0">
          <a:noAutofit/>
        </a:bodyPr>
        <a:lstStyle/>
        <a:p>
          <a:pPr>
            <a:spcBef>
              <a:spcPts val="4200"/>
            </a:spcBef>
          </a:pPr>
          <a:r>
            <a:rPr lang="en-CA" sz="1200"/>
            <a:t>Select Pay Period and Create Journal Entry</a:t>
          </a:r>
        </a:p>
      </xdr:txBody>
    </xdr:sp>
    <xdr:clientData/>
  </xdr:twoCellAnchor>
  <xdr:twoCellAnchor editAs="absolute">
    <xdr:from>
      <xdr:col>2</xdr:col>
      <xdr:colOff>359073</xdr:colOff>
      <xdr:row>0</xdr:row>
      <xdr:rowOff>322567</xdr:rowOff>
    </xdr:from>
    <xdr:to>
      <xdr:col>3</xdr:col>
      <xdr:colOff>775767</xdr:colOff>
      <xdr:row>0</xdr:row>
      <xdr:rowOff>1420744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964234" y="322567"/>
          <a:ext cx="2607766" cy="10981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2600">
              <a:solidFill>
                <a:srgbClr val="0097E6"/>
              </a:solidFill>
            </a:rPr>
            <a:t>JOURNAL UTILITY</a:t>
          </a:r>
        </a:p>
        <a:p>
          <a:r>
            <a:rPr lang="en-CA" sz="1000">
              <a:solidFill>
                <a:srgbClr val="0097E6"/>
              </a:solidFill>
            </a:rPr>
            <a:t>VER. 7.0</a:t>
          </a:r>
          <a:r>
            <a:rPr lang="en-CA" sz="1000" baseline="0">
              <a:solidFill>
                <a:srgbClr val="0097E6"/>
              </a:solidFill>
            </a:rPr>
            <a:t> - 64 BIT</a:t>
          </a:r>
          <a:endParaRPr lang="en-CA" sz="1000">
            <a:solidFill>
              <a:srgbClr val="0097E6"/>
            </a:solidFill>
          </a:endParaRPr>
        </a:p>
      </xdr:txBody>
    </xdr:sp>
    <xdr:clientData/>
  </xdr:twoCellAnchor>
  <xdr:twoCellAnchor editAs="absolute">
    <xdr:from>
      <xdr:col>5</xdr:col>
      <xdr:colOff>122383</xdr:colOff>
      <xdr:row>0</xdr:row>
      <xdr:rowOff>662746</xdr:rowOff>
    </xdr:from>
    <xdr:to>
      <xdr:col>9</xdr:col>
      <xdr:colOff>369794</xdr:colOff>
      <xdr:row>0</xdr:row>
      <xdr:rowOff>1115786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478795" y="662746"/>
          <a:ext cx="2869587" cy="4530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Save the Journal Entry to a new workbook</a:t>
          </a:r>
          <a:endParaRPr lang="en-CA" sz="1200">
            <a:effectLst/>
          </a:endParaRPr>
        </a:p>
      </xdr:txBody>
    </xdr:sp>
    <xdr:clientData/>
  </xdr:twoCellAnchor>
  <xdr:twoCellAnchor editAs="absolute">
    <xdr:from>
      <xdr:col>5</xdr:col>
      <xdr:colOff>122383</xdr:colOff>
      <xdr:row>0</xdr:row>
      <xdr:rowOff>1235846</xdr:rowOff>
    </xdr:from>
    <xdr:to>
      <xdr:col>9</xdr:col>
      <xdr:colOff>455276</xdr:colOff>
      <xdr:row>0</xdr:row>
      <xdr:rowOff>1700893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478795" y="1235846"/>
          <a:ext cx="2955069" cy="4650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Create Journal Entry Export </a:t>
          </a:r>
          <a:endParaRPr lang="en-CA" sz="1200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66675</xdr:colOff>
          <xdr:row>0</xdr:row>
          <xdr:rowOff>200025</xdr:rowOff>
        </xdr:from>
        <xdr:to>
          <xdr:col>3</xdr:col>
          <xdr:colOff>590550</xdr:colOff>
          <xdr:row>0</xdr:row>
          <xdr:rowOff>523875</xdr:rowOff>
        </xdr:to>
        <xdr:sp macro="" textlink="">
          <xdr:nvSpPr>
            <xdr:cNvPr id="12298" name="Button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1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Generate Config Map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762000</xdr:colOff>
          <xdr:row>0</xdr:row>
          <xdr:rowOff>209550</xdr:rowOff>
        </xdr:from>
        <xdr:to>
          <xdr:col>8</xdr:col>
          <xdr:colOff>114300</xdr:colOff>
          <xdr:row>0</xdr:row>
          <xdr:rowOff>533400</xdr:rowOff>
        </xdr:to>
        <xdr:sp macro="" textlink="">
          <xdr:nvSpPr>
            <xdr:cNvPr id="12300" name="Button 12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1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Validate Configuration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352425</xdr:colOff>
          <xdr:row>0</xdr:row>
          <xdr:rowOff>209550</xdr:rowOff>
        </xdr:from>
        <xdr:to>
          <xdr:col>11</xdr:col>
          <xdr:colOff>828675</xdr:colOff>
          <xdr:row>0</xdr:row>
          <xdr:rowOff>533400</xdr:rowOff>
        </xdr:to>
        <xdr:sp macro="" textlink="">
          <xdr:nvSpPr>
            <xdr:cNvPr id="12301" name="Button 13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1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Copy Configuration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3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secure2.inclusionsystem.ca/EverestJournalEntry/JournalEntryService.svc" TargetMode="External"/><Relationship Id="rId3" Type="http://schemas.openxmlformats.org/officeDocument/2006/relationships/hyperlink" Target="https://secure2.inclusionsystem.ca/EverestJournalEntry/JournalEntryService.svc?wsdl" TargetMode="External"/><Relationship Id="rId7" Type="http://schemas.openxmlformats.org/officeDocument/2006/relationships/hyperlink" Target="https://secure2.inclusionsystem.ca/EverestJournalEntry/JournalEntryService.svc?wsdl" TargetMode="External"/><Relationship Id="rId2" Type="http://schemas.openxmlformats.org/officeDocument/2006/relationships/hyperlink" Target="https://secure3.inclusionsystem.ca/preprod/EverestJournalEntry/JournalEntryService.svc" TargetMode="External"/><Relationship Id="rId1" Type="http://schemas.openxmlformats.org/officeDocument/2006/relationships/hyperlink" Target="https://secure3.inclusionsystem.ca/preprod/EverestJournalEntry/JournalEntryService.svc?wsdl" TargetMode="External"/><Relationship Id="rId6" Type="http://schemas.openxmlformats.org/officeDocument/2006/relationships/hyperlink" Target="https://secure2.inclusionsystem.ca/EverestJournalEntry/JournalEntryService.svc" TargetMode="External"/><Relationship Id="rId5" Type="http://schemas.openxmlformats.org/officeDocument/2006/relationships/hyperlink" Target="https://secure2.inclusionsystem.ca/EverestJournalEntry/JournalEntryService.svc?wsdl" TargetMode="External"/><Relationship Id="rId10" Type="http://schemas.openxmlformats.org/officeDocument/2006/relationships/customProperty" Target="../customProperty8.bin"/><Relationship Id="rId4" Type="http://schemas.openxmlformats.org/officeDocument/2006/relationships/hyperlink" Target="https://secure2.inclusionsystem.ca/EverestJournalEntry/JournalEntryService.svc" TargetMode="External"/><Relationship Id="rId9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tabColor rgb="FF35F814"/>
    <pageSetUpPr fitToPage="1"/>
  </sheetPr>
  <dimension ref="A1:W3"/>
  <sheetViews>
    <sheetView showGridLines="0" tabSelected="1" zoomScale="85" zoomScaleNormal="85" workbookViewId="0">
      <selection activeCell="C22" sqref="C22"/>
    </sheetView>
  </sheetViews>
  <sheetFormatPr defaultColWidth="9.140625" defaultRowHeight="15" x14ac:dyDescent="0.25"/>
  <cols>
    <col min="1" max="1" width="4.7109375" style="7" customWidth="1"/>
    <col min="2" max="2" width="19.5703125" style="7" bestFit="1" customWidth="1"/>
    <col min="3" max="3" width="31.28515625" style="7" customWidth="1"/>
    <col min="4" max="4" width="14.5703125" style="7" customWidth="1"/>
    <col min="5" max="5" width="10.28515625" style="7" bestFit="1" customWidth="1"/>
    <col min="6" max="6" width="9.28515625" style="7" customWidth="1"/>
    <col min="7" max="7" width="11.85546875" style="7" customWidth="1"/>
    <col min="8" max="10" width="9.140625" style="7"/>
    <col min="11" max="11" width="15.7109375" style="7" customWidth="1"/>
    <col min="12" max="16384" width="9.140625" style="21"/>
  </cols>
  <sheetData>
    <row r="1" spans="1:23" ht="157.5" customHeight="1" thickBot="1" x14ac:dyDescent="0.3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20"/>
      <c r="M1" s="20"/>
      <c r="N1" s="20"/>
      <c r="O1" s="20"/>
      <c r="P1" s="20"/>
      <c r="Q1" s="20"/>
      <c r="R1" s="20"/>
      <c r="S1" s="20"/>
      <c r="T1" s="20"/>
      <c r="U1" s="19"/>
      <c r="V1" s="19"/>
      <c r="W1" s="19"/>
    </row>
    <row r="2" spans="1:23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</sheetData>
  <sheetProtection algorithmName="SHA-512" hashValue="pPn0KNGpTS1fystZ++dbSDMz6Shyz/+K4EvJZV4b3TTTc2B5AUKu9co4dCPGxc0tcBMcH8eSnudCPWJQJtdkIQ==" saltValue="0zslvSj1ohiMI+8DJwlokg==" spinCount="100000" sheet="1" objects="1" scenarios="1" insertRows="0" deleteRows="0" sort="0" autoFilter="0" pivotTables="0"/>
  <protectedRanges>
    <protectedRange sqref="A20:XFD1048575" name="Range1"/>
  </protectedRanges>
  <dataConsolidate/>
  <mergeCells count="1">
    <mergeCell ref="A1:K1"/>
  </mergeCells>
  <printOptions horizontalCentered="1"/>
  <pageMargins left="0.7" right="0.7" top="0.75" bottom="0.75" header="0.3" footer="0.3"/>
  <pageSetup fitToHeight="0" orientation="portrait" r:id="rId1"/>
  <headerFooter>
    <oddHeader>&amp;CIBEX Journal Entry Report</oddHeader>
    <oddFooter>&amp;L&amp;"-,Bold"Confidential
&amp;[Company]&amp;CPrinted: &amp;D &amp;T&amp;RPage &amp;P /&amp;N</oddFooter>
  </headerFooter>
  <customProperties>
    <customPr name="DVSECTION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D681"/>
  <sheetViews>
    <sheetView workbookViewId="0">
      <selection activeCell="B7" sqref="B7"/>
    </sheetView>
  </sheetViews>
  <sheetFormatPr defaultColWidth="9.140625" defaultRowHeight="15" x14ac:dyDescent="0.25"/>
  <cols>
    <col min="1" max="1" width="18.5703125" style="14" bestFit="1" customWidth="1"/>
    <col min="2" max="2" width="6.28515625" style="13" customWidth="1"/>
    <col min="3" max="3" width="30.140625" style="13" bestFit="1" customWidth="1"/>
    <col min="4" max="4" width="97.42578125" style="13" customWidth="1"/>
    <col min="5" max="16384" width="9.140625" style="13"/>
  </cols>
  <sheetData>
    <row r="1" spans="1:4" x14ac:dyDescent="0.25">
      <c r="A1" s="14" t="s">
        <v>47</v>
      </c>
      <c r="B1" s="13" t="s">
        <v>48</v>
      </c>
      <c r="C1" s="13" t="s">
        <v>62</v>
      </c>
      <c r="D1" s="13" t="s">
        <v>10</v>
      </c>
    </row>
    <row r="2" spans="1:4" x14ac:dyDescent="0.25">
      <c r="A2" s="14">
        <v>40652.681493055556</v>
      </c>
      <c r="B2" s="13" t="s">
        <v>63</v>
      </c>
      <c r="C2" s="13" t="s">
        <v>80</v>
      </c>
    </row>
    <row r="3" spans="1:4" x14ac:dyDescent="0.25">
      <c r="A3" s="14">
        <v>40652.681516203702</v>
      </c>
      <c r="B3" s="13" t="s">
        <v>63</v>
      </c>
      <c r="C3" s="13" t="s">
        <v>77</v>
      </c>
    </row>
    <row r="4" spans="1:4" x14ac:dyDescent="0.25">
      <c r="A4" s="14">
        <v>40652.68172453704</v>
      </c>
      <c r="B4" s="13" t="s">
        <v>85</v>
      </c>
      <c r="C4" s="13" t="s">
        <v>84</v>
      </c>
    </row>
    <row r="5" spans="1:4" x14ac:dyDescent="0.25">
      <c r="A5" s="14">
        <v>40652.68172453704</v>
      </c>
      <c r="B5" s="13" t="s">
        <v>63</v>
      </c>
      <c r="C5" s="13" t="s">
        <v>75</v>
      </c>
    </row>
    <row r="6" spans="1:4" x14ac:dyDescent="0.25">
      <c r="A6" s="14">
        <v>40652.68173611111</v>
      </c>
      <c r="B6" s="13" t="s">
        <v>63</v>
      </c>
      <c r="C6" s="13" t="s">
        <v>72</v>
      </c>
    </row>
    <row r="7" spans="1:4" x14ac:dyDescent="0.25">
      <c r="A7" s="14">
        <v>40652.786053240743</v>
      </c>
      <c r="B7" s="13" t="s">
        <v>63</v>
      </c>
      <c r="C7" s="13" t="s">
        <v>81</v>
      </c>
    </row>
    <row r="8" spans="1:4" x14ac:dyDescent="0.25">
      <c r="A8" s="14">
        <v>40652.786053240743</v>
      </c>
      <c r="B8" s="13" t="s">
        <v>63</v>
      </c>
      <c r="C8" s="13" t="s">
        <v>82</v>
      </c>
    </row>
    <row r="9" spans="1:4" x14ac:dyDescent="0.25">
      <c r="A9" s="14">
        <v>40652.786249999997</v>
      </c>
      <c r="B9" s="13" t="s">
        <v>63</v>
      </c>
      <c r="C9" s="13" t="s">
        <v>96</v>
      </c>
    </row>
    <row r="10" spans="1:4" x14ac:dyDescent="0.25">
      <c r="A10" s="14">
        <v>40652.786249999997</v>
      </c>
      <c r="B10" s="13" t="s">
        <v>63</v>
      </c>
      <c r="C10" s="13" t="s">
        <v>77</v>
      </c>
    </row>
    <row r="11" spans="1:4" x14ac:dyDescent="0.25">
      <c r="A11" s="14">
        <v>40652.786307870374</v>
      </c>
      <c r="B11" s="13" t="s">
        <v>63</v>
      </c>
      <c r="C11" s="13" t="s">
        <v>77</v>
      </c>
    </row>
    <row r="12" spans="1:4" x14ac:dyDescent="0.25">
      <c r="A12" s="14">
        <v>40652.786377314813</v>
      </c>
      <c r="B12" s="13" t="s">
        <v>85</v>
      </c>
      <c r="C12" s="13" t="s">
        <v>87</v>
      </c>
    </row>
    <row r="13" spans="1:4" x14ac:dyDescent="0.25">
      <c r="A13" s="14">
        <v>40652.7891087963</v>
      </c>
      <c r="B13" s="13" t="s">
        <v>63</v>
      </c>
      <c r="C13" s="13" t="s">
        <v>65</v>
      </c>
    </row>
    <row r="14" spans="1:4" x14ac:dyDescent="0.25">
      <c r="A14" s="14">
        <v>40652.7891087963</v>
      </c>
      <c r="B14" s="13" t="s">
        <v>63</v>
      </c>
      <c r="C14" s="13" t="s">
        <v>71</v>
      </c>
    </row>
    <row r="15" spans="1:4" x14ac:dyDescent="0.25">
      <c r="A15" s="14">
        <v>40652.7891087963</v>
      </c>
      <c r="B15" s="13" t="s">
        <v>63</v>
      </c>
      <c r="C15" s="13" t="s">
        <v>73</v>
      </c>
    </row>
    <row r="16" spans="1:4" x14ac:dyDescent="0.25">
      <c r="A16" s="14">
        <v>40652.789212962962</v>
      </c>
      <c r="B16" s="13" t="s">
        <v>63</v>
      </c>
      <c r="C16" s="13" t="s">
        <v>74</v>
      </c>
    </row>
    <row r="17" spans="1:3" x14ac:dyDescent="0.25">
      <c r="A17" s="14">
        <v>40652.789212962962</v>
      </c>
      <c r="B17" s="13" t="s">
        <v>63</v>
      </c>
      <c r="C17" s="13" t="s">
        <v>75</v>
      </c>
    </row>
    <row r="18" spans="1:3" x14ac:dyDescent="0.25">
      <c r="A18" s="14">
        <v>40652.789212962962</v>
      </c>
      <c r="B18" s="13" t="s">
        <v>63</v>
      </c>
      <c r="C18" s="13" t="s">
        <v>76</v>
      </c>
    </row>
    <row r="19" spans="1:3" x14ac:dyDescent="0.25">
      <c r="A19" s="14">
        <v>40652.789236111108</v>
      </c>
      <c r="B19" s="13" t="s">
        <v>63</v>
      </c>
      <c r="C19" s="13" t="s">
        <v>77</v>
      </c>
    </row>
    <row r="20" spans="1:3" x14ac:dyDescent="0.25">
      <c r="A20" s="14">
        <v>40652.789398148147</v>
      </c>
      <c r="B20" s="13" t="s">
        <v>63</v>
      </c>
      <c r="C20" s="13" t="s">
        <v>75</v>
      </c>
    </row>
    <row r="21" spans="1:3" x14ac:dyDescent="0.25">
      <c r="A21" s="14">
        <v>40652.789398148147</v>
      </c>
      <c r="B21" s="13" t="s">
        <v>63</v>
      </c>
      <c r="C21" s="13" t="s">
        <v>78</v>
      </c>
    </row>
    <row r="22" spans="1:3" x14ac:dyDescent="0.25">
      <c r="A22" s="14">
        <v>40652.789398148147</v>
      </c>
      <c r="B22" s="13" t="s">
        <v>63</v>
      </c>
      <c r="C22" s="13" t="s">
        <v>77</v>
      </c>
    </row>
    <row r="23" spans="1:3" x14ac:dyDescent="0.25">
      <c r="A23" s="14">
        <v>40652.789398148147</v>
      </c>
      <c r="B23" s="13" t="s">
        <v>63</v>
      </c>
      <c r="C23" s="13" t="s">
        <v>75</v>
      </c>
    </row>
    <row r="24" spans="1:3" x14ac:dyDescent="0.25">
      <c r="A24" s="14">
        <v>40652.789398148147</v>
      </c>
      <c r="B24" s="13" t="s">
        <v>63</v>
      </c>
      <c r="C24" s="13" t="s">
        <v>79</v>
      </c>
    </row>
    <row r="25" spans="1:3" x14ac:dyDescent="0.25">
      <c r="A25" s="14">
        <v>40652.789525462962</v>
      </c>
      <c r="B25" s="13" t="s">
        <v>63</v>
      </c>
      <c r="C25" s="13" t="s">
        <v>77</v>
      </c>
    </row>
    <row r="26" spans="1:3" x14ac:dyDescent="0.25">
      <c r="A26" s="14">
        <v>40652.789537037039</v>
      </c>
      <c r="B26" s="13" t="s">
        <v>63</v>
      </c>
      <c r="C26" s="13" t="s">
        <v>75</v>
      </c>
    </row>
    <row r="27" spans="1:3" x14ac:dyDescent="0.25">
      <c r="A27" s="14">
        <v>40652.789537037039</v>
      </c>
      <c r="B27" s="13" t="s">
        <v>63</v>
      </c>
      <c r="C27" s="13" t="s">
        <v>80</v>
      </c>
    </row>
    <row r="28" spans="1:3" x14ac:dyDescent="0.25">
      <c r="A28" s="14">
        <v>40652.789548611108</v>
      </c>
      <c r="B28" s="13" t="s">
        <v>63</v>
      </c>
      <c r="C28" s="13" t="s">
        <v>77</v>
      </c>
    </row>
    <row r="29" spans="1:3" x14ac:dyDescent="0.25">
      <c r="A29" s="14">
        <v>40652.789571759262</v>
      </c>
      <c r="B29" s="13" t="s">
        <v>85</v>
      </c>
      <c r="C29" s="13" t="s">
        <v>84</v>
      </c>
    </row>
    <row r="30" spans="1:3" x14ac:dyDescent="0.25">
      <c r="A30" s="14">
        <v>40652.789571759262</v>
      </c>
      <c r="B30" s="13" t="s">
        <v>63</v>
      </c>
      <c r="C30" s="13" t="s">
        <v>75</v>
      </c>
    </row>
    <row r="31" spans="1:3" x14ac:dyDescent="0.25">
      <c r="A31" s="14">
        <v>40652.789583333331</v>
      </c>
      <c r="B31" s="13" t="s">
        <v>63</v>
      </c>
      <c r="C31" s="13" t="s">
        <v>72</v>
      </c>
    </row>
    <row r="32" spans="1:3" x14ac:dyDescent="0.25">
      <c r="A32" s="14">
        <v>40652.789699074077</v>
      </c>
      <c r="B32" s="13" t="s">
        <v>63</v>
      </c>
      <c r="C32" s="13" t="s">
        <v>108</v>
      </c>
    </row>
    <row r="33" spans="1:3" x14ac:dyDescent="0.25">
      <c r="A33" s="14">
        <v>40652.789699074077</v>
      </c>
      <c r="B33" s="13" t="s">
        <v>63</v>
      </c>
      <c r="C33" s="13" t="s">
        <v>82</v>
      </c>
    </row>
    <row r="34" spans="1:3" x14ac:dyDescent="0.25">
      <c r="A34" s="14">
        <v>40652.789699074077</v>
      </c>
      <c r="B34" s="13" t="s">
        <v>63</v>
      </c>
      <c r="C34" s="13" t="s">
        <v>96</v>
      </c>
    </row>
    <row r="35" spans="1:3" x14ac:dyDescent="0.25">
      <c r="A35" s="14">
        <v>40652.789699074077</v>
      </c>
      <c r="B35" s="13" t="s">
        <v>63</v>
      </c>
      <c r="C35" s="13" t="s">
        <v>77</v>
      </c>
    </row>
    <row r="36" spans="1:3" x14ac:dyDescent="0.25">
      <c r="A36" s="14">
        <v>40652.789699074077</v>
      </c>
      <c r="B36" s="13" t="s">
        <v>63</v>
      </c>
      <c r="C36" s="13" t="s">
        <v>77</v>
      </c>
    </row>
    <row r="37" spans="1:3" x14ac:dyDescent="0.25">
      <c r="A37" s="14">
        <v>40652.789710648147</v>
      </c>
      <c r="B37" s="13" t="s">
        <v>63</v>
      </c>
      <c r="C37" s="13" t="s">
        <v>109</v>
      </c>
    </row>
    <row r="38" spans="1:3" x14ac:dyDescent="0.25">
      <c r="A38" s="14">
        <v>40652.789722222224</v>
      </c>
      <c r="B38" s="13" t="s">
        <v>63</v>
      </c>
      <c r="C38" s="13" t="s">
        <v>110</v>
      </c>
    </row>
    <row r="39" spans="1:3" x14ac:dyDescent="0.25">
      <c r="A39" s="14">
        <v>40652.789849537039</v>
      </c>
      <c r="B39" s="13" t="s">
        <v>63</v>
      </c>
      <c r="C39" s="13" t="s">
        <v>68</v>
      </c>
    </row>
    <row r="40" spans="1:3" x14ac:dyDescent="0.25">
      <c r="A40" s="14">
        <v>40652.789849537039</v>
      </c>
      <c r="B40" s="13" t="s">
        <v>63</v>
      </c>
      <c r="C40" s="13" t="s">
        <v>82</v>
      </c>
    </row>
    <row r="41" spans="1:3" x14ac:dyDescent="0.25">
      <c r="A41" s="14">
        <v>40652.789861111109</v>
      </c>
      <c r="B41" s="13" t="s">
        <v>63</v>
      </c>
      <c r="C41" s="13" t="s">
        <v>96</v>
      </c>
    </row>
    <row r="42" spans="1:3" x14ac:dyDescent="0.25">
      <c r="A42" s="14">
        <v>40652.789861111109</v>
      </c>
      <c r="B42" s="13" t="s">
        <v>63</v>
      </c>
      <c r="C42" s="13" t="s">
        <v>77</v>
      </c>
    </row>
    <row r="43" spans="1:3" x14ac:dyDescent="0.25">
      <c r="A43" s="14">
        <v>40652.789861111109</v>
      </c>
      <c r="B43" s="13" t="s">
        <v>63</v>
      </c>
      <c r="C43" s="13" t="s">
        <v>77</v>
      </c>
    </row>
    <row r="44" spans="1:3" x14ac:dyDescent="0.25">
      <c r="A44" s="14">
        <v>40652.789861111109</v>
      </c>
      <c r="B44" s="13" t="s">
        <v>63</v>
      </c>
      <c r="C44" s="13" t="s">
        <v>69</v>
      </c>
    </row>
    <row r="45" spans="1:3" x14ac:dyDescent="0.25">
      <c r="A45" s="14">
        <v>40652.789872685185</v>
      </c>
      <c r="B45" s="13" t="s">
        <v>63</v>
      </c>
      <c r="C45" s="13" t="s">
        <v>161</v>
      </c>
    </row>
    <row r="46" spans="1:3" x14ac:dyDescent="0.25">
      <c r="A46" s="14">
        <v>40652.789872685185</v>
      </c>
      <c r="B46" s="13" t="s">
        <v>63</v>
      </c>
      <c r="C46" s="13" t="s">
        <v>162</v>
      </c>
    </row>
    <row r="47" spans="1:3" x14ac:dyDescent="0.25">
      <c r="A47" s="14">
        <v>40652.789884259262</v>
      </c>
      <c r="B47" s="13" t="s">
        <v>63</v>
      </c>
      <c r="C47" s="13" t="s">
        <v>163</v>
      </c>
    </row>
    <row r="48" spans="1:3" x14ac:dyDescent="0.25">
      <c r="A48" s="14">
        <v>40652.79278935185</v>
      </c>
      <c r="B48" s="13" t="s">
        <v>63</v>
      </c>
      <c r="C48" s="13" t="s">
        <v>81</v>
      </c>
    </row>
    <row r="49" spans="1:3" x14ac:dyDescent="0.25">
      <c r="A49" s="14">
        <v>40652.79278935185</v>
      </c>
      <c r="B49" s="13" t="s">
        <v>63</v>
      </c>
      <c r="C49" s="13" t="s">
        <v>82</v>
      </c>
    </row>
    <row r="50" spans="1:3" x14ac:dyDescent="0.25">
      <c r="A50" s="14">
        <v>40652.792800925927</v>
      </c>
      <c r="B50" s="13" t="s">
        <v>63</v>
      </c>
      <c r="C50" s="13" t="s">
        <v>96</v>
      </c>
    </row>
    <row r="51" spans="1:3" x14ac:dyDescent="0.25">
      <c r="A51" s="14">
        <v>40652.792800925927</v>
      </c>
      <c r="B51" s="13" t="s">
        <v>63</v>
      </c>
      <c r="C51" s="13" t="s">
        <v>77</v>
      </c>
    </row>
    <row r="52" spans="1:3" x14ac:dyDescent="0.25">
      <c r="A52" s="14">
        <v>40652.792800925927</v>
      </c>
      <c r="B52" s="13" t="s">
        <v>63</v>
      </c>
      <c r="C52" s="13" t="s">
        <v>77</v>
      </c>
    </row>
    <row r="53" spans="1:3" x14ac:dyDescent="0.25">
      <c r="A53" s="14">
        <v>40652.79283564815</v>
      </c>
      <c r="B53" s="13" t="s">
        <v>85</v>
      </c>
      <c r="C53" s="13" t="s">
        <v>103</v>
      </c>
    </row>
    <row r="54" spans="1:3" x14ac:dyDescent="0.25">
      <c r="A54" s="14">
        <v>40652.792997685188</v>
      </c>
      <c r="B54" s="13" t="s">
        <v>63</v>
      </c>
      <c r="C54" s="13" t="s">
        <v>81</v>
      </c>
    </row>
    <row r="55" spans="1:3" x14ac:dyDescent="0.25">
      <c r="A55" s="14">
        <v>40652.792997685188</v>
      </c>
      <c r="B55" s="13" t="s">
        <v>63</v>
      </c>
      <c r="C55" s="13" t="s">
        <v>82</v>
      </c>
    </row>
    <row r="56" spans="1:3" x14ac:dyDescent="0.25">
      <c r="A56" s="14">
        <v>40652.792997685188</v>
      </c>
      <c r="B56" s="13" t="s">
        <v>63</v>
      </c>
      <c r="C56" s="13" t="s">
        <v>96</v>
      </c>
    </row>
    <row r="57" spans="1:3" x14ac:dyDescent="0.25">
      <c r="A57" s="14">
        <v>40652.792997685188</v>
      </c>
      <c r="B57" s="13" t="s">
        <v>63</v>
      </c>
      <c r="C57" s="13" t="s">
        <v>77</v>
      </c>
    </row>
    <row r="58" spans="1:3" x14ac:dyDescent="0.25">
      <c r="A58" s="14">
        <v>40652.793009259258</v>
      </c>
      <c r="B58" s="13" t="s">
        <v>63</v>
      </c>
      <c r="C58" s="13" t="s">
        <v>77</v>
      </c>
    </row>
    <row r="59" spans="1:3" x14ac:dyDescent="0.25">
      <c r="A59" s="14">
        <v>40652.793020833335</v>
      </c>
      <c r="B59" s="13" t="s">
        <v>85</v>
      </c>
      <c r="C59" s="13" t="s">
        <v>87</v>
      </c>
    </row>
    <row r="60" spans="1:3" x14ac:dyDescent="0.25">
      <c r="A60" s="14">
        <v>40652.797048611108</v>
      </c>
      <c r="B60" s="13" t="s">
        <v>63</v>
      </c>
      <c r="C60" s="13" t="s">
        <v>65</v>
      </c>
    </row>
    <row r="61" spans="1:3" x14ac:dyDescent="0.25">
      <c r="A61" s="14">
        <v>40652.797048611108</v>
      </c>
      <c r="B61" s="13" t="s">
        <v>63</v>
      </c>
      <c r="C61" s="13" t="s">
        <v>71</v>
      </c>
    </row>
    <row r="62" spans="1:3" x14ac:dyDescent="0.25">
      <c r="A62" s="14">
        <v>40652.797048611108</v>
      </c>
      <c r="B62" s="13" t="s">
        <v>63</v>
      </c>
      <c r="C62" s="13" t="s">
        <v>73</v>
      </c>
    </row>
    <row r="63" spans="1:3" x14ac:dyDescent="0.25">
      <c r="A63" s="14">
        <v>40652.797071759262</v>
      </c>
      <c r="B63" s="13" t="s">
        <v>63</v>
      </c>
      <c r="C63" s="13" t="s">
        <v>114</v>
      </c>
    </row>
    <row r="64" spans="1:3" x14ac:dyDescent="0.25">
      <c r="A64" s="14">
        <v>40652.797071759262</v>
      </c>
      <c r="B64" s="13" t="s">
        <v>63</v>
      </c>
      <c r="C64" s="13" t="s">
        <v>160</v>
      </c>
    </row>
    <row r="65" spans="1:3" x14ac:dyDescent="0.25">
      <c r="A65" s="14">
        <v>40652.7971412037</v>
      </c>
      <c r="B65" s="13" t="s">
        <v>63</v>
      </c>
      <c r="C65" s="13" t="s">
        <v>74</v>
      </c>
    </row>
    <row r="66" spans="1:3" x14ac:dyDescent="0.25">
      <c r="A66" s="14">
        <v>40652.7971412037</v>
      </c>
      <c r="B66" s="13" t="s">
        <v>63</v>
      </c>
      <c r="C66" s="13" t="s">
        <v>75</v>
      </c>
    </row>
    <row r="67" spans="1:3" x14ac:dyDescent="0.25">
      <c r="A67" s="14">
        <v>40652.7971412037</v>
      </c>
      <c r="B67" s="13" t="s">
        <v>63</v>
      </c>
      <c r="C67" s="13" t="s">
        <v>76</v>
      </c>
    </row>
    <row r="68" spans="1:3" x14ac:dyDescent="0.25">
      <c r="A68" s="14">
        <v>40652.797152777777</v>
      </c>
      <c r="B68" s="13" t="s">
        <v>63</v>
      </c>
      <c r="C68" s="13" t="s">
        <v>77</v>
      </c>
    </row>
    <row r="69" spans="1:3" x14ac:dyDescent="0.25">
      <c r="A69" s="14">
        <v>40652.797199074077</v>
      </c>
      <c r="B69" s="13" t="s">
        <v>85</v>
      </c>
      <c r="C69" s="13" t="s">
        <v>84</v>
      </c>
    </row>
    <row r="70" spans="1:3" x14ac:dyDescent="0.25">
      <c r="A70" s="14">
        <v>40652.797199074077</v>
      </c>
      <c r="B70" s="13" t="s">
        <v>63</v>
      </c>
      <c r="C70" s="13" t="s">
        <v>75</v>
      </c>
    </row>
    <row r="71" spans="1:3" x14ac:dyDescent="0.25">
      <c r="A71" s="14">
        <v>40652.797233796293</v>
      </c>
      <c r="B71" s="13" t="s">
        <v>63</v>
      </c>
      <c r="C71" s="13" t="s">
        <v>72</v>
      </c>
    </row>
    <row r="72" spans="1:3" x14ac:dyDescent="0.25">
      <c r="A72" s="14">
        <v>40652.79724537037</v>
      </c>
      <c r="B72" s="13" t="s">
        <v>63</v>
      </c>
      <c r="C72" s="13" t="s">
        <v>81</v>
      </c>
    </row>
    <row r="73" spans="1:3" x14ac:dyDescent="0.25">
      <c r="A73" s="14">
        <v>40652.79724537037</v>
      </c>
      <c r="B73" s="13" t="s">
        <v>63</v>
      </c>
      <c r="C73" s="13" t="s">
        <v>82</v>
      </c>
    </row>
    <row r="74" spans="1:3" x14ac:dyDescent="0.25">
      <c r="A74" s="14">
        <v>40652.797256944446</v>
      </c>
      <c r="B74" s="13" t="s">
        <v>63</v>
      </c>
      <c r="C74" s="13" t="s">
        <v>96</v>
      </c>
    </row>
    <row r="75" spans="1:3" x14ac:dyDescent="0.25">
      <c r="A75" s="14">
        <v>40652.797256944446</v>
      </c>
      <c r="B75" s="13" t="s">
        <v>63</v>
      </c>
      <c r="C75" s="13" t="s">
        <v>77</v>
      </c>
    </row>
    <row r="76" spans="1:3" x14ac:dyDescent="0.25">
      <c r="A76" s="14">
        <v>40652.797256944446</v>
      </c>
      <c r="B76" s="13" t="s">
        <v>63</v>
      </c>
      <c r="C76" s="13" t="s">
        <v>77</v>
      </c>
    </row>
    <row r="77" spans="1:3" x14ac:dyDescent="0.25">
      <c r="A77" s="14">
        <v>40652.797280092593</v>
      </c>
      <c r="B77" s="13" t="s">
        <v>85</v>
      </c>
      <c r="C77" s="13" t="s">
        <v>87</v>
      </c>
    </row>
    <row r="78" spans="1:3" x14ac:dyDescent="0.25">
      <c r="A78" s="14">
        <v>40652.797303240739</v>
      </c>
      <c r="B78" s="13" t="s">
        <v>63</v>
      </c>
      <c r="C78" s="13" t="s">
        <v>65</v>
      </c>
    </row>
    <row r="79" spans="1:3" x14ac:dyDescent="0.25">
      <c r="A79" s="14">
        <v>40652.797303240739</v>
      </c>
      <c r="B79" s="13" t="s">
        <v>63</v>
      </c>
      <c r="C79" s="13" t="s">
        <v>71</v>
      </c>
    </row>
    <row r="80" spans="1:3" x14ac:dyDescent="0.25">
      <c r="A80" s="14">
        <v>40652.797303240739</v>
      </c>
      <c r="B80" s="13" t="s">
        <v>63</v>
      </c>
      <c r="C80" s="13" t="s">
        <v>73</v>
      </c>
    </row>
    <row r="81" spans="1:3" x14ac:dyDescent="0.25">
      <c r="A81" s="14">
        <v>40652.797395833331</v>
      </c>
      <c r="B81" s="13" t="s">
        <v>63</v>
      </c>
      <c r="C81" s="13" t="s">
        <v>74</v>
      </c>
    </row>
    <row r="82" spans="1:3" x14ac:dyDescent="0.25">
      <c r="A82" s="14">
        <v>40652.797407407408</v>
      </c>
      <c r="B82" s="13" t="s">
        <v>85</v>
      </c>
      <c r="C82" s="13" t="s">
        <v>166</v>
      </c>
    </row>
    <row r="83" spans="1:3" x14ac:dyDescent="0.25">
      <c r="A83" s="14">
        <v>40652.797418981485</v>
      </c>
      <c r="B83" s="13" t="s">
        <v>63</v>
      </c>
      <c r="C83" s="13" t="s">
        <v>74</v>
      </c>
    </row>
    <row r="84" spans="1:3" x14ac:dyDescent="0.25">
      <c r="A84" s="14">
        <v>40652.797418981485</v>
      </c>
      <c r="B84" s="13" t="s">
        <v>63</v>
      </c>
      <c r="C84" s="13" t="s">
        <v>75</v>
      </c>
    </row>
    <row r="85" spans="1:3" x14ac:dyDescent="0.25">
      <c r="A85" s="14">
        <v>40652.797418981485</v>
      </c>
      <c r="B85" s="13" t="s">
        <v>63</v>
      </c>
      <c r="C85" s="13" t="s">
        <v>76</v>
      </c>
    </row>
    <row r="86" spans="1:3" x14ac:dyDescent="0.25">
      <c r="A86" s="14">
        <v>40652.797430555554</v>
      </c>
      <c r="B86" s="13" t="s">
        <v>63</v>
      </c>
      <c r="C86" s="13" t="s">
        <v>77</v>
      </c>
    </row>
    <row r="87" spans="1:3" x14ac:dyDescent="0.25">
      <c r="A87" s="14">
        <v>40652.797430555554</v>
      </c>
      <c r="B87" s="13" t="s">
        <v>63</v>
      </c>
      <c r="C87" s="13" t="s">
        <v>75</v>
      </c>
    </row>
    <row r="88" spans="1:3" x14ac:dyDescent="0.25">
      <c r="A88" s="14">
        <v>40652.797430555554</v>
      </c>
      <c r="B88" s="13" t="s">
        <v>63</v>
      </c>
      <c r="C88" s="13" t="s">
        <v>78</v>
      </c>
    </row>
    <row r="89" spans="1:3" x14ac:dyDescent="0.25">
      <c r="A89" s="14">
        <v>40652.797430555554</v>
      </c>
      <c r="B89" s="13" t="s">
        <v>63</v>
      </c>
      <c r="C89" s="13" t="s">
        <v>77</v>
      </c>
    </row>
    <row r="90" spans="1:3" x14ac:dyDescent="0.25">
      <c r="A90" s="14">
        <v>40652.797442129631</v>
      </c>
      <c r="B90" s="13" t="s">
        <v>63</v>
      </c>
      <c r="C90" s="13" t="s">
        <v>75</v>
      </c>
    </row>
    <row r="91" spans="1:3" x14ac:dyDescent="0.25">
      <c r="A91" s="14">
        <v>40652.797442129631</v>
      </c>
      <c r="B91" s="13" t="s">
        <v>63</v>
      </c>
      <c r="C91" s="13" t="s">
        <v>79</v>
      </c>
    </row>
    <row r="92" spans="1:3" x14ac:dyDescent="0.25">
      <c r="A92" s="14">
        <v>40652.797442129631</v>
      </c>
      <c r="B92" s="13" t="s">
        <v>63</v>
      </c>
      <c r="C92" s="13" t="s">
        <v>77</v>
      </c>
    </row>
    <row r="93" spans="1:3" x14ac:dyDescent="0.25">
      <c r="A93" s="14">
        <v>40652.797453703701</v>
      </c>
      <c r="B93" s="13" t="s">
        <v>85</v>
      </c>
      <c r="C93" s="13" t="s">
        <v>84</v>
      </c>
    </row>
    <row r="94" spans="1:3" x14ac:dyDescent="0.25">
      <c r="A94" s="14">
        <v>40652.797453703701</v>
      </c>
      <c r="B94" s="13" t="s">
        <v>63</v>
      </c>
      <c r="C94" s="13" t="s">
        <v>75</v>
      </c>
    </row>
    <row r="95" spans="1:3" x14ac:dyDescent="0.25">
      <c r="A95" s="14">
        <v>40652.797476851854</v>
      </c>
      <c r="B95" s="13" t="s">
        <v>63</v>
      </c>
      <c r="C95" s="13" t="s">
        <v>72</v>
      </c>
    </row>
    <row r="96" spans="1:3" x14ac:dyDescent="0.25">
      <c r="A96" s="14">
        <v>40652.798356481479</v>
      </c>
      <c r="B96" s="13" t="s">
        <v>63</v>
      </c>
      <c r="C96" s="13" t="s">
        <v>97</v>
      </c>
    </row>
    <row r="97" spans="1:3" ht="60" x14ac:dyDescent="0.25">
      <c r="A97" s="14">
        <v>40652.798368055555</v>
      </c>
      <c r="B97" s="13" t="s">
        <v>85</v>
      </c>
      <c r="C97" s="12" t="s">
        <v>90</v>
      </c>
    </row>
    <row r="98" spans="1:3" x14ac:dyDescent="0.25">
      <c r="A98" s="14">
        <v>40652.798761574071</v>
      </c>
      <c r="B98" s="13" t="s">
        <v>85</v>
      </c>
      <c r="C98" s="13" t="s">
        <v>106</v>
      </c>
    </row>
    <row r="99" spans="1:3" x14ac:dyDescent="0.25">
      <c r="A99" s="14">
        <v>40652.798761574071</v>
      </c>
      <c r="B99" s="13" t="s">
        <v>63</v>
      </c>
      <c r="C99" s="13" t="s">
        <v>77</v>
      </c>
    </row>
    <row r="100" spans="1:3" x14ac:dyDescent="0.25">
      <c r="A100" s="14">
        <v>40652.798796296294</v>
      </c>
      <c r="B100" s="13" t="s">
        <v>85</v>
      </c>
      <c r="C100" s="13" t="s">
        <v>107</v>
      </c>
    </row>
    <row r="101" spans="1:3" x14ac:dyDescent="0.25">
      <c r="A101" s="14">
        <v>40652.798796296294</v>
      </c>
      <c r="B101" s="13" t="s">
        <v>63</v>
      </c>
      <c r="C101" s="13" t="s">
        <v>77</v>
      </c>
    </row>
    <row r="102" spans="1:3" x14ac:dyDescent="0.25">
      <c r="A102" s="14">
        <v>40652.798888888887</v>
      </c>
      <c r="B102" s="13" t="s">
        <v>63</v>
      </c>
      <c r="C102" s="13" t="s">
        <v>81</v>
      </c>
    </row>
    <row r="103" spans="1:3" x14ac:dyDescent="0.25">
      <c r="A103" s="14">
        <v>40652.798888888887</v>
      </c>
      <c r="B103" s="13" t="s">
        <v>63</v>
      </c>
      <c r="C103" s="13" t="s">
        <v>82</v>
      </c>
    </row>
    <row r="104" spans="1:3" x14ac:dyDescent="0.25">
      <c r="A104" s="14">
        <v>40652.798888888887</v>
      </c>
      <c r="B104" s="13" t="s">
        <v>63</v>
      </c>
      <c r="C104" s="13" t="s">
        <v>96</v>
      </c>
    </row>
    <row r="105" spans="1:3" x14ac:dyDescent="0.25">
      <c r="A105" s="14">
        <v>40652.798888888887</v>
      </c>
      <c r="B105" s="13" t="s">
        <v>63</v>
      </c>
      <c r="C105" s="13" t="s">
        <v>77</v>
      </c>
    </row>
    <row r="106" spans="1:3" x14ac:dyDescent="0.25">
      <c r="A106" s="14">
        <v>40652.798900462964</v>
      </c>
      <c r="B106" s="13" t="s">
        <v>63</v>
      </c>
      <c r="C106" s="13" t="s">
        <v>77</v>
      </c>
    </row>
    <row r="107" spans="1:3" x14ac:dyDescent="0.25">
      <c r="A107" s="14">
        <v>40652.79891203704</v>
      </c>
      <c r="B107" s="13" t="s">
        <v>85</v>
      </c>
      <c r="C107" s="13" t="s">
        <v>103</v>
      </c>
    </row>
    <row r="108" spans="1:3" x14ac:dyDescent="0.25">
      <c r="A108" s="14">
        <v>40652.798946759256</v>
      </c>
      <c r="B108" s="13" t="s">
        <v>63</v>
      </c>
      <c r="C108" s="13" t="s">
        <v>65</v>
      </c>
    </row>
    <row r="109" spans="1:3" x14ac:dyDescent="0.25">
      <c r="A109" s="14">
        <v>40652.798946759256</v>
      </c>
      <c r="B109" s="13" t="s">
        <v>63</v>
      </c>
      <c r="C109" s="13" t="s">
        <v>71</v>
      </c>
    </row>
    <row r="110" spans="1:3" x14ac:dyDescent="0.25">
      <c r="A110" s="14">
        <v>40652.798946759256</v>
      </c>
      <c r="B110" s="13" t="s">
        <v>63</v>
      </c>
      <c r="C110" s="13" t="s">
        <v>73</v>
      </c>
    </row>
    <row r="111" spans="1:3" x14ac:dyDescent="0.25">
      <c r="A111" s="14">
        <v>40652.799131944441</v>
      </c>
      <c r="B111" s="13" t="s">
        <v>63</v>
      </c>
      <c r="C111" s="13" t="s">
        <v>74</v>
      </c>
    </row>
    <row r="112" spans="1:3" x14ac:dyDescent="0.25">
      <c r="A112" s="14">
        <v>40652.799131944441</v>
      </c>
      <c r="B112" s="13" t="s">
        <v>63</v>
      </c>
      <c r="C112" s="13" t="s">
        <v>75</v>
      </c>
    </row>
    <row r="113" spans="1:3" x14ac:dyDescent="0.25">
      <c r="A113" s="14">
        <v>40652.799131944441</v>
      </c>
      <c r="B113" s="13" t="s">
        <v>63</v>
      </c>
      <c r="C113" s="13" t="s">
        <v>76</v>
      </c>
    </row>
    <row r="114" spans="1:3" x14ac:dyDescent="0.25">
      <c r="A114" s="14">
        <v>40652.799155092594</v>
      </c>
      <c r="B114" s="13" t="s">
        <v>63</v>
      </c>
      <c r="C114" s="13" t="s">
        <v>77</v>
      </c>
    </row>
    <row r="115" spans="1:3" x14ac:dyDescent="0.25">
      <c r="A115" s="14">
        <v>40652.799166666664</v>
      </c>
      <c r="B115" s="13" t="s">
        <v>63</v>
      </c>
      <c r="C115" s="13" t="s">
        <v>75</v>
      </c>
    </row>
    <row r="116" spans="1:3" x14ac:dyDescent="0.25">
      <c r="A116" s="14">
        <v>40652.799166666664</v>
      </c>
      <c r="B116" s="13" t="s">
        <v>63</v>
      </c>
      <c r="C116" s="13" t="s">
        <v>78</v>
      </c>
    </row>
    <row r="117" spans="1:3" x14ac:dyDescent="0.25">
      <c r="A117" s="14">
        <v>40652.799166666664</v>
      </c>
      <c r="B117" s="13" t="s">
        <v>63</v>
      </c>
      <c r="C117" s="13" t="s">
        <v>77</v>
      </c>
    </row>
    <row r="118" spans="1:3" x14ac:dyDescent="0.25">
      <c r="A118" s="14">
        <v>40652.799166666664</v>
      </c>
      <c r="B118" s="13" t="s">
        <v>63</v>
      </c>
      <c r="C118" s="13" t="s">
        <v>75</v>
      </c>
    </row>
    <row r="119" spans="1:3" x14ac:dyDescent="0.25">
      <c r="A119" s="14">
        <v>40652.799166666664</v>
      </c>
      <c r="B119" s="13" t="s">
        <v>63</v>
      </c>
      <c r="C119" s="13" t="s">
        <v>79</v>
      </c>
    </row>
    <row r="120" spans="1:3" x14ac:dyDescent="0.25">
      <c r="A120" s="14">
        <v>40652.799178240741</v>
      </c>
      <c r="B120" s="13" t="s">
        <v>63</v>
      </c>
      <c r="C120" s="13" t="s">
        <v>77</v>
      </c>
    </row>
    <row r="121" spans="1:3" x14ac:dyDescent="0.25">
      <c r="A121" s="14">
        <v>40652.799178240741</v>
      </c>
      <c r="B121" s="13" t="s">
        <v>63</v>
      </c>
      <c r="C121" s="13" t="s">
        <v>75</v>
      </c>
    </row>
    <row r="122" spans="1:3" x14ac:dyDescent="0.25">
      <c r="A122" s="14">
        <v>40652.799178240741</v>
      </c>
      <c r="B122" s="13" t="s">
        <v>63</v>
      </c>
      <c r="C122" s="13" t="s">
        <v>80</v>
      </c>
    </row>
    <row r="123" spans="1:3" x14ac:dyDescent="0.25">
      <c r="A123" s="14">
        <v>40652.799189814818</v>
      </c>
      <c r="B123" s="13" t="s">
        <v>63</v>
      </c>
      <c r="C123" s="13" t="s">
        <v>77</v>
      </c>
    </row>
    <row r="124" spans="1:3" x14ac:dyDescent="0.25">
      <c r="A124" s="14">
        <v>40652.799270833333</v>
      </c>
      <c r="B124" s="13" t="s">
        <v>85</v>
      </c>
      <c r="C124" s="13" t="s">
        <v>84</v>
      </c>
    </row>
    <row r="125" spans="1:3" x14ac:dyDescent="0.25">
      <c r="A125" s="14">
        <v>40652.799270833333</v>
      </c>
      <c r="B125" s="13" t="s">
        <v>63</v>
      </c>
      <c r="C125" s="13" t="s">
        <v>75</v>
      </c>
    </row>
    <row r="126" spans="1:3" x14ac:dyDescent="0.25">
      <c r="A126" s="14">
        <v>40652.799305555556</v>
      </c>
      <c r="B126" s="13" t="s">
        <v>63</v>
      </c>
      <c r="C126" s="13" t="s">
        <v>72</v>
      </c>
    </row>
    <row r="127" spans="1:3" x14ac:dyDescent="0.25">
      <c r="A127" s="14">
        <v>40652.799328703702</v>
      </c>
      <c r="B127" s="13" t="s">
        <v>63</v>
      </c>
      <c r="C127" s="13" t="s">
        <v>81</v>
      </c>
    </row>
    <row r="128" spans="1:3" x14ac:dyDescent="0.25">
      <c r="A128" s="14">
        <v>40652.799328703702</v>
      </c>
      <c r="B128" s="13" t="s">
        <v>63</v>
      </c>
      <c r="C128" s="13" t="s">
        <v>82</v>
      </c>
    </row>
    <row r="129" spans="1:3" x14ac:dyDescent="0.25">
      <c r="A129" s="14">
        <v>40652.799328703702</v>
      </c>
      <c r="B129" s="13" t="s">
        <v>63</v>
      </c>
      <c r="C129" s="13" t="s">
        <v>96</v>
      </c>
    </row>
    <row r="130" spans="1:3" x14ac:dyDescent="0.25">
      <c r="A130" s="14">
        <v>40652.799328703702</v>
      </c>
      <c r="B130" s="13" t="s">
        <v>63</v>
      </c>
      <c r="C130" s="13" t="s">
        <v>77</v>
      </c>
    </row>
    <row r="131" spans="1:3" x14ac:dyDescent="0.25">
      <c r="A131" s="14">
        <v>40652.799328703702</v>
      </c>
      <c r="B131" s="13" t="s">
        <v>63</v>
      </c>
      <c r="C131" s="13" t="s">
        <v>77</v>
      </c>
    </row>
    <row r="132" spans="1:3" x14ac:dyDescent="0.25">
      <c r="A132" s="14">
        <v>40652.799363425926</v>
      </c>
      <c r="B132" s="13" t="s">
        <v>85</v>
      </c>
      <c r="C132" s="13" t="s">
        <v>87</v>
      </c>
    </row>
    <row r="133" spans="1:3" x14ac:dyDescent="0.25">
      <c r="A133" s="14">
        <v>40652.799525462964</v>
      </c>
      <c r="B133" s="13" t="s">
        <v>63</v>
      </c>
      <c r="C133" s="13" t="s">
        <v>65</v>
      </c>
    </row>
    <row r="134" spans="1:3" x14ac:dyDescent="0.25">
      <c r="A134" s="14">
        <v>40652.799525462964</v>
      </c>
      <c r="B134" s="13" t="s">
        <v>63</v>
      </c>
      <c r="C134" s="13" t="s">
        <v>71</v>
      </c>
    </row>
    <row r="135" spans="1:3" x14ac:dyDescent="0.25">
      <c r="A135" s="14">
        <v>40652.799525462964</v>
      </c>
      <c r="B135" s="13" t="s">
        <v>63</v>
      </c>
      <c r="C135" s="13" t="s">
        <v>73</v>
      </c>
    </row>
    <row r="136" spans="1:3" x14ac:dyDescent="0.25">
      <c r="A136" s="14">
        <v>40652.799560185187</v>
      </c>
      <c r="B136" s="13" t="s">
        <v>63</v>
      </c>
      <c r="C136" s="13" t="s">
        <v>74</v>
      </c>
    </row>
    <row r="137" spans="1:3" x14ac:dyDescent="0.25">
      <c r="A137" s="14">
        <v>40652.799560185187</v>
      </c>
      <c r="B137" s="13" t="s">
        <v>63</v>
      </c>
      <c r="C137" s="13" t="s">
        <v>75</v>
      </c>
    </row>
    <row r="138" spans="1:3" x14ac:dyDescent="0.25">
      <c r="A138" s="14">
        <v>40652.799560185187</v>
      </c>
      <c r="B138" s="13" t="s">
        <v>63</v>
      </c>
      <c r="C138" s="13" t="s">
        <v>76</v>
      </c>
    </row>
    <row r="139" spans="1:3" x14ac:dyDescent="0.25">
      <c r="A139" s="14">
        <v>40652.799571759257</v>
      </c>
      <c r="B139" s="13" t="s">
        <v>63</v>
      </c>
      <c r="C139" s="13" t="s">
        <v>77</v>
      </c>
    </row>
    <row r="140" spans="1:3" x14ac:dyDescent="0.25">
      <c r="A140" s="14">
        <v>40652.799571759257</v>
      </c>
      <c r="B140" s="13" t="s">
        <v>63</v>
      </c>
      <c r="C140" s="13" t="s">
        <v>75</v>
      </c>
    </row>
    <row r="141" spans="1:3" x14ac:dyDescent="0.25">
      <c r="A141" s="14">
        <v>40652.799571759257</v>
      </c>
      <c r="B141" s="13" t="s">
        <v>63</v>
      </c>
      <c r="C141" s="13" t="s">
        <v>78</v>
      </c>
    </row>
    <row r="142" spans="1:3" x14ac:dyDescent="0.25">
      <c r="A142" s="14">
        <v>40652.799583333333</v>
      </c>
      <c r="B142" s="13" t="s">
        <v>63</v>
      </c>
      <c r="C142" s="13" t="s">
        <v>77</v>
      </c>
    </row>
    <row r="143" spans="1:3" x14ac:dyDescent="0.25">
      <c r="A143" s="14">
        <v>40652.799583333333</v>
      </c>
      <c r="B143" s="13" t="s">
        <v>63</v>
      </c>
      <c r="C143" s="13" t="s">
        <v>75</v>
      </c>
    </row>
    <row r="144" spans="1:3" x14ac:dyDescent="0.25">
      <c r="A144" s="14">
        <v>40652.799583333333</v>
      </c>
      <c r="B144" s="13" t="s">
        <v>63</v>
      </c>
      <c r="C144" s="13" t="s">
        <v>79</v>
      </c>
    </row>
    <row r="145" spans="1:4" x14ac:dyDescent="0.25">
      <c r="A145" s="14">
        <v>40652.799583333333</v>
      </c>
      <c r="B145" s="13" t="s">
        <v>63</v>
      </c>
      <c r="C145" s="13" t="s">
        <v>77</v>
      </c>
    </row>
    <row r="146" spans="1:4" x14ac:dyDescent="0.25">
      <c r="A146" s="14">
        <v>40652.79959490741</v>
      </c>
      <c r="B146" s="13" t="s">
        <v>63</v>
      </c>
      <c r="C146" s="13" t="s">
        <v>75</v>
      </c>
    </row>
    <row r="147" spans="1:4" x14ac:dyDescent="0.25">
      <c r="A147" s="14">
        <v>40652.79959490741</v>
      </c>
      <c r="B147" s="13" t="s">
        <v>63</v>
      </c>
      <c r="C147" s="13" t="s">
        <v>80</v>
      </c>
    </row>
    <row r="148" spans="1:4" x14ac:dyDescent="0.25">
      <c r="A148" s="14">
        <v>40652.79960648148</v>
      </c>
      <c r="B148" s="13" t="s">
        <v>66</v>
      </c>
      <c r="C148" s="13" t="s">
        <v>111</v>
      </c>
      <c r="D148" s="13" t="s">
        <v>112</v>
      </c>
    </row>
    <row r="149" spans="1:4" x14ac:dyDescent="0.25">
      <c r="A149" s="14">
        <v>40652.79960648148</v>
      </c>
      <c r="B149" s="13" t="s">
        <v>63</v>
      </c>
      <c r="C149" s="13" t="s">
        <v>77</v>
      </c>
    </row>
    <row r="150" spans="1:4" x14ac:dyDescent="0.25">
      <c r="A150" s="14">
        <v>40652.799618055556</v>
      </c>
      <c r="B150" s="13" t="s">
        <v>85</v>
      </c>
      <c r="C150" s="13" t="s">
        <v>113</v>
      </c>
    </row>
    <row r="151" spans="1:4" x14ac:dyDescent="0.25">
      <c r="A151" s="14">
        <v>40652.799629629626</v>
      </c>
      <c r="B151" s="13" t="s">
        <v>85</v>
      </c>
      <c r="C151" s="13" t="s">
        <v>84</v>
      </c>
    </row>
    <row r="152" spans="1:4" x14ac:dyDescent="0.25">
      <c r="A152" s="14">
        <v>40652.799629629626</v>
      </c>
      <c r="B152" s="13" t="s">
        <v>63</v>
      </c>
      <c r="C152" s="13" t="s">
        <v>75</v>
      </c>
    </row>
    <row r="153" spans="1:4" x14ac:dyDescent="0.25">
      <c r="A153" s="14">
        <v>40652.79965277778</v>
      </c>
      <c r="B153" s="13" t="s">
        <v>63</v>
      </c>
      <c r="C153" s="13" t="s">
        <v>74</v>
      </c>
    </row>
    <row r="154" spans="1:4" x14ac:dyDescent="0.25">
      <c r="A154" s="14">
        <v>40652.79965277778</v>
      </c>
      <c r="B154" s="13" t="s">
        <v>63</v>
      </c>
      <c r="C154" s="13" t="s">
        <v>75</v>
      </c>
    </row>
    <row r="155" spans="1:4" x14ac:dyDescent="0.25">
      <c r="A155" s="14">
        <v>40652.79965277778</v>
      </c>
      <c r="B155" s="13" t="s">
        <v>63</v>
      </c>
      <c r="C155" s="13" t="s">
        <v>76</v>
      </c>
    </row>
    <row r="156" spans="1:4" x14ac:dyDescent="0.25">
      <c r="A156" s="14">
        <v>40652.799664351849</v>
      </c>
      <c r="B156" s="13" t="s">
        <v>63</v>
      </c>
      <c r="C156" s="13" t="s">
        <v>77</v>
      </c>
    </row>
    <row r="157" spans="1:4" x14ac:dyDescent="0.25">
      <c r="A157" s="14">
        <v>40652.799664351849</v>
      </c>
      <c r="B157" s="13" t="s">
        <v>63</v>
      </c>
      <c r="C157" s="13" t="s">
        <v>75</v>
      </c>
    </row>
    <row r="158" spans="1:4" x14ac:dyDescent="0.25">
      <c r="A158" s="14">
        <v>40652.799664351849</v>
      </c>
      <c r="B158" s="13" t="s">
        <v>63</v>
      </c>
      <c r="C158" s="13" t="s">
        <v>78</v>
      </c>
    </row>
    <row r="159" spans="1:4" x14ac:dyDescent="0.25">
      <c r="A159" s="14">
        <v>40652.799664351849</v>
      </c>
      <c r="B159" s="13" t="s">
        <v>63</v>
      </c>
      <c r="C159" s="13" t="s">
        <v>77</v>
      </c>
    </row>
    <row r="160" spans="1:4" x14ac:dyDescent="0.25">
      <c r="A160" s="14">
        <v>40652.799664351849</v>
      </c>
      <c r="B160" s="13" t="s">
        <v>63</v>
      </c>
      <c r="C160" s="13" t="s">
        <v>75</v>
      </c>
    </row>
    <row r="161" spans="1:4" x14ac:dyDescent="0.25">
      <c r="A161" s="14">
        <v>40652.799664351849</v>
      </c>
      <c r="B161" s="13" t="s">
        <v>63</v>
      </c>
      <c r="C161" s="13" t="s">
        <v>79</v>
      </c>
    </row>
    <row r="162" spans="1:4" x14ac:dyDescent="0.25">
      <c r="A162" s="14">
        <v>40652.799675925926</v>
      </c>
      <c r="B162" s="13" t="s">
        <v>63</v>
      </c>
      <c r="C162" s="13" t="s">
        <v>77</v>
      </c>
    </row>
    <row r="163" spans="1:4" x14ac:dyDescent="0.25">
      <c r="A163" s="14">
        <v>40652.799675925926</v>
      </c>
      <c r="B163" s="13" t="s">
        <v>63</v>
      </c>
      <c r="C163" s="13" t="s">
        <v>75</v>
      </c>
    </row>
    <row r="164" spans="1:4" x14ac:dyDescent="0.25">
      <c r="A164" s="14">
        <v>40652.799675925926</v>
      </c>
      <c r="B164" s="13" t="s">
        <v>63</v>
      </c>
      <c r="C164" s="13" t="s">
        <v>80</v>
      </c>
    </row>
    <row r="165" spans="1:4" x14ac:dyDescent="0.25">
      <c r="A165" s="14">
        <v>40652.799675925926</v>
      </c>
      <c r="B165" s="13" t="s">
        <v>66</v>
      </c>
      <c r="C165" s="13" t="s">
        <v>111</v>
      </c>
      <c r="D165" s="13" t="s">
        <v>112</v>
      </c>
    </row>
    <row r="166" spans="1:4" x14ac:dyDescent="0.25">
      <c r="A166" s="14">
        <v>40652.799675925926</v>
      </c>
      <c r="B166" s="13" t="s">
        <v>63</v>
      </c>
      <c r="C166" s="13" t="s">
        <v>77</v>
      </c>
    </row>
    <row r="167" spans="1:4" x14ac:dyDescent="0.25">
      <c r="A167" s="14">
        <v>40652.799699074072</v>
      </c>
      <c r="B167" s="13" t="s">
        <v>85</v>
      </c>
      <c r="C167" s="13" t="s">
        <v>113</v>
      </c>
    </row>
    <row r="168" spans="1:4" x14ac:dyDescent="0.25">
      <c r="A168" s="14">
        <v>40652.799710648149</v>
      </c>
      <c r="B168" s="13" t="s">
        <v>85</v>
      </c>
      <c r="C168" s="13" t="s">
        <v>84</v>
      </c>
    </row>
    <row r="169" spans="1:4" x14ac:dyDescent="0.25">
      <c r="A169" s="14">
        <v>40652.799710648149</v>
      </c>
      <c r="B169" s="13" t="s">
        <v>63</v>
      </c>
      <c r="C169" s="13" t="s">
        <v>75</v>
      </c>
    </row>
    <row r="170" spans="1:4" x14ac:dyDescent="0.25">
      <c r="A170" s="14">
        <v>40652.799756944441</v>
      </c>
      <c r="B170" s="13" t="s">
        <v>63</v>
      </c>
      <c r="C170" s="13" t="s">
        <v>74</v>
      </c>
    </row>
    <row r="171" spans="1:4" x14ac:dyDescent="0.25">
      <c r="A171" s="14">
        <v>40652.799756944441</v>
      </c>
      <c r="B171" s="13" t="s">
        <v>63</v>
      </c>
      <c r="C171" s="13" t="s">
        <v>75</v>
      </c>
    </row>
    <row r="172" spans="1:4" x14ac:dyDescent="0.25">
      <c r="A172" s="14">
        <v>40652.799756944441</v>
      </c>
      <c r="B172" s="13" t="s">
        <v>63</v>
      </c>
      <c r="C172" s="13" t="s">
        <v>76</v>
      </c>
    </row>
    <row r="173" spans="1:4" x14ac:dyDescent="0.25">
      <c r="A173" s="14">
        <v>40652.799756944441</v>
      </c>
      <c r="B173" s="13" t="s">
        <v>63</v>
      </c>
      <c r="C173" s="13" t="s">
        <v>77</v>
      </c>
    </row>
    <row r="174" spans="1:4" x14ac:dyDescent="0.25">
      <c r="A174" s="14">
        <v>40652.799756944441</v>
      </c>
      <c r="B174" s="13" t="s">
        <v>63</v>
      </c>
      <c r="C174" s="13" t="s">
        <v>75</v>
      </c>
    </row>
    <row r="175" spans="1:4" x14ac:dyDescent="0.25">
      <c r="A175" s="14">
        <v>40652.799756944441</v>
      </c>
      <c r="B175" s="13" t="s">
        <v>63</v>
      </c>
      <c r="C175" s="13" t="s">
        <v>78</v>
      </c>
    </row>
    <row r="176" spans="1:4" x14ac:dyDescent="0.25">
      <c r="A176" s="14">
        <v>40652.799768518518</v>
      </c>
      <c r="B176" s="13" t="s">
        <v>63</v>
      </c>
      <c r="C176" s="13" t="s">
        <v>77</v>
      </c>
    </row>
    <row r="177" spans="1:4" x14ac:dyDescent="0.25">
      <c r="A177" s="14">
        <v>40652.799768518518</v>
      </c>
      <c r="B177" s="13" t="s">
        <v>63</v>
      </c>
      <c r="C177" s="13" t="s">
        <v>75</v>
      </c>
    </row>
    <row r="178" spans="1:4" x14ac:dyDescent="0.25">
      <c r="A178" s="14">
        <v>40652.799768518518</v>
      </c>
      <c r="B178" s="13" t="s">
        <v>63</v>
      </c>
      <c r="C178" s="13" t="s">
        <v>79</v>
      </c>
    </row>
    <row r="179" spans="1:4" x14ac:dyDescent="0.25">
      <c r="A179" s="14">
        <v>40652.799768518518</v>
      </c>
      <c r="B179" s="13" t="s">
        <v>63</v>
      </c>
      <c r="C179" s="13" t="s">
        <v>77</v>
      </c>
    </row>
    <row r="180" spans="1:4" x14ac:dyDescent="0.25">
      <c r="A180" s="14">
        <v>40652.799780092595</v>
      </c>
      <c r="B180" s="13" t="s">
        <v>63</v>
      </c>
      <c r="C180" s="13" t="s">
        <v>75</v>
      </c>
    </row>
    <row r="181" spans="1:4" x14ac:dyDescent="0.25">
      <c r="A181" s="14">
        <v>40652.799780092595</v>
      </c>
      <c r="B181" s="13" t="s">
        <v>63</v>
      </c>
      <c r="C181" s="13" t="s">
        <v>80</v>
      </c>
    </row>
    <row r="182" spans="1:4" x14ac:dyDescent="0.25">
      <c r="A182" s="14">
        <v>40652.799780092595</v>
      </c>
      <c r="B182" s="13" t="s">
        <v>66</v>
      </c>
      <c r="C182" s="13" t="s">
        <v>111</v>
      </c>
      <c r="D182" s="13" t="s">
        <v>112</v>
      </c>
    </row>
    <row r="183" spans="1:4" x14ac:dyDescent="0.25">
      <c r="A183" s="14">
        <v>40652.799780092595</v>
      </c>
      <c r="B183" s="13" t="s">
        <v>63</v>
      </c>
      <c r="C183" s="13" t="s">
        <v>77</v>
      </c>
    </row>
    <row r="184" spans="1:4" x14ac:dyDescent="0.25">
      <c r="A184" s="14">
        <v>40652.799791666665</v>
      </c>
      <c r="B184" s="13" t="s">
        <v>85</v>
      </c>
      <c r="C184" s="13" t="s">
        <v>113</v>
      </c>
    </row>
    <row r="185" spans="1:4" x14ac:dyDescent="0.25">
      <c r="A185" s="14">
        <v>40652.799803240741</v>
      </c>
      <c r="B185" s="13" t="s">
        <v>85</v>
      </c>
      <c r="C185" s="13" t="s">
        <v>84</v>
      </c>
    </row>
    <row r="186" spans="1:4" x14ac:dyDescent="0.25">
      <c r="A186" s="14">
        <v>40652.799803240741</v>
      </c>
      <c r="B186" s="13" t="s">
        <v>63</v>
      </c>
      <c r="C186" s="13" t="s">
        <v>75</v>
      </c>
    </row>
    <row r="187" spans="1:4" x14ac:dyDescent="0.25">
      <c r="A187" s="14">
        <v>40652.79991898148</v>
      </c>
      <c r="B187" s="13" t="s">
        <v>63</v>
      </c>
      <c r="C187" s="13" t="s">
        <v>74</v>
      </c>
    </row>
    <row r="188" spans="1:4" x14ac:dyDescent="0.25">
      <c r="A188" s="14">
        <v>40652.79991898148</v>
      </c>
      <c r="B188" s="13" t="s">
        <v>63</v>
      </c>
      <c r="C188" s="13" t="s">
        <v>75</v>
      </c>
    </row>
    <row r="189" spans="1:4" x14ac:dyDescent="0.25">
      <c r="A189" s="14">
        <v>40652.79991898148</v>
      </c>
      <c r="B189" s="13" t="s">
        <v>63</v>
      </c>
      <c r="C189" s="13" t="s">
        <v>76</v>
      </c>
    </row>
    <row r="190" spans="1:4" x14ac:dyDescent="0.25">
      <c r="A190" s="14">
        <v>40652.79991898148</v>
      </c>
      <c r="B190" s="13" t="s">
        <v>63</v>
      </c>
      <c r="C190" s="13" t="s">
        <v>77</v>
      </c>
    </row>
    <row r="191" spans="1:4" x14ac:dyDescent="0.25">
      <c r="A191" s="14">
        <v>40652.799930555557</v>
      </c>
      <c r="B191" s="13" t="s">
        <v>63</v>
      </c>
      <c r="C191" s="13" t="s">
        <v>75</v>
      </c>
    </row>
    <row r="192" spans="1:4" x14ac:dyDescent="0.25">
      <c r="A192" s="14">
        <v>40652.799930555557</v>
      </c>
      <c r="B192" s="13" t="s">
        <v>63</v>
      </c>
      <c r="C192" s="13" t="s">
        <v>78</v>
      </c>
    </row>
    <row r="193" spans="1:3" x14ac:dyDescent="0.25">
      <c r="A193" s="14">
        <v>40652.799930555557</v>
      </c>
      <c r="B193" s="13" t="s">
        <v>63</v>
      </c>
      <c r="C193" s="13" t="s">
        <v>77</v>
      </c>
    </row>
    <row r="194" spans="1:3" x14ac:dyDescent="0.25">
      <c r="A194" s="14">
        <v>40652.799930555557</v>
      </c>
      <c r="B194" s="13" t="s">
        <v>63</v>
      </c>
      <c r="C194" s="13" t="s">
        <v>75</v>
      </c>
    </row>
    <row r="195" spans="1:3" x14ac:dyDescent="0.25">
      <c r="A195" s="14">
        <v>40652.799930555557</v>
      </c>
      <c r="B195" s="13" t="s">
        <v>63</v>
      </c>
      <c r="C195" s="13" t="s">
        <v>79</v>
      </c>
    </row>
    <row r="196" spans="1:3" x14ac:dyDescent="0.25">
      <c r="A196" s="14">
        <v>40652.799942129626</v>
      </c>
      <c r="B196" s="13" t="s">
        <v>63</v>
      </c>
      <c r="C196" s="13" t="s">
        <v>77</v>
      </c>
    </row>
    <row r="197" spans="1:3" x14ac:dyDescent="0.25">
      <c r="A197" s="14">
        <v>40652.799942129626</v>
      </c>
      <c r="B197" s="13" t="s">
        <v>63</v>
      </c>
      <c r="C197" s="13" t="s">
        <v>75</v>
      </c>
    </row>
    <row r="198" spans="1:3" x14ac:dyDescent="0.25">
      <c r="A198" s="14">
        <v>40652.799942129626</v>
      </c>
      <c r="B198" s="13" t="s">
        <v>63</v>
      </c>
      <c r="C198" s="13" t="s">
        <v>80</v>
      </c>
    </row>
    <row r="199" spans="1:3" x14ac:dyDescent="0.25">
      <c r="A199" s="14">
        <v>40652.799953703703</v>
      </c>
      <c r="B199" s="13" t="s">
        <v>63</v>
      </c>
      <c r="C199" s="13" t="s">
        <v>77</v>
      </c>
    </row>
    <row r="200" spans="1:3" x14ac:dyDescent="0.25">
      <c r="A200" s="14">
        <v>40652.800069444442</v>
      </c>
      <c r="B200" s="13" t="s">
        <v>85</v>
      </c>
      <c r="C200" s="13" t="s">
        <v>84</v>
      </c>
    </row>
    <row r="201" spans="1:3" x14ac:dyDescent="0.25">
      <c r="A201" s="14">
        <v>40652.800069444442</v>
      </c>
      <c r="B201" s="13" t="s">
        <v>63</v>
      </c>
      <c r="C201" s="13" t="s">
        <v>75</v>
      </c>
    </row>
    <row r="202" spans="1:3" x14ac:dyDescent="0.25">
      <c r="A202" s="14">
        <v>40652.800092592595</v>
      </c>
      <c r="B202" s="13" t="s">
        <v>63</v>
      </c>
      <c r="C202" s="13" t="s">
        <v>72</v>
      </c>
    </row>
    <row r="203" spans="1:3" x14ac:dyDescent="0.25">
      <c r="A203" s="14">
        <v>40652.800115740742</v>
      </c>
      <c r="B203" s="13" t="s">
        <v>63</v>
      </c>
      <c r="C203" s="13" t="s">
        <v>68</v>
      </c>
    </row>
    <row r="204" spans="1:3" x14ac:dyDescent="0.25">
      <c r="A204" s="14">
        <v>40652.800115740742</v>
      </c>
      <c r="B204" s="13" t="s">
        <v>63</v>
      </c>
      <c r="C204" s="13" t="s">
        <v>82</v>
      </c>
    </row>
    <row r="205" spans="1:3" x14ac:dyDescent="0.25">
      <c r="A205" s="14">
        <v>40652.800115740742</v>
      </c>
      <c r="B205" s="13" t="s">
        <v>63</v>
      </c>
      <c r="C205" s="13" t="s">
        <v>96</v>
      </c>
    </row>
    <row r="206" spans="1:3" x14ac:dyDescent="0.25">
      <c r="A206" s="14">
        <v>40652.800115740742</v>
      </c>
      <c r="B206" s="13" t="s">
        <v>63</v>
      </c>
      <c r="C206" s="13" t="s">
        <v>77</v>
      </c>
    </row>
    <row r="207" spans="1:3" x14ac:dyDescent="0.25">
      <c r="A207" s="14">
        <v>40652.800127314818</v>
      </c>
      <c r="B207" s="13" t="s">
        <v>63</v>
      </c>
      <c r="C207" s="13" t="s">
        <v>77</v>
      </c>
    </row>
    <row r="208" spans="1:3" x14ac:dyDescent="0.25">
      <c r="A208" s="14">
        <v>40652.800127314818</v>
      </c>
      <c r="B208" s="13" t="s">
        <v>63</v>
      </c>
      <c r="C208" s="13" t="s">
        <v>69</v>
      </c>
    </row>
    <row r="209" spans="1:3" x14ac:dyDescent="0.25">
      <c r="A209" s="14">
        <v>40652.800138888888</v>
      </c>
      <c r="B209" s="13" t="s">
        <v>63</v>
      </c>
      <c r="C209" s="13" t="s">
        <v>161</v>
      </c>
    </row>
    <row r="210" spans="1:3" x14ac:dyDescent="0.25">
      <c r="A210" s="14">
        <v>40652.800138888888</v>
      </c>
      <c r="B210" s="13" t="s">
        <v>63</v>
      </c>
      <c r="C210" s="13" t="s">
        <v>162</v>
      </c>
    </row>
    <row r="211" spans="1:3" x14ac:dyDescent="0.25">
      <c r="A211" s="14">
        <v>40652.800138888888</v>
      </c>
      <c r="B211" s="13" t="s">
        <v>63</v>
      </c>
      <c r="C211" s="13" t="s">
        <v>163</v>
      </c>
    </row>
    <row r="212" spans="1:3" x14ac:dyDescent="0.25">
      <c r="A212" s="14">
        <v>40652.810324074075</v>
      </c>
      <c r="B212" s="13" t="s">
        <v>63</v>
      </c>
      <c r="C212" s="13" t="s">
        <v>65</v>
      </c>
    </row>
    <row r="213" spans="1:3" x14ac:dyDescent="0.25">
      <c r="A213" s="14">
        <v>40652.810324074075</v>
      </c>
      <c r="B213" s="13" t="s">
        <v>63</v>
      </c>
      <c r="C213" s="13" t="s">
        <v>71</v>
      </c>
    </row>
    <row r="214" spans="1:3" x14ac:dyDescent="0.25">
      <c r="A214" s="14">
        <v>40652.810324074075</v>
      </c>
      <c r="B214" s="13" t="s">
        <v>63</v>
      </c>
      <c r="C214" s="13" t="s">
        <v>73</v>
      </c>
    </row>
    <row r="215" spans="1:3" x14ac:dyDescent="0.25">
      <c r="A215" s="14">
        <v>40652.81045138889</v>
      </c>
      <c r="B215" s="13" t="s">
        <v>63</v>
      </c>
      <c r="C215" s="13" t="s">
        <v>74</v>
      </c>
    </row>
    <row r="216" spans="1:3" x14ac:dyDescent="0.25">
      <c r="A216" s="14">
        <v>40652.81045138889</v>
      </c>
      <c r="B216" s="13" t="s">
        <v>63</v>
      </c>
      <c r="C216" s="13" t="s">
        <v>75</v>
      </c>
    </row>
    <row r="217" spans="1:3" x14ac:dyDescent="0.25">
      <c r="A217" s="14">
        <v>40652.81045138889</v>
      </c>
      <c r="B217" s="13" t="s">
        <v>63</v>
      </c>
      <c r="C217" s="13" t="s">
        <v>76</v>
      </c>
    </row>
    <row r="218" spans="1:3" x14ac:dyDescent="0.25">
      <c r="A218" s="14">
        <v>40652.81045138889</v>
      </c>
      <c r="B218" s="13" t="s">
        <v>63</v>
      </c>
      <c r="C218" s="13" t="s">
        <v>77</v>
      </c>
    </row>
    <row r="219" spans="1:3" x14ac:dyDescent="0.25">
      <c r="A219" s="14">
        <v>40652.81046296296</v>
      </c>
      <c r="B219" s="13" t="s">
        <v>63</v>
      </c>
      <c r="C219" s="13" t="s">
        <v>75</v>
      </c>
    </row>
    <row r="220" spans="1:3" x14ac:dyDescent="0.25">
      <c r="A220" s="14">
        <v>40652.81046296296</v>
      </c>
      <c r="B220" s="13" t="s">
        <v>63</v>
      </c>
      <c r="C220" s="13" t="s">
        <v>78</v>
      </c>
    </row>
    <row r="221" spans="1:3" x14ac:dyDescent="0.25">
      <c r="A221" s="14">
        <v>40652.81046296296</v>
      </c>
      <c r="B221" s="13" t="s">
        <v>63</v>
      </c>
      <c r="C221" s="13" t="s">
        <v>77</v>
      </c>
    </row>
    <row r="222" spans="1:3" x14ac:dyDescent="0.25">
      <c r="A222" s="14">
        <v>40652.81046296296</v>
      </c>
      <c r="B222" s="13" t="s">
        <v>63</v>
      </c>
      <c r="C222" s="13" t="s">
        <v>75</v>
      </c>
    </row>
    <row r="223" spans="1:3" x14ac:dyDescent="0.25">
      <c r="A223" s="14">
        <v>40652.81046296296</v>
      </c>
      <c r="B223" s="13" t="s">
        <v>63</v>
      </c>
      <c r="C223" s="13" t="s">
        <v>79</v>
      </c>
    </row>
    <row r="224" spans="1:3" x14ac:dyDescent="0.25">
      <c r="A224" s="14">
        <v>40652.81046296296</v>
      </c>
      <c r="B224" s="13" t="s">
        <v>63</v>
      </c>
      <c r="C224" s="13" t="s">
        <v>77</v>
      </c>
    </row>
    <row r="225" spans="1:3" x14ac:dyDescent="0.25">
      <c r="A225" s="14">
        <v>40652.810474537036</v>
      </c>
      <c r="B225" s="13" t="s">
        <v>63</v>
      </c>
      <c r="C225" s="13" t="s">
        <v>75</v>
      </c>
    </row>
    <row r="226" spans="1:3" x14ac:dyDescent="0.25">
      <c r="A226" s="14">
        <v>40652.810474537036</v>
      </c>
      <c r="B226" s="13" t="s">
        <v>63</v>
      </c>
      <c r="C226" s="13" t="s">
        <v>80</v>
      </c>
    </row>
    <row r="227" spans="1:3" x14ac:dyDescent="0.25">
      <c r="A227" s="14">
        <v>40652.810486111113</v>
      </c>
      <c r="B227" s="13" t="s">
        <v>63</v>
      </c>
      <c r="C227" s="13" t="s">
        <v>77</v>
      </c>
    </row>
    <row r="228" spans="1:3" x14ac:dyDescent="0.25">
      <c r="A228" s="14">
        <v>40652.81050925926</v>
      </c>
      <c r="B228" s="13" t="s">
        <v>85</v>
      </c>
      <c r="C228" s="13" t="s">
        <v>84</v>
      </c>
    </row>
    <row r="229" spans="1:3" x14ac:dyDescent="0.25">
      <c r="A229" s="14">
        <v>40652.81050925926</v>
      </c>
      <c r="B229" s="13" t="s">
        <v>63</v>
      </c>
      <c r="C229" s="13" t="s">
        <v>75</v>
      </c>
    </row>
    <row r="230" spans="1:3" x14ac:dyDescent="0.25">
      <c r="A230" s="14">
        <v>40652.810520833336</v>
      </c>
      <c r="B230" s="13" t="s">
        <v>63</v>
      </c>
      <c r="C230" s="13" t="s">
        <v>72</v>
      </c>
    </row>
    <row r="231" spans="1:3" x14ac:dyDescent="0.25">
      <c r="A231" s="14">
        <v>40652.810555555552</v>
      </c>
      <c r="B231" s="13" t="s">
        <v>63</v>
      </c>
      <c r="C231" s="13" t="s">
        <v>68</v>
      </c>
    </row>
    <row r="232" spans="1:3" x14ac:dyDescent="0.25">
      <c r="A232" s="14">
        <v>40652.810555555552</v>
      </c>
      <c r="B232" s="13" t="s">
        <v>63</v>
      </c>
      <c r="C232" s="13" t="s">
        <v>82</v>
      </c>
    </row>
    <row r="233" spans="1:3" x14ac:dyDescent="0.25">
      <c r="A233" s="14">
        <v>40652.810555555552</v>
      </c>
      <c r="B233" s="13" t="s">
        <v>63</v>
      </c>
      <c r="C233" s="13" t="s">
        <v>96</v>
      </c>
    </row>
    <row r="234" spans="1:3" x14ac:dyDescent="0.25">
      <c r="A234" s="14">
        <v>40652.810555555552</v>
      </c>
      <c r="B234" s="13" t="s">
        <v>63</v>
      </c>
      <c r="C234" s="13" t="s">
        <v>77</v>
      </c>
    </row>
    <row r="235" spans="1:3" x14ac:dyDescent="0.25">
      <c r="A235" s="14">
        <v>40652.810555555552</v>
      </c>
      <c r="B235" s="13" t="s">
        <v>63</v>
      </c>
      <c r="C235" s="13" t="s">
        <v>77</v>
      </c>
    </row>
    <row r="236" spans="1:3" x14ac:dyDescent="0.25">
      <c r="A236" s="14">
        <v>40652.810567129629</v>
      </c>
      <c r="B236" s="13" t="s">
        <v>63</v>
      </c>
      <c r="C236" s="13" t="s">
        <v>69</v>
      </c>
    </row>
    <row r="237" spans="1:3" x14ac:dyDescent="0.25">
      <c r="A237" s="14">
        <v>40652.810578703706</v>
      </c>
      <c r="B237" s="13" t="s">
        <v>63</v>
      </c>
      <c r="C237" s="13" t="s">
        <v>161</v>
      </c>
    </row>
    <row r="238" spans="1:3" x14ac:dyDescent="0.25">
      <c r="A238" s="14">
        <v>40652.810578703706</v>
      </c>
      <c r="B238" s="13" t="s">
        <v>63</v>
      </c>
      <c r="C238" s="13" t="s">
        <v>162</v>
      </c>
    </row>
    <row r="239" spans="1:3" x14ac:dyDescent="0.25">
      <c r="A239" s="14">
        <v>40652.810590277775</v>
      </c>
      <c r="B239" s="13" t="s">
        <v>63</v>
      </c>
      <c r="C239" s="13" t="s">
        <v>163</v>
      </c>
    </row>
    <row r="240" spans="1:3" x14ac:dyDescent="0.25">
      <c r="A240" s="14">
        <v>40652.810798611114</v>
      </c>
      <c r="B240" s="13" t="s">
        <v>63</v>
      </c>
      <c r="C240" s="13" t="s">
        <v>65</v>
      </c>
    </row>
    <row r="241" spans="1:4" x14ac:dyDescent="0.25">
      <c r="A241" s="14">
        <v>40652.810798611114</v>
      </c>
      <c r="B241" s="13" t="s">
        <v>63</v>
      </c>
      <c r="C241" s="13" t="s">
        <v>71</v>
      </c>
    </row>
    <row r="242" spans="1:4" x14ac:dyDescent="0.25">
      <c r="A242" s="14">
        <v>40652.810798611114</v>
      </c>
      <c r="B242" s="13" t="s">
        <v>63</v>
      </c>
      <c r="C242" s="13" t="s">
        <v>73</v>
      </c>
    </row>
    <row r="243" spans="1:4" x14ac:dyDescent="0.25">
      <c r="A243" s="14">
        <v>40652.810925925929</v>
      </c>
      <c r="B243" s="13" t="s">
        <v>63</v>
      </c>
      <c r="C243" s="13" t="s">
        <v>74</v>
      </c>
    </row>
    <row r="244" spans="1:4" x14ac:dyDescent="0.25">
      <c r="A244" s="14">
        <v>40652.810925925929</v>
      </c>
      <c r="B244" s="13" t="s">
        <v>63</v>
      </c>
      <c r="C244" s="13" t="s">
        <v>75</v>
      </c>
    </row>
    <row r="245" spans="1:4" x14ac:dyDescent="0.25">
      <c r="A245" s="14">
        <v>40652.810925925929</v>
      </c>
      <c r="B245" s="13" t="s">
        <v>63</v>
      </c>
      <c r="C245" s="13" t="s">
        <v>76</v>
      </c>
    </row>
    <row r="246" spans="1:4" x14ac:dyDescent="0.25">
      <c r="A246" s="14">
        <v>40652.810937499999</v>
      </c>
      <c r="B246" s="13" t="s">
        <v>63</v>
      </c>
      <c r="C246" s="13" t="s">
        <v>77</v>
      </c>
    </row>
    <row r="247" spans="1:4" x14ac:dyDescent="0.25">
      <c r="A247" s="14">
        <v>40652.810949074075</v>
      </c>
      <c r="B247" s="13" t="s">
        <v>63</v>
      </c>
      <c r="C247" s="13" t="s">
        <v>75</v>
      </c>
    </row>
    <row r="248" spans="1:4" x14ac:dyDescent="0.25">
      <c r="A248" s="14">
        <v>40652.810949074075</v>
      </c>
      <c r="B248" s="13" t="s">
        <v>63</v>
      </c>
      <c r="C248" s="13" t="s">
        <v>78</v>
      </c>
    </row>
    <row r="249" spans="1:4" x14ac:dyDescent="0.25">
      <c r="A249" s="14">
        <v>40652.810949074075</v>
      </c>
      <c r="B249" s="13" t="s">
        <v>63</v>
      </c>
      <c r="C249" s="13" t="s">
        <v>77</v>
      </c>
    </row>
    <row r="250" spans="1:4" x14ac:dyDescent="0.25">
      <c r="A250" s="14">
        <v>40652.810949074075</v>
      </c>
      <c r="B250" s="13" t="s">
        <v>63</v>
      </c>
      <c r="C250" s="13" t="s">
        <v>75</v>
      </c>
    </row>
    <row r="251" spans="1:4" x14ac:dyDescent="0.25">
      <c r="A251" s="14">
        <v>40652.810949074075</v>
      </c>
      <c r="B251" s="13" t="s">
        <v>63</v>
      </c>
      <c r="C251" s="13" t="s">
        <v>79</v>
      </c>
    </row>
    <row r="252" spans="1:4" x14ac:dyDescent="0.25">
      <c r="A252" s="14">
        <v>40652.810949074075</v>
      </c>
      <c r="B252" s="13" t="s">
        <v>63</v>
      </c>
      <c r="C252" s="13" t="s">
        <v>77</v>
      </c>
    </row>
    <row r="253" spans="1:4" x14ac:dyDescent="0.25">
      <c r="A253" s="14">
        <v>40652.810960648145</v>
      </c>
      <c r="B253" s="13" t="s">
        <v>63</v>
      </c>
      <c r="C253" s="13" t="s">
        <v>75</v>
      </c>
    </row>
    <row r="254" spans="1:4" x14ac:dyDescent="0.25">
      <c r="A254" s="14">
        <v>40652.810960648145</v>
      </c>
      <c r="B254" s="13" t="s">
        <v>63</v>
      </c>
      <c r="C254" s="13" t="s">
        <v>80</v>
      </c>
    </row>
    <row r="255" spans="1:4" x14ac:dyDescent="0.25">
      <c r="A255" s="14">
        <v>40652.810960648145</v>
      </c>
      <c r="B255" s="13" t="s">
        <v>66</v>
      </c>
      <c r="C255" s="13" t="s">
        <v>111</v>
      </c>
      <c r="D255" s="13" t="s">
        <v>112</v>
      </c>
    </row>
    <row r="256" spans="1:4" x14ac:dyDescent="0.25">
      <c r="A256" s="14">
        <v>40652.810960648145</v>
      </c>
      <c r="B256" s="13" t="s">
        <v>63</v>
      </c>
      <c r="C256" s="13" t="s">
        <v>77</v>
      </c>
    </row>
    <row r="257" spans="1:3" x14ac:dyDescent="0.25">
      <c r="A257" s="14">
        <v>40652.810972222222</v>
      </c>
      <c r="B257" s="13" t="s">
        <v>85</v>
      </c>
      <c r="C257" s="13" t="s">
        <v>113</v>
      </c>
    </row>
    <row r="258" spans="1:3" x14ac:dyDescent="0.25">
      <c r="A258" s="14">
        <v>40652.810995370368</v>
      </c>
      <c r="B258" s="13" t="s">
        <v>85</v>
      </c>
      <c r="C258" s="13" t="s">
        <v>84</v>
      </c>
    </row>
    <row r="259" spans="1:3" x14ac:dyDescent="0.25">
      <c r="A259" s="14">
        <v>40652.810995370368</v>
      </c>
      <c r="B259" s="13" t="s">
        <v>63</v>
      </c>
      <c r="C259" s="13" t="s">
        <v>75</v>
      </c>
    </row>
    <row r="260" spans="1:3" x14ac:dyDescent="0.25">
      <c r="A260" s="14">
        <v>40652.811111111114</v>
      </c>
      <c r="B260" s="13" t="s">
        <v>63</v>
      </c>
      <c r="C260" s="13" t="s">
        <v>74</v>
      </c>
    </row>
    <row r="261" spans="1:3" x14ac:dyDescent="0.25">
      <c r="A261" s="14">
        <v>40652.811111111114</v>
      </c>
      <c r="B261" s="13" t="s">
        <v>63</v>
      </c>
      <c r="C261" s="13" t="s">
        <v>75</v>
      </c>
    </row>
    <row r="262" spans="1:3" x14ac:dyDescent="0.25">
      <c r="A262" s="14">
        <v>40652.811111111114</v>
      </c>
      <c r="B262" s="13" t="s">
        <v>63</v>
      </c>
      <c r="C262" s="13" t="s">
        <v>76</v>
      </c>
    </row>
    <row r="263" spans="1:3" x14ac:dyDescent="0.25">
      <c r="A263" s="14">
        <v>40652.811111111114</v>
      </c>
      <c r="B263" s="13" t="s">
        <v>63</v>
      </c>
      <c r="C263" s="13" t="s">
        <v>77</v>
      </c>
    </row>
    <row r="264" spans="1:3" x14ac:dyDescent="0.25">
      <c r="A264" s="14">
        <v>40652.811122685183</v>
      </c>
      <c r="B264" s="13" t="s">
        <v>63</v>
      </c>
      <c r="C264" s="13" t="s">
        <v>75</v>
      </c>
    </row>
    <row r="265" spans="1:3" x14ac:dyDescent="0.25">
      <c r="A265" s="14">
        <v>40652.811122685183</v>
      </c>
      <c r="B265" s="13" t="s">
        <v>63</v>
      </c>
      <c r="C265" s="13" t="s">
        <v>78</v>
      </c>
    </row>
    <row r="266" spans="1:3" x14ac:dyDescent="0.25">
      <c r="A266" s="14">
        <v>40652.811122685183</v>
      </c>
      <c r="B266" s="13" t="s">
        <v>63</v>
      </c>
      <c r="C266" s="13" t="s">
        <v>77</v>
      </c>
    </row>
    <row r="267" spans="1:3" x14ac:dyDescent="0.25">
      <c r="A267" s="14">
        <v>40652.811122685183</v>
      </c>
      <c r="B267" s="13" t="s">
        <v>63</v>
      </c>
      <c r="C267" s="13" t="s">
        <v>75</v>
      </c>
    </row>
    <row r="268" spans="1:3" x14ac:dyDescent="0.25">
      <c r="A268" s="14">
        <v>40652.811122685183</v>
      </c>
      <c r="B268" s="13" t="s">
        <v>63</v>
      </c>
      <c r="C268" s="13" t="s">
        <v>79</v>
      </c>
    </row>
    <row r="269" spans="1:3" x14ac:dyDescent="0.25">
      <c r="A269" s="14">
        <v>40652.81113425926</v>
      </c>
      <c r="B269" s="13" t="s">
        <v>63</v>
      </c>
      <c r="C269" s="13" t="s">
        <v>77</v>
      </c>
    </row>
    <row r="270" spans="1:3" x14ac:dyDescent="0.25">
      <c r="A270" s="14">
        <v>40652.81113425926</v>
      </c>
      <c r="B270" s="13" t="s">
        <v>63</v>
      </c>
      <c r="C270" s="13" t="s">
        <v>75</v>
      </c>
    </row>
    <row r="271" spans="1:3" x14ac:dyDescent="0.25">
      <c r="A271" s="14">
        <v>40652.81113425926</v>
      </c>
      <c r="B271" s="13" t="s">
        <v>63</v>
      </c>
      <c r="C271" s="13" t="s">
        <v>80</v>
      </c>
    </row>
    <row r="272" spans="1:3" x14ac:dyDescent="0.25">
      <c r="A272" s="14">
        <v>40652.811145833337</v>
      </c>
      <c r="B272" s="13" t="s">
        <v>63</v>
      </c>
      <c r="C272" s="13" t="s">
        <v>77</v>
      </c>
    </row>
    <row r="273" spans="1:3" x14ac:dyDescent="0.25">
      <c r="A273" s="14">
        <v>40652.811168981483</v>
      </c>
      <c r="B273" s="13" t="s">
        <v>85</v>
      </c>
      <c r="C273" s="13" t="s">
        <v>84</v>
      </c>
    </row>
    <row r="274" spans="1:3" x14ac:dyDescent="0.25">
      <c r="A274" s="14">
        <v>40652.811168981483</v>
      </c>
      <c r="B274" s="13" t="s">
        <v>63</v>
      </c>
      <c r="C274" s="13" t="s">
        <v>75</v>
      </c>
    </row>
    <row r="275" spans="1:3" x14ac:dyDescent="0.25">
      <c r="A275" s="14">
        <v>40652.811180555553</v>
      </c>
      <c r="B275" s="13" t="s">
        <v>63</v>
      </c>
      <c r="C275" s="13" t="s">
        <v>72</v>
      </c>
    </row>
    <row r="276" spans="1:3" x14ac:dyDescent="0.25">
      <c r="A276" s="14">
        <v>40652.811192129629</v>
      </c>
      <c r="B276" s="13" t="s">
        <v>63</v>
      </c>
      <c r="C276" s="13" t="s">
        <v>97</v>
      </c>
    </row>
    <row r="277" spans="1:3" ht="60" x14ac:dyDescent="0.25">
      <c r="A277" s="14">
        <v>40652.811203703706</v>
      </c>
      <c r="B277" s="13" t="s">
        <v>85</v>
      </c>
      <c r="C277" s="12" t="s">
        <v>90</v>
      </c>
    </row>
    <row r="278" spans="1:3" x14ac:dyDescent="0.25">
      <c r="A278" s="14">
        <v>40652.811400462961</v>
      </c>
      <c r="B278" s="13" t="s">
        <v>85</v>
      </c>
      <c r="C278" s="13" t="s">
        <v>159</v>
      </c>
    </row>
    <row r="279" spans="1:3" x14ac:dyDescent="0.25">
      <c r="A279" s="14">
        <v>40652.811481481483</v>
      </c>
      <c r="B279" s="13" t="s">
        <v>63</v>
      </c>
      <c r="C279" s="13" t="s">
        <v>97</v>
      </c>
    </row>
    <row r="280" spans="1:3" ht="60" x14ac:dyDescent="0.25">
      <c r="A280" s="14">
        <v>40652.811493055553</v>
      </c>
      <c r="B280" s="13" t="s">
        <v>85</v>
      </c>
      <c r="C280" s="12" t="s">
        <v>90</v>
      </c>
    </row>
    <row r="281" spans="1:3" x14ac:dyDescent="0.25">
      <c r="A281" s="14">
        <v>40652.811550925922</v>
      </c>
      <c r="B281" s="13" t="s">
        <v>85</v>
      </c>
      <c r="C281" s="13" t="s">
        <v>106</v>
      </c>
    </row>
    <row r="282" spans="1:3" x14ac:dyDescent="0.25">
      <c r="A282" s="14">
        <v>40652.811550925922</v>
      </c>
      <c r="B282" s="13" t="s">
        <v>63</v>
      </c>
      <c r="C282" s="13" t="s">
        <v>77</v>
      </c>
    </row>
    <row r="283" spans="1:3" x14ac:dyDescent="0.25">
      <c r="A283" s="14">
        <v>40652.811562499999</v>
      </c>
      <c r="B283" s="13" t="s">
        <v>85</v>
      </c>
      <c r="C283" s="13" t="s">
        <v>107</v>
      </c>
    </row>
    <row r="284" spans="1:3" x14ac:dyDescent="0.25">
      <c r="A284" s="14">
        <v>40652.811562499999</v>
      </c>
      <c r="B284" s="13" t="s">
        <v>63</v>
      </c>
      <c r="C284" s="13" t="s">
        <v>77</v>
      </c>
    </row>
    <row r="285" spans="1:3" x14ac:dyDescent="0.25">
      <c r="A285" s="14">
        <v>40652.811643518522</v>
      </c>
      <c r="B285" s="13" t="s">
        <v>63</v>
      </c>
      <c r="C285" s="13" t="s">
        <v>68</v>
      </c>
    </row>
    <row r="286" spans="1:3" x14ac:dyDescent="0.25">
      <c r="A286" s="14">
        <v>40652.811643518522</v>
      </c>
      <c r="B286" s="13" t="s">
        <v>63</v>
      </c>
      <c r="C286" s="13" t="s">
        <v>82</v>
      </c>
    </row>
    <row r="287" spans="1:3" x14ac:dyDescent="0.25">
      <c r="A287" s="14">
        <v>40652.811655092592</v>
      </c>
      <c r="B287" s="13" t="s">
        <v>63</v>
      </c>
      <c r="C287" s="13" t="s">
        <v>96</v>
      </c>
    </row>
    <row r="288" spans="1:3" x14ac:dyDescent="0.25">
      <c r="A288" s="14">
        <v>40652.811655092592</v>
      </c>
      <c r="B288" s="13" t="s">
        <v>63</v>
      </c>
      <c r="C288" s="13" t="s">
        <v>77</v>
      </c>
    </row>
    <row r="289" spans="1:4" x14ac:dyDescent="0.25">
      <c r="A289" s="14">
        <v>40652.811655092592</v>
      </c>
      <c r="B289" s="13" t="s">
        <v>63</v>
      </c>
      <c r="C289" s="13" t="s">
        <v>77</v>
      </c>
    </row>
    <row r="290" spans="1:4" x14ac:dyDescent="0.25">
      <c r="A290" s="14">
        <v>40652.811666666668</v>
      </c>
      <c r="B290" s="13" t="s">
        <v>63</v>
      </c>
      <c r="C290" s="13" t="s">
        <v>69</v>
      </c>
    </row>
    <row r="291" spans="1:4" x14ac:dyDescent="0.25">
      <c r="A291" s="14">
        <v>40652.811666666668</v>
      </c>
      <c r="B291" s="13" t="s">
        <v>63</v>
      </c>
      <c r="C291" s="13" t="s">
        <v>161</v>
      </c>
    </row>
    <row r="292" spans="1:4" x14ac:dyDescent="0.25">
      <c r="A292" s="14">
        <v>40652.811666666668</v>
      </c>
      <c r="B292" s="13" t="s">
        <v>63</v>
      </c>
      <c r="C292" s="13" t="s">
        <v>162</v>
      </c>
    </row>
    <row r="293" spans="1:4" x14ac:dyDescent="0.25">
      <c r="A293" s="14">
        <v>40652.811678240738</v>
      </c>
      <c r="B293" s="13" t="s">
        <v>63</v>
      </c>
      <c r="C293" s="13" t="s">
        <v>163</v>
      </c>
    </row>
    <row r="294" spans="1:4" x14ac:dyDescent="0.25">
      <c r="A294" s="14">
        <v>40652.813067129631</v>
      </c>
      <c r="B294" s="13" t="s">
        <v>63</v>
      </c>
      <c r="C294" s="13" t="s">
        <v>68</v>
      </c>
    </row>
    <row r="295" spans="1:4" x14ac:dyDescent="0.25">
      <c r="A295" s="14">
        <v>40652.813067129631</v>
      </c>
      <c r="B295" s="13" t="s">
        <v>63</v>
      </c>
      <c r="C295" s="13" t="s">
        <v>82</v>
      </c>
    </row>
    <row r="296" spans="1:4" x14ac:dyDescent="0.25">
      <c r="A296" s="14">
        <v>40652.813067129631</v>
      </c>
      <c r="B296" s="13" t="s">
        <v>63</v>
      </c>
      <c r="C296" s="13" t="s">
        <v>96</v>
      </c>
    </row>
    <row r="297" spans="1:4" x14ac:dyDescent="0.25">
      <c r="A297" s="14">
        <v>40652.813067129631</v>
      </c>
      <c r="B297" s="13" t="s">
        <v>63</v>
      </c>
      <c r="C297" s="13" t="s">
        <v>77</v>
      </c>
    </row>
    <row r="298" spans="1:4" x14ac:dyDescent="0.25">
      <c r="A298" s="14">
        <v>40652.813078703701</v>
      </c>
      <c r="B298" s="13" t="s">
        <v>63</v>
      </c>
      <c r="C298" s="13" t="s">
        <v>77</v>
      </c>
    </row>
    <row r="299" spans="1:4" x14ac:dyDescent="0.25">
      <c r="A299" s="14">
        <v>40652.813078703701</v>
      </c>
      <c r="B299" s="13" t="s">
        <v>63</v>
      </c>
      <c r="C299" s="13" t="s">
        <v>69</v>
      </c>
    </row>
    <row r="300" spans="1:4" x14ac:dyDescent="0.25">
      <c r="A300" s="14">
        <v>40652.813078703701</v>
      </c>
      <c r="B300" s="13" t="s">
        <v>63</v>
      </c>
      <c r="C300" s="13" t="s">
        <v>161</v>
      </c>
    </row>
    <row r="301" spans="1:4" x14ac:dyDescent="0.25">
      <c r="A301" s="14">
        <v>40652.813078703701</v>
      </c>
      <c r="B301" s="13" t="s">
        <v>63</v>
      </c>
      <c r="C301" s="13" t="s">
        <v>162</v>
      </c>
    </row>
    <row r="302" spans="1:4" x14ac:dyDescent="0.25">
      <c r="A302" s="14">
        <v>40652.813090277778</v>
      </c>
      <c r="B302" s="13" t="s">
        <v>63</v>
      </c>
      <c r="C302" s="13" t="s">
        <v>163</v>
      </c>
    </row>
    <row r="303" spans="1:4" x14ac:dyDescent="0.25">
      <c r="A303" s="14">
        <v>40652.823460648149</v>
      </c>
      <c r="B303" s="13" t="s">
        <v>63</v>
      </c>
      <c r="C303" s="13" t="s">
        <v>167</v>
      </c>
      <c r="D303" s="13" t="s">
        <v>64</v>
      </c>
    </row>
    <row r="304" spans="1:4" x14ac:dyDescent="0.25">
      <c r="A304" s="14">
        <v>40652.823460648149</v>
      </c>
      <c r="B304" s="13" t="s">
        <v>63</v>
      </c>
      <c r="C304" s="13" t="s">
        <v>70</v>
      </c>
    </row>
    <row r="305" spans="1:3" x14ac:dyDescent="0.25">
      <c r="A305" s="14">
        <v>40652.823483796295</v>
      </c>
      <c r="B305" s="13" t="s">
        <v>63</v>
      </c>
      <c r="C305" s="13" t="s">
        <v>65</v>
      </c>
    </row>
    <row r="306" spans="1:3" x14ac:dyDescent="0.25">
      <c r="A306" s="14">
        <v>40652.823483796295</v>
      </c>
      <c r="B306" s="13" t="s">
        <v>63</v>
      </c>
      <c r="C306" s="13" t="s">
        <v>71</v>
      </c>
    </row>
    <row r="307" spans="1:3" x14ac:dyDescent="0.25">
      <c r="A307" s="14">
        <v>40652.823553240742</v>
      </c>
      <c r="B307" s="13" t="s">
        <v>63</v>
      </c>
      <c r="C307" s="13" t="s">
        <v>67</v>
      </c>
    </row>
    <row r="308" spans="1:3" x14ac:dyDescent="0.25">
      <c r="A308" s="14">
        <v>40652.823587962965</v>
      </c>
      <c r="B308" s="13" t="s">
        <v>63</v>
      </c>
      <c r="C308" s="13" t="s">
        <v>83</v>
      </c>
    </row>
    <row r="309" spans="1:3" x14ac:dyDescent="0.25">
      <c r="A309" s="14">
        <v>40652.823587962965</v>
      </c>
      <c r="B309" s="13" t="s">
        <v>63</v>
      </c>
      <c r="C309" s="13" t="s">
        <v>73</v>
      </c>
    </row>
    <row r="310" spans="1:3" x14ac:dyDescent="0.25">
      <c r="A310" s="14">
        <v>40652.823703703703</v>
      </c>
      <c r="B310" s="13" t="s">
        <v>63</v>
      </c>
      <c r="C310" s="13" t="s">
        <v>74</v>
      </c>
    </row>
    <row r="311" spans="1:3" x14ac:dyDescent="0.25">
      <c r="A311" s="14">
        <v>40652.823703703703</v>
      </c>
      <c r="B311" s="13" t="s">
        <v>63</v>
      </c>
      <c r="C311" s="13" t="s">
        <v>75</v>
      </c>
    </row>
    <row r="312" spans="1:3" x14ac:dyDescent="0.25">
      <c r="A312" s="14">
        <v>40652.823703703703</v>
      </c>
      <c r="B312" s="13" t="s">
        <v>63</v>
      </c>
      <c r="C312" s="13" t="s">
        <v>76</v>
      </c>
    </row>
    <row r="313" spans="1:3" x14ac:dyDescent="0.25">
      <c r="A313" s="14">
        <v>40652.823703703703</v>
      </c>
      <c r="B313" s="13" t="s">
        <v>63</v>
      </c>
      <c r="C313" s="13" t="s">
        <v>77</v>
      </c>
    </row>
    <row r="314" spans="1:3" x14ac:dyDescent="0.25">
      <c r="A314" s="14">
        <v>40652.82371527778</v>
      </c>
      <c r="B314" s="13" t="s">
        <v>63</v>
      </c>
      <c r="C314" s="13" t="s">
        <v>75</v>
      </c>
    </row>
    <row r="315" spans="1:3" x14ac:dyDescent="0.25">
      <c r="A315" s="14">
        <v>40652.82371527778</v>
      </c>
      <c r="B315" s="13" t="s">
        <v>63</v>
      </c>
      <c r="C315" s="13" t="s">
        <v>78</v>
      </c>
    </row>
    <row r="316" spans="1:3" x14ac:dyDescent="0.25">
      <c r="A316" s="14">
        <v>40652.82371527778</v>
      </c>
      <c r="B316" s="13" t="s">
        <v>63</v>
      </c>
      <c r="C316" s="13" t="s">
        <v>77</v>
      </c>
    </row>
    <row r="317" spans="1:3" x14ac:dyDescent="0.25">
      <c r="A317" s="14">
        <v>40652.82371527778</v>
      </c>
      <c r="B317" s="13" t="s">
        <v>63</v>
      </c>
      <c r="C317" s="13" t="s">
        <v>75</v>
      </c>
    </row>
    <row r="318" spans="1:3" x14ac:dyDescent="0.25">
      <c r="A318" s="14">
        <v>40652.82372685185</v>
      </c>
      <c r="B318" s="13" t="s">
        <v>63</v>
      </c>
      <c r="C318" s="13" t="s">
        <v>79</v>
      </c>
    </row>
    <row r="319" spans="1:3" x14ac:dyDescent="0.25">
      <c r="A319" s="14">
        <v>40652.82372685185</v>
      </c>
      <c r="B319" s="13" t="s">
        <v>63</v>
      </c>
      <c r="C319" s="13" t="s">
        <v>77</v>
      </c>
    </row>
    <row r="320" spans="1:3" x14ac:dyDescent="0.25">
      <c r="A320" s="14">
        <v>40652.82372685185</v>
      </c>
      <c r="B320" s="13" t="s">
        <v>63</v>
      </c>
      <c r="C320" s="13" t="s">
        <v>75</v>
      </c>
    </row>
    <row r="321" spans="1:3" x14ac:dyDescent="0.25">
      <c r="A321" s="14">
        <v>40652.82372685185</v>
      </c>
      <c r="B321" s="13" t="s">
        <v>63</v>
      </c>
      <c r="C321" s="13" t="s">
        <v>80</v>
      </c>
    </row>
    <row r="322" spans="1:3" x14ac:dyDescent="0.25">
      <c r="A322" s="14">
        <v>40652.823738425926</v>
      </c>
      <c r="B322" s="13" t="s">
        <v>63</v>
      </c>
      <c r="C322" s="13" t="s">
        <v>77</v>
      </c>
    </row>
    <row r="323" spans="1:3" x14ac:dyDescent="0.25">
      <c r="A323" s="14">
        <v>40652.823750000003</v>
      </c>
      <c r="B323" s="13" t="s">
        <v>85</v>
      </c>
      <c r="C323" s="13" t="s">
        <v>84</v>
      </c>
    </row>
    <row r="324" spans="1:3" x14ac:dyDescent="0.25">
      <c r="A324" s="14">
        <v>40652.823750000003</v>
      </c>
      <c r="B324" s="13" t="s">
        <v>63</v>
      </c>
      <c r="C324" s="13" t="s">
        <v>75</v>
      </c>
    </row>
    <row r="325" spans="1:3" x14ac:dyDescent="0.25">
      <c r="A325" s="14">
        <v>40652.823796296296</v>
      </c>
      <c r="B325" s="13" t="s">
        <v>63</v>
      </c>
      <c r="C325" s="13" t="s">
        <v>72</v>
      </c>
    </row>
    <row r="326" spans="1:3" x14ac:dyDescent="0.25">
      <c r="A326" s="14">
        <v>40652.823819444442</v>
      </c>
      <c r="B326" s="13" t="s">
        <v>63</v>
      </c>
      <c r="C326" s="13" t="s">
        <v>68</v>
      </c>
    </row>
    <row r="327" spans="1:3" x14ac:dyDescent="0.25">
      <c r="A327" s="14">
        <v>40652.823819444442</v>
      </c>
      <c r="B327" s="13" t="s">
        <v>63</v>
      </c>
      <c r="C327" s="13" t="s">
        <v>82</v>
      </c>
    </row>
    <row r="328" spans="1:3" x14ac:dyDescent="0.25">
      <c r="A328" s="14">
        <v>40652.823819444442</v>
      </c>
      <c r="B328" s="13" t="s">
        <v>63</v>
      </c>
      <c r="C328" s="13" t="s">
        <v>96</v>
      </c>
    </row>
    <row r="329" spans="1:3" x14ac:dyDescent="0.25">
      <c r="A329" s="14">
        <v>40652.823831018519</v>
      </c>
      <c r="B329" s="13" t="s">
        <v>63</v>
      </c>
      <c r="C329" s="13" t="s">
        <v>77</v>
      </c>
    </row>
    <row r="330" spans="1:3" x14ac:dyDescent="0.25">
      <c r="A330" s="14">
        <v>40652.823831018519</v>
      </c>
      <c r="B330" s="13" t="s">
        <v>63</v>
      </c>
      <c r="C330" s="13" t="s">
        <v>77</v>
      </c>
    </row>
    <row r="331" spans="1:3" x14ac:dyDescent="0.25">
      <c r="A331" s="14">
        <v>40652.823831018519</v>
      </c>
      <c r="B331" s="13" t="s">
        <v>63</v>
      </c>
      <c r="C331" s="13" t="s">
        <v>69</v>
      </c>
    </row>
    <row r="332" spans="1:3" x14ac:dyDescent="0.25">
      <c r="A332" s="14">
        <v>40652.823842592596</v>
      </c>
      <c r="B332" s="13" t="s">
        <v>63</v>
      </c>
      <c r="C332" s="13" t="s">
        <v>161</v>
      </c>
    </row>
    <row r="333" spans="1:3" x14ac:dyDescent="0.25">
      <c r="A333" s="14">
        <v>40652.823842592596</v>
      </c>
      <c r="B333" s="13" t="s">
        <v>63</v>
      </c>
      <c r="C333" s="13" t="s">
        <v>162</v>
      </c>
    </row>
    <row r="334" spans="1:3" x14ac:dyDescent="0.25">
      <c r="A334" s="14">
        <v>40652.823842592596</v>
      </c>
      <c r="B334" s="13" t="s">
        <v>63</v>
      </c>
      <c r="C334" s="13" t="s">
        <v>163</v>
      </c>
    </row>
    <row r="335" spans="1:3" x14ac:dyDescent="0.25">
      <c r="A335" s="14">
        <v>40652.824965277781</v>
      </c>
      <c r="B335" s="13" t="s">
        <v>63</v>
      </c>
      <c r="C335" s="13" t="s">
        <v>97</v>
      </c>
    </row>
    <row r="336" spans="1:3" ht="60" x14ac:dyDescent="0.25">
      <c r="A336" s="14">
        <v>40652.824988425928</v>
      </c>
      <c r="B336" s="13" t="s">
        <v>85</v>
      </c>
      <c r="C336" s="12" t="s">
        <v>90</v>
      </c>
    </row>
    <row r="337" spans="1:3" x14ac:dyDescent="0.25">
      <c r="A337" s="14">
        <v>40652.825243055559</v>
      </c>
      <c r="B337" s="13" t="s">
        <v>85</v>
      </c>
      <c r="C337" s="13" t="s">
        <v>106</v>
      </c>
    </row>
    <row r="338" spans="1:3" x14ac:dyDescent="0.25">
      <c r="A338" s="14">
        <v>40652.825243055559</v>
      </c>
      <c r="B338" s="13" t="s">
        <v>63</v>
      </c>
      <c r="C338" s="13" t="s">
        <v>77</v>
      </c>
    </row>
    <row r="339" spans="1:3" x14ac:dyDescent="0.25">
      <c r="A339" s="14">
        <v>40652.825254629628</v>
      </c>
      <c r="B339" s="13" t="s">
        <v>85</v>
      </c>
      <c r="C339" s="13" t="s">
        <v>107</v>
      </c>
    </row>
    <row r="340" spans="1:3" x14ac:dyDescent="0.25">
      <c r="A340" s="14">
        <v>40652.825254629628</v>
      </c>
      <c r="B340" s="13" t="s">
        <v>63</v>
      </c>
      <c r="C340" s="13" t="s">
        <v>77</v>
      </c>
    </row>
    <row r="341" spans="1:3" x14ac:dyDescent="0.25">
      <c r="A341" s="14">
        <v>40652.825277777774</v>
      </c>
      <c r="B341" s="13" t="s">
        <v>63</v>
      </c>
      <c r="C341" s="13" t="s">
        <v>65</v>
      </c>
    </row>
    <row r="342" spans="1:3" x14ac:dyDescent="0.25">
      <c r="A342" s="14">
        <v>40652.825277777774</v>
      </c>
      <c r="B342" s="13" t="s">
        <v>63</v>
      </c>
      <c r="C342" s="13" t="s">
        <v>71</v>
      </c>
    </row>
    <row r="343" spans="1:3" x14ac:dyDescent="0.25">
      <c r="A343" s="14">
        <v>40652.825277777774</v>
      </c>
      <c r="B343" s="13" t="s">
        <v>63</v>
      </c>
      <c r="C343" s="13" t="s">
        <v>73</v>
      </c>
    </row>
    <row r="344" spans="1:3" x14ac:dyDescent="0.25">
      <c r="A344" s="14">
        <v>40652.825428240743</v>
      </c>
      <c r="B344" s="13" t="s">
        <v>63</v>
      </c>
      <c r="C344" s="13" t="s">
        <v>74</v>
      </c>
    </row>
    <row r="345" spans="1:3" x14ac:dyDescent="0.25">
      <c r="A345" s="14">
        <v>40652.825428240743</v>
      </c>
      <c r="B345" s="13" t="s">
        <v>63</v>
      </c>
      <c r="C345" s="13" t="s">
        <v>75</v>
      </c>
    </row>
    <row r="346" spans="1:3" x14ac:dyDescent="0.25">
      <c r="A346" s="14">
        <v>40652.825428240743</v>
      </c>
      <c r="B346" s="13" t="s">
        <v>63</v>
      </c>
      <c r="C346" s="13" t="s">
        <v>76</v>
      </c>
    </row>
    <row r="347" spans="1:3" x14ac:dyDescent="0.25">
      <c r="A347" s="14">
        <v>40652.825439814813</v>
      </c>
      <c r="B347" s="13" t="s">
        <v>63</v>
      </c>
      <c r="C347" s="13" t="s">
        <v>77</v>
      </c>
    </row>
    <row r="348" spans="1:3" x14ac:dyDescent="0.25">
      <c r="A348" s="14">
        <v>40652.82545138889</v>
      </c>
      <c r="B348" s="13" t="s">
        <v>63</v>
      </c>
      <c r="C348" s="13" t="s">
        <v>75</v>
      </c>
    </row>
    <row r="349" spans="1:3" x14ac:dyDescent="0.25">
      <c r="A349" s="14">
        <v>40652.82545138889</v>
      </c>
      <c r="B349" s="13" t="s">
        <v>63</v>
      </c>
      <c r="C349" s="13" t="s">
        <v>78</v>
      </c>
    </row>
    <row r="350" spans="1:3" x14ac:dyDescent="0.25">
      <c r="A350" s="14">
        <v>40652.82545138889</v>
      </c>
      <c r="B350" s="13" t="s">
        <v>63</v>
      </c>
      <c r="C350" s="13" t="s">
        <v>77</v>
      </c>
    </row>
    <row r="351" spans="1:3" x14ac:dyDescent="0.25">
      <c r="A351" s="14">
        <v>40652.82545138889</v>
      </c>
      <c r="B351" s="13" t="s">
        <v>63</v>
      </c>
      <c r="C351" s="13" t="s">
        <v>75</v>
      </c>
    </row>
    <row r="352" spans="1:3" x14ac:dyDescent="0.25">
      <c r="A352" s="14">
        <v>40652.82545138889</v>
      </c>
      <c r="B352" s="13" t="s">
        <v>63</v>
      </c>
      <c r="C352" s="13" t="s">
        <v>79</v>
      </c>
    </row>
    <row r="353" spans="1:3" x14ac:dyDescent="0.25">
      <c r="A353" s="14">
        <v>40652.82545138889</v>
      </c>
      <c r="B353" s="13" t="s">
        <v>63</v>
      </c>
      <c r="C353" s="13" t="s">
        <v>77</v>
      </c>
    </row>
    <row r="354" spans="1:3" x14ac:dyDescent="0.25">
      <c r="A354" s="14">
        <v>40652.825462962966</v>
      </c>
      <c r="B354" s="13" t="s">
        <v>63</v>
      </c>
      <c r="C354" s="13" t="s">
        <v>75</v>
      </c>
    </row>
    <row r="355" spans="1:3" x14ac:dyDescent="0.25">
      <c r="A355" s="14">
        <v>40652.825462962966</v>
      </c>
      <c r="B355" s="13" t="s">
        <v>63</v>
      </c>
      <c r="C355" s="13" t="s">
        <v>80</v>
      </c>
    </row>
    <row r="356" spans="1:3" x14ac:dyDescent="0.25">
      <c r="A356" s="14">
        <v>40652.825474537036</v>
      </c>
      <c r="B356" s="13" t="s">
        <v>63</v>
      </c>
      <c r="C356" s="13" t="s">
        <v>77</v>
      </c>
    </row>
    <row r="357" spans="1:3" x14ac:dyDescent="0.25">
      <c r="A357" s="14">
        <v>40652.825497685182</v>
      </c>
      <c r="B357" s="13" t="s">
        <v>85</v>
      </c>
      <c r="C357" s="13" t="s">
        <v>84</v>
      </c>
    </row>
    <row r="358" spans="1:3" x14ac:dyDescent="0.25">
      <c r="A358" s="14">
        <v>40652.825497685182</v>
      </c>
      <c r="B358" s="13" t="s">
        <v>63</v>
      </c>
      <c r="C358" s="13" t="s">
        <v>75</v>
      </c>
    </row>
    <row r="359" spans="1:3" x14ac:dyDescent="0.25">
      <c r="A359" s="14">
        <v>40652.825509259259</v>
      </c>
      <c r="B359" s="13" t="s">
        <v>63</v>
      </c>
      <c r="C359" s="13" t="s">
        <v>72</v>
      </c>
    </row>
    <row r="360" spans="1:3" x14ac:dyDescent="0.25">
      <c r="A360" s="14">
        <v>40652.825636574074</v>
      </c>
      <c r="B360" s="13" t="s">
        <v>63</v>
      </c>
      <c r="C360" s="13" t="s">
        <v>81</v>
      </c>
    </row>
    <row r="361" spans="1:3" x14ac:dyDescent="0.25">
      <c r="A361" s="14">
        <v>40652.825636574074</v>
      </c>
      <c r="B361" s="13" t="s">
        <v>63</v>
      </c>
      <c r="C361" s="13" t="s">
        <v>82</v>
      </c>
    </row>
    <row r="362" spans="1:3" x14ac:dyDescent="0.25">
      <c r="A362" s="14">
        <v>40652.825636574074</v>
      </c>
      <c r="B362" s="13" t="s">
        <v>63</v>
      </c>
      <c r="C362" s="13" t="s">
        <v>96</v>
      </c>
    </row>
    <row r="363" spans="1:3" x14ac:dyDescent="0.25">
      <c r="A363" s="14">
        <v>40652.825636574074</v>
      </c>
      <c r="B363" s="13" t="s">
        <v>63</v>
      </c>
      <c r="C363" s="13" t="s">
        <v>77</v>
      </c>
    </row>
    <row r="364" spans="1:3" x14ac:dyDescent="0.25">
      <c r="A364" s="14">
        <v>40652.825648148151</v>
      </c>
      <c r="B364" s="13" t="s">
        <v>63</v>
      </c>
      <c r="C364" s="13" t="s">
        <v>77</v>
      </c>
    </row>
    <row r="365" spans="1:3" x14ac:dyDescent="0.25">
      <c r="A365" s="14">
        <v>40652.825659722221</v>
      </c>
      <c r="B365" s="13" t="s">
        <v>85</v>
      </c>
      <c r="C365" s="13" t="s">
        <v>87</v>
      </c>
    </row>
    <row r="366" spans="1:3" x14ac:dyDescent="0.25">
      <c r="A366" s="14">
        <v>40652.825752314813</v>
      </c>
      <c r="B366" s="13" t="s">
        <v>63</v>
      </c>
      <c r="C366" s="13" t="s">
        <v>68</v>
      </c>
    </row>
    <row r="367" spans="1:3" x14ac:dyDescent="0.25">
      <c r="A367" s="14">
        <v>40652.825752314813</v>
      </c>
      <c r="B367" s="13" t="s">
        <v>63</v>
      </c>
      <c r="C367" s="13" t="s">
        <v>82</v>
      </c>
    </row>
    <row r="368" spans="1:3" x14ac:dyDescent="0.25">
      <c r="A368" s="14">
        <v>40652.825752314813</v>
      </c>
      <c r="B368" s="13" t="s">
        <v>63</v>
      </c>
      <c r="C368" s="13" t="s">
        <v>96</v>
      </c>
    </row>
    <row r="369" spans="1:4" x14ac:dyDescent="0.25">
      <c r="A369" s="14">
        <v>40652.825752314813</v>
      </c>
      <c r="B369" s="13" t="s">
        <v>63</v>
      </c>
      <c r="C369" s="13" t="s">
        <v>77</v>
      </c>
    </row>
    <row r="370" spans="1:4" x14ac:dyDescent="0.25">
      <c r="A370" s="14">
        <v>40652.82576388889</v>
      </c>
      <c r="B370" s="13" t="s">
        <v>63</v>
      </c>
      <c r="C370" s="13" t="s">
        <v>77</v>
      </c>
    </row>
    <row r="371" spans="1:4" x14ac:dyDescent="0.25">
      <c r="A371" s="14">
        <v>40652.82576388889</v>
      </c>
      <c r="B371" s="13" t="s">
        <v>63</v>
      </c>
      <c r="C371" s="13" t="s">
        <v>69</v>
      </c>
    </row>
    <row r="372" spans="1:4" x14ac:dyDescent="0.25">
      <c r="A372" s="14">
        <v>40652.825775462959</v>
      </c>
      <c r="B372" s="13" t="s">
        <v>63</v>
      </c>
      <c r="C372" s="13" t="s">
        <v>161</v>
      </c>
    </row>
    <row r="373" spans="1:4" x14ac:dyDescent="0.25">
      <c r="A373" s="14">
        <v>40652.825775462959</v>
      </c>
      <c r="B373" s="13" t="s">
        <v>63</v>
      </c>
      <c r="C373" s="13" t="s">
        <v>162</v>
      </c>
    </row>
    <row r="374" spans="1:4" x14ac:dyDescent="0.25">
      <c r="A374" s="14">
        <v>40653.307847222219</v>
      </c>
      <c r="B374" s="13" t="s">
        <v>63</v>
      </c>
      <c r="C374" s="13" t="s">
        <v>167</v>
      </c>
      <c r="D374" s="13" t="s">
        <v>64</v>
      </c>
    </row>
    <row r="375" spans="1:4" x14ac:dyDescent="0.25">
      <c r="A375" s="14">
        <v>40653.307847222219</v>
      </c>
      <c r="B375" s="13" t="s">
        <v>63</v>
      </c>
      <c r="C375" s="13" t="s">
        <v>70</v>
      </c>
    </row>
    <row r="376" spans="1:4" x14ac:dyDescent="0.25">
      <c r="A376" s="14">
        <v>40653.322638888887</v>
      </c>
      <c r="B376" s="13" t="s">
        <v>63</v>
      </c>
      <c r="C376" s="13" t="s">
        <v>65</v>
      </c>
    </row>
    <row r="377" spans="1:4" x14ac:dyDescent="0.25">
      <c r="A377" s="14">
        <v>40653.322638888887</v>
      </c>
      <c r="B377" s="13" t="s">
        <v>63</v>
      </c>
      <c r="C377" s="13" t="s">
        <v>71</v>
      </c>
    </row>
    <row r="378" spans="1:4" x14ac:dyDescent="0.25">
      <c r="A378" s="14">
        <v>40653.322696759256</v>
      </c>
      <c r="B378" s="13" t="s">
        <v>63</v>
      </c>
      <c r="C378" s="13" t="s">
        <v>67</v>
      </c>
    </row>
    <row r="379" spans="1:4" x14ac:dyDescent="0.25">
      <c r="A379" s="14">
        <v>40653.323078703703</v>
      </c>
      <c r="B379" s="13" t="s">
        <v>63</v>
      </c>
      <c r="C379" s="13" t="s">
        <v>83</v>
      </c>
    </row>
    <row r="380" spans="1:4" x14ac:dyDescent="0.25">
      <c r="A380" s="14">
        <v>40653.323101851849</v>
      </c>
      <c r="B380" s="13" t="s">
        <v>63</v>
      </c>
      <c r="C380" s="13" t="s">
        <v>73</v>
      </c>
    </row>
    <row r="381" spans="1:4" x14ac:dyDescent="0.25">
      <c r="A381" s="14">
        <v>40653.323935185188</v>
      </c>
      <c r="B381" s="13" t="s">
        <v>63</v>
      </c>
      <c r="C381" s="13" t="s">
        <v>74</v>
      </c>
    </row>
    <row r="382" spans="1:4" x14ac:dyDescent="0.25">
      <c r="A382" s="14">
        <v>40653.323946759258</v>
      </c>
      <c r="B382" s="13" t="s">
        <v>63</v>
      </c>
      <c r="C382" s="13" t="s">
        <v>75</v>
      </c>
    </row>
    <row r="383" spans="1:4" x14ac:dyDescent="0.25">
      <c r="A383" s="14">
        <v>40653.323946759258</v>
      </c>
      <c r="B383" s="13" t="s">
        <v>63</v>
      </c>
      <c r="C383" s="13" t="s">
        <v>80</v>
      </c>
    </row>
    <row r="384" spans="1:4" x14ac:dyDescent="0.25">
      <c r="A384" s="14">
        <v>40653.323993055557</v>
      </c>
      <c r="B384" s="13" t="s">
        <v>63</v>
      </c>
      <c r="C384" s="13" t="s">
        <v>77</v>
      </c>
    </row>
    <row r="385" spans="1:4" x14ac:dyDescent="0.25">
      <c r="A385" s="14">
        <v>40653.324016203704</v>
      </c>
      <c r="B385" s="13" t="s">
        <v>85</v>
      </c>
      <c r="C385" s="13" t="s">
        <v>84</v>
      </c>
    </row>
    <row r="386" spans="1:4" x14ac:dyDescent="0.25">
      <c r="A386" s="14">
        <v>40653.324016203704</v>
      </c>
      <c r="B386" s="13" t="s">
        <v>63</v>
      </c>
      <c r="C386" s="13" t="s">
        <v>75</v>
      </c>
    </row>
    <row r="387" spans="1:4" x14ac:dyDescent="0.25">
      <c r="A387" s="14">
        <v>40653.324050925927</v>
      </c>
      <c r="B387" s="13" t="s">
        <v>63</v>
      </c>
      <c r="C387" s="13" t="s">
        <v>74</v>
      </c>
    </row>
    <row r="388" spans="1:4" x14ac:dyDescent="0.25">
      <c r="A388" s="14">
        <v>40653.324050925927</v>
      </c>
      <c r="B388" s="13" t="s">
        <v>63</v>
      </c>
      <c r="C388" s="13" t="s">
        <v>75</v>
      </c>
    </row>
    <row r="389" spans="1:4" x14ac:dyDescent="0.25">
      <c r="A389" s="14">
        <v>40653.324050925927</v>
      </c>
      <c r="B389" s="13" t="s">
        <v>63</v>
      </c>
      <c r="C389" s="13" t="s">
        <v>80</v>
      </c>
    </row>
    <row r="390" spans="1:4" x14ac:dyDescent="0.25">
      <c r="A390" s="14">
        <v>40653.324062500003</v>
      </c>
      <c r="B390" s="13" t="s">
        <v>63</v>
      </c>
      <c r="C390" s="13" t="s">
        <v>77</v>
      </c>
    </row>
    <row r="391" spans="1:4" x14ac:dyDescent="0.25">
      <c r="A391" s="14">
        <v>40653.324074074073</v>
      </c>
      <c r="B391" s="13" t="s">
        <v>85</v>
      </c>
      <c r="C391" s="13" t="s">
        <v>84</v>
      </c>
    </row>
    <row r="392" spans="1:4" x14ac:dyDescent="0.25">
      <c r="A392" s="14">
        <v>40653.324074074073</v>
      </c>
      <c r="B392" s="13" t="s">
        <v>63</v>
      </c>
      <c r="C392" s="13" t="s">
        <v>75</v>
      </c>
    </row>
    <row r="393" spans="1:4" x14ac:dyDescent="0.25">
      <c r="A393" s="14">
        <v>40653.324097222219</v>
      </c>
      <c r="B393" s="13" t="s">
        <v>63</v>
      </c>
      <c r="C393" s="13" t="s">
        <v>74</v>
      </c>
    </row>
    <row r="394" spans="1:4" x14ac:dyDescent="0.25">
      <c r="A394" s="14">
        <v>40653.324097222219</v>
      </c>
      <c r="B394" s="13" t="s">
        <v>63</v>
      </c>
      <c r="C394" s="13" t="s">
        <v>75</v>
      </c>
    </row>
    <row r="395" spans="1:4" x14ac:dyDescent="0.25">
      <c r="A395" s="14">
        <v>40653.324097222219</v>
      </c>
      <c r="B395" s="13" t="s">
        <v>63</v>
      </c>
      <c r="C395" s="13" t="s">
        <v>80</v>
      </c>
    </row>
    <row r="396" spans="1:4" x14ac:dyDescent="0.25">
      <c r="A396" s="14">
        <v>40653.324097222219</v>
      </c>
      <c r="B396" s="13" t="s">
        <v>66</v>
      </c>
      <c r="C396" s="13" t="s">
        <v>111</v>
      </c>
      <c r="D396" s="13" t="s">
        <v>112</v>
      </c>
    </row>
    <row r="397" spans="1:4" x14ac:dyDescent="0.25">
      <c r="A397" s="14">
        <v>40653.324097222219</v>
      </c>
      <c r="B397" s="13" t="s">
        <v>63</v>
      </c>
      <c r="C397" s="13" t="s">
        <v>77</v>
      </c>
    </row>
    <row r="398" spans="1:4" x14ac:dyDescent="0.25">
      <c r="A398" s="14">
        <v>40653.324108796296</v>
      </c>
      <c r="B398" s="13" t="s">
        <v>85</v>
      </c>
      <c r="C398" s="13" t="s">
        <v>113</v>
      </c>
    </row>
    <row r="399" spans="1:4" x14ac:dyDescent="0.25">
      <c r="A399" s="14">
        <v>40653.324131944442</v>
      </c>
      <c r="B399" s="13" t="s">
        <v>85</v>
      </c>
      <c r="C399" s="13" t="s">
        <v>84</v>
      </c>
    </row>
    <row r="400" spans="1:4" x14ac:dyDescent="0.25">
      <c r="A400" s="14">
        <v>40653.324131944442</v>
      </c>
      <c r="B400" s="13" t="s">
        <v>63</v>
      </c>
      <c r="C400" s="13" t="s">
        <v>75</v>
      </c>
    </row>
    <row r="401" spans="1:4" x14ac:dyDescent="0.25">
      <c r="A401" s="14">
        <v>40653.324143518519</v>
      </c>
      <c r="B401" s="13" t="s">
        <v>63</v>
      </c>
      <c r="C401" s="13" t="s">
        <v>72</v>
      </c>
    </row>
    <row r="402" spans="1:4" x14ac:dyDescent="0.25">
      <c r="A402" s="14">
        <v>40653.326342592591</v>
      </c>
      <c r="B402" s="13" t="s">
        <v>63</v>
      </c>
      <c r="C402" s="13" t="s">
        <v>65</v>
      </c>
    </row>
    <row r="403" spans="1:4" x14ac:dyDescent="0.25">
      <c r="A403" s="14">
        <v>40653.326342592591</v>
      </c>
      <c r="B403" s="13" t="s">
        <v>63</v>
      </c>
      <c r="C403" s="13" t="s">
        <v>71</v>
      </c>
    </row>
    <row r="404" spans="1:4" x14ac:dyDescent="0.25">
      <c r="A404" s="14">
        <v>40653.326342592591</v>
      </c>
      <c r="B404" s="13" t="s">
        <v>63</v>
      </c>
      <c r="C404" s="13" t="s">
        <v>73</v>
      </c>
    </row>
    <row r="405" spans="1:4" x14ac:dyDescent="0.25">
      <c r="A405" s="14">
        <v>40653.326458333337</v>
      </c>
      <c r="B405" s="13" t="s">
        <v>63</v>
      </c>
      <c r="C405" s="13" t="s">
        <v>74</v>
      </c>
    </row>
    <row r="406" spans="1:4" x14ac:dyDescent="0.25">
      <c r="A406" s="14">
        <v>40653.326458333337</v>
      </c>
      <c r="B406" s="13" t="s">
        <v>63</v>
      </c>
      <c r="C406" s="13" t="s">
        <v>75</v>
      </c>
    </row>
    <row r="407" spans="1:4" x14ac:dyDescent="0.25">
      <c r="A407" s="14">
        <v>40653.326458333337</v>
      </c>
      <c r="B407" s="13" t="s">
        <v>63</v>
      </c>
      <c r="C407" s="13" t="s">
        <v>80</v>
      </c>
    </row>
    <row r="408" spans="1:4" x14ac:dyDescent="0.25">
      <c r="A408" s="14">
        <v>40653.326504629629</v>
      </c>
      <c r="B408" s="13" t="s">
        <v>66</v>
      </c>
      <c r="C408" s="13" t="s">
        <v>111</v>
      </c>
      <c r="D408" s="13" t="s">
        <v>168</v>
      </c>
    </row>
    <row r="409" spans="1:4" x14ac:dyDescent="0.25">
      <c r="A409" s="14">
        <v>40653.326504629629</v>
      </c>
      <c r="B409" s="13" t="s">
        <v>63</v>
      </c>
      <c r="C409" s="13" t="s">
        <v>77</v>
      </c>
    </row>
    <row r="410" spans="1:4" x14ac:dyDescent="0.25">
      <c r="A410" s="14">
        <v>40653.326527777775</v>
      </c>
      <c r="B410" s="13" t="s">
        <v>85</v>
      </c>
      <c r="C410" s="13" t="s">
        <v>113</v>
      </c>
    </row>
    <row r="411" spans="1:4" x14ac:dyDescent="0.25">
      <c r="A411" s="14">
        <v>40653.326527777775</v>
      </c>
      <c r="B411" s="13" t="s">
        <v>85</v>
      </c>
      <c r="C411" s="13" t="s">
        <v>84</v>
      </c>
    </row>
    <row r="412" spans="1:4" x14ac:dyDescent="0.25">
      <c r="A412" s="14">
        <v>40653.326527777775</v>
      </c>
      <c r="B412" s="13" t="s">
        <v>63</v>
      </c>
      <c r="C412" s="13" t="s">
        <v>75</v>
      </c>
    </row>
    <row r="413" spans="1:4" x14ac:dyDescent="0.25">
      <c r="A413" s="14">
        <v>40653.326550925929</v>
      </c>
      <c r="B413" s="13" t="s">
        <v>63</v>
      </c>
      <c r="C413" s="13" t="s">
        <v>72</v>
      </c>
    </row>
    <row r="414" spans="1:4" x14ac:dyDescent="0.25">
      <c r="A414" s="14">
        <v>40653.327361111114</v>
      </c>
      <c r="B414" s="13" t="s">
        <v>63</v>
      </c>
      <c r="C414" s="13" t="s">
        <v>65</v>
      </c>
    </row>
    <row r="415" spans="1:4" x14ac:dyDescent="0.25">
      <c r="A415" s="14">
        <v>40653.327361111114</v>
      </c>
      <c r="B415" s="13" t="s">
        <v>63</v>
      </c>
      <c r="C415" s="13" t="s">
        <v>71</v>
      </c>
    </row>
    <row r="416" spans="1:4" x14ac:dyDescent="0.25">
      <c r="A416" s="14">
        <v>40653.327361111114</v>
      </c>
      <c r="B416" s="13" t="s">
        <v>63</v>
      </c>
      <c r="C416" s="13" t="s">
        <v>73</v>
      </c>
    </row>
    <row r="417" spans="1:4" x14ac:dyDescent="0.25">
      <c r="A417" s="14">
        <v>40653.327488425923</v>
      </c>
      <c r="B417" s="13" t="s">
        <v>63</v>
      </c>
      <c r="C417" s="13" t="s">
        <v>74</v>
      </c>
    </row>
    <row r="418" spans="1:4" x14ac:dyDescent="0.25">
      <c r="A418" s="14">
        <v>40653.327488425923</v>
      </c>
      <c r="B418" s="13" t="s">
        <v>63</v>
      </c>
      <c r="C418" s="13" t="s">
        <v>75</v>
      </c>
    </row>
    <row r="419" spans="1:4" x14ac:dyDescent="0.25">
      <c r="A419" s="14">
        <v>40653.327488425923</v>
      </c>
      <c r="B419" s="13" t="s">
        <v>63</v>
      </c>
      <c r="C419" s="13" t="s">
        <v>80</v>
      </c>
    </row>
    <row r="420" spans="1:4" x14ac:dyDescent="0.25">
      <c r="A420" s="14">
        <v>40653.327511574076</v>
      </c>
      <c r="B420" s="13" t="s">
        <v>63</v>
      </c>
      <c r="C420" s="13" t="s">
        <v>77</v>
      </c>
    </row>
    <row r="421" spans="1:4" x14ac:dyDescent="0.25">
      <c r="A421" s="14">
        <v>40653.327534722222</v>
      </c>
      <c r="B421" s="13" t="s">
        <v>85</v>
      </c>
      <c r="C421" s="13" t="s">
        <v>84</v>
      </c>
    </row>
    <row r="422" spans="1:4" x14ac:dyDescent="0.25">
      <c r="A422" s="14">
        <v>40653.327534722222</v>
      </c>
      <c r="B422" s="13" t="s">
        <v>63</v>
      </c>
      <c r="C422" s="13" t="s">
        <v>75</v>
      </c>
    </row>
    <row r="423" spans="1:4" x14ac:dyDescent="0.25">
      <c r="A423" s="14">
        <v>40653.327615740738</v>
      </c>
      <c r="B423" s="13" t="s">
        <v>63</v>
      </c>
      <c r="C423" s="13" t="s">
        <v>74</v>
      </c>
    </row>
    <row r="424" spans="1:4" x14ac:dyDescent="0.25">
      <c r="A424" s="14">
        <v>40653.327615740738</v>
      </c>
      <c r="B424" s="13" t="s">
        <v>63</v>
      </c>
      <c r="C424" s="13" t="s">
        <v>75</v>
      </c>
    </row>
    <row r="425" spans="1:4" x14ac:dyDescent="0.25">
      <c r="A425" s="14">
        <v>40653.327615740738</v>
      </c>
      <c r="B425" s="13" t="s">
        <v>63</v>
      </c>
      <c r="C425" s="13" t="s">
        <v>80</v>
      </c>
    </row>
    <row r="426" spans="1:4" x14ac:dyDescent="0.25">
      <c r="A426" s="14">
        <v>40653.327673611115</v>
      </c>
      <c r="B426" s="13" t="s">
        <v>63</v>
      </c>
      <c r="C426" s="13" t="s">
        <v>77</v>
      </c>
    </row>
    <row r="427" spans="1:4" x14ac:dyDescent="0.25">
      <c r="A427" s="14">
        <v>40653.327685185184</v>
      </c>
      <c r="B427" s="13" t="s">
        <v>85</v>
      </c>
      <c r="C427" s="13" t="s">
        <v>84</v>
      </c>
    </row>
    <row r="428" spans="1:4" x14ac:dyDescent="0.25">
      <c r="A428" s="14">
        <v>40653.327685185184</v>
      </c>
      <c r="B428" s="13" t="s">
        <v>63</v>
      </c>
      <c r="C428" s="13" t="s">
        <v>75</v>
      </c>
    </row>
    <row r="429" spans="1:4" x14ac:dyDescent="0.25">
      <c r="A429" s="14">
        <v>40653.327696759261</v>
      </c>
      <c r="B429" s="13" t="s">
        <v>63</v>
      </c>
      <c r="C429" s="13" t="s">
        <v>74</v>
      </c>
    </row>
    <row r="430" spans="1:4" x14ac:dyDescent="0.25">
      <c r="A430" s="14">
        <v>40653.327696759261</v>
      </c>
      <c r="B430" s="13" t="s">
        <v>63</v>
      </c>
      <c r="C430" s="13" t="s">
        <v>75</v>
      </c>
    </row>
    <row r="431" spans="1:4" x14ac:dyDescent="0.25">
      <c r="A431" s="14">
        <v>40653.327696759261</v>
      </c>
      <c r="B431" s="13" t="s">
        <v>63</v>
      </c>
      <c r="C431" s="13" t="s">
        <v>80</v>
      </c>
    </row>
    <row r="432" spans="1:4" x14ac:dyDescent="0.25">
      <c r="A432" s="14">
        <v>40653.327708333331</v>
      </c>
      <c r="B432" s="13" t="s">
        <v>66</v>
      </c>
      <c r="C432" s="13" t="s">
        <v>111</v>
      </c>
      <c r="D432" s="13" t="s">
        <v>112</v>
      </c>
    </row>
    <row r="433" spans="1:4" x14ac:dyDescent="0.25">
      <c r="A433" s="14">
        <v>40653.327708333331</v>
      </c>
      <c r="B433" s="13" t="s">
        <v>63</v>
      </c>
      <c r="C433" s="13" t="s">
        <v>77</v>
      </c>
    </row>
    <row r="434" spans="1:4" x14ac:dyDescent="0.25">
      <c r="A434" s="14">
        <v>40653.327719907407</v>
      </c>
      <c r="B434" s="13" t="s">
        <v>85</v>
      </c>
      <c r="C434" s="13" t="s">
        <v>113</v>
      </c>
    </row>
    <row r="435" spans="1:4" x14ac:dyDescent="0.25">
      <c r="A435" s="14">
        <v>40653.327731481484</v>
      </c>
      <c r="B435" s="13" t="s">
        <v>85</v>
      </c>
      <c r="C435" s="13" t="s">
        <v>84</v>
      </c>
    </row>
    <row r="436" spans="1:4" x14ac:dyDescent="0.25">
      <c r="A436" s="14">
        <v>40653.327731481484</v>
      </c>
      <c r="B436" s="13" t="s">
        <v>63</v>
      </c>
      <c r="C436" s="13" t="s">
        <v>75</v>
      </c>
    </row>
    <row r="437" spans="1:4" x14ac:dyDescent="0.25">
      <c r="A437" s="14">
        <v>40653.327777777777</v>
      </c>
      <c r="B437" s="13" t="s">
        <v>63</v>
      </c>
      <c r="C437" s="13" t="s">
        <v>74</v>
      </c>
    </row>
    <row r="438" spans="1:4" x14ac:dyDescent="0.25">
      <c r="A438" s="14">
        <v>40653.327777777777</v>
      </c>
      <c r="B438" s="13" t="s">
        <v>63</v>
      </c>
      <c r="C438" s="13" t="s">
        <v>75</v>
      </c>
    </row>
    <row r="439" spans="1:4" x14ac:dyDescent="0.25">
      <c r="A439" s="14">
        <v>40653.327777777777</v>
      </c>
      <c r="B439" s="13" t="s">
        <v>63</v>
      </c>
      <c r="C439" s="13" t="s">
        <v>80</v>
      </c>
    </row>
    <row r="440" spans="1:4" x14ac:dyDescent="0.25">
      <c r="A440" s="14">
        <v>40653.327800925923</v>
      </c>
      <c r="B440" s="13" t="s">
        <v>66</v>
      </c>
      <c r="C440" s="13" t="s">
        <v>111</v>
      </c>
      <c r="D440" s="13" t="s">
        <v>112</v>
      </c>
    </row>
    <row r="441" spans="1:4" x14ac:dyDescent="0.25">
      <c r="A441" s="14">
        <v>40653.327800925923</v>
      </c>
      <c r="B441" s="13" t="s">
        <v>63</v>
      </c>
      <c r="C441" s="13" t="s">
        <v>77</v>
      </c>
    </row>
    <row r="442" spans="1:4" x14ac:dyDescent="0.25">
      <c r="A442" s="14">
        <v>40653.3278125</v>
      </c>
      <c r="B442" s="13" t="s">
        <v>85</v>
      </c>
      <c r="C442" s="13" t="s">
        <v>113</v>
      </c>
    </row>
    <row r="443" spans="1:4" x14ac:dyDescent="0.25">
      <c r="A443" s="14">
        <v>40653.327824074076</v>
      </c>
      <c r="B443" s="13" t="s">
        <v>85</v>
      </c>
      <c r="C443" s="13" t="s">
        <v>84</v>
      </c>
    </row>
    <row r="444" spans="1:4" x14ac:dyDescent="0.25">
      <c r="A444" s="14">
        <v>40653.327824074076</v>
      </c>
      <c r="B444" s="13" t="s">
        <v>63</v>
      </c>
      <c r="C444" s="13" t="s">
        <v>75</v>
      </c>
    </row>
    <row r="445" spans="1:4" x14ac:dyDescent="0.25">
      <c r="A445" s="14">
        <v>40653.330150462964</v>
      </c>
      <c r="B445" s="13" t="s">
        <v>63</v>
      </c>
      <c r="C445" s="13" t="s">
        <v>72</v>
      </c>
    </row>
    <row r="446" spans="1:4" x14ac:dyDescent="0.25">
      <c r="A446" s="14">
        <v>40653.331736111111</v>
      </c>
      <c r="B446" s="13" t="s">
        <v>63</v>
      </c>
      <c r="C446" s="13" t="s">
        <v>65</v>
      </c>
    </row>
    <row r="447" spans="1:4" x14ac:dyDescent="0.25">
      <c r="A447" s="14">
        <v>40653.331736111111</v>
      </c>
      <c r="B447" s="13" t="s">
        <v>63</v>
      </c>
      <c r="C447" s="13" t="s">
        <v>71</v>
      </c>
    </row>
    <row r="448" spans="1:4" x14ac:dyDescent="0.25">
      <c r="A448" s="14">
        <v>40653.331736111111</v>
      </c>
      <c r="B448" s="13" t="s">
        <v>63</v>
      </c>
      <c r="C448" s="13" t="s">
        <v>73</v>
      </c>
    </row>
    <row r="449" spans="1:3" x14ac:dyDescent="0.25">
      <c r="A449" s="14">
        <v>40653.331828703704</v>
      </c>
      <c r="B449" s="13" t="s">
        <v>63</v>
      </c>
      <c r="C449" s="13" t="s">
        <v>74</v>
      </c>
    </row>
    <row r="450" spans="1:3" x14ac:dyDescent="0.25">
      <c r="A450" s="14">
        <v>40653.331828703704</v>
      </c>
      <c r="B450" s="13" t="s">
        <v>63</v>
      </c>
      <c r="C450" s="13" t="s">
        <v>75</v>
      </c>
    </row>
    <row r="451" spans="1:3" x14ac:dyDescent="0.25">
      <c r="A451" s="14">
        <v>40653.331828703704</v>
      </c>
      <c r="B451" s="13" t="s">
        <v>63</v>
      </c>
      <c r="C451" s="13" t="s">
        <v>76</v>
      </c>
    </row>
    <row r="452" spans="1:3" x14ac:dyDescent="0.25">
      <c r="A452" s="14">
        <v>40653.331875000003</v>
      </c>
      <c r="B452" s="13" t="s">
        <v>63</v>
      </c>
      <c r="C452" s="13" t="s">
        <v>77</v>
      </c>
    </row>
    <row r="453" spans="1:3" x14ac:dyDescent="0.25">
      <c r="A453" s="14">
        <v>40653.331875000003</v>
      </c>
      <c r="B453" s="13" t="s">
        <v>63</v>
      </c>
      <c r="C453" s="13" t="s">
        <v>75</v>
      </c>
    </row>
    <row r="454" spans="1:3" x14ac:dyDescent="0.25">
      <c r="A454" s="14">
        <v>40653.331875000003</v>
      </c>
      <c r="B454" s="13" t="s">
        <v>63</v>
      </c>
      <c r="C454" s="13" t="s">
        <v>78</v>
      </c>
    </row>
    <row r="455" spans="1:3" x14ac:dyDescent="0.25">
      <c r="A455" s="14">
        <v>40653.331886574073</v>
      </c>
      <c r="B455" s="13" t="s">
        <v>63</v>
      </c>
      <c r="C455" s="13" t="s">
        <v>77</v>
      </c>
    </row>
    <row r="456" spans="1:3" x14ac:dyDescent="0.25">
      <c r="A456" s="14">
        <v>40653.331886574073</v>
      </c>
      <c r="B456" s="13" t="s">
        <v>63</v>
      </c>
      <c r="C456" s="13" t="s">
        <v>75</v>
      </c>
    </row>
    <row r="457" spans="1:3" x14ac:dyDescent="0.25">
      <c r="A457" s="14">
        <v>40653.331886574073</v>
      </c>
      <c r="B457" s="13" t="s">
        <v>63</v>
      </c>
      <c r="C457" s="13" t="s">
        <v>79</v>
      </c>
    </row>
    <row r="458" spans="1:3" x14ac:dyDescent="0.25">
      <c r="A458" s="14">
        <v>40653.33189814815</v>
      </c>
      <c r="B458" s="13" t="s">
        <v>63</v>
      </c>
      <c r="C458" s="13" t="s">
        <v>77</v>
      </c>
    </row>
    <row r="459" spans="1:3" x14ac:dyDescent="0.25">
      <c r="A459" s="14">
        <v>40653.33189814815</v>
      </c>
      <c r="B459" s="13" t="s">
        <v>63</v>
      </c>
      <c r="C459" s="13" t="s">
        <v>75</v>
      </c>
    </row>
    <row r="460" spans="1:3" x14ac:dyDescent="0.25">
      <c r="A460" s="14">
        <v>40653.33189814815</v>
      </c>
      <c r="B460" s="13" t="s">
        <v>63</v>
      </c>
      <c r="C460" s="13" t="s">
        <v>80</v>
      </c>
    </row>
    <row r="461" spans="1:3" x14ac:dyDescent="0.25">
      <c r="A461" s="14">
        <v>40653.331909722219</v>
      </c>
      <c r="B461" s="13" t="s">
        <v>63</v>
      </c>
      <c r="C461" s="13" t="s">
        <v>77</v>
      </c>
    </row>
    <row r="462" spans="1:3" x14ac:dyDescent="0.25">
      <c r="A462" s="14">
        <v>40653.331979166665</v>
      </c>
      <c r="B462" s="13" t="s">
        <v>85</v>
      </c>
      <c r="C462" s="13" t="s">
        <v>84</v>
      </c>
    </row>
    <row r="463" spans="1:3" x14ac:dyDescent="0.25">
      <c r="A463" s="14">
        <v>40653.331979166665</v>
      </c>
      <c r="B463" s="13" t="s">
        <v>63</v>
      </c>
      <c r="C463" s="13" t="s">
        <v>75</v>
      </c>
    </row>
    <row r="464" spans="1:3" x14ac:dyDescent="0.25">
      <c r="A464" s="14">
        <v>40653.332002314812</v>
      </c>
      <c r="B464" s="13" t="s">
        <v>63</v>
      </c>
      <c r="C464" s="13" t="s">
        <v>74</v>
      </c>
    </row>
    <row r="465" spans="1:3" x14ac:dyDescent="0.25">
      <c r="A465" s="14">
        <v>40653.332002314812</v>
      </c>
      <c r="B465" s="13" t="s">
        <v>63</v>
      </c>
      <c r="C465" s="13" t="s">
        <v>75</v>
      </c>
    </row>
    <row r="466" spans="1:3" x14ac:dyDescent="0.25">
      <c r="A466" s="14">
        <v>40653.332002314812</v>
      </c>
      <c r="B466" s="13" t="s">
        <v>63</v>
      </c>
      <c r="C466" s="13" t="s">
        <v>80</v>
      </c>
    </row>
    <row r="467" spans="1:3" x14ac:dyDescent="0.25">
      <c r="A467" s="14">
        <v>40653.332013888888</v>
      </c>
      <c r="B467" s="13" t="s">
        <v>63</v>
      </c>
      <c r="C467" s="13" t="s">
        <v>77</v>
      </c>
    </row>
    <row r="468" spans="1:3" x14ac:dyDescent="0.25">
      <c r="A468" s="14">
        <v>40653.332025462965</v>
      </c>
      <c r="B468" s="13" t="s">
        <v>85</v>
      </c>
      <c r="C468" s="13" t="s">
        <v>84</v>
      </c>
    </row>
    <row r="469" spans="1:3" x14ac:dyDescent="0.25">
      <c r="A469" s="14">
        <v>40653.332025462965</v>
      </c>
      <c r="B469" s="13" t="s">
        <v>63</v>
      </c>
      <c r="C469" s="13" t="s">
        <v>75</v>
      </c>
    </row>
    <row r="470" spans="1:3" x14ac:dyDescent="0.25">
      <c r="A470" s="14">
        <v>40653.332083333335</v>
      </c>
      <c r="B470" s="13" t="s">
        <v>63</v>
      </c>
      <c r="C470" s="13" t="s">
        <v>74</v>
      </c>
    </row>
    <row r="471" spans="1:3" x14ac:dyDescent="0.25">
      <c r="A471" s="14">
        <v>40653.332083333335</v>
      </c>
      <c r="B471" s="13" t="s">
        <v>63</v>
      </c>
      <c r="C471" s="13" t="s">
        <v>75</v>
      </c>
    </row>
    <row r="472" spans="1:3" x14ac:dyDescent="0.25">
      <c r="A472" s="14">
        <v>40653.332083333335</v>
      </c>
      <c r="B472" s="13" t="s">
        <v>63</v>
      </c>
      <c r="C472" s="13" t="s">
        <v>80</v>
      </c>
    </row>
    <row r="473" spans="1:3" x14ac:dyDescent="0.25">
      <c r="A473" s="14">
        <v>40653.332083333335</v>
      </c>
      <c r="B473" s="13" t="s">
        <v>63</v>
      </c>
      <c r="C473" s="13" t="s">
        <v>77</v>
      </c>
    </row>
    <row r="474" spans="1:3" x14ac:dyDescent="0.25">
      <c r="A474" s="14">
        <v>40653.332094907404</v>
      </c>
      <c r="B474" s="13" t="s">
        <v>85</v>
      </c>
      <c r="C474" s="13" t="s">
        <v>84</v>
      </c>
    </row>
    <row r="475" spans="1:3" x14ac:dyDescent="0.25">
      <c r="A475" s="14">
        <v>40653.332094907404</v>
      </c>
      <c r="B475" s="13" t="s">
        <v>63</v>
      </c>
      <c r="C475" s="13" t="s">
        <v>75</v>
      </c>
    </row>
    <row r="476" spans="1:3" x14ac:dyDescent="0.25">
      <c r="A476" s="14">
        <v>40653.332141203704</v>
      </c>
      <c r="B476" s="13" t="s">
        <v>63</v>
      </c>
      <c r="C476" s="13" t="s">
        <v>74</v>
      </c>
    </row>
    <row r="477" spans="1:3" x14ac:dyDescent="0.25">
      <c r="A477" s="14">
        <v>40653.332141203704</v>
      </c>
      <c r="B477" s="13" t="s">
        <v>63</v>
      </c>
      <c r="C477" s="13" t="s">
        <v>75</v>
      </c>
    </row>
    <row r="478" spans="1:3" x14ac:dyDescent="0.25">
      <c r="A478" s="14">
        <v>40653.332141203704</v>
      </c>
      <c r="B478" s="13" t="s">
        <v>63</v>
      </c>
      <c r="C478" s="13" t="s">
        <v>80</v>
      </c>
    </row>
    <row r="479" spans="1:3" x14ac:dyDescent="0.25">
      <c r="A479" s="14">
        <v>40653.332141203704</v>
      </c>
      <c r="B479" s="13" t="s">
        <v>63</v>
      </c>
      <c r="C479" s="13" t="s">
        <v>77</v>
      </c>
    </row>
    <row r="480" spans="1:3" x14ac:dyDescent="0.25">
      <c r="A480" s="14">
        <v>40653.33216435185</v>
      </c>
      <c r="B480" s="13" t="s">
        <v>85</v>
      </c>
      <c r="C480" s="13" t="s">
        <v>84</v>
      </c>
    </row>
    <row r="481" spans="1:3" x14ac:dyDescent="0.25">
      <c r="A481" s="14">
        <v>40653.33216435185</v>
      </c>
      <c r="B481" s="13" t="s">
        <v>63</v>
      </c>
      <c r="C481" s="13" t="s">
        <v>75</v>
      </c>
    </row>
    <row r="482" spans="1:3" x14ac:dyDescent="0.25">
      <c r="A482" s="14">
        <v>40653.332199074073</v>
      </c>
      <c r="B482" s="13" t="s">
        <v>63</v>
      </c>
      <c r="C482" s="13" t="s">
        <v>74</v>
      </c>
    </row>
    <row r="483" spans="1:3" x14ac:dyDescent="0.25">
      <c r="A483" s="14">
        <v>40653.332199074073</v>
      </c>
      <c r="B483" s="13" t="s">
        <v>63</v>
      </c>
      <c r="C483" s="13" t="s">
        <v>75</v>
      </c>
    </row>
    <row r="484" spans="1:3" x14ac:dyDescent="0.25">
      <c r="A484" s="14">
        <v>40653.332199074073</v>
      </c>
      <c r="B484" s="13" t="s">
        <v>63</v>
      </c>
      <c r="C484" s="13" t="s">
        <v>80</v>
      </c>
    </row>
    <row r="485" spans="1:3" x14ac:dyDescent="0.25">
      <c r="A485" s="14">
        <v>40653.33221064815</v>
      </c>
      <c r="B485" s="13" t="s">
        <v>63</v>
      </c>
      <c r="C485" s="13" t="s">
        <v>77</v>
      </c>
    </row>
    <row r="486" spans="1:3" x14ac:dyDescent="0.25">
      <c r="A486" s="14">
        <v>40653.33221064815</v>
      </c>
      <c r="B486" s="13" t="s">
        <v>85</v>
      </c>
      <c r="C486" s="13" t="s">
        <v>84</v>
      </c>
    </row>
    <row r="487" spans="1:3" x14ac:dyDescent="0.25">
      <c r="A487" s="14">
        <v>40653.33221064815</v>
      </c>
      <c r="B487" s="13" t="s">
        <v>63</v>
      </c>
      <c r="C487" s="13" t="s">
        <v>75</v>
      </c>
    </row>
    <row r="488" spans="1:3" x14ac:dyDescent="0.25">
      <c r="A488" s="14">
        <v>40653.33222222222</v>
      </c>
      <c r="B488" s="13" t="s">
        <v>63</v>
      </c>
      <c r="C488" s="13" t="s">
        <v>72</v>
      </c>
    </row>
    <row r="489" spans="1:3" x14ac:dyDescent="0.25">
      <c r="A489" s="14">
        <v>40653.334710648145</v>
      </c>
      <c r="B489" s="13" t="s">
        <v>63</v>
      </c>
      <c r="C489" s="13" t="s">
        <v>65</v>
      </c>
    </row>
    <row r="490" spans="1:3" x14ac:dyDescent="0.25">
      <c r="A490" s="14">
        <v>40653.334710648145</v>
      </c>
      <c r="B490" s="13" t="s">
        <v>63</v>
      </c>
      <c r="C490" s="13" t="s">
        <v>71</v>
      </c>
    </row>
    <row r="491" spans="1:3" x14ac:dyDescent="0.25">
      <c r="A491" s="14">
        <v>40653.334710648145</v>
      </c>
      <c r="B491" s="13" t="s">
        <v>63</v>
      </c>
      <c r="C491" s="13" t="s">
        <v>73</v>
      </c>
    </row>
    <row r="492" spans="1:3" x14ac:dyDescent="0.25">
      <c r="A492" s="14">
        <v>40653.33488425926</v>
      </c>
      <c r="B492" s="13" t="s">
        <v>63</v>
      </c>
      <c r="C492" s="13" t="s">
        <v>74</v>
      </c>
    </row>
    <row r="493" spans="1:3" x14ac:dyDescent="0.25">
      <c r="A493" s="14">
        <v>40653.33488425926</v>
      </c>
      <c r="B493" s="13" t="s">
        <v>63</v>
      </c>
      <c r="C493" s="13" t="s">
        <v>75</v>
      </c>
    </row>
    <row r="494" spans="1:3" x14ac:dyDescent="0.25">
      <c r="A494" s="14">
        <v>40653.33488425926</v>
      </c>
      <c r="B494" s="13" t="s">
        <v>63</v>
      </c>
      <c r="C494" s="13" t="s">
        <v>80</v>
      </c>
    </row>
    <row r="495" spans="1:3" x14ac:dyDescent="0.25">
      <c r="A495" s="14">
        <v>40653.334907407407</v>
      </c>
      <c r="B495" s="13" t="s">
        <v>63</v>
      </c>
      <c r="C495" s="13" t="s">
        <v>77</v>
      </c>
    </row>
    <row r="496" spans="1:3" x14ac:dyDescent="0.25">
      <c r="A496" s="14">
        <v>40653.334918981483</v>
      </c>
      <c r="B496" s="13" t="s">
        <v>85</v>
      </c>
      <c r="C496" s="13" t="s">
        <v>84</v>
      </c>
    </row>
    <row r="497" spans="1:3" x14ac:dyDescent="0.25">
      <c r="A497" s="14">
        <v>40653.334918981483</v>
      </c>
      <c r="B497" s="13" t="s">
        <v>63</v>
      </c>
      <c r="C497" s="13" t="s">
        <v>75</v>
      </c>
    </row>
    <row r="498" spans="1:3" x14ac:dyDescent="0.25">
      <c r="A498" s="14">
        <v>40653.33494212963</v>
      </c>
      <c r="B498" s="13" t="s">
        <v>63</v>
      </c>
      <c r="C498" s="13" t="s">
        <v>74</v>
      </c>
    </row>
    <row r="499" spans="1:3" x14ac:dyDescent="0.25">
      <c r="A499" s="14">
        <v>40653.33494212963</v>
      </c>
      <c r="B499" s="13" t="s">
        <v>63</v>
      </c>
      <c r="C499" s="13" t="s">
        <v>75</v>
      </c>
    </row>
    <row r="500" spans="1:3" x14ac:dyDescent="0.25">
      <c r="A500" s="14">
        <v>40653.33494212963</v>
      </c>
      <c r="B500" s="13" t="s">
        <v>63</v>
      </c>
      <c r="C500" s="13" t="s">
        <v>80</v>
      </c>
    </row>
    <row r="501" spans="1:3" x14ac:dyDescent="0.25">
      <c r="A501" s="14">
        <v>40653.334953703707</v>
      </c>
      <c r="B501" s="13" t="s">
        <v>63</v>
      </c>
      <c r="C501" s="13" t="s">
        <v>77</v>
      </c>
    </row>
    <row r="502" spans="1:3" x14ac:dyDescent="0.25">
      <c r="A502" s="14">
        <v>40653.334953703707</v>
      </c>
      <c r="B502" s="13" t="s">
        <v>85</v>
      </c>
      <c r="C502" s="13" t="s">
        <v>84</v>
      </c>
    </row>
    <row r="503" spans="1:3" x14ac:dyDescent="0.25">
      <c r="A503" s="14">
        <v>40653.334953703707</v>
      </c>
      <c r="B503" s="13" t="s">
        <v>63</v>
      </c>
      <c r="C503" s="13" t="s">
        <v>75</v>
      </c>
    </row>
    <row r="504" spans="1:3" x14ac:dyDescent="0.25">
      <c r="A504" s="14">
        <v>40653.334976851853</v>
      </c>
      <c r="B504" s="13" t="s">
        <v>63</v>
      </c>
      <c r="C504" s="13" t="s">
        <v>74</v>
      </c>
    </row>
    <row r="505" spans="1:3" x14ac:dyDescent="0.25">
      <c r="A505" s="14">
        <v>40653.334976851853</v>
      </c>
      <c r="B505" s="13" t="s">
        <v>63</v>
      </c>
      <c r="C505" s="13" t="s">
        <v>75</v>
      </c>
    </row>
    <row r="506" spans="1:3" x14ac:dyDescent="0.25">
      <c r="A506" s="14">
        <v>40653.334976851853</v>
      </c>
      <c r="B506" s="13" t="s">
        <v>63</v>
      </c>
      <c r="C506" s="13" t="s">
        <v>80</v>
      </c>
    </row>
    <row r="507" spans="1:3" x14ac:dyDescent="0.25">
      <c r="A507" s="14">
        <v>40653.334988425922</v>
      </c>
      <c r="B507" s="13" t="s">
        <v>63</v>
      </c>
      <c r="C507" s="13" t="s">
        <v>77</v>
      </c>
    </row>
    <row r="508" spans="1:3" x14ac:dyDescent="0.25">
      <c r="A508" s="14">
        <v>40653.334999999999</v>
      </c>
      <c r="B508" s="13" t="s">
        <v>85</v>
      </c>
      <c r="C508" s="13" t="s">
        <v>84</v>
      </c>
    </row>
    <row r="509" spans="1:3" x14ac:dyDescent="0.25">
      <c r="A509" s="14">
        <v>40653.334999999999</v>
      </c>
      <c r="B509" s="13" t="s">
        <v>63</v>
      </c>
      <c r="C509" s="13" t="s">
        <v>75</v>
      </c>
    </row>
    <row r="510" spans="1:3" x14ac:dyDescent="0.25">
      <c r="A510" s="14">
        <v>40653.335023148145</v>
      </c>
      <c r="B510" s="13" t="s">
        <v>63</v>
      </c>
      <c r="C510" s="13" t="s">
        <v>74</v>
      </c>
    </row>
    <row r="511" spans="1:3" x14ac:dyDescent="0.25">
      <c r="A511" s="14">
        <v>40653.335023148145</v>
      </c>
      <c r="B511" s="13" t="s">
        <v>63</v>
      </c>
      <c r="C511" s="13" t="s">
        <v>75</v>
      </c>
    </row>
    <row r="512" spans="1:3" x14ac:dyDescent="0.25">
      <c r="A512" s="14">
        <v>40653.335023148145</v>
      </c>
      <c r="B512" s="13" t="s">
        <v>63</v>
      </c>
      <c r="C512" s="13" t="s">
        <v>80</v>
      </c>
    </row>
    <row r="513" spans="1:3" x14ac:dyDescent="0.25">
      <c r="A513" s="14">
        <v>40653.335682870369</v>
      </c>
      <c r="B513" s="13" t="s">
        <v>63</v>
      </c>
      <c r="C513" s="13" t="s">
        <v>77</v>
      </c>
    </row>
    <row r="514" spans="1:3" x14ac:dyDescent="0.25">
      <c r="A514" s="14">
        <v>40653.336087962962</v>
      </c>
      <c r="B514" s="13" t="s">
        <v>85</v>
      </c>
      <c r="C514" s="13" t="s">
        <v>84</v>
      </c>
    </row>
    <row r="515" spans="1:3" x14ac:dyDescent="0.25">
      <c r="A515" s="14">
        <v>40653.336087962962</v>
      </c>
      <c r="B515" s="13" t="s">
        <v>63</v>
      </c>
      <c r="C515" s="13" t="s">
        <v>75</v>
      </c>
    </row>
    <row r="516" spans="1:3" x14ac:dyDescent="0.25">
      <c r="A516" s="14">
        <v>40653.336099537039</v>
      </c>
      <c r="B516" s="13" t="s">
        <v>63</v>
      </c>
      <c r="C516" s="13" t="s">
        <v>72</v>
      </c>
    </row>
    <row r="517" spans="1:3" x14ac:dyDescent="0.25">
      <c r="A517" s="14">
        <v>40653.336319444446</v>
      </c>
      <c r="B517" s="13" t="s">
        <v>63</v>
      </c>
      <c r="C517" s="13" t="s">
        <v>65</v>
      </c>
    </row>
    <row r="518" spans="1:3" x14ac:dyDescent="0.25">
      <c r="A518" s="14">
        <v>40653.336319444446</v>
      </c>
      <c r="B518" s="13" t="s">
        <v>63</v>
      </c>
      <c r="C518" s="13" t="s">
        <v>71</v>
      </c>
    </row>
    <row r="519" spans="1:3" x14ac:dyDescent="0.25">
      <c r="A519" s="14">
        <v>40653.336319444446</v>
      </c>
      <c r="B519" s="13" t="s">
        <v>63</v>
      </c>
      <c r="C519" s="13" t="s">
        <v>73</v>
      </c>
    </row>
    <row r="520" spans="1:3" x14ac:dyDescent="0.25">
      <c r="A520" s="14">
        <v>40653.336423611108</v>
      </c>
      <c r="B520" s="13" t="s">
        <v>63</v>
      </c>
      <c r="C520" s="13" t="s">
        <v>72</v>
      </c>
    </row>
    <row r="521" spans="1:3" x14ac:dyDescent="0.25">
      <c r="A521" s="14">
        <v>40653.33693287037</v>
      </c>
      <c r="B521" s="13" t="s">
        <v>63</v>
      </c>
      <c r="C521" s="13" t="s">
        <v>65</v>
      </c>
    </row>
    <row r="522" spans="1:3" x14ac:dyDescent="0.25">
      <c r="A522" s="14">
        <v>40653.33693287037</v>
      </c>
      <c r="B522" s="13" t="s">
        <v>63</v>
      </c>
      <c r="C522" s="13" t="s">
        <v>71</v>
      </c>
    </row>
    <row r="523" spans="1:3" x14ac:dyDescent="0.25">
      <c r="A523" s="14">
        <v>40653.33693287037</v>
      </c>
      <c r="B523" s="13" t="s">
        <v>63</v>
      </c>
      <c r="C523" s="13" t="s">
        <v>73</v>
      </c>
    </row>
    <row r="524" spans="1:3" x14ac:dyDescent="0.25">
      <c r="A524" s="14">
        <v>40653.336967592593</v>
      </c>
      <c r="B524" s="13" t="s">
        <v>63</v>
      </c>
      <c r="C524" s="13" t="s">
        <v>114</v>
      </c>
    </row>
    <row r="525" spans="1:3" x14ac:dyDescent="0.25">
      <c r="A525" s="14">
        <v>40653.337048611109</v>
      </c>
      <c r="B525" s="13" t="s">
        <v>63</v>
      </c>
      <c r="C525" s="13" t="s">
        <v>72</v>
      </c>
    </row>
    <row r="526" spans="1:3" x14ac:dyDescent="0.25">
      <c r="A526" s="14">
        <v>40653.337430555555</v>
      </c>
      <c r="B526" s="13" t="s">
        <v>63</v>
      </c>
      <c r="C526" s="13" t="s">
        <v>65</v>
      </c>
    </row>
    <row r="527" spans="1:3" x14ac:dyDescent="0.25">
      <c r="A527" s="14">
        <v>40653.337430555555</v>
      </c>
      <c r="B527" s="13" t="s">
        <v>63</v>
      </c>
      <c r="C527" s="13" t="s">
        <v>71</v>
      </c>
    </row>
    <row r="528" spans="1:3" x14ac:dyDescent="0.25">
      <c r="A528" s="14">
        <v>40653.337430555555</v>
      </c>
      <c r="B528" s="13" t="s">
        <v>63</v>
      </c>
      <c r="C528" s="13" t="s">
        <v>73</v>
      </c>
    </row>
    <row r="529" spans="1:3" x14ac:dyDescent="0.25">
      <c r="A529" s="14">
        <v>40653.337465277778</v>
      </c>
      <c r="B529" s="13" t="s">
        <v>63</v>
      </c>
      <c r="C529" s="13" t="s">
        <v>114</v>
      </c>
    </row>
    <row r="530" spans="1:3" x14ac:dyDescent="0.25">
      <c r="A530" s="14">
        <v>40653.337881944448</v>
      </c>
      <c r="B530" s="13" t="s">
        <v>63</v>
      </c>
      <c r="C530" s="13" t="s">
        <v>72</v>
      </c>
    </row>
    <row r="531" spans="1:3" x14ac:dyDescent="0.25">
      <c r="A531" s="14">
        <v>40653.33834490741</v>
      </c>
      <c r="B531" s="13" t="s">
        <v>63</v>
      </c>
      <c r="C531" s="13" t="s">
        <v>65</v>
      </c>
    </row>
    <row r="532" spans="1:3" x14ac:dyDescent="0.25">
      <c r="A532" s="14">
        <v>40653.33834490741</v>
      </c>
      <c r="B532" s="13" t="s">
        <v>63</v>
      </c>
      <c r="C532" s="13" t="s">
        <v>71</v>
      </c>
    </row>
    <row r="533" spans="1:3" x14ac:dyDescent="0.25">
      <c r="A533" s="14">
        <v>40653.33834490741</v>
      </c>
      <c r="B533" s="13" t="s">
        <v>63</v>
      </c>
      <c r="C533" s="13" t="s">
        <v>73</v>
      </c>
    </row>
    <row r="534" spans="1:3" x14ac:dyDescent="0.25">
      <c r="A534" s="14">
        <v>40653.338368055556</v>
      </c>
      <c r="B534" s="13" t="s">
        <v>63</v>
      </c>
      <c r="C534" s="13" t="s">
        <v>114</v>
      </c>
    </row>
    <row r="535" spans="1:3" x14ac:dyDescent="0.25">
      <c r="A535" s="14">
        <v>40653.338425925926</v>
      </c>
      <c r="B535" s="13" t="s">
        <v>63</v>
      </c>
      <c r="C535" s="13" t="s">
        <v>72</v>
      </c>
    </row>
    <row r="536" spans="1:3" x14ac:dyDescent="0.25">
      <c r="A536" s="14">
        <v>40653.339953703704</v>
      </c>
      <c r="B536" s="13" t="s">
        <v>63</v>
      </c>
      <c r="C536" s="13" t="s">
        <v>65</v>
      </c>
    </row>
    <row r="537" spans="1:3" x14ac:dyDescent="0.25">
      <c r="A537" s="14">
        <v>40653.339953703704</v>
      </c>
      <c r="B537" s="13" t="s">
        <v>63</v>
      </c>
      <c r="C537" s="13" t="s">
        <v>71</v>
      </c>
    </row>
    <row r="538" spans="1:3" x14ac:dyDescent="0.25">
      <c r="A538" s="14">
        <v>40653.339953703704</v>
      </c>
      <c r="B538" s="13" t="s">
        <v>63</v>
      </c>
      <c r="C538" s="13" t="s">
        <v>73</v>
      </c>
    </row>
    <row r="539" spans="1:3" x14ac:dyDescent="0.25">
      <c r="A539" s="14">
        <v>40653.340138888889</v>
      </c>
      <c r="B539" s="13" t="s">
        <v>63</v>
      </c>
      <c r="C539" s="13" t="s">
        <v>74</v>
      </c>
    </row>
    <row r="540" spans="1:3" x14ac:dyDescent="0.25">
      <c r="A540" s="14">
        <v>40653.340138888889</v>
      </c>
      <c r="B540" s="13" t="s">
        <v>63</v>
      </c>
      <c r="C540" s="13" t="s">
        <v>75</v>
      </c>
    </row>
    <row r="541" spans="1:3" x14ac:dyDescent="0.25">
      <c r="A541" s="14">
        <v>40653.340138888889</v>
      </c>
      <c r="B541" s="13" t="s">
        <v>63</v>
      </c>
      <c r="C541" s="13" t="s">
        <v>76</v>
      </c>
    </row>
    <row r="542" spans="1:3" x14ac:dyDescent="0.25">
      <c r="A542" s="14">
        <v>40653.340150462966</v>
      </c>
      <c r="B542" s="13" t="s">
        <v>63</v>
      </c>
      <c r="C542" s="13" t="s">
        <v>77</v>
      </c>
    </row>
    <row r="543" spans="1:3" x14ac:dyDescent="0.25">
      <c r="A543" s="14">
        <v>40653.340150462966</v>
      </c>
      <c r="B543" s="13" t="s">
        <v>63</v>
      </c>
      <c r="C543" s="13" t="s">
        <v>75</v>
      </c>
    </row>
    <row r="544" spans="1:3" x14ac:dyDescent="0.25">
      <c r="A544" s="14">
        <v>40653.340150462966</v>
      </c>
      <c r="B544" s="13" t="s">
        <v>63</v>
      </c>
      <c r="C544" s="13" t="s">
        <v>78</v>
      </c>
    </row>
    <row r="545" spans="1:3" x14ac:dyDescent="0.25">
      <c r="A545" s="14">
        <v>40653.340162037035</v>
      </c>
      <c r="B545" s="13" t="s">
        <v>63</v>
      </c>
      <c r="C545" s="13" t="s">
        <v>77</v>
      </c>
    </row>
    <row r="546" spans="1:3" x14ac:dyDescent="0.25">
      <c r="A546" s="14">
        <v>40653.340162037035</v>
      </c>
      <c r="B546" s="13" t="s">
        <v>63</v>
      </c>
      <c r="C546" s="13" t="s">
        <v>75</v>
      </c>
    </row>
    <row r="547" spans="1:3" x14ac:dyDescent="0.25">
      <c r="A547" s="14">
        <v>40653.340162037035</v>
      </c>
      <c r="B547" s="13" t="s">
        <v>63</v>
      </c>
      <c r="C547" s="13" t="s">
        <v>79</v>
      </c>
    </row>
    <row r="548" spans="1:3" x14ac:dyDescent="0.25">
      <c r="A548" s="14">
        <v>40653.340162037035</v>
      </c>
      <c r="B548" s="13" t="s">
        <v>63</v>
      </c>
      <c r="C548" s="13" t="s">
        <v>77</v>
      </c>
    </row>
    <row r="549" spans="1:3" x14ac:dyDescent="0.25">
      <c r="A549" s="14">
        <v>40653.340162037035</v>
      </c>
      <c r="B549" s="13" t="s">
        <v>63</v>
      </c>
      <c r="C549" s="13" t="s">
        <v>75</v>
      </c>
    </row>
    <row r="550" spans="1:3" x14ac:dyDescent="0.25">
      <c r="A550" s="14">
        <v>40653.340173611112</v>
      </c>
      <c r="B550" s="13" t="s">
        <v>63</v>
      </c>
      <c r="C550" s="13" t="s">
        <v>80</v>
      </c>
    </row>
    <row r="551" spans="1:3" x14ac:dyDescent="0.25">
      <c r="A551" s="14">
        <v>40653.340173611112</v>
      </c>
      <c r="B551" s="13" t="s">
        <v>63</v>
      </c>
      <c r="C551" s="13" t="s">
        <v>77</v>
      </c>
    </row>
    <row r="552" spans="1:3" x14ac:dyDescent="0.25">
      <c r="A552" s="14">
        <v>40653.340243055558</v>
      </c>
      <c r="B552" s="13" t="s">
        <v>85</v>
      </c>
      <c r="C552" s="13" t="s">
        <v>84</v>
      </c>
    </row>
    <row r="553" spans="1:3" x14ac:dyDescent="0.25">
      <c r="A553" s="14">
        <v>40653.340243055558</v>
      </c>
      <c r="B553" s="13" t="s">
        <v>63</v>
      </c>
      <c r="C553" s="13" t="s">
        <v>75</v>
      </c>
    </row>
    <row r="554" spans="1:3" x14ac:dyDescent="0.25">
      <c r="A554" s="14">
        <v>40653.340266203704</v>
      </c>
      <c r="B554" s="13" t="s">
        <v>63</v>
      </c>
      <c r="C554" s="13" t="s">
        <v>72</v>
      </c>
    </row>
    <row r="555" spans="1:3" x14ac:dyDescent="0.25">
      <c r="A555" s="14">
        <v>40653.340289351851</v>
      </c>
      <c r="B555" s="13" t="s">
        <v>63</v>
      </c>
      <c r="C555" s="13" t="s">
        <v>68</v>
      </c>
    </row>
    <row r="556" spans="1:3" x14ac:dyDescent="0.25">
      <c r="A556" s="14">
        <v>40653.340289351851</v>
      </c>
      <c r="B556" s="13" t="s">
        <v>63</v>
      </c>
      <c r="C556" s="13" t="s">
        <v>82</v>
      </c>
    </row>
    <row r="557" spans="1:3" x14ac:dyDescent="0.25">
      <c r="A557" s="14">
        <v>40653.340289351851</v>
      </c>
      <c r="B557" s="13" t="s">
        <v>63</v>
      </c>
      <c r="C557" s="13" t="s">
        <v>96</v>
      </c>
    </row>
    <row r="558" spans="1:3" x14ac:dyDescent="0.25">
      <c r="A558" s="14">
        <v>40653.340289351851</v>
      </c>
      <c r="B558" s="13" t="s">
        <v>63</v>
      </c>
      <c r="C558" s="13" t="s">
        <v>77</v>
      </c>
    </row>
    <row r="559" spans="1:3" x14ac:dyDescent="0.25">
      <c r="A559" s="14">
        <v>40653.340289351851</v>
      </c>
      <c r="B559" s="13" t="s">
        <v>63</v>
      </c>
      <c r="C559" s="13" t="s">
        <v>77</v>
      </c>
    </row>
    <row r="560" spans="1:3" ht="45" x14ac:dyDescent="0.25">
      <c r="A560" s="14">
        <v>40653.340324074074</v>
      </c>
      <c r="B560" s="13" t="s">
        <v>85</v>
      </c>
      <c r="C560" s="12" t="s">
        <v>169</v>
      </c>
    </row>
    <row r="561" spans="1:3" x14ac:dyDescent="0.25">
      <c r="A561" s="14">
        <v>40653.340358796297</v>
      </c>
      <c r="B561" s="13" t="s">
        <v>63</v>
      </c>
      <c r="C561" s="13" t="s">
        <v>97</v>
      </c>
    </row>
    <row r="562" spans="1:3" ht="60" x14ac:dyDescent="0.25">
      <c r="A562" s="14">
        <v>40653.340381944443</v>
      </c>
      <c r="B562" s="13" t="s">
        <v>85</v>
      </c>
      <c r="C562" s="12" t="s">
        <v>90</v>
      </c>
    </row>
    <row r="563" spans="1:3" x14ac:dyDescent="0.25">
      <c r="A563" s="14">
        <v>40653.340671296297</v>
      </c>
      <c r="B563" s="13" t="s">
        <v>63</v>
      </c>
      <c r="C563" s="13" t="s">
        <v>81</v>
      </c>
    </row>
    <row r="564" spans="1:3" x14ac:dyDescent="0.25">
      <c r="A564" s="14">
        <v>40653.340671296297</v>
      </c>
      <c r="B564" s="13" t="s">
        <v>63</v>
      </c>
      <c r="C564" s="13" t="s">
        <v>82</v>
      </c>
    </row>
    <row r="565" spans="1:3" x14ac:dyDescent="0.25">
      <c r="A565" s="14">
        <v>40653.340671296297</v>
      </c>
      <c r="B565" s="13" t="s">
        <v>63</v>
      </c>
      <c r="C565" s="13" t="s">
        <v>96</v>
      </c>
    </row>
    <row r="566" spans="1:3" x14ac:dyDescent="0.25">
      <c r="A566" s="14">
        <v>40653.340671296297</v>
      </c>
      <c r="B566" s="13" t="s">
        <v>63</v>
      </c>
      <c r="C566" s="13" t="s">
        <v>77</v>
      </c>
    </row>
    <row r="567" spans="1:3" x14ac:dyDescent="0.25">
      <c r="A567" s="14">
        <v>40653.340694444443</v>
      </c>
      <c r="B567" s="13" t="s">
        <v>85</v>
      </c>
      <c r="C567" s="13" t="s">
        <v>170</v>
      </c>
    </row>
    <row r="568" spans="1:3" x14ac:dyDescent="0.25">
      <c r="A568" s="14">
        <v>40653.340694444443</v>
      </c>
      <c r="B568" s="13" t="s">
        <v>85</v>
      </c>
      <c r="C568" s="13" t="s">
        <v>103</v>
      </c>
    </row>
    <row r="569" spans="1:3" x14ac:dyDescent="0.25">
      <c r="A569" s="14">
        <v>40653.340810185182</v>
      </c>
      <c r="B569" s="13" t="s">
        <v>63</v>
      </c>
      <c r="C569" s="13" t="s">
        <v>97</v>
      </c>
    </row>
    <row r="570" spans="1:3" ht="60" x14ac:dyDescent="0.25">
      <c r="A570" s="14">
        <v>40653.340821759259</v>
      </c>
      <c r="B570" s="13" t="s">
        <v>85</v>
      </c>
      <c r="C570" s="12" t="s">
        <v>90</v>
      </c>
    </row>
    <row r="571" spans="1:3" x14ac:dyDescent="0.25">
      <c r="A571" s="14">
        <v>40653.341134259259</v>
      </c>
      <c r="B571" s="13" t="s">
        <v>85</v>
      </c>
      <c r="C571" s="13" t="s">
        <v>106</v>
      </c>
    </row>
    <row r="572" spans="1:3" x14ac:dyDescent="0.25">
      <c r="A572" s="14">
        <v>40653.341134259259</v>
      </c>
      <c r="B572" s="13" t="s">
        <v>63</v>
      </c>
      <c r="C572" s="13" t="s">
        <v>77</v>
      </c>
    </row>
    <row r="573" spans="1:3" x14ac:dyDescent="0.25">
      <c r="A573" s="14">
        <v>40653.341145833336</v>
      </c>
      <c r="B573" s="13" t="s">
        <v>85</v>
      </c>
      <c r="C573" s="13" t="s">
        <v>107</v>
      </c>
    </row>
    <row r="574" spans="1:3" x14ac:dyDescent="0.25">
      <c r="A574" s="14">
        <v>40653.341145833336</v>
      </c>
      <c r="B574" s="13" t="s">
        <v>63</v>
      </c>
      <c r="C574" s="13" t="s">
        <v>77</v>
      </c>
    </row>
    <row r="575" spans="1:3" x14ac:dyDescent="0.25">
      <c r="A575" s="14">
        <v>40653.341423611113</v>
      </c>
      <c r="B575" s="13" t="s">
        <v>63</v>
      </c>
      <c r="C575" s="13" t="s">
        <v>65</v>
      </c>
    </row>
    <row r="576" spans="1:3" x14ac:dyDescent="0.25">
      <c r="A576" s="14">
        <v>40653.341423611113</v>
      </c>
      <c r="B576" s="13" t="s">
        <v>63</v>
      </c>
      <c r="C576" s="13" t="s">
        <v>71</v>
      </c>
    </row>
    <row r="577" spans="1:4" x14ac:dyDescent="0.25">
      <c r="A577" s="14">
        <v>40653.341423611113</v>
      </c>
      <c r="B577" s="13" t="s">
        <v>63</v>
      </c>
      <c r="C577" s="13" t="s">
        <v>73</v>
      </c>
    </row>
    <row r="578" spans="1:4" x14ac:dyDescent="0.25">
      <c r="A578" s="14">
        <v>40653.341608796298</v>
      </c>
      <c r="B578" s="13" t="s">
        <v>63</v>
      </c>
      <c r="C578" s="13" t="s">
        <v>74</v>
      </c>
    </row>
    <row r="579" spans="1:4" x14ac:dyDescent="0.25">
      <c r="A579" s="14">
        <v>40653.341608796298</v>
      </c>
      <c r="B579" s="13" t="s">
        <v>63</v>
      </c>
      <c r="C579" s="13" t="s">
        <v>75</v>
      </c>
    </row>
    <row r="580" spans="1:4" x14ac:dyDescent="0.25">
      <c r="A580" s="14">
        <v>40653.341608796298</v>
      </c>
      <c r="B580" s="13" t="s">
        <v>63</v>
      </c>
      <c r="C580" s="13" t="s">
        <v>76</v>
      </c>
    </row>
    <row r="581" spans="1:4" x14ac:dyDescent="0.25">
      <c r="A581" s="14">
        <v>40653.342118055552</v>
      </c>
      <c r="B581" s="13" t="s">
        <v>63</v>
      </c>
      <c r="C581" s="13" t="s">
        <v>77</v>
      </c>
    </row>
    <row r="582" spans="1:4" x14ac:dyDescent="0.25">
      <c r="A582" s="14">
        <v>40653.342129629629</v>
      </c>
      <c r="B582" s="13" t="s">
        <v>63</v>
      </c>
      <c r="C582" s="13" t="s">
        <v>75</v>
      </c>
    </row>
    <row r="583" spans="1:4" x14ac:dyDescent="0.25">
      <c r="A583" s="14">
        <v>40653.342129629629</v>
      </c>
      <c r="B583" s="13" t="s">
        <v>63</v>
      </c>
      <c r="C583" s="13" t="s">
        <v>78</v>
      </c>
    </row>
    <row r="584" spans="1:4" x14ac:dyDescent="0.25">
      <c r="A584" s="14">
        <v>40653.342141203706</v>
      </c>
      <c r="B584" s="13" t="s">
        <v>63</v>
      </c>
      <c r="C584" s="13" t="s">
        <v>77</v>
      </c>
    </row>
    <row r="585" spans="1:4" x14ac:dyDescent="0.25">
      <c r="A585" s="14">
        <v>40653.342141203706</v>
      </c>
      <c r="B585" s="13" t="s">
        <v>63</v>
      </c>
      <c r="C585" s="13" t="s">
        <v>75</v>
      </c>
    </row>
    <row r="586" spans="1:4" x14ac:dyDescent="0.25">
      <c r="A586" s="14">
        <v>40653.342141203706</v>
      </c>
      <c r="B586" s="13" t="s">
        <v>63</v>
      </c>
      <c r="C586" s="13" t="s">
        <v>79</v>
      </c>
    </row>
    <row r="587" spans="1:4" x14ac:dyDescent="0.25">
      <c r="A587" s="14">
        <v>40653.342141203706</v>
      </c>
      <c r="B587" s="13" t="s">
        <v>63</v>
      </c>
      <c r="C587" s="13" t="s">
        <v>77</v>
      </c>
    </row>
    <row r="588" spans="1:4" x14ac:dyDescent="0.25">
      <c r="A588" s="14">
        <v>40653.342141203706</v>
      </c>
      <c r="B588" s="13" t="s">
        <v>63</v>
      </c>
      <c r="C588" s="13" t="s">
        <v>75</v>
      </c>
    </row>
    <row r="589" spans="1:4" x14ac:dyDescent="0.25">
      <c r="A589" s="14">
        <v>40653.342141203706</v>
      </c>
      <c r="B589" s="13" t="s">
        <v>63</v>
      </c>
      <c r="C589" s="13" t="s">
        <v>80</v>
      </c>
    </row>
    <row r="590" spans="1:4" x14ac:dyDescent="0.25">
      <c r="A590" s="14">
        <v>40653.342141203706</v>
      </c>
      <c r="B590" s="13" t="s">
        <v>66</v>
      </c>
      <c r="C590" s="13" t="s">
        <v>111</v>
      </c>
      <c r="D590" s="13" t="s">
        <v>112</v>
      </c>
    </row>
    <row r="591" spans="1:4" x14ac:dyDescent="0.25">
      <c r="A591" s="14">
        <v>40653.342141203706</v>
      </c>
      <c r="B591" s="13" t="s">
        <v>63</v>
      </c>
      <c r="C591" s="13" t="s">
        <v>77</v>
      </c>
    </row>
    <row r="592" spans="1:4" x14ac:dyDescent="0.25">
      <c r="A592" s="14">
        <v>40653.342164351852</v>
      </c>
      <c r="B592" s="13" t="s">
        <v>85</v>
      </c>
      <c r="C592" s="13" t="s">
        <v>113</v>
      </c>
    </row>
    <row r="593" spans="1:3" x14ac:dyDescent="0.25">
      <c r="A593" s="14">
        <v>40653.342187499999</v>
      </c>
      <c r="B593" s="13" t="s">
        <v>85</v>
      </c>
      <c r="C593" s="13" t="s">
        <v>84</v>
      </c>
    </row>
    <row r="594" spans="1:3" x14ac:dyDescent="0.25">
      <c r="A594" s="14">
        <v>40653.342187499999</v>
      </c>
      <c r="B594" s="13" t="s">
        <v>63</v>
      </c>
      <c r="C594" s="13" t="s">
        <v>75</v>
      </c>
    </row>
    <row r="595" spans="1:3" x14ac:dyDescent="0.25">
      <c r="A595" s="14">
        <v>40653.342199074075</v>
      </c>
      <c r="B595" s="13" t="s">
        <v>63</v>
      </c>
      <c r="C595" s="13" t="s">
        <v>72</v>
      </c>
    </row>
    <row r="596" spans="1:3" x14ac:dyDescent="0.25">
      <c r="A596" s="14">
        <v>40653.343298611115</v>
      </c>
      <c r="B596" s="13" t="s">
        <v>63</v>
      </c>
      <c r="C596" s="13" t="s">
        <v>81</v>
      </c>
    </row>
    <row r="597" spans="1:3" x14ac:dyDescent="0.25">
      <c r="A597" s="14">
        <v>40653.343298611115</v>
      </c>
      <c r="B597" s="13" t="s">
        <v>63</v>
      </c>
      <c r="C597" s="13" t="s">
        <v>82</v>
      </c>
    </row>
    <row r="598" spans="1:3" x14ac:dyDescent="0.25">
      <c r="A598" s="14">
        <v>40653.343310185184</v>
      </c>
      <c r="B598" s="13" t="s">
        <v>63</v>
      </c>
      <c r="C598" s="13" t="s">
        <v>96</v>
      </c>
    </row>
    <row r="599" spans="1:3" x14ac:dyDescent="0.25">
      <c r="A599" s="14">
        <v>40653.343310185184</v>
      </c>
      <c r="B599" s="13" t="s">
        <v>63</v>
      </c>
      <c r="C599" s="13" t="s">
        <v>171</v>
      </c>
    </row>
    <row r="600" spans="1:3" ht="30" x14ac:dyDescent="0.25">
      <c r="A600" s="14">
        <v>40653.343321759261</v>
      </c>
      <c r="B600" s="13" t="s">
        <v>85</v>
      </c>
      <c r="C600" s="12" t="s">
        <v>172</v>
      </c>
    </row>
    <row r="601" spans="1:3" x14ac:dyDescent="0.25">
      <c r="A601" s="14">
        <v>40653.343333333331</v>
      </c>
      <c r="B601" s="13" t="s">
        <v>85</v>
      </c>
      <c r="C601" s="13" t="s">
        <v>173</v>
      </c>
    </row>
    <row r="602" spans="1:3" x14ac:dyDescent="0.25">
      <c r="A602" s="14">
        <v>40653.343553240738</v>
      </c>
      <c r="B602" s="13" t="s">
        <v>63</v>
      </c>
      <c r="C602" s="13" t="s">
        <v>81</v>
      </c>
    </row>
    <row r="603" spans="1:3" x14ac:dyDescent="0.25">
      <c r="A603" s="14">
        <v>40653.343553240738</v>
      </c>
      <c r="B603" s="13" t="s">
        <v>63</v>
      </c>
      <c r="C603" s="13" t="s">
        <v>82</v>
      </c>
    </row>
    <row r="604" spans="1:3" x14ac:dyDescent="0.25">
      <c r="A604" s="14">
        <v>40653.343553240738</v>
      </c>
      <c r="B604" s="13" t="s">
        <v>63</v>
      </c>
      <c r="C604" s="13" t="s">
        <v>96</v>
      </c>
    </row>
    <row r="605" spans="1:3" x14ac:dyDescent="0.25">
      <c r="A605" s="14">
        <v>40653.343553240738</v>
      </c>
      <c r="B605" s="13" t="s">
        <v>63</v>
      </c>
      <c r="C605" s="13" t="s">
        <v>77</v>
      </c>
    </row>
    <row r="606" spans="1:3" x14ac:dyDescent="0.25">
      <c r="A606" s="14">
        <v>40653.343564814815</v>
      </c>
      <c r="B606" s="13" t="s">
        <v>85</v>
      </c>
      <c r="C606" s="13" t="s">
        <v>173</v>
      </c>
    </row>
    <row r="607" spans="1:3" x14ac:dyDescent="0.25">
      <c r="A607" s="14">
        <v>40653.3437037037</v>
      </c>
      <c r="B607" s="13" t="s">
        <v>63</v>
      </c>
      <c r="C607" s="13" t="s">
        <v>81</v>
      </c>
    </row>
    <row r="608" spans="1:3" x14ac:dyDescent="0.25">
      <c r="A608" s="14">
        <v>40653.3437037037</v>
      </c>
      <c r="B608" s="13" t="s">
        <v>63</v>
      </c>
      <c r="C608" s="13" t="s">
        <v>82</v>
      </c>
    </row>
    <row r="609" spans="1:3" x14ac:dyDescent="0.25">
      <c r="A609" s="14">
        <v>40653.343715277777</v>
      </c>
      <c r="B609" s="13" t="s">
        <v>63</v>
      </c>
      <c r="C609" s="13" t="s">
        <v>96</v>
      </c>
    </row>
    <row r="610" spans="1:3" x14ac:dyDescent="0.25">
      <c r="A610" s="14">
        <v>40653.343715277777</v>
      </c>
      <c r="B610" s="13" t="s">
        <v>63</v>
      </c>
      <c r="C610" s="13" t="s">
        <v>77</v>
      </c>
    </row>
    <row r="611" spans="1:3" x14ac:dyDescent="0.25">
      <c r="A611" s="14">
        <v>40653.343715277777</v>
      </c>
      <c r="B611" s="13" t="s">
        <v>63</v>
      </c>
      <c r="C611" s="13" t="s">
        <v>77</v>
      </c>
    </row>
    <row r="612" spans="1:3" x14ac:dyDescent="0.25">
      <c r="A612" s="14">
        <v>40653.343738425923</v>
      </c>
      <c r="B612" s="13" t="s">
        <v>85</v>
      </c>
      <c r="C612" s="13" t="s">
        <v>103</v>
      </c>
    </row>
    <row r="613" spans="1:3" x14ac:dyDescent="0.25">
      <c r="A613" s="14">
        <v>40653.344085648147</v>
      </c>
      <c r="B613" s="13" t="s">
        <v>63</v>
      </c>
      <c r="C613" s="13" t="s">
        <v>81</v>
      </c>
    </row>
    <row r="614" spans="1:3" x14ac:dyDescent="0.25">
      <c r="A614" s="14">
        <v>40653.344085648147</v>
      </c>
      <c r="B614" s="13" t="s">
        <v>63</v>
      </c>
      <c r="C614" s="13" t="s">
        <v>82</v>
      </c>
    </row>
    <row r="615" spans="1:3" x14ac:dyDescent="0.25">
      <c r="A615" s="14">
        <v>40653.344085648147</v>
      </c>
      <c r="B615" s="13" t="s">
        <v>63</v>
      </c>
      <c r="C615" s="13" t="s">
        <v>96</v>
      </c>
    </row>
    <row r="616" spans="1:3" x14ac:dyDescent="0.25">
      <c r="A616" s="14">
        <v>40653.344085648147</v>
      </c>
      <c r="B616" s="13" t="s">
        <v>63</v>
      </c>
      <c r="C616" s="13" t="s">
        <v>77</v>
      </c>
    </row>
    <row r="617" spans="1:3" x14ac:dyDescent="0.25">
      <c r="A617" s="14">
        <v>40653.344097222223</v>
      </c>
      <c r="B617" s="13" t="s">
        <v>85</v>
      </c>
      <c r="C617" s="13" t="s">
        <v>170</v>
      </c>
    </row>
    <row r="618" spans="1:3" x14ac:dyDescent="0.25">
      <c r="A618" s="14">
        <v>40653.344108796293</v>
      </c>
      <c r="B618" s="13" t="s">
        <v>85</v>
      </c>
      <c r="C618" s="13" t="s">
        <v>103</v>
      </c>
    </row>
    <row r="619" spans="1:3" x14ac:dyDescent="0.25">
      <c r="A619" s="14">
        <v>40653.344189814816</v>
      </c>
      <c r="B619" s="13" t="s">
        <v>63</v>
      </c>
      <c r="C619" s="13" t="s">
        <v>81</v>
      </c>
    </row>
    <row r="620" spans="1:3" x14ac:dyDescent="0.25">
      <c r="A620" s="14">
        <v>40653.344189814816</v>
      </c>
      <c r="B620" s="13" t="s">
        <v>63</v>
      </c>
      <c r="C620" s="13" t="s">
        <v>82</v>
      </c>
    </row>
    <row r="621" spans="1:3" x14ac:dyDescent="0.25">
      <c r="A621" s="14">
        <v>40653.344189814816</v>
      </c>
      <c r="B621" s="13" t="s">
        <v>63</v>
      </c>
      <c r="C621" s="13" t="s">
        <v>96</v>
      </c>
    </row>
    <row r="622" spans="1:3" x14ac:dyDescent="0.25">
      <c r="A622" s="14">
        <v>40653.344201388885</v>
      </c>
      <c r="B622" s="13" t="s">
        <v>63</v>
      </c>
      <c r="C622" s="13" t="s">
        <v>77</v>
      </c>
    </row>
    <row r="623" spans="1:3" x14ac:dyDescent="0.25">
      <c r="A623" s="14">
        <v>40653.344212962962</v>
      </c>
      <c r="B623" s="13" t="s">
        <v>85</v>
      </c>
      <c r="C623" s="13" t="s">
        <v>170</v>
      </c>
    </row>
    <row r="624" spans="1:3" x14ac:dyDescent="0.25">
      <c r="A624" s="14">
        <v>40653.344224537039</v>
      </c>
      <c r="B624" s="13" t="s">
        <v>85</v>
      </c>
      <c r="C624" s="13" t="s">
        <v>103</v>
      </c>
    </row>
    <row r="625" spans="1:4" x14ac:dyDescent="0.25">
      <c r="A625" s="14">
        <v>40653.456331018519</v>
      </c>
      <c r="B625" s="13" t="s">
        <v>63</v>
      </c>
      <c r="C625" s="13" t="s">
        <v>167</v>
      </c>
      <c r="D625" s="13" t="s">
        <v>64</v>
      </c>
    </row>
    <row r="626" spans="1:4" x14ac:dyDescent="0.25">
      <c r="A626" s="14">
        <v>40653.456331018519</v>
      </c>
      <c r="B626" s="13" t="s">
        <v>63</v>
      </c>
      <c r="C626" s="13" t="s">
        <v>70</v>
      </c>
    </row>
    <row r="627" spans="1:4" x14ac:dyDescent="0.25">
      <c r="A627" s="14">
        <v>40653.456342592595</v>
      </c>
      <c r="B627" s="13" t="s">
        <v>63</v>
      </c>
      <c r="C627" s="13" t="s">
        <v>65</v>
      </c>
    </row>
    <row r="628" spans="1:4" x14ac:dyDescent="0.25">
      <c r="A628" s="14">
        <v>40653.456342592595</v>
      </c>
      <c r="B628" s="13" t="s">
        <v>63</v>
      </c>
      <c r="C628" s="13" t="s">
        <v>71</v>
      </c>
    </row>
    <row r="629" spans="1:4" x14ac:dyDescent="0.25">
      <c r="A629" s="14">
        <v>40653.456435185188</v>
      </c>
      <c r="B629" s="13" t="s">
        <v>63</v>
      </c>
      <c r="C629" s="13" t="s">
        <v>67</v>
      </c>
    </row>
    <row r="630" spans="1:4" x14ac:dyDescent="0.25">
      <c r="A630" s="14">
        <v>40653.456504629627</v>
      </c>
      <c r="B630" s="13" t="s">
        <v>85</v>
      </c>
      <c r="C630" s="13" t="s">
        <v>174</v>
      </c>
    </row>
    <row r="631" spans="1:4" x14ac:dyDescent="0.25">
      <c r="A631" s="14">
        <v>40653.456516203703</v>
      </c>
      <c r="B631" s="13" t="s">
        <v>63</v>
      </c>
      <c r="C631" s="13" t="s">
        <v>72</v>
      </c>
    </row>
    <row r="632" spans="1:4" x14ac:dyDescent="0.25">
      <c r="A632" s="14">
        <v>40653.45652777778</v>
      </c>
      <c r="B632" s="13" t="s">
        <v>63</v>
      </c>
      <c r="C632" s="13" t="s">
        <v>65</v>
      </c>
    </row>
    <row r="633" spans="1:4" x14ac:dyDescent="0.25">
      <c r="A633" s="14">
        <v>40653.45652777778</v>
      </c>
      <c r="B633" s="13" t="s">
        <v>63</v>
      </c>
      <c r="C633" s="13" t="s">
        <v>71</v>
      </c>
    </row>
    <row r="634" spans="1:4" x14ac:dyDescent="0.25">
      <c r="A634" s="14">
        <v>40715.681944444441</v>
      </c>
      <c r="B634" s="13" t="s">
        <v>63</v>
      </c>
      <c r="C634" s="13" t="s">
        <v>167</v>
      </c>
      <c r="D634" s="13" t="s">
        <v>64</v>
      </c>
    </row>
    <row r="635" spans="1:4" x14ac:dyDescent="0.25">
      <c r="A635" s="14">
        <v>41339.432372685187</v>
      </c>
      <c r="B635" s="13" t="s">
        <v>63</v>
      </c>
      <c r="C635" s="13" t="s">
        <v>167</v>
      </c>
      <c r="D635" s="13" t="s">
        <v>64</v>
      </c>
    </row>
    <row r="636" spans="1:4" x14ac:dyDescent="0.25">
      <c r="A636" s="14">
        <v>41339.432372685187</v>
      </c>
      <c r="B636" s="13" t="s">
        <v>63</v>
      </c>
      <c r="C636" s="13" t="s">
        <v>70</v>
      </c>
    </row>
    <row r="637" spans="1:4" x14ac:dyDescent="0.25">
      <c r="A637" s="14">
        <v>41339.432789351849</v>
      </c>
      <c r="B637" s="13" t="s">
        <v>63</v>
      </c>
      <c r="C637" s="13" t="s">
        <v>65</v>
      </c>
    </row>
    <row r="638" spans="1:4" x14ac:dyDescent="0.25">
      <c r="A638" s="14">
        <v>41339.432789351849</v>
      </c>
      <c r="B638" s="13" t="s">
        <v>63</v>
      </c>
      <c r="C638" s="13" t="s">
        <v>71</v>
      </c>
    </row>
    <row r="639" spans="1:4" x14ac:dyDescent="0.25">
      <c r="A639" s="14">
        <v>41339.433067129627</v>
      </c>
      <c r="B639" s="13" t="s">
        <v>63</v>
      </c>
      <c r="C639" s="13" t="s">
        <v>67</v>
      </c>
    </row>
    <row r="640" spans="1:4" x14ac:dyDescent="0.25">
      <c r="A640" s="14">
        <v>41339.433159722219</v>
      </c>
      <c r="B640" s="13" t="s">
        <v>63</v>
      </c>
      <c r="C640" s="13" t="s">
        <v>83</v>
      </c>
    </row>
    <row r="641" spans="1:4" x14ac:dyDescent="0.25">
      <c r="A641" s="14">
        <v>41339.433194444442</v>
      </c>
      <c r="B641" s="13" t="s">
        <v>63</v>
      </c>
      <c r="C641" s="13" t="s">
        <v>73</v>
      </c>
    </row>
    <row r="642" spans="1:4" x14ac:dyDescent="0.25">
      <c r="A642" s="14">
        <v>41339.433587962965</v>
      </c>
      <c r="B642" s="13" t="s">
        <v>63</v>
      </c>
      <c r="C642" s="13" t="s">
        <v>67</v>
      </c>
    </row>
    <row r="643" spans="1:4" x14ac:dyDescent="0.25">
      <c r="A643" s="14">
        <v>41339.433587962965</v>
      </c>
      <c r="B643" s="13" t="s">
        <v>63</v>
      </c>
      <c r="C643" s="13" t="s">
        <v>175</v>
      </c>
    </row>
    <row r="644" spans="1:4" x14ac:dyDescent="0.25">
      <c r="A644" s="14">
        <v>41339.433611111112</v>
      </c>
      <c r="B644" s="13" t="s">
        <v>63</v>
      </c>
      <c r="C644" s="13" t="s">
        <v>72</v>
      </c>
    </row>
    <row r="645" spans="1:4" x14ac:dyDescent="0.25">
      <c r="A645" s="14">
        <v>41339.434733796297</v>
      </c>
      <c r="B645" s="13" t="s">
        <v>63</v>
      </c>
      <c r="C645" s="13" t="s">
        <v>65</v>
      </c>
    </row>
    <row r="646" spans="1:4" x14ac:dyDescent="0.25">
      <c r="A646" s="14">
        <v>41339.434733796297</v>
      </c>
      <c r="B646" s="13" t="s">
        <v>63</v>
      </c>
      <c r="C646" s="13" t="s">
        <v>71</v>
      </c>
    </row>
    <row r="647" spans="1:4" x14ac:dyDescent="0.25">
      <c r="A647" s="14">
        <v>41339.489571759259</v>
      </c>
      <c r="B647" s="13" t="s">
        <v>63</v>
      </c>
      <c r="C647" s="13" t="s">
        <v>167</v>
      </c>
      <c r="D647" s="13" t="s">
        <v>64</v>
      </c>
    </row>
    <row r="648" spans="1:4" x14ac:dyDescent="0.25">
      <c r="A648" s="14">
        <v>41339.489571759259</v>
      </c>
      <c r="B648" s="13" t="s">
        <v>63</v>
      </c>
      <c r="C648" s="13" t="s">
        <v>70</v>
      </c>
    </row>
    <row r="649" spans="1:4" x14ac:dyDescent="0.25">
      <c r="A649" s="14">
        <v>41339.489861111113</v>
      </c>
      <c r="B649" s="13" t="s">
        <v>63</v>
      </c>
      <c r="C649" s="13" t="s">
        <v>65</v>
      </c>
    </row>
    <row r="650" spans="1:4" x14ac:dyDescent="0.25">
      <c r="A650" s="14">
        <v>41339.489861111113</v>
      </c>
      <c r="B650" s="13" t="s">
        <v>63</v>
      </c>
      <c r="C650" s="13" t="s">
        <v>71</v>
      </c>
    </row>
    <row r="651" spans="1:4" x14ac:dyDescent="0.25">
      <c r="A651" s="14">
        <v>41339.489930555559</v>
      </c>
      <c r="B651" s="13" t="s">
        <v>63</v>
      </c>
      <c r="C651" s="13" t="s">
        <v>67</v>
      </c>
    </row>
    <row r="652" spans="1:4" x14ac:dyDescent="0.25">
      <c r="A652" s="14">
        <v>41339.490023148152</v>
      </c>
      <c r="B652" s="13" t="s">
        <v>85</v>
      </c>
      <c r="C652" s="13" t="s">
        <v>174</v>
      </c>
    </row>
    <row r="653" spans="1:4" x14ac:dyDescent="0.25">
      <c r="A653" s="14">
        <v>41339.490034722221</v>
      </c>
      <c r="B653" s="13" t="s">
        <v>63</v>
      </c>
      <c r="C653" s="13" t="s">
        <v>176</v>
      </c>
    </row>
    <row r="654" spans="1:4" x14ac:dyDescent="0.25">
      <c r="A654" s="14">
        <v>41339.490034722221</v>
      </c>
      <c r="B654" s="13" t="s">
        <v>63</v>
      </c>
      <c r="C654" s="13" t="s">
        <v>72</v>
      </c>
    </row>
    <row r="655" spans="1:4" x14ac:dyDescent="0.25">
      <c r="A655" s="14">
        <v>41339.490729166668</v>
      </c>
      <c r="B655" s="13" t="s">
        <v>63</v>
      </c>
      <c r="C655" s="13" t="s">
        <v>65</v>
      </c>
    </row>
    <row r="656" spans="1:4" x14ac:dyDescent="0.25">
      <c r="A656" s="14">
        <v>41339.490729166668</v>
      </c>
      <c r="B656" s="13" t="s">
        <v>63</v>
      </c>
      <c r="C656" s="13" t="s">
        <v>71</v>
      </c>
    </row>
    <row r="657" spans="1:4" x14ac:dyDescent="0.25">
      <c r="A657" s="14">
        <v>41339.490752314814</v>
      </c>
      <c r="B657" s="13" t="s">
        <v>63</v>
      </c>
      <c r="C657" s="13" t="s">
        <v>67</v>
      </c>
    </row>
    <row r="658" spans="1:4" x14ac:dyDescent="0.25">
      <c r="A658" s="14">
        <v>41339.490798611114</v>
      </c>
      <c r="B658" s="13" t="s">
        <v>85</v>
      </c>
      <c r="C658" s="13" t="s">
        <v>174</v>
      </c>
    </row>
    <row r="659" spans="1:4" x14ac:dyDescent="0.25">
      <c r="A659" s="14">
        <v>41339.490798611114</v>
      </c>
      <c r="B659" s="13" t="s">
        <v>63</v>
      </c>
      <c r="C659" s="13" t="s">
        <v>176</v>
      </c>
    </row>
    <row r="660" spans="1:4" x14ac:dyDescent="0.25">
      <c r="A660" s="14">
        <v>41339.523009259261</v>
      </c>
      <c r="B660" s="13" t="s">
        <v>63</v>
      </c>
      <c r="C660" s="13" t="s">
        <v>167</v>
      </c>
      <c r="D660" s="13" t="s">
        <v>64</v>
      </c>
    </row>
    <row r="661" spans="1:4" x14ac:dyDescent="0.25">
      <c r="A661" s="14">
        <v>41339.523009259261</v>
      </c>
      <c r="B661" s="13" t="s">
        <v>63</v>
      </c>
      <c r="C661" s="13" t="s">
        <v>70</v>
      </c>
    </row>
    <row r="662" spans="1:4" x14ac:dyDescent="0.25">
      <c r="A662" s="14">
        <v>41339.523240740738</v>
      </c>
      <c r="B662" s="13" t="s">
        <v>63</v>
      </c>
      <c r="C662" s="13" t="s">
        <v>65</v>
      </c>
    </row>
    <row r="663" spans="1:4" x14ac:dyDescent="0.25">
      <c r="A663" s="14">
        <v>41339.523240740738</v>
      </c>
      <c r="B663" s="13" t="s">
        <v>63</v>
      </c>
      <c r="C663" s="13" t="s">
        <v>71</v>
      </c>
    </row>
    <row r="664" spans="1:4" x14ac:dyDescent="0.25">
      <c r="A664" s="14">
        <v>41339.523263888892</v>
      </c>
      <c r="B664" s="13" t="s">
        <v>63</v>
      </c>
      <c r="C664" s="13" t="s">
        <v>72</v>
      </c>
    </row>
    <row r="665" spans="1:4" x14ac:dyDescent="0.25">
      <c r="A665" s="14">
        <v>41339.523692129631</v>
      </c>
      <c r="B665" s="13" t="s">
        <v>63</v>
      </c>
      <c r="C665" s="13" t="s">
        <v>65</v>
      </c>
    </row>
    <row r="666" spans="1:4" x14ac:dyDescent="0.25">
      <c r="A666" s="14">
        <v>41339.523692129631</v>
      </c>
      <c r="B666" s="13" t="s">
        <v>63</v>
      </c>
      <c r="C666" s="13" t="s">
        <v>71</v>
      </c>
    </row>
    <row r="667" spans="1:4" x14ac:dyDescent="0.25">
      <c r="A667" s="14">
        <v>41339.5237037037</v>
      </c>
      <c r="B667" s="13" t="s">
        <v>63</v>
      </c>
      <c r="C667" s="13" t="s">
        <v>72</v>
      </c>
    </row>
    <row r="668" spans="1:4" x14ac:dyDescent="0.25">
      <c r="A668" s="14">
        <v>41339.523888888885</v>
      </c>
      <c r="B668" s="13" t="s">
        <v>63</v>
      </c>
      <c r="C668" s="13" t="s">
        <v>65</v>
      </c>
    </row>
    <row r="669" spans="1:4" x14ac:dyDescent="0.25">
      <c r="A669" s="14">
        <v>41339.523900462962</v>
      </c>
      <c r="B669" s="13" t="s">
        <v>63</v>
      </c>
      <c r="C669" s="13" t="s">
        <v>71</v>
      </c>
    </row>
    <row r="670" spans="1:4" x14ac:dyDescent="0.25">
      <c r="A670" s="14">
        <v>41339.523900462962</v>
      </c>
      <c r="B670" s="13" t="s">
        <v>63</v>
      </c>
      <c r="C670" s="13" t="s">
        <v>176</v>
      </c>
    </row>
    <row r="671" spans="1:4" x14ac:dyDescent="0.25">
      <c r="A671" s="14">
        <v>41339.523900462962</v>
      </c>
      <c r="B671" s="13" t="s">
        <v>63</v>
      </c>
      <c r="C671" s="13" t="s">
        <v>72</v>
      </c>
    </row>
    <row r="672" spans="1:4" x14ac:dyDescent="0.25">
      <c r="A672" s="14">
        <v>41339.524108796293</v>
      </c>
      <c r="B672" s="13" t="s">
        <v>63</v>
      </c>
      <c r="C672" s="13" t="s">
        <v>65</v>
      </c>
    </row>
    <row r="673" spans="1:4" x14ac:dyDescent="0.25">
      <c r="A673" s="14">
        <v>41339.524108796293</v>
      </c>
      <c r="B673" s="13" t="s">
        <v>63</v>
      </c>
      <c r="C673" s="13" t="s">
        <v>71</v>
      </c>
    </row>
    <row r="674" spans="1:4" x14ac:dyDescent="0.25">
      <c r="A674" s="14">
        <v>41339.52412037037</v>
      </c>
      <c r="B674" s="13" t="s">
        <v>63</v>
      </c>
      <c r="C674" s="13" t="s">
        <v>176</v>
      </c>
    </row>
    <row r="675" spans="1:4" x14ac:dyDescent="0.25">
      <c r="A675" s="14">
        <v>41339.52412037037</v>
      </c>
      <c r="B675" s="13" t="s">
        <v>63</v>
      </c>
      <c r="C675" s="13" t="s">
        <v>72</v>
      </c>
    </row>
    <row r="676" spans="1:4" x14ac:dyDescent="0.25">
      <c r="A676" s="14">
        <v>41339.524224537039</v>
      </c>
      <c r="B676" s="13" t="s">
        <v>63</v>
      </c>
      <c r="C676" s="13" t="s">
        <v>65</v>
      </c>
    </row>
    <row r="677" spans="1:4" x14ac:dyDescent="0.25">
      <c r="A677" s="14">
        <v>41339.524236111109</v>
      </c>
      <c r="B677" s="13" t="s">
        <v>63</v>
      </c>
      <c r="C677" s="13" t="s">
        <v>71</v>
      </c>
    </row>
    <row r="678" spans="1:4" x14ac:dyDescent="0.25">
      <c r="A678" s="14">
        <v>41339.524236111109</v>
      </c>
      <c r="B678" s="13" t="s">
        <v>63</v>
      </c>
      <c r="C678" s="13" t="s">
        <v>176</v>
      </c>
    </row>
    <row r="679" spans="1:4" x14ac:dyDescent="0.25">
      <c r="A679" s="14">
        <v>41339.526689814818</v>
      </c>
      <c r="B679" s="13" t="s">
        <v>63</v>
      </c>
      <c r="C679" s="13" t="s">
        <v>167</v>
      </c>
      <c r="D679" s="13" t="s">
        <v>64</v>
      </c>
    </row>
    <row r="680" spans="1:4" x14ac:dyDescent="0.25">
      <c r="A680" s="14">
        <v>41339.534849537034</v>
      </c>
      <c r="B680" s="13" t="s">
        <v>63</v>
      </c>
      <c r="C680" s="13" t="s">
        <v>167</v>
      </c>
      <c r="D680" s="13" t="s">
        <v>64</v>
      </c>
    </row>
    <row r="681" spans="1:4" x14ac:dyDescent="0.25">
      <c r="A681" s="14">
        <v>41339.5391087963</v>
      </c>
      <c r="B681" s="13" t="s">
        <v>63</v>
      </c>
      <c r="C681" s="13" t="s">
        <v>167</v>
      </c>
      <c r="D681" s="13" t="s">
        <v>64</v>
      </c>
    </row>
  </sheetData>
  <pageMargins left="0.7" right="0.7" top="0.75" bottom="0.75" header="0.3" footer="0.3"/>
  <pageSetup orientation="portrait" horizontalDpi="0" verticalDpi="0" r:id="rId1"/>
  <customProperties>
    <customPr name="DVSECTION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"/>
  <dimension ref="A1:C24"/>
  <sheetViews>
    <sheetView workbookViewId="0">
      <selection activeCell="C6" sqref="C6"/>
    </sheetView>
  </sheetViews>
  <sheetFormatPr defaultRowHeight="15" x14ac:dyDescent="0.25"/>
  <cols>
    <col min="1" max="1" width="5.5703125" bestFit="1" customWidth="1"/>
    <col min="2" max="2" width="66.42578125" bestFit="1" customWidth="1"/>
    <col min="3" max="3" width="89.85546875" bestFit="1" customWidth="1"/>
  </cols>
  <sheetData>
    <row r="1" spans="1:3" x14ac:dyDescent="0.25">
      <c r="A1" s="5" t="s">
        <v>120</v>
      </c>
      <c r="B1" s="5" t="s">
        <v>125</v>
      </c>
      <c r="C1" s="5" t="s">
        <v>123</v>
      </c>
    </row>
    <row r="2" spans="1:3" s="5" customFormat="1" x14ac:dyDescent="0.25">
      <c r="B2" s="5" t="s">
        <v>153</v>
      </c>
    </row>
    <row r="3" spans="1:3" x14ac:dyDescent="0.25">
      <c r="B3" t="s">
        <v>121</v>
      </c>
    </row>
    <row r="4" spans="1:3" x14ac:dyDescent="0.25">
      <c r="B4" t="s">
        <v>124</v>
      </c>
      <c r="C4" s="5" t="s">
        <v>122</v>
      </c>
    </row>
    <row r="5" spans="1:3" x14ac:dyDescent="0.25">
      <c r="B5" s="5" t="s">
        <v>127</v>
      </c>
      <c r="C5" t="s">
        <v>126</v>
      </c>
    </row>
    <row r="6" spans="1:3" x14ac:dyDescent="0.25">
      <c r="B6" t="s">
        <v>128</v>
      </c>
    </row>
    <row r="7" spans="1:3" x14ac:dyDescent="0.25">
      <c r="B7" t="s">
        <v>130</v>
      </c>
      <c r="C7" t="s">
        <v>129</v>
      </c>
    </row>
    <row r="8" spans="1:3" x14ac:dyDescent="0.25">
      <c r="B8" t="s">
        <v>132</v>
      </c>
      <c r="C8" t="s">
        <v>131</v>
      </c>
    </row>
    <row r="9" spans="1:3" x14ac:dyDescent="0.25">
      <c r="B9" t="s">
        <v>133</v>
      </c>
      <c r="C9" t="s">
        <v>135</v>
      </c>
    </row>
    <row r="10" spans="1:3" x14ac:dyDescent="0.25">
      <c r="B10" t="s">
        <v>134</v>
      </c>
      <c r="C10" s="5" t="s">
        <v>146</v>
      </c>
    </row>
    <row r="11" spans="1:3" x14ac:dyDescent="0.25">
      <c r="B11" s="5" t="s">
        <v>145</v>
      </c>
      <c r="C11" s="5" t="s">
        <v>141</v>
      </c>
    </row>
    <row r="12" spans="1:3" x14ac:dyDescent="0.25">
      <c r="B12" s="5" t="s">
        <v>136</v>
      </c>
      <c r="C12" s="5" t="s">
        <v>142</v>
      </c>
    </row>
    <row r="13" spans="1:3" x14ac:dyDescent="0.25">
      <c r="B13" s="5" t="s">
        <v>137</v>
      </c>
      <c r="C13" s="5" t="s">
        <v>142</v>
      </c>
    </row>
    <row r="14" spans="1:3" x14ac:dyDescent="0.25">
      <c r="B14" s="5" t="s">
        <v>138</v>
      </c>
      <c r="C14" s="5" t="s">
        <v>143</v>
      </c>
    </row>
    <row r="15" spans="1:3" x14ac:dyDescent="0.25">
      <c r="B15" s="5" t="s">
        <v>139</v>
      </c>
      <c r="C15" s="5" t="s">
        <v>144</v>
      </c>
    </row>
    <row r="16" spans="1:3" x14ac:dyDescent="0.25">
      <c r="B16" s="5" t="s">
        <v>140</v>
      </c>
      <c r="C16" s="5" t="s">
        <v>144</v>
      </c>
    </row>
    <row r="17" spans="2:3" x14ac:dyDescent="0.25">
      <c r="B17" s="15" t="s">
        <v>147</v>
      </c>
      <c r="C17" s="15" t="s">
        <v>148</v>
      </c>
    </row>
    <row r="18" spans="2:3" x14ac:dyDescent="0.25">
      <c r="B18" s="15" t="s">
        <v>149</v>
      </c>
      <c r="C18" s="15"/>
    </row>
    <row r="19" spans="2:3" x14ac:dyDescent="0.25">
      <c r="B19" s="15" t="s">
        <v>150</v>
      </c>
      <c r="C19" s="15"/>
    </row>
    <row r="20" spans="2:3" x14ac:dyDescent="0.25">
      <c r="B20" s="5"/>
    </row>
    <row r="21" spans="2:3" x14ac:dyDescent="0.25">
      <c r="B21" s="5"/>
    </row>
    <row r="22" spans="2:3" x14ac:dyDescent="0.25">
      <c r="B22" s="5"/>
    </row>
    <row r="23" spans="2:3" x14ac:dyDescent="0.25">
      <c r="B23" s="5"/>
    </row>
    <row r="24" spans="2:3" x14ac:dyDescent="0.25">
      <c r="B24" s="5"/>
    </row>
  </sheetData>
  <pageMargins left="0.7" right="0.7" top="0.75" bottom="0.75" header="0.3" footer="0.3"/>
  <customProperties>
    <customPr name="DVSECTION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IV585"/>
  <sheetViews>
    <sheetView workbookViewId="0">
      <selection activeCell="AI182" sqref="AI182"/>
    </sheetView>
  </sheetViews>
  <sheetFormatPr defaultRowHeight="15" x14ac:dyDescent="0.25"/>
  <sheetData>
    <row r="1" spans="1:256" x14ac:dyDescent="0.25">
      <c r="A1" t="e">
        <f>IF(Settings!1:1,"AAAAAH3/zwA=",0)</f>
        <v>#VALUE!</v>
      </c>
      <c r="B1" t="e">
        <f>AND(Settings!A1,"AAAAAH3/zwE=")</f>
        <v>#VALUE!</v>
      </c>
      <c r="C1" t="e">
        <f>AND(Settings!B1,"AAAAAH3/zwI=")</f>
        <v>#VALUE!</v>
      </c>
      <c r="D1">
        <f>IF(Settings!2:2,"AAAAAH3/zwM=",0)</f>
        <v>0</v>
      </c>
      <c r="E1" t="e">
        <f>AND(Settings!A2,"AAAAAH3/zwQ=")</f>
        <v>#VALUE!</v>
      </c>
      <c r="F1" t="e">
        <f>AND(Settings!B2,"AAAAAH3/zwU=")</f>
        <v>#VALUE!</v>
      </c>
      <c r="G1">
        <f>IF(Settings!3:3,"AAAAAH3/zwY=",0)</f>
        <v>0</v>
      </c>
      <c r="H1" t="e">
        <f>AND(Settings!A3,"AAAAAH3/zwc=")</f>
        <v>#VALUE!</v>
      </c>
      <c r="I1" t="b">
        <f>AND(Settings!B3,"AAAAAH3/zwg=")</f>
        <v>0</v>
      </c>
      <c r="J1">
        <f>IF(Settings!4:4,"AAAAAH3/zwk=",0)</f>
        <v>0</v>
      </c>
      <c r="K1" t="e">
        <f>AND(Settings!A4,"AAAAAH3/zwo=")</f>
        <v>#VALUE!</v>
      </c>
      <c r="L1" t="e">
        <f>AND(Settings!B4,"AAAAAH3/zws=")</f>
        <v>#VALUE!</v>
      </c>
      <c r="M1">
        <f>IF(Settings!5:5,"AAAAAH3/zww=",0)</f>
        <v>0</v>
      </c>
      <c r="N1" t="e">
        <f>AND(Settings!A5,"AAAAAH3/zw0=")</f>
        <v>#VALUE!</v>
      </c>
      <c r="O1" t="e">
        <f>AND(Settings!B5,"AAAAAH3/zw4=")</f>
        <v>#VALUE!</v>
      </c>
      <c r="P1">
        <f>IF(Settings!6:6,"AAAAAH3/zw8=",0)</f>
        <v>0</v>
      </c>
      <c r="Q1" t="e">
        <f>AND(Settings!A6,"AAAAAH3/zxA=")</f>
        <v>#VALUE!</v>
      </c>
      <c r="R1" t="e">
        <f>AND(Settings!B6,"AAAAAH3/zxE=")</f>
        <v>#VALUE!</v>
      </c>
      <c r="S1">
        <f>IF(Settings!7:7,"AAAAAH3/zxI=",0)</f>
        <v>0</v>
      </c>
      <c r="T1" t="e">
        <f>AND(Settings!A7,"AAAAAH3/zxM=")</f>
        <v>#VALUE!</v>
      </c>
      <c r="U1" t="b">
        <f>AND(Settings!B7,"AAAAAH3/zxQ=")</f>
        <v>1</v>
      </c>
      <c r="V1">
        <f>IF(Settings!8:8,"AAAAAH3/zxU=",0)</f>
        <v>0</v>
      </c>
      <c r="W1" t="e">
        <f>AND(Settings!A8,"AAAAAH3/zxY=")</f>
        <v>#VALUE!</v>
      </c>
      <c r="X1" t="e">
        <f>AND(Settings!B8,"AAAAAH3/zxc=")</f>
        <v>#VALUE!</v>
      </c>
      <c r="Y1">
        <f>IF(Settings!9:9,"AAAAAH3/zxg=",0)</f>
        <v>0</v>
      </c>
      <c r="Z1" t="e">
        <f>AND(Settings!A9,"AAAAAH3/zxk=")</f>
        <v>#VALUE!</v>
      </c>
      <c r="AA1" t="e">
        <f>AND(Settings!B9,"AAAAAH3/zxo=")</f>
        <v>#VALUE!</v>
      </c>
      <c r="AB1">
        <f>IF(Settings!10:10,"AAAAAH3/zxs=",0)</f>
        <v>0</v>
      </c>
      <c r="AC1" t="e">
        <f>AND(Settings!A10,"AAAAAH3/zxw=")</f>
        <v>#VALUE!</v>
      </c>
      <c r="AD1" t="e">
        <f>AND(Settings!B10,"AAAAAH3/zx0=")</f>
        <v>#VALUE!</v>
      </c>
      <c r="AE1">
        <f>IF(Settings!11:11,"AAAAAH3/zx4=",0)</f>
        <v>0</v>
      </c>
      <c r="AF1" t="e">
        <f>AND(Settings!A11,"AAAAAH3/zx8=")</f>
        <v>#VALUE!</v>
      </c>
      <c r="AG1" t="e">
        <f>AND(Settings!B11,"AAAAAH3/zyA=")</f>
        <v>#VALUE!</v>
      </c>
      <c r="AH1">
        <f>IF(Settings!12:12,"AAAAAH3/zyE=",0)</f>
        <v>0</v>
      </c>
      <c r="AI1" t="e">
        <f>AND(Settings!A12,"AAAAAH3/zyI=")</f>
        <v>#VALUE!</v>
      </c>
      <c r="AJ1" t="e">
        <f>AND(Settings!B12,"AAAAAH3/zyM=")</f>
        <v>#VALUE!</v>
      </c>
      <c r="AK1">
        <f>IF(Settings!13:13,"AAAAAH3/zyQ=",0)</f>
        <v>0</v>
      </c>
      <c r="AL1" t="e">
        <f>AND(Settings!A13,"AAAAAH3/zyU=")</f>
        <v>#VALUE!</v>
      </c>
      <c r="AM1" t="e">
        <f>AND(Settings!B13,"AAAAAH3/zyY=")</f>
        <v>#VALUE!</v>
      </c>
      <c r="AN1">
        <f>IF(Settings!14:14,"AAAAAH3/zyc=",0)</f>
        <v>0</v>
      </c>
      <c r="AO1" t="e">
        <f>AND(Settings!A14,"AAAAAH3/zyg=")</f>
        <v>#VALUE!</v>
      </c>
      <c r="AP1" t="e">
        <f>AND(Settings!B14,"AAAAAH3/zyk=")</f>
        <v>#VALUE!</v>
      </c>
      <c r="AQ1">
        <f>IF(Settings!15:15,"AAAAAH3/zyo=",0)</f>
        <v>0</v>
      </c>
      <c r="AR1" t="e">
        <f>AND(Settings!A15,"AAAAAH3/zys=")</f>
        <v>#VALUE!</v>
      </c>
      <c r="AS1" t="e">
        <f>AND(Settings!B15,"AAAAAH3/zyw=")</f>
        <v>#VALUE!</v>
      </c>
      <c r="AT1" t="e">
        <f>IF(Settings!#REF!,"AAAAAH3/zy0=",0)</f>
        <v>#REF!</v>
      </c>
      <c r="AU1" t="e">
        <f>AND(Settings!#REF!,"AAAAAH3/zy4=")</f>
        <v>#REF!</v>
      </c>
      <c r="AV1" t="e">
        <f>AND(Settings!#REF!,"AAAAAH3/zy8=")</f>
        <v>#REF!</v>
      </c>
      <c r="AW1" t="e">
        <f>IF(Settings!#REF!,"AAAAAH3/zzA=",0)</f>
        <v>#REF!</v>
      </c>
      <c r="AX1" t="e">
        <f>AND(Settings!#REF!,"AAAAAH3/zzE=")</f>
        <v>#REF!</v>
      </c>
      <c r="AY1" t="e">
        <f>AND(Settings!#REF!,"AAAAAH3/zzI=")</f>
        <v>#REF!</v>
      </c>
      <c r="AZ1" t="e">
        <f>IF(Settings!#REF!,"AAAAAH3/zzM=",0)</f>
        <v>#REF!</v>
      </c>
      <c r="BA1" t="e">
        <f>AND(Settings!#REF!,"AAAAAH3/zzQ=")</f>
        <v>#REF!</v>
      </c>
      <c r="BB1" t="e">
        <f>AND(Settings!#REF!,"AAAAAH3/zzU=")</f>
        <v>#REF!</v>
      </c>
      <c r="BC1" t="e">
        <f>IF(Settings!#REF!,"AAAAAH3/zzY=",0)</f>
        <v>#REF!</v>
      </c>
      <c r="BD1" t="e">
        <f>AND(Settings!#REF!,"AAAAAH3/zzc=")</f>
        <v>#REF!</v>
      </c>
      <c r="BE1" t="e">
        <f>AND(Settings!#REF!,"AAAAAH3/zzg=")</f>
        <v>#REF!</v>
      </c>
      <c r="BF1">
        <f>IF(Settings!16:16,"AAAAAH3/zzk=",0)</f>
        <v>0</v>
      </c>
      <c r="BG1" t="e">
        <f>AND(Settings!A16,"AAAAAH3/zzo=")</f>
        <v>#VALUE!</v>
      </c>
      <c r="BH1" t="e">
        <f>AND(Settings!B16,"AAAAAH3/zzs=")</f>
        <v>#VALUE!</v>
      </c>
      <c r="BI1">
        <f>IF(Settings!17:17,"AAAAAH3/zzw=",0)</f>
        <v>0</v>
      </c>
      <c r="BJ1" t="e">
        <f>AND(Settings!A17,"AAAAAH3/zz0=")</f>
        <v>#VALUE!</v>
      </c>
      <c r="BK1" t="e">
        <f>AND(Settings!B17,"AAAAAH3/zz4=")</f>
        <v>#VALUE!</v>
      </c>
      <c r="BL1">
        <f>IF(Settings!18:18,"AAAAAH3/zz8=",0)</f>
        <v>0</v>
      </c>
      <c r="BM1" t="e">
        <f>AND(Settings!A18,"AAAAAH3/z0A=")</f>
        <v>#VALUE!</v>
      </c>
      <c r="BN1" t="e">
        <f>AND(Settings!B18,"AAAAAH3/z0E=")</f>
        <v>#VALUE!</v>
      </c>
      <c r="BO1">
        <f>IF(Settings!19:19,"AAAAAH3/z0I=",0)</f>
        <v>0</v>
      </c>
      <c r="BP1" t="e">
        <f>AND(Settings!A19,"AAAAAH3/z0M=")</f>
        <v>#VALUE!</v>
      </c>
      <c r="BQ1" t="e">
        <f>AND(Settings!B19,"AAAAAH3/z0Q=")</f>
        <v>#VALUE!</v>
      </c>
      <c r="BR1">
        <f>IF(Settings!20:20,"AAAAAH3/z0U=",0)</f>
        <v>0</v>
      </c>
      <c r="BS1" t="e">
        <f>AND(Settings!A20,"AAAAAH3/z0Y=")</f>
        <v>#VALUE!</v>
      </c>
      <c r="BT1" t="e">
        <f>AND(Settings!B20,"AAAAAH3/z0c=")</f>
        <v>#VALUE!</v>
      </c>
      <c r="BU1">
        <f>IF(Settings!21:21,"AAAAAH3/z0g=",0)</f>
        <v>0</v>
      </c>
      <c r="BV1" t="e">
        <f>AND(Settings!A21,"AAAAAH3/z0k=")</f>
        <v>#VALUE!</v>
      </c>
      <c r="BW1" t="e">
        <f>AND(Settings!B21,"AAAAAH3/z0o=")</f>
        <v>#VALUE!</v>
      </c>
      <c r="BX1" t="e">
        <f>IF(Settings!A:A,"AAAAAH3/z0s=",0)</f>
        <v>#VALUE!</v>
      </c>
      <c r="BY1" t="e">
        <f>IF(Settings!B:B,"AAAAAH3/z0w=",0)</f>
        <v>#VALUE!</v>
      </c>
      <c r="BZ1">
        <f>IF(Settings!C:C,"AAAAAH3/z00=",0)</f>
        <v>0</v>
      </c>
      <c r="CA1">
        <f>IF(Settings!D:D,"AAAAAH3/z04=",0)</f>
        <v>0</v>
      </c>
      <c r="CB1">
        <f>IF(Settings!E:E,"AAAAAH3/z08=",0)</f>
        <v>0</v>
      </c>
      <c r="CC1">
        <f>IF(IssueLog!1:1,"AAAAAH3/z1A=",0)</f>
        <v>0</v>
      </c>
      <c r="CD1" t="e">
        <f>AND(IssueLog!A1,"AAAAAH3/z1E=")</f>
        <v>#VALUE!</v>
      </c>
      <c r="CE1" t="e">
        <f>AND(IssueLog!B1,"AAAAAH3/z1I=")</f>
        <v>#VALUE!</v>
      </c>
      <c r="CF1" t="e">
        <f>AND(IssueLog!C1,"AAAAAH3/z1M=")</f>
        <v>#VALUE!</v>
      </c>
      <c r="CG1" t="e">
        <f>AND(IssueLog!D1,"AAAAAH3/z1Q=")</f>
        <v>#VALUE!</v>
      </c>
      <c r="CH1" t="e">
        <f>AND(IssueLog!E1,"AAAAAH3/z1U=")</f>
        <v>#VALUE!</v>
      </c>
      <c r="CI1" t="e">
        <f>AND(IssueLog!F1,"AAAAAH3/z1Y=")</f>
        <v>#VALUE!</v>
      </c>
      <c r="CJ1">
        <f>IF(IssueLog!2:2,"AAAAAH3/z1c=",0)</f>
        <v>0</v>
      </c>
      <c r="CK1" t="e">
        <f>AND(IssueLog!A2,"AAAAAH3/z1g=")</f>
        <v>#VALUE!</v>
      </c>
      <c r="CL1" t="b">
        <f>AND(IssueLog!B2,"AAAAAH3/z1k=")</f>
        <v>1</v>
      </c>
      <c r="CM1" t="b">
        <f>AND(IssueLog!C2,"AAAAAH3/z1o=")</f>
        <v>1</v>
      </c>
      <c r="CN1" t="e">
        <f>AND(IssueLog!D2,"AAAAAH3/z1s=")</f>
        <v>#VALUE!</v>
      </c>
      <c r="CO1" t="e">
        <f>AND(IssueLog!E2,"AAAAAH3/z1w=")</f>
        <v>#VALUE!</v>
      </c>
      <c r="CP1" t="e">
        <f>AND(IssueLog!F2,"AAAAAH3/z10=")</f>
        <v>#VALUE!</v>
      </c>
      <c r="CQ1">
        <f>IF(IssueLog!3:3,"AAAAAH3/z14=",0)</f>
        <v>0</v>
      </c>
      <c r="CR1" t="e">
        <f>AND(IssueLog!A3,"AAAAAH3/z18=")</f>
        <v>#VALUE!</v>
      </c>
      <c r="CS1" t="b">
        <f>AND(IssueLog!B3,"AAAAAH3/z2A=")</f>
        <v>1</v>
      </c>
      <c r="CT1" t="b">
        <f>AND(IssueLog!C3,"AAAAAH3/z2E=")</f>
        <v>1</v>
      </c>
      <c r="CU1" t="e">
        <f>AND(IssueLog!D3,"AAAAAH3/z2I=")</f>
        <v>#VALUE!</v>
      </c>
      <c r="CV1" t="e">
        <f>AND(IssueLog!E3,"AAAAAH3/z2M=")</f>
        <v>#VALUE!</v>
      </c>
      <c r="CW1" t="e">
        <f>AND(IssueLog!F3,"AAAAAH3/z2Q=")</f>
        <v>#VALUE!</v>
      </c>
      <c r="CX1">
        <f>IF(IssueLog!4:4,"AAAAAH3/z2U=",0)</f>
        <v>0</v>
      </c>
      <c r="CY1" t="e">
        <f>AND(IssueLog!A4,"AAAAAH3/z2Y=")</f>
        <v>#VALUE!</v>
      </c>
      <c r="CZ1" t="b">
        <f>AND(IssueLog!B4,"AAAAAH3/z2c=")</f>
        <v>1</v>
      </c>
      <c r="DA1" t="b">
        <f>AND(IssueLog!C4,"AAAAAH3/z2g=")</f>
        <v>1</v>
      </c>
      <c r="DB1" t="e">
        <f>AND(IssueLog!D4,"AAAAAH3/z2k=")</f>
        <v>#VALUE!</v>
      </c>
      <c r="DC1" t="e">
        <f>AND(IssueLog!E4,"AAAAAH3/z2o=")</f>
        <v>#VALUE!</v>
      </c>
      <c r="DD1" t="e">
        <f>AND(IssueLog!F4,"AAAAAH3/z2s=")</f>
        <v>#VALUE!</v>
      </c>
      <c r="DE1">
        <f>IF(IssueLog!5:5,"AAAAAH3/z2w=",0)</f>
        <v>0</v>
      </c>
      <c r="DF1" t="e">
        <f>AND(IssueLog!A5,"AAAAAH3/z20=")</f>
        <v>#VALUE!</v>
      </c>
      <c r="DG1" t="b">
        <f>AND(IssueLog!B5,"AAAAAH3/z24=")</f>
        <v>1</v>
      </c>
      <c r="DH1" t="b">
        <f>AND(IssueLog!C5,"AAAAAH3/z28=")</f>
        <v>1</v>
      </c>
      <c r="DI1" t="e">
        <f>AND(IssueLog!D5,"AAAAAH3/z3A=")</f>
        <v>#VALUE!</v>
      </c>
      <c r="DJ1" t="e">
        <f>AND(IssueLog!E5,"AAAAAH3/z3E=")</f>
        <v>#VALUE!</v>
      </c>
      <c r="DK1" t="e">
        <f>AND(IssueLog!F5,"AAAAAH3/z3I=")</f>
        <v>#VALUE!</v>
      </c>
      <c r="DL1">
        <f>IF(IssueLog!6:6,"AAAAAH3/z3M=",0)</f>
        <v>0</v>
      </c>
      <c r="DM1" t="e">
        <f>AND(IssueLog!A6,"AAAAAH3/z3Q=")</f>
        <v>#VALUE!</v>
      </c>
      <c r="DN1" t="b">
        <f>AND(IssueLog!B6,"AAAAAH3/z3U=")</f>
        <v>1</v>
      </c>
      <c r="DO1" t="b">
        <f>AND(IssueLog!C6,"AAAAAH3/z3Y=")</f>
        <v>1</v>
      </c>
      <c r="DP1" t="e">
        <f>AND(IssueLog!D6,"AAAAAH3/z3c=")</f>
        <v>#VALUE!</v>
      </c>
      <c r="DQ1" t="e">
        <f>AND(IssueLog!E6,"AAAAAH3/z3g=")</f>
        <v>#VALUE!</v>
      </c>
      <c r="DR1" t="e">
        <f>AND(IssueLog!F6,"AAAAAH3/z3k=")</f>
        <v>#VALUE!</v>
      </c>
      <c r="DS1">
        <f>IF(IssueLog!7:7,"AAAAAH3/z3o=",0)</f>
        <v>0</v>
      </c>
      <c r="DT1" t="e">
        <f>AND(IssueLog!A7,"AAAAAH3/z3s=")</f>
        <v>#VALUE!</v>
      </c>
      <c r="DU1" t="b">
        <f>AND(IssueLog!B7,"AAAAAH3/z3w=")</f>
        <v>1</v>
      </c>
      <c r="DV1" t="e">
        <f>AND(IssueLog!C7,"AAAAAH3/z30=")</f>
        <v>#VALUE!</v>
      </c>
      <c r="DW1" t="e">
        <f>AND(IssueLog!D7,"AAAAAH3/z34=")</f>
        <v>#VALUE!</v>
      </c>
      <c r="DX1" t="e">
        <f>AND(IssueLog!E7,"AAAAAH3/z38=")</f>
        <v>#VALUE!</v>
      </c>
      <c r="DY1" t="e">
        <f>AND(IssueLog!F7,"AAAAAH3/z4A=")</f>
        <v>#VALUE!</v>
      </c>
      <c r="DZ1">
        <f>IF(IssueLog!8:8,"AAAAAH3/z4E=",0)</f>
        <v>0</v>
      </c>
      <c r="EA1" t="e">
        <f>AND(IssueLog!A8,"AAAAAH3/z4I=")</f>
        <v>#VALUE!</v>
      </c>
      <c r="EB1" t="b">
        <f>AND(IssueLog!B8,"AAAAAH3/z4M=")</f>
        <v>1</v>
      </c>
      <c r="EC1" t="b">
        <f>AND(IssueLog!C8,"AAAAAH3/z4Q=")</f>
        <v>1</v>
      </c>
      <c r="ED1" t="e">
        <f>AND(IssueLog!D8,"AAAAAH3/z4U=")</f>
        <v>#VALUE!</v>
      </c>
      <c r="EE1" t="e">
        <f>AND(IssueLog!E8,"AAAAAH3/z4Y=")</f>
        <v>#VALUE!</v>
      </c>
      <c r="EF1" t="e">
        <f>AND(IssueLog!F8,"AAAAAH3/z4c=")</f>
        <v>#VALUE!</v>
      </c>
      <c r="EG1">
        <f>IF(IssueLog!9:9,"AAAAAH3/z4g=",0)</f>
        <v>0</v>
      </c>
      <c r="EH1" t="e">
        <f>AND(IssueLog!A9,"AAAAAH3/z4k=")</f>
        <v>#VALUE!</v>
      </c>
      <c r="EI1" t="b">
        <f>AND(IssueLog!B9,"AAAAAH3/z4o=")</f>
        <v>1</v>
      </c>
      <c r="EJ1" t="b">
        <f>AND(IssueLog!C9,"AAAAAH3/z4s=")</f>
        <v>1</v>
      </c>
      <c r="EK1" t="e">
        <f>AND(IssueLog!D9,"AAAAAH3/z4w=")</f>
        <v>#VALUE!</v>
      </c>
      <c r="EL1" t="e">
        <f>AND(IssueLog!E9,"AAAAAH3/z40=")</f>
        <v>#VALUE!</v>
      </c>
      <c r="EM1" t="e">
        <f>AND(IssueLog!F9,"AAAAAH3/z44=")</f>
        <v>#VALUE!</v>
      </c>
      <c r="EN1">
        <f>IF(IssueLog!10:10,"AAAAAH3/z48=",0)</f>
        <v>0</v>
      </c>
      <c r="EO1" t="e">
        <f>AND(IssueLog!A10,"AAAAAH3/z5A=")</f>
        <v>#VALUE!</v>
      </c>
      <c r="EP1" t="b">
        <f>AND(IssueLog!B10,"AAAAAH3/z5E=")</f>
        <v>1</v>
      </c>
      <c r="EQ1" t="b">
        <f>AND(IssueLog!C10,"AAAAAH3/z5I=")</f>
        <v>1</v>
      </c>
      <c r="ER1" t="e">
        <f>AND(IssueLog!D10,"AAAAAH3/z5M=")</f>
        <v>#VALUE!</v>
      </c>
      <c r="ES1" t="e">
        <f>AND(IssueLog!E10,"AAAAAH3/z5Q=")</f>
        <v>#VALUE!</v>
      </c>
      <c r="ET1" t="e">
        <f>AND(IssueLog!F10,"AAAAAH3/z5U=")</f>
        <v>#VALUE!</v>
      </c>
      <c r="EU1">
        <f>IF(IssueLog!11:11,"AAAAAH3/z5Y=",0)</f>
        <v>0</v>
      </c>
      <c r="EV1" t="e">
        <f>AND(IssueLog!A11,"AAAAAH3/z5c=")</f>
        <v>#VALUE!</v>
      </c>
      <c r="EW1" t="b">
        <f>AND(IssueLog!B11,"AAAAAH3/z5g=")</f>
        <v>1</v>
      </c>
      <c r="EX1" t="e">
        <f>AND(IssueLog!C11,"AAAAAH3/z5k=")</f>
        <v>#VALUE!</v>
      </c>
      <c r="EY1" t="e">
        <f>AND(IssueLog!D11,"AAAAAH3/z5o=")</f>
        <v>#VALUE!</v>
      </c>
      <c r="EZ1" t="e">
        <f>AND(IssueLog!E11,"AAAAAH3/z5s=")</f>
        <v>#VALUE!</v>
      </c>
      <c r="FA1" t="e">
        <f>AND(IssueLog!F11,"AAAAAH3/z5w=")</f>
        <v>#VALUE!</v>
      </c>
      <c r="FB1">
        <f>IF(IssueLog!12:12,"AAAAAH3/z50=",0)</f>
        <v>0</v>
      </c>
      <c r="FC1" t="e">
        <f>AND(IssueLog!A12,"AAAAAH3/z54=")</f>
        <v>#VALUE!</v>
      </c>
      <c r="FD1" t="b">
        <f>AND(IssueLog!B12,"AAAAAH3/z58=")</f>
        <v>1</v>
      </c>
      <c r="FE1" t="b">
        <f>AND(IssueLog!C12,"AAAAAH3/z6A=")</f>
        <v>1</v>
      </c>
      <c r="FF1" t="e">
        <f>AND(IssueLog!D12,"AAAAAH3/z6E=")</f>
        <v>#VALUE!</v>
      </c>
      <c r="FG1" t="e">
        <f>AND(IssueLog!E12,"AAAAAH3/z6I=")</f>
        <v>#VALUE!</v>
      </c>
      <c r="FH1" t="e">
        <f>AND(IssueLog!F12,"AAAAAH3/z6M=")</f>
        <v>#VALUE!</v>
      </c>
      <c r="FI1">
        <f>IF(IssueLog!13:13,"AAAAAH3/z6Q=",0)</f>
        <v>0</v>
      </c>
      <c r="FJ1" t="e">
        <f>AND(IssueLog!A13,"AAAAAH3/z6U=")</f>
        <v>#VALUE!</v>
      </c>
      <c r="FK1" t="b">
        <f>AND(IssueLog!B13,"AAAAAH3/z6Y=")</f>
        <v>1</v>
      </c>
      <c r="FL1" t="b">
        <f>AND(IssueLog!C13,"AAAAAH3/z6c=")</f>
        <v>1</v>
      </c>
      <c r="FM1" t="e">
        <f>AND(IssueLog!D13,"AAAAAH3/z6g=")</f>
        <v>#VALUE!</v>
      </c>
      <c r="FN1" t="e">
        <f>AND(IssueLog!E13,"AAAAAH3/z6k=")</f>
        <v>#VALUE!</v>
      </c>
      <c r="FO1" t="e">
        <f>AND(IssueLog!F13,"AAAAAH3/z6o=")</f>
        <v>#VALUE!</v>
      </c>
      <c r="FP1">
        <f>IF(IssueLog!14:14,"AAAAAH3/z6s=",0)</f>
        <v>0</v>
      </c>
      <c r="FQ1" t="e">
        <f>AND(IssueLog!A14,"AAAAAH3/z6w=")</f>
        <v>#VALUE!</v>
      </c>
      <c r="FR1" t="b">
        <f>AND(IssueLog!B14,"AAAAAH3/z60=")</f>
        <v>1</v>
      </c>
      <c r="FS1" t="b">
        <f>AND(IssueLog!C14,"AAAAAH3/z64=")</f>
        <v>1</v>
      </c>
      <c r="FT1" t="e">
        <f>AND(IssueLog!D14,"AAAAAH3/z68=")</f>
        <v>#VALUE!</v>
      </c>
      <c r="FU1" t="e">
        <f>AND(IssueLog!E14,"AAAAAH3/z7A=")</f>
        <v>#VALUE!</v>
      </c>
      <c r="FV1" t="e">
        <f>AND(IssueLog!F14,"AAAAAH3/z7E=")</f>
        <v>#VALUE!</v>
      </c>
      <c r="FW1">
        <f>IF(IssueLog!15:15,"AAAAAH3/z7I=",0)</f>
        <v>0</v>
      </c>
      <c r="FX1" t="e">
        <f>AND(IssueLog!A15,"AAAAAH3/z7M=")</f>
        <v>#VALUE!</v>
      </c>
      <c r="FY1" t="b">
        <f>AND(IssueLog!B15,"AAAAAH3/z7Q=")</f>
        <v>1</v>
      </c>
      <c r="FZ1" t="b">
        <f>AND(IssueLog!C15,"AAAAAH3/z7U=")</f>
        <v>1</v>
      </c>
      <c r="GA1" t="e">
        <f>AND(IssueLog!D15,"AAAAAH3/z7Y=")</f>
        <v>#VALUE!</v>
      </c>
      <c r="GB1" t="e">
        <f>AND(IssueLog!E15,"AAAAAH3/z7c=")</f>
        <v>#VALUE!</v>
      </c>
      <c r="GC1" t="e">
        <f>AND(IssueLog!F15,"AAAAAH3/z7g=")</f>
        <v>#VALUE!</v>
      </c>
      <c r="GD1">
        <f>IF(IssueLog!16:16,"AAAAAH3/z7k=",0)</f>
        <v>0</v>
      </c>
      <c r="GE1" t="e">
        <f>AND(IssueLog!A16,"AAAAAH3/z7o=")</f>
        <v>#VALUE!</v>
      </c>
      <c r="GF1" t="b">
        <f>AND(IssueLog!B16,"AAAAAH3/z7s=")</f>
        <v>1</v>
      </c>
      <c r="GG1" t="b">
        <f>AND(IssueLog!C16,"AAAAAH3/z7w=")</f>
        <v>1</v>
      </c>
      <c r="GH1" t="e">
        <f>AND(IssueLog!D16,"AAAAAH3/z70=")</f>
        <v>#VALUE!</v>
      </c>
      <c r="GI1" t="e">
        <f>AND(IssueLog!E16,"AAAAAH3/z74=")</f>
        <v>#VALUE!</v>
      </c>
      <c r="GJ1" t="e">
        <f>AND(IssueLog!F16,"AAAAAH3/z78=")</f>
        <v>#VALUE!</v>
      </c>
      <c r="GK1">
        <f>IF(IssueLog!17:17,"AAAAAH3/z8A=",0)</f>
        <v>0</v>
      </c>
      <c r="GL1" t="e">
        <f>AND(IssueLog!A17,"AAAAAH3/z8E=")</f>
        <v>#VALUE!</v>
      </c>
      <c r="GM1" t="b">
        <f>AND(IssueLog!B17,"AAAAAH3/z8I=")</f>
        <v>1</v>
      </c>
      <c r="GN1" t="b">
        <f>AND(IssueLog!C17,"AAAAAH3/z8M=")</f>
        <v>1</v>
      </c>
      <c r="GO1" t="e">
        <f>AND(IssueLog!D17,"AAAAAH3/z8Q=")</f>
        <v>#VALUE!</v>
      </c>
      <c r="GP1" t="e">
        <f>AND(IssueLog!E17,"AAAAAH3/z8U=")</f>
        <v>#VALUE!</v>
      </c>
      <c r="GQ1" t="e">
        <f>AND(IssueLog!F17,"AAAAAH3/z8Y=")</f>
        <v>#VALUE!</v>
      </c>
      <c r="GR1">
        <f>IF(IssueLog!18:18,"AAAAAH3/z8c=",0)</f>
        <v>0</v>
      </c>
      <c r="GS1" t="e">
        <f>AND(IssueLog!A18,"AAAAAH3/z8g=")</f>
        <v>#VALUE!</v>
      </c>
      <c r="GT1" t="b">
        <f>AND(IssueLog!B18,"AAAAAH3/z8k=")</f>
        <v>1</v>
      </c>
      <c r="GU1" t="b">
        <f>AND(IssueLog!C18,"AAAAAH3/z8o=")</f>
        <v>1</v>
      </c>
      <c r="GV1" t="e">
        <f>AND(IssueLog!D18,"AAAAAH3/z8s=")</f>
        <v>#VALUE!</v>
      </c>
      <c r="GW1" t="e">
        <f>AND(IssueLog!E18,"AAAAAH3/z8w=")</f>
        <v>#VALUE!</v>
      </c>
      <c r="GX1" t="e">
        <f>AND(IssueLog!F18,"AAAAAH3/z80=")</f>
        <v>#VALUE!</v>
      </c>
      <c r="GY1">
        <f>IF(IssueLog!19:19,"AAAAAH3/z84=",0)</f>
        <v>0</v>
      </c>
      <c r="GZ1" t="e">
        <f>AND(IssueLog!A19,"AAAAAH3/z88=")</f>
        <v>#VALUE!</v>
      </c>
      <c r="HA1" t="b">
        <f>AND(IssueLog!B19,"AAAAAH3/z9A=")</f>
        <v>1</v>
      </c>
      <c r="HB1" t="b">
        <f>AND(IssueLog!C19,"AAAAAH3/z9E=")</f>
        <v>1</v>
      </c>
      <c r="HC1" t="e">
        <f>AND(IssueLog!D19,"AAAAAH3/z9I=")</f>
        <v>#VALUE!</v>
      </c>
      <c r="HD1" t="e">
        <f>AND(IssueLog!E19,"AAAAAH3/z9M=")</f>
        <v>#VALUE!</v>
      </c>
      <c r="HE1" t="e">
        <f>AND(IssueLog!F19,"AAAAAH3/z9Q=")</f>
        <v>#VALUE!</v>
      </c>
      <c r="HF1">
        <f>IF(IssueLog!20:20,"AAAAAH3/z9U=",0)</f>
        <v>0</v>
      </c>
      <c r="HG1" t="e">
        <f>AND(IssueLog!A20,"AAAAAH3/z9Y=")</f>
        <v>#VALUE!</v>
      </c>
      <c r="HH1" t="b">
        <f>AND(IssueLog!B20,"AAAAAH3/z9c=")</f>
        <v>1</v>
      </c>
      <c r="HI1" t="b">
        <f>AND(IssueLog!C20,"AAAAAH3/z9g=")</f>
        <v>1</v>
      </c>
      <c r="HJ1" t="e">
        <f>AND(IssueLog!D20,"AAAAAH3/z9k=")</f>
        <v>#VALUE!</v>
      </c>
      <c r="HK1" t="e">
        <f>AND(IssueLog!E20,"AAAAAH3/z9o=")</f>
        <v>#VALUE!</v>
      </c>
      <c r="HL1" t="e">
        <f>AND(IssueLog!F20,"AAAAAH3/z9s=")</f>
        <v>#VALUE!</v>
      </c>
      <c r="HM1">
        <f>IF(IssueLog!21:21,"AAAAAH3/z9w=",0)</f>
        <v>0</v>
      </c>
      <c r="HN1" t="e">
        <f>AND(IssueLog!A21,"AAAAAH3/z90=")</f>
        <v>#VALUE!</v>
      </c>
      <c r="HO1" t="b">
        <f>AND(IssueLog!B21,"AAAAAH3/z94=")</f>
        <v>1</v>
      </c>
      <c r="HP1" t="b">
        <f>AND(IssueLog!C21,"AAAAAH3/z98=")</f>
        <v>1</v>
      </c>
      <c r="HQ1" t="e">
        <f>AND(IssueLog!D21,"AAAAAH3/z+A=")</f>
        <v>#VALUE!</v>
      </c>
      <c r="HR1" t="e">
        <f>AND(IssueLog!E21,"AAAAAH3/z+E=")</f>
        <v>#VALUE!</v>
      </c>
      <c r="HS1" t="e">
        <f>AND(IssueLog!F21,"AAAAAH3/z+I=")</f>
        <v>#VALUE!</v>
      </c>
      <c r="HT1">
        <f>IF(IssueLog!22:22,"AAAAAH3/z+M=",0)</f>
        <v>0</v>
      </c>
      <c r="HU1" t="e">
        <f>AND(IssueLog!A22,"AAAAAH3/z+Q=")</f>
        <v>#VALUE!</v>
      </c>
      <c r="HV1" t="b">
        <f>AND(IssueLog!B22,"AAAAAH3/z+U=")</f>
        <v>1</v>
      </c>
      <c r="HW1" t="b">
        <f>AND(IssueLog!C22,"AAAAAH3/z+Y=")</f>
        <v>1</v>
      </c>
      <c r="HX1" t="e">
        <f>AND(IssueLog!D22,"AAAAAH3/z+c=")</f>
        <v>#VALUE!</v>
      </c>
      <c r="HY1" t="e">
        <f>AND(IssueLog!E22,"AAAAAH3/z+g=")</f>
        <v>#VALUE!</v>
      </c>
      <c r="HZ1" t="e">
        <f>AND(IssueLog!F22,"AAAAAH3/z+k=")</f>
        <v>#VALUE!</v>
      </c>
      <c r="IA1">
        <f>IF(IssueLog!23:23,"AAAAAH3/z+o=",0)</f>
        <v>0</v>
      </c>
      <c r="IB1" t="e">
        <f>AND(IssueLog!A23,"AAAAAH3/z+s=")</f>
        <v>#VALUE!</v>
      </c>
      <c r="IC1" t="b">
        <f>AND(IssueLog!B23,"AAAAAH3/z+w=")</f>
        <v>1</v>
      </c>
      <c r="ID1" t="b">
        <f>AND(IssueLog!C23,"AAAAAH3/z+0=")</f>
        <v>1</v>
      </c>
      <c r="IE1" t="e">
        <f>AND(IssueLog!D23,"AAAAAH3/z+4=")</f>
        <v>#VALUE!</v>
      </c>
      <c r="IF1" t="e">
        <f>AND(IssueLog!E23,"AAAAAH3/z+8=")</f>
        <v>#VALUE!</v>
      </c>
      <c r="IG1">
        <f>IF(IssueLog!24:24,"AAAAAH3/z/A=",0)</f>
        <v>0</v>
      </c>
      <c r="IH1" t="e">
        <f>AND(IssueLog!A24,"AAAAAH3/z/E=")</f>
        <v>#VALUE!</v>
      </c>
      <c r="II1" t="b">
        <f>AND(IssueLog!B24,"AAAAAH3/z/I=")</f>
        <v>1</v>
      </c>
      <c r="IJ1" t="b">
        <f>AND(IssueLog!C24,"AAAAAH3/z/M=")</f>
        <v>1</v>
      </c>
      <c r="IK1" t="e">
        <f>AND(IssueLog!D24,"AAAAAH3/z/Q=")</f>
        <v>#VALUE!</v>
      </c>
      <c r="IL1" t="e">
        <f>AND(IssueLog!E24,"AAAAAH3/z/U=")</f>
        <v>#VALUE!</v>
      </c>
      <c r="IM1" t="e">
        <f>IF(IssueLog!A:A,"AAAAAH3/z/Y=",0)</f>
        <v>#VALUE!</v>
      </c>
      <c r="IN1" t="e">
        <f>IF(IssueLog!B:B,"AAAAAH3/z/c=",0)</f>
        <v>#VALUE!</v>
      </c>
      <c r="IO1" t="e">
        <f>IF(IssueLog!C:C,"AAAAAH3/z/g=",0)</f>
        <v>#VALUE!</v>
      </c>
      <c r="IP1" t="e">
        <f>IF(IssueLog!D:D,"AAAAAH3/z/k=",0)</f>
        <v>#VALUE!</v>
      </c>
      <c r="IQ1" t="e">
        <f>IF(IssueLog!E:E,"AAAAAH3/z/o=",0)</f>
        <v>#VALUE!</v>
      </c>
      <c r="IR1" t="e">
        <f>IF(IssueLog!F:F,"AAAAAH3/z/s=",0)</f>
        <v>#VALUE!</v>
      </c>
      <c r="IS1">
        <f>IF(Log!1:1,"AAAAAH3/z/w=",0)</f>
        <v>0</v>
      </c>
      <c r="IT1" t="e">
        <f>AND(Log!A1,"AAAAAH3/z/0=")</f>
        <v>#VALUE!</v>
      </c>
      <c r="IU1" t="e">
        <f>AND(Log!B1,"AAAAAH3/z/4=")</f>
        <v>#VALUE!</v>
      </c>
      <c r="IV1" t="e">
        <f>AND(Log!C1,"AAAAAH3/z/8=")</f>
        <v>#VALUE!</v>
      </c>
    </row>
    <row r="2" spans="1:256" x14ac:dyDescent="0.25">
      <c r="A2" t="e">
        <f>AND(Log!D1,"AAAAAHv7TwA=")</f>
        <v>#VALUE!</v>
      </c>
      <c r="B2" t="e">
        <f>IF(Log!2:2,"AAAAAHv7TwE=",0)</f>
        <v>#VALUE!</v>
      </c>
      <c r="C2" t="b">
        <f>AND(Log!A2,"AAAAAHv7TwI=")</f>
        <v>1</v>
      </c>
      <c r="D2" t="e">
        <f>AND(Log!B2,"AAAAAHv7TwM=")</f>
        <v>#VALUE!</v>
      </c>
      <c r="E2" t="e">
        <f>AND(Log!C2,"AAAAAHv7TwQ=")</f>
        <v>#VALUE!</v>
      </c>
      <c r="F2" t="e">
        <f>AND(Log!D2,"AAAAAHv7TwU=")</f>
        <v>#VALUE!</v>
      </c>
      <c r="G2">
        <f>IF(Log!3:3,"AAAAAHv7TwY=",0)</f>
        <v>0</v>
      </c>
      <c r="H2" t="b">
        <f>AND(Log!A3,"AAAAAHv7Twc=")</f>
        <v>1</v>
      </c>
      <c r="I2" t="e">
        <f>AND(Log!B3,"AAAAAHv7Twg=")</f>
        <v>#VALUE!</v>
      </c>
      <c r="J2" t="e">
        <f>AND(Log!C3,"AAAAAHv7Twk=")</f>
        <v>#VALUE!</v>
      </c>
      <c r="K2" t="e">
        <f>AND(Log!D3,"AAAAAHv7Two=")</f>
        <v>#VALUE!</v>
      </c>
      <c r="L2">
        <f>IF(Log!4:4,"AAAAAHv7Tws=",0)</f>
        <v>0</v>
      </c>
      <c r="M2" t="b">
        <f>AND(Log!A4,"AAAAAHv7Tww=")</f>
        <v>1</v>
      </c>
      <c r="N2" t="e">
        <f>AND(Log!B4,"AAAAAHv7Tw0=")</f>
        <v>#VALUE!</v>
      </c>
      <c r="O2" t="e">
        <f>AND(Log!C4,"AAAAAHv7Tw4=")</f>
        <v>#VALUE!</v>
      </c>
      <c r="P2" t="e">
        <f>AND(Log!D4,"AAAAAHv7Tw8=")</f>
        <v>#VALUE!</v>
      </c>
      <c r="Q2">
        <f>IF(Log!5:5,"AAAAAHv7TxA=",0)</f>
        <v>0</v>
      </c>
      <c r="R2" t="b">
        <f>AND(Log!A5,"AAAAAHv7TxE=")</f>
        <v>1</v>
      </c>
      <c r="S2" t="e">
        <f>AND(Log!B5,"AAAAAHv7TxI=")</f>
        <v>#VALUE!</v>
      </c>
      <c r="T2" t="e">
        <f>AND(Log!C5,"AAAAAHv7TxM=")</f>
        <v>#VALUE!</v>
      </c>
      <c r="U2" t="e">
        <f>AND(Log!D5,"AAAAAHv7TxQ=")</f>
        <v>#VALUE!</v>
      </c>
      <c r="V2">
        <f>IF(Log!6:6,"AAAAAHv7TxU=",0)</f>
        <v>0</v>
      </c>
      <c r="W2" t="b">
        <f>AND(Log!A6,"AAAAAHv7TxY=")</f>
        <v>1</v>
      </c>
      <c r="X2" t="e">
        <f>AND(Log!B6,"AAAAAHv7Txc=")</f>
        <v>#VALUE!</v>
      </c>
      <c r="Y2" t="e">
        <f>AND(Log!C6,"AAAAAHv7Txg=")</f>
        <v>#VALUE!</v>
      </c>
      <c r="Z2" t="e">
        <f>AND(Log!D6,"AAAAAHv7Txk=")</f>
        <v>#VALUE!</v>
      </c>
      <c r="AA2">
        <f>IF(Log!7:7,"AAAAAHv7Txo=",0)</f>
        <v>0</v>
      </c>
      <c r="AB2" t="b">
        <f>AND(Log!A7,"AAAAAHv7Txs=")</f>
        <v>1</v>
      </c>
      <c r="AC2" t="e">
        <f>AND(Log!B7,"AAAAAHv7Txw=")</f>
        <v>#VALUE!</v>
      </c>
      <c r="AD2" t="e">
        <f>AND(Log!C7,"AAAAAHv7Tx0=")</f>
        <v>#VALUE!</v>
      </c>
      <c r="AE2" t="e">
        <f>AND(Log!D7,"AAAAAHv7Tx4=")</f>
        <v>#VALUE!</v>
      </c>
      <c r="AF2">
        <f>IF(Log!8:8,"AAAAAHv7Tx8=",0)</f>
        <v>0</v>
      </c>
      <c r="AG2" t="b">
        <f>AND(Log!A8,"AAAAAHv7TyA=")</f>
        <v>1</v>
      </c>
      <c r="AH2" t="e">
        <f>AND(Log!B8,"AAAAAHv7TyE=")</f>
        <v>#VALUE!</v>
      </c>
      <c r="AI2" t="e">
        <f>AND(Log!C8,"AAAAAHv7TyI=")</f>
        <v>#VALUE!</v>
      </c>
      <c r="AJ2" t="e">
        <f>AND(Log!D8,"AAAAAHv7TyM=")</f>
        <v>#VALUE!</v>
      </c>
      <c r="AK2">
        <f>IF(Log!9:9,"AAAAAHv7TyQ=",0)</f>
        <v>0</v>
      </c>
      <c r="AL2" t="b">
        <f>AND(Log!A9,"AAAAAHv7TyU=")</f>
        <v>1</v>
      </c>
      <c r="AM2" t="e">
        <f>AND(Log!B9,"AAAAAHv7TyY=")</f>
        <v>#VALUE!</v>
      </c>
      <c r="AN2" t="e">
        <f>AND(Log!C9,"AAAAAHv7Tyc=")</f>
        <v>#VALUE!</v>
      </c>
      <c r="AO2" t="e">
        <f>AND(Log!D9,"AAAAAHv7Tyg=")</f>
        <v>#VALUE!</v>
      </c>
      <c r="AP2">
        <f>IF(Log!10:10,"AAAAAHv7Tyk=",0)</f>
        <v>0</v>
      </c>
      <c r="AQ2" t="b">
        <f>AND(Log!A10,"AAAAAHv7Tyo=")</f>
        <v>1</v>
      </c>
      <c r="AR2" t="e">
        <f>AND(Log!B10,"AAAAAHv7Tys=")</f>
        <v>#VALUE!</v>
      </c>
      <c r="AS2" t="e">
        <f>AND(Log!C10,"AAAAAHv7Tyw=")</f>
        <v>#VALUE!</v>
      </c>
      <c r="AT2" t="e">
        <f>AND(Log!D10,"AAAAAHv7Ty0=")</f>
        <v>#VALUE!</v>
      </c>
      <c r="AU2">
        <f>IF(Log!11:11,"AAAAAHv7Ty4=",0)</f>
        <v>0</v>
      </c>
      <c r="AV2" t="b">
        <f>AND(Log!A11,"AAAAAHv7Ty8=")</f>
        <v>1</v>
      </c>
      <c r="AW2" t="e">
        <f>AND(Log!B11,"AAAAAHv7TzA=")</f>
        <v>#VALUE!</v>
      </c>
      <c r="AX2" t="e">
        <f>AND(Log!C11,"AAAAAHv7TzE=")</f>
        <v>#VALUE!</v>
      </c>
      <c r="AY2" t="e">
        <f>AND(Log!D11,"AAAAAHv7TzI=")</f>
        <v>#VALUE!</v>
      </c>
      <c r="AZ2">
        <f>IF(Log!12:12,"AAAAAHv7TzM=",0)</f>
        <v>0</v>
      </c>
      <c r="BA2" t="b">
        <f>AND(Log!A12,"AAAAAHv7TzQ=")</f>
        <v>1</v>
      </c>
      <c r="BB2" t="e">
        <f>AND(Log!B12,"AAAAAHv7TzU=")</f>
        <v>#VALUE!</v>
      </c>
      <c r="BC2" t="e">
        <f>AND(Log!C12,"AAAAAHv7TzY=")</f>
        <v>#VALUE!</v>
      </c>
      <c r="BD2" t="e">
        <f>AND(Log!D12,"AAAAAHv7Tzc=")</f>
        <v>#VALUE!</v>
      </c>
      <c r="BE2">
        <f>IF(Log!13:13,"AAAAAHv7Tzg=",0)</f>
        <v>0</v>
      </c>
      <c r="BF2" t="b">
        <f>AND(Log!A13,"AAAAAHv7Tzk=")</f>
        <v>1</v>
      </c>
      <c r="BG2" t="e">
        <f>AND(Log!B13,"AAAAAHv7Tzo=")</f>
        <v>#VALUE!</v>
      </c>
      <c r="BH2" t="e">
        <f>AND(Log!C13,"AAAAAHv7Tzs=")</f>
        <v>#VALUE!</v>
      </c>
      <c r="BI2" t="e">
        <f>AND(Log!D13,"AAAAAHv7Tzw=")</f>
        <v>#VALUE!</v>
      </c>
      <c r="BJ2">
        <f>IF(Log!14:14,"AAAAAHv7Tz0=",0)</f>
        <v>0</v>
      </c>
      <c r="BK2" t="b">
        <f>AND(Log!A14,"AAAAAHv7Tz4=")</f>
        <v>1</v>
      </c>
      <c r="BL2" t="e">
        <f>AND(Log!B14,"AAAAAHv7Tz8=")</f>
        <v>#VALUE!</v>
      </c>
      <c r="BM2" t="e">
        <f>AND(Log!C14,"AAAAAHv7T0A=")</f>
        <v>#VALUE!</v>
      </c>
      <c r="BN2" t="e">
        <f>AND(Log!D14,"AAAAAHv7T0E=")</f>
        <v>#VALUE!</v>
      </c>
      <c r="BO2">
        <f>IF(Log!15:15,"AAAAAHv7T0I=",0)</f>
        <v>0</v>
      </c>
      <c r="BP2" t="b">
        <f>AND(Log!A15,"AAAAAHv7T0M=")</f>
        <v>1</v>
      </c>
      <c r="BQ2" t="e">
        <f>AND(Log!B15,"AAAAAHv7T0Q=")</f>
        <v>#VALUE!</v>
      </c>
      <c r="BR2" t="e">
        <f>AND(Log!C15,"AAAAAHv7T0U=")</f>
        <v>#VALUE!</v>
      </c>
      <c r="BS2" t="e">
        <f>AND(Log!D15,"AAAAAHv7T0Y=")</f>
        <v>#VALUE!</v>
      </c>
      <c r="BT2">
        <f>IF(Log!16:16,"AAAAAHv7T0c=",0)</f>
        <v>0</v>
      </c>
      <c r="BU2" t="b">
        <f>AND(Log!A16,"AAAAAHv7T0g=")</f>
        <v>1</v>
      </c>
      <c r="BV2" t="e">
        <f>AND(Log!B16,"AAAAAHv7T0k=")</f>
        <v>#VALUE!</v>
      </c>
      <c r="BW2" t="e">
        <f>AND(Log!C16,"AAAAAHv7T0o=")</f>
        <v>#VALUE!</v>
      </c>
      <c r="BX2" t="e">
        <f>AND(Log!D16,"AAAAAHv7T0s=")</f>
        <v>#VALUE!</v>
      </c>
      <c r="BY2">
        <f>IF(Log!17:17,"AAAAAHv7T0w=",0)</f>
        <v>0</v>
      </c>
      <c r="BZ2" t="b">
        <f>AND(Log!A17,"AAAAAHv7T00=")</f>
        <v>1</v>
      </c>
      <c r="CA2" t="e">
        <f>AND(Log!B17,"AAAAAHv7T04=")</f>
        <v>#VALUE!</v>
      </c>
      <c r="CB2" t="e">
        <f>AND(Log!C17,"AAAAAHv7T08=")</f>
        <v>#VALUE!</v>
      </c>
      <c r="CC2" t="e">
        <f>AND(Log!D17,"AAAAAHv7T1A=")</f>
        <v>#VALUE!</v>
      </c>
      <c r="CD2">
        <f>IF(Log!18:18,"AAAAAHv7T1E=",0)</f>
        <v>0</v>
      </c>
      <c r="CE2" t="b">
        <f>AND(Log!A18,"AAAAAHv7T1I=")</f>
        <v>1</v>
      </c>
      <c r="CF2" t="e">
        <f>AND(Log!B18,"AAAAAHv7T1M=")</f>
        <v>#VALUE!</v>
      </c>
      <c r="CG2" t="e">
        <f>AND(Log!C18,"AAAAAHv7T1Q=")</f>
        <v>#VALUE!</v>
      </c>
      <c r="CH2" t="e">
        <f>AND(Log!D18,"AAAAAHv7T1U=")</f>
        <v>#VALUE!</v>
      </c>
      <c r="CI2">
        <f>IF(Log!19:19,"AAAAAHv7T1Y=",0)</f>
        <v>0</v>
      </c>
      <c r="CJ2" t="b">
        <f>AND(Log!A19,"AAAAAHv7T1c=")</f>
        <v>1</v>
      </c>
      <c r="CK2" t="e">
        <f>AND(Log!B19,"AAAAAHv7T1g=")</f>
        <v>#VALUE!</v>
      </c>
      <c r="CL2" t="e">
        <f>AND(Log!C19,"AAAAAHv7T1k=")</f>
        <v>#VALUE!</v>
      </c>
      <c r="CM2" t="e">
        <f>AND(Log!D19,"AAAAAHv7T1o=")</f>
        <v>#VALUE!</v>
      </c>
      <c r="CN2">
        <f>IF(Log!20:20,"AAAAAHv7T1s=",0)</f>
        <v>0</v>
      </c>
      <c r="CO2" t="b">
        <f>AND(Log!A20,"AAAAAHv7T1w=")</f>
        <v>1</v>
      </c>
      <c r="CP2" t="e">
        <f>AND(Log!B20,"AAAAAHv7T10=")</f>
        <v>#VALUE!</v>
      </c>
      <c r="CQ2" t="e">
        <f>AND(Log!C20,"AAAAAHv7T14=")</f>
        <v>#VALUE!</v>
      </c>
      <c r="CR2" t="e">
        <f>AND(Log!D20,"AAAAAHv7T18=")</f>
        <v>#VALUE!</v>
      </c>
      <c r="CS2">
        <f>IF(Log!21:21,"AAAAAHv7T2A=",0)</f>
        <v>0</v>
      </c>
      <c r="CT2" t="b">
        <f>AND(Log!A21,"AAAAAHv7T2E=")</f>
        <v>1</v>
      </c>
      <c r="CU2" t="e">
        <f>AND(Log!B21,"AAAAAHv7T2I=")</f>
        <v>#VALUE!</v>
      </c>
      <c r="CV2" t="e">
        <f>AND(Log!C21,"AAAAAHv7T2M=")</f>
        <v>#VALUE!</v>
      </c>
      <c r="CW2" t="e">
        <f>AND(Log!D21,"AAAAAHv7T2Q=")</f>
        <v>#VALUE!</v>
      </c>
      <c r="CX2">
        <f>IF(Log!22:22,"AAAAAHv7T2U=",0)</f>
        <v>0</v>
      </c>
      <c r="CY2" t="b">
        <f>AND(Log!A22,"AAAAAHv7T2Y=")</f>
        <v>1</v>
      </c>
      <c r="CZ2" t="e">
        <f>AND(Log!B22,"AAAAAHv7T2c=")</f>
        <v>#VALUE!</v>
      </c>
      <c r="DA2" t="e">
        <f>AND(Log!C22,"AAAAAHv7T2g=")</f>
        <v>#VALUE!</v>
      </c>
      <c r="DB2" t="e">
        <f>AND(Log!D22,"AAAAAHv7T2k=")</f>
        <v>#VALUE!</v>
      </c>
      <c r="DC2">
        <f>IF(Log!23:23,"AAAAAHv7T2o=",0)</f>
        <v>0</v>
      </c>
      <c r="DD2" t="b">
        <f>AND(Log!A23,"AAAAAHv7T2s=")</f>
        <v>1</v>
      </c>
      <c r="DE2" t="e">
        <f>AND(Log!B23,"AAAAAHv7T2w=")</f>
        <v>#VALUE!</v>
      </c>
      <c r="DF2" t="e">
        <f>AND(Log!C23,"AAAAAHv7T20=")</f>
        <v>#VALUE!</v>
      </c>
      <c r="DG2" t="e">
        <f>AND(Log!D23,"AAAAAHv7T24=")</f>
        <v>#VALUE!</v>
      </c>
      <c r="DH2">
        <f>IF(Log!24:24,"AAAAAHv7T28=",0)</f>
        <v>0</v>
      </c>
      <c r="DI2" t="b">
        <f>AND(Log!A24,"AAAAAHv7T3A=")</f>
        <v>1</v>
      </c>
      <c r="DJ2" t="e">
        <f>AND(Log!B24,"AAAAAHv7T3E=")</f>
        <v>#VALUE!</v>
      </c>
      <c r="DK2" t="e">
        <f>AND(Log!C24,"AAAAAHv7T3I=")</f>
        <v>#VALUE!</v>
      </c>
      <c r="DL2" t="e">
        <f>AND(Log!D24,"AAAAAHv7T3M=")</f>
        <v>#VALUE!</v>
      </c>
      <c r="DM2">
        <f>IF(Log!25:25,"AAAAAHv7T3Q=",0)</f>
        <v>0</v>
      </c>
      <c r="DN2" t="b">
        <f>AND(Log!A25,"AAAAAHv7T3U=")</f>
        <v>1</v>
      </c>
      <c r="DO2" t="e">
        <f>AND(Log!B25,"AAAAAHv7T3Y=")</f>
        <v>#VALUE!</v>
      </c>
      <c r="DP2" t="e">
        <f>AND(Log!C25,"AAAAAHv7T3c=")</f>
        <v>#VALUE!</v>
      </c>
      <c r="DQ2" t="e">
        <f>AND(Log!D25,"AAAAAHv7T3g=")</f>
        <v>#VALUE!</v>
      </c>
      <c r="DR2">
        <f>IF(Log!26:26,"AAAAAHv7T3k=",0)</f>
        <v>0</v>
      </c>
      <c r="DS2" t="b">
        <f>AND(Log!A26,"AAAAAHv7T3o=")</f>
        <v>1</v>
      </c>
      <c r="DT2" t="e">
        <f>AND(Log!B26,"AAAAAHv7T3s=")</f>
        <v>#VALUE!</v>
      </c>
      <c r="DU2" t="e">
        <f>AND(Log!C26,"AAAAAHv7T3w=")</f>
        <v>#VALUE!</v>
      </c>
      <c r="DV2" t="e">
        <f>AND(Log!D26,"AAAAAHv7T30=")</f>
        <v>#VALUE!</v>
      </c>
      <c r="DW2">
        <f>IF(Log!27:27,"AAAAAHv7T34=",0)</f>
        <v>0</v>
      </c>
      <c r="DX2" t="b">
        <f>AND(Log!A27,"AAAAAHv7T38=")</f>
        <v>1</v>
      </c>
      <c r="DY2" t="e">
        <f>AND(Log!B27,"AAAAAHv7T4A=")</f>
        <v>#VALUE!</v>
      </c>
      <c r="DZ2" t="e">
        <f>AND(Log!C27,"AAAAAHv7T4E=")</f>
        <v>#VALUE!</v>
      </c>
      <c r="EA2" t="e">
        <f>AND(Log!D27,"AAAAAHv7T4I=")</f>
        <v>#VALUE!</v>
      </c>
      <c r="EB2">
        <f>IF(Log!28:28,"AAAAAHv7T4M=",0)</f>
        <v>0</v>
      </c>
      <c r="EC2" t="b">
        <f>AND(Log!A28,"AAAAAHv7T4Q=")</f>
        <v>1</v>
      </c>
      <c r="ED2" t="e">
        <f>AND(Log!B28,"AAAAAHv7T4U=")</f>
        <v>#VALUE!</v>
      </c>
      <c r="EE2" t="e">
        <f>AND(Log!C28,"AAAAAHv7T4Y=")</f>
        <v>#VALUE!</v>
      </c>
      <c r="EF2" t="e">
        <f>AND(Log!D28,"AAAAAHv7T4c=")</f>
        <v>#VALUE!</v>
      </c>
      <c r="EG2">
        <f>IF(Log!29:29,"AAAAAHv7T4g=",0)</f>
        <v>0</v>
      </c>
      <c r="EH2" t="b">
        <f>AND(Log!A29,"AAAAAHv7T4k=")</f>
        <v>1</v>
      </c>
      <c r="EI2" t="e">
        <f>AND(Log!B29,"AAAAAHv7T4o=")</f>
        <v>#VALUE!</v>
      </c>
      <c r="EJ2" t="e">
        <f>AND(Log!C29,"AAAAAHv7T4s=")</f>
        <v>#VALUE!</v>
      </c>
      <c r="EK2" t="e">
        <f>AND(Log!D29,"AAAAAHv7T4w=")</f>
        <v>#VALUE!</v>
      </c>
      <c r="EL2">
        <f>IF(Log!30:30,"AAAAAHv7T40=",0)</f>
        <v>0</v>
      </c>
      <c r="EM2" t="b">
        <f>AND(Log!A30,"AAAAAHv7T44=")</f>
        <v>1</v>
      </c>
      <c r="EN2" t="e">
        <f>AND(Log!B30,"AAAAAHv7T48=")</f>
        <v>#VALUE!</v>
      </c>
      <c r="EO2" t="e">
        <f>AND(Log!C30,"AAAAAHv7T5A=")</f>
        <v>#VALUE!</v>
      </c>
      <c r="EP2" t="e">
        <f>AND(Log!D30,"AAAAAHv7T5E=")</f>
        <v>#VALUE!</v>
      </c>
      <c r="EQ2">
        <f>IF(Log!31:31,"AAAAAHv7T5I=",0)</f>
        <v>0</v>
      </c>
      <c r="ER2" t="b">
        <f>AND(Log!A31,"AAAAAHv7T5M=")</f>
        <v>1</v>
      </c>
      <c r="ES2" t="e">
        <f>AND(Log!B31,"AAAAAHv7T5Q=")</f>
        <v>#VALUE!</v>
      </c>
      <c r="ET2" t="e">
        <f>AND(Log!C31,"AAAAAHv7T5U=")</f>
        <v>#VALUE!</v>
      </c>
      <c r="EU2" t="e">
        <f>AND(Log!D31,"AAAAAHv7T5Y=")</f>
        <v>#VALUE!</v>
      </c>
      <c r="EV2">
        <f>IF(Log!32:32,"AAAAAHv7T5c=",0)</f>
        <v>0</v>
      </c>
      <c r="EW2" t="b">
        <f>AND(Log!A32,"AAAAAHv7T5g=")</f>
        <v>1</v>
      </c>
      <c r="EX2" t="e">
        <f>AND(Log!B32,"AAAAAHv7T5k=")</f>
        <v>#VALUE!</v>
      </c>
      <c r="EY2" t="e">
        <f>AND(Log!C32,"AAAAAHv7T5o=")</f>
        <v>#VALUE!</v>
      </c>
      <c r="EZ2" t="e">
        <f>AND(Log!D32,"AAAAAHv7T5s=")</f>
        <v>#VALUE!</v>
      </c>
      <c r="FA2">
        <f>IF(Log!33:33,"AAAAAHv7T5w=",0)</f>
        <v>0</v>
      </c>
      <c r="FB2" t="b">
        <f>AND(Log!A33,"AAAAAHv7T50=")</f>
        <v>1</v>
      </c>
      <c r="FC2" t="e">
        <f>AND(Log!B33,"AAAAAHv7T54=")</f>
        <v>#VALUE!</v>
      </c>
      <c r="FD2" t="e">
        <f>AND(Log!C33,"AAAAAHv7T58=")</f>
        <v>#VALUE!</v>
      </c>
      <c r="FE2" t="e">
        <f>AND(Log!D33,"AAAAAHv7T6A=")</f>
        <v>#VALUE!</v>
      </c>
      <c r="FF2">
        <f>IF(Log!34:34,"AAAAAHv7T6E=",0)</f>
        <v>0</v>
      </c>
      <c r="FG2" t="b">
        <f>AND(Log!A34,"AAAAAHv7T6I=")</f>
        <v>1</v>
      </c>
      <c r="FH2" t="e">
        <f>AND(Log!B34,"AAAAAHv7T6M=")</f>
        <v>#VALUE!</v>
      </c>
      <c r="FI2" t="e">
        <f>AND(Log!C34,"AAAAAHv7T6Q=")</f>
        <v>#VALUE!</v>
      </c>
      <c r="FJ2" t="e">
        <f>AND(Log!D34,"AAAAAHv7T6U=")</f>
        <v>#VALUE!</v>
      </c>
      <c r="FK2">
        <f>IF(Log!35:35,"AAAAAHv7T6Y=",0)</f>
        <v>0</v>
      </c>
      <c r="FL2" t="b">
        <f>AND(Log!A35,"AAAAAHv7T6c=")</f>
        <v>1</v>
      </c>
      <c r="FM2" t="e">
        <f>AND(Log!B35,"AAAAAHv7T6g=")</f>
        <v>#VALUE!</v>
      </c>
      <c r="FN2" t="e">
        <f>AND(Log!C35,"AAAAAHv7T6k=")</f>
        <v>#VALUE!</v>
      </c>
      <c r="FO2" t="e">
        <f>AND(Log!D35,"AAAAAHv7T6o=")</f>
        <v>#VALUE!</v>
      </c>
      <c r="FP2">
        <f>IF(Log!36:36,"AAAAAHv7T6s=",0)</f>
        <v>0</v>
      </c>
      <c r="FQ2" t="b">
        <f>AND(Log!A36,"AAAAAHv7T6w=")</f>
        <v>1</v>
      </c>
      <c r="FR2" t="e">
        <f>AND(Log!B36,"AAAAAHv7T60=")</f>
        <v>#VALUE!</v>
      </c>
      <c r="FS2" t="e">
        <f>AND(Log!C36,"AAAAAHv7T64=")</f>
        <v>#VALUE!</v>
      </c>
      <c r="FT2" t="e">
        <f>AND(Log!D36,"AAAAAHv7T68=")</f>
        <v>#VALUE!</v>
      </c>
      <c r="FU2">
        <f>IF(Log!37:37,"AAAAAHv7T7A=",0)</f>
        <v>0</v>
      </c>
      <c r="FV2" t="b">
        <f>AND(Log!A37,"AAAAAHv7T7E=")</f>
        <v>1</v>
      </c>
      <c r="FW2" t="e">
        <f>AND(Log!B37,"AAAAAHv7T7I=")</f>
        <v>#VALUE!</v>
      </c>
      <c r="FX2" t="e">
        <f>AND(Log!C37,"AAAAAHv7T7M=")</f>
        <v>#VALUE!</v>
      </c>
      <c r="FY2" t="e">
        <f>AND(Log!D37,"AAAAAHv7T7Q=")</f>
        <v>#VALUE!</v>
      </c>
      <c r="FZ2">
        <f>IF(Log!38:38,"AAAAAHv7T7U=",0)</f>
        <v>0</v>
      </c>
      <c r="GA2" t="b">
        <f>AND(Log!A38,"AAAAAHv7T7Y=")</f>
        <v>1</v>
      </c>
      <c r="GB2" t="e">
        <f>AND(Log!B38,"AAAAAHv7T7c=")</f>
        <v>#VALUE!</v>
      </c>
      <c r="GC2" t="e">
        <f>AND(Log!C38,"AAAAAHv7T7g=")</f>
        <v>#VALUE!</v>
      </c>
      <c r="GD2" t="e">
        <f>AND(Log!D38,"AAAAAHv7T7k=")</f>
        <v>#VALUE!</v>
      </c>
      <c r="GE2">
        <f>IF(Log!39:39,"AAAAAHv7T7o=",0)</f>
        <v>0</v>
      </c>
      <c r="GF2" t="b">
        <f>AND(Log!A39,"AAAAAHv7T7s=")</f>
        <v>1</v>
      </c>
      <c r="GG2" t="e">
        <f>AND(Log!B39,"AAAAAHv7T7w=")</f>
        <v>#VALUE!</v>
      </c>
      <c r="GH2" t="e">
        <f>AND(Log!C39,"AAAAAHv7T70=")</f>
        <v>#VALUE!</v>
      </c>
      <c r="GI2" t="e">
        <f>AND(Log!D39,"AAAAAHv7T74=")</f>
        <v>#VALUE!</v>
      </c>
      <c r="GJ2">
        <f>IF(Log!40:40,"AAAAAHv7T78=",0)</f>
        <v>0</v>
      </c>
      <c r="GK2" t="b">
        <f>AND(Log!A40,"AAAAAHv7T8A=")</f>
        <v>1</v>
      </c>
      <c r="GL2" t="e">
        <f>AND(Log!B40,"AAAAAHv7T8E=")</f>
        <v>#VALUE!</v>
      </c>
      <c r="GM2" t="e">
        <f>AND(Log!C40,"AAAAAHv7T8I=")</f>
        <v>#VALUE!</v>
      </c>
      <c r="GN2" t="e">
        <f>AND(Log!D40,"AAAAAHv7T8M=")</f>
        <v>#VALUE!</v>
      </c>
      <c r="GO2">
        <f>IF(Log!41:41,"AAAAAHv7T8Q=",0)</f>
        <v>0</v>
      </c>
      <c r="GP2" t="b">
        <f>AND(Log!A41,"AAAAAHv7T8U=")</f>
        <v>1</v>
      </c>
      <c r="GQ2" t="e">
        <f>AND(Log!B41,"AAAAAHv7T8Y=")</f>
        <v>#VALUE!</v>
      </c>
      <c r="GR2" t="e">
        <f>AND(Log!C41,"AAAAAHv7T8c=")</f>
        <v>#VALUE!</v>
      </c>
      <c r="GS2" t="e">
        <f>AND(Log!D41,"AAAAAHv7T8g=")</f>
        <v>#VALUE!</v>
      </c>
      <c r="GT2">
        <f>IF(Log!42:42,"AAAAAHv7T8k=",0)</f>
        <v>0</v>
      </c>
      <c r="GU2" t="b">
        <f>AND(Log!A42,"AAAAAHv7T8o=")</f>
        <v>1</v>
      </c>
      <c r="GV2" t="e">
        <f>AND(Log!B42,"AAAAAHv7T8s=")</f>
        <v>#VALUE!</v>
      </c>
      <c r="GW2" t="e">
        <f>AND(Log!C42,"AAAAAHv7T8w=")</f>
        <v>#VALUE!</v>
      </c>
      <c r="GX2" t="e">
        <f>AND(Log!D42,"AAAAAHv7T80=")</f>
        <v>#VALUE!</v>
      </c>
      <c r="GY2">
        <f>IF(Log!43:43,"AAAAAHv7T84=",0)</f>
        <v>0</v>
      </c>
      <c r="GZ2" t="b">
        <f>AND(Log!A43,"AAAAAHv7T88=")</f>
        <v>1</v>
      </c>
      <c r="HA2" t="e">
        <f>AND(Log!B43,"AAAAAHv7T9A=")</f>
        <v>#VALUE!</v>
      </c>
      <c r="HB2" t="e">
        <f>AND(Log!C43,"AAAAAHv7T9E=")</f>
        <v>#VALUE!</v>
      </c>
      <c r="HC2" t="e">
        <f>AND(Log!D43,"AAAAAHv7T9I=")</f>
        <v>#VALUE!</v>
      </c>
      <c r="HD2">
        <f>IF(Log!44:44,"AAAAAHv7T9M=",0)</f>
        <v>0</v>
      </c>
      <c r="HE2" t="b">
        <f>AND(Log!A44,"AAAAAHv7T9Q=")</f>
        <v>1</v>
      </c>
      <c r="HF2" t="e">
        <f>AND(Log!B44,"AAAAAHv7T9U=")</f>
        <v>#VALUE!</v>
      </c>
      <c r="HG2" t="e">
        <f>AND(Log!C44,"AAAAAHv7T9Y=")</f>
        <v>#VALUE!</v>
      </c>
      <c r="HH2" t="e">
        <f>AND(Log!D44,"AAAAAHv7T9c=")</f>
        <v>#VALUE!</v>
      </c>
      <c r="HI2">
        <f>IF(Log!45:45,"AAAAAHv7T9g=",0)</f>
        <v>0</v>
      </c>
      <c r="HJ2" t="b">
        <f>AND(Log!A45,"AAAAAHv7T9k=")</f>
        <v>1</v>
      </c>
      <c r="HK2" t="e">
        <f>AND(Log!B45,"AAAAAHv7T9o=")</f>
        <v>#VALUE!</v>
      </c>
      <c r="HL2" t="e">
        <f>AND(Log!C45,"AAAAAHv7T9s=")</f>
        <v>#VALUE!</v>
      </c>
      <c r="HM2" t="e">
        <f>AND(Log!D45,"AAAAAHv7T9w=")</f>
        <v>#VALUE!</v>
      </c>
      <c r="HN2">
        <f>IF(Log!46:46,"AAAAAHv7T90=",0)</f>
        <v>0</v>
      </c>
      <c r="HO2" t="b">
        <f>AND(Log!A46,"AAAAAHv7T94=")</f>
        <v>1</v>
      </c>
      <c r="HP2" t="e">
        <f>AND(Log!B46,"AAAAAHv7T98=")</f>
        <v>#VALUE!</v>
      </c>
      <c r="HQ2" t="e">
        <f>AND(Log!C46,"AAAAAHv7T+A=")</f>
        <v>#VALUE!</v>
      </c>
      <c r="HR2" t="e">
        <f>AND(Log!D46,"AAAAAHv7T+E=")</f>
        <v>#VALUE!</v>
      </c>
      <c r="HS2">
        <f>IF(Log!47:47,"AAAAAHv7T+I=",0)</f>
        <v>0</v>
      </c>
      <c r="HT2" t="b">
        <f>AND(Log!A47,"AAAAAHv7T+M=")</f>
        <v>1</v>
      </c>
      <c r="HU2" t="e">
        <f>AND(Log!B47,"AAAAAHv7T+Q=")</f>
        <v>#VALUE!</v>
      </c>
      <c r="HV2" t="e">
        <f>AND(Log!C47,"AAAAAHv7T+U=")</f>
        <v>#VALUE!</v>
      </c>
      <c r="HW2" t="e">
        <f>AND(Log!D47,"AAAAAHv7T+Y=")</f>
        <v>#VALUE!</v>
      </c>
      <c r="HX2">
        <f>IF(Log!48:48,"AAAAAHv7T+c=",0)</f>
        <v>0</v>
      </c>
      <c r="HY2" t="b">
        <f>AND(Log!A48,"AAAAAHv7T+g=")</f>
        <v>1</v>
      </c>
      <c r="HZ2" t="e">
        <f>AND(Log!B48,"AAAAAHv7T+k=")</f>
        <v>#VALUE!</v>
      </c>
      <c r="IA2" t="e">
        <f>AND(Log!C48,"AAAAAHv7T+o=")</f>
        <v>#VALUE!</v>
      </c>
      <c r="IB2" t="e">
        <f>AND(Log!D48,"AAAAAHv7T+s=")</f>
        <v>#VALUE!</v>
      </c>
      <c r="IC2">
        <f>IF(Log!49:49,"AAAAAHv7T+w=",0)</f>
        <v>0</v>
      </c>
      <c r="ID2" t="b">
        <f>AND(Log!A49,"AAAAAHv7T+0=")</f>
        <v>1</v>
      </c>
      <c r="IE2" t="e">
        <f>AND(Log!B49,"AAAAAHv7T+4=")</f>
        <v>#VALUE!</v>
      </c>
      <c r="IF2" t="e">
        <f>AND(Log!C49,"AAAAAHv7T+8=")</f>
        <v>#VALUE!</v>
      </c>
      <c r="IG2" t="e">
        <f>AND(Log!D49,"AAAAAHv7T/A=")</f>
        <v>#VALUE!</v>
      </c>
      <c r="IH2">
        <f>IF(Log!50:50,"AAAAAHv7T/E=",0)</f>
        <v>0</v>
      </c>
      <c r="II2" t="b">
        <f>AND(Log!A50,"AAAAAHv7T/I=")</f>
        <v>1</v>
      </c>
      <c r="IJ2" t="e">
        <f>AND(Log!B50,"AAAAAHv7T/M=")</f>
        <v>#VALUE!</v>
      </c>
      <c r="IK2" t="e">
        <f>AND(Log!C50,"AAAAAHv7T/Q=")</f>
        <v>#VALUE!</v>
      </c>
      <c r="IL2" t="e">
        <f>AND(Log!D50,"AAAAAHv7T/U=")</f>
        <v>#VALUE!</v>
      </c>
      <c r="IM2">
        <f>IF(Log!51:51,"AAAAAHv7T/Y=",0)</f>
        <v>0</v>
      </c>
      <c r="IN2" t="b">
        <f>AND(Log!A51,"AAAAAHv7T/c=")</f>
        <v>1</v>
      </c>
      <c r="IO2" t="e">
        <f>AND(Log!B51,"AAAAAHv7T/g=")</f>
        <v>#VALUE!</v>
      </c>
      <c r="IP2" t="e">
        <f>AND(Log!C51,"AAAAAHv7T/k=")</f>
        <v>#VALUE!</v>
      </c>
      <c r="IQ2" t="e">
        <f>AND(Log!D51,"AAAAAHv7T/o=")</f>
        <v>#VALUE!</v>
      </c>
      <c r="IR2">
        <f>IF(Log!52:52,"AAAAAHv7T/s=",0)</f>
        <v>0</v>
      </c>
      <c r="IS2" t="b">
        <f>AND(Log!A52,"AAAAAHv7T/w=")</f>
        <v>1</v>
      </c>
      <c r="IT2" t="e">
        <f>AND(Log!B52,"AAAAAHv7T/0=")</f>
        <v>#VALUE!</v>
      </c>
      <c r="IU2" t="e">
        <f>AND(Log!C52,"AAAAAHv7T/4=")</f>
        <v>#VALUE!</v>
      </c>
      <c r="IV2" t="e">
        <f>AND(Log!D52,"AAAAAHv7T/8=")</f>
        <v>#VALUE!</v>
      </c>
    </row>
    <row r="3" spans="1:256" x14ac:dyDescent="0.25">
      <c r="A3" t="str">
        <f>IF(Log!53:53,"AAAAADmF9QA=",0)</f>
        <v>AAAAADmF9QA=</v>
      </c>
      <c r="B3" t="b">
        <f>AND(Log!A53,"AAAAADmF9QE=")</f>
        <v>1</v>
      </c>
      <c r="C3" t="e">
        <f>AND(Log!B53,"AAAAADmF9QI=")</f>
        <v>#VALUE!</v>
      </c>
      <c r="D3" t="e">
        <f>AND(Log!C53,"AAAAADmF9QM=")</f>
        <v>#VALUE!</v>
      </c>
      <c r="E3" t="e">
        <f>AND(Log!D53,"AAAAADmF9QQ=")</f>
        <v>#VALUE!</v>
      </c>
      <c r="F3">
        <f>IF(Log!54:54,"AAAAADmF9QU=",0)</f>
        <v>0</v>
      </c>
      <c r="G3" t="b">
        <f>AND(Log!A54,"AAAAADmF9QY=")</f>
        <v>1</v>
      </c>
      <c r="H3" t="e">
        <f>AND(Log!B54,"AAAAADmF9Qc=")</f>
        <v>#VALUE!</v>
      </c>
      <c r="I3" t="e">
        <f>AND(Log!C54,"AAAAADmF9Qg=")</f>
        <v>#VALUE!</v>
      </c>
      <c r="J3" t="e">
        <f>AND(Log!D54,"AAAAADmF9Qk=")</f>
        <v>#VALUE!</v>
      </c>
      <c r="K3">
        <f>IF(Log!55:55,"AAAAADmF9Qo=",0)</f>
        <v>0</v>
      </c>
      <c r="L3" t="b">
        <f>AND(Log!A55,"AAAAADmF9Qs=")</f>
        <v>1</v>
      </c>
      <c r="M3" t="e">
        <f>AND(Log!B55,"AAAAADmF9Qw=")</f>
        <v>#VALUE!</v>
      </c>
      <c r="N3" t="e">
        <f>AND(Log!C55,"AAAAADmF9Q0=")</f>
        <v>#VALUE!</v>
      </c>
      <c r="O3" t="e">
        <f>AND(Log!D55,"AAAAADmF9Q4=")</f>
        <v>#VALUE!</v>
      </c>
      <c r="P3">
        <f>IF(Log!56:56,"AAAAADmF9Q8=",0)</f>
        <v>0</v>
      </c>
      <c r="Q3" t="b">
        <f>AND(Log!A56,"AAAAADmF9RA=")</f>
        <v>1</v>
      </c>
      <c r="R3" t="e">
        <f>AND(Log!B56,"AAAAADmF9RE=")</f>
        <v>#VALUE!</v>
      </c>
      <c r="S3" t="e">
        <f>AND(Log!C56,"AAAAADmF9RI=")</f>
        <v>#VALUE!</v>
      </c>
      <c r="T3" t="e">
        <f>AND(Log!D56,"AAAAADmF9RM=")</f>
        <v>#VALUE!</v>
      </c>
      <c r="U3">
        <f>IF(Log!57:57,"AAAAADmF9RQ=",0)</f>
        <v>0</v>
      </c>
      <c r="V3" t="b">
        <f>AND(Log!A57,"AAAAADmF9RU=")</f>
        <v>1</v>
      </c>
      <c r="W3" t="e">
        <f>AND(Log!B57,"AAAAADmF9RY=")</f>
        <v>#VALUE!</v>
      </c>
      <c r="X3" t="e">
        <f>AND(Log!C57,"AAAAADmF9Rc=")</f>
        <v>#VALUE!</v>
      </c>
      <c r="Y3" t="e">
        <f>AND(Log!D57,"AAAAADmF9Rg=")</f>
        <v>#VALUE!</v>
      </c>
      <c r="Z3">
        <f>IF(Log!58:58,"AAAAADmF9Rk=",0)</f>
        <v>0</v>
      </c>
      <c r="AA3" t="b">
        <f>AND(Log!A58,"AAAAADmF9Ro=")</f>
        <v>1</v>
      </c>
      <c r="AB3" t="e">
        <f>AND(Log!B58,"AAAAADmF9Rs=")</f>
        <v>#VALUE!</v>
      </c>
      <c r="AC3" t="e">
        <f>AND(Log!C58,"AAAAADmF9Rw=")</f>
        <v>#VALUE!</v>
      </c>
      <c r="AD3" t="e">
        <f>AND(Log!D58,"AAAAADmF9R0=")</f>
        <v>#VALUE!</v>
      </c>
      <c r="AE3">
        <f>IF(Log!59:59,"AAAAADmF9R4=",0)</f>
        <v>0</v>
      </c>
      <c r="AF3" t="b">
        <f>AND(Log!A59,"AAAAADmF9R8=")</f>
        <v>1</v>
      </c>
      <c r="AG3" t="e">
        <f>AND(Log!B59,"AAAAADmF9SA=")</f>
        <v>#VALUE!</v>
      </c>
      <c r="AH3" t="e">
        <f>AND(Log!C59,"AAAAADmF9SE=")</f>
        <v>#VALUE!</v>
      </c>
      <c r="AI3" t="e">
        <f>AND(Log!D59,"AAAAADmF9SI=")</f>
        <v>#VALUE!</v>
      </c>
      <c r="AJ3">
        <f>IF(Log!60:60,"AAAAADmF9SM=",0)</f>
        <v>0</v>
      </c>
      <c r="AK3" t="b">
        <f>AND(Log!A60,"AAAAADmF9SQ=")</f>
        <v>1</v>
      </c>
      <c r="AL3" t="e">
        <f>AND(Log!B60,"AAAAADmF9SU=")</f>
        <v>#VALUE!</v>
      </c>
      <c r="AM3" t="e">
        <f>AND(Log!C60,"AAAAADmF9SY=")</f>
        <v>#VALUE!</v>
      </c>
      <c r="AN3" t="e">
        <f>AND(Log!D60,"AAAAADmF9Sc=")</f>
        <v>#VALUE!</v>
      </c>
      <c r="AO3">
        <f>IF(Log!61:61,"AAAAADmF9Sg=",0)</f>
        <v>0</v>
      </c>
      <c r="AP3" t="b">
        <f>AND(Log!A61,"AAAAADmF9Sk=")</f>
        <v>1</v>
      </c>
      <c r="AQ3" t="e">
        <f>AND(Log!B61,"AAAAADmF9So=")</f>
        <v>#VALUE!</v>
      </c>
      <c r="AR3" t="e">
        <f>AND(Log!C61,"AAAAADmF9Ss=")</f>
        <v>#VALUE!</v>
      </c>
      <c r="AS3" t="e">
        <f>AND(Log!D61,"AAAAADmF9Sw=")</f>
        <v>#VALUE!</v>
      </c>
      <c r="AT3">
        <f>IF(Log!62:62,"AAAAADmF9S0=",0)</f>
        <v>0</v>
      </c>
      <c r="AU3" t="b">
        <f>AND(Log!A62,"AAAAADmF9S4=")</f>
        <v>1</v>
      </c>
      <c r="AV3" t="e">
        <f>AND(Log!B62,"AAAAADmF9S8=")</f>
        <v>#VALUE!</v>
      </c>
      <c r="AW3" t="e">
        <f>AND(Log!C62,"AAAAADmF9TA=")</f>
        <v>#VALUE!</v>
      </c>
      <c r="AX3" t="e">
        <f>AND(Log!D62,"AAAAADmF9TE=")</f>
        <v>#VALUE!</v>
      </c>
      <c r="AY3">
        <f>IF(Log!63:63,"AAAAADmF9TI=",0)</f>
        <v>0</v>
      </c>
      <c r="AZ3" t="b">
        <f>AND(Log!A63,"AAAAADmF9TM=")</f>
        <v>1</v>
      </c>
      <c r="BA3" t="e">
        <f>AND(Log!B63,"AAAAADmF9TQ=")</f>
        <v>#VALUE!</v>
      </c>
      <c r="BB3" t="e">
        <f>AND(Log!C63,"AAAAADmF9TU=")</f>
        <v>#VALUE!</v>
      </c>
      <c r="BC3" t="e">
        <f>AND(Log!D63,"AAAAADmF9TY=")</f>
        <v>#VALUE!</v>
      </c>
      <c r="BD3">
        <f>IF(Log!64:64,"AAAAADmF9Tc=",0)</f>
        <v>0</v>
      </c>
      <c r="BE3" t="b">
        <f>AND(Log!A64,"AAAAADmF9Tg=")</f>
        <v>1</v>
      </c>
      <c r="BF3" t="e">
        <f>AND(Log!B64,"AAAAADmF9Tk=")</f>
        <v>#VALUE!</v>
      </c>
      <c r="BG3" t="e">
        <f>AND(Log!C64,"AAAAADmF9To=")</f>
        <v>#VALUE!</v>
      </c>
      <c r="BH3" t="e">
        <f>AND(Log!D64,"AAAAADmF9Ts=")</f>
        <v>#VALUE!</v>
      </c>
      <c r="BI3">
        <f>IF(Log!65:65,"AAAAADmF9Tw=",0)</f>
        <v>0</v>
      </c>
      <c r="BJ3" t="b">
        <f>AND(Log!A65,"AAAAADmF9T0=")</f>
        <v>1</v>
      </c>
      <c r="BK3" t="e">
        <f>AND(Log!B65,"AAAAADmF9T4=")</f>
        <v>#VALUE!</v>
      </c>
      <c r="BL3" t="e">
        <f>AND(Log!C65,"AAAAADmF9T8=")</f>
        <v>#VALUE!</v>
      </c>
      <c r="BM3" t="e">
        <f>AND(Log!D65,"AAAAADmF9UA=")</f>
        <v>#VALUE!</v>
      </c>
      <c r="BN3">
        <f>IF(Log!66:66,"AAAAADmF9UE=",0)</f>
        <v>0</v>
      </c>
      <c r="BO3" t="b">
        <f>AND(Log!A66,"AAAAADmF9UI=")</f>
        <v>1</v>
      </c>
      <c r="BP3" t="e">
        <f>AND(Log!B66,"AAAAADmF9UM=")</f>
        <v>#VALUE!</v>
      </c>
      <c r="BQ3" t="e">
        <f>AND(Log!C66,"AAAAADmF9UQ=")</f>
        <v>#VALUE!</v>
      </c>
      <c r="BR3" t="e">
        <f>AND(Log!D66,"AAAAADmF9UU=")</f>
        <v>#VALUE!</v>
      </c>
      <c r="BS3">
        <f>IF(Log!67:67,"AAAAADmF9UY=",0)</f>
        <v>0</v>
      </c>
      <c r="BT3" t="b">
        <f>AND(Log!A67,"AAAAADmF9Uc=")</f>
        <v>1</v>
      </c>
      <c r="BU3" t="e">
        <f>AND(Log!B67,"AAAAADmF9Ug=")</f>
        <v>#VALUE!</v>
      </c>
      <c r="BV3" t="e">
        <f>AND(Log!C67,"AAAAADmF9Uk=")</f>
        <v>#VALUE!</v>
      </c>
      <c r="BW3" t="e">
        <f>AND(Log!D67,"AAAAADmF9Uo=")</f>
        <v>#VALUE!</v>
      </c>
      <c r="BX3">
        <f>IF(Log!68:68,"AAAAADmF9Us=",0)</f>
        <v>0</v>
      </c>
      <c r="BY3" t="b">
        <f>AND(Log!A68,"AAAAADmF9Uw=")</f>
        <v>1</v>
      </c>
      <c r="BZ3" t="e">
        <f>AND(Log!B68,"AAAAADmF9U0=")</f>
        <v>#VALUE!</v>
      </c>
      <c r="CA3" t="e">
        <f>AND(Log!C68,"AAAAADmF9U4=")</f>
        <v>#VALUE!</v>
      </c>
      <c r="CB3" t="e">
        <f>AND(Log!D68,"AAAAADmF9U8=")</f>
        <v>#VALUE!</v>
      </c>
      <c r="CC3">
        <f>IF(Log!69:69,"AAAAADmF9VA=",0)</f>
        <v>0</v>
      </c>
      <c r="CD3" t="b">
        <f>AND(Log!A69,"AAAAADmF9VE=")</f>
        <v>1</v>
      </c>
      <c r="CE3" t="e">
        <f>AND(Log!B69,"AAAAADmF9VI=")</f>
        <v>#VALUE!</v>
      </c>
      <c r="CF3" t="e">
        <f>AND(Log!C69,"AAAAADmF9VM=")</f>
        <v>#VALUE!</v>
      </c>
      <c r="CG3" t="e">
        <f>AND(Log!D69,"AAAAADmF9VQ=")</f>
        <v>#VALUE!</v>
      </c>
      <c r="CH3">
        <f>IF(Log!70:70,"AAAAADmF9VU=",0)</f>
        <v>0</v>
      </c>
      <c r="CI3" t="b">
        <f>AND(Log!A70,"AAAAADmF9VY=")</f>
        <v>1</v>
      </c>
      <c r="CJ3" t="e">
        <f>AND(Log!B70,"AAAAADmF9Vc=")</f>
        <v>#VALUE!</v>
      </c>
      <c r="CK3" t="e">
        <f>AND(Log!C70,"AAAAADmF9Vg=")</f>
        <v>#VALUE!</v>
      </c>
      <c r="CL3" t="e">
        <f>AND(Log!D70,"AAAAADmF9Vk=")</f>
        <v>#VALUE!</v>
      </c>
      <c r="CM3">
        <f>IF(Log!71:71,"AAAAADmF9Vo=",0)</f>
        <v>0</v>
      </c>
      <c r="CN3" t="b">
        <f>AND(Log!A71,"AAAAADmF9Vs=")</f>
        <v>1</v>
      </c>
      <c r="CO3" t="e">
        <f>AND(Log!B71,"AAAAADmF9Vw=")</f>
        <v>#VALUE!</v>
      </c>
      <c r="CP3" t="e">
        <f>AND(Log!C71,"AAAAADmF9V0=")</f>
        <v>#VALUE!</v>
      </c>
      <c r="CQ3" t="e">
        <f>AND(Log!D71,"AAAAADmF9V4=")</f>
        <v>#VALUE!</v>
      </c>
      <c r="CR3">
        <f>IF(Log!72:72,"AAAAADmF9V8=",0)</f>
        <v>0</v>
      </c>
      <c r="CS3" t="b">
        <f>AND(Log!A72,"AAAAADmF9WA=")</f>
        <v>1</v>
      </c>
      <c r="CT3" t="e">
        <f>AND(Log!B72,"AAAAADmF9WE=")</f>
        <v>#VALUE!</v>
      </c>
      <c r="CU3" t="e">
        <f>AND(Log!C72,"AAAAADmF9WI=")</f>
        <v>#VALUE!</v>
      </c>
      <c r="CV3" t="e">
        <f>AND(Log!D72,"AAAAADmF9WM=")</f>
        <v>#VALUE!</v>
      </c>
      <c r="CW3">
        <f>IF(Log!73:73,"AAAAADmF9WQ=",0)</f>
        <v>0</v>
      </c>
      <c r="CX3" t="b">
        <f>AND(Log!A73,"AAAAADmF9WU=")</f>
        <v>1</v>
      </c>
      <c r="CY3" t="e">
        <f>AND(Log!B73,"AAAAADmF9WY=")</f>
        <v>#VALUE!</v>
      </c>
      <c r="CZ3" t="e">
        <f>AND(Log!C73,"AAAAADmF9Wc=")</f>
        <v>#VALUE!</v>
      </c>
      <c r="DA3" t="e">
        <f>AND(Log!D73,"AAAAADmF9Wg=")</f>
        <v>#VALUE!</v>
      </c>
      <c r="DB3">
        <f>IF(Log!74:74,"AAAAADmF9Wk=",0)</f>
        <v>0</v>
      </c>
      <c r="DC3" t="b">
        <f>AND(Log!A74,"AAAAADmF9Wo=")</f>
        <v>1</v>
      </c>
      <c r="DD3" t="e">
        <f>AND(Log!B74,"AAAAADmF9Ws=")</f>
        <v>#VALUE!</v>
      </c>
      <c r="DE3" t="e">
        <f>AND(Log!C74,"AAAAADmF9Ww=")</f>
        <v>#VALUE!</v>
      </c>
      <c r="DF3" t="e">
        <f>AND(Log!D74,"AAAAADmF9W0=")</f>
        <v>#VALUE!</v>
      </c>
      <c r="DG3">
        <f>IF(Log!75:75,"AAAAADmF9W4=",0)</f>
        <v>0</v>
      </c>
      <c r="DH3" t="b">
        <f>AND(Log!A75,"AAAAADmF9W8=")</f>
        <v>1</v>
      </c>
      <c r="DI3" t="e">
        <f>AND(Log!B75,"AAAAADmF9XA=")</f>
        <v>#VALUE!</v>
      </c>
      <c r="DJ3" t="e">
        <f>AND(Log!C75,"AAAAADmF9XE=")</f>
        <v>#VALUE!</v>
      </c>
      <c r="DK3" t="e">
        <f>AND(Log!D75,"AAAAADmF9XI=")</f>
        <v>#VALUE!</v>
      </c>
      <c r="DL3">
        <f>IF(Log!76:76,"AAAAADmF9XM=",0)</f>
        <v>0</v>
      </c>
      <c r="DM3" t="b">
        <f>AND(Log!A76,"AAAAADmF9XQ=")</f>
        <v>1</v>
      </c>
      <c r="DN3" t="e">
        <f>AND(Log!B76,"AAAAADmF9XU=")</f>
        <v>#VALUE!</v>
      </c>
      <c r="DO3" t="e">
        <f>AND(Log!C76,"AAAAADmF9XY=")</f>
        <v>#VALUE!</v>
      </c>
      <c r="DP3" t="e">
        <f>AND(Log!D76,"AAAAADmF9Xc=")</f>
        <v>#VALUE!</v>
      </c>
      <c r="DQ3">
        <f>IF(Log!77:77,"AAAAADmF9Xg=",0)</f>
        <v>0</v>
      </c>
      <c r="DR3" t="b">
        <f>AND(Log!A77,"AAAAADmF9Xk=")</f>
        <v>1</v>
      </c>
      <c r="DS3" t="e">
        <f>AND(Log!B77,"AAAAADmF9Xo=")</f>
        <v>#VALUE!</v>
      </c>
      <c r="DT3" t="e">
        <f>AND(Log!C77,"AAAAADmF9Xs=")</f>
        <v>#VALUE!</v>
      </c>
      <c r="DU3" t="e">
        <f>AND(Log!D77,"AAAAADmF9Xw=")</f>
        <v>#VALUE!</v>
      </c>
      <c r="DV3">
        <f>IF(Log!78:78,"AAAAADmF9X0=",0)</f>
        <v>0</v>
      </c>
      <c r="DW3" t="b">
        <f>AND(Log!A78,"AAAAADmF9X4=")</f>
        <v>1</v>
      </c>
      <c r="DX3" t="e">
        <f>AND(Log!B78,"AAAAADmF9X8=")</f>
        <v>#VALUE!</v>
      </c>
      <c r="DY3" t="e">
        <f>AND(Log!C78,"AAAAADmF9YA=")</f>
        <v>#VALUE!</v>
      </c>
      <c r="DZ3" t="e">
        <f>AND(Log!D78,"AAAAADmF9YE=")</f>
        <v>#VALUE!</v>
      </c>
      <c r="EA3">
        <f>IF(Log!79:79,"AAAAADmF9YI=",0)</f>
        <v>0</v>
      </c>
      <c r="EB3" t="b">
        <f>AND(Log!A79,"AAAAADmF9YM=")</f>
        <v>1</v>
      </c>
      <c r="EC3" t="e">
        <f>AND(Log!B79,"AAAAADmF9YQ=")</f>
        <v>#VALUE!</v>
      </c>
      <c r="ED3" t="e">
        <f>AND(Log!C79,"AAAAADmF9YU=")</f>
        <v>#VALUE!</v>
      </c>
      <c r="EE3" t="e">
        <f>AND(Log!D79,"AAAAADmF9YY=")</f>
        <v>#VALUE!</v>
      </c>
      <c r="EF3">
        <f>IF(Log!80:80,"AAAAADmF9Yc=",0)</f>
        <v>0</v>
      </c>
      <c r="EG3" t="b">
        <f>AND(Log!A80,"AAAAADmF9Yg=")</f>
        <v>1</v>
      </c>
      <c r="EH3" t="e">
        <f>AND(Log!B80,"AAAAADmF9Yk=")</f>
        <v>#VALUE!</v>
      </c>
      <c r="EI3" t="e">
        <f>AND(Log!C80,"AAAAADmF9Yo=")</f>
        <v>#VALUE!</v>
      </c>
      <c r="EJ3" t="e">
        <f>AND(Log!D80,"AAAAADmF9Ys=")</f>
        <v>#VALUE!</v>
      </c>
      <c r="EK3">
        <f>IF(Log!81:81,"AAAAADmF9Yw=",0)</f>
        <v>0</v>
      </c>
      <c r="EL3" t="b">
        <f>AND(Log!A81,"AAAAADmF9Y0=")</f>
        <v>1</v>
      </c>
      <c r="EM3" t="e">
        <f>AND(Log!B81,"AAAAADmF9Y4=")</f>
        <v>#VALUE!</v>
      </c>
      <c r="EN3" t="e">
        <f>AND(Log!C81,"AAAAADmF9Y8=")</f>
        <v>#VALUE!</v>
      </c>
      <c r="EO3" t="e">
        <f>AND(Log!D81,"AAAAADmF9ZA=")</f>
        <v>#VALUE!</v>
      </c>
      <c r="EP3">
        <f>IF(Log!82:82,"AAAAADmF9ZE=",0)</f>
        <v>0</v>
      </c>
      <c r="EQ3" t="b">
        <f>AND(Log!A82,"AAAAADmF9ZI=")</f>
        <v>1</v>
      </c>
      <c r="ER3" t="e">
        <f>AND(Log!B82,"AAAAADmF9ZM=")</f>
        <v>#VALUE!</v>
      </c>
      <c r="ES3" t="e">
        <f>AND(Log!C82,"AAAAADmF9ZQ=")</f>
        <v>#VALUE!</v>
      </c>
      <c r="ET3" t="e">
        <f>AND(Log!D82,"AAAAADmF9ZU=")</f>
        <v>#VALUE!</v>
      </c>
      <c r="EU3">
        <f>IF(Log!83:83,"AAAAADmF9ZY=",0)</f>
        <v>0</v>
      </c>
      <c r="EV3" t="b">
        <f>AND(Log!A83,"AAAAADmF9Zc=")</f>
        <v>1</v>
      </c>
      <c r="EW3" t="e">
        <f>AND(Log!B83,"AAAAADmF9Zg=")</f>
        <v>#VALUE!</v>
      </c>
      <c r="EX3" t="e">
        <f>AND(Log!C83,"AAAAADmF9Zk=")</f>
        <v>#VALUE!</v>
      </c>
      <c r="EY3" t="e">
        <f>AND(Log!D83,"AAAAADmF9Zo=")</f>
        <v>#VALUE!</v>
      </c>
      <c r="EZ3">
        <f>IF(Log!84:84,"AAAAADmF9Zs=",0)</f>
        <v>0</v>
      </c>
      <c r="FA3" t="b">
        <f>AND(Log!A84,"AAAAADmF9Zw=")</f>
        <v>1</v>
      </c>
      <c r="FB3" t="e">
        <f>AND(Log!B84,"AAAAADmF9Z0=")</f>
        <v>#VALUE!</v>
      </c>
      <c r="FC3" t="e">
        <f>AND(Log!C84,"AAAAADmF9Z4=")</f>
        <v>#VALUE!</v>
      </c>
      <c r="FD3" t="e">
        <f>AND(Log!D84,"AAAAADmF9Z8=")</f>
        <v>#VALUE!</v>
      </c>
      <c r="FE3">
        <f>IF(Log!85:85,"AAAAADmF9aA=",0)</f>
        <v>0</v>
      </c>
      <c r="FF3" t="b">
        <f>AND(Log!A85,"AAAAADmF9aE=")</f>
        <v>1</v>
      </c>
      <c r="FG3" t="e">
        <f>AND(Log!B85,"AAAAADmF9aI=")</f>
        <v>#VALUE!</v>
      </c>
      <c r="FH3" t="e">
        <f>AND(Log!C85,"AAAAADmF9aM=")</f>
        <v>#VALUE!</v>
      </c>
      <c r="FI3" t="e">
        <f>AND(Log!D85,"AAAAADmF9aQ=")</f>
        <v>#VALUE!</v>
      </c>
      <c r="FJ3">
        <f>IF(Log!86:86,"AAAAADmF9aU=",0)</f>
        <v>0</v>
      </c>
      <c r="FK3" t="b">
        <f>AND(Log!A86,"AAAAADmF9aY=")</f>
        <v>1</v>
      </c>
      <c r="FL3" t="e">
        <f>AND(Log!B86,"AAAAADmF9ac=")</f>
        <v>#VALUE!</v>
      </c>
      <c r="FM3" t="e">
        <f>AND(Log!C86,"AAAAADmF9ag=")</f>
        <v>#VALUE!</v>
      </c>
      <c r="FN3" t="e">
        <f>AND(Log!D86,"AAAAADmF9ak=")</f>
        <v>#VALUE!</v>
      </c>
      <c r="FO3">
        <f>IF(Log!87:87,"AAAAADmF9ao=",0)</f>
        <v>0</v>
      </c>
      <c r="FP3" t="b">
        <f>AND(Log!A87,"AAAAADmF9as=")</f>
        <v>1</v>
      </c>
      <c r="FQ3" t="e">
        <f>AND(Log!B87,"AAAAADmF9aw=")</f>
        <v>#VALUE!</v>
      </c>
      <c r="FR3" t="e">
        <f>AND(Log!C87,"AAAAADmF9a0=")</f>
        <v>#VALUE!</v>
      </c>
      <c r="FS3" t="e">
        <f>AND(Log!D87,"AAAAADmF9a4=")</f>
        <v>#VALUE!</v>
      </c>
      <c r="FT3">
        <f>IF(Log!88:88,"AAAAADmF9a8=",0)</f>
        <v>0</v>
      </c>
      <c r="FU3" t="b">
        <f>AND(Log!A88,"AAAAADmF9bA=")</f>
        <v>1</v>
      </c>
      <c r="FV3" t="e">
        <f>AND(Log!B88,"AAAAADmF9bE=")</f>
        <v>#VALUE!</v>
      </c>
      <c r="FW3" t="e">
        <f>AND(Log!C88,"AAAAADmF9bI=")</f>
        <v>#VALUE!</v>
      </c>
      <c r="FX3" t="e">
        <f>AND(Log!D88,"AAAAADmF9bM=")</f>
        <v>#VALUE!</v>
      </c>
      <c r="FY3">
        <f>IF(Log!89:89,"AAAAADmF9bQ=",0)</f>
        <v>0</v>
      </c>
      <c r="FZ3" t="b">
        <f>AND(Log!A89,"AAAAADmF9bU=")</f>
        <v>1</v>
      </c>
      <c r="GA3" t="e">
        <f>AND(Log!B89,"AAAAADmF9bY=")</f>
        <v>#VALUE!</v>
      </c>
      <c r="GB3" t="e">
        <f>AND(Log!C89,"AAAAADmF9bc=")</f>
        <v>#VALUE!</v>
      </c>
      <c r="GC3" t="e">
        <f>AND(Log!D89,"AAAAADmF9bg=")</f>
        <v>#VALUE!</v>
      </c>
      <c r="GD3">
        <f>IF(Log!90:90,"AAAAADmF9bk=",0)</f>
        <v>0</v>
      </c>
      <c r="GE3" t="b">
        <f>AND(Log!A90,"AAAAADmF9bo=")</f>
        <v>1</v>
      </c>
      <c r="GF3" t="e">
        <f>AND(Log!B90,"AAAAADmF9bs=")</f>
        <v>#VALUE!</v>
      </c>
      <c r="GG3" t="e">
        <f>AND(Log!C90,"AAAAADmF9bw=")</f>
        <v>#VALUE!</v>
      </c>
      <c r="GH3" t="e">
        <f>AND(Log!D90,"AAAAADmF9b0=")</f>
        <v>#VALUE!</v>
      </c>
      <c r="GI3">
        <f>IF(Log!91:91,"AAAAADmF9b4=",0)</f>
        <v>0</v>
      </c>
      <c r="GJ3" t="b">
        <f>AND(Log!A91,"AAAAADmF9b8=")</f>
        <v>1</v>
      </c>
      <c r="GK3" t="e">
        <f>AND(Log!B91,"AAAAADmF9cA=")</f>
        <v>#VALUE!</v>
      </c>
      <c r="GL3" t="e">
        <f>AND(Log!C91,"AAAAADmF9cE=")</f>
        <v>#VALUE!</v>
      </c>
      <c r="GM3" t="e">
        <f>AND(Log!D91,"AAAAADmF9cI=")</f>
        <v>#VALUE!</v>
      </c>
      <c r="GN3">
        <f>IF(Log!92:92,"AAAAADmF9cM=",0)</f>
        <v>0</v>
      </c>
      <c r="GO3" t="b">
        <f>AND(Log!A92,"AAAAADmF9cQ=")</f>
        <v>1</v>
      </c>
      <c r="GP3" t="e">
        <f>AND(Log!B92,"AAAAADmF9cU=")</f>
        <v>#VALUE!</v>
      </c>
      <c r="GQ3" t="e">
        <f>AND(Log!C92,"AAAAADmF9cY=")</f>
        <v>#VALUE!</v>
      </c>
      <c r="GR3" t="e">
        <f>AND(Log!D92,"AAAAADmF9cc=")</f>
        <v>#VALUE!</v>
      </c>
      <c r="GS3">
        <f>IF(Log!93:93,"AAAAADmF9cg=",0)</f>
        <v>0</v>
      </c>
      <c r="GT3" t="b">
        <f>AND(Log!A93,"AAAAADmF9ck=")</f>
        <v>1</v>
      </c>
      <c r="GU3" t="e">
        <f>AND(Log!B93,"AAAAADmF9co=")</f>
        <v>#VALUE!</v>
      </c>
      <c r="GV3" t="e">
        <f>AND(Log!C93,"AAAAADmF9cs=")</f>
        <v>#VALUE!</v>
      </c>
      <c r="GW3" t="e">
        <f>AND(Log!D93,"AAAAADmF9cw=")</f>
        <v>#VALUE!</v>
      </c>
      <c r="GX3">
        <f>IF(Log!94:94,"AAAAADmF9c0=",0)</f>
        <v>0</v>
      </c>
      <c r="GY3" t="b">
        <f>AND(Log!A94,"AAAAADmF9c4=")</f>
        <v>1</v>
      </c>
      <c r="GZ3" t="e">
        <f>AND(Log!B94,"AAAAADmF9c8=")</f>
        <v>#VALUE!</v>
      </c>
      <c r="HA3" t="e">
        <f>AND(Log!C94,"AAAAADmF9dA=")</f>
        <v>#VALUE!</v>
      </c>
      <c r="HB3" t="e">
        <f>AND(Log!D94,"AAAAADmF9dE=")</f>
        <v>#VALUE!</v>
      </c>
      <c r="HC3">
        <f>IF(Log!95:95,"AAAAADmF9dI=",0)</f>
        <v>0</v>
      </c>
      <c r="HD3" t="b">
        <f>AND(Log!A95,"AAAAADmF9dM=")</f>
        <v>1</v>
      </c>
      <c r="HE3" t="e">
        <f>AND(Log!B95,"AAAAADmF9dQ=")</f>
        <v>#VALUE!</v>
      </c>
      <c r="HF3" t="e">
        <f>AND(Log!C95,"AAAAADmF9dU=")</f>
        <v>#VALUE!</v>
      </c>
      <c r="HG3" t="e">
        <f>AND(Log!D95,"AAAAADmF9dY=")</f>
        <v>#VALUE!</v>
      </c>
      <c r="HH3">
        <f>IF(Log!96:96,"AAAAADmF9dc=",0)</f>
        <v>0</v>
      </c>
      <c r="HI3" t="b">
        <f>AND(Log!A96,"AAAAADmF9dg=")</f>
        <v>1</v>
      </c>
      <c r="HJ3" t="e">
        <f>AND(Log!B96,"AAAAADmF9dk=")</f>
        <v>#VALUE!</v>
      </c>
      <c r="HK3" t="e">
        <f>AND(Log!C96,"AAAAADmF9do=")</f>
        <v>#VALUE!</v>
      </c>
      <c r="HL3" t="e">
        <f>AND(Log!D96,"AAAAADmF9ds=")</f>
        <v>#VALUE!</v>
      </c>
      <c r="HM3">
        <f>IF(Log!97:97,"AAAAADmF9dw=",0)</f>
        <v>0</v>
      </c>
      <c r="HN3" t="b">
        <f>AND(Log!A97,"AAAAADmF9d0=")</f>
        <v>1</v>
      </c>
      <c r="HO3" t="e">
        <f>AND(Log!B97,"AAAAADmF9d4=")</f>
        <v>#VALUE!</v>
      </c>
      <c r="HP3" t="e">
        <f>AND(Log!C97,"AAAAADmF9d8=")</f>
        <v>#VALUE!</v>
      </c>
      <c r="HQ3" t="e">
        <f>AND(Log!D97,"AAAAADmF9eA=")</f>
        <v>#VALUE!</v>
      </c>
      <c r="HR3">
        <f>IF(Log!98:98,"AAAAADmF9eE=",0)</f>
        <v>0</v>
      </c>
      <c r="HS3" t="b">
        <f>AND(Log!A98,"AAAAADmF9eI=")</f>
        <v>1</v>
      </c>
      <c r="HT3" t="e">
        <f>AND(Log!B98,"AAAAADmF9eM=")</f>
        <v>#VALUE!</v>
      </c>
      <c r="HU3" t="e">
        <f>AND(Log!C98,"AAAAADmF9eQ=")</f>
        <v>#VALUE!</v>
      </c>
      <c r="HV3" t="e">
        <f>AND(Log!D98,"AAAAADmF9eU=")</f>
        <v>#VALUE!</v>
      </c>
      <c r="HW3">
        <f>IF(Log!99:99,"AAAAADmF9eY=",0)</f>
        <v>0</v>
      </c>
      <c r="HX3" t="b">
        <f>AND(Log!A99,"AAAAADmF9ec=")</f>
        <v>1</v>
      </c>
      <c r="HY3" t="e">
        <f>AND(Log!B99,"AAAAADmF9eg=")</f>
        <v>#VALUE!</v>
      </c>
      <c r="HZ3" t="e">
        <f>AND(Log!C99,"AAAAADmF9ek=")</f>
        <v>#VALUE!</v>
      </c>
      <c r="IA3" t="e">
        <f>AND(Log!D99,"AAAAADmF9eo=")</f>
        <v>#VALUE!</v>
      </c>
      <c r="IB3">
        <f>IF(Log!100:100,"AAAAADmF9es=",0)</f>
        <v>0</v>
      </c>
      <c r="IC3" t="b">
        <f>AND(Log!A100,"AAAAADmF9ew=")</f>
        <v>1</v>
      </c>
      <c r="ID3" t="e">
        <f>AND(Log!B100,"AAAAADmF9e0=")</f>
        <v>#VALUE!</v>
      </c>
      <c r="IE3" t="e">
        <f>AND(Log!C100,"AAAAADmF9e4=")</f>
        <v>#VALUE!</v>
      </c>
      <c r="IF3" t="e">
        <f>AND(Log!D100,"AAAAADmF9e8=")</f>
        <v>#VALUE!</v>
      </c>
      <c r="IG3">
        <f>IF(Log!101:101,"AAAAADmF9fA=",0)</f>
        <v>0</v>
      </c>
      <c r="IH3" t="b">
        <f>AND(Log!A101,"AAAAADmF9fE=")</f>
        <v>1</v>
      </c>
      <c r="II3" t="e">
        <f>AND(Log!B101,"AAAAADmF9fI=")</f>
        <v>#VALUE!</v>
      </c>
      <c r="IJ3" t="e">
        <f>AND(Log!C101,"AAAAADmF9fM=")</f>
        <v>#VALUE!</v>
      </c>
      <c r="IK3" t="e">
        <f>AND(Log!D101,"AAAAADmF9fQ=")</f>
        <v>#VALUE!</v>
      </c>
      <c r="IL3">
        <f>IF(Log!102:102,"AAAAADmF9fU=",0)</f>
        <v>0</v>
      </c>
      <c r="IM3" t="b">
        <f>AND(Log!A102,"AAAAADmF9fY=")</f>
        <v>1</v>
      </c>
      <c r="IN3" t="e">
        <f>AND(Log!B102,"AAAAADmF9fc=")</f>
        <v>#VALUE!</v>
      </c>
      <c r="IO3" t="e">
        <f>AND(Log!C102,"AAAAADmF9fg=")</f>
        <v>#VALUE!</v>
      </c>
      <c r="IP3" t="e">
        <f>AND(Log!D102,"AAAAADmF9fk=")</f>
        <v>#VALUE!</v>
      </c>
      <c r="IQ3">
        <f>IF(Log!103:103,"AAAAADmF9fo=",0)</f>
        <v>0</v>
      </c>
      <c r="IR3" t="b">
        <f>AND(Log!A103,"AAAAADmF9fs=")</f>
        <v>1</v>
      </c>
      <c r="IS3" t="e">
        <f>AND(Log!B103,"AAAAADmF9fw=")</f>
        <v>#VALUE!</v>
      </c>
      <c r="IT3" t="e">
        <f>AND(Log!C103,"AAAAADmF9f0=")</f>
        <v>#VALUE!</v>
      </c>
      <c r="IU3" t="e">
        <f>AND(Log!D103,"AAAAADmF9f4=")</f>
        <v>#VALUE!</v>
      </c>
      <c r="IV3">
        <f>IF(Log!104:104,"AAAAADmF9f8=",0)</f>
        <v>0</v>
      </c>
    </row>
    <row r="4" spans="1:256" x14ac:dyDescent="0.25">
      <c r="A4" t="b">
        <f>AND(Log!A104,"AAAAAF8cngA=")</f>
        <v>1</v>
      </c>
      <c r="B4" t="e">
        <f>AND(Log!B104,"AAAAAF8cngE=")</f>
        <v>#VALUE!</v>
      </c>
      <c r="C4" t="e">
        <f>AND(Log!C104,"AAAAAF8cngI=")</f>
        <v>#VALUE!</v>
      </c>
      <c r="D4" t="e">
        <f>AND(Log!D104,"AAAAAF8cngM=")</f>
        <v>#VALUE!</v>
      </c>
      <c r="E4">
        <f>IF(Log!105:105,"AAAAAF8cngQ=",0)</f>
        <v>0</v>
      </c>
      <c r="F4" t="b">
        <f>AND(Log!A105,"AAAAAF8cngU=")</f>
        <v>1</v>
      </c>
      <c r="G4" t="e">
        <f>AND(Log!B105,"AAAAAF8cngY=")</f>
        <v>#VALUE!</v>
      </c>
      <c r="H4" t="e">
        <f>AND(Log!C105,"AAAAAF8cngc=")</f>
        <v>#VALUE!</v>
      </c>
      <c r="I4" t="e">
        <f>AND(Log!D105,"AAAAAF8cngg=")</f>
        <v>#VALUE!</v>
      </c>
      <c r="J4">
        <f>IF(Log!106:106,"AAAAAF8cngk=",0)</f>
        <v>0</v>
      </c>
      <c r="K4" t="b">
        <f>AND(Log!A106,"AAAAAF8cngo=")</f>
        <v>1</v>
      </c>
      <c r="L4" t="e">
        <f>AND(Log!B106,"AAAAAF8cngs=")</f>
        <v>#VALUE!</v>
      </c>
      <c r="M4" t="e">
        <f>AND(Log!C106,"AAAAAF8cngw=")</f>
        <v>#VALUE!</v>
      </c>
      <c r="N4" t="e">
        <f>AND(Log!D106,"AAAAAF8cng0=")</f>
        <v>#VALUE!</v>
      </c>
      <c r="O4">
        <f>IF(Log!107:107,"AAAAAF8cng4=",0)</f>
        <v>0</v>
      </c>
      <c r="P4" t="b">
        <f>AND(Log!A107,"AAAAAF8cng8=")</f>
        <v>1</v>
      </c>
      <c r="Q4" t="e">
        <f>AND(Log!B107,"AAAAAF8cnhA=")</f>
        <v>#VALUE!</v>
      </c>
      <c r="R4" t="e">
        <f>AND(Log!C107,"AAAAAF8cnhE=")</f>
        <v>#VALUE!</v>
      </c>
      <c r="S4" t="e">
        <f>AND(Log!D107,"AAAAAF8cnhI=")</f>
        <v>#VALUE!</v>
      </c>
      <c r="T4">
        <f>IF(Log!108:108,"AAAAAF8cnhM=",0)</f>
        <v>0</v>
      </c>
      <c r="U4" t="b">
        <f>AND(Log!A108,"AAAAAF8cnhQ=")</f>
        <v>1</v>
      </c>
      <c r="V4" t="e">
        <f>AND(Log!B108,"AAAAAF8cnhU=")</f>
        <v>#VALUE!</v>
      </c>
      <c r="W4" t="e">
        <f>AND(Log!C108,"AAAAAF8cnhY=")</f>
        <v>#VALUE!</v>
      </c>
      <c r="X4" t="e">
        <f>AND(Log!D108,"AAAAAF8cnhc=")</f>
        <v>#VALUE!</v>
      </c>
      <c r="Y4">
        <f>IF(Log!109:109,"AAAAAF8cnhg=",0)</f>
        <v>0</v>
      </c>
      <c r="Z4" t="b">
        <f>AND(Log!A109,"AAAAAF8cnhk=")</f>
        <v>1</v>
      </c>
      <c r="AA4" t="e">
        <f>AND(Log!B109,"AAAAAF8cnho=")</f>
        <v>#VALUE!</v>
      </c>
      <c r="AB4" t="e">
        <f>AND(Log!C109,"AAAAAF8cnhs=")</f>
        <v>#VALUE!</v>
      </c>
      <c r="AC4" t="e">
        <f>AND(Log!D109,"AAAAAF8cnhw=")</f>
        <v>#VALUE!</v>
      </c>
      <c r="AD4">
        <f>IF(Log!110:110,"AAAAAF8cnh0=",0)</f>
        <v>0</v>
      </c>
      <c r="AE4" t="b">
        <f>AND(Log!A110,"AAAAAF8cnh4=")</f>
        <v>1</v>
      </c>
      <c r="AF4" t="e">
        <f>AND(Log!B110,"AAAAAF8cnh8=")</f>
        <v>#VALUE!</v>
      </c>
      <c r="AG4" t="e">
        <f>AND(Log!C110,"AAAAAF8cniA=")</f>
        <v>#VALUE!</v>
      </c>
      <c r="AH4" t="e">
        <f>AND(Log!D110,"AAAAAF8cniE=")</f>
        <v>#VALUE!</v>
      </c>
      <c r="AI4">
        <f>IF(Log!111:111,"AAAAAF8cniI=",0)</f>
        <v>0</v>
      </c>
      <c r="AJ4" t="b">
        <f>AND(Log!A111,"AAAAAF8cniM=")</f>
        <v>1</v>
      </c>
      <c r="AK4" t="e">
        <f>AND(Log!B111,"AAAAAF8cniQ=")</f>
        <v>#VALUE!</v>
      </c>
      <c r="AL4" t="e">
        <f>AND(Log!C111,"AAAAAF8cniU=")</f>
        <v>#VALUE!</v>
      </c>
      <c r="AM4" t="e">
        <f>AND(Log!D111,"AAAAAF8cniY=")</f>
        <v>#VALUE!</v>
      </c>
      <c r="AN4">
        <f>IF(Log!112:112,"AAAAAF8cnic=",0)</f>
        <v>0</v>
      </c>
      <c r="AO4" t="b">
        <f>AND(Log!A112,"AAAAAF8cnig=")</f>
        <v>1</v>
      </c>
      <c r="AP4" t="e">
        <f>AND(Log!B112,"AAAAAF8cnik=")</f>
        <v>#VALUE!</v>
      </c>
      <c r="AQ4" t="e">
        <f>AND(Log!C112,"AAAAAF8cnio=")</f>
        <v>#VALUE!</v>
      </c>
      <c r="AR4" t="e">
        <f>AND(Log!D112,"AAAAAF8cnis=")</f>
        <v>#VALUE!</v>
      </c>
      <c r="AS4">
        <f>IF(Log!113:113,"AAAAAF8cniw=",0)</f>
        <v>0</v>
      </c>
      <c r="AT4" t="b">
        <f>AND(Log!A113,"AAAAAF8cni0=")</f>
        <v>1</v>
      </c>
      <c r="AU4" t="e">
        <f>AND(Log!B113,"AAAAAF8cni4=")</f>
        <v>#VALUE!</v>
      </c>
      <c r="AV4" t="e">
        <f>AND(Log!C113,"AAAAAF8cni8=")</f>
        <v>#VALUE!</v>
      </c>
      <c r="AW4" t="e">
        <f>AND(Log!D113,"AAAAAF8cnjA=")</f>
        <v>#VALUE!</v>
      </c>
      <c r="AX4">
        <f>IF(Log!114:114,"AAAAAF8cnjE=",0)</f>
        <v>0</v>
      </c>
      <c r="AY4" t="b">
        <f>AND(Log!A114,"AAAAAF8cnjI=")</f>
        <v>1</v>
      </c>
      <c r="AZ4" t="e">
        <f>AND(Log!B114,"AAAAAF8cnjM=")</f>
        <v>#VALUE!</v>
      </c>
      <c r="BA4" t="e">
        <f>AND(Log!C114,"AAAAAF8cnjQ=")</f>
        <v>#VALUE!</v>
      </c>
      <c r="BB4" t="e">
        <f>AND(Log!D114,"AAAAAF8cnjU=")</f>
        <v>#VALUE!</v>
      </c>
      <c r="BC4">
        <f>IF(Log!115:115,"AAAAAF8cnjY=",0)</f>
        <v>0</v>
      </c>
      <c r="BD4" t="b">
        <f>AND(Log!A115,"AAAAAF8cnjc=")</f>
        <v>1</v>
      </c>
      <c r="BE4" t="e">
        <f>AND(Log!B115,"AAAAAF8cnjg=")</f>
        <v>#VALUE!</v>
      </c>
      <c r="BF4" t="e">
        <f>AND(Log!C115,"AAAAAF8cnjk=")</f>
        <v>#VALUE!</v>
      </c>
      <c r="BG4" t="e">
        <f>AND(Log!D115,"AAAAAF8cnjo=")</f>
        <v>#VALUE!</v>
      </c>
      <c r="BH4">
        <f>IF(Log!116:116,"AAAAAF8cnjs=",0)</f>
        <v>0</v>
      </c>
      <c r="BI4" t="b">
        <f>AND(Log!A116,"AAAAAF8cnjw=")</f>
        <v>1</v>
      </c>
      <c r="BJ4" t="e">
        <f>AND(Log!B116,"AAAAAF8cnj0=")</f>
        <v>#VALUE!</v>
      </c>
      <c r="BK4" t="e">
        <f>AND(Log!C116,"AAAAAF8cnj4=")</f>
        <v>#VALUE!</v>
      </c>
      <c r="BL4" t="e">
        <f>AND(Log!D116,"AAAAAF8cnj8=")</f>
        <v>#VALUE!</v>
      </c>
      <c r="BM4">
        <f>IF(Log!117:117,"AAAAAF8cnkA=",0)</f>
        <v>0</v>
      </c>
      <c r="BN4" t="b">
        <f>AND(Log!A117,"AAAAAF8cnkE=")</f>
        <v>1</v>
      </c>
      <c r="BO4" t="e">
        <f>AND(Log!B117,"AAAAAF8cnkI=")</f>
        <v>#VALUE!</v>
      </c>
      <c r="BP4" t="e">
        <f>AND(Log!C117,"AAAAAF8cnkM=")</f>
        <v>#VALUE!</v>
      </c>
      <c r="BQ4" t="e">
        <f>AND(Log!D117,"AAAAAF8cnkQ=")</f>
        <v>#VALUE!</v>
      </c>
      <c r="BR4">
        <f>IF(Log!118:118,"AAAAAF8cnkU=",0)</f>
        <v>0</v>
      </c>
      <c r="BS4" t="b">
        <f>AND(Log!A118,"AAAAAF8cnkY=")</f>
        <v>1</v>
      </c>
      <c r="BT4" t="e">
        <f>AND(Log!B118,"AAAAAF8cnkc=")</f>
        <v>#VALUE!</v>
      </c>
      <c r="BU4" t="e">
        <f>AND(Log!C118,"AAAAAF8cnkg=")</f>
        <v>#VALUE!</v>
      </c>
      <c r="BV4" t="e">
        <f>AND(Log!D118,"AAAAAF8cnkk=")</f>
        <v>#VALUE!</v>
      </c>
      <c r="BW4">
        <f>IF(Log!119:119,"AAAAAF8cnko=",0)</f>
        <v>0</v>
      </c>
      <c r="BX4" t="b">
        <f>AND(Log!A119,"AAAAAF8cnks=")</f>
        <v>1</v>
      </c>
      <c r="BY4" t="e">
        <f>AND(Log!B119,"AAAAAF8cnkw=")</f>
        <v>#VALUE!</v>
      </c>
      <c r="BZ4" t="e">
        <f>AND(Log!C119,"AAAAAF8cnk0=")</f>
        <v>#VALUE!</v>
      </c>
      <c r="CA4" t="e">
        <f>AND(Log!D119,"AAAAAF8cnk4=")</f>
        <v>#VALUE!</v>
      </c>
      <c r="CB4">
        <f>IF(Log!120:120,"AAAAAF8cnk8=",0)</f>
        <v>0</v>
      </c>
      <c r="CC4" t="b">
        <f>AND(Log!A120,"AAAAAF8cnlA=")</f>
        <v>1</v>
      </c>
      <c r="CD4" t="e">
        <f>AND(Log!B120,"AAAAAF8cnlE=")</f>
        <v>#VALUE!</v>
      </c>
      <c r="CE4" t="e">
        <f>AND(Log!C120,"AAAAAF8cnlI=")</f>
        <v>#VALUE!</v>
      </c>
      <c r="CF4" t="e">
        <f>AND(Log!D120,"AAAAAF8cnlM=")</f>
        <v>#VALUE!</v>
      </c>
      <c r="CG4">
        <f>IF(Log!121:121,"AAAAAF8cnlQ=",0)</f>
        <v>0</v>
      </c>
      <c r="CH4" t="b">
        <f>AND(Log!A121,"AAAAAF8cnlU=")</f>
        <v>1</v>
      </c>
      <c r="CI4" t="e">
        <f>AND(Log!B121,"AAAAAF8cnlY=")</f>
        <v>#VALUE!</v>
      </c>
      <c r="CJ4" t="e">
        <f>AND(Log!C121,"AAAAAF8cnlc=")</f>
        <v>#VALUE!</v>
      </c>
      <c r="CK4" t="e">
        <f>AND(Log!D121,"AAAAAF8cnlg=")</f>
        <v>#VALUE!</v>
      </c>
      <c r="CL4">
        <f>IF(Log!122:122,"AAAAAF8cnlk=",0)</f>
        <v>0</v>
      </c>
      <c r="CM4" t="b">
        <f>AND(Log!A122,"AAAAAF8cnlo=")</f>
        <v>1</v>
      </c>
      <c r="CN4" t="e">
        <f>AND(Log!B122,"AAAAAF8cnls=")</f>
        <v>#VALUE!</v>
      </c>
      <c r="CO4" t="e">
        <f>AND(Log!C122,"AAAAAF8cnlw=")</f>
        <v>#VALUE!</v>
      </c>
      <c r="CP4" t="e">
        <f>AND(Log!D122,"AAAAAF8cnl0=")</f>
        <v>#VALUE!</v>
      </c>
      <c r="CQ4">
        <f>IF(Log!123:123,"AAAAAF8cnl4=",0)</f>
        <v>0</v>
      </c>
      <c r="CR4" t="b">
        <f>AND(Log!A123,"AAAAAF8cnl8=")</f>
        <v>1</v>
      </c>
      <c r="CS4" t="e">
        <f>AND(Log!B123,"AAAAAF8cnmA=")</f>
        <v>#VALUE!</v>
      </c>
      <c r="CT4" t="e">
        <f>AND(Log!C123,"AAAAAF8cnmE=")</f>
        <v>#VALUE!</v>
      </c>
      <c r="CU4" t="e">
        <f>AND(Log!D123,"AAAAAF8cnmI=")</f>
        <v>#VALUE!</v>
      </c>
      <c r="CV4">
        <f>IF(Log!124:124,"AAAAAF8cnmM=",0)</f>
        <v>0</v>
      </c>
      <c r="CW4" t="b">
        <f>AND(Log!A124,"AAAAAF8cnmQ=")</f>
        <v>1</v>
      </c>
      <c r="CX4" t="e">
        <f>AND(Log!B124,"AAAAAF8cnmU=")</f>
        <v>#VALUE!</v>
      </c>
      <c r="CY4" t="e">
        <f>AND(Log!C124,"AAAAAF8cnmY=")</f>
        <v>#VALUE!</v>
      </c>
      <c r="CZ4" t="e">
        <f>AND(Log!D124,"AAAAAF8cnmc=")</f>
        <v>#VALUE!</v>
      </c>
      <c r="DA4">
        <f>IF(Log!125:125,"AAAAAF8cnmg=",0)</f>
        <v>0</v>
      </c>
      <c r="DB4" t="b">
        <f>AND(Log!A125,"AAAAAF8cnmk=")</f>
        <v>1</v>
      </c>
      <c r="DC4" t="e">
        <f>AND(Log!B125,"AAAAAF8cnmo=")</f>
        <v>#VALUE!</v>
      </c>
      <c r="DD4" t="e">
        <f>AND(Log!C125,"AAAAAF8cnms=")</f>
        <v>#VALUE!</v>
      </c>
      <c r="DE4" t="e">
        <f>AND(Log!D125,"AAAAAF8cnmw=")</f>
        <v>#VALUE!</v>
      </c>
      <c r="DF4">
        <f>IF(Log!126:126,"AAAAAF8cnm0=",0)</f>
        <v>0</v>
      </c>
      <c r="DG4" t="b">
        <f>AND(Log!A126,"AAAAAF8cnm4=")</f>
        <v>1</v>
      </c>
      <c r="DH4" t="e">
        <f>AND(Log!B126,"AAAAAF8cnm8=")</f>
        <v>#VALUE!</v>
      </c>
      <c r="DI4" t="e">
        <f>AND(Log!C126,"AAAAAF8cnnA=")</f>
        <v>#VALUE!</v>
      </c>
      <c r="DJ4" t="e">
        <f>AND(Log!D126,"AAAAAF8cnnE=")</f>
        <v>#VALUE!</v>
      </c>
      <c r="DK4">
        <f>IF(Log!127:127,"AAAAAF8cnnI=",0)</f>
        <v>0</v>
      </c>
      <c r="DL4" t="b">
        <f>AND(Log!A127,"AAAAAF8cnnM=")</f>
        <v>1</v>
      </c>
      <c r="DM4" t="e">
        <f>AND(Log!B127,"AAAAAF8cnnQ=")</f>
        <v>#VALUE!</v>
      </c>
      <c r="DN4" t="e">
        <f>AND(Log!C127,"AAAAAF8cnnU=")</f>
        <v>#VALUE!</v>
      </c>
      <c r="DO4" t="e">
        <f>AND(Log!D127,"AAAAAF8cnnY=")</f>
        <v>#VALUE!</v>
      </c>
      <c r="DP4">
        <f>IF(Log!128:128,"AAAAAF8cnnc=",0)</f>
        <v>0</v>
      </c>
      <c r="DQ4" t="b">
        <f>AND(Log!A128,"AAAAAF8cnng=")</f>
        <v>1</v>
      </c>
      <c r="DR4" t="e">
        <f>AND(Log!B128,"AAAAAF8cnnk=")</f>
        <v>#VALUE!</v>
      </c>
      <c r="DS4" t="e">
        <f>AND(Log!C128,"AAAAAF8cnno=")</f>
        <v>#VALUE!</v>
      </c>
      <c r="DT4" t="e">
        <f>AND(Log!D128,"AAAAAF8cnns=")</f>
        <v>#VALUE!</v>
      </c>
      <c r="DU4">
        <f>IF(Log!129:129,"AAAAAF8cnnw=",0)</f>
        <v>0</v>
      </c>
      <c r="DV4" t="b">
        <f>AND(Log!A129,"AAAAAF8cnn0=")</f>
        <v>1</v>
      </c>
      <c r="DW4" t="e">
        <f>AND(Log!B129,"AAAAAF8cnn4=")</f>
        <v>#VALUE!</v>
      </c>
      <c r="DX4" t="e">
        <f>AND(Log!C129,"AAAAAF8cnn8=")</f>
        <v>#VALUE!</v>
      </c>
      <c r="DY4" t="e">
        <f>AND(Log!D129,"AAAAAF8cnoA=")</f>
        <v>#VALUE!</v>
      </c>
      <c r="DZ4">
        <f>IF(Log!130:130,"AAAAAF8cnoE=",0)</f>
        <v>0</v>
      </c>
      <c r="EA4" t="b">
        <f>AND(Log!A130,"AAAAAF8cnoI=")</f>
        <v>1</v>
      </c>
      <c r="EB4" t="e">
        <f>AND(Log!B130,"AAAAAF8cnoM=")</f>
        <v>#VALUE!</v>
      </c>
      <c r="EC4" t="e">
        <f>AND(Log!C130,"AAAAAF8cnoQ=")</f>
        <v>#VALUE!</v>
      </c>
      <c r="ED4" t="e">
        <f>AND(Log!D130,"AAAAAF8cnoU=")</f>
        <v>#VALUE!</v>
      </c>
      <c r="EE4">
        <f>IF(Log!131:131,"AAAAAF8cnoY=",0)</f>
        <v>0</v>
      </c>
      <c r="EF4" t="b">
        <f>AND(Log!A131,"AAAAAF8cnoc=")</f>
        <v>1</v>
      </c>
      <c r="EG4" t="e">
        <f>AND(Log!B131,"AAAAAF8cnog=")</f>
        <v>#VALUE!</v>
      </c>
      <c r="EH4" t="e">
        <f>AND(Log!C131,"AAAAAF8cnok=")</f>
        <v>#VALUE!</v>
      </c>
      <c r="EI4" t="e">
        <f>AND(Log!D131,"AAAAAF8cnoo=")</f>
        <v>#VALUE!</v>
      </c>
      <c r="EJ4">
        <f>IF(Log!132:132,"AAAAAF8cnos=",0)</f>
        <v>0</v>
      </c>
      <c r="EK4" t="b">
        <f>AND(Log!A132,"AAAAAF8cnow=")</f>
        <v>1</v>
      </c>
      <c r="EL4" t="e">
        <f>AND(Log!B132,"AAAAAF8cno0=")</f>
        <v>#VALUE!</v>
      </c>
      <c r="EM4" t="e">
        <f>AND(Log!C132,"AAAAAF8cno4=")</f>
        <v>#VALUE!</v>
      </c>
      <c r="EN4" t="e">
        <f>AND(Log!D132,"AAAAAF8cno8=")</f>
        <v>#VALUE!</v>
      </c>
      <c r="EO4">
        <f>IF(Log!133:133,"AAAAAF8cnpA=",0)</f>
        <v>0</v>
      </c>
      <c r="EP4" t="b">
        <f>AND(Log!A133,"AAAAAF8cnpE=")</f>
        <v>1</v>
      </c>
      <c r="EQ4" t="e">
        <f>AND(Log!B133,"AAAAAF8cnpI=")</f>
        <v>#VALUE!</v>
      </c>
      <c r="ER4" t="e">
        <f>AND(Log!C133,"AAAAAF8cnpM=")</f>
        <v>#VALUE!</v>
      </c>
      <c r="ES4" t="e">
        <f>AND(Log!D133,"AAAAAF8cnpQ=")</f>
        <v>#VALUE!</v>
      </c>
      <c r="ET4">
        <f>IF(Log!134:134,"AAAAAF8cnpU=",0)</f>
        <v>0</v>
      </c>
      <c r="EU4" t="b">
        <f>AND(Log!A134,"AAAAAF8cnpY=")</f>
        <v>1</v>
      </c>
      <c r="EV4" t="e">
        <f>AND(Log!B134,"AAAAAF8cnpc=")</f>
        <v>#VALUE!</v>
      </c>
      <c r="EW4" t="e">
        <f>AND(Log!C134,"AAAAAF8cnpg=")</f>
        <v>#VALUE!</v>
      </c>
      <c r="EX4" t="e">
        <f>AND(Log!D134,"AAAAAF8cnpk=")</f>
        <v>#VALUE!</v>
      </c>
      <c r="EY4">
        <f>IF(Log!135:135,"AAAAAF8cnpo=",0)</f>
        <v>0</v>
      </c>
      <c r="EZ4" t="b">
        <f>AND(Log!A135,"AAAAAF8cnps=")</f>
        <v>1</v>
      </c>
      <c r="FA4" t="e">
        <f>AND(Log!B135,"AAAAAF8cnpw=")</f>
        <v>#VALUE!</v>
      </c>
      <c r="FB4" t="e">
        <f>AND(Log!C135,"AAAAAF8cnp0=")</f>
        <v>#VALUE!</v>
      </c>
      <c r="FC4" t="e">
        <f>AND(Log!D135,"AAAAAF8cnp4=")</f>
        <v>#VALUE!</v>
      </c>
      <c r="FD4">
        <f>IF(Log!136:136,"AAAAAF8cnp8=",0)</f>
        <v>0</v>
      </c>
      <c r="FE4" t="b">
        <f>AND(Log!A136,"AAAAAF8cnqA=")</f>
        <v>1</v>
      </c>
      <c r="FF4" t="e">
        <f>AND(Log!B136,"AAAAAF8cnqE=")</f>
        <v>#VALUE!</v>
      </c>
      <c r="FG4" t="e">
        <f>AND(Log!C136,"AAAAAF8cnqI=")</f>
        <v>#VALUE!</v>
      </c>
      <c r="FH4" t="e">
        <f>AND(Log!D136,"AAAAAF8cnqM=")</f>
        <v>#VALUE!</v>
      </c>
      <c r="FI4">
        <f>IF(Log!137:137,"AAAAAF8cnqQ=",0)</f>
        <v>0</v>
      </c>
      <c r="FJ4" t="b">
        <f>AND(Log!A137,"AAAAAF8cnqU=")</f>
        <v>1</v>
      </c>
      <c r="FK4" t="e">
        <f>AND(Log!B137,"AAAAAF8cnqY=")</f>
        <v>#VALUE!</v>
      </c>
      <c r="FL4" t="e">
        <f>AND(Log!C137,"AAAAAF8cnqc=")</f>
        <v>#VALUE!</v>
      </c>
      <c r="FM4" t="e">
        <f>AND(Log!D137,"AAAAAF8cnqg=")</f>
        <v>#VALUE!</v>
      </c>
      <c r="FN4">
        <f>IF(Log!138:138,"AAAAAF8cnqk=",0)</f>
        <v>0</v>
      </c>
      <c r="FO4" t="b">
        <f>AND(Log!A138,"AAAAAF8cnqo=")</f>
        <v>1</v>
      </c>
      <c r="FP4" t="e">
        <f>AND(Log!B138,"AAAAAF8cnqs=")</f>
        <v>#VALUE!</v>
      </c>
      <c r="FQ4" t="e">
        <f>AND(Log!C138,"AAAAAF8cnqw=")</f>
        <v>#VALUE!</v>
      </c>
      <c r="FR4" t="e">
        <f>AND(Log!D138,"AAAAAF8cnq0=")</f>
        <v>#VALUE!</v>
      </c>
      <c r="FS4">
        <f>IF(Log!139:139,"AAAAAF8cnq4=",0)</f>
        <v>0</v>
      </c>
      <c r="FT4" t="b">
        <f>AND(Log!A139,"AAAAAF8cnq8=")</f>
        <v>1</v>
      </c>
      <c r="FU4" t="e">
        <f>AND(Log!B139,"AAAAAF8cnrA=")</f>
        <v>#VALUE!</v>
      </c>
      <c r="FV4" t="e">
        <f>AND(Log!C139,"AAAAAF8cnrE=")</f>
        <v>#VALUE!</v>
      </c>
      <c r="FW4" t="e">
        <f>AND(Log!D139,"AAAAAF8cnrI=")</f>
        <v>#VALUE!</v>
      </c>
      <c r="FX4">
        <f>IF(Log!140:140,"AAAAAF8cnrM=",0)</f>
        <v>0</v>
      </c>
      <c r="FY4" t="b">
        <f>AND(Log!A140,"AAAAAF8cnrQ=")</f>
        <v>1</v>
      </c>
      <c r="FZ4" t="e">
        <f>AND(Log!B140,"AAAAAF8cnrU=")</f>
        <v>#VALUE!</v>
      </c>
      <c r="GA4" t="e">
        <f>AND(Log!C140,"AAAAAF8cnrY=")</f>
        <v>#VALUE!</v>
      </c>
      <c r="GB4" t="e">
        <f>AND(Log!D140,"AAAAAF8cnrc=")</f>
        <v>#VALUE!</v>
      </c>
      <c r="GC4">
        <f>IF(Log!141:141,"AAAAAF8cnrg=",0)</f>
        <v>0</v>
      </c>
      <c r="GD4" t="b">
        <f>AND(Log!A141,"AAAAAF8cnrk=")</f>
        <v>1</v>
      </c>
      <c r="GE4" t="e">
        <f>AND(Log!B141,"AAAAAF8cnro=")</f>
        <v>#VALUE!</v>
      </c>
      <c r="GF4" t="e">
        <f>AND(Log!C141,"AAAAAF8cnrs=")</f>
        <v>#VALUE!</v>
      </c>
      <c r="GG4" t="e">
        <f>AND(Log!D141,"AAAAAF8cnrw=")</f>
        <v>#VALUE!</v>
      </c>
      <c r="GH4">
        <f>IF(Log!142:142,"AAAAAF8cnr0=",0)</f>
        <v>0</v>
      </c>
      <c r="GI4" t="b">
        <f>AND(Log!A142,"AAAAAF8cnr4=")</f>
        <v>1</v>
      </c>
      <c r="GJ4" t="e">
        <f>AND(Log!B142,"AAAAAF8cnr8=")</f>
        <v>#VALUE!</v>
      </c>
      <c r="GK4" t="e">
        <f>AND(Log!C142,"AAAAAF8cnsA=")</f>
        <v>#VALUE!</v>
      </c>
      <c r="GL4" t="e">
        <f>AND(Log!D142,"AAAAAF8cnsE=")</f>
        <v>#VALUE!</v>
      </c>
      <c r="GM4">
        <f>IF(Log!143:143,"AAAAAF8cnsI=",0)</f>
        <v>0</v>
      </c>
      <c r="GN4" t="b">
        <f>AND(Log!A143,"AAAAAF8cnsM=")</f>
        <v>1</v>
      </c>
      <c r="GO4" t="e">
        <f>AND(Log!B143,"AAAAAF8cnsQ=")</f>
        <v>#VALUE!</v>
      </c>
      <c r="GP4" t="e">
        <f>AND(Log!C143,"AAAAAF8cnsU=")</f>
        <v>#VALUE!</v>
      </c>
      <c r="GQ4" t="e">
        <f>AND(Log!D143,"AAAAAF8cnsY=")</f>
        <v>#VALUE!</v>
      </c>
      <c r="GR4">
        <f>IF(Log!144:144,"AAAAAF8cnsc=",0)</f>
        <v>0</v>
      </c>
      <c r="GS4" t="b">
        <f>AND(Log!A144,"AAAAAF8cnsg=")</f>
        <v>1</v>
      </c>
      <c r="GT4" t="e">
        <f>AND(Log!B144,"AAAAAF8cnsk=")</f>
        <v>#VALUE!</v>
      </c>
      <c r="GU4" t="e">
        <f>AND(Log!C144,"AAAAAF8cnso=")</f>
        <v>#VALUE!</v>
      </c>
      <c r="GV4" t="e">
        <f>AND(Log!D144,"AAAAAF8cnss=")</f>
        <v>#VALUE!</v>
      </c>
      <c r="GW4">
        <f>IF(Log!145:145,"AAAAAF8cnsw=",0)</f>
        <v>0</v>
      </c>
      <c r="GX4" t="b">
        <f>AND(Log!A145,"AAAAAF8cns0=")</f>
        <v>1</v>
      </c>
      <c r="GY4" t="e">
        <f>AND(Log!B145,"AAAAAF8cns4=")</f>
        <v>#VALUE!</v>
      </c>
      <c r="GZ4" t="e">
        <f>AND(Log!C145,"AAAAAF8cns8=")</f>
        <v>#VALUE!</v>
      </c>
      <c r="HA4" t="e">
        <f>AND(Log!D145,"AAAAAF8cntA=")</f>
        <v>#VALUE!</v>
      </c>
      <c r="HB4">
        <f>IF(Log!146:146,"AAAAAF8cntE=",0)</f>
        <v>0</v>
      </c>
      <c r="HC4" t="b">
        <f>AND(Log!A146,"AAAAAF8cntI=")</f>
        <v>1</v>
      </c>
      <c r="HD4" t="e">
        <f>AND(Log!B146,"AAAAAF8cntM=")</f>
        <v>#VALUE!</v>
      </c>
      <c r="HE4" t="e">
        <f>AND(Log!C146,"AAAAAF8cntQ=")</f>
        <v>#VALUE!</v>
      </c>
      <c r="HF4" t="e">
        <f>AND(Log!D146,"AAAAAF8cntU=")</f>
        <v>#VALUE!</v>
      </c>
      <c r="HG4">
        <f>IF(Log!147:147,"AAAAAF8cntY=",0)</f>
        <v>0</v>
      </c>
      <c r="HH4" t="b">
        <f>AND(Log!A147,"AAAAAF8cntc=")</f>
        <v>1</v>
      </c>
      <c r="HI4" t="e">
        <f>AND(Log!B147,"AAAAAF8cntg=")</f>
        <v>#VALUE!</v>
      </c>
      <c r="HJ4" t="e">
        <f>AND(Log!C147,"AAAAAF8cntk=")</f>
        <v>#VALUE!</v>
      </c>
      <c r="HK4" t="e">
        <f>AND(Log!D147,"AAAAAF8cnto=")</f>
        <v>#VALUE!</v>
      </c>
      <c r="HL4">
        <f>IF(Log!148:148,"AAAAAF8cnts=",0)</f>
        <v>0</v>
      </c>
      <c r="HM4" t="b">
        <f>AND(Log!A148,"AAAAAF8cntw=")</f>
        <v>1</v>
      </c>
      <c r="HN4" t="e">
        <f>AND(Log!B148,"AAAAAF8cnt0=")</f>
        <v>#VALUE!</v>
      </c>
      <c r="HO4" t="e">
        <f>AND(Log!C148,"AAAAAF8cnt4=")</f>
        <v>#VALUE!</v>
      </c>
      <c r="HP4" t="e">
        <f>AND(Log!D148,"AAAAAF8cnt8=")</f>
        <v>#VALUE!</v>
      </c>
      <c r="HQ4">
        <f>IF(Log!149:149,"AAAAAF8cnuA=",0)</f>
        <v>0</v>
      </c>
      <c r="HR4" t="b">
        <f>AND(Log!A149,"AAAAAF8cnuE=")</f>
        <v>1</v>
      </c>
      <c r="HS4" t="e">
        <f>AND(Log!B149,"AAAAAF8cnuI=")</f>
        <v>#VALUE!</v>
      </c>
      <c r="HT4" t="e">
        <f>AND(Log!C149,"AAAAAF8cnuM=")</f>
        <v>#VALUE!</v>
      </c>
      <c r="HU4" t="e">
        <f>AND(Log!D149,"AAAAAF8cnuQ=")</f>
        <v>#VALUE!</v>
      </c>
      <c r="HV4">
        <f>IF(Log!150:150,"AAAAAF8cnuU=",0)</f>
        <v>0</v>
      </c>
      <c r="HW4" t="b">
        <f>AND(Log!A150,"AAAAAF8cnuY=")</f>
        <v>1</v>
      </c>
      <c r="HX4" t="e">
        <f>AND(Log!B150,"AAAAAF8cnuc=")</f>
        <v>#VALUE!</v>
      </c>
      <c r="HY4" t="e">
        <f>AND(Log!C150,"AAAAAF8cnug=")</f>
        <v>#VALUE!</v>
      </c>
      <c r="HZ4" t="e">
        <f>AND(Log!D150,"AAAAAF8cnuk=")</f>
        <v>#VALUE!</v>
      </c>
      <c r="IA4">
        <f>IF(Log!151:151,"AAAAAF8cnuo=",0)</f>
        <v>0</v>
      </c>
      <c r="IB4" t="b">
        <f>AND(Log!A151,"AAAAAF8cnus=")</f>
        <v>1</v>
      </c>
      <c r="IC4" t="e">
        <f>AND(Log!B151,"AAAAAF8cnuw=")</f>
        <v>#VALUE!</v>
      </c>
      <c r="ID4" t="e">
        <f>AND(Log!C151,"AAAAAF8cnu0=")</f>
        <v>#VALUE!</v>
      </c>
      <c r="IE4" t="e">
        <f>AND(Log!D151,"AAAAAF8cnu4=")</f>
        <v>#VALUE!</v>
      </c>
      <c r="IF4">
        <f>IF(Log!152:152,"AAAAAF8cnu8=",0)</f>
        <v>0</v>
      </c>
      <c r="IG4" t="b">
        <f>AND(Log!A152,"AAAAAF8cnvA=")</f>
        <v>1</v>
      </c>
      <c r="IH4" t="e">
        <f>AND(Log!B152,"AAAAAF8cnvE=")</f>
        <v>#VALUE!</v>
      </c>
      <c r="II4" t="e">
        <f>AND(Log!C152,"AAAAAF8cnvI=")</f>
        <v>#VALUE!</v>
      </c>
      <c r="IJ4" t="e">
        <f>AND(Log!D152,"AAAAAF8cnvM=")</f>
        <v>#VALUE!</v>
      </c>
      <c r="IK4">
        <f>IF(Log!153:153,"AAAAAF8cnvQ=",0)</f>
        <v>0</v>
      </c>
      <c r="IL4" t="b">
        <f>AND(Log!A153,"AAAAAF8cnvU=")</f>
        <v>1</v>
      </c>
      <c r="IM4" t="e">
        <f>AND(Log!B153,"AAAAAF8cnvY=")</f>
        <v>#VALUE!</v>
      </c>
      <c r="IN4" t="e">
        <f>AND(Log!C153,"AAAAAF8cnvc=")</f>
        <v>#VALUE!</v>
      </c>
      <c r="IO4" t="e">
        <f>AND(Log!D153,"AAAAAF8cnvg=")</f>
        <v>#VALUE!</v>
      </c>
      <c r="IP4">
        <f>IF(Log!154:154,"AAAAAF8cnvk=",0)</f>
        <v>0</v>
      </c>
      <c r="IQ4" t="b">
        <f>AND(Log!A154,"AAAAAF8cnvo=")</f>
        <v>1</v>
      </c>
      <c r="IR4" t="e">
        <f>AND(Log!B154,"AAAAAF8cnvs=")</f>
        <v>#VALUE!</v>
      </c>
      <c r="IS4" t="e">
        <f>AND(Log!C154,"AAAAAF8cnvw=")</f>
        <v>#VALUE!</v>
      </c>
      <c r="IT4" t="e">
        <f>AND(Log!D154,"AAAAAF8cnv0=")</f>
        <v>#VALUE!</v>
      </c>
      <c r="IU4">
        <f>IF(Log!155:155,"AAAAAF8cnv4=",0)</f>
        <v>0</v>
      </c>
      <c r="IV4" t="b">
        <f>AND(Log!A155,"AAAAAF8cnv8=")</f>
        <v>1</v>
      </c>
    </row>
    <row r="5" spans="1:256" x14ac:dyDescent="0.25">
      <c r="A5" t="e">
        <f>AND(Log!B155,"AAAAAH253wA=")</f>
        <v>#VALUE!</v>
      </c>
      <c r="B5" t="e">
        <f>AND(Log!C155,"AAAAAH253wE=")</f>
        <v>#VALUE!</v>
      </c>
      <c r="C5" t="e">
        <f>AND(Log!D155,"AAAAAH253wI=")</f>
        <v>#VALUE!</v>
      </c>
      <c r="D5">
        <f>IF(Log!156:156,"AAAAAH253wM=",0)</f>
        <v>0</v>
      </c>
      <c r="E5" t="b">
        <f>AND(Log!A156,"AAAAAH253wQ=")</f>
        <v>1</v>
      </c>
      <c r="F5" t="e">
        <f>AND(Log!B156,"AAAAAH253wU=")</f>
        <v>#VALUE!</v>
      </c>
      <c r="G5" t="e">
        <f>AND(Log!C156,"AAAAAH253wY=")</f>
        <v>#VALUE!</v>
      </c>
      <c r="H5" t="e">
        <f>AND(Log!D156,"AAAAAH253wc=")</f>
        <v>#VALUE!</v>
      </c>
      <c r="I5">
        <f>IF(Log!157:157,"AAAAAH253wg=",0)</f>
        <v>0</v>
      </c>
      <c r="J5" t="b">
        <f>AND(Log!A157,"AAAAAH253wk=")</f>
        <v>1</v>
      </c>
      <c r="K5" t="e">
        <f>AND(Log!B157,"AAAAAH253wo=")</f>
        <v>#VALUE!</v>
      </c>
      <c r="L5" t="e">
        <f>AND(Log!C157,"AAAAAH253ws=")</f>
        <v>#VALUE!</v>
      </c>
      <c r="M5" t="e">
        <f>AND(Log!D157,"AAAAAH253ww=")</f>
        <v>#VALUE!</v>
      </c>
      <c r="N5">
        <f>IF(Log!158:158,"AAAAAH253w0=",0)</f>
        <v>0</v>
      </c>
      <c r="O5" t="b">
        <f>AND(Log!A158,"AAAAAH253w4=")</f>
        <v>1</v>
      </c>
      <c r="P5" t="e">
        <f>AND(Log!B158,"AAAAAH253w8=")</f>
        <v>#VALUE!</v>
      </c>
      <c r="Q5" t="e">
        <f>AND(Log!C158,"AAAAAH253xA=")</f>
        <v>#VALUE!</v>
      </c>
      <c r="R5" t="e">
        <f>AND(Log!D158,"AAAAAH253xE=")</f>
        <v>#VALUE!</v>
      </c>
      <c r="S5">
        <f>IF(Log!159:159,"AAAAAH253xI=",0)</f>
        <v>0</v>
      </c>
      <c r="T5" t="b">
        <f>AND(Log!A159,"AAAAAH253xM=")</f>
        <v>1</v>
      </c>
      <c r="U5" t="e">
        <f>AND(Log!B159,"AAAAAH253xQ=")</f>
        <v>#VALUE!</v>
      </c>
      <c r="V5" t="e">
        <f>AND(Log!C159,"AAAAAH253xU=")</f>
        <v>#VALUE!</v>
      </c>
      <c r="W5" t="e">
        <f>AND(Log!D159,"AAAAAH253xY=")</f>
        <v>#VALUE!</v>
      </c>
      <c r="X5">
        <f>IF(Log!160:160,"AAAAAH253xc=",0)</f>
        <v>0</v>
      </c>
      <c r="Y5" t="b">
        <f>AND(Log!A160,"AAAAAH253xg=")</f>
        <v>1</v>
      </c>
      <c r="Z5" t="e">
        <f>AND(Log!B160,"AAAAAH253xk=")</f>
        <v>#VALUE!</v>
      </c>
      <c r="AA5" t="e">
        <f>AND(Log!C160,"AAAAAH253xo=")</f>
        <v>#VALUE!</v>
      </c>
      <c r="AB5" t="e">
        <f>AND(Log!D160,"AAAAAH253xs=")</f>
        <v>#VALUE!</v>
      </c>
      <c r="AC5">
        <f>IF(Log!161:161,"AAAAAH253xw=",0)</f>
        <v>0</v>
      </c>
      <c r="AD5" t="b">
        <f>AND(Log!A161,"AAAAAH253x0=")</f>
        <v>1</v>
      </c>
      <c r="AE5" t="e">
        <f>AND(Log!B161,"AAAAAH253x4=")</f>
        <v>#VALUE!</v>
      </c>
      <c r="AF5" t="e">
        <f>AND(Log!C161,"AAAAAH253x8=")</f>
        <v>#VALUE!</v>
      </c>
      <c r="AG5" t="e">
        <f>AND(Log!D161,"AAAAAH253yA=")</f>
        <v>#VALUE!</v>
      </c>
      <c r="AH5">
        <f>IF(Log!162:162,"AAAAAH253yE=",0)</f>
        <v>0</v>
      </c>
      <c r="AI5" t="b">
        <f>AND(Log!A162,"AAAAAH253yI=")</f>
        <v>1</v>
      </c>
      <c r="AJ5" t="e">
        <f>AND(Log!B162,"AAAAAH253yM=")</f>
        <v>#VALUE!</v>
      </c>
      <c r="AK5" t="e">
        <f>AND(Log!C162,"AAAAAH253yQ=")</f>
        <v>#VALUE!</v>
      </c>
      <c r="AL5" t="e">
        <f>AND(Log!D162,"AAAAAH253yU=")</f>
        <v>#VALUE!</v>
      </c>
      <c r="AM5">
        <f>IF(Log!163:163,"AAAAAH253yY=",0)</f>
        <v>0</v>
      </c>
      <c r="AN5" t="b">
        <f>AND(Log!A163,"AAAAAH253yc=")</f>
        <v>1</v>
      </c>
      <c r="AO5" t="e">
        <f>AND(Log!B163,"AAAAAH253yg=")</f>
        <v>#VALUE!</v>
      </c>
      <c r="AP5" t="e">
        <f>AND(Log!C163,"AAAAAH253yk=")</f>
        <v>#VALUE!</v>
      </c>
      <c r="AQ5" t="e">
        <f>AND(Log!D163,"AAAAAH253yo=")</f>
        <v>#VALUE!</v>
      </c>
      <c r="AR5">
        <f>IF(Log!164:164,"AAAAAH253ys=",0)</f>
        <v>0</v>
      </c>
      <c r="AS5" t="b">
        <f>AND(Log!A164,"AAAAAH253yw=")</f>
        <v>1</v>
      </c>
      <c r="AT5" t="e">
        <f>AND(Log!B164,"AAAAAH253y0=")</f>
        <v>#VALUE!</v>
      </c>
      <c r="AU5" t="e">
        <f>AND(Log!C164,"AAAAAH253y4=")</f>
        <v>#VALUE!</v>
      </c>
      <c r="AV5" t="e">
        <f>AND(Log!D164,"AAAAAH253y8=")</f>
        <v>#VALUE!</v>
      </c>
      <c r="AW5">
        <f>IF(Log!165:165,"AAAAAH253zA=",0)</f>
        <v>0</v>
      </c>
      <c r="AX5" t="b">
        <f>AND(Log!A165,"AAAAAH253zE=")</f>
        <v>1</v>
      </c>
      <c r="AY5" t="e">
        <f>AND(Log!B165,"AAAAAH253zI=")</f>
        <v>#VALUE!</v>
      </c>
      <c r="AZ5" t="e">
        <f>AND(Log!C165,"AAAAAH253zM=")</f>
        <v>#VALUE!</v>
      </c>
      <c r="BA5" t="e">
        <f>AND(Log!D165,"AAAAAH253zQ=")</f>
        <v>#VALUE!</v>
      </c>
      <c r="BB5">
        <f>IF(Log!166:166,"AAAAAH253zU=",0)</f>
        <v>0</v>
      </c>
      <c r="BC5" t="b">
        <f>AND(Log!A166,"AAAAAH253zY=")</f>
        <v>1</v>
      </c>
      <c r="BD5" t="e">
        <f>AND(Log!B166,"AAAAAH253zc=")</f>
        <v>#VALUE!</v>
      </c>
      <c r="BE5" t="e">
        <f>AND(Log!C166,"AAAAAH253zg=")</f>
        <v>#VALUE!</v>
      </c>
      <c r="BF5" t="e">
        <f>AND(Log!D166,"AAAAAH253zk=")</f>
        <v>#VALUE!</v>
      </c>
      <c r="BG5">
        <f>IF(Log!167:167,"AAAAAH253zo=",0)</f>
        <v>0</v>
      </c>
      <c r="BH5" t="b">
        <f>AND(Log!A167,"AAAAAH253zs=")</f>
        <v>1</v>
      </c>
      <c r="BI5" t="e">
        <f>AND(Log!B167,"AAAAAH253zw=")</f>
        <v>#VALUE!</v>
      </c>
      <c r="BJ5" t="e">
        <f>AND(Log!C167,"AAAAAH253z0=")</f>
        <v>#VALUE!</v>
      </c>
      <c r="BK5" t="e">
        <f>AND(Log!D167,"AAAAAH253z4=")</f>
        <v>#VALUE!</v>
      </c>
      <c r="BL5">
        <f>IF(Log!168:168,"AAAAAH253z8=",0)</f>
        <v>0</v>
      </c>
      <c r="BM5" t="b">
        <f>AND(Log!A168,"AAAAAH2530A=")</f>
        <v>1</v>
      </c>
      <c r="BN5" t="e">
        <f>AND(Log!B168,"AAAAAH2530E=")</f>
        <v>#VALUE!</v>
      </c>
      <c r="BO5" t="e">
        <f>AND(Log!C168,"AAAAAH2530I=")</f>
        <v>#VALUE!</v>
      </c>
      <c r="BP5" t="e">
        <f>AND(Log!D168,"AAAAAH2530M=")</f>
        <v>#VALUE!</v>
      </c>
      <c r="BQ5">
        <f>IF(Log!169:169,"AAAAAH2530Q=",0)</f>
        <v>0</v>
      </c>
      <c r="BR5" t="b">
        <f>AND(Log!A169,"AAAAAH2530U=")</f>
        <v>1</v>
      </c>
      <c r="BS5" t="e">
        <f>AND(Log!B169,"AAAAAH2530Y=")</f>
        <v>#VALUE!</v>
      </c>
      <c r="BT5" t="e">
        <f>AND(Log!C169,"AAAAAH2530c=")</f>
        <v>#VALUE!</v>
      </c>
      <c r="BU5" t="e">
        <f>AND(Log!D169,"AAAAAH2530g=")</f>
        <v>#VALUE!</v>
      </c>
      <c r="BV5">
        <f>IF(Log!170:170,"AAAAAH2530k=",0)</f>
        <v>0</v>
      </c>
      <c r="BW5" t="b">
        <f>AND(Log!A170,"AAAAAH2530o=")</f>
        <v>1</v>
      </c>
      <c r="BX5" t="e">
        <f>AND(Log!B170,"AAAAAH2530s=")</f>
        <v>#VALUE!</v>
      </c>
      <c r="BY5" t="e">
        <f>AND(Log!C170,"AAAAAH2530w=")</f>
        <v>#VALUE!</v>
      </c>
      <c r="BZ5" t="e">
        <f>AND(Log!D170,"AAAAAH25300=")</f>
        <v>#VALUE!</v>
      </c>
      <c r="CA5">
        <f>IF(Log!171:171,"AAAAAH25304=",0)</f>
        <v>0</v>
      </c>
      <c r="CB5" t="b">
        <f>AND(Log!A171,"AAAAAH25308=")</f>
        <v>1</v>
      </c>
      <c r="CC5" t="e">
        <f>AND(Log!B171,"AAAAAH2531A=")</f>
        <v>#VALUE!</v>
      </c>
      <c r="CD5" t="e">
        <f>AND(Log!C171,"AAAAAH2531E=")</f>
        <v>#VALUE!</v>
      </c>
      <c r="CE5" t="e">
        <f>AND(Log!D171,"AAAAAH2531I=")</f>
        <v>#VALUE!</v>
      </c>
      <c r="CF5">
        <f>IF(Log!172:172,"AAAAAH2531M=",0)</f>
        <v>0</v>
      </c>
      <c r="CG5" t="b">
        <f>AND(Log!A172,"AAAAAH2531Q=")</f>
        <v>1</v>
      </c>
      <c r="CH5" t="e">
        <f>AND(Log!B172,"AAAAAH2531U=")</f>
        <v>#VALUE!</v>
      </c>
      <c r="CI5" t="e">
        <f>AND(Log!C172,"AAAAAH2531Y=")</f>
        <v>#VALUE!</v>
      </c>
      <c r="CJ5" t="e">
        <f>AND(Log!D172,"AAAAAH2531c=")</f>
        <v>#VALUE!</v>
      </c>
      <c r="CK5">
        <f>IF(Log!173:173,"AAAAAH2531g=",0)</f>
        <v>0</v>
      </c>
      <c r="CL5" t="b">
        <f>AND(Log!A173,"AAAAAH2531k=")</f>
        <v>1</v>
      </c>
      <c r="CM5" t="e">
        <f>AND(Log!B173,"AAAAAH2531o=")</f>
        <v>#VALUE!</v>
      </c>
      <c r="CN5" t="e">
        <f>AND(Log!C173,"AAAAAH2531s=")</f>
        <v>#VALUE!</v>
      </c>
      <c r="CO5" t="e">
        <f>AND(Log!D173,"AAAAAH2531w=")</f>
        <v>#VALUE!</v>
      </c>
      <c r="CP5">
        <f>IF(Log!174:174,"AAAAAH25310=",0)</f>
        <v>0</v>
      </c>
      <c r="CQ5" t="b">
        <f>AND(Log!A174,"AAAAAH25314=")</f>
        <v>1</v>
      </c>
      <c r="CR5" t="e">
        <f>AND(Log!B174,"AAAAAH25318=")</f>
        <v>#VALUE!</v>
      </c>
      <c r="CS5" t="e">
        <f>AND(Log!C174,"AAAAAH2532A=")</f>
        <v>#VALUE!</v>
      </c>
      <c r="CT5" t="e">
        <f>AND(Log!D174,"AAAAAH2532E=")</f>
        <v>#VALUE!</v>
      </c>
      <c r="CU5">
        <f>IF(Log!175:175,"AAAAAH2532I=",0)</f>
        <v>0</v>
      </c>
      <c r="CV5" t="b">
        <f>AND(Log!A175,"AAAAAH2532M=")</f>
        <v>1</v>
      </c>
      <c r="CW5" t="e">
        <f>AND(Log!B175,"AAAAAH2532Q=")</f>
        <v>#VALUE!</v>
      </c>
      <c r="CX5" t="e">
        <f>AND(Log!C175,"AAAAAH2532U=")</f>
        <v>#VALUE!</v>
      </c>
      <c r="CY5" t="e">
        <f>AND(Log!D175,"AAAAAH2532Y=")</f>
        <v>#VALUE!</v>
      </c>
      <c r="CZ5">
        <f>IF(Log!176:176,"AAAAAH2532c=",0)</f>
        <v>0</v>
      </c>
      <c r="DA5" t="b">
        <f>AND(Log!A176,"AAAAAH2532g=")</f>
        <v>1</v>
      </c>
      <c r="DB5" t="e">
        <f>AND(Log!B176,"AAAAAH2532k=")</f>
        <v>#VALUE!</v>
      </c>
      <c r="DC5" t="e">
        <f>AND(Log!C176,"AAAAAH2532o=")</f>
        <v>#VALUE!</v>
      </c>
      <c r="DD5" t="e">
        <f>AND(Log!D176,"AAAAAH2532s=")</f>
        <v>#VALUE!</v>
      </c>
      <c r="DE5">
        <f>IF(Log!177:177,"AAAAAH2532w=",0)</f>
        <v>0</v>
      </c>
      <c r="DF5" t="b">
        <f>AND(Log!A177,"AAAAAH25320=")</f>
        <v>1</v>
      </c>
      <c r="DG5" t="e">
        <f>AND(Log!B177,"AAAAAH25324=")</f>
        <v>#VALUE!</v>
      </c>
      <c r="DH5" t="e">
        <f>AND(Log!C177,"AAAAAH25328=")</f>
        <v>#VALUE!</v>
      </c>
      <c r="DI5" t="e">
        <f>AND(Log!D177,"AAAAAH2533A=")</f>
        <v>#VALUE!</v>
      </c>
      <c r="DJ5">
        <f>IF(Log!178:178,"AAAAAH2533E=",0)</f>
        <v>0</v>
      </c>
      <c r="DK5" t="b">
        <f>AND(Log!A178,"AAAAAH2533I=")</f>
        <v>1</v>
      </c>
      <c r="DL5" t="e">
        <f>AND(Log!B178,"AAAAAH2533M=")</f>
        <v>#VALUE!</v>
      </c>
      <c r="DM5" t="e">
        <f>AND(Log!C178,"AAAAAH2533Q=")</f>
        <v>#VALUE!</v>
      </c>
      <c r="DN5" t="e">
        <f>AND(Log!D178,"AAAAAH2533U=")</f>
        <v>#VALUE!</v>
      </c>
      <c r="DO5">
        <f>IF(Log!179:179,"AAAAAH2533Y=",0)</f>
        <v>0</v>
      </c>
      <c r="DP5" t="b">
        <f>AND(Log!A179,"AAAAAH2533c=")</f>
        <v>1</v>
      </c>
      <c r="DQ5" t="e">
        <f>AND(Log!B179,"AAAAAH2533g=")</f>
        <v>#VALUE!</v>
      </c>
      <c r="DR5" t="e">
        <f>AND(Log!C179,"AAAAAH2533k=")</f>
        <v>#VALUE!</v>
      </c>
      <c r="DS5" t="e">
        <f>AND(Log!D179,"AAAAAH2533o=")</f>
        <v>#VALUE!</v>
      </c>
      <c r="DT5">
        <f>IF(Log!180:180,"AAAAAH2533s=",0)</f>
        <v>0</v>
      </c>
      <c r="DU5" t="b">
        <f>AND(Log!A180,"AAAAAH2533w=")</f>
        <v>1</v>
      </c>
      <c r="DV5" t="e">
        <f>AND(Log!B180,"AAAAAH25330=")</f>
        <v>#VALUE!</v>
      </c>
      <c r="DW5" t="e">
        <f>AND(Log!C180,"AAAAAH25334=")</f>
        <v>#VALUE!</v>
      </c>
      <c r="DX5" t="e">
        <f>AND(Log!D180,"AAAAAH25338=")</f>
        <v>#VALUE!</v>
      </c>
      <c r="DY5">
        <f>IF(Log!181:181,"AAAAAH2534A=",0)</f>
        <v>0</v>
      </c>
      <c r="DZ5" t="b">
        <f>AND(Log!A181,"AAAAAH2534E=")</f>
        <v>1</v>
      </c>
      <c r="EA5" t="e">
        <f>AND(Log!B181,"AAAAAH2534I=")</f>
        <v>#VALUE!</v>
      </c>
      <c r="EB5" t="e">
        <f>AND(Log!C181,"AAAAAH2534M=")</f>
        <v>#VALUE!</v>
      </c>
      <c r="EC5" t="e">
        <f>AND(Log!D181,"AAAAAH2534Q=")</f>
        <v>#VALUE!</v>
      </c>
      <c r="ED5">
        <f>IF(Log!182:182,"AAAAAH2534U=",0)</f>
        <v>0</v>
      </c>
      <c r="EE5" t="b">
        <f>AND(Log!A182,"AAAAAH2534Y=")</f>
        <v>1</v>
      </c>
      <c r="EF5" t="e">
        <f>AND(Log!B182,"AAAAAH2534c=")</f>
        <v>#VALUE!</v>
      </c>
      <c r="EG5" t="e">
        <f>AND(Log!C182,"AAAAAH2534g=")</f>
        <v>#VALUE!</v>
      </c>
      <c r="EH5" t="e">
        <f>AND(Log!D182,"AAAAAH2534k=")</f>
        <v>#VALUE!</v>
      </c>
      <c r="EI5">
        <f>IF(Log!183:183,"AAAAAH2534o=",0)</f>
        <v>0</v>
      </c>
      <c r="EJ5" t="b">
        <f>AND(Log!A183,"AAAAAH2534s=")</f>
        <v>1</v>
      </c>
      <c r="EK5" t="e">
        <f>AND(Log!B183,"AAAAAH2534w=")</f>
        <v>#VALUE!</v>
      </c>
      <c r="EL5" t="e">
        <f>AND(Log!C183,"AAAAAH25340=")</f>
        <v>#VALUE!</v>
      </c>
      <c r="EM5" t="e">
        <f>AND(Log!D183,"AAAAAH25344=")</f>
        <v>#VALUE!</v>
      </c>
      <c r="EN5">
        <f>IF(Log!184:184,"AAAAAH25348=",0)</f>
        <v>0</v>
      </c>
      <c r="EO5" t="b">
        <f>AND(Log!A184,"AAAAAH2535A=")</f>
        <v>1</v>
      </c>
      <c r="EP5" t="e">
        <f>AND(Log!B184,"AAAAAH2535E=")</f>
        <v>#VALUE!</v>
      </c>
      <c r="EQ5" t="e">
        <f>AND(Log!C184,"AAAAAH2535I=")</f>
        <v>#VALUE!</v>
      </c>
      <c r="ER5" t="e">
        <f>AND(Log!D184,"AAAAAH2535M=")</f>
        <v>#VALUE!</v>
      </c>
      <c r="ES5">
        <f>IF(Log!185:185,"AAAAAH2535Q=",0)</f>
        <v>0</v>
      </c>
      <c r="ET5" t="b">
        <f>AND(Log!A185,"AAAAAH2535U=")</f>
        <v>1</v>
      </c>
      <c r="EU5" t="e">
        <f>AND(Log!B185,"AAAAAH2535Y=")</f>
        <v>#VALUE!</v>
      </c>
      <c r="EV5" t="e">
        <f>AND(Log!C185,"AAAAAH2535c=")</f>
        <v>#VALUE!</v>
      </c>
      <c r="EW5" t="e">
        <f>AND(Log!D185,"AAAAAH2535g=")</f>
        <v>#VALUE!</v>
      </c>
      <c r="EX5">
        <f>IF(Log!186:186,"AAAAAH2535k=",0)</f>
        <v>0</v>
      </c>
      <c r="EY5" t="b">
        <f>AND(Log!A186,"AAAAAH2535o=")</f>
        <v>1</v>
      </c>
      <c r="EZ5" t="e">
        <f>AND(Log!B186,"AAAAAH2535s=")</f>
        <v>#VALUE!</v>
      </c>
      <c r="FA5" t="e">
        <f>AND(Log!C186,"AAAAAH2535w=")</f>
        <v>#VALUE!</v>
      </c>
      <c r="FB5" t="e">
        <f>AND(Log!D186,"AAAAAH25350=")</f>
        <v>#VALUE!</v>
      </c>
      <c r="FC5">
        <f>IF(Log!187:187,"AAAAAH25354=",0)</f>
        <v>0</v>
      </c>
      <c r="FD5" t="b">
        <f>AND(Log!A187,"AAAAAH25358=")</f>
        <v>1</v>
      </c>
      <c r="FE5" t="e">
        <f>AND(Log!B187,"AAAAAH2536A=")</f>
        <v>#VALUE!</v>
      </c>
      <c r="FF5" t="e">
        <f>AND(Log!C187,"AAAAAH2536E=")</f>
        <v>#VALUE!</v>
      </c>
      <c r="FG5" t="e">
        <f>AND(Log!D187,"AAAAAH2536I=")</f>
        <v>#VALUE!</v>
      </c>
      <c r="FH5">
        <f>IF(Log!188:188,"AAAAAH2536M=",0)</f>
        <v>0</v>
      </c>
      <c r="FI5" t="b">
        <f>AND(Log!A188,"AAAAAH2536Q=")</f>
        <v>1</v>
      </c>
      <c r="FJ5" t="e">
        <f>AND(Log!B188,"AAAAAH2536U=")</f>
        <v>#VALUE!</v>
      </c>
      <c r="FK5" t="e">
        <f>AND(Log!C188,"AAAAAH2536Y=")</f>
        <v>#VALUE!</v>
      </c>
      <c r="FL5" t="e">
        <f>AND(Log!D188,"AAAAAH2536c=")</f>
        <v>#VALUE!</v>
      </c>
      <c r="FM5">
        <f>IF(Log!189:189,"AAAAAH2536g=",0)</f>
        <v>0</v>
      </c>
      <c r="FN5" t="b">
        <f>AND(Log!A189,"AAAAAH2536k=")</f>
        <v>1</v>
      </c>
      <c r="FO5" t="e">
        <f>AND(Log!B189,"AAAAAH2536o=")</f>
        <v>#VALUE!</v>
      </c>
      <c r="FP5" t="e">
        <f>AND(Log!C189,"AAAAAH2536s=")</f>
        <v>#VALUE!</v>
      </c>
      <c r="FQ5" t="e">
        <f>AND(Log!D189,"AAAAAH2536w=")</f>
        <v>#VALUE!</v>
      </c>
      <c r="FR5">
        <f>IF(Log!190:190,"AAAAAH25360=",0)</f>
        <v>0</v>
      </c>
      <c r="FS5" t="b">
        <f>AND(Log!A190,"AAAAAH25364=")</f>
        <v>1</v>
      </c>
      <c r="FT5" t="e">
        <f>AND(Log!B190,"AAAAAH25368=")</f>
        <v>#VALUE!</v>
      </c>
      <c r="FU5" t="e">
        <f>AND(Log!C190,"AAAAAH2537A=")</f>
        <v>#VALUE!</v>
      </c>
      <c r="FV5" t="e">
        <f>AND(Log!D190,"AAAAAH2537E=")</f>
        <v>#VALUE!</v>
      </c>
      <c r="FW5">
        <f>IF(Log!191:191,"AAAAAH2537I=",0)</f>
        <v>0</v>
      </c>
      <c r="FX5" t="b">
        <f>AND(Log!A191,"AAAAAH2537M=")</f>
        <v>1</v>
      </c>
      <c r="FY5" t="e">
        <f>AND(Log!B191,"AAAAAH2537Q=")</f>
        <v>#VALUE!</v>
      </c>
      <c r="FZ5" t="e">
        <f>AND(Log!C191,"AAAAAH2537U=")</f>
        <v>#VALUE!</v>
      </c>
      <c r="GA5" t="e">
        <f>AND(Log!D191,"AAAAAH2537Y=")</f>
        <v>#VALUE!</v>
      </c>
      <c r="GB5">
        <f>IF(Log!192:192,"AAAAAH2537c=",0)</f>
        <v>0</v>
      </c>
      <c r="GC5" t="b">
        <f>AND(Log!A192,"AAAAAH2537g=")</f>
        <v>1</v>
      </c>
      <c r="GD5" t="e">
        <f>AND(Log!B192,"AAAAAH2537k=")</f>
        <v>#VALUE!</v>
      </c>
      <c r="GE5" t="e">
        <f>AND(Log!C192,"AAAAAH2537o=")</f>
        <v>#VALUE!</v>
      </c>
      <c r="GF5" t="e">
        <f>AND(Log!D192,"AAAAAH2537s=")</f>
        <v>#VALUE!</v>
      </c>
      <c r="GG5">
        <f>IF(Log!193:193,"AAAAAH2537w=",0)</f>
        <v>0</v>
      </c>
      <c r="GH5" t="b">
        <f>AND(Log!A193,"AAAAAH25370=")</f>
        <v>1</v>
      </c>
      <c r="GI5" t="e">
        <f>AND(Log!B193,"AAAAAH25374=")</f>
        <v>#VALUE!</v>
      </c>
      <c r="GJ5" t="e">
        <f>AND(Log!C193,"AAAAAH25378=")</f>
        <v>#VALUE!</v>
      </c>
      <c r="GK5" t="e">
        <f>AND(Log!D193,"AAAAAH2538A=")</f>
        <v>#VALUE!</v>
      </c>
      <c r="GL5">
        <f>IF(Log!194:194,"AAAAAH2538E=",0)</f>
        <v>0</v>
      </c>
      <c r="GM5" t="b">
        <f>AND(Log!A194,"AAAAAH2538I=")</f>
        <v>1</v>
      </c>
      <c r="GN5" t="e">
        <f>AND(Log!B194,"AAAAAH2538M=")</f>
        <v>#VALUE!</v>
      </c>
      <c r="GO5" t="e">
        <f>AND(Log!C194,"AAAAAH2538Q=")</f>
        <v>#VALUE!</v>
      </c>
      <c r="GP5" t="e">
        <f>AND(Log!D194,"AAAAAH2538U=")</f>
        <v>#VALUE!</v>
      </c>
      <c r="GQ5">
        <f>IF(Log!195:195,"AAAAAH2538Y=",0)</f>
        <v>0</v>
      </c>
      <c r="GR5" t="b">
        <f>AND(Log!A195,"AAAAAH2538c=")</f>
        <v>1</v>
      </c>
      <c r="GS5" t="e">
        <f>AND(Log!B195,"AAAAAH2538g=")</f>
        <v>#VALUE!</v>
      </c>
      <c r="GT5" t="e">
        <f>AND(Log!C195,"AAAAAH2538k=")</f>
        <v>#VALUE!</v>
      </c>
      <c r="GU5" t="e">
        <f>AND(Log!D195,"AAAAAH2538o=")</f>
        <v>#VALUE!</v>
      </c>
      <c r="GV5">
        <f>IF(Log!196:196,"AAAAAH2538s=",0)</f>
        <v>0</v>
      </c>
      <c r="GW5" t="b">
        <f>AND(Log!A196,"AAAAAH2538w=")</f>
        <v>1</v>
      </c>
      <c r="GX5" t="e">
        <f>AND(Log!B196,"AAAAAH25380=")</f>
        <v>#VALUE!</v>
      </c>
      <c r="GY5" t="e">
        <f>AND(Log!C196,"AAAAAH25384=")</f>
        <v>#VALUE!</v>
      </c>
      <c r="GZ5" t="e">
        <f>AND(Log!D196,"AAAAAH25388=")</f>
        <v>#VALUE!</v>
      </c>
      <c r="HA5">
        <f>IF(Log!197:197,"AAAAAH2539A=",0)</f>
        <v>0</v>
      </c>
      <c r="HB5" t="b">
        <f>AND(Log!A197,"AAAAAH2539E=")</f>
        <v>1</v>
      </c>
      <c r="HC5" t="e">
        <f>AND(Log!B197,"AAAAAH2539I=")</f>
        <v>#VALUE!</v>
      </c>
      <c r="HD5" t="e">
        <f>AND(Log!C197,"AAAAAH2539M=")</f>
        <v>#VALUE!</v>
      </c>
      <c r="HE5" t="e">
        <f>AND(Log!D197,"AAAAAH2539Q=")</f>
        <v>#VALUE!</v>
      </c>
      <c r="HF5">
        <f>IF(Log!198:198,"AAAAAH2539U=",0)</f>
        <v>0</v>
      </c>
      <c r="HG5" t="b">
        <f>AND(Log!A198,"AAAAAH2539Y=")</f>
        <v>1</v>
      </c>
      <c r="HH5" t="e">
        <f>AND(Log!B198,"AAAAAH2539c=")</f>
        <v>#VALUE!</v>
      </c>
      <c r="HI5" t="e">
        <f>AND(Log!C198,"AAAAAH2539g=")</f>
        <v>#VALUE!</v>
      </c>
      <c r="HJ5" t="e">
        <f>AND(Log!D198,"AAAAAH2539k=")</f>
        <v>#VALUE!</v>
      </c>
      <c r="HK5">
        <f>IF(Log!199:199,"AAAAAH2539o=",0)</f>
        <v>0</v>
      </c>
      <c r="HL5" t="b">
        <f>AND(Log!A199,"AAAAAH2539s=")</f>
        <v>1</v>
      </c>
      <c r="HM5" t="e">
        <f>AND(Log!B199,"AAAAAH2539w=")</f>
        <v>#VALUE!</v>
      </c>
      <c r="HN5" t="e">
        <f>AND(Log!C199,"AAAAAH25390=")</f>
        <v>#VALUE!</v>
      </c>
      <c r="HO5" t="e">
        <f>AND(Log!D199,"AAAAAH25394=")</f>
        <v>#VALUE!</v>
      </c>
      <c r="HP5">
        <f>IF(Log!200:200,"AAAAAH25398=",0)</f>
        <v>0</v>
      </c>
      <c r="HQ5" t="b">
        <f>AND(Log!A200,"AAAAAH253+A=")</f>
        <v>1</v>
      </c>
      <c r="HR5" t="e">
        <f>AND(Log!B200,"AAAAAH253+E=")</f>
        <v>#VALUE!</v>
      </c>
      <c r="HS5" t="e">
        <f>AND(Log!C200,"AAAAAH253+I=")</f>
        <v>#VALUE!</v>
      </c>
      <c r="HT5" t="e">
        <f>AND(Log!D200,"AAAAAH253+M=")</f>
        <v>#VALUE!</v>
      </c>
      <c r="HU5">
        <f>IF(Log!201:201,"AAAAAH253+Q=",0)</f>
        <v>0</v>
      </c>
      <c r="HV5" t="b">
        <f>AND(Log!A201,"AAAAAH253+U=")</f>
        <v>1</v>
      </c>
      <c r="HW5" t="e">
        <f>AND(Log!B201,"AAAAAH253+Y=")</f>
        <v>#VALUE!</v>
      </c>
      <c r="HX5" t="e">
        <f>AND(Log!C201,"AAAAAH253+c=")</f>
        <v>#VALUE!</v>
      </c>
      <c r="HY5" t="e">
        <f>AND(Log!D201,"AAAAAH253+g=")</f>
        <v>#VALUE!</v>
      </c>
      <c r="HZ5">
        <f>IF(Log!202:202,"AAAAAH253+k=",0)</f>
        <v>0</v>
      </c>
      <c r="IA5" t="b">
        <f>AND(Log!A202,"AAAAAH253+o=")</f>
        <v>1</v>
      </c>
      <c r="IB5" t="e">
        <f>AND(Log!B202,"AAAAAH253+s=")</f>
        <v>#VALUE!</v>
      </c>
      <c r="IC5" t="e">
        <f>AND(Log!C202,"AAAAAH253+w=")</f>
        <v>#VALUE!</v>
      </c>
      <c r="ID5" t="e">
        <f>AND(Log!D202,"AAAAAH253+0=")</f>
        <v>#VALUE!</v>
      </c>
      <c r="IE5">
        <f>IF(Log!203:203,"AAAAAH253+4=",0)</f>
        <v>0</v>
      </c>
      <c r="IF5" t="b">
        <f>AND(Log!A203,"AAAAAH253+8=")</f>
        <v>1</v>
      </c>
      <c r="IG5" t="e">
        <f>AND(Log!B203,"AAAAAH253/A=")</f>
        <v>#VALUE!</v>
      </c>
      <c r="IH5" t="e">
        <f>AND(Log!C203,"AAAAAH253/E=")</f>
        <v>#VALUE!</v>
      </c>
      <c r="II5" t="e">
        <f>AND(Log!D203,"AAAAAH253/I=")</f>
        <v>#VALUE!</v>
      </c>
      <c r="IJ5">
        <f>IF(Log!204:204,"AAAAAH253/M=",0)</f>
        <v>0</v>
      </c>
      <c r="IK5" t="b">
        <f>AND(Log!A204,"AAAAAH253/Q=")</f>
        <v>1</v>
      </c>
      <c r="IL5" t="e">
        <f>AND(Log!B204,"AAAAAH253/U=")</f>
        <v>#VALUE!</v>
      </c>
      <c r="IM5" t="e">
        <f>AND(Log!C204,"AAAAAH253/Y=")</f>
        <v>#VALUE!</v>
      </c>
      <c r="IN5" t="e">
        <f>AND(Log!D204,"AAAAAH253/c=")</f>
        <v>#VALUE!</v>
      </c>
      <c r="IO5">
        <f>IF(Log!205:205,"AAAAAH253/g=",0)</f>
        <v>0</v>
      </c>
      <c r="IP5" t="b">
        <f>AND(Log!A205,"AAAAAH253/k=")</f>
        <v>1</v>
      </c>
      <c r="IQ5" t="e">
        <f>AND(Log!B205,"AAAAAH253/o=")</f>
        <v>#VALUE!</v>
      </c>
      <c r="IR5" t="e">
        <f>AND(Log!C205,"AAAAAH253/s=")</f>
        <v>#VALUE!</v>
      </c>
      <c r="IS5" t="e">
        <f>AND(Log!D205,"AAAAAH253/w=")</f>
        <v>#VALUE!</v>
      </c>
      <c r="IT5">
        <f>IF(Log!206:206,"AAAAAH253/0=",0)</f>
        <v>0</v>
      </c>
      <c r="IU5" t="b">
        <f>AND(Log!A206,"AAAAAH253/4=")</f>
        <v>1</v>
      </c>
      <c r="IV5" t="e">
        <f>AND(Log!B206,"AAAAAH253/8=")</f>
        <v>#VALUE!</v>
      </c>
    </row>
    <row r="6" spans="1:256" x14ac:dyDescent="0.25">
      <c r="A6" t="e">
        <f>AND(Log!C206,"AAAAAHr+9QA=")</f>
        <v>#VALUE!</v>
      </c>
      <c r="B6" t="e">
        <f>AND(Log!D206,"AAAAAHr+9QE=")</f>
        <v>#VALUE!</v>
      </c>
      <c r="C6" t="e">
        <f>IF(Log!207:207,"AAAAAHr+9QI=",0)</f>
        <v>#VALUE!</v>
      </c>
      <c r="D6" t="b">
        <f>AND(Log!A207,"AAAAAHr+9QM=")</f>
        <v>1</v>
      </c>
      <c r="E6" t="e">
        <f>AND(Log!B207,"AAAAAHr+9QQ=")</f>
        <v>#VALUE!</v>
      </c>
      <c r="F6" t="e">
        <f>AND(Log!C207,"AAAAAHr+9QU=")</f>
        <v>#VALUE!</v>
      </c>
      <c r="G6" t="e">
        <f>AND(Log!D207,"AAAAAHr+9QY=")</f>
        <v>#VALUE!</v>
      </c>
      <c r="H6">
        <f>IF(Log!208:208,"AAAAAHr+9Qc=",0)</f>
        <v>0</v>
      </c>
      <c r="I6" t="b">
        <f>AND(Log!A208,"AAAAAHr+9Qg=")</f>
        <v>1</v>
      </c>
      <c r="J6" t="e">
        <f>AND(Log!B208,"AAAAAHr+9Qk=")</f>
        <v>#VALUE!</v>
      </c>
      <c r="K6" t="e">
        <f>AND(Log!C208,"AAAAAHr+9Qo=")</f>
        <v>#VALUE!</v>
      </c>
      <c r="L6" t="e">
        <f>AND(Log!D208,"AAAAAHr+9Qs=")</f>
        <v>#VALUE!</v>
      </c>
      <c r="M6">
        <f>IF(Log!209:209,"AAAAAHr+9Qw=",0)</f>
        <v>0</v>
      </c>
      <c r="N6" t="b">
        <f>AND(Log!A209,"AAAAAHr+9Q0=")</f>
        <v>1</v>
      </c>
      <c r="O6" t="e">
        <f>AND(Log!B209,"AAAAAHr+9Q4=")</f>
        <v>#VALUE!</v>
      </c>
      <c r="P6" t="e">
        <f>AND(Log!C209,"AAAAAHr+9Q8=")</f>
        <v>#VALUE!</v>
      </c>
      <c r="Q6" t="e">
        <f>AND(Log!D209,"AAAAAHr+9RA=")</f>
        <v>#VALUE!</v>
      </c>
      <c r="R6">
        <f>IF(Log!210:210,"AAAAAHr+9RE=",0)</f>
        <v>0</v>
      </c>
      <c r="S6" t="b">
        <f>AND(Log!A210,"AAAAAHr+9RI=")</f>
        <v>1</v>
      </c>
      <c r="T6" t="e">
        <f>AND(Log!B210,"AAAAAHr+9RM=")</f>
        <v>#VALUE!</v>
      </c>
      <c r="U6" t="e">
        <f>AND(Log!C210,"AAAAAHr+9RQ=")</f>
        <v>#VALUE!</v>
      </c>
      <c r="V6" t="e">
        <f>AND(Log!D210,"AAAAAHr+9RU=")</f>
        <v>#VALUE!</v>
      </c>
      <c r="W6">
        <f>IF(Log!211:211,"AAAAAHr+9RY=",0)</f>
        <v>0</v>
      </c>
      <c r="X6" t="b">
        <f>AND(Log!A211,"AAAAAHr+9Rc=")</f>
        <v>1</v>
      </c>
      <c r="Y6" t="e">
        <f>AND(Log!B211,"AAAAAHr+9Rg=")</f>
        <v>#VALUE!</v>
      </c>
      <c r="Z6" t="e">
        <f>AND(Log!C211,"AAAAAHr+9Rk=")</f>
        <v>#VALUE!</v>
      </c>
      <c r="AA6" t="e">
        <f>AND(Log!D211,"AAAAAHr+9Ro=")</f>
        <v>#VALUE!</v>
      </c>
      <c r="AB6">
        <f>IF(Log!212:212,"AAAAAHr+9Rs=",0)</f>
        <v>0</v>
      </c>
      <c r="AC6" t="b">
        <f>AND(Log!A212,"AAAAAHr+9Rw=")</f>
        <v>1</v>
      </c>
      <c r="AD6" t="e">
        <f>AND(Log!B212,"AAAAAHr+9R0=")</f>
        <v>#VALUE!</v>
      </c>
      <c r="AE6" t="e">
        <f>AND(Log!C212,"AAAAAHr+9R4=")</f>
        <v>#VALUE!</v>
      </c>
      <c r="AF6" t="e">
        <f>AND(Log!D212,"AAAAAHr+9R8=")</f>
        <v>#VALUE!</v>
      </c>
      <c r="AG6">
        <f>IF(Log!213:213,"AAAAAHr+9SA=",0)</f>
        <v>0</v>
      </c>
      <c r="AH6" t="b">
        <f>AND(Log!A213,"AAAAAHr+9SE=")</f>
        <v>1</v>
      </c>
      <c r="AI6" t="e">
        <f>AND(Log!B213,"AAAAAHr+9SI=")</f>
        <v>#VALUE!</v>
      </c>
      <c r="AJ6" t="e">
        <f>AND(Log!C213,"AAAAAHr+9SM=")</f>
        <v>#VALUE!</v>
      </c>
      <c r="AK6" t="e">
        <f>AND(Log!D213,"AAAAAHr+9SQ=")</f>
        <v>#VALUE!</v>
      </c>
      <c r="AL6">
        <f>IF(Log!214:214,"AAAAAHr+9SU=",0)</f>
        <v>0</v>
      </c>
      <c r="AM6" t="b">
        <f>AND(Log!A214,"AAAAAHr+9SY=")</f>
        <v>1</v>
      </c>
      <c r="AN6" t="e">
        <f>AND(Log!B214,"AAAAAHr+9Sc=")</f>
        <v>#VALUE!</v>
      </c>
      <c r="AO6" t="e">
        <f>AND(Log!C214,"AAAAAHr+9Sg=")</f>
        <v>#VALUE!</v>
      </c>
      <c r="AP6" t="e">
        <f>AND(Log!D214,"AAAAAHr+9Sk=")</f>
        <v>#VALUE!</v>
      </c>
      <c r="AQ6">
        <f>IF(Log!215:215,"AAAAAHr+9So=",0)</f>
        <v>0</v>
      </c>
      <c r="AR6" t="b">
        <f>AND(Log!A215,"AAAAAHr+9Ss=")</f>
        <v>1</v>
      </c>
      <c r="AS6" t="e">
        <f>AND(Log!B215,"AAAAAHr+9Sw=")</f>
        <v>#VALUE!</v>
      </c>
      <c r="AT6" t="e">
        <f>AND(Log!C215,"AAAAAHr+9S0=")</f>
        <v>#VALUE!</v>
      </c>
      <c r="AU6" t="e">
        <f>AND(Log!D215,"AAAAAHr+9S4=")</f>
        <v>#VALUE!</v>
      </c>
      <c r="AV6">
        <f>IF(Log!216:216,"AAAAAHr+9S8=",0)</f>
        <v>0</v>
      </c>
      <c r="AW6" t="b">
        <f>AND(Log!A216,"AAAAAHr+9TA=")</f>
        <v>1</v>
      </c>
      <c r="AX6" t="e">
        <f>AND(Log!B216,"AAAAAHr+9TE=")</f>
        <v>#VALUE!</v>
      </c>
      <c r="AY6" t="e">
        <f>AND(Log!C216,"AAAAAHr+9TI=")</f>
        <v>#VALUE!</v>
      </c>
      <c r="AZ6" t="e">
        <f>AND(Log!D216,"AAAAAHr+9TM=")</f>
        <v>#VALUE!</v>
      </c>
      <c r="BA6">
        <f>IF(Log!217:217,"AAAAAHr+9TQ=",0)</f>
        <v>0</v>
      </c>
      <c r="BB6" t="b">
        <f>AND(Log!A217,"AAAAAHr+9TU=")</f>
        <v>1</v>
      </c>
      <c r="BC6" t="e">
        <f>AND(Log!B217,"AAAAAHr+9TY=")</f>
        <v>#VALUE!</v>
      </c>
      <c r="BD6" t="e">
        <f>AND(Log!C217,"AAAAAHr+9Tc=")</f>
        <v>#VALUE!</v>
      </c>
      <c r="BE6" t="e">
        <f>AND(Log!D217,"AAAAAHr+9Tg=")</f>
        <v>#VALUE!</v>
      </c>
      <c r="BF6">
        <f>IF(Log!218:218,"AAAAAHr+9Tk=",0)</f>
        <v>0</v>
      </c>
      <c r="BG6" t="b">
        <f>AND(Log!A218,"AAAAAHr+9To=")</f>
        <v>1</v>
      </c>
      <c r="BH6" t="e">
        <f>AND(Log!B218,"AAAAAHr+9Ts=")</f>
        <v>#VALUE!</v>
      </c>
      <c r="BI6" t="e">
        <f>AND(Log!C218,"AAAAAHr+9Tw=")</f>
        <v>#VALUE!</v>
      </c>
      <c r="BJ6" t="e">
        <f>AND(Log!D218,"AAAAAHr+9T0=")</f>
        <v>#VALUE!</v>
      </c>
      <c r="BK6">
        <f>IF(Log!219:219,"AAAAAHr+9T4=",0)</f>
        <v>0</v>
      </c>
      <c r="BL6" t="b">
        <f>AND(Log!A219,"AAAAAHr+9T8=")</f>
        <v>1</v>
      </c>
      <c r="BM6" t="e">
        <f>AND(Log!B219,"AAAAAHr+9UA=")</f>
        <v>#VALUE!</v>
      </c>
      <c r="BN6" t="e">
        <f>AND(Log!C219,"AAAAAHr+9UE=")</f>
        <v>#VALUE!</v>
      </c>
      <c r="BO6" t="e">
        <f>AND(Log!D219,"AAAAAHr+9UI=")</f>
        <v>#VALUE!</v>
      </c>
      <c r="BP6">
        <f>IF(Log!220:220,"AAAAAHr+9UM=",0)</f>
        <v>0</v>
      </c>
      <c r="BQ6" t="b">
        <f>AND(Log!A220,"AAAAAHr+9UQ=")</f>
        <v>1</v>
      </c>
      <c r="BR6" t="e">
        <f>AND(Log!B220,"AAAAAHr+9UU=")</f>
        <v>#VALUE!</v>
      </c>
      <c r="BS6" t="e">
        <f>AND(Log!C220,"AAAAAHr+9UY=")</f>
        <v>#VALUE!</v>
      </c>
      <c r="BT6" t="e">
        <f>AND(Log!D220,"AAAAAHr+9Uc=")</f>
        <v>#VALUE!</v>
      </c>
      <c r="BU6">
        <f>IF(Log!221:221,"AAAAAHr+9Ug=",0)</f>
        <v>0</v>
      </c>
      <c r="BV6" t="b">
        <f>AND(Log!A221,"AAAAAHr+9Uk=")</f>
        <v>1</v>
      </c>
      <c r="BW6" t="e">
        <f>AND(Log!B221,"AAAAAHr+9Uo=")</f>
        <v>#VALUE!</v>
      </c>
      <c r="BX6" t="e">
        <f>AND(Log!C221,"AAAAAHr+9Us=")</f>
        <v>#VALUE!</v>
      </c>
      <c r="BY6" t="e">
        <f>AND(Log!D221,"AAAAAHr+9Uw=")</f>
        <v>#VALUE!</v>
      </c>
      <c r="BZ6">
        <f>IF(Log!222:222,"AAAAAHr+9U0=",0)</f>
        <v>0</v>
      </c>
      <c r="CA6" t="b">
        <f>AND(Log!A222,"AAAAAHr+9U4=")</f>
        <v>1</v>
      </c>
      <c r="CB6" t="e">
        <f>AND(Log!B222,"AAAAAHr+9U8=")</f>
        <v>#VALUE!</v>
      </c>
      <c r="CC6" t="e">
        <f>AND(Log!C222,"AAAAAHr+9VA=")</f>
        <v>#VALUE!</v>
      </c>
      <c r="CD6" t="e">
        <f>AND(Log!D222,"AAAAAHr+9VE=")</f>
        <v>#VALUE!</v>
      </c>
      <c r="CE6">
        <f>IF(Log!223:223,"AAAAAHr+9VI=",0)</f>
        <v>0</v>
      </c>
      <c r="CF6" t="b">
        <f>AND(Log!A223,"AAAAAHr+9VM=")</f>
        <v>1</v>
      </c>
      <c r="CG6" t="e">
        <f>AND(Log!B223,"AAAAAHr+9VQ=")</f>
        <v>#VALUE!</v>
      </c>
      <c r="CH6" t="e">
        <f>AND(Log!C223,"AAAAAHr+9VU=")</f>
        <v>#VALUE!</v>
      </c>
      <c r="CI6" t="e">
        <f>AND(Log!D223,"AAAAAHr+9VY=")</f>
        <v>#VALUE!</v>
      </c>
      <c r="CJ6">
        <f>IF(Log!224:224,"AAAAAHr+9Vc=",0)</f>
        <v>0</v>
      </c>
      <c r="CK6" t="b">
        <f>AND(Log!A224,"AAAAAHr+9Vg=")</f>
        <v>1</v>
      </c>
      <c r="CL6" t="e">
        <f>AND(Log!B224,"AAAAAHr+9Vk=")</f>
        <v>#VALUE!</v>
      </c>
      <c r="CM6" t="e">
        <f>AND(Log!C224,"AAAAAHr+9Vo=")</f>
        <v>#VALUE!</v>
      </c>
      <c r="CN6" t="e">
        <f>AND(Log!D224,"AAAAAHr+9Vs=")</f>
        <v>#VALUE!</v>
      </c>
      <c r="CO6">
        <f>IF(Log!225:225,"AAAAAHr+9Vw=",0)</f>
        <v>0</v>
      </c>
      <c r="CP6" t="b">
        <f>AND(Log!A225,"AAAAAHr+9V0=")</f>
        <v>1</v>
      </c>
      <c r="CQ6" t="e">
        <f>AND(Log!B225,"AAAAAHr+9V4=")</f>
        <v>#VALUE!</v>
      </c>
      <c r="CR6" t="e">
        <f>AND(Log!C225,"AAAAAHr+9V8=")</f>
        <v>#VALUE!</v>
      </c>
      <c r="CS6" t="e">
        <f>AND(Log!D225,"AAAAAHr+9WA=")</f>
        <v>#VALUE!</v>
      </c>
      <c r="CT6">
        <f>IF(Log!226:226,"AAAAAHr+9WE=",0)</f>
        <v>0</v>
      </c>
      <c r="CU6" t="b">
        <f>AND(Log!A226,"AAAAAHr+9WI=")</f>
        <v>1</v>
      </c>
      <c r="CV6" t="e">
        <f>AND(Log!B226,"AAAAAHr+9WM=")</f>
        <v>#VALUE!</v>
      </c>
      <c r="CW6" t="e">
        <f>AND(Log!C226,"AAAAAHr+9WQ=")</f>
        <v>#VALUE!</v>
      </c>
      <c r="CX6" t="e">
        <f>AND(Log!D226,"AAAAAHr+9WU=")</f>
        <v>#VALUE!</v>
      </c>
      <c r="CY6">
        <f>IF(Log!227:227,"AAAAAHr+9WY=",0)</f>
        <v>0</v>
      </c>
      <c r="CZ6" t="b">
        <f>AND(Log!A227,"AAAAAHr+9Wc=")</f>
        <v>1</v>
      </c>
      <c r="DA6" t="e">
        <f>AND(Log!B227,"AAAAAHr+9Wg=")</f>
        <v>#VALUE!</v>
      </c>
      <c r="DB6" t="e">
        <f>AND(Log!C227,"AAAAAHr+9Wk=")</f>
        <v>#VALUE!</v>
      </c>
      <c r="DC6" t="e">
        <f>AND(Log!D227,"AAAAAHr+9Wo=")</f>
        <v>#VALUE!</v>
      </c>
      <c r="DD6">
        <f>IF(Log!228:228,"AAAAAHr+9Ws=",0)</f>
        <v>0</v>
      </c>
      <c r="DE6" t="b">
        <f>AND(Log!A228,"AAAAAHr+9Ww=")</f>
        <v>1</v>
      </c>
      <c r="DF6" t="e">
        <f>AND(Log!B228,"AAAAAHr+9W0=")</f>
        <v>#VALUE!</v>
      </c>
      <c r="DG6" t="e">
        <f>AND(Log!C228,"AAAAAHr+9W4=")</f>
        <v>#VALUE!</v>
      </c>
      <c r="DH6" t="e">
        <f>AND(Log!D228,"AAAAAHr+9W8=")</f>
        <v>#VALUE!</v>
      </c>
      <c r="DI6">
        <f>IF(Log!229:229,"AAAAAHr+9XA=",0)</f>
        <v>0</v>
      </c>
      <c r="DJ6" t="b">
        <f>AND(Log!A229,"AAAAAHr+9XE=")</f>
        <v>1</v>
      </c>
      <c r="DK6" t="e">
        <f>AND(Log!B229,"AAAAAHr+9XI=")</f>
        <v>#VALUE!</v>
      </c>
      <c r="DL6" t="e">
        <f>AND(Log!C229,"AAAAAHr+9XM=")</f>
        <v>#VALUE!</v>
      </c>
      <c r="DM6" t="e">
        <f>AND(Log!D229,"AAAAAHr+9XQ=")</f>
        <v>#VALUE!</v>
      </c>
      <c r="DN6">
        <f>IF(Log!230:230,"AAAAAHr+9XU=",0)</f>
        <v>0</v>
      </c>
      <c r="DO6" t="b">
        <f>AND(Log!A230,"AAAAAHr+9XY=")</f>
        <v>1</v>
      </c>
      <c r="DP6" t="e">
        <f>AND(Log!B230,"AAAAAHr+9Xc=")</f>
        <v>#VALUE!</v>
      </c>
      <c r="DQ6" t="e">
        <f>AND(Log!C230,"AAAAAHr+9Xg=")</f>
        <v>#VALUE!</v>
      </c>
      <c r="DR6" t="e">
        <f>AND(Log!D230,"AAAAAHr+9Xk=")</f>
        <v>#VALUE!</v>
      </c>
      <c r="DS6">
        <f>IF(Log!231:231,"AAAAAHr+9Xo=",0)</f>
        <v>0</v>
      </c>
      <c r="DT6" t="b">
        <f>AND(Log!A231,"AAAAAHr+9Xs=")</f>
        <v>1</v>
      </c>
      <c r="DU6" t="e">
        <f>AND(Log!B231,"AAAAAHr+9Xw=")</f>
        <v>#VALUE!</v>
      </c>
      <c r="DV6" t="e">
        <f>AND(Log!C231,"AAAAAHr+9X0=")</f>
        <v>#VALUE!</v>
      </c>
      <c r="DW6" t="e">
        <f>AND(Log!D231,"AAAAAHr+9X4=")</f>
        <v>#VALUE!</v>
      </c>
      <c r="DX6">
        <f>IF(Log!232:232,"AAAAAHr+9X8=",0)</f>
        <v>0</v>
      </c>
      <c r="DY6" t="b">
        <f>AND(Log!A232,"AAAAAHr+9YA=")</f>
        <v>1</v>
      </c>
      <c r="DZ6" t="e">
        <f>AND(Log!B232,"AAAAAHr+9YE=")</f>
        <v>#VALUE!</v>
      </c>
      <c r="EA6" t="e">
        <f>AND(Log!C232,"AAAAAHr+9YI=")</f>
        <v>#VALUE!</v>
      </c>
      <c r="EB6" t="e">
        <f>AND(Log!D232,"AAAAAHr+9YM=")</f>
        <v>#VALUE!</v>
      </c>
      <c r="EC6">
        <f>IF(Log!233:233,"AAAAAHr+9YQ=",0)</f>
        <v>0</v>
      </c>
      <c r="ED6" t="b">
        <f>AND(Log!A233,"AAAAAHr+9YU=")</f>
        <v>1</v>
      </c>
      <c r="EE6" t="e">
        <f>AND(Log!B233,"AAAAAHr+9YY=")</f>
        <v>#VALUE!</v>
      </c>
      <c r="EF6" t="e">
        <f>AND(Log!C233,"AAAAAHr+9Yc=")</f>
        <v>#VALUE!</v>
      </c>
      <c r="EG6" t="e">
        <f>AND(Log!D233,"AAAAAHr+9Yg=")</f>
        <v>#VALUE!</v>
      </c>
      <c r="EH6">
        <f>IF(Log!234:234,"AAAAAHr+9Yk=",0)</f>
        <v>0</v>
      </c>
      <c r="EI6" t="b">
        <f>AND(Log!A234,"AAAAAHr+9Yo=")</f>
        <v>1</v>
      </c>
      <c r="EJ6" t="e">
        <f>AND(Log!B234,"AAAAAHr+9Ys=")</f>
        <v>#VALUE!</v>
      </c>
      <c r="EK6" t="e">
        <f>AND(Log!C234,"AAAAAHr+9Yw=")</f>
        <v>#VALUE!</v>
      </c>
      <c r="EL6" t="e">
        <f>AND(Log!D234,"AAAAAHr+9Y0=")</f>
        <v>#VALUE!</v>
      </c>
      <c r="EM6">
        <f>IF(Log!235:235,"AAAAAHr+9Y4=",0)</f>
        <v>0</v>
      </c>
      <c r="EN6" t="b">
        <f>AND(Log!A235,"AAAAAHr+9Y8=")</f>
        <v>1</v>
      </c>
      <c r="EO6" t="e">
        <f>AND(Log!B235,"AAAAAHr+9ZA=")</f>
        <v>#VALUE!</v>
      </c>
      <c r="EP6" t="e">
        <f>AND(Log!C235,"AAAAAHr+9ZE=")</f>
        <v>#VALUE!</v>
      </c>
      <c r="EQ6" t="e">
        <f>AND(Log!D235,"AAAAAHr+9ZI=")</f>
        <v>#VALUE!</v>
      </c>
      <c r="ER6">
        <f>IF(Log!236:236,"AAAAAHr+9ZM=",0)</f>
        <v>0</v>
      </c>
      <c r="ES6" t="b">
        <f>AND(Log!A236,"AAAAAHr+9ZQ=")</f>
        <v>1</v>
      </c>
      <c r="ET6" t="e">
        <f>AND(Log!B236,"AAAAAHr+9ZU=")</f>
        <v>#VALUE!</v>
      </c>
      <c r="EU6" t="e">
        <f>AND(Log!C236,"AAAAAHr+9ZY=")</f>
        <v>#VALUE!</v>
      </c>
      <c r="EV6" t="e">
        <f>AND(Log!D236,"AAAAAHr+9Zc=")</f>
        <v>#VALUE!</v>
      </c>
      <c r="EW6">
        <f>IF(Log!237:237,"AAAAAHr+9Zg=",0)</f>
        <v>0</v>
      </c>
      <c r="EX6" t="b">
        <f>AND(Log!A237,"AAAAAHr+9Zk=")</f>
        <v>1</v>
      </c>
      <c r="EY6" t="e">
        <f>AND(Log!B237,"AAAAAHr+9Zo=")</f>
        <v>#VALUE!</v>
      </c>
      <c r="EZ6" t="e">
        <f>AND(Log!C237,"AAAAAHr+9Zs=")</f>
        <v>#VALUE!</v>
      </c>
      <c r="FA6" t="e">
        <f>AND(Log!D237,"AAAAAHr+9Zw=")</f>
        <v>#VALUE!</v>
      </c>
      <c r="FB6">
        <f>IF(Log!238:238,"AAAAAHr+9Z0=",0)</f>
        <v>0</v>
      </c>
      <c r="FC6" t="b">
        <f>AND(Log!A238,"AAAAAHr+9Z4=")</f>
        <v>1</v>
      </c>
      <c r="FD6" t="e">
        <f>AND(Log!B238,"AAAAAHr+9Z8=")</f>
        <v>#VALUE!</v>
      </c>
      <c r="FE6" t="e">
        <f>AND(Log!C238,"AAAAAHr+9aA=")</f>
        <v>#VALUE!</v>
      </c>
      <c r="FF6" t="e">
        <f>AND(Log!D238,"AAAAAHr+9aE=")</f>
        <v>#VALUE!</v>
      </c>
      <c r="FG6">
        <f>IF(Log!239:239,"AAAAAHr+9aI=",0)</f>
        <v>0</v>
      </c>
      <c r="FH6" t="b">
        <f>AND(Log!A239,"AAAAAHr+9aM=")</f>
        <v>1</v>
      </c>
      <c r="FI6" t="e">
        <f>AND(Log!B239,"AAAAAHr+9aQ=")</f>
        <v>#VALUE!</v>
      </c>
      <c r="FJ6" t="e">
        <f>AND(Log!C239,"AAAAAHr+9aU=")</f>
        <v>#VALUE!</v>
      </c>
      <c r="FK6" t="e">
        <f>AND(Log!D239,"AAAAAHr+9aY=")</f>
        <v>#VALUE!</v>
      </c>
      <c r="FL6">
        <f>IF(Log!240:240,"AAAAAHr+9ac=",0)</f>
        <v>0</v>
      </c>
      <c r="FM6" t="b">
        <f>AND(Log!A240,"AAAAAHr+9ag=")</f>
        <v>1</v>
      </c>
      <c r="FN6" t="e">
        <f>AND(Log!B240,"AAAAAHr+9ak=")</f>
        <v>#VALUE!</v>
      </c>
      <c r="FO6" t="e">
        <f>AND(Log!C240,"AAAAAHr+9ao=")</f>
        <v>#VALUE!</v>
      </c>
      <c r="FP6" t="e">
        <f>AND(Log!D240,"AAAAAHr+9as=")</f>
        <v>#VALUE!</v>
      </c>
      <c r="FQ6">
        <f>IF(Log!241:241,"AAAAAHr+9aw=",0)</f>
        <v>0</v>
      </c>
      <c r="FR6" t="b">
        <f>AND(Log!A241,"AAAAAHr+9a0=")</f>
        <v>1</v>
      </c>
      <c r="FS6" t="e">
        <f>AND(Log!B241,"AAAAAHr+9a4=")</f>
        <v>#VALUE!</v>
      </c>
      <c r="FT6" t="e">
        <f>AND(Log!C241,"AAAAAHr+9a8=")</f>
        <v>#VALUE!</v>
      </c>
      <c r="FU6" t="e">
        <f>AND(Log!D241,"AAAAAHr+9bA=")</f>
        <v>#VALUE!</v>
      </c>
      <c r="FV6">
        <f>IF(Log!242:242,"AAAAAHr+9bE=",0)</f>
        <v>0</v>
      </c>
      <c r="FW6" t="b">
        <f>AND(Log!A242,"AAAAAHr+9bI=")</f>
        <v>1</v>
      </c>
      <c r="FX6" t="e">
        <f>AND(Log!B242,"AAAAAHr+9bM=")</f>
        <v>#VALUE!</v>
      </c>
      <c r="FY6" t="e">
        <f>AND(Log!C242,"AAAAAHr+9bQ=")</f>
        <v>#VALUE!</v>
      </c>
      <c r="FZ6" t="e">
        <f>AND(Log!D242,"AAAAAHr+9bU=")</f>
        <v>#VALUE!</v>
      </c>
      <c r="GA6">
        <f>IF(Log!243:243,"AAAAAHr+9bY=",0)</f>
        <v>0</v>
      </c>
      <c r="GB6" t="b">
        <f>AND(Log!A243,"AAAAAHr+9bc=")</f>
        <v>1</v>
      </c>
      <c r="GC6" t="e">
        <f>AND(Log!B243,"AAAAAHr+9bg=")</f>
        <v>#VALUE!</v>
      </c>
      <c r="GD6" t="e">
        <f>AND(Log!C243,"AAAAAHr+9bk=")</f>
        <v>#VALUE!</v>
      </c>
      <c r="GE6" t="e">
        <f>AND(Log!D243,"AAAAAHr+9bo=")</f>
        <v>#VALUE!</v>
      </c>
      <c r="GF6">
        <f>IF(Log!244:244,"AAAAAHr+9bs=",0)</f>
        <v>0</v>
      </c>
      <c r="GG6" t="b">
        <f>AND(Log!A244,"AAAAAHr+9bw=")</f>
        <v>1</v>
      </c>
      <c r="GH6" t="e">
        <f>AND(Log!B244,"AAAAAHr+9b0=")</f>
        <v>#VALUE!</v>
      </c>
      <c r="GI6" t="e">
        <f>AND(Log!C244,"AAAAAHr+9b4=")</f>
        <v>#VALUE!</v>
      </c>
      <c r="GJ6" t="e">
        <f>AND(Log!D244,"AAAAAHr+9b8=")</f>
        <v>#VALUE!</v>
      </c>
      <c r="GK6">
        <f>IF(Log!245:245,"AAAAAHr+9cA=",0)</f>
        <v>0</v>
      </c>
      <c r="GL6" t="b">
        <f>AND(Log!A245,"AAAAAHr+9cE=")</f>
        <v>1</v>
      </c>
      <c r="GM6" t="e">
        <f>AND(Log!B245,"AAAAAHr+9cI=")</f>
        <v>#VALUE!</v>
      </c>
      <c r="GN6" t="e">
        <f>AND(Log!C245,"AAAAAHr+9cM=")</f>
        <v>#VALUE!</v>
      </c>
      <c r="GO6" t="e">
        <f>AND(Log!D245,"AAAAAHr+9cQ=")</f>
        <v>#VALUE!</v>
      </c>
      <c r="GP6">
        <f>IF(Log!246:246,"AAAAAHr+9cU=",0)</f>
        <v>0</v>
      </c>
      <c r="GQ6" t="b">
        <f>AND(Log!A246,"AAAAAHr+9cY=")</f>
        <v>1</v>
      </c>
      <c r="GR6" t="e">
        <f>AND(Log!B246,"AAAAAHr+9cc=")</f>
        <v>#VALUE!</v>
      </c>
      <c r="GS6" t="e">
        <f>AND(Log!C246,"AAAAAHr+9cg=")</f>
        <v>#VALUE!</v>
      </c>
      <c r="GT6" t="e">
        <f>AND(Log!D246,"AAAAAHr+9ck=")</f>
        <v>#VALUE!</v>
      </c>
      <c r="GU6">
        <f>IF(Log!247:247,"AAAAAHr+9co=",0)</f>
        <v>0</v>
      </c>
      <c r="GV6" t="b">
        <f>AND(Log!A247,"AAAAAHr+9cs=")</f>
        <v>1</v>
      </c>
      <c r="GW6" t="e">
        <f>AND(Log!B247,"AAAAAHr+9cw=")</f>
        <v>#VALUE!</v>
      </c>
      <c r="GX6" t="e">
        <f>AND(Log!C247,"AAAAAHr+9c0=")</f>
        <v>#VALUE!</v>
      </c>
      <c r="GY6" t="e">
        <f>AND(Log!D247,"AAAAAHr+9c4=")</f>
        <v>#VALUE!</v>
      </c>
      <c r="GZ6">
        <f>IF(Log!248:248,"AAAAAHr+9c8=",0)</f>
        <v>0</v>
      </c>
      <c r="HA6" t="b">
        <f>AND(Log!A248,"AAAAAHr+9dA=")</f>
        <v>1</v>
      </c>
      <c r="HB6" t="e">
        <f>AND(Log!B248,"AAAAAHr+9dE=")</f>
        <v>#VALUE!</v>
      </c>
      <c r="HC6" t="e">
        <f>AND(Log!C248,"AAAAAHr+9dI=")</f>
        <v>#VALUE!</v>
      </c>
      <c r="HD6" t="e">
        <f>AND(Log!D248,"AAAAAHr+9dM=")</f>
        <v>#VALUE!</v>
      </c>
      <c r="HE6">
        <f>IF(Log!249:249,"AAAAAHr+9dQ=",0)</f>
        <v>0</v>
      </c>
      <c r="HF6" t="b">
        <f>AND(Log!A249,"AAAAAHr+9dU=")</f>
        <v>1</v>
      </c>
      <c r="HG6" t="e">
        <f>AND(Log!B249,"AAAAAHr+9dY=")</f>
        <v>#VALUE!</v>
      </c>
      <c r="HH6" t="e">
        <f>AND(Log!C249,"AAAAAHr+9dc=")</f>
        <v>#VALUE!</v>
      </c>
      <c r="HI6" t="e">
        <f>AND(Log!D249,"AAAAAHr+9dg=")</f>
        <v>#VALUE!</v>
      </c>
      <c r="HJ6">
        <f>IF(Log!250:250,"AAAAAHr+9dk=",0)</f>
        <v>0</v>
      </c>
      <c r="HK6" t="b">
        <f>AND(Log!A250,"AAAAAHr+9do=")</f>
        <v>1</v>
      </c>
      <c r="HL6" t="e">
        <f>AND(Log!B250,"AAAAAHr+9ds=")</f>
        <v>#VALUE!</v>
      </c>
      <c r="HM6" t="e">
        <f>AND(Log!C250,"AAAAAHr+9dw=")</f>
        <v>#VALUE!</v>
      </c>
      <c r="HN6" t="e">
        <f>AND(Log!D250,"AAAAAHr+9d0=")</f>
        <v>#VALUE!</v>
      </c>
      <c r="HO6">
        <f>IF(Log!251:251,"AAAAAHr+9d4=",0)</f>
        <v>0</v>
      </c>
      <c r="HP6" t="b">
        <f>AND(Log!A251,"AAAAAHr+9d8=")</f>
        <v>1</v>
      </c>
      <c r="HQ6" t="e">
        <f>AND(Log!B251,"AAAAAHr+9eA=")</f>
        <v>#VALUE!</v>
      </c>
      <c r="HR6" t="e">
        <f>AND(Log!C251,"AAAAAHr+9eE=")</f>
        <v>#VALUE!</v>
      </c>
      <c r="HS6" t="e">
        <f>AND(Log!D251,"AAAAAHr+9eI=")</f>
        <v>#VALUE!</v>
      </c>
      <c r="HT6">
        <f>IF(Log!252:252,"AAAAAHr+9eM=",0)</f>
        <v>0</v>
      </c>
      <c r="HU6" t="b">
        <f>AND(Log!A252,"AAAAAHr+9eQ=")</f>
        <v>1</v>
      </c>
      <c r="HV6" t="e">
        <f>AND(Log!B252,"AAAAAHr+9eU=")</f>
        <v>#VALUE!</v>
      </c>
      <c r="HW6" t="e">
        <f>AND(Log!C252,"AAAAAHr+9eY=")</f>
        <v>#VALUE!</v>
      </c>
      <c r="HX6" t="e">
        <f>AND(Log!D252,"AAAAAHr+9ec=")</f>
        <v>#VALUE!</v>
      </c>
      <c r="HY6">
        <f>IF(Log!253:253,"AAAAAHr+9eg=",0)</f>
        <v>0</v>
      </c>
      <c r="HZ6" t="b">
        <f>AND(Log!A253,"AAAAAHr+9ek=")</f>
        <v>1</v>
      </c>
      <c r="IA6" t="e">
        <f>AND(Log!B253,"AAAAAHr+9eo=")</f>
        <v>#VALUE!</v>
      </c>
      <c r="IB6" t="e">
        <f>AND(Log!C253,"AAAAAHr+9es=")</f>
        <v>#VALUE!</v>
      </c>
      <c r="IC6" t="e">
        <f>AND(Log!D253,"AAAAAHr+9ew=")</f>
        <v>#VALUE!</v>
      </c>
      <c r="ID6">
        <f>IF(Log!254:254,"AAAAAHr+9e0=",0)</f>
        <v>0</v>
      </c>
      <c r="IE6" t="b">
        <f>AND(Log!A254,"AAAAAHr+9e4=")</f>
        <v>1</v>
      </c>
      <c r="IF6" t="e">
        <f>AND(Log!B254,"AAAAAHr+9e8=")</f>
        <v>#VALUE!</v>
      </c>
      <c r="IG6" t="e">
        <f>AND(Log!C254,"AAAAAHr+9fA=")</f>
        <v>#VALUE!</v>
      </c>
      <c r="IH6" t="e">
        <f>AND(Log!D254,"AAAAAHr+9fE=")</f>
        <v>#VALUE!</v>
      </c>
      <c r="II6">
        <f>IF(Log!255:255,"AAAAAHr+9fI=",0)</f>
        <v>0</v>
      </c>
      <c r="IJ6" t="b">
        <f>AND(Log!A255,"AAAAAHr+9fM=")</f>
        <v>1</v>
      </c>
      <c r="IK6" t="e">
        <f>AND(Log!B255,"AAAAAHr+9fQ=")</f>
        <v>#VALUE!</v>
      </c>
      <c r="IL6" t="e">
        <f>AND(Log!C255,"AAAAAHr+9fU=")</f>
        <v>#VALUE!</v>
      </c>
      <c r="IM6" t="e">
        <f>AND(Log!D255,"AAAAAHr+9fY=")</f>
        <v>#VALUE!</v>
      </c>
      <c r="IN6">
        <f>IF(Log!256:256,"AAAAAHr+9fc=",0)</f>
        <v>0</v>
      </c>
      <c r="IO6" t="b">
        <f>AND(Log!A256,"AAAAAHr+9fg=")</f>
        <v>1</v>
      </c>
      <c r="IP6" t="e">
        <f>AND(Log!B256,"AAAAAHr+9fk=")</f>
        <v>#VALUE!</v>
      </c>
      <c r="IQ6" t="e">
        <f>AND(Log!C256,"AAAAAHr+9fo=")</f>
        <v>#VALUE!</v>
      </c>
      <c r="IR6" t="e">
        <f>AND(Log!D256,"AAAAAHr+9fs=")</f>
        <v>#VALUE!</v>
      </c>
      <c r="IS6">
        <f>IF(Log!257:257,"AAAAAHr+9fw=",0)</f>
        <v>0</v>
      </c>
      <c r="IT6" t="b">
        <f>AND(Log!A257,"AAAAAHr+9f0=")</f>
        <v>1</v>
      </c>
      <c r="IU6" t="e">
        <f>AND(Log!B257,"AAAAAHr+9f4=")</f>
        <v>#VALUE!</v>
      </c>
      <c r="IV6" t="e">
        <f>AND(Log!C257,"AAAAAHr+9f8=")</f>
        <v>#VALUE!</v>
      </c>
    </row>
    <row r="7" spans="1:256" x14ac:dyDescent="0.25">
      <c r="A7" t="e">
        <f>AND(Log!D257,"AAAAAC7/0wA=")</f>
        <v>#VALUE!</v>
      </c>
      <c r="B7" t="e">
        <f>IF(Log!258:258,"AAAAAC7/0wE=",0)</f>
        <v>#VALUE!</v>
      </c>
      <c r="C7" t="b">
        <f>AND(Log!A258,"AAAAAC7/0wI=")</f>
        <v>1</v>
      </c>
      <c r="D7" t="e">
        <f>AND(Log!B258,"AAAAAC7/0wM=")</f>
        <v>#VALUE!</v>
      </c>
      <c r="E7" t="e">
        <f>AND(Log!C258,"AAAAAC7/0wQ=")</f>
        <v>#VALUE!</v>
      </c>
      <c r="F7" t="e">
        <f>AND(Log!D258,"AAAAAC7/0wU=")</f>
        <v>#VALUE!</v>
      </c>
      <c r="G7">
        <f>IF(Log!259:259,"AAAAAC7/0wY=",0)</f>
        <v>0</v>
      </c>
      <c r="H7" t="b">
        <f>AND(Log!A259,"AAAAAC7/0wc=")</f>
        <v>1</v>
      </c>
      <c r="I7" t="e">
        <f>AND(Log!B259,"AAAAAC7/0wg=")</f>
        <v>#VALUE!</v>
      </c>
      <c r="J7" t="e">
        <f>AND(Log!C259,"AAAAAC7/0wk=")</f>
        <v>#VALUE!</v>
      </c>
      <c r="K7" t="e">
        <f>AND(Log!D259,"AAAAAC7/0wo=")</f>
        <v>#VALUE!</v>
      </c>
      <c r="L7">
        <f>IF(Log!260:260,"AAAAAC7/0ws=",0)</f>
        <v>0</v>
      </c>
      <c r="M7" t="b">
        <f>AND(Log!A260,"AAAAAC7/0ww=")</f>
        <v>1</v>
      </c>
      <c r="N7" t="e">
        <f>AND(Log!B260,"AAAAAC7/0w0=")</f>
        <v>#VALUE!</v>
      </c>
      <c r="O7" t="e">
        <f>AND(Log!C260,"AAAAAC7/0w4=")</f>
        <v>#VALUE!</v>
      </c>
      <c r="P7" t="e">
        <f>AND(Log!D260,"AAAAAC7/0w8=")</f>
        <v>#VALUE!</v>
      </c>
      <c r="Q7">
        <f>IF(Log!261:261,"AAAAAC7/0xA=",0)</f>
        <v>0</v>
      </c>
      <c r="R7" t="b">
        <f>AND(Log!A261,"AAAAAC7/0xE=")</f>
        <v>1</v>
      </c>
      <c r="S7" t="e">
        <f>AND(Log!B261,"AAAAAC7/0xI=")</f>
        <v>#VALUE!</v>
      </c>
      <c r="T7" t="e">
        <f>AND(Log!C261,"AAAAAC7/0xM=")</f>
        <v>#VALUE!</v>
      </c>
      <c r="U7" t="e">
        <f>AND(Log!D261,"AAAAAC7/0xQ=")</f>
        <v>#VALUE!</v>
      </c>
      <c r="V7">
        <f>IF(Log!262:262,"AAAAAC7/0xU=",0)</f>
        <v>0</v>
      </c>
      <c r="W7" t="b">
        <f>AND(Log!A262,"AAAAAC7/0xY=")</f>
        <v>1</v>
      </c>
      <c r="X7" t="e">
        <f>AND(Log!B262,"AAAAAC7/0xc=")</f>
        <v>#VALUE!</v>
      </c>
      <c r="Y7" t="e">
        <f>AND(Log!C262,"AAAAAC7/0xg=")</f>
        <v>#VALUE!</v>
      </c>
      <c r="Z7" t="e">
        <f>AND(Log!D262,"AAAAAC7/0xk=")</f>
        <v>#VALUE!</v>
      </c>
      <c r="AA7">
        <f>IF(Log!263:263,"AAAAAC7/0xo=",0)</f>
        <v>0</v>
      </c>
      <c r="AB7" t="b">
        <f>AND(Log!A263,"AAAAAC7/0xs=")</f>
        <v>1</v>
      </c>
      <c r="AC7" t="e">
        <f>AND(Log!B263,"AAAAAC7/0xw=")</f>
        <v>#VALUE!</v>
      </c>
      <c r="AD7" t="e">
        <f>AND(Log!C263,"AAAAAC7/0x0=")</f>
        <v>#VALUE!</v>
      </c>
      <c r="AE7" t="e">
        <f>AND(Log!D263,"AAAAAC7/0x4=")</f>
        <v>#VALUE!</v>
      </c>
      <c r="AF7">
        <f>IF(Log!264:264,"AAAAAC7/0x8=",0)</f>
        <v>0</v>
      </c>
      <c r="AG7" t="b">
        <f>AND(Log!A264,"AAAAAC7/0yA=")</f>
        <v>1</v>
      </c>
      <c r="AH7" t="e">
        <f>AND(Log!B264,"AAAAAC7/0yE=")</f>
        <v>#VALUE!</v>
      </c>
      <c r="AI7" t="e">
        <f>AND(Log!C264,"AAAAAC7/0yI=")</f>
        <v>#VALUE!</v>
      </c>
      <c r="AJ7" t="e">
        <f>AND(Log!D264,"AAAAAC7/0yM=")</f>
        <v>#VALUE!</v>
      </c>
      <c r="AK7">
        <f>IF(Log!265:265,"AAAAAC7/0yQ=",0)</f>
        <v>0</v>
      </c>
      <c r="AL7" t="b">
        <f>AND(Log!A265,"AAAAAC7/0yU=")</f>
        <v>1</v>
      </c>
      <c r="AM7" t="e">
        <f>AND(Log!B265,"AAAAAC7/0yY=")</f>
        <v>#VALUE!</v>
      </c>
      <c r="AN7" t="e">
        <f>AND(Log!C265,"AAAAAC7/0yc=")</f>
        <v>#VALUE!</v>
      </c>
      <c r="AO7" t="e">
        <f>AND(Log!D265,"AAAAAC7/0yg=")</f>
        <v>#VALUE!</v>
      </c>
      <c r="AP7">
        <f>IF(Log!266:266,"AAAAAC7/0yk=",0)</f>
        <v>0</v>
      </c>
      <c r="AQ7" t="b">
        <f>AND(Log!A266,"AAAAAC7/0yo=")</f>
        <v>1</v>
      </c>
      <c r="AR7" t="e">
        <f>AND(Log!B266,"AAAAAC7/0ys=")</f>
        <v>#VALUE!</v>
      </c>
      <c r="AS7" t="e">
        <f>AND(Log!C266,"AAAAAC7/0yw=")</f>
        <v>#VALUE!</v>
      </c>
      <c r="AT7" t="e">
        <f>AND(Log!D266,"AAAAAC7/0y0=")</f>
        <v>#VALUE!</v>
      </c>
      <c r="AU7">
        <f>IF(Log!267:267,"AAAAAC7/0y4=",0)</f>
        <v>0</v>
      </c>
      <c r="AV7" t="b">
        <f>AND(Log!A267,"AAAAAC7/0y8=")</f>
        <v>1</v>
      </c>
      <c r="AW7" t="e">
        <f>AND(Log!B267,"AAAAAC7/0zA=")</f>
        <v>#VALUE!</v>
      </c>
      <c r="AX7" t="e">
        <f>AND(Log!C267,"AAAAAC7/0zE=")</f>
        <v>#VALUE!</v>
      </c>
      <c r="AY7" t="e">
        <f>AND(Log!D267,"AAAAAC7/0zI=")</f>
        <v>#VALUE!</v>
      </c>
      <c r="AZ7">
        <f>IF(Log!268:268,"AAAAAC7/0zM=",0)</f>
        <v>0</v>
      </c>
      <c r="BA7" t="b">
        <f>AND(Log!A268,"AAAAAC7/0zQ=")</f>
        <v>1</v>
      </c>
      <c r="BB7" t="e">
        <f>AND(Log!B268,"AAAAAC7/0zU=")</f>
        <v>#VALUE!</v>
      </c>
      <c r="BC7" t="e">
        <f>AND(Log!C268,"AAAAAC7/0zY=")</f>
        <v>#VALUE!</v>
      </c>
      <c r="BD7" t="e">
        <f>AND(Log!D268,"AAAAAC7/0zc=")</f>
        <v>#VALUE!</v>
      </c>
      <c r="BE7">
        <f>IF(Log!269:269,"AAAAAC7/0zg=",0)</f>
        <v>0</v>
      </c>
      <c r="BF7" t="b">
        <f>AND(Log!A269,"AAAAAC7/0zk=")</f>
        <v>1</v>
      </c>
      <c r="BG7" t="e">
        <f>AND(Log!B269,"AAAAAC7/0zo=")</f>
        <v>#VALUE!</v>
      </c>
      <c r="BH7" t="e">
        <f>AND(Log!C269,"AAAAAC7/0zs=")</f>
        <v>#VALUE!</v>
      </c>
      <c r="BI7" t="e">
        <f>AND(Log!D269,"AAAAAC7/0zw=")</f>
        <v>#VALUE!</v>
      </c>
      <c r="BJ7">
        <f>IF(Log!270:270,"AAAAAC7/0z0=",0)</f>
        <v>0</v>
      </c>
      <c r="BK7" t="b">
        <f>AND(Log!A270,"AAAAAC7/0z4=")</f>
        <v>1</v>
      </c>
      <c r="BL7" t="e">
        <f>AND(Log!B270,"AAAAAC7/0z8=")</f>
        <v>#VALUE!</v>
      </c>
      <c r="BM7" t="e">
        <f>AND(Log!C270,"AAAAAC7/00A=")</f>
        <v>#VALUE!</v>
      </c>
      <c r="BN7" t="e">
        <f>AND(Log!D270,"AAAAAC7/00E=")</f>
        <v>#VALUE!</v>
      </c>
      <c r="BO7">
        <f>IF(Log!271:271,"AAAAAC7/00I=",0)</f>
        <v>0</v>
      </c>
      <c r="BP7" t="b">
        <f>AND(Log!A271,"AAAAAC7/00M=")</f>
        <v>1</v>
      </c>
      <c r="BQ7" t="e">
        <f>AND(Log!B271,"AAAAAC7/00Q=")</f>
        <v>#VALUE!</v>
      </c>
      <c r="BR7" t="e">
        <f>AND(Log!C271,"AAAAAC7/00U=")</f>
        <v>#VALUE!</v>
      </c>
      <c r="BS7" t="e">
        <f>AND(Log!D271,"AAAAAC7/00Y=")</f>
        <v>#VALUE!</v>
      </c>
      <c r="BT7">
        <f>IF(Log!272:272,"AAAAAC7/00c=",0)</f>
        <v>0</v>
      </c>
      <c r="BU7" t="b">
        <f>AND(Log!A272,"AAAAAC7/00g=")</f>
        <v>1</v>
      </c>
      <c r="BV7" t="e">
        <f>AND(Log!B272,"AAAAAC7/00k=")</f>
        <v>#VALUE!</v>
      </c>
      <c r="BW7" t="e">
        <f>AND(Log!C272,"AAAAAC7/00o=")</f>
        <v>#VALUE!</v>
      </c>
      <c r="BX7" t="e">
        <f>AND(Log!D272,"AAAAAC7/00s=")</f>
        <v>#VALUE!</v>
      </c>
      <c r="BY7">
        <f>IF(Log!273:273,"AAAAAC7/00w=",0)</f>
        <v>0</v>
      </c>
      <c r="BZ7" t="b">
        <f>AND(Log!A273,"AAAAAC7/000=")</f>
        <v>1</v>
      </c>
      <c r="CA7" t="e">
        <f>AND(Log!B273,"AAAAAC7/004=")</f>
        <v>#VALUE!</v>
      </c>
      <c r="CB7" t="e">
        <f>AND(Log!C273,"AAAAAC7/008=")</f>
        <v>#VALUE!</v>
      </c>
      <c r="CC7" t="e">
        <f>AND(Log!D273,"AAAAAC7/01A=")</f>
        <v>#VALUE!</v>
      </c>
      <c r="CD7">
        <f>IF(Log!274:274,"AAAAAC7/01E=",0)</f>
        <v>0</v>
      </c>
      <c r="CE7" t="b">
        <f>AND(Log!A274,"AAAAAC7/01I=")</f>
        <v>1</v>
      </c>
      <c r="CF7" t="e">
        <f>AND(Log!B274,"AAAAAC7/01M=")</f>
        <v>#VALUE!</v>
      </c>
      <c r="CG7" t="e">
        <f>AND(Log!C274,"AAAAAC7/01Q=")</f>
        <v>#VALUE!</v>
      </c>
      <c r="CH7" t="e">
        <f>AND(Log!D274,"AAAAAC7/01U=")</f>
        <v>#VALUE!</v>
      </c>
      <c r="CI7">
        <f>IF(Log!275:275,"AAAAAC7/01Y=",0)</f>
        <v>0</v>
      </c>
      <c r="CJ7" t="b">
        <f>AND(Log!A275,"AAAAAC7/01c=")</f>
        <v>1</v>
      </c>
      <c r="CK7" t="e">
        <f>AND(Log!B275,"AAAAAC7/01g=")</f>
        <v>#VALUE!</v>
      </c>
      <c r="CL7" t="e">
        <f>AND(Log!C275,"AAAAAC7/01k=")</f>
        <v>#VALUE!</v>
      </c>
      <c r="CM7" t="e">
        <f>AND(Log!D275,"AAAAAC7/01o=")</f>
        <v>#VALUE!</v>
      </c>
      <c r="CN7">
        <f>IF(Log!276:276,"AAAAAC7/01s=",0)</f>
        <v>0</v>
      </c>
      <c r="CO7" t="b">
        <f>AND(Log!A276,"AAAAAC7/01w=")</f>
        <v>1</v>
      </c>
      <c r="CP7" t="e">
        <f>AND(Log!B276,"AAAAAC7/010=")</f>
        <v>#VALUE!</v>
      </c>
      <c r="CQ7" t="e">
        <f>AND(Log!C276,"AAAAAC7/014=")</f>
        <v>#VALUE!</v>
      </c>
      <c r="CR7" t="e">
        <f>AND(Log!D276,"AAAAAC7/018=")</f>
        <v>#VALUE!</v>
      </c>
      <c r="CS7">
        <f>IF(Log!277:277,"AAAAAC7/02A=",0)</f>
        <v>0</v>
      </c>
      <c r="CT7" t="b">
        <f>AND(Log!A277,"AAAAAC7/02E=")</f>
        <v>1</v>
      </c>
      <c r="CU7" t="e">
        <f>AND(Log!B277,"AAAAAC7/02I=")</f>
        <v>#VALUE!</v>
      </c>
      <c r="CV7" t="e">
        <f>AND(Log!C277,"AAAAAC7/02M=")</f>
        <v>#VALUE!</v>
      </c>
      <c r="CW7" t="e">
        <f>AND(Log!D277,"AAAAAC7/02Q=")</f>
        <v>#VALUE!</v>
      </c>
      <c r="CX7">
        <f>IF(Log!278:278,"AAAAAC7/02U=",0)</f>
        <v>0</v>
      </c>
      <c r="CY7" t="b">
        <f>AND(Log!A278,"AAAAAC7/02Y=")</f>
        <v>1</v>
      </c>
      <c r="CZ7" t="e">
        <f>AND(Log!B278,"AAAAAC7/02c=")</f>
        <v>#VALUE!</v>
      </c>
      <c r="DA7" t="e">
        <f>AND(Log!C278,"AAAAAC7/02g=")</f>
        <v>#VALUE!</v>
      </c>
      <c r="DB7" t="e">
        <f>AND(Log!D278,"AAAAAC7/02k=")</f>
        <v>#VALUE!</v>
      </c>
      <c r="DC7">
        <f>IF(Log!279:279,"AAAAAC7/02o=",0)</f>
        <v>0</v>
      </c>
      <c r="DD7" t="b">
        <f>AND(Log!A279,"AAAAAC7/02s=")</f>
        <v>1</v>
      </c>
      <c r="DE7" t="e">
        <f>AND(Log!B279,"AAAAAC7/02w=")</f>
        <v>#VALUE!</v>
      </c>
      <c r="DF7" t="e">
        <f>AND(Log!C279,"AAAAAC7/020=")</f>
        <v>#VALUE!</v>
      </c>
      <c r="DG7" t="e">
        <f>AND(Log!D279,"AAAAAC7/024=")</f>
        <v>#VALUE!</v>
      </c>
      <c r="DH7">
        <f>IF(Log!280:280,"AAAAAC7/028=",0)</f>
        <v>0</v>
      </c>
      <c r="DI7" t="b">
        <f>AND(Log!A280,"AAAAAC7/03A=")</f>
        <v>1</v>
      </c>
      <c r="DJ7" t="e">
        <f>AND(Log!B280,"AAAAAC7/03E=")</f>
        <v>#VALUE!</v>
      </c>
      <c r="DK7" t="e">
        <f>AND(Log!C280,"AAAAAC7/03I=")</f>
        <v>#VALUE!</v>
      </c>
      <c r="DL7" t="e">
        <f>AND(Log!D280,"AAAAAC7/03M=")</f>
        <v>#VALUE!</v>
      </c>
      <c r="DM7">
        <f>IF(Log!281:281,"AAAAAC7/03Q=",0)</f>
        <v>0</v>
      </c>
      <c r="DN7" t="b">
        <f>AND(Log!A281,"AAAAAC7/03U=")</f>
        <v>1</v>
      </c>
      <c r="DO7" t="e">
        <f>AND(Log!B281,"AAAAAC7/03Y=")</f>
        <v>#VALUE!</v>
      </c>
      <c r="DP7" t="e">
        <f>AND(Log!C281,"AAAAAC7/03c=")</f>
        <v>#VALUE!</v>
      </c>
      <c r="DQ7" t="e">
        <f>AND(Log!D281,"AAAAAC7/03g=")</f>
        <v>#VALUE!</v>
      </c>
      <c r="DR7">
        <f>IF(Log!282:282,"AAAAAC7/03k=",0)</f>
        <v>0</v>
      </c>
      <c r="DS7" t="b">
        <f>AND(Log!A282,"AAAAAC7/03o=")</f>
        <v>1</v>
      </c>
      <c r="DT7" t="e">
        <f>AND(Log!B282,"AAAAAC7/03s=")</f>
        <v>#VALUE!</v>
      </c>
      <c r="DU7" t="e">
        <f>AND(Log!C282,"AAAAAC7/03w=")</f>
        <v>#VALUE!</v>
      </c>
      <c r="DV7" t="e">
        <f>AND(Log!D282,"AAAAAC7/030=")</f>
        <v>#VALUE!</v>
      </c>
      <c r="DW7">
        <f>IF(Log!283:283,"AAAAAC7/034=",0)</f>
        <v>0</v>
      </c>
      <c r="DX7" t="b">
        <f>AND(Log!A283,"AAAAAC7/038=")</f>
        <v>1</v>
      </c>
      <c r="DY7" t="e">
        <f>AND(Log!B283,"AAAAAC7/04A=")</f>
        <v>#VALUE!</v>
      </c>
      <c r="DZ7" t="e">
        <f>AND(Log!C283,"AAAAAC7/04E=")</f>
        <v>#VALUE!</v>
      </c>
      <c r="EA7" t="e">
        <f>AND(Log!D283,"AAAAAC7/04I=")</f>
        <v>#VALUE!</v>
      </c>
      <c r="EB7">
        <f>IF(Log!284:284,"AAAAAC7/04M=",0)</f>
        <v>0</v>
      </c>
      <c r="EC7" t="b">
        <f>AND(Log!A284,"AAAAAC7/04Q=")</f>
        <v>1</v>
      </c>
      <c r="ED7" t="e">
        <f>AND(Log!B284,"AAAAAC7/04U=")</f>
        <v>#VALUE!</v>
      </c>
      <c r="EE7" t="e">
        <f>AND(Log!C284,"AAAAAC7/04Y=")</f>
        <v>#VALUE!</v>
      </c>
      <c r="EF7" t="e">
        <f>AND(Log!D284,"AAAAAC7/04c=")</f>
        <v>#VALUE!</v>
      </c>
      <c r="EG7">
        <f>IF(Log!285:285,"AAAAAC7/04g=",0)</f>
        <v>0</v>
      </c>
      <c r="EH7" t="b">
        <f>AND(Log!A285,"AAAAAC7/04k=")</f>
        <v>1</v>
      </c>
      <c r="EI7" t="e">
        <f>AND(Log!B285,"AAAAAC7/04o=")</f>
        <v>#VALUE!</v>
      </c>
      <c r="EJ7" t="e">
        <f>AND(Log!C285,"AAAAAC7/04s=")</f>
        <v>#VALUE!</v>
      </c>
      <c r="EK7" t="e">
        <f>AND(Log!D285,"AAAAAC7/04w=")</f>
        <v>#VALUE!</v>
      </c>
      <c r="EL7">
        <f>IF(Log!286:286,"AAAAAC7/040=",0)</f>
        <v>0</v>
      </c>
      <c r="EM7" t="b">
        <f>AND(Log!A286,"AAAAAC7/044=")</f>
        <v>1</v>
      </c>
      <c r="EN7" t="e">
        <f>AND(Log!B286,"AAAAAC7/048=")</f>
        <v>#VALUE!</v>
      </c>
      <c r="EO7" t="e">
        <f>AND(Log!C286,"AAAAAC7/05A=")</f>
        <v>#VALUE!</v>
      </c>
      <c r="EP7" t="e">
        <f>AND(Log!D286,"AAAAAC7/05E=")</f>
        <v>#VALUE!</v>
      </c>
      <c r="EQ7">
        <f>IF(Log!287:287,"AAAAAC7/05I=",0)</f>
        <v>0</v>
      </c>
      <c r="ER7" t="b">
        <f>AND(Log!A287,"AAAAAC7/05M=")</f>
        <v>1</v>
      </c>
      <c r="ES7" t="e">
        <f>AND(Log!B287,"AAAAAC7/05Q=")</f>
        <v>#VALUE!</v>
      </c>
      <c r="ET7" t="e">
        <f>AND(Log!C287,"AAAAAC7/05U=")</f>
        <v>#VALUE!</v>
      </c>
      <c r="EU7" t="e">
        <f>AND(Log!D287,"AAAAAC7/05Y=")</f>
        <v>#VALUE!</v>
      </c>
      <c r="EV7">
        <f>IF(Log!288:288,"AAAAAC7/05c=",0)</f>
        <v>0</v>
      </c>
      <c r="EW7" t="b">
        <f>AND(Log!A288,"AAAAAC7/05g=")</f>
        <v>1</v>
      </c>
      <c r="EX7" t="e">
        <f>AND(Log!B288,"AAAAAC7/05k=")</f>
        <v>#VALUE!</v>
      </c>
      <c r="EY7" t="e">
        <f>AND(Log!C288,"AAAAAC7/05o=")</f>
        <v>#VALUE!</v>
      </c>
      <c r="EZ7" t="e">
        <f>AND(Log!D288,"AAAAAC7/05s=")</f>
        <v>#VALUE!</v>
      </c>
      <c r="FA7">
        <f>IF(Log!289:289,"AAAAAC7/05w=",0)</f>
        <v>0</v>
      </c>
      <c r="FB7" t="b">
        <f>AND(Log!A289,"AAAAAC7/050=")</f>
        <v>1</v>
      </c>
      <c r="FC7" t="e">
        <f>AND(Log!B289,"AAAAAC7/054=")</f>
        <v>#VALUE!</v>
      </c>
      <c r="FD7" t="e">
        <f>AND(Log!C289,"AAAAAC7/058=")</f>
        <v>#VALUE!</v>
      </c>
      <c r="FE7" t="e">
        <f>AND(Log!D289,"AAAAAC7/06A=")</f>
        <v>#VALUE!</v>
      </c>
      <c r="FF7">
        <f>IF(Log!290:290,"AAAAAC7/06E=",0)</f>
        <v>0</v>
      </c>
      <c r="FG7" t="b">
        <f>AND(Log!A290,"AAAAAC7/06I=")</f>
        <v>1</v>
      </c>
      <c r="FH7" t="e">
        <f>AND(Log!B290,"AAAAAC7/06M=")</f>
        <v>#VALUE!</v>
      </c>
      <c r="FI7" t="e">
        <f>AND(Log!C290,"AAAAAC7/06Q=")</f>
        <v>#VALUE!</v>
      </c>
      <c r="FJ7" t="e">
        <f>AND(Log!D290,"AAAAAC7/06U=")</f>
        <v>#VALUE!</v>
      </c>
      <c r="FK7">
        <f>IF(Log!291:291,"AAAAAC7/06Y=",0)</f>
        <v>0</v>
      </c>
      <c r="FL7" t="b">
        <f>AND(Log!A291,"AAAAAC7/06c=")</f>
        <v>1</v>
      </c>
      <c r="FM7" t="e">
        <f>AND(Log!B291,"AAAAAC7/06g=")</f>
        <v>#VALUE!</v>
      </c>
      <c r="FN7" t="e">
        <f>AND(Log!C291,"AAAAAC7/06k=")</f>
        <v>#VALUE!</v>
      </c>
      <c r="FO7" t="e">
        <f>AND(Log!D291,"AAAAAC7/06o=")</f>
        <v>#VALUE!</v>
      </c>
      <c r="FP7">
        <f>IF(Log!292:292,"AAAAAC7/06s=",0)</f>
        <v>0</v>
      </c>
      <c r="FQ7" t="b">
        <f>AND(Log!A292,"AAAAAC7/06w=")</f>
        <v>1</v>
      </c>
      <c r="FR7" t="e">
        <f>AND(Log!B292,"AAAAAC7/060=")</f>
        <v>#VALUE!</v>
      </c>
      <c r="FS7" t="e">
        <f>AND(Log!C292,"AAAAAC7/064=")</f>
        <v>#VALUE!</v>
      </c>
      <c r="FT7" t="e">
        <f>AND(Log!D292,"AAAAAC7/068=")</f>
        <v>#VALUE!</v>
      </c>
      <c r="FU7">
        <f>IF(Log!293:293,"AAAAAC7/07A=",0)</f>
        <v>0</v>
      </c>
      <c r="FV7" t="b">
        <f>AND(Log!A293,"AAAAAC7/07E=")</f>
        <v>1</v>
      </c>
      <c r="FW7" t="e">
        <f>AND(Log!B293,"AAAAAC7/07I=")</f>
        <v>#VALUE!</v>
      </c>
      <c r="FX7" t="e">
        <f>AND(Log!C293,"AAAAAC7/07M=")</f>
        <v>#VALUE!</v>
      </c>
      <c r="FY7" t="e">
        <f>AND(Log!D293,"AAAAAC7/07Q=")</f>
        <v>#VALUE!</v>
      </c>
      <c r="FZ7">
        <f>IF(Log!294:294,"AAAAAC7/07U=",0)</f>
        <v>0</v>
      </c>
      <c r="GA7" t="b">
        <f>AND(Log!A294,"AAAAAC7/07Y=")</f>
        <v>1</v>
      </c>
      <c r="GB7" t="e">
        <f>AND(Log!B294,"AAAAAC7/07c=")</f>
        <v>#VALUE!</v>
      </c>
      <c r="GC7" t="e">
        <f>AND(Log!C294,"AAAAAC7/07g=")</f>
        <v>#VALUE!</v>
      </c>
      <c r="GD7" t="e">
        <f>AND(Log!D294,"AAAAAC7/07k=")</f>
        <v>#VALUE!</v>
      </c>
      <c r="GE7">
        <f>IF(Log!295:295,"AAAAAC7/07o=",0)</f>
        <v>0</v>
      </c>
      <c r="GF7" t="b">
        <f>AND(Log!A295,"AAAAAC7/07s=")</f>
        <v>1</v>
      </c>
      <c r="GG7" t="e">
        <f>AND(Log!B295,"AAAAAC7/07w=")</f>
        <v>#VALUE!</v>
      </c>
      <c r="GH7" t="e">
        <f>AND(Log!C295,"AAAAAC7/070=")</f>
        <v>#VALUE!</v>
      </c>
      <c r="GI7" t="e">
        <f>AND(Log!D295,"AAAAAC7/074=")</f>
        <v>#VALUE!</v>
      </c>
      <c r="GJ7">
        <f>IF(Log!296:296,"AAAAAC7/078=",0)</f>
        <v>0</v>
      </c>
      <c r="GK7" t="b">
        <f>AND(Log!A296,"AAAAAC7/08A=")</f>
        <v>1</v>
      </c>
      <c r="GL7" t="e">
        <f>AND(Log!B296,"AAAAAC7/08E=")</f>
        <v>#VALUE!</v>
      </c>
      <c r="GM7" t="e">
        <f>AND(Log!C296,"AAAAAC7/08I=")</f>
        <v>#VALUE!</v>
      </c>
      <c r="GN7" t="e">
        <f>AND(Log!D296,"AAAAAC7/08M=")</f>
        <v>#VALUE!</v>
      </c>
      <c r="GO7">
        <f>IF(Log!297:297,"AAAAAC7/08Q=",0)</f>
        <v>0</v>
      </c>
      <c r="GP7" t="b">
        <f>AND(Log!A297,"AAAAAC7/08U=")</f>
        <v>1</v>
      </c>
      <c r="GQ7" t="e">
        <f>AND(Log!B297,"AAAAAC7/08Y=")</f>
        <v>#VALUE!</v>
      </c>
      <c r="GR7" t="e">
        <f>AND(Log!C297,"AAAAAC7/08c=")</f>
        <v>#VALUE!</v>
      </c>
      <c r="GS7" t="e">
        <f>AND(Log!D297,"AAAAAC7/08g=")</f>
        <v>#VALUE!</v>
      </c>
      <c r="GT7">
        <f>IF(Log!298:298,"AAAAAC7/08k=",0)</f>
        <v>0</v>
      </c>
      <c r="GU7" t="b">
        <f>AND(Log!A298,"AAAAAC7/08o=")</f>
        <v>1</v>
      </c>
      <c r="GV7" t="e">
        <f>AND(Log!B298,"AAAAAC7/08s=")</f>
        <v>#VALUE!</v>
      </c>
      <c r="GW7" t="e">
        <f>AND(Log!C298,"AAAAAC7/08w=")</f>
        <v>#VALUE!</v>
      </c>
      <c r="GX7" t="e">
        <f>AND(Log!D298,"AAAAAC7/080=")</f>
        <v>#VALUE!</v>
      </c>
      <c r="GY7">
        <f>IF(Log!299:299,"AAAAAC7/084=",0)</f>
        <v>0</v>
      </c>
      <c r="GZ7" t="b">
        <f>AND(Log!A299,"AAAAAC7/088=")</f>
        <v>1</v>
      </c>
      <c r="HA7" t="e">
        <f>AND(Log!B299,"AAAAAC7/09A=")</f>
        <v>#VALUE!</v>
      </c>
      <c r="HB7" t="e">
        <f>AND(Log!C299,"AAAAAC7/09E=")</f>
        <v>#VALUE!</v>
      </c>
      <c r="HC7" t="e">
        <f>AND(Log!D299,"AAAAAC7/09I=")</f>
        <v>#VALUE!</v>
      </c>
      <c r="HD7">
        <f>IF(Log!300:300,"AAAAAC7/09M=",0)</f>
        <v>0</v>
      </c>
      <c r="HE7" t="b">
        <f>AND(Log!A300,"AAAAAC7/09Q=")</f>
        <v>1</v>
      </c>
      <c r="HF7" t="e">
        <f>AND(Log!B300,"AAAAAC7/09U=")</f>
        <v>#VALUE!</v>
      </c>
      <c r="HG7" t="e">
        <f>AND(Log!C300,"AAAAAC7/09Y=")</f>
        <v>#VALUE!</v>
      </c>
      <c r="HH7" t="e">
        <f>AND(Log!D300,"AAAAAC7/09c=")</f>
        <v>#VALUE!</v>
      </c>
      <c r="HI7">
        <f>IF(Log!301:301,"AAAAAC7/09g=",0)</f>
        <v>0</v>
      </c>
      <c r="HJ7" t="b">
        <f>AND(Log!A301,"AAAAAC7/09k=")</f>
        <v>1</v>
      </c>
      <c r="HK7" t="e">
        <f>AND(Log!B301,"AAAAAC7/09o=")</f>
        <v>#VALUE!</v>
      </c>
      <c r="HL7" t="e">
        <f>AND(Log!C301,"AAAAAC7/09s=")</f>
        <v>#VALUE!</v>
      </c>
      <c r="HM7" t="e">
        <f>AND(Log!D301,"AAAAAC7/09w=")</f>
        <v>#VALUE!</v>
      </c>
      <c r="HN7">
        <f>IF(Log!302:302,"AAAAAC7/090=",0)</f>
        <v>0</v>
      </c>
      <c r="HO7" t="b">
        <f>AND(Log!A302,"AAAAAC7/094=")</f>
        <v>1</v>
      </c>
      <c r="HP7" t="e">
        <f>AND(Log!B302,"AAAAAC7/098=")</f>
        <v>#VALUE!</v>
      </c>
      <c r="HQ7" t="e">
        <f>AND(Log!C302,"AAAAAC7/0+A=")</f>
        <v>#VALUE!</v>
      </c>
      <c r="HR7" t="e">
        <f>AND(Log!D302,"AAAAAC7/0+E=")</f>
        <v>#VALUE!</v>
      </c>
      <c r="HS7">
        <f>IF(Log!303:303,"AAAAAC7/0+I=",0)</f>
        <v>0</v>
      </c>
      <c r="HT7" t="b">
        <f>AND(Log!A303,"AAAAAC7/0+M=")</f>
        <v>1</v>
      </c>
      <c r="HU7" t="e">
        <f>AND(Log!B303,"AAAAAC7/0+Q=")</f>
        <v>#VALUE!</v>
      </c>
      <c r="HV7" t="e">
        <f>AND(Log!C303,"AAAAAC7/0+U=")</f>
        <v>#VALUE!</v>
      </c>
      <c r="HW7" t="e">
        <f>AND(Log!D303,"AAAAAC7/0+Y=")</f>
        <v>#VALUE!</v>
      </c>
      <c r="HX7">
        <f>IF(Log!304:304,"AAAAAC7/0+c=",0)</f>
        <v>0</v>
      </c>
      <c r="HY7" t="b">
        <f>AND(Log!A304,"AAAAAC7/0+g=")</f>
        <v>1</v>
      </c>
      <c r="HZ7" t="e">
        <f>AND(Log!B304,"AAAAAC7/0+k=")</f>
        <v>#VALUE!</v>
      </c>
      <c r="IA7" t="e">
        <f>AND(Log!C304,"AAAAAC7/0+o=")</f>
        <v>#VALUE!</v>
      </c>
      <c r="IB7" t="e">
        <f>AND(Log!D304,"AAAAAC7/0+s=")</f>
        <v>#VALUE!</v>
      </c>
      <c r="IC7">
        <f>IF(Log!305:305,"AAAAAC7/0+w=",0)</f>
        <v>0</v>
      </c>
      <c r="ID7" t="b">
        <f>AND(Log!A305,"AAAAAC7/0+0=")</f>
        <v>1</v>
      </c>
      <c r="IE7" t="e">
        <f>AND(Log!B305,"AAAAAC7/0+4=")</f>
        <v>#VALUE!</v>
      </c>
      <c r="IF7" t="e">
        <f>AND(Log!C305,"AAAAAC7/0+8=")</f>
        <v>#VALUE!</v>
      </c>
      <c r="IG7" t="e">
        <f>AND(Log!D305,"AAAAAC7/0/A=")</f>
        <v>#VALUE!</v>
      </c>
      <c r="IH7">
        <f>IF(Log!306:306,"AAAAAC7/0/E=",0)</f>
        <v>0</v>
      </c>
      <c r="II7" t="b">
        <f>AND(Log!A306,"AAAAAC7/0/I=")</f>
        <v>1</v>
      </c>
      <c r="IJ7" t="e">
        <f>AND(Log!B306,"AAAAAC7/0/M=")</f>
        <v>#VALUE!</v>
      </c>
      <c r="IK7" t="e">
        <f>AND(Log!C306,"AAAAAC7/0/Q=")</f>
        <v>#VALUE!</v>
      </c>
      <c r="IL7" t="e">
        <f>AND(Log!D306,"AAAAAC7/0/U=")</f>
        <v>#VALUE!</v>
      </c>
      <c r="IM7">
        <f>IF(Log!307:307,"AAAAAC7/0/Y=",0)</f>
        <v>0</v>
      </c>
      <c r="IN7" t="b">
        <f>AND(Log!A307,"AAAAAC7/0/c=")</f>
        <v>1</v>
      </c>
      <c r="IO7" t="e">
        <f>AND(Log!B307,"AAAAAC7/0/g=")</f>
        <v>#VALUE!</v>
      </c>
      <c r="IP7" t="e">
        <f>AND(Log!C307,"AAAAAC7/0/k=")</f>
        <v>#VALUE!</v>
      </c>
      <c r="IQ7" t="e">
        <f>AND(Log!D307,"AAAAAC7/0/o=")</f>
        <v>#VALUE!</v>
      </c>
      <c r="IR7">
        <f>IF(Log!308:308,"AAAAAC7/0/s=",0)</f>
        <v>0</v>
      </c>
      <c r="IS7" t="b">
        <f>AND(Log!A308,"AAAAAC7/0/w=")</f>
        <v>1</v>
      </c>
      <c r="IT7" t="e">
        <f>AND(Log!B308,"AAAAAC7/0/0=")</f>
        <v>#VALUE!</v>
      </c>
      <c r="IU7" t="e">
        <f>AND(Log!C308,"AAAAAC7/0/4=")</f>
        <v>#VALUE!</v>
      </c>
      <c r="IV7" t="e">
        <f>AND(Log!D308,"AAAAAC7/0/8=")</f>
        <v>#VALUE!</v>
      </c>
    </row>
    <row r="8" spans="1:256" x14ac:dyDescent="0.25">
      <c r="A8" t="str">
        <f>IF(Log!309:309,"AAAAAFfyWgA=",0)</f>
        <v>AAAAAFfyWgA=</v>
      </c>
      <c r="B8" t="b">
        <f>AND(Log!A309,"AAAAAFfyWgE=")</f>
        <v>1</v>
      </c>
      <c r="C8" t="e">
        <f>AND(Log!B309,"AAAAAFfyWgI=")</f>
        <v>#VALUE!</v>
      </c>
      <c r="D8" t="e">
        <f>AND(Log!C309,"AAAAAFfyWgM=")</f>
        <v>#VALUE!</v>
      </c>
      <c r="E8" t="e">
        <f>AND(Log!D309,"AAAAAFfyWgQ=")</f>
        <v>#VALUE!</v>
      </c>
      <c r="F8">
        <f>IF(Log!310:310,"AAAAAFfyWgU=",0)</f>
        <v>0</v>
      </c>
      <c r="G8" t="b">
        <f>AND(Log!A310,"AAAAAFfyWgY=")</f>
        <v>1</v>
      </c>
      <c r="H8" t="e">
        <f>AND(Log!B310,"AAAAAFfyWgc=")</f>
        <v>#VALUE!</v>
      </c>
      <c r="I8" t="e">
        <f>AND(Log!C310,"AAAAAFfyWgg=")</f>
        <v>#VALUE!</v>
      </c>
      <c r="J8" t="e">
        <f>AND(Log!D310,"AAAAAFfyWgk=")</f>
        <v>#VALUE!</v>
      </c>
      <c r="K8">
        <f>IF(Log!311:311,"AAAAAFfyWgo=",0)</f>
        <v>0</v>
      </c>
      <c r="L8" t="b">
        <f>AND(Log!A311,"AAAAAFfyWgs=")</f>
        <v>1</v>
      </c>
      <c r="M8" t="e">
        <f>AND(Log!B311,"AAAAAFfyWgw=")</f>
        <v>#VALUE!</v>
      </c>
      <c r="N8" t="e">
        <f>AND(Log!C311,"AAAAAFfyWg0=")</f>
        <v>#VALUE!</v>
      </c>
      <c r="O8" t="e">
        <f>AND(Log!D311,"AAAAAFfyWg4=")</f>
        <v>#VALUE!</v>
      </c>
      <c r="P8">
        <f>IF(Log!312:312,"AAAAAFfyWg8=",0)</f>
        <v>0</v>
      </c>
      <c r="Q8" t="b">
        <f>AND(Log!A312,"AAAAAFfyWhA=")</f>
        <v>1</v>
      </c>
      <c r="R8" t="e">
        <f>AND(Log!B312,"AAAAAFfyWhE=")</f>
        <v>#VALUE!</v>
      </c>
      <c r="S8" t="e">
        <f>AND(Log!C312,"AAAAAFfyWhI=")</f>
        <v>#VALUE!</v>
      </c>
      <c r="T8" t="e">
        <f>AND(Log!D312,"AAAAAFfyWhM=")</f>
        <v>#VALUE!</v>
      </c>
      <c r="U8">
        <f>IF(Log!313:313,"AAAAAFfyWhQ=",0)</f>
        <v>0</v>
      </c>
      <c r="V8" t="b">
        <f>AND(Log!A313,"AAAAAFfyWhU=")</f>
        <v>1</v>
      </c>
      <c r="W8" t="e">
        <f>AND(Log!B313,"AAAAAFfyWhY=")</f>
        <v>#VALUE!</v>
      </c>
      <c r="X8" t="e">
        <f>AND(Log!C313,"AAAAAFfyWhc=")</f>
        <v>#VALUE!</v>
      </c>
      <c r="Y8" t="e">
        <f>AND(Log!D313,"AAAAAFfyWhg=")</f>
        <v>#VALUE!</v>
      </c>
      <c r="Z8">
        <f>IF(Log!314:314,"AAAAAFfyWhk=",0)</f>
        <v>0</v>
      </c>
      <c r="AA8" t="b">
        <f>AND(Log!A314,"AAAAAFfyWho=")</f>
        <v>1</v>
      </c>
      <c r="AB8" t="e">
        <f>AND(Log!B314,"AAAAAFfyWhs=")</f>
        <v>#VALUE!</v>
      </c>
      <c r="AC8" t="e">
        <f>AND(Log!C314,"AAAAAFfyWhw=")</f>
        <v>#VALUE!</v>
      </c>
      <c r="AD8" t="e">
        <f>AND(Log!D314,"AAAAAFfyWh0=")</f>
        <v>#VALUE!</v>
      </c>
      <c r="AE8">
        <f>IF(Log!315:315,"AAAAAFfyWh4=",0)</f>
        <v>0</v>
      </c>
      <c r="AF8" t="b">
        <f>AND(Log!A315,"AAAAAFfyWh8=")</f>
        <v>1</v>
      </c>
      <c r="AG8" t="e">
        <f>AND(Log!B315,"AAAAAFfyWiA=")</f>
        <v>#VALUE!</v>
      </c>
      <c r="AH8" t="e">
        <f>AND(Log!C315,"AAAAAFfyWiE=")</f>
        <v>#VALUE!</v>
      </c>
      <c r="AI8" t="e">
        <f>AND(Log!D315,"AAAAAFfyWiI=")</f>
        <v>#VALUE!</v>
      </c>
      <c r="AJ8">
        <f>IF(Log!316:316,"AAAAAFfyWiM=",0)</f>
        <v>0</v>
      </c>
      <c r="AK8" t="b">
        <f>AND(Log!A316,"AAAAAFfyWiQ=")</f>
        <v>1</v>
      </c>
      <c r="AL8" t="e">
        <f>AND(Log!B316,"AAAAAFfyWiU=")</f>
        <v>#VALUE!</v>
      </c>
      <c r="AM8" t="e">
        <f>AND(Log!C316,"AAAAAFfyWiY=")</f>
        <v>#VALUE!</v>
      </c>
      <c r="AN8" t="e">
        <f>AND(Log!D316,"AAAAAFfyWic=")</f>
        <v>#VALUE!</v>
      </c>
      <c r="AO8">
        <f>IF(Log!317:317,"AAAAAFfyWig=",0)</f>
        <v>0</v>
      </c>
      <c r="AP8" t="b">
        <f>AND(Log!A317,"AAAAAFfyWik=")</f>
        <v>1</v>
      </c>
      <c r="AQ8" t="e">
        <f>AND(Log!B317,"AAAAAFfyWio=")</f>
        <v>#VALUE!</v>
      </c>
      <c r="AR8" t="e">
        <f>AND(Log!C317,"AAAAAFfyWis=")</f>
        <v>#VALUE!</v>
      </c>
      <c r="AS8" t="e">
        <f>AND(Log!D317,"AAAAAFfyWiw=")</f>
        <v>#VALUE!</v>
      </c>
      <c r="AT8">
        <f>IF(Log!318:318,"AAAAAFfyWi0=",0)</f>
        <v>0</v>
      </c>
      <c r="AU8" t="b">
        <f>AND(Log!A318,"AAAAAFfyWi4=")</f>
        <v>1</v>
      </c>
      <c r="AV8" t="e">
        <f>AND(Log!B318,"AAAAAFfyWi8=")</f>
        <v>#VALUE!</v>
      </c>
      <c r="AW8" t="e">
        <f>AND(Log!C318,"AAAAAFfyWjA=")</f>
        <v>#VALUE!</v>
      </c>
      <c r="AX8" t="e">
        <f>AND(Log!D318,"AAAAAFfyWjE=")</f>
        <v>#VALUE!</v>
      </c>
      <c r="AY8">
        <f>IF(Log!319:319,"AAAAAFfyWjI=",0)</f>
        <v>0</v>
      </c>
      <c r="AZ8" t="b">
        <f>AND(Log!A319,"AAAAAFfyWjM=")</f>
        <v>1</v>
      </c>
      <c r="BA8" t="e">
        <f>AND(Log!B319,"AAAAAFfyWjQ=")</f>
        <v>#VALUE!</v>
      </c>
      <c r="BB8" t="e">
        <f>AND(Log!C319,"AAAAAFfyWjU=")</f>
        <v>#VALUE!</v>
      </c>
      <c r="BC8" t="e">
        <f>AND(Log!D319,"AAAAAFfyWjY=")</f>
        <v>#VALUE!</v>
      </c>
      <c r="BD8">
        <f>IF(Log!320:320,"AAAAAFfyWjc=",0)</f>
        <v>0</v>
      </c>
      <c r="BE8" t="b">
        <f>AND(Log!A320,"AAAAAFfyWjg=")</f>
        <v>1</v>
      </c>
      <c r="BF8" t="e">
        <f>AND(Log!B320,"AAAAAFfyWjk=")</f>
        <v>#VALUE!</v>
      </c>
      <c r="BG8" t="e">
        <f>AND(Log!C320,"AAAAAFfyWjo=")</f>
        <v>#VALUE!</v>
      </c>
      <c r="BH8" t="e">
        <f>AND(Log!D320,"AAAAAFfyWjs=")</f>
        <v>#VALUE!</v>
      </c>
      <c r="BI8">
        <f>IF(Log!321:321,"AAAAAFfyWjw=",0)</f>
        <v>0</v>
      </c>
      <c r="BJ8" t="b">
        <f>AND(Log!A321,"AAAAAFfyWj0=")</f>
        <v>1</v>
      </c>
      <c r="BK8" t="e">
        <f>AND(Log!B321,"AAAAAFfyWj4=")</f>
        <v>#VALUE!</v>
      </c>
      <c r="BL8" t="e">
        <f>AND(Log!C321,"AAAAAFfyWj8=")</f>
        <v>#VALUE!</v>
      </c>
      <c r="BM8" t="e">
        <f>AND(Log!D321,"AAAAAFfyWkA=")</f>
        <v>#VALUE!</v>
      </c>
      <c r="BN8">
        <f>IF(Log!322:322,"AAAAAFfyWkE=",0)</f>
        <v>0</v>
      </c>
      <c r="BO8" t="b">
        <f>AND(Log!A322,"AAAAAFfyWkI=")</f>
        <v>1</v>
      </c>
      <c r="BP8" t="e">
        <f>AND(Log!B322,"AAAAAFfyWkM=")</f>
        <v>#VALUE!</v>
      </c>
      <c r="BQ8" t="e">
        <f>AND(Log!C322,"AAAAAFfyWkQ=")</f>
        <v>#VALUE!</v>
      </c>
      <c r="BR8" t="e">
        <f>AND(Log!D322,"AAAAAFfyWkU=")</f>
        <v>#VALUE!</v>
      </c>
      <c r="BS8">
        <f>IF(Log!323:323,"AAAAAFfyWkY=",0)</f>
        <v>0</v>
      </c>
      <c r="BT8" t="b">
        <f>AND(Log!A323,"AAAAAFfyWkc=")</f>
        <v>1</v>
      </c>
      <c r="BU8" t="e">
        <f>AND(Log!B323,"AAAAAFfyWkg=")</f>
        <v>#VALUE!</v>
      </c>
      <c r="BV8" t="e">
        <f>AND(Log!C323,"AAAAAFfyWkk=")</f>
        <v>#VALUE!</v>
      </c>
      <c r="BW8" t="e">
        <f>AND(Log!D323,"AAAAAFfyWko=")</f>
        <v>#VALUE!</v>
      </c>
      <c r="BX8">
        <f>IF(Log!324:324,"AAAAAFfyWks=",0)</f>
        <v>0</v>
      </c>
      <c r="BY8" t="b">
        <f>AND(Log!A324,"AAAAAFfyWkw=")</f>
        <v>1</v>
      </c>
      <c r="BZ8" t="e">
        <f>AND(Log!B324,"AAAAAFfyWk0=")</f>
        <v>#VALUE!</v>
      </c>
      <c r="CA8" t="e">
        <f>AND(Log!C324,"AAAAAFfyWk4=")</f>
        <v>#VALUE!</v>
      </c>
      <c r="CB8" t="e">
        <f>AND(Log!D324,"AAAAAFfyWk8=")</f>
        <v>#VALUE!</v>
      </c>
      <c r="CC8">
        <f>IF(Log!325:325,"AAAAAFfyWlA=",0)</f>
        <v>0</v>
      </c>
      <c r="CD8" t="b">
        <f>AND(Log!A325,"AAAAAFfyWlE=")</f>
        <v>1</v>
      </c>
      <c r="CE8" t="e">
        <f>AND(Log!B325,"AAAAAFfyWlI=")</f>
        <v>#VALUE!</v>
      </c>
      <c r="CF8" t="e">
        <f>AND(Log!C325,"AAAAAFfyWlM=")</f>
        <v>#VALUE!</v>
      </c>
      <c r="CG8" t="e">
        <f>AND(Log!D325,"AAAAAFfyWlQ=")</f>
        <v>#VALUE!</v>
      </c>
      <c r="CH8">
        <f>IF(Log!326:326,"AAAAAFfyWlU=",0)</f>
        <v>0</v>
      </c>
      <c r="CI8" t="b">
        <f>AND(Log!A326,"AAAAAFfyWlY=")</f>
        <v>1</v>
      </c>
      <c r="CJ8" t="e">
        <f>AND(Log!B326,"AAAAAFfyWlc=")</f>
        <v>#VALUE!</v>
      </c>
      <c r="CK8" t="e">
        <f>AND(Log!C326,"AAAAAFfyWlg=")</f>
        <v>#VALUE!</v>
      </c>
      <c r="CL8" t="e">
        <f>AND(Log!D326,"AAAAAFfyWlk=")</f>
        <v>#VALUE!</v>
      </c>
      <c r="CM8">
        <f>IF(Log!327:327,"AAAAAFfyWlo=",0)</f>
        <v>0</v>
      </c>
      <c r="CN8" t="b">
        <f>AND(Log!A327,"AAAAAFfyWls=")</f>
        <v>1</v>
      </c>
      <c r="CO8" t="e">
        <f>AND(Log!B327,"AAAAAFfyWlw=")</f>
        <v>#VALUE!</v>
      </c>
      <c r="CP8" t="e">
        <f>AND(Log!C327,"AAAAAFfyWl0=")</f>
        <v>#VALUE!</v>
      </c>
      <c r="CQ8" t="e">
        <f>AND(Log!D327,"AAAAAFfyWl4=")</f>
        <v>#VALUE!</v>
      </c>
      <c r="CR8">
        <f>IF(Log!328:328,"AAAAAFfyWl8=",0)</f>
        <v>0</v>
      </c>
      <c r="CS8" t="b">
        <f>AND(Log!A328,"AAAAAFfyWmA=")</f>
        <v>1</v>
      </c>
      <c r="CT8" t="e">
        <f>AND(Log!B328,"AAAAAFfyWmE=")</f>
        <v>#VALUE!</v>
      </c>
      <c r="CU8" t="e">
        <f>AND(Log!C328,"AAAAAFfyWmI=")</f>
        <v>#VALUE!</v>
      </c>
      <c r="CV8" t="e">
        <f>AND(Log!D328,"AAAAAFfyWmM=")</f>
        <v>#VALUE!</v>
      </c>
      <c r="CW8">
        <f>IF(Log!329:329,"AAAAAFfyWmQ=",0)</f>
        <v>0</v>
      </c>
      <c r="CX8" t="b">
        <f>AND(Log!A329,"AAAAAFfyWmU=")</f>
        <v>1</v>
      </c>
      <c r="CY8" t="e">
        <f>AND(Log!B329,"AAAAAFfyWmY=")</f>
        <v>#VALUE!</v>
      </c>
      <c r="CZ8" t="e">
        <f>AND(Log!C329,"AAAAAFfyWmc=")</f>
        <v>#VALUE!</v>
      </c>
      <c r="DA8" t="e">
        <f>AND(Log!D329,"AAAAAFfyWmg=")</f>
        <v>#VALUE!</v>
      </c>
      <c r="DB8">
        <f>IF(Log!330:330,"AAAAAFfyWmk=",0)</f>
        <v>0</v>
      </c>
      <c r="DC8" t="b">
        <f>AND(Log!A330,"AAAAAFfyWmo=")</f>
        <v>1</v>
      </c>
      <c r="DD8" t="e">
        <f>AND(Log!B330,"AAAAAFfyWms=")</f>
        <v>#VALUE!</v>
      </c>
      <c r="DE8" t="e">
        <f>AND(Log!C330,"AAAAAFfyWmw=")</f>
        <v>#VALUE!</v>
      </c>
      <c r="DF8" t="e">
        <f>AND(Log!D330,"AAAAAFfyWm0=")</f>
        <v>#VALUE!</v>
      </c>
      <c r="DG8">
        <f>IF(Log!331:331,"AAAAAFfyWm4=",0)</f>
        <v>0</v>
      </c>
      <c r="DH8" t="b">
        <f>AND(Log!A331,"AAAAAFfyWm8=")</f>
        <v>1</v>
      </c>
      <c r="DI8" t="e">
        <f>AND(Log!B331,"AAAAAFfyWnA=")</f>
        <v>#VALUE!</v>
      </c>
      <c r="DJ8" t="e">
        <f>AND(Log!C331,"AAAAAFfyWnE=")</f>
        <v>#VALUE!</v>
      </c>
      <c r="DK8" t="e">
        <f>AND(Log!D331,"AAAAAFfyWnI=")</f>
        <v>#VALUE!</v>
      </c>
      <c r="DL8">
        <f>IF(Log!332:332,"AAAAAFfyWnM=",0)</f>
        <v>0</v>
      </c>
      <c r="DM8" t="b">
        <f>AND(Log!A332,"AAAAAFfyWnQ=")</f>
        <v>1</v>
      </c>
      <c r="DN8" t="e">
        <f>AND(Log!B332,"AAAAAFfyWnU=")</f>
        <v>#VALUE!</v>
      </c>
      <c r="DO8" t="e">
        <f>AND(Log!C332,"AAAAAFfyWnY=")</f>
        <v>#VALUE!</v>
      </c>
      <c r="DP8" t="e">
        <f>AND(Log!D332,"AAAAAFfyWnc=")</f>
        <v>#VALUE!</v>
      </c>
      <c r="DQ8">
        <f>IF(Log!333:333,"AAAAAFfyWng=",0)</f>
        <v>0</v>
      </c>
      <c r="DR8" t="b">
        <f>AND(Log!A333,"AAAAAFfyWnk=")</f>
        <v>1</v>
      </c>
      <c r="DS8" t="e">
        <f>AND(Log!B333,"AAAAAFfyWno=")</f>
        <v>#VALUE!</v>
      </c>
      <c r="DT8" t="e">
        <f>AND(Log!C333,"AAAAAFfyWns=")</f>
        <v>#VALUE!</v>
      </c>
      <c r="DU8" t="e">
        <f>AND(Log!D333,"AAAAAFfyWnw=")</f>
        <v>#VALUE!</v>
      </c>
      <c r="DV8">
        <f>IF(Log!334:334,"AAAAAFfyWn0=",0)</f>
        <v>0</v>
      </c>
      <c r="DW8" t="b">
        <f>AND(Log!A334,"AAAAAFfyWn4=")</f>
        <v>1</v>
      </c>
      <c r="DX8" t="e">
        <f>AND(Log!B334,"AAAAAFfyWn8=")</f>
        <v>#VALUE!</v>
      </c>
      <c r="DY8" t="e">
        <f>AND(Log!C334,"AAAAAFfyWoA=")</f>
        <v>#VALUE!</v>
      </c>
      <c r="DZ8" t="e">
        <f>AND(Log!D334,"AAAAAFfyWoE=")</f>
        <v>#VALUE!</v>
      </c>
      <c r="EA8">
        <f>IF(Log!335:335,"AAAAAFfyWoI=",0)</f>
        <v>0</v>
      </c>
      <c r="EB8" t="b">
        <f>AND(Log!A335,"AAAAAFfyWoM=")</f>
        <v>1</v>
      </c>
      <c r="EC8" t="e">
        <f>AND(Log!B335,"AAAAAFfyWoQ=")</f>
        <v>#VALUE!</v>
      </c>
      <c r="ED8" t="e">
        <f>AND(Log!C335,"AAAAAFfyWoU=")</f>
        <v>#VALUE!</v>
      </c>
      <c r="EE8" t="e">
        <f>AND(Log!D335,"AAAAAFfyWoY=")</f>
        <v>#VALUE!</v>
      </c>
      <c r="EF8">
        <f>IF(Log!336:336,"AAAAAFfyWoc=",0)</f>
        <v>0</v>
      </c>
      <c r="EG8" t="b">
        <f>AND(Log!A336,"AAAAAFfyWog=")</f>
        <v>1</v>
      </c>
      <c r="EH8" t="e">
        <f>AND(Log!B336,"AAAAAFfyWok=")</f>
        <v>#VALUE!</v>
      </c>
      <c r="EI8" t="e">
        <f>AND(Log!C336,"AAAAAFfyWoo=")</f>
        <v>#VALUE!</v>
      </c>
      <c r="EJ8" t="e">
        <f>AND(Log!D336,"AAAAAFfyWos=")</f>
        <v>#VALUE!</v>
      </c>
      <c r="EK8">
        <f>IF(Log!337:337,"AAAAAFfyWow=",0)</f>
        <v>0</v>
      </c>
      <c r="EL8" t="b">
        <f>AND(Log!A337,"AAAAAFfyWo0=")</f>
        <v>1</v>
      </c>
      <c r="EM8" t="e">
        <f>AND(Log!B337,"AAAAAFfyWo4=")</f>
        <v>#VALUE!</v>
      </c>
      <c r="EN8" t="e">
        <f>AND(Log!C337,"AAAAAFfyWo8=")</f>
        <v>#VALUE!</v>
      </c>
      <c r="EO8" t="e">
        <f>AND(Log!D337,"AAAAAFfyWpA=")</f>
        <v>#VALUE!</v>
      </c>
      <c r="EP8">
        <f>IF(Log!338:338,"AAAAAFfyWpE=",0)</f>
        <v>0</v>
      </c>
      <c r="EQ8" t="b">
        <f>AND(Log!A338,"AAAAAFfyWpI=")</f>
        <v>1</v>
      </c>
      <c r="ER8" t="e">
        <f>AND(Log!B338,"AAAAAFfyWpM=")</f>
        <v>#VALUE!</v>
      </c>
      <c r="ES8" t="e">
        <f>AND(Log!C338,"AAAAAFfyWpQ=")</f>
        <v>#VALUE!</v>
      </c>
      <c r="ET8" t="e">
        <f>AND(Log!D338,"AAAAAFfyWpU=")</f>
        <v>#VALUE!</v>
      </c>
      <c r="EU8">
        <f>IF(Log!339:339,"AAAAAFfyWpY=",0)</f>
        <v>0</v>
      </c>
      <c r="EV8" t="b">
        <f>AND(Log!A339,"AAAAAFfyWpc=")</f>
        <v>1</v>
      </c>
      <c r="EW8" t="e">
        <f>AND(Log!B339,"AAAAAFfyWpg=")</f>
        <v>#VALUE!</v>
      </c>
      <c r="EX8" t="e">
        <f>AND(Log!C339,"AAAAAFfyWpk=")</f>
        <v>#VALUE!</v>
      </c>
      <c r="EY8" t="e">
        <f>AND(Log!D339,"AAAAAFfyWpo=")</f>
        <v>#VALUE!</v>
      </c>
      <c r="EZ8">
        <f>IF(Log!340:340,"AAAAAFfyWps=",0)</f>
        <v>0</v>
      </c>
      <c r="FA8" t="b">
        <f>AND(Log!A340,"AAAAAFfyWpw=")</f>
        <v>1</v>
      </c>
      <c r="FB8" t="e">
        <f>AND(Log!B340,"AAAAAFfyWp0=")</f>
        <v>#VALUE!</v>
      </c>
      <c r="FC8" t="e">
        <f>AND(Log!C340,"AAAAAFfyWp4=")</f>
        <v>#VALUE!</v>
      </c>
      <c r="FD8" t="e">
        <f>AND(Log!D340,"AAAAAFfyWp8=")</f>
        <v>#VALUE!</v>
      </c>
      <c r="FE8">
        <f>IF(Log!341:341,"AAAAAFfyWqA=",0)</f>
        <v>0</v>
      </c>
      <c r="FF8" t="b">
        <f>AND(Log!A341,"AAAAAFfyWqE=")</f>
        <v>1</v>
      </c>
      <c r="FG8" t="e">
        <f>AND(Log!B341,"AAAAAFfyWqI=")</f>
        <v>#VALUE!</v>
      </c>
      <c r="FH8" t="e">
        <f>AND(Log!C341,"AAAAAFfyWqM=")</f>
        <v>#VALUE!</v>
      </c>
      <c r="FI8" t="e">
        <f>AND(Log!D341,"AAAAAFfyWqQ=")</f>
        <v>#VALUE!</v>
      </c>
      <c r="FJ8">
        <f>IF(Log!342:342,"AAAAAFfyWqU=",0)</f>
        <v>0</v>
      </c>
      <c r="FK8" t="b">
        <f>AND(Log!A342,"AAAAAFfyWqY=")</f>
        <v>1</v>
      </c>
      <c r="FL8" t="e">
        <f>AND(Log!B342,"AAAAAFfyWqc=")</f>
        <v>#VALUE!</v>
      </c>
      <c r="FM8" t="e">
        <f>AND(Log!C342,"AAAAAFfyWqg=")</f>
        <v>#VALUE!</v>
      </c>
      <c r="FN8" t="e">
        <f>AND(Log!D342,"AAAAAFfyWqk=")</f>
        <v>#VALUE!</v>
      </c>
      <c r="FO8">
        <f>IF(Log!343:343,"AAAAAFfyWqo=",0)</f>
        <v>0</v>
      </c>
      <c r="FP8" t="b">
        <f>AND(Log!A343,"AAAAAFfyWqs=")</f>
        <v>1</v>
      </c>
      <c r="FQ8" t="e">
        <f>AND(Log!B343,"AAAAAFfyWqw=")</f>
        <v>#VALUE!</v>
      </c>
      <c r="FR8" t="e">
        <f>AND(Log!C343,"AAAAAFfyWq0=")</f>
        <v>#VALUE!</v>
      </c>
      <c r="FS8" t="e">
        <f>AND(Log!D343,"AAAAAFfyWq4=")</f>
        <v>#VALUE!</v>
      </c>
      <c r="FT8">
        <f>IF(Log!344:344,"AAAAAFfyWq8=",0)</f>
        <v>0</v>
      </c>
      <c r="FU8" t="b">
        <f>AND(Log!A344,"AAAAAFfyWrA=")</f>
        <v>1</v>
      </c>
      <c r="FV8" t="e">
        <f>AND(Log!B344,"AAAAAFfyWrE=")</f>
        <v>#VALUE!</v>
      </c>
      <c r="FW8" t="e">
        <f>AND(Log!C344,"AAAAAFfyWrI=")</f>
        <v>#VALUE!</v>
      </c>
      <c r="FX8" t="e">
        <f>AND(Log!D344,"AAAAAFfyWrM=")</f>
        <v>#VALUE!</v>
      </c>
      <c r="FY8">
        <f>IF(Log!345:345,"AAAAAFfyWrQ=",0)</f>
        <v>0</v>
      </c>
      <c r="FZ8" t="b">
        <f>AND(Log!A345,"AAAAAFfyWrU=")</f>
        <v>1</v>
      </c>
      <c r="GA8" t="e">
        <f>AND(Log!B345,"AAAAAFfyWrY=")</f>
        <v>#VALUE!</v>
      </c>
      <c r="GB8" t="e">
        <f>AND(Log!C345,"AAAAAFfyWrc=")</f>
        <v>#VALUE!</v>
      </c>
      <c r="GC8" t="e">
        <f>AND(Log!D345,"AAAAAFfyWrg=")</f>
        <v>#VALUE!</v>
      </c>
      <c r="GD8">
        <f>IF(Log!346:346,"AAAAAFfyWrk=",0)</f>
        <v>0</v>
      </c>
      <c r="GE8" t="b">
        <f>AND(Log!A346,"AAAAAFfyWro=")</f>
        <v>1</v>
      </c>
      <c r="GF8" t="e">
        <f>AND(Log!B346,"AAAAAFfyWrs=")</f>
        <v>#VALUE!</v>
      </c>
      <c r="GG8" t="e">
        <f>AND(Log!C346,"AAAAAFfyWrw=")</f>
        <v>#VALUE!</v>
      </c>
      <c r="GH8" t="e">
        <f>AND(Log!D346,"AAAAAFfyWr0=")</f>
        <v>#VALUE!</v>
      </c>
      <c r="GI8">
        <f>IF(Log!347:347,"AAAAAFfyWr4=",0)</f>
        <v>0</v>
      </c>
      <c r="GJ8" t="b">
        <f>AND(Log!A347,"AAAAAFfyWr8=")</f>
        <v>1</v>
      </c>
      <c r="GK8" t="e">
        <f>AND(Log!B347,"AAAAAFfyWsA=")</f>
        <v>#VALUE!</v>
      </c>
      <c r="GL8" t="e">
        <f>AND(Log!C347,"AAAAAFfyWsE=")</f>
        <v>#VALUE!</v>
      </c>
      <c r="GM8" t="e">
        <f>AND(Log!D347,"AAAAAFfyWsI=")</f>
        <v>#VALUE!</v>
      </c>
      <c r="GN8">
        <f>IF(Log!348:348,"AAAAAFfyWsM=",0)</f>
        <v>0</v>
      </c>
      <c r="GO8" t="b">
        <f>AND(Log!A348,"AAAAAFfyWsQ=")</f>
        <v>1</v>
      </c>
      <c r="GP8" t="e">
        <f>AND(Log!B348,"AAAAAFfyWsU=")</f>
        <v>#VALUE!</v>
      </c>
      <c r="GQ8" t="e">
        <f>AND(Log!C348,"AAAAAFfyWsY=")</f>
        <v>#VALUE!</v>
      </c>
      <c r="GR8" t="e">
        <f>AND(Log!D348,"AAAAAFfyWsc=")</f>
        <v>#VALUE!</v>
      </c>
      <c r="GS8">
        <f>IF(Log!349:349,"AAAAAFfyWsg=",0)</f>
        <v>0</v>
      </c>
      <c r="GT8" t="b">
        <f>AND(Log!A349,"AAAAAFfyWsk=")</f>
        <v>1</v>
      </c>
      <c r="GU8" t="e">
        <f>AND(Log!B349,"AAAAAFfyWso=")</f>
        <v>#VALUE!</v>
      </c>
      <c r="GV8" t="e">
        <f>AND(Log!C349,"AAAAAFfyWss=")</f>
        <v>#VALUE!</v>
      </c>
      <c r="GW8" t="e">
        <f>AND(Log!D349,"AAAAAFfyWsw=")</f>
        <v>#VALUE!</v>
      </c>
      <c r="GX8">
        <f>IF(Log!350:350,"AAAAAFfyWs0=",0)</f>
        <v>0</v>
      </c>
      <c r="GY8" t="b">
        <f>AND(Log!A350,"AAAAAFfyWs4=")</f>
        <v>1</v>
      </c>
      <c r="GZ8" t="e">
        <f>AND(Log!B350,"AAAAAFfyWs8=")</f>
        <v>#VALUE!</v>
      </c>
      <c r="HA8" t="e">
        <f>AND(Log!C350,"AAAAAFfyWtA=")</f>
        <v>#VALUE!</v>
      </c>
      <c r="HB8" t="e">
        <f>AND(Log!D350,"AAAAAFfyWtE=")</f>
        <v>#VALUE!</v>
      </c>
      <c r="HC8">
        <f>IF(Log!351:351,"AAAAAFfyWtI=",0)</f>
        <v>0</v>
      </c>
      <c r="HD8" t="b">
        <f>AND(Log!A351,"AAAAAFfyWtM=")</f>
        <v>1</v>
      </c>
      <c r="HE8" t="e">
        <f>AND(Log!B351,"AAAAAFfyWtQ=")</f>
        <v>#VALUE!</v>
      </c>
      <c r="HF8" t="e">
        <f>AND(Log!C351,"AAAAAFfyWtU=")</f>
        <v>#VALUE!</v>
      </c>
      <c r="HG8" t="e">
        <f>AND(Log!D351,"AAAAAFfyWtY=")</f>
        <v>#VALUE!</v>
      </c>
      <c r="HH8">
        <f>IF(Log!352:352,"AAAAAFfyWtc=",0)</f>
        <v>0</v>
      </c>
      <c r="HI8" t="b">
        <f>AND(Log!A352,"AAAAAFfyWtg=")</f>
        <v>1</v>
      </c>
      <c r="HJ8" t="e">
        <f>AND(Log!B352,"AAAAAFfyWtk=")</f>
        <v>#VALUE!</v>
      </c>
      <c r="HK8" t="e">
        <f>AND(Log!C352,"AAAAAFfyWto=")</f>
        <v>#VALUE!</v>
      </c>
      <c r="HL8" t="e">
        <f>AND(Log!D352,"AAAAAFfyWts=")</f>
        <v>#VALUE!</v>
      </c>
      <c r="HM8">
        <f>IF(Log!353:353,"AAAAAFfyWtw=",0)</f>
        <v>0</v>
      </c>
      <c r="HN8" t="b">
        <f>AND(Log!A353,"AAAAAFfyWt0=")</f>
        <v>1</v>
      </c>
      <c r="HO8" t="e">
        <f>AND(Log!B353,"AAAAAFfyWt4=")</f>
        <v>#VALUE!</v>
      </c>
      <c r="HP8" t="e">
        <f>AND(Log!C353,"AAAAAFfyWt8=")</f>
        <v>#VALUE!</v>
      </c>
      <c r="HQ8" t="e">
        <f>AND(Log!D353,"AAAAAFfyWuA=")</f>
        <v>#VALUE!</v>
      </c>
      <c r="HR8">
        <f>IF(Log!354:354,"AAAAAFfyWuE=",0)</f>
        <v>0</v>
      </c>
      <c r="HS8" t="b">
        <f>AND(Log!A354,"AAAAAFfyWuI=")</f>
        <v>1</v>
      </c>
      <c r="HT8" t="e">
        <f>AND(Log!B354,"AAAAAFfyWuM=")</f>
        <v>#VALUE!</v>
      </c>
      <c r="HU8" t="e">
        <f>AND(Log!C354,"AAAAAFfyWuQ=")</f>
        <v>#VALUE!</v>
      </c>
      <c r="HV8" t="e">
        <f>AND(Log!D354,"AAAAAFfyWuU=")</f>
        <v>#VALUE!</v>
      </c>
      <c r="HW8">
        <f>IF(Log!355:355,"AAAAAFfyWuY=",0)</f>
        <v>0</v>
      </c>
      <c r="HX8" t="b">
        <f>AND(Log!A355,"AAAAAFfyWuc=")</f>
        <v>1</v>
      </c>
      <c r="HY8" t="e">
        <f>AND(Log!B355,"AAAAAFfyWug=")</f>
        <v>#VALUE!</v>
      </c>
      <c r="HZ8" t="e">
        <f>AND(Log!C355,"AAAAAFfyWuk=")</f>
        <v>#VALUE!</v>
      </c>
      <c r="IA8" t="e">
        <f>AND(Log!D355,"AAAAAFfyWuo=")</f>
        <v>#VALUE!</v>
      </c>
      <c r="IB8">
        <f>IF(Log!356:356,"AAAAAFfyWus=",0)</f>
        <v>0</v>
      </c>
      <c r="IC8" t="b">
        <f>AND(Log!A356,"AAAAAFfyWuw=")</f>
        <v>1</v>
      </c>
      <c r="ID8" t="e">
        <f>AND(Log!B356,"AAAAAFfyWu0=")</f>
        <v>#VALUE!</v>
      </c>
      <c r="IE8" t="e">
        <f>AND(Log!C356,"AAAAAFfyWu4=")</f>
        <v>#VALUE!</v>
      </c>
      <c r="IF8" t="e">
        <f>AND(Log!D356,"AAAAAFfyWu8=")</f>
        <v>#VALUE!</v>
      </c>
      <c r="IG8">
        <f>IF(Log!357:357,"AAAAAFfyWvA=",0)</f>
        <v>0</v>
      </c>
      <c r="IH8" t="b">
        <f>AND(Log!A357,"AAAAAFfyWvE=")</f>
        <v>1</v>
      </c>
      <c r="II8" t="e">
        <f>AND(Log!B357,"AAAAAFfyWvI=")</f>
        <v>#VALUE!</v>
      </c>
      <c r="IJ8" t="e">
        <f>AND(Log!C357,"AAAAAFfyWvM=")</f>
        <v>#VALUE!</v>
      </c>
      <c r="IK8" t="e">
        <f>AND(Log!D357,"AAAAAFfyWvQ=")</f>
        <v>#VALUE!</v>
      </c>
      <c r="IL8">
        <f>IF(Log!358:358,"AAAAAFfyWvU=",0)</f>
        <v>0</v>
      </c>
      <c r="IM8" t="b">
        <f>AND(Log!A358,"AAAAAFfyWvY=")</f>
        <v>1</v>
      </c>
      <c r="IN8" t="e">
        <f>AND(Log!B358,"AAAAAFfyWvc=")</f>
        <v>#VALUE!</v>
      </c>
      <c r="IO8" t="e">
        <f>AND(Log!C358,"AAAAAFfyWvg=")</f>
        <v>#VALUE!</v>
      </c>
      <c r="IP8" t="e">
        <f>AND(Log!D358,"AAAAAFfyWvk=")</f>
        <v>#VALUE!</v>
      </c>
      <c r="IQ8">
        <f>IF(Log!359:359,"AAAAAFfyWvo=",0)</f>
        <v>0</v>
      </c>
      <c r="IR8" t="b">
        <f>AND(Log!A359,"AAAAAFfyWvs=")</f>
        <v>1</v>
      </c>
      <c r="IS8" t="e">
        <f>AND(Log!B359,"AAAAAFfyWvw=")</f>
        <v>#VALUE!</v>
      </c>
      <c r="IT8" t="e">
        <f>AND(Log!C359,"AAAAAFfyWv0=")</f>
        <v>#VALUE!</v>
      </c>
      <c r="IU8" t="e">
        <f>AND(Log!D359,"AAAAAFfyWv4=")</f>
        <v>#VALUE!</v>
      </c>
      <c r="IV8">
        <f>IF(Log!360:360,"AAAAAFfyWv8=",0)</f>
        <v>0</v>
      </c>
    </row>
    <row r="9" spans="1:256" x14ac:dyDescent="0.25">
      <c r="A9" t="b">
        <f>AND(Log!A360,"AAAAAE/hqwA=")</f>
        <v>1</v>
      </c>
      <c r="B9" t="e">
        <f>AND(Log!B360,"AAAAAE/hqwE=")</f>
        <v>#VALUE!</v>
      </c>
      <c r="C9" t="e">
        <f>AND(Log!C360,"AAAAAE/hqwI=")</f>
        <v>#VALUE!</v>
      </c>
      <c r="D9" t="e">
        <f>AND(Log!D360,"AAAAAE/hqwM=")</f>
        <v>#VALUE!</v>
      </c>
      <c r="E9">
        <f>IF(Log!361:361,"AAAAAE/hqwQ=",0)</f>
        <v>0</v>
      </c>
      <c r="F9" t="b">
        <f>AND(Log!A361,"AAAAAE/hqwU=")</f>
        <v>1</v>
      </c>
      <c r="G9" t="e">
        <f>AND(Log!B361,"AAAAAE/hqwY=")</f>
        <v>#VALUE!</v>
      </c>
      <c r="H9" t="e">
        <f>AND(Log!C361,"AAAAAE/hqwc=")</f>
        <v>#VALUE!</v>
      </c>
      <c r="I9" t="e">
        <f>AND(Log!D361,"AAAAAE/hqwg=")</f>
        <v>#VALUE!</v>
      </c>
      <c r="J9">
        <f>IF(Log!362:362,"AAAAAE/hqwk=",0)</f>
        <v>0</v>
      </c>
      <c r="K9" t="b">
        <f>AND(Log!A362,"AAAAAE/hqwo=")</f>
        <v>1</v>
      </c>
      <c r="L9" t="e">
        <f>AND(Log!B362,"AAAAAE/hqws=")</f>
        <v>#VALUE!</v>
      </c>
      <c r="M9" t="e">
        <f>AND(Log!C362,"AAAAAE/hqww=")</f>
        <v>#VALUE!</v>
      </c>
      <c r="N9" t="e">
        <f>AND(Log!D362,"AAAAAE/hqw0=")</f>
        <v>#VALUE!</v>
      </c>
      <c r="O9">
        <f>IF(Log!363:363,"AAAAAE/hqw4=",0)</f>
        <v>0</v>
      </c>
      <c r="P9" t="b">
        <f>AND(Log!A363,"AAAAAE/hqw8=")</f>
        <v>1</v>
      </c>
      <c r="Q9" t="e">
        <f>AND(Log!B363,"AAAAAE/hqxA=")</f>
        <v>#VALUE!</v>
      </c>
      <c r="R9" t="e">
        <f>AND(Log!C363,"AAAAAE/hqxE=")</f>
        <v>#VALUE!</v>
      </c>
      <c r="S9" t="e">
        <f>AND(Log!D363,"AAAAAE/hqxI=")</f>
        <v>#VALUE!</v>
      </c>
      <c r="T9">
        <f>IF(Log!364:364,"AAAAAE/hqxM=",0)</f>
        <v>0</v>
      </c>
      <c r="U9" t="b">
        <f>AND(Log!A364,"AAAAAE/hqxQ=")</f>
        <v>1</v>
      </c>
      <c r="V9" t="e">
        <f>AND(Log!B364,"AAAAAE/hqxU=")</f>
        <v>#VALUE!</v>
      </c>
      <c r="W9" t="e">
        <f>AND(Log!C364,"AAAAAE/hqxY=")</f>
        <v>#VALUE!</v>
      </c>
      <c r="X9" t="e">
        <f>AND(Log!D364,"AAAAAE/hqxc=")</f>
        <v>#VALUE!</v>
      </c>
      <c r="Y9">
        <f>IF(Log!365:365,"AAAAAE/hqxg=",0)</f>
        <v>0</v>
      </c>
      <c r="Z9" t="b">
        <f>AND(Log!A365,"AAAAAE/hqxk=")</f>
        <v>1</v>
      </c>
      <c r="AA9" t="e">
        <f>AND(Log!B365,"AAAAAE/hqxo=")</f>
        <v>#VALUE!</v>
      </c>
      <c r="AB9" t="e">
        <f>AND(Log!C365,"AAAAAE/hqxs=")</f>
        <v>#VALUE!</v>
      </c>
      <c r="AC9" t="e">
        <f>AND(Log!D365,"AAAAAE/hqxw=")</f>
        <v>#VALUE!</v>
      </c>
      <c r="AD9">
        <f>IF(Log!366:366,"AAAAAE/hqx0=",0)</f>
        <v>0</v>
      </c>
      <c r="AE9" t="b">
        <f>AND(Log!A366,"AAAAAE/hqx4=")</f>
        <v>1</v>
      </c>
      <c r="AF9" t="e">
        <f>AND(Log!B366,"AAAAAE/hqx8=")</f>
        <v>#VALUE!</v>
      </c>
      <c r="AG9" t="e">
        <f>AND(Log!C366,"AAAAAE/hqyA=")</f>
        <v>#VALUE!</v>
      </c>
      <c r="AH9" t="e">
        <f>AND(Log!D366,"AAAAAE/hqyE=")</f>
        <v>#VALUE!</v>
      </c>
      <c r="AI9">
        <f>IF(Log!367:367,"AAAAAE/hqyI=",0)</f>
        <v>0</v>
      </c>
      <c r="AJ9" t="b">
        <f>AND(Log!A367,"AAAAAE/hqyM=")</f>
        <v>1</v>
      </c>
      <c r="AK9" t="e">
        <f>AND(Log!B367,"AAAAAE/hqyQ=")</f>
        <v>#VALUE!</v>
      </c>
      <c r="AL9" t="e">
        <f>AND(Log!C367,"AAAAAE/hqyU=")</f>
        <v>#VALUE!</v>
      </c>
      <c r="AM9" t="e">
        <f>AND(Log!D367,"AAAAAE/hqyY=")</f>
        <v>#VALUE!</v>
      </c>
      <c r="AN9">
        <f>IF(Log!368:368,"AAAAAE/hqyc=",0)</f>
        <v>0</v>
      </c>
      <c r="AO9" t="b">
        <f>AND(Log!A368,"AAAAAE/hqyg=")</f>
        <v>1</v>
      </c>
      <c r="AP9" t="e">
        <f>AND(Log!B368,"AAAAAE/hqyk=")</f>
        <v>#VALUE!</v>
      </c>
      <c r="AQ9" t="e">
        <f>AND(Log!C368,"AAAAAE/hqyo=")</f>
        <v>#VALUE!</v>
      </c>
      <c r="AR9" t="e">
        <f>AND(Log!D368,"AAAAAE/hqys=")</f>
        <v>#VALUE!</v>
      </c>
      <c r="AS9">
        <f>IF(Log!369:369,"AAAAAE/hqyw=",0)</f>
        <v>0</v>
      </c>
      <c r="AT9" t="b">
        <f>AND(Log!A369,"AAAAAE/hqy0=")</f>
        <v>1</v>
      </c>
      <c r="AU9" t="e">
        <f>AND(Log!B369,"AAAAAE/hqy4=")</f>
        <v>#VALUE!</v>
      </c>
      <c r="AV9" t="e">
        <f>AND(Log!C369,"AAAAAE/hqy8=")</f>
        <v>#VALUE!</v>
      </c>
      <c r="AW9" t="e">
        <f>AND(Log!D369,"AAAAAE/hqzA=")</f>
        <v>#VALUE!</v>
      </c>
      <c r="AX9">
        <f>IF(Log!370:370,"AAAAAE/hqzE=",0)</f>
        <v>0</v>
      </c>
      <c r="AY9" t="b">
        <f>AND(Log!A370,"AAAAAE/hqzI=")</f>
        <v>1</v>
      </c>
      <c r="AZ9" t="e">
        <f>AND(Log!B370,"AAAAAE/hqzM=")</f>
        <v>#VALUE!</v>
      </c>
      <c r="BA9" t="e">
        <f>AND(Log!C370,"AAAAAE/hqzQ=")</f>
        <v>#VALUE!</v>
      </c>
      <c r="BB9" t="e">
        <f>AND(Log!D370,"AAAAAE/hqzU=")</f>
        <v>#VALUE!</v>
      </c>
      <c r="BC9">
        <f>IF(Log!371:371,"AAAAAE/hqzY=",0)</f>
        <v>0</v>
      </c>
      <c r="BD9" t="b">
        <f>AND(Log!A371,"AAAAAE/hqzc=")</f>
        <v>1</v>
      </c>
      <c r="BE9" t="e">
        <f>AND(Log!B371,"AAAAAE/hqzg=")</f>
        <v>#VALUE!</v>
      </c>
      <c r="BF9" t="e">
        <f>AND(Log!C371,"AAAAAE/hqzk=")</f>
        <v>#VALUE!</v>
      </c>
      <c r="BG9" t="e">
        <f>AND(Log!D371,"AAAAAE/hqzo=")</f>
        <v>#VALUE!</v>
      </c>
      <c r="BH9">
        <f>IF(Log!372:372,"AAAAAE/hqzs=",0)</f>
        <v>0</v>
      </c>
      <c r="BI9" t="b">
        <f>AND(Log!A372,"AAAAAE/hqzw=")</f>
        <v>1</v>
      </c>
      <c r="BJ9" t="e">
        <f>AND(Log!B372,"AAAAAE/hqz0=")</f>
        <v>#VALUE!</v>
      </c>
      <c r="BK9" t="e">
        <f>AND(Log!C372,"AAAAAE/hqz4=")</f>
        <v>#VALUE!</v>
      </c>
      <c r="BL9" t="e">
        <f>AND(Log!D372,"AAAAAE/hqz8=")</f>
        <v>#VALUE!</v>
      </c>
      <c r="BM9">
        <f>IF(Log!373:373,"AAAAAE/hq0A=",0)</f>
        <v>0</v>
      </c>
      <c r="BN9" t="b">
        <f>AND(Log!A373,"AAAAAE/hq0E=")</f>
        <v>1</v>
      </c>
      <c r="BO9" t="e">
        <f>AND(Log!B373,"AAAAAE/hq0I=")</f>
        <v>#VALUE!</v>
      </c>
      <c r="BP9" t="e">
        <f>AND(Log!C373,"AAAAAE/hq0M=")</f>
        <v>#VALUE!</v>
      </c>
      <c r="BQ9" t="e">
        <f>AND(Log!D373,"AAAAAE/hq0Q=")</f>
        <v>#VALUE!</v>
      </c>
      <c r="BR9">
        <f>IF(Log!374:374,"AAAAAE/hq0U=",0)</f>
        <v>0</v>
      </c>
      <c r="BS9" t="b">
        <f>AND(Log!A374,"AAAAAE/hq0Y=")</f>
        <v>1</v>
      </c>
      <c r="BT9" t="e">
        <f>AND(Log!B374,"AAAAAE/hq0c=")</f>
        <v>#VALUE!</v>
      </c>
      <c r="BU9" t="e">
        <f>AND(Log!C374,"AAAAAE/hq0g=")</f>
        <v>#VALUE!</v>
      </c>
      <c r="BV9" t="e">
        <f>AND(Log!D374,"AAAAAE/hq0k=")</f>
        <v>#VALUE!</v>
      </c>
      <c r="BW9">
        <f>IF(Log!375:375,"AAAAAE/hq0o=",0)</f>
        <v>0</v>
      </c>
      <c r="BX9" t="b">
        <f>AND(Log!A375,"AAAAAE/hq0s=")</f>
        <v>1</v>
      </c>
      <c r="BY9" t="e">
        <f>AND(Log!B375,"AAAAAE/hq0w=")</f>
        <v>#VALUE!</v>
      </c>
      <c r="BZ9" t="e">
        <f>AND(Log!C375,"AAAAAE/hq00=")</f>
        <v>#VALUE!</v>
      </c>
      <c r="CA9" t="e">
        <f>AND(Log!D375,"AAAAAE/hq04=")</f>
        <v>#VALUE!</v>
      </c>
      <c r="CB9">
        <f>IF(Log!376:376,"AAAAAE/hq08=",0)</f>
        <v>0</v>
      </c>
      <c r="CC9" t="b">
        <f>AND(Log!A376,"AAAAAE/hq1A=")</f>
        <v>1</v>
      </c>
      <c r="CD9" t="e">
        <f>AND(Log!B376,"AAAAAE/hq1E=")</f>
        <v>#VALUE!</v>
      </c>
      <c r="CE9" t="e">
        <f>AND(Log!C376,"AAAAAE/hq1I=")</f>
        <v>#VALUE!</v>
      </c>
      <c r="CF9" t="e">
        <f>AND(Log!D376,"AAAAAE/hq1M=")</f>
        <v>#VALUE!</v>
      </c>
      <c r="CG9">
        <f>IF(Log!377:377,"AAAAAE/hq1Q=",0)</f>
        <v>0</v>
      </c>
      <c r="CH9" t="b">
        <f>AND(Log!A377,"AAAAAE/hq1U=")</f>
        <v>1</v>
      </c>
      <c r="CI9" t="e">
        <f>AND(Log!B377,"AAAAAE/hq1Y=")</f>
        <v>#VALUE!</v>
      </c>
      <c r="CJ9" t="e">
        <f>AND(Log!C377,"AAAAAE/hq1c=")</f>
        <v>#VALUE!</v>
      </c>
      <c r="CK9" t="e">
        <f>AND(Log!D377,"AAAAAE/hq1g=")</f>
        <v>#VALUE!</v>
      </c>
      <c r="CL9">
        <f>IF(Log!378:378,"AAAAAE/hq1k=",0)</f>
        <v>0</v>
      </c>
      <c r="CM9" t="b">
        <f>AND(Log!A378,"AAAAAE/hq1o=")</f>
        <v>1</v>
      </c>
      <c r="CN9" t="e">
        <f>AND(Log!B378,"AAAAAE/hq1s=")</f>
        <v>#VALUE!</v>
      </c>
      <c r="CO9" t="e">
        <f>AND(Log!C378,"AAAAAE/hq1w=")</f>
        <v>#VALUE!</v>
      </c>
      <c r="CP9" t="e">
        <f>AND(Log!D378,"AAAAAE/hq10=")</f>
        <v>#VALUE!</v>
      </c>
      <c r="CQ9">
        <f>IF(Log!379:379,"AAAAAE/hq14=",0)</f>
        <v>0</v>
      </c>
      <c r="CR9" t="b">
        <f>AND(Log!A379,"AAAAAE/hq18=")</f>
        <v>1</v>
      </c>
      <c r="CS9" t="e">
        <f>AND(Log!B379,"AAAAAE/hq2A=")</f>
        <v>#VALUE!</v>
      </c>
      <c r="CT9" t="e">
        <f>AND(Log!C379,"AAAAAE/hq2E=")</f>
        <v>#VALUE!</v>
      </c>
      <c r="CU9" t="e">
        <f>AND(Log!D379,"AAAAAE/hq2I=")</f>
        <v>#VALUE!</v>
      </c>
      <c r="CV9">
        <f>IF(Log!380:380,"AAAAAE/hq2M=",0)</f>
        <v>0</v>
      </c>
      <c r="CW9" t="b">
        <f>AND(Log!A380,"AAAAAE/hq2Q=")</f>
        <v>1</v>
      </c>
      <c r="CX9" t="e">
        <f>AND(Log!B380,"AAAAAE/hq2U=")</f>
        <v>#VALUE!</v>
      </c>
      <c r="CY9" t="e">
        <f>AND(Log!C380,"AAAAAE/hq2Y=")</f>
        <v>#VALUE!</v>
      </c>
      <c r="CZ9" t="e">
        <f>AND(Log!D380,"AAAAAE/hq2c=")</f>
        <v>#VALUE!</v>
      </c>
      <c r="DA9">
        <f>IF(Log!381:381,"AAAAAE/hq2g=",0)</f>
        <v>0</v>
      </c>
      <c r="DB9" t="b">
        <f>AND(Log!A381,"AAAAAE/hq2k=")</f>
        <v>1</v>
      </c>
      <c r="DC9" t="e">
        <f>AND(Log!B381,"AAAAAE/hq2o=")</f>
        <v>#VALUE!</v>
      </c>
      <c r="DD9" t="e">
        <f>AND(Log!C381,"AAAAAE/hq2s=")</f>
        <v>#VALUE!</v>
      </c>
      <c r="DE9" t="e">
        <f>AND(Log!D381,"AAAAAE/hq2w=")</f>
        <v>#VALUE!</v>
      </c>
      <c r="DF9">
        <f>IF(Log!382:382,"AAAAAE/hq20=",0)</f>
        <v>0</v>
      </c>
      <c r="DG9" t="b">
        <f>AND(Log!A382,"AAAAAE/hq24=")</f>
        <v>1</v>
      </c>
      <c r="DH9" t="e">
        <f>AND(Log!B382,"AAAAAE/hq28=")</f>
        <v>#VALUE!</v>
      </c>
      <c r="DI9" t="e">
        <f>AND(Log!C382,"AAAAAE/hq3A=")</f>
        <v>#VALUE!</v>
      </c>
      <c r="DJ9" t="e">
        <f>AND(Log!D382,"AAAAAE/hq3E=")</f>
        <v>#VALUE!</v>
      </c>
      <c r="DK9">
        <f>IF(Log!383:383,"AAAAAE/hq3I=",0)</f>
        <v>0</v>
      </c>
      <c r="DL9" t="b">
        <f>AND(Log!A383,"AAAAAE/hq3M=")</f>
        <v>1</v>
      </c>
      <c r="DM9" t="e">
        <f>AND(Log!B383,"AAAAAE/hq3Q=")</f>
        <v>#VALUE!</v>
      </c>
      <c r="DN9" t="e">
        <f>AND(Log!C383,"AAAAAE/hq3U=")</f>
        <v>#VALUE!</v>
      </c>
      <c r="DO9" t="e">
        <f>AND(Log!D383,"AAAAAE/hq3Y=")</f>
        <v>#VALUE!</v>
      </c>
      <c r="DP9">
        <f>IF(Log!384:384,"AAAAAE/hq3c=",0)</f>
        <v>0</v>
      </c>
      <c r="DQ9" t="b">
        <f>AND(Log!A384,"AAAAAE/hq3g=")</f>
        <v>1</v>
      </c>
      <c r="DR9" t="e">
        <f>AND(Log!B384,"AAAAAE/hq3k=")</f>
        <v>#VALUE!</v>
      </c>
      <c r="DS9" t="e">
        <f>AND(Log!C384,"AAAAAE/hq3o=")</f>
        <v>#VALUE!</v>
      </c>
      <c r="DT9" t="e">
        <f>AND(Log!D384,"AAAAAE/hq3s=")</f>
        <v>#VALUE!</v>
      </c>
      <c r="DU9">
        <f>IF(Log!385:385,"AAAAAE/hq3w=",0)</f>
        <v>0</v>
      </c>
      <c r="DV9" t="b">
        <f>AND(Log!A385,"AAAAAE/hq30=")</f>
        <v>1</v>
      </c>
      <c r="DW9" t="e">
        <f>AND(Log!B385,"AAAAAE/hq34=")</f>
        <v>#VALUE!</v>
      </c>
      <c r="DX9" t="e">
        <f>AND(Log!C385,"AAAAAE/hq38=")</f>
        <v>#VALUE!</v>
      </c>
      <c r="DY9" t="e">
        <f>AND(Log!D385,"AAAAAE/hq4A=")</f>
        <v>#VALUE!</v>
      </c>
      <c r="DZ9">
        <f>IF(Log!386:386,"AAAAAE/hq4E=",0)</f>
        <v>0</v>
      </c>
      <c r="EA9" t="b">
        <f>AND(Log!A386,"AAAAAE/hq4I=")</f>
        <v>1</v>
      </c>
      <c r="EB9" t="e">
        <f>AND(Log!B386,"AAAAAE/hq4M=")</f>
        <v>#VALUE!</v>
      </c>
      <c r="EC9" t="e">
        <f>AND(Log!C386,"AAAAAE/hq4Q=")</f>
        <v>#VALUE!</v>
      </c>
      <c r="ED9" t="e">
        <f>AND(Log!D386,"AAAAAE/hq4U=")</f>
        <v>#VALUE!</v>
      </c>
      <c r="EE9">
        <f>IF(Log!387:387,"AAAAAE/hq4Y=",0)</f>
        <v>0</v>
      </c>
      <c r="EF9" t="b">
        <f>AND(Log!A387,"AAAAAE/hq4c=")</f>
        <v>1</v>
      </c>
      <c r="EG9" t="e">
        <f>AND(Log!B387,"AAAAAE/hq4g=")</f>
        <v>#VALUE!</v>
      </c>
      <c r="EH9" t="e">
        <f>AND(Log!C387,"AAAAAE/hq4k=")</f>
        <v>#VALUE!</v>
      </c>
      <c r="EI9" t="e">
        <f>AND(Log!D387,"AAAAAE/hq4o=")</f>
        <v>#VALUE!</v>
      </c>
      <c r="EJ9">
        <f>IF(Log!388:388,"AAAAAE/hq4s=",0)</f>
        <v>0</v>
      </c>
      <c r="EK9" t="b">
        <f>AND(Log!A388,"AAAAAE/hq4w=")</f>
        <v>1</v>
      </c>
      <c r="EL9" t="e">
        <f>AND(Log!B388,"AAAAAE/hq40=")</f>
        <v>#VALUE!</v>
      </c>
      <c r="EM9" t="e">
        <f>AND(Log!C388,"AAAAAE/hq44=")</f>
        <v>#VALUE!</v>
      </c>
      <c r="EN9" t="e">
        <f>AND(Log!D388,"AAAAAE/hq48=")</f>
        <v>#VALUE!</v>
      </c>
      <c r="EO9">
        <f>IF(Log!389:389,"AAAAAE/hq5A=",0)</f>
        <v>0</v>
      </c>
      <c r="EP9" t="b">
        <f>AND(Log!A389,"AAAAAE/hq5E=")</f>
        <v>1</v>
      </c>
      <c r="EQ9" t="e">
        <f>AND(Log!B389,"AAAAAE/hq5I=")</f>
        <v>#VALUE!</v>
      </c>
      <c r="ER9" t="e">
        <f>AND(Log!C389,"AAAAAE/hq5M=")</f>
        <v>#VALUE!</v>
      </c>
      <c r="ES9" t="e">
        <f>AND(Log!D389,"AAAAAE/hq5Q=")</f>
        <v>#VALUE!</v>
      </c>
      <c r="ET9">
        <f>IF(Log!390:390,"AAAAAE/hq5U=",0)</f>
        <v>0</v>
      </c>
      <c r="EU9" t="b">
        <f>AND(Log!A390,"AAAAAE/hq5Y=")</f>
        <v>1</v>
      </c>
      <c r="EV9" t="e">
        <f>AND(Log!B390,"AAAAAE/hq5c=")</f>
        <v>#VALUE!</v>
      </c>
      <c r="EW9" t="e">
        <f>AND(Log!C390,"AAAAAE/hq5g=")</f>
        <v>#VALUE!</v>
      </c>
      <c r="EX9" t="e">
        <f>AND(Log!D390,"AAAAAE/hq5k=")</f>
        <v>#VALUE!</v>
      </c>
      <c r="EY9">
        <f>IF(Log!391:391,"AAAAAE/hq5o=",0)</f>
        <v>0</v>
      </c>
      <c r="EZ9" t="b">
        <f>AND(Log!A391,"AAAAAE/hq5s=")</f>
        <v>1</v>
      </c>
      <c r="FA9" t="e">
        <f>AND(Log!B391,"AAAAAE/hq5w=")</f>
        <v>#VALUE!</v>
      </c>
      <c r="FB9" t="e">
        <f>AND(Log!C391,"AAAAAE/hq50=")</f>
        <v>#VALUE!</v>
      </c>
      <c r="FC9" t="e">
        <f>AND(Log!D391,"AAAAAE/hq54=")</f>
        <v>#VALUE!</v>
      </c>
      <c r="FD9">
        <f>IF(Log!392:392,"AAAAAE/hq58=",0)</f>
        <v>0</v>
      </c>
      <c r="FE9" t="b">
        <f>AND(Log!A392,"AAAAAE/hq6A=")</f>
        <v>1</v>
      </c>
      <c r="FF9" t="e">
        <f>AND(Log!B392,"AAAAAE/hq6E=")</f>
        <v>#VALUE!</v>
      </c>
      <c r="FG9" t="e">
        <f>AND(Log!C392,"AAAAAE/hq6I=")</f>
        <v>#VALUE!</v>
      </c>
      <c r="FH9" t="e">
        <f>AND(Log!D392,"AAAAAE/hq6M=")</f>
        <v>#VALUE!</v>
      </c>
      <c r="FI9">
        <f>IF(Log!393:393,"AAAAAE/hq6Q=",0)</f>
        <v>0</v>
      </c>
      <c r="FJ9" t="b">
        <f>AND(Log!A393,"AAAAAE/hq6U=")</f>
        <v>1</v>
      </c>
      <c r="FK9" t="e">
        <f>AND(Log!B393,"AAAAAE/hq6Y=")</f>
        <v>#VALUE!</v>
      </c>
      <c r="FL9" t="e">
        <f>AND(Log!C393,"AAAAAE/hq6c=")</f>
        <v>#VALUE!</v>
      </c>
      <c r="FM9" t="e">
        <f>AND(Log!D393,"AAAAAE/hq6g=")</f>
        <v>#VALUE!</v>
      </c>
      <c r="FN9">
        <f>IF(Log!394:394,"AAAAAE/hq6k=",0)</f>
        <v>0</v>
      </c>
      <c r="FO9" t="b">
        <f>AND(Log!A394,"AAAAAE/hq6o=")</f>
        <v>1</v>
      </c>
      <c r="FP9" t="e">
        <f>AND(Log!B394,"AAAAAE/hq6s=")</f>
        <v>#VALUE!</v>
      </c>
      <c r="FQ9" t="e">
        <f>AND(Log!C394,"AAAAAE/hq6w=")</f>
        <v>#VALUE!</v>
      </c>
      <c r="FR9" t="e">
        <f>AND(Log!D394,"AAAAAE/hq60=")</f>
        <v>#VALUE!</v>
      </c>
      <c r="FS9">
        <f>IF(Log!395:395,"AAAAAE/hq64=",0)</f>
        <v>0</v>
      </c>
      <c r="FT9" t="b">
        <f>AND(Log!A395,"AAAAAE/hq68=")</f>
        <v>1</v>
      </c>
      <c r="FU9" t="e">
        <f>AND(Log!B395,"AAAAAE/hq7A=")</f>
        <v>#VALUE!</v>
      </c>
      <c r="FV9" t="e">
        <f>AND(Log!C395,"AAAAAE/hq7E=")</f>
        <v>#VALUE!</v>
      </c>
      <c r="FW9" t="e">
        <f>AND(Log!D395,"AAAAAE/hq7I=")</f>
        <v>#VALUE!</v>
      </c>
      <c r="FX9">
        <f>IF(Log!396:396,"AAAAAE/hq7M=",0)</f>
        <v>0</v>
      </c>
      <c r="FY9" t="b">
        <f>AND(Log!A396,"AAAAAE/hq7Q=")</f>
        <v>1</v>
      </c>
      <c r="FZ9" t="e">
        <f>AND(Log!B396,"AAAAAE/hq7U=")</f>
        <v>#VALUE!</v>
      </c>
      <c r="GA9" t="e">
        <f>AND(Log!C396,"AAAAAE/hq7Y=")</f>
        <v>#VALUE!</v>
      </c>
      <c r="GB9" t="e">
        <f>AND(Log!D396,"AAAAAE/hq7c=")</f>
        <v>#VALUE!</v>
      </c>
      <c r="GC9">
        <f>IF(Log!397:397,"AAAAAE/hq7g=",0)</f>
        <v>0</v>
      </c>
      <c r="GD9" t="b">
        <f>AND(Log!A397,"AAAAAE/hq7k=")</f>
        <v>1</v>
      </c>
      <c r="GE9" t="e">
        <f>AND(Log!B397,"AAAAAE/hq7o=")</f>
        <v>#VALUE!</v>
      </c>
      <c r="GF9" t="e">
        <f>AND(Log!C397,"AAAAAE/hq7s=")</f>
        <v>#VALUE!</v>
      </c>
      <c r="GG9" t="e">
        <f>AND(Log!D397,"AAAAAE/hq7w=")</f>
        <v>#VALUE!</v>
      </c>
      <c r="GH9">
        <f>IF(Log!398:398,"AAAAAE/hq70=",0)</f>
        <v>0</v>
      </c>
      <c r="GI9" t="b">
        <f>AND(Log!A398,"AAAAAE/hq74=")</f>
        <v>1</v>
      </c>
      <c r="GJ9" t="e">
        <f>AND(Log!B398,"AAAAAE/hq78=")</f>
        <v>#VALUE!</v>
      </c>
      <c r="GK9" t="e">
        <f>AND(Log!C398,"AAAAAE/hq8A=")</f>
        <v>#VALUE!</v>
      </c>
      <c r="GL9" t="e">
        <f>AND(Log!D398,"AAAAAE/hq8E=")</f>
        <v>#VALUE!</v>
      </c>
      <c r="GM9">
        <f>IF(Log!399:399,"AAAAAE/hq8I=",0)</f>
        <v>0</v>
      </c>
      <c r="GN9" t="b">
        <f>AND(Log!A399,"AAAAAE/hq8M=")</f>
        <v>1</v>
      </c>
      <c r="GO9" t="e">
        <f>AND(Log!B399,"AAAAAE/hq8Q=")</f>
        <v>#VALUE!</v>
      </c>
      <c r="GP9" t="e">
        <f>AND(Log!C399,"AAAAAE/hq8U=")</f>
        <v>#VALUE!</v>
      </c>
      <c r="GQ9" t="e">
        <f>AND(Log!D399,"AAAAAE/hq8Y=")</f>
        <v>#VALUE!</v>
      </c>
      <c r="GR9">
        <f>IF(Log!400:400,"AAAAAE/hq8c=",0)</f>
        <v>0</v>
      </c>
      <c r="GS9" t="b">
        <f>AND(Log!A400,"AAAAAE/hq8g=")</f>
        <v>1</v>
      </c>
      <c r="GT9" t="e">
        <f>AND(Log!B400,"AAAAAE/hq8k=")</f>
        <v>#VALUE!</v>
      </c>
      <c r="GU9" t="e">
        <f>AND(Log!C400,"AAAAAE/hq8o=")</f>
        <v>#VALUE!</v>
      </c>
      <c r="GV9" t="e">
        <f>AND(Log!D400,"AAAAAE/hq8s=")</f>
        <v>#VALUE!</v>
      </c>
      <c r="GW9">
        <f>IF(Log!401:401,"AAAAAE/hq8w=",0)</f>
        <v>0</v>
      </c>
      <c r="GX9" t="b">
        <f>AND(Log!A401,"AAAAAE/hq80=")</f>
        <v>1</v>
      </c>
      <c r="GY9" t="e">
        <f>AND(Log!B401,"AAAAAE/hq84=")</f>
        <v>#VALUE!</v>
      </c>
      <c r="GZ9" t="e">
        <f>AND(Log!C401,"AAAAAE/hq88=")</f>
        <v>#VALUE!</v>
      </c>
      <c r="HA9" t="e">
        <f>AND(Log!D401,"AAAAAE/hq9A=")</f>
        <v>#VALUE!</v>
      </c>
      <c r="HB9">
        <f>IF(Log!402:402,"AAAAAE/hq9E=",0)</f>
        <v>0</v>
      </c>
      <c r="HC9" t="b">
        <f>AND(Log!A402,"AAAAAE/hq9I=")</f>
        <v>1</v>
      </c>
      <c r="HD9" t="e">
        <f>AND(Log!B402,"AAAAAE/hq9M=")</f>
        <v>#VALUE!</v>
      </c>
      <c r="HE9" t="e">
        <f>AND(Log!C402,"AAAAAE/hq9Q=")</f>
        <v>#VALUE!</v>
      </c>
      <c r="HF9" t="e">
        <f>AND(Log!D402,"AAAAAE/hq9U=")</f>
        <v>#VALUE!</v>
      </c>
      <c r="HG9">
        <f>IF(Log!403:403,"AAAAAE/hq9Y=",0)</f>
        <v>0</v>
      </c>
      <c r="HH9" t="b">
        <f>AND(Log!A403,"AAAAAE/hq9c=")</f>
        <v>1</v>
      </c>
      <c r="HI9" t="e">
        <f>AND(Log!B403,"AAAAAE/hq9g=")</f>
        <v>#VALUE!</v>
      </c>
      <c r="HJ9" t="e">
        <f>AND(Log!C403,"AAAAAE/hq9k=")</f>
        <v>#VALUE!</v>
      </c>
      <c r="HK9" t="e">
        <f>AND(Log!D403,"AAAAAE/hq9o=")</f>
        <v>#VALUE!</v>
      </c>
      <c r="HL9">
        <f>IF(Log!404:404,"AAAAAE/hq9s=",0)</f>
        <v>0</v>
      </c>
      <c r="HM9" t="b">
        <f>AND(Log!A404,"AAAAAE/hq9w=")</f>
        <v>1</v>
      </c>
      <c r="HN9" t="e">
        <f>AND(Log!B404,"AAAAAE/hq90=")</f>
        <v>#VALUE!</v>
      </c>
      <c r="HO9" t="e">
        <f>AND(Log!C404,"AAAAAE/hq94=")</f>
        <v>#VALUE!</v>
      </c>
      <c r="HP9" t="e">
        <f>AND(Log!D404,"AAAAAE/hq98=")</f>
        <v>#VALUE!</v>
      </c>
      <c r="HQ9">
        <f>IF(Log!405:405,"AAAAAE/hq+A=",0)</f>
        <v>0</v>
      </c>
      <c r="HR9" t="b">
        <f>AND(Log!A405,"AAAAAE/hq+E=")</f>
        <v>1</v>
      </c>
      <c r="HS9" t="e">
        <f>AND(Log!B405,"AAAAAE/hq+I=")</f>
        <v>#VALUE!</v>
      </c>
      <c r="HT9" t="e">
        <f>AND(Log!C405,"AAAAAE/hq+M=")</f>
        <v>#VALUE!</v>
      </c>
      <c r="HU9" t="e">
        <f>AND(Log!D405,"AAAAAE/hq+Q=")</f>
        <v>#VALUE!</v>
      </c>
      <c r="HV9">
        <f>IF(Log!406:406,"AAAAAE/hq+U=",0)</f>
        <v>0</v>
      </c>
      <c r="HW9" t="b">
        <f>AND(Log!A406,"AAAAAE/hq+Y=")</f>
        <v>1</v>
      </c>
      <c r="HX9" t="e">
        <f>AND(Log!B406,"AAAAAE/hq+c=")</f>
        <v>#VALUE!</v>
      </c>
      <c r="HY9" t="e">
        <f>AND(Log!C406,"AAAAAE/hq+g=")</f>
        <v>#VALUE!</v>
      </c>
      <c r="HZ9" t="e">
        <f>AND(Log!D406,"AAAAAE/hq+k=")</f>
        <v>#VALUE!</v>
      </c>
      <c r="IA9">
        <f>IF(Log!407:407,"AAAAAE/hq+o=",0)</f>
        <v>0</v>
      </c>
      <c r="IB9" t="b">
        <f>AND(Log!A407,"AAAAAE/hq+s=")</f>
        <v>1</v>
      </c>
      <c r="IC9" t="e">
        <f>AND(Log!B407,"AAAAAE/hq+w=")</f>
        <v>#VALUE!</v>
      </c>
      <c r="ID9" t="e">
        <f>AND(Log!C407,"AAAAAE/hq+0=")</f>
        <v>#VALUE!</v>
      </c>
      <c r="IE9" t="e">
        <f>AND(Log!D407,"AAAAAE/hq+4=")</f>
        <v>#VALUE!</v>
      </c>
      <c r="IF9">
        <f>IF(Log!408:408,"AAAAAE/hq+8=",0)</f>
        <v>0</v>
      </c>
      <c r="IG9" t="b">
        <f>AND(Log!A408,"AAAAAE/hq/A=")</f>
        <v>1</v>
      </c>
      <c r="IH9" t="e">
        <f>AND(Log!B408,"AAAAAE/hq/E=")</f>
        <v>#VALUE!</v>
      </c>
      <c r="II9" t="e">
        <f>AND(Log!C408,"AAAAAE/hq/I=")</f>
        <v>#VALUE!</v>
      </c>
      <c r="IJ9" t="e">
        <f>AND(Log!D408,"AAAAAE/hq/M=")</f>
        <v>#VALUE!</v>
      </c>
      <c r="IK9">
        <f>IF(Log!409:409,"AAAAAE/hq/Q=",0)</f>
        <v>0</v>
      </c>
      <c r="IL9" t="b">
        <f>AND(Log!A409,"AAAAAE/hq/U=")</f>
        <v>1</v>
      </c>
      <c r="IM9" t="e">
        <f>AND(Log!B409,"AAAAAE/hq/Y=")</f>
        <v>#VALUE!</v>
      </c>
      <c r="IN9" t="e">
        <f>AND(Log!C409,"AAAAAE/hq/c=")</f>
        <v>#VALUE!</v>
      </c>
      <c r="IO9" t="e">
        <f>AND(Log!D409,"AAAAAE/hq/g=")</f>
        <v>#VALUE!</v>
      </c>
      <c r="IP9">
        <f>IF(Log!410:410,"AAAAAE/hq/k=",0)</f>
        <v>0</v>
      </c>
      <c r="IQ9" t="b">
        <f>AND(Log!A410,"AAAAAE/hq/o=")</f>
        <v>1</v>
      </c>
      <c r="IR9" t="e">
        <f>AND(Log!B410,"AAAAAE/hq/s=")</f>
        <v>#VALUE!</v>
      </c>
      <c r="IS9" t="e">
        <f>AND(Log!C410,"AAAAAE/hq/w=")</f>
        <v>#VALUE!</v>
      </c>
      <c r="IT9" t="e">
        <f>AND(Log!D410,"AAAAAE/hq/0=")</f>
        <v>#VALUE!</v>
      </c>
      <c r="IU9">
        <f>IF(Log!411:411,"AAAAAE/hq/4=",0)</f>
        <v>0</v>
      </c>
      <c r="IV9" t="b">
        <f>AND(Log!A411,"AAAAAE/hq/8=")</f>
        <v>1</v>
      </c>
    </row>
    <row r="10" spans="1:256" x14ac:dyDescent="0.25">
      <c r="A10" t="e">
        <f>AND(Log!B411,"AAAAAE/eXwA=")</f>
        <v>#VALUE!</v>
      </c>
      <c r="B10" t="e">
        <f>AND(Log!C411,"AAAAAE/eXwE=")</f>
        <v>#VALUE!</v>
      </c>
      <c r="C10" t="e">
        <f>AND(Log!D411,"AAAAAE/eXwI=")</f>
        <v>#VALUE!</v>
      </c>
      <c r="D10">
        <f>IF(Log!412:412,"AAAAAE/eXwM=",0)</f>
        <v>0</v>
      </c>
      <c r="E10" t="b">
        <f>AND(Log!A412,"AAAAAE/eXwQ=")</f>
        <v>1</v>
      </c>
      <c r="F10" t="e">
        <f>AND(Log!B412,"AAAAAE/eXwU=")</f>
        <v>#VALUE!</v>
      </c>
      <c r="G10" t="e">
        <f>AND(Log!C412,"AAAAAE/eXwY=")</f>
        <v>#VALUE!</v>
      </c>
      <c r="H10" t="e">
        <f>AND(Log!D412,"AAAAAE/eXwc=")</f>
        <v>#VALUE!</v>
      </c>
      <c r="I10">
        <f>IF(Log!413:413,"AAAAAE/eXwg=",0)</f>
        <v>0</v>
      </c>
      <c r="J10" t="b">
        <f>AND(Log!A413,"AAAAAE/eXwk=")</f>
        <v>1</v>
      </c>
      <c r="K10" t="e">
        <f>AND(Log!B413,"AAAAAE/eXwo=")</f>
        <v>#VALUE!</v>
      </c>
      <c r="L10" t="e">
        <f>AND(Log!C413,"AAAAAE/eXws=")</f>
        <v>#VALUE!</v>
      </c>
      <c r="M10" t="e">
        <f>AND(Log!D413,"AAAAAE/eXww=")</f>
        <v>#VALUE!</v>
      </c>
      <c r="N10">
        <f>IF(Log!414:414,"AAAAAE/eXw0=",0)</f>
        <v>0</v>
      </c>
      <c r="O10" t="b">
        <f>AND(Log!A414,"AAAAAE/eXw4=")</f>
        <v>1</v>
      </c>
      <c r="P10" t="e">
        <f>AND(Log!B414,"AAAAAE/eXw8=")</f>
        <v>#VALUE!</v>
      </c>
      <c r="Q10" t="e">
        <f>AND(Log!C414,"AAAAAE/eXxA=")</f>
        <v>#VALUE!</v>
      </c>
      <c r="R10" t="e">
        <f>AND(Log!D414,"AAAAAE/eXxE=")</f>
        <v>#VALUE!</v>
      </c>
      <c r="S10">
        <f>IF(Log!415:415,"AAAAAE/eXxI=",0)</f>
        <v>0</v>
      </c>
      <c r="T10" t="b">
        <f>AND(Log!A415,"AAAAAE/eXxM=")</f>
        <v>1</v>
      </c>
      <c r="U10" t="e">
        <f>AND(Log!B415,"AAAAAE/eXxQ=")</f>
        <v>#VALUE!</v>
      </c>
      <c r="V10" t="e">
        <f>AND(Log!C415,"AAAAAE/eXxU=")</f>
        <v>#VALUE!</v>
      </c>
      <c r="W10" t="e">
        <f>AND(Log!D415,"AAAAAE/eXxY=")</f>
        <v>#VALUE!</v>
      </c>
      <c r="X10">
        <f>IF(Log!416:416,"AAAAAE/eXxc=",0)</f>
        <v>0</v>
      </c>
      <c r="Y10" t="b">
        <f>AND(Log!A416,"AAAAAE/eXxg=")</f>
        <v>1</v>
      </c>
      <c r="Z10" t="e">
        <f>AND(Log!B416,"AAAAAE/eXxk=")</f>
        <v>#VALUE!</v>
      </c>
      <c r="AA10" t="e">
        <f>AND(Log!C416,"AAAAAE/eXxo=")</f>
        <v>#VALUE!</v>
      </c>
      <c r="AB10" t="e">
        <f>AND(Log!D416,"AAAAAE/eXxs=")</f>
        <v>#VALUE!</v>
      </c>
      <c r="AC10">
        <f>IF(Log!417:417,"AAAAAE/eXxw=",0)</f>
        <v>0</v>
      </c>
      <c r="AD10" t="b">
        <f>AND(Log!A417,"AAAAAE/eXx0=")</f>
        <v>1</v>
      </c>
      <c r="AE10" t="e">
        <f>AND(Log!B417,"AAAAAE/eXx4=")</f>
        <v>#VALUE!</v>
      </c>
      <c r="AF10" t="e">
        <f>AND(Log!C417,"AAAAAE/eXx8=")</f>
        <v>#VALUE!</v>
      </c>
      <c r="AG10" t="e">
        <f>AND(Log!D417,"AAAAAE/eXyA=")</f>
        <v>#VALUE!</v>
      </c>
      <c r="AH10">
        <f>IF(Log!418:418,"AAAAAE/eXyE=",0)</f>
        <v>0</v>
      </c>
      <c r="AI10" t="b">
        <f>AND(Log!A418,"AAAAAE/eXyI=")</f>
        <v>1</v>
      </c>
      <c r="AJ10" t="e">
        <f>AND(Log!B418,"AAAAAE/eXyM=")</f>
        <v>#VALUE!</v>
      </c>
      <c r="AK10" t="e">
        <f>AND(Log!C418,"AAAAAE/eXyQ=")</f>
        <v>#VALUE!</v>
      </c>
      <c r="AL10" t="e">
        <f>AND(Log!D418,"AAAAAE/eXyU=")</f>
        <v>#VALUE!</v>
      </c>
      <c r="AM10">
        <f>IF(Log!419:419,"AAAAAE/eXyY=",0)</f>
        <v>0</v>
      </c>
      <c r="AN10" t="b">
        <f>AND(Log!A419,"AAAAAE/eXyc=")</f>
        <v>1</v>
      </c>
      <c r="AO10" t="e">
        <f>AND(Log!B419,"AAAAAE/eXyg=")</f>
        <v>#VALUE!</v>
      </c>
      <c r="AP10" t="e">
        <f>AND(Log!C419,"AAAAAE/eXyk=")</f>
        <v>#VALUE!</v>
      </c>
      <c r="AQ10" t="e">
        <f>AND(Log!D419,"AAAAAE/eXyo=")</f>
        <v>#VALUE!</v>
      </c>
      <c r="AR10">
        <f>IF(Log!420:420,"AAAAAE/eXys=",0)</f>
        <v>0</v>
      </c>
      <c r="AS10" t="b">
        <f>AND(Log!A420,"AAAAAE/eXyw=")</f>
        <v>1</v>
      </c>
      <c r="AT10" t="e">
        <f>AND(Log!B420,"AAAAAE/eXy0=")</f>
        <v>#VALUE!</v>
      </c>
      <c r="AU10" t="e">
        <f>AND(Log!C420,"AAAAAE/eXy4=")</f>
        <v>#VALUE!</v>
      </c>
      <c r="AV10" t="e">
        <f>AND(Log!D420,"AAAAAE/eXy8=")</f>
        <v>#VALUE!</v>
      </c>
      <c r="AW10">
        <f>IF(Log!421:421,"AAAAAE/eXzA=",0)</f>
        <v>0</v>
      </c>
      <c r="AX10" t="b">
        <f>AND(Log!A421,"AAAAAE/eXzE=")</f>
        <v>1</v>
      </c>
      <c r="AY10" t="e">
        <f>AND(Log!B421,"AAAAAE/eXzI=")</f>
        <v>#VALUE!</v>
      </c>
      <c r="AZ10" t="e">
        <f>AND(Log!C421,"AAAAAE/eXzM=")</f>
        <v>#VALUE!</v>
      </c>
      <c r="BA10" t="e">
        <f>AND(Log!D421,"AAAAAE/eXzQ=")</f>
        <v>#VALUE!</v>
      </c>
      <c r="BB10">
        <f>IF(Log!422:422,"AAAAAE/eXzU=",0)</f>
        <v>0</v>
      </c>
      <c r="BC10" t="b">
        <f>AND(Log!A422,"AAAAAE/eXzY=")</f>
        <v>1</v>
      </c>
      <c r="BD10" t="e">
        <f>AND(Log!B422,"AAAAAE/eXzc=")</f>
        <v>#VALUE!</v>
      </c>
      <c r="BE10" t="e">
        <f>AND(Log!C422,"AAAAAE/eXzg=")</f>
        <v>#VALUE!</v>
      </c>
      <c r="BF10" t="e">
        <f>AND(Log!D422,"AAAAAE/eXzk=")</f>
        <v>#VALUE!</v>
      </c>
      <c r="BG10">
        <f>IF(Log!423:423,"AAAAAE/eXzo=",0)</f>
        <v>0</v>
      </c>
      <c r="BH10" t="b">
        <f>AND(Log!A423,"AAAAAE/eXzs=")</f>
        <v>1</v>
      </c>
      <c r="BI10" t="e">
        <f>AND(Log!B423,"AAAAAE/eXzw=")</f>
        <v>#VALUE!</v>
      </c>
      <c r="BJ10" t="e">
        <f>AND(Log!C423,"AAAAAE/eXz0=")</f>
        <v>#VALUE!</v>
      </c>
      <c r="BK10" t="e">
        <f>AND(Log!D423,"AAAAAE/eXz4=")</f>
        <v>#VALUE!</v>
      </c>
      <c r="BL10">
        <f>IF(Log!424:424,"AAAAAE/eXz8=",0)</f>
        <v>0</v>
      </c>
      <c r="BM10" t="b">
        <f>AND(Log!A424,"AAAAAE/eX0A=")</f>
        <v>1</v>
      </c>
      <c r="BN10" t="e">
        <f>AND(Log!B424,"AAAAAE/eX0E=")</f>
        <v>#VALUE!</v>
      </c>
      <c r="BO10" t="e">
        <f>AND(Log!C424,"AAAAAE/eX0I=")</f>
        <v>#VALUE!</v>
      </c>
      <c r="BP10" t="e">
        <f>AND(Log!D424,"AAAAAE/eX0M=")</f>
        <v>#VALUE!</v>
      </c>
      <c r="BQ10">
        <f>IF(Log!425:425,"AAAAAE/eX0Q=",0)</f>
        <v>0</v>
      </c>
      <c r="BR10" t="b">
        <f>AND(Log!A425,"AAAAAE/eX0U=")</f>
        <v>1</v>
      </c>
      <c r="BS10" t="e">
        <f>AND(Log!B425,"AAAAAE/eX0Y=")</f>
        <v>#VALUE!</v>
      </c>
      <c r="BT10" t="e">
        <f>AND(Log!C425,"AAAAAE/eX0c=")</f>
        <v>#VALUE!</v>
      </c>
      <c r="BU10" t="e">
        <f>AND(Log!D425,"AAAAAE/eX0g=")</f>
        <v>#VALUE!</v>
      </c>
      <c r="BV10">
        <f>IF(Log!426:426,"AAAAAE/eX0k=",0)</f>
        <v>0</v>
      </c>
      <c r="BW10" t="b">
        <f>AND(Log!A426,"AAAAAE/eX0o=")</f>
        <v>1</v>
      </c>
      <c r="BX10" t="e">
        <f>AND(Log!B426,"AAAAAE/eX0s=")</f>
        <v>#VALUE!</v>
      </c>
      <c r="BY10" t="e">
        <f>AND(Log!C426,"AAAAAE/eX0w=")</f>
        <v>#VALUE!</v>
      </c>
      <c r="BZ10" t="e">
        <f>AND(Log!D426,"AAAAAE/eX00=")</f>
        <v>#VALUE!</v>
      </c>
      <c r="CA10">
        <f>IF(Log!427:427,"AAAAAE/eX04=",0)</f>
        <v>0</v>
      </c>
      <c r="CB10" t="b">
        <f>AND(Log!A427,"AAAAAE/eX08=")</f>
        <v>1</v>
      </c>
      <c r="CC10" t="e">
        <f>AND(Log!B427,"AAAAAE/eX1A=")</f>
        <v>#VALUE!</v>
      </c>
      <c r="CD10" t="e">
        <f>AND(Log!C427,"AAAAAE/eX1E=")</f>
        <v>#VALUE!</v>
      </c>
      <c r="CE10" t="e">
        <f>AND(Log!D427,"AAAAAE/eX1I=")</f>
        <v>#VALUE!</v>
      </c>
      <c r="CF10">
        <f>IF(Log!428:428,"AAAAAE/eX1M=",0)</f>
        <v>0</v>
      </c>
      <c r="CG10" t="b">
        <f>AND(Log!A428,"AAAAAE/eX1Q=")</f>
        <v>1</v>
      </c>
      <c r="CH10" t="e">
        <f>AND(Log!B428,"AAAAAE/eX1U=")</f>
        <v>#VALUE!</v>
      </c>
      <c r="CI10" t="e">
        <f>AND(Log!C428,"AAAAAE/eX1Y=")</f>
        <v>#VALUE!</v>
      </c>
      <c r="CJ10" t="e">
        <f>AND(Log!D428,"AAAAAE/eX1c=")</f>
        <v>#VALUE!</v>
      </c>
      <c r="CK10">
        <f>IF(Log!429:429,"AAAAAE/eX1g=",0)</f>
        <v>0</v>
      </c>
      <c r="CL10" t="b">
        <f>AND(Log!A429,"AAAAAE/eX1k=")</f>
        <v>1</v>
      </c>
      <c r="CM10" t="e">
        <f>AND(Log!B429,"AAAAAE/eX1o=")</f>
        <v>#VALUE!</v>
      </c>
      <c r="CN10" t="e">
        <f>AND(Log!C429,"AAAAAE/eX1s=")</f>
        <v>#VALUE!</v>
      </c>
      <c r="CO10" t="e">
        <f>AND(Log!D429,"AAAAAE/eX1w=")</f>
        <v>#VALUE!</v>
      </c>
      <c r="CP10">
        <f>IF(Log!430:430,"AAAAAE/eX10=",0)</f>
        <v>0</v>
      </c>
      <c r="CQ10" t="b">
        <f>AND(Log!A430,"AAAAAE/eX14=")</f>
        <v>1</v>
      </c>
      <c r="CR10" t="e">
        <f>AND(Log!B430,"AAAAAE/eX18=")</f>
        <v>#VALUE!</v>
      </c>
      <c r="CS10" t="e">
        <f>AND(Log!C430,"AAAAAE/eX2A=")</f>
        <v>#VALUE!</v>
      </c>
      <c r="CT10" t="e">
        <f>AND(Log!D430,"AAAAAE/eX2E=")</f>
        <v>#VALUE!</v>
      </c>
      <c r="CU10">
        <f>IF(Log!431:431,"AAAAAE/eX2I=",0)</f>
        <v>0</v>
      </c>
      <c r="CV10" t="b">
        <f>AND(Log!A431,"AAAAAE/eX2M=")</f>
        <v>1</v>
      </c>
      <c r="CW10" t="e">
        <f>AND(Log!B431,"AAAAAE/eX2Q=")</f>
        <v>#VALUE!</v>
      </c>
      <c r="CX10" t="e">
        <f>AND(Log!C431,"AAAAAE/eX2U=")</f>
        <v>#VALUE!</v>
      </c>
      <c r="CY10" t="e">
        <f>AND(Log!D431,"AAAAAE/eX2Y=")</f>
        <v>#VALUE!</v>
      </c>
      <c r="CZ10">
        <f>IF(Log!432:432,"AAAAAE/eX2c=",0)</f>
        <v>0</v>
      </c>
      <c r="DA10" t="b">
        <f>AND(Log!A432,"AAAAAE/eX2g=")</f>
        <v>1</v>
      </c>
      <c r="DB10" t="e">
        <f>AND(Log!B432,"AAAAAE/eX2k=")</f>
        <v>#VALUE!</v>
      </c>
      <c r="DC10" t="e">
        <f>AND(Log!C432,"AAAAAE/eX2o=")</f>
        <v>#VALUE!</v>
      </c>
      <c r="DD10" t="e">
        <f>AND(Log!D432,"AAAAAE/eX2s=")</f>
        <v>#VALUE!</v>
      </c>
      <c r="DE10">
        <f>IF(Log!433:433,"AAAAAE/eX2w=",0)</f>
        <v>0</v>
      </c>
      <c r="DF10" t="b">
        <f>AND(Log!A433,"AAAAAE/eX20=")</f>
        <v>1</v>
      </c>
      <c r="DG10" t="e">
        <f>AND(Log!B433,"AAAAAE/eX24=")</f>
        <v>#VALUE!</v>
      </c>
      <c r="DH10" t="e">
        <f>AND(Log!C433,"AAAAAE/eX28=")</f>
        <v>#VALUE!</v>
      </c>
      <c r="DI10" t="e">
        <f>AND(Log!D433,"AAAAAE/eX3A=")</f>
        <v>#VALUE!</v>
      </c>
      <c r="DJ10">
        <f>IF(Log!434:434,"AAAAAE/eX3E=",0)</f>
        <v>0</v>
      </c>
      <c r="DK10" t="b">
        <f>AND(Log!A434,"AAAAAE/eX3I=")</f>
        <v>1</v>
      </c>
      <c r="DL10" t="e">
        <f>AND(Log!B434,"AAAAAE/eX3M=")</f>
        <v>#VALUE!</v>
      </c>
      <c r="DM10" t="e">
        <f>AND(Log!C434,"AAAAAE/eX3Q=")</f>
        <v>#VALUE!</v>
      </c>
      <c r="DN10" t="e">
        <f>AND(Log!D434,"AAAAAE/eX3U=")</f>
        <v>#VALUE!</v>
      </c>
      <c r="DO10">
        <f>IF(Log!435:435,"AAAAAE/eX3Y=",0)</f>
        <v>0</v>
      </c>
      <c r="DP10" t="b">
        <f>AND(Log!A435,"AAAAAE/eX3c=")</f>
        <v>1</v>
      </c>
      <c r="DQ10" t="e">
        <f>AND(Log!B435,"AAAAAE/eX3g=")</f>
        <v>#VALUE!</v>
      </c>
      <c r="DR10" t="e">
        <f>AND(Log!C435,"AAAAAE/eX3k=")</f>
        <v>#VALUE!</v>
      </c>
      <c r="DS10" t="e">
        <f>AND(Log!D435,"AAAAAE/eX3o=")</f>
        <v>#VALUE!</v>
      </c>
      <c r="DT10">
        <f>IF(Log!436:436,"AAAAAE/eX3s=",0)</f>
        <v>0</v>
      </c>
      <c r="DU10" t="b">
        <f>AND(Log!A436,"AAAAAE/eX3w=")</f>
        <v>1</v>
      </c>
      <c r="DV10" t="e">
        <f>AND(Log!B436,"AAAAAE/eX30=")</f>
        <v>#VALUE!</v>
      </c>
      <c r="DW10" t="e">
        <f>AND(Log!C436,"AAAAAE/eX34=")</f>
        <v>#VALUE!</v>
      </c>
      <c r="DX10" t="e">
        <f>AND(Log!D436,"AAAAAE/eX38=")</f>
        <v>#VALUE!</v>
      </c>
      <c r="DY10">
        <f>IF(Log!437:437,"AAAAAE/eX4A=",0)</f>
        <v>0</v>
      </c>
      <c r="DZ10" t="b">
        <f>AND(Log!A437,"AAAAAE/eX4E=")</f>
        <v>1</v>
      </c>
      <c r="EA10" t="e">
        <f>AND(Log!B437,"AAAAAE/eX4I=")</f>
        <v>#VALUE!</v>
      </c>
      <c r="EB10" t="e">
        <f>AND(Log!C437,"AAAAAE/eX4M=")</f>
        <v>#VALUE!</v>
      </c>
      <c r="EC10" t="e">
        <f>AND(Log!D437,"AAAAAE/eX4Q=")</f>
        <v>#VALUE!</v>
      </c>
      <c r="ED10">
        <f>IF(Log!438:438,"AAAAAE/eX4U=",0)</f>
        <v>0</v>
      </c>
      <c r="EE10" t="b">
        <f>AND(Log!A438,"AAAAAE/eX4Y=")</f>
        <v>1</v>
      </c>
      <c r="EF10" t="e">
        <f>AND(Log!B438,"AAAAAE/eX4c=")</f>
        <v>#VALUE!</v>
      </c>
      <c r="EG10" t="e">
        <f>AND(Log!C438,"AAAAAE/eX4g=")</f>
        <v>#VALUE!</v>
      </c>
      <c r="EH10" t="e">
        <f>AND(Log!D438,"AAAAAE/eX4k=")</f>
        <v>#VALUE!</v>
      </c>
      <c r="EI10">
        <f>IF(Log!439:439,"AAAAAE/eX4o=",0)</f>
        <v>0</v>
      </c>
      <c r="EJ10" t="b">
        <f>AND(Log!A439,"AAAAAE/eX4s=")</f>
        <v>1</v>
      </c>
      <c r="EK10" t="e">
        <f>AND(Log!B439,"AAAAAE/eX4w=")</f>
        <v>#VALUE!</v>
      </c>
      <c r="EL10" t="e">
        <f>AND(Log!C439,"AAAAAE/eX40=")</f>
        <v>#VALUE!</v>
      </c>
      <c r="EM10" t="e">
        <f>AND(Log!D439,"AAAAAE/eX44=")</f>
        <v>#VALUE!</v>
      </c>
      <c r="EN10">
        <f>IF(Log!440:440,"AAAAAE/eX48=",0)</f>
        <v>0</v>
      </c>
      <c r="EO10" t="b">
        <f>AND(Log!A440,"AAAAAE/eX5A=")</f>
        <v>1</v>
      </c>
      <c r="EP10" t="e">
        <f>AND(Log!B440,"AAAAAE/eX5E=")</f>
        <v>#VALUE!</v>
      </c>
      <c r="EQ10" t="e">
        <f>AND(Log!C440,"AAAAAE/eX5I=")</f>
        <v>#VALUE!</v>
      </c>
      <c r="ER10" t="e">
        <f>AND(Log!D440,"AAAAAE/eX5M=")</f>
        <v>#VALUE!</v>
      </c>
      <c r="ES10">
        <f>IF(Log!441:441,"AAAAAE/eX5Q=",0)</f>
        <v>0</v>
      </c>
      <c r="ET10" t="b">
        <f>AND(Log!A441,"AAAAAE/eX5U=")</f>
        <v>1</v>
      </c>
      <c r="EU10" t="e">
        <f>AND(Log!B441,"AAAAAE/eX5Y=")</f>
        <v>#VALUE!</v>
      </c>
      <c r="EV10" t="e">
        <f>AND(Log!C441,"AAAAAE/eX5c=")</f>
        <v>#VALUE!</v>
      </c>
      <c r="EW10" t="e">
        <f>AND(Log!D441,"AAAAAE/eX5g=")</f>
        <v>#VALUE!</v>
      </c>
      <c r="EX10">
        <f>IF(Log!442:442,"AAAAAE/eX5k=",0)</f>
        <v>0</v>
      </c>
      <c r="EY10" t="b">
        <f>AND(Log!A442,"AAAAAE/eX5o=")</f>
        <v>1</v>
      </c>
      <c r="EZ10" t="e">
        <f>AND(Log!B442,"AAAAAE/eX5s=")</f>
        <v>#VALUE!</v>
      </c>
      <c r="FA10" t="e">
        <f>AND(Log!C442,"AAAAAE/eX5w=")</f>
        <v>#VALUE!</v>
      </c>
      <c r="FB10" t="e">
        <f>AND(Log!D442,"AAAAAE/eX50=")</f>
        <v>#VALUE!</v>
      </c>
      <c r="FC10">
        <f>IF(Log!443:443,"AAAAAE/eX54=",0)</f>
        <v>0</v>
      </c>
      <c r="FD10" t="b">
        <f>AND(Log!A443,"AAAAAE/eX58=")</f>
        <v>1</v>
      </c>
      <c r="FE10" t="e">
        <f>AND(Log!B443,"AAAAAE/eX6A=")</f>
        <v>#VALUE!</v>
      </c>
      <c r="FF10" t="e">
        <f>AND(Log!C443,"AAAAAE/eX6E=")</f>
        <v>#VALUE!</v>
      </c>
      <c r="FG10" t="e">
        <f>AND(Log!D443,"AAAAAE/eX6I=")</f>
        <v>#VALUE!</v>
      </c>
      <c r="FH10">
        <f>IF(Log!444:444,"AAAAAE/eX6M=",0)</f>
        <v>0</v>
      </c>
      <c r="FI10" t="b">
        <f>AND(Log!A444,"AAAAAE/eX6Q=")</f>
        <v>1</v>
      </c>
      <c r="FJ10" t="e">
        <f>AND(Log!B444,"AAAAAE/eX6U=")</f>
        <v>#VALUE!</v>
      </c>
      <c r="FK10" t="e">
        <f>AND(Log!C444,"AAAAAE/eX6Y=")</f>
        <v>#VALUE!</v>
      </c>
      <c r="FL10" t="e">
        <f>AND(Log!D444,"AAAAAE/eX6c=")</f>
        <v>#VALUE!</v>
      </c>
      <c r="FM10">
        <f>IF(Log!445:445,"AAAAAE/eX6g=",0)</f>
        <v>0</v>
      </c>
      <c r="FN10" t="b">
        <f>AND(Log!A445,"AAAAAE/eX6k=")</f>
        <v>1</v>
      </c>
      <c r="FO10" t="e">
        <f>AND(Log!B445,"AAAAAE/eX6o=")</f>
        <v>#VALUE!</v>
      </c>
      <c r="FP10" t="e">
        <f>AND(Log!C445,"AAAAAE/eX6s=")</f>
        <v>#VALUE!</v>
      </c>
      <c r="FQ10" t="e">
        <f>AND(Log!D445,"AAAAAE/eX6w=")</f>
        <v>#VALUE!</v>
      </c>
      <c r="FR10">
        <f>IF(Log!446:446,"AAAAAE/eX60=",0)</f>
        <v>0</v>
      </c>
      <c r="FS10" t="b">
        <f>AND(Log!A446,"AAAAAE/eX64=")</f>
        <v>1</v>
      </c>
      <c r="FT10" t="e">
        <f>AND(Log!B446,"AAAAAE/eX68=")</f>
        <v>#VALUE!</v>
      </c>
      <c r="FU10" t="e">
        <f>AND(Log!C446,"AAAAAE/eX7A=")</f>
        <v>#VALUE!</v>
      </c>
      <c r="FV10" t="e">
        <f>AND(Log!D446,"AAAAAE/eX7E=")</f>
        <v>#VALUE!</v>
      </c>
      <c r="FW10">
        <f>IF(Log!447:447,"AAAAAE/eX7I=",0)</f>
        <v>0</v>
      </c>
      <c r="FX10" t="b">
        <f>AND(Log!A447,"AAAAAE/eX7M=")</f>
        <v>1</v>
      </c>
      <c r="FY10" t="e">
        <f>AND(Log!B447,"AAAAAE/eX7Q=")</f>
        <v>#VALUE!</v>
      </c>
      <c r="FZ10" t="e">
        <f>AND(Log!C447,"AAAAAE/eX7U=")</f>
        <v>#VALUE!</v>
      </c>
      <c r="GA10" t="e">
        <f>AND(Log!D447,"AAAAAE/eX7Y=")</f>
        <v>#VALUE!</v>
      </c>
      <c r="GB10">
        <f>IF(Log!448:448,"AAAAAE/eX7c=",0)</f>
        <v>0</v>
      </c>
      <c r="GC10" t="b">
        <f>AND(Log!A448,"AAAAAE/eX7g=")</f>
        <v>1</v>
      </c>
      <c r="GD10" t="e">
        <f>AND(Log!B448,"AAAAAE/eX7k=")</f>
        <v>#VALUE!</v>
      </c>
      <c r="GE10" t="e">
        <f>AND(Log!C448,"AAAAAE/eX7o=")</f>
        <v>#VALUE!</v>
      </c>
      <c r="GF10" t="e">
        <f>AND(Log!D448,"AAAAAE/eX7s=")</f>
        <v>#VALUE!</v>
      </c>
      <c r="GG10">
        <f>IF(Log!449:449,"AAAAAE/eX7w=",0)</f>
        <v>0</v>
      </c>
      <c r="GH10" t="b">
        <f>AND(Log!A449,"AAAAAE/eX70=")</f>
        <v>1</v>
      </c>
      <c r="GI10" t="e">
        <f>AND(Log!B449,"AAAAAE/eX74=")</f>
        <v>#VALUE!</v>
      </c>
      <c r="GJ10" t="e">
        <f>AND(Log!C449,"AAAAAE/eX78=")</f>
        <v>#VALUE!</v>
      </c>
      <c r="GK10" t="e">
        <f>AND(Log!D449,"AAAAAE/eX8A=")</f>
        <v>#VALUE!</v>
      </c>
      <c r="GL10">
        <f>IF(Log!450:450,"AAAAAE/eX8E=",0)</f>
        <v>0</v>
      </c>
      <c r="GM10" t="b">
        <f>AND(Log!A450,"AAAAAE/eX8I=")</f>
        <v>1</v>
      </c>
      <c r="GN10" t="e">
        <f>AND(Log!B450,"AAAAAE/eX8M=")</f>
        <v>#VALUE!</v>
      </c>
      <c r="GO10" t="e">
        <f>AND(Log!C450,"AAAAAE/eX8Q=")</f>
        <v>#VALUE!</v>
      </c>
      <c r="GP10" t="e">
        <f>AND(Log!D450,"AAAAAE/eX8U=")</f>
        <v>#VALUE!</v>
      </c>
      <c r="GQ10">
        <f>IF(Log!451:451,"AAAAAE/eX8Y=",0)</f>
        <v>0</v>
      </c>
      <c r="GR10" t="b">
        <f>AND(Log!A451,"AAAAAE/eX8c=")</f>
        <v>1</v>
      </c>
      <c r="GS10" t="e">
        <f>AND(Log!B451,"AAAAAE/eX8g=")</f>
        <v>#VALUE!</v>
      </c>
      <c r="GT10" t="e">
        <f>AND(Log!C451,"AAAAAE/eX8k=")</f>
        <v>#VALUE!</v>
      </c>
      <c r="GU10" t="e">
        <f>AND(Log!D451,"AAAAAE/eX8o=")</f>
        <v>#VALUE!</v>
      </c>
      <c r="GV10">
        <f>IF(Log!452:452,"AAAAAE/eX8s=",0)</f>
        <v>0</v>
      </c>
      <c r="GW10" t="b">
        <f>AND(Log!A452,"AAAAAE/eX8w=")</f>
        <v>1</v>
      </c>
      <c r="GX10" t="e">
        <f>AND(Log!B452,"AAAAAE/eX80=")</f>
        <v>#VALUE!</v>
      </c>
      <c r="GY10" t="e">
        <f>AND(Log!C452,"AAAAAE/eX84=")</f>
        <v>#VALUE!</v>
      </c>
      <c r="GZ10" t="e">
        <f>AND(Log!D452,"AAAAAE/eX88=")</f>
        <v>#VALUE!</v>
      </c>
      <c r="HA10">
        <f>IF(Log!453:453,"AAAAAE/eX9A=",0)</f>
        <v>0</v>
      </c>
      <c r="HB10" t="b">
        <f>AND(Log!A453,"AAAAAE/eX9E=")</f>
        <v>1</v>
      </c>
      <c r="HC10" t="e">
        <f>AND(Log!B453,"AAAAAE/eX9I=")</f>
        <v>#VALUE!</v>
      </c>
      <c r="HD10" t="e">
        <f>AND(Log!C453,"AAAAAE/eX9M=")</f>
        <v>#VALUE!</v>
      </c>
      <c r="HE10" t="e">
        <f>AND(Log!D453,"AAAAAE/eX9Q=")</f>
        <v>#VALUE!</v>
      </c>
      <c r="HF10">
        <f>IF(Log!454:454,"AAAAAE/eX9U=",0)</f>
        <v>0</v>
      </c>
      <c r="HG10" t="b">
        <f>AND(Log!A454,"AAAAAE/eX9Y=")</f>
        <v>1</v>
      </c>
      <c r="HH10" t="e">
        <f>AND(Log!B454,"AAAAAE/eX9c=")</f>
        <v>#VALUE!</v>
      </c>
      <c r="HI10" t="e">
        <f>AND(Log!C454,"AAAAAE/eX9g=")</f>
        <v>#VALUE!</v>
      </c>
      <c r="HJ10" t="e">
        <f>AND(Log!D454,"AAAAAE/eX9k=")</f>
        <v>#VALUE!</v>
      </c>
      <c r="HK10">
        <f>IF(Log!455:455,"AAAAAE/eX9o=",0)</f>
        <v>0</v>
      </c>
      <c r="HL10" t="b">
        <f>AND(Log!A455,"AAAAAE/eX9s=")</f>
        <v>1</v>
      </c>
      <c r="HM10" t="e">
        <f>AND(Log!B455,"AAAAAE/eX9w=")</f>
        <v>#VALUE!</v>
      </c>
      <c r="HN10" t="e">
        <f>AND(Log!C455,"AAAAAE/eX90=")</f>
        <v>#VALUE!</v>
      </c>
      <c r="HO10" t="e">
        <f>AND(Log!D455,"AAAAAE/eX94=")</f>
        <v>#VALUE!</v>
      </c>
      <c r="HP10">
        <f>IF(Log!456:456,"AAAAAE/eX98=",0)</f>
        <v>0</v>
      </c>
      <c r="HQ10" t="b">
        <f>AND(Log!A456,"AAAAAE/eX+A=")</f>
        <v>1</v>
      </c>
      <c r="HR10" t="e">
        <f>AND(Log!B456,"AAAAAE/eX+E=")</f>
        <v>#VALUE!</v>
      </c>
      <c r="HS10" t="e">
        <f>AND(Log!C456,"AAAAAE/eX+I=")</f>
        <v>#VALUE!</v>
      </c>
      <c r="HT10" t="e">
        <f>AND(Log!D456,"AAAAAE/eX+M=")</f>
        <v>#VALUE!</v>
      </c>
      <c r="HU10">
        <f>IF(Log!457:457,"AAAAAE/eX+Q=",0)</f>
        <v>0</v>
      </c>
      <c r="HV10" t="b">
        <f>AND(Log!A457,"AAAAAE/eX+U=")</f>
        <v>1</v>
      </c>
      <c r="HW10" t="e">
        <f>AND(Log!B457,"AAAAAE/eX+Y=")</f>
        <v>#VALUE!</v>
      </c>
      <c r="HX10" t="e">
        <f>AND(Log!C457,"AAAAAE/eX+c=")</f>
        <v>#VALUE!</v>
      </c>
      <c r="HY10" t="e">
        <f>AND(Log!D457,"AAAAAE/eX+g=")</f>
        <v>#VALUE!</v>
      </c>
      <c r="HZ10">
        <f>IF(Log!458:458,"AAAAAE/eX+k=",0)</f>
        <v>0</v>
      </c>
      <c r="IA10" t="b">
        <f>AND(Log!A458,"AAAAAE/eX+o=")</f>
        <v>1</v>
      </c>
      <c r="IB10" t="e">
        <f>AND(Log!B458,"AAAAAE/eX+s=")</f>
        <v>#VALUE!</v>
      </c>
      <c r="IC10" t="e">
        <f>AND(Log!C458,"AAAAAE/eX+w=")</f>
        <v>#VALUE!</v>
      </c>
      <c r="ID10" t="e">
        <f>AND(Log!D458,"AAAAAE/eX+0=")</f>
        <v>#VALUE!</v>
      </c>
      <c r="IE10">
        <f>IF(Log!459:459,"AAAAAE/eX+4=",0)</f>
        <v>0</v>
      </c>
      <c r="IF10" t="b">
        <f>AND(Log!A459,"AAAAAE/eX+8=")</f>
        <v>1</v>
      </c>
      <c r="IG10" t="e">
        <f>AND(Log!B459,"AAAAAE/eX/A=")</f>
        <v>#VALUE!</v>
      </c>
      <c r="IH10" t="e">
        <f>AND(Log!C459,"AAAAAE/eX/E=")</f>
        <v>#VALUE!</v>
      </c>
      <c r="II10" t="e">
        <f>AND(Log!D459,"AAAAAE/eX/I=")</f>
        <v>#VALUE!</v>
      </c>
      <c r="IJ10">
        <f>IF(Log!460:460,"AAAAAE/eX/M=",0)</f>
        <v>0</v>
      </c>
      <c r="IK10" t="b">
        <f>AND(Log!A460,"AAAAAE/eX/Q=")</f>
        <v>1</v>
      </c>
      <c r="IL10" t="e">
        <f>AND(Log!B460,"AAAAAE/eX/U=")</f>
        <v>#VALUE!</v>
      </c>
      <c r="IM10" t="e">
        <f>AND(Log!C460,"AAAAAE/eX/Y=")</f>
        <v>#VALUE!</v>
      </c>
      <c r="IN10" t="e">
        <f>AND(Log!D460,"AAAAAE/eX/c=")</f>
        <v>#VALUE!</v>
      </c>
      <c r="IO10">
        <f>IF(Log!461:461,"AAAAAE/eX/g=",0)</f>
        <v>0</v>
      </c>
      <c r="IP10" t="b">
        <f>AND(Log!A461,"AAAAAE/eX/k=")</f>
        <v>1</v>
      </c>
      <c r="IQ10" t="e">
        <f>AND(Log!B461,"AAAAAE/eX/o=")</f>
        <v>#VALUE!</v>
      </c>
      <c r="IR10" t="e">
        <f>AND(Log!C461,"AAAAAE/eX/s=")</f>
        <v>#VALUE!</v>
      </c>
      <c r="IS10" t="e">
        <f>AND(Log!D461,"AAAAAE/eX/w=")</f>
        <v>#VALUE!</v>
      </c>
      <c r="IT10">
        <f>IF(Log!462:462,"AAAAAE/eX/0=",0)</f>
        <v>0</v>
      </c>
      <c r="IU10" t="b">
        <f>AND(Log!A462,"AAAAAE/eX/4=")</f>
        <v>1</v>
      </c>
      <c r="IV10" t="e">
        <f>AND(Log!B462,"AAAAAE/eX/8=")</f>
        <v>#VALUE!</v>
      </c>
    </row>
    <row r="11" spans="1:256" x14ac:dyDescent="0.25">
      <c r="A11" t="e">
        <f>AND(Log!C462,"AAAAAF+rzgA=")</f>
        <v>#VALUE!</v>
      </c>
      <c r="B11" t="e">
        <f>AND(Log!D462,"AAAAAF+rzgE=")</f>
        <v>#VALUE!</v>
      </c>
      <c r="C11" t="e">
        <f>IF(Log!463:463,"AAAAAF+rzgI=",0)</f>
        <v>#VALUE!</v>
      </c>
      <c r="D11" t="b">
        <f>AND(Log!A463,"AAAAAF+rzgM=")</f>
        <v>1</v>
      </c>
      <c r="E11" t="e">
        <f>AND(Log!B463,"AAAAAF+rzgQ=")</f>
        <v>#VALUE!</v>
      </c>
      <c r="F11" t="e">
        <f>AND(Log!C463,"AAAAAF+rzgU=")</f>
        <v>#VALUE!</v>
      </c>
      <c r="G11" t="e">
        <f>AND(Log!D463,"AAAAAF+rzgY=")</f>
        <v>#VALUE!</v>
      </c>
      <c r="H11">
        <f>IF(Log!464:464,"AAAAAF+rzgc=",0)</f>
        <v>0</v>
      </c>
      <c r="I11" t="b">
        <f>AND(Log!A464,"AAAAAF+rzgg=")</f>
        <v>1</v>
      </c>
      <c r="J11" t="e">
        <f>AND(Log!B464,"AAAAAF+rzgk=")</f>
        <v>#VALUE!</v>
      </c>
      <c r="K11" t="e">
        <f>AND(Log!C464,"AAAAAF+rzgo=")</f>
        <v>#VALUE!</v>
      </c>
      <c r="L11" t="e">
        <f>AND(Log!D464,"AAAAAF+rzgs=")</f>
        <v>#VALUE!</v>
      </c>
      <c r="M11">
        <f>IF(Log!465:465,"AAAAAF+rzgw=",0)</f>
        <v>0</v>
      </c>
      <c r="N11" t="b">
        <f>AND(Log!A465,"AAAAAF+rzg0=")</f>
        <v>1</v>
      </c>
      <c r="O11" t="e">
        <f>AND(Log!B465,"AAAAAF+rzg4=")</f>
        <v>#VALUE!</v>
      </c>
      <c r="P11" t="e">
        <f>AND(Log!C465,"AAAAAF+rzg8=")</f>
        <v>#VALUE!</v>
      </c>
      <c r="Q11" t="e">
        <f>AND(Log!D465,"AAAAAF+rzhA=")</f>
        <v>#VALUE!</v>
      </c>
      <c r="R11">
        <f>IF(Log!466:466,"AAAAAF+rzhE=",0)</f>
        <v>0</v>
      </c>
      <c r="S11" t="b">
        <f>AND(Log!A466,"AAAAAF+rzhI=")</f>
        <v>1</v>
      </c>
      <c r="T11" t="e">
        <f>AND(Log!B466,"AAAAAF+rzhM=")</f>
        <v>#VALUE!</v>
      </c>
      <c r="U11" t="e">
        <f>AND(Log!C466,"AAAAAF+rzhQ=")</f>
        <v>#VALUE!</v>
      </c>
      <c r="V11" t="e">
        <f>AND(Log!D466,"AAAAAF+rzhU=")</f>
        <v>#VALUE!</v>
      </c>
      <c r="W11">
        <f>IF(Log!467:467,"AAAAAF+rzhY=",0)</f>
        <v>0</v>
      </c>
      <c r="X11" t="b">
        <f>AND(Log!A467,"AAAAAF+rzhc=")</f>
        <v>1</v>
      </c>
      <c r="Y11" t="e">
        <f>AND(Log!B467,"AAAAAF+rzhg=")</f>
        <v>#VALUE!</v>
      </c>
      <c r="Z11" t="e">
        <f>AND(Log!C467,"AAAAAF+rzhk=")</f>
        <v>#VALUE!</v>
      </c>
      <c r="AA11" t="e">
        <f>AND(Log!D467,"AAAAAF+rzho=")</f>
        <v>#VALUE!</v>
      </c>
      <c r="AB11">
        <f>IF(Log!468:468,"AAAAAF+rzhs=",0)</f>
        <v>0</v>
      </c>
      <c r="AC11" t="b">
        <f>AND(Log!A468,"AAAAAF+rzhw=")</f>
        <v>1</v>
      </c>
      <c r="AD11" t="e">
        <f>AND(Log!B468,"AAAAAF+rzh0=")</f>
        <v>#VALUE!</v>
      </c>
      <c r="AE11" t="e">
        <f>AND(Log!C468,"AAAAAF+rzh4=")</f>
        <v>#VALUE!</v>
      </c>
      <c r="AF11" t="e">
        <f>AND(Log!D468,"AAAAAF+rzh8=")</f>
        <v>#VALUE!</v>
      </c>
      <c r="AG11">
        <f>IF(Log!469:469,"AAAAAF+rziA=",0)</f>
        <v>0</v>
      </c>
      <c r="AH11" t="b">
        <f>AND(Log!A469,"AAAAAF+rziE=")</f>
        <v>1</v>
      </c>
      <c r="AI11" t="e">
        <f>AND(Log!B469,"AAAAAF+rziI=")</f>
        <v>#VALUE!</v>
      </c>
      <c r="AJ11" t="e">
        <f>AND(Log!C469,"AAAAAF+rziM=")</f>
        <v>#VALUE!</v>
      </c>
      <c r="AK11" t="e">
        <f>AND(Log!D469,"AAAAAF+rziQ=")</f>
        <v>#VALUE!</v>
      </c>
      <c r="AL11">
        <f>IF(Log!470:470,"AAAAAF+rziU=",0)</f>
        <v>0</v>
      </c>
      <c r="AM11" t="b">
        <f>AND(Log!A470,"AAAAAF+rziY=")</f>
        <v>1</v>
      </c>
      <c r="AN11" t="e">
        <f>AND(Log!B470,"AAAAAF+rzic=")</f>
        <v>#VALUE!</v>
      </c>
      <c r="AO11" t="e">
        <f>AND(Log!C470,"AAAAAF+rzig=")</f>
        <v>#VALUE!</v>
      </c>
      <c r="AP11" t="e">
        <f>AND(Log!D470,"AAAAAF+rzik=")</f>
        <v>#VALUE!</v>
      </c>
      <c r="AQ11">
        <f>IF(Log!471:471,"AAAAAF+rzio=",0)</f>
        <v>0</v>
      </c>
      <c r="AR11" t="b">
        <f>AND(Log!A471,"AAAAAF+rzis=")</f>
        <v>1</v>
      </c>
      <c r="AS11" t="e">
        <f>AND(Log!B471,"AAAAAF+rziw=")</f>
        <v>#VALUE!</v>
      </c>
      <c r="AT11" t="e">
        <f>AND(Log!C471,"AAAAAF+rzi0=")</f>
        <v>#VALUE!</v>
      </c>
      <c r="AU11" t="e">
        <f>AND(Log!D471,"AAAAAF+rzi4=")</f>
        <v>#VALUE!</v>
      </c>
      <c r="AV11">
        <f>IF(Log!472:472,"AAAAAF+rzi8=",0)</f>
        <v>0</v>
      </c>
      <c r="AW11" t="b">
        <f>AND(Log!A472,"AAAAAF+rzjA=")</f>
        <v>1</v>
      </c>
      <c r="AX11" t="e">
        <f>AND(Log!B472,"AAAAAF+rzjE=")</f>
        <v>#VALUE!</v>
      </c>
      <c r="AY11" t="e">
        <f>AND(Log!C472,"AAAAAF+rzjI=")</f>
        <v>#VALUE!</v>
      </c>
      <c r="AZ11" t="e">
        <f>AND(Log!D472,"AAAAAF+rzjM=")</f>
        <v>#VALUE!</v>
      </c>
      <c r="BA11">
        <f>IF(Log!473:473,"AAAAAF+rzjQ=",0)</f>
        <v>0</v>
      </c>
      <c r="BB11" t="b">
        <f>AND(Log!A473,"AAAAAF+rzjU=")</f>
        <v>1</v>
      </c>
      <c r="BC11" t="e">
        <f>AND(Log!B473,"AAAAAF+rzjY=")</f>
        <v>#VALUE!</v>
      </c>
      <c r="BD11" t="e">
        <f>AND(Log!C473,"AAAAAF+rzjc=")</f>
        <v>#VALUE!</v>
      </c>
      <c r="BE11" t="e">
        <f>AND(Log!D473,"AAAAAF+rzjg=")</f>
        <v>#VALUE!</v>
      </c>
      <c r="BF11">
        <f>IF(Log!474:474,"AAAAAF+rzjk=",0)</f>
        <v>0</v>
      </c>
      <c r="BG11" t="b">
        <f>AND(Log!A474,"AAAAAF+rzjo=")</f>
        <v>1</v>
      </c>
      <c r="BH11" t="e">
        <f>AND(Log!B474,"AAAAAF+rzjs=")</f>
        <v>#VALUE!</v>
      </c>
      <c r="BI11" t="e">
        <f>AND(Log!C474,"AAAAAF+rzjw=")</f>
        <v>#VALUE!</v>
      </c>
      <c r="BJ11" t="e">
        <f>AND(Log!D474,"AAAAAF+rzj0=")</f>
        <v>#VALUE!</v>
      </c>
      <c r="BK11">
        <f>IF(Log!475:475,"AAAAAF+rzj4=",0)</f>
        <v>0</v>
      </c>
      <c r="BL11" t="b">
        <f>AND(Log!A475,"AAAAAF+rzj8=")</f>
        <v>1</v>
      </c>
      <c r="BM11" t="e">
        <f>AND(Log!B475,"AAAAAF+rzkA=")</f>
        <v>#VALUE!</v>
      </c>
      <c r="BN11" t="e">
        <f>AND(Log!C475,"AAAAAF+rzkE=")</f>
        <v>#VALUE!</v>
      </c>
      <c r="BO11" t="e">
        <f>AND(Log!D475,"AAAAAF+rzkI=")</f>
        <v>#VALUE!</v>
      </c>
      <c r="BP11">
        <f>IF(Log!476:476,"AAAAAF+rzkM=",0)</f>
        <v>0</v>
      </c>
      <c r="BQ11" t="b">
        <f>AND(Log!A476,"AAAAAF+rzkQ=")</f>
        <v>1</v>
      </c>
      <c r="BR11" t="e">
        <f>AND(Log!B476,"AAAAAF+rzkU=")</f>
        <v>#VALUE!</v>
      </c>
      <c r="BS11" t="e">
        <f>AND(Log!C476,"AAAAAF+rzkY=")</f>
        <v>#VALUE!</v>
      </c>
      <c r="BT11" t="e">
        <f>AND(Log!D476,"AAAAAF+rzkc=")</f>
        <v>#VALUE!</v>
      </c>
      <c r="BU11">
        <f>IF(Log!477:477,"AAAAAF+rzkg=",0)</f>
        <v>0</v>
      </c>
      <c r="BV11" t="b">
        <f>AND(Log!A477,"AAAAAF+rzkk=")</f>
        <v>1</v>
      </c>
      <c r="BW11" t="e">
        <f>AND(Log!B477,"AAAAAF+rzko=")</f>
        <v>#VALUE!</v>
      </c>
      <c r="BX11" t="e">
        <f>AND(Log!C477,"AAAAAF+rzks=")</f>
        <v>#VALUE!</v>
      </c>
      <c r="BY11" t="e">
        <f>AND(Log!D477,"AAAAAF+rzkw=")</f>
        <v>#VALUE!</v>
      </c>
      <c r="BZ11">
        <f>IF(Log!478:478,"AAAAAF+rzk0=",0)</f>
        <v>0</v>
      </c>
      <c r="CA11" t="b">
        <f>AND(Log!A478,"AAAAAF+rzk4=")</f>
        <v>1</v>
      </c>
      <c r="CB11" t="e">
        <f>AND(Log!B478,"AAAAAF+rzk8=")</f>
        <v>#VALUE!</v>
      </c>
      <c r="CC11" t="e">
        <f>AND(Log!C478,"AAAAAF+rzlA=")</f>
        <v>#VALUE!</v>
      </c>
      <c r="CD11" t="e">
        <f>AND(Log!D478,"AAAAAF+rzlE=")</f>
        <v>#VALUE!</v>
      </c>
      <c r="CE11">
        <f>IF(Log!479:479,"AAAAAF+rzlI=",0)</f>
        <v>0</v>
      </c>
      <c r="CF11" t="b">
        <f>AND(Log!A479,"AAAAAF+rzlM=")</f>
        <v>1</v>
      </c>
      <c r="CG11" t="e">
        <f>AND(Log!B479,"AAAAAF+rzlQ=")</f>
        <v>#VALUE!</v>
      </c>
      <c r="CH11" t="e">
        <f>AND(Log!C479,"AAAAAF+rzlU=")</f>
        <v>#VALUE!</v>
      </c>
      <c r="CI11" t="e">
        <f>AND(Log!D479,"AAAAAF+rzlY=")</f>
        <v>#VALUE!</v>
      </c>
      <c r="CJ11">
        <f>IF(Log!480:480,"AAAAAF+rzlc=",0)</f>
        <v>0</v>
      </c>
      <c r="CK11" t="b">
        <f>AND(Log!A480,"AAAAAF+rzlg=")</f>
        <v>1</v>
      </c>
      <c r="CL11" t="e">
        <f>AND(Log!B480,"AAAAAF+rzlk=")</f>
        <v>#VALUE!</v>
      </c>
      <c r="CM11" t="e">
        <f>AND(Log!C480,"AAAAAF+rzlo=")</f>
        <v>#VALUE!</v>
      </c>
      <c r="CN11" t="e">
        <f>AND(Log!D480,"AAAAAF+rzls=")</f>
        <v>#VALUE!</v>
      </c>
      <c r="CO11">
        <f>IF(Log!481:481,"AAAAAF+rzlw=",0)</f>
        <v>0</v>
      </c>
      <c r="CP11" t="b">
        <f>AND(Log!A481,"AAAAAF+rzl0=")</f>
        <v>1</v>
      </c>
      <c r="CQ11" t="e">
        <f>AND(Log!B481,"AAAAAF+rzl4=")</f>
        <v>#VALUE!</v>
      </c>
      <c r="CR11" t="e">
        <f>AND(Log!C481,"AAAAAF+rzl8=")</f>
        <v>#VALUE!</v>
      </c>
      <c r="CS11" t="e">
        <f>AND(Log!D481,"AAAAAF+rzmA=")</f>
        <v>#VALUE!</v>
      </c>
      <c r="CT11">
        <f>IF(Log!482:482,"AAAAAF+rzmE=",0)</f>
        <v>0</v>
      </c>
      <c r="CU11" t="b">
        <f>AND(Log!A482,"AAAAAF+rzmI=")</f>
        <v>1</v>
      </c>
      <c r="CV11" t="e">
        <f>AND(Log!B482,"AAAAAF+rzmM=")</f>
        <v>#VALUE!</v>
      </c>
      <c r="CW11" t="e">
        <f>AND(Log!C482,"AAAAAF+rzmQ=")</f>
        <v>#VALUE!</v>
      </c>
      <c r="CX11" t="e">
        <f>AND(Log!D482,"AAAAAF+rzmU=")</f>
        <v>#VALUE!</v>
      </c>
      <c r="CY11">
        <f>IF(Log!483:483,"AAAAAF+rzmY=",0)</f>
        <v>0</v>
      </c>
      <c r="CZ11" t="b">
        <f>AND(Log!A483,"AAAAAF+rzmc=")</f>
        <v>1</v>
      </c>
      <c r="DA11" t="e">
        <f>AND(Log!B483,"AAAAAF+rzmg=")</f>
        <v>#VALUE!</v>
      </c>
      <c r="DB11" t="e">
        <f>AND(Log!C483,"AAAAAF+rzmk=")</f>
        <v>#VALUE!</v>
      </c>
      <c r="DC11" t="e">
        <f>AND(Log!D483,"AAAAAF+rzmo=")</f>
        <v>#VALUE!</v>
      </c>
      <c r="DD11">
        <f>IF(Log!484:484,"AAAAAF+rzms=",0)</f>
        <v>0</v>
      </c>
      <c r="DE11" t="b">
        <f>AND(Log!A484,"AAAAAF+rzmw=")</f>
        <v>1</v>
      </c>
      <c r="DF11" t="e">
        <f>AND(Log!B484,"AAAAAF+rzm0=")</f>
        <v>#VALUE!</v>
      </c>
      <c r="DG11" t="e">
        <f>AND(Log!C484,"AAAAAF+rzm4=")</f>
        <v>#VALUE!</v>
      </c>
      <c r="DH11" t="e">
        <f>AND(Log!D484,"AAAAAF+rzm8=")</f>
        <v>#VALUE!</v>
      </c>
      <c r="DI11">
        <f>IF(Log!485:485,"AAAAAF+rznA=",0)</f>
        <v>0</v>
      </c>
      <c r="DJ11" t="b">
        <f>AND(Log!A485,"AAAAAF+rznE=")</f>
        <v>1</v>
      </c>
      <c r="DK11" t="e">
        <f>AND(Log!B485,"AAAAAF+rznI=")</f>
        <v>#VALUE!</v>
      </c>
      <c r="DL11" t="e">
        <f>AND(Log!C485,"AAAAAF+rznM=")</f>
        <v>#VALUE!</v>
      </c>
      <c r="DM11" t="e">
        <f>AND(Log!D485,"AAAAAF+rznQ=")</f>
        <v>#VALUE!</v>
      </c>
      <c r="DN11">
        <f>IF(Log!486:486,"AAAAAF+rznU=",0)</f>
        <v>0</v>
      </c>
      <c r="DO11" t="b">
        <f>AND(Log!A486,"AAAAAF+rznY=")</f>
        <v>1</v>
      </c>
      <c r="DP11" t="e">
        <f>AND(Log!B486,"AAAAAF+rznc=")</f>
        <v>#VALUE!</v>
      </c>
      <c r="DQ11" t="e">
        <f>AND(Log!C486,"AAAAAF+rzng=")</f>
        <v>#VALUE!</v>
      </c>
      <c r="DR11" t="e">
        <f>AND(Log!D486,"AAAAAF+rznk=")</f>
        <v>#VALUE!</v>
      </c>
      <c r="DS11">
        <f>IF(Log!487:487,"AAAAAF+rzno=",0)</f>
        <v>0</v>
      </c>
      <c r="DT11" t="b">
        <f>AND(Log!A487,"AAAAAF+rzns=")</f>
        <v>1</v>
      </c>
      <c r="DU11" t="e">
        <f>AND(Log!B487,"AAAAAF+rznw=")</f>
        <v>#VALUE!</v>
      </c>
      <c r="DV11" t="e">
        <f>AND(Log!C487,"AAAAAF+rzn0=")</f>
        <v>#VALUE!</v>
      </c>
      <c r="DW11" t="e">
        <f>AND(Log!D487,"AAAAAF+rzn4=")</f>
        <v>#VALUE!</v>
      </c>
      <c r="DX11">
        <f>IF(Log!488:488,"AAAAAF+rzn8=",0)</f>
        <v>0</v>
      </c>
      <c r="DY11" t="b">
        <f>AND(Log!A488,"AAAAAF+rzoA=")</f>
        <v>1</v>
      </c>
      <c r="DZ11" t="e">
        <f>AND(Log!B488,"AAAAAF+rzoE=")</f>
        <v>#VALUE!</v>
      </c>
      <c r="EA11" t="e">
        <f>AND(Log!C488,"AAAAAF+rzoI=")</f>
        <v>#VALUE!</v>
      </c>
      <c r="EB11" t="e">
        <f>AND(Log!D488,"AAAAAF+rzoM=")</f>
        <v>#VALUE!</v>
      </c>
      <c r="EC11">
        <f>IF(Log!489:489,"AAAAAF+rzoQ=",0)</f>
        <v>0</v>
      </c>
      <c r="ED11" t="b">
        <f>AND(Log!A489,"AAAAAF+rzoU=")</f>
        <v>1</v>
      </c>
      <c r="EE11" t="e">
        <f>AND(Log!B489,"AAAAAF+rzoY=")</f>
        <v>#VALUE!</v>
      </c>
      <c r="EF11" t="e">
        <f>AND(Log!C489,"AAAAAF+rzoc=")</f>
        <v>#VALUE!</v>
      </c>
      <c r="EG11" t="e">
        <f>AND(Log!D489,"AAAAAF+rzog=")</f>
        <v>#VALUE!</v>
      </c>
      <c r="EH11">
        <f>IF(Log!490:490,"AAAAAF+rzok=",0)</f>
        <v>0</v>
      </c>
      <c r="EI11" t="b">
        <f>AND(Log!A490,"AAAAAF+rzoo=")</f>
        <v>1</v>
      </c>
      <c r="EJ11" t="e">
        <f>AND(Log!B490,"AAAAAF+rzos=")</f>
        <v>#VALUE!</v>
      </c>
      <c r="EK11" t="e">
        <f>AND(Log!C490,"AAAAAF+rzow=")</f>
        <v>#VALUE!</v>
      </c>
      <c r="EL11" t="e">
        <f>AND(Log!D490,"AAAAAF+rzo0=")</f>
        <v>#VALUE!</v>
      </c>
      <c r="EM11">
        <f>IF(Log!491:491,"AAAAAF+rzo4=",0)</f>
        <v>0</v>
      </c>
      <c r="EN11" t="b">
        <f>AND(Log!A491,"AAAAAF+rzo8=")</f>
        <v>1</v>
      </c>
      <c r="EO11" t="e">
        <f>AND(Log!B491,"AAAAAF+rzpA=")</f>
        <v>#VALUE!</v>
      </c>
      <c r="EP11" t="e">
        <f>AND(Log!C491,"AAAAAF+rzpE=")</f>
        <v>#VALUE!</v>
      </c>
      <c r="EQ11" t="e">
        <f>AND(Log!D491,"AAAAAF+rzpI=")</f>
        <v>#VALUE!</v>
      </c>
      <c r="ER11">
        <f>IF(Log!492:492,"AAAAAF+rzpM=",0)</f>
        <v>0</v>
      </c>
      <c r="ES11" t="b">
        <f>AND(Log!A492,"AAAAAF+rzpQ=")</f>
        <v>1</v>
      </c>
      <c r="ET11" t="e">
        <f>AND(Log!B492,"AAAAAF+rzpU=")</f>
        <v>#VALUE!</v>
      </c>
      <c r="EU11" t="e">
        <f>AND(Log!C492,"AAAAAF+rzpY=")</f>
        <v>#VALUE!</v>
      </c>
      <c r="EV11" t="e">
        <f>AND(Log!D492,"AAAAAF+rzpc=")</f>
        <v>#VALUE!</v>
      </c>
      <c r="EW11">
        <f>IF(Log!493:493,"AAAAAF+rzpg=",0)</f>
        <v>0</v>
      </c>
      <c r="EX11" t="b">
        <f>AND(Log!A493,"AAAAAF+rzpk=")</f>
        <v>1</v>
      </c>
      <c r="EY11" t="e">
        <f>AND(Log!B493,"AAAAAF+rzpo=")</f>
        <v>#VALUE!</v>
      </c>
      <c r="EZ11" t="e">
        <f>AND(Log!C493,"AAAAAF+rzps=")</f>
        <v>#VALUE!</v>
      </c>
      <c r="FA11" t="e">
        <f>AND(Log!D493,"AAAAAF+rzpw=")</f>
        <v>#VALUE!</v>
      </c>
      <c r="FB11">
        <f>IF(Log!494:494,"AAAAAF+rzp0=",0)</f>
        <v>0</v>
      </c>
      <c r="FC11" t="b">
        <f>AND(Log!A494,"AAAAAF+rzp4=")</f>
        <v>1</v>
      </c>
      <c r="FD11" t="e">
        <f>AND(Log!B494,"AAAAAF+rzp8=")</f>
        <v>#VALUE!</v>
      </c>
      <c r="FE11" t="e">
        <f>AND(Log!C494,"AAAAAF+rzqA=")</f>
        <v>#VALUE!</v>
      </c>
      <c r="FF11" t="e">
        <f>AND(Log!D494,"AAAAAF+rzqE=")</f>
        <v>#VALUE!</v>
      </c>
      <c r="FG11">
        <f>IF(Log!495:495,"AAAAAF+rzqI=",0)</f>
        <v>0</v>
      </c>
      <c r="FH11" t="b">
        <f>AND(Log!A495,"AAAAAF+rzqM=")</f>
        <v>1</v>
      </c>
      <c r="FI11" t="e">
        <f>AND(Log!B495,"AAAAAF+rzqQ=")</f>
        <v>#VALUE!</v>
      </c>
      <c r="FJ11" t="e">
        <f>AND(Log!C495,"AAAAAF+rzqU=")</f>
        <v>#VALUE!</v>
      </c>
      <c r="FK11" t="e">
        <f>AND(Log!D495,"AAAAAF+rzqY=")</f>
        <v>#VALUE!</v>
      </c>
      <c r="FL11">
        <f>IF(Log!496:496,"AAAAAF+rzqc=",0)</f>
        <v>0</v>
      </c>
      <c r="FM11" t="b">
        <f>AND(Log!A496,"AAAAAF+rzqg=")</f>
        <v>1</v>
      </c>
      <c r="FN11" t="e">
        <f>AND(Log!B496,"AAAAAF+rzqk=")</f>
        <v>#VALUE!</v>
      </c>
      <c r="FO11" t="e">
        <f>AND(Log!C496,"AAAAAF+rzqo=")</f>
        <v>#VALUE!</v>
      </c>
      <c r="FP11" t="e">
        <f>AND(Log!D496,"AAAAAF+rzqs=")</f>
        <v>#VALUE!</v>
      </c>
      <c r="FQ11">
        <f>IF(Log!497:497,"AAAAAF+rzqw=",0)</f>
        <v>0</v>
      </c>
      <c r="FR11" t="b">
        <f>AND(Log!A497,"AAAAAF+rzq0=")</f>
        <v>1</v>
      </c>
      <c r="FS11" t="e">
        <f>AND(Log!B497,"AAAAAF+rzq4=")</f>
        <v>#VALUE!</v>
      </c>
      <c r="FT11" t="e">
        <f>AND(Log!C497,"AAAAAF+rzq8=")</f>
        <v>#VALUE!</v>
      </c>
      <c r="FU11" t="e">
        <f>AND(Log!D497,"AAAAAF+rzrA=")</f>
        <v>#VALUE!</v>
      </c>
      <c r="FV11">
        <f>IF(Log!498:498,"AAAAAF+rzrE=",0)</f>
        <v>0</v>
      </c>
      <c r="FW11" t="b">
        <f>AND(Log!A498,"AAAAAF+rzrI=")</f>
        <v>1</v>
      </c>
      <c r="FX11" t="e">
        <f>AND(Log!B498,"AAAAAF+rzrM=")</f>
        <v>#VALUE!</v>
      </c>
      <c r="FY11" t="e">
        <f>AND(Log!C498,"AAAAAF+rzrQ=")</f>
        <v>#VALUE!</v>
      </c>
      <c r="FZ11" t="e">
        <f>AND(Log!D498,"AAAAAF+rzrU=")</f>
        <v>#VALUE!</v>
      </c>
      <c r="GA11">
        <f>IF(Log!499:499,"AAAAAF+rzrY=",0)</f>
        <v>0</v>
      </c>
      <c r="GB11" t="b">
        <f>AND(Log!A499,"AAAAAF+rzrc=")</f>
        <v>1</v>
      </c>
      <c r="GC11" t="e">
        <f>AND(Log!B499,"AAAAAF+rzrg=")</f>
        <v>#VALUE!</v>
      </c>
      <c r="GD11" t="e">
        <f>AND(Log!C499,"AAAAAF+rzrk=")</f>
        <v>#VALUE!</v>
      </c>
      <c r="GE11" t="e">
        <f>AND(Log!D499,"AAAAAF+rzro=")</f>
        <v>#VALUE!</v>
      </c>
      <c r="GF11">
        <f>IF(Log!500:500,"AAAAAF+rzrs=",0)</f>
        <v>0</v>
      </c>
      <c r="GG11" t="b">
        <f>AND(Log!A500,"AAAAAF+rzrw=")</f>
        <v>1</v>
      </c>
      <c r="GH11" t="e">
        <f>AND(Log!B500,"AAAAAF+rzr0=")</f>
        <v>#VALUE!</v>
      </c>
      <c r="GI11" t="e">
        <f>AND(Log!C500,"AAAAAF+rzr4=")</f>
        <v>#VALUE!</v>
      </c>
      <c r="GJ11" t="e">
        <f>AND(Log!D500,"AAAAAF+rzr8=")</f>
        <v>#VALUE!</v>
      </c>
      <c r="GK11">
        <f>IF(Log!501:501,"AAAAAF+rzsA=",0)</f>
        <v>0</v>
      </c>
      <c r="GL11" t="b">
        <f>AND(Log!A501,"AAAAAF+rzsE=")</f>
        <v>1</v>
      </c>
      <c r="GM11" t="e">
        <f>AND(Log!B501,"AAAAAF+rzsI=")</f>
        <v>#VALUE!</v>
      </c>
      <c r="GN11" t="e">
        <f>AND(Log!C501,"AAAAAF+rzsM=")</f>
        <v>#VALUE!</v>
      </c>
      <c r="GO11" t="e">
        <f>AND(Log!D501,"AAAAAF+rzsQ=")</f>
        <v>#VALUE!</v>
      </c>
      <c r="GP11">
        <f>IF(Log!502:502,"AAAAAF+rzsU=",0)</f>
        <v>0</v>
      </c>
      <c r="GQ11" t="b">
        <f>AND(Log!A502,"AAAAAF+rzsY=")</f>
        <v>1</v>
      </c>
      <c r="GR11" t="e">
        <f>AND(Log!B502,"AAAAAF+rzsc=")</f>
        <v>#VALUE!</v>
      </c>
      <c r="GS11" t="e">
        <f>AND(Log!C502,"AAAAAF+rzsg=")</f>
        <v>#VALUE!</v>
      </c>
      <c r="GT11" t="e">
        <f>AND(Log!D502,"AAAAAF+rzsk=")</f>
        <v>#VALUE!</v>
      </c>
      <c r="GU11">
        <f>IF(Log!503:503,"AAAAAF+rzso=",0)</f>
        <v>0</v>
      </c>
      <c r="GV11" t="b">
        <f>AND(Log!A503,"AAAAAF+rzss=")</f>
        <v>1</v>
      </c>
      <c r="GW11" t="e">
        <f>AND(Log!B503,"AAAAAF+rzsw=")</f>
        <v>#VALUE!</v>
      </c>
      <c r="GX11" t="e">
        <f>AND(Log!C503,"AAAAAF+rzs0=")</f>
        <v>#VALUE!</v>
      </c>
      <c r="GY11" t="e">
        <f>AND(Log!D503,"AAAAAF+rzs4=")</f>
        <v>#VALUE!</v>
      </c>
      <c r="GZ11">
        <f>IF(Log!504:504,"AAAAAF+rzs8=",0)</f>
        <v>0</v>
      </c>
      <c r="HA11" t="b">
        <f>AND(Log!A504,"AAAAAF+rztA=")</f>
        <v>1</v>
      </c>
      <c r="HB11" t="e">
        <f>AND(Log!B504,"AAAAAF+rztE=")</f>
        <v>#VALUE!</v>
      </c>
      <c r="HC11" t="e">
        <f>AND(Log!C504,"AAAAAF+rztI=")</f>
        <v>#VALUE!</v>
      </c>
      <c r="HD11" t="e">
        <f>AND(Log!D504,"AAAAAF+rztM=")</f>
        <v>#VALUE!</v>
      </c>
      <c r="HE11">
        <f>IF(Log!505:505,"AAAAAF+rztQ=",0)</f>
        <v>0</v>
      </c>
      <c r="HF11" t="b">
        <f>AND(Log!A505,"AAAAAF+rztU=")</f>
        <v>1</v>
      </c>
      <c r="HG11" t="e">
        <f>AND(Log!B505,"AAAAAF+rztY=")</f>
        <v>#VALUE!</v>
      </c>
      <c r="HH11" t="e">
        <f>AND(Log!C505,"AAAAAF+rztc=")</f>
        <v>#VALUE!</v>
      </c>
      <c r="HI11" t="e">
        <f>AND(Log!D505,"AAAAAF+rztg=")</f>
        <v>#VALUE!</v>
      </c>
      <c r="HJ11">
        <f>IF(Log!506:506,"AAAAAF+rztk=",0)</f>
        <v>0</v>
      </c>
      <c r="HK11" t="b">
        <f>AND(Log!A506,"AAAAAF+rzto=")</f>
        <v>1</v>
      </c>
      <c r="HL11" t="e">
        <f>AND(Log!B506,"AAAAAF+rzts=")</f>
        <v>#VALUE!</v>
      </c>
      <c r="HM11" t="e">
        <f>AND(Log!C506,"AAAAAF+rztw=")</f>
        <v>#VALUE!</v>
      </c>
      <c r="HN11" t="e">
        <f>AND(Log!D506,"AAAAAF+rzt0=")</f>
        <v>#VALUE!</v>
      </c>
      <c r="HO11">
        <f>IF(Log!507:507,"AAAAAF+rzt4=",0)</f>
        <v>0</v>
      </c>
      <c r="HP11" t="b">
        <f>AND(Log!A507,"AAAAAF+rzt8=")</f>
        <v>1</v>
      </c>
      <c r="HQ11" t="e">
        <f>AND(Log!B507,"AAAAAF+rzuA=")</f>
        <v>#VALUE!</v>
      </c>
      <c r="HR11" t="e">
        <f>AND(Log!C507,"AAAAAF+rzuE=")</f>
        <v>#VALUE!</v>
      </c>
      <c r="HS11" t="e">
        <f>AND(Log!D507,"AAAAAF+rzuI=")</f>
        <v>#VALUE!</v>
      </c>
      <c r="HT11">
        <f>IF(Log!508:508,"AAAAAF+rzuM=",0)</f>
        <v>0</v>
      </c>
      <c r="HU11" t="b">
        <f>AND(Log!A508,"AAAAAF+rzuQ=")</f>
        <v>1</v>
      </c>
      <c r="HV11" t="e">
        <f>AND(Log!B508,"AAAAAF+rzuU=")</f>
        <v>#VALUE!</v>
      </c>
      <c r="HW11" t="e">
        <f>AND(Log!C508,"AAAAAF+rzuY=")</f>
        <v>#VALUE!</v>
      </c>
      <c r="HX11" t="e">
        <f>AND(Log!D508,"AAAAAF+rzuc=")</f>
        <v>#VALUE!</v>
      </c>
      <c r="HY11">
        <f>IF(Log!509:509,"AAAAAF+rzug=",0)</f>
        <v>0</v>
      </c>
      <c r="HZ11" t="b">
        <f>AND(Log!A509,"AAAAAF+rzuk=")</f>
        <v>1</v>
      </c>
      <c r="IA11" t="e">
        <f>AND(Log!B509,"AAAAAF+rzuo=")</f>
        <v>#VALUE!</v>
      </c>
      <c r="IB11" t="e">
        <f>AND(Log!C509,"AAAAAF+rzus=")</f>
        <v>#VALUE!</v>
      </c>
      <c r="IC11" t="e">
        <f>AND(Log!D509,"AAAAAF+rzuw=")</f>
        <v>#VALUE!</v>
      </c>
      <c r="ID11">
        <f>IF(Log!510:510,"AAAAAF+rzu0=",0)</f>
        <v>0</v>
      </c>
      <c r="IE11" t="b">
        <f>AND(Log!A510,"AAAAAF+rzu4=")</f>
        <v>1</v>
      </c>
      <c r="IF11" t="e">
        <f>AND(Log!B510,"AAAAAF+rzu8=")</f>
        <v>#VALUE!</v>
      </c>
      <c r="IG11" t="e">
        <f>AND(Log!C510,"AAAAAF+rzvA=")</f>
        <v>#VALUE!</v>
      </c>
      <c r="IH11" t="e">
        <f>AND(Log!D510,"AAAAAF+rzvE=")</f>
        <v>#VALUE!</v>
      </c>
      <c r="II11">
        <f>IF(Log!511:511,"AAAAAF+rzvI=",0)</f>
        <v>0</v>
      </c>
      <c r="IJ11" t="b">
        <f>AND(Log!A511,"AAAAAF+rzvM=")</f>
        <v>1</v>
      </c>
      <c r="IK11" t="e">
        <f>AND(Log!B511,"AAAAAF+rzvQ=")</f>
        <v>#VALUE!</v>
      </c>
      <c r="IL11" t="e">
        <f>AND(Log!C511,"AAAAAF+rzvU=")</f>
        <v>#VALUE!</v>
      </c>
      <c r="IM11" t="e">
        <f>AND(Log!D511,"AAAAAF+rzvY=")</f>
        <v>#VALUE!</v>
      </c>
      <c r="IN11">
        <f>IF(Log!512:512,"AAAAAF+rzvc=",0)</f>
        <v>0</v>
      </c>
      <c r="IO11" t="b">
        <f>AND(Log!A512,"AAAAAF+rzvg=")</f>
        <v>1</v>
      </c>
      <c r="IP11" t="e">
        <f>AND(Log!B512,"AAAAAF+rzvk=")</f>
        <v>#VALUE!</v>
      </c>
      <c r="IQ11" t="e">
        <f>AND(Log!C512,"AAAAAF+rzvo=")</f>
        <v>#VALUE!</v>
      </c>
      <c r="IR11" t="e">
        <f>AND(Log!D512,"AAAAAF+rzvs=")</f>
        <v>#VALUE!</v>
      </c>
      <c r="IS11">
        <f>IF(Log!513:513,"AAAAAF+rzvw=",0)</f>
        <v>0</v>
      </c>
      <c r="IT11" t="b">
        <f>AND(Log!A513,"AAAAAF+rzv0=")</f>
        <v>1</v>
      </c>
      <c r="IU11" t="e">
        <f>AND(Log!B513,"AAAAAF+rzv4=")</f>
        <v>#VALUE!</v>
      </c>
      <c r="IV11" t="e">
        <f>AND(Log!C513,"AAAAAF+rzv8=")</f>
        <v>#VALUE!</v>
      </c>
    </row>
    <row r="12" spans="1:256" x14ac:dyDescent="0.25">
      <c r="A12" t="e">
        <f>AND(Log!D513,"AAAAAA8rrQA=")</f>
        <v>#VALUE!</v>
      </c>
      <c r="B12" t="e">
        <f>IF(Log!514:514,"AAAAAA8rrQE=",0)</f>
        <v>#VALUE!</v>
      </c>
      <c r="C12" t="b">
        <f>AND(Log!A514,"AAAAAA8rrQI=")</f>
        <v>1</v>
      </c>
      <c r="D12" t="e">
        <f>AND(Log!B514,"AAAAAA8rrQM=")</f>
        <v>#VALUE!</v>
      </c>
      <c r="E12" t="e">
        <f>AND(Log!C514,"AAAAAA8rrQQ=")</f>
        <v>#VALUE!</v>
      </c>
      <c r="F12" t="e">
        <f>AND(Log!D514,"AAAAAA8rrQU=")</f>
        <v>#VALUE!</v>
      </c>
      <c r="G12">
        <f>IF(Log!515:515,"AAAAAA8rrQY=",0)</f>
        <v>0</v>
      </c>
      <c r="H12" t="b">
        <f>AND(Log!A515,"AAAAAA8rrQc=")</f>
        <v>1</v>
      </c>
      <c r="I12" t="e">
        <f>AND(Log!B515,"AAAAAA8rrQg=")</f>
        <v>#VALUE!</v>
      </c>
      <c r="J12" t="e">
        <f>AND(Log!C515,"AAAAAA8rrQk=")</f>
        <v>#VALUE!</v>
      </c>
      <c r="K12" t="e">
        <f>AND(Log!D515,"AAAAAA8rrQo=")</f>
        <v>#VALUE!</v>
      </c>
      <c r="L12">
        <f>IF(Log!516:516,"AAAAAA8rrQs=",0)</f>
        <v>0</v>
      </c>
      <c r="M12" t="b">
        <f>AND(Log!A516,"AAAAAA8rrQw=")</f>
        <v>1</v>
      </c>
      <c r="N12" t="e">
        <f>AND(Log!B516,"AAAAAA8rrQ0=")</f>
        <v>#VALUE!</v>
      </c>
      <c r="O12" t="e">
        <f>AND(Log!C516,"AAAAAA8rrQ4=")</f>
        <v>#VALUE!</v>
      </c>
      <c r="P12" t="e">
        <f>AND(Log!D516,"AAAAAA8rrQ8=")</f>
        <v>#VALUE!</v>
      </c>
      <c r="Q12">
        <f>IF(Log!517:517,"AAAAAA8rrRA=",0)</f>
        <v>0</v>
      </c>
      <c r="R12" t="b">
        <f>AND(Log!A517,"AAAAAA8rrRE=")</f>
        <v>1</v>
      </c>
      <c r="S12" t="e">
        <f>AND(Log!B517,"AAAAAA8rrRI=")</f>
        <v>#VALUE!</v>
      </c>
      <c r="T12" t="e">
        <f>AND(Log!C517,"AAAAAA8rrRM=")</f>
        <v>#VALUE!</v>
      </c>
      <c r="U12" t="e">
        <f>AND(Log!D517,"AAAAAA8rrRQ=")</f>
        <v>#VALUE!</v>
      </c>
      <c r="V12">
        <f>IF(Log!518:518,"AAAAAA8rrRU=",0)</f>
        <v>0</v>
      </c>
      <c r="W12" t="b">
        <f>AND(Log!A518,"AAAAAA8rrRY=")</f>
        <v>1</v>
      </c>
      <c r="X12" t="e">
        <f>AND(Log!B518,"AAAAAA8rrRc=")</f>
        <v>#VALUE!</v>
      </c>
      <c r="Y12" t="e">
        <f>AND(Log!C518,"AAAAAA8rrRg=")</f>
        <v>#VALUE!</v>
      </c>
      <c r="Z12" t="e">
        <f>AND(Log!D518,"AAAAAA8rrRk=")</f>
        <v>#VALUE!</v>
      </c>
      <c r="AA12">
        <f>IF(Log!519:519,"AAAAAA8rrRo=",0)</f>
        <v>0</v>
      </c>
      <c r="AB12" t="b">
        <f>AND(Log!A519,"AAAAAA8rrRs=")</f>
        <v>1</v>
      </c>
      <c r="AC12" t="e">
        <f>AND(Log!B519,"AAAAAA8rrRw=")</f>
        <v>#VALUE!</v>
      </c>
      <c r="AD12" t="e">
        <f>AND(Log!C519,"AAAAAA8rrR0=")</f>
        <v>#VALUE!</v>
      </c>
      <c r="AE12" t="e">
        <f>AND(Log!D519,"AAAAAA8rrR4=")</f>
        <v>#VALUE!</v>
      </c>
      <c r="AF12">
        <f>IF(Log!520:520,"AAAAAA8rrR8=",0)</f>
        <v>0</v>
      </c>
      <c r="AG12" t="b">
        <f>AND(Log!A520,"AAAAAA8rrSA=")</f>
        <v>1</v>
      </c>
      <c r="AH12" t="e">
        <f>AND(Log!B520,"AAAAAA8rrSE=")</f>
        <v>#VALUE!</v>
      </c>
      <c r="AI12" t="e">
        <f>AND(Log!C520,"AAAAAA8rrSI=")</f>
        <v>#VALUE!</v>
      </c>
      <c r="AJ12" t="e">
        <f>AND(Log!D520,"AAAAAA8rrSM=")</f>
        <v>#VALUE!</v>
      </c>
      <c r="AK12">
        <f>IF(Log!521:521,"AAAAAA8rrSQ=",0)</f>
        <v>0</v>
      </c>
      <c r="AL12" t="b">
        <f>AND(Log!A521,"AAAAAA8rrSU=")</f>
        <v>1</v>
      </c>
      <c r="AM12" t="e">
        <f>AND(Log!B521,"AAAAAA8rrSY=")</f>
        <v>#VALUE!</v>
      </c>
      <c r="AN12" t="e">
        <f>AND(Log!C521,"AAAAAA8rrSc=")</f>
        <v>#VALUE!</v>
      </c>
      <c r="AO12" t="e">
        <f>AND(Log!D521,"AAAAAA8rrSg=")</f>
        <v>#VALUE!</v>
      </c>
      <c r="AP12">
        <f>IF(Log!522:522,"AAAAAA8rrSk=",0)</f>
        <v>0</v>
      </c>
      <c r="AQ12" t="b">
        <f>AND(Log!A522,"AAAAAA8rrSo=")</f>
        <v>1</v>
      </c>
      <c r="AR12" t="e">
        <f>AND(Log!B522,"AAAAAA8rrSs=")</f>
        <v>#VALUE!</v>
      </c>
      <c r="AS12" t="e">
        <f>AND(Log!C522,"AAAAAA8rrSw=")</f>
        <v>#VALUE!</v>
      </c>
      <c r="AT12" t="e">
        <f>AND(Log!D522,"AAAAAA8rrS0=")</f>
        <v>#VALUE!</v>
      </c>
      <c r="AU12">
        <f>IF(Log!523:523,"AAAAAA8rrS4=",0)</f>
        <v>0</v>
      </c>
      <c r="AV12" t="b">
        <f>AND(Log!A523,"AAAAAA8rrS8=")</f>
        <v>1</v>
      </c>
      <c r="AW12" t="e">
        <f>AND(Log!B523,"AAAAAA8rrTA=")</f>
        <v>#VALUE!</v>
      </c>
      <c r="AX12" t="e">
        <f>AND(Log!C523,"AAAAAA8rrTE=")</f>
        <v>#VALUE!</v>
      </c>
      <c r="AY12" t="e">
        <f>AND(Log!D523,"AAAAAA8rrTI=")</f>
        <v>#VALUE!</v>
      </c>
      <c r="AZ12">
        <f>IF(Log!524:524,"AAAAAA8rrTM=",0)</f>
        <v>0</v>
      </c>
      <c r="BA12" t="b">
        <f>AND(Log!A524,"AAAAAA8rrTQ=")</f>
        <v>1</v>
      </c>
      <c r="BB12" t="e">
        <f>AND(Log!B524,"AAAAAA8rrTU=")</f>
        <v>#VALUE!</v>
      </c>
      <c r="BC12" t="e">
        <f>AND(Log!C524,"AAAAAA8rrTY=")</f>
        <v>#VALUE!</v>
      </c>
      <c r="BD12" t="e">
        <f>AND(Log!D524,"AAAAAA8rrTc=")</f>
        <v>#VALUE!</v>
      </c>
      <c r="BE12">
        <f>IF(Log!525:525,"AAAAAA8rrTg=",0)</f>
        <v>0</v>
      </c>
      <c r="BF12" t="b">
        <f>AND(Log!A525,"AAAAAA8rrTk=")</f>
        <v>1</v>
      </c>
      <c r="BG12" t="e">
        <f>AND(Log!B525,"AAAAAA8rrTo=")</f>
        <v>#VALUE!</v>
      </c>
      <c r="BH12" t="e">
        <f>AND(Log!C525,"AAAAAA8rrTs=")</f>
        <v>#VALUE!</v>
      </c>
      <c r="BI12" t="e">
        <f>AND(Log!D525,"AAAAAA8rrTw=")</f>
        <v>#VALUE!</v>
      </c>
      <c r="BJ12">
        <f>IF(Log!526:526,"AAAAAA8rrT0=",0)</f>
        <v>0</v>
      </c>
      <c r="BK12" t="b">
        <f>AND(Log!A526,"AAAAAA8rrT4=")</f>
        <v>1</v>
      </c>
      <c r="BL12" t="e">
        <f>AND(Log!B526,"AAAAAA8rrT8=")</f>
        <v>#VALUE!</v>
      </c>
      <c r="BM12" t="e">
        <f>AND(Log!C526,"AAAAAA8rrUA=")</f>
        <v>#VALUE!</v>
      </c>
      <c r="BN12" t="e">
        <f>AND(Log!D526,"AAAAAA8rrUE=")</f>
        <v>#VALUE!</v>
      </c>
      <c r="BO12">
        <f>IF(Log!527:527,"AAAAAA8rrUI=",0)</f>
        <v>0</v>
      </c>
      <c r="BP12" t="b">
        <f>AND(Log!A527,"AAAAAA8rrUM=")</f>
        <v>1</v>
      </c>
      <c r="BQ12" t="e">
        <f>AND(Log!B527,"AAAAAA8rrUQ=")</f>
        <v>#VALUE!</v>
      </c>
      <c r="BR12" t="e">
        <f>AND(Log!C527,"AAAAAA8rrUU=")</f>
        <v>#VALUE!</v>
      </c>
      <c r="BS12" t="e">
        <f>AND(Log!D527,"AAAAAA8rrUY=")</f>
        <v>#VALUE!</v>
      </c>
      <c r="BT12">
        <f>IF(Log!528:528,"AAAAAA8rrUc=",0)</f>
        <v>0</v>
      </c>
      <c r="BU12" t="b">
        <f>AND(Log!A528,"AAAAAA8rrUg=")</f>
        <v>1</v>
      </c>
      <c r="BV12" t="e">
        <f>AND(Log!B528,"AAAAAA8rrUk=")</f>
        <v>#VALUE!</v>
      </c>
      <c r="BW12" t="e">
        <f>AND(Log!C528,"AAAAAA8rrUo=")</f>
        <v>#VALUE!</v>
      </c>
      <c r="BX12" t="e">
        <f>AND(Log!D528,"AAAAAA8rrUs=")</f>
        <v>#VALUE!</v>
      </c>
      <c r="BY12">
        <f>IF(Log!529:529,"AAAAAA8rrUw=",0)</f>
        <v>0</v>
      </c>
      <c r="BZ12" t="b">
        <f>AND(Log!A529,"AAAAAA8rrU0=")</f>
        <v>1</v>
      </c>
      <c r="CA12" t="e">
        <f>AND(Log!B529,"AAAAAA8rrU4=")</f>
        <v>#VALUE!</v>
      </c>
      <c r="CB12" t="e">
        <f>AND(Log!C529,"AAAAAA8rrU8=")</f>
        <v>#VALUE!</v>
      </c>
      <c r="CC12" t="e">
        <f>AND(Log!D529,"AAAAAA8rrVA=")</f>
        <v>#VALUE!</v>
      </c>
      <c r="CD12">
        <f>IF(Log!530:530,"AAAAAA8rrVE=",0)</f>
        <v>0</v>
      </c>
      <c r="CE12" t="b">
        <f>AND(Log!A530,"AAAAAA8rrVI=")</f>
        <v>1</v>
      </c>
      <c r="CF12" t="e">
        <f>AND(Log!B530,"AAAAAA8rrVM=")</f>
        <v>#VALUE!</v>
      </c>
      <c r="CG12" t="e">
        <f>AND(Log!C530,"AAAAAA8rrVQ=")</f>
        <v>#VALUE!</v>
      </c>
      <c r="CH12" t="e">
        <f>AND(Log!D530,"AAAAAA8rrVU=")</f>
        <v>#VALUE!</v>
      </c>
      <c r="CI12">
        <f>IF(Log!531:531,"AAAAAA8rrVY=",0)</f>
        <v>0</v>
      </c>
      <c r="CJ12" t="b">
        <f>AND(Log!A531,"AAAAAA8rrVc=")</f>
        <v>1</v>
      </c>
      <c r="CK12" t="e">
        <f>AND(Log!B531,"AAAAAA8rrVg=")</f>
        <v>#VALUE!</v>
      </c>
      <c r="CL12" t="e">
        <f>AND(Log!C531,"AAAAAA8rrVk=")</f>
        <v>#VALUE!</v>
      </c>
      <c r="CM12" t="e">
        <f>AND(Log!D531,"AAAAAA8rrVo=")</f>
        <v>#VALUE!</v>
      </c>
      <c r="CN12">
        <f>IF(Log!532:532,"AAAAAA8rrVs=",0)</f>
        <v>0</v>
      </c>
      <c r="CO12" t="b">
        <f>AND(Log!A532,"AAAAAA8rrVw=")</f>
        <v>1</v>
      </c>
      <c r="CP12" t="e">
        <f>AND(Log!B532,"AAAAAA8rrV0=")</f>
        <v>#VALUE!</v>
      </c>
      <c r="CQ12" t="e">
        <f>AND(Log!C532,"AAAAAA8rrV4=")</f>
        <v>#VALUE!</v>
      </c>
      <c r="CR12" t="e">
        <f>AND(Log!D532,"AAAAAA8rrV8=")</f>
        <v>#VALUE!</v>
      </c>
      <c r="CS12">
        <f>IF(Log!533:533,"AAAAAA8rrWA=",0)</f>
        <v>0</v>
      </c>
      <c r="CT12" t="b">
        <f>AND(Log!A533,"AAAAAA8rrWE=")</f>
        <v>1</v>
      </c>
      <c r="CU12" t="e">
        <f>AND(Log!B533,"AAAAAA8rrWI=")</f>
        <v>#VALUE!</v>
      </c>
      <c r="CV12" t="e">
        <f>AND(Log!C533,"AAAAAA8rrWM=")</f>
        <v>#VALUE!</v>
      </c>
      <c r="CW12" t="e">
        <f>AND(Log!D533,"AAAAAA8rrWQ=")</f>
        <v>#VALUE!</v>
      </c>
      <c r="CX12">
        <f>IF(Log!534:534,"AAAAAA8rrWU=",0)</f>
        <v>0</v>
      </c>
      <c r="CY12" t="b">
        <f>AND(Log!A534,"AAAAAA8rrWY=")</f>
        <v>1</v>
      </c>
      <c r="CZ12" t="e">
        <f>AND(Log!B534,"AAAAAA8rrWc=")</f>
        <v>#VALUE!</v>
      </c>
      <c r="DA12" t="e">
        <f>AND(Log!C534,"AAAAAA8rrWg=")</f>
        <v>#VALUE!</v>
      </c>
      <c r="DB12" t="e">
        <f>AND(Log!D534,"AAAAAA8rrWk=")</f>
        <v>#VALUE!</v>
      </c>
      <c r="DC12">
        <f>IF(Log!535:535,"AAAAAA8rrWo=",0)</f>
        <v>0</v>
      </c>
      <c r="DD12" t="b">
        <f>AND(Log!A535,"AAAAAA8rrWs=")</f>
        <v>1</v>
      </c>
      <c r="DE12" t="e">
        <f>AND(Log!B535,"AAAAAA8rrWw=")</f>
        <v>#VALUE!</v>
      </c>
      <c r="DF12" t="e">
        <f>AND(Log!C535,"AAAAAA8rrW0=")</f>
        <v>#VALUE!</v>
      </c>
      <c r="DG12" t="e">
        <f>AND(Log!D535,"AAAAAA8rrW4=")</f>
        <v>#VALUE!</v>
      </c>
      <c r="DH12">
        <f>IF(Log!536:536,"AAAAAA8rrW8=",0)</f>
        <v>0</v>
      </c>
      <c r="DI12" t="b">
        <f>AND(Log!A536,"AAAAAA8rrXA=")</f>
        <v>1</v>
      </c>
      <c r="DJ12" t="e">
        <f>AND(Log!B536,"AAAAAA8rrXE=")</f>
        <v>#VALUE!</v>
      </c>
      <c r="DK12" t="e">
        <f>AND(Log!C536,"AAAAAA8rrXI=")</f>
        <v>#VALUE!</v>
      </c>
      <c r="DL12" t="e">
        <f>AND(Log!D536,"AAAAAA8rrXM=")</f>
        <v>#VALUE!</v>
      </c>
      <c r="DM12">
        <f>IF(Log!537:537,"AAAAAA8rrXQ=",0)</f>
        <v>0</v>
      </c>
      <c r="DN12" t="b">
        <f>AND(Log!A537,"AAAAAA8rrXU=")</f>
        <v>1</v>
      </c>
      <c r="DO12" t="e">
        <f>AND(Log!B537,"AAAAAA8rrXY=")</f>
        <v>#VALUE!</v>
      </c>
      <c r="DP12" t="e">
        <f>AND(Log!C537,"AAAAAA8rrXc=")</f>
        <v>#VALUE!</v>
      </c>
      <c r="DQ12" t="e">
        <f>AND(Log!D537,"AAAAAA8rrXg=")</f>
        <v>#VALUE!</v>
      </c>
      <c r="DR12">
        <f>IF(Log!538:538,"AAAAAA8rrXk=",0)</f>
        <v>0</v>
      </c>
      <c r="DS12" t="b">
        <f>AND(Log!A538,"AAAAAA8rrXo=")</f>
        <v>1</v>
      </c>
      <c r="DT12" t="e">
        <f>AND(Log!B538,"AAAAAA8rrXs=")</f>
        <v>#VALUE!</v>
      </c>
      <c r="DU12" t="e">
        <f>AND(Log!C538,"AAAAAA8rrXw=")</f>
        <v>#VALUE!</v>
      </c>
      <c r="DV12" t="e">
        <f>AND(Log!D538,"AAAAAA8rrX0=")</f>
        <v>#VALUE!</v>
      </c>
      <c r="DW12">
        <f>IF(Log!539:539,"AAAAAA8rrX4=",0)</f>
        <v>0</v>
      </c>
      <c r="DX12" t="b">
        <f>AND(Log!A539,"AAAAAA8rrX8=")</f>
        <v>1</v>
      </c>
      <c r="DY12" t="e">
        <f>AND(Log!B539,"AAAAAA8rrYA=")</f>
        <v>#VALUE!</v>
      </c>
      <c r="DZ12" t="e">
        <f>AND(Log!C539,"AAAAAA8rrYE=")</f>
        <v>#VALUE!</v>
      </c>
      <c r="EA12" t="e">
        <f>AND(Log!D539,"AAAAAA8rrYI=")</f>
        <v>#VALUE!</v>
      </c>
      <c r="EB12">
        <f>IF(Log!540:540,"AAAAAA8rrYM=",0)</f>
        <v>0</v>
      </c>
      <c r="EC12" t="b">
        <f>AND(Log!A540,"AAAAAA8rrYQ=")</f>
        <v>1</v>
      </c>
      <c r="ED12" t="e">
        <f>AND(Log!B540,"AAAAAA8rrYU=")</f>
        <v>#VALUE!</v>
      </c>
      <c r="EE12" t="e">
        <f>AND(Log!C540,"AAAAAA8rrYY=")</f>
        <v>#VALUE!</v>
      </c>
      <c r="EF12" t="e">
        <f>AND(Log!D540,"AAAAAA8rrYc=")</f>
        <v>#VALUE!</v>
      </c>
      <c r="EG12">
        <f>IF(Log!541:541,"AAAAAA8rrYg=",0)</f>
        <v>0</v>
      </c>
      <c r="EH12" t="b">
        <f>AND(Log!A541,"AAAAAA8rrYk=")</f>
        <v>1</v>
      </c>
      <c r="EI12" t="e">
        <f>AND(Log!B541,"AAAAAA8rrYo=")</f>
        <v>#VALUE!</v>
      </c>
      <c r="EJ12" t="e">
        <f>AND(Log!C541,"AAAAAA8rrYs=")</f>
        <v>#VALUE!</v>
      </c>
      <c r="EK12" t="e">
        <f>AND(Log!D541,"AAAAAA8rrYw=")</f>
        <v>#VALUE!</v>
      </c>
      <c r="EL12">
        <f>IF(Log!542:542,"AAAAAA8rrY0=",0)</f>
        <v>0</v>
      </c>
      <c r="EM12" t="b">
        <f>AND(Log!A542,"AAAAAA8rrY4=")</f>
        <v>1</v>
      </c>
      <c r="EN12" t="e">
        <f>AND(Log!B542,"AAAAAA8rrY8=")</f>
        <v>#VALUE!</v>
      </c>
      <c r="EO12" t="e">
        <f>AND(Log!C542,"AAAAAA8rrZA=")</f>
        <v>#VALUE!</v>
      </c>
      <c r="EP12" t="e">
        <f>AND(Log!D542,"AAAAAA8rrZE=")</f>
        <v>#VALUE!</v>
      </c>
      <c r="EQ12">
        <f>IF(Log!543:543,"AAAAAA8rrZI=",0)</f>
        <v>0</v>
      </c>
      <c r="ER12" t="b">
        <f>AND(Log!A543,"AAAAAA8rrZM=")</f>
        <v>1</v>
      </c>
      <c r="ES12" t="e">
        <f>AND(Log!B543,"AAAAAA8rrZQ=")</f>
        <v>#VALUE!</v>
      </c>
      <c r="ET12" t="e">
        <f>AND(Log!C543,"AAAAAA8rrZU=")</f>
        <v>#VALUE!</v>
      </c>
      <c r="EU12" t="e">
        <f>AND(Log!D543,"AAAAAA8rrZY=")</f>
        <v>#VALUE!</v>
      </c>
      <c r="EV12">
        <f>IF(Log!544:544,"AAAAAA8rrZc=",0)</f>
        <v>0</v>
      </c>
      <c r="EW12" t="b">
        <f>AND(Log!A544,"AAAAAA8rrZg=")</f>
        <v>1</v>
      </c>
      <c r="EX12" t="e">
        <f>AND(Log!B544,"AAAAAA8rrZk=")</f>
        <v>#VALUE!</v>
      </c>
      <c r="EY12" t="e">
        <f>AND(Log!C544,"AAAAAA8rrZo=")</f>
        <v>#VALUE!</v>
      </c>
      <c r="EZ12" t="e">
        <f>AND(Log!D544,"AAAAAA8rrZs=")</f>
        <v>#VALUE!</v>
      </c>
      <c r="FA12">
        <f>IF(Log!545:545,"AAAAAA8rrZw=",0)</f>
        <v>0</v>
      </c>
      <c r="FB12" t="b">
        <f>AND(Log!A545,"AAAAAA8rrZ0=")</f>
        <v>1</v>
      </c>
      <c r="FC12" t="e">
        <f>AND(Log!B545,"AAAAAA8rrZ4=")</f>
        <v>#VALUE!</v>
      </c>
      <c r="FD12" t="e">
        <f>AND(Log!C545,"AAAAAA8rrZ8=")</f>
        <v>#VALUE!</v>
      </c>
      <c r="FE12" t="e">
        <f>AND(Log!D545,"AAAAAA8rraA=")</f>
        <v>#VALUE!</v>
      </c>
      <c r="FF12">
        <f>IF(Log!546:546,"AAAAAA8rraE=",0)</f>
        <v>0</v>
      </c>
      <c r="FG12" t="b">
        <f>AND(Log!A546,"AAAAAA8rraI=")</f>
        <v>1</v>
      </c>
      <c r="FH12" t="e">
        <f>AND(Log!B546,"AAAAAA8rraM=")</f>
        <v>#VALUE!</v>
      </c>
      <c r="FI12" t="e">
        <f>AND(Log!C546,"AAAAAA8rraQ=")</f>
        <v>#VALUE!</v>
      </c>
      <c r="FJ12" t="e">
        <f>AND(Log!D546,"AAAAAA8rraU=")</f>
        <v>#VALUE!</v>
      </c>
      <c r="FK12">
        <f>IF(Log!547:547,"AAAAAA8rraY=",0)</f>
        <v>0</v>
      </c>
      <c r="FL12" t="b">
        <f>AND(Log!A547,"AAAAAA8rrac=")</f>
        <v>1</v>
      </c>
      <c r="FM12" t="e">
        <f>AND(Log!B547,"AAAAAA8rrag=")</f>
        <v>#VALUE!</v>
      </c>
      <c r="FN12" t="e">
        <f>AND(Log!C547,"AAAAAA8rrak=")</f>
        <v>#VALUE!</v>
      </c>
      <c r="FO12" t="e">
        <f>AND(Log!D547,"AAAAAA8rrao=")</f>
        <v>#VALUE!</v>
      </c>
      <c r="FP12">
        <f>IF(Log!548:548,"AAAAAA8rras=",0)</f>
        <v>0</v>
      </c>
      <c r="FQ12" t="b">
        <f>AND(Log!A548,"AAAAAA8rraw=")</f>
        <v>1</v>
      </c>
      <c r="FR12" t="e">
        <f>AND(Log!B548,"AAAAAA8rra0=")</f>
        <v>#VALUE!</v>
      </c>
      <c r="FS12" t="e">
        <f>AND(Log!C548,"AAAAAA8rra4=")</f>
        <v>#VALUE!</v>
      </c>
      <c r="FT12" t="e">
        <f>AND(Log!D548,"AAAAAA8rra8=")</f>
        <v>#VALUE!</v>
      </c>
      <c r="FU12">
        <f>IF(Log!549:549,"AAAAAA8rrbA=",0)</f>
        <v>0</v>
      </c>
      <c r="FV12" t="b">
        <f>AND(Log!A549,"AAAAAA8rrbE=")</f>
        <v>1</v>
      </c>
      <c r="FW12" t="e">
        <f>AND(Log!B549,"AAAAAA8rrbI=")</f>
        <v>#VALUE!</v>
      </c>
      <c r="FX12" t="e">
        <f>AND(Log!C549,"AAAAAA8rrbM=")</f>
        <v>#VALUE!</v>
      </c>
      <c r="FY12" t="e">
        <f>AND(Log!D549,"AAAAAA8rrbQ=")</f>
        <v>#VALUE!</v>
      </c>
      <c r="FZ12">
        <f>IF(Log!550:550,"AAAAAA8rrbU=",0)</f>
        <v>0</v>
      </c>
      <c r="GA12" t="b">
        <f>AND(Log!A550,"AAAAAA8rrbY=")</f>
        <v>1</v>
      </c>
      <c r="GB12" t="e">
        <f>AND(Log!B550,"AAAAAA8rrbc=")</f>
        <v>#VALUE!</v>
      </c>
      <c r="GC12" t="e">
        <f>AND(Log!C550,"AAAAAA8rrbg=")</f>
        <v>#VALUE!</v>
      </c>
      <c r="GD12" t="e">
        <f>AND(Log!D550,"AAAAAA8rrbk=")</f>
        <v>#VALUE!</v>
      </c>
      <c r="GE12">
        <f>IF(Log!551:551,"AAAAAA8rrbo=",0)</f>
        <v>0</v>
      </c>
      <c r="GF12" t="b">
        <f>AND(Log!A551,"AAAAAA8rrbs=")</f>
        <v>1</v>
      </c>
      <c r="GG12" t="e">
        <f>AND(Log!B551,"AAAAAA8rrbw=")</f>
        <v>#VALUE!</v>
      </c>
      <c r="GH12" t="e">
        <f>AND(Log!C551,"AAAAAA8rrb0=")</f>
        <v>#VALUE!</v>
      </c>
      <c r="GI12" t="e">
        <f>AND(Log!D551,"AAAAAA8rrb4=")</f>
        <v>#VALUE!</v>
      </c>
      <c r="GJ12">
        <f>IF(Log!552:552,"AAAAAA8rrb8=",0)</f>
        <v>0</v>
      </c>
      <c r="GK12" t="b">
        <f>AND(Log!A552,"AAAAAA8rrcA=")</f>
        <v>1</v>
      </c>
      <c r="GL12" t="e">
        <f>AND(Log!B552,"AAAAAA8rrcE=")</f>
        <v>#VALUE!</v>
      </c>
      <c r="GM12" t="e">
        <f>AND(Log!C552,"AAAAAA8rrcI=")</f>
        <v>#VALUE!</v>
      </c>
      <c r="GN12" t="e">
        <f>AND(Log!D552,"AAAAAA8rrcM=")</f>
        <v>#VALUE!</v>
      </c>
      <c r="GO12">
        <f>IF(Log!553:553,"AAAAAA8rrcQ=",0)</f>
        <v>0</v>
      </c>
      <c r="GP12" t="b">
        <f>AND(Log!A553,"AAAAAA8rrcU=")</f>
        <v>1</v>
      </c>
      <c r="GQ12" t="e">
        <f>AND(Log!B553,"AAAAAA8rrcY=")</f>
        <v>#VALUE!</v>
      </c>
      <c r="GR12" t="e">
        <f>AND(Log!C553,"AAAAAA8rrcc=")</f>
        <v>#VALUE!</v>
      </c>
      <c r="GS12" t="e">
        <f>AND(Log!D553,"AAAAAA8rrcg=")</f>
        <v>#VALUE!</v>
      </c>
      <c r="GT12">
        <f>IF(Log!554:554,"AAAAAA8rrck=",0)</f>
        <v>0</v>
      </c>
      <c r="GU12" t="b">
        <f>AND(Log!A554,"AAAAAA8rrco=")</f>
        <v>1</v>
      </c>
      <c r="GV12" t="e">
        <f>AND(Log!B554,"AAAAAA8rrcs=")</f>
        <v>#VALUE!</v>
      </c>
      <c r="GW12" t="e">
        <f>AND(Log!C554,"AAAAAA8rrcw=")</f>
        <v>#VALUE!</v>
      </c>
      <c r="GX12" t="e">
        <f>AND(Log!D554,"AAAAAA8rrc0=")</f>
        <v>#VALUE!</v>
      </c>
      <c r="GY12">
        <f>IF(Log!555:555,"AAAAAA8rrc4=",0)</f>
        <v>0</v>
      </c>
      <c r="GZ12" t="b">
        <f>AND(Log!A555,"AAAAAA8rrc8=")</f>
        <v>1</v>
      </c>
      <c r="HA12" t="e">
        <f>AND(Log!B555,"AAAAAA8rrdA=")</f>
        <v>#VALUE!</v>
      </c>
      <c r="HB12" t="e">
        <f>AND(Log!C555,"AAAAAA8rrdE=")</f>
        <v>#VALUE!</v>
      </c>
      <c r="HC12" t="e">
        <f>AND(Log!D555,"AAAAAA8rrdI=")</f>
        <v>#VALUE!</v>
      </c>
      <c r="HD12">
        <f>IF(Log!556:556,"AAAAAA8rrdM=",0)</f>
        <v>0</v>
      </c>
      <c r="HE12" t="b">
        <f>AND(Log!A556,"AAAAAA8rrdQ=")</f>
        <v>1</v>
      </c>
      <c r="HF12" t="e">
        <f>AND(Log!B556,"AAAAAA8rrdU=")</f>
        <v>#VALUE!</v>
      </c>
      <c r="HG12" t="e">
        <f>AND(Log!C556,"AAAAAA8rrdY=")</f>
        <v>#VALUE!</v>
      </c>
      <c r="HH12" t="e">
        <f>AND(Log!D556,"AAAAAA8rrdc=")</f>
        <v>#VALUE!</v>
      </c>
      <c r="HI12">
        <f>IF(Log!557:557,"AAAAAA8rrdg=",0)</f>
        <v>0</v>
      </c>
      <c r="HJ12" t="b">
        <f>AND(Log!A557,"AAAAAA8rrdk=")</f>
        <v>1</v>
      </c>
      <c r="HK12" t="e">
        <f>AND(Log!B557,"AAAAAA8rrdo=")</f>
        <v>#VALUE!</v>
      </c>
      <c r="HL12" t="e">
        <f>AND(Log!C557,"AAAAAA8rrds=")</f>
        <v>#VALUE!</v>
      </c>
      <c r="HM12" t="e">
        <f>AND(Log!D557,"AAAAAA8rrdw=")</f>
        <v>#VALUE!</v>
      </c>
      <c r="HN12">
        <f>IF(Log!558:558,"AAAAAA8rrd0=",0)</f>
        <v>0</v>
      </c>
      <c r="HO12" t="b">
        <f>AND(Log!A558,"AAAAAA8rrd4=")</f>
        <v>1</v>
      </c>
      <c r="HP12" t="e">
        <f>AND(Log!B558,"AAAAAA8rrd8=")</f>
        <v>#VALUE!</v>
      </c>
      <c r="HQ12" t="e">
        <f>AND(Log!C558,"AAAAAA8rreA=")</f>
        <v>#VALUE!</v>
      </c>
      <c r="HR12" t="e">
        <f>AND(Log!D558,"AAAAAA8rreE=")</f>
        <v>#VALUE!</v>
      </c>
      <c r="HS12">
        <f>IF(Log!559:559,"AAAAAA8rreI=",0)</f>
        <v>0</v>
      </c>
      <c r="HT12" t="b">
        <f>AND(Log!A559,"AAAAAA8rreM=")</f>
        <v>1</v>
      </c>
      <c r="HU12" t="e">
        <f>AND(Log!B559,"AAAAAA8rreQ=")</f>
        <v>#VALUE!</v>
      </c>
      <c r="HV12" t="e">
        <f>AND(Log!C559,"AAAAAA8rreU=")</f>
        <v>#VALUE!</v>
      </c>
      <c r="HW12" t="e">
        <f>AND(Log!D559,"AAAAAA8rreY=")</f>
        <v>#VALUE!</v>
      </c>
      <c r="HX12">
        <f>IF(Log!560:560,"AAAAAA8rrec=",0)</f>
        <v>0</v>
      </c>
      <c r="HY12" t="b">
        <f>AND(Log!A560,"AAAAAA8rreg=")</f>
        <v>1</v>
      </c>
      <c r="HZ12" t="e">
        <f>AND(Log!B560,"AAAAAA8rrek=")</f>
        <v>#VALUE!</v>
      </c>
      <c r="IA12" t="e">
        <f>AND(Log!C560,"AAAAAA8rreo=")</f>
        <v>#VALUE!</v>
      </c>
      <c r="IB12" t="e">
        <f>AND(Log!D560,"AAAAAA8rres=")</f>
        <v>#VALUE!</v>
      </c>
      <c r="IC12">
        <f>IF(Log!561:561,"AAAAAA8rrew=",0)</f>
        <v>0</v>
      </c>
      <c r="ID12" t="b">
        <f>AND(Log!A561,"AAAAAA8rre0=")</f>
        <v>1</v>
      </c>
      <c r="IE12" t="e">
        <f>AND(Log!B561,"AAAAAA8rre4=")</f>
        <v>#VALUE!</v>
      </c>
      <c r="IF12" t="e">
        <f>AND(Log!C561,"AAAAAA8rre8=")</f>
        <v>#VALUE!</v>
      </c>
      <c r="IG12" t="e">
        <f>AND(Log!D561,"AAAAAA8rrfA=")</f>
        <v>#VALUE!</v>
      </c>
      <c r="IH12">
        <f>IF(Log!562:562,"AAAAAA8rrfE=",0)</f>
        <v>0</v>
      </c>
      <c r="II12" t="b">
        <f>AND(Log!A562,"AAAAAA8rrfI=")</f>
        <v>1</v>
      </c>
      <c r="IJ12" t="e">
        <f>AND(Log!B562,"AAAAAA8rrfM=")</f>
        <v>#VALUE!</v>
      </c>
      <c r="IK12" t="e">
        <f>AND(Log!C562,"AAAAAA8rrfQ=")</f>
        <v>#VALUE!</v>
      </c>
      <c r="IL12" t="e">
        <f>AND(Log!D562,"AAAAAA8rrfU=")</f>
        <v>#VALUE!</v>
      </c>
      <c r="IM12">
        <f>IF(Log!563:563,"AAAAAA8rrfY=",0)</f>
        <v>0</v>
      </c>
      <c r="IN12" t="b">
        <f>AND(Log!A563,"AAAAAA8rrfc=")</f>
        <v>1</v>
      </c>
      <c r="IO12" t="e">
        <f>AND(Log!B563,"AAAAAA8rrfg=")</f>
        <v>#VALUE!</v>
      </c>
      <c r="IP12" t="e">
        <f>AND(Log!C563,"AAAAAA8rrfk=")</f>
        <v>#VALUE!</v>
      </c>
      <c r="IQ12" t="e">
        <f>AND(Log!D563,"AAAAAA8rrfo=")</f>
        <v>#VALUE!</v>
      </c>
      <c r="IR12">
        <f>IF(Log!564:564,"AAAAAA8rrfs=",0)</f>
        <v>0</v>
      </c>
      <c r="IS12" t="b">
        <f>AND(Log!A564,"AAAAAA8rrfw=")</f>
        <v>1</v>
      </c>
      <c r="IT12" t="e">
        <f>AND(Log!B564,"AAAAAA8rrf0=")</f>
        <v>#VALUE!</v>
      </c>
      <c r="IU12" t="e">
        <f>AND(Log!C564,"AAAAAA8rrf4=")</f>
        <v>#VALUE!</v>
      </c>
      <c r="IV12" t="e">
        <f>AND(Log!D564,"AAAAAA8rrf8=")</f>
        <v>#VALUE!</v>
      </c>
    </row>
    <row r="13" spans="1:256" x14ac:dyDescent="0.25">
      <c r="A13" t="str">
        <f>IF(Log!565:565,"AAAAAFh93wA=",0)</f>
        <v>AAAAAFh93wA=</v>
      </c>
      <c r="B13" t="b">
        <f>AND(Log!A565,"AAAAAFh93wE=")</f>
        <v>1</v>
      </c>
      <c r="C13" t="e">
        <f>AND(Log!B565,"AAAAAFh93wI=")</f>
        <v>#VALUE!</v>
      </c>
      <c r="D13" t="e">
        <f>AND(Log!C565,"AAAAAFh93wM=")</f>
        <v>#VALUE!</v>
      </c>
      <c r="E13" t="e">
        <f>AND(Log!D565,"AAAAAFh93wQ=")</f>
        <v>#VALUE!</v>
      </c>
      <c r="F13">
        <f>IF(Log!566:566,"AAAAAFh93wU=",0)</f>
        <v>0</v>
      </c>
      <c r="G13" t="b">
        <f>AND(Log!A566,"AAAAAFh93wY=")</f>
        <v>1</v>
      </c>
      <c r="H13" t="e">
        <f>AND(Log!B566,"AAAAAFh93wc=")</f>
        <v>#VALUE!</v>
      </c>
      <c r="I13" t="e">
        <f>AND(Log!C566,"AAAAAFh93wg=")</f>
        <v>#VALUE!</v>
      </c>
      <c r="J13" t="e">
        <f>AND(Log!D566,"AAAAAFh93wk=")</f>
        <v>#VALUE!</v>
      </c>
      <c r="K13">
        <f>IF(Log!567:567,"AAAAAFh93wo=",0)</f>
        <v>0</v>
      </c>
      <c r="L13" t="b">
        <f>AND(Log!A567,"AAAAAFh93ws=")</f>
        <v>1</v>
      </c>
      <c r="M13" t="e">
        <f>AND(Log!B567,"AAAAAFh93ww=")</f>
        <v>#VALUE!</v>
      </c>
      <c r="N13" t="e">
        <f>AND(Log!C567,"AAAAAFh93w0=")</f>
        <v>#VALUE!</v>
      </c>
      <c r="O13" t="e">
        <f>AND(Log!D567,"AAAAAFh93w4=")</f>
        <v>#VALUE!</v>
      </c>
      <c r="P13">
        <f>IF(Log!568:568,"AAAAAFh93w8=",0)</f>
        <v>0</v>
      </c>
      <c r="Q13" t="b">
        <f>AND(Log!A568,"AAAAAFh93xA=")</f>
        <v>1</v>
      </c>
      <c r="R13" t="e">
        <f>AND(Log!B568,"AAAAAFh93xE=")</f>
        <v>#VALUE!</v>
      </c>
      <c r="S13" t="e">
        <f>AND(Log!C568,"AAAAAFh93xI=")</f>
        <v>#VALUE!</v>
      </c>
      <c r="T13" t="e">
        <f>AND(Log!D568,"AAAAAFh93xM=")</f>
        <v>#VALUE!</v>
      </c>
      <c r="U13">
        <f>IF(Log!569:569,"AAAAAFh93xQ=",0)</f>
        <v>0</v>
      </c>
      <c r="V13" t="b">
        <f>AND(Log!A569,"AAAAAFh93xU=")</f>
        <v>1</v>
      </c>
      <c r="W13" t="e">
        <f>AND(Log!B569,"AAAAAFh93xY=")</f>
        <v>#VALUE!</v>
      </c>
      <c r="X13" t="e">
        <f>AND(Log!C569,"AAAAAFh93xc=")</f>
        <v>#VALUE!</v>
      </c>
      <c r="Y13" t="e">
        <f>AND(Log!D569,"AAAAAFh93xg=")</f>
        <v>#VALUE!</v>
      </c>
      <c r="Z13">
        <f>IF(Log!570:570,"AAAAAFh93xk=",0)</f>
        <v>0</v>
      </c>
      <c r="AA13" t="b">
        <f>AND(Log!A570,"AAAAAFh93xo=")</f>
        <v>1</v>
      </c>
      <c r="AB13" t="e">
        <f>AND(Log!B570,"AAAAAFh93xs=")</f>
        <v>#VALUE!</v>
      </c>
      <c r="AC13" t="e">
        <f>AND(Log!C570,"AAAAAFh93xw=")</f>
        <v>#VALUE!</v>
      </c>
      <c r="AD13" t="e">
        <f>AND(Log!D570,"AAAAAFh93x0=")</f>
        <v>#VALUE!</v>
      </c>
      <c r="AE13">
        <f>IF(Log!571:571,"AAAAAFh93x4=",0)</f>
        <v>0</v>
      </c>
      <c r="AF13" t="b">
        <f>AND(Log!A571,"AAAAAFh93x8=")</f>
        <v>1</v>
      </c>
      <c r="AG13" t="e">
        <f>AND(Log!B571,"AAAAAFh93yA=")</f>
        <v>#VALUE!</v>
      </c>
      <c r="AH13" t="e">
        <f>AND(Log!C571,"AAAAAFh93yE=")</f>
        <v>#VALUE!</v>
      </c>
      <c r="AI13" t="e">
        <f>AND(Log!D571,"AAAAAFh93yI=")</f>
        <v>#VALUE!</v>
      </c>
      <c r="AJ13">
        <f>IF(Log!572:572,"AAAAAFh93yM=",0)</f>
        <v>0</v>
      </c>
      <c r="AK13" t="b">
        <f>AND(Log!A572,"AAAAAFh93yQ=")</f>
        <v>1</v>
      </c>
      <c r="AL13" t="e">
        <f>AND(Log!B572,"AAAAAFh93yU=")</f>
        <v>#VALUE!</v>
      </c>
      <c r="AM13" t="e">
        <f>AND(Log!C572,"AAAAAFh93yY=")</f>
        <v>#VALUE!</v>
      </c>
      <c r="AN13" t="e">
        <f>AND(Log!D572,"AAAAAFh93yc=")</f>
        <v>#VALUE!</v>
      </c>
      <c r="AO13">
        <f>IF(Log!573:573,"AAAAAFh93yg=",0)</f>
        <v>0</v>
      </c>
      <c r="AP13" t="b">
        <f>AND(Log!A573,"AAAAAFh93yk=")</f>
        <v>1</v>
      </c>
      <c r="AQ13" t="e">
        <f>AND(Log!B573,"AAAAAFh93yo=")</f>
        <v>#VALUE!</v>
      </c>
      <c r="AR13" t="e">
        <f>AND(Log!C573,"AAAAAFh93ys=")</f>
        <v>#VALUE!</v>
      </c>
      <c r="AS13" t="e">
        <f>AND(Log!D573,"AAAAAFh93yw=")</f>
        <v>#VALUE!</v>
      </c>
      <c r="AT13">
        <f>IF(Log!574:574,"AAAAAFh93y0=",0)</f>
        <v>0</v>
      </c>
      <c r="AU13" t="b">
        <f>AND(Log!A574,"AAAAAFh93y4=")</f>
        <v>1</v>
      </c>
      <c r="AV13" t="e">
        <f>AND(Log!B574,"AAAAAFh93y8=")</f>
        <v>#VALUE!</v>
      </c>
      <c r="AW13" t="e">
        <f>AND(Log!C574,"AAAAAFh93zA=")</f>
        <v>#VALUE!</v>
      </c>
      <c r="AX13" t="e">
        <f>AND(Log!D574,"AAAAAFh93zE=")</f>
        <v>#VALUE!</v>
      </c>
      <c r="AY13">
        <f>IF(Log!575:575,"AAAAAFh93zI=",0)</f>
        <v>0</v>
      </c>
      <c r="AZ13" t="b">
        <f>AND(Log!A575,"AAAAAFh93zM=")</f>
        <v>1</v>
      </c>
      <c r="BA13" t="e">
        <f>AND(Log!B575,"AAAAAFh93zQ=")</f>
        <v>#VALUE!</v>
      </c>
      <c r="BB13" t="e">
        <f>AND(Log!C575,"AAAAAFh93zU=")</f>
        <v>#VALUE!</v>
      </c>
      <c r="BC13" t="e">
        <f>AND(Log!D575,"AAAAAFh93zY=")</f>
        <v>#VALUE!</v>
      </c>
      <c r="BD13">
        <f>IF(Log!576:576,"AAAAAFh93zc=",0)</f>
        <v>0</v>
      </c>
      <c r="BE13" t="b">
        <f>AND(Log!A576,"AAAAAFh93zg=")</f>
        <v>1</v>
      </c>
      <c r="BF13" t="e">
        <f>AND(Log!B576,"AAAAAFh93zk=")</f>
        <v>#VALUE!</v>
      </c>
      <c r="BG13" t="e">
        <f>AND(Log!C576,"AAAAAFh93zo=")</f>
        <v>#VALUE!</v>
      </c>
      <c r="BH13" t="e">
        <f>AND(Log!D576,"AAAAAFh93zs=")</f>
        <v>#VALUE!</v>
      </c>
      <c r="BI13">
        <f>IF(Log!577:577,"AAAAAFh93zw=",0)</f>
        <v>0</v>
      </c>
      <c r="BJ13" t="b">
        <f>AND(Log!A577,"AAAAAFh93z0=")</f>
        <v>1</v>
      </c>
      <c r="BK13" t="e">
        <f>AND(Log!B577,"AAAAAFh93z4=")</f>
        <v>#VALUE!</v>
      </c>
      <c r="BL13" t="e">
        <f>AND(Log!C577,"AAAAAFh93z8=")</f>
        <v>#VALUE!</v>
      </c>
      <c r="BM13" t="e">
        <f>AND(Log!D577,"AAAAAFh930A=")</f>
        <v>#VALUE!</v>
      </c>
      <c r="BN13">
        <f>IF(Log!578:578,"AAAAAFh930E=",0)</f>
        <v>0</v>
      </c>
      <c r="BO13" t="b">
        <f>AND(Log!A578,"AAAAAFh930I=")</f>
        <v>1</v>
      </c>
      <c r="BP13" t="e">
        <f>AND(Log!B578,"AAAAAFh930M=")</f>
        <v>#VALUE!</v>
      </c>
      <c r="BQ13" t="e">
        <f>AND(Log!C578,"AAAAAFh930Q=")</f>
        <v>#VALUE!</v>
      </c>
      <c r="BR13" t="e">
        <f>AND(Log!D578,"AAAAAFh930U=")</f>
        <v>#VALUE!</v>
      </c>
      <c r="BS13">
        <f>IF(Log!579:579,"AAAAAFh930Y=",0)</f>
        <v>0</v>
      </c>
      <c r="BT13" t="b">
        <f>AND(Log!A579,"AAAAAFh930c=")</f>
        <v>1</v>
      </c>
      <c r="BU13" t="e">
        <f>AND(Log!B579,"AAAAAFh930g=")</f>
        <v>#VALUE!</v>
      </c>
      <c r="BV13" t="e">
        <f>AND(Log!C579,"AAAAAFh930k=")</f>
        <v>#VALUE!</v>
      </c>
      <c r="BW13" t="e">
        <f>AND(Log!D579,"AAAAAFh930o=")</f>
        <v>#VALUE!</v>
      </c>
      <c r="BX13">
        <f>IF(Log!580:580,"AAAAAFh930s=",0)</f>
        <v>0</v>
      </c>
      <c r="BY13" t="b">
        <f>AND(Log!A580,"AAAAAFh930w=")</f>
        <v>1</v>
      </c>
      <c r="BZ13" t="e">
        <f>AND(Log!B580,"AAAAAFh9300=")</f>
        <v>#VALUE!</v>
      </c>
      <c r="CA13" t="e">
        <f>AND(Log!C580,"AAAAAFh9304=")</f>
        <v>#VALUE!</v>
      </c>
      <c r="CB13" t="e">
        <f>AND(Log!D580,"AAAAAFh9308=")</f>
        <v>#VALUE!</v>
      </c>
      <c r="CC13">
        <f>IF(Log!581:581,"AAAAAFh931A=",0)</f>
        <v>0</v>
      </c>
      <c r="CD13" t="b">
        <f>AND(Log!A581,"AAAAAFh931E=")</f>
        <v>1</v>
      </c>
      <c r="CE13" t="e">
        <f>AND(Log!B581,"AAAAAFh931I=")</f>
        <v>#VALUE!</v>
      </c>
      <c r="CF13" t="e">
        <f>AND(Log!C581,"AAAAAFh931M=")</f>
        <v>#VALUE!</v>
      </c>
      <c r="CG13" t="e">
        <f>AND(Log!D581,"AAAAAFh931Q=")</f>
        <v>#VALUE!</v>
      </c>
      <c r="CH13">
        <f>IF(Log!582:582,"AAAAAFh931U=",0)</f>
        <v>0</v>
      </c>
      <c r="CI13" t="b">
        <f>AND(Log!A582,"AAAAAFh931Y=")</f>
        <v>1</v>
      </c>
      <c r="CJ13" t="e">
        <f>AND(Log!B582,"AAAAAFh931c=")</f>
        <v>#VALUE!</v>
      </c>
      <c r="CK13" t="e">
        <f>AND(Log!C582,"AAAAAFh931g=")</f>
        <v>#VALUE!</v>
      </c>
      <c r="CL13" t="e">
        <f>AND(Log!D582,"AAAAAFh931k=")</f>
        <v>#VALUE!</v>
      </c>
      <c r="CM13">
        <f>IF(Log!583:583,"AAAAAFh931o=",0)</f>
        <v>0</v>
      </c>
      <c r="CN13" t="b">
        <f>AND(Log!A583,"AAAAAFh931s=")</f>
        <v>1</v>
      </c>
      <c r="CO13" t="e">
        <f>AND(Log!B583,"AAAAAFh931w=")</f>
        <v>#VALUE!</v>
      </c>
      <c r="CP13" t="e">
        <f>AND(Log!C583,"AAAAAFh9310=")</f>
        <v>#VALUE!</v>
      </c>
      <c r="CQ13" t="e">
        <f>AND(Log!D583,"AAAAAFh9314=")</f>
        <v>#VALUE!</v>
      </c>
      <c r="CR13">
        <f>IF(Log!584:584,"AAAAAFh9318=",0)</f>
        <v>0</v>
      </c>
      <c r="CS13" t="b">
        <f>AND(Log!A584,"AAAAAFh932A=")</f>
        <v>1</v>
      </c>
      <c r="CT13" t="e">
        <f>AND(Log!B584,"AAAAAFh932E=")</f>
        <v>#VALUE!</v>
      </c>
      <c r="CU13" t="e">
        <f>AND(Log!C584,"AAAAAFh932I=")</f>
        <v>#VALUE!</v>
      </c>
      <c r="CV13" t="e">
        <f>AND(Log!D584,"AAAAAFh932M=")</f>
        <v>#VALUE!</v>
      </c>
      <c r="CW13">
        <f>IF(Log!585:585,"AAAAAFh932Q=",0)</f>
        <v>0</v>
      </c>
      <c r="CX13" t="b">
        <f>AND(Log!A585,"AAAAAFh932U=")</f>
        <v>1</v>
      </c>
      <c r="CY13" t="e">
        <f>AND(Log!B585,"AAAAAFh932Y=")</f>
        <v>#VALUE!</v>
      </c>
      <c r="CZ13" t="e">
        <f>AND(Log!C585,"AAAAAFh932c=")</f>
        <v>#VALUE!</v>
      </c>
      <c r="DA13" t="e">
        <f>AND(Log!D585,"AAAAAFh932g=")</f>
        <v>#VALUE!</v>
      </c>
      <c r="DB13">
        <f>IF(Log!586:586,"AAAAAFh932k=",0)</f>
        <v>0</v>
      </c>
      <c r="DC13" t="b">
        <f>AND(Log!A586,"AAAAAFh932o=")</f>
        <v>1</v>
      </c>
      <c r="DD13" t="e">
        <f>AND(Log!B586,"AAAAAFh932s=")</f>
        <v>#VALUE!</v>
      </c>
      <c r="DE13" t="e">
        <f>AND(Log!C586,"AAAAAFh932w=")</f>
        <v>#VALUE!</v>
      </c>
      <c r="DF13" t="e">
        <f>AND(Log!D586,"AAAAAFh9320=")</f>
        <v>#VALUE!</v>
      </c>
      <c r="DG13">
        <f>IF(Log!587:587,"AAAAAFh9324=",0)</f>
        <v>0</v>
      </c>
      <c r="DH13" t="b">
        <f>AND(Log!A587,"AAAAAFh9328=")</f>
        <v>1</v>
      </c>
      <c r="DI13" t="e">
        <f>AND(Log!B587,"AAAAAFh933A=")</f>
        <v>#VALUE!</v>
      </c>
      <c r="DJ13" t="e">
        <f>AND(Log!C587,"AAAAAFh933E=")</f>
        <v>#VALUE!</v>
      </c>
      <c r="DK13" t="e">
        <f>AND(Log!D587,"AAAAAFh933I=")</f>
        <v>#VALUE!</v>
      </c>
      <c r="DL13">
        <f>IF(Log!588:588,"AAAAAFh933M=",0)</f>
        <v>0</v>
      </c>
      <c r="DM13" t="b">
        <f>AND(Log!A588,"AAAAAFh933Q=")</f>
        <v>1</v>
      </c>
      <c r="DN13" t="e">
        <f>AND(Log!B588,"AAAAAFh933U=")</f>
        <v>#VALUE!</v>
      </c>
      <c r="DO13" t="e">
        <f>AND(Log!C588,"AAAAAFh933Y=")</f>
        <v>#VALUE!</v>
      </c>
      <c r="DP13" t="e">
        <f>AND(Log!D588,"AAAAAFh933c=")</f>
        <v>#VALUE!</v>
      </c>
      <c r="DQ13">
        <f>IF(Log!589:589,"AAAAAFh933g=",0)</f>
        <v>0</v>
      </c>
      <c r="DR13" t="b">
        <f>AND(Log!A589,"AAAAAFh933k=")</f>
        <v>1</v>
      </c>
      <c r="DS13" t="e">
        <f>AND(Log!B589,"AAAAAFh933o=")</f>
        <v>#VALUE!</v>
      </c>
      <c r="DT13" t="e">
        <f>AND(Log!C589,"AAAAAFh933s=")</f>
        <v>#VALUE!</v>
      </c>
      <c r="DU13" t="e">
        <f>AND(Log!D589,"AAAAAFh933w=")</f>
        <v>#VALUE!</v>
      </c>
      <c r="DV13">
        <f>IF(Log!590:590,"AAAAAFh9330=",0)</f>
        <v>0</v>
      </c>
      <c r="DW13" t="b">
        <f>AND(Log!A590,"AAAAAFh9334=")</f>
        <v>1</v>
      </c>
      <c r="DX13" t="e">
        <f>AND(Log!B590,"AAAAAFh9338=")</f>
        <v>#VALUE!</v>
      </c>
      <c r="DY13" t="e">
        <f>AND(Log!C590,"AAAAAFh934A=")</f>
        <v>#VALUE!</v>
      </c>
      <c r="DZ13" t="e">
        <f>AND(Log!D590,"AAAAAFh934E=")</f>
        <v>#VALUE!</v>
      </c>
      <c r="EA13">
        <f>IF(Log!591:591,"AAAAAFh934I=",0)</f>
        <v>0</v>
      </c>
      <c r="EB13" t="b">
        <f>AND(Log!A591,"AAAAAFh934M=")</f>
        <v>1</v>
      </c>
      <c r="EC13" t="e">
        <f>AND(Log!B591,"AAAAAFh934Q=")</f>
        <v>#VALUE!</v>
      </c>
      <c r="ED13" t="e">
        <f>AND(Log!C591,"AAAAAFh934U=")</f>
        <v>#VALUE!</v>
      </c>
      <c r="EE13" t="e">
        <f>AND(Log!D591,"AAAAAFh934Y=")</f>
        <v>#VALUE!</v>
      </c>
      <c r="EF13">
        <f>IF(Log!592:592,"AAAAAFh934c=",0)</f>
        <v>0</v>
      </c>
      <c r="EG13" t="b">
        <f>AND(Log!A592,"AAAAAFh934g=")</f>
        <v>1</v>
      </c>
      <c r="EH13" t="e">
        <f>AND(Log!B592,"AAAAAFh934k=")</f>
        <v>#VALUE!</v>
      </c>
      <c r="EI13" t="e">
        <f>AND(Log!C592,"AAAAAFh934o=")</f>
        <v>#VALUE!</v>
      </c>
      <c r="EJ13" t="e">
        <f>AND(Log!D592,"AAAAAFh934s=")</f>
        <v>#VALUE!</v>
      </c>
      <c r="EK13">
        <f>IF(Log!593:593,"AAAAAFh934w=",0)</f>
        <v>0</v>
      </c>
      <c r="EL13" t="b">
        <f>AND(Log!A593,"AAAAAFh9340=")</f>
        <v>1</v>
      </c>
      <c r="EM13" t="e">
        <f>AND(Log!B593,"AAAAAFh9344=")</f>
        <v>#VALUE!</v>
      </c>
      <c r="EN13" t="e">
        <f>AND(Log!C593,"AAAAAFh9348=")</f>
        <v>#VALUE!</v>
      </c>
      <c r="EO13" t="e">
        <f>AND(Log!D593,"AAAAAFh935A=")</f>
        <v>#VALUE!</v>
      </c>
      <c r="EP13">
        <f>IF(Log!594:594,"AAAAAFh935E=",0)</f>
        <v>0</v>
      </c>
      <c r="EQ13" t="b">
        <f>AND(Log!A594,"AAAAAFh935I=")</f>
        <v>1</v>
      </c>
      <c r="ER13" t="e">
        <f>AND(Log!B594,"AAAAAFh935M=")</f>
        <v>#VALUE!</v>
      </c>
      <c r="ES13" t="e">
        <f>AND(Log!C594,"AAAAAFh935Q=")</f>
        <v>#VALUE!</v>
      </c>
      <c r="ET13" t="e">
        <f>AND(Log!D594,"AAAAAFh935U=")</f>
        <v>#VALUE!</v>
      </c>
      <c r="EU13">
        <f>IF(Log!595:595,"AAAAAFh935Y=",0)</f>
        <v>0</v>
      </c>
      <c r="EV13" t="b">
        <f>AND(Log!A595,"AAAAAFh935c=")</f>
        <v>1</v>
      </c>
      <c r="EW13" t="e">
        <f>AND(Log!B595,"AAAAAFh935g=")</f>
        <v>#VALUE!</v>
      </c>
      <c r="EX13" t="e">
        <f>AND(Log!C595,"AAAAAFh935k=")</f>
        <v>#VALUE!</v>
      </c>
      <c r="EY13" t="e">
        <f>AND(Log!D595,"AAAAAFh935o=")</f>
        <v>#VALUE!</v>
      </c>
      <c r="EZ13">
        <f>IF(Log!596:596,"AAAAAFh935s=",0)</f>
        <v>0</v>
      </c>
      <c r="FA13" t="b">
        <f>AND(Log!A596,"AAAAAFh935w=")</f>
        <v>1</v>
      </c>
      <c r="FB13" t="e">
        <f>AND(Log!B596,"AAAAAFh9350=")</f>
        <v>#VALUE!</v>
      </c>
      <c r="FC13" t="e">
        <f>AND(Log!C596,"AAAAAFh9354=")</f>
        <v>#VALUE!</v>
      </c>
      <c r="FD13" t="e">
        <f>AND(Log!D596,"AAAAAFh9358=")</f>
        <v>#VALUE!</v>
      </c>
      <c r="FE13">
        <f>IF(Log!597:597,"AAAAAFh936A=",0)</f>
        <v>0</v>
      </c>
      <c r="FF13" t="b">
        <f>AND(Log!A597,"AAAAAFh936E=")</f>
        <v>1</v>
      </c>
      <c r="FG13" t="e">
        <f>AND(Log!B597,"AAAAAFh936I=")</f>
        <v>#VALUE!</v>
      </c>
      <c r="FH13" t="e">
        <f>AND(Log!C597,"AAAAAFh936M=")</f>
        <v>#VALUE!</v>
      </c>
      <c r="FI13" t="e">
        <f>AND(Log!D597,"AAAAAFh936Q=")</f>
        <v>#VALUE!</v>
      </c>
      <c r="FJ13">
        <f>IF(Log!598:598,"AAAAAFh936U=",0)</f>
        <v>0</v>
      </c>
      <c r="FK13" t="b">
        <f>AND(Log!A598,"AAAAAFh936Y=")</f>
        <v>1</v>
      </c>
      <c r="FL13" t="e">
        <f>AND(Log!B598,"AAAAAFh936c=")</f>
        <v>#VALUE!</v>
      </c>
      <c r="FM13" t="e">
        <f>AND(Log!C598,"AAAAAFh936g=")</f>
        <v>#VALUE!</v>
      </c>
      <c r="FN13" t="e">
        <f>AND(Log!D598,"AAAAAFh936k=")</f>
        <v>#VALUE!</v>
      </c>
      <c r="FO13">
        <f>IF(Log!599:599,"AAAAAFh936o=",0)</f>
        <v>0</v>
      </c>
      <c r="FP13" t="b">
        <f>AND(Log!A599,"AAAAAFh936s=")</f>
        <v>1</v>
      </c>
      <c r="FQ13" t="e">
        <f>AND(Log!B599,"AAAAAFh936w=")</f>
        <v>#VALUE!</v>
      </c>
      <c r="FR13" t="e">
        <f>AND(Log!C599,"AAAAAFh9360=")</f>
        <v>#VALUE!</v>
      </c>
      <c r="FS13" t="e">
        <f>AND(Log!D599,"AAAAAFh9364=")</f>
        <v>#VALUE!</v>
      </c>
      <c r="FT13">
        <f>IF(Log!600:600,"AAAAAFh9368=",0)</f>
        <v>0</v>
      </c>
      <c r="FU13" t="b">
        <f>AND(Log!A600,"AAAAAFh937A=")</f>
        <v>1</v>
      </c>
      <c r="FV13" t="e">
        <f>AND(Log!B600,"AAAAAFh937E=")</f>
        <v>#VALUE!</v>
      </c>
      <c r="FW13" t="e">
        <f>AND(Log!C600,"AAAAAFh937I=")</f>
        <v>#VALUE!</v>
      </c>
      <c r="FX13" t="e">
        <f>AND(Log!D600,"AAAAAFh937M=")</f>
        <v>#VALUE!</v>
      </c>
      <c r="FY13">
        <f>IF(Log!601:601,"AAAAAFh937Q=",0)</f>
        <v>0</v>
      </c>
      <c r="FZ13" t="b">
        <f>AND(Log!A601,"AAAAAFh937U=")</f>
        <v>1</v>
      </c>
      <c r="GA13" t="e">
        <f>AND(Log!B601,"AAAAAFh937Y=")</f>
        <v>#VALUE!</v>
      </c>
      <c r="GB13" t="e">
        <f>AND(Log!C601,"AAAAAFh937c=")</f>
        <v>#VALUE!</v>
      </c>
      <c r="GC13" t="e">
        <f>AND(Log!D601,"AAAAAFh937g=")</f>
        <v>#VALUE!</v>
      </c>
      <c r="GD13">
        <f>IF(Log!602:602,"AAAAAFh937k=",0)</f>
        <v>0</v>
      </c>
      <c r="GE13" t="b">
        <f>AND(Log!A602,"AAAAAFh937o=")</f>
        <v>1</v>
      </c>
      <c r="GF13" t="e">
        <f>AND(Log!B602,"AAAAAFh937s=")</f>
        <v>#VALUE!</v>
      </c>
      <c r="GG13" t="e">
        <f>AND(Log!C602,"AAAAAFh937w=")</f>
        <v>#VALUE!</v>
      </c>
      <c r="GH13" t="e">
        <f>AND(Log!D602,"AAAAAFh9370=")</f>
        <v>#VALUE!</v>
      </c>
      <c r="GI13">
        <f>IF(Log!603:603,"AAAAAFh9374=",0)</f>
        <v>0</v>
      </c>
      <c r="GJ13" t="b">
        <f>AND(Log!A603,"AAAAAFh9378=")</f>
        <v>1</v>
      </c>
      <c r="GK13" t="e">
        <f>AND(Log!B603,"AAAAAFh938A=")</f>
        <v>#VALUE!</v>
      </c>
      <c r="GL13" t="e">
        <f>AND(Log!C603,"AAAAAFh938E=")</f>
        <v>#VALUE!</v>
      </c>
      <c r="GM13" t="e">
        <f>AND(Log!D603,"AAAAAFh938I=")</f>
        <v>#VALUE!</v>
      </c>
      <c r="GN13">
        <f>IF(Log!604:604,"AAAAAFh938M=",0)</f>
        <v>0</v>
      </c>
      <c r="GO13" t="b">
        <f>AND(Log!A604,"AAAAAFh938Q=")</f>
        <v>1</v>
      </c>
      <c r="GP13" t="e">
        <f>AND(Log!B604,"AAAAAFh938U=")</f>
        <v>#VALUE!</v>
      </c>
      <c r="GQ13" t="e">
        <f>AND(Log!C604,"AAAAAFh938Y=")</f>
        <v>#VALUE!</v>
      </c>
      <c r="GR13" t="e">
        <f>AND(Log!D604,"AAAAAFh938c=")</f>
        <v>#VALUE!</v>
      </c>
      <c r="GS13">
        <f>IF(Log!605:605,"AAAAAFh938g=",0)</f>
        <v>0</v>
      </c>
      <c r="GT13" t="b">
        <f>AND(Log!A605,"AAAAAFh938k=")</f>
        <v>1</v>
      </c>
      <c r="GU13" t="e">
        <f>AND(Log!B605,"AAAAAFh938o=")</f>
        <v>#VALUE!</v>
      </c>
      <c r="GV13" t="e">
        <f>AND(Log!C605,"AAAAAFh938s=")</f>
        <v>#VALUE!</v>
      </c>
      <c r="GW13" t="e">
        <f>AND(Log!D605,"AAAAAFh938w=")</f>
        <v>#VALUE!</v>
      </c>
      <c r="GX13">
        <f>IF(Log!606:606,"AAAAAFh9380=",0)</f>
        <v>0</v>
      </c>
      <c r="GY13" t="b">
        <f>AND(Log!A606,"AAAAAFh9384=")</f>
        <v>1</v>
      </c>
      <c r="GZ13" t="e">
        <f>AND(Log!B606,"AAAAAFh9388=")</f>
        <v>#VALUE!</v>
      </c>
      <c r="HA13" t="e">
        <f>AND(Log!C606,"AAAAAFh939A=")</f>
        <v>#VALUE!</v>
      </c>
      <c r="HB13" t="e">
        <f>AND(Log!D606,"AAAAAFh939E=")</f>
        <v>#VALUE!</v>
      </c>
      <c r="HC13">
        <f>IF(Log!607:607,"AAAAAFh939I=",0)</f>
        <v>0</v>
      </c>
      <c r="HD13" t="b">
        <f>AND(Log!A607,"AAAAAFh939M=")</f>
        <v>1</v>
      </c>
      <c r="HE13" t="e">
        <f>AND(Log!B607,"AAAAAFh939Q=")</f>
        <v>#VALUE!</v>
      </c>
      <c r="HF13" t="e">
        <f>AND(Log!C607,"AAAAAFh939U=")</f>
        <v>#VALUE!</v>
      </c>
      <c r="HG13" t="e">
        <f>AND(Log!D607,"AAAAAFh939Y=")</f>
        <v>#VALUE!</v>
      </c>
      <c r="HH13">
        <f>IF(Log!608:608,"AAAAAFh939c=",0)</f>
        <v>0</v>
      </c>
      <c r="HI13" t="b">
        <f>AND(Log!A608,"AAAAAFh939g=")</f>
        <v>1</v>
      </c>
      <c r="HJ13" t="e">
        <f>AND(Log!B608,"AAAAAFh939k=")</f>
        <v>#VALUE!</v>
      </c>
      <c r="HK13" t="e">
        <f>AND(Log!C608,"AAAAAFh939o=")</f>
        <v>#VALUE!</v>
      </c>
      <c r="HL13" t="e">
        <f>AND(Log!D608,"AAAAAFh939s=")</f>
        <v>#VALUE!</v>
      </c>
      <c r="HM13">
        <f>IF(Log!609:609,"AAAAAFh939w=",0)</f>
        <v>0</v>
      </c>
      <c r="HN13" t="b">
        <f>AND(Log!A609,"AAAAAFh9390=")</f>
        <v>1</v>
      </c>
      <c r="HO13" t="e">
        <f>AND(Log!B609,"AAAAAFh9394=")</f>
        <v>#VALUE!</v>
      </c>
      <c r="HP13" t="e">
        <f>AND(Log!C609,"AAAAAFh9398=")</f>
        <v>#VALUE!</v>
      </c>
      <c r="HQ13" t="e">
        <f>AND(Log!D609,"AAAAAFh93+A=")</f>
        <v>#VALUE!</v>
      </c>
      <c r="HR13">
        <f>IF(Log!610:610,"AAAAAFh93+E=",0)</f>
        <v>0</v>
      </c>
      <c r="HS13" t="b">
        <f>AND(Log!A610,"AAAAAFh93+I=")</f>
        <v>1</v>
      </c>
      <c r="HT13" t="e">
        <f>AND(Log!B610,"AAAAAFh93+M=")</f>
        <v>#VALUE!</v>
      </c>
      <c r="HU13" t="e">
        <f>AND(Log!C610,"AAAAAFh93+Q=")</f>
        <v>#VALUE!</v>
      </c>
      <c r="HV13" t="e">
        <f>AND(Log!D610,"AAAAAFh93+U=")</f>
        <v>#VALUE!</v>
      </c>
      <c r="HW13">
        <f>IF(Log!611:611,"AAAAAFh93+Y=",0)</f>
        <v>0</v>
      </c>
      <c r="HX13" t="b">
        <f>AND(Log!A611,"AAAAAFh93+c=")</f>
        <v>1</v>
      </c>
      <c r="HY13" t="e">
        <f>AND(Log!B611,"AAAAAFh93+g=")</f>
        <v>#VALUE!</v>
      </c>
      <c r="HZ13" t="e">
        <f>AND(Log!C611,"AAAAAFh93+k=")</f>
        <v>#VALUE!</v>
      </c>
      <c r="IA13" t="e">
        <f>AND(Log!D611,"AAAAAFh93+o=")</f>
        <v>#VALUE!</v>
      </c>
      <c r="IB13">
        <f>IF(Log!612:612,"AAAAAFh93+s=",0)</f>
        <v>0</v>
      </c>
      <c r="IC13" t="b">
        <f>AND(Log!A612,"AAAAAFh93+w=")</f>
        <v>1</v>
      </c>
      <c r="ID13" t="e">
        <f>AND(Log!B612,"AAAAAFh93+0=")</f>
        <v>#VALUE!</v>
      </c>
      <c r="IE13" t="e">
        <f>AND(Log!C612,"AAAAAFh93+4=")</f>
        <v>#VALUE!</v>
      </c>
      <c r="IF13" t="e">
        <f>AND(Log!D612,"AAAAAFh93+8=")</f>
        <v>#VALUE!</v>
      </c>
      <c r="IG13">
        <f>IF(Log!613:613,"AAAAAFh93/A=",0)</f>
        <v>0</v>
      </c>
      <c r="IH13" t="b">
        <f>AND(Log!A613,"AAAAAFh93/E=")</f>
        <v>1</v>
      </c>
      <c r="II13" t="e">
        <f>AND(Log!B613,"AAAAAFh93/I=")</f>
        <v>#VALUE!</v>
      </c>
      <c r="IJ13" t="e">
        <f>AND(Log!C613,"AAAAAFh93/M=")</f>
        <v>#VALUE!</v>
      </c>
      <c r="IK13" t="e">
        <f>AND(Log!D613,"AAAAAFh93/Q=")</f>
        <v>#VALUE!</v>
      </c>
      <c r="IL13">
        <f>IF(Log!614:614,"AAAAAFh93/U=",0)</f>
        <v>0</v>
      </c>
      <c r="IM13" t="b">
        <f>AND(Log!A614,"AAAAAFh93/Y=")</f>
        <v>1</v>
      </c>
      <c r="IN13" t="e">
        <f>AND(Log!B614,"AAAAAFh93/c=")</f>
        <v>#VALUE!</v>
      </c>
      <c r="IO13" t="e">
        <f>AND(Log!C614,"AAAAAFh93/g=")</f>
        <v>#VALUE!</v>
      </c>
      <c r="IP13" t="e">
        <f>AND(Log!D614,"AAAAAFh93/k=")</f>
        <v>#VALUE!</v>
      </c>
      <c r="IQ13">
        <f>IF(Log!615:615,"AAAAAFh93/o=",0)</f>
        <v>0</v>
      </c>
      <c r="IR13" t="b">
        <f>AND(Log!A615,"AAAAAFh93/s=")</f>
        <v>1</v>
      </c>
      <c r="IS13" t="e">
        <f>AND(Log!B615,"AAAAAFh93/w=")</f>
        <v>#VALUE!</v>
      </c>
      <c r="IT13" t="e">
        <f>AND(Log!C615,"AAAAAFh93/0=")</f>
        <v>#VALUE!</v>
      </c>
      <c r="IU13" t="e">
        <f>AND(Log!D615,"AAAAAFh93/4=")</f>
        <v>#VALUE!</v>
      </c>
      <c r="IV13">
        <f>IF(Log!616:616,"AAAAAFh93/8=",0)</f>
        <v>0</v>
      </c>
    </row>
    <row r="14" spans="1:256" x14ac:dyDescent="0.25">
      <c r="A14" t="b">
        <f>AND(Log!A616,"AAAAAHv/fAA=")</f>
        <v>1</v>
      </c>
      <c r="B14" t="e">
        <f>AND(Log!B616,"AAAAAHv/fAE=")</f>
        <v>#VALUE!</v>
      </c>
      <c r="C14" t="e">
        <f>AND(Log!C616,"AAAAAHv/fAI=")</f>
        <v>#VALUE!</v>
      </c>
      <c r="D14" t="e">
        <f>AND(Log!D616,"AAAAAHv/fAM=")</f>
        <v>#VALUE!</v>
      </c>
      <c r="E14">
        <f>IF(Log!617:617,"AAAAAHv/fAQ=",0)</f>
        <v>0</v>
      </c>
      <c r="F14" t="b">
        <f>AND(Log!A617,"AAAAAHv/fAU=")</f>
        <v>1</v>
      </c>
      <c r="G14" t="e">
        <f>AND(Log!B617,"AAAAAHv/fAY=")</f>
        <v>#VALUE!</v>
      </c>
      <c r="H14" t="e">
        <f>AND(Log!C617,"AAAAAHv/fAc=")</f>
        <v>#VALUE!</v>
      </c>
      <c r="I14" t="e">
        <f>AND(Log!D617,"AAAAAHv/fAg=")</f>
        <v>#VALUE!</v>
      </c>
      <c r="J14">
        <f>IF(Log!618:618,"AAAAAHv/fAk=",0)</f>
        <v>0</v>
      </c>
      <c r="K14" t="b">
        <f>AND(Log!A618,"AAAAAHv/fAo=")</f>
        <v>1</v>
      </c>
      <c r="L14" t="e">
        <f>AND(Log!B618,"AAAAAHv/fAs=")</f>
        <v>#VALUE!</v>
      </c>
      <c r="M14" t="e">
        <f>AND(Log!C618,"AAAAAHv/fAw=")</f>
        <v>#VALUE!</v>
      </c>
      <c r="N14" t="e">
        <f>AND(Log!D618,"AAAAAHv/fA0=")</f>
        <v>#VALUE!</v>
      </c>
      <c r="O14">
        <f>IF(Log!619:619,"AAAAAHv/fA4=",0)</f>
        <v>0</v>
      </c>
      <c r="P14" t="b">
        <f>AND(Log!A619,"AAAAAHv/fA8=")</f>
        <v>1</v>
      </c>
      <c r="Q14" t="e">
        <f>AND(Log!B619,"AAAAAHv/fBA=")</f>
        <v>#VALUE!</v>
      </c>
      <c r="R14" t="e">
        <f>AND(Log!C619,"AAAAAHv/fBE=")</f>
        <v>#VALUE!</v>
      </c>
      <c r="S14" t="e">
        <f>AND(Log!D619,"AAAAAHv/fBI=")</f>
        <v>#VALUE!</v>
      </c>
      <c r="T14">
        <f>IF(Log!620:620,"AAAAAHv/fBM=",0)</f>
        <v>0</v>
      </c>
      <c r="U14" t="b">
        <f>AND(Log!A620,"AAAAAHv/fBQ=")</f>
        <v>1</v>
      </c>
      <c r="V14" t="e">
        <f>AND(Log!B620,"AAAAAHv/fBU=")</f>
        <v>#VALUE!</v>
      </c>
      <c r="W14" t="e">
        <f>AND(Log!C620,"AAAAAHv/fBY=")</f>
        <v>#VALUE!</v>
      </c>
      <c r="X14" t="e">
        <f>AND(Log!D620,"AAAAAHv/fBc=")</f>
        <v>#VALUE!</v>
      </c>
      <c r="Y14">
        <f>IF(Log!621:621,"AAAAAHv/fBg=",0)</f>
        <v>0</v>
      </c>
      <c r="Z14" t="b">
        <f>AND(Log!A621,"AAAAAHv/fBk=")</f>
        <v>1</v>
      </c>
      <c r="AA14" t="e">
        <f>AND(Log!B621,"AAAAAHv/fBo=")</f>
        <v>#VALUE!</v>
      </c>
      <c r="AB14" t="e">
        <f>AND(Log!C621,"AAAAAHv/fBs=")</f>
        <v>#VALUE!</v>
      </c>
      <c r="AC14" t="e">
        <f>AND(Log!D621,"AAAAAHv/fBw=")</f>
        <v>#VALUE!</v>
      </c>
      <c r="AD14">
        <f>IF(Log!622:622,"AAAAAHv/fB0=",0)</f>
        <v>0</v>
      </c>
      <c r="AE14" t="b">
        <f>AND(Log!A622,"AAAAAHv/fB4=")</f>
        <v>1</v>
      </c>
      <c r="AF14" t="e">
        <f>AND(Log!B622,"AAAAAHv/fB8=")</f>
        <v>#VALUE!</v>
      </c>
      <c r="AG14" t="e">
        <f>AND(Log!C622,"AAAAAHv/fCA=")</f>
        <v>#VALUE!</v>
      </c>
      <c r="AH14" t="e">
        <f>AND(Log!D622,"AAAAAHv/fCE=")</f>
        <v>#VALUE!</v>
      </c>
      <c r="AI14">
        <f>IF(Log!623:623,"AAAAAHv/fCI=",0)</f>
        <v>0</v>
      </c>
      <c r="AJ14" t="b">
        <f>AND(Log!A623,"AAAAAHv/fCM=")</f>
        <v>1</v>
      </c>
      <c r="AK14" t="e">
        <f>AND(Log!B623,"AAAAAHv/fCQ=")</f>
        <v>#VALUE!</v>
      </c>
      <c r="AL14" t="e">
        <f>AND(Log!C623,"AAAAAHv/fCU=")</f>
        <v>#VALUE!</v>
      </c>
      <c r="AM14" t="e">
        <f>AND(Log!D623,"AAAAAHv/fCY=")</f>
        <v>#VALUE!</v>
      </c>
      <c r="AN14">
        <f>IF(Log!624:624,"AAAAAHv/fCc=",0)</f>
        <v>0</v>
      </c>
      <c r="AO14" t="b">
        <f>AND(Log!A624,"AAAAAHv/fCg=")</f>
        <v>1</v>
      </c>
      <c r="AP14" t="e">
        <f>AND(Log!B624,"AAAAAHv/fCk=")</f>
        <v>#VALUE!</v>
      </c>
      <c r="AQ14" t="e">
        <f>AND(Log!C624,"AAAAAHv/fCo=")</f>
        <v>#VALUE!</v>
      </c>
      <c r="AR14" t="e">
        <f>AND(Log!D624,"AAAAAHv/fCs=")</f>
        <v>#VALUE!</v>
      </c>
      <c r="AS14">
        <f>IF(Log!625:625,"AAAAAHv/fCw=",0)</f>
        <v>0</v>
      </c>
      <c r="AT14" t="b">
        <f>AND(Log!A625,"AAAAAHv/fC0=")</f>
        <v>1</v>
      </c>
      <c r="AU14" t="e">
        <f>AND(Log!B625,"AAAAAHv/fC4=")</f>
        <v>#VALUE!</v>
      </c>
      <c r="AV14" t="e">
        <f>AND(Log!C625,"AAAAAHv/fC8=")</f>
        <v>#VALUE!</v>
      </c>
      <c r="AW14" t="e">
        <f>AND(Log!D625,"AAAAAHv/fDA=")</f>
        <v>#VALUE!</v>
      </c>
      <c r="AX14">
        <f>IF(Log!626:626,"AAAAAHv/fDE=",0)</f>
        <v>0</v>
      </c>
      <c r="AY14" t="b">
        <f>AND(Log!A626,"AAAAAHv/fDI=")</f>
        <v>1</v>
      </c>
      <c r="AZ14" t="e">
        <f>AND(Log!B626,"AAAAAHv/fDM=")</f>
        <v>#VALUE!</v>
      </c>
      <c r="BA14" t="e">
        <f>AND(Log!C626,"AAAAAHv/fDQ=")</f>
        <v>#VALUE!</v>
      </c>
      <c r="BB14" t="e">
        <f>AND(Log!D626,"AAAAAHv/fDU=")</f>
        <v>#VALUE!</v>
      </c>
      <c r="BC14">
        <f>IF(Log!627:627,"AAAAAHv/fDY=",0)</f>
        <v>0</v>
      </c>
      <c r="BD14" t="b">
        <f>AND(Log!A627,"AAAAAHv/fDc=")</f>
        <v>1</v>
      </c>
      <c r="BE14" t="e">
        <f>AND(Log!B627,"AAAAAHv/fDg=")</f>
        <v>#VALUE!</v>
      </c>
      <c r="BF14" t="e">
        <f>AND(Log!C627,"AAAAAHv/fDk=")</f>
        <v>#VALUE!</v>
      </c>
      <c r="BG14" t="e">
        <f>AND(Log!D627,"AAAAAHv/fDo=")</f>
        <v>#VALUE!</v>
      </c>
      <c r="BH14">
        <f>IF(Log!628:628,"AAAAAHv/fDs=",0)</f>
        <v>0</v>
      </c>
      <c r="BI14" t="b">
        <f>AND(Log!A628,"AAAAAHv/fDw=")</f>
        <v>1</v>
      </c>
      <c r="BJ14" t="e">
        <f>AND(Log!B628,"AAAAAHv/fD0=")</f>
        <v>#VALUE!</v>
      </c>
      <c r="BK14" t="e">
        <f>AND(Log!C628,"AAAAAHv/fD4=")</f>
        <v>#VALUE!</v>
      </c>
      <c r="BL14" t="e">
        <f>AND(Log!D628,"AAAAAHv/fD8=")</f>
        <v>#VALUE!</v>
      </c>
      <c r="BM14">
        <f>IF(Log!629:629,"AAAAAHv/fEA=",0)</f>
        <v>0</v>
      </c>
      <c r="BN14" t="b">
        <f>AND(Log!A629,"AAAAAHv/fEE=")</f>
        <v>1</v>
      </c>
      <c r="BO14" t="e">
        <f>AND(Log!B629,"AAAAAHv/fEI=")</f>
        <v>#VALUE!</v>
      </c>
      <c r="BP14" t="e">
        <f>AND(Log!C629,"AAAAAHv/fEM=")</f>
        <v>#VALUE!</v>
      </c>
      <c r="BQ14" t="e">
        <f>AND(Log!D629,"AAAAAHv/fEQ=")</f>
        <v>#VALUE!</v>
      </c>
      <c r="BR14">
        <f>IF(Log!630:630,"AAAAAHv/fEU=",0)</f>
        <v>0</v>
      </c>
      <c r="BS14" t="b">
        <f>AND(Log!A630,"AAAAAHv/fEY=")</f>
        <v>1</v>
      </c>
      <c r="BT14" t="e">
        <f>AND(Log!B630,"AAAAAHv/fEc=")</f>
        <v>#VALUE!</v>
      </c>
      <c r="BU14" t="e">
        <f>AND(Log!C630,"AAAAAHv/fEg=")</f>
        <v>#VALUE!</v>
      </c>
      <c r="BV14" t="e">
        <f>AND(Log!D630,"AAAAAHv/fEk=")</f>
        <v>#VALUE!</v>
      </c>
      <c r="BW14">
        <f>IF(Log!631:631,"AAAAAHv/fEo=",0)</f>
        <v>0</v>
      </c>
      <c r="BX14" t="b">
        <f>AND(Log!A631,"AAAAAHv/fEs=")</f>
        <v>1</v>
      </c>
      <c r="BY14" t="e">
        <f>AND(Log!B631,"AAAAAHv/fEw=")</f>
        <v>#VALUE!</v>
      </c>
      <c r="BZ14" t="e">
        <f>AND(Log!C631,"AAAAAHv/fE0=")</f>
        <v>#VALUE!</v>
      </c>
      <c r="CA14" t="e">
        <f>AND(Log!D631,"AAAAAHv/fE4=")</f>
        <v>#VALUE!</v>
      </c>
      <c r="CB14">
        <f>IF(Log!632:632,"AAAAAHv/fE8=",0)</f>
        <v>0</v>
      </c>
      <c r="CC14" t="b">
        <f>AND(Log!A632,"AAAAAHv/fFA=")</f>
        <v>1</v>
      </c>
      <c r="CD14" t="e">
        <f>AND(Log!B632,"AAAAAHv/fFE=")</f>
        <v>#VALUE!</v>
      </c>
      <c r="CE14" t="e">
        <f>AND(Log!C632,"AAAAAHv/fFI=")</f>
        <v>#VALUE!</v>
      </c>
      <c r="CF14" t="e">
        <f>AND(Log!D632,"AAAAAHv/fFM=")</f>
        <v>#VALUE!</v>
      </c>
      <c r="CG14">
        <f>IF(Log!633:633,"AAAAAHv/fFQ=",0)</f>
        <v>0</v>
      </c>
      <c r="CH14" t="b">
        <f>AND(Log!A633,"AAAAAHv/fFU=")</f>
        <v>1</v>
      </c>
      <c r="CI14" t="e">
        <f>AND(Log!B633,"AAAAAHv/fFY=")</f>
        <v>#VALUE!</v>
      </c>
      <c r="CJ14" t="e">
        <f>AND(Log!C633,"AAAAAHv/fFc=")</f>
        <v>#VALUE!</v>
      </c>
      <c r="CK14" t="e">
        <f>AND(Log!D633,"AAAAAHv/fFg=")</f>
        <v>#VALUE!</v>
      </c>
      <c r="CL14">
        <f>IF(Log!634:634,"AAAAAHv/fFk=",0)</f>
        <v>0</v>
      </c>
      <c r="CM14" t="b">
        <f>AND(Log!A634,"AAAAAHv/fFo=")</f>
        <v>1</v>
      </c>
      <c r="CN14" t="e">
        <f>AND(Log!B634,"AAAAAHv/fFs=")</f>
        <v>#VALUE!</v>
      </c>
      <c r="CO14" t="e">
        <f>AND(Log!C634,"AAAAAHv/fFw=")</f>
        <v>#VALUE!</v>
      </c>
      <c r="CP14" t="e">
        <f>AND(Log!D634,"AAAAAHv/fF0=")</f>
        <v>#VALUE!</v>
      </c>
      <c r="CQ14">
        <f>IF(Log!635:635,"AAAAAHv/fF4=",0)</f>
        <v>0</v>
      </c>
      <c r="CR14" t="b">
        <f>AND(Log!A635,"AAAAAHv/fF8=")</f>
        <v>1</v>
      </c>
      <c r="CS14" t="e">
        <f>AND(Log!B635,"AAAAAHv/fGA=")</f>
        <v>#VALUE!</v>
      </c>
      <c r="CT14" t="e">
        <f>AND(Log!C635,"AAAAAHv/fGE=")</f>
        <v>#VALUE!</v>
      </c>
      <c r="CU14" t="e">
        <f>AND(Log!D635,"AAAAAHv/fGI=")</f>
        <v>#VALUE!</v>
      </c>
      <c r="CV14">
        <f>IF(Log!636:636,"AAAAAHv/fGM=",0)</f>
        <v>0</v>
      </c>
      <c r="CW14" t="b">
        <f>AND(Log!A636,"AAAAAHv/fGQ=")</f>
        <v>1</v>
      </c>
      <c r="CX14" t="e">
        <f>AND(Log!B636,"AAAAAHv/fGU=")</f>
        <v>#VALUE!</v>
      </c>
      <c r="CY14" t="e">
        <f>AND(Log!C636,"AAAAAHv/fGY=")</f>
        <v>#VALUE!</v>
      </c>
      <c r="CZ14" t="e">
        <f>AND(Log!D636,"AAAAAHv/fGc=")</f>
        <v>#VALUE!</v>
      </c>
      <c r="DA14">
        <f>IF(Log!637:637,"AAAAAHv/fGg=",0)</f>
        <v>0</v>
      </c>
      <c r="DB14" t="b">
        <f>AND(Log!A637,"AAAAAHv/fGk=")</f>
        <v>1</v>
      </c>
      <c r="DC14" t="e">
        <f>AND(Log!B637,"AAAAAHv/fGo=")</f>
        <v>#VALUE!</v>
      </c>
      <c r="DD14" t="e">
        <f>AND(Log!C637,"AAAAAHv/fGs=")</f>
        <v>#VALUE!</v>
      </c>
      <c r="DE14" t="e">
        <f>AND(Log!D637,"AAAAAHv/fGw=")</f>
        <v>#VALUE!</v>
      </c>
      <c r="DF14">
        <f>IF(Log!638:638,"AAAAAHv/fG0=",0)</f>
        <v>0</v>
      </c>
      <c r="DG14" t="b">
        <f>AND(Log!A638,"AAAAAHv/fG4=")</f>
        <v>1</v>
      </c>
      <c r="DH14" t="e">
        <f>AND(Log!B638,"AAAAAHv/fG8=")</f>
        <v>#VALUE!</v>
      </c>
      <c r="DI14" t="e">
        <f>AND(Log!C638,"AAAAAHv/fHA=")</f>
        <v>#VALUE!</v>
      </c>
      <c r="DJ14" t="e">
        <f>AND(Log!D638,"AAAAAHv/fHE=")</f>
        <v>#VALUE!</v>
      </c>
      <c r="DK14">
        <f>IF(Log!639:639,"AAAAAHv/fHI=",0)</f>
        <v>0</v>
      </c>
      <c r="DL14" t="b">
        <f>AND(Log!A639,"AAAAAHv/fHM=")</f>
        <v>1</v>
      </c>
      <c r="DM14" t="e">
        <f>AND(Log!B639,"AAAAAHv/fHQ=")</f>
        <v>#VALUE!</v>
      </c>
      <c r="DN14" t="e">
        <f>AND(Log!C639,"AAAAAHv/fHU=")</f>
        <v>#VALUE!</v>
      </c>
      <c r="DO14" t="e">
        <f>AND(Log!D639,"AAAAAHv/fHY=")</f>
        <v>#VALUE!</v>
      </c>
      <c r="DP14">
        <f>IF(Log!640:640,"AAAAAHv/fHc=",0)</f>
        <v>0</v>
      </c>
      <c r="DQ14" t="b">
        <f>AND(Log!A640,"AAAAAHv/fHg=")</f>
        <v>1</v>
      </c>
      <c r="DR14" t="e">
        <f>AND(Log!B640,"AAAAAHv/fHk=")</f>
        <v>#VALUE!</v>
      </c>
      <c r="DS14" t="e">
        <f>AND(Log!C640,"AAAAAHv/fHo=")</f>
        <v>#VALUE!</v>
      </c>
      <c r="DT14" t="e">
        <f>AND(Log!D640,"AAAAAHv/fHs=")</f>
        <v>#VALUE!</v>
      </c>
      <c r="DU14">
        <f>IF(Log!641:641,"AAAAAHv/fHw=",0)</f>
        <v>0</v>
      </c>
      <c r="DV14" t="b">
        <f>AND(Log!A641,"AAAAAHv/fH0=")</f>
        <v>1</v>
      </c>
      <c r="DW14" t="e">
        <f>AND(Log!B641,"AAAAAHv/fH4=")</f>
        <v>#VALUE!</v>
      </c>
      <c r="DX14" t="e">
        <f>AND(Log!C641,"AAAAAHv/fH8=")</f>
        <v>#VALUE!</v>
      </c>
      <c r="DY14" t="e">
        <f>AND(Log!D641,"AAAAAHv/fIA=")</f>
        <v>#VALUE!</v>
      </c>
      <c r="DZ14">
        <f>IF(Log!642:642,"AAAAAHv/fIE=",0)</f>
        <v>0</v>
      </c>
      <c r="EA14" t="b">
        <f>AND(Log!A642,"AAAAAHv/fII=")</f>
        <v>1</v>
      </c>
      <c r="EB14" t="e">
        <f>AND(Log!B642,"AAAAAHv/fIM=")</f>
        <v>#VALUE!</v>
      </c>
      <c r="EC14" t="e">
        <f>AND(Log!C642,"AAAAAHv/fIQ=")</f>
        <v>#VALUE!</v>
      </c>
      <c r="ED14" t="e">
        <f>AND(Log!D642,"AAAAAHv/fIU=")</f>
        <v>#VALUE!</v>
      </c>
      <c r="EE14">
        <f>IF(Log!643:643,"AAAAAHv/fIY=",0)</f>
        <v>0</v>
      </c>
      <c r="EF14" t="b">
        <f>AND(Log!A643,"AAAAAHv/fIc=")</f>
        <v>1</v>
      </c>
      <c r="EG14" t="e">
        <f>AND(Log!B643,"AAAAAHv/fIg=")</f>
        <v>#VALUE!</v>
      </c>
      <c r="EH14" t="e">
        <f>AND(Log!C643,"AAAAAHv/fIk=")</f>
        <v>#VALUE!</v>
      </c>
      <c r="EI14" t="e">
        <f>AND(Log!D643,"AAAAAHv/fIo=")</f>
        <v>#VALUE!</v>
      </c>
      <c r="EJ14">
        <f>IF(Log!644:644,"AAAAAHv/fIs=",0)</f>
        <v>0</v>
      </c>
      <c r="EK14" t="b">
        <f>AND(Log!A644,"AAAAAHv/fIw=")</f>
        <v>1</v>
      </c>
      <c r="EL14" t="e">
        <f>AND(Log!B644,"AAAAAHv/fI0=")</f>
        <v>#VALUE!</v>
      </c>
      <c r="EM14" t="e">
        <f>AND(Log!C644,"AAAAAHv/fI4=")</f>
        <v>#VALUE!</v>
      </c>
      <c r="EN14" t="e">
        <f>AND(Log!D644,"AAAAAHv/fI8=")</f>
        <v>#VALUE!</v>
      </c>
      <c r="EO14">
        <f>IF(Log!645:645,"AAAAAHv/fJA=",0)</f>
        <v>0</v>
      </c>
      <c r="EP14" t="b">
        <f>AND(Log!A645,"AAAAAHv/fJE=")</f>
        <v>1</v>
      </c>
      <c r="EQ14" t="e">
        <f>AND(Log!B645,"AAAAAHv/fJI=")</f>
        <v>#VALUE!</v>
      </c>
      <c r="ER14" t="e">
        <f>AND(Log!C645,"AAAAAHv/fJM=")</f>
        <v>#VALUE!</v>
      </c>
      <c r="ES14" t="e">
        <f>AND(Log!D645,"AAAAAHv/fJQ=")</f>
        <v>#VALUE!</v>
      </c>
      <c r="ET14">
        <f>IF(Log!646:646,"AAAAAHv/fJU=",0)</f>
        <v>0</v>
      </c>
      <c r="EU14" t="b">
        <f>AND(Log!A646,"AAAAAHv/fJY=")</f>
        <v>1</v>
      </c>
      <c r="EV14" t="e">
        <f>AND(Log!B646,"AAAAAHv/fJc=")</f>
        <v>#VALUE!</v>
      </c>
      <c r="EW14" t="e">
        <f>AND(Log!C646,"AAAAAHv/fJg=")</f>
        <v>#VALUE!</v>
      </c>
      <c r="EX14" t="e">
        <f>AND(Log!D646,"AAAAAHv/fJk=")</f>
        <v>#VALUE!</v>
      </c>
      <c r="EY14">
        <f>IF(Log!647:647,"AAAAAHv/fJo=",0)</f>
        <v>0</v>
      </c>
      <c r="EZ14" t="b">
        <f>AND(Log!A647,"AAAAAHv/fJs=")</f>
        <v>1</v>
      </c>
      <c r="FA14" t="e">
        <f>AND(Log!B647,"AAAAAHv/fJw=")</f>
        <v>#VALUE!</v>
      </c>
      <c r="FB14" t="e">
        <f>AND(Log!C647,"AAAAAHv/fJ0=")</f>
        <v>#VALUE!</v>
      </c>
      <c r="FC14" t="e">
        <f>AND(Log!D647,"AAAAAHv/fJ4=")</f>
        <v>#VALUE!</v>
      </c>
      <c r="FD14">
        <f>IF(Log!648:648,"AAAAAHv/fJ8=",0)</f>
        <v>0</v>
      </c>
      <c r="FE14" t="b">
        <f>AND(Log!A648,"AAAAAHv/fKA=")</f>
        <v>1</v>
      </c>
      <c r="FF14" t="e">
        <f>AND(Log!B648,"AAAAAHv/fKE=")</f>
        <v>#VALUE!</v>
      </c>
      <c r="FG14" t="e">
        <f>AND(Log!C648,"AAAAAHv/fKI=")</f>
        <v>#VALUE!</v>
      </c>
      <c r="FH14" t="e">
        <f>AND(Log!D648,"AAAAAHv/fKM=")</f>
        <v>#VALUE!</v>
      </c>
      <c r="FI14">
        <f>IF(Log!649:649,"AAAAAHv/fKQ=",0)</f>
        <v>0</v>
      </c>
      <c r="FJ14" t="b">
        <f>AND(Log!A649,"AAAAAHv/fKU=")</f>
        <v>1</v>
      </c>
      <c r="FK14" t="e">
        <f>AND(Log!B649,"AAAAAHv/fKY=")</f>
        <v>#VALUE!</v>
      </c>
      <c r="FL14" t="e">
        <f>AND(Log!C649,"AAAAAHv/fKc=")</f>
        <v>#VALUE!</v>
      </c>
      <c r="FM14" t="e">
        <f>AND(Log!D649,"AAAAAHv/fKg=")</f>
        <v>#VALUE!</v>
      </c>
      <c r="FN14">
        <f>IF(Log!650:650,"AAAAAHv/fKk=",0)</f>
        <v>0</v>
      </c>
      <c r="FO14" t="b">
        <f>AND(Log!A650,"AAAAAHv/fKo=")</f>
        <v>1</v>
      </c>
      <c r="FP14" t="e">
        <f>AND(Log!B650,"AAAAAHv/fKs=")</f>
        <v>#VALUE!</v>
      </c>
      <c r="FQ14" t="e">
        <f>AND(Log!C650,"AAAAAHv/fKw=")</f>
        <v>#VALUE!</v>
      </c>
      <c r="FR14" t="e">
        <f>AND(Log!D650,"AAAAAHv/fK0=")</f>
        <v>#VALUE!</v>
      </c>
      <c r="FS14">
        <f>IF(Log!651:651,"AAAAAHv/fK4=",0)</f>
        <v>0</v>
      </c>
      <c r="FT14" t="b">
        <f>AND(Log!A651,"AAAAAHv/fK8=")</f>
        <v>1</v>
      </c>
      <c r="FU14" t="e">
        <f>AND(Log!B651,"AAAAAHv/fLA=")</f>
        <v>#VALUE!</v>
      </c>
      <c r="FV14" t="e">
        <f>AND(Log!C651,"AAAAAHv/fLE=")</f>
        <v>#VALUE!</v>
      </c>
      <c r="FW14" t="e">
        <f>AND(Log!D651,"AAAAAHv/fLI=")</f>
        <v>#VALUE!</v>
      </c>
      <c r="FX14">
        <f>IF(Log!652:652,"AAAAAHv/fLM=",0)</f>
        <v>0</v>
      </c>
      <c r="FY14" t="b">
        <f>AND(Log!A652,"AAAAAHv/fLQ=")</f>
        <v>1</v>
      </c>
      <c r="FZ14" t="e">
        <f>AND(Log!B652,"AAAAAHv/fLU=")</f>
        <v>#VALUE!</v>
      </c>
      <c r="GA14" t="e">
        <f>AND(Log!C652,"AAAAAHv/fLY=")</f>
        <v>#VALUE!</v>
      </c>
      <c r="GB14" t="e">
        <f>AND(Log!D652,"AAAAAHv/fLc=")</f>
        <v>#VALUE!</v>
      </c>
      <c r="GC14">
        <f>IF(Log!653:653,"AAAAAHv/fLg=",0)</f>
        <v>0</v>
      </c>
      <c r="GD14" t="b">
        <f>AND(Log!A653,"AAAAAHv/fLk=")</f>
        <v>1</v>
      </c>
      <c r="GE14" t="e">
        <f>AND(Log!B653,"AAAAAHv/fLo=")</f>
        <v>#VALUE!</v>
      </c>
      <c r="GF14" t="e">
        <f>AND(Log!C653,"AAAAAHv/fLs=")</f>
        <v>#VALUE!</v>
      </c>
      <c r="GG14" t="e">
        <f>AND(Log!D653,"AAAAAHv/fLw=")</f>
        <v>#VALUE!</v>
      </c>
      <c r="GH14">
        <f>IF(Log!654:654,"AAAAAHv/fL0=",0)</f>
        <v>0</v>
      </c>
      <c r="GI14" t="b">
        <f>AND(Log!A654,"AAAAAHv/fL4=")</f>
        <v>1</v>
      </c>
      <c r="GJ14" t="e">
        <f>AND(Log!B654,"AAAAAHv/fL8=")</f>
        <v>#VALUE!</v>
      </c>
      <c r="GK14" t="e">
        <f>AND(Log!C654,"AAAAAHv/fMA=")</f>
        <v>#VALUE!</v>
      </c>
      <c r="GL14" t="e">
        <f>AND(Log!D654,"AAAAAHv/fME=")</f>
        <v>#VALUE!</v>
      </c>
      <c r="GM14">
        <f>IF(Log!655:655,"AAAAAHv/fMI=",0)</f>
        <v>0</v>
      </c>
      <c r="GN14" t="b">
        <f>AND(Log!A655,"AAAAAHv/fMM=")</f>
        <v>1</v>
      </c>
      <c r="GO14" t="e">
        <f>AND(Log!B655,"AAAAAHv/fMQ=")</f>
        <v>#VALUE!</v>
      </c>
      <c r="GP14" t="e">
        <f>AND(Log!C655,"AAAAAHv/fMU=")</f>
        <v>#VALUE!</v>
      </c>
      <c r="GQ14" t="e">
        <f>AND(Log!D655,"AAAAAHv/fMY=")</f>
        <v>#VALUE!</v>
      </c>
      <c r="GR14">
        <f>IF(Log!656:656,"AAAAAHv/fMc=",0)</f>
        <v>0</v>
      </c>
      <c r="GS14" t="b">
        <f>AND(Log!A656,"AAAAAHv/fMg=")</f>
        <v>1</v>
      </c>
      <c r="GT14" t="e">
        <f>AND(Log!B656,"AAAAAHv/fMk=")</f>
        <v>#VALUE!</v>
      </c>
      <c r="GU14" t="e">
        <f>AND(Log!C656,"AAAAAHv/fMo=")</f>
        <v>#VALUE!</v>
      </c>
      <c r="GV14" t="e">
        <f>AND(Log!D656,"AAAAAHv/fMs=")</f>
        <v>#VALUE!</v>
      </c>
      <c r="GW14">
        <f>IF(Log!657:657,"AAAAAHv/fMw=",0)</f>
        <v>0</v>
      </c>
      <c r="GX14" t="b">
        <f>AND(Log!A657,"AAAAAHv/fM0=")</f>
        <v>1</v>
      </c>
      <c r="GY14" t="e">
        <f>AND(Log!B657,"AAAAAHv/fM4=")</f>
        <v>#VALUE!</v>
      </c>
      <c r="GZ14" t="e">
        <f>AND(Log!C657,"AAAAAHv/fM8=")</f>
        <v>#VALUE!</v>
      </c>
      <c r="HA14" t="e">
        <f>AND(Log!D657,"AAAAAHv/fNA=")</f>
        <v>#VALUE!</v>
      </c>
      <c r="HB14">
        <f>IF(Log!658:658,"AAAAAHv/fNE=",0)</f>
        <v>0</v>
      </c>
      <c r="HC14" t="b">
        <f>AND(Log!A658,"AAAAAHv/fNI=")</f>
        <v>1</v>
      </c>
      <c r="HD14" t="e">
        <f>AND(Log!B658,"AAAAAHv/fNM=")</f>
        <v>#VALUE!</v>
      </c>
      <c r="HE14" t="e">
        <f>AND(Log!C658,"AAAAAHv/fNQ=")</f>
        <v>#VALUE!</v>
      </c>
      <c r="HF14" t="e">
        <f>AND(Log!D658,"AAAAAHv/fNU=")</f>
        <v>#VALUE!</v>
      </c>
      <c r="HG14">
        <f>IF(Log!659:659,"AAAAAHv/fNY=",0)</f>
        <v>0</v>
      </c>
      <c r="HH14" t="b">
        <f>AND(Log!A659,"AAAAAHv/fNc=")</f>
        <v>1</v>
      </c>
      <c r="HI14" t="e">
        <f>AND(Log!B659,"AAAAAHv/fNg=")</f>
        <v>#VALUE!</v>
      </c>
      <c r="HJ14" t="e">
        <f>AND(Log!C659,"AAAAAHv/fNk=")</f>
        <v>#VALUE!</v>
      </c>
      <c r="HK14" t="e">
        <f>AND(Log!D659,"AAAAAHv/fNo=")</f>
        <v>#VALUE!</v>
      </c>
      <c r="HL14">
        <f>IF(Log!660:660,"AAAAAHv/fNs=",0)</f>
        <v>0</v>
      </c>
      <c r="HM14" t="b">
        <f>AND(Log!A660,"AAAAAHv/fNw=")</f>
        <v>1</v>
      </c>
      <c r="HN14" t="e">
        <f>AND(Log!B660,"AAAAAHv/fN0=")</f>
        <v>#VALUE!</v>
      </c>
      <c r="HO14" t="e">
        <f>AND(Log!C660,"AAAAAHv/fN4=")</f>
        <v>#VALUE!</v>
      </c>
      <c r="HP14" t="e">
        <f>AND(Log!D660,"AAAAAHv/fN8=")</f>
        <v>#VALUE!</v>
      </c>
      <c r="HQ14">
        <f>IF(Log!661:661,"AAAAAHv/fOA=",0)</f>
        <v>0</v>
      </c>
      <c r="HR14" t="b">
        <f>AND(Log!A661,"AAAAAHv/fOE=")</f>
        <v>1</v>
      </c>
      <c r="HS14" t="e">
        <f>AND(Log!B661,"AAAAAHv/fOI=")</f>
        <v>#VALUE!</v>
      </c>
      <c r="HT14" t="e">
        <f>AND(Log!C661,"AAAAAHv/fOM=")</f>
        <v>#VALUE!</v>
      </c>
      <c r="HU14" t="e">
        <f>AND(Log!D661,"AAAAAHv/fOQ=")</f>
        <v>#VALUE!</v>
      </c>
      <c r="HV14">
        <f>IF(Log!662:662,"AAAAAHv/fOU=",0)</f>
        <v>0</v>
      </c>
      <c r="HW14" t="b">
        <f>AND(Log!A662,"AAAAAHv/fOY=")</f>
        <v>1</v>
      </c>
      <c r="HX14" t="e">
        <f>AND(Log!B662,"AAAAAHv/fOc=")</f>
        <v>#VALUE!</v>
      </c>
      <c r="HY14" t="e">
        <f>AND(Log!C662,"AAAAAHv/fOg=")</f>
        <v>#VALUE!</v>
      </c>
      <c r="HZ14" t="e">
        <f>AND(Log!D662,"AAAAAHv/fOk=")</f>
        <v>#VALUE!</v>
      </c>
      <c r="IA14">
        <f>IF(Log!663:663,"AAAAAHv/fOo=",0)</f>
        <v>0</v>
      </c>
      <c r="IB14" t="b">
        <f>AND(Log!A663,"AAAAAHv/fOs=")</f>
        <v>1</v>
      </c>
      <c r="IC14" t="e">
        <f>AND(Log!B663,"AAAAAHv/fOw=")</f>
        <v>#VALUE!</v>
      </c>
      <c r="ID14" t="e">
        <f>AND(Log!C663,"AAAAAHv/fO0=")</f>
        <v>#VALUE!</v>
      </c>
      <c r="IE14" t="e">
        <f>AND(Log!D663,"AAAAAHv/fO4=")</f>
        <v>#VALUE!</v>
      </c>
      <c r="IF14">
        <f>IF(Log!664:664,"AAAAAHv/fO8=",0)</f>
        <v>0</v>
      </c>
      <c r="IG14" t="b">
        <f>AND(Log!A664,"AAAAAHv/fPA=")</f>
        <v>1</v>
      </c>
      <c r="IH14" t="e">
        <f>AND(Log!B664,"AAAAAHv/fPE=")</f>
        <v>#VALUE!</v>
      </c>
      <c r="II14" t="e">
        <f>AND(Log!C664,"AAAAAHv/fPI=")</f>
        <v>#VALUE!</v>
      </c>
      <c r="IJ14" t="e">
        <f>AND(Log!D664,"AAAAAHv/fPM=")</f>
        <v>#VALUE!</v>
      </c>
      <c r="IK14">
        <f>IF(Log!665:665,"AAAAAHv/fPQ=",0)</f>
        <v>0</v>
      </c>
      <c r="IL14" t="b">
        <f>AND(Log!A665,"AAAAAHv/fPU=")</f>
        <v>1</v>
      </c>
      <c r="IM14" t="e">
        <f>AND(Log!B665,"AAAAAHv/fPY=")</f>
        <v>#VALUE!</v>
      </c>
      <c r="IN14" t="e">
        <f>AND(Log!C665,"AAAAAHv/fPc=")</f>
        <v>#VALUE!</v>
      </c>
      <c r="IO14" t="e">
        <f>AND(Log!D665,"AAAAAHv/fPg=")</f>
        <v>#VALUE!</v>
      </c>
      <c r="IP14">
        <f>IF(Log!666:666,"AAAAAHv/fPk=",0)</f>
        <v>0</v>
      </c>
      <c r="IQ14" t="b">
        <f>AND(Log!A666,"AAAAAHv/fPo=")</f>
        <v>1</v>
      </c>
      <c r="IR14" t="e">
        <f>AND(Log!B666,"AAAAAHv/fPs=")</f>
        <v>#VALUE!</v>
      </c>
      <c r="IS14" t="e">
        <f>AND(Log!C666,"AAAAAHv/fPw=")</f>
        <v>#VALUE!</v>
      </c>
      <c r="IT14" t="e">
        <f>AND(Log!D666,"AAAAAHv/fP0=")</f>
        <v>#VALUE!</v>
      </c>
      <c r="IU14">
        <f>IF(Log!667:667,"AAAAAHv/fP4=",0)</f>
        <v>0</v>
      </c>
      <c r="IV14" t="b">
        <f>AND(Log!A667,"AAAAAHv/fP8=")</f>
        <v>1</v>
      </c>
    </row>
    <row r="15" spans="1:256" x14ac:dyDescent="0.25">
      <c r="A15" t="e">
        <f>AND(Log!B667,"AAAAADfu3wA=")</f>
        <v>#VALUE!</v>
      </c>
      <c r="B15" t="e">
        <f>AND(Log!C667,"AAAAADfu3wE=")</f>
        <v>#VALUE!</v>
      </c>
      <c r="C15" t="e">
        <f>AND(Log!D667,"AAAAADfu3wI=")</f>
        <v>#VALUE!</v>
      </c>
      <c r="D15">
        <f>IF(Log!668:668,"AAAAADfu3wM=",0)</f>
        <v>0</v>
      </c>
      <c r="E15" t="b">
        <f>AND(Log!A668,"AAAAADfu3wQ=")</f>
        <v>1</v>
      </c>
      <c r="F15" t="e">
        <f>AND(Log!B668,"AAAAADfu3wU=")</f>
        <v>#VALUE!</v>
      </c>
      <c r="G15" t="e">
        <f>AND(Log!C668,"AAAAADfu3wY=")</f>
        <v>#VALUE!</v>
      </c>
      <c r="H15" t="e">
        <f>AND(Log!D668,"AAAAADfu3wc=")</f>
        <v>#VALUE!</v>
      </c>
      <c r="I15">
        <f>IF(Log!669:669,"AAAAADfu3wg=",0)</f>
        <v>0</v>
      </c>
      <c r="J15" t="b">
        <f>AND(Log!A669,"AAAAADfu3wk=")</f>
        <v>1</v>
      </c>
      <c r="K15" t="e">
        <f>AND(Log!B669,"AAAAADfu3wo=")</f>
        <v>#VALUE!</v>
      </c>
      <c r="L15" t="e">
        <f>AND(Log!C669,"AAAAADfu3ws=")</f>
        <v>#VALUE!</v>
      </c>
      <c r="M15" t="e">
        <f>AND(Log!D669,"AAAAADfu3ww=")</f>
        <v>#VALUE!</v>
      </c>
      <c r="N15">
        <f>IF(Log!670:670,"AAAAADfu3w0=",0)</f>
        <v>0</v>
      </c>
      <c r="O15" t="b">
        <f>AND(Log!A670,"AAAAADfu3w4=")</f>
        <v>1</v>
      </c>
      <c r="P15" t="e">
        <f>AND(Log!B670,"AAAAADfu3w8=")</f>
        <v>#VALUE!</v>
      </c>
      <c r="Q15" t="e">
        <f>AND(Log!C670,"AAAAADfu3xA=")</f>
        <v>#VALUE!</v>
      </c>
      <c r="R15" t="e">
        <f>AND(Log!D670,"AAAAADfu3xE=")</f>
        <v>#VALUE!</v>
      </c>
      <c r="S15">
        <f>IF(Log!671:671,"AAAAADfu3xI=",0)</f>
        <v>0</v>
      </c>
      <c r="T15" t="b">
        <f>AND(Log!A671,"AAAAADfu3xM=")</f>
        <v>1</v>
      </c>
      <c r="U15" t="e">
        <f>AND(Log!B671,"AAAAADfu3xQ=")</f>
        <v>#VALUE!</v>
      </c>
      <c r="V15" t="e">
        <f>AND(Log!C671,"AAAAADfu3xU=")</f>
        <v>#VALUE!</v>
      </c>
      <c r="W15" t="e">
        <f>AND(Log!D671,"AAAAADfu3xY=")</f>
        <v>#VALUE!</v>
      </c>
      <c r="X15">
        <f>IF(Log!672:672,"AAAAADfu3xc=",0)</f>
        <v>0</v>
      </c>
      <c r="Y15" t="b">
        <f>AND(Log!A672,"AAAAADfu3xg=")</f>
        <v>1</v>
      </c>
      <c r="Z15" t="e">
        <f>AND(Log!B672,"AAAAADfu3xk=")</f>
        <v>#VALUE!</v>
      </c>
      <c r="AA15" t="e">
        <f>AND(Log!C672,"AAAAADfu3xo=")</f>
        <v>#VALUE!</v>
      </c>
      <c r="AB15" t="e">
        <f>AND(Log!D672,"AAAAADfu3xs=")</f>
        <v>#VALUE!</v>
      </c>
      <c r="AC15">
        <f>IF(Log!673:673,"AAAAADfu3xw=",0)</f>
        <v>0</v>
      </c>
      <c r="AD15" t="b">
        <f>AND(Log!A673,"AAAAADfu3x0=")</f>
        <v>1</v>
      </c>
      <c r="AE15" t="e">
        <f>AND(Log!B673,"AAAAADfu3x4=")</f>
        <v>#VALUE!</v>
      </c>
      <c r="AF15" t="e">
        <f>AND(Log!C673,"AAAAADfu3x8=")</f>
        <v>#VALUE!</v>
      </c>
      <c r="AG15" t="e">
        <f>AND(Log!D673,"AAAAADfu3yA=")</f>
        <v>#VALUE!</v>
      </c>
      <c r="AH15">
        <f>IF(Log!674:674,"AAAAADfu3yE=",0)</f>
        <v>0</v>
      </c>
      <c r="AI15" t="b">
        <f>AND(Log!A674,"AAAAADfu3yI=")</f>
        <v>1</v>
      </c>
      <c r="AJ15" t="e">
        <f>AND(Log!B674,"AAAAADfu3yM=")</f>
        <v>#VALUE!</v>
      </c>
      <c r="AK15" t="e">
        <f>AND(Log!C674,"AAAAADfu3yQ=")</f>
        <v>#VALUE!</v>
      </c>
      <c r="AL15" t="e">
        <f>AND(Log!D674,"AAAAADfu3yU=")</f>
        <v>#VALUE!</v>
      </c>
      <c r="AM15">
        <f>IF(Log!675:675,"AAAAADfu3yY=",0)</f>
        <v>0</v>
      </c>
      <c r="AN15" t="b">
        <f>AND(Log!A675,"AAAAADfu3yc=")</f>
        <v>1</v>
      </c>
      <c r="AO15" t="e">
        <f>AND(Log!B675,"AAAAADfu3yg=")</f>
        <v>#VALUE!</v>
      </c>
      <c r="AP15" t="e">
        <f>AND(Log!C675,"AAAAADfu3yk=")</f>
        <v>#VALUE!</v>
      </c>
      <c r="AQ15" t="e">
        <f>AND(Log!D675,"AAAAADfu3yo=")</f>
        <v>#VALUE!</v>
      </c>
      <c r="AR15">
        <f>IF(Log!676:676,"AAAAADfu3ys=",0)</f>
        <v>0</v>
      </c>
      <c r="AS15" t="b">
        <f>AND(Log!A676,"AAAAADfu3yw=")</f>
        <v>1</v>
      </c>
      <c r="AT15" t="e">
        <f>AND(Log!B676,"AAAAADfu3y0=")</f>
        <v>#VALUE!</v>
      </c>
      <c r="AU15" t="e">
        <f>AND(Log!C676,"AAAAADfu3y4=")</f>
        <v>#VALUE!</v>
      </c>
      <c r="AV15" t="e">
        <f>AND(Log!D676,"AAAAADfu3y8=")</f>
        <v>#VALUE!</v>
      </c>
      <c r="AW15">
        <f>IF(Log!677:677,"AAAAADfu3zA=",0)</f>
        <v>0</v>
      </c>
      <c r="AX15" t="b">
        <f>AND(Log!A677,"AAAAADfu3zE=")</f>
        <v>1</v>
      </c>
      <c r="AY15" t="e">
        <f>AND(Log!B677,"AAAAADfu3zI=")</f>
        <v>#VALUE!</v>
      </c>
      <c r="AZ15" t="e">
        <f>AND(Log!C677,"AAAAADfu3zM=")</f>
        <v>#VALUE!</v>
      </c>
      <c r="BA15" t="e">
        <f>AND(Log!D677,"AAAAADfu3zQ=")</f>
        <v>#VALUE!</v>
      </c>
      <c r="BB15">
        <f>IF(Log!678:678,"AAAAADfu3zU=",0)</f>
        <v>0</v>
      </c>
      <c r="BC15" t="b">
        <f>AND(Log!A678,"AAAAADfu3zY=")</f>
        <v>1</v>
      </c>
      <c r="BD15" t="e">
        <f>AND(Log!B678,"AAAAADfu3zc=")</f>
        <v>#VALUE!</v>
      </c>
      <c r="BE15" t="e">
        <f>AND(Log!C678,"AAAAADfu3zg=")</f>
        <v>#VALUE!</v>
      </c>
      <c r="BF15" t="e">
        <f>AND(Log!D678,"AAAAADfu3zk=")</f>
        <v>#VALUE!</v>
      </c>
      <c r="BG15">
        <f>IF(Log!679:679,"AAAAADfu3zo=",0)</f>
        <v>0</v>
      </c>
      <c r="BH15" t="b">
        <f>AND(Log!A679,"AAAAADfu3zs=")</f>
        <v>1</v>
      </c>
      <c r="BI15" t="e">
        <f>AND(Log!B679,"AAAAADfu3zw=")</f>
        <v>#VALUE!</v>
      </c>
      <c r="BJ15" t="e">
        <f>AND(Log!C679,"AAAAADfu3z0=")</f>
        <v>#VALUE!</v>
      </c>
      <c r="BK15" t="e">
        <f>AND(Log!D679,"AAAAADfu3z4=")</f>
        <v>#VALUE!</v>
      </c>
      <c r="BL15">
        <f>IF(Log!680:680,"AAAAADfu3z8=",0)</f>
        <v>0</v>
      </c>
      <c r="BM15" t="b">
        <f>AND(Log!A680,"AAAAADfu30A=")</f>
        <v>1</v>
      </c>
      <c r="BN15" t="e">
        <f>AND(Log!B680,"AAAAADfu30E=")</f>
        <v>#VALUE!</v>
      </c>
      <c r="BO15" t="e">
        <f>AND(Log!C680,"AAAAADfu30I=")</f>
        <v>#VALUE!</v>
      </c>
      <c r="BP15" t="e">
        <f>AND(Log!D680,"AAAAADfu30M=")</f>
        <v>#VALUE!</v>
      </c>
      <c r="BQ15">
        <f>IF(Log!681:681,"AAAAADfu30Q=",0)</f>
        <v>0</v>
      </c>
      <c r="BR15" t="b">
        <f>AND(Log!A681,"AAAAADfu30U=")</f>
        <v>1</v>
      </c>
      <c r="BS15" t="e">
        <f>AND(Log!B681,"AAAAADfu30Y=")</f>
        <v>#VALUE!</v>
      </c>
      <c r="BT15" t="e">
        <f>AND(Log!C681,"AAAAADfu30c=")</f>
        <v>#VALUE!</v>
      </c>
      <c r="BU15" t="e">
        <f>AND(Log!D681,"AAAAADfu30g=")</f>
        <v>#VALUE!</v>
      </c>
      <c r="BV15" t="str">
        <f>IF(Log!A:A,"AAAAADfu30k=",0)</f>
        <v>AAAAADfu30k=</v>
      </c>
      <c r="BW15" t="e">
        <f>IF(Log!B:B,"AAAAADfu30o=",0)</f>
        <v>#VALUE!</v>
      </c>
      <c r="BX15" t="e">
        <f>IF(Log!C:C,"AAAAADfu30s=",0)</f>
        <v>#VALUE!</v>
      </c>
      <c r="BY15">
        <f>IF(Log!D:D,"AAAAADfu30w=",0)</f>
        <v>0</v>
      </c>
      <c r="BZ15">
        <f>IF(Error!1:1,"AAAAADfu300=",0)</f>
        <v>0</v>
      </c>
      <c r="CA15" t="e">
        <f>AND(Error!A1,"AAAAADfu304=")</f>
        <v>#VALUE!</v>
      </c>
      <c r="CB15" t="e">
        <f>AND(Error!B1,"AAAAADfu308=")</f>
        <v>#VALUE!</v>
      </c>
      <c r="CC15" t="e">
        <f>AND(Error!C1,"AAAAADfu31A=")</f>
        <v>#VALUE!</v>
      </c>
      <c r="CD15">
        <f>IF(Error!2:2,"AAAAADfu31E=",0)</f>
        <v>0</v>
      </c>
      <c r="CE15" t="e">
        <f>AND(Error!A2,"AAAAADfu31I=")</f>
        <v>#VALUE!</v>
      </c>
      <c r="CF15" t="e">
        <f>AND(Error!B2,"AAAAADfu31M=")</f>
        <v>#VALUE!</v>
      </c>
      <c r="CG15" t="e">
        <f>AND(Error!C2,"AAAAADfu31Q=")</f>
        <v>#VALUE!</v>
      </c>
      <c r="CH15">
        <f>IF(Error!3:3,"AAAAADfu31U=",0)</f>
        <v>0</v>
      </c>
      <c r="CI15" t="e">
        <f>AND(Error!A3,"AAAAADfu31Y=")</f>
        <v>#VALUE!</v>
      </c>
      <c r="CJ15" t="e">
        <f>AND(Error!B3,"AAAAADfu31c=")</f>
        <v>#VALUE!</v>
      </c>
      <c r="CK15" t="e">
        <f>AND(Error!C3,"AAAAADfu31g=")</f>
        <v>#VALUE!</v>
      </c>
      <c r="CL15">
        <f>IF(Error!4:4,"AAAAADfu31k=",0)</f>
        <v>0</v>
      </c>
      <c r="CM15" t="e">
        <f>AND(Error!A4,"AAAAADfu31o=")</f>
        <v>#VALUE!</v>
      </c>
      <c r="CN15" t="e">
        <f>AND(Error!B4,"AAAAADfu31s=")</f>
        <v>#VALUE!</v>
      </c>
      <c r="CO15" t="e">
        <f>AND(Error!C4,"AAAAADfu31w=")</f>
        <v>#VALUE!</v>
      </c>
      <c r="CP15">
        <f>IF(Error!5:5,"AAAAADfu310=",0)</f>
        <v>0</v>
      </c>
      <c r="CQ15" t="e">
        <f>AND(Error!A5,"AAAAADfu314=")</f>
        <v>#VALUE!</v>
      </c>
      <c r="CR15" t="e">
        <f>AND(Error!B5,"AAAAADfu318=")</f>
        <v>#VALUE!</v>
      </c>
      <c r="CS15" t="e">
        <f>AND(Error!C5,"AAAAADfu32A=")</f>
        <v>#VALUE!</v>
      </c>
      <c r="CT15">
        <f>IF(Error!6:6,"AAAAADfu32E=",0)</f>
        <v>0</v>
      </c>
      <c r="CU15" t="e">
        <f>AND(Error!A6,"AAAAADfu32I=")</f>
        <v>#VALUE!</v>
      </c>
      <c r="CV15" t="e">
        <f>AND(Error!B6,"AAAAADfu32M=")</f>
        <v>#VALUE!</v>
      </c>
      <c r="CW15" t="e">
        <f>AND(Error!C6,"AAAAADfu32Q=")</f>
        <v>#VALUE!</v>
      </c>
      <c r="CX15">
        <f>IF(Error!7:7,"AAAAADfu32U=",0)</f>
        <v>0</v>
      </c>
      <c r="CY15" t="e">
        <f>AND(Error!A7,"AAAAADfu32Y=")</f>
        <v>#VALUE!</v>
      </c>
      <c r="CZ15" t="e">
        <f>AND(Error!B7,"AAAAADfu32c=")</f>
        <v>#VALUE!</v>
      </c>
      <c r="DA15" t="e">
        <f>AND(Error!C7,"AAAAADfu32g=")</f>
        <v>#VALUE!</v>
      </c>
      <c r="DB15">
        <f>IF(Error!8:8,"AAAAADfu32k=",0)</f>
        <v>0</v>
      </c>
      <c r="DC15" t="e">
        <f>AND(Error!A8,"AAAAADfu32o=")</f>
        <v>#VALUE!</v>
      </c>
      <c r="DD15" t="e">
        <f>AND(Error!B8,"AAAAADfu32s=")</f>
        <v>#VALUE!</v>
      </c>
      <c r="DE15" t="e">
        <f>AND(Error!C8,"AAAAADfu32w=")</f>
        <v>#VALUE!</v>
      </c>
      <c r="DF15">
        <f>IF(Error!9:9,"AAAAADfu320=",0)</f>
        <v>0</v>
      </c>
      <c r="DG15" t="e">
        <f>AND(Error!A9,"AAAAADfu324=")</f>
        <v>#VALUE!</v>
      </c>
      <c r="DH15" t="e">
        <f>AND(Error!B9,"AAAAADfu328=")</f>
        <v>#VALUE!</v>
      </c>
      <c r="DI15" t="e">
        <f>AND(Error!C9,"AAAAADfu33A=")</f>
        <v>#VALUE!</v>
      </c>
      <c r="DJ15">
        <f>IF(Error!10:10,"AAAAADfu33E=",0)</f>
        <v>0</v>
      </c>
      <c r="DK15" t="e">
        <f>AND(Error!A10,"AAAAADfu33I=")</f>
        <v>#VALUE!</v>
      </c>
      <c r="DL15" t="e">
        <f>AND(Error!B10,"AAAAADfu33M=")</f>
        <v>#VALUE!</v>
      </c>
      <c r="DM15" t="e">
        <f>AND(Error!C10,"AAAAADfu33Q=")</f>
        <v>#VALUE!</v>
      </c>
      <c r="DN15">
        <f>IF(Error!11:11,"AAAAADfu33U=",0)</f>
        <v>0</v>
      </c>
      <c r="DO15" t="e">
        <f>AND(Error!A11,"AAAAADfu33Y=")</f>
        <v>#VALUE!</v>
      </c>
      <c r="DP15" t="e">
        <f>AND(Error!B11,"AAAAADfu33c=")</f>
        <v>#VALUE!</v>
      </c>
      <c r="DQ15" t="e">
        <f>AND(Error!C11,"AAAAADfu33g=")</f>
        <v>#VALUE!</v>
      </c>
      <c r="DR15">
        <f>IF(Error!12:12,"AAAAADfu33k=",0)</f>
        <v>0</v>
      </c>
      <c r="DS15" t="e">
        <f>AND(Error!A12,"AAAAADfu33o=")</f>
        <v>#VALUE!</v>
      </c>
      <c r="DT15" t="e">
        <f>AND(Error!B12,"AAAAADfu33s=")</f>
        <v>#VALUE!</v>
      </c>
      <c r="DU15" t="e">
        <f>AND(Error!C12,"AAAAADfu33w=")</f>
        <v>#VALUE!</v>
      </c>
      <c r="DV15">
        <f>IF(Error!13:13,"AAAAADfu330=",0)</f>
        <v>0</v>
      </c>
      <c r="DW15" t="e">
        <f>AND(Error!A13,"AAAAADfu334=")</f>
        <v>#VALUE!</v>
      </c>
      <c r="DX15" t="e">
        <f>AND(Error!B13,"AAAAADfu338=")</f>
        <v>#VALUE!</v>
      </c>
      <c r="DY15" t="e">
        <f>AND(Error!C13,"AAAAADfu34A=")</f>
        <v>#VALUE!</v>
      </c>
      <c r="DZ15">
        <f>IF(Error!14:14,"AAAAADfu34E=",0)</f>
        <v>0</v>
      </c>
      <c r="EA15" t="e">
        <f>AND(Error!A14,"AAAAADfu34I=")</f>
        <v>#VALUE!</v>
      </c>
      <c r="EB15" t="e">
        <f>AND(Error!B14,"AAAAADfu34M=")</f>
        <v>#VALUE!</v>
      </c>
      <c r="EC15" t="e">
        <f>AND(Error!C14,"AAAAADfu34Q=")</f>
        <v>#VALUE!</v>
      </c>
      <c r="ED15">
        <f>IF(Error!15:15,"AAAAADfu34U=",0)</f>
        <v>0</v>
      </c>
      <c r="EE15" t="e">
        <f>AND(Error!A15,"AAAAADfu34Y=")</f>
        <v>#VALUE!</v>
      </c>
      <c r="EF15" t="e">
        <f>AND(Error!B15,"AAAAADfu34c=")</f>
        <v>#VALUE!</v>
      </c>
      <c r="EG15" t="e">
        <f>AND(Error!C15,"AAAAADfu34g=")</f>
        <v>#VALUE!</v>
      </c>
      <c r="EH15">
        <f>IF(Error!16:16,"AAAAADfu34k=",0)</f>
        <v>0</v>
      </c>
      <c r="EI15" t="e">
        <f>AND(Error!A16,"AAAAADfu34o=")</f>
        <v>#VALUE!</v>
      </c>
      <c r="EJ15" t="e">
        <f>AND(Error!B16,"AAAAADfu34s=")</f>
        <v>#VALUE!</v>
      </c>
      <c r="EK15" t="e">
        <f>AND(Error!C16,"AAAAADfu34w=")</f>
        <v>#VALUE!</v>
      </c>
      <c r="EL15">
        <f>IF(Error!17:17,"AAAAADfu340=",0)</f>
        <v>0</v>
      </c>
      <c r="EM15" t="e">
        <f>AND(Error!A17,"AAAAADfu344=")</f>
        <v>#VALUE!</v>
      </c>
      <c r="EN15" t="e">
        <f>AND(Error!B17,"AAAAADfu348=")</f>
        <v>#VALUE!</v>
      </c>
      <c r="EO15" t="e">
        <f>AND(Error!C17,"AAAAADfu35A=")</f>
        <v>#VALUE!</v>
      </c>
      <c r="EP15">
        <f>IF(Error!18:18,"AAAAADfu35E=",0)</f>
        <v>0</v>
      </c>
      <c r="EQ15" t="e">
        <f>AND(Error!A18,"AAAAADfu35I=")</f>
        <v>#VALUE!</v>
      </c>
      <c r="ER15" t="e">
        <f>AND(Error!B18,"AAAAADfu35M=")</f>
        <v>#VALUE!</v>
      </c>
      <c r="ES15" t="e">
        <f>AND(Error!C18,"AAAAADfu35Q=")</f>
        <v>#VALUE!</v>
      </c>
      <c r="ET15">
        <f>IF(Error!19:19,"AAAAADfu35U=",0)</f>
        <v>0</v>
      </c>
      <c r="EU15" t="e">
        <f>AND(Error!A19,"AAAAADfu35Y=")</f>
        <v>#VALUE!</v>
      </c>
      <c r="EV15" t="e">
        <f>AND(Error!B19,"AAAAADfu35c=")</f>
        <v>#VALUE!</v>
      </c>
      <c r="EW15" t="e">
        <f>AND(Error!C19,"AAAAADfu35g=")</f>
        <v>#VALUE!</v>
      </c>
      <c r="EX15">
        <f>IF(Error!20:20,"AAAAADfu35k=",0)</f>
        <v>0</v>
      </c>
      <c r="EY15">
        <f>IF(Error!21:21,"AAAAADfu35o=",0)</f>
        <v>0</v>
      </c>
      <c r="EZ15">
        <f>IF(Error!22:22,"AAAAADfu35s=",0)</f>
        <v>0</v>
      </c>
      <c r="FA15">
        <f>IF(Error!23:23,"AAAAADfu35w=",0)</f>
        <v>0</v>
      </c>
      <c r="FB15">
        <f>IF(Error!24:24,"AAAAADfu350=",0)</f>
        <v>0</v>
      </c>
      <c r="FC15">
        <f>IF(Error!A:A,"AAAAADfu354=",0)</f>
        <v>0</v>
      </c>
      <c r="FD15" t="e">
        <f>IF(Error!B:B,"AAAAADfu358=",0)</f>
        <v>#VALUE!</v>
      </c>
      <c r="FE15" t="e">
        <f>IF(Error!C:C,"AAAAADfu36A=",0)</f>
        <v>#VALUE!</v>
      </c>
      <c r="FF15" t="e">
        <f>IF(#REF!,"AAAAADfu36E=",0)</f>
        <v>#REF!</v>
      </c>
      <c r="FG15" t="e">
        <f>AND(#REF!,"AAAAADfu36I=")</f>
        <v>#REF!</v>
      </c>
      <c r="FH15" t="e">
        <f>AND(#REF!,"AAAAADfu36M=")</f>
        <v>#REF!</v>
      </c>
      <c r="FI15" t="e">
        <f>AND(#REF!,"AAAAADfu36Q=")</f>
        <v>#REF!</v>
      </c>
      <c r="FJ15" t="e">
        <f>AND(#REF!,"AAAAADfu36U=")</f>
        <v>#REF!</v>
      </c>
      <c r="FK15" t="e">
        <f>AND(#REF!,"AAAAADfu36Y=")</f>
        <v>#REF!</v>
      </c>
      <c r="FL15" t="e">
        <f>AND(#REF!,"AAAAADfu36c=")</f>
        <v>#REF!</v>
      </c>
      <c r="FM15" t="e">
        <f>AND(#REF!,"AAAAADfu36g=")</f>
        <v>#REF!</v>
      </c>
      <c r="FN15" t="e">
        <f>AND(#REF!,"AAAAADfu36k=")</f>
        <v>#REF!</v>
      </c>
      <c r="FO15" t="e">
        <f>AND(#REF!,"AAAAADfu36o=")</f>
        <v>#REF!</v>
      </c>
      <c r="FP15" t="e">
        <f>AND(#REF!,"AAAAADfu36s=")</f>
        <v>#REF!</v>
      </c>
      <c r="FQ15" t="e">
        <f>IF(#REF!,"AAAAADfu36w=",0)</f>
        <v>#REF!</v>
      </c>
      <c r="FR15" t="e">
        <f>AND(#REF!,"AAAAADfu360=")</f>
        <v>#REF!</v>
      </c>
      <c r="FS15" t="e">
        <f>AND(#REF!,"AAAAADfu364=")</f>
        <v>#REF!</v>
      </c>
      <c r="FT15" t="e">
        <f>AND(#REF!,"AAAAADfu368=")</f>
        <v>#REF!</v>
      </c>
      <c r="FU15" t="e">
        <f>AND(#REF!,"AAAAADfu37A=")</f>
        <v>#REF!</v>
      </c>
      <c r="FV15" t="e">
        <f>AND(#REF!,"AAAAADfu37E=")</f>
        <v>#REF!</v>
      </c>
      <c r="FW15" t="e">
        <f>AND(#REF!,"AAAAADfu37I=")</f>
        <v>#REF!</v>
      </c>
      <c r="FX15" t="e">
        <f>AND(#REF!,"AAAAADfu37M=")</f>
        <v>#REF!</v>
      </c>
      <c r="FY15" t="e">
        <f>AND(#REF!,"AAAAADfu37Q=")</f>
        <v>#REF!</v>
      </c>
      <c r="FZ15" t="e">
        <f>AND(#REF!,"AAAAADfu37U=")</f>
        <v>#REF!</v>
      </c>
      <c r="GA15" t="e">
        <f>AND(#REF!,"AAAAADfu37Y=")</f>
        <v>#REF!</v>
      </c>
      <c r="GB15" t="e">
        <f>IF(#REF!,"AAAAADfu37c=",0)</f>
        <v>#REF!</v>
      </c>
      <c r="GC15" t="e">
        <f>AND(#REF!,"AAAAADfu37g=")</f>
        <v>#REF!</v>
      </c>
      <c r="GD15" t="e">
        <f>AND(#REF!,"AAAAADfu37k=")</f>
        <v>#REF!</v>
      </c>
      <c r="GE15" t="e">
        <f>AND(#REF!,"AAAAADfu37o=")</f>
        <v>#REF!</v>
      </c>
      <c r="GF15" t="e">
        <f>AND(#REF!,"AAAAADfu37s=")</f>
        <v>#REF!</v>
      </c>
      <c r="GG15" t="e">
        <f>AND(#REF!,"AAAAADfu37w=")</f>
        <v>#REF!</v>
      </c>
      <c r="GH15" t="e">
        <f>AND(#REF!,"AAAAADfu370=")</f>
        <v>#REF!</v>
      </c>
      <c r="GI15" t="e">
        <f>AND(#REF!,"AAAAADfu374=")</f>
        <v>#REF!</v>
      </c>
      <c r="GJ15" t="e">
        <f>AND(#REF!,"AAAAADfu378=")</f>
        <v>#REF!</v>
      </c>
      <c r="GK15" t="e">
        <f>AND(#REF!,"AAAAADfu38A=")</f>
        <v>#REF!</v>
      </c>
      <c r="GL15" t="e">
        <f>AND(#REF!,"AAAAADfu38E=")</f>
        <v>#REF!</v>
      </c>
      <c r="GM15" t="e">
        <f>IF(#REF!,"AAAAADfu38I=",0)</f>
        <v>#REF!</v>
      </c>
      <c r="GN15" t="e">
        <f>AND(#REF!,"AAAAADfu38M=")</f>
        <v>#REF!</v>
      </c>
      <c r="GO15" t="e">
        <f>AND(#REF!,"AAAAADfu38Q=")</f>
        <v>#REF!</v>
      </c>
      <c r="GP15" t="e">
        <f>AND(#REF!,"AAAAADfu38U=")</f>
        <v>#REF!</v>
      </c>
      <c r="GQ15" t="e">
        <f>AND(#REF!,"AAAAADfu38Y=")</f>
        <v>#REF!</v>
      </c>
      <c r="GR15" t="e">
        <f>AND(#REF!,"AAAAADfu38c=")</f>
        <v>#REF!</v>
      </c>
      <c r="GS15" t="e">
        <f>AND(#REF!,"AAAAADfu38g=")</f>
        <v>#REF!</v>
      </c>
      <c r="GT15" t="e">
        <f>AND(#REF!,"AAAAADfu38k=")</f>
        <v>#REF!</v>
      </c>
      <c r="GU15" t="e">
        <f>AND(#REF!,"AAAAADfu38o=")</f>
        <v>#REF!</v>
      </c>
      <c r="GV15" t="e">
        <f>AND(#REF!,"AAAAADfu38s=")</f>
        <v>#REF!</v>
      </c>
      <c r="GW15" t="e">
        <f>AND(#REF!,"AAAAADfu38w=")</f>
        <v>#REF!</v>
      </c>
      <c r="GX15" t="e">
        <f>IF(#REF!,"AAAAADfu380=",0)</f>
        <v>#REF!</v>
      </c>
      <c r="GY15" t="e">
        <f>AND(#REF!,"AAAAADfu384=")</f>
        <v>#REF!</v>
      </c>
      <c r="GZ15" t="e">
        <f>AND(#REF!,"AAAAADfu388=")</f>
        <v>#REF!</v>
      </c>
      <c r="HA15" t="e">
        <f>AND(#REF!,"AAAAADfu39A=")</f>
        <v>#REF!</v>
      </c>
      <c r="HB15" t="e">
        <f>AND(#REF!,"AAAAADfu39E=")</f>
        <v>#REF!</v>
      </c>
      <c r="HC15" t="e">
        <f>AND(#REF!,"AAAAADfu39I=")</f>
        <v>#REF!</v>
      </c>
      <c r="HD15" t="e">
        <f>AND(#REF!,"AAAAADfu39M=")</f>
        <v>#REF!</v>
      </c>
      <c r="HE15" t="e">
        <f>AND(#REF!,"AAAAADfu39Q=")</f>
        <v>#REF!</v>
      </c>
      <c r="HF15" t="e">
        <f>AND(#REF!,"AAAAADfu39U=")</f>
        <v>#REF!</v>
      </c>
      <c r="HG15" t="e">
        <f>AND(#REF!,"AAAAADfu39Y=")</f>
        <v>#REF!</v>
      </c>
      <c r="HH15" t="e">
        <f>AND(#REF!,"AAAAADfu39c=")</f>
        <v>#REF!</v>
      </c>
      <c r="HI15" t="e">
        <f>IF(#REF!,"AAAAADfu39g=",0)</f>
        <v>#REF!</v>
      </c>
      <c r="HJ15" t="e">
        <f>AND(#REF!,"AAAAADfu39k=")</f>
        <v>#REF!</v>
      </c>
      <c r="HK15" t="e">
        <f>AND(#REF!,"AAAAADfu39o=")</f>
        <v>#REF!</v>
      </c>
      <c r="HL15" t="e">
        <f>AND(#REF!,"AAAAADfu39s=")</f>
        <v>#REF!</v>
      </c>
      <c r="HM15" t="e">
        <f>AND(#REF!,"AAAAADfu39w=")</f>
        <v>#REF!</v>
      </c>
      <c r="HN15" t="e">
        <f>AND(#REF!,"AAAAADfu390=")</f>
        <v>#REF!</v>
      </c>
      <c r="HO15" t="e">
        <f>AND(#REF!,"AAAAADfu394=")</f>
        <v>#REF!</v>
      </c>
      <c r="HP15" t="e">
        <f>AND(#REF!,"AAAAADfu398=")</f>
        <v>#REF!</v>
      </c>
      <c r="HQ15" t="e">
        <f>AND(#REF!,"AAAAADfu3+A=")</f>
        <v>#REF!</v>
      </c>
      <c r="HR15" t="e">
        <f>AND(#REF!,"AAAAADfu3+E=")</f>
        <v>#REF!</v>
      </c>
      <c r="HS15" t="e">
        <f>AND(#REF!,"AAAAADfu3+I=")</f>
        <v>#REF!</v>
      </c>
      <c r="HT15" t="e">
        <f>IF(#REF!,"AAAAADfu3+M=",0)</f>
        <v>#REF!</v>
      </c>
      <c r="HU15" t="e">
        <f>AND(#REF!,"AAAAADfu3+Q=")</f>
        <v>#REF!</v>
      </c>
      <c r="HV15" t="e">
        <f>AND(#REF!,"AAAAADfu3+U=")</f>
        <v>#REF!</v>
      </c>
      <c r="HW15" t="e">
        <f>AND(#REF!,"AAAAADfu3+Y=")</f>
        <v>#REF!</v>
      </c>
      <c r="HX15" t="e">
        <f>AND(#REF!,"AAAAADfu3+c=")</f>
        <v>#REF!</v>
      </c>
      <c r="HY15" t="e">
        <f>AND(#REF!,"AAAAADfu3+g=")</f>
        <v>#REF!</v>
      </c>
      <c r="HZ15" t="e">
        <f>AND(#REF!,"AAAAADfu3+k=")</f>
        <v>#REF!</v>
      </c>
      <c r="IA15" t="e">
        <f>AND(#REF!,"AAAAADfu3+o=")</f>
        <v>#REF!</v>
      </c>
      <c r="IB15" t="e">
        <f>AND(#REF!,"AAAAADfu3+s=")</f>
        <v>#REF!</v>
      </c>
      <c r="IC15" t="e">
        <f>AND(#REF!,"AAAAADfu3+w=")</f>
        <v>#REF!</v>
      </c>
      <c r="ID15" t="e">
        <f>AND(#REF!,"AAAAADfu3+0=")</f>
        <v>#REF!</v>
      </c>
      <c r="IE15" t="e">
        <f>IF(#REF!,"AAAAADfu3+4=",0)</f>
        <v>#REF!</v>
      </c>
      <c r="IF15" t="e">
        <f>AND(#REF!,"AAAAADfu3+8=")</f>
        <v>#REF!</v>
      </c>
      <c r="IG15" t="e">
        <f>AND(#REF!,"AAAAADfu3/A=")</f>
        <v>#REF!</v>
      </c>
      <c r="IH15" t="e">
        <f>AND(#REF!,"AAAAADfu3/E=")</f>
        <v>#REF!</v>
      </c>
      <c r="II15" t="e">
        <f>AND(#REF!,"AAAAADfu3/I=")</f>
        <v>#REF!</v>
      </c>
      <c r="IJ15" t="e">
        <f>AND(#REF!,"AAAAADfu3/M=")</f>
        <v>#REF!</v>
      </c>
      <c r="IK15" t="e">
        <f>AND(#REF!,"AAAAADfu3/Q=")</f>
        <v>#REF!</v>
      </c>
      <c r="IL15" t="e">
        <f>AND(#REF!,"AAAAADfu3/U=")</f>
        <v>#REF!</v>
      </c>
      <c r="IM15" t="e">
        <f>AND(#REF!,"AAAAADfu3/Y=")</f>
        <v>#REF!</v>
      </c>
      <c r="IN15" t="e">
        <f>AND(#REF!,"AAAAADfu3/c=")</f>
        <v>#REF!</v>
      </c>
      <c r="IO15" t="e">
        <f>AND(#REF!,"AAAAADfu3/g=")</f>
        <v>#REF!</v>
      </c>
      <c r="IP15" t="e">
        <f>IF(#REF!,"AAAAADfu3/k=",0)</f>
        <v>#REF!</v>
      </c>
      <c r="IQ15" t="e">
        <f>AND(#REF!,"AAAAADfu3/o=")</f>
        <v>#REF!</v>
      </c>
      <c r="IR15" t="e">
        <f>AND(#REF!,"AAAAADfu3/s=")</f>
        <v>#REF!</v>
      </c>
      <c r="IS15" t="e">
        <f>AND(#REF!,"AAAAADfu3/w=")</f>
        <v>#REF!</v>
      </c>
      <c r="IT15" t="e">
        <f>AND(#REF!,"AAAAADfu3/0=")</f>
        <v>#REF!</v>
      </c>
      <c r="IU15" t="e">
        <f>AND(#REF!,"AAAAADfu3/4=")</f>
        <v>#REF!</v>
      </c>
      <c r="IV15" t="e">
        <f>AND(#REF!,"AAAAADfu3/8=")</f>
        <v>#REF!</v>
      </c>
    </row>
    <row r="16" spans="1:256" x14ac:dyDescent="0.25">
      <c r="A16" t="e">
        <f>AND(#REF!,"AAAAAH/p+wA=")</f>
        <v>#REF!</v>
      </c>
      <c r="B16" t="e">
        <f>AND(#REF!,"AAAAAH/p+wE=")</f>
        <v>#REF!</v>
      </c>
      <c r="C16" t="e">
        <f>AND(#REF!,"AAAAAH/p+wI=")</f>
        <v>#REF!</v>
      </c>
      <c r="D16" t="e">
        <f>AND(#REF!,"AAAAAH/p+wM=")</f>
        <v>#REF!</v>
      </c>
      <c r="E16" t="e">
        <f>IF(#REF!,"AAAAAH/p+wQ=",0)</f>
        <v>#REF!</v>
      </c>
      <c r="F16" t="e">
        <f>AND(#REF!,"AAAAAH/p+wU=")</f>
        <v>#REF!</v>
      </c>
      <c r="G16" t="e">
        <f>AND(#REF!,"AAAAAH/p+wY=")</f>
        <v>#REF!</v>
      </c>
      <c r="H16" t="e">
        <f>AND(#REF!,"AAAAAH/p+wc=")</f>
        <v>#REF!</v>
      </c>
      <c r="I16" t="e">
        <f>AND(#REF!,"AAAAAH/p+wg=")</f>
        <v>#REF!</v>
      </c>
      <c r="J16" t="e">
        <f>AND(#REF!,"AAAAAH/p+wk=")</f>
        <v>#REF!</v>
      </c>
      <c r="K16" t="e">
        <f>AND(#REF!,"AAAAAH/p+wo=")</f>
        <v>#REF!</v>
      </c>
      <c r="L16" t="e">
        <f>AND(#REF!,"AAAAAH/p+ws=")</f>
        <v>#REF!</v>
      </c>
      <c r="M16" t="e">
        <f>AND(#REF!,"AAAAAH/p+ww=")</f>
        <v>#REF!</v>
      </c>
      <c r="N16" t="e">
        <f>AND(#REF!,"AAAAAH/p+w0=")</f>
        <v>#REF!</v>
      </c>
      <c r="O16" t="e">
        <f>AND(#REF!,"AAAAAH/p+w4=")</f>
        <v>#REF!</v>
      </c>
      <c r="P16" t="e">
        <f>IF(#REF!,"AAAAAH/p+w8=",0)</f>
        <v>#REF!</v>
      </c>
      <c r="Q16" t="e">
        <f>AND(#REF!,"AAAAAH/p+xA=")</f>
        <v>#REF!</v>
      </c>
      <c r="R16" t="e">
        <f>AND(#REF!,"AAAAAH/p+xE=")</f>
        <v>#REF!</v>
      </c>
      <c r="S16" t="e">
        <f>AND(#REF!,"AAAAAH/p+xI=")</f>
        <v>#REF!</v>
      </c>
      <c r="T16" t="e">
        <f>AND(#REF!,"AAAAAH/p+xM=")</f>
        <v>#REF!</v>
      </c>
      <c r="U16" t="e">
        <f>AND(#REF!,"AAAAAH/p+xQ=")</f>
        <v>#REF!</v>
      </c>
      <c r="V16" t="e">
        <f>AND(#REF!,"AAAAAH/p+xU=")</f>
        <v>#REF!</v>
      </c>
      <c r="W16" t="e">
        <f>AND(#REF!,"AAAAAH/p+xY=")</f>
        <v>#REF!</v>
      </c>
      <c r="X16" t="e">
        <f>AND(#REF!,"AAAAAH/p+xc=")</f>
        <v>#REF!</v>
      </c>
      <c r="Y16" t="e">
        <f>AND(#REF!,"AAAAAH/p+xg=")</f>
        <v>#REF!</v>
      </c>
      <c r="Z16" t="e">
        <f>AND(#REF!,"AAAAAH/p+xk=")</f>
        <v>#REF!</v>
      </c>
      <c r="AA16" t="e">
        <f>IF(#REF!,"AAAAAH/p+xo=",0)</f>
        <v>#REF!</v>
      </c>
      <c r="AB16" t="e">
        <f>AND(#REF!,"AAAAAH/p+xs=")</f>
        <v>#REF!</v>
      </c>
      <c r="AC16" t="e">
        <f>AND(#REF!,"AAAAAH/p+xw=")</f>
        <v>#REF!</v>
      </c>
      <c r="AD16" t="e">
        <f>AND(#REF!,"AAAAAH/p+x0=")</f>
        <v>#REF!</v>
      </c>
      <c r="AE16" t="e">
        <f>AND(#REF!,"AAAAAH/p+x4=")</f>
        <v>#REF!</v>
      </c>
      <c r="AF16" t="e">
        <f>AND(#REF!,"AAAAAH/p+x8=")</f>
        <v>#REF!</v>
      </c>
      <c r="AG16" t="e">
        <f>AND(#REF!,"AAAAAH/p+yA=")</f>
        <v>#REF!</v>
      </c>
      <c r="AH16" t="e">
        <f>AND(#REF!,"AAAAAH/p+yE=")</f>
        <v>#REF!</v>
      </c>
      <c r="AI16" t="e">
        <f>AND(#REF!,"AAAAAH/p+yI=")</f>
        <v>#REF!</v>
      </c>
      <c r="AJ16" t="e">
        <f>AND(#REF!,"AAAAAH/p+yM=")</f>
        <v>#REF!</v>
      </c>
      <c r="AK16" t="e">
        <f>AND(#REF!,"AAAAAH/p+yQ=")</f>
        <v>#REF!</v>
      </c>
      <c r="AL16" t="e">
        <f>IF(#REF!,"AAAAAH/p+yU=",0)</f>
        <v>#REF!</v>
      </c>
      <c r="AM16" t="e">
        <f>AND(#REF!,"AAAAAH/p+yY=")</f>
        <v>#REF!</v>
      </c>
      <c r="AN16" t="e">
        <f>AND(#REF!,"AAAAAH/p+yc=")</f>
        <v>#REF!</v>
      </c>
      <c r="AO16" t="e">
        <f>AND(#REF!,"AAAAAH/p+yg=")</f>
        <v>#REF!</v>
      </c>
      <c r="AP16" t="e">
        <f>AND(#REF!,"AAAAAH/p+yk=")</f>
        <v>#REF!</v>
      </c>
      <c r="AQ16" t="e">
        <f>AND(#REF!,"AAAAAH/p+yo=")</f>
        <v>#REF!</v>
      </c>
      <c r="AR16" t="e">
        <f>AND(#REF!,"AAAAAH/p+ys=")</f>
        <v>#REF!</v>
      </c>
      <c r="AS16" t="e">
        <f>AND(#REF!,"AAAAAH/p+yw=")</f>
        <v>#REF!</v>
      </c>
      <c r="AT16" t="e">
        <f>AND(#REF!,"AAAAAH/p+y0=")</f>
        <v>#REF!</v>
      </c>
      <c r="AU16" t="e">
        <f>AND(#REF!,"AAAAAH/p+y4=")</f>
        <v>#REF!</v>
      </c>
      <c r="AV16" t="e">
        <f>AND(#REF!,"AAAAAH/p+y8=")</f>
        <v>#REF!</v>
      </c>
      <c r="AW16" t="e">
        <f>IF(#REF!,"AAAAAH/p+zA=",0)</f>
        <v>#REF!</v>
      </c>
      <c r="AX16" t="e">
        <f>AND(#REF!,"AAAAAH/p+zE=")</f>
        <v>#REF!</v>
      </c>
      <c r="AY16" t="e">
        <f>AND(#REF!,"AAAAAH/p+zI=")</f>
        <v>#REF!</v>
      </c>
      <c r="AZ16" t="e">
        <f>AND(#REF!,"AAAAAH/p+zM=")</f>
        <v>#REF!</v>
      </c>
      <c r="BA16" t="e">
        <f>AND(#REF!,"AAAAAH/p+zQ=")</f>
        <v>#REF!</v>
      </c>
      <c r="BB16" t="e">
        <f>AND(#REF!,"AAAAAH/p+zU=")</f>
        <v>#REF!</v>
      </c>
      <c r="BC16" t="e">
        <f>AND(#REF!,"AAAAAH/p+zY=")</f>
        <v>#REF!</v>
      </c>
      <c r="BD16" t="e">
        <f>AND(#REF!,"AAAAAH/p+zc=")</f>
        <v>#REF!</v>
      </c>
      <c r="BE16" t="e">
        <f>AND(#REF!,"AAAAAH/p+zg=")</f>
        <v>#REF!</v>
      </c>
      <c r="BF16" t="e">
        <f>AND(#REF!,"AAAAAH/p+zk=")</f>
        <v>#REF!</v>
      </c>
      <c r="BG16" t="e">
        <f>AND(#REF!,"AAAAAH/p+zo=")</f>
        <v>#REF!</v>
      </c>
      <c r="BH16" t="e">
        <f>IF(#REF!,"AAAAAH/p+zs=",0)</f>
        <v>#REF!</v>
      </c>
      <c r="BI16" t="e">
        <f>AND(#REF!,"AAAAAH/p+zw=")</f>
        <v>#REF!</v>
      </c>
      <c r="BJ16" t="e">
        <f>AND(#REF!,"AAAAAH/p+z0=")</f>
        <v>#REF!</v>
      </c>
      <c r="BK16" t="e">
        <f>AND(#REF!,"AAAAAH/p+z4=")</f>
        <v>#REF!</v>
      </c>
      <c r="BL16" t="e">
        <f>AND(#REF!,"AAAAAH/p+z8=")</f>
        <v>#REF!</v>
      </c>
      <c r="BM16" t="e">
        <f>AND(#REF!,"AAAAAH/p+0A=")</f>
        <v>#REF!</v>
      </c>
      <c r="BN16" t="e">
        <f>AND(#REF!,"AAAAAH/p+0E=")</f>
        <v>#REF!</v>
      </c>
      <c r="BO16" t="e">
        <f>AND(#REF!,"AAAAAH/p+0I=")</f>
        <v>#REF!</v>
      </c>
      <c r="BP16" t="e">
        <f>AND(#REF!,"AAAAAH/p+0M=")</f>
        <v>#REF!</v>
      </c>
      <c r="BQ16" t="e">
        <f>AND(#REF!,"AAAAAH/p+0Q=")</f>
        <v>#REF!</v>
      </c>
      <c r="BR16" t="e">
        <f>AND(#REF!,"AAAAAH/p+0U=")</f>
        <v>#REF!</v>
      </c>
      <c r="BS16" t="e">
        <f>IF(#REF!,"AAAAAH/p+0Y=",0)</f>
        <v>#REF!</v>
      </c>
      <c r="BT16" t="e">
        <f>AND(#REF!,"AAAAAH/p+0c=")</f>
        <v>#REF!</v>
      </c>
      <c r="BU16" t="e">
        <f>AND(#REF!,"AAAAAH/p+0g=")</f>
        <v>#REF!</v>
      </c>
      <c r="BV16" t="e">
        <f>AND(#REF!,"AAAAAH/p+0k=")</f>
        <v>#REF!</v>
      </c>
      <c r="BW16" t="e">
        <f>AND(#REF!,"AAAAAH/p+0o=")</f>
        <v>#REF!</v>
      </c>
      <c r="BX16" t="e">
        <f>AND(#REF!,"AAAAAH/p+0s=")</f>
        <v>#REF!</v>
      </c>
      <c r="BY16" t="e">
        <f>AND(#REF!,"AAAAAH/p+0w=")</f>
        <v>#REF!</v>
      </c>
      <c r="BZ16" t="e">
        <f>AND(#REF!,"AAAAAH/p+00=")</f>
        <v>#REF!</v>
      </c>
      <c r="CA16" t="e">
        <f>AND(#REF!,"AAAAAH/p+04=")</f>
        <v>#REF!</v>
      </c>
      <c r="CB16" t="e">
        <f>AND(#REF!,"AAAAAH/p+08=")</f>
        <v>#REF!</v>
      </c>
      <c r="CC16" t="e">
        <f>AND(#REF!,"AAAAAH/p+1A=")</f>
        <v>#REF!</v>
      </c>
      <c r="CD16" t="e">
        <f>IF(#REF!,"AAAAAH/p+1E=",0)</f>
        <v>#REF!</v>
      </c>
      <c r="CE16" t="e">
        <f>AND(#REF!,"AAAAAH/p+1I=")</f>
        <v>#REF!</v>
      </c>
      <c r="CF16" t="e">
        <f>AND(#REF!,"AAAAAH/p+1M=")</f>
        <v>#REF!</v>
      </c>
      <c r="CG16" t="e">
        <f>AND(#REF!,"AAAAAH/p+1Q=")</f>
        <v>#REF!</v>
      </c>
      <c r="CH16" t="e">
        <f>AND(#REF!,"AAAAAH/p+1U=")</f>
        <v>#REF!</v>
      </c>
      <c r="CI16" t="e">
        <f>AND(#REF!,"AAAAAH/p+1Y=")</f>
        <v>#REF!</v>
      </c>
      <c r="CJ16" t="e">
        <f>AND(#REF!,"AAAAAH/p+1c=")</f>
        <v>#REF!</v>
      </c>
      <c r="CK16" t="e">
        <f>AND(#REF!,"AAAAAH/p+1g=")</f>
        <v>#REF!</v>
      </c>
      <c r="CL16" t="e">
        <f>AND(#REF!,"AAAAAH/p+1k=")</f>
        <v>#REF!</v>
      </c>
      <c r="CM16" t="e">
        <f>AND(#REF!,"AAAAAH/p+1o=")</f>
        <v>#REF!</v>
      </c>
      <c r="CN16" t="e">
        <f>AND(#REF!,"AAAAAH/p+1s=")</f>
        <v>#REF!</v>
      </c>
      <c r="CO16" t="e">
        <f>IF(#REF!,"AAAAAH/p+1w=",0)</f>
        <v>#REF!</v>
      </c>
      <c r="CP16" t="e">
        <f>AND(#REF!,"AAAAAH/p+10=")</f>
        <v>#REF!</v>
      </c>
      <c r="CQ16" t="e">
        <f>AND(#REF!,"AAAAAH/p+14=")</f>
        <v>#REF!</v>
      </c>
      <c r="CR16" t="e">
        <f>AND(#REF!,"AAAAAH/p+18=")</f>
        <v>#REF!</v>
      </c>
      <c r="CS16" t="e">
        <f>AND(#REF!,"AAAAAH/p+2A=")</f>
        <v>#REF!</v>
      </c>
      <c r="CT16" t="e">
        <f>AND(#REF!,"AAAAAH/p+2E=")</f>
        <v>#REF!</v>
      </c>
      <c r="CU16" t="e">
        <f>AND(#REF!,"AAAAAH/p+2I=")</f>
        <v>#REF!</v>
      </c>
      <c r="CV16" t="e">
        <f>AND(#REF!,"AAAAAH/p+2M=")</f>
        <v>#REF!</v>
      </c>
      <c r="CW16" t="e">
        <f>AND(#REF!,"AAAAAH/p+2Q=")</f>
        <v>#REF!</v>
      </c>
      <c r="CX16" t="e">
        <f>AND(#REF!,"AAAAAH/p+2U=")</f>
        <v>#REF!</v>
      </c>
      <c r="CY16" t="e">
        <f>AND(#REF!,"AAAAAH/p+2Y=")</f>
        <v>#REF!</v>
      </c>
      <c r="CZ16" t="e">
        <f>IF(#REF!,"AAAAAH/p+2c=",0)</f>
        <v>#REF!</v>
      </c>
      <c r="DA16" t="e">
        <f>AND(#REF!,"AAAAAH/p+2g=")</f>
        <v>#REF!</v>
      </c>
      <c r="DB16" t="e">
        <f>AND(#REF!,"AAAAAH/p+2k=")</f>
        <v>#REF!</v>
      </c>
      <c r="DC16" t="e">
        <f>AND(#REF!,"AAAAAH/p+2o=")</f>
        <v>#REF!</v>
      </c>
      <c r="DD16" t="e">
        <f>AND(#REF!,"AAAAAH/p+2s=")</f>
        <v>#REF!</v>
      </c>
      <c r="DE16" t="e">
        <f>AND(#REF!,"AAAAAH/p+2w=")</f>
        <v>#REF!</v>
      </c>
      <c r="DF16" t="e">
        <f>AND(#REF!,"AAAAAH/p+20=")</f>
        <v>#REF!</v>
      </c>
      <c r="DG16" t="e">
        <f>AND(#REF!,"AAAAAH/p+24=")</f>
        <v>#REF!</v>
      </c>
      <c r="DH16" t="e">
        <f>AND(#REF!,"AAAAAH/p+28=")</f>
        <v>#REF!</v>
      </c>
      <c r="DI16" t="e">
        <f>AND(#REF!,"AAAAAH/p+3A=")</f>
        <v>#REF!</v>
      </c>
      <c r="DJ16" t="e">
        <f>AND(#REF!,"AAAAAH/p+3E=")</f>
        <v>#REF!</v>
      </c>
      <c r="DK16" t="e">
        <f>IF(#REF!,"AAAAAH/p+3I=",0)</f>
        <v>#REF!</v>
      </c>
      <c r="DL16" t="e">
        <f>AND(#REF!,"AAAAAH/p+3M=")</f>
        <v>#REF!</v>
      </c>
      <c r="DM16" t="e">
        <f>AND(#REF!,"AAAAAH/p+3Q=")</f>
        <v>#REF!</v>
      </c>
      <c r="DN16" t="e">
        <f>AND(#REF!,"AAAAAH/p+3U=")</f>
        <v>#REF!</v>
      </c>
      <c r="DO16" t="e">
        <f>AND(#REF!,"AAAAAH/p+3Y=")</f>
        <v>#REF!</v>
      </c>
      <c r="DP16" t="e">
        <f>AND(#REF!,"AAAAAH/p+3c=")</f>
        <v>#REF!</v>
      </c>
      <c r="DQ16" t="e">
        <f>AND(#REF!,"AAAAAH/p+3g=")</f>
        <v>#REF!</v>
      </c>
      <c r="DR16" t="e">
        <f>AND(#REF!,"AAAAAH/p+3k=")</f>
        <v>#REF!</v>
      </c>
      <c r="DS16" t="e">
        <f>AND(#REF!,"AAAAAH/p+3o=")</f>
        <v>#REF!</v>
      </c>
      <c r="DT16" t="e">
        <f>AND(#REF!,"AAAAAH/p+3s=")</f>
        <v>#REF!</v>
      </c>
      <c r="DU16" t="e">
        <f>AND(#REF!,"AAAAAH/p+3w=")</f>
        <v>#REF!</v>
      </c>
      <c r="DV16" t="e">
        <f>IF(#REF!,"AAAAAH/p+30=",0)</f>
        <v>#REF!</v>
      </c>
      <c r="DW16" t="e">
        <f>AND(#REF!,"AAAAAH/p+34=")</f>
        <v>#REF!</v>
      </c>
      <c r="DX16" t="e">
        <f>AND(#REF!,"AAAAAH/p+38=")</f>
        <v>#REF!</v>
      </c>
      <c r="DY16" t="e">
        <f>AND(#REF!,"AAAAAH/p+4A=")</f>
        <v>#REF!</v>
      </c>
      <c r="DZ16" t="e">
        <f>AND(#REF!,"AAAAAH/p+4E=")</f>
        <v>#REF!</v>
      </c>
      <c r="EA16" t="e">
        <f>AND(#REF!,"AAAAAH/p+4I=")</f>
        <v>#REF!</v>
      </c>
      <c r="EB16" t="e">
        <f>AND(#REF!,"AAAAAH/p+4M=")</f>
        <v>#REF!</v>
      </c>
      <c r="EC16" t="e">
        <f>AND(#REF!,"AAAAAH/p+4Q=")</f>
        <v>#REF!</v>
      </c>
      <c r="ED16" t="e">
        <f>AND(#REF!,"AAAAAH/p+4U=")</f>
        <v>#REF!</v>
      </c>
      <c r="EE16" t="e">
        <f>AND(#REF!,"AAAAAH/p+4Y=")</f>
        <v>#REF!</v>
      </c>
      <c r="EF16" t="e">
        <f>AND(#REF!,"AAAAAH/p+4c=")</f>
        <v>#REF!</v>
      </c>
      <c r="EG16" t="e">
        <f>IF(#REF!,"AAAAAH/p+4g=",0)</f>
        <v>#REF!</v>
      </c>
      <c r="EH16" t="e">
        <f>AND(#REF!,"AAAAAH/p+4k=")</f>
        <v>#REF!</v>
      </c>
      <c r="EI16" t="e">
        <f>AND(#REF!,"AAAAAH/p+4o=")</f>
        <v>#REF!</v>
      </c>
      <c r="EJ16" t="e">
        <f>AND(#REF!,"AAAAAH/p+4s=")</f>
        <v>#REF!</v>
      </c>
      <c r="EK16" t="e">
        <f>AND(#REF!,"AAAAAH/p+4w=")</f>
        <v>#REF!</v>
      </c>
      <c r="EL16" t="e">
        <f>AND(#REF!,"AAAAAH/p+40=")</f>
        <v>#REF!</v>
      </c>
      <c r="EM16" t="e">
        <f>AND(#REF!,"AAAAAH/p+44=")</f>
        <v>#REF!</v>
      </c>
      <c r="EN16" t="e">
        <f>AND(#REF!,"AAAAAH/p+48=")</f>
        <v>#REF!</v>
      </c>
      <c r="EO16" t="e">
        <f>AND(#REF!,"AAAAAH/p+5A=")</f>
        <v>#REF!</v>
      </c>
      <c r="EP16" t="e">
        <f>AND(#REF!,"AAAAAH/p+5E=")</f>
        <v>#REF!</v>
      </c>
      <c r="EQ16" t="e">
        <f>AND(#REF!,"AAAAAH/p+5I=")</f>
        <v>#REF!</v>
      </c>
      <c r="ER16" t="e">
        <f>IF(#REF!,"AAAAAH/p+5M=",0)</f>
        <v>#REF!</v>
      </c>
      <c r="ES16" t="e">
        <f>AND(#REF!,"AAAAAH/p+5Q=")</f>
        <v>#REF!</v>
      </c>
      <c r="ET16" t="e">
        <f>AND(#REF!,"AAAAAH/p+5U=")</f>
        <v>#REF!</v>
      </c>
      <c r="EU16" t="e">
        <f>AND(#REF!,"AAAAAH/p+5Y=")</f>
        <v>#REF!</v>
      </c>
      <c r="EV16" t="e">
        <f>AND(#REF!,"AAAAAH/p+5c=")</f>
        <v>#REF!</v>
      </c>
      <c r="EW16" t="e">
        <f>AND(#REF!,"AAAAAH/p+5g=")</f>
        <v>#REF!</v>
      </c>
      <c r="EX16" t="e">
        <f>AND(#REF!,"AAAAAH/p+5k=")</f>
        <v>#REF!</v>
      </c>
      <c r="EY16" t="e">
        <f>AND(#REF!,"AAAAAH/p+5o=")</f>
        <v>#REF!</v>
      </c>
      <c r="EZ16" t="e">
        <f>AND(#REF!,"AAAAAH/p+5s=")</f>
        <v>#REF!</v>
      </c>
      <c r="FA16" t="e">
        <f>AND(#REF!,"AAAAAH/p+5w=")</f>
        <v>#REF!</v>
      </c>
      <c r="FB16" t="e">
        <f>AND(#REF!,"AAAAAH/p+50=")</f>
        <v>#REF!</v>
      </c>
      <c r="FC16" t="e">
        <f>IF(#REF!,"AAAAAH/p+54=",0)</f>
        <v>#REF!</v>
      </c>
      <c r="FD16" t="e">
        <f>AND(#REF!,"AAAAAH/p+58=")</f>
        <v>#REF!</v>
      </c>
      <c r="FE16" t="e">
        <f>AND(#REF!,"AAAAAH/p+6A=")</f>
        <v>#REF!</v>
      </c>
      <c r="FF16" t="e">
        <f>AND(#REF!,"AAAAAH/p+6E=")</f>
        <v>#REF!</v>
      </c>
      <c r="FG16" t="e">
        <f>AND(#REF!,"AAAAAH/p+6I=")</f>
        <v>#REF!</v>
      </c>
      <c r="FH16" t="e">
        <f>AND(#REF!,"AAAAAH/p+6M=")</f>
        <v>#REF!</v>
      </c>
      <c r="FI16" t="e">
        <f>AND(#REF!,"AAAAAH/p+6Q=")</f>
        <v>#REF!</v>
      </c>
      <c r="FJ16" t="e">
        <f>AND(#REF!,"AAAAAH/p+6U=")</f>
        <v>#REF!</v>
      </c>
      <c r="FK16" t="e">
        <f>AND(#REF!,"AAAAAH/p+6Y=")</f>
        <v>#REF!</v>
      </c>
      <c r="FL16" t="e">
        <f>AND(#REF!,"AAAAAH/p+6c=")</f>
        <v>#REF!</v>
      </c>
      <c r="FM16" t="e">
        <f>AND(#REF!,"AAAAAH/p+6g=")</f>
        <v>#REF!</v>
      </c>
      <c r="FN16" t="e">
        <f>IF(#REF!,"AAAAAH/p+6k=",0)</f>
        <v>#REF!</v>
      </c>
      <c r="FO16" t="e">
        <f>AND(#REF!,"AAAAAH/p+6o=")</f>
        <v>#REF!</v>
      </c>
      <c r="FP16" t="e">
        <f>AND(#REF!,"AAAAAH/p+6s=")</f>
        <v>#REF!</v>
      </c>
      <c r="FQ16" t="e">
        <f>AND(#REF!,"AAAAAH/p+6w=")</f>
        <v>#REF!</v>
      </c>
      <c r="FR16" t="e">
        <f>AND(#REF!,"AAAAAH/p+60=")</f>
        <v>#REF!</v>
      </c>
      <c r="FS16" t="e">
        <f>AND(#REF!,"AAAAAH/p+64=")</f>
        <v>#REF!</v>
      </c>
      <c r="FT16" t="e">
        <f>AND(#REF!,"AAAAAH/p+68=")</f>
        <v>#REF!</v>
      </c>
      <c r="FU16" t="e">
        <f>AND(#REF!,"AAAAAH/p+7A=")</f>
        <v>#REF!</v>
      </c>
      <c r="FV16" t="e">
        <f>AND(#REF!,"AAAAAH/p+7E=")</f>
        <v>#REF!</v>
      </c>
      <c r="FW16" t="e">
        <f>AND(#REF!,"AAAAAH/p+7I=")</f>
        <v>#REF!</v>
      </c>
      <c r="FX16" t="e">
        <f>AND(#REF!,"AAAAAH/p+7M=")</f>
        <v>#REF!</v>
      </c>
      <c r="FY16" t="e">
        <f>IF(#REF!,"AAAAAH/p+7Q=",0)</f>
        <v>#REF!</v>
      </c>
      <c r="FZ16" t="e">
        <f>AND(#REF!,"AAAAAH/p+7U=")</f>
        <v>#REF!</v>
      </c>
      <c r="GA16" t="e">
        <f>AND(#REF!,"AAAAAH/p+7Y=")</f>
        <v>#REF!</v>
      </c>
      <c r="GB16" t="e">
        <f>AND(#REF!,"AAAAAH/p+7c=")</f>
        <v>#REF!</v>
      </c>
      <c r="GC16" t="e">
        <f>AND(#REF!,"AAAAAH/p+7g=")</f>
        <v>#REF!</v>
      </c>
      <c r="GD16" t="e">
        <f>AND(#REF!,"AAAAAH/p+7k=")</f>
        <v>#REF!</v>
      </c>
      <c r="GE16" t="e">
        <f>AND(#REF!,"AAAAAH/p+7o=")</f>
        <v>#REF!</v>
      </c>
      <c r="GF16" t="e">
        <f>AND(#REF!,"AAAAAH/p+7s=")</f>
        <v>#REF!</v>
      </c>
      <c r="GG16" t="e">
        <f>AND(#REF!,"AAAAAH/p+7w=")</f>
        <v>#REF!</v>
      </c>
      <c r="GH16" t="e">
        <f>AND(#REF!,"AAAAAH/p+70=")</f>
        <v>#REF!</v>
      </c>
      <c r="GI16" t="e">
        <f>AND(#REF!,"AAAAAH/p+74=")</f>
        <v>#REF!</v>
      </c>
      <c r="GJ16" t="e">
        <f>IF(#REF!,"AAAAAH/p+78=",0)</f>
        <v>#REF!</v>
      </c>
      <c r="GK16" t="e">
        <f>AND(#REF!,"AAAAAH/p+8A=")</f>
        <v>#REF!</v>
      </c>
      <c r="GL16" t="e">
        <f>AND(#REF!,"AAAAAH/p+8E=")</f>
        <v>#REF!</v>
      </c>
      <c r="GM16" t="e">
        <f>AND(#REF!,"AAAAAH/p+8I=")</f>
        <v>#REF!</v>
      </c>
      <c r="GN16" t="e">
        <f>AND(#REF!,"AAAAAH/p+8M=")</f>
        <v>#REF!</v>
      </c>
      <c r="GO16" t="e">
        <f>AND(#REF!,"AAAAAH/p+8Q=")</f>
        <v>#REF!</v>
      </c>
      <c r="GP16" t="e">
        <f>AND(#REF!,"AAAAAH/p+8U=")</f>
        <v>#REF!</v>
      </c>
      <c r="GQ16" t="e">
        <f>AND(#REF!,"AAAAAH/p+8Y=")</f>
        <v>#REF!</v>
      </c>
      <c r="GR16" t="e">
        <f>AND(#REF!,"AAAAAH/p+8c=")</f>
        <v>#REF!</v>
      </c>
      <c r="GS16" t="e">
        <f>AND(#REF!,"AAAAAH/p+8g=")</f>
        <v>#REF!</v>
      </c>
      <c r="GT16" t="e">
        <f>AND(#REF!,"AAAAAH/p+8k=")</f>
        <v>#REF!</v>
      </c>
      <c r="GU16" t="e">
        <f>IF(#REF!,"AAAAAH/p+8o=",0)</f>
        <v>#REF!</v>
      </c>
      <c r="GV16" t="e">
        <f>AND(#REF!,"AAAAAH/p+8s=")</f>
        <v>#REF!</v>
      </c>
      <c r="GW16" t="e">
        <f>AND(#REF!,"AAAAAH/p+8w=")</f>
        <v>#REF!</v>
      </c>
      <c r="GX16" t="e">
        <f>AND(#REF!,"AAAAAH/p+80=")</f>
        <v>#REF!</v>
      </c>
      <c r="GY16" t="e">
        <f>AND(#REF!,"AAAAAH/p+84=")</f>
        <v>#REF!</v>
      </c>
      <c r="GZ16" t="e">
        <f>AND(#REF!,"AAAAAH/p+88=")</f>
        <v>#REF!</v>
      </c>
      <c r="HA16" t="e">
        <f>AND(#REF!,"AAAAAH/p+9A=")</f>
        <v>#REF!</v>
      </c>
      <c r="HB16" t="e">
        <f>AND(#REF!,"AAAAAH/p+9E=")</f>
        <v>#REF!</v>
      </c>
      <c r="HC16" t="e">
        <f>AND(#REF!,"AAAAAH/p+9I=")</f>
        <v>#REF!</v>
      </c>
      <c r="HD16" t="e">
        <f>AND(#REF!,"AAAAAH/p+9M=")</f>
        <v>#REF!</v>
      </c>
      <c r="HE16" t="e">
        <f>AND(#REF!,"AAAAAH/p+9Q=")</f>
        <v>#REF!</v>
      </c>
      <c r="HF16" t="e">
        <f>IF(#REF!,"AAAAAH/p+9U=",0)</f>
        <v>#REF!</v>
      </c>
      <c r="HG16" t="e">
        <f>AND(#REF!,"AAAAAH/p+9Y=")</f>
        <v>#REF!</v>
      </c>
      <c r="HH16" t="e">
        <f>AND(#REF!,"AAAAAH/p+9c=")</f>
        <v>#REF!</v>
      </c>
      <c r="HI16" t="e">
        <f>AND(#REF!,"AAAAAH/p+9g=")</f>
        <v>#REF!</v>
      </c>
      <c r="HJ16" t="e">
        <f>AND(#REF!,"AAAAAH/p+9k=")</f>
        <v>#REF!</v>
      </c>
      <c r="HK16" t="e">
        <f>AND(#REF!,"AAAAAH/p+9o=")</f>
        <v>#REF!</v>
      </c>
      <c r="HL16" t="e">
        <f>AND(#REF!,"AAAAAH/p+9s=")</f>
        <v>#REF!</v>
      </c>
      <c r="HM16" t="e">
        <f>AND(#REF!,"AAAAAH/p+9w=")</f>
        <v>#REF!</v>
      </c>
      <c r="HN16" t="e">
        <f>AND(#REF!,"AAAAAH/p+90=")</f>
        <v>#REF!</v>
      </c>
      <c r="HO16" t="e">
        <f>AND(#REF!,"AAAAAH/p+94=")</f>
        <v>#REF!</v>
      </c>
      <c r="HP16" t="e">
        <f>AND(#REF!,"AAAAAH/p+98=")</f>
        <v>#REF!</v>
      </c>
      <c r="HQ16" t="e">
        <f>IF(#REF!,"AAAAAH/p++A=",0)</f>
        <v>#REF!</v>
      </c>
      <c r="HR16" t="e">
        <f>AND(#REF!,"AAAAAH/p++E=")</f>
        <v>#REF!</v>
      </c>
      <c r="HS16" t="e">
        <f>AND(#REF!,"AAAAAH/p++I=")</f>
        <v>#REF!</v>
      </c>
      <c r="HT16" t="e">
        <f>AND(#REF!,"AAAAAH/p++M=")</f>
        <v>#REF!</v>
      </c>
      <c r="HU16" t="e">
        <f>AND(#REF!,"AAAAAH/p++Q=")</f>
        <v>#REF!</v>
      </c>
      <c r="HV16" t="e">
        <f>AND(#REF!,"AAAAAH/p++U=")</f>
        <v>#REF!</v>
      </c>
      <c r="HW16" t="e">
        <f>AND(#REF!,"AAAAAH/p++Y=")</f>
        <v>#REF!</v>
      </c>
      <c r="HX16" t="e">
        <f>AND(#REF!,"AAAAAH/p++c=")</f>
        <v>#REF!</v>
      </c>
      <c r="HY16" t="e">
        <f>AND(#REF!,"AAAAAH/p++g=")</f>
        <v>#REF!</v>
      </c>
      <c r="HZ16" t="e">
        <f>AND(#REF!,"AAAAAH/p++k=")</f>
        <v>#REF!</v>
      </c>
      <c r="IA16" t="e">
        <f>AND(#REF!,"AAAAAH/p++o=")</f>
        <v>#REF!</v>
      </c>
      <c r="IB16" t="e">
        <f>IF(#REF!,"AAAAAH/p++s=",0)</f>
        <v>#REF!</v>
      </c>
      <c r="IC16" t="e">
        <f>AND(#REF!,"AAAAAH/p++w=")</f>
        <v>#REF!</v>
      </c>
      <c r="ID16" t="e">
        <f>AND(#REF!,"AAAAAH/p++0=")</f>
        <v>#REF!</v>
      </c>
      <c r="IE16" t="e">
        <f>AND(#REF!,"AAAAAH/p++4=")</f>
        <v>#REF!</v>
      </c>
      <c r="IF16" t="e">
        <f>AND(#REF!,"AAAAAH/p++8=")</f>
        <v>#REF!</v>
      </c>
      <c r="IG16" t="e">
        <f>AND(#REF!,"AAAAAH/p+/A=")</f>
        <v>#REF!</v>
      </c>
      <c r="IH16" t="e">
        <f>AND(#REF!,"AAAAAH/p+/E=")</f>
        <v>#REF!</v>
      </c>
      <c r="II16" t="e">
        <f>AND(#REF!,"AAAAAH/p+/I=")</f>
        <v>#REF!</v>
      </c>
      <c r="IJ16" t="e">
        <f>AND(#REF!,"AAAAAH/p+/M=")</f>
        <v>#REF!</v>
      </c>
      <c r="IK16" t="e">
        <f>AND(#REF!,"AAAAAH/p+/Q=")</f>
        <v>#REF!</v>
      </c>
      <c r="IL16" t="e">
        <f>AND(#REF!,"AAAAAH/p+/U=")</f>
        <v>#REF!</v>
      </c>
      <c r="IM16" t="e">
        <f>IF(#REF!,"AAAAAH/p+/Y=",0)</f>
        <v>#REF!</v>
      </c>
      <c r="IN16" t="e">
        <f>AND(#REF!,"AAAAAH/p+/c=")</f>
        <v>#REF!</v>
      </c>
      <c r="IO16" t="e">
        <f>AND(#REF!,"AAAAAH/p+/g=")</f>
        <v>#REF!</v>
      </c>
      <c r="IP16" t="e">
        <f>AND(#REF!,"AAAAAH/p+/k=")</f>
        <v>#REF!</v>
      </c>
      <c r="IQ16" t="e">
        <f>AND(#REF!,"AAAAAH/p+/o=")</f>
        <v>#REF!</v>
      </c>
      <c r="IR16" t="e">
        <f>AND(#REF!,"AAAAAH/p+/s=")</f>
        <v>#REF!</v>
      </c>
      <c r="IS16" t="e">
        <f>AND(#REF!,"AAAAAH/p+/w=")</f>
        <v>#REF!</v>
      </c>
      <c r="IT16" t="e">
        <f>AND(#REF!,"AAAAAH/p+/0=")</f>
        <v>#REF!</v>
      </c>
      <c r="IU16" t="e">
        <f>AND(#REF!,"AAAAAH/p+/4=")</f>
        <v>#REF!</v>
      </c>
      <c r="IV16" t="e">
        <f>AND(#REF!,"AAAAAH/p+/8=")</f>
        <v>#REF!</v>
      </c>
    </row>
    <row r="17" spans="1:256" x14ac:dyDescent="0.25">
      <c r="A17" t="e">
        <f>AND(#REF!,"AAAAAHd38gA=")</f>
        <v>#REF!</v>
      </c>
      <c r="B17" t="e">
        <f>IF(#REF!,"AAAAAHd38gE=",0)</f>
        <v>#REF!</v>
      </c>
      <c r="C17" t="e">
        <f>AND(#REF!,"AAAAAHd38gI=")</f>
        <v>#REF!</v>
      </c>
      <c r="D17" t="e">
        <f>AND(#REF!,"AAAAAHd38gM=")</f>
        <v>#REF!</v>
      </c>
      <c r="E17" t="e">
        <f>AND(#REF!,"AAAAAHd38gQ=")</f>
        <v>#REF!</v>
      </c>
      <c r="F17" t="e">
        <f>AND(#REF!,"AAAAAHd38gU=")</f>
        <v>#REF!</v>
      </c>
      <c r="G17" t="e">
        <f>AND(#REF!,"AAAAAHd38gY=")</f>
        <v>#REF!</v>
      </c>
      <c r="H17" t="e">
        <f>AND(#REF!,"AAAAAHd38gc=")</f>
        <v>#REF!</v>
      </c>
      <c r="I17" t="e">
        <f>AND(#REF!,"AAAAAHd38gg=")</f>
        <v>#REF!</v>
      </c>
      <c r="J17" t="e">
        <f>AND(#REF!,"AAAAAHd38gk=")</f>
        <v>#REF!</v>
      </c>
      <c r="K17" t="e">
        <f>AND(#REF!,"AAAAAHd38go=")</f>
        <v>#REF!</v>
      </c>
      <c r="L17" t="e">
        <f>AND(#REF!,"AAAAAHd38gs=")</f>
        <v>#REF!</v>
      </c>
      <c r="M17" t="e">
        <f>IF(#REF!,"AAAAAHd38gw=",0)</f>
        <v>#REF!</v>
      </c>
      <c r="N17" t="e">
        <f>AND(#REF!,"AAAAAHd38g0=")</f>
        <v>#REF!</v>
      </c>
      <c r="O17" t="e">
        <f>AND(#REF!,"AAAAAHd38g4=")</f>
        <v>#REF!</v>
      </c>
      <c r="P17" t="e">
        <f>AND(#REF!,"AAAAAHd38g8=")</f>
        <v>#REF!</v>
      </c>
      <c r="Q17" t="e">
        <f>AND(#REF!,"AAAAAHd38hA=")</f>
        <v>#REF!</v>
      </c>
      <c r="R17" t="e">
        <f>AND(#REF!,"AAAAAHd38hE=")</f>
        <v>#REF!</v>
      </c>
      <c r="S17" t="e">
        <f>AND(#REF!,"AAAAAHd38hI=")</f>
        <v>#REF!</v>
      </c>
      <c r="T17" t="e">
        <f>AND(#REF!,"AAAAAHd38hM=")</f>
        <v>#REF!</v>
      </c>
      <c r="U17" t="e">
        <f>AND(#REF!,"AAAAAHd38hQ=")</f>
        <v>#REF!</v>
      </c>
      <c r="V17" t="e">
        <f>AND(#REF!,"AAAAAHd38hU=")</f>
        <v>#REF!</v>
      </c>
      <c r="W17" t="e">
        <f>AND(#REF!,"AAAAAHd38hY=")</f>
        <v>#REF!</v>
      </c>
      <c r="X17" t="e">
        <f>IF(#REF!,"AAAAAHd38hc=",0)</f>
        <v>#REF!</v>
      </c>
      <c r="Y17" t="e">
        <f>AND(#REF!,"AAAAAHd38hg=")</f>
        <v>#REF!</v>
      </c>
      <c r="Z17" t="e">
        <f>AND(#REF!,"AAAAAHd38hk=")</f>
        <v>#REF!</v>
      </c>
      <c r="AA17" t="e">
        <f>AND(#REF!,"AAAAAHd38ho=")</f>
        <v>#REF!</v>
      </c>
      <c r="AB17" t="e">
        <f>AND(#REF!,"AAAAAHd38hs=")</f>
        <v>#REF!</v>
      </c>
      <c r="AC17" t="e">
        <f>AND(#REF!,"AAAAAHd38hw=")</f>
        <v>#REF!</v>
      </c>
      <c r="AD17" t="e">
        <f>AND(#REF!,"AAAAAHd38h0=")</f>
        <v>#REF!</v>
      </c>
      <c r="AE17" t="e">
        <f>AND(#REF!,"AAAAAHd38h4=")</f>
        <v>#REF!</v>
      </c>
      <c r="AF17" t="e">
        <f>AND(#REF!,"AAAAAHd38h8=")</f>
        <v>#REF!</v>
      </c>
      <c r="AG17" t="e">
        <f>AND(#REF!,"AAAAAHd38iA=")</f>
        <v>#REF!</v>
      </c>
      <c r="AH17" t="e">
        <f>AND(#REF!,"AAAAAHd38iE=")</f>
        <v>#REF!</v>
      </c>
      <c r="AI17" t="e">
        <f>IF(#REF!,"AAAAAHd38iI=",0)</f>
        <v>#REF!</v>
      </c>
      <c r="AJ17" t="e">
        <f>AND(#REF!,"AAAAAHd38iM=")</f>
        <v>#REF!</v>
      </c>
      <c r="AK17" t="e">
        <f>AND(#REF!,"AAAAAHd38iQ=")</f>
        <v>#REF!</v>
      </c>
      <c r="AL17" t="e">
        <f>AND(#REF!,"AAAAAHd38iU=")</f>
        <v>#REF!</v>
      </c>
      <c r="AM17" t="e">
        <f>AND(#REF!,"AAAAAHd38iY=")</f>
        <v>#REF!</v>
      </c>
      <c r="AN17" t="e">
        <f>AND(#REF!,"AAAAAHd38ic=")</f>
        <v>#REF!</v>
      </c>
      <c r="AO17" t="e">
        <f>AND(#REF!,"AAAAAHd38ig=")</f>
        <v>#REF!</v>
      </c>
      <c r="AP17" t="e">
        <f>AND(#REF!,"AAAAAHd38ik=")</f>
        <v>#REF!</v>
      </c>
      <c r="AQ17" t="e">
        <f>AND(#REF!,"AAAAAHd38io=")</f>
        <v>#REF!</v>
      </c>
      <c r="AR17" t="e">
        <f>AND(#REF!,"AAAAAHd38is=")</f>
        <v>#REF!</v>
      </c>
      <c r="AS17" t="e">
        <f>AND(#REF!,"AAAAAHd38iw=")</f>
        <v>#REF!</v>
      </c>
      <c r="AT17" t="e">
        <f>IF(#REF!,"AAAAAHd38i0=",0)</f>
        <v>#REF!</v>
      </c>
      <c r="AU17" t="e">
        <f>AND(#REF!,"AAAAAHd38i4=")</f>
        <v>#REF!</v>
      </c>
      <c r="AV17" t="e">
        <f>AND(#REF!,"AAAAAHd38i8=")</f>
        <v>#REF!</v>
      </c>
      <c r="AW17" t="e">
        <f>AND(#REF!,"AAAAAHd38jA=")</f>
        <v>#REF!</v>
      </c>
      <c r="AX17" t="e">
        <f>AND(#REF!,"AAAAAHd38jE=")</f>
        <v>#REF!</v>
      </c>
      <c r="AY17" t="e">
        <f>AND(#REF!,"AAAAAHd38jI=")</f>
        <v>#REF!</v>
      </c>
      <c r="AZ17" t="e">
        <f>AND(#REF!,"AAAAAHd38jM=")</f>
        <v>#REF!</v>
      </c>
      <c r="BA17" t="e">
        <f>AND(#REF!,"AAAAAHd38jQ=")</f>
        <v>#REF!</v>
      </c>
      <c r="BB17" t="e">
        <f>AND(#REF!,"AAAAAHd38jU=")</f>
        <v>#REF!</v>
      </c>
      <c r="BC17" t="e">
        <f>AND(#REF!,"AAAAAHd38jY=")</f>
        <v>#REF!</v>
      </c>
      <c r="BD17" t="e">
        <f>AND(#REF!,"AAAAAHd38jc=")</f>
        <v>#REF!</v>
      </c>
      <c r="BE17" t="e">
        <f>IF(#REF!,"AAAAAHd38jg=",0)</f>
        <v>#REF!</v>
      </c>
      <c r="BF17" t="e">
        <f>AND(#REF!,"AAAAAHd38jk=")</f>
        <v>#REF!</v>
      </c>
      <c r="BG17" t="e">
        <f>AND(#REF!,"AAAAAHd38jo=")</f>
        <v>#REF!</v>
      </c>
      <c r="BH17" t="e">
        <f>AND(#REF!,"AAAAAHd38js=")</f>
        <v>#REF!</v>
      </c>
      <c r="BI17" t="e">
        <f>AND(#REF!,"AAAAAHd38jw=")</f>
        <v>#REF!</v>
      </c>
      <c r="BJ17" t="e">
        <f>AND(#REF!,"AAAAAHd38j0=")</f>
        <v>#REF!</v>
      </c>
      <c r="BK17" t="e">
        <f>AND(#REF!,"AAAAAHd38j4=")</f>
        <v>#REF!</v>
      </c>
      <c r="BL17" t="e">
        <f>AND(#REF!,"AAAAAHd38j8=")</f>
        <v>#REF!</v>
      </c>
      <c r="BM17" t="e">
        <f>AND(#REF!,"AAAAAHd38kA=")</f>
        <v>#REF!</v>
      </c>
      <c r="BN17" t="e">
        <f>AND(#REF!,"AAAAAHd38kE=")</f>
        <v>#REF!</v>
      </c>
      <c r="BO17" t="e">
        <f>AND(#REF!,"AAAAAHd38kI=")</f>
        <v>#REF!</v>
      </c>
      <c r="BP17" t="e">
        <f>IF(#REF!,"AAAAAHd38kM=",0)</f>
        <v>#REF!</v>
      </c>
      <c r="BQ17" t="e">
        <f>AND(#REF!,"AAAAAHd38kQ=")</f>
        <v>#REF!</v>
      </c>
      <c r="BR17" t="e">
        <f>AND(#REF!,"AAAAAHd38kU=")</f>
        <v>#REF!</v>
      </c>
      <c r="BS17" t="e">
        <f>AND(#REF!,"AAAAAHd38kY=")</f>
        <v>#REF!</v>
      </c>
      <c r="BT17" t="e">
        <f>AND(#REF!,"AAAAAHd38kc=")</f>
        <v>#REF!</v>
      </c>
      <c r="BU17" t="e">
        <f>AND(#REF!,"AAAAAHd38kg=")</f>
        <v>#REF!</v>
      </c>
      <c r="BV17" t="e">
        <f>AND(#REF!,"AAAAAHd38kk=")</f>
        <v>#REF!</v>
      </c>
      <c r="BW17" t="e">
        <f>AND(#REF!,"AAAAAHd38ko=")</f>
        <v>#REF!</v>
      </c>
      <c r="BX17" t="e">
        <f>AND(#REF!,"AAAAAHd38ks=")</f>
        <v>#REF!</v>
      </c>
      <c r="BY17" t="e">
        <f>AND(#REF!,"AAAAAHd38kw=")</f>
        <v>#REF!</v>
      </c>
      <c r="BZ17" t="e">
        <f>AND(#REF!,"AAAAAHd38k0=")</f>
        <v>#REF!</v>
      </c>
      <c r="CA17" t="e">
        <f>IF(#REF!,"AAAAAHd38k4=",0)</f>
        <v>#REF!</v>
      </c>
      <c r="CB17" t="e">
        <f>AND(#REF!,"AAAAAHd38k8=")</f>
        <v>#REF!</v>
      </c>
      <c r="CC17" t="e">
        <f>AND(#REF!,"AAAAAHd38lA=")</f>
        <v>#REF!</v>
      </c>
      <c r="CD17" t="e">
        <f>AND(#REF!,"AAAAAHd38lE=")</f>
        <v>#REF!</v>
      </c>
      <c r="CE17" t="e">
        <f>AND(#REF!,"AAAAAHd38lI=")</f>
        <v>#REF!</v>
      </c>
      <c r="CF17" t="e">
        <f>AND(#REF!,"AAAAAHd38lM=")</f>
        <v>#REF!</v>
      </c>
      <c r="CG17" t="e">
        <f>AND(#REF!,"AAAAAHd38lQ=")</f>
        <v>#REF!</v>
      </c>
      <c r="CH17" t="e">
        <f>AND(#REF!,"AAAAAHd38lU=")</f>
        <v>#REF!</v>
      </c>
      <c r="CI17" t="e">
        <f>AND(#REF!,"AAAAAHd38lY=")</f>
        <v>#REF!</v>
      </c>
      <c r="CJ17" t="e">
        <f>AND(#REF!,"AAAAAHd38lc=")</f>
        <v>#REF!</v>
      </c>
      <c r="CK17" t="e">
        <f>AND(#REF!,"AAAAAHd38lg=")</f>
        <v>#REF!</v>
      </c>
      <c r="CL17" t="e">
        <f>IF(#REF!,"AAAAAHd38lk=",0)</f>
        <v>#REF!</v>
      </c>
      <c r="CM17" t="e">
        <f>AND(#REF!,"AAAAAHd38lo=")</f>
        <v>#REF!</v>
      </c>
      <c r="CN17" t="e">
        <f>AND(#REF!,"AAAAAHd38ls=")</f>
        <v>#REF!</v>
      </c>
      <c r="CO17" t="e">
        <f>AND(#REF!,"AAAAAHd38lw=")</f>
        <v>#REF!</v>
      </c>
      <c r="CP17" t="e">
        <f>AND(#REF!,"AAAAAHd38l0=")</f>
        <v>#REF!</v>
      </c>
      <c r="CQ17" t="e">
        <f>AND(#REF!,"AAAAAHd38l4=")</f>
        <v>#REF!</v>
      </c>
      <c r="CR17" t="e">
        <f>AND(#REF!,"AAAAAHd38l8=")</f>
        <v>#REF!</v>
      </c>
      <c r="CS17" t="e">
        <f>AND(#REF!,"AAAAAHd38mA=")</f>
        <v>#REF!</v>
      </c>
      <c r="CT17" t="e">
        <f>AND(#REF!,"AAAAAHd38mE=")</f>
        <v>#REF!</v>
      </c>
      <c r="CU17" t="e">
        <f>AND(#REF!,"AAAAAHd38mI=")</f>
        <v>#REF!</v>
      </c>
      <c r="CV17" t="e">
        <f>AND(#REF!,"AAAAAHd38mM=")</f>
        <v>#REF!</v>
      </c>
      <c r="CW17" t="e">
        <f>IF(#REF!,"AAAAAHd38mQ=",0)</f>
        <v>#REF!</v>
      </c>
      <c r="CX17" t="e">
        <f>AND(#REF!,"AAAAAHd38mU=")</f>
        <v>#REF!</v>
      </c>
      <c r="CY17" t="e">
        <f>AND(#REF!,"AAAAAHd38mY=")</f>
        <v>#REF!</v>
      </c>
      <c r="CZ17" t="e">
        <f>AND(#REF!,"AAAAAHd38mc=")</f>
        <v>#REF!</v>
      </c>
      <c r="DA17" t="e">
        <f>AND(#REF!,"AAAAAHd38mg=")</f>
        <v>#REF!</v>
      </c>
      <c r="DB17" t="e">
        <f>AND(#REF!,"AAAAAHd38mk=")</f>
        <v>#REF!</v>
      </c>
      <c r="DC17" t="e">
        <f>AND(#REF!,"AAAAAHd38mo=")</f>
        <v>#REF!</v>
      </c>
      <c r="DD17" t="e">
        <f>AND(#REF!,"AAAAAHd38ms=")</f>
        <v>#REF!</v>
      </c>
      <c r="DE17" t="e">
        <f>AND(#REF!,"AAAAAHd38mw=")</f>
        <v>#REF!</v>
      </c>
      <c r="DF17" t="e">
        <f>AND(#REF!,"AAAAAHd38m0=")</f>
        <v>#REF!</v>
      </c>
      <c r="DG17" t="e">
        <f>AND(#REF!,"AAAAAHd38m4=")</f>
        <v>#REF!</v>
      </c>
      <c r="DH17" t="e">
        <f>IF(#REF!,"AAAAAHd38m8=",0)</f>
        <v>#REF!</v>
      </c>
      <c r="DI17" t="e">
        <f>AND(#REF!,"AAAAAHd38nA=")</f>
        <v>#REF!</v>
      </c>
      <c r="DJ17" t="e">
        <f>AND(#REF!,"AAAAAHd38nE=")</f>
        <v>#REF!</v>
      </c>
      <c r="DK17" t="e">
        <f>AND(#REF!,"AAAAAHd38nI=")</f>
        <v>#REF!</v>
      </c>
      <c r="DL17" t="e">
        <f>AND(#REF!,"AAAAAHd38nM=")</f>
        <v>#REF!</v>
      </c>
      <c r="DM17" t="e">
        <f>AND(#REF!,"AAAAAHd38nQ=")</f>
        <v>#REF!</v>
      </c>
      <c r="DN17" t="e">
        <f>AND(#REF!,"AAAAAHd38nU=")</f>
        <v>#REF!</v>
      </c>
      <c r="DO17" t="e">
        <f>AND(#REF!,"AAAAAHd38nY=")</f>
        <v>#REF!</v>
      </c>
      <c r="DP17" t="e">
        <f>AND(#REF!,"AAAAAHd38nc=")</f>
        <v>#REF!</v>
      </c>
      <c r="DQ17" t="e">
        <f>AND(#REF!,"AAAAAHd38ng=")</f>
        <v>#REF!</v>
      </c>
      <c r="DR17" t="e">
        <f>AND(#REF!,"AAAAAHd38nk=")</f>
        <v>#REF!</v>
      </c>
      <c r="DS17" t="e">
        <f>IF(#REF!,"AAAAAHd38no=",0)</f>
        <v>#REF!</v>
      </c>
      <c r="DT17" t="e">
        <f>AND(#REF!,"AAAAAHd38ns=")</f>
        <v>#REF!</v>
      </c>
      <c r="DU17" t="e">
        <f>AND(#REF!,"AAAAAHd38nw=")</f>
        <v>#REF!</v>
      </c>
      <c r="DV17" t="e">
        <f>AND(#REF!,"AAAAAHd38n0=")</f>
        <v>#REF!</v>
      </c>
      <c r="DW17" t="e">
        <f>AND(#REF!,"AAAAAHd38n4=")</f>
        <v>#REF!</v>
      </c>
      <c r="DX17" t="e">
        <f>AND(#REF!,"AAAAAHd38n8=")</f>
        <v>#REF!</v>
      </c>
      <c r="DY17" t="e">
        <f>AND(#REF!,"AAAAAHd38oA=")</f>
        <v>#REF!</v>
      </c>
      <c r="DZ17" t="e">
        <f>AND(#REF!,"AAAAAHd38oE=")</f>
        <v>#REF!</v>
      </c>
      <c r="EA17" t="e">
        <f>AND(#REF!,"AAAAAHd38oI=")</f>
        <v>#REF!</v>
      </c>
      <c r="EB17" t="e">
        <f>AND(#REF!,"AAAAAHd38oM=")</f>
        <v>#REF!</v>
      </c>
      <c r="EC17" t="e">
        <f>AND(#REF!,"AAAAAHd38oQ=")</f>
        <v>#REF!</v>
      </c>
      <c r="ED17" t="e">
        <f>IF(#REF!,"AAAAAHd38oU=",0)</f>
        <v>#REF!</v>
      </c>
      <c r="EE17" t="e">
        <f>AND(#REF!,"AAAAAHd38oY=")</f>
        <v>#REF!</v>
      </c>
      <c r="EF17" t="e">
        <f>AND(#REF!,"AAAAAHd38oc=")</f>
        <v>#REF!</v>
      </c>
      <c r="EG17" t="e">
        <f>AND(#REF!,"AAAAAHd38og=")</f>
        <v>#REF!</v>
      </c>
      <c r="EH17" t="e">
        <f>AND(#REF!,"AAAAAHd38ok=")</f>
        <v>#REF!</v>
      </c>
      <c r="EI17" t="e">
        <f>AND(#REF!,"AAAAAHd38oo=")</f>
        <v>#REF!</v>
      </c>
      <c r="EJ17" t="e">
        <f>AND(#REF!,"AAAAAHd38os=")</f>
        <v>#REF!</v>
      </c>
      <c r="EK17" t="e">
        <f>AND(#REF!,"AAAAAHd38ow=")</f>
        <v>#REF!</v>
      </c>
      <c r="EL17" t="e">
        <f>AND(#REF!,"AAAAAHd38o0=")</f>
        <v>#REF!</v>
      </c>
      <c r="EM17" t="e">
        <f>AND(#REF!,"AAAAAHd38o4=")</f>
        <v>#REF!</v>
      </c>
      <c r="EN17" t="e">
        <f>AND(#REF!,"AAAAAHd38o8=")</f>
        <v>#REF!</v>
      </c>
      <c r="EO17" t="e">
        <f>IF(#REF!,"AAAAAHd38pA=",0)</f>
        <v>#REF!</v>
      </c>
      <c r="EP17" t="e">
        <f>AND(#REF!,"AAAAAHd38pE=")</f>
        <v>#REF!</v>
      </c>
      <c r="EQ17" t="e">
        <f>AND(#REF!,"AAAAAHd38pI=")</f>
        <v>#REF!</v>
      </c>
      <c r="ER17" t="e">
        <f>AND(#REF!,"AAAAAHd38pM=")</f>
        <v>#REF!</v>
      </c>
      <c r="ES17" t="e">
        <f>AND(#REF!,"AAAAAHd38pQ=")</f>
        <v>#REF!</v>
      </c>
      <c r="ET17" t="e">
        <f>AND(#REF!,"AAAAAHd38pU=")</f>
        <v>#REF!</v>
      </c>
      <c r="EU17" t="e">
        <f>AND(#REF!,"AAAAAHd38pY=")</f>
        <v>#REF!</v>
      </c>
      <c r="EV17" t="e">
        <f>AND(#REF!,"AAAAAHd38pc=")</f>
        <v>#REF!</v>
      </c>
      <c r="EW17" t="e">
        <f>AND(#REF!,"AAAAAHd38pg=")</f>
        <v>#REF!</v>
      </c>
      <c r="EX17" t="e">
        <f>AND(#REF!,"AAAAAHd38pk=")</f>
        <v>#REF!</v>
      </c>
      <c r="EY17" t="e">
        <f>AND(#REF!,"AAAAAHd38po=")</f>
        <v>#REF!</v>
      </c>
      <c r="EZ17" t="e">
        <f>IF(#REF!,"AAAAAHd38ps=",0)</f>
        <v>#REF!</v>
      </c>
      <c r="FA17" t="e">
        <f>AND(#REF!,"AAAAAHd38pw=")</f>
        <v>#REF!</v>
      </c>
      <c r="FB17" t="e">
        <f>AND(#REF!,"AAAAAHd38p0=")</f>
        <v>#REF!</v>
      </c>
      <c r="FC17" t="e">
        <f>AND(#REF!,"AAAAAHd38p4=")</f>
        <v>#REF!</v>
      </c>
      <c r="FD17" t="e">
        <f>AND(#REF!,"AAAAAHd38p8=")</f>
        <v>#REF!</v>
      </c>
      <c r="FE17" t="e">
        <f>AND(#REF!,"AAAAAHd38qA=")</f>
        <v>#REF!</v>
      </c>
      <c r="FF17" t="e">
        <f>AND(#REF!,"AAAAAHd38qE=")</f>
        <v>#REF!</v>
      </c>
      <c r="FG17" t="e">
        <f>AND(#REF!,"AAAAAHd38qI=")</f>
        <v>#REF!</v>
      </c>
      <c r="FH17" t="e">
        <f>AND(#REF!,"AAAAAHd38qM=")</f>
        <v>#REF!</v>
      </c>
      <c r="FI17" t="e">
        <f>AND(#REF!,"AAAAAHd38qQ=")</f>
        <v>#REF!</v>
      </c>
      <c r="FJ17" t="e">
        <f>AND(#REF!,"AAAAAHd38qU=")</f>
        <v>#REF!</v>
      </c>
      <c r="FK17" t="e">
        <f>IF(#REF!,"AAAAAHd38qY=",0)</f>
        <v>#REF!</v>
      </c>
      <c r="FL17" t="e">
        <f>AND(#REF!,"AAAAAHd38qc=")</f>
        <v>#REF!</v>
      </c>
      <c r="FM17" t="e">
        <f>AND(#REF!,"AAAAAHd38qg=")</f>
        <v>#REF!</v>
      </c>
      <c r="FN17" t="e">
        <f>AND(#REF!,"AAAAAHd38qk=")</f>
        <v>#REF!</v>
      </c>
      <c r="FO17" t="e">
        <f>AND(#REF!,"AAAAAHd38qo=")</f>
        <v>#REF!</v>
      </c>
      <c r="FP17" t="e">
        <f>AND(#REF!,"AAAAAHd38qs=")</f>
        <v>#REF!</v>
      </c>
      <c r="FQ17" t="e">
        <f>AND(#REF!,"AAAAAHd38qw=")</f>
        <v>#REF!</v>
      </c>
      <c r="FR17" t="e">
        <f>AND(#REF!,"AAAAAHd38q0=")</f>
        <v>#REF!</v>
      </c>
      <c r="FS17" t="e">
        <f>AND(#REF!,"AAAAAHd38q4=")</f>
        <v>#REF!</v>
      </c>
      <c r="FT17" t="e">
        <f>AND(#REF!,"AAAAAHd38q8=")</f>
        <v>#REF!</v>
      </c>
      <c r="FU17" t="e">
        <f>AND(#REF!,"AAAAAHd38rA=")</f>
        <v>#REF!</v>
      </c>
      <c r="FV17" t="e">
        <f>IF(#REF!,"AAAAAHd38rE=",0)</f>
        <v>#REF!</v>
      </c>
      <c r="FW17" t="e">
        <f>AND(#REF!,"AAAAAHd38rI=")</f>
        <v>#REF!</v>
      </c>
      <c r="FX17" t="e">
        <f>AND(#REF!,"AAAAAHd38rM=")</f>
        <v>#REF!</v>
      </c>
      <c r="FY17" t="e">
        <f>AND(#REF!,"AAAAAHd38rQ=")</f>
        <v>#REF!</v>
      </c>
      <c r="FZ17" t="e">
        <f>AND(#REF!,"AAAAAHd38rU=")</f>
        <v>#REF!</v>
      </c>
      <c r="GA17" t="e">
        <f>AND(#REF!,"AAAAAHd38rY=")</f>
        <v>#REF!</v>
      </c>
      <c r="GB17" t="e">
        <f>AND(#REF!,"AAAAAHd38rc=")</f>
        <v>#REF!</v>
      </c>
      <c r="GC17" t="e">
        <f>AND(#REF!,"AAAAAHd38rg=")</f>
        <v>#REF!</v>
      </c>
      <c r="GD17" t="e">
        <f>AND(#REF!,"AAAAAHd38rk=")</f>
        <v>#REF!</v>
      </c>
      <c r="GE17" t="e">
        <f>AND(#REF!,"AAAAAHd38ro=")</f>
        <v>#REF!</v>
      </c>
      <c r="GF17" t="e">
        <f>AND(#REF!,"AAAAAHd38rs=")</f>
        <v>#REF!</v>
      </c>
      <c r="GG17" t="e">
        <f>IF(#REF!,"AAAAAHd38rw=",0)</f>
        <v>#REF!</v>
      </c>
      <c r="GH17" t="e">
        <f>AND(#REF!,"AAAAAHd38r0=")</f>
        <v>#REF!</v>
      </c>
      <c r="GI17" t="e">
        <f>AND(#REF!,"AAAAAHd38r4=")</f>
        <v>#REF!</v>
      </c>
      <c r="GJ17" t="e">
        <f>AND(#REF!,"AAAAAHd38r8=")</f>
        <v>#REF!</v>
      </c>
      <c r="GK17" t="e">
        <f>AND(#REF!,"AAAAAHd38sA=")</f>
        <v>#REF!</v>
      </c>
      <c r="GL17" t="e">
        <f>AND(#REF!,"AAAAAHd38sE=")</f>
        <v>#REF!</v>
      </c>
      <c r="GM17" t="e">
        <f>AND(#REF!,"AAAAAHd38sI=")</f>
        <v>#REF!</v>
      </c>
      <c r="GN17" t="e">
        <f>AND(#REF!,"AAAAAHd38sM=")</f>
        <v>#REF!</v>
      </c>
      <c r="GO17" t="e">
        <f>AND(#REF!,"AAAAAHd38sQ=")</f>
        <v>#REF!</v>
      </c>
      <c r="GP17" t="e">
        <f>AND(#REF!,"AAAAAHd38sU=")</f>
        <v>#REF!</v>
      </c>
      <c r="GQ17" t="e">
        <f>AND(#REF!,"AAAAAHd38sY=")</f>
        <v>#REF!</v>
      </c>
      <c r="GR17" t="e">
        <f>IF(#REF!,"AAAAAHd38sc=",0)</f>
        <v>#REF!</v>
      </c>
      <c r="GS17" t="e">
        <f>AND(#REF!,"AAAAAHd38sg=")</f>
        <v>#REF!</v>
      </c>
      <c r="GT17" t="e">
        <f>AND(#REF!,"AAAAAHd38sk=")</f>
        <v>#REF!</v>
      </c>
      <c r="GU17" t="e">
        <f>AND(#REF!,"AAAAAHd38so=")</f>
        <v>#REF!</v>
      </c>
      <c r="GV17" t="e">
        <f>AND(#REF!,"AAAAAHd38ss=")</f>
        <v>#REF!</v>
      </c>
      <c r="GW17" t="e">
        <f>AND(#REF!,"AAAAAHd38sw=")</f>
        <v>#REF!</v>
      </c>
      <c r="GX17" t="e">
        <f>AND(#REF!,"AAAAAHd38s0=")</f>
        <v>#REF!</v>
      </c>
      <c r="GY17" t="e">
        <f>AND(#REF!,"AAAAAHd38s4=")</f>
        <v>#REF!</v>
      </c>
      <c r="GZ17" t="e">
        <f>AND(#REF!,"AAAAAHd38s8=")</f>
        <v>#REF!</v>
      </c>
      <c r="HA17" t="e">
        <f>AND(#REF!,"AAAAAHd38tA=")</f>
        <v>#REF!</v>
      </c>
      <c r="HB17" t="e">
        <f>AND(#REF!,"AAAAAHd38tE=")</f>
        <v>#REF!</v>
      </c>
      <c r="HC17" t="e">
        <f>IF(#REF!,"AAAAAHd38tI=",0)</f>
        <v>#REF!</v>
      </c>
      <c r="HD17" t="e">
        <f>AND(#REF!,"AAAAAHd38tM=")</f>
        <v>#REF!</v>
      </c>
      <c r="HE17" t="e">
        <f>AND(#REF!,"AAAAAHd38tQ=")</f>
        <v>#REF!</v>
      </c>
      <c r="HF17" t="e">
        <f>AND(#REF!,"AAAAAHd38tU=")</f>
        <v>#REF!</v>
      </c>
      <c r="HG17" t="e">
        <f>AND(#REF!,"AAAAAHd38tY=")</f>
        <v>#REF!</v>
      </c>
      <c r="HH17" t="e">
        <f>AND(#REF!,"AAAAAHd38tc=")</f>
        <v>#REF!</v>
      </c>
      <c r="HI17" t="e">
        <f>AND(#REF!,"AAAAAHd38tg=")</f>
        <v>#REF!</v>
      </c>
      <c r="HJ17" t="e">
        <f>AND(#REF!,"AAAAAHd38tk=")</f>
        <v>#REF!</v>
      </c>
      <c r="HK17" t="e">
        <f>AND(#REF!,"AAAAAHd38to=")</f>
        <v>#REF!</v>
      </c>
      <c r="HL17" t="e">
        <f>AND(#REF!,"AAAAAHd38ts=")</f>
        <v>#REF!</v>
      </c>
      <c r="HM17" t="e">
        <f>AND(#REF!,"AAAAAHd38tw=")</f>
        <v>#REF!</v>
      </c>
      <c r="HN17" t="e">
        <f>IF(#REF!,"AAAAAHd38t0=",0)</f>
        <v>#REF!</v>
      </c>
      <c r="HO17" t="e">
        <f>AND(#REF!,"AAAAAHd38t4=")</f>
        <v>#REF!</v>
      </c>
      <c r="HP17" t="e">
        <f>AND(#REF!,"AAAAAHd38t8=")</f>
        <v>#REF!</v>
      </c>
      <c r="HQ17" t="e">
        <f>AND(#REF!,"AAAAAHd38uA=")</f>
        <v>#REF!</v>
      </c>
      <c r="HR17" t="e">
        <f>AND(#REF!,"AAAAAHd38uE=")</f>
        <v>#REF!</v>
      </c>
      <c r="HS17" t="e">
        <f>AND(#REF!,"AAAAAHd38uI=")</f>
        <v>#REF!</v>
      </c>
      <c r="HT17" t="e">
        <f>AND(#REF!,"AAAAAHd38uM=")</f>
        <v>#REF!</v>
      </c>
      <c r="HU17" t="e">
        <f>AND(#REF!,"AAAAAHd38uQ=")</f>
        <v>#REF!</v>
      </c>
      <c r="HV17" t="e">
        <f>AND(#REF!,"AAAAAHd38uU=")</f>
        <v>#REF!</v>
      </c>
      <c r="HW17" t="e">
        <f>AND(#REF!,"AAAAAHd38uY=")</f>
        <v>#REF!</v>
      </c>
      <c r="HX17" t="e">
        <f>AND(#REF!,"AAAAAHd38uc=")</f>
        <v>#REF!</v>
      </c>
      <c r="HY17" t="e">
        <f>IF(#REF!,"AAAAAHd38ug=",0)</f>
        <v>#REF!</v>
      </c>
      <c r="HZ17" t="e">
        <f>AND(#REF!,"AAAAAHd38uk=")</f>
        <v>#REF!</v>
      </c>
      <c r="IA17" t="e">
        <f>AND(#REF!,"AAAAAHd38uo=")</f>
        <v>#REF!</v>
      </c>
      <c r="IB17" t="e">
        <f>AND(#REF!,"AAAAAHd38us=")</f>
        <v>#REF!</v>
      </c>
      <c r="IC17" t="e">
        <f>AND(#REF!,"AAAAAHd38uw=")</f>
        <v>#REF!</v>
      </c>
      <c r="ID17" t="e">
        <f>AND(#REF!,"AAAAAHd38u0=")</f>
        <v>#REF!</v>
      </c>
      <c r="IE17" t="e">
        <f>AND(#REF!,"AAAAAHd38u4=")</f>
        <v>#REF!</v>
      </c>
      <c r="IF17" t="e">
        <f>AND(#REF!,"AAAAAHd38u8=")</f>
        <v>#REF!</v>
      </c>
      <c r="IG17" t="e">
        <f>AND(#REF!,"AAAAAHd38vA=")</f>
        <v>#REF!</v>
      </c>
      <c r="IH17" t="e">
        <f>AND(#REF!,"AAAAAHd38vE=")</f>
        <v>#REF!</v>
      </c>
      <c r="II17" t="e">
        <f>AND(#REF!,"AAAAAHd38vI=")</f>
        <v>#REF!</v>
      </c>
      <c r="IJ17" t="e">
        <f>IF(#REF!,"AAAAAHd38vM=",0)</f>
        <v>#REF!</v>
      </c>
      <c r="IK17" t="e">
        <f>AND(#REF!,"AAAAAHd38vQ=")</f>
        <v>#REF!</v>
      </c>
      <c r="IL17" t="e">
        <f>AND(#REF!,"AAAAAHd38vU=")</f>
        <v>#REF!</v>
      </c>
      <c r="IM17" t="e">
        <f>AND(#REF!,"AAAAAHd38vY=")</f>
        <v>#REF!</v>
      </c>
      <c r="IN17" t="e">
        <f>AND(#REF!,"AAAAAHd38vc=")</f>
        <v>#REF!</v>
      </c>
      <c r="IO17" t="e">
        <f>AND(#REF!,"AAAAAHd38vg=")</f>
        <v>#REF!</v>
      </c>
      <c r="IP17" t="e">
        <f>AND(#REF!,"AAAAAHd38vk=")</f>
        <v>#REF!</v>
      </c>
      <c r="IQ17" t="e">
        <f>AND(#REF!,"AAAAAHd38vo=")</f>
        <v>#REF!</v>
      </c>
      <c r="IR17" t="e">
        <f>AND(#REF!,"AAAAAHd38vs=")</f>
        <v>#REF!</v>
      </c>
      <c r="IS17" t="e">
        <f>AND(#REF!,"AAAAAHd38vw=")</f>
        <v>#REF!</v>
      </c>
      <c r="IT17" t="e">
        <f>AND(#REF!,"AAAAAHd38v0=")</f>
        <v>#REF!</v>
      </c>
      <c r="IU17" t="e">
        <f>IF(#REF!,"AAAAAHd38v4=",0)</f>
        <v>#REF!</v>
      </c>
      <c r="IV17" t="e">
        <f>AND(#REF!,"AAAAAHd38v8=")</f>
        <v>#REF!</v>
      </c>
    </row>
    <row r="18" spans="1:256" x14ac:dyDescent="0.25">
      <c r="A18" t="e">
        <f>AND(#REF!,"AAAAAH+//wA=")</f>
        <v>#REF!</v>
      </c>
      <c r="B18" t="e">
        <f>AND(#REF!,"AAAAAH+//wE=")</f>
        <v>#REF!</v>
      </c>
      <c r="C18" t="e">
        <f>AND(#REF!,"AAAAAH+//wI=")</f>
        <v>#REF!</v>
      </c>
      <c r="D18" t="e">
        <f>AND(#REF!,"AAAAAH+//wM=")</f>
        <v>#REF!</v>
      </c>
      <c r="E18" t="e">
        <f>AND(#REF!,"AAAAAH+//wQ=")</f>
        <v>#REF!</v>
      </c>
      <c r="F18" t="e">
        <f>AND(#REF!,"AAAAAH+//wU=")</f>
        <v>#REF!</v>
      </c>
      <c r="G18" t="e">
        <f>AND(#REF!,"AAAAAH+//wY=")</f>
        <v>#REF!</v>
      </c>
      <c r="H18" t="e">
        <f>AND(#REF!,"AAAAAH+//wc=")</f>
        <v>#REF!</v>
      </c>
      <c r="I18" t="e">
        <f>AND(#REF!,"AAAAAH+//wg=")</f>
        <v>#REF!</v>
      </c>
      <c r="J18" t="e">
        <f>IF(#REF!,"AAAAAH+//wk=",0)</f>
        <v>#REF!</v>
      </c>
      <c r="K18" t="e">
        <f>AND(#REF!,"AAAAAH+//wo=")</f>
        <v>#REF!</v>
      </c>
      <c r="L18" t="e">
        <f>AND(#REF!,"AAAAAH+//ws=")</f>
        <v>#REF!</v>
      </c>
      <c r="M18" t="e">
        <f>AND(#REF!,"AAAAAH+//ww=")</f>
        <v>#REF!</v>
      </c>
      <c r="N18" t="e">
        <f>AND(#REF!,"AAAAAH+//w0=")</f>
        <v>#REF!</v>
      </c>
      <c r="O18" t="e">
        <f>AND(#REF!,"AAAAAH+//w4=")</f>
        <v>#REF!</v>
      </c>
      <c r="P18" t="e">
        <f>AND(#REF!,"AAAAAH+//w8=")</f>
        <v>#REF!</v>
      </c>
      <c r="Q18" t="e">
        <f>AND(#REF!,"AAAAAH+//xA=")</f>
        <v>#REF!</v>
      </c>
      <c r="R18" t="e">
        <f>AND(#REF!,"AAAAAH+//xE=")</f>
        <v>#REF!</v>
      </c>
      <c r="S18" t="e">
        <f>AND(#REF!,"AAAAAH+//xI=")</f>
        <v>#REF!</v>
      </c>
      <c r="T18" t="e">
        <f>AND(#REF!,"AAAAAH+//xM=")</f>
        <v>#REF!</v>
      </c>
      <c r="U18" t="e">
        <f>IF(#REF!,"AAAAAH+//xQ=",0)</f>
        <v>#REF!</v>
      </c>
      <c r="V18" t="e">
        <f>AND(#REF!,"AAAAAH+//xU=")</f>
        <v>#REF!</v>
      </c>
      <c r="W18" t="e">
        <f>AND(#REF!,"AAAAAH+//xY=")</f>
        <v>#REF!</v>
      </c>
      <c r="X18" t="e">
        <f>AND(#REF!,"AAAAAH+//xc=")</f>
        <v>#REF!</v>
      </c>
      <c r="Y18" t="e">
        <f>AND(#REF!,"AAAAAH+//xg=")</f>
        <v>#REF!</v>
      </c>
      <c r="Z18" t="e">
        <f>AND(#REF!,"AAAAAH+//xk=")</f>
        <v>#REF!</v>
      </c>
      <c r="AA18" t="e">
        <f>AND(#REF!,"AAAAAH+//xo=")</f>
        <v>#REF!</v>
      </c>
      <c r="AB18" t="e">
        <f>AND(#REF!,"AAAAAH+//xs=")</f>
        <v>#REF!</v>
      </c>
      <c r="AC18" t="e">
        <f>AND(#REF!,"AAAAAH+//xw=")</f>
        <v>#REF!</v>
      </c>
      <c r="AD18" t="e">
        <f>AND(#REF!,"AAAAAH+//x0=")</f>
        <v>#REF!</v>
      </c>
      <c r="AE18" t="e">
        <f>AND(#REF!,"AAAAAH+//x4=")</f>
        <v>#REF!</v>
      </c>
      <c r="AF18" t="e">
        <f>IF(#REF!,"AAAAAH+//x8=",0)</f>
        <v>#REF!</v>
      </c>
      <c r="AG18" t="e">
        <f>AND(#REF!,"AAAAAH+//yA=")</f>
        <v>#REF!</v>
      </c>
      <c r="AH18" t="e">
        <f>AND(#REF!,"AAAAAH+//yE=")</f>
        <v>#REF!</v>
      </c>
      <c r="AI18" t="e">
        <f>AND(#REF!,"AAAAAH+//yI=")</f>
        <v>#REF!</v>
      </c>
      <c r="AJ18" t="e">
        <f>AND(#REF!,"AAAAAH+//yM=")</f>
        <v>#REF!</v>
      </c>
      <c r="AK18" t="e">
        <f>AND(#REF!,"AAAAAH+//yQ=")</f>
        <v>#REF!</v>
      </c>
      <c r="AL18" t="e">
        <f>AND(#REF!,"AAAAAH+//yU=")</f>
        <v>#REF!</v>
      </c>
      <c r="AM18" t="e">
        <f>AND(#REF!,"AAAAAH+//yY=")</f>
        <v>#REF!</v>
      </c>
      <c r="AN18" t="e">
        <f>AND(#REF!,"AAAAAH+//yc=")</f>
        <v>#REF!</v>
      </c>
      <c r="AO18" t="e">
        <f>AND(#REF!,"AAAAAH+//yg=")</f>
        <v>#REF!</v>
      </c>
      <c r="AP18" t="e">
        <f>AND(#REF!,"AAAAAH+//yk=")</f>
        <v>#REF!</v>
      </c>
      <c r="AQ18" t="e">
        <f>IF(#REF!,"AAAAAH+//yo=",0)</f>
        <v>#REF!</v>
      </c>
      <c r="AR18" t="e">
        <f>AND(#REF!,"AAAAAH+//ys=")</f>
        <v>#REF!</v>
      </c>
      <c r="AS18" t="e">
        <f>AND(#REF!,"AAAAAH+//yw=")</f>
        <v>#REF!</v>
      </c>
      <c r="AT18" t="e">
        <f>AND(#REF!,"AAAAAH+//y0=")</f>
        <v>#REF!</v>
      </c>
      <c r="AU18" t="e">
        <f>AND(#REF!,"AAAAAH+//y4=")</f>
        <v>#REF!</v>
      </c>
      <c r="AV18" t="e">
        <f>AND(#REF!,"AAAAAH+//y8=")</f>
        <v>#REF!</v>
      </c>
      <c r="AW18" t="e">
        <f>AND(#REF!,"AAAAAH+//zA=")</f>
        <v>#REF!</v>
      </c>
      <c r="AX18" t="e">
        <f>AND(#REF!,"AAAAAH+//zE=")</f>
        <v>#REF!</v>
      </c>
      <c r="AY18" t="e">
        <f>AND(#REF!,"AAAAAH+//zI=")</f>
        <v>#REF!</v>
      </c>
      <c r="AZ18" t="e">
        <f>AND(#REF!,"AAAAAH+//zM=")</f>
        <v>#REF!</v>
      </c>
      <c r="BA18" t="e">
        <f>AND(#REF!,"AAAAAH+//zQ=")</f>
        <v>#REF!</v>
      </c>
      <c r="BB18" t="e">
        <f>IF(#REF!,"AAAAAH+//zU=",0)</f>
        <v>#REF!</v>
      </c>
      <c r="BC18" t="e">
        <f>AND(#REF!,"AAAAAH+//zY=")</f>
        <v>#REF!</v>
      </c>
      <c r="BD18" t="e">
        <f>AND(#REF!,"AAAAAH+//zc=")</f>
        <v>#REF!</v>
      </c>
      <c r="BE18" t="e">
        <f>AND(#REF!,"AAAAAH+//zg=")</f>
        <v>#REF!</v>
      </c>
      <c r="BF18" t="e">
        <f>AND(#REF!,"AAAAAH+//zk=")</f>
        <v>#REF!</v>
      </c>
      <c r="BG18" t="e">
        <f>AND(#REF!,"AAAAAH+//zo=")</f>
        <v>#REF!</v>
      </c>
      <c r="BH18" t="e">
        <f>AND(#REF!,"AAAAAH+//zs=")</f>
        <v>#REF!</v>
      </c>
      <c r="BI18" t="e">
        <f>AND(#REF!,"AAAAAH+//zw=")</f>
        <v>#REF!</v>
      </c>
      <c r="BJ18" t="e">
        <f>AND(#REF!,"AAAAAH+//z0=")</f>
        <v>#REF!</v>
      </c>
      <c r="BK18" t="e">
        <f>AND(#REF!,"AAAAAH+//z4=")</f>
        <v>#REF!</v>
      </c>
      <c r="BL18" t="e">
        <f>AND(#REF!,"AAAAAH+//z8=")</f>
        <v>#REF!</v>
      </c>
      <c r="BM18" t="e">
        <f>IF(#REF!,"AAAAAH+//0A=",0)</f>
        <v>#REF!</v>
      </c>
      <c r="BN18" t="e">
        <f>AND(#REF!,"AAAAAH+//0E=")</f>
        <v>#REF!</v>
      </c>
      <c r="BO18" t="e">
        <f>AND(#REF!,"AAAAAH+//0I=")</f>
        <v>#REF!</v>
      </c>
      <c r="BP18" t="e">
        <f>AND(#REF!,"AAAAAH+//0M=")</f>
        <v>#REF!</v>
      </c>
      <c r="BQ18" t="e">
        <f>AND(#REF!,"AAAAAH+//0Q=")</f>
        <v>#REF!</v>
      </c>
      <c r="BR18" t="e">
        <f>AND(#REF!,"AAAAAH+//0U=")</f>
        <v>#REF!</v>
      </c>
      <c r="BS18" t="e">
        <f>AND(#REF!,"AAAAAH+//0Y=")</f>
        <v>#REF!</v>
      </c>
      <c r="BT18" t="e">
        <f>AND(#REF!,"AAAAAH+//0c=")</f>
        <v>#REF!</v>
      </c>
      <c r="BU18" t="e">
        <f>AND(#REF!,"AAAAAH+//0g=")</f>
        <v>#REF!</v>
      </c>
      <c r="BV18" t="e">
        <f>AND(#REF!,"AAAAAH+//0k=")</f>
        <v>#REF!</v>
      </c>
      <c r="BW18" t="e">
        <f>AND(#REF!,"AAAAAH+//0o=")</f>
        <v>#REF!</v>
      </c>
      <c r="BX18" t="e">
        <f>IF(#REF!,"AAAAAH+//0s=",0)</f>
        <v>#REF!</v>
      </c>
      <c r="BY18" t="e">
        <f>AND(#REF!,"AAAAAH+//0w=")</f>
        <v>#REF!</v>
      </c>
      <c r="BZ18" t="e">
        <f>AND(#REF!,"AAAAAH+//00=")</f>
        <v>#REF!</v>
      </c>
      <c r="CA18" t="e">
        <f>AND(#REF!,"AAAAAH+//04=")</f>
        <v>#REF!</v>
      </c>
      <c r="CB18" t="e">
        <f>AND(#REF!,"AAAAAH+//08=")</f>
        <v>#REF!</v>
      </c>
      <c r="CC18" t="e">
        <f>AND(#REF!,"AAAAAH+//1A=")</f>
        <v>#REF!</v>
      </c>
      <c r="CD18" t="e">
        <f>AND(#REF!,"AAAAAH+//1E=")</f>
        <v>#REF!</v>
      </c>
      <c r="CE18" t="e">
        <f>AND(#REF!,"AAAAAH+//1I=")</f>
        <v>#REF!</v>
      </c>
      <c r="CF18" t="e">
        <f>AND(#REF!,"AAAAAH+//1M=")</f>
        <v>#REF!</v>
      </c>
      <c r="CG18" t="e">
        <f>AND(#REF!,"AAAAAH+//1Q=")</f>
        <v>#REF!</v>
      </c>
      <c r="CH18" t="e">
        <f>AND(#REF!,"AAAAAH+//1U=")</f>
        <v>#REF!</v>
      </c>
      <c r="CI18" t="e">
        <f>IF(#REF!,"AAAAAH+//1Y=",0)</f>
        <v>#REF!</v>
      </c>
      <c r="CJ18" t="e">
        <f>AND(#REF!,"AAAAAH+//1c=")</f>
        <v>#REF!</v>
      </c>
      <c r="CK18" t="e">
        <f>AND(#REF!,"AAAAAH+//1g=")</f>
        <v>#REF!</v>
      </c>
      <c r="CL18" t="e">
        <f>AND(#REF!,"AAAAAH+//1k=")</f>
        <v>#REF!</v>
      </c>
      <c r="CM18" t="e">
        <f>AND(#REF!,"AAAAAH+//1o=")</f>
        <v>#REF!</v>
      </c>
      <c r="CN18" t="e">
        <f>AND(#REF!,"AAAAAH+//1s=")</f>
        <v>#REF!</v>
      </c>
      <c r="CO18" t="e">
        <f>AND(#REF!,"AAAAAH+//1w=")</f>
        <v>#REF!</v>
      </c>
      <c r="CP18" t="e">
        <f>AND(#REF!,"AAAAAH+//10=")</f>
        <v>#REF!</v>
      </c>
      <c r="CQ18" t="e">
        <f>AND(#REF!,"AAAAAH+//14=")</f>
        <v>#REF!</v>
      </c>
      <c r="CR18" t="e">
        <f>AND(#REF!,"AAAAAH+//18=")</f>
        <v>#REF!</v>
      </c>
      <c r="CS18" t="e">
        <f>AND(#REF!,"AAAAAH+//2A=")</f>
        <v>#REF!</v>
      </c>
      <c r="CT18" t="e">
        <f>IF(#REF!,"AAAAAH+//2E=",0)</f>
        <v>#REF!</v>
      </c>
      <c r="CU18" t="e">
        <f>AND(#REF!,"AAAAAH+//2I=")</f>
        <v>#REF!</v>
      </c>
      <c r="CV18" t="e">
        <f>AND(#REF!,"AAAAAH+//2M=")</f>
        <v>#REF!</v>
      </c>
      <c r="CW18" t="e">
        <f>AND(#REF!,"AAAAAH+//2Q=")</f>
        <v>#REF!</v>
      </c>
      <c r="CX18" t="e">
        <f>AND(#REF!,"AAAAAH+//2U=")</f>
        <v>#REF!</v>
      </c>
      <c r="CY18" t="e">
        <f>AND(#REF!,"AAAAAH+//2Y=")</f>
        <v>#REF!</v>
      </c>
      <c r="CZ18" t="e">
        <f>AND(#REF!,"AAAAAH+//2c=")</f>
        <v>#REF!</v>
      </c>
      <c r="DA18" t="e">
        <f>AND(#REF!,"AAAAAH+//2g=")</f>
        <v>#REF!</v>
      </c>
      <c r="DB18" t="e">
        <f>AND(#REF!,"AAAAAH+//2k=")</f>
        <v>#REF!</v>
      </c>
      <c r="DC18" t="e">
        <f>AND(#REF!,"AAAAAH+//2o=")</f>
        <v>#REF!</v>
      </c>
      <c r="DD18" t="e">
        <f>AND(#REF!,"AAAAAH+//2s=")</f>
        <v>#REF!</v>
      </c>
      <c r="DE18" t="e">
        <f>IF(#REF!,"AAAAAH+//2w=",0)</f>
        <v>#REF!</v>
      </c>
      <c r="DF18" t="e">
        <f>AND(#REF!,"AAAAAH+//20=")</f>
        <v>#REF!</v>
      </c>
      <c r="DG18" t="e">
        <f>AND(#REF!,"AAAAAH+//24=")</f>
        <v>#REF!</v>
      </c>
      <c r="DH18" t="e">
        <f>AND(#REF!,"AAAAAH+//28=")</f>
        <v>#REF!</v>
      </c>
      <c r="DI18" t="e">
        <f>AND(#REF!,"AAAAAH+//3A=")</f>
        <v>#REF!</v>
      </c>
      <c r="DJ18" t="e">
        <f>AND(#REF!,"AAAAAH+//3E=")</f>
        <v>#REF!</v>
      </c>
      <c r="DK18" t="e">
        <f>AND(#REF!,"AAAAAH+//3I=")</f>
        <v>#REF!</v>
      </c>
      <c r="DL18" t="e">
        <f>AND(#REF!,"AAAAAH+//3M=")</f>
        <v>#REF!</v>
      </c>
      <c r="DM18" t="e">
        <f>AND(#REF!,"AAAAAH+//3Q=")</f>
        <v>#REF!</v>
      </c>
      <c r="DN18" t="e">
        <f>AND(#REF!,"AAAAAH+//3U=")</f>
        <v>#REF!</v>
      </c>
      <c r="DO18" t="e">
        <f>AND(#REF!,"AAAAAH+//3Y=")</f>
        <v>#REF!</v>
      </c>
      <c r="DP18" t="e">
        <f>IF(#REF!,"AAAAAH+//3c=",0)</f>
        <v>#REF!</v>
      </c>
      <c r="DQ18" t="e">
        <f>AND(#REF!,"AAAAAH+//3g=")</f>
        <v>#REF!</v>
      </c>
      <c r="DR18" t="e">
        <f>AND(#REF!,"AAAAAH+//3k=")</f>
        <v>#REF!</v>
      </c>
      <c r="DS18" t="e">
        <f>AND(#REF!,"AAAAAH+//3o=")</f>
        <v>#REF!</v>
      </c>
      <c r="DT18" t="e">
        <f>AND(#REF!,"AAAAAH+//3s=")</f>
        <v>#REF!</v>
      </c>
      <c r="DU18" t="e">
        <f>AND(#REF!,"AAAAAH+//3w=")</f>
        <v>#REF!</v>
      </c>
      <c r="DV18" t="e">
        <f>AND(#REF!,"AAAAAH+//30=")</f>
        <v>#REF!</v>
      </c>
      <c r="DW18" t="e">
        <f>AND(#REF!,"AAAAAH+//34=")</f>
        <v>#REF!</v>
      </c>
      <c r="DX18" t="e">
        <f>AND(#REF!,"AAAAAH+//38=")</f>
        <v>#REF!</v>
      </c>
      <c r="DY18" t="e">
        <f>AND(#REF!,"AAAAAH+//4A=")</f>
        <v>#REF!</v>
      </c>
      <c r="DZ18" t="e">
        <f>AND(#REF!,"AAAAAH+//4E=")</f>
        <v>#REF!</v>
      </c>
      <c r="EA18" t="e">
        <f>IF(#REF!,"AAAAAH+//4I=",0)</f>
        <v>#REF!</v>
      </c>
      <c r="EB18" t="e">
        <f>AND(#REF!,"AAAAAH+//4M=")</f>
        <v>#REF!</v>
      </c>
      <c r="EC18" t="e">
        <f>AND(#REF!,"AAAAAH+//4Q=")</f>
        <v>#REF!</v>
      </c>
      <c r="ED18" t="e">
        <f>AND(#REF!,"AAAAAH+//4U=")</f>
        <v>#REF!</v>
      </c>
      <c r="EE18" t="e">
        <f>AND(#REF!,"AAAAAH+//4Y=")</f>
        <v>#REF!</v>
      </c>
      <c r="EF18" t="e">
        <f>AND(#REF!,"AAAAAH+//4c=")</f>
        <v>#REF!</v>
      </c>
      <c r="EG18" t="e">
        <f>AND(#REF!,"AAAAAH+//4g=")</f>
        <v>#REF!</v>
      </c>
      <c r="EH18" t="e">
        <f>AND(#REF!,"AAAAAH+//4k=")</f>
        <v>#REF!</v>
      </c>
      <c r="EI18" t="e">
        <f>AND(#REF!,"AAAAAH+//4o=")</f>
        <v>#REF!</v>
      </c>
      <c r="EJ18" t="e">
        <f>AND(#REF!,"AAAAAH+//4s=")</f>
        <v>#REF!</v>
      </c>
      <c r="EK18" t="e">
        <f>AND(#REF!,"AAAAAH+//4w=")</f>
        <v>#REF!</v>
      </c>
      <c r="EL18" t="e">
        <f>IF(#REF!,"AAAAAH+//40=",0)</f>
        <v>#REF!</v>
      </c>
      <c r="EM18" t="e">
        <f>AND(#REF!,"AAAAAH+//44=")</f>
        <v>#REF!</v>
      </c>
      <c r="EN18" t="e">
        <f>AND(#REF!,"AAAAAH+//48=")</f>
        <v>#REF!</v>
      </c>
      <c r="EO18" t="e">
        <f>AND(#REF!,"AAAAAH+//5A=")</f>
        <v>#REF!</v>
      </c>
      <c r="EP18" t="e">
        <f>AND(#REF!,"AAAAAH+//5E=")</f>
        <v>#REF!</v>
      </c>
      <c r="EQ18" t="e">
        <f>AND(#REF!,"AAAAAH+//5I=")</f>
        <v>#REF!</v>
      </c>
      <c r="ER18" t="e">
        <f>AND(#REF!,"AAAAAH+//5M=")</f>
        <v>#REF!</v>
      </c>
      <c r="ES18" t="e">
        <f>AND(#REF!,"AAAAAH+//5Q=")</f>
        <v>#REF!</v>
      </c>
      <c r="ET18" t="e">
        <f>AND(#REF!,"AAAAAH+//5U=")</f>
        <v>#REF!</v>
      </c>
      <c r="EU18" t="e">
        <f>AND(#REF!,"AAAAAH+//5Y=")</f>
        <v>#REF!</v>
      </c>
      <c r="EV18" t="e">
        <f>AND(#REF!,"AAAAAH+//5c=")</f>
        <v>#REF!</v>
      </c>
      <c r="EW18" t="e">
        <f>IF(#REF!,"AAAAAH+//5g=",0)</f>
        <v>#REF!</v>
      </c>
      <c r="EX18" t="e">
        <f>AND(#REF!,"AAAAAH+//5k=")</f>
        <v>#REF!</v>
      </c>
      <c r="EY18" t="e">
        <f>AND(#REF!,"AAAAAH+//5o=")</f>
        <v>#REF!</v>
      </c>
      <c r="EZ18" t="e">
        <f>AND(#REF!,"AAAAAH+//5s=")</f>
        <v>#REF!</v>
      </c>
      <c r="FA18" t="e">
        <f>AND(#REF!,"AAAAAH+//5w=")</f>
        <v>#REF!</v>
      </c>
      <c r="FB18" t="e">
        <f>AND(#REF!,"AAAAAH+//50=")</f>
        <v>#REF!</v>
      </c>
      <c r="FC18" t="e">
        <f>AND(#REF!,"AAAAAH+//54=")</f>
        <v>#REF!</v>
      </c>
      <c r="FD18" t="e">
        <f>AND(#REF!,"AAAAAH+//58=")</f>
        <v>#REF!</v>
      </c>
      <c r="FE18" t="e">
        <f>AND(#REF!,"AAAAAH+//6A=")</f>
        <v>#REF!</v>
      </c>
      <c r="FF18" t="e">
        <f>AND(#REF!,"AAAAAH+//6E=")</f>
        <v>#REF!</v>
      </c>
      <c r="FG18" t="e">
        <f>AND(#REF!,"AAAAAH+//6I=")</f>
        <v>#REF!</v>
      </c>
      <c r="FH18" t="e">
        <f>IF(#REF!,"AAAAAH+//6M=",0)</f>
        <v>#REF!</v>
      </c>
      <c r="FI18" t="e">
        <f>AND(#REF!,"AAAAAH+//6Q=")</f>
        <v>#REF!</v>
      </c>
      <c r="FJ18" t="e">
        <f>AND(#REF!,"AAAAAH+//6U=")</f>
        <v>#REF!</v>
      </c>
      <c r="FK18" t="e">
        <f>AND(#REF!,"AAAAAH+//6Y=")</f>
        <v>#REF!</v>
      </c>
      <c r="FL18" t="e">
        <f>AND(#REF!,"AAAAAH+//6c=")</f>
        <v>#REF!</v>
      </c>
      <c r="FM18" t="e">
        <f>AND(#REF!,"AAAAAH+//6g=")</f>
        <v>#REF!</v>
      </c>
      <c r="FN18" t="e">
        <f>AND(#REF!,"AAAAAH+//6k=")</f>
        <v>#REF!</v>
      </c>
      <c r="FO18" t="e">
        <f>AND(#REF!,"AAAAAH+//6o=")</f>
        <v>#REF!</v>
      </c>
      <c r="FP18" t="e">
        <f>AND(#REF!,"AAAAAH+//6s=")</f>
        <v>#REF!</v>
      </c>
      <c r="FQ18" t="e">
        <f>AND(#REF!,"AAAAAH+//6w=")</f>
        <v>#REF!</v>
      </c>
      <c r="FR18" t="e">
        <f>AND(#REF!,"AAAAAH+//60=")</f>
        <v>#REF!</v>
      </c>
      <c r="FS18" t="e">
        <f>IF(#REF!,"AAAAAH+//64=",0)</f>
        <v>#REF!</v>
      </c>
      <c r="FT18" t="e">
        <f>AND(#REF!,"AAAAAH+//68=")</f>
        <v>#REF!</v>
      </c>
      <c r="FU18" t="e">
        <f>AND(#REF!,"AAAAAH+//7A=")</f>
        <v>#REF!</v>
      </c>
      <c r="FV18" t="e">
        <f>AND(#REF!,"AAAAAH+//7E=")</f>
        <v>#REF!</v>
      </c>
      <c r="FW18" t="e">
        <f>AND(#REF!,"AAAAAH+//7I=")</f>
        <v>#REF!</v>
      </c>
      <c r="FX18" t="e">
        <f>AND(#REF!,"AAAAAH+//7M=")</f>
        <v>#REF!</v>
      </c>
      <c r="FY18" t="e">
        <f>AND(#REF!,"AAAAAH+//7Q=")</f>
        <v>#REF!</v>
      </c>
      <c r="FZ18" t="e">
        <f>AND(#REF!,"AAAAAH+//7U=")</f>
        <v>#REF!</v>
      </c>
      <c r="GA18" t="e">
        <f>AND(#REF!,"AAAAAH+//7Y=")</f>
        <v>#REF!</v>
      </c>
      <c r="GB18" t="e">
        <f>AND(#REF!,"AAAAAH+//7c=")</f>
        <v>#REF!</v>
      </c>
      <c r="GC18" t="e">
        <f>AND(#REF!,"AAAAAH+//7g=")</f>
        <v>#REF!</v>
      </c>
      <c r="GD18" t="e">
        <f>IF(#REF!,"AAAAAH+//7k=",0)</f>
        <v>#REF!</v>
      </c>
      <c r="GE18" t="e">
        <f>AND(#REF!,"AAAAAH+//7o=")</f>
        <v>#REF!</v>
      </c>
      <c r="GF18" t="e">
        <f>AND(#REF!,"AAAAAH+//7s=")</f>
        <v>#REF!</v>
      </c>
      <c r="GG18" t="e">
        <f>AND(#REF!,"AAAAAH+//7w=")</f>
        <v>#REF!</v>
      </c>
      <c r="GH18" t="e">
        <f>AND(#REF!,"AAAAAH+//70=")</f>
        <v>#REF!</v>
      </c>
      <c r="GI18" t="e">
        <f>AND(#REF!,"AAAAAH+//74=")</f>
        <v>#REF!</v>
      </c>
      <c r="GJ18" t="e">
        <f>AND(#REF!,"AAAAAH+//78=")</f>
        <v>#REF!</v>
      </c>
      <c r="GK18" t="e">
        <f>AND(#REF!,"AAAAAH+//8A=")</f>
        <v>#REF!</v>
      </c>
      <c r="GL18" t="e">
        <f>AND(#REF!,"AAAAAH+//8E=")</f>
        <v>#REF!</v>
      </c>
      <c r="GM18" t="e">
        <f>AND(#REF!,"AAAAAH+//8I=")</f>
        <v>#REF!</v>
      </c>
      <c r="GN18" t="e">
        <f>AND(#REF!,"AAAAAH+//8M=")</f>
        <v>#REF!</v>
      </c>
      <c r="GO18" t="e">
        <f>IF(#REF!,"AAAAAH+//8Q=",0)</f>
        <v>#REF!</v>
      </c>
      <c r="GP18" t="e">
        <f>AND(#REF!,"AAAAAH+//8U=")</f>
        <v>#REF!</v>
      </c>
      <c r="GQ18" t="e">
        <f>AND(#REF!,"AAAAAH+//8Y=")</f>
        <v>#REF!</v>
      </c>
      <c r="GR18" t="e">
        <f>AND(#REF!,"AAAAAH+//8c=")</f>
        <v>#REF!</v>
      </c>
      <c r="GS18" t="e">
        <f>AND(#REF!,"AAAAAH+//8g=")</f>
        <v>#REF!</v>
      </c>
      <c r="GT18" t="e">
        <f>AND(#REF!,"AAAAAH+//8k=")</f>
        <v>#REF!</v>
      </c>
      <c r="GU18" t="e">
        <f>AND(#REF!,"AAAAAH+//8o=")</f>
        <v>#REF!</v>
      </c>
      <c r="GV18" t="e">
        <f>AND(#REF!,"AAAAAH+//8s=")</f>
        <v>#REF!</v>
      </c>
      <c r="GW18" t="e">
        <f>AND(#REF!,"AAAAAH+//8w=")</f>
        <v>#REF!</v>
      </c>
      <c r="GX18" t="e">
        <f>AND(#REF!,"AAAAAH+//80=")</f>
        <v>#REF!</v>
      </c>
      <c r="GY18" t="e">
        <f>AND(#REF!,"AAAAAH+//84=")</f>
        <v>#REF!</v>
      </c>
      <c r="GZ18" t="e">
        <f>IF(#REF!,"AAAAAH+//88=",0)</f>
        <v>#REF!</v>
      </c>
      <c r="HA18" t="e">
        <f>AND(#REF!,"AAAAAH+//9A=")</f>
        <v>#REF!</v>
      </c>
      <c r="HB18" t="e">
        <f>AND(#REF!,"AAAAAH+//9E=")</f>
        <v>#REF!</v>
      </c>
      <c r="HC18" t="e">
        <f>AND(#REF!,"AAAAAH+//9I=")</f>
        <v>#REF!</v>
      </c>
      <c r="HD18" t="e">
        <f>AND(#REF!,"AAAAAH+//9M=")</f>
        <v>#REF!</v>
      </c>
      <c r="HE18" t="e">
        <f>AND(#REF!,"AAAAAH+//9Q=")</f>
        <v>#REF!</v>
      </c>
      <c r="HF18" t="e">
        <f>AND(#REF!,"AAAAAH+//9U=")</f>
        <v>#REF!</v>
      </c>
      <c r="HG18" t="e">
        <f>AND(#REF!,"AAAAAH+//9Y=")</f>
        <v>#REF!</v>
      </c>
      <c r="HH18" t="e">
        <f>AND(#REF!,"AAAAAH+//9c=")</f>
        <v>#REF!</v>
      </c>
      <c r="HI18" t="e">
        <f>AND(#REF!,"AAAAAH+//9g=")</f>
        <v>#REF!</v>
      </c>
      <c r="HJ18" t="e">
        <f>AND(#REF!,"AAAAAH+//9k=")</f>
        <v>#REF!</v>
      </c>
      <c r="HK18" t="e">
        <f>IF(#REF!,"AAAAAH+//9o=",0)</f>
        <v>#REF!</v>
      </c>
      <c r="HL18" t="e">
        <f>AND(#REF!,"AAAAAH+//9s=")</f>
        <v>#REF!</v>
      </c>
      <c r="HM18" t="e">
        <f>AND(#REF!,"AAAAAH+//9w=")</f>
        <v>#REF!</v>
      </c>
      <c r="HN18" t="e">
        <f>AND(#REF!,"AAAAAH+//90=")</f>
        <v>#REF!</v>
      </c>
      <c r="HO18" t="e">
        <f>AND(#REF!,"AAAAAH+//94=")</f>
        <v>#REF!</v>
      </c>
      <c r="HP18" t="e">
        <f>AND(#REF!,"AAAAAH+//98=")</f>
        <v>#REF!</v>
      </c>
      <c r="HQ18" t="e">
        <f>AND(#REF!,"AAAAAH+//+A=")</f>
        <v>#REF!</v>
      </c>
      <c r="HR18" t="e">
        <f>AND(#REF!,"AAAAAH+//+E=")</f>
        <v>#REF!</v>
      </c>
      <c r="HS18" t="e">
        <f>AND(#REF!,"AAAAAH+//+I=")</f>
        <v>#REF!</v>
      </c>
      <c r="HT18" t="e">
        <f>AND(#REF!,"AAAAAH+//+M=")</f>
        <v>#REF!</v>
      </c>
      <c r="HU18" t="e">
        <f>AND(#REF!,"AAAAAH+//+Q=")</f>
        <v>#REF!</v>
      </c>
      <c r="HV18" t="e">
        <f>IF(#REF!,"AAAAAH+//+U=",0)</f>
        <v>#REF!</v>
      </c>
      <c r="HW18" t="e">
        <f>AND(#REF!,"AAAAAH+//+Y=")</f>
        <v>#REF!</v>
      </c>
      <c r="HX18" t="e">
        <f>AND(#REF!,"AAAAAH+//+c=")</f>
        <v>#REF!</v>
      </c>
      <c r="HY18" t="e">
        <f>AND(#REF!,"AAAAAH+//+g=")</f>
        <v>#REF!</v>
      </c>
      <c r="HZ18" t="e">
        <f>AND(#REF!,"AAAAAH+//+k=")</f>
        <v>#REF!</v>
      </c>
      <c r="IA18" t="e">
        <f>AND(#REF!,"AAAAAH+//+o=")</f>
        <v>#REF!</v>
      </c>
      <c r="IB18" t="e">
        <f>AND(#REF!,"AAAAAH+//+s=")</f>
        <v>#REF!</v>
      </c>
      <c r="IC18" t="e">
        <f>AND(#REF!,"AAAAAH+//+w=")</f>
        <v>#REF!</v>
      </c>
      <c r="ID18" t="e">
        <f>AND(#REF!,"AAAAAH+//+0=")</f>
        <v>#REF!</v>
      </c>
      <c r="IE18" t="e">
        <f>AND(#REF!,"AAAAAH+//+4=")</f>
        <v>#REF!</v>
      </c>
      <c r="IF18" t="e">
        <f>AND(#REF!,"AAAAAH+//+8=")</f>
        <v>#REF!</v>
      </c>
      <c r="IG18" t="e">
        <f>IF(#REF!,"AAAAAH+///A=",0)</f>
        <v>#REF!</v>
      </c>
      <c r="IH18" t="e">
        <f>AND(#REF!,"AAAAAH+///E=")</f>
        <v>#REF!</v>
      </c>
      <c r="II18" t="e">
        <f>AND(#REF!,"AAAAAH+///I=")</f>
        <v>#REF!</v>
      </c>
      <c r="IJ18" t="e">
        <f>AND(#REF!,"AAAAAH+///M=")</f>
        <v>#REF!</v>
      </c>
      <c r="IK18" t="e">
        <f>AND(#REF!,"AAAAAH+///Q=")</f>
        <v>#REF!</v>
      </c>
      <c r="IL18" t="e">
        <f>AND(#REF!,"AAAAAH+///U=")</f>
        <v>#REF!</v>
      </c>
      <c r="IM18" t="e">
        <f>AND(#REF!,"AAAAAH+///Y=")</f>
        <v>#REF!</v>
      </c>
      <c r="IN18" t="e">
        <f>AND(#REF!,"AAAAAH+///c=")</f>
        <v>#REF!</v>
      </c>
      <c r="IO18" t="e">
        <f>AND(#REF!,"AAAAAH+///g=")</f>
        <v>#REF!</v>
      </c>
      <c r="IP18" t="e">
        <f>AND(#REF!,"AAAAAH+///k=")</f>
        <v>#REF!</v>
      </c>
      <c r="IQ18" t="e">
        <f>AND(#REF!,"AAAAAH+///o=")</f>
        <v>#REF!</v>
      </c>
      <c r="IR18" t="e">
        <f>IF(#REF!,"AAAAAH+///s=",0)</f>
        <v>#REF!</v>
      </c>
      <c r="IS18" t="e">
        <f>AND(#REF!,"AAAAAH+///w=")</f>
        <v>#REF!</v>
      </c>
      <c r="IT18" t="e">
        <f>AND(#REF!,"AAAAAH+///0=")</f>
        <v>#REF!</v>
      </c>
      <c r="IU18" t="e">
        <f>AND(#REF!,"AAAAAH+///4=")</f>
        <v>#REF!</v>
      </c>
      <c r="IV18" t="e">
        <f>AND(#REF!,"AAAAAH+///8=")</f>
        <v>#REF!</v>
      </c>
    </row>
    <row r="19" spans="1:256" x14ac:dyDescent="0.25">
      <c r="A19" t="e">
        <f>AND(#REF!,"AAAAAB3x9wA=")</f>
        <v>#REF!</v>
      </c>
      <c r="B19" t="e">
        <f>AND(#REF!,"AAAAAB3x9wE=")</f>
        <v>#REF!</v>
      </c>
      <c r="C19" t="e">
        <f>AND(#REF!,"AAAAAB3x9wI=")</f>
        <v>#REF!</v>
      </c>
      <c r="D19" t="e">
        <f>AND(#REF!,"AAAAAB3x9wM=")</f>
        <v>#REF!</v>
      </c>
      <c r="E19" t="e">
        <f>AND(#REF!,"AAAAAB3x9wQ=")</f>
        <v>#REF!</v>
      </c>
      <c r="F19" t="e">
        <f>AND(#REF!,"AAAAAB3x9wU=")</f>
        <v>#REF!</v>
      </c>
      <c r="G19" t="e">
        <f>IF(#REF!,"AAAAAB3x9wY=",0)</f>
        <v>#REF!</v>
      </c>
      <c r="H19" t="e">
        <f>AND(#REF!,"AAAAAB3x9wc=")</f>
        <v>#REF!</v>
      </c>
      <c r="I19" t="e">
        <f>AND(#REF!,"AAAAAB3x9wg=")</f>
        <v>#REF!</v>
      </c>
      <c r="J19" t="e">
        <f>AND(#REF!,"AAAAAB3x9wk=")</f>
        <v>#REF!</v>
      </c>
      <c r="K19" t="e">
        <f>AND(#REF!,"AAAAAB3x9wo=")</f>
        <v>#REF!</v>
      </c>
      <c r="L19" t="e">
        <f>AND(#REF!,"AAAAAB3x9ws=")</f>
        <v>#REF!</v>
      </c>
      <c r="M19" t="e">
        <f>AND(#REF!,"AAAAAB3x9ww=")</f>
        <v>#REF!</v>
      </c>
      <c r="N19" t="e">
        <f>AND(#REF!,"AAAAAB3x9w0=")</f>
        <v>#REF!</v>
      </c>
      <c r="O19" t="e">
        <f>AND(#REF!,"AAAAAB3x9w4=")</f>
        <v>#REF!</v>
      </c>
      <c r="P19" t="e">
        <f>AND(#REF!,"AAAAAB3x9w8=")</f>
        <v>#REF!</v>
      </c>
      <c r="Q19" t="e">
        <f>AND(#REF!,"AAAAAB3x9xA=")</f>
        <v>#REF!</v>
      </c>
      <c r="R19" t="e">
        <f>IF(#REF!,"AAAAAB3x9xE=",0)</f>
        <v>#REF!</v>
      </c>
      <c r="S19" t="e">
        <f>AND(#REF!,"AAAAAB3x9xI=")</f>
        <v>#REF!</v>
      </c>
      <c r="T19" t="e">
        <f>AND(#REF!,"AAAAAB3x9xM=")</f>
        <v>#REF!</v>
      </c>
      <c r="U19" t="e">
        <f>AND(#REF!,"AAAAAB3x9xQ=")</f>
        <v>#REF!</v>
      </c>
      <c r="V19" t="e">
        <f>AND(#REF!,"AAAAAB3x9xU=")</f>
        <v>#REF!</v>
      </c>
      <c r="W19" t="e">
        <f>AND(#REF!,"AAAAAB3x9xY=")</f>
        <v>#REF!</v>
      </c>
      <c r="X19" t="e">
        <f>AND(#REF!,"AAAAAB3x9xc=")</f>
        <v>#REF!</v>
      </c>
      <c r="Y19" t="e">
        <f>AND(#REF!,"AAAAAB3x9xg=")</f>
        <v>#REF!</v>
      </c>
      <c r="Z19" t="e">
        <f>AND(#REF!,"AAAAAB3x9xk=")</f>
        <v>#REF!</v>
      </c>
      <c r="AA19" t="e">
        <f>AND(#REF!,"AAAAAB3x9xo=")</f>
        <v>#REF!</v>
      </c>
      <c r="AB19" t="e">
        <f>AND(#REF!,"AAAAAB3x9xs=")</f>
        <v>#REF!</v>
      </c>
      <c r="AC19" t="e">
        <f>IF(#REF!,"AAAAAB3x9xw=",0)</f>
        <v>#REF!</v>
      </c>
      <c r="AD19" t="e">
        <f>AND(#REF!,"AAAAAB3x9x0=")</f>
        <v>#REF!</v>
      </c>
      <c r="AE19" t="e">
        <f>AND(#REF!,"AAAAAB3x9x4=")</f>
        <v>#REF!</v>
      </c>
      <c r="AF19" t="e">
        <f>AND(#REF!,"AAAAAB3x9x8=")</f>
        <v>#REF!</v>
      </c>
      <c r="AG19" t="e">
        <f>AND(#REF!,"AAAAAB3x9yA=")</f>
        <v>#REF!</v>
      </c>
      <c r="AH19" t="e">
        <f>AND(#REF!,"AAAAAB3x9yE=")</f>
        <v>#REF!</v>
      </c>
      <c r="AI19" t="e">
        <f>AND(#REF!,"AAAAAB3x9yI=")</f>
        <v>#REF!</v>
      </c>
      <c r="AJ19" t="e">
        <f>AND(#REF!,"AAAAAB3x9yM=")</f>
        <v>#REF!</v>
      </c>
      <c r="AK19" t="e">
        <f>AND(#REF!,"AAAAAB3x9yQ=")</f>
        <v>#REF!</v>
      </c>
      <c r="AL19" t="e">
        <f>AND(#REF!,"AAAAAB3x9yU=")</f>
        <v>#REF!</v>
      </c>
      <c r="AM19" t="e">
        <f>AND(#REF!,"AAAAAB3x9yY=")</f>
        <v>#REF!</v>
      </c>
      <c r="AN19" t="e">
        <f>IF(#REF!,"AAAAAB3x9yc=",0)</f>
        <v>#REF!</v>
      </c>
      <c r="AO19" t="e">
        <f>AND(#REF!,"AAAAAB3x9yg=")</f>
        <v>#REF!</v>
      </c>
      <c r="AP19" t="e">
        <f>AND(#REF!,"AAAAAB3x9yk=")</f>
        <v>#REF!</v>
      </c>
      <c r="AQ19" t="e">
        <f>AND(#REF!,"AAAAAB3x9yo=")</f>
        <v>#REF!</v>
      </c>
      <c r="AR19" t="e">
        <f>AND(#REF!,"AAAAAB3x9ys=")</f>
        <v>#REF!</v>
      </c>
      <c r="AS19" t="e">
        <f>AND(#REF!,"AAAAAB3x9yw=")</f>
        <v>#REF!</v>
      </c>
      <c r="AT19" t="e">
        <f>AND(#REF!,"AAAAAB3x9y0=")</f>
        <v>#REF!</v>
      </c>
      <c r="AU19" t="e">
        <f>AND(#REF!,"AAAAAB3x9y4=")</f>
        <v>#REF!</v>
      </c>
      <c r="AV19" t="e">
        <f>AND(#REF!,"AAAAAB3x9y8=")</f>
        <v>#REF!</v>
      </c>
      <c r="AW19" t="e">
        <f>AND(#REF!,"AAAAAB3x9zA=")</f>
        <v>#REF!</v>
      </c>
      <c r="AX19" t="e">
        <f>AND(#REF!,"AAAAAB3x9zE=")</f>
        <v>#REF!</v>
      </c>
      <c r="AY19" t="e">
        <f>IF(#REF!,"AAAAAB3x9zI=",0)</f>
        <v>#REF!</v>
      </c>
      <c r="AZ19" t="e">
        <f>AND(#REF!,"AAAAAB3x9zM=")</f>
        <v>#REF!</v>
      </c>
      <c r="BA19" t="e">
        <f>AND(#REF!,"AAAAAB3x9zQ=")</f>
        <v>#REF!</v>
      </c>
      <c r="BB19" t="e">
        <f>AND(#REF!,"AAAAAB3x9zU=")</f>
        <v>#REF!</v>
      </c>
      <c r="BC19" t="e">
        <f>AND(#REF!,"AAAAAB3x9zY=")</f>
        <v>#REF!</v>
      </c>
      <c r="BD19" t="e">
        <f>AND(#REF!,"AAAAAB3x9zc=")</f>
        <v>#REF!</v>
      </c>
      <c r="BE19" t="e">
        <f>AND(#REF!,"AAAAAB3x9zg=")</f>
        <v>#REF!</v>
      </c>
      <c r="BF19" t="e">
        <f>AND(#REF!,"AAAAAB3x9zk=")</f>
        <v>#REF!</v>
      </c>
      <c r="BG19" t="e">
        <f>AND(#REF!,"AAAAAB3x9zo=")</f>
        <v>#REF!</v>
      </c>
      <c r="BH19" t="e">
        <f>AND(#REF!,"AAAAAB3x9zs=")</f>
        <v>#REF!</v>
      </c>
      <c r="BI19" t="e">
        <f>AND(#REF!,"AAAAAB3x9zw=")</f>
        <v>#REF!</v>
      </c>
      <c r="BJ19" t="e">
        <f>IF(#REF!,"AAAAAB3x9z0=",0)</f>
        <v>#REF!</v>
      </c>
      <c r="BK19" t="e">
        <f>AND(#REF!,"AAAAAB3x9z4=")</f>
        <v>#REF!</v>
      </c>
      <c r="BL19" t="e">
        <f>AND(#REF!,"AAAAAB3x9z8=")</f>
        <v>#REF!</v>
      </c>
      <c r="BM19" t="e">
        <f>AND(#REF!,"AAAAAB3x90A=")</f>
        <v>#REF!</v>
      </c>
      <c r="BN19" t="e">
        <f>AND(#REF!,"AAAAAB3x90E=")</f>
        <v>#REF!</v>
      </c>
      <c r="BO19" t="e">
        <f>AND(#REF!,"AAAAAB3x90I=")</f>
        <v>#REF!</v>
      </c>
      <c r="BP19" t="e">
        <f>AND(#REF!,"AAAAAB3x90M=")</f>
        <v>#REF!</v>
      </c>
      <c r="BQ19" t="e">
        <f>AND(#REF!,"AAAAAB3x90Q=")</f>
        <v>#REF!</v>
      </c>
      <c r="BR19" t="e">
        <f>AND(#REF!,"AAAAAB3x90U=")</f>
        <v>#REF!</v>
      </c>
      <c r="BS19" t="e">
        <f>AND(#REF!,"AAAAAB3x90Y=")</f>
        <v>#REF!</v>
      </c>
      <c r="BT19" t="e">
        <f>AND(#REF!,"AAAAAB3x90c=")</f>
        <v>#REF!</v>
      </c>
      <c r="BU19" t="e">
        <f>IF(#REF!,"AAAAAB3x90g=",0)</f>
        <v>#REF!</v>
      </c>
      <c r="BV19" t="e">
        <f>AND(#REF!,"AAAAAB3x90k=")</f>
        <v>#REF!</v>
      </c>
      <c r="BW19" t="e">
        <f>AND(#REF!,"AAAAAB3x90o=")</f>
        <v>#REF!</v>
      </c>
      <c r="BX19" t="e">
        <f>AND(#REF!,"AAAAAB3x90s=")</f>
        <v>#REF!</v>
      </c>
      <c r="BY19" t="e">
        <f>AND(#REF!,"AAAAAB3x90w=")</f>
        <v>#REF!</v>
      </c>
      <c r="BZ19" t="e">
        <f>AND(#REF!,"AAAAAB3x900=")</f>
        <v>#REF!</v>
      </c>
      <c r="CA19" t="e">
        <f>AND(#REF!,"AAAAAB3x904=")</f>
        <v>#REF!</v>
      </c>
      <c r="CB19" t="e">
        <f>AND(#REF!,"AAAAAB3x908=")</f>
        <v>#REF!</v>
      </c>
      <c r="CC19" t="e">
        <f>AND(#REF!,"AAAAAB3x91A=")</f>
        <v>#REF!</v>
      </c>
      <c r="CD19" t="e">
        <f>AND(#REF!,"AAAAAB3x91E=")</f>
        <v>#REF!</v>
      </c>
      <c r="CE19" t="e">
        <f>AND(#REF!,"AAAAAB3x91I=")</f>
        <v>#REF!</v>
      </c>
      <c r="CF19" t="e">
        <f>IF(#REF!,"AAAAAB3x91M=",0)</f>
        <v>#REF!</v>
      </c>
      <c r="CG19" t="e">
        <f>AND(#REF!,"AAAAAB3x91Q=")</f>
        <v>#REF!</v>
      </c>
      <c r="CH19" t="e">
        <f>AND(#REF!,"AAAAAB3x91U=")</f>
        <v>#REF!</v>
      </c>
      <c r="CI19" t="e">
        <f>AND(#REF!,"AAAAAB3x91Y=")</f>
        <v>#REF!</v>
      </c>
      <c r="CJ19" t="e">
        <f>AND(#REF!,"AAAAAB3x91c=")</f>
        <v>#REF!</v>
      </c>
      <c r="CK19" t="e">
        <f>AND(#REF!,"AAAAAB3x91g=")</f>
        <v>#REF!</v>
      </c>
      <c r="CL19" t="e">
        <f>AND(#REF!,"AAAAAB3x91k=")</f>
        <v>#REF!</v>
      </c>
      <c r="CM19" t="e">
        <f>AND(#REF!,"AAAAAB3x91o=")</f>
        <v>#REF!</v>
      </c>
      <c r="CN19" t="e">
        <f>AND(#REF!,"AAAAAB3x91s=")</f>
        <v>#REF!</v>
      </c>
      <c r="CO19" t="e">
        <f>AND(#REF!,"AAAAAB3x91w=")</f>
        <v>#REF!</v>
      </c>
      <c r="CP19" t="e">
        <f>AND(#REF!,"AAAAAB3x910=")</f>
        <v>#REF!</v>
      </c>
      <c r="CQ19" t="e">
        <f>IF(#REF!,"AAAAAB3x914=",0)</f>
        <v>#REF!</v>
      </c>
      <c r="CR19" t="e">
        <f>AND(#REF!,"AAAAAB3x918=")</f>
        <v>#REF!</v>
      </c>
      <c r="CS19" t="e">
        <f>AND(#REF!,"AAAAAB3x92A=")</f>
        <v>#REF!</v>
      </c>
      <c r="CT19" t="e">
        <f>AND(#REF!,"AAAAAB3x92E=")</f>
        <v>#REF!</v>
      </c>
      <c r="CU19" t="e">
        <f>AND(#REF!,"AAAAAB3x92I=")</f>
        <v>#REF!</v>
      </c>
      <c r="CV19" t="e">
        <f>AND(#REF!,"AAAAAB3x92M=")</f>
        <v>#REF!</v>
      </c>
      <c r="CW19" t="e">
        <f>AND(#REF!,"AAAAAB3x92Q=")</f>
        <v>#REF!</v>
      </c>
      <c r="CX19" t="e">
        <f>AND(#REF!,"AAAAAB3x92U=")</f>
        <v>#REF!</v>
      </c>
      <c r="CY19" t="e">
        <f>AND(#REF!,"AAAAAB3x92Y=")</f>
        <v>#REF!</v>
      </c>
      <c r="CZ19" t="e">
        <f>AND(#REF!,"AAAAAB3x92c=")</f>
        <v>#REF!</v>
      </c>
      <c r="DA19" t="e">
        <f>AND(#REF!,"AAAAAB3x92g=")</f>
        <v>#REF!</v>
      </c>
      <c r="DB19" t="e">
        <f>IF(#REF!,"AAAAAB3x92k=",0)</f>
        <v>#REF!</v>
      </c>
      <c r="DC19" t="e">
        <f>AND(#REF!,"AAAAAB3x92o=")</f>
        <v>#REF!</v>
      </c>
      <c r="DD19" t="e">
        <f>AND(#REF!,"AAAAAB3x92s=")</f>
        <v>#REF!</v>
      </c>
      <c r="DE19" t="e">
        <f>AND(#REF!,"AAAAAB3x92w=")</f>
        <v>#REF!</v>
      </c>
      <c r="DF19" t="e">
        <f>AND(#REF!,"AAAAAB3x920=")</f>
        <v>#REF!</v>
      </c>
      <c r="DG19" t="e">
        <f>AND(#REF!,"AAAAAB3x924=")</f>
        <v>#REF!</v>
      </c>
      <c r="DH19" t="e">
        <f>AND(#REF!,"AAAAAB3x928=")</f>
        <v>#REF!</v>
      </c>
      <c r="DI19" t="e">
        <f>AND(#REF!,"AAAAAB3x93A=")</f>
        <v>#REF!</v>
      </c>
      <c r="DJ19" t="e">
        <f>AND(#REF!,"AAAAAB3x93E=")</f>
        <v>#REF!</v>
      </c>
      <c r="DK19" t="e">
        <f>AND(#REF!,"AAAAAB3x93I=")</f>
        <v>#REF!</v>
      </c>
      <c r="DL19" t="e">
        <f>AND(#REF!,"AAAAAB3x93M=")</f>
        <v>#REF!</v>
      </c>
      <c r="DM19" t="e">
        <f>IF(#REF!,"AAAAAB3x93Q=",0)</f>
        <v>#REF!</v>
      </c>
      <c r="DN19" t="e">
        <f>AND(#REF!,"AAAAAB3x93U=")</f>
        <v>#REF!</v>
      </c>
      <c r="DO19" t="e">
        <f>AND(#REF!,"AAAAAB3x93Y=")</f>
        <v>#REF!</v>
      </c>
      <c r="DP19" t="e">
        <f>AND(#REF!,"AAAAAB3x93c=")</f>
        <v>#REF!</v>
      </c>
      <c r="DQ19" t="e">
        <f>AND(#REF!,"AAAAAB3x93g=")</f>
        <v>#REF!</v>
      </c>
      <c r="DR19" t="e">
        <f>AND(#REF!,"AAAAAB3x93k=")</f>
        <v>#REF!</v>
      </c>
      <c r="DS19" t="e">
        <f>AND(#REF!,"AAAAAB3x93o=")</f>
        <v>#REF!</v>
      </c>
      <c r="DT19" t="e">
        <f>AND(#REF!,"AAAAAB3x93s=")</f>
        <v>#REF!</v>
      </c>
      <c r="DU19" t="e">
        <f>AND(#REF!,"AAAAAB3x93w=")</f>
        <v>#REF!</v>
      </c>
      <c r="DV19" t="e">
        <f>AND(#REF!,"AAAAAB3x930=")</f>
        <v>#REF!</v>
      </c>
      <c r="DW19" t="e">
        <f>AND(#REF!,"AAAAAB3x934=")</f>
        <v>#REF!</v>
      </c>
      <c r="DX19" t="e">
        <f>IF(#REF!,"AAAAAB3x938=",0)</f>
        <v>#REF!</v>
      </c>
      <c r="DY19" t="e">
        <f>AND(#REF!,"AAAAAB3x94A=")</f>
        <v>#REF!</v>
      </c>
      <c r="DZ19" t="e">
        <f>AND(#REF!,"AAAAAB3x94E=")</f>
        <v>#REF!</v>
      </c>
      <c r="EA19" t="e">
        <f>AND(#REF!,"AAAAAB3x94I=")</f>
        <v>#REF!</v>
      </c>
      <c r="EB19" t="e">
        <f>AND(#REF!,"AAAAAB3x94M=")</f>
        <v>#REF!</v>
      </c>
      <c r="EC19" t="e">
        <f>AND(#REF!,"AAAAAB3x94Q=")</f>
        <v>#REF!</v>
      </c>
      <c r="ED19" t="e">
        <f>AND(#REF!,"AAAAAB3x94U=")</f>
        <v>#REF!</v>
      </c>
      <c r="EE19" t="e">
        <f>AND(#REF!,"AAAAAB3x94Y=")</f>
        <v>#REF!</v>
      </c>
      <c r="EF19" t="e">
        <f>AND(#REF!,"AAAAAB3x94c=")</f>
        <v>#REF!</v>
      </c>
      <c r="EG19" t="e">
        <f>AND(#REF!,"AAAAAB3x94g=")</f>
        <v>#REF!</v>
      </c>
      <c r="EH19" t="e">
        <f>AND(#REF!,"AAAAAB3x94k=")</f>
        <v>#REF!</v>
      </c>
      <c r="EI19" t="e">
        <f>IF(#REF!,"AAAAAB3x94o=",0)</f>
        <v>#REF!</v>
      </c>
      <c r="EJ19" t="e">
        <f>AND(#REF!,"AAAAAB3x94s=")</f>
        <v>#REF!</v>
      </c>
      <c r="EK19" t="e">
        <f>AND(#REF!,"AAAAAB3x94w=")</f>
        <v>#REF!</v>
      </c>
      <c r="EL19" t="e">
        <f>AND(#REF!,"AAAAAB3x940=")</f>
        <v>#REF!</v>
      </c>
      <c r="EM19" t="e">
        <f>AND(#REF!,"AAAAAB3x944=")</f>
        <v>#REF!</v>
      </c>
      <c r="EN19" t="e">
        <f>AND(#REF!,"AAAAAB3x948=")</f>
        <v>#REF!</v>
      </c>
      <c r="EO19" t="e">
        <f>AND(#REF!,"AAAAAB3x95A=")</f>
        <v>#REF!</v>
      </c>
      <c r="EP19" t="e">
        <f>AND(#REF!,"AAAAAB3x95E=")</f>
        <v>#REF!</v>
      </c>
      <c r="EQ19" t="e">
        <f>AND(#REF!,"AAAAAB3x95I=")</f>
        <v>#REF!</v>
      </c>
      <c r="ER19" t="e">
        <f>AND(#REF!,"AAAAAB3x95M=")</f>
        <v>#REF!</v>
      </c>
      <c r="ES19" t="e">
        <f>AND(#REF!,"AAAAAB3x95Q=")</f>
        <v>#REF!</v>
      </c>
      <c r="ET19" t="e">
        <f>IF(#REF!,"AAAAAB3x95U=",0)</f>
        <v>#REF!</v>
      </c>
      <c r="EU19" t="e">
        <f>AND(#REF!,"AAAAAB3x95Y=")</f>
        <v>#REF!</v>
      </c>
      <c r="EV19" t="e">
        <f>AND(#REF!,"AAAAAB3x95c=")</f>
        <v>#REF!</v>
      </c>
      <c r="EW19" t="e">
        <f>AND(#REF!,"AAAAAB3x95g=")</f>
        <v>#REF!</v>
      </c>
      <c r="EX19" t="e">
        <f>AND(#REF!,"AAAAAB3x95k=")</f>
        <v>#REF!</v>
      </c>
      <c r="EY19" t="e">
        <f>AND(#REF!,"AAAAAB3x95o=")</f>
        <v>#REF!</v>
      </c>
      <c r="EZ19" t="e">
        <f>AND(#REF!,"AAAAAB3x95s=")</f>
        <v>#REF!</v>
      </c>
      <c r="FA19" t="e">
        <f>AND(#REF!,"AAAAAB3x95w=")</f>
        <v>#REF!</v>
      </c>
      <c r="FB19" t="e">
        <f>AND(#REF!,"AAAAAB3x950=")</f>
        <v>#REF!</v>
      </c>
      <c r="FC19" t="e">
        <f>AND(#REF!,"AAAAAB3x954=")</f>
        <v>#REF!</v>
      </c>
      <c r="FD19" t="e">
        <f>AND(#REF!,"AAAAAB3x958=")</f>
        <v>#REF!</v>
      </c>
      <c r="FE19" t="e">
        <f>IF(#REF!,"AAAAAB3x96A=",0)</f>
        <v>#REF!</v>
      </c>
      <c r="FF19" t="e">
        <f>AND(#REF!,"AAAAAB3x96E=")</f>
        <v>#REF!</v>
      </c>
      <c r="FG19" t="e">
        <f>AND(#REF!,"AAAAAB3x96I=")</f>
        <v>#REF!</v>
      </c>
      <c r="FH19" t="e">
        <f>AND(#REF!,"AAAAAB3x96M=")</f>
        <v>#REF!</v>
      </c>
      <c r="FI19" t="e">
        <f>AND(#REF!,"AAAAAB3x96Q=")</f>
        <v>#REF!</v>
      </c>
      <c r="FJ19" t="e">
        <f>AND(#REF!,"AAAAAB3x96U=")</f>
        <v>#REF!</v>
      </c>
      <c r="FK19" t="e">
        <f>AND(#REF!,"AAAAAB3x96Y=")</f>
        <v>#REF!</v>
      </c>
      <c r="FL19" t="e">
        <f>AND(#REF!,"AAAAAB3x96c=")</f>
        <v>#REF!</v>
      </c>
      <c r="FM19" t="e">
        <f>AND(#REF!,"AAAAAB3x96g=")</f>
        <v>#REF!</v>
      </c>
      <c r="FN19" t="e">
        <f>AND(#REF!,"AAAAAB3x96k=")</f>
        <v>#REF!</v>
      </c>
      <c r="FO19" t="e">
        <f>AND(#REF!,"AAAAAB3x96o=")</f>
        <v>#REF!</v>
      </c>
      <c r="FP19" t="e">
        <f>IF(#REF!,"AAAAAB3x96s=",0)</f>
        <v>#REF!</v>
      </c>
      <c r="FQ19" t="e">
        <f>AND(#REF!,"AAAAAB3x96w=")</f>
        <v>#REF!</v>
      </c>
      <c r="FR19" t="e">
        <f>AND(#REF!,"AAAAAB3x960=")</f>
        <v>#REF!</v>
      </c>
      <c r="FS19" t="e">
        <f>AND(#REF!,"AAAAAB3x964=")</f>
        <v>#REF!</v>
      </c>
      <c r="FT19" t="e">
        <f>AND(#REF!,"AAAAAB3x968=")</f>
        <v>#REF!</v>
      </c>
      <c r="FU19" t="e">
        <f>AND(#REF!,"AAAAAB3x97A=")</f>
        <v>#REF!</v>
      </c>
      <c r="FV19" t="e">
        <f>AND(#REF!,"AAAAAB3x97E=")</f>
        <v>#REF!</v>
      </c>
      <c r="FW19" t="e">
        <f>AND(#REF!,"AAAAAB3x97I=")</f>
        <v>#REF!</v>
      </c>
      <c r="FX19" t="e">
        <f>AND(#REF!,"AAAAAB3x97M=")</f>
        <v>#REF!</v>
      </c>
      <c r="FY19" t="e">
        <f>AND(#REF!,"AAAAAB3x97Q=")</f>
        <v>#REF!</v>
      </c>
      <c r="FZ19" t="e">
        <f>AND(#REF!,"AAAAAB3x97U=")</f>
        <v>#REF!</v>
      </c>
      <c r="GA19" t="e">
        <f>IF(#REF!,"AAAAAB3x97Y=",0)</f>
        <v>#REF!</v>
      </c>
      <c r="GB19" t="e">
        <f>AND(#REF!,"AAAAAB3x97c=")</f>
        <v>#REF!</v>
      </c>
      <c r="GC19" t="e">
        <f>AND(#REF!,"AAAAAB3x97g=")</f>
        <v>#REF!</v>
      </c>
      <c r="GD19" t="e">
        <f>AND(#REF!,"AAAAAB3x97k=")</f>
        <v>#REF!</v>
      </c>
      <c r="GE19" t="e">
        <f>AND(#REF!,"AAAAAB3x97o=")</f>
        <v>#REF!</v>
      </c>
      <c r="GF19" t="e">
        <f>AND(#REF!,"AAAAAB3x97s=")</f>
        <v>#REF!</v>
      </c>
      <c r="GG19" t="e">
        <f>AND(#REF!,"AAAAAB3x97w=")</f>
        <v>#REF!</v>
      </c>
      <c r="GH19" t="e">
        <f>AND(#REF!,"AAAAAB3x970=")</f>
        <v>#REF!</v>
      </c>
      <c r="GI19" t="e">
        <f>AND(#REF!,"AAAAAB3x974=")</f>
        <v>#REF!</v>
      </c>
      <c r="GJ19" t="e">
        <f>AND(#REF!,"AAAAAB3x978=")</f>
        <v>#REF!</v>
      </c>
      <c r="GK19" t="e">
        <f>AND(#REF!,"AAAAAB3x98A=")</f>
        <v>#REF!</v>
      </c>
      <c r="GL19" t="e">
        <f>IF(#REF!,"AAAAAB3x98E=",0)</f>
        <v>#REF!</v>
      </c>
      <c r="GM19" t="e">
        <f>AND(#REF!,"AAAAAB3x98I=")</f>
        <v>#REF!</v>
      </c>
      <c r="GN19" t="e">
        <f>AND(#REF!,"AAAAAB3x98M=")</f>
        <v>#REF!</v>
      </c>
      <c r="GO19" t="e">
        <f>AND(#REF!,"AAAAAB3x98Q=")</f>
        <v>#REF!</v>
      </c>
      <c r="GP19" t="e">
        <f>AND(#REF!,"AAAAAB3x98U=")</f>
        <v>#REF!</v>
      </c>
      <c r="GQ19" t="e">
        <f>AND(#REF!,"AAAAAB3x98Y=")</f>
        <v>#REF!</v>
      </c>
      <c r="GR19" t="e">
        <f>AND(#REF!,"AAAAAB3x98c=")</f>
        <v>#REF!</v>
      </c>
      <c r="GS19" t="e">
        <f>AND(#REF!,"AAAAAB3x98g=")</f>
        <v>#REF!</v>
      </c>
      <c r="GT19" t="e">
        <f>AND(#REF!,"AAAAAB3x98k=")</f>
        <v>#REF!</v>
      </c>
      <c r="GU19" t="e">
        <f>AND(#REF!,"AAAAAB3x98o=")</f>
        <v>#REF!</v>
      </c>
      <c r="GV19" t="e">
        <f>AND(#REF!,"AAAAAB3x98s=")</f>
        <v>#REF!</v>
      </c>
      <c r="GW19" t="e">
        <f>IF(#REF!,"AAAAAB3x98w=",0)</f>
        <v>#REF!</v>
      </c>
      <c r="GX19" t="e">
        <f>AND(#REF!,"AAAAAB3x980=")</f>
        <v>#REF!</v>
      </c>
      <c r="GY19" t="e">
        <f>AND(#REF!,"AAAAAB3x984=")</f>
        <v>#REF!</v>
      </c>
      <c r="GZ19" t="e">
        <f>AND(#REF!,"AAAAAB3x988=")</f>
        <v>#REF!</v>
      </c>
      <c r="HA19" t="e">
        <f>AND(#REF!,"AAAAAB3x99A=")</f>
        <v>#REF!</v>
      </c>
      <c r="HB19" t="e">
        <f>AND(#REF!,"AAAAAB3x99E=")</f>
        <v>#REF!</v>
      </c>
      <c r="HC19" t="e">
        <f>AND(#REF!,"AAAAAB3x99I=")</f>
        <v>#REF!</v>
      </c>
      <c r="HD19" t="e">
        <f>AND(#REF!,"AAAAAB3x99M=")</f>
        <v>#REF!</v>
      </c>
      <c r="HE19" t="e">
        <f>AND(#REF!,"AAAAAB3x99Q=")</f>
        <v>#REF!</v>
      </c>
      <c r="HF19" t="e">
        <f>AND(#REF!,"AAAAAB3x99U=")</f>
        <v>#REF!</v>
      </c>
      <c r="HG19" t="e">
        <f>AND(#REF!,"AAAAAB3x99Y=")</f>
        <v>#REF!</v>
      </c>
      <c r="HH19" t="e">
        <f>IF(#REF!,"AAAAAB3x99c=",0)</f>
        <v>#REF!</v>
      </c>
      <c r="HI19" t="e">
        <f>AND(#REF!,"AAAAAB3x99g=")</f>
        <v>#REF!</v>
      </c>
      <c r="HJ19" t="e">
        <f>AND(#REF!,"AAAAAB3x99k=")</f>
        <v>#REF!</v>
      </c>
      <c r="HK19" t="e">
        <f>AND(#REF!,"AAAAAB3x99o=")</f>
        <v>#REF!</v>
      </c>
      <c r="HL19" t="e">
        <f>AND(#REF!,"AAAAAB3x99s=")</f>
        <v>#REF!</v>
      </c>
      <c r="HM19" t="e">
        <f>AND(#REF!,"AAAAAB3x99w=")</f>
        <v>#REF!</v>
      </c>
      <c r="HN19" t="e">
        <f>AND(#REF!,"AAAAAB3x990=")</f>
        <v>#REF!</v>
      </c>
      <c r="HO19" t="e">
        <f>AND(#REF!,"AAAAAB3x994=")</f>
        <v>#REF!</v>
      </c>
      <c r="HP19" t="e">
        <f>AND(#REF!,"AAAAAB3x998=")</f>
        <v>#REF!</v>
      </c>
      <c r="HQ19" t="e">
        <f>AND(#REF!,"AAAAAB3x9+A=")</f>
        <v>#REF!</v>
      </c>
      <c r="HR19" t="e">
        <f>AND(#REF!,"AAAAAB3x9+E=")</f>
        <v>#REF!</v>
      </c>
      <c r="HS19" t="e">
        <f>IF(#REF!,"AAAAAB3x9+I=",0)</f>
        <v>#REF!</v>
      </c>
      <c r="HT19" t="e">
        <f>AND(#REF!,"AAAAAB3x9+M=")</f>
        <v>#REF!</v>
      </c>
      <c r="HU19" t="e">
        <f>AND(#REF!,"AAAAAB3x9+Q=")</f>
        <v>#REF!</v>
      </c>
      <c r="HV19" t="e">
        <f>AND(#REF!,"AAAAAB3x9+U=")</f>
        <v>#REF!</v>
      </c>
      <c r="HW19" t="e">
        <f>AND(#REF!,"AAAAAB3x9+Y=")</f>
        <v>#REF!</v>
      </c>
      <c r="HX19" t="e">
        <f>AND(#REF!,"AAAAAB3x9+c=")</f>
        <v>#REF!</v>
      </c>
      <c r="HY19" t="e">
        <f>AND(#REF!,"AAAAAB3x9+g=")</f>
        <v>#REF!</v>
      </c>
      <c r="HZ19" t="e">
        <f>AND(#REF!,"AAAAAB3x9+k=")</f>
        <v>#REF!</v>
      </c>
      <c r="IA19" t="e">
        <f>AND(#REF!,"AAAAAB3x9+o=")</f>
        <v>#REF!</v>
      </c>
      <c r="IB19" t="e">
        <f>AND(#REF!,"AAAAAB3x9+s=")</f>
        <v>#REF!</v>
      </c>
      <c r="IC19" t="e">
        <f>AND(#REF!,"AAAAAB3x9+w=")</f>
        <v>#REF!</v>
      </c>
      <c r="ID19" t="e">
        <f>IF(#REF!,"AAAAAB3x9+0=",0)</f>
        <v>#REF!</v>
      </c>
      <c r="IE19" t="e">
        <f>AND(#REF!,"AAAAAB3x9+4=")</f>
        <v>#REF!</v>
      </c>
      <c r="IF19" t="e">
        <f>AND(#REF!,"AAAAAB3x9+8=")</f>
        <v>#REF!</v>
      </c>
      <c r="IG19" t="e">
        <f>AND(#REF!,"AAAAAB3x9/A=")</f>
        <v>#REF!</v>
      </c>
      <c r="IH19" t="e">
        <f>AND(#REF!,"AAAAAB3x9/E=")</f>
        <v>#REF!</v>
      </c>
      <c r="II19" t="e">
        <f>AND(#REF!,"AAAAAB3x9/I=")</f>
        <v>#REF!</v>
      </c>
      <c r="IJ19" t="e">
        <f>AND(#REF!,"AAAAAB3x9/M=")</f>
        <v>#REF!</v>
      </c>
      <c r="IK19" t="e">
        <f>AND(#REF!,"AAAAAB3x9/Q=")</f>
        <v>#REF!</v>
      </c>
      <c r="IL19" t="e">
        <f>AND(#REF!,"AAAAAB3x9/U=")</f>
        <v>#REF!</v>
      </c>
      <c r="IM19" t="e">
        <f>AND(#REF!,"AAAAAB3x9/Y=")</f>
        <v>#REF!</v>
      </c>
      <c r="IN19" t="e">
        <f>AND(#REF!,"AAAAAB3x9/c=")</f>
        <v>#REF!</v>
      </c>
      <c r="IO19" t="e">
        <f>IF(#REF!,"AAAAAB3x9/g=",0)</f>
        <v>#REF!</v>
      </c>
      <c r="IP19" t="e">
        <f>AND(#REF!,"AAAAAB3x9/k=")</f>
        <v>#REF!</v>
      </c>
      <c r="IQ19" t="e">
        <f>AND(#REF!,"AAAAAB3x9/o=")</f>
        <v>#REF!</v>
      </c>
      <c r="IR19" t="e">
        <f>AND(#REF!,"AAAAAB3x9/s=")</f>
        <v>#REF!</v>
      </c>
      <c r="IS19" t="e">
        <f>AND(#REF!,"AAAAAB3x9/w=")</f>
        <v>#REF!</v>
      </c>
      <c r="IT19" t="e">
        <f>AND(#REF!,"AAAAAB3x9/0=")</f>
        <v>#REF!</v>
      </c>
      <c r="IU19" t="e">
        <f>AND(#REF!,"AAAAAB3x9/4=")</f>
        <v>#REF!</v>
      </c>
      <c r="IV19" t="e">
        <f>AND(#REF!,"AAAAAB3x9/8=")</f>
        <v>#REF!</v>
      </c>
    </row>
    <row r="20" spans="1:256" x14ac:dyDescent="0.25">
      <c r="A20" t="e">
        <f>AND(#REF!,"AAAAAH/+3wA=")</f>
        <v>#REF!</v>
      </c>
      <c r="B20" t="e">
        <f>AND(#REF!,"AAAAAH/+3wE=")</f>
        <v>#REF!</v>
      </c>
      <c r="C20" t="e">
        <f>AND(#REF!,"AAAAAH/+3wI=")</f>
        <v>#REF!</v>
      </c>
      <c r="D20" t="e">
        <f>IF(#REF!,"AAAAAH/+3wM=",0)</f>
        <v>#REF!</v>
      </c>
      <c r="E20" t="e">
        <f>AND(#REF!,"AAAAAH/+3wQ=")</f>
        <v>#REF!</v>
      </c>
      <c r="F20" t="e">
        <f>AND(#REF!,"AAAAAH/+3wU=")</f>
        <v>#REF!</v>
      </c>
      <c r="G20" t="e">
        <f>AND(#REF!,"AAAAAH/+3wY=")</f>
        <v>#REF!</v>
      </c>
      <c r="H20" t="e">
        <f>AND(#REF!,"AAAAAH/+3wc=")</f>
        <v>#REF!</v>
      </c>
      <c r="I20" t="e">
        <f>AND(#REF!,"AAAAAH/+3wg=")</f>
        <v>#REF!</v>
      </c>
      <c r="J20" t="e">
        <f>AND(#REF!,"AAAAAH/+3wk=")</f>
        <v>#REF!</v>
      </c>
      <c r="K20" t="e">
        <f>AND(#REF!,"AAAAAH/+3wo=")</f>
        <v>#REF!</v>
      </c>
      <c r="L20" t="e">
        <f>AND(#REF!,"AAAAAH/+3ws=")</f>
        <v>#REF!</v>
      </c>
      <c r="M20" t="e">
        <f>AND(#REF!,"AAAAAH/+3ww=")</f>
        <v>#REF!</v>
      </c>
      <c r="N20" t="e">
        <f>AND(#REF!,"AAAAAH/+3w0=")</f>
        <v>#REF!</v>
      </c>
      <c r="O20" t="e">
        <f>IF(#REF!,"AAAAAH/+3w4=",0)</f>
        <v>#REF!</v>
      </c>
      <c r="P20" t="e">
        <f>AND(#REF!,"AAAAAH/+3w8=")</f>
        <v>#REF!</v>
      </c>
      <c r="Q20" t="e">
        <f>AND(#REF!,"AAAAAH/+3xA=")</f>
        <v>#REF!</v>
      </c>
      <c r="R20" t="e">
        <f>AND(#REF!,"AAAAAH/+3xE=")</f>
        <v>#REF!</v>
      </c>
      <c r="S20" t="e">
        <f>AND(#REF!,"AAAAAH/+3xI=")</f>
        <v>#REF!</v>
      </c>
      <c r="T20" t="e">
        <f>AND(#REF!,"AAAAAH/+3xM=")</f>
        <v>#REF!</v>
      </c>
      <c r="U20" t="e">
        <f>AND(#REF!,"AAAAAH/+3xQ=")</f>
        <v>#REF!</v>
      </c>
      <c r="V20" t="e">
        <f>AND(#REF!,"AAAAAH/+3xU=")</f>
        <v>#REF!</v>
      </c>
      <c r="W20" t="e">
        <f>AND(#REF!,"AAAAAH/+3xY=")</f>
        <v>#REF!</v>
      </c>
      <c r="X20" t="e">
        <f>AND(#REF!,"AAAAAH/+3xc=")</f>
        <v>#REF!</v>
      </c>
      <c r="Y20" t="e">
        <f>AND(#REF!,"AAAAAH/+3xg=")</f>
        <v>#REF!</v>
      </c>
      <c r="Z20" t="e">
        <f>IF(#REF!,"AAAAAH/+3xk=",0)</f>
        <v>#REF!</v>
      </c>
      <c r="AA20" t="e">
        <f>AND(#REF!,"AAAAAH/+3xo=")</f>
        <v>#REF!</v>
      </c>
      <c r="AB20" t="e">
        <f>AND(#REF!,"AAAAAH/+3xs=")</f>
        <v>#REF!</v>
      </c>
      <c r="AC20" t="e">
        <f>AND(#REF!,"AAAAAH/+3xw=")</f>
        <v>#REF!</v>
      </c>
      <c r="AD20" t="e">
        <f>AND(#REF!,"AAAAAH/+3x0=")</f>
        <v>#REF!</v>
      </c>
      <c r="AE20" t="e">
        <f>AND(#REF!,"AAAAAH/+3x4=")</f>
        <v>#REF!</v>
      </c>
      <c r="AF20" t="e">
        <f>AND(#REF!,"AAAAAH/+3x8=")</f>
        <v>#REF!</v>
      </c>
      <c r="AG20" t="e">
        <f>AND(#REF!,"AAAAAH/+3yA=")</f>
        <v>#REF!</v>
      </c>
      <c r="AH20" t="e">
        <f>AND(#REF!,"AAAAAH/+3yE=")</f>
        <v>#REF!</v>
      </c>
      <c r="AI20" t="e">
        <f>AND(#REF!,"AAAAAH/+3yI=")</f>
        <v>#REF!</v>
      </c>
      <c r="AJ20" t="e">
        <f>AND(#REF!,"AAAAAH/+3yM=")</f>
        <v>#REF!</v>
      </c>
      <c r="AK20" t="e">
        <f>IF(#REF!,"AAAAAH/+3yQ=",0)</f>
        <v>#REF!</v>
      </c>
      <c r="AL20" t="e">
        <f>AND(#REF!,"AAAAAH/+3yU=")</f>
        <v>#REF!</v>
      </c>
      <c r="AM20" t="e">
        <f>AND(#REF!,"AAAAAH/+3yY=")</f>
        <v>#REF!</v>
      </c>
      <c r="AN20" t="e">
        <f>AND(#REF!,"AAAAAH/+3yc=")</f>
        <v>#REF!</v>
      </c>
      <c r="AO20" t="e">
        <f>AND(#REF!,"AAAAAH/+3yg=")</f>
        <v>#REF!</v>
      </c>
      <c r="AP20" t="e">
        <f>AND(#REF!,"AAAAAH/+3yk=")</f>
        <v>#REF!</v>
      </c>
      <c r="AQ20" t="e">
        <f>AND(#REF!,"AAAAAH/+3yo=")</f>
        <v>#REF!</v>
      </c>
      <c r="AR20" t="e">
        <f>AND(#REF!,"AAAAAH/+3ys=")</f>
        <v>#REF!</v>
      </c>
      <c r="AS20" t="e">
        <f>AND(#REF!,"AAAAAH/+3yw=")</f>
        <v>#REF!</v>
      </c>
      <c r="AT20" t="e">
        <f>AND(#REF!,"AAAAAH/+3y0=")</f>
        <v>#REF!</v>
      </c>
      <c r="AU20" t="e">
        <f>AND(#REF!,"AAAAAH/+3y4=")</f>
        <v>#REF!</v>
      </c>
      <c r="AV20" t="e">
        <f>IF(#REF!,"AAAAAH/+3y8=",0)</f>
        <v>#REF!</v>
      </c>
      <c r="AW20" t="e">
        <f>AND(#REF!,"AAAAAH/+3zA=")</f>
        <v>#REF!</v>
      </c>
      <c r="AX20" t="e">
        <f>AND(#REF!,"AAAAAH/+3zE=")</f>
        <v>#REF!</v>
      </c>
      <c r="AY20" t="e">
        <f>AND(#REF!,"AAAAAH/+3zI=")</f>
        <v>#REF!</v>
      </c>
      <c r="AZ20" t="e">
        <f>AND(#REF!,"AAAAAH/+3zM=")</f>
        <v>#REF!</v>
      </c>
      <c r="BA20" t="e">
        <f>AND(#REF!,"AAAAAH/+3zQ=")</f>
        <v>#REF!</v>
      </c>
      <c r="BB20" t="e">
        <f>AND(#REF!,"AAAAAH/+3zU=")</f>
        <v>#REF!</v>
      </c>
      <c r="BC20" t="e">
        <f>AND(#REF!,"AAAAAH/+3zY=")</f>
        <v>#REF!</v>
      </c>
      <c r="BD20" t="e">
        <f>AND(#REF!,"AAAAAH/+3zc=")</f>
        <v>#REF!</v>
      </c>
      <c r="BE20" t="e">
        <f>AND(#REF!,"AAAAAH/+3zg=")</f>
        <v>#REF!</v>
      </c>
      <c r="BF20" t="e">
        <f>AND(#REF!,"AAAAAH/+3zk=")</f>
        <v>#REF!</v>
      </c>
      <c r="BG20" t="e">
        <f>IF(#REF!,"AAAAAH/+3zo=",0)</f>
        <v>#REF!</v>
      </c>
      <c r="BH20" t="e">
        <f>AND(#REF!,"AAAAAH/+3zs=")</f>
        <v>#REF!</v>
      </c>
      <c r="BI20" t="e">
        <f>AND(#REF!,"AAAAAH/+3zw=")</f>
        <v>#REF!</v>
      </c>
      <c r="BJ20" t="e">
        <f>AND(#REF!,"AAAAAH/+3z0=")</f>
        <v>#REF!</v>
      </c>
      <c r="BK20" t="e">
        <f>AND(#REF!,"AAAAAH/+3z4=")</f>
        <v>#REF!</v>
      </c>
      <c r="BL20" t="e">
        <f>AND(#REF!,"AAAAAH/+3z8=")</f>
        <v>#REF!</v>
      </c>
      <c r="BM20" t="e">
        <f>AND(#REF!,"AAAAAH/+30A=")</f>
        <v>#REF!</v>
      </c>
      <c r="BN20" t="e">
        <f>AND(#REF!,"AAAAAH/+30E=")</f>
        <v>#REF!</v>
      </c>
      <c r="BO20" t="e">
        <f>AND(#REF!,"AAAAAH/+30I=")</f>
        <v>#REF!</v>
      </c>
      <c r="BP20" t="e">
        <f>AND(#REF!,"AAAAAH/+30M=")</f>
        <v>#REF!</v>
      </c>
      <c r="BQ20" t="e">
        <f>AND(#REF!,"AAAAAH/+30Q=")</f>
        <v>#REF!</v>
      </c>
      <c r="BR20" t="e">
        <f>IF(#REF!,"AAAAAH/+30U=",0)</f>
        <v>#REF!</v>
      </c>
      <c r="BS20" t="e">
        <f>AND(#REF!,"AAAAAH/+30Y=")</f>
        <v>#REF!</v>
      </c>
      <c r="BT20" t="e">
        <f>AND(#REF!,"AAAAAH/+30c=")</f>
        <v>#REF!</v>
      </c>
      <c r="BU20" t="e">
        <f>AND(#REF!,"AAAAAH/+30g=")</f>
        <v>#REF!</v>
      </c>
      <c r="BV20" t="e">
        <f>AND(#REF!,"AAAAAH/+30k=")</f>
        <v>#REF!</v>
      </c>
      <c r="BW20" t="e">
        <f>AND(#REF!,"AAAAAH/+30o=")</f>
        <v>#REF!</v>
      </c>
      <c r="BX20" t="e">
        <f>AND(#REF!,"AAAAAH/+30s=")</f>
        <v>#REF!</v>
      </c>
      <c r="BY20" t="e">
        <f>AND(#REF!,"AAAAAH/+30w=")</f>
        <v>#REF!</v>
      </c>
      <c r="BZ20" t="e">
        <f>AND(#REF!,"AAAAAH/+300=")</f>
        <v>#REF!</v>
      </c>
      <c r="CA20" t="e">
        <f>AND(#REF!,"AAAAAH/+304=")</f>
        <v>#REF!</v>
      </c>
      <c r="CB20" t="e">
        <f>AND(#REF!,"AAAAAH/+308=")</f>
        <v>#REF!</v>
      </c>
      <c r="CC20" t="e">
        <f>IF(#REF!,"AAAAAH/+31A=",0)</f>
        <v>#REF!</v>
      </c>
      <c r="CD20" t="e">
        <f>AND(#REF!,"AAAAAH/+31E=")</f>
        <v>#REF!</v>
      </c>
      <c r="CE20" t="e">
        <f>AND(#REF!,"AAAAAH/+31I=")</f>
        <v>#REF!</v>
      </c>
      <c r="CF20" t="e">
        <f>AND(#REF!,"AAAAAH/+31M=")</f>
        <v>#REF!</v>
      </c>
      <c r="CG20" t="e">
        <f>AND(#REF!,"AAAAAH/+31Q=")</f>
        <v>#REF!</v>
      </c>
      <c r="CH20" t="e">
        <f>AND(#REF!,"AAAAAH/+31U=")</f>
        <v>#REF!</v>
      </c>
      <c r="CI20" t="e">
        <f>AND(#REF!,"AAAAAH/+31Y=")</f>
        <v>#REF!</v>
      </c>
      <c r="CJ20" t="e">
        <f>AND(#REF!,"AAAAAH/+31c=")</f>
        <v>#REF!</v>
      </c>
      <c r="CK20" t="e">
        <f>AND(#REF!,"AAAAAH/+31g=")</f>
        <v>#REF!</v>
      </c>
      <c r="CL20" t="e">
        <f>AND(#REF!,"AAAAAH/+31k=")</f>
        <v>#REF!</v>
      </c>
      <c r="CM20" t="e">
        <f>AND(#REF!,"AAAAAH/+31o=")</f>
        <v>#REF!</v>
      </c>
      <c r="CN20" t="e">
        <f>IF(#REF!,"AAAAAH/+31s=",0)</f>
        <v>#REF!</v>
      </c>
      <c r="CO20" t="e">
        <f>AND(#REF!,"AAAAAH/+31w=")</f>
        <v>#REF!</v>
      </c>
      <c r="CP20" t="e">
        <f>AND(#REF!,"AAAAAH/+310=")</f>
        <v>#REF!</v>
      </c>
      <c r="CQ20" t="e">
        <f>AND(#REF!,"AAAAAH/+314=")</f>
        <v>#REF!</v>
      </c>
      <c r="CR20" t="e">
        <f>AND(#REF!,"AAAAAH/+318=")</f>
        <v>#REF!</v>
      </c>
      <c r="CS20" t="e">
        <f>AND(#REF!,"AAAAAH/+32A=")</f>
        <v>#REF!</v>
      </c>
      <c r="CT20" t="e">
        <f>AND(#REF!,"AAAAAH/+32E=")</f>
        <v>#REF!</v>
      </c>
      <c r="CU20" t="e">
        <f>AND(#REF!,"AAAAAH/+32I=")</f>
        <v>#REF!</v>
      </c>
      <c r="CV20" t="e">
        <f>AND(#REF!,"AAAAAH/+32M=")</f>
        <v>#REF!</v>
      </c>
      <c r="CW20" t="e">
        <f>AND(#REF!,"AAAAAH/+32Q=")</f>
        <v>#REF!</v>
      </c>
      <c r="CX20" t="e">
        <f>AND(#REF!,"AAAAAH/+32U=")</f>
        <v>#REF!</v>
      </c>
      <c r="CY20" t="e">
        <f>IF(#REF!,"AAAAAH/+32Y=",0)</f>
        <v>#REF!</v>
      </c>
      <c r="CZ20" t="e">
        <f>AND(#REF!,"AAAAAH/+32c=")</f>
        <v>#REF!</v>
      </c>
      <c r="DA20" t="e">
        <f>AND(#REF!,"AAAAAH/+32g=")</f>
        <v>#REF!</v>
      </c>
      <c r="DB20" t="e">
        <f>AND(#REF!,"AAAAAH/+32k=")</f>
        <v>#REF!</v>
      </c>
      <c r="DC20" t="e">
        <f>AND(#REF!,"AAAAAH/+32o=")</f>
        <v>#REF!</v>
      </c>
      <c r="DD20" t="e">
        <f>AND(#REF!,"AAAAAH/+32s=")</f>
        <v>#REF!</v>
      </c>
      <c r="DE20" t="e">
        <f>AND(#REF!,"AAAAAH/+32w=")</f>
        <v>#REF!</v>
      </c>
      <c r="DF20" t="e">
        <f>AND(#REF!,"AAAAAH/+320=")</f>
        <v>#REF!</v>
      </c>
      <c r="DG20" t="e">
        <f>AND(#REF!,"AAAAAH/+324=")</f>
        <v>#REF!</v>
      </c>
      <c r="DH20" t="e">
        <f>AND(#REF!,"AAAAAH/+328=")</f>
        <v>#REF!</v>
      </c>
      <c r="DI20" t="e">
        <f>AND(#REF!,"AAAAAH/+33A=")</f>
        <v>#REF!</v>
      </c>
      <c r="DJ20" t="e">
        <f>IF(#REF!,"AAAAAH/+33E=",0)</f>
        <v>#REF!</v>
      </c>
      <c r="DK20" t="e">
        <f>AND(#REF!,"AAAAAH/+33I=")</f>
        <v>#REF!</v>
      </c>
      <c r="DL20" t="e">
        <f>AND(#REF!,"AAAAAH/+33M=")</f>
        <v>#REF!</v>
      </c>
      <c r="DM20" t="e">
        <f>AND(#REF!,"AAAAAH/+33Q=")</f>
        <v>#REF!</v>
      </c>
      <c r="DN20" t="e">
        <f>AND(#REF!,"AAAAAH/+33U=")</f>
        <v>#REF!</v>
      </c>
      <c r="DO20" t="e">
        <f>AND(#REF!,"AAAAAH/+33Y=")</f>
        <v>#REF!</v>
      </c>
      <c r="DP20" t="e">
        <f>AND(#REF!,"AAAAAH/+33c=")</f>
        <v>#REF!</v>
      </c>
      <c r="DQ20" t="e">
        <f>AND(#REF!,"AAAAAH/+33g=")</f>
        <v>#REF!</v>
      </c>
      <c r="DR20" t="e">
        <f>AND(#REF!,"AAAAAH/+33k=")</f>
        <v>#REF!</v>
      </c>
      <c r="DS20" t="e">
        <f>AND(#REF!,"AAAAAH/+33o=")</f>
        <v>#REF!</v>
      </c>
      <c r="DT20" t="e">
        <f>AND(#REF!,"AAAAAH/+33s=")</f>
        <v>#REF!</v>
      </c>
      <c r="DU20" t="e">
        <f>IF(#REF!,"AAAAAH/+33w=",0)</f>
        <v>#REF!</v>
      </c>
      <c r="DV20" t="e">
        <f>AND(#REF!,"AAAAAH/+330=")</f>
        <v>#REF!</v>
      </c>
      <c r="DW20" t="e">
        <f>AND(#REF!,"AAAAAH/+334=")</f>
        <v>#REF!</v>
      </c>
      <c r="DX20" t="e">
        <f>AND(#REF!,"AAAAAH/+338=")</f>
        <v>#REF!</v>
      </c>
      <c r="DY20" t="e">
        <f>AND(#REF!,"AAAAAH/+34A=")</f>
        <v>#REF!</v>
      </c>
      <c r="DZ20" t="e">
        <f>AND(#REF!,"AAAAAH/+34E=")</f>
        <v>#REF!</v>
      </c>
      <c r="EA20" t="e">
        <f>AND(#REF!,"AAAAAH/+34I=")</f>
        <v>#REF!</v>
      </c>
      <c r="EB20" t="e">
        <f>AND(#REF!,"AAAAAH/+34M=")</f>
        <v>#REF!</v>
      </c>
      <c r="EC20" t="e">
        <f>AND(#REF!,"AAAAAH/+34Q=")</f>
        <v>#REF!</v>
      </c>
      <c r="ED20" t="e">
        <f>AND(#REF!,"AAAAAH/+34U=")</f>
        <v>#REF!</v>
      </c>
      <c r="EE20" t="e">
        <f>AND(#REF!,"AAAAAH/+34Y=")</f>
        <v>#REF!</v>
      </c>
      <c r="EF20" t="e">
        <f>IF(#REF!,"AAAAAH/+34c=",0)</f>
        <v>#REF!</v>
      </c>
      <c r="EG20" t="e">
        <f>AND(#REF!,"AAAAAH/+34g=")</f>
        <v>#REF!</v>
      </c>
      <c r="EH20" t="e">
        <f>AND(#REF!,"AAAAAH/+34k=")</f>
        <v>#REF!</v>
      </c>
      <c r="EI20" t="e">
        <f>AND(#REF!,"AAAAAH/+34o=")</f>
        <v>#REF!</v>
      </c>
      <c r="EJ20" t="e">
        <f>AND(#REF!,"AAAAAH/+34s=")</f>
        <v>#REF!</v>
      </c>
      <c r="EK20" t="e">
        <f>AND(#REF!,"AAAAAH/+34w=")</f>
        <v>#REF!</v>
      </c>
      <c r="EL20" t="e">
        <f>AND(#REF!,"AAAAAH/+340=")</f>
        <v>#REF!</v>
      </c>
      <c r="EM20" t="e">
        <f>AND(#REF!,"AAAAAH/+344=")</f>
        <v>#REF!</v>
      </c>
      <c r="EN20" t="e">
        <f>AND(#REF!,"AAAAAH/+348=")</f>
        <v>#REF!</v>
      </c>
      <c r="EO20" t="e">
        <f>AND(#REF!,"AAAAAH/+35A=")</f>
        <v>#REF!</v>
      </c>
      <c r="EP20" t="e">
        <f>AND(#REF!,"AAAAAH/+35E=")</f>
        <v>#REF!</v>
      </c>
      <c r="EQ20" t="e">
        <f>IF(#REF!,"AAAAAH/+35I=",0)</f>
        <v>#REF!</v>
      </c>
      <c r="ER20" t="e">
        <f>AND(#REF!,"AAAAAH/+35M=")</f>
        <v>#REF!</v>
      </c>
      <c r="ES20" t="e">
        <f>AND(#REF!,"AAAAAH/+35Q=")</f>
        <v>#REF!</v>
      </c>
      <c r="ET20" t="e">
        <f>AND(#REF!,"AAAAAH/+35U=")</f>
        <v>#REF!</v>
      </c>
      <c r="EU20" t="e">
        <f>AND(#REF!,"AAAAAH/+35Y=")</f>
        <v>#REF!</v>
      </c>
      <c r="EV20" t="e">
        <f>AND(#REF!,"AAAAAH/+35c=")</f>
        <v>#REF!</v>
      </c>
      <c r="EW20" t="e">
        <f>AND(#REF!,"AAAAAH/+35g=")</f>
        <v>#REF!</v>
      </c>
      <c r="EX20" t="e">
        <f>AND(#REF!,"AAAAAH/+35k=")</f>
        <v>#REF!</v>
      </c>
      <c r="EY20" t="e">
        <f>AND(#REF!,"AAAAAH/+35o=")</f>
        <v>#REF!</v>
      </c>
      <c r="EZ20" t="e">
        <f>AND(#REF!,"AAAAAH/+35s=")</f>
        <v>#REF!</v>
      </c>
      <c r="FA20" t="e">
        <f>AND(#REF!,"AAAAAH/+35w=")</f>
        <v>#REF!</v>
      </c>
      <c r="FB20" t="e">
        <f>IF(#REF!,"AAAAAH/+350=",0)</f>
        <v>#REF!</v>
      </c>
      <c r="FC20" t="e">
        <f>AND(#REF!,"AAAAAH/+354=")</f>
        <v>#REF!</v>
      </c>
      <c r="FD20" t="e">
        <f>AND(#REF!,"AAAAAH/+358=")</f>
        <v>#REF!</v>
      </c>
      <c r="FE20" t="e">
        <f>AND(#REF!,"AAAAAH/+36A=")</f>
        <v>#REF!</v>
      </c>
      <c r="FF20" t="e">
        <f>AND(#REF!,"AAAAAH/+36E=")</f>
        <v>#REF!</v>
      </c>
      <c r="FG20" t="e">
        <f>AND(#REF!,"AAAAAH/+36I=")</f>
        <v>#REF!</v>
      </c>
      <c r="FH20" t="e">
        <f>AND(#REF!,"AAAAAH/+36M=")</f>
        <v>#REF!</v>
      </c>
      <c r="FI20" t="e">
        <f>AND(#REF!,"AAAAAH/+36Q=")</f>
        <v>#REF!</v>
      </c>
      <c r="FJ20" t="e">
        <f>AND(#REF!,"AAAAAH/+36U=")</f>
        <v>#REF!</v>
      </c>
      <c r="FK20" t="e">
        <f>AND(#REF!,"AAAAAH/+36Y=")</f>
        <v>#REF!</v>
      </c>
      <c r="FL20" t="e">
        <f>AND(#REF!,"AAAAAH/+36c=")</f>
        <v>#REF!</v>
      </c>
      <c r="FM20" t="e">
        <f>IF(#REF!,"AAAAAH/+36g=",0)</f>
        <v>#REF!</v>
      </c>
      <c r="FN20" t="e">
        <f>AND(#REF!,"AAAAAH/+36k=")</f>
        <v>#REF!</v>
      </c>
      <c r="FO20" t="e">
        <f>AND(#REF!,"AAAAAH/+36o=")</f>
        <v>#REF!</v>
      </c>
      <c r="FP20" t="e">
        <f>AND(#REF!,"AAAAAH/+36s=")</f>
        <v>#REF!</v>
      </c>
      <c r="FQ20" t="e">
        <f>AND(#REF!,"AAAAAH/+36w=")</f>
        <v>#REF!</v>
      </c>
      <c r="FR20" t="e">
        <f>AND(#REF!,"AAAAAH/+360=")</f>
        <v>#REF!</v>
      </c>
      <c r="FS20" t="e">
        <f>AND(#REF!,"AAAAAH/+364=")</f>
        <v>#REF!</v>
      </c>
      <c r="FT20" t="e">
        <f>AND(#REF!,"AAAAAH/+368=")</f>
        <v>#REF!</v>
      </c>
      <c r="FU20" t="e">
        <f>AND(#REF!,"AAAAAH/+37A=")</f>
        <v>#REF!</v>
      </c>
      <c r="FV20" t="e">
        <f>AND(#REF!,"AAAAAH/+37E=")</f>
        <v>#REF!</v>
      </c>
      <c r="FW20" t="e">
        <f>AND(#REF!,"AAAAAH/+37I=")</f>
        <v>#REF!</v>
      </c>
      <c r="FX20" t="e">
        <f>IF(#REF!,"AAAAAH/+37M=",0)</f>
        <v>#REF!</v>
      </c>
      <c r="FY20" t="e">
        <f>AND(#REF!,"AAAAAH/+37Q=")</f>
        <v>#REF!</v>
      </c>
      <c r="FZ20" t="e">
        <f>AND(#REF!,"AAAAAH/+37U=")</f>
        <v>#REF!</v>
      </c>
      <c r="GA20" t="e">
        <f>AND(#REF!,"AAAAAH/+37Y=")</f>
        <v>#REF!</v>
      </c>
      <c r="GB20" t="e">
        <f>AND(#REF!,"AAAAAH/+37c=")</f>
        <v>#REF!</v>
      </c>
      <c r="GC20" t="e">
        <f>AND(#REF!,"AAAAAH/+37g=")</f>
        <v>#REF!</v>
      </c>
      <c r="GD20" t="e">
        <f>AND(#REF!,"AAAAAH/+37k=")</f>
        <v>#REF!</v>
      </c>
      <c r="GE20" t="e">
        <f>AND(#REF!,"AAAAAH/+37o=")</f>
        <v>#REF!</v>
      </c>
      <c r="GF20" t="e">
        <f>AND(#REF!,"AAAAAH/+37s=")</f>
        <v>#REF!</v>
      </c>
      <c r="GG20" t="e">
        <f>AND(#REF!,"AAAAAH/+37w=")</f>
        <v>#REF!</v>
      </c>
      <c r="GH20" t="e">
        <f>AND(#REF!,"AAAAAH/+370=")</f>
        <v>#REF!</v>
      </c>
      <c r="GI20" t="e">
        <f>IF(#REF!,"AAAAAH/+374=",0)</f>
        <v>#REF!</v>
      </c>
      <c r="GJ20" t="e">
        <f>AND(#REF!,"AAAAAH/+378=")</f>
        <v>#REF!</v>
      </c>
      <c r="GK20" t="e">
        <f>AND(#REF!,"AAAAAH/+38A=")</f>
        <v>#REF!</v>
      </c>
      <c r="GL20" t="e">
        <f>AND(#REF!,"AAAAAH/+38E=")</f>
        <v>#REF!</v>
      </c>
      <c r="GM20" t="e">
        <f>AND(#REF!,"AAAAAH/+38I=")</f>
        <v>#REF!</v>
      </c>
      <c r="GN20" t="e">
        <f>AND(#REF!,"AAAAAH/+38M=")</f>
        <v>#REF!</v>
      </c>
      <c r="GO20" t="e">
        <f>AND(#REF!,"AAAAAH/+38Q=")</f>
        <v>#REF!</v>
      </c>
      <c r="GP20" t="e">
        <f>AND(#REF!,"AAAAAH/+38U=")</f>
        <v>#REF!</v>
      </c>
      <c r="GQ20" t="e">
        <f>AND(#REF!,"AAAAAH/+38Y=")</f>
        <v>#REF!</v>
      </c>
      <c r="GR20" t="e">
        <f>AND(#REF!,"AAAAAH/+38c=")</f>
        <v>#REF!</v>
      </c>
      <c r="GS20" t="e">
        <f>AND(#REF!,"AAAAAH/+38g=")</f>
        <v>#REF!</v>
      </c>
      <c r="GT20" t="e">
        <f>IF(#REF!,"AAAAAH/+38k=",0)</f>
        <v>#REF!</v>
      </c>
      <c r="GU20" t="e">
        <f>AND(#REF!,"AAAAAH/+38o=")</f>
        <v>#REF!</v>
      </c>
      <c r="GV20" t="e">
        <f>AND(#REF!,"AAAAAH/+38s=")</f>
        <v>#REF!</v>
      </c>
      <c r="GW20" t="e">
        <f>AND(#REF!,"AAAAAH/+38w=")</f>
        <v>#REF!</v>
      </c>
      <c r="GX20" t="e">
        <f>AND(#REF!,"AAAAAH/+380=")</f>
        <v>#REF!</v>
      </c>
      <c r="GY20" t="e">
        <f>AND(#REF!,"AAAAAH/+384=")</f>
        <v>#REF!</v>
      </c>
      <c r="GZ20" t="e">
        <f>AND(#REF!,"AAAAAH/+388=")</f>
        <v>#REF!</v>
      </c>
      <c r="HA20" t="e">
        <f>AND(#REF!,"AAAAAH/+39A=")</f>
        <v>#REF!</v>
      </c>
      <c r="HB20" t="e">
        <f>AND(#REF!,"AAAAAH/+39E=")</f>
        <v>#REF!</v>
      </c>
      <c r="HC20" t="e">
        <f>AND(#REF!,"AAAAAH/+39I=")</f>
        <v>#REF!</v>
      </c>
      <c r="HD20" t="e">
        <f>AND(#REF!,"AAAAAH/+39M=")</f>
        <v>#REF!</v>
      </c>
      <c r="HE20" t="e">
        <f>IF(#REF!,"AAAAAH/+39Q=",0)</f>
        <v>#REF!</v>
      </c>
      <c r="HF20" t="e">
        <f>AND(#REF!,"AAAAAH/+39U=")</f>
        <v>#REF!</v>
      </c>
      <c r="HG20" t="e">
        <f>AND(#REF!,"AAAAAH/+39Y=")</f>
        <v>#REF!</v>
      </c>
      <c r="HH20" t="e">
        <f>AND(#REF!,"AAAAAH/+39c=")</f>
        <v>#REF!</v>
      </c>
      <c r="HI20" t="e">
        <f>AND(#REF!,"AAAAAH/+39g=")</f>
        <v>#REF!</v>
      </c>
      <c r="HJ20" t="e">
        <f>AND(#REF!,"AAAAAH/+39k=")</f>
        <v>#REF!</v>
      </c>
      <c r="HK20" t="e">
        <f>AND(#REF!,"AAAAAH/+39o=")</f>
        <v>#REF!</v>
      </c>
      <c r="HL20" t="e">
        <f>AND(#REF!,"AAAAAH/+39s=")</f>
        <v>#REF!</v>
      </c>
      <c r="HM20" t="e">
        <f>AND(#REF!,"AAAAAH/+39w=")</f>
        <v>#REF!</v>
      </c>
      <c r="HN20" t="e">
        <f>AND(#REF!,"AAAAAH/+390=")</f>
        <v>#REF!</v>
      </c>
      <c r="HO20" t="e">
        <f>AND(#REF!,"AAAAAH/+394=")</f>
        <v>#REF!</v>
      </c>
      <c r="HP20" t="e">
        <f>IF(#REF!,"AAAAAH/+398=",0)</f>
        <v>#REF!</v>
      </c>
      <c r="HQ20" t="e">
        <f>AND(#REF!,"AAAAAH/+3+A=")</f>
        <v>#REF!</v>
      </c>
      <c r="HR20" t="e">
        <f>AND(#REF!,"AAAAAH/+3+E=")</f>
        <v>#REF!</v>
      </c>
      <c r="HS20" t="e">
        <f>AND(#REF!,"AAAAAH/+3+I=")</f>
        <v>#REF!</v>
      </c>
      <c r="HT20" t="e">
        <f>AND(#REF!,"AAAAAH/+3+M=")</f>
        <v>#REF!</v>
      </c>
      <c r="HU20" t="e">
        <f>AND(#REF!,"AAAAAH/+3+Q=")</f>
        <v>#REF!</v>
      </c>
      <c r="HV20" t="e">
        <f>AND(#REF!,"AAAAAH/+3+U=")</f>
        <v>#REF!</v>
      </c>
      <c r="HW20" t="e">
        <f>AND(#REF!,"AAAAAH/+3+Y=")</f>
        <v>#REF!</v>
      </c>
      <c r="HX20" t="e">
        <f>AND(#REF!,"AAAAAH/+3+c=")</f>
        <v>#REF!</v>
      </c>
      <c r="HY20" t="e">
        <f>AND(#REF!,"AAAAAH/+3+g=")</f>
        <v>#REF!</v>
      </c>
      <c r="HZ20" t="e">
        <f>AND(#REF!,"AAAAAH/+3+k=")</f>
        <v>#REF!</v>
      </c>
      <c r="IA20" t="e">
        <f>IF(#REF!,"AAAAAH/+3+o=",0)</f>
        <v>#REF!</v>
      </c>
      <c r="IB20" t="e">
        <f>AND(#REF!,"AAAAAH/+3+s=")</f>
        <v>#REF!</v>
      </c>
      <c r="IC20" t="e">
        <f>AND(#REF!,"AAAAAH/+3+w=")</f>
        <v>#REF!</v>
      </c>
      <c r="ID20" t="e">
        <f>AND(#REF!,"AAAAAH/+3+0=")</f>
        <v>#REF!</v>
      </c>
      <c r="IE20" t="e">
        <f>AND(#REF!,"AAAAAH/+3+4=")</f>
        <v>#REF!</v>
      </c>
      <c r="IF20" t="e">
        <f>AND(#REF!,"AAAAAH/+3+8=")</f>
        <v>#REF!</v>
      </c>
      <c r="IG20" t="e">
        <f>AND(#REF!,"AAAAAH/+3/A=")</f>
        <v>#REF!</v>
      </c>
      <c r="IH20" t="e">
        <f>AND(#REF!,"AAAAAH/+3/E=")</f>
        <v>#REF!</v>
      </c>
      <c r="II20" t="e">
        <f>AND(#REF!,"AAAAAH/+3/I=")</f>
        <v>#REF!</v>
      </c>
      <c r="IJ20" t="e">
        <f>AND(#REF!,"AAAAAH/+3/M=")</f>
        <v>#REF!</v>
      </c>
      <c r="IK20" t="e">
        <f>AND(#REF!,"AAAAAH/+3/Q=")</f>
        <v>#REF!</v>
      </c>
      <c r="IL20" t="e">
        <f>IF(#REF!,"AAAAAH/+3/U=",0)</f>
        <v>#REF!</v>
      </c>
      <c r="IM20" t="e">
        <f>AND(#REF!,"AAAAAH/+3/Y=")</f>
        <v>#REF!</v>
      </c>
      <c r="IN20" t="e">
        <f>AND(#REF!,"AAAAAH/+3/c=")</f>
        <v>#REF!</v>
      </c>
      <c r="IO20" t="e">
        <f>AND(#REF!,"AAAAAH/+3/g=")</f>
        <v>#REF!</v>
      </c>
      <c r="IP20" t="e">
        <f>AND(#REF!,"AAAAAH/+3/k=")</f>
        <v>#REF!</v>
      </c>
      <c r="IQ20" t="e">
        <f>AND(#REF!,"AAAAAH/+3/o=")</f>
        <v>#REF!</v>
      </c>
      <c r="IR20" t="e">
        <f>AND(#REF!,"AAAAAH/+3/s=")</f>
        <v>#REF!</v>
      </c>
      <c r="IS20" t="e">
        <f>AND(#REF!,"AAAAAH/+3/w=")</f>
        <v>#REF!</v>
      </c>
      <c r="IT20" t="e">
        <f>AND(#REF!,"AAAAAH/+3/0=")</f>
        <v>#REF!</v>
      </c>
      <c r="IU20" t="e">
        <f>AND(#REF!,"AAAAAH/+3/4=")</f>
        <v>#REF!</v>
      </c>
      <c r="IV20" t="e">
        <f>AND(#REF!,"AAAAAH/+3/8=")</f>
        <v>#REF!</v>
      </c>
    </row>
    <row r="21" spans="1:256" x14ac:dyDescent="0.25">
      <c r="A21" t="e">
        <f>IF(#REF!,"AAAAAH9//gA=",0)</f>
        <v>#REF!</v>
      </c>
      <c r="B21" t="e">
        <f>AND(#REF!,"AAAAAH9//gE=")</f>
        <v>#REF!</v>
      </c>
      <c r="C21" t="e">
        <f>AND(#REF!,"AAAAAH9//gI=")</f>
        <v>#REF!</v>
      </c>
      <c r="D21" t="e">
        <f>AND(#REF!,"AAAAAH9//gM=")</f>
        <v>#REF!</v>
      </c>
      <c r="E21" t="e">
        <f>AND(#REF!,"AAAAAH9//gQ=")</f>
        <v>#REF!</v>
      </c>
      <c r="F21" t="e">
        <f>AND(#REF!,"AAAAAH9//gU=")</f>
        <v>#REF!</v>
      </c>
      <c r="G21" t="e">
        <f>AND(#REF!,"AAAAAH9//gY=")</f>
        <v>#REF!</v>
      </c>
      <c r="H21" t="e">
        <f>AND(#REF!,"AAAAAH9//gc=")</f>
        <v>#REF!</v>
      </c>
      <c r="I21" t="e">
        <f>AND(#REF!,"AAAAAH9//gg=")</f>
        <v>#REF!</v>
      </c>
      <c r="J21" t="e">
        <f>AND(#REF!,"AAAAAH9//gk=")</f>
        <v>#REF!</v>
      </c>
      <c r="K21" t="e">
        <f>AND(#REF!,"AAAAAH9//go=")</f>
        <v>#REF!</v>
      </c>
      <c r="L21" t="e">
        <f>IF(#REF!,"AAAAAH9//gs=",0)</f>
        <v>#REF!</v>
      </c>
      <c r="M21" t="e">
        <f>AND(#REF!,"AAAAAH9//gw=")</f>
        <v>#REF!</v>
      </c>
      <c r="N21" t="e">
        <f>AND(#REF!,"AAAAAH9//g0=")</f>
        <v>#REF!</v>
      </c>
      <c r="O21" t="e">
        <f>AND(#REF!,"AAAAAH9//g4=")</f>
        <v>#REF!</v>
      </c>
      <c r="P21" t="e">
        <f>AND(#REF!,"AAAAAH9//g8=")</f>
        <v>#REF!</v>
      </c>
      <c r="Q21" t="e">
        <f>AND(#REF!,"AAAAAH9//hA=")</f>
        <v>#REF!</v>
      </c>
      <c r="R21" t="e">
        <f>AND(#REF!,"AAAAAH9//hE=")</f>
        <v>#REF!</v>
      </c>
      <c r="S21" t="e">
        <f>AND(#REF!,"AAAAAH9//hI=")</f>
        <v>#REF!</v>
      </c>
      <c r="T21" t="e">
        <f>AND(#REF!,"AAAAAH9//hM=")</f>
        <v>#REF!</v>
      </c>
      <c r="U21" t="e">
        <f>AND(#REF!,"AAAAAH9//hQ=")</f>
        <v>#REF!</v>
      </c>
      <c r="V21" t="e">
        <f>AND(#REF!,"AAAAAH9//hU=")</f>
        <v>#REF!</v>
      </c>
      <c r="W21" t="e">
        <f>IF(#REF!,"AAAAAH9//hY=",0)</f>
        <v>#REF!</v>
      </c>
      <c r="X21" t="e">
        <f>AND(#REF!,"AAAAAH9//hc=")</f>
        <v>#REF!</v>
      </c>
      <c r="Y21" t="e">
        <f>AND(#REF!,"AAAAAH9//hg=")</f>
        <v>#REF!</v>
      </c>
      <c r="Z21" t="e">
        <f>AND(#REF!,"AAAAAH9//hk=")</f>
        <v>#REF!</v>
      </c>
      <c r="AA21" t="e">
        <f>AND(#REF!,"AAAAAH9//ho=")</f>
        <v>#REF!</v>
      </c>
      <c r="AB21" t="e">
        <f>AND(#REF!,"AAAAAH9//hs=")</f>
        <v>#REF!</v>
      </c>
      <c r="AC21" t="e">
        <f>AND(#REF!,"AAAAAH9//hw=")</f>
        <v>#REF!</v>
      </c>
      <c r="AD21" t="e">
        <f>AND(#REF!,"AAAAAH9//h0=")</f>
        <v>#REF!</v>
      </c>
      <c r="AE21" t="e">
        <f>AND(#REF!,"AAAAAH9//h4=")</f>
        <v>#REF!</v>
      </c>
      <c r="AF21" t="e">
        <f>AND(#REF!,"AAAAAH9//h8=")</f>
        <v>#REF!</v>
      </c>
      <c r="AG21" t="e">
        <f>AND(#REF!,"AAAAAH9//iA=")</f>
        <v>#REF!</v>
      </c>
      <c r="AH21" t="e">
        <f>IF(#REF!,"AAAAAH9//iE=",0)</f>
        <v>#REF!</v>
      </c>
      <c r="AI21" t="e">
        <f>AND(#REF!,"AAAAAH9//iI=")</f>
        <v>#REF!</v>
      </c>
      <c r="AJ21" t="e">
        <f>AND(#REF!,"AAAAAH9//iM=")</f>
        <v>#REF!</v>
      </c>
      <c r="AK21" t="e">
        <f>AND(#REF!,"AAAAAH9//iQ=")</f>
        <v>#REF!</v>
      </c>
      <c r="AL21" t="e">
        <f>AND(#REF!,"AAAAAH9//iU=")</f>
        <v>#REF!</v>
      </c>
      <c r="AM21" t="e">
        <f>AND(#REF!,"AAAAAH9//iY=")</f>
        <v>#REF!</v>
      </c>
      <c r="AN21" t="e">
        <f>AND(#REF!,"AAAAAH9//ic=")</f>
        <v>#REF!</v>
      </c>
      <c r="AO21" t="e">
        <f>AND(#REF!,"AAAAAH9//ig=")</f>
        <v>#REF!</v>
      </c>
      <c r="AP21" t="e">
        <f>AND(#REF!,"AAAAAH9//ik=")</f>
        <v>#REF!</v>
      </c>
      <c r="AQ21" t="e">
        <f>AND(#REF!,"AAAAAH9//io=")</f>
        <v>#REF!</v>
      </c>
      <c r="AR21" t="e">
        <f>AND(#REF!,"AAAAAH9//is=")</f>
        <v>#REF!</v>
      </c>
      <c r="AS21" t="e">
        <f>IF(#REF!,"AAAAAH9//iw=",0)</f>
        <v>#REF!</v>
      </c>
      <c r="AT21" t="e">
        <f>AND(#REF!,"AAAAAH9//i0=")</f>
        <v>#REF!</v>
      </c>
      <c r="AU21" t="e">
        <f>AND(#REF!,"AAAAAH9//i4=")</f>
        <v>#REF!</v>
      </c>
      <c r="AV21" t="e">
        <f>AND(#REF!,"AAAAAH9//i8=")</f>
        <v>#REF!</v>
      </c>
      <c r="AW21" t="e">
        <f>AND(#REF!,"AAAAAH9//jA=")</f>
        <v>#REF!</v>
      </c>
      <c r="AX21" t="e">
        <f>AND(#REF!,"AAAAAH9//jE=")</f>
        <v>#REF!</v>
      </c>
      <c r="AY21" t="e">
        <f>AND(#REF!,"AAAAAH9//jI=")</f>
        <v>#REF!</v>
      </c>
      <c r="AZ21" t="e">
        <f>AND(#REF!,"AAAAAH9//jM=")</f>
        <v>#REF!</v>
      </c>
      <c r="BA21" t="e">
        <f>AND(#REF!,"AAAAAH9//jQ=")</f>
        <v>#REF!</v>
      </c>
      <c r="BB21" t="e">
        <f>AND(#REF!,"AAAAAH9//jU=")</f>
        <v>#REF!</v>
      </c>
      <c r="BC21" t="e">
        <f>AND(#REF!,"AAAAAH9//jY=")</f>
        <v>#REF!</v>
      </c>
      <c r="BD21" t="e">
        <f>IF(#REF!,"AAAAAH9//jc=",0)</f>
        <v>#REF!</v>
      </c>
      <c r="BE21" t="e">
        <f>AND(#REF!,"AAAAAH9//jg=")</f>
        <v>#REF!</v>
      </c>
      <c r="BF21" t="e">
        <f>AND(#REF!,"AAAAAH9//jk=")</f>
        <v>#REF!</v>
      </c>
      <c r="BG21" t="e">
        <f>AND(#REF!,"AAAAAH9//jo=")</f>
        <v>#REF!</v>
      </c>
      <c r="BH21" t="e">
        <f>AND(#REF!,"AAAAAH9//js=")</f>
        <v>#REF!</v>
      </c>
      <c r="BI21" t="e">
        <f>AND(#REF!,"AAAAAH9//jw=")</f>
        <v>#REF!</v>
      </c>
      <c r="BJ21" t="e">
        <f>AND(#REF!,"AAAAAH9//j0=")</f>
        <v>#REF!</v>
      </c>
      <c r="BK21" t="e">
        <f>AND(#REF!,"AAAAAH9//j4=")</f>
        <v>#REF!</v>
      </c>
      <c r="BL21" t="e">
        <f>AND(#REF!,"AAAAAH9//j8=")</f>
        <v>#REF!</v>
      </c>
      <c r="BM21" t="e">
        <f>AND(#REF!,"AAAAAH9//kA=")</f>
        <v>#REF!</v>
      </c>
      <c r="BN21" t="e">
        <f>AND(#REF!,"AAAAAH9//kE=")</f>
        <v>#REF!</v>
      </c>
      <c r="BO21" t="e">
        <f>IF(#REF!,"AAAAAH9//kI=",0)</f>
        <v>#REF!</v>
      </c>
      <c r="BP21" t="e">
        <f>AND(#REF!,"AAAAAH9//kM=")</f>
        <v>#REF!</v>
      </c>
      <c r="BQ21" t="e">
        <f>AND(#REF!,"AAAAAH9//kQ=")</f>
        <v>#REF!</v>
      </c>
      <c r="BR21" t="e">
        <f>AND(#REF!,"AAAAAH9//kU=")</f>
        <v>#REF!</v>
      </c>
      <c r="BS21" t="e">
        <f>AND(#REF!,"AAAAAH9//kY=")</f>
        <v>#REF!</v>
      </c>
      <c r="BT21" t="e">
        <f>AND(#REF!,"AAAAAH9//kc=")</f>
        <v>#REF!</v>
      </c>
      <c r="BU21" t="e">
        <f>AND(#REF!,"AAAAAH9//kg=")</f>
        <v>#REF!</v>
      </c>
      <c r="BV21" t="e">
        <f>AND(#REF!,"AAAAAH9//kk=")</f>
        <v>#REF!</v>
      </c>
      <c r="BW21" t="e">
        <f>AND(#REF!,"AAAAAH9//ko=")</f>
        <v>#REF!</v>
      </c>
      <c r="BX21" t="e">
        <f>AND(#REF!,"AAAAAH9//ks=")</f>
        <v>#REF!</v>
      </c>
      <c r="BY21" t="e">
        <f>AND(#REF!,"AAAAAH9//kw=")</f>
        <v>#REF!</v>
      </c>
      <c r="BZ21" t="e">
        <f>IF(#REF!,"AAAAAH9//k0=",0)</f>
        <v>#REF!</v>
      </c>
      <c r="CA21" t="e">
        <f>AND(#REF!,"AAAAAH9//k4=")</f>
        <v>#REF!</v>
      </c>
      <c r="CB21" t="e">
        <f>AND(#REF!,"AAAAAH9//k8=")</f>
        <v>#REF!</v>
      </c>
      <c r="CC21" t="e">
        <f>AND(#REF!,"AAAAAH9//lA=")</f>
        <v>#REF!</v>
      </c>
      <c r="CD21" t="e">
        <f>AND(#REF!,"AAAAAH9//lE=")</f>
        <v>#REF!</v>
      </c>
      <c r="CE21" t="e">
        <f>AND(#REF!,"AAAAAH9//lI=")</f>
        <v>#REF!</v>
      </c>
      <c r="CF21" t="e">
        <f>AND(#REF!,"AAAAAH9//lM=")</f>
        <v>#REF!</v>
      </c>
      <c r="CG21" t="e">
        <f>AND(#REF!,"AAAAAH9//lQ=")</f>
        <v>#REF!</v>
      </c>
      <c r="CH21" t="e">
        <f>AND(#REF!,"AAAAAH9//lU=")</f>
        <v>#REF!</v>
      </c>
      <c r="CI21" t="e">
        <f>AND(#REF!,"AAAAAH9//lY=")</f>
        <v>#REF!</v>
      </c>
      <c r="CJ21" t="e">
        <f>AND(#REF!,"AAAAAH9//lc=")</f>
        <v>#REF!</v>
      </c>
      <c r="CK21" t="e">
        <f>IF(#REF!,"AAAAAH9//lg=",0)</f>
        <v>#REF!</v>
      </c>
      <c r="CL21" t="e">
        <f>AND(#REF!,"AAAAAH9//lk=")</f>
        <v>#REF!</v>
      </c>
      <c r="CM21" t="e">
        <f>AND(#REF!,"AAAAAH9//lo=")</f>
        <v>#REF!</v>
      </c>
      <c r="CN21" t="e">
        <f>AND(#REF!,"AAAAAH9//ls=")</f>
        <v>#REF!</v>
      </c>
      <c r="CO21" t="e">
        <f>AND(#REF!,"AAAAAH9//lw=")</f>
        <v>#REF!</v>
      </c>
      <c r="CP21" t="e">
        <f>AND(#REF!,"AAAAAH9//l0=")</f>
        <v>#REF!</v>
      </c>
      <c r="CQ21" t="e">
        <f>AND(#REF!,"AAAAAH9//l4=")</f>
        <v>#REF!</v>
      </c>
      <c r="CR21" t="e">
        <f>AND(#REF!,"AAAAAH9//l8=")</f>
        <v>#REF!</v>
      </c>
      <c r="CS21" t="e">
        <f>AND(#REF!,"AAAAAH9//mA=")</f>
        <v>#REF!</v>
      </c>
      <c r="CT21" t="e">
        <f>AND(#REF!,"AAAAAH9//mE=")</f>
        <v>#REF!</v>
      </c>
      <c r="CU21" t="e">
        <f>AND(#REF!,"AAAAAH9//mI=")</f>
        <v>#REF!</v>
      </c>
      <c r="CV21" t="e">
        <f>IF(#REF!,"AAAAAH9//mM=",0)</f>
        <v>#REF!</v>
      </c>
      <c r="CW21" t="e">
        <f>AND(#REF!,"AAAAAH9//mQ=")</f>
        <v>#REF!</v>
      </c>
      <c r="CX21" t="e">
        <f>AND(#REF!,"AAAAAH9//mU=")</f>
        <v>#REF!</v>
      </c>
      <c r="CY21" t="e">
        <f>AND(#REF!,"AAAAAH9//mY=")</f>
        <v>#REF!</v>
      </c>
      <c r="CZ21" t="e">
        <f>AND(#REF!,"AAAAAH9//mc=")</f>
        <v>#REF!</v>
      </c>
      <c r="DA21" t="e">
        <f>AND(#REF!,"AAAAAH9//mg=")</f>
        <v>#REF!</v>
      </c>
      <c r="DB21" t="e">
        <f>AND(#REF!,"AAAAAH9//mk=")</f>
        <v>#REF!</v>
      </c>
      <c r="DC21" t="e">
        <f>AND(#REF!,"AAAAAH9//mo=")</f>
        <v>#REF!</v>
      </c>
      <c r="DD21" t="e">
        <f>AND(#REF!,"AAAAAH9//ms=")</f>
        <v>#REF!</v>
      </c>
      <c r="DE21" t="e">
        <f>AND(#REF!,"AAAAAH9//mw=")</f>
        <v>#REF!</v>
      </c>
      <c r="DF21" t="e">
        <f>AND(#REF!,"AAAAAH9//m0=")</f>
        <v>#REF!</v>
      </c>
      <c r="DG21" t="e">
        <f>IF(#REF!,"AAAAAH9//m4=",0)</f>
        <v>#REF!</v>
      </c>
      <c r="DH21" t="e">
        <f>AND(#REF!,"AAAAAH9//m8=")</f>
        <v>#REF!</v>
      </c>
      <c r="DI21" t="e">
        <f>AND(#REF!,"AAAAAH9//nA=")</f>
        <v>#REF!</v>
      </c>
      <c r="DJ21" t="e">
        <f>AND(#REF!,"AAAAAH9//nE=")</f>
        <v>#REF!</v>
      </c>
      <c r="DK21" t="e">
        <f>AND(#REF!,"AAAAAH9//nI=")</f>
        <v>#REF!</v>
      </c>
      <c r="DL21" t="e">
        <f>AND(#REF!,"AAAAAH9//nM=")</f>
        <v>#REF!</v>
      </c>
      <c r="DM21" t="e">
        <f>AND(#REF!,"AAAAAH9//nQ=")</f>
        <v>#REF!</v>
      </c>
      <c r="DN21" t="e">
        <f>AND(#REF!,"AAAAAH9//nU=")</f>
        <v>#REF!</v>
      </c>
      <c r="DO21" t="e">
        <f>AND(#REF!,"AAAAAH9//nY=")</f>
        <v>#REF!</v>
      </c>
      <c r="DP21" t="e">
        <f>AND(#REF!,"AAAAAH9//nc=")</f>
        <v>#REF!</v>
      </c>
      <c r="DQ21" t="e">
        <f>AND(#REF!,"AAAAAH9//ng=")</f>
        <v>#REF!</v>
      </c>
      <c r="DR21" t="e">
        <f>IF(#REF!,"AAAAAH9//nk=",0)</f>
        <v>#REF!</v>
      </c>
      <c r="DS21" t="e">
        <f>AND(#REF!,"AAAAAH9//no=")</f>
        <v>#REF!</v>
      </c>
      <c r="DT21" t="e">
        <f>AND(#REF!,"AAAAAH9//ns=")</f>
        <v>#REF!</v>
      </c>
      <c r="DU21" t="e">
        <f>AND(#REF!,"AAAAAH9//nw=")</f>
        <v>#REF!</v>
      </c>
      <c r="DV21" t="e">
        <f>AND(#REF!,"AAAAAH9//n0=")</f>
        <v>#REF!</v>
      </c>
      <c r="DW21" t="e">
        <f>AND(#REF!,"AAAAAH9//n4=")</f>
        <v>#REF!</v>
      </c>
      <c r="DX21" t="e">
        <f>AND(#REF!,"AAAAAH9//n8=")</f>
        <v>#REF!</v>
      </c>
      <c r="DY21" t="e">
        <f>AND(#REF!,"AAAAAH9//oA=")</f>
        <v>#REF!</v>
      </c>
      <c r="DZ21" t="e">
        <f>AND(#REF!,"AAAAAH9//oE=")</f>
        <v>#REF!</v>
      </c>
      <c r="EA21" t="e">
        <f>AND(#REF!,"AAAAAH9//oI=")</f>
        <v>#REF!</v>
      </c>
      <c r="EB21" t="e">
        <f>AND(#REF!,"AAAAAH9//oM=")</f>
        <v>#REF!</v>
      </c>
      <c r="EC21" t="e">
        <f>IF(#REF!,"AAAAAH9//oQ=",0)</f>
        <v>#REF!</v>
      </c>
      <c r="ED21" t="e">
        <f>AND(#REF!,"AAAAAH9//oU=")</f>
        <v>#REF!</v>
      </c>
      <c r="EE21" t="e">
        <f>AND(#REF!,"AAAAAH9//oY=")</f>
        <v>#REF!</v>
      </c>
      <c r="EF21" t="e">
        <f>AND(#REF!,"AAAAAH9//oc=")</f>
        <v>#REF!</v>
      </c>
      <c r="EG21" t="e">
        <f>AND(#REF!,"AAAAAH9//og=")</f>
        <v>#REF!</v>
      </c>
      <c r="EH21" t="e">
        <f>AND(#REF!,"AAAAAH9//ok=")</f>
        <v>#REF!</v>
      </c>
      <c r="EI21" t="e">
        <f>AND(#REF!,"AAAAAH9//oo=")</f>
        <v>#REF!</v>
      </c>
      <c r="EJ21" t="e">
        <f>AND(#REF!,"AAAAAH9//os=")</f>
        <v>#REF!</v>
      </c>
      <c r="EK21" t="e">
        <f>AND(#REF!,"AAAAAH9//ow=")</f>
        <v>#REF!</v>
      </c>
      <c r="EL21" t="e">
        <f>AND(#REF!,"AAAAAH9//o0=")</f>
        <v>#REF!</v>
      </c>
      <c r="EM21" t="e">
        <f>AND(#REF!,"AAAAAH9//o4=")</f>
        <v>#REF!</v>
      </c>
      <c r="EN21" t="e">
        <f>IF(#REF!,"AAAAAH9//o8=",0)</f>
        <v>#REF!</v>
      </c>
      <c r="EO21" t="e">
        <f>AND(#REF!,"AAAAAH9//pA=")</f>
        <v>#REF!</v>
      </c>
      <c r="EP21" t="e">
        <f>AND(#REF!,"AAAAAH9//pE=")</f>
        <v>#REF!</v>
      </c>
      <c r="EQ21" t="e">
        <f>AND(#REF!,"AAAAAH9//pI=")</f>
        <v>#REF!</v>
      </c>
      <c r="ER21" t="e">
        <f>AND(#REF!,"AAAAAH9//pM=")</f>
        <v>#REF!</v>
      </c>
      <c r="ES21" t="e">
        <f>AND(#REF!,"AAAAAH9//pQ=")</f>
        <v>#REF!</v>
      </c>
      <c r="ET21" t="e">
        <f>AND(#REF!,"AAAAAH9//pU=")</f>
        <v>#REF!</v>
      </c>
      <c r="EU21" t="e">
        <f>AND(#REF!,"AAAAAH9//pY=")</f>
        <v>#REF!</v>
      </c>
      <c r="EV21" t="e">
        <f>AND(#REF!,"AAAAAH9//pc=")</f>
        <v>#REF!</v>
      </c>
      <c r="EW21" t="e">
        <f>AND(#REF!,"AAAAAH9//pg=")</f>
        <v>#REF!</v>
      </c>
      <c r="EX21" t="e">
        <f>AND(#REF!,"AAAAAH9//pk=")</f>
        <v>#REF!</v>
      </c>
      <c r="EY21" t="e">
        <f>IF(#REF!,"AAAAAH9//po=",0)</f>
        <v>#REF!</v>
      </c>
      <c r="EZ21" t="e">
        <f>AND(#REF!,"AAAAAH9//ps=")</f>
        <v>#REF!</v>
      </c>
      <c r="FA21" t="e">
        <f>AND(#REF!,"AAAAAH9//pw=")</f>
        <v>#REF!</v>
      </c>
      <c r="FB21" t="e">
        <f>AND(#REF!,"AAAAAH9//p0=")</f>
        <v>#REF!</v>
      </c>
      <c r="FC21" t="e">
        <f>AND(#REF!,"AAAAAH9//p4=")</f>
        <v>#REF!</v>
      </c>
      <c r="FD21" t="e">
        <f>AND(#REF!,"AAAAAH9//p8=")</f>
        <v>#REF!</v>
      </c>
      <c r="FE21" t="e">
        <f>AND(#REF!,"AAAAAH9//qA=")</f>
        <v>#REF!</v>
      </c>
      <c r="FF21" t="e">
        <f>AND(#REF!,"AAAAAH9//qE=")</f>
        <v>#REF!</v>
      </c>
      <c r="FG21" t="e">
        <f>AND(#REF!,"AAAAAH9//qI=")</f>
        <v>#REF!</v>
      </c>
      <c r="FH21" t="e">
        <f>AND(#REF!,"AAAAAH9//qM=")</f>
        <v>#REF!</v>
      </c>
      <c r="FI21" t="e">
        <f>AND(#REF!,"AAAAAH9//qQ=")</f>
        <v>#REF!</v>
      </c>
      <c r="FJ21" t="e">
        <f>IF(#REF!,"AAAAAH9//qU=",0)</f>
        <v>#REF!</v>
      </c>
      <c r="FK21" t="e">
        <f>AND(#REF!,"AAAAAH9//qY=")</f>
        <v>#REF!</v>
      </c>
      <c r="FL21" t="e">
        <f>AND(#REF!,"AAAAAH9//qc=")</f>
        <v>#REF!</v>
      </c>
      <c r="FM21" t="e">
        <f>AND(#REF!,"AAAAAH9//qg=")</f>
        <v>#REF!</v>
      </c>
      <c r="FN21" t="e">
        <f>AND(#REF!,"AAAAAH9//qk=")</f>
        <v>#REF!</v>
      </c>
      <c r="FO21" t="e">
        <f>AND(#REF!,"AAAAAH9//qo=")</f>
        <v>#REF!</v>
      </c>
      <c r="FP21" t="e">
        <f>AND(#REF!,"AAAAAH9//qs=")</f>
        <v>#REF!</v>
      </c>
      <c r="FQ21" t="e">
        <f>AND(#REF!,"AAAAAH9//qw=")</f>
        <v>#REF!</v>
      </c>
      <c r="FR21" t="e">
        <f>AND(#REF!,"AAAAAH9//q0=")</f>
        <v>#REF!</v>
      </c>
      <c r="FS21" t="e">
        <f>AND(#REF!,"AAAAAH9//q4=")</f>
        <v>#REF!</v>
      </c>
      <c r="FT21" t="e">
        <f>AND(#REF!,"AAAAAH9//q8=")</f>
        <v>#REF!</v>
      </c>
      <c r="FU21" t="e">
        <f>IF(#REF!,"AAAAAH9//rA=",0)</f>
        <v>#REF!</v>
      </c>
      <c r="FV21" t="e">
        <f>AND(#REF!,"AAAAAH9//rE=")</f>
        <v>#REF!</v>
      </c>
      <c r="FW21" t="e">
        <f>AND(#REF!,"AAAAAH9//rI=")</f>
        <v>#REF!</v>
      </c>
      <c r="FX21" t="e">
        <f>AND(#REF!,"AAAAAH9//rM=")</f>
        <v>#REF!</v>
      </c>
      <c r="FY21" t="e">
        <f>AND(#REF!,"AAAAAH9//rQ=")</f>
        <v>#REF!</v>
      </c>
      <c r="FZ21" t="e">
        <f>AND(#REF!,"AAAAAH9//rU=")</f>
        <v>#REF!</v>
      </c>
      <c r="GA21" t="e">
        <f>AND(#REF!,"AAAAAH9//rY=")</f>
        <v>#REF!</v>
      </c>
      <c r="GB21" t="e">
        <f>AND(#REF!,"AAAAAH9//rc=")</f>
        <v>#REF!</v>
      </c>
      <c r="GC21" t="e">
        <f>AND(#REF!,"AAAAAH9//rg=")</f>
        <v>#REF!</v>
      </c>
      <c r="GD21" t="e">
        <f>AND(#REF!,"AAAAAH9//rk=")</f>
        <v>#REF!</v>
      </c>
      <c r="GE21" t="e">
        <f>AND(#REF!,"AAAAAH9//ro=")</f>
        <v>#REF!</v>
      </c>
      <c r="GF21" t="e">
        <f>IF(#REF!,"AAAAAH9//rs=",0)</f>
        <v>#REF!</v>
      </c>
      <c r="GG21" t="e">
        <f>AND(#REF!,"AAAAAH9//rw=")</f>
        <v>#REF!</v>
      </c>
      <c r="GH21" t="e">
        <f>AND(#REF!,"AAAAAH9//r0=")</f>
        <v>#REF!</v>
      </c>
      <c r="GI21" t="e">
        <f>AND(#REF!,"AAAAAH9//r4=")</f>
        <v>#REF!</v>
      </c>
      <c r="GJ21" t="e">
        <f>AND(#REF!,"AAAAAH9//r8=")</f>
        <v>#REF!</v>
      </c>
      <c r="GK21" t="e">
        <f>AND(#REF!,"AAAAAH9//sA=")</f>
        <v>#REF!</v>
      </c>
      <c r="GL21" t="e">
        <f>AND(#REF!,"AAAAAH9//sE=")</f>
        <v>#REF!</v>
      </c>
      <c r="GM21" t="e">
        <f>AND(#REF!,"AAAAAH9//sI=")</f>
        <v>#REF!</v>
      </c>
      <c r="GN21" t="e">
        <f>AND(#REF!,"AAAAAH9//sM=")</f>
        <v>#REF!</v>
      </c>
      <c r="GO21" t="e">
        <f>AND(#REF!,"AAAAAH9//sQ=")</f>
        <v>#REF!</v>
      </c>
      <c r="GP21" t="e">
        <f>AND(#REF!,"AAAAAH9//sU=")</f>
        <v>#REF!</v>
      </c>
      <c r="GQ21" t="e">
        <f>IF(#REF!,"AAAAAH9//sY=",0)</f>
        <v>#REF!</v>
      </c>
      <c r="GR21" t="e">
        <f>AND(#REF!,"AAAAAH9//sc=")</f>
        <v>#REF!</v>
      </c>
      <c r="GS21" t="e">
        <f>AND(#REF!,"AAAAAH9//sg=")</f>
        <v>#REF!</v>
      </c>
      <c r="GT21" t="e">
        <f>AND(#REF!,"AAAAAH9//sk=")</f>
        <v>#REF!</v>
      </c>
      <c r="GU21" t="e">
        <f>AND(#REF!,"AAAAAH9//so=")</f>
        <v>#REF!</v>
      </c>
      <c r="GV21" t="e">
        <f>AND(#REF!,"AAAAAH9//ss=")</f>
        <v>#REF!</v>
      </c>
      <c r="GW21" t="e">
        <f>AND(#REF!,"AAAAAH9//sw=")</f>
        <v>#REF!</v>
      </c>
      <c r="GX21" t="e">
        <f>AND(#REF!,"AAAAAH9//s0=")</f>
        <v>#REF!</v>
      </c>
      <c r="GY21" t="e">
        <f>AND(#REF!,"AAAAAH9//s4=")</f>
        <v>#REF!</v>
      </c>
      <c r="GZ21" t="e">
        <f>AND(#REF!,"AAAAAH9//s8=")</f>
        <v>#REF!</v>
      </c>
      <c r="HA21" t="e">
        <f>AND(#REF!,"AAAAAH9//tA=")</f>
        <v>#REF!</v>
      </c>
      <c r="HB21" t="e">
        <f>IF(#REF!,"AAAAAH9//tE=",0)</f>
        <v>#REF!</v>
      </c>
      <c r="HC21" t="e">
        <f>AND(#REF!,"AAAAAH9//tI=")</f>
        <v>#REF!</v>
      </c>
      <c r="HD21" t="e">
        <f>AND(#REF!,"AAAAAH9//tM=")</f>
        <v>#REF!</v>
      </c>
      <c r="HE21" t="e">
        <f>AND(#REF!,"AAAAAH9//tQ=")</f>
        <v>#REF!</v>
      </c>
      <c r="HF21" t="e">
        <f>AND(#REF!,"AAAAAH9//tU=")</f>
        <v>#REF!</v>
      </c>
      <c r="HG21" t="e">
        <f>AND(#REF!,"AAAAAH9//tY=")</f>
        <v>#REF!</v>
      </c>
      <c r="HH21" t="e">
        <f>AND(#REF!,"AAAAAH9//tc=")</f>
        <v>#REF!</v>
      </c>
      <c r="HI21" t="e">
        <f>AND(#REF!,"AAAAAH9//tg=")</f>
        <v>#REF!</v>
      </c>
      <c r="HJ21" t="e">
        <f>AND(#REF!,"AAAAAH9//tk=")</f>
        <v>#REF!</v>
      </c>
      <c r="HK21" t="e">
        <f>AND(#REF!,"AAAAAH9//to=")</f>
        <v>#REF!</v>
      </c>
      <c r="HL21" t="e">
        <f>AND(#REF!,"AAAAAH9//ts=")</f>
        <v>#REF!</v>
      </c>
      <c r="HM21" t="e">
        <f>IF(#REF!,"AAAAAH9//tw=",0)</f>
        <v>#REF!</v>
      </c>
      <c r="HN21" t="e">
        <f>AND(#REF!,"AAAAAH9//t0=")</f>
        <v>#REF!</v>
      </c>
      <c r="HO21" t="e">
        <f>AND(#REF!,"AAAAAH9//t4=")</f>
        <v>#REF!</v>
      </c>
      <c r="HP21" t="e">
        <f>AND(#REF!,"AAAAAH9//t8=")</f>
        <v>#REF!</v>
      </c>
      <c r="HQ21" t="e">
        <f>AND(#REF!,"AAAAAH9//uA=")</f>
        <v>#REF!</v>
      </c>
      <c r="HR21" t="e">
        <f>AND(#REF!,"AAAAAH9//uE=")</f>
        <v>#REF!</v>
      </c>
      <c r="HS21" t="e">
        <f>AND(#REF!,"AAAAAH9//uI=")</f>
        <v>#REF!</v>
      </c>
      <c r="HT21" t="e">
        <f>AND(#REF!,"AAAAAH9//uM=")</f>
        <v>#REF!</v>
      </c>
      <c r="HU21" t="e">
        <f>AND(#REF!,"AAAAAH9//uQ=")</f>
        <v>#REF!</v>
      </c>
      <c r="HV21" t="e">
        <f>AND(#REF!,"AAAAAH9//uU=")</f>
        <v>#REF!</v>
      </c>
      <c r="HW21" t="e">
        <f>AND(#REF!,"AAAAAH9//uY=")</f>
        <v>#REF!</v>
      </c>
      <c r="HX21" t="e">
        <f>IF(#REF!,"AAAAAH9//uc=",0)</f>
        <v>#REF!</v>
      </c>
      <c r="HY21" t="e">
        <f>AND(#REF!,"AAAAAH9//ug=")</f>
        <v>#REF!</v>
      </c>
      <c r="HZ21" t="e">
        <f>AND(#REF!,"AAAAAH9//uk=")</f>
        <v>#REF!</v>
      </c>
      <c r="IA21" t="e">
        <f>AND(#REF!,"AAAAAH9//uo=")</f>
        <v>#REF!</v>
      </c>
      <c r="IB21" t="e">
        <f>AND(#REF!,"AAAAAH9//us=")</f>
        <v>#REF!</v>
      </c>
      <c r="IC21" t="e">
        <f>AND(#REF!,"AAAAAH9//uw=")</f>
        <v>#REF!</v>
      </c>
      <c r="ID21" t="e">
        <f>AND(#REF!,"AAAAAH9//u0=")</f>
        <v>#REF!</v>
      </c>
      <c r="IE21" t="e">
        <f>AND(#REF!,"AAAAAH9//u4=")</f>
        <v>#REF!</v>
      </c>
      <c r="IF21" t="e">
        <f>AND(#REF!,"AAAAAH9//u8=")</f>
        <v>#REF!</v>
      </c>
      <c r="IG21" t="e">
        <f>AND(#REF!,"AAAAAH9//vA=")</f>
        <v>#REF!</v>
      </c>
      <c r="IH21" t="e">
        <f>AND(#REF!,"AAAAAH9//vE=")</f>
        <v>#REF!</v>
      </c>
      <c r="II21" t="e">
        <f>IF(#REF!,"AAAAAH9//vI=",0)</f>
        <v>#REF!</v>
      </c>
      <c r="IJ21" t="e">
        <f>AND(#REF!,"AAAAAH9//vM=")</f>
        <v>#REF!</v>
      </c>
      <c r="IK21" t="e">
        <f>AND(#REF!,"AAAAAH9//vQ=")</f>
        <v>#REF!</v>
      </c>
      <c r="IL21" t="e">
        <f>AND(#REF!,"AAAAAH9//vU=")</f>
        <v>#REF!</v>
      </c>
      <c r="IM21" t="e">
        <f>AND(#REF!,"AAAAAH9//vY=")</f>
        <v>#REF!</v>
      </c>
      <c r="IN21" t="e">
        <f>AND(#REF!,"AAAAAH9//vc=")</f>
        <v>#REF!</v>
      </c>
      <c r="IO21" t="e">
        <f>AND(#REF!,"AAAAAH9//vg=")</f>
        <v>#REF!</v>
      </c>
      <c r="IP21" t="e">
        <f>AND(#REF!,"AAAAAH9//vk=")</f>
        <v>#REF!</v>
      </c>
      <c r="IQ21" t="e">
        <f>AND(#REF!,"AAAAAH9//vo=")</f>
        <v>#REF!</v>
      </c>
      <c r="IR21" t="e">
        <f>AND(#REF!,"AAAAAH9//vs=")</f>
        <v>#REF!</v>
      </c>
      <c r="IS21" t="e">
        <f>AND(#REF!,"AAAAAH9//vw=")</f>
        <v>#REF!</v>
      </c>
      <c r="IT21" t="e">
        <f>IF(#REF!,"AAAAAH9//v0=",0)</f>
        <v>#REF!</v>
      </c>
      <c r="IU21" t="e">
        <f>AND(#REF!,"AAAAAH9//v4=")</f>
        <v>#REF!</v>
      </c>
      <c r="IV21" t="e">
        <f>AND(#REF!,"AAAAAH9//v8=")</f>
        <v>#REF!</v>
      </c>
    </row>
    <row r="22" spans="1:256" x14ac:dyDescent="0.25">
      <c r="A22" t="e">
        <f>AND(#REF!,"AAAAAD/8fwA=")</f>
        <v>#REF!</v>
      </c>
      <c r="B22" t="e">
        <f>AND(#REF!,"AAAAAD/8fwE=")</f>
        <v>#REF!</v>
      </c>
      <c r="C22" t="e">
        <f>AND(#REF!,"AAAAAD/8fwI=")</f>
        <v>#REF!</v>
      </c>
      <c r="D22" t="e">
        <f>AND(#REF!,"AAAAAD/8fwM=")</f>
        <v>#REF!</v>
      </c>
      <c r="E22" t="e">
        <f>AND(#REF!,"AAAAAD/8fwQ=")</f>
        <v>#REF!</v>
      </c>
      <c r="F22" t="e">
        <f>AND(#REF!,"AAAAAD/8fwU=")</f>
        <v>#REF!</v>
      </c>
      <c r="G22" t="e">
        <f>AND(#REF!,"AAAAAD/8fwY=")</f>
        <v>#REF!</v>
      </c>
      <c r="H22" t="e">
        <f>AND(#REF!,"AAAAAD/8fwc=")</f>
        <v>#REF!</v>
      </c>
      <c r="I22" t="e">
        <f>IF(#REF!,"AAAAAD/8fwg=",0)</f>
        <v>#REF!</v>
      </c>
      <c r="J22" t="e">
        <f>AND(#REF!,"AAAAAD/8fwk=")</f>
        <v>#REF!</v>
      </c>
      <c r="K22" t="e">
        <f>AND(#REF!,"AAAAAD/8fwo=")</f>
        <v>#REF!</v>
      </c>
      <c r="L22" t="e">
        <f>AND(#REF!,"AAAAAD/8fws=")</f>
        <v>#REF!</v>
      </c>
      <c r="M22" t="e">
        <f>AND(#REF!,"AAAAAD/8fww=")</f>
        <v>#REF!</v>
      </c>
      <c r="N22" t="e">
        <f>AND(#REF!,"AAAAAD/8fw0=")</f>
        <v>#REF!</v>
      </c>
      <c r="O22" t="e">
        <f>AND(#REF!,"AAAAAD/8fw4=")</f>
        <v>#REF!</v>
      </c>
      <c r="P22" t="e">
        <f>AND(#REF!,"AAAAAD/8fw8=")</f>
        <v>#REF!</v>
      </c>
      <c r="Q22" t="e">
        <f>AND(#REF!,"AAAAAD/8fxA=")</f>
        <v>#REF!</v>
      </c>
      <c r="R22" t="e">
        <f>AND(#REF!,"AAAAAD/8fxE=")</f>
        <v>#REF!</v>
      </c>
      <c r="S22" t="e">
        <f>AND(#REF!,"AAAAAD/8fxI=")</f>
        <v>#REF!</v>
      </c>
      <c r="T22" t="e">
        <f>IF(#REF!,"AAAAAD/8fxM=",0)</f>
        <v>#REF!</v>
      </c>
      <c r="U22" t="e">
        <f>AND(#REF!,"AAAAAD/8fxQ=")</f>
        <v>#REF!</v>
      </c>
      <c r="V22" t="e">
        <f>AND(#REF!,"AAAAAD/8fxU=")</f>
        <v>#REF!</v>
      </c>
      <c r="W22" t="e">
        <f>AND(#REF!,"AAAAAD/8fxY=")</f>
        <v>#REF!</v>
      </c>
      <c r="X22" t="e">
        <f>AND(#REF!,"AAAAAD/8fxc=")</f>
        <v>#REF!</v>
      </c>
      <c r="Y22" t="e">
        <f>AND(#REF!,"AAAAAD/8fxg=")</f>
        <v>#REF!</v>
      </c>
      <c r="Z22" t="e">
        <f>AND(#REF!,"AAAAAD/8fxk=")</f>
        <v>#REF!</v>
      </c>
      <c r="AA22" t="e">
        <f>AND(#REF!,"AAAAAD/8fxo=")</f>
        <v>#REF!</v>
      </c>
      <c r="AB22" t="e">
        <f>AND(#REF!,"AAAAAD/8fxs=")</f>
        <v>#REF!</v>
      </c>
      <c r="AC22" t="e">
        <f>AND(#REF!,"AAAAAD/8fxw=")</f>
        <v>#REF!</v>
      </c>
      <c r="AD22" t="e">
        <f>AND(#REF!,"AAAAAD/8fx0=")</f>
        <v>#REF!</v>
      </c>
      <c r="AE22" t="e">
        <f>IF(#REF!,"AAAAAD/8fx4=",0)</f>
        <v>#REF!</v>
      </c>
      <c r="AF22" t="e">
        <f>AND(#REF!,"AAAAAD/8fx8=")</f>
        <v>#REF!</v>
      </c>
      <c r="AG22" t="e">
        <f>AND(#REF!,"AAAAAD/8fyA=")</f>
        <v>#REF!</v>
      </c>
      <c r="AH22" t="e">
        <f>AND(#REF!,"AAAAAD/8fyE=")</f>
        <v>#REF!</v>
      </c>
      <c r="AI22" t="e">
        <f>AND(#REF!,"AAAAAD/8fyI=")</f>
        <v>#REF!</v>
      </c>
      <c r="AJ22" t="e">
        <f>AND(#REF!,"AAAAAD/8fyM=")</f>
        <v>#REF!</v>
      </c>
      <c r="AK22" t="e">
        <f>AND(#REF!,"AAAAAD/8fyQ=")</f>
        <v>#REF!</v>
      </c>
      <c r="AL22" t="e">
        <f>AND(#REF!,"AAAAAD/8fyU=")</f>
        <v>#REF!</v>
      </c>
      <c r="AM22" t="e">
        <f>AND(#REF!,"AAAAAD/8fyY=")</f>
        <v>#REF!</v>
      </c>
      <c r="AN22" t="e">
        <f>AND(#REF!,"AAAAAD/8fyc=")</f>
        <v>#REF!</v>
      </c>
      <c r="AO22" t="e">
        <f>AND(#REF!,"AAAAAD/8fyg=")</f>
        <v>#REF!</v>
      </c>
      <c r="AP22" t="e">
        <f>IF(#REF!,"AAAAAD/8fyk=",0)</f>
        <v>#REF!</v>
      </c>
      <c r="AQ22" t="e">
        <f>AND(#REF!,"AAAAAD/8fyo=")</f>
        <v>#REF!</v>
      </c>
      <c r="AR22" t="e">
        <f>AND(#REF!,"AAAAAD/8fys=")</f>
        <v>#REF!</v>
      </c>
      <c r="AS22" t="e">
        <f>AND(#REF!,"AAAAAD/8fyw=")</f>
        <v>#REF!</v>
      </c>
      <c r="AT22" t="e">
        <f>AND(#REF!,"AAAAAD/8fy0=")</f>
        <v>#REF!</v>
      </c>
      <c r="AU22" t="e">
        <f>AND(#REF!,"AAAAAD/8fy4=")</f>
        <v>#REF!</v>
      </c>
      <c r="AV22" t="e">
        <f>AND(#REF!,"AAAAAD/8fy8=")</f>
        <v>#REF!</v>
      </c>
      <c r="AW22" t="e">
        <f>AND(#REF!,"AAAAAD/8fzA=")</f>
        <v>#REF!</v>
      </c>
      <c r="AX22" t="e">
        <f>AND(#REF!,"AAAAAD/8fzE=")</f>
        <v>#REF!</v>
      </c>
      <c r="AY22" t="e">
        <f>AND(#REF!,"AAAAAD/8fzI=")</f>
        <v>#REF!</v>
      </c>
      <c r="AZ22" t="e">
        <f>AND(#REF!,"AAAAAD/8fzM=")</f>
        <v>#REF!</v>
      </c>
      <c r="BA22" t="e">
        <f>IF(#REF!,"AAAAAD/8fzQ=",0)</f>
        <v>#REF!</v>
      </c>
      <c r="BB22" t="e">
        <f>AND(#REF!,"AAAAAD/8fzU=")</f>
        <v>#REF!</v>
      </c>
      <c r="BC22" t="e">
        <f>AND(#REF!,"AAAAAD/8fzY=")</f>
        <v>#REF!</v>
      </c>
      <c r="BD22" t="e">
        <f>AND(#REF!,"AAAAAD/8fzc=")</f>
        <v>#REF!</v>
      </c>
      <c r="BE22" t="e">
        <f>AND(#REF!,"AAAAAD/8fzg=")</f>
        <v>#REF!</v>
      </c>
      <c r="BF22" t="e">
        <f>AND(#REF!,"AAAAAD/8fzk=")</f>
        <v>#REF!</v>
      </c>
      <c r="BG22" t="e">
        <f>AND(#REF!,"AAAAAD/8fzo=")</f>
        <v>#REF!</v>
      </c>
      <c r="BH22" t="e">
        <f>AND(#REF!,"AAAAAD/8fzs=")</f>
        <v>#REF!</v>
      </c>
      <c r="BI22" t="e">
        <f>AND(#REF!,"AAAAAD/8fzw=")</f>
        <v>#REF!</v>
      </c>
      <c r="BJ22" t="e">
        <f>AND(#REF!,"AAAAAD/8fz0=")</f>
        <v>#REF!</v>
      </c>
      <c r="BK22" t="e">
        <f>AND(#REF!,"AAAAAD/8fz4=")</f>
        <v>#REF!</v>
      </c>
      <c r="BL22" t="e">
        <f>IF(#REF!,"AAAAAD/8fz8=",0)</f>
        <v>#REF!</v>
      </c>
      <c r="BM22" t="e">
        <f>AND(#REF!,"AAAAAD/8f0A=")</f>
        <v>#REF!</v>
      </c>
      <c r="BN22" t="e">
        <f>AND(#REF!,"AAAAAD/8f0E=")</f>
        <v>#REF!</v>
      </c>
      <c r="BO22" t="e">
        <f>AND(#REF!,"AAAAAD/8f0I=")</f>
        <v>#REF!</v>
      </c>
      <c r="BP22" t="e">
        <f>AND(#REF!,"AAAAAD/8f0M=")</f>
        <v>#REF!</v>
      </c>
      <c r="BQ22" t="e">
        <f>AND(#REF!,"AAAAAD/8f0Q=")</f>
        <v>#REF!</v>
      </c>
      <c r="BR22" t="e">
        <f>AND(#REF!,"AAAAAD/8f0U=")</f>
        <v>#REF!</v>
      </c>
      <c r="BS22" t="e">
        <f>AND(#REF!,"AAAAAD/8f0Y=")</f>
        <v>#REF!</v>
      </c>
      <c r="BT22" t="e">
        <f>AND(#REF!,"AAAAAD/8f0c=")</f>
        <v>#REF!</v>
      </c>
      <c r="BU22" t="e">
        <f>AND(#REF!,"AAAAAD/8f0g=")</f>
        <v>#REF!</v>
      </c>
      <c r="BV22" t="e">
        <f>AND(#REF!,"AAAAAD/8f0k=")</f>
        <v>#REF!</v>
      </c>
      <c r="BW22" t="e">
        <f>IF(#REF!,"AAAAAD/8f0o=",0)</f>
        <v>#REF!</v>
      </c>
      <c r="BX22" t="e">
        <f>AND(#REF!,"AAAAAD/8f0s=")</f>
        <v>#REF!</v>
      </c>
      <c r="BY22" t="e">
        <f>AND(#REF!,"AAAAAD/8f0w=")</f>
        <v>#REF!</v>
      </c>
      <c r="BZ22" t="e">
        <f>AND(#REF!,"AAAAAD/8f00=")</f>
        <v>#REF!</v>
      </c>
      <c r="CA22" t="e">
        <f>AND(#REF!,"AAAAAD/8f04=")</f>
        <v>#REF!</v>
      </c>
      <c r="CB22" t="e">
        <f>AND(#REF!,"AAAAAD/8f08=")</f>
        <v>#REF!</v>
      </c>
      <c r="CC22" t="e">
        <f>AND(#REF!,"AAAAAD/8f1A=")</f>
        <v>#REF!</v>
      </c>
      <c r="CD22" t="e">
        <f>AND(#REF!,"AAAAAD/8f1E=")</f>
        <v>#REF!</v>
      </c>
      <c r="CE22" t="e">
        <f>AND(#REF!,"AAAAAD/8f1I=")</f>
        <v>#REF!</v>
      </c>
      <c r="CF22" t="e">
        <f>AND(#REF!,"AAAAAD/8f1M=")</f>
        <v>#REF!</v>
      </c>
      <c r="CG22" t="e">
        <f>AND(#REF!,"AAAAAD/8f1Q=")</f>
        <v>#REF!</v>
      </c>
      <c r="CH22" t="e">
        <f>IF(#REF!,"AAAAAD/8f1U=",0)</f>
        <v>#REF!</v>
      </c>
      <c r="CI22" t="e">
        <f>AND(#REF!,"AAAAAD/8f1Y=")</f>
        <v>#REF!</v>
      </c>
      <c r="CJ22" t="e">
        <f>AND(#REF!,"AAAAAD/8f1c=")</f>
        <v>#REF!</v>
      </c>
      <c r="CK22" t="e">
        <f>AND(#REF!,"AAAAAD/8f1g=")</f>
        <v>#REF!</v>
      </c>
      <c r="CL22" t="e">
        <f>AND(#REF!,"AAAAAD/8f1k=")</f>
        <v>#REF!</v>
      </c>
      <c r="CM22" t="e">
        <f>AND(#REF!,"AAAAAD/8f1o=")</f>
        <v>#REF!</v>
      </c>
      <c r="CN22" t="e">
        <f>AND(#REF!,"AAAAAD/8f1s=")</f>
        <v>#REF!</v>
      </c>
      <c r="CO22" t="e">
        <f>AND(#REF!,"AAAAAD/8f1w=")</f>
        <v>#REF!</v>
      </c>
      <c r="CP22" t="e">
        <f>AND(#REF!,"AAAAAD/8f10=")</f>
        <v>#REF!</v>
      </c>
      <c r="CQ22" t="e">
        <f>AND(#REF!,"AAAAAD/8f14=")</f>
        <v>#REF!</v>
      </c>
      <c r="CR22" t="e">
        <f>AND(#REF!,"AAAAAD/8f18=")</f>
        <v>#REF!</v>
      </c>
      <c r="CS22" t="e">
        <f>IF(#REF!,"AAAAAD/8f2A=",0)</f>
        <v>#REF!</v>
      </c>
      <c r="CT22" t="e">
        <f>AND(#REF!,"AAAAAD/8f2E=")</f>
        <v>#REF!</v>
      </c>
      <c r="CU22" t="e">
        <f>AND(#REF!,"AAAAAD/8f2I=")</f>
        <v>#REF!</v>
      </c>
      <c r="CV22" t="e">
        <f>AND(#REF!,"AAAAAD/8f2M=")</f>
        <v>#REF!</v>
      </c>
      <c r="CW22" t="e">
        <f>AND(#REF!,"AAAAAD/8f2Q=")</f>
        <v>#REF!</v>
      </c>
      <c r="CX22" t="e">
        <f>AND(#REF!,"AAAAAD/8f2U=")</f>
        <v>#REF!</v>
      </c>
      <c r="CY22" t="e">
        <f>AND(#REF!,"AAAAAD/8f2Y=")</f>
        <v>#REF!</v>
      </c>
      <c r="CZ22" t="e">
        <f>AND(#REF!,"AAAAAD/8f2c=")</f>
        <v>#REF!</v>
      </c>
      <c r="DA22" t="e">
        <f>AND(#REF!,"AAAAAD/8f2g=")</f>
        <v>#REF!</v>
      </c>
      <c r="DB22" t="e">
        <f>AND(#REF!,"AAAAAD/8f2k=")</f>
        <v>#REF!</v>
      </c>
      <c r="DC22" t="e">
        <f>AND(#REF!,"AAAAAD/8f2o=")</f>
        <v>#REF!</v>
      </c>
      <c r="DD22" t="e">
        <f>IF(#REF!,"AAAAAD/8f2s=",0)</f>
        <v>#REF!</v>
      </c>
      <c r="DE22" t="e">
        <f>AND(#REF!,"AAAAAD/8f2w=")</f>
        <v>#REF!</v>
      </c>
      <c r="DF22" t="e">
        <f>AND(#REF!,"AAAAAD/8f20=")</f>
        <v>#REF!</v>
      </c>
      <c r="DG22" t="e">
        <f>AND(#REF!,"AAAAAD/8f24=")</f>
        <v>#REF!</v>
      </c>
      <c r="DH22" t="e">
        <f>AND(#REF!,"AAAAAD/8f28=")</f>
        <v>#REF!</v>
      </c>
      <c r="DI22" t="e">
        <f>AND(#REF!,"AAAAAD/8f3A=")</f>
        <v>#REF!</v>
      </c>
      <c r="DJ22" t="e">
        <f>AND(#REF!,"AAAAAD/8f3E=")</f>
        <v>#REF!</v>
      </c>
      <c r="DK22" t="e">
        <f>AND(#REF!,"AAAAAD/8f3I=")</f>
        <v>#REF!</v>
      </c>
      <c r="DL22" t="e">
        <f>AND(#REF!,"AAAAAD/8f3M=")</f>
        <v>#REF!</v>
      </c>
      <c r="DM22" t="e">
        <f>AND(#REF!,"AAAAAD/8f3Q=")</f>
        <v>#REF!</v>
      </c>
      <c r="DN22" t="e">
        <f>AND(#REF!,"AAAAAD/8f3U=")</f>
        <v>#REF!</v>
      </c>
      <c r="DO22" t="e">
        <f>IF(#REF!,"AAAAAD/8f3Y=",0)</f>
        <v>#REF!</v>
      </c>
      <c r="DP22" t="e">
        <f>AND(#REF!,"AAAAAD/8f3c=")</f>
        <v>#REF!</v>
      </c>
      <c r="DQ22" t="e">
        <f>AND(#REF!,"AAAAAD/8f3g=")</f>
        <v>#REF!</v>
      </c>
      <c r="DR22" t="e">
        <f>AND(#REF!,"AAAAAD/8f3k=")</f>
        <v>#REF!</v>
      </c>
      <c r="DS22" t="e">
        <f>AND(#REF!,"AAAAAD/8f3o=")</f>
        <v>#REF!</v>
      </c>
      <c r="DT22" t="e">
        <f>AND(#REF!,"AAAAAD/8f3s=")</f>
        <v>#REF!</v>
      </c>
      <c r="DU22" t="e">
        <f>AND(#REF!,"AAAAAD/8f3w=")</f>
        <v>#REF!</v>
      </c>
      <c r="DV22" t="e">
        <f>AND(#REF!,"AAAAAD/8f30=")</f>
        <v>#REF!</v>
      </c>
      <c r="DW22" t="e">
        <f>AND(#REF!,"AAAAAD/8f34=")</f>
        <v>#REF!</v>
      </c>
      <c r="DX22" t="e">
        <f>AND(#REF!,"AAAAAD/8f38=")</f>
        <v>#REF!</v>
      </c>
      <c r="DY22" t="e">
        <f>AND(#REF!,"AAAAAD/8f4A=")</f>
        <v>#REF!</v>
      </c>
      <c r="DZ22" t="e">
        <f>IF(#REF!,"AAAAAD/8f4E=",0)</f>
        <v>#REF!</v>
      </c>
      <c r="EA22" t="e">
        <f>AND(#REF!,"AAAAAD/8f4I=")</f>
        <v>#REF!</v>
      </c>
      <c r="EB22" t="e">
        <f>AND(#REF!,"AAAAAD/8f4M=")</f>
        <v>#REF!</v>
      </c>
      <c r="EC22" t="e">
        <f>AND(#REF!,"AAAAAD/8f4Q=")</f>
        <v>#REF!</v>
      </c>
      <c r="ED22" t="e">
        <f>AND(#REF!,"AAAAAD/8f4U=")</f>
        <v>#REF!</v>
      </c>
      <c r="EE22" t="e">
        <f>AND(#REF!,"AAAAAD/8f4Y=")</f>
        <v>#REF!</v>
      </c>
      <c r="EF22" t="e">
        <f>AND(#REF!,"AAAAAD/8f4c=")</f>
        <v>#REF!</v>
      </c>
      <c r="EG22" t="e">
        <f>AND(#REF!,"AAAAAD/8f4g=")</f>
        <v>#REF!</v>
      </c>
      <c r="EH22" t="e">
        <f>AND(#REF!,"AAAAAD/8f4k=")</f>
        <v>#REF!</v>
      </c>
      <c r="EI22" t="e">
        <f>AND(#REF!,"AAAAAD/8f4o=")</f>
        <v>#REF!</v>
      </c>
      <c r="EJ22" t="e">
        <f>AND(#REF!,"AAAAAD/8f4s=")</f>
        <v>#REF!</v>
      </c>
      <c r="EK22" t="e">
        <f>IF(#REF!,"AAAAAD/8f4w=",0)</f>
        <v>#REF!</v>
      </c>
      <c r="EL22" t="e">
        <f>AND(#REF!,"AAAAAD/8f40=")</f>
        <v>#REF!</v>
      </c>
      <c r="EM22" t="e">
        <f>AND(#REF!,"AAAAAD/8f44=")</f>
        <v>#REF!</v>
      </c>
      <c r="EN22" t="e">
        <f>AND(#REF!,"AAAAAD/8f48=")</f>
        <v>#REF!</v>
      </c>
      <c r="EO22" t="e">
        <f>AND(#REF!,"AAAAAD/8f5A=")</f>
        <v>#REF!</v>
      </c>
      <c r="EP22" t="e">
        <f>AND(#REF!,"AAAAAD/8f5E=")</f>
        <v>#REF!</v>
      </c>
      <c r="EQ22" t="e">
        <f>AND(#REF!,"AAAAAD/8f5I=")</f>
        <v>#REF!</v>
      </c>
      <c r="ER22" t="e">
        <f>AND(#REF!,"AAAAAD/8f5M=")</f>
        <v>#REF!</v>
      </c>
      <c r="ES22" t="e">
        <f>AND(#REF!,"AAAAAD/8f5Q=")</f>
        <v>#REF!</v>
      </c>
      <c r="ET22" t="e">
        <f>AND(#REF!,"AAAAAD/8f5U=")</f>
        <v>#REF!</v>
      </c>
      <c r="EU22" t="e">
        <f>AND(#REF!,"AAAAAD/8f5Y=")</f>
        <v>#REF!</v>
      </c>
      <c r="EV22" t="e">
        <f>IF(#REF!,"AAAAAD/8f5c=",0)</f>
        <v>#REF!</v>
      </c>
      <c r="EW22" t="e">
        <f>AND(#REF!,"AAAAAD/8f5g=")</f>
        <v>#REF!</v>
      </c>
      <c r="EX22" t="e">
        <f>AND(#REF!,"AAAAAD/8f5k=")</f>
        <v>#REF!</v>
      </c>
      <c r="EY22" t="e">
        <f>AND(#REF!,"AAAAAD/8f5o=")</f>
        <v>#REF!</v>
      </c>
      <c r="EZ22" t="e">
        <f>AND(#REF!,"AAAAAD/8f5s=")</f>
        <v>#REF!</v>
      </c>
      <c r="FA22" t="e">
        <f>AND(#REF!,"AAAAAD/8f5w=")</f>
        <v>#REF!</v>
      </c>
      <c r="FB22" t="e">
        <f>AND(#REF!,"AAAAAD/8f50=")</f>
        <v>#REF!</v>
      </c>
      <c r="FC22" t="e">
        <f>AND(#REF!,"AAAAAD/8f54=")</f>
        <v>#REF!</v>
      </c>
      <c r="FD22" t="e">
        <f>AND(#REF!,"AAAAAD/8f58=")</f>
        <v>#REF!</v>
      </c>
      <c r="FE22" t="e">
        <f>AND(#REF!,"AAAAAD/8f6A=")</f>
        <v>#REF!</v>
      </c>
      <c r="FF22" t="e">
        <f>AND(#REF!,"AAAAAD/8f6E=")</f>
        <v>#REF!</v>
      </c>
      <c r="FG22" t="e">
        <f>IF(#REF!,"AAAAAD/8f6I=",0)</f>
        <v>#REF!</v>
      </c>
      <c r="FH22" t="e">
        <f>AND(#REF!,"AAAAAD/8f6M=")</f>
        <v>#REF!</v>
      </c>
      <c r="FI22" t="e">
        <f>AND(#REF!,"AAAAAD/8f6Q=")</f>
        <v>#REF!</v>
      </c>
      <c r="FJ22" t="e">
        <f>AND(#REF!,"AAAAAD/8f6U=")</f>
        <v>#REF!</v>
      </c>
      <c r="FK22" t="e">
        <f>AND(#REF!,"AAAAAD/8f6Y=")</f>
        <v>#REF!</v>
      </c>
      <c r="FL22" t="e">
        <f>AND(#REF!,"AAAAAD/8f6c=")</f>
        <v>#REF!</v>
      </c>
      <c r="FM22" t="e">
        <f>AND(#REF!,"AAAAAD/8f6g=")</f>
        <v>#REF!</v>
      </c>
      <c r="FN22" t="e">
        <f>AND(#REF!,"AAAAAD/8f6k=")</f>
        <v>#REF!</v>
      </c>
      <c r="FO22" t="e">
        <f>AND(#REF!,"AAAAAD/8f6o=")</f>
        <v>#REF!</v>
      </c>
      <c r="FP22" t="e">
        <f>AND(#REF!,"AAAAAD/8f6s=")</f>
        <v>#REF!</v>
      </c>
      <c r="FQ22" t="e">
        <f>AND(#REF!,"AAAAAD/8f6w=")</f>
        <v>#REF!</v>
      </c>
      <c r="FR22" t="e">
        <f>IF(#REF!,"AAAAAD/8f60=",0)</f>
        <v>#REF!</v>
      </c>
      <c r="FS22" t="e">
        <f>AND(#REF!,"AAAAAD/8f64=")</f>
        <v>#REF!</v>
      </c>
      <c r="FT22" t="e">
        <f>AND(#REF!,"AAAAAD/8f68=")</f>
        <v>#REF!</v>
      </c>
      <c r="FU22" t="e">
        <f>AND(#REF!,"AAAAAD/8f7A=")</f>
        <v>#REF!</v>
      </c>
      <c r="FV22" t="e">
        <f>AND(#REF!,"AAAAAD/8f7E=")</f>
        <v>#REF!</v>
      </c>
      <c r="FW22" t="e">
        <f>AND(#REF!,"AAAAAD/8f7I=")</f>
        <v>#REF!</v>
      </c>
      <c r="FX22" t="e">
        <f>AND(#REF!,"AAAAAD/8f7M=")</f>
        <v>#REF!</v>
      </c>
      <c r="FY22" t="e">
        <f>AND(#REF!,"AAAAAD/8f7Q=")</f>
        <v>#REF!</v>
      </c>
      <c r="FZ22" t="e">
        <f>AND(#REF!,"AAAAAD/8f7U=")</f>
        <v>#REF!</v>
      </c>
      <c r="GA22" t="e">
        <f>AND(#REF!,"AAAAAD/8f7Y=")</f>
        <v>#REF!</v>
      </c>
      <c r="GB22" t="e">
        <f>AND(#REF!,"AAAAAD/8f7c=")</f>
        <v>#REF!</v>
      </c>
      <c r="GC22" t="e">
        <f>IF(#REF!,"AAAAAD/8f7g=",0)</f>
        <v>#REF!</v>
      </c>
      <c r="GD22" t="e">
        <f>AND(#REF!,"AAAAAD/8f7k=")</f>
        <v>#REF!</v>
      </c>
      <c r="GE22" t="e">
        <f>AND(#REF!,"AAAAAD/8f7o=")</f>
        <v>#REF!</v>
      </c>
      <c r="GF22" t="e">
        <f>AND(#REF!,"AAAAAD/8f7s=")</f>
        <v>#REF!</v>
      </c>
      <c r="GG22" t="e">
        <f>AND(#REF!,"AAAAAD/8f7w=")</f>
        <v>#REF!</v>
      </c>
      <c r="GH22" t="e">
        <f>AND(#REF!,"AAAAAD/8f70=")</f>
        <v>#REF!</v>
      </c>
      <c r="GI22" t="e">
        <f>AND(#REF!,"AAAAAD/8f74=")</f>
        <v>#REF!</v>
      </c>
      <c r="GJ22" t="e">
        <f>AND(#REF!,"AAAAAD/8f78=")</f>
        <v>#REF!</v>
      </c>
      <c r="GK22" t="e">
        <f>AND(#REF!,"AAAAAD/8f8A=")</f>
        <v>#REF!</v>
      </c>
      <c r="GL22" t="e">
        <f>AND(#REF!,"AAAAAD/8f8E=")</f>
        <v>#REF!</v>
      </c>
      <c r="GM22" t="e">
        <f>AND(#REF!,"AAAAAD/8f8I=")</f>
        <v>#REF!</v>
      </c>
      <c r="GN22" t="e">
        <f>IF(#REF!,"AAAAAD/8f8M=",0)</f>
        <v>#REF!</v>
      </c>
      <c r="GO22" t="e">
        <f>AND(#REF!,"AAAAAD/8f8Q=")</f>
        <v>#REF!</v>
      </c>
      <c r="GP22" t="e">
        <f>AND(#REF!,"AAAAAD/8f8U=")</f>
        <v>#REF!</v>
      </c>
      <c r="GQ22" t="e">
        <f>AND(#REF!,"AAAAAD/8f8Y=")</f>
        <v>#REF!</v>
      </c>
      <c r="GR22" t="e">
        <f>AND(#REF!,"AAAAAD/8f8c=")</f>
        <v>#REF!</v>
      </c>
      <c r="GS22" t="e">
        <f>AND(#REF!,"AAAAAD/8f8g=")</f>
        <v>#REF!</v>
      </c>
      <c r="GT22" t="e">
        <f>AND(#REF!,"AAAAAD/8f8k=")</f>
        <v>#REF!</v>
      </c>
      <c r="GU22" t="e">
        <f>AND(#REF!,"AAAAAD/8f8o=")</f>
        <v>#REF!</v>
      </c>
      <c r="GV22" t="e">
        <f>AND(#REF!,"AAAAAD/8f8s=")</f>
        <v>#REF!</v>
      </c>
      <c r="GW22" t="e">
        <f>AND(#REF!,"AAAAAD/8f8w=")</f>
        <v>#REF!</v>
      </c>
      <c r="GX22" t="e">
        <f>AND(#REF!,"AAAAAD/8f80=")</f>
        <v>#REF!</v>
      </c>
      <c r="GY22" t="e">
        <f>IF(#REF!,"AAAAAD/8f84=",0)</f>
        <v>#REF!</v>
      </c>
      <c r="GZ22" t="e">
        <f>AND(#REF!,"AAAAAD/8f88=")</f>
        <v>#REF!</v>
      </c>
      <c r="HA22" t="e">
        <f>AND(#REF!,"AAAAAD/8f9A=")</f>
        <v>#REF!</v>
      </c>
      <c r="HB22" t="e">
        <f>AND(#REF!,"AAAAAD/8f9E=")</f>
        <v>#REF!</v>
      </c>
      <c r="HC22" t="e">
        <f>AND(#REF!,"AAAAAD/8f9I=")</f>
        <v>#REF!</v>
      </c>
      <c r="HD22" t="e">
        <f>AND(#REF!,"AAAAAD/8f9M=")</f>
        <v>#REF!</v>
      </c>
      <c r="HE22" t="e">
        <f>AND(#REF!,"AAAAAD/8f9Q=")</f>
        <v>#REF!</v>
      </c>
      <c r="HF22" t="e">
        <f>AND(#REF!,"AAAAAD/8f9U=")</f>
        <v>#REF!</v>
      </c>
      <c r="HG22" t="e">
        <f>AND(#REF!,"AAAAAD/8f9Y=")</f>
        <v>#REF!</v>
      </c>
      <c r="HH22" t="e">
        <f>AND(#REF!,"AAAAAD/8f9c=")</f>
        <v>#REF!</v>
      </c>
      <c r="HI22" t="e">
        <f>AND(#REF!,"AAAAAD/8f9g=")</f>
        <v>#REF!</v>
      </c>
      <c r="HJ22" t="e">
        <f>IF(#REF!,"AAAAAD/8f9k=",0)</f>
        <v>#REF!</v>
      </c>
      <c r="HK22" t="e">
        <f>AND(#REF!,"AAAAAD/8f9o=")</f>
        <v>#REF!</v>
      </c>
      <c r="HL22" t="e">
        <f>AND(#REF!,"AAAAAD/8f9s=")</f>
        <v>#REF!</v>
      </c>
      <c r="HM22" t="e">
        <f>AND(#REF!,"AAAAAD/8f9w=")</f>
        <v>#REF!</v>
      </c>
      <c r="HN22" t="e">
        <f>AND(#REF!,"AAAAAD/8f90=")</f>
        <v>#REF!</v>
      </c>
      <c r="HO22" t="e">
        <f>AND(#REF!,"AAAAAD/8f94=")</f>
        <v>#REF!</v>
      </c>
      <c r="HP22" t="e">
        <f>AND(#REF!,"AAAAAD/8f98=")</f>
        <v>#REF!</v>
      </c>
      <c r="HQ22" t="e">
        <f>AND(#REF!,"AAAAAD/8f+A=")</f>
        <v>#REF!</v>
      </c>
      <c r="HR22" t="e">
        <f>AND(#REF!,"AAAAAD/8f+E=")</f>
        <v>#REF!</v>
      </c>
      <c r="HS22" t="e">
        <f>AND(#REF!,"AAAAAD/8f+I=")</f>
        <v>#REF!</v>
      </c>
      <c r="HT22" t="e">
        <f>AND(#REF!,"AAAAAD/8f+M=")</f>
        <v>#REF!</v>
      </c>
      <c r="HU22" t="e">
        <f>IF(#REF!,"AAAAAD/8f+Q=",0)</f>
        <v>#REF!</v>
      </c>
      <c r="HV22" t="e">
        <f>AND(#REF!,"AAAAAD/8f+U=")</f>
        <v>#REF!</v>
      </c>
      <c r="HW22" t="e">
        <f>AND(#REF!,"AAAAAD/8f+Y=")</f>
        <v>#REF!</v>
      </c>
      <c r="HX22" t="e">
        <f>AND(#REF!,"AAAAAD/8f+c=")</f>
        <v>#REF!</v>
      </c>
      <c r="HY22" t="e">
        <f>AND(#REF!,"AAAAAD/8f+g=")</f>
        <v>#REF!</v>
      </c>
      <c r="HZ22" t="e">
        <f>AND(#REF!,"AAAAAD/8f+k=")</f>
        <v>#REF!</v>
      </c>
      <c r="IA22" t="e">
        <f>AND(#REF!,"AAAAAD/8f+o=")</f>
        <v>#REF!</v>
      </c>
      <c r="IB22" t="e">
        <f>AND(#REF!,"AAAAAD/8f+s=")</f>
        <v>#REF!</v>
      </c>
      <c r="IC22" t="e">
        <f>AND(#REF!,"AAAAAD/8f+w=")</f>
        <v>#REF!</v>
      </c>
      <c r="ID22" t="e">
        <f>AND(#REF!,"AAAAAD/8f+0=")</f>
        <v>#REF!</v>
      </c>
      <c r="IE22" t="e">
        <f>AND(#REF!,"AAAAAD/8f+4=")</f>
        <v>#REF!</v>
      </c>
      <c r="IF22" t="e">
        <f>IF(#REF!,"AAAAAD/8f+8=",0)</f>
        <v>#REF!</v>
      </c>
      <c r="IG22" t="e">
        <f>AND(#REF!,"AAAAAD/8f/A=")</f>
        <v>#REF!</v>
      </c>
      <c r="IH22" t="e">
        <f>AND(#REF!,"AAAAAD/8f/E=")</f>
        <v>#REF!</v>
      </c>
      <c r="II22" t="e">
        <f>AND(#REF!,"AAAAAD/8f/I=")</f>
        <v>#REF!</v>
      </c>
      <c r="IJ22" t="e">
        <f>AND(#REF!,"AAAAAD/8f/M=")</f>
        <v>#REF!</v>
      </c>
      <c r="IK22" t="e">
        <f>AND(#REF!,"AAAAAD/8f/Q=")</f>
        <v>#REF!</v>
      </c>
      <c r="IL22" t="e">
        <f>AND(#REF!,"AAAAAD/8f/U=")</f>
        <v>#REF!</v>
      </c>
      <c r="IM22" t="e">
        <f>AND(#REF!,"AAAAAD/8f/Y=")</f>
        <v>#REF!</v>
      </c>
      <c r="IN22" t="e">
        <f>AND(#REF!,"AAAAAD/8f/c=")</f>
        <v>#REF!</v>
      </c>
      <c r="IO22" t="e">
        <f>AND(#REF!,"AAAAAD/8f/g=")</f>
        <v>#REF!</v>
      </c>
      <c r="IP22" t="e">
        <f>AND(#REF!,"AAAAAD/8f/k=")</f>
        <v>#REF!</v>
      </c>
      <c r="IQ22" t="e">
        <f>IF(#REF!,"AAAAAD/8f/o=",0)</f>
        <v>#REF!</v>
      </c>
      <c r="IR22" t="e">
        <f>AND(#REF!,"AAAAAD/8f/s=")</f>
        <v>#REF!</v>
      </c>
      <c r="IS22" t="e">
        <f>AND(#REF!,"AAAAAD/8f/w=")</f>
        <v>#REF!</v>
      </c>
      <c r="IT22" t="e">
        <f>AND(#REF!,"AAAAAD/8f/0=")</f>
        <v>#REF!</v>
      </c>
      <c r="IU22" t="e">
        <f>AND(#REF!,"AAAAAD/8f/4=")</f>
        <v>#REF!</v>
      </c>
      <c r="IV22" t="e">
        <f>AND(#REF!,"AAAAAD/8f/8=")</f>
        <v>#REF!</v>
      </c>
    </row>
    <row r="23" spans="1:256" x14ac:dyDescent="0.25">
      <c r="A23" t="e">
        <f>AND(#REF!,"AAAAAB/0bAA=")</f>
        <v>#REF!</v>
      </c>
      <c r="B23" t="e">
        <f>AND(#REF!,"AAAAAB/0bAE=")</f>
        <v>#REF!</v>
      </c>
      <c r="C23" t="e">
        <f>AND(#REF!,"AAAAAB/0bAI=")</f>
        <v>#REF!</v>
      </c>
      <c r="D23" t="e">
        <f>AND(#REF!,"AAAAAB/0bAM=")</f>
        <v>#REF!</v>
      </c>
      <c r="E23" t="e">
        <f>AND(#REF!,"AAAAAB/0bAQ=")</f>
        <v>#REF!</v>
      </c>
      <c r="F23" t="e">
        <f>IF(#REF!,"AAAAAB/0bAU=",0)</f>
        <v>#REF!</v>
      </c>
      <c r="G23" t="e">
        <f>AND(#REF!,"AAAAAB/0bAY=")</f>
        <v>#REF!</v>
      </c>
      <c r="H23" t="e">
        <f>AND(#REF!,"AAAAAB/0bAc=")</f>
        <v>#REF!</v>
      </c>
      <c r="I23" t="e">
        <f>AND(#REF!,"AAAAAB/0bAg=")</f>
        <v>#REF!</v>
      </c>
      <c r="J23" t="e">
        <f>AND(#REF!,"AAAAAB/0bAk=")</f>
        <v>#REF!</v>
      </c>
      <c r="K23" t="e">
        <f>AND(#REF!,"AAAAAB/0bAo=")</f>
        <v>#REF!</v>
      </c>
      <c r="L23" t="e">
        <f>AND(#REF!,"AAAAAB/0bAs=")</f>
        <v>#REF!</v>
      </c>
      <c r="M23" t="e">
        <f>AND(#REF!,"AAAAAB/0bAw=")</f>
        <v>#REF!</v>
      </c>
      <c r="N23" t="e">
        <f>AND(#REF!,"AAAAAB/0bA0=")</f>
        <v>#REF!</v>
      </c>
      <c r="O23" t="e">
        <f>AND(#REF!,"AAAAAB/0bA4=")</f>
        <v>#REF!</v>
      </c>
      <c r="P23" t="e">
        <f>AND(#REF!,"AAAAAB/0bA8=")</f>
        <v>#REF!</v>
      </c>
      <c r="Q23" t="e">
        <f>IF(#REF!,"AAAAAB/0bBA=",0)</f>
        <v>#REF!</v>
      </c>
      <c r="R23" t="e">
        <f>AND(#REF!,"AAAAAB/0bBE=")</f>
        <v>#REF!</v>
      </c>
      <c r="S23" t="e">
        <f>AND(#REF!,"AAAAAB/0bBI=")</f>
        <v>#REF!</v>
      </c>
      <c r="T23" t="e">
        <f>AND(#REF!,"AAAAAB/0bBM=")</f>
        <v>#REF!</v>
      </c>
      <c r="U23" t="e">
        <f>AND(#REF!,"AAAAAB/0bBQ=")</f>
        <v>#REF!</v>
      </c>
      <c r="V23" t="e">
        <f>AND(#REF!,"AAAAAB/0bBU=")</f>
        <v>#REF!</v>
      </c>
      <c r="W23" t="e">
        <f>AND(#REF!,"AAAAAB/0bBY=")</f>
        <v>#REF!</v>
      </c>
      <c r="X23" t="e">
        <f>AND(#REF!,"AAAAAB/0bBc=")</f>
        <v>#REF!</v>
      </c>
      <c r="Y23" t="e">
        <f>AND(#REF!,"AAAAAB/0bBg=")</f>
        <v>#REF!</v>
      </c>
      <c r="Z23" t="e">
        <f>AND(#REF!,"AAAAAB/0bBk=")</f>
        <v>#REF!</v>
      </c>
      <c r="AA23" t="e">
        <f>AND(#REF!,"AAAAAB/0bBo=")</f>
        <v>#REF!</v>
      </c>
      <c r="AB23" t="e">
        <f>IF(#REF!,"AAAAAB/0bBs=",0)</f>
        <v>#REF!</v>
      </c>
      <c r="AC23" t="e">
        <f>AND(#REF!,"AAAAAB/0bBw=")</f>
        <v>#REF!</v>
      </c>
      <c r="AD23" t="e">
        <f>AND(#REF!,"AAAAAB/0bB0=")</f>
        <v>#REF!</v>
      </c>
      <c r="AE23" t="e">
        <f>AND(#REF!,"AAAAAB/0bB4=")</f>
        <v>#REF!</v>
      </c>
      <c r="AF23" t="e">
        <f>AND(#REF!,"AAAAAB/0bB8=")</f>
        <v>#REF!</v>
      </c>
      <c r="AG23" t="e">
        <f>AND(#REF!,"AAAAAB/0bCA=")</f>
        <v>#REF!</v>
      </c>
      <c r="AH23" t="e">
        <f>AND(#REF!,"AAAAAB/0bCE=")</f>
        <v>#REF!</v>
      </c>
      <c r="AI23" t="e">
        <f>AND(#REF!,"AAAAAB/0bCI=")</f>
        <v>#REF!</v>
      </c>
      <c r="AJ23" t="e">
        <f>AND(#REF!,"AAAAAB/0bCM=")</f>
        <v>#REF!</v>
      </c>
      <c r="AK23" t="e">
        <f>AND(#REF!,"AAAAAB/0bCQ=")</f>
        <v>#REF!</v>
      </c>
      <c r="AL23" t="e">
        <f>AND(#REF!,"AAAAAB/0bCU=")</f>
        <v>#REF!</v>
      </c>
      <c r="AM23" t="e">
        <f>IF(#REF!,"AAAAAB/0bCY=",0)</f>
        <v>#REF!</v>
      </c>
      <c r="AN23" t="e">
        <f>AND(#REF!,"AAAAAB/0bCc=")</f>
        <v>#REF!</v>
      </c>
      <c r="AO23" t="e">
        <f>AND(#REF!,"AAAAAB/0bCg=")</f>
        <v>#REF!</v>
      </c>
      <c r="AP23" t="e">
        <f>AND(#REF!,"AAAAAB/0bCk=")</f>
        <v>#REF!</v>
      </c>
      <c r="AQ23" t="e">
        <f>AND(#REF!,"AAAAAB/0bCo=")</f>
        <v>#REF!</v>
      </c>
      <c r="AR23" t="e">
        <f>AND(#REF!,"AAAAAB/0bCs=")</f>
        <v>#REF!</v>
      </c>
      <c r="AS23" t="e">
        <f>AND(#REF!,"AAAAAB/0bCw=")</f>
        <v>#REF!</v>
      </c>
      <c r="AT23" t="e">
        <f>AND(#REF!,"AAAAAB/0bC0=")</f>
        <v>#REF!</v>
      </c>
      <c r="AU23" t="e">
        <f>AND(#REF!,"AAAAAB/0bC4=")</f>
        <v>#REF!</v>
      </c>
      <c r="AV23" t="e">
        <f>AND(#REF!,"AAAAAB/0bC8=")</f>
        <v>#REF!</v>
      </c>
      <c r="AW23" t="e">
        <f>AND(#REF!,"AAAAAB/0bDA=")</f>
        <v>#REF!</v>
      </c>
      <c r="AX23" t="e">
        <f>IF(#REF!,"AAAAAB/0bDE=",0)</f>
        <v>#REF!</v>
      </c>
      <c r="AY23" t="e">
        <f>AND(#REF!,"AAAAAB/0bDI=")</f>
        <v>#REF!</v>
      </c>
      <c r="AZ23" t="e">
        <f>AND(#REF!,"AAAAAB/0bDM=")</f>
        <v>#REF!</v>
      </c>
      <c r="BA23" t="e">
        <f>AND(#REF!,"AAAAAB/0bDQ=")</f>
        <v>#REF!</v>
      </c>
      <c r="BB23" t="e">
        <f>AND(#REF!,"AAAAAB/0bDU=")</f>
        <v>#REF!</v>
      </c>
      <c r="BC23" t="e">
        <f>AND(#REF!,"AAAAAB/0bDY=")</f>
        <v>#REF!</v>
      </c>
      <c r="BD23" t="e">
        <f>AND(#REF!,"AAAAAB/0bDc=")</f>
        <v>#REF!</v>
      </c>
      <c r="BE23" t="e">
        <f>AND(#REF!,"AAAAAB/0bDg=")</f>
        <v>#REF!</v>
      </c>
      <c r="BF23" t="e">
        <f>AND(#REF!,"AAAAAB/0bDk=")</f>
        <v>#REF!</v>
      </c>
      <c r="BG23" t="e">
        <f>AND(#REF!,"AAAAAB/0bDo=")</f>
        <v>#REF!</v>
      </c>
      <c r="BH23" t="e">
        <f>AND(#REF!,"AAAAAB/0bDs=")</f>
        <v>#REF!</v>
      </c>
      <c r="BI23" t="e">
        <f>IF(#REF!,"AAAAAB/0bDw=",0)</f>
        <v>#REF!</v>
      </c>
      <c r="BJ23" t="e">
        <f>AND(#REF!,"AAAAAB/0bD0=")</f>
        <v>#REF!</v>
      </c>
      <c r="BK23" t="e">
        <f>AND(#REF!,"AAAAAB/0bD4=")</f>
        <v>#REF!</v>
      </c>
      <c r="BL23" t="e">
        <f>AND(#REF!,"AAAAAB/0bD8=")</f>
        <v>#REF!</v>
      </c>
      <c r="BM23" t="e">
        <f>AND(#REF!,"AAAAAB/0bEA=")</f>
        <v>#REF!</v>
      </c>
      <c r="BN23" t="e">
        <f>AND(#REF!,"AAAAAB/0bEE=")</f>
        <v>#REF!</v>
      </c>
      <c r="BO23" t="e">
        <f>AND(#REF!,"AAAAAB/0bEI=")</f>
        <v>#REF!</v>
      </c>
      <c r="BP23" t="e">
        <f>AND(#REF!,"AAAAAB/0bEM=")</f>
        <v>#REF!</v>
      </c>
      <c r="BQ23" t="e">
        <f>AND(#REF!,"AAAAAB/0bEQ=")</f>
        <v>#REF!</v>
      </c>
      <c r="BR23" t="e">
        <f>AND(#REF!,"AAAAAB/0bEU=")</f>
        <v>#REF!</v>
      </c>
      <c r="BS23" t="e">
        <f>AND(#REF!,"AAAAAB/0bEY=")</f>
        <v>#REF!</v>
      </c>
      <c r="BT23" t="e">
        <f>IF(#REF!,"AAAAAB/0bEc=",0)</f>
        <v>#REF!</v>
      </c>
      <c r="BU23" t="e">
        <f>AND(#REF!,"AAAAAB/0bEg=")</f>
        <v>#REF!</v>
      </c>
      <c r="BV23" t="e">
        <f>AND(#REF!,"AAAAAB/0bEk=")</f>
        <v>#REF!</v>
      </c>
      <c r="BW23" t="e">
        <f>AND(#REF!,"AAAAAB/0bEo=")</f>
        <v>#REF!</v>
      </c>
      <c r="BX23" t="e">
        <f>AND(#REF!,"AAAAAB/0bEs=")</f>
        <v>#REF!</v>
      </c>
      <c r="BY23" t="e">
        <f>AND(#REF!,"AAAAAB/0bEw=")</f>
        <v>#REF!</v>
      </c>
      <c r="BZ23" t="e">
        <f>AND(#REF!,"AAAAAB/0bE0=")</f>
        <v>#REF!</v>
      </c>
      <c r="CA23" t="e">
        <f>AND(#REF!,"AAAAAB/0bE4=")</f>
        <v>#REF!</v>
      </c>
      <c r="CB23" t="e">
        <f>AND(#REF!,"AAAAAB/0bE8=")</f>
        <v>#REF!</v>
      </c>
      <c r="CC23" t="e">
        <f>AND(#REF!,"AAAAAB/0bFA=")</f>
        <v>#REF!</v>
      </c>
      <c r="CD23" t="e">
        <f>AND(#REF!,"AAAAAB/0bFE=")</f>
        <v>#REF!</v>
      </c>
      <c r="CE23" t="e">
        <f>IF(#REF!,"AAAAAB/0bFI=",0)</f>
        <v>#REF!</v>
      </c>
      <c r="CF23" t="e">
        <f>AND(#REF!,"AAAAAB/0bFM=")</f>
        <v>#REF!</v>
      </c>
      <c r="CG23" t="e">
        <f>AND(#REF!,"AAAAAB/0bFQ=")</f>
        <v>#REF!</v>
      </c>
      <c r="CH23" t="e">
        <f>AND(#REF!,"AAAAAB/0bFU=")</f>
        <v>#REF!</v>
      </c>
      <c r="CI23" t="e">
        <f>AND(#REF!,"AAAAAB/0bFY=")</f>
        <v>#REF!</v>
      </c>
      <c r="CJ23" t="e">
        <f>AND(#REF!,"AAAAAB/0bFc=")</f>
        <v>#REF!</v>
      </c>
      <c r="CK23" t="e">
        <f>AND(#REF!,"AAAAAB/0bFg=")</f>
        <v>#REF!</v>
      </c>
      <c r="CL23" t="e">
        <f>AND(#REF!,"AAAAAB/0bFk=")</f>
        <v>#REF!</v>
      </c>
      <c r="CM23" t="e">
        <f>AND(#REF!,"AAAAAB/0bFo=")</f>
        <v>#REF!</v>
      </c>
      <c r="CN23" t="e">
        <f>AND(#REF!,"AAAAAB/0bFs=")</f>
        <v>#REF!</v>
      </c>
      <c r="CO23" t="e">
        <f>AND(#REF!,"AAAAAB/0bFw=")</f>
        <v>#REF!</v>
      </c>
      <c r="CP23" t="e">
        <f>IF(#REF!,"AAAAAB/0bF0=",0)</f>
        <v>#REF!</v>
      </c>
      <c r="CQ23" t="e">
        <f>AND(#REF!,"AAAAAB/0bF4=")</f>
        <v>#REF!</v>
      </c>
      <c r="CR23" t="e">
        <f>AND(#REF!,"AAAAAB/0bF8=")</f>
        <v>#REF!</v>
      </c>
      <c r="CS23" t="e">
        <f>AND(#REF!,"AAAAAB/0bGA=")</f>
        <v>#REF!</v>
      </c>
      <c r="CT23" t="e">
        <f>AND(#REF!,"AAAAAB/0bGE=")</f>
        <v>#REF!</v>
      </c>
      <c r="CU23" t="e">
        <f>AND(#REF!,"AAAAAB/0bGI=")</f>
        <v>#REF!</v>
      </c>
      <c r="CV23" t="e">
        <f>AND(#REF!,"AAAAAB/0bGM=")</f>
        <v>#REF!</v>
      </c>
      <c r="CW23" t="e">
        <f>AND(#REF!,"AAAAAB/0bGQ=")</f>
        <v>#REF!</v>
      </c>
      <c r="CX23" t="e">
        <f>AND(#REF!,"AAAAAB/0bGU=")</f>
        <v>#REF!</v>
      </c>
      <c r="CY23" t="e">
        <f>AND(#REF!,"AAAAAB/0bGY=")</f>
        <v>#REF!</v>
      </c>
      <c r="CZ23" t="e">
        <f>AND(#REF!,"AAAAAB/0bGc=")</f>
        <v>#REF!</v>
      </c>
      <c r="DA23" t="e">
        <f>IF(#REF!,"AAAAAB/0bGg=",0)</f>
        <v>#REF!</v>
      </c>
      <c r="DB23" t="e">
        <f>AND(#REF!,"AAAAAB/0bGk=")</f>
        <v>#REF!</v>
      </c>
      <c r="DC23" t="e">
        <f>AND(#REF!,"AAAAAB/0bGo=")</f>
        <v>#REF!</v>
      </c>
      <c r="DD23" t="e">
        <f>AND(#REF!,"AAAAAB/0bGs=")</f>
        <v>#REF!</v>
      </c>
      <c r="DE23" t="e">
        <f>AND(#REF!,"AAAAAB/0bGw=")</f>
        <v>#REF!</v>
      </c>
      <c r="DF23" t="e">
        <f>AND(#REF!,"AAAAAB/0bG0=")</f>
        <v>#REF!</v>
      </c>
      <c r="DG23" t="e">
        <f>AND(#REF!,"AAAAAB/0bG4=")</f>
        <v>#REF!</v>
      </c>
      <c r="DH23" t="e">
        <f>AND(#REF!,"AAAAAB/0bG8=")</f>
        <v>#REF!</v>
      </c>
      <c r="DI23" t="e">
        <f>AND(#REF!,"AAAAAB/0bHA=")</f>
        <v>#REF!</v>
      </c>
      <c r="DJ23" t="e">
        <f>AND(#REF!,"AAAAAB/0bHE=")</f>
        <v>#REF!</v>
      </c>
      <c r="DK23" t="e">
        <f>AND(#REF!,"AAAAAB/0bHI=")</f>
        <v>#REF!</v>
      </c>
      <c r="DL23" t="e">
        <f>IF(#REF!,"AAAAAB/0bHM=",0)</f>
        <v>#REF!</v>
      </c>
      <c r="DM23" t="e">
        <f>AND(#REF!,"AAAAAB/0bHQ=")</f>
        <v>#REF!</v>
      </c>
      <c r="DN23" t="e">
        <f>AND(#REF!,"AAAAAB/0bHU=")</f>
        <v>#REF!</v>
      </c>
      <c r="DO23" t="e">
        <f>AND(#REF!,"AAAAAB/0bHY=")</f>
        <v>#REF!</v>
      </c>
      <c r="DP23" t="e">
        <f>AND(#REF!,"AAAAAB/0bHc=")</f>
        <v>#REF!</v>
      </c>
      <c r="DQ23" t="e">
        <f>AND(#REF!,"AAAAAB/0bHg=")</f>
        <v>#REF!</v>
      </c>
      <c r="DR23" t="e">
        <f>AND(#REF!,"AAAAAB/0bHk=")</f>
        <v>#REF!</v>
      </c>
      <c r="DS23" t="e">
        <f>AND(#REF!,"AAAAAB/0bHo=")</f>
        <v>#REF!</v>
      </c>
      <c r="DT23" t="e">
        <f>AND(#REF!,"AAAAAB/0bHs=")</f>
        <v>#REF!</v>
      </c>
      <c r="DU23" t="e">
        <f>AND(#REF!,"AAAAAB/0bHw=")</f>
        <v>#REF!</v>
      </c>
      <c r="DV23" t="e">
        <f>AND(#REF!,"AAAAAB/0bH0=")</f>
        <v>#REF!</v>
      </c>
      <c r="DW23" t="e">
        <f>IF(#REF!,"AAAAAB/0bH4=",0)</f>
        <v>#REF!</v>
      </c>
      <c r="DX23" t="e">
        <f>AND(#REF!,"AAAAAB/0bH8=")</f>
        <v>#REF!</v>
      </c>
      <c r="DY23" t="e">
        <f>AND(#REF!,"AAAAAB/0bIA=")</f>
        <v>#REF!</v>
      </c>
      <c r="DZ23" t="e">
        <f>AND(#REF!,"AAAAAB/0bIE=")</f>
        <v>#REF!</v>
      </c>
      <c r="EA23" t="e">
        <f>AND(#REF!,"AAAAAB/0bII=")</f>
        <v>#REF!</v>
      </c>
      <c r="EB23" t="e">
        <f>AND(#REF!,"AAAAAB/0bIM=")</f>
        <v>#REF!</v>
      </c>
      <c r="EC23" t="e">
        <f>AND(#REF!,"AAAAAB/0bIQ=")</f>
        <v>#REF!</v>
      </c>
      <c r="ED23" t="e">
        <f>AND(#REF!,"AAAAAB/0bIU=")</f>
        <v>#REF!</v>
      </c>
      <c r="EE23" t="e">
        <f>AND(#REF!,"AAAAAB/0bIY=")</f>
        <v>#REF!</v>
      </c>
      <c r="EF23" t="e">
        <f>AND(#REF!,"AAAAAB/0bIc=")</f>
        <v>#REF!</v>
      </c>
      <c r="EG23" t="e">
        <f>AND(#REF!,"AAAAAB/0bIg=")</f>
        <v>#REF!</v>
      </c>
      <c r="EH23" t="e">
        <f>IF(#REF!,"AAAAAB/0bIk=",0)</f>
        <v>#REF!</v>
      </c>
      <c r="EI23" t="e">
        <f>AND(#REF!,"AAAAAB/0bIo=")</f>
        <v>#REF!</v>
      </c>
      <c r="EJ23" t="e">
        <f>AND(#REF!,"AAAAAB/0bIs=")</f>
        <v>#REF!</v>
      </c>
      <c r="EK23" t="e">
        <f>AND(#REF!,"AAAAAB/0bIw=")</f>
        <v>#REF!</v>
      </c>
      <c r="EL23" t="e">
        <f>AND(#REF!,"AAAAAB/0bI0=")</f>
        <v>#REF!</v>
      </c>
      <c r="EM23" t="e">
        <f>AND(#REF!,"AAAAAB/0bI4=")</f>
        <v>#REF!</v>
      </c>
      <c r="EN23" t="e">
        <f>AND(#REF!,"AAAAAB/0bI8=")</f>
        <v>#REF!</v>
      </c>
      <c r="EO23" t="e">
        <f>AND(#REF!,"AAAAAB/0bJA=")</f>
        <v>#REF!</v>
      </c>
      <c r="EP23" t="e">
        <f>AND(#REF!,"AAAAAB/0bJE=")</f>
        <v>#REF!</v>
      </c>
      <c r="EQ23" t="e">
        <f>AND(#REF!,"AAAAAB/0bJI=")</f>
        <v>#REF!</v>
      </c>
      <c r="ER23" t="e">
        <f>AND(#REF!,"AAAAAB/0bJM=")</f>
        <v>#REF!</v>
      </c>
      <c r="ES23" t="e">
        <f>IF(#REF!,"AAAAAB/0bJQ=",0)</f>
        <v>#REF!</v>
      </c>
      <c r="ET23" t="e">
        <f>AND(#REF!,"AAAAAB/0bJU=")</f>
        <v>#REF!</v>
      </c>
      <c r="EU23" t="e">
        <f>AND(#REF!,"AAAAAB/0bJY=")</f>
        <v>#REF!</v>
      </c>
      <c r="EV23" t="e">
        <f>AND(#REF!,"AAAAAB/0bJc=")</f>
        <v>#REF!</v>
      </c>
      <c r="EW23" t="e">
        <f>AND(#REF!,"AAAAAB/0bJg=")</f>
        <v>#REF!</v>
      </c>
      <c r="EX23" t="e">
        <f>AND(#REF!,"AAAAAB/0bJk=")</f>
        <v>#REF!</v>
      </c>
      <c r="EY23" t="e">
        <f>AND(#REF!,"AAAAAB/0bJo=")</f>
        <v>#REF!</v>
      </c>
      <c r="EZ23" t="e">
        <f>AND(#REF!,"AAAAAB/0bJs=")</f>
        <v>#REF!</v>
      </c>
      <c r="FA23" t="e">
        <f>AND(#REF!,"AAAAAB/0bJw=")</f>
        <v>#REF!</v>
      </c>
      <c r="FB23" t="e">
        <f>AND(#REF!,"AAAAAB/0bJ0=")</f>
        <v>#REF!</v>
      </c>
      <c r="FC23" t="e">
        <f>AND(#REF!,"AAAAAB/0bJ4=")</f>
        <v>#REF!</v>
      </c>
      <c r="FD23" t="e">
        <f>IF(#REF!,"AAAAAB/0bJ8=",0)</f>
        <v>#REF!</v>
      </c>
      <c r="FE23" t="e">
        <f>AND(#REF!,"AAAAAB/0bKA=")</f>
        <v>#REF!</v>
      </c>
      <c r="FF23" t="e">
        <f>AND(#REF!,"AAAAAB/0bKE=")</f>
        <v>#REF!</v>
      </c>
      <c r="FG23" t="e">
        <f>AND(#REF!,"AAAAAB/0bKI=")</f>
        <v>#REF!</v>
      </c>
      <c r="FH23" t="e">
        <f>AND(#REF!,"AAAAAB/0bKM=")</f>
        <v>#REF!</v>
      </c>
      <c r="FI23" t="e">
        <f>AND(#REF!,"AAAAAB/0bKQ=")</f>
        <v>#REF!</v>
      </c>
      <c r="FJ23" t="e">
        <f>AND(#REF!,"AAAAAB/0bKU=")</f>
        <v>#REF!</v>
      </c>
      <c r="FK23" t="e">
        <f>AND(#REF!,"AAAAAB/0bKY=")</f>
        <v>#REF!</v>
      </c>
      <c r="FL23" t="e">
        <f>AND(#REF!,"AAAAAB/0bKc=")</f>
        <v>#REF!</v>
      </c>
      <c r="FM23" t="e">
        <f>AND(#REF!,"AAAAAB/0bKg=")</f>
        <v>#REF!</v>
      </c>
      <c r="FN23" t="e">
        <f>AND(#REF!,"AAAAAB/0bKk=")</f>
        <v>#REF!</v>
      </c>
      <c r="FO23" t="e">
        <f>IF(#REF!,"AAAAAB/0bKo=",0)</f>
        <v>#REF!</v>
      </c>
      <c r="FP23" t="e">
        <f>AND(#REF!,"AAAAAB/0bKs=")</f>
        <v>#REF!</v>
      </c>
      <c r="FQ23" t="e">
        <f>AND(#REF!,"AAAAAB/0bKw=")</f>
        <v>#REF!</v>
      </c>
      <c r="FR23" t="e">
        <f>AND(#REF!,"AAAAAB/0bK0=")</f>
        <v>#REF!</v>
      </c>
      <c r="FS23" t="e">
        <f>AND(#REF!,"AAAAAB/0bK4=")</f>
        <v>#REF!</v>
      </c>
      <c r="FT23" t="e">
        <f>AND(#REF!,"AAAAAB/0bK8=")</f>
        <v>#REF!</v>
      </c>
      <c r="FU23" t="e">
        <f>AND(#REF!,"AAAAAB/0bLA=")</f>
        <v>#REF!</v>
      </c>
      <c r="FV23" t="e">
        <f>AND(#REF!,"AAAAAB/0bLE=")</f>
        <v>#REF!</v>
      </c>
      <c r="FW23" t="e">
        <f>AND(#REF!,"AAAAAB/0bLI=")</f>
        <v>#REF!</v>
      </c>
      <c r="FX23" t="e">
        <f>AND(#REF!,"AAAAAB/0bLM=")</f>
        <v>#REF!</v>
      </c>
      <c r="FY23" t="e">
        <f>AND(#REF!,"AAAAAB/0bLQ=")</f>
        <v>#REF!</v>
      </c>
      <c r="FZ23" t="e">
        <f>IF(#REF!,"AAAAAB/0bLU=",0)</f>
        <v>#REF!</v>
      </c>
      <c r="GA23" t="e">
        <f>AND(#REF!,"AAAAAB/0bLY=")</f>
        <v>#REF!</v>
      </c>
      <c r="GB23" t="e">
        <f>AND(#REF!,"AAAAAB/0bLc=")</f>
        <v>#REF!</v>
      </c>
      <c r="GC23" t="e">
        <f>AND(#REF!,"AAAAAB/0bLg=")</f>
        <v>#REF!</v>
      </c>
      <c r="GD23" t="e">
        <f>AND(#REF!,"AAAAAB/0bLk=")</f>
        <v>#REF!</v>
      </c>
      <c r="GE23" t="e">
        <f>AND(#REF!,"AAAAAB/0bLo=")</f>
        <v>#REF!</v>
      </c>
      <c r="GF23" t="e">
        <f>AND(#REF!,"AAAAAB/0bLs=")</f>
        <v>#REF!</v>
      </c>
      <c r="GG23" t="e">
        <f>AND(#REF!,"AAAAAB/0bLw=")</f>
        <v>#REF!</v>
      </c>
      <c r="GH23" t="e">
        <f>AND(#REF!,"AAAAAB/0bL0=")</f>
        <v>#REF!</v>
      </c>
      <c r="GI23" t="e">
        <f>AND(#REF!,"AAAAAB/0bL4=")</f>
        <v>#REF!</v>
      </c>
      <c r="GJ23" t="e">
        <f>AND(#REF!,"AAAAAB/0bL8=")</f>
        <v>#REF!</v>
      </c>
      <c r="GK23" t="e">
        <f>IF(#REF!,"AAAAAB/0bMA=",0)</f>
        <v>#REF!</v>
      </c>
      <c r="GL23" t="e">
        <f>AND(#REF!,"AAAAAB/0bME=")</f>
        <v>#REF!</v>
      </c>
      <c r="GM23" t="e">
        <f>AND(#REF!,"AAAAAB/0bMI=")</f>
        <v>#REF!</v>
      </c>
      <c r="GN23" t="e">
        <f>AND(#REF!,"AAAAAB/0bMM=")</f>
        <v>#REF!</v>
      </c>
      <c r="GO23" t="e">
        <f>AND(#REF!,"AAAAAB/0bMQ=")</f>
        <v>#REF!</v>
      </c>
      <c r="GP23" t="e">
        <f>AND(#REF!,"AAAAAB/0bMU=")</f>
        <v>#REF!</v>
      </c>
      <c r="GQ23" t="e">
        <f>AND(#REF!,"AAAAAB/0bMY=")</f>
        <v>#REF!</v>
      </c>
      <c r="GR23" t="e">
        <f>AND(#REF!,"AAAAAB/0bMc=")</f>
        <v>#REF!</v>
      </c>
      <c r="GS23" t="e">
        <f>AND(#REF!,"AAAAAB/0bMg=")</f>
        <v>#REF!</v>
      </c>
      <c r="GT23" t="e">
        <f>AND(#REF!,"AAAAAB/0bMk=")</f>
        <v>#REF!</v>
      </c>
      <c r="GU23" t="e">
        <f>AND(#REF!,"AAAAAB/0bMo=")</f>
        <v>#REF!</v>
      </c>
      <c r="GV23" t="e">
        <f>IF(#REF!,"AAAAAB/0bMs=",0)</f>
        <v>#REF!</v>
      </c>
      <c r="GW23" t="e">
        <f>AND(#REF!,"AAAAAB/0bMw=")</f>
        <v>#REF!</v>
      </c>
      <c r="GX23" t="e">
        <f>AND(#REF!,"AAAAAB/0bM0=")</f>
        <v>#REF!</v>
      </c>
      <c r="GY23" t="e">
        <f>AND(#REF!,"AAAAAB/0bM4=")</f>
        <v>#REF!</v>
      </c>
      <c r="GZ23" t="e">
        <f>AND(#REF!,"AAAAAB/0bM8=")</f>
        <v>#REF!</v>
      </c>
      <c r="HA23" t="e">
        <f>AND(#REF!,"AAAAAB/0bNA=")</f>
        <v>#REF!</v>
      </c>
      <c r="HB23" t="e">
        <f>AND(#REF!,"AAAAAB/0bNE=")</f>
        <v>#REF!</v>
      </c>
      <c r="HC23" t="e">
        <f>AND(#REF!,"AAAAAB/0bNI=")</f>
        <v>#REF!</v>
      </c>
      <c r="HD23" t="e">
        <f>AND(#REF!,"AAAAAB/0bNM=")</f>
        <v>#REF!</v>
      </c>
      <c r="HE23" t="e">
        <f>AND(#REF!,"AAAAAB/0bNQ=")</f>
        <v>#REF!</v>
      </c>
      <c r="HF23" t="e">
        <f>AND(#REF!,"AAAAAB/0bNU=")</f>
        <v>#REF!</v>
      </c>
      <c r="HG23" t="e">
        <f>IF(#REF!,"AAAAAB/0bNY=",0)</f>
        <v>#REF!</v>
      </c>
      <c r="HH23" t="e">
        <f>AND(#REF!,"AAAAAB/0bNc=")</f>
        <v>#REF!</v>
      </c>
      <c r="HI23" t="e">
        <f>AND(#REF!,"AAAAAB/0bNg=")</f>
        <v>#REF!</v>
      </c>
      <c r="HJ23" t="e">
        <f>AND(#REF!,"AAAAAB/0bNk=")</f>
        <v>#REF!</v>
      </c>
      <c r="HK23" t="e">
        <f>AND(#REF!,"AAAAAB/0bNo=")</f>
        <v>#REF!</v>
      </c>
      <c r="HL23" t="e">
        <f>AND(#REF!,"AAAAAB/0bNs=")</f>
        <v>#REF!</v>
      </c>
      <c r="HM23" t="e">
        <f>AND(#REF!,"AAAAAB/0bNw=")</f>
        <v>#REF!</v>
      </c>
      <c r="HN23" t="e">
        <f>AND(#REF!,"AAAAAB/0bN0=")</f>
        <v>#REF!</v>
      </c>
      <c r="HO23" t="e">
        <f>AND(#REF!,"AAAAAB/0bN4=")</f>
        <v>#REF!</v>
      </c>
      <c r="HP23" t="e">
        <f>AND(#REF!,"AAAAAB/0bN8=")</f>
        <v>#REF!</v>
      </c>
      <c r="HQ23" t="e">
        <f>AND(#REF!,"AAAAAB/0bOA=")</f>
        <v>#REF!</v>
      </c>
      <c r="HR23" t="e">
        <f>IF(#REF!,"AAAAAB/0bOE=",0)</f>
        <v>#REF!</v>
      </c>
      <c r="HS23" t="e">
        <f>AND(#REF!,"AAAAAB/0bOI=")</f>
        <v>#REF!</v>
      </c>
      <c r="HT23" t="e">
        <f>AND(#REF!,"AAAAAB/0bOM=")</f>
        <v>#REF!</v>
      </c>
      <c r="HU23" t="e">
        <f>AND(#REF!,"AAAAAB/0bOQ=")</f>
        <v>#REF!</v>
      </c>
      <c r="HV23" t="e">
        <f>AND(#REF!,"AAAAAB/0bOU=")</f>
        <v>#REF!</v>
      </c>
      <c r="HW23" t="e">
        <f>AND(#REF!,"AAAAAB/0bOY=")</f>
        <v>#REF!</v>
      </c>
      <c r="HX23" t="e">
        <f>AND(#REF!,"AAAAAB/0bOc=")</f>
        <v>#REF!</v>
      </c>
      <c r="HY23" t="e">
        <f>AND(#REF!,"AAAAAB/0bOg=")</f>
        <v>#REF!</v>
      </c>
      <c r="HZ23" t="e">
        <f>AND(#REF!,"AAAAAB/0bOk=")</f>
        <v>#REF!</v>
      </c>
      <c r="IA23" t="e">
        <f>AND(#REF!,"AAAAAB/0bOo=")</f>
        <v>#REF!</v>
      </c>
      <c r="IB23" t="e">
        <f>AND(#REF!,"AAAAAB/0bOs=")</f>
        <v>#REF!</v>
      </c>
      <c r="IC23" t="e">
        <f>IF(#REF!,"AAAAAB/0bOw=",0)</f>
        <v>#REF!</v>
      </c>
      <c r="ID23" t="e">
        <f>AND(#REF!,"AAAAAB/0bO0=")</f>
        <v>#REF!</v>
      </c>
      <c r="IE23" t="e">
        <f>AND(#REF!,"AAAAAB/0bO4=")</f>
        <v>#REF!</v>
      </c>
      <c r="IF23" t="e">
        <f>AND(#REF!,"AAAAAB/0bO8=")</f>
        <v>#REF!</v>
      </c>
      <c r="IG23" t="e">
        <f>AND(#REF!,"AAAAAB/0bPA=")</f>
        <v>#REF!</v>
      </c>
      <c r="IH23" t="e">
        <f>AND(#REF!,"AAAAAB/0bPE=")</f>
        <v>#REF!</v>
      </c>
      <c r="II23" t="e">
        <f>AND(#REF!,"AAAAAB/0bPI=")</f>
        <v>#REF!</v>
      </c>
      <c r="IJ23" t="e">
        <f>AND(#REF!,"AAAAAB/0bPM=")</f>
        <v>#REF!</v>
      </c>
      <c r="IK23" t="e">
        <f>AND(#REF!,"AAAAAB/0bPQ=")</f>
        <v>#REF!</v>
      </c>
      <c r="IL23" t="e">
        <f>AND(#REF!,"AAAAAB/0bPU=")</f>
        <v>#REF!</v>
      </c>
      <c r="IM23" t="e">
        <f>AND(#REF!,"AAAAAB/0bPY=")</f>
        <v>#REF!</v>
      </c>
      <c r="IN23" t="e">
        <f>IF(#REF!,"AAAAAB/0bPc=",0)</f>
        <v>#REF!</v>
      </c>
      <c r="IO23" t="e">
        <f>AND(#REF!,"AAAAAB/0bPg=")</f>
        <v>#REF!</v>
      </c>
      <c r="IP23" t="e">
        <f>AND(#REF!,"AAAAAB/0bPk=")</f>
        <v>#REF!</v>
      </c>
      <c r="IQ23" t="e">
        <f>AND(#REF!,"AAAAAB/0bPo=")</f>
        <v>#REF!</v>
      </c>
      <c r="IR23" t="e">
        <f>AND(#REF!,"AAAAAB/0bPs=")</f>
        <v>#REF!</v>
      </c>
      <c r="IS23" t="e">
        <f>AND(#REF!,"AAAAAB/0bPw=")</f>
        <v>#REF!</v>
      </c>
      <c r="IT23" t="e">
        <f>AND(#REF!,"AAAAAB/0bP0=")</f>
        <v>#REF!</v>
      </c>
      <c r="IU23" t="e">
        <f>AND(#REF!,"AAAAAB/0bP4=")</f>
        <v>#REF!</v>
      </c>
      <c r="IV23" t="e">
        <f>AND(#REF!,"AAAAAB/0bP8=")</f>
        <v>#REF!</v>
      </c>
    </row>
    <row r="24" spans="1:256" x14ac:dyDescent="0.25">
      <c r="A24" t="e">
        <f>AND(#REF!,"AAAAADP76wA=")</f>
        <v>#REF!</v>
      </c>
      <c r="B24" t="e">
        <f>AND(#REF!,"AAAAADP76wE=")</f>
        <v>#REF!</v>
      </c>
      <c r="C24" t="e">
        <f>IF(#REF!,"AAAAADP76wI=",0)</f>
        <v>#REF!</v>
      </c>
      <c r="D24" t="e">
        <f>AND(#REF!,"AAAAADP76wM=")</f>
        <v>#REF!</v>
      </c>
      <c r="E24" t="e">
        <f>AND(#REF!,"AAAAADP76wQ=")</f>
        <v>#REF!</v>
      </c>
      <c r="F24" t="e">
        <f>AND(#REF!,"AAAAADP76wU=")</f>
        <v>#REF!</v>
      </c>
      <c r="G24" t="e">
        <f>AND(#REF!,"AAAAADP76wY=")</f>
        <v>#REF!</v>
      </c>
      <c r="H24" t="e">
        <f>AND(#REF!,"AAAAADP76wc=")</f>
        <v>#REF!</v>
      </c>
      <c r="I24" t="e">
        <f>AND(#REF!,"AAAAADP76wg=")</f>
        <v>#REF!</v>
      </c>
      <c r="J24" t="e">
        <f>AND(#REF!,"AAAAADP76wk=")</f>
        <v>#REF!</v>
      </c>
      <c r="K24" t="e">
        <f>AND(#REF!,"AAAAADP76wo=")</f>
        <v>#REF!</v>
      </c>
      <c r="L24" t="e">
        <f>AND(#REF!,"AAAAADP76ws=")</f>
        <v>#REF!</v>
      </c>
      <c r="M24" t="e">
        <f>AND(#REF!,"AAAAADP76ww=")</f>
        <v>#REF!</v>
      </c>
      <c r="N24" t="e">
        <f>IF(#REF!,"AAAAADP76w0=",0)</f>
        <v>#REF!</v>
      </c>
      <c r="O24" t="e">
        <f>AND(#REF!,"AAAAADP76w4=")</f>
        <v>#REF!</v>
      </c>
      <c r="P24" t="e">
        <f>AND(#REF!,"AAAAADP76w8=")</f>
        <v>#REF!</v>
      </c>
      <c r="Q24" t="e">
        <f>AND(#REF!,"AAAAADP76xA=")</f>
        <v>#REF!</v>
      </c>
      <c r="R24" t="e">
        <f>AND(#REF!,"AAAAADP76xE=")</f>
        <v>#REF!</v>
      </c>
      <c r="S24" t="e">
        <f>AND(#REF!,"AAAAADP76xI=")</f>
        <v>#REF!</v>
      </c>
      <c r="T24" t="e">
        <f>AND(#REF!,"AAAAADP76xM=")</f>
        <v>#REF!</v>
      </c>
      <c r="U24" t="e">
        <f>AND(#REF!,"AAAAADP76xQ=")</f>
        <v>#REF!</v>
      </c>
      <c r="V24" t="e">
        <f>AND(#REF!,"AAAAADP76xU=")</f>
        <v>#REF!</v>
      </c>
      <c r="W24" t="e">
        <f>AND(#REF!,"AAAAADP76xY=")</f>
        <v>#REF!</v>
      </c>
      <c r="X24" t="e">
        <f>AND(#REF!,"AAAAADP76xc=")</f>
        <v>#REF!</v>
      </c>
      <c r="Y24" t="e">
        <f>IF(#REF!,"AAAAADP76xg=",0)</f>
        <v>#REF!</v>
      </c>
      <c r="Z24" t="e">
        <f>AND(#REF!,"AAAAADP76xk=")</f>
        <v>#REF!</v>
      </c>
      <c r="AA24" t="e">
        <f>AND(#REF!,"AAAAADP76xo=")</f>
        <v>#REF!</v>
      </c>
      <c r="AB24" t="e">
        <f>AND(#REF!,"AAAAADP76xs=")</f>
        <v>#REF!</v>
      </c>
      <c r="AC24" t="e">
        <f>AND(#REF!,"AAAAADP76xw=")</f>
        <v>#REF!</v>
      </c>
      <c r="AD24" t="e">
        <f>AND(#REF!,"AAAAADP76x0=")</f>
        <v>#REF!</v>
      </c>
      <c r="AE24" t="e">
        <f>AND(#REF!,"AAAAADP76x4=")</f>
        <v>#REF!</v>
      </c>
      <c r="AF24" t="e">
        <f>AND(#REF!,"AAAAADP76x8=")</f>
        <v>#REF!</v>
      </c>
      <c r="AG24" t="e">
        <f>AND(#REF!,"AAAAADP76yA=")</f>
        <v>#REF!</v>
      </c>
      <c r="AH24" t="e">
        <f>AND(#REF!,"AAAAADP76yE=")</f>
        <v>#REF!</v>
      </c>
      <c r="AI24" t="e">
        <f>AND(#REF!,"AAAAADP76yI=")</f>
        <v>#REF!</v>
      </c>
      <c r="AJ24" t="e">
        <f>IF(#REF!,"AAAAADP76yM=",0)</f>
        <v>#REF!</v>
      </c>
      <c r="AK24" t="e">
        <f>AND(#REF!,"AAAAADP76yQ=")</f>
        <v>#REF!</v>
      </c>
      <c r="AL24" t="e">
        <f>AND(#REF!,"AAAAADP76yU=")</f>
        <v>#REF!</v>
      </c>
      <c r="AM24" t="e">
        <f>AND(#REF!,"AAAAADP76yY=")</f>
        <v>#REF!</v>
      </c>
      <c r="AN24" t="e">
        <f>AND(#REF!,"AAAAADP76yc=")</f>
        <v>#REF!</v>
      </c>
      <c r="AO24" t="e">
        <f>AND(#REF!,"AAAAADP76yg=")</f>
        <v>#REF!</v>
      </c>
      <c r="AP24" t="e">
        <f>AND(#REF!,"AAAAADP76yk=")</f>
        <v>#REF!</v>
      </c>
      <c r="AQ24" t="e">
        <f>AND(#REF!,"AAAAADP76yo=")</f>
        <v>#REF!</v>
      </c>
      <c r="AR24" t="e">
        <f>AND(#REF!,"AAAAADP76ys=")</f>
        <v>#REF!</v>
      </c>
      <c r="AS24" t="e">
        <f>AND(#REF!,"AAAAADP76yw=")</f>
        <v>#REF!</v>
      </c>
      <c r="AT24" t="e">
        <f>AND(#REF!,"AAAAADP76y0=")</f>
        <v>#REF!</v>
      </c>
      <c r="AU24" t="e">
        <f>IF(#REF!,"AAAAADP76y4=",0)</f>
        <v>#REF!</v>
      </c>
      <c r="AV24" t="e">
        <f>AND(#REF!,"AAAAADP76y8=")</f>
        <v>#REF!</v>
      </c>
      <c r="AW24" t="e">
        <f>AND(#REF!,"AAAAADP76zA=")</f>
        <v>#REF!</v>
      </c>
      <c r="AX24" t="e">
        <f>AND(#REF!,"AAAAADP76zE=")</f>
        <v>#REF!</v>
      </c>
      <c r="AY24" t="e">
        <f>AND(#REF!,"AAAAADP76zI=")</f>
        <v>#REF!</v>
      </c>
      <c r="AZ24" t="e">
        <f>AND(#REF!,"AAAAADP76zM=")</f>
        <v>#REF!</v>
      </c>
      <c r="BA24" t="e">
        <f>AND(#REF!,"AAAAADP76zQ=")</f>
        <v>#REF!</v>
      </c>
      <c r="BB24" t="e">
        <f>AND(#REF!,"AAAAADP76zU=")</f>
        <v>#REF!</v>
      </c>
      <c r="BC24" t="e">
        <f>AND(#REF!,"AAAAADP76zY=")</f>
        <v>#REF!</v>
      </c>
      <c r="BD24" t="e">
        <f>AND(#REF!,"AAAAADP76zc=")</f>
        <v>#REF!</v>
      </c>
      <c r="BE24" t="e">
        <f>AND(#REF!,"AAAAADP76zg=")</f>
        <v>#REF!</v>
      </c>
      <c r="BF24" t="e">
        <f>IF(#REF!,"AAAAADP76zk=",0)</f>
        <v>#REF!</v>
      </c>
      <c r="BG24" t="e">
        <f>AND(#REF!,"AAAAADP76zo=")</f>
        <v>#REF!</v>
      </c>
      <c r="BH24" t="e">
        <f>AND(#REF!,"AAAAADP76zs=")</f>
        <v>#REF!</v>
      </c>
      <c r="BI24" t="e">
        <f>AND(#REF!,"AAAAADP76zw=")</f>
        <v>#REF!</v>
      </c>
      <c r="BJ24" t="e">
        <f>AND(#REF!,"AAAAADP76z0=")</f>
        <v>#REF!</v>
      </c>
      <c r="BK24" t="e">
        <f>AND(#REF!,"AAAAADP76z4=")</f>
        <v>#REF!</v>
      </c>
      <c r="BL24" t="e">
        <f>AND(#REF!,"AAAAADP76z8=")</f>
        <v>#REF!</v>
      </c>
      <c r="BM24" t="e">
        <f>AND(#REF!,"AAAAADP760A=")</f>
        <v>#REF!</v>
      </c>
      <c r="BN24" t="e">
        <f>AND(#REF!,"AAAAADP760E=")</f>
        <v>#REF!</v>
      </c>
      <c r="BO24" t="e">
        <f>AND(#REF!,"AAAAADP760I=")</f>
        <v>#REF!</v>
      </c>
      <c r="BP24" t="e">
        <f>AND(#REF!,"AAAAADP760M=")</f>
        <v>#REF!</v>
      </c>
      <c r="BQ24" t="e">
        <f>IF(#REF!,"AAAAADP760Q=",0)</f>
        <v>#REF!</v>
      </c>
      <c r="BR24" t="e">
        <f>AND(#REF!,"AAAAADP760U=")</f>
        <v>#REF!</v>
      </c>
      <c r="BS24" t="e">
        <f>AND(#REF!,"AAAAADP760Y=")</f>
        <v>#REF!</v>
      </c>
      <c r="BT24" t="e">
        <f>AND(#REF!,"AAAAADP760c=")</f>
        <v>#REF!</v>
      </c>
      <c r="BU24" t="e">
        <f>AND(#REF!,"AAAAADP760g=")</f>
        <v>#REF!</v>
      </c>
      <c r="BV24" t="e">
        <f>AND(#REF!,"AAAAADP760k=")</f>
        <v>#REF!</v>
      </c>
      <c r="BW24" t="e">
        <f>AND(#REF!,"AAAAADP760o=")</f>
        <v>#REF!</v>
      </c>
      <c r="BX24" t="e">
        <f>AND(#REF!,"AAAAADP760s=")</f>
        <v>#REF!</v>
      </c>
      <c r="BY24" t="e">
        <f>AND(#REF!,"AAAAADP760w=")</f>
        <v>#REF!</v>
      </c>
      <c r="BZ24" t="e">
        <f>AND(#REF!,"AAAAADP7600=")</f>
        <v>#REF!</v>
      </c>
      <c r="CA24" t="e">
        <f>AND(#REF!,"AAAAADP7604=")</f>
        <v>#REF!</v>
      </c>
      <c r="CB24" t="e">
        <f>IF(#REF!,"AAAAADP7608=",0)</f>
        <v>#REF!</v>
      </c>
      <c r="CC24" t="e">
        <f>AND(#REF!,"AAAAADP761A=")</f>
        <v>#REF!</v>
      </c>
      <c r="CD24" t="e">
        <f>AND(#REF!,"AAAAADP761E=")</f>
        <v>#REF!</v>
      </c>
      <c r="CE24" t="e">
        <f>AND(#REF!,"AAAAADP761I=")</f>
        <v>#REF!</v>
      </c>
      <c r="CF24" t="e">
        <f>AND(#REF!,"AAAAADP761M=")</f>
        <v>#REF!</v>
      </c>
      <c r="CG24" t="e">
        <f>AND(#REF!,"AAAAADP761Q=")</f>
        <v>#REF!</v>
      </c>
      <c r="CH24" t="e">
        <f>AND(#REF!,"AAAAADP761U=")</f>
        <v>#REF!</v>
      </c>
      <c r="CI24" t="e">
        <f>AND(#REF!,"AAAAADP761Y=")</f>
        <v>#REF!</v>
      </c>
      <c r="CJ24" t="e">
        <f>AND(#REF!,"AAAAADP761c=")</f>
        <v>#REF!</v>
      </c>
      <c r="CK24" t="e">
        <f>AND(#REF!,"AAAAADP761g=")</f>
        <v>#REF!</v>
      </c>
      <c r="CL24" t="e">
        <f>AND(#REF!,"AAAAADP761k=")</f>
        <v>#REF!</v>
      </c>
      <c r="CM24" t="e">
        <f>IF(#REF!,"AAAAADP761o=",0)</f>
        <v>#REF!</v>
      </c>
      <c r="CN24" t="e">
        <f>AND(#REF!,"AAAAADP761s=")</f>
        <v>#REF!</v>
      </c>
      <c r="CO24" t="e">
        <f>AND(#REF!,"AAAAADP761w=")</f>
        <v>#REF!</v>
      </c>
      <c r="CP24" t="e">
        <f>AND(#REF!,"AAAAADP7610=")</f>
        <v>#REF!</v>
      </c>
      <c r="CQ24" t="e">
        <f>AND(#REF!,"AAAAADP7614=")</f>
        <v>#REF!</v>
      </c>
      <c r="CR24" t="e">
        <f>AND(#REF!,"AAAAADP7618=")</f>
        <v>#REF!</v>
      </c>
      <c r="CS24" t="e">
        <f>AND(#REF!,"AAAAADP762A=")</f>
        <v>#REF!</v>
      </c>
      <c r="CT24" t="e">
        <f>AND(#REF!,"AAAAADP762E=")</f>
        <v>#REF!</v>
      </c>
      <c r="CU24" t="e">
        <f>AND(#REF!,"AAAAADP762I=")</f>
        <v>#REF!</v>
      </c>
      <c r="CV24" t="e">
        <f>AND(#REF!,"AAAAADP762M=")</f>
        <v>#REF!</v>
      </c>
      <c r="CW24" t="e">
        <f>AND(#REF!,"AAAAADP762Q=")</f>
        <v>#REF!</v>
      </c>
      <c r="CX24" t="e">
        <f>IF(#REF!,"AAAAADP762U=",0)</f>
        <v>#REF!</v>
      </c>
      <c r="CY24" t="e">
        <f>AND(#REF!,"AAAAADP762Y=")</f>
        <v>#REF!</v>
      </c>
      <c r="CZ24" t="e">
        <f>AND(#REF!,"AAAAADP762c=")</f>
        <v>#REF!</v>
      </c>
      <c r="DA24" t="e">
        <f>AND(#REF!,"AAAAADP762g=")</f>
        <v>#REF!</v>
      </c>
      <c r="DB24" t="e">
        <f>AND(#REF!,"AAAAADP762k=")</f>
        <v>#REF!</v>
      </c>
      <c r="DC24" t="e">
        <f>AND(#REF!,"AAAAADP762o=")</f>
        <v>#REF!</v>
      </c>
      <c r="DD24" t="e">
        <f>AND(#REF!,"AAAAADP762s=")</f>
        <v>#REF!</v>
      </c>
      <c r="DE24" t="e">
        <f>AND(#REF!,"AAAAADP762w=")</f>
        <v>#REF!</v>
      </c>
      <c r="DF24" t="e">
        <f>AND(#REF!,"AAAAADP7620=")</f>
        <v>#REF!</v>
      </c>
      <c r="DG24" t="e">
        <f>AND(#REF!,"AAAAADP7624=")</f>
        <v>#REF!</v>
      </c>
      <c r="DH24" t="e">
        <f>AND(#REF!,"AAAAADP7628=")</f>
        <v>#REF!</v>
      </c>
      <c r="DI24" t="e">
        <f>IF(#REF!,"AAAAADP763A=",0)</f>
        <v>#REF!</v>
      </c>
      <c r="DJ24" t="e">
        <f>AND(#REF!,"AAAAADP763E=")</f>
        <v>#REF!</v>
      </c>
      <c r="DK24" t="e">
        <f>AND(#REF!,"AAAAADP763I=")</f>
        <v>#REF!</v>
      </c>
      <c r="DL24" t="e">
        <f>AND(#REF!,"AAAAADP763M=")</f>
        <v>#REF!</v>
      </c>
      <c r="DM24" t="e">
        <f>AND(#REF!,"AAAAADP763Q=")</f>
        <v>#REF!</v>
      </c>
      <c r="DN24" t="e">
        <f>AND(#REF!,"AAAAADP763U=")</f>
        <v>#REF!</v>
      </c>
      <c r="DO24" t="e">
        <f>AND(#REF!,"AAAAADP763Y=")</f>
        <v>#REF!</v>
      </c>
      <c r="DP24" t="e">
        <f>AND(#REF!,"AAAAADP763c=")</f>
        <v>#REF!</v>
      </c>
      <c r="DQ24" t="e">
        <f>AND(#REF!,"AAAAADP763g=")</f>
        <v>#REF!</v>
      </c>
      <c r="DR24" t="e">
        <f>AND(#REF!,"AAAAADP763k=")</f>
        <v>#REF!</v>
      </c>
      <c r="DS24" t="e">
        <f>AND(#REF!,"AAAAADP763o=")</f>
        <v>#REF!</v>
      </c>
      <c r="DT24" t="e">
        <f>IF(#REF!,"AAAAADP763s=",0)</f>
        <v>#REF!</v>
      </c>
      <c r="DU24" t="e">
        <f>AND(#REF!,"AAAAADP763w=")</f>
        <v>#REF!</v>
      </c>
      <c r="DV24" t="e">
        <f>AND(#REF!,"AAAAADP7630=")</f>
        <v>#REF!</v>
      </c>
      <c r="DW24" t="e">
        <f>AND(#REF!,"AAAAADP7634=")</f>
        <v>#REF!</v>
      </c>
      <c r="DX24" t="e">
        <f>AND(#REF!,"AAAAADP7638=")</f>
        <v>#REF!</v>
      </c>
      <c r="DY24" t="e">
        <f>AND(#REF!,"AAAAADP764A=")</f>
        <v>#REF!</v>
      </c>
      <c r="DZ24" t="e">
        <f>AND(#REF!,"AAAAADP764E=")</f>
        <v>#REF!</v>
      </c>
      <c r="EA24" t="e">
        <f>AND(#REF!,"AAAAADP764I=")</f>
        <v>#REF!</v>
      </c>
      <c r="EB24" t="e">
        <f>AND(#REF!,"AAAAADP764M=")</f>
        <v>#REF!</v>
      </c>
      <c r="EC24" t="e">
        <f>AND(#REF!,"AAAAADP764Q=")</f>
        <v>#REF!</v>
      </c>
      <c r="ED24" t="e">
        <f>AND(#REF!,"AAAAADP764U=")</f>
        <v>#REF!</v>
      </c>
      <c r="EE24" t="e">
        <f>IF(#REF!,"AAAAADP764Y=",0)</f>
        <v>#REF!</v>
      </c>
      <c r="EF24" t="e">
        <f>AND(#REF!,"AAAAADP764c=")</f>
        <v>#REF!</v>
      </c>
      <c r="EG24" t="e">
        <f>AND(#REF!,"AAAAADP764g=")</f>
        <v>#REF!</v>
      </c>
      <c r="EH24" t="e">
        <f>AND(#REF!,"AAAAADP764k=")</f>
        <v>#REF!</v>
      </c>
      <c r="EI24" t="e">
        <f>AND(#REF!,"AAAAADP764o=")</f>
        <v>#REF!</v>
      </c>
      <c r="EJ24" t="e">
        <f>AND(#REF!,"AAAAADP764s=")</f>
        <v>#REF!</v>
      </c>
      <c r="EK24" t="e">
        <f>AND(#REF!,"AAAAADP764w=")</f>
        <v>#REF!</v>
      </c>
      <c r="EL24" t="e">
        <f>AND(#REF!,"AAAAADP7640=")</f>
        <v>#REF!</v>
      </c>
      <c r="EM24" t="e">
        <f>AND(#REF!,"AAAAADP7644=")</f>
        <v>#REF!</v>
      </c>
      <c r="EN24" t="e">
        <f>AND(#REF!,"AAAAADP7648=")</f>
        <v>#REF!</v>
      </c>
      <c r="EO24" t="e">
        <f>AND(#REF!,"AAAAADP765A=")</f>
        <v>#REF!</v>
      </c>
      <c r="EP24" t="e">
        <f>IF(#REF!,"AAAAADP765E=",0)</f>
        <v>#REF!</v>
      </c>
      <c r="EQ24" t="e">
        <f>AND(#REF!,"AAAAADP765I=")</f>
        <v>#REF!</v>
      </c>
      <c r="ER24" t="e">
        <f>AND(#REF!,"AAAAADP765M=")</f>
        <v>#REF!</v>
      </c>
      <c r="ES24" t="e">
        <f>AND(#REF!,"AAAAADP765Q=")</f>
        <v>#REF!</v>
      </c>
      <c r="ET24" t="e">
        <f>AND(#REF!,"AAAAADP765U=")</f>
        <v>#REF!</v>
      </c>
      <c r="EU24" t="e">
        <f>AND(#REF!,"AAAAADP765Y=")</f>
        <v>#REF!</v>
      </c>
      <c r="EV24" t="e">
        <f>AND(#REF!,"AAAAADP765c=")</f>
        <v>#REF!</v>
      </c>
      <c r="EW24" t="e">
        <f>AND(#REF!,"AAAAADP765g=")</f>
        <v>#REF!</v>
      </c>
      <c r="EX24" t="e">
        <f>AND(#REF!,"AAAAADP765k=")</f>
        <v>#REF!</v>
      </c>
      <c r="EY24" t="e">
        <f>AND(#REF!,"AAAAADP765o=")</f>
        <v>#REF!</v>
      </c>
      <c r="EZ24" t="e">
        <f>AND(#REF!,"AAAAADP765s=")</f>
        <v>#REF!</v>
      </c>
      <c r="FA24" t="e">
        <f>IF(#REF!,"AAAAADP765w=",0)</f>
        <v>#REF!</v>
      </c>
      <c r="FB24" t="e">
        <f>AND(#REF!,"AAAAADP7650=")</f>
        <v>#REF!</v>
      </c>
      <c r="FC24" t="e">
        <f>AND(#REF!,"AAAAADP7654=")</f>
        <v>#REF!</v>
      </c>
      <c r="FD24" t="e">
        <f>AND(#REF!,"AAAAADP7658=")</f>
        <v>#REF!</v>
      </c>
      <c r="FE24" t="e">
        <f>AND(#REF!,"AAAAADP766A=")</f>
        <v>#REF!</v>
      </c>
      <c r="FF24" t="e">
        <f>AND(#REF!,"AAAAADP766E=")</f>
        <v>#REF!</v>
      </c>
      <c r="FG24" t="e">
        <f>AND(#REF!,"AAAAADP766I=")</f>
        <v>#REF!</v>
      </c>
      <c r="FH24" t="e">
        <f>AND(#REF!,"AAAAADP766M=")</f>
        <v>#REF!</v>
      </c>
      <c r="FI24" t="e">
        <f>AND(#REF!,"AAAAADP766Q=")</f>
        <v>#REF!</v>
      </c>
      <c r="FJ24" t="e">
        <f>AND(#REF!,"AAAAADP766U=")</f>
        <v>#REF!</v>
      </c>
      <c r="FK24" t="e">
        <f>AND(#REF!,"AAAAADP766Y=")</f>
        <v>#REF!</v>
      </c>
      <c r="FL24" t="e">
        <f>IF(#REF!,"AAAAADP766c=",0)</f>
        <v>#REF!</v>
      </c>
      <c r="FM24" t="e">
        <f>AND(#REF!,"AAAAADP766g=")</f>
        <v>#REF!</v>
      </c>
      <c r="FN24" t="e">
        <f>AND(#REF!,"AAAAADP766k=")</f>
        <v>#REF!</v>
      </c>
      <c r="FO24" t="e">
        <f>AND(#REF!,"AAAAADP766o=")</f>
        <v>#REF!</v>
      </c>
      <c r="FP24" t="e">
        <f>AND(#REF!,"AAAAADP766s=")</f>
        <v>#REF!</v>
      </c>
      <c r="FQ24" t="e">
        <f>AND(#REF!,"AAAAADP766w=")</f>
        <v>#REF!</v>
      </c>
      <c r="FR24" t="e">
        <f>AND(#REF!,"AAAAADP7660=")</f>
        <v>#REF!</v>
      </c>
      <c r="FS24" t="e">
        <f>AND(#REF!,"AAAAADP7664=")</f>
        <v>#REF!</v>
      </c>
      <c r="FT24" t="e">
        <f>AND(#REF!,"AAAAADP7668=")</f>
        <v>#REF!</v>
      </c>
      <c r="FU24" t="e">
        <f>AND(#REF!,"AAAAADP767A=")</f>
        <v>#REF!</v>
      </c>
      <c r="FV24" t="e">
        <f>AND(#REF!,"AAAAADP767E=")</f>
        <v>#REF!</v>
      </c>
      <c r="FW24" t="e">
        <f>IF(#REF!,"AAAAADP767I=",0)</f>
        <v>#REF!</v>
      </c>
      <c r="FX24" t="e">
        <f>AND(#REF!,"AAAAADP767M=")</f>
        <v>#REF!</v>
      </c>
      <c r="FY24" t="e">
        <f>AND(#REF!,"AAAAADP767Q=")</f>
        <v>#REF!</v>
      </c>
      <c r="FZ24" t="e">
        <f>AND(#REF!,"AAAAADP767U=")</f>
        <v>#REF!</v>
      </c>
      <c r="GA24" t="e">
        <f>AND(#REF!,"AAAAADP767Y=")</f>
        <v>#REF!</v>
      </c>
      <c r="GB24" t="e">
        <f>AND(#REF!,"AAAAADP767c=")</f>
        <v>#REF!</v>
      </c>
      <c r="GC24" t="e">
        <f>AND(#REF!,"AAAAADP767g=")</f>
        <v>#REF!</v>
      </c>
      <c r="GD24" t="e">
        <f>AND(#REF!,"AAAAADP767k=")</f>
        <v>#REF!</v>
      </c>
      <c r="GE24" t="e">
        <f>AND(#REF!,"AAAAADP767o=")</f>
        <v>#REF!</v>
      </c>
      <c r="GF24" t="e">
        <f>AND(#REF!,"AAAAADP767s=")</f>
        <v>#REF!</v>
      </c>
      <c r="GG24" t="e">
        <f>AND(#REF!,"AAAAADP767w=")</f>
        <v>#REF!</v>
      </c>
      <c r="GH24" t="e">
        <f>IF(#REF!,"AAAAADP7670=",0)</f>
        <v>#REF!</v>
      </c>
      <c r="GI24" t="e">
        <f>AND(#REF!,"AAAAADP7674=")</f>
        <v>#REF!</v>
      </c>
      <c r="GJ24" t="e">
        <f>AND(#REF!,"AAAAADP7678=")</f>
        <v>#REF!</v>
      </c>
      <c r="GK24" t="e">
        <f>AND(#REF!,"AAAAADP768A=")</f>
        <v>#REF!</v>
      </c>
      <c r="GL24" t="e">
        <f>AND(#REF!,"AAAAADP768E=")</f>
        <v>#REF!</v>
      </c>
      <c r="GM24" t="e">
        <f>AND(#REF!,"AAAAADP768I=")</f>
        <v>#REF!</v>
      </c>
      <c r="GN24" t="e">
        <f>AND(#REF!,"AAAAADP768M=")</f>
        <v>#REF!</v>
      </c>
      <c r="GO24" t="e">
        <f>AND(#REF!,"AAAAADP768Q=")</f>
        <v>#REF!</v>
      </c>
      <c r="GP24" t="e">
        <f>AND(#REF!,"AAAAADP768U=")</f>
        <v>#REF!</v>
      </c>
      <c r="GQ24" t="e">
        <f>AND(#REF!,"AAAAADP768Y=")</f>
        <v>#REF!</v>
      </c>
      <c r="GR24" t="e">
        <f>AND(#REF!,"AAAAADP768c=")</f>
        <v>#REF!</v>
      </c>
      <c r="GS24" t="e">
        <f>IF(#REF!,"AAAAADP768g=",0)</f>
        <v>#REF!</v>
      </c>
      <c r="GT24" t="e">
        <f>AND(#REF!,"AAAAADP768k=")</f>
        <v>#REF!</v>
      </c>
      <c r="GU24" t="e">
        <f>AND(#REF!,"AAAAADP768o=")</f>
        <v>#REF!</v>
      </c>
      <c r="GV24" t="e">
        <f>AND(#REF!,"AAAAADP768s=")</f>
        <v>#REF!</v>
      </c>
      <c r="GW24" t="e">
        <f>AND(#REF!,"AAAAADP768w=")</f>
        <v>#REF!</v>
      </c>
      <c r="GX24" t="e">
        <f>AND(#REF!,"AAAAADP7680=")</f>
        <v>#REF!</v>
      </c>
      <c r="GY24" t="e">
        <f>AND(#REF!,"AAAAADP7684=")</f>
        <v>#REF!</v>
      </c>
      <c r="GZ24" t="e">
        <f>AND(#REF!,"AAAAADP7688=")</f>
        <v>#REF!</v>
      </c>
      <c r="HA24" t="e">
        <f>AND(#REF!,"AAAAADP769A=")</f>
        <v>#REF!</v>
      </c>
      <c r="HB24" t="e">
        <f>AND(#REF!,"AAAAADP769E=")</f>
        <v>#REF!</v>
      </c>
      <c r="HC24" t="e">
        <f>AND(#REF!,"AAAAADP769I=")</f>
        <v>#REF!</v>
      </c>
      <c r="HD24" t="e">
        <f>IF(#REF!,"AAAAADP769M=",0)</f>
        <v>#REF!</v>
      </c>
      <c r="HE24" t="e">
        <f>AND(#REF!,"AAAAADP769Q=")</f>
        <v>#REF!</v>
      </c>
      <c r="HF24" t="e">
        <f>AND(#REF!,"AAAAADP769U=")</f>
        <v>#REF!</v>
      </c>
      <c r="HG24" t="e">
        <f>AND(#REF!,"AAAAADP769Y=")</f>
        <v>#REF!</v>
      </c>
      <c r="HH24" t="e">
        <f>AND(#REF!,"AAAAADP769c=")</f>
        <v>#REF!</v>
      </c>
      <c r="HI24" t="e">
        <f>AND(#REF!,"AAAAADP769g=")</f>
        <v>#REF!</v>
      </c>
      <c r="HJ24" t="e">
        <f>AND(#REF!,"AAAAADP769k=")</f>
        <v>#REF!</v>
      </c>
      <c r="HK24" t="e">
        <f>AND(#REF!,"AAAAADP769o=")</f>
        <v>#REF!</v>
      </c>
      <c r="HL24" t="e">
        <f>AND(#REF!,"AAAAADP769s=")</f>
        <v>#REF!</v>
      </c>
      <c r="HM24" t="e">
        <f>AND(#REF!,"AAAAADP769w=")</f>
        <v>#REF!</v>
      </c>
      <c r="HN24" t="e">
        <f>AND(#REF!,"AAAAADP7690=")</f>
        <v>#REF!</v>
      </c>
      <c r="HO24" t="e">
        <f>IF(#REF!,"AAAAADP7694=",0)</f>
        <v>#REF!</v>
      </c>
      <c r="HP24" t="e">
        <f>AND(#REF!,"AAAAADP7698=")</f>
        <v>#REF!</v>
      </c>
      <c r="HQ24" t="e">
        <f>AND(#REF!,"AAAAADP76+A=")</f>
        <v>#REF!</v>
      </c>
      <c r="HR24" t="e">
        <f>AND(#REF!,"AAAAADP76+E=")</f>
        <v>#REF!</v>
      </c>
      <c r="HS24" t="e">
        <f>AND(#REF!,"AAAAADP76+I=")</f>
        <v>#REF!</v>
      </c>
      <c r="HT24" t="e">
        <f>AND(#REF!,"AAAAADP76+M=")</f>
        <v>#REF!</v>
      </c>
      <c r="HU24" t="e">
        <f>AND(#REF!,"AAAAADP76+Q=")</f>
        <v>#REF!</v>
      </c>
      <c r="HV24" t="e">
        <f>AND(#REF!,"AAAAADP76+U=")</f>
        <v>#REF!</v>
      </c>
      <c r="HW24" t="e">
        <f>AND(#REF!,"AAAAADP76+Y=")</f>
        <v>#REF!</v>
      </c>
      <c r="HX24" t="e">
        <f>AND(#REF!,"AAAAADP76+c=")</f>
        <v>#REF!</v>
      </c>
      <c r="HY24" t="e">
        <f>AND(#REF!,"AAAAADP76+g=")</f>
        <v>#REF!</v>
      </c>
      <c r="HZ24" t="e">
        <f>IF(#REF!,"AAAAADP76+k=",0)</f>
        <v>#REF!</v>
      </c>
      <c r="IA24" t="e">
        <f>AND(#REF!,"AAAAADP76+o=")</f>
        <v>#REF!</v>
      </c>
      <c r="IB24" t="e">
        <f>AND(#REF!,"AAAAADP76+s=")</f>
        <v>#REF!</v>
      </c>
      <c r="IC24" t="e">
        <f>AND(#REF!,"AAAAADP76+w=")</f>
        <v>#REF!</v>
      </c>
      <c r="ID24" t="e">
        <f>AND(#REF!,"AAAAADP76+0=")</f>
        <v>#REF!</v>
      </c>
      <c r="IE24" t="e">
        <f>AND(#REF!,"AAAAADP76+4=")</f>
        <v>#REF!</v>
      </c>
      <c r="IF24" t="e">
        <f>AND(#REF!,"AAAAADP76+8=")</f>
        <v>#REF!</v>
      </c>
      <c r="IG24" t="e">
        <f>AND(#REF!,"AAAAADP76/A=")</f>
        <v>#REF!</v>
      </c>
      <c r="IH24" t="e">
        <f>AND(#REF!,"AAAAADP76/E=")</f>
        <v>#REF!</v>
      </c>
      <c r="II24" t="e">
        <f>AND(#REF!,"AAAAADP76/I=")</f>
        <v>#REF!</v>
      </c>
      <c r="IJ24" t="e">
        <f>AND(#REF!,"AAAAADP76/M=")</f>
        <v>#REF!</v>
      </c>
      <c r="IK24" t="e">
        <f>IF(#REF!,"AAAAADP76/Q=",0)</f>
        <v>#REF!</v>
      </c>
      <c r="IL24" t="e">
        <f>AND(#REF!,"AAAAADP76/U=")</f>
        <v>#REF!</v>
      </c>
      <c r="IM24" t="e">
        <f>AND(#REF!,"AAAAADP76/Y=")</f>
        <v>#REF!</v>
      </c>
      <c r="IN24" t="e">
        <f>AND(#REF!,"AAAAADP76/c=")</f>
        <v>#REF!</v>
      </c>
      <c r="IO24" t="e">
        <f>AND(#REF!,"AAAAADP76/g=")</f>
        <v>#REF!</v>
      </c>
      <c r="IP24" t="e">
        <f>AND(#REF!,"AAAAADP76/k=")</f>
        <v>#REF!</v>
      </c>
      <c r="IQ24" t="e">
        <f>AND(#REF!,"AAAAADP76/o=")</f>
        <v>#REF!</v>
      </c>
      <c r="IR24" t="e">
        <f>AND(#REF!,"AAAAADP76/s=")</f>
        <v>#REF!</v>
      </c>
      <c r="IS24" t="e">
        <f>AND(#REF!,"AAAAADP76/w=")</f>
        <v>#REF!</v>
      </c>
      <c r="IT24" t="e">
        <f>AND(#REF!,"AAAAADP76/0=")</f>
        <v>#REF!</v>
      </c>
      <c r="IU24" t="e">
        <f>AND(#REF!,"AAAAADP76/4=")</f>
        <v>#REF!</v>
      </c>
      <c r="IV24" t="e">
        <f>IF(#REF!,"AAAAADP76/8=",0)</f>
        <v>#REF!</v>
      </c>
    </row>
    <row r="25" spans="1:256" x14ac:dyDescent="0.25">
      <c r="A25" t="e">
        <f>AND(#REF!,"AAAAAHnW7wA=")</f>
        <v>#REF!</v>
      </c>
      <c r="B25" t="e">
        <f>AND(#REF!,"AAAAAHnW7wE=")</f>
        <v>#REF!</v>
      </c>
      <c r="C25" t="e">
        <f>AND(#REF!,"AAAAAHnW7wI=")</f>
        <v>#REF!</v>
      </c>
      <c r="D25" t="e">
        <f>AND(#REF!,"AAAAAHnW7wM=")</f>
        <v>#REF!</v>
      </c>
      <c r="E25" t="e">
        <f>AND(#REF!,"AAAAAHnW7wQ=")</f>
        <v>#REF!</v>
      </c>
      <c r="F25" t="e">
        <f>AND(#REF!,"AAAAAHnW7wU=")</f>
        <v>#REF!</v>
      </c>
      <c r="G25" t="e">
        <f>AND(#REF!,"AAAAAHnW7wY=")</f>
        <v>#REF!</v>
      </c>
      <c r="H25" t="e">
        <f>AND(#REF!,"AAAAAHnW7wc=")</f>
        <v>#REF!</v>
      </c>
      <c r="I25" t="e">
        <f>AND(#REF!,"AAAAAHnW7wg=")</f>
        <v>#REF!</v>
      </c>
      <c r="J25" t="e">
        <f>AND(#REF!,"AAAAAHnW7wk=")</f>
        <v>#REF!</v>
      </c>
      <c r="K25" t="e">
        <f>IF(#REF!,"AAAAAHnW7wo=",0)</f>
        <v>#REF!</v>
      </c>
      <c r="L25" t="e">
        <f>AND(#REF!,"AAAAAHnW7ws=")</f>
        <v>#REF!</v>
      </c>
      <c r="M25" t="e">
        <f>AND(#REF!,"AAAAAHnW7ww=")</f>
        <v>#REF!</v>
      </c>
      <c r="N25" t="e">
        <f>AND(#REF!,"AAAAAHnW7w0=")</f>
        <v>#REF!</v>
      </c>
      <c r="O25" t="e">
        <f>AND(#REF!,"AAAAAHnW7w4=")</f>
        <v>#REF!</v>
      </c>
      <c r="P25" t="e">
        <f>AND(#REF!,"AAAAAHnW7w8=")</f>
        <v>#REF!</v>
      </c>
      <c r="Q25" t="e">
        <f>AND(#REF!,"AAAAAHnW7xA=")</f>
        <v>#REF!</v>
      </c>
      <c r="R25" t="e">
        <f>AND(#REF!,"AAAAAHnW7xE=")</f>
        <v>#REF!</v>
      </c>
      <c r="S25" t="e">
        <f>AND(#REF!,"AAAAAHnW7xI=")</f>
        <v>#REF!</v>
      </c>
      <c r="T25" t="e">
        <f>AND(#REF!,"AAAAAHnW7xM=")</f>
        <v>#REF!</v>
      </c>
      <c r="U25" t="e">
        <f>AND(#REF!,"AAAAAHnW7xQ=")</f>
        <v>#REF!</v>
      </c>
      <c r="V25" t="e">
        <f>IF(#REF!,"AAAAAHnW7xU=",0)</f>
        <v>#REF!</v>
      </c>
      <c r="W25" t="e">
        <f>AND(#REF!,"AAAAAHnW7xY=")</f>
        <v>#REF!</v>
      </c>
      <c r="X25" t="e">
        <f>AND(#REF!,"AAAAAHnW7xc=")</f>
        <v>#REF!</v>
      </c>
      <c r="Y25" t="e">
        <f>AND(#REF!,"AAAAAHnW7xg=")</f>
        <v>#REF!</v>
      </c>
      <c r="Z25" t="e">
        <f>AND(#REF!,"AAAAAHnW7xk=")</f>
        <v>#REF!</v>
      </c>
      <c r="AA25" t="e">
        <f>AND(#REF!,"AAAAAHnW7xo=")</f>
        <v>#REF!</v>
      </c>
      <c r="AB25" t="e">
        <f>AND(#REF!,"AAAAAHnW7xs=")</f>
        <v>#REF!</v>
      </c>
      <c r="AC25" t="e">
        <f>AND(#REF!,"AAAAAHnW7xw=")</f>
        <v>#REF!</v>
      </c>
      <c r="AD25" t="e">
        <f>AND(#REF!,"AAAAAHnW7x0=")</f>
        <v>#REF!</v>
      </c>
      <c r="AE25" t="e">
        <f>AND(#REF!,"AAAAAHnW7x4=")</f>
        <v>#REF!</v>
      </c>
      <c r="AF25" t="e">
        <f>AND(#REF!,"AAAAAHnW7x8=")</f>
        <v>#REF!</v>
      </c>
      <c r="AG25" t="e">
        <f>IF(#REF!,"AAAAAHnW7yA=",0)</f>
        <v>#REF!</v>
      </c>
      <c r="AH25" t="e">
        <f>AND(#REF!,"AAAAAHnW7yE=")</f>
        <v>#REF!</v>
      </c>
      <c r="AI25" t="e">
        <f>AND(#REF!,"AAAAAHnW7yI=")</f>
        <v>#REF!</v>
      </c>
      <c r="AJ25" t="e">
        <f>AND(#REF!,"AAAAAHnW7yM=")</f>
        <v>#REF!</v>
      </c>
      <c r="AK25" t="e">
        <f>AND(#REF!,"AAAAAHnW7yQ=")</f>
        <v>#REF!</v>
      </c>
      <c r="AL25" t="e">
        <f>AND(#REF!,"AAAAAHnW7yU=")</f>
        <v>#REF!</v>
      </c>
      <c r="AM25" t="e">
        <f>AND(#REF!,"AAAAAHnW7yY=")</f>
        <v>#REF!</v>
      </c>
      <c r="AN25" t="e">
        <f>AND(#REF!,"AAAAAHnW7yc=")</f>
        <v>#REF!</v>
      </c>
      <c r="AO25" t="e">
        <f>AND(#REF!,"AAAAAHnW7yg=")</f>
        <v>#REF!</v>
      </c>
      <c r="AP25" t="e">
        <f>AND(#REF!,"AAAAAHnW7yk=")</f>
        <v>#REF!</v>
      </c>
      <c r="AQ25" t="e">
        <f>AND(#REF!,"AAAAAHnW7yo=")</f>
        <v>#REF!</v>
      </c>
      <c r="AR25" t="e">
        <f>IF(#REF!,"AAAAAHnW7ys=",0)</f>
        <v>#REF!</v>
      </c>
      <c r="AS25" t="e">
        <f>AND(#REF!,"AAAAAHnW7yw=")</f>
        <v>#REF!</v>
      </c>
      <c r="AT25" t="e">
        <f>AND(#REF!,"AAAAAHnW7y0=")</f>
        <v>#REF!</v>
      </c>
      <c r="AU25" t="e">
        <f>AND(#REF!,"AAAAAHnW7y4=")</f>
        <v>#REF!</v>
      </c>
      <c r="AV25" t="e">
        <f>AND(#REF!,"AAAAAHnW7y8=")</f>
        <v>#REF!</v>
      </c>
      <c r="AW25" t="e">
        <f>AND(#REF!,"AAAAAHnW7zA=")</f>
        <v>#REF!</v>
      </c>
      <c r="AX25" t="e">
        <f>AND(#REF!,"AAAAAHnW7zE=")</f>
        <v>#REF!</v>
      </c>
      <c r="AY25" t="e">
        <f>AND(#REF!,"AAAAAHnW7zI=")</f>
        <v>#REF!</v>
      </c>
      <c r="AZ25" t="e">
        <f>AND(#REF!,"AAAAAHnW7zM=")</f>
        <v>#REF!</v>
      </c>
      <c r="BA25" t="e">
        <f>AND(#REF!,"AAAAAHnW7zQ=")</f>
        <v>#REF!</v>
      </c>
      <c r="BB25" t="e">
        <f>AND(#REF!,"AAAAAHnW7zU=")</f>
        <v>#REF!</v>
      </c>
      <c r="BC25" t="e">
        <f>IF(#REF!,"AAAAAHnW7zY=",0)</f>
        <v>#REF!</v>
      </c>
      <c r="BD25" t="e">
        <f>AND(#REF!,"AAAAAHnW7zc=")</f>
        <v>#REF!</v>
      </c>
      <c r="BE25" t="e">
        <f>AND(#REF!,"AAAAAHnW7zg=")</f>
        <v>#REF!</v>
      </c>
      <c r="BF25" t="e">
        <f>AND(#REF!,"AAAAAHnW7zk=")</f>
        <v>#REF!</v>
      </c>
      <c r="BG25" t="e">
        <f>AND(#REF!,"AAAAAHnW7zo=")</f>
        <v>#REF!</v>
      </c>
      <c r="BH25" t="e">
        <f>AND(#REF!,"AAAAAHnW7zs=")</f>
        <v>#REF!</v>
      </c>
      <c r="BI25" t="e">
        <f>AND(#REF!,"AAAAAHnW7zw=")</f>
        <v>#REF!</v>
      </c>
      <c r="BJ25" t="e">
        <f>AND(#REF!,"AAAAAHnW7z0=")</f>
        <v>#REF!</v>
      </c>
      <c r="BK25" t="e">
        <f>AND(#REF!,"AAAAAHnW7z4=")</f>
        <v>#REF!</v>
      </c>
      <c r="BL25" t="e">
        <f>AND(#REF!,"AAAAAHnW7z8=")</f>
        <v>#REF!</v>
      </c>
      <c r="BM25" t="e">
        <f>AND(#REF!,"AAAAAHnW70A=")</f>
        <v>#REF!</v>
      </c>
      <c r="BN25" t="e">
        <f>IF(#REF!,"AAAAAHnW70E=",0)</f>
        <v>#REF!</v>
      </c>
      <c r="BO25" t="e">
        <f>AND(#REF!,"AAAAAHnW70I=")</f>
        <v>#REF!</v>
      </c>
      <c r="BP25" t="e">
        <f>AND(#REF!,"AAAAAHnW70M=")</f>
        <v>#REF!</v>
      </c>
      <c r="BQ25" t="e">
        <f>AND(#REF!,"AAAAAHnW70Q=")</f>
        <v>#REF!</v>
      </c>
      <c r="BR25" t="e">
        <f>AND(#REF!,"AAAAAHnW70U=")</f>
        <v>#REF!</v>
      </c>
      <c r="BS25" t="e">
        <f>AND(#REF!,"AAAAAHnW70Y=")</f>
        <v>#REF!</v>
      </c>
      <c r="BT25" t="e">
        <f>AND(#REF!,"AAAAAHnW70c=")</f>
        <v>#REF!</v>
      </c>
      <c r="BU25" t="e">
        <f>AND(#REF!,"AAAAAHnW70g=")</f>
        <v>#REF!</v>
      </c>
      <c r="BV25" t="e">
        <f>AND(#REF!,"AAAAAHnW70k=")</f>
        <v>#REF!</v>
      </c>
      <c r="BW25" t="e">
        <f>AND(#REF!,"AAAAAHnW70o=")</f>
        <v>#REF!</v>
      </c>
      <c r="BX25" t="e">
        <f>AND(#REF!,"AAAAAHnW70s=")</f>
        <v>#REF!</v>
      </c>
      <c r="BY25" t="e">
        <f>IF(#REF!,"AAAAAHnW70w=",0)</f>
        <v>#REF!</v>
      </c>
      <c r="BZ25" t="e">
        <f>AND(#REF!,"AAAAAHnW700=")</f>
        <v>#REF!</v>
      </c>
      <c r="CA25" t="e">
        <f>AND(#REF!,"AAAAAHnW704=")</f>
        <v>#REF!</v>
      </c>
      <c r="CB25" t="e">
        <f>AND(#REF!,"AAAAAHnW708=")</f>
        <v>#REF!</v>
      </c>
      <c r="CC25" t="e">
        <f>AND(#REF!,"AAAAAHnW71A=")</f>
        <v>#REF!</v>
      </c>
      <c r="CD25" t="e">
        <f>AND(#REF!,"AAAAAHnW71E=")</f>
        <v>#REF!</v>
      </c>
      <c r="CE25" t="e">
        <f>AND(#REF!,"AAAAAHnW71I=")</f>
        <v>#REF!</v>
      </c>
      <c r="CF25" t="e">
        <f>AND(#REF!,"AAAAAHnW71M=")</f>
        <v>#REF!</v>
      </c>
      <c r="CG25" t="e">
        <f>AND(#REF!,"AAAAAHnW71Q=")</f>
        <v>#REF!</v>
      </c>
      <c r="CH25" t="e">
        <f>AND(#REF!,"AAAAAHnW71U=")</f>
        <v>#REF!</v>
      </c>
      <c r="CI25" t="e">
        <f>AND(#REF!,"AAAAAHnW71Y=")</f>
        <v>#REF!</v>
      </c>
      <c r="CJ25" t="e">
        <f>IF(#REF!,"AAAAAHnW71c=",0)</f>
        <v>#REF!</v>
      </c>
      <c r="CK25" t="e">
        <f>AND(#REF!,"AAAAAHnW71g=")</f>
        <v>#REF!</v>
      </c>
      <c r="CL25" t="e">
        <f>AND(#REF!,"AAAAAHnW71k=")</f>
        <v>#REF!</v>
      </c>
      <c r="CM25" t="e">
        <f>AND(#REF!,"AAAAAHnW71o=")</f>
        <v>#REF!</v>
      </c>
      <c r="CN25" t="e">
        <f>AND(#REF!,"AAAAAHnW71s=")</f>
        <v>#REF!</v>
      </c>
      <c r="CO25" t="e">
        <f>AND(#REF!,"AAAAAHnW71w=")</f>
        <v>#REF!</v>
      </c>
      <c r="CP25" t="e">
        <f>AND(#REF!,"AAAAAHnW710=")</f>
        <v>#REF!</v>
      </c>
      <c r="CQ25" t="e">
        <f>AND(#REF!,"AAAAAHnW714=")</f>
        <v>#REF!</v>
      </c>
      <c r="CR25" t="e">
        <f>AND(#REF!,"AAAAAHnW718=")</f>
        <v>#REF!</v>
      </c>
      <c r="CS25" t="e">
        <f>AND(#REF!,"AAAAAHnW72A=")</f>
        <v>#REF!</v>
      </c>
      <c r="CT25" t="e">
        <f>AND(#REF!,"AAAAAHnW72E=")</f>
        <v>#REF!</v>
      </c>
      <c r="CU25" t="e">
        <f>IF(#REF!,"AAAAAHnW72I=",0)</f>
        <v>#REF!</v>
      </c>
      <c r="CV25" t="e">
        <f>AND(#REF!,"AAAAAHnW72M=")</f>
        <v>#REF!</v>
      </c>
      <c r="CW25" t="e">
        <f>AND(#REF!,"AAAAAHnW72Q=")</f>
        <v>#REF!</v>
      </c>
      <c r="CX25" t="e">
        <f>AND(#REF!,"AAAAAHnW72U=")</f>
        <v>#REF!</v>
      </c>
      <c r="CY25" t="e">
        <f>AND(#REF!,"AAAAAHnW72Y=")</f>
        <v>#REF!</v>
      </c>
      <c r="CZ25" t="e">
        <f>AND(#REF!,"AAAAAHnW72c=")</f>
        <v>#REF!</v>
      </c>
      <c r="DA25" t="e">
        <f>AND(#REF!,"AAAAAHnW72g=")</f>
        <v>#REF!</v>
      </c>
      <c r="DB25" t="e">
        <f>AND(#REF!,"AAAAAHnW72k=")</f>
        <v>#REF!</v>
      </c>
      <c r="DC25" t="e">
        <f>AND(#REF!,"AAAAAHnW72o=")</f>
        <v>#REF!</v>
      </c>
      <c r="DD25" t="e">
        <f>AND(#REF!,"AAAAAHnW72s=")</f>
        <v>#REF!</v>
      </c>
      <c r="DE25" t="e">
        <f>AND(#REF!,"AAAAAHnW72w=")</f>
        <v>#REF!</v>
      </c>
      <c r="DF25" t="e">
        <f>IF(#REF!,"AAAAAHnW720=",0)</f>
        <v>#REF!</v>
      </c>
      <c r="DG25" t="e">
        <f>AND(#REF!,"AAAAAHnW724=")</f>
        <v>#REF!</v>
      </c>
      <c r="DH25" t="e">
        <f>AND(#REF!,"AAAAAHnW728=")</f>
        <v>#REF!</v>
      </c>
      <c r="DI25" t="e">
        <f>AND(#REF!,"AAAAAHnW73A=")</f>
        <v>#REF!</v>
      </c>
      <c r="DJ25" t="e">
        <f>AND(#REF!,"AAAAAHnW73E=")</f>
        <v>#REF!</v>
      </c>
      <c r="DK25" t="e">
        <f>AND(#REF!,"AAAAAHnW73I=")</f>
        <v>#REF!</v>
      </c>
      <c r="DL25" t="e">
        <f>AND(#REF!,"AAAAAHnW73M=")</f>
        <v>#REF!</v>
      </c>
      <c r="DM25" t="e">
        <f>AND(#REF!,"AAAAAHnW73Q=")</f>
        <v>#REF!</v>
      </c>
      <c r="DN25" t="e">
        <f>AND(#REF!,"AAAAAHnW73U=")</f>
        <v>#REF!</v>
      </c>
      <c r="DO25" t="e">
        <f>AND(#REF!,"AAAAAHnW73Y=")</f>
        <v>#REF!</v>
      </c>
      <c r="DP25" t="e">
        <f>AND(#REF!,"AAAAAHnW73c=")</f>
        <v>#REF!</v>
      </c>
      <c r="DQ25" t="e">
        <f>IF(#REF!,"AAAAAHnW73g=",0)</f>
        <v>#REF!</v>
      </c>
      <c r="DR25" t="e">
        <f>AND(#REF!,"AAAAAHnW73k=")</f>
        <v>#REF!</v>
      </c>
      <c r="DS25" t="e">
        <f>AND(#REF!,"AAAAAHnW73o=")</f>
        <v>#REF!</v>
      </c>
      <c r="DT25" t="e">
        <f>AND(#REF!,"AAAAAHnW73s=")</f>
        <v>#REF!</v>
      </c>
      <c r="DU25" t="e">
        <f>AND(#REF!,"AAAAAHnW73w=")</f>
        <v>#REF!</v>
      </c>
      <c r="DV25" t="e">
        <f>AND(#REF!,"AAAAAHnW730=")</f>
        <v>#REF!</v>
      </c>
      <c r="DW25" t="e">
        <f>AND(#REF!,"AAAAAHnW734=")</f>
        <v>#REF!</v>
      </c>
      <c r="DX25" t="e">
        <f>AND(#REF!,"AAAAAHnW738=")</f>
        <v>#REF!</v>
      </c>
      <c r="DY25" t="e">
        <f>AND(#REF!,"AAAAAHnW74A=")</f>
        <v>#REF!</v>
      </c>
      <c r="DZ25" t="e">
        <f>AND(#REF!,"AAAAAHnW74E=")</f>
        <v>#REF!</v>
      </c>
      <c r="EA25" t="e">
        <f>AND(#REF!,"AAAAAHnW74I=")</f>
        <v>#REF!</v>
      </c>
      <c r="EB25" t="e">
        <f>IF(#REF!,"AAAAAHnW74M=",0)</f>
        <v>#REF!</v>
      </c>
      <c r="EC25" t="e">
        <f>AND(#REF!,"AAAAAHnW74Q=")</f>
        <v>#REF!</v>
      </c>
      <c r="ED25" t="e">
        <f>AND(#REF!,"AAAAAHnW74U=")</f>
        <v>#REF!</v>
      </c>
      <c r="EE25" t="e">
        <f>AND(#REF!,"AAAAAHnW74Y=")</f>
        <v>#REF!</v>
      </c>
      <c r="EF25" t="e">
        <f>AND(#REF!,"AAAAAHnW74c=")</f>
        <v>#REF!</v>
      </c>
      <c r="EG25" t="e">
        <f>AND(#REF!,"AAAAAHnW74g=")</f>
        <v>#REF!</v>
      </c>
      <c r="EH25" t="e">
        <f>AND(#REF!,"AAAAAHnW74k=")</f>
        <v>#REF!</v>
      </c>
      <c r="EI25" t="e">
        <f>AND(#REF!,"AAAAAHnW74o=")</f>
        <v>#REF!</v>
      </c>
      <c r="EJ25" t="e">
        <f>AND(#REF!,"AAAAAHnW74s=")</f>
        <v>#REF!</v>
      </c>
      <c r="EK25" t="e">
        <f>AND(#REF!,"AAAAAHnW74w=")</f>
        <v>#REF!</v>
      </c>
      <c r="EL25" t="e">
        <f>AND(#REF!,"AAAAAHnW740=")</f>
        <v>#REF!</v>
      </c>
      <c r="EM25" t="e">
        <f>IF(#REF!,"AAAAAHnW744=",0)</f>
        <v>#REF!</v>
      </c>
      <c r="EN25" t="e">
        <f>AND(#REF!,"AAAAAHnW748=")</f>
        <v>#REF!</v>
      </c>
      <c r="EO25" t="e">
        <f>AND(#REF!,"AAAAAHnW75A=")</f>
        <v>#REF!</v>
      </c>
      <c r="EP25" t="e">
        <f>AND(#REF!,"AAAAAHnW75E=")</f>
        <v>#REF!</v>
      </c>
      <c r="EQ25" t="e">
        <f>AND(#REF!,"AAAAAHnW75I=")</f>
        <v>#REF!</v>
      </c>
      <c r="ER25" t="e">
        <f>AND(#REF!,"AAAAAHnW75M=")</f>
        <v>#REF!</v>
      </c>
      <c r="ES25" t="e">
        <f>AND(#REF!,"AAAAAHnW75Q=")</f>
        <v>#REF!</v>
      </c>
      <c r="ET25" t="e">
        <f>AND(#REF!,"AAAAAHnW75U=")</f>
        <v>#REF!</v>
      </c>
      <c r="EU25" t="e">
        <f>AND(#REF!,"AAAAAHnW75Y=")</f>
        <v>#REF!</v>
      </c>
      <c r="EV25" t="e">
        <f>AND(#REF!,"AAAAAHnW75c=")</f>
        <v>#REF!</v>
      </c>
      <c r="EW25" t="e">
        <f>AND(#REF!,"AAAAAHnW75g=")</f>
        <v>#REF!</v>
      </c>
      <c r="EX25" t="e">
        <f>IF(#REF!,"AAAAAHnW75k=",0)</f>
        <v>#REF!</v>
      </c>
      <c r="EY25" t="e">
        <f>AND(#REF!,"AAAAAHnW75o=")</f>
        <v>#REF!</v>
      </c>
      <c r="EZ25" t="e">
        <f>AND(#REF!,"AAAAAHnW75s=")</f>
        <v>#REF!</v>
      </c>
      <c r="FA25" t="e">
        <f>AND(#REF!,"AAAAAHnW75w=")</f>
        <v>#REF!</v>
      </c>
      <c r="FB25" t="e">
        <f>AND(#REF!,"AAAAAHnW750=")</f>
        <v>#REF!</v>
      </c>
      <c r="FC25" t="e">
        <f>AND(#REF!,"AAAAAHnW754=")</f>
        <v>#REF!</v>
      </c>
      <c r="FD25" t="e">
        <f>AND(#REF!,"AAAAAHnW758=")</f>
        <v>#REF!</v>
      </c>
      <c r="FE25" t="e">
        <f>AND(#REF!,"AAAAAHnW76A=")</f>
        <v>#REF!</v>
      </c>
      <c r="FF25" t="e">
        <f>AND(#REF!,"AAAAAHnW76E=")</f>
        <v>#REF!</v>
      </c>
      <c r="FG25" t="e">
        <f>AND(#REF!,"AAAAAHnW76I=")</f>
        <v>#REF!</v>
      </c>
      <c r="FH25" t="e">
        <f>AND(#REF!,"AAAAAHnW76M=")</f>
        <v>#REF!</v>
      </c>
      <c r="FI25" t="e">
        <f>IF(#REF!,"AAAAAHnW76Q=",0)</f>
        <v>#REF!</v>
      </c>
      <c r="FJ25" t="e">
        <f>AND(#REF!,"AAAAAHnW76U=")</f>
        <v>#REF!</v>
      </c>
      <c r="FK25" t="e">
        <f>AND(#REF!,"AAAAAHnW76Y=")</f>
        <v>#REF!</v>
      </c>
      <c r="FL25" t="e">
        <f>AND(#REF!,"AAAAAHnW76c=")</f>
        <v>#REF!</v>
      </c>
      <c r="FM25" t="e">
        <f>AND(#REF!,"AAAAAHnW76g=")</f>
        <v>#REF!</v>
      </c>
      <c r="FN25" t="e">
        <f>AND(#REF!,"AAAAAHnW76k=")</f>
        <v>#REF!</v>
      </c>
      <c r="FO25" t="e">
        <f>AND(#REF!,"AAAAAHnW76o=")</f>
        <v>#REF!</v>
      </c>
      <c r="FP25" t="e">
        <f>AND(#REF!,"AAAAAHnW76s=")</f>
        <v>#REF!</v>
      </c>
      <c r="FQ25" t="e">
        <f>AND(#REF!,"AAAAAHnW76w=")</f>
        <v>#REF!</v>
      </c>
      <c r="FR25" t="e">
        <f>AND(#REF!,"AAAAAHnW760=")</f>
        <v>#REF!</v>
      </c>
      <c r="FS25" t="e">
        <f>AND(#REF!,"AAAAAHnW764=")</f>
        <v>#REF!</v>
      </c>
      <c r="FT25" t="e">
        <f>IF(#REF!,"AAAAAHnW768=",0)</f>
        <v>#REF!</v>
      </c>
      <c r="FU25" t="e">
        <f>AND(#REF!,"AAAAAHnW77A=")</f>
        <v>#REF!</v>
      </c>
      <c r="FV25" t="e">
        <f>AND(#REF!,"AAAAAHnW77E=")</f>
        <v>#REF!</v>
      </c>
      <c r="FW25" t="e">
        <f>AND(#REF!,"AAAAAHnW77I=")</f>
        <v>#REF!</v>
      </c>
      <c r="FX25" t="e">
        <f>AND(#REF!,"AAAAAHnW77M=")</f>
        <v>#REF!</v>
      </c>
      <c r="FY25" t="e">
        <f>AND(#REF!,"AAAAAHnW77Q=")</f>
        <v>#REF!</v>
      </c>
      <c r="FZ25" t="e">
        <f>AND(#REF!,"AAAAAHnW77U=")</f>
        <v>#REF!</v>
      </c>
      <c r="GA25" t="e">
        <f>AND(#REF!,"AAAAAHnW77Y=")</f>
        <v>#REF!</v>
      </c>
      <c r="GB25" t="e">
        <f>AND(#REF!,"AAAAAHnW77c=")</f>
        <v>#REF!</v>
      </c>
      <c r="GC25" t="e">
        <f>AND(#REF!,"AAAAAHnW77g=")</f>
        <v>#REF!</v>
      </c>
      <c r="GD25" t="e">
        <f>AND(#REF!,"AAAAAHnW77k=")</f>
        <v>#REF!</v>
      </c>
      <c r="GE25" t="e">
        <f>IF(#REF!,"AAAAAHnW77o=",0)</f>
        <v>#REF!</v>
      </c>
      <c r="GF25" t="e">
        <f>AND(#REF!,"AAAAAHnW77s=")</f>
        <v>#REF!</v>
      </c>
      <c r="GG25" t="e">
        <f>AND(#REF!,"AAAAAHnW77w=")</f>
        <v>#REF!</v>
      </c>
      <c r="GH25" t="e">
        <f>AND(#REF!,"AAAAAHnW770=")</f>
        <v>#REF!</v>
      </c>
      <c r="GI25" t="e">
        <f>AND(#REF!,"AAAAAHnW774=")</f>
        <v>#REF!</v>
      </c>
      <c r="GJ25" t="e">
        <f>AND(#REF!,"AAAAAHnW778=")</f>
        <v>#REF!</v>
      </c>
      <c r="GK25" t="e">
        <f>AND(#REF!,"AAAAAHnW78A=")</f>
        <v>#REF!</v>
      </c>
      <c r="GL25" t="e">
        <f>AND(#REF!,"AAAAAHnW78E=")</f>
        <v>#REF!</v>
      </c>
      <c r="GM25" t="e">
        <f>AND(#REF!,"AAAAAHnW78I=")</f>
        <v>#REF!</v>
      </c>
      <c r="GN25" t="e">
        <f>AND(#REF!,"AAAAAHnW78M=")</f>
        <v>#REF!</v>
      </c>
      <c r="GO25" t="e">
        <f>AND(#REF!,"AAAAAHnW78Q=")</f>
        <v>#REF!</v>
      </c>
      <c r="GP25" t="e">
        <f>IF(#REF!,"AAAAAHnW78U=",0)</f>
        <v>#REF!</v>
      </c>
      <c r="GQ25" t="e">
        <f>AND(#REF!,"AAAAAHnW78Y=")</f>
        <v>#REF!</v>
      </c>
      <c r="GR25" t="e">
        <f>AND(#REF!,"AAAAAHnW78c=")</f>
        <v>#REF!</v>
      </c>
      <c r="GS25" t="e">
        <f>AND(#REF!,"AAAAAHnW78g=")</f>
        <v>#REF!</v>
      </c>
      <c r="GT25" t="e">
        <f>AND(#REF!,"AAAAAHnW78k=")</f>
        <v>#REF!</v>
      </c>
      <c r="GU25" t="e">
        <f>AND(#REF!,"AAAAAHnW78o=")</f>
        <v>#REF!</v>
      </c>
      <c r="GV25" t="e">
        <f>AND(#REF!,"AAAAAHnW78s=")</f>
        <v>#REF!</v>
      </c>
      <c r="GW25" t="e">
        <f>AND(#REF!,"AAAAAHnW78w=")</f>
        <v>#REF!</v>
      </c>
      <c r="GX25" t="e">
        <f>AND(#REF!,"AAAAAHnW780=")</f>
        <v>#REF!</v>
      </c>
      <c r="GY25" t="e">
        <f>AND(#REF!,"AAAAAHnW784=")</f>
        <v>#REF!</v>
      </c>
      <c r="GZ25" t="e">
        <f>AND(#REF!,"AAAAAHnW788=")</f>
        <v>#REF!</v>
      </c>
      <c r="HA25" t="e">
        <f>IF(#REF!,"AAAAAHnW79A=",0)</f>
        <v>#REF!</v>
      </c>
      <c r="HB25" t="e">
        <f>AND(#REF!,"AAAAAHnW79E=")</f>
        <v>#REF!</v>
      </c>
      <c r="HC25" t="e">
        <f>AND(#REF!,"AAAAAHnW79I=")</f>
        <v>#REF!</v>
      </c>
      <c r="HD25" t="e">
        <f>AND(#REF!,"AAAAAHnW79M=")</f>
        <v>#REF!</v>
      </c>
      <c r="HE25" t="e">
        <f>AND(#REF!,"AAAAAHnW79Q=")</f>
        <v>#REF!</v>
      </c>
      <c r="HF25" t="e">
        <f>AND(#REF!,"AAAAAHnW79U=")</f>
        <v>#REF!</v>
      </c>
      <c r="HG25" t="e">
        <f>AND(#REF!,"AAAAAHnW79Y=")</f>
        <v>#REF!</v>
      </c>
      <c r="HH25" t="e">
        <f>AND(#REF!,"AAAAAHnW79c=")</f>
        <v>#REF!</v>
      </c>
      <c r="HI25" t="e">
        <f>AND(#REF!,"AAAAAHnW79g=")</f>
        <v>#REF!</v>
      </c>
      <c r="HJ25" t="e">
        <f>AND(#REF!,"AAAAAHnW79k=")</f>
        <v>#REF!</v>
      </c>
      <c r="HK25" t="e">
        <f>AND(#REF!,"AAAAAHnW79o=")</f>
        <v>#REF!</v>
      </c>
      <c r="HL25" t="e">
        <f>IF(#REF!,"AAAAAHnW79s=",0)</f>
        <v>#REF!</v>
      </c>
      <c r="HM25" t="e">
        <f>AND(#REF!,"AAAAAHnW79w=")</f>
        <v>#REF!</v>
      </c>
      <c r="HN25" t="e">
        <f>AND(#REF!,"AAAAAHnW790=")</f>
        <v>#REF!</v>
      </c>
      <c r="HO25" t="e">
        <f>AND(#REF!,"AAAAAHnW794=")</f>
        <v>#REF!</v>
      </c>
      <c r="HP25" t="e">
        <f>AND(#REF!,"AAAAAHnW798=")</f>
        <v>#REF!</v>
      </c>
      <c r="HQ25" t="e">
        <f>AND(#REF!,"AAAAAHnW7+A=")</f>
        <v>#REF!</v>
      </c>
      <c r="HR25" t="e">
        <f>AND(#REF!,"AAAAAHnW7+E=")</f>
        <v>#REF!</v>
      </c>
      <c r="HS25" t="e">
        <f>AND(#REF!,"AAAAAHnW7+I=")</f>
        <v>#REF!</v>
      </c>
      <c r="HT25" t="e">
        <f>AND(#REF!,"AAAAAHnW7+M=")</f>
        <v>#REF!</v>
      </c>
      <c r="HU25" t="e">
        <f>AND(#REF!,"AAAAAHnW7+Q=")</f>
        <v>#REF!</v>
      </c>
      <c r="HV25" t="e">
        <f>AND(#REF!,"AAAAAHnW7+U=")</f>
        <v>#REF!</v>
      </c>
      <c r="HW25" t="e">
        <f>IF(#REF!,"AAAAAHnW7+Y=",0)</f>
        <v>#REF!</v>
      </c>
      <c r="HX25" t="e">
        <f>AND(#REF!,"AAAAAHnW7+c=")</f>
        <v>#REF!</v>
      </c>
      <c r="HY25" t="e">
        <f>AND(#REF!,"AAAAAHnW7+g=")</f>
        <v>#REF!</v>
      </c>
      <c r="HZ25" t="e">
        <f>AND(#REF!,"AAAAAHnW7+k=")</f>
        <v>#REF!</v>
      </c>
      <c r="IA25" t="e">
        <f>AND(#REF!,"AAAAAHnW7+o=")</f>
        <v>#REF!</v>
      </c>
      <c r="IB25" t="e">
        <f>AND(#REF!,"AAAAAHnW7+s=")</f>
        <v>#REF!</v>
      </c>
      <c r="IC25" t="e">
        <f>AND(#REF!,"AAAAAHnW7+w=")</f>
        <v>#REF!</v>
      </c>
      <c r="ID25" t="e">
        <f>AND(#REF!,"AAAAAHnW7+0=")</f>
        <v>#REF!</v>
      </c>
      <c r="IE25" t="e">
        <f>AND(#REF!,"AAAAAHnW7+4=")</f>
        <v>#REF!</v>
      </c>
      <c r="IF25" t="e">
        <f>AND(#REF!,"AAAAAHnW7+8=")</f>
        <v>#REF!</v>
      </c>
      <c r="IG25" t="e">
        <f>AND(#REF!,"AAAAAHnW7/A=")</f>
        <v>#REF!</v>
      </c>
      <c r="IH25" t="e">
        <f>IF(#REF!,"AAAAAHnW7/E=",0)</f>
        <v>#REF!</v>
      </c>
      <c r="II25" t="e">
        <f>AND(#REF!,"AAAAAHnW7/I=")</f>
        <v>#REF!</v>
      </c>
      <c r="IJ25" t="e">
        <f>AND(#REF!,"AAAAAHnW7/M=")</f>
        <v>#REF!</v>
      </c>
      <c r="IK25" t="e">
        <f>AND(#REF!,"AAAAAHnW7/Q=")</f>
        <v>#REF!</v>
      </c>
      <c r="IL25" t="e">
        <f>AND(#REF!,"AAAAAHnW7/U=")</f>
        <v>#REF!</v>
      </c>
      <c r="IM25" t="e">
        <f>AND(#REF!,"AAAAAHnW7/Y=")</f>
        <v>#REF!</v>
      </c>
      <c r="IN25" t="e">
        <f>AND(#REF!,"AAAAAHnW7/c=")</f>
        <v>#REF!</v>
      </c>
      <c r="IO25" t="e">
        <f>AND(#REF!,"AAAAAHnW7/g=")</f>
        <v>#REF!</v>
      </c>
      <c r="IP25" t="e">
        <f>AND(#REF!,"AAAAAHnW7/k=")</f>
        <v>#REF!</v>
      </c>
      <c r="IQ25" t="e">
        <f>AND(#REF!,"AAAAAHnW7/o=")</f>
        <v>#REF!</v>
      </c>
      <c r="IR25" t="e">
        <f>AND(#REF!,"AAAAAHnW7/s=")</f>
        <v>#REF!</v>
      </c>
      <c r="IS25" t="e">
        <f>IF(#REF!,"AAAAAHnW7/w=",0)</f>
        <v>#REF!</v>
      </c>
      <c r="IT25" t="e">
        <f>AND(#REF!,"AAAAAHnW7/0=")</f>
        <v>#REF!</v>
      </c>
      <c r="IU25" t="e">
        <f>AND(#REF!,"AAAAAHnW7/4=")</f>
        <v>#REF!</v>
      </c>
      <c r="IV25" t="e">
        <f>AND(#REF!,"AAAAAHnW7/8=")</f>
        <v>#REF!</v>
      </c>
    </row>
    <row r="26" spans="1:256" x14ac:dyDescent="0.25">
      <c r="A26" t="e">
        <f>AND(#REF!,"AAAAAC//7wA=")</f>
        <v>#REF!</v>
      </c>
      <c r="B26" t="e">
        <f>AND(#REF!,"AAAAAC//7wE=")</f>
        <v>#REF!</v>
      </c>
      <c r="C26" t="e">
        <f>AND(#REF!,"AAAAAC//7wI=")</f>
        <v>#REF!</v>
      </c>
      <c r="D26" t="e">
        <f>AND(#REF!,"AAAAAC//7wM=")</f>
        <v>#REF!</v>
      </c>
      <c r="E26" t="e">
        <f>AND(#REF!,"AAAAAC//7wQ=")</f>
        <v>#REF!</v>
      </c>
      <c r="F26" t="e">
        <f>AND(#REF!,"AAAAAC//7wU=")</f>
        <v>#REF!</v>
      </c>
      <c r="G26" t="e">
        <f>AND(#REF!,"AAAAAC//7wY=")</f>
        <v>#REF!</v>
      </c>
      <c r="H26" t="e">
        <f>IF(#REF!,"AAAAAC//7wc=",0)</f>
        <v>#REF!</v>
      </c>
      <c r="I26" t="e">
        <f>AND(#REF!,"AAAAAC//7wg=")</f>
        <v>#REF!</v>
      </c>
      <c r="J26" t="e">
        <f>AND(#REF!,"AAAAAC//7wk=")</f>
        <v>#REF!</v>
      </c>
      <c r="K26" t="e">
        <f>AND(#REF!,"AAAAAC//7wo=")</f>
        <v>#REF!</v>
      </c>
      <c r="L26" t="e">
        <f>AND(#REF!,"AAAAAC//7ws=")</f>
        <v>#REF!</v>
      </c>
      <c r="M26" t="e">
        <f>AND(#REF!,"AAAAAC//7ww=")</f>
        <v>#REF!</v>
      </c>
      <c r="N26" t="e">
        <f>AND(#REF!,"AAAAAC//7w0=")</f>
        <v>#REF!</v>
      </c>
      <c r="O26" t="e">
        <f>AND(#REF!,"AAAAAC//7w4=")</f>
        <v>#REF!</v>
      </c>
      <c r="P26" t="e">
        <f>AND(#REF!,"AAAAAC//7w8=")</f>
        <v>#REF!</v>
      </c>
      <c r="Q26" t="e">
        <f>AND(#REF!,"AAAAAC//7xA=")</f>
        <v>#REF!</v>
      </c>
      <c r="R26" t="e">
        <f>AND(#REF!,"AAAAAC//7xE=")</f>
        <v>#REF!</v>
      </c>
      <c r="S26" t="e">
        <f>IF(#REF!,"AAAAAC//7xI=",0)</f>
        <v>#REF!</v>
      </c>
      <c r="T26" t="e">
        <f>AND(#REF!,"AAAAAC//7xM=")</f>
        <v>#REF!</v>
      </c>
      <c r="U26" t="e">
        <f>AND(#REF!,"AAAAAC//7xQ=")</f>
        <v>#REF!</v>
      </c>
      <c r="V26" t="e">
        <f>AND(#REF!,"AAAAAC//7xU=")</f>
        <v>#REF!</v>
      </c>
      <c r="W26" t="e">
        <f>AND(#REF!,"AAAAAC//7xY=")</f>
        <v>#REF!</v>
      </c>
      <c r="X26" t="e">
        <f>AND(#REF!,"AAAAAC//7xc=")</f>
        <v>#REF!</v>
      </c>
      <c r="Y26" t="e">
        <f>AND(#REF!,"AAAAAC//7xg=")</f>
        <v>#REF!</v>
      </c>
      <c r="Z26" t="e">
        <f>AND(#REF!,"AAAAAC//7xk=")</f>
        <v>#REF!</v>
      </c>
      <c r="AA26" t="e">
        <f>AND(#REF!,"AAAAAC//7xo=")</f>
        <v>#REF!</v>
      </c>
      <c r="AB26" t="e">
        <f>AND(#REF!,"AAAAAC//7xs=")</f>
        <v>#REF!</v>
      </c>
      <c r="AC26" t="e">
        <f>AND(#REF!,"AAAAAC//7xw=")</f>
        <v>#REF!</v>
      </c>
      <c r="AD26" t="e">
        <f>IF(#REF!,"AAAAAC//7x0=",0)</f>
        <v>#REF!</v>
      </c>
      <c r="AE26" t="e">
        <f>AND(#REF!,"AAAAAC//7x4=")</f>
        <v>#REF!</v>
      </c>
      <c r="AF26" t="e">
        <f>AND(#REF!,"AAAAAC//7x8=")</f>
        <v>#REF!</v>
      </c>
      <c r="AG26" t="e">
        <f>AND(#REF!,"AAAAAC//7yA=")</f>
        <v>#REF!</v>
      </c>
      <c r="AH26" t="e">
        <f>AND(#REF!,"AAAAAC//7yE=")</f>
        <v>#REF!</v>
      </c>
      <c r="AI26" t="e">
        <f>AND(#REF!,"AAAAAC//7yI=")</f>
        <v>#REF!</v>
      </c>
      <c r="AJ26" t="e">
        <f>AND(#REF!,"AAAAAC//7yM=")</f>
        <v>#REF!</v>
      </c>
      <c r="AK26" t="e">
        <f>AND(#REF!,"AAAAAC//7yQ=")</f>
        <v>#REF!</v>
      </c>
      <c r="AL26" t="e">
        <f>AND(#REF!,"AAAAAC//7yU=")</f>
        <v>#REF!</v>
      </c>
      <c r="AM26" t="e">
        <f>AND(#REF!,"AAAAAC//7yY=")</f>
        <v>#REF!</v>
      </c>
      <c r="AN26" t="e">
        <f>AND(#REF!,"AAAAAC//7yc=")</f>
        <v>#REF!</v>
      </c>
      <c r="AO26" t="e">
        <f>IF(#REF!,"AAAAAC//7yg=",0)</f>
        <v>#REF!</v>
      </c>
      <c r="AP26" t="e">
        <f>AND(#REF!,"AAAAAC//7yk=")</f>
        <v>#REF!</v>
      </c>
      <c r="AQ26" t="e">
        <f>AND(#REF!,"AAAAAC//7yo=")</f>
        <v>#REF!</v>
      </c>
      <c r="AR26" t="e">
        <f>AND(#REF!,"AAAAAC//7ys=")</f>
        <v>#REF!</v>
      </c>
      <c r="AS26" t="e">
        <f>AND(#REF!,"AAAAAC//7yw=")</f>
        <v>#REF!</v>
      </c>
      <c r="AT26" t="e">
        <f>AND(#REF!,"AAAAAC//7y0=")</f>
        <v>#REF!</v>
      </c>
      <c r="AU26" t="e">
        <f>AND(#REF!,"AAAAAC//7y4=")</f>
        <v>#REF!</v>
      </c>
      <c r="AV26" t="e">
        <f>AND(#REF!,"AAAAAC//7y8=")</f>
        <v>#REF!</v>
      </c>
      <c r="AW26" t="e">
        <f>AND(#REF!,"AAAAAC//7zA=")</f>
        <v>#REF!</v>
      </c>
      <c r="AX26" t="e">
        <f>AND(#REF!,"AAAAAC//7zE=")</f>
        <v>#REF!</v>
      </c>
      <c r="AY26" t="e">
        <f>AND(#REF!,"AAAAAC//7zI=")</f>
        <v>#REF!</v>
      </c>
      <c r="AZ26" t="e">
        <f>IF(#REF!,"AAAAAC//7zM=",0)</f>
        <v>#REF!</v>
      </c>
      <c r="BA26" t="e">
        <f>AND(#REF!,"AAAAAC//7zQ=")</f>
        <v>#REF!</v>
      </c>
      <c r="BB26" t="e">
        <f>AND(#REF!,"AAAAAC//7zU=")</f>
        <v>#REF!</v>
      </c>
      <c r="BC26" t="e">
        <f>AND(#REF!,"AAAAAC//7zY=")</f>
        <v>#REF!</v>
      </c>
      <c r="BD26" t="e">
        <f>AND(#REF!,"AAAAAC//7zc=")</f>
        <v>#REF!</v>
      </c>
      <c r="BE26" t="e">
        <f>AND(#REF!,"AAAAAC//7zg=")</f>
        <v>#REF!</v>
      </c>
      <c r="BF26" t="e">
        <f>AND(#REF!,"AAAAAC//7zk=")</f>
        <v>#REF!</v>
      </c>
      <c r="BG26" t="e">
        <f>AND(#REF!,"AAAAAC//7zo=")</f>
        <v>#REF!</v>
      </c>
      <c r="BH26" t="e">
        <f>AND(#REF!,"AAAAAC//7zs=")</f>
        <v>#REF!</v>
      </c>
      <c r="BI26" t="e">
        <f>AND(#REF!,"AAAAAC//7zw=")</f>
        <v>#REF!</v>
      </c>
      <c r="BJ26" t="e">
        <f>AND(#REF!,"AAAAAC//7z0=")</f>
        <v>#REF!</v>
      </c>
      <c r="BK26" t="e">
        <f>IF(#REF!,"AAAAAC//7z4=",0)</f>
        <v>#REF!</v>
      </c>
      <c r="BL26" t="e">
        <f>AND(#REF!,"AAAAAC//7z8=")</f>
        <v>#REF!</v>
      </c>
      <c r="BM26" t="e">
        <f>AND(#REF!,"AAAAAC//70A=")</f>
        <v>#REF!</v>
      </c>
      <c r="BN26" t="e">
        <f>AND(#REF!,"AAAAAC//70E=")</f>
        <v>#REF!</v>
      </c>
      <c r="BO26" t="e">
        <f>AND(#REF!,"AAAAAC//70I=")</f>
        <v>#REF!</v>
      </c>
      <c r="BP26" t="e">
        <f>AND(#REF!,"AAAAAC//70M=")</f>
        <v>#REF!</v>
      </c>
      <c r="BQ26" t="e">
        <f>AND(#REF!,"AAAAAC//70Q=")</f>
        <v>#REF!</v>
      </c>
      <c r="BR26" t="e">
        <f>AND(#REF!,"AAAAAC//70U=")</f>
        <v>#REF!</v>
      </c>
      <c r="BS26" t="e">
        <f>AND(#REF!,"AAAAAC//70Y=")</f>
        <v>#REF!</v>
      </c>
      <c r="BT26" t="e">
        <f>AND(#REF!,"AAAAAC//70c=")</f>
        <v>#REF!</v>
      </c>
      <c r="BU26" t="e">
        <f>AND(#REF!,"AAAAAC//70g=")</f>
        <v>#REF!</v>
      </c>
      <c r="BV26" t="e">
        <f>IF(#REF!,"AAAAAC//70k=",0)</f>
        <v>#REF!</v>
      </c>
      <c r="BW26" t="e">
        <f>AND(#REF!,"AAAAAC//70o=")</f>
        <v>#REF!</v>
      </c>
      <c r="BX26" t="e">
        <f>AND(#REF!,"AAAAAC//70s=")</f>
        <v>#REF!</v>
      </c>
      <c r="BY26" t="e">
        <f>AND(#REF!,"AAAAAC//70w=")</f>
        <v>#REF!</v>
      </c>
      <c r="BZ26" t="e">
        <f>AND(#REF!,"AAAAAC//700=")</f>
        <v>#REF!</v>
      </c>
      <c r="CA26" t="e">
        <f>AND(#REF!,"AAAAAC//704=")</f>
        <v>#REF!</v>
      </c>
      <c r="CB26" t="e">
        <f>AND(#REF!,"AAAAAC//708=")</f>
        <v>#REF!</v>
      </c>
      <c r="CC26" t="e">
        <f>AND(#REF!,"AAAAAC//71A=")</f>
        <v>#REF!</v>
      </c>
      <c r="CD26" t="e">
        <f>AND(#REF!,"AAAAAC//71E=")</f>
        <v>#REF!</v>
      </c>
      <c r="CE26" t="e">
        <f>AND(#REF!,"AAAAAC//71I=")</f>
        <v>#REF!</v>
      </c>
      <c r="CF26" t="e">
        <f>AND(#REF!,"AAAAAC//71M=")</f>
        <v>#REF!</v>
      </c>
      <c r="CG26" t="e">
        <f>IF(#REF!,"AAAAAC//71Q=",0)</f>
        <v>#REF!</v>
      </c>
      <c r="CH26" t="e">
        <f>AND(#REF!,"AAAAAC//71U=")</f>
        <v>#REF!</v>
      </c>
      <c r="CI26" t="e">
        <f>AND(#REF!,"AAAAAC//71Y=")</f>
        <v>#REF!</v>
      </c>
      <c r="CJ26" t="e">
        <f>AND(#REF!,"AAAAAC//71c=")</f>
        <v>#REF!</v>
      </c>
      <c r="CK26" t="e">
        <f>AND(#REF!,"AAAAAC//71g=")</f>
        <v>#REF!</v>
      </c>
      <c r="CL26" t="e">
        <f>AND(#REF!,"AAAAAC//71k=")</f>
        <v>#REF!</v>
      </c>
      <c r="CM26" t="e">
        <f>AND(#REF!,"AAAAAC//71o=")</f>
        <v>#REF!</v>
      </c>
      <c r="CN26" t="e">
        <f>AND(#REF!,"AAAAAC//71s=")</f>
        <v>#REF!</v>
      </c>
      <c r="CO26" t="e">
        <f>AND(#REF!,"AAAAAC//71w=")</f>
        <v>#REF!</v>
      </c>
      <c r="CP26" t="e">
        <f>AND(#REF!,"AAAAAC//710=")</f>
        <v>#REF!</v>
      </c>
      <c r="CQ26" t="e">
        <f>AND(#REF!,"AAAAAC//714=")</f>
        <v>#REF!</v>
      </c>
      <c r="CR26" t="e">
        <f>IF(#REF!,"AAAAAC//718=",0)</f>
        <v>#REF!</v>
      </c>
      <c r="CS26" t="e">
        <f>AND(#REF!,"AAAAAC//72A=")</f>
        <v>#REF!</v>
      </c>
      <c r="CT26" t="e">
        <f>AND(#REF!,"AAAAAC//72E=")</f>
        <v>#REF!</v>
      </c>
      <c r="CU26" t="e">
        <f>AND(#REF!,"AAAAAC//72I=")</f>
        <v>#REF!</v>
      </c>
      <c r="CV26" t="e">
        <f>AND(#REF!,"AAAAAC//72M=")</f>
        <v>#REF!</v>
      </c>
      <c r="CW26" t="e">
        <f>AND(#REF!,"AAAAAC//72Q=")</f>
        <v>#REF!</v>
      </c>
      <c r="CX26" t="e">
        <f>AND(#REF!,"AAAAAC//72U=")</f>
        <v>#REF!</v>
      </c>
      <c r="CY26" t="e">
        <f>AND(#REF!,"AAAAAC//72Y=")</f>
        <v>#REF!</v>
      </c>
      <c r="CZ26" t="e">
        <f>AND(#REF!,"AAAAAC//72c=")</f>
        <v>#REF!</v>
      </c>
      <c r="DA26" t="e">
        <f>AND(#REF!,"AAAAAC//72g=")</f>
        <v>#REF!</v>
      </c>
      <c r="DB26" t="e">
        <f>AND(#REF!,"AAAAAC//72k=")</f>
        <v>#REF!</v>
      </c>
      <c r="DC26" t="e">
        <f>IF(#REF!,"AAAAAC//72o=",0)</f>
        <v>#REF!</v>
      </c>
      <c r="DD26" t="e">
        <f>AND(#REF!,"AAAAAC//72s=")</f>
        <v>#REF!</v>
      </c>
      <c r="DE26" t="e">
        <f>AND(#REF!,"AAAAAC//72w=")</f>
        <v>#REF!</v>
      </c>
      <c r="DF26" t="e">
        <f>AND(#REF!,"AAAAAC//720=")</f>
        <v>#REF!</v>
      </c>
      <c r="DG26" t="e">
        <f>AND(#REF!,"AAAAAC//724=")</f>
        <v>#REF!</v>
      </c>
      <c r="DH26" t="e">
        <f>AND(#REF!,"AAAAAC//728=")</f>
        <v>#REF!</v>
      </c>
      <c r="DI26" t="e">
        <f>AND(#REF!,"AAAAAC//73A=")</f>
        <v>#REF!</v>
      </c>
      <c r="DJ26" t="e">
        <f>AND(#REF!,"AAAAAC//73E=")</f>
        <v>#REF!</v>
      </c>
      <c r="DK26" t="e">
        <f>AND(#REF!,"AAAAAC//73I=")</f>
        <v>#REF!</v>
      </c>
      <c r="DL26" t="e">
        <f>AND(#REF!,"AAAAAC//73M=")</f>
        <v>#REF!</v>
      </c>
      <c r="DM26" t="e">
        <f>AND(#REF!,"AAAAAC//73Q=")</f>
        <v>#REF!</v>
      </c>
      <c r="DN26" t="e">
        <f>IF(#REF!,"AAAAAC//73U=",0)</f>
        <v>#REF!</v>
      </c>
      <c r="DO26" t="e">
        <f>AND(#REF!,"AAAAAC//73Y=")</f>
        <v>#REF!</v>
      </c>
      <c r="DP26" t="e">
        <f>AND(#REF!,"AAAAAC//73c=")</f>
        <v>#REF!</v>
      </c>
      <c r="DQ26" t="e">
        <f>AND(#REF!,"AAAAAC//73g=")</f>
        <v>#REF!</v>
      </c>
      <c r="DR26" t="e">
        <f>AND(#REF!,"AAAAAC//73k=")</f>
        <v>#REF!</v>
      </c>
      <c r="DS26" t="e">
        <f>AND(#REF!,"AAAAAC//73o=")</f>
        <v>#REF!</v>
      </c>
      <c r="DT26" t="e">
        <f>AND(#REF!,"AAAAAC//73s=")</f>
        <v>#REF!</v>
      </c>
      <c r="DU26" t="e">
        <f>AND(#REF!,"AAAAAC//73w=")</f>
        <v>#REF!</v>
      </c>
      <c r="DV26" t="e">
        <f>AND(#REF!,"AAAAAC//730=")</f>
        <v>#REF!</v>
      </c>
      <c r="DW26" t="e">
        <f>AND(#REF!,"AAAAAC//734=")</f>
        <v>#REF!</v>
      </c>
      <c r="DX26" t="e">
        <f>AND(#REF!,"AAAAAC//738=")</f>
        <v>#REF!</v>
      </c>
      <c r="DY26" t="e">
        <f>IF(#REF!,"AAAAAC//74A=",0)</f>
        <v>#REF!</v>
      </c>
      <c r="DZ26" t="e">
        <f>AND(#REF!,"AAAAAC//74E=")</f>
        <v>#REF!</v>
      </c>
      <c r="EA26" t="e">
        <f>AND(#REF!,"AAAAAC//74I=")</f>
        <v>#REF!</v>
      </c>
      <c r="EB26" t="e">
        <f>AND(#REF!,"AAAAAC//74M=")</f>
        <v>#REF!</v>
      </c>
      <c r="EC26" t="e">
        <f>AND(#REF!,"AAAAAC//74Q=")</f>
        <v>#REF!</v>
      </c>
      <c r="ED26" t="e">
        <f>AND(#REF!,"AAAAAC//74U=")</f>
        <v>#REF!</v>
      </c>
      <c r="EE26" t="e">
        <f>AND(#REF!,"AAAAAC//74Y=")</f>
        <v>#REF!</v>
      </c>
      <c r="EF26" t="e">
        <f>AND(#REF!,"AAAAAC//74c=")</f>
        <v>#REF!</v>
      </c>
      <c r="EG26" t="e">
        <f>AND(#REF!,"AAAAAC//74g=")</f>
        <v>#REF!</v>
      </c>
      <c r="EH26" t="e">
        <f>AND(#REF!,"AAAAAC//74k=")</f>
        <v>#REF!</v>
      </c>
      <c r="EI26" t="e">
        <f>AND(#REF!,"AAAAAC//74o=")</f>
        <v>#REF!</v>
      </c>
      <c r="EJ26" t="e">
        <f>IF(#REF!,"AAAAAC//74s=",0)</f>
        <v>#REF!</v>
      </c>
      <c r="EK26" t="e">
        <f>AND(#REF!,"AAAAAC//74w=")</f>
        <v>#REF!</v>
      </c>
      <c r="EL26" t="e">
        <f>AND(#REF!,"AAAAAC//740=")</f>
        <v>#REF!</v>
      </c>
      <c r="EM26" t="e">
        <f>AND(#REF!,"AAAAAC//744=")</f>
        <v>#REF!</v>
      </c>
      <c r="EN26" t="e">
        <f>AND(#REF!,"AAAAAC//748=")</f>
        <v>#REF!</v>
      </c>
      <c r="EO26" t="e">
        <f>AND(#REF!,"AAAAAC//75A=")</f>
        <v>#REF!</v>
      </c>
      <c r="EP26" t="e">
        <f>AND(#REF!,"AAAAAC//75E=")</f>
        <v>#REF!</v>
      </c>
      <c r="EQ26" t="e">
        <f>AND(#REF!,"AAAAAC//75I=")</f>
        <v>#REF!</v>
      </c>
      <c r="ER26" t="e">
        <f>AND(#REF!,"AAAAAC//75M=")</f>
        <v>#REF!</v>
      </c>
      <c r="ES26" t="e">
        <f>AND(#REF!,"AAAAAC//75Q=")</f>
        <v>#REF!</v>
      </c>
      <c r="ET26" t="e">
        <f>AND(#REF!,"AAAAAC//75U=")</f>
        <v>#REF!</v>
      </c>
      <c r="EU26" t="e">
        <f>IF(#REF!,"AAAAAC//75Y=",0)</f>
        <v>#REF!</v>
      </c>
      <c r="EV26" t="e">
        <f>AND(#REF!,"AAAAAC//75c=")</f>
        <v>#REF!</v>
      </c>
      <c r="EW26" t="e">
        <f>AND(#REF!,"AAAAAC//75g=")</f>
        <v>#REF!</v>
      </c>
      <c r="EX26" t="e">
        <f>AND(#REF!,"AAAAAC//75k=")</f>
        <v>#REF!</v>
      </c>
      <c r="EY26" t="e">
        <f>AND(#REF!,"AAAAAC//75o=")</f>
        <v>#REF!</v>
      </c>
      <c r="EZ26" t="e">
        <f>AND(#REF!,"AAAAAC//75s=")</f>
        <v>#REF!</v>
      </c>
      <c r="FA26" t="e">
        <f>AND(#REF!,"AAAAAC//75w=")</f>
        <v>#REF!</v>
      </c>
      <c r="FB26" t="e">
        <f>AND(#REF!,"AAAAAC//750=")</f>
        <v>#REF!</v>
      </c>
      <c r="FC26" t="e">
        <f>AND(#REF!,"AAAAAC//754=")</f>
        <v>#REF!</v>
      </c>
      <c r="FD26" t="e">
        <f>AND(#REF!,"AAAAAC//758=")</f>
        <v>#REF!</v>
      </c>
      <c r="FE26" t="e">
        <f>AND(#REF!,"AAAAAC//76A=")</f>
        <v>#REF!</v>
      </c>
      <c r="FF26" t="e">
        <f>IF(#REF!,"AAAAAC//76E=",0)</f>
        <v>#REF!</v>
      </c>
      <c r="FG26" t="e">
        <f>AND(#REF!,"AAAAAC//76I=")</f>
        <v>#REF!</v>
      </c>
      <c r="FH26" t="e">
        <f>AND(#REF!,"AAAAAC//76M=")</f>
        <v>#REF!</v>
      </c>
      <c r="FI26" t="e">
        <f>AND(#REF!,"AAAAAC//76Q=")</f>
        <v>#REF!</v>
      </c>
      <c r="FJ26" t="e">
        <f>AND(#REF!,"AAAAAC//76U=")</f>
        <v>#REF!</v>
      </c>
      <c r="FK26" t="e">
        <f>AND(#REF!,"AAAAAC//76Y=")</f>
        <v>#REF!</v>
      </c>
      <c r="FL26" t="e">
        <f>AND(#REF!,"AAAAAC//76c=")</f>
        <v>#REF!</v>
      </c>
      <c r="FM26" t="e">
        <f>AND(#REF!,"AAAAAC//76g=")</f>
        <v>#REF!</v>
      </c>
      <c r="FN26" t="e">
        <f>AND(#REF!,"AAAAAC//76k=")</f>
        <v>#REF!</v>
      </c>
      <c r="FO26" t="e">
        <f>AND(#REF!,"AAAAAC//76o=")</f>
        <v>#REF!</v>
      </c>
      <c r="FP26" t="e">
        <f>AND(#REF!,"AAAAAC//76s=")</f>
        <v>#REF!</v>
      </c>
      <c r="FQ26" t="e">
        <f>IF(#REF!,"AAAAAC//76w=",0)</f>
        <v>#REF!</v>
      </c>
      <c r="FR26" t="e">
        <f>AND(#REF!,"AAAAAC//760=")</f>
        <v>#REF!</v>
      </c>
      <c r="FS26" t="e">
        <f>AND(#REF!,"AAAAAC//764=")</f>
        <v>#REF!</v>
      </c>
      <c r="FT26" t="e">
        <f>AND(#REF!,"AAAAAC//768=")</f>
        <v>#REF!</v>
      </c>
      <c r="FU26" t="e">
        <f>AND(#REF!,"AAAAAC//77A=")</f>
        <v>#REF!</v>
      </c>
      <c r="FV26" t="e">
        <f>AND(#REF!,"AAAAAC//77E=")</f>
        <v>#REF!</v>
      </c>
      <c r="FW26" t="e">
        <f>AND(#REF!,"AAAAAC//77I=")</f>
        <v>#REF!</v>
      </c>
      <c r="FX26" t="e">
        <f>AND(#REF!,"AAAAAC//77M=")</f>
        <v>#REF!</v>
      </c>
      <c r="FY26" t="e">
        <f>AND(#REF!,"AAAAAC//77Q=")</f>
        <v>#REF!</v>
      </c>
      <c r="FZ26" t="e">
        <f>AND(#REF!,"AAAAAC//77U=")</f>
        <v>#REF!</v>
      </c>
      <c r="GA26" t="e">
        <f>AND(#REF!,"AAAAAC//77Y=")</f>
        <v>#REF!</v>
      </c>
      <c r="GB26" t="e">
        <f>IF(#REF!,"AAAAAC//77c=",0)</f>
        <v>#REF!</v>
      </c>
      <c r="GC26" t="e">
        <f>AND(#REF!,"AAAAAC//77g=")</f>
        <v>#REF!</v>
      </c>
      <c r="GD26" t="e">
        <f>AND(#REF!,"AAAAAC//77k=")</f>
        <v>#REF!</v>
      </c>
      <c r="GE26" t="e">
        <f>AND(#REF!,"AAAAAC//77o=")</f>
        <v>#REF!</v>
      </c>
      <c r="GF26" t="e">
        <f>AND(#REF!,"AAAAAC//77s=")</f>
        <v>#REF!</v>
      </c>
      <c r="GG26" t="e">
        <f>AND(#REF!,"AAAAAC//77w=")</f>
        <v>#REF!</v>
      </c>
      <c r="GH26" t="e">
        <f>AND(#REF!,"AAAAAC//770=")</f>
        <v>#REF!</v>
      </c>
      <c r="GI26" t="e">
        <f>AND(#REF!,"AAAAAC//774=")</f>
        <v>#REF!</v>
      </c>
      <c r="GJ26" t="e">
        <f>AND(#REF!,"AAAAAC//778=")</f>
        <v>#REF!</v>
      </c>
      <c r="GK26" t="e">
        <f>AND(#REF!,"AAAAAC//78A=")</f>
        <v>#REF!</v>
      </c>
      <c r="GL26" t="e">
        <f>AND(#REF!,"AAAAAC//78E=")</f>
        <v>#REF!</v>
      </c>
      <c r="GM26" t="e">
        <f>IF(#REF!,"AAAAAC//78I=",0)</f>
        <v>#REF!</v>
      </c>
      <c r="GN26" t="e">
        <f>AND(#REF!,"AAAAAC//78M=")</f>
        <v>#REF!</v>
      </c>
      <c r="GO26" t="e">
        <f>AND(#REF!,"AAAAAC//78Q=")</f>
        <v>#REF!</v>
      </c>
      <c r="GP26" t="e">
        <f>AND(#REF!,"AAAAAC//78U=")</f>
        <v>#REF!</v>
      </c>
      <c r="GQ26" t="e">
        <f>AND(#REF!,"AAAAAC//78Y=")</f>
        <v>#REF!</v>
      </c>
      <c r="GR26" t="e">
        <f>AND(#REF!,"AAAAAC//78c=")</f>
        <v>#REF!</v>
      </c>
      <c r="GS26" t="e">
        <f>AND(#REF!,"AAAAAC//78g=")</f>
        <v>#REF!</v>
      </c>
      <c r="GT26" t="e">
        <f>AND(#REF!,"AAAAAC//78k=")</f>
        <v>#REF!</v>
      </c>
      <c r="GU26" t="e">
        <f>AND(#REF!,"AAAAAC//78o=")</f>
        <v>#REF!</v>
      </c>
      <c r="GV26" t="e">
        <f>AND(#REF!,"AAAAAC//78s=")</f>
        <v>#REF!</v>
      </c>
      <c r="GW26" t="e">
        <f>AND(#REF!,"AAAAAC//78w=")</f>
        <v>#REF!</v>
      </c>
      <c r="GX26" t="e">
        <f>IF(#REF!,"AAAAAC//780=",0)</f>
        <v>#REF!</v>
      </c>
      <c r="GY26" t="e">
        <f>AND(#REF!,"AAAAAC//784=")</f>
        <v>#REF!</v>
      </c>
      <c r="GZ26" t="e">
        <f>AND(#REF!,"AAAAAC//788=")</f>
        <v>#REF!</v>
      </c>
      <c r="HA26" t="e">
        <f>AND(#REF!,"AAAAAC//79A=")</f>
        <v>#REF!</v>
      </c>
      <c r="HB26" t="e">
        <f>AND(#REF!,"AAAAAC//79E=")</f>
        <v>#REF!</v>
      </c>
      <c r="HC26" t="e">
        <f>AND(#REF!,"AAAAAC//79I=")</f>
        <v>#REF!</v>
      </c>
      <c r="HD26" t="e">
        <f>AND(#REF!,"AAAAAC//79M=")</f>
        <v>#REF!</v>
      </c>
      <c r="HE26" t="e">
        <f>AND(#REF!,"AAAAAC//79Q=")</f>
        <v>#REF!</v>
      </c>
      <c r="HF26" t="e">
        <f>AND(#REF!,"AAAAAC//79U=")</f>
        <v>#REF!</v>
      </c>
      <c r="HG26" t="e">
        <f>AND(#REF!,"AAAAAC//79Y=")</f>
        <v>#REF!</v>
      </c>
      <c r="HH26" t="e">
        <f>AND(#REF!,"AAAAAC//79c=")</f>
        <v>#REF!</v>
      </c>
      <c r="HI26" t="e">
        <f>IF(#REF!,"AAAAAC//79g=",0)</f>
        <v>#REF!</v>
      </c>
      <c r="HJ26" t="e">
        <f>AND(#REF!,"AAAAAC//79k=")</f>
        <v>#REF!</v>
      </c>
      <c r="HK26" t="e">
        <f>AND(#REF!,"AAAAAC//79o=")</f>
        <v>#REF!</v>
      </c>
      <c r="HL26" t="e">
        <f>AND(#REF!,"AAAAAC//79s=")</f>
        <v>#REF!</v>
      </c>
      <c r="HM26" t="e">
        <f>AND(#REF!,"AAAAAC//79w=")</f>
        <v>#REF!</v>
      </c>
      <c r="HN26" t="e">
        <f>AND(#REF!,"AAAAAC//790=")</f>
        <v>#REF!</v>
      </c>
      <c r="HO26" t="e">
        <f>AND(#REF!,"AAAAAC//794=")</f>
        <v>#REF!</v>
      </c>
      <c r="HP26" t="e">
        <f>AND(#REF!,"AAAAAC//798=")</f>
        <v>#REF!</v>
      </c>
      <c r="HQ26" t="e">
        <f>AND(#REF!,"AAAAAC//7+A=")</f>
        <v>#REF!</v>
      </c>
      <c r="HR26" t="e">
        <f>AND(#REF!,"AAAAAC//7+E=")</f>
        <v>#REF!</v>
      </c>
      <c r="HS26" t="e">
        <f>AND(#REF!,"AAAAAC//7+I=")</f>
        <v>#REF!</v>
      </c>
      <c r="HT26" t="e">
        <f>IF(#REF!,"AAAAAC//7+M=",0)</f>
        <v>#REF!</v>
      </c>
      <c r="HU26" t="e">
        <f>AND(#REF!,"AAAAAC//7+Q=")</f>
        <v>#REF!</v>
      </c>
      <c r="HV26" t="e">
        <f>AND(#REF!,"AAAAAC//7+U=")</f>
        <v>#REF!</v>
      </c>
      <c r="HW26" t="e">
        <f>AND(#REF!,"AAAAAC//7+Y=")</f>
        <v>#REF!</v>
      </c>
      <c r="HX26" t="e">
        <f>AND(#REF!,"AAAAAC//7+c=")</f>
        <v>#REF!</v>
      </c>
      <c r="HY26" t="e">
        <f>AND(#REF!,"AAAAAC//7+g=")</f>
        <v>#REF!</v>
      </c>
      <c r="HZ26" t="e">
        <f>AND(#REF!,"AAAAAC//7+k=")</f>
        <v>#REF!</v>
      </c>
      <c r="IA26" t="e">
        <f>AND(#REF!,"AAAAAC//7+o=")</f>
        <v>#REF!</v>
      </c>
      <c r="IB26" t="e">
        <f>AND(#REF!,"AAAAAC//7+s=")</f>
        <v>#REF!</v>
      </c>
      <c r="IC26" t="e">
        <f>AND(#REF!,"AAAAAC//7+w=")</f>
        <v>#REF!</v>
      </c>
      <c r="ID26" t="e">
        <f>AND(#REF!,"AAAAAC//7+0=")</f>
        <v>#REF!</v>
      </c>
      <c r="IE26" t="e">
        <f>IF(#REF!,"AAAAAC//7+4=",0)</f>
        <v>#REF!</v>
      </c>
      <c r="IF26" t="e">
        <f>AND(#REF!,"AAAAAC//7+8=")</f>
        <v>#REF!</v>
      </c>
      <c r="IG26" t="e">
        <f>AND(#REF!,"AAAAAC//7/A=")</f>
        <v>#REF!</v>
      </c>
      <c r="IH26" t="e">
        <f>AND(#REF!,"AAAAAC//7/E=")</f>
        <v>#REF!</v>
      </c>
      <c r="II26" t="e">
        <f>AND(#REF!,"AAAAAC//7/I=")</f>
        <v>#REF!</v>
      </c>
      <c r="IJ26" t="e">
        <f>AND(#REF!,"AAAAAC//7/M=")</f>
        <v>#REF!</v>
      </c>
      <c r="IK26" t="e">
        <f>AND(#REF!,"AAAAAC//7/Q=")</f>
        <v>#REF!</v>
      </c>
      <c r="IL26" t="e">
        <f>AND(#REF!,"AAAAAC//7/U=")</f>
        <v>#REF!</v>
      </c>
      <c r="IM26" t="e">
        <f>AND(#REF!,"AAAAAC//7/Y=")</f>
        <v>#REF!</v>
      </c>
      <c r="IN26" t="e">
        <f>AND(#REF!,"AAAAAC//7/c=")</f>
        <v>#REF!</v>
      </c>
      <c r="IO26" t="e">
        <f>AND(#REF!,"AAAAAC//7/g=")</f>
        <v>#REF!</v>
      </c>
      <c r="IP26" t="e">
        <f>IF(#REF!,"AAAAAC//7/k=",0)</f>
        <v>#REF!</v>
      </c>
      <c r="IQ26" t="e">
        <f>AND(#REF!,"AAAAAC//7/o=")</f>
        <v>#REF!</v>
      </c>
      <c r="IR26" t="e">
        <f>AND(#REF!,"AAAAAC//7/s=")</f>
        <v>#REF!</v>
      </c>
      <c r="IS26" t="e">
        <f>AND(#REF!,"AAAAAC//7/w=")</f>
        <v>#REF!</v>
      </c>
      <c r="IT26" t="e">
        <f>AND(#REF!,"AAAAAC//7/0=")</f>
        <v>#REF!</v>
      </c>
      <c r="IU26" t="e">
        <f>AND(#REF!,"AAAAAC//7/4=")</f>
        <v>#REF!</v>
      </c>
      <c r="IV26" t="e">
        <f>AND(#REF!,"AAAAAC//7/8=")</f>
        <v>#REF!</v>
      </c>
    </row>
    <row r="27" spans="1:256" x14ac:dyDescent="0.25">
      <c r="A27" t="e">
        <f>AND(#REF!,"AAAAACd/mwA=")</f>
        <v>#REF!</v>
      </c>
      <c r="B27" t="e">
        <f>AND(#REF!,"AAAAACd/mwE=")</f>
        <v>#REF!</v>
      </c>
      <c r="C27" t="e">
        <f>AND(#REF!,"AAAAACd/mwI=")</f>
        <v>#REF!</v>
      </c>
      <c r="D27" t="e">
        <f>AND(#REF!,"AAAAACd/mwM=")</f>
        <v>#REF!</v>
      </c>
      <c r="E27" t="e">
        <f>IF(#REF!,"AAAAACd/mwQ=",0)</f>
        <v>#REF!</v>
      </c>
      <c r="F27" t="e">
        <f>AND(#REF!,"AAAAACd/mwU=")</f>
        <v>#REF!</v>
      </c>
      <c r="G27" t="e">
        <f>AND(#REF!,"AAAAACd/mwY=")</f>
        <v>#REF!</v>
      </c>
      <c r="H27" t="e">
        <f>AND(#REF!,"AAAAACd/mwc=")</f>
        <v>#REF!</v>
      </c>
      <c r="I27" t="e">
        <f>AND(#REF!,"AAAAACd/mwg=")</f>
        <v>#REF!</v>
      </c>
      <c r="J27" t="e">
        <f>AND(#REF!,"AAAAACd/mwk=")</f>
        <v>#REF!</v>
      </c>
      <c r="K27" t="e">
        <f>AND(#REF!,"AAAAACd/mwo=")</f>
        <v>#REF!</v>
      </c>
      <c r="L27" t="e">
        <f>AND(#REF!,"AAAAACd/mws=")</f>
        <v>#REF!</v>
      </c>
      <c r="M27" t="e">
        <f>AND(#REF!,"AAAAACd/mww=")</f>
        <v>#REF!</v>
      </c>
      <c r="N27" t="e">
        <f>AND(#REF!,"AAAAACd/mw0=")</f>
        <v>#REF!</v>
      </c>
      <c r="O27" t="e">
        <f>AND(#REF!,"AAAAACd/mw4=")</f>
        <v>#REF!</v>
      </c>
      <c r="P27" t="e">
        <f>IF(#REF!,"AAAAACd/mw8=",0)</f>
        <v>#REF!</v>
      </c>
      <c r="Q27" t="e">
        <f>AND(#REF!,"AAAAACd/mxA=")</f>
        <v>#REF!</v>
      </c>
      <c r="R27" t="e">
        <f>AND(#REF!,"AAAAACd/mxE=")</f>
        <v>#REF!</v>
      </c>
      <c r="S27" t="e">
        <f>AND(#REF!,"AAAAACd/mxI=")</f>
        <v>#REF!</v>
      </c>
      <c r="T27" t="e">
        <f>AND(#REF!,"AAAAACd/mxM=")</f>
        <v>#REF!</v>
      </c>
      <c r="U27" t="e">
        <f>AND(#REF!,"AAAAACd/mxQ=")</f>
        <v>#REF!</v>
      </c>
      <c r="V27" t="e">
        <f>AND(#REF!,"AAAAACd/mxU=")</f>
        <v>#REF!</v>
      </c>
      <c r="W27" t="e">
        <f>AND(#REF!,"AAAAACd/mxY=")</f>
        <v>#REF!</v>
      </c>
      <c r="X27" t="e">
        <f>AND(#REF!,"AAAAACd/mxc=")</f>
        <v>#REF!</v>
      </c>
      <c r="Y27" t="e">
        <f>AND(#REF!,"AAAAACd/mxg=")</f>
        <v>#REF!</v>
      </c>
      <c r="Z27" t="e">
        <f>AND(#REF!,"AAAAACd/mxk=")</f>
        <v>#REF!</v>
      </c>
      <c r="AA27" t="e">
        <f>IF(#REF!,"AAAAACd/mxo=",0)</f>
        <v>#REF!</v>
      </c>
      <c r="AB27" t="e">
        <f>AND(#REF!,"AAAAACd/mxs=")</f>
        <v>#REF!</v>
      </c>
      <c r="AC27" t="e">
        <f>AND(#REF!,"AAAAACd/mxw=")</f>
        <v>#REF!</v>
      </c>
      <c r="AD27" t="e">
        <f>AND(#REF!,"AAAAACd/mx0=")</f>
        <v>#REF!</v>
      </c>
      <c r="AE27" t="e">
        <f>AND(#REF!,"AAAAACd/mx4=")</f>
        <v>#REF!</v>
      </c>
      <c r="AF27" t="e">
        <f>AND(#REF!,"AAAAACd/mx8=")</f>
        <v>#REF!</v>
      </c>
      <c r="AG27" t="e">
        <f>AND(#REF!,"AAAAACd/myA=")</f>
        <v>#REF!</v>
      </c>
      <c r="AH27" t="e">
        <f>AND(#REF!,"AAAAACd/myE=")</f>
        <v>#REF!</v>
      </c>
      <c r="AI27" t="e">
        <f>AND(#REF!,"AAAAACd/myI=")</f>
        <v>#REF!</v>
      </c>
      <c r="AJ27" t="e">
        <f>AND(#REF!,"AAAAACd/myM=")</f>
        <v>#REF!</v>
      </c>
      <c r="AK27" t="e">
        <f>AND(#REF!,"AAAAACd/myQ=")</f>
        <v>#REF!</v>
      </c>
      <c r="AL27" t="e">
        <f>IF(#REF!,"AAAAACd/myU=",0)</f>
        <v>#REF!</v>
      </c>
      <c r="AM27" t="e">
        <f>AND(#REF!,"AAAAACd/myY=")</f>
        <v>#REF!</v>
      </c>
      <c r="AN27" t="e">
        <f>AND(#REF!,"AAAAACd/myc=")</f>
        <v>#REF!</v>
      </c>
      <c r="AO27" t="e">
        <f>AND(#REF!,"AAAAACd/myg=")</f>
        <v>#REF!</v>
      </c>
      <c r="AP27" t="e">
        <f>AND(#REF!,"AAAAACd/myk=")</f>
        <v>#REF!</v>
      </c>
      <c r="AQ27" t="e">
        <f>AND(#REF!,"AAAAACd/myo=")</f>
        <v>#REF!</v>
      </c>
      <c r="AR27" t="e">
        <f>AND(#REF!,"AAAAACd/mys=")</f>
        <v>#REF!</v>
      </c>
      <c r="AS27" t="e">
        <f>AND(#REF!,"AAAAACd/myw=")</f>
        <v>#REF!</v>
      </c>
      <c r="AT27" t="e">
        <f>AND(#REF!,"AAAAACd/my0=")</f>
        <v>#REF!</v>
      </c>
      <c r="AU27" t="e">
        <f>AND(#REF!,"AAAAACd/my4=")</f>
        <v>#REF!</v>
      </c>
      <c r="AV27" t="e">
        <f>AND(#REF!,"AAAAACd/my8=")</f>
        <v>#REF!</v>
      </c>
      <c r="AW27" t="e">
        <f>IF(#REF!,"AAAAACd/mzA=",0)</f>
        <v>#REF!</v>
      </c>
      <c r="AX27" t="e">
        <f>AND(#REF!,"AAAAACd/mzE=")</f>
        <v>#REF!</v>
      </c>
      <c r="AY27" t="e">
        <f>AND(#REF!,"AAAAACd/mzI=")</f>
        <v>#REF!</v>
      </c>
      <c r="AZ27" t="e">
        <f>AND(#REF!,"AAAAACd/mzM=")</f>
        <v>#REF!</v>
      </c>
      <c r="BA27" t="e">
        <f>AND(#REF!,"AAAAACd/mzQ=")</f>
        <v>#REF!</v>
      </c>
      <c r="BB27" t="e">
        <f>AND(#REF!,"AAAAACd/mzU=")</f>
        <v>#REF!</v>
      </c>
      <c r="BC27" t="e">
        <f>AND(#REF!,"AAAAACd/mzY=")</f>
        <v>#REF!</v>
      </c>
      <c r="BD27" t="e">
        <f>AND(#REF!,"AAAAACd/mzc=")</f>
        <v>#REF!</v>
      </c>
      <c r="BE27" t="e">
        <f>AND(#REF!,"AAAAACd/mzg=")</f>
        <v>#REF!</v>
      </c>
      <c r="BF27" t="e">
        <f>AND(#REF!,"AAAAACd/mzk=")</f>
        <v>#REF!</v>
      </c>
      <c r="BG27" t="e">
        <f>AND(#REF!,"AAAAACd/mzo=")</f>
        <v>#REF!</v>
      </c>
      <c r="BH27" t="e">
        <f>IF(#REF!,"AAAAACd/mzs=",0)</f>
        <v>#REF!</v>
      </c>
      <c r="BI27" t="e">
        <f>AND(#REF!,"AAAAACd/mzw=")</f>
        <v>#REF!</v>
      </c>
      <c r="BJ27" t="e">
        <f>AND(#REF!,"AAAAACd/mz0=")</f>
        <v>#REF!</v>
      </c>
      <c r="BK27" t="e">
        <f>AND(#REF!,"AAAAACd/mz4=")</f>
        <v>#REF!</v>
      </c>
      <c r="BL27" t="e">
        <f>AND(#REF!,"AAAAACd/mz8=")</f>
        <v>#REF!</v>
      </c>
      <c r="BM27" t="e">
        <f>AND(#REF!,"AAAAACd/m0A=")</f>
        <v>#REF!</v>
      </c>
      <c r="BN27" t="e">
        <f>AND(#REF!,"AAAAACd/m0E=")</f>
        <v>#REF!</v>
      </c>
      <c r="BO27" t="e">
        <f>AND(#REF!,"AAAAACd/m0I=")</f>
        <v>#REF!</v>
      </c>
      <c r="BP27" t="e">
        <f>AND(#REF!,"AAAAACd/m0M=")</f>
        <v>#REF!</v>
      </c>
      <c r="BQ27" t="e">
        <f>AND(#REF!,"AAAAACd/m0Q=")</f>
        <v>#REF!</v>
      </c>
      <c r="BR27" t="e">
        <f>AND(#REF!,"AAAAACd/m0U=")</f>
        <v>#REF!</v>
      </c>
      <c r="BS27" t="e">
        <f>IF(#REF!,"AAAAACd/m0Y=",0)</f>
        <v>#REF!</v>
      </c>
      <c r="BT27" t="e">
        <f>AND(#REF!,"AAAAACd/m0c=")</f>
        <v>#REF!</v>
      </c>
      <c r="BU27" t="e">
        <f>AND(#REF!,"AAAAACd/m0g=")</f>
        <v>#REF!</v>
      </c>
      <c r="BV27" t="e">
        <f>AND(#REF!,"AAAAACd/m0k=")</f>
        <v>#REF!</v>
      </c>
      <c r="BW27" t="e">
        <f>AND(#REF!,"AAAAACd/m0o=")</f>
        <v>#REF!</v>
      </c>
      <c r="BX27" t="e">
        <f>AND(#REF!,"AAAAACd/m0s=")</f>
        <v>#REF!</v>
      </c>
      <c r="BY27" t="e">
        <f>AND(#REF!,"AAAAACd/m0w=")</f>
        <v>#REF!</v>
      </c>
      <c r="BZ27" t="e">
        <f>AND(#REF!,"AAAAACd/m00=")</f>
        <v>#REF!</v>
      </c>
      <c r="CA27" t="e">
        <f>AND(#REF!,"AAAAACd/m04=")</f>
        <v>#REF!</v>
      </c>
      <c r="CB27" t="e">
        <f>AND(#REF!,"AAAAACd/m08=")</f>
        <v>#REF!</v>
      </c>
      <c r="CC27" t="e">
        <f>AND(#REF!,"AAAAACd/m1A=")</f>
        <v>#REF!</v>
      </c>
      <c r="CD27" t="e">
        <f>IF(#REF!,"AAAAACd/m1E=",0)</f>
        <v>#REF!</v>
      </c>
      <c r="CE27" t="e">
        <f>AND(#REF!,"AAAAACd/m1I=")</f>
        <v>#REF!</v>
      </c>
      <c r="CF27" t="e">
        <f>AND(#REF!,"AAAAACd/m1M=")</f>
        <v>#REF!</v>
      </c>
      <c r="CG27" t="e">
        <f>AND(#REF!,"AAAAACd/m1Q=")</f>
        <v>#REF!</v>
      </c>
      <c r="CH27" t="e">
        <f>AND(#REF!,"AAAAACd/m1U=")</f>
        <v>#REF!</v>
      </c>
      <c r="CI27" t="e">
        <f>AND(#REF!,"AAAAACd/m1Y=")</f>
        <v>#REF!</v>
      </c>
      <c r="CJ27" t="e">
        <f>AND(#REF!,"AAAAACd/m1c=")</f>
        <v>#REF!</v>
      </c>
      <c r="CK27" t="e">
        <f>AND(#REF!,"AAAAACd/m1g=")</f>
        <v>#REF!</v>
      </c>
      <c r="CL27" t="e">
        <f>AND(#REF!,"AAAAACd/m1k=")</f>
        <v>#REF!</v>
      </c>
      <c r="CM27" t="e">
        <f>AND(#REF!,"AAAAACd/m1o=")</f>
        <v>#REF!</v>
      </c>
      <c r="CN27" t="e">
        <f>AND(#REF!,"AAAAACd/m1s=")</f>
        <v>#REF!</v>
      </c>
      <c r="CO27" t="e">
        <f>IF(#REF!,"AAAAACd/m1w=",0)</f>
        <v>#REF!</v>
      </c>
      <c r="CP27" t="e">
        <f>AND(#REF!,"AAAAACd/m10=")</f>
        <v>#REF!</v>
      </c>
      <c r="CQ27" t="e">
        <f>AND(#REF!,"AAAAACd/m14=")</f>
        <v>#REF!</v>
      </c>
      <c r="CR27" t="e">
        <f>AND(#REF!,"AAAAACd/m18=")</f>
        <v>#REF!</v>
      </c>
      <c r="CS27" t="e">
        <f>AND(#REF!,"AAAAACd/m2A=")</f>
        <v>#REF!</v>
      </c>
      <c r="CT27" t="e">
        <f>AND(#REF!,"AAAAACd/m2E=")</f>
        <v>#REF!</v>
      </c>
      <c r="CU27" t="e">
        <f>AND(#REF!,"AAAAACd/m2I=")</f>
        <v>#REF!</v>
      </c>
      <c r="CV27" t="e">
        <f>AND(#REF!,"AAAAACd/m2M=")</f>
        <v>#REF!</v>
      </c>
      <c r="CW27" t="e">
        <f>AND(#REF!,"AAAAACd/m2Q=")</f>
        <v>#REF!</v>
      </c>
      <c r="CX27" t="e">
        <f>AND(#REF!,"AAAAACd/m2U=")</f>
        <v>#REF!</v>
      </c>
      <c r="CY27" t="e">
        <f>AND(#REF!,"AAAAACd/m2Y=")</f>
        <v>#REF!</v>
      </c>
      <c r="CZ27" t="e">
        <f>IF(#REF!,"AAAAACd/m2c=",0)</f>
        <v>#REF!</v>
      </c>
      <c r="DA27" t="e">
        <f>AND(#REF!,"AAAAACd/m2g=")</f>
        <v>#REF!</v>
      </c>
      <c r="DB27" t="e">
        <f>AND(#REF!,"AAAAACd/m2k=")</f>
        <v>#REF!</v>
      </c>
      <c r="DC27" t="e">
        <f>AND(#REF!,"AAAAACd/m2o=")</f>
        <v>#REF!</v>
      </c>
      <c r="DD27" t="e">
        <f>AND(#REF!,"AAAAACd/m2s=")</f>
        <v>#REF!</v>
      </c>
      <c r="DE27" t="e">
        <f>AND(#REF!,"AAAAACd/m2w=")</f>
        <v>#REF!</v>
      </c>
      <c r="DF27" t="e">
        <f>AND(#REF!,"AAAAACd/m20=")</f>
        <v>#REF!</v>
      </c>
      <c r="DG27" t="e">
        <f>AND(#REF!,"AAAAACd/m24=")</f>
        <v>#REF!</v>
      </c>
      <c r="DH27" t="e">
        <f>AND(#REF!,"AAAAACd/m28=")</f>
        <v>#REF!</v>
      </c>
      <c r="DI27" t="e">
        <f>AND(#REF!,"AAAAACd/m3A=")</f>
        <v>#REF!</v>
      </c>
      <c r="DJ27" t="e">
        <f>AND(#REF!,"AAAAACd/m3E=")</f>
        <v>#REF!</v>
      </c>
      <c r="DK27" t="e">
        <f>IF(#REF!,"AAAAACd/m3I=",0)</f>
        <v>#REF!</v>
      </c>
      <c r="DL27" t="e">
        <f>AND(#REF!,"AAAAACd/m3M=")</f>
        <v>#REF!</v>
      </c>
      <c r="DM27" t="e">
        <f>AND(#REF!,"AAAAACd/m3Q=")</f>
        <v>#REF!</v>
      </c>
      <c r="DN27" t="e">
        <f>AND(#REF!,"AAAAACd/m3U=")</f>
        <v>#REF!</v>
      </c>
      <c r="DO27" t="e">
        <f>AND(#REF!,"AAAAACd/m3Y=")</f>
        <v>#REF!</v>
      </c>
      <c r="DP27" t="e">
        <f>AND(#REF!,"AAAAACd/m3c=")</f>
        <v>#REF!</v>
      </c>
      <c r="DQ27" t="e">
        <f>AND(#REF!,"AAAAACd/m3g=")</f>
        <v>#REF!</v>
      </c>
      <c r="DR27" t="e">
        <f>AND(#REF!,"AAAAACd/m3k=")</f>
        <v>#REF!</v>
      </c>
      <c r="DS27" t="e">
        <f>AND(#REF!,"AAAAACd/m3o=")</f>
        <v>#REF!</v>
      </c>
      <c r="DT27" t="e">
        <f>AND(#REF!,"AAAAACd/m3s=")</f>
        <v>#REF!</v>
      </c>
      <c r="DU27" t="e">
        <f>AND(#REF!,"AAAAACd/m3w=")</f>
        <v>#REF!</v>
      </c>
      <c r="DV27" t="e">
        <f>IF(#REF!,"AAAAACd/m30=",0)</f>
        <v>#REF!</v>
      </c>
      <c r="DW27" t="e">
        <f>AND(#REF!,"AAAAACd/m34=")</f>
        <v>#REF!</v>
      </c>
      <c r="DX27" t="e">
        <f>AND(#REF!,"AAAAACd/m38=")</f>
        <v>#REF!</v>
      </c>
      <c r="DY27" t="e">
        <f>AND(#REF!,"AAAAACd/m4A=")</f>
        <v>#REF!</v>
      </c>
      <c r="DZ27" t="e">
        <f>AND(#REF!,"AAAAACd/m4E=")</f>
        <v>#REF!</v>
      </c>
      <c r="EA27" t="e">
        <f>AND(#REF!,"AAAAACd/m4I=")</f>
        <v>#REF!</v>
      </c>
      <c r="EB27" t="e">
        <f>AND(#REF!,"AAAAACd/m4M=")</f>
        <v>#REF!</v>
      </c>
      <c r="EC27" t="e">
        <f>AND(#REF!,"AAAAACd/m4Q=")</f>
        <v>#REF!</v>
      </c>
      <c r="ED27" t="e">
        <f>AND(#REF!,"AAAAACd/m4U=")</f>
        <v>#REF!</v>
      </c>
      <c r="EE27" t="e">
        <f>AND(#REF!,"AAAAACd/m4Y=")</f>
        <v>#REF!</v>
      </c>
      <c r="EF27" t="e">
        <f>AND(#REF!,"AAAAACd/m4c=")</f>
        <v>#REF!</v>
      </c>
      <c r="EG27" t="e">
        <f>IF(#REF!,"AAAAACd/m4g=",0)</f>
        <v>#REF!</v>
      </c>
      <c r="EH27" t="e">
        <f>AND(#REF!,"AAAAACd/m4k=")</f>
        <v>#REF!</v>
      </c>
      <c r="EI27" t="e">
        <f>AND(#REF!,"AAAAACd/m4o=")</f>
        <v>#REF!</v>
      </c>
      <c r="EJ27" t="e">
        <f>AND(#REF!,"AAAAACd/m4s=")</f>
        <v>#REF!</v>
      </c>
      <c r="EK27" t="e">
        <f>AND(#REF!,"AAAAACd/m4w=")</f>
        <v>#REF!</v>
      </c>
      <c r="EL27" t="e">
        <f>AND(#REF!,"AAAAACd/m40=")</f>
        <v>#REF!</v>
      </c>
      <c r="EM27" t="e">
        <f>AND(#REF!,"AAAAACd/m44=")</f>
        <v>#REF!</v>
      </c>
      <c r="EN27" t="e">
        <f>AND(#REF!,"AAAAACd/m48=")</f>
        <v>#REF!</v>
      </c>
      <c r="EO27" t="e">
        <f>AND(#REF!,"AAAAACd/m5A=")</f>
        <v>#REF!</v>
      </c>
      <c r="EP27" t="e">
        <f>AND(#REF!,"AAAAACd/m5E=")</f>
        <v>#REF!</v>
      </c>
      <c r="EQ27" t="e">
        <f>AND(#REF!,"AAAAACd/m5I=")</f>
        <v>#REF!</v>
      </c>
      <c r="ER27" t="e">
        <f>IF(#REF!,"AAAAACd/m5M=",0)</f>
        <v>#REF!</v>
      </c>
      <c r="ES27" t="e">
        <f>AND(#REF!,"AAAAACd/m5Q=")</f>
        <v>#REF!</v>
      </c>
      <c r="ET27" t="e">
        <f>AND(#REF!,"AAAAACd/m5U=")</f>
        <v>#REF!</v>
      </c>
      <c r="EU27" t="e">
        <f>AND(#REF!,"AAAAACd/m5Y=")</f>
        <v>#REF!</v>
      </c>
      <c r="EV27" t="e">
        <f>AND(#REF!,"AAAAACd/m5c=")</f>
        <v>#REF!</v>
      </c>
      <c r="EW27" t="e">
        <f>AND(#REF!,"AAAAACd/m5g=")</f>
        <v>#REF!</v>
      </c>
      <c r="EX27" t="e">
        <f>AND(#REF!,"AAAAACd/m5k=")</f>
        <v>#REF!</v>
      </c>
      <c r="EY27" t="e">
        <f>AND(#REF!,"AAAAACd/m5o=")</f>
        <v>#REF!</v>
      </c>
      <c r="EZ27" t="e">
        <f>AND(#REF!,"AAAAACd/m5s=")</f>
        <v>#REF!</v>
      </c>
      <c r="FA27" t="e">
        <f>AND(#REF!,"AAAAACd/m5w=")</f>
        <v>#REF!</v>
      </c>
      <c r="FB27" t="e">
        <f>AND(#REF!,"AAAAACd/m50=")</f>
        <v>#REF!</v>
      </c>
      <c r="FC27" t="e">
        <f>IF(#REF!,"AAAAACd/m54=",0)</f>
        <v>#REF!</v>
      </c>
      <c r="FD27" t="e">
        <f>AND(#REF!,"AAAAACd/m58=")</f>
        <v>#REF!</v>
      </c>
      <c r="FE27" t="e">
        <f>AND(#REF!,"AAAAACd/m6A=")</f>
        <v>#REF!</v>
      </c>
      <c r="FF27" t="e">
        <f>AND(#REF!,"AAAAACd/m6E=")</f>
        <v>#REF!</v>
      </c>
      <c r="FG27" t="e">
        <f>AND(#REF!,"AAAAACd/m6I=")</f>
        <v>#REF!</v>
      </c>
      <c r="FH27" t="e">
        <f>AND(#REF!,"AAAAACd/m6M=")</f>
        <v>#REF!</v>
      </c>
      <c r="FI27" t="e">
        <f>AND(#REF!,"AAAAACd/m6Q=")</f>
        <v>#REF!</v>
      </c>
      <c r="FJ27" t="e">
        <f>AND(#REF!,"AAAAACd/m6U=")</f>
        <v>#REF!</v>
      </c>
      <c r="FK27" t="e">
        <f>AND(#REF!,"AAAAACd/m6Y=")</f>
        <v>#REF!</v>
      </c>
      <c r="FL27" t="e">
        <f>AND(#REF!,"AAAAACd/m6c=")</f>
        <v>#REF!</v>
      </c>
      <c r="FM27" t="e">
        <f>AND(#REF!,"AAAAACd/m6g=")</f>
        <v>#REF!</v>
      </c>
      <c r="FN27" t="e">
        <f>IF(#REF!,"AAAAACd/m6k=",0)</f>
        <v>#REF!</v>
      </c>
      <c r="FO27" t="e">
        <f>AND(#REF!,"AAAAACd/m6o=")</f>
        <v>#REF!</v>
      </c>
      <c r="FP27" t="e">
        <f>AND(#REF!,"AAAAACd/m6s=")</f>
        <v>#REF!</v>
      </c>
      <c r="FQ27" t="e">
        <f>AND(#REF!,"AAAAACd/m6w=")</f>
        <v>#REF!</v>
      </c>
      <c r="FR27" t="e">
        <f>AND(#REF!,"AAAAACd/m60=")</f>
        <v>#REF!</v>
      </c>
      <c r="FS27" t="e">
        <f>AND(#REF!,"AAAAACd/m64=")</f>
        <v>#REF!</v>
      </c>
      <c r="FT27" t="e">
        <f>AND(#REF!,"AAAAACd/m68=")</f>
        <v>#REF!</v>
      </c>
      <c r="FU27" t="e">
        <f>AND(#REF!,"AAAAACd/m7A=")</f>
        <v>#REF!</v>
      </c>
      <c r="FV27" t="e">
        <f>AND(#REF!,"AAAAACd/m7E=")</f>
        <v>#REF!</v>
      </c>
      <c r="FW27" t="e">
        <f>AND(#REF!,"AAAAACd/m7I=")</f>
        <v>#REF!</v>
      </c>
      <c r="FX27" t="e">
        <f>AND(#REF!,"AAAAACd/m7M=")</f>
        <v>#REF!</v>
      </c>
      <c r="FY27" t="e">
        <f>IF(#REF!,"AAAAACd/m7Q=",0)</f>
        <v>#REF!</v>
      </c>
      <c r="FZ27" t="e">
        <f>AND(#REF!,"AAAAACd/m7U=")</f>
        <v>#REF!</v>
      </c>
      <c r="GA27" t="e">
        <f>AND(#REF!,"AAAAACd/m7Y=")</f>
        <v>#REF!</v>
      </c>
      <c r="GB27" t="e">
        <f>AND(#REF!,"AAAAACd/m7c=")</f>
        <v>#REF!</v>
      </c>
      <c r="GC27" t="e">
        <f>AND(#REF!,"AAAAACd/m7g=")</f>
        <v>#REF!</v>
      </c>
      <c r="GD27" t="e">
        <f>AND(#REF!,"AAAAACd/m7k=")</f>
        <v>#REF!</v>
      </c>
      <c r="GE27" t="e">
        <f>AND(#REF!,"AAAAACd/m7o=")</f>
        <v>#REF!</v>
      </c>
      <c r="GF27" t="e">
        <f>AND(#REF!,"AAAAACd/m7s=")</f>
        <v>#REF!</v>
      </c>
      <c r="GG27" t="e">
        <f>AND(#REF!,"AAAAACd/m7w=")</f>
        <v>#REF!</v>
      </c>
      <c r="GH27" t="e">
        <f>AND(#REF!,"AAAAACd/m70=")</f>
        <v>#REF!</v>
      </c>
      <c r="GI27" t="e">
        <f>AND(#REF!,"AAAAACd/m74=")</f>
        <v>#REF!</v>
      </c>
      <c r="GJ27" t="e">
        <f>IF(#REF!,"AAAAACd/m78=",0)</f>
        <v>#REF!</v>
      </c>
      <c r="GK27" t="e">
        <f>AND(#REF!,"AAAAACd/m8A=")</f>
        <v>#REF!</v>
      </c>
      <c r="GL27" t="e">
        <f>AND(#REF!,"AAAAACd/m8E=")</f>
        <v>#REF!</v>
      </c>
      <c r="GM27" t="e">
        <f>AND(#REF!,"AAAAACd/m8I=")</f>
        <v>#REF!</v>
      </c>
      <c r="GN27" t="e">
        <f>AND(#REF!,"AAAAACd/m8M=")</f>
        <v>#REF!</v>
      </c>
      <c r="GO27" t="e">
        <f>AND(#REF!,"AAAAACd/m8Q=")</f>
        <v>#REF!</v>
      </c>
      <c r="GP27" t="e">
        <f>AND(#REF!,"AAAAACd/m8U=")</f>
        <v>#REF!</v>
      </c>
      <c r="GQ27" t="e">
        <f>AND(#REF!,"AAAAACd/m8Y=")</f>
        <v>#REF!</v>
      </c>
      <c r="GR27" t="e">
        <f>AND(#REF!,"AAAAACd/m8c=")</f>
        <v>#REF!</v>
      </c>
      <c r="GS27" t="e">
        <f>AND(#REF!,"AAAAACd/m8g=")</f>
        <v>#REF!</v>
      </c>
      <c r="GT27" t="e">
        <f>AND(#REF!,"AAAAACd/m8k=")</f>
        <v>#REF!</v>
      </c>
      <c r="GU27" t="e">
        <f>IF(#REF!,"AAAAACd/m8o=",0)</f>
        <v>#REF!</v>
      </c>
      <c r="GV27" t="e">
        <f>AND(#REF!,"AAAAACd/m8s=")</f>
        <v>#REF!</v>
      </c>
      <c r="GW27" t="e">
        <f>AND(#REF!,"AAAAACd/m8w=")</f>
        <v>#REF!</v>
      </c>
      <c r="GX27" t="e">
        <f>AND(#REF!,"AAAAACd/m80=")</f>
        <v>#REF!</v>
      </c>
      <c r="GY27" t="e">
        <f>AND(#REF!,"AAAAACd/m84=")</f>
        <v>#REF!</v>
      </c>
      <c r="GZ27" t="e">
        <f>AND(#REF!,"AAAAACd/m88=")</f>
        <v>#REF!</v>
      </c>
      <c r="HA27" t="e">
        <f>AND(#REF!,"AAAAACd/m9A=")</f>
        <v>#REF!</v>
      </c>
      <c r="HB27" t="e">
        <f>AND(#REF!,"AAAAACd/m9E=")</f>
        <v>#REF!</v>
      </c>
      <c r="HC27" t="e">
        <f>AND(#REF!,"AAAAACd/m9I=")</f>
        <v>#REF!</v>
      </c>
      <c r="HD27" t="e">
        <f>AND(#REF!,"AAAAACd/m9M=")</f>
        <v>#REF!</v>
      </c>
      <c r="HE27" t="e">
        <f>AND(#REF!,"AAAAACd/m9Q=")</f>
        <v>#REF!</v>
      </c>
      <c r="HF27" t="e">
        <f>IF(#REF!,"AAAAACd/m9U=",0)</f>
        <v>#REF!</v>
      </c>
      <c r="HG27" t="e">
        <f>AND(#REF!,"AAAAACd/m9Y=")</f>
        <v>#REF!</v>
      </c>
      <c r="HH27" t="e">
        <f>AND(#REF!,"AAAAACd/m9c=")</f>
        <v>#REF!</v>
      </c>
      <c r="HI27" t="e">
        <f>AND(#REF!,"AAAAACd/m9g=")</f>
        <v>#REF!</v>
      </c>
      <c r="HJ27" t="e">
        <f>AND(#REF!,"AAAAACd/m9k=")</f>
        <v>#REF!</v>
      </c>
      <c r="HK27" t="e">
        <f>AND(#REF!,"AAAAACd/m9o=")</f>
        <v>#REF!</v>
      </c>
      <c r="HL27" t="e">
        <f>AND(#REF!,"AAAAACd/m9s=")</f>
        <v>#REF!</v>
      </c>
      <c r="HM27" t="e">
        <f>AND(#REF!,"AAAAACd/m9w=")</f>
        <v>#REF!</v>
      </c>
      <c r="HN27" t="e">
        <f>AND(#REF!,"AAAAACd/m90=")</f>
        <v>#REF!</v>
      </c>
      <c r="HO27" t="e">
        <f>AND(#REF!,"AAAAACd/m94=")</f>
        <v>#REF!</v>
      </c>
      <c r="HP27" t="e">
        <f>AND(#REF!,"AAAAACd/m98=")</f>
        <v>#REF!</v>
      </c>
      <c r="HQ27" t="e">
        <f>IF(#REF!,"AAAAACd/m+A=",0)</f>
        <v>#REF!</v>
      </c>
      <c r="HR27" t="e">
        <f>AND(#REF!,"AAAAACd/m+E=")</f>
        <v>#REF!</v>
      </c>
      <c r="HS27" t="e">
        <f>AND(#REF!,"AAAAACd/m+I=")</f>
        <v>#REF!</v>
      </c>
      <c r="HT27" t="e">
        <f>AND(#REF!,"AAAAACd/m+M=")</f>
        <v>#REF!</v>
      </c>
      <c r="HU27" t="e">
        <f>AND(#REF!,"AAAAACd/m+Q=")</f>
        <v>#REF!</v>
      </c>
      <c r="HV27" t="e">
        <f>AND(#REF!,"AAAAACd/m+U=")</f>
        <v>#REF!</v>
      </c>
      <c r="HW27" t="e">
        <f>AND(#REF!,"AAAAACd/m+Y=")</f>
        <v>#REF!</v>
      </c>
      <c r="HX27" t="e">
        <f>AND(#REF!,"AAAAACd/m+c=")</f>
        <v>#REF!</v>
      </c>
      <c r="HY27" t="e">
        <f>AND(#REF!,"AAAAACd/m+g=")</f>
        <v>#REF!</v>
      </c>
      <c r="HZ27" t="e">
        <f>AND(#REF!,"AAAAACd/m+k=")</f>
        <v>#REF!</v>
      </c>
      <c r="IA27" t="e">
        <f>AND(#REF!,"AAAAACd/m+o=")</f>
        <v>#REF!</v>
      </c>
      <c r="IB27" t="e">
        <f>IF(#REF!,"AAAAACd/m+s=",0)</f>
        <v>#REF!</v>
      </c>
      <c r="IC27" t="e">
        <f>AND(#REF!,"AAAAACd/m+w=")</f>
        <v>#REF!</v>
      </c>
      <c r="ID27" t="e">
        <f>AND(#REF!,"AAAAACd/m+0=")</f>
        <v>#REF!</v>
      </c>
      <c r="IE27" t="e">
        <f>AND(#REF!,"AAAAACd/m+4=")</f>
        <v>#REF!</v>
      </c>
      <c r="IF27" t="e">
        <f>AND(#REF!,"AAAAACd/m+8=")</f>
        <v>#REF!</v>
      </c>
      <c r="IG27" t="e">
        <f>AND(#REF!,"AAAAACd/m/A=")</f>
        <v>#REF!</v>
      </c>
      <c r="IH27" t="e">
        <f>AND(#REF!,"AAAAACd/m/E=")</f>
        <v>#REF!</v>
      </c>
      <c r="II27" t="e">
        <f>AND(#REF!,"AAAAACd/m/I=")</f>
        <v>#REF!</v>
      </c>
      <c r="IJ27" t="e">
        <f>AND(#REF!,"AAAAACd/m/M=")</f>
        <v>#REF!</v>
      </c>
      <c r="IK27" t="e">
        <f>AND(#REF!,"AAAAACd/m/Q=")</f>
        <v>#REF!</v>
      </c>
      <c r="IL27" t="e">
        <f>AND(#REF!,"AAAAACd/m/U=")</f>
        <v>#REF!</v>
      </c>
      <c r="IM27" t="e">
        <f>IF(#REF!,"AAAAACd/m/Y=",0)</f>
        <v>#REF!</v>
      </c>
      <c r="IN27" t="e">
        <f>AND(#REF!,"AAAAACd/m/c=")</f>
        <v>#REF!</v>
      </c>
      <c r="IO27" t="e">
        <f>AND(#REF!,"AAAAACd/m/g=")</f>
        <v>#REF!</v>
      </c>
      <c r="IP27" t="e">
        <f>AND(#REF!,"AAAAACd/m/k=")</f>
        <v>#REF!</v>
      </c>
      <c r="IQ27" t="e">
        <f>AND(#REF!,"AAAAACd/m/o=")</f>
        <v>#REF!</v>
      </c>
      <c r="IR27" t="e">
        <f>AND(#REF!,"AAAAACd/m/s=")</f>
        <v>#REF!</v>
      </c>
      <c r="IS27" t="e">
        <f>AND(#REF!,"AAAAACd/m/w=")</f>
        <v>#REF!</v>
      </c>
      <c r="IT27" t="e">
        <f>AND(#REF!,"AAAAACd/m/0=")</f>
        <v>#REF!</v>
      </c>
      <c r="IU27" t="e">
        <f>AND(#REF!,"AAAAACd/m/4=")</f>
        <v>#REF!</v>
      </c>
      <c r="IV27" t="e">
        <f>AND(#REF!,"AAAAACd/m/8=")</f>
        <v>#REF!</v>
      </c>
    </row>
    <row r="28" spans="1:256" x14ac:dyDescent="0.25">
      <c r="A28" t="e">
        <f>AND(#REF!,"AAAAAE9vvgA=")</f>
        <v>#REF!</v>
      </c>
      <c r="B28" t="e">
        <f>IF(#REF!,"AAAAAE9vvgE=",0)</f>
        <v>#REF!</v>
      </c>
      <c r="C28" t="e">
        <f>AND(#REF!,"AAAAAE9vvgI=")</f>
        <v>#REF!</v>
      </c>
      <c r="D28" t="e">
        <f>AND(#REF!,"AAAAAE9vvgM=")</f>
        <v>#REF!</v>
      </c>
      <c r="E28" t="e">
        <f>AND(#REF!,"AAAAAE9vvgQ=")</f>
        <v>#REF!</v>
      </c>
      <c r="F28" t="e">
        <f>AND(#REF!,"AAAAAE9vvgU=")</f>
        <v>#REF!</v>
      </c>
      <c r="G28" t="e">
        <f>AND(#REF!,"AAAAAE9vvgY=")</f>
        <v>#REF!</v>
      </c>
      <c r="H28" t="e">
        <f>AND(#REF!,"AAAAAE9vvgc=")</f>
        <v>#REF!</v>
      </c>
      <c r="I28" t="e">
        <f>AND(#REF!,"AAAAAE9vvgg=")</f>
        <v>#REF!</v>
      </c>
      <c r="J28" t="e">
        <f>AND(#REF!,"AAAAAE9vvgk=")</f>
        <v>#REF!</v>
      </c>
      <c r="K28" t="e">
        <f>AND(#REF!,"AAAAAE9vvgo=")</f>
        <v>#REF!</v>
      </c>
      <c r="L28" t="e">
        <f>AND(#REF!,"AAAAAE9vvgs=")</f>
        <v>#REF!</v>
      </c>
      <c r="M28" t="e">
        <f>IF(#REF!,"AAAAAE9vvgw=",0)</f>
        <v>#REF!</v>
      </c>
      <c r="N28" t="e">
        <f>AND(#REF!,"AAAAAE9vvg0=")</f>
        <v>#REF!</v>
      </c>
      <c r="O28" t="e">
        <f>AND(#REF!,"AAAAAE9vvg4=")</f>
        <v>#REF!</v>
      </c>
      <c r="P28" t="e">
        <f>AND(#REF!,"AAAAAE9vvg8=")</f>
        <v>#REF!</v>
      </c>
      <c r="Q28" t="e">
        <f>AND(#REF!,"AAAAAE9vvhA=")</f>
        <v>#REF!</v>
      </c>
      <c r="R28" t="e">
        <f>AND(#REF!,"AAAAAE9vvhE=")</f>
        <v>#REF!</v>
      </c>
      <c r="S28" t="e">
        <f>AND(#REF!,"AAAAAE9vvhI=")</f>
        <v>#REF!</v>
      </c>
      <c r="T28" t="e">
        <f>AND(#REF!,"AAAAAE9vvhM=")</f>
        <v>#REF!</v>
      </c>
      <c r="U28" t="e">
        <f>AND(#REF!,"AAAAAE9vvhQ=")</f>
        <v>#REF!</v>
      </c>
      <c r="V28" t="e">
        <f>AND(#REF!,"AAAAAE9vvhU=")</f>
        <v>#REF!</v>
      </c>
      <c r="W28" t="e">
        <f>AND(#REF!,"AAAAAE9vvhY=")</f>
        <v>#REF!</v>
      </c>
      <c r="X28" t="e">
        <f>IF(#REF!,"AAAAAE9vvhc=",0)</f>
        <v>#REF!</v>
      </c>
      <c r="Y28" t="e">
        <f>AND(#REF!,"AAAAAE9vvhg=")</f>
        <v>#REF!</v>
      </c>
      <c r="Z28" t="e">
        <f>AND(#REF!,"AAAAAE9vvhk=")</f>
        <v>#REF!</v>
      </c>
      <c r="AA28" t="e">
        <f>AND(#REF!,"AAAAAE9vvho=")</f>
        <v>#REF!</v>
      </c>
      <c r="AB28" t="e">
        <f>AND(#REF!,"AAAAAE9vvhs=")</f>
        <v>#REF!</v>
      </c>
      <c r="AC28" t="e">
        <f>AND(#REF!,"AAAAAE9vvhw=")</f>
        <v>#REF!</v>
      </c>
      <c r="AD28" t="e">
        <f>AND(#REF!,"AAAAAE9vvh0=")</f>
        <v>#REF!</v>
      </c>
      <c r="AE28" t="e">
        <f>AND(#REF!,"AAAAAE9vvh4=")</f>
        <v>#REF!</v>
      </c>
      <c r="AF28" t="e">
        <f>AND(#REF!,"AAAAAE9vvh8=")</f>
        <v>#REF!</v>
      </c>
      <c r="AG28" t="e">
        <f>AND(#REF!,"AAAAAE9vviA=")</f>
        <v>#REF!</v>
      </c>
      <c r="AH28" t="e">
        <f>AND(#REF!,"AAAAAE9vviE=")</f>
        <v>#REF!</v>
      </c>
      <c r="AI28" t="e">
        <f>IF(#REF!,"AAAAAE9vviI=",0)</f>
        <v>#REF!</v>
      </c>
      <c r="AJ28" t="e">
        <f>AND(#REF!,"AAAAAE9vviM=")</f>
        <v>#REF!</v>
      </c>
      <c r="AK28" t="e">
        <f>AND(#REF!,"AAAAAE9vviQ=")</f>
        <v>#REF!</v>
      </c>
      <c r="AL28" t="e">
        <f>AND(#REF!,"AAAAAE9vviU=")</f>
        <v>#REF!</v>
      </c>
      <c r="AM28" t="e">
        <f>AND(#REF!,"AAAAAE9vviY=")</f>
        <v>#REF!</v>
      </c>
      <c r="AN28" t="e">
        <f>AND(#REF!,"AAAAAE9vvic=")</f>
        <v>#REF!</v>
      </c>
      <c r="AO28" t="e">
        <f>AND(#REF!,"AAAAAE9vvig=")</f>
        <v>#REF!</v>
      </c>
      <c r="AP28" t="e">
        <f>AND(#REF!,"AAAAAE9vvik=")</f>
        <v>#REF!</v>
      </c>
      <c r="AQ28" t="e">
        <f>AND(#REF!,"AAAAAE9vvio=")</f>
        <v>#REF!</v>
      </c>
      <c r="AR28" t="e">
        <f>AND(#REF!,"AAAAAE9vvis=")</f>
        <v>#REF!</v>
      </c>
      <c r="AS28" t="e">
        <f>AND(#REF!,"AAAAAE9vviw=")</f>
        <v>#REF!</v>
      </c>
      <c r="AT28" t="e">
        <f>IF(#REF!,"AAAAAE9vvi0=",0)</f>
        <v>#REF!</v>
      </c>
      <c r="AU28" t="e">
        <f>AND(#REF!,"AAAAAE9vvi4=")</f>
        <v>#REF!</v>
      </c>
      <c r="AV28" t="e">
        <f>AND(#REF!,"AAAAAE9vvi8=")</f>
        <v>#REF!</v>
      </c>
      <c r="AW28" t="e">
        <f>AND(#REF!,"AAAAAE9vvjA=")</f>
        <v>#REF!</v>
      </c>
      <c r="AX28" t="e">
        <f>AND(#REF!,"AAAAAE9vvjE=")</f>
        <v>#REF!</v>
      </c>
      <c r="AY28" t="e">
        <f>AND(#REF!,"AAAAAE9vvjI=")</f>
        <v>#REF!</v>
      </c>
      <c r="AZ28" t="e">
        <f>AND(#REF!,"AAAAAE9vvjM=")</f>
        <v>#REF!</v>
      </c>
      <c r="BA28" t="e">
        <f>AND(#REF!,"AAAAAE9vvjQ=")</f>
        <v>#REF!</v>
      </c>
      <c r="BB28" t="e">
        <f>AND(#REF!,"AAAAAE9vvjU=")</f>
        <v>#REF!</v>
      </c>
      <c r="BC28" t="e">
        <f>AND(#REF!,"AAAAAE9vvjY=")</f>
        <v>#REF!</v>
      </c>
      <c r="BD28" t="e">
        <f>AND(#REF!,"AAAAAE9vvjc=")</f>
        <v>#REF!</v>
      </c>
      <c r="BE28" t="e">
        <f>IF(#REF!,"AAAAAE9vvjg=",0)</f>
        <v>#REF!</v>
      </c>
      <c r="BF28" t="e">
        <f>AND(#REF!,"AAAAAE9vvjk=")</f>
        <v>#REF!</v>
      </c>
      <c r="BG28" t="e">
        <f>AND(#REF!,"AAAAAE9vvjo=")</f>
        <v>#REF!</v>
      </c>
      <c r="BH28" t="e">
        <f>AND(#REF!,"AAAAAE9vvjs=")</f>
        <v>#REF!</v>
      </c>
      <c r="BI28" t="e">
        <f>AND(#REF!,"AAAAAE9vvjw=")</f>
        <v>#REF!</v>
      </c>
      <c r="BJ28" t="e">
        <f>AND(#REF!,"AAAAAE9vvj0=")</f>
        <v>#REF!</v>
      </c>
      <c r="BK28" t="e">
        <f>AND(#REF!,"AAAAAE9vvj4=")</f>
        <v>#REF!</v>
      </c>
      <c r="BL28" t="e">
        <f>AND(#REF!,"AAAAAE9vvj8=")</f>
        <v>#REF!</v>
      </c>
      <c r="BM28" t="e">
        <f>AND(#REF!,"AAAAAE9vvkA=")</f>
        <v>#REF!</v>
      </c>
      <c r="BN28" t="e">
        <f>AND(#REF!,"AAAAAE9vvkE=")</f>
        <v>#REF!</v>
      </c>
      <c r="BO28" t="e">
        <f>AND(#REF!,"AAAAAE9vvkI=")</f>
        <v>#REF!</v>
      </c>
      <c r="BP28" t="e">
        <f>IF(#REF!,"AAAAAE9vvkM=",0)</f>
        <v>#REF!</v>
      </c>
      <c r="BQ28" t="e">
        <f>AND(#REF!,"AAAAAE9vvkQ=")</f>
        <v>#REF!</v>
      </c>
      <c r="BR28" t="e">
        <f>AND(#REF!,"AAAAAE9vvkU=")</f>
        <v>#REF!</v>
      </c>
      <c r="BS28" t="e">
        <f>AND(#REF!,"AAAAAE9vvkY=")</f>
        <v>#REF!</v>
      </c>
      <c r="BT28" t="e">
        <f>AND(#REF!,"AAAAAE9vvkc=")</f>
        <v>#REF!</v>
      </c>
      <c r="BU28" t="e">
        <f>AND(#REF!,"AAAAAE9vvkg=")</f>
        <v>#REF!</v>
      </c>
      <c r="BV28" t="e">
        <f>AND(#REF!,"AAAAAE9vvkk=")</f>
        <v>#REF!</v>
      </c>
      <c r="BW28" t="e">
        <f>AND(#REF!,"AAAAAE9vvko=")</f>
        <v>#REF!</v>
      </c>
      <c r="BX28" t="e">
        <f>AND(#REF!,"AAAAAE9vvks=")</f>
        <v>#REF!</v>
      </c>
      <c r="BY28" t="e">
        <f>AND(#REF!,"AAAAAE9vvkw=")</f>
        <v>#REF!</v>
      </c>
      <c r="BZ28" t="e">
        <f>AND(#REF!,"AAAAAE9vvk0=")</f>
        <v>#REF!</v>
      </c>
      <c r="CA28" t="e">
        <f>IF(#REF!,"AAAAAE9vvk4=",0)</f>
        <v>#REF!</v>
      </c>
      <c r="CB28" t="e">
        <f>AND(#REF!,"AAAAAE9vvk8=")</f>
        <v>#REF!</v>
      </c>
      <c r="CC28" t="e">
        <f>AND(#REF!,"AAAAAE9vvlA=")</f>
        <v>#REF!</v>
      </c>
      <c r="CD28" t="e">
        <f>AND(#REF!,"AAAAAE9vvlE=")</f>
        <v>#REF!</v>
      </c>
      <c r="CE28" t="e">
        <f>AND(#REF!,"AAAAAE9vvlI=")</f>
        <v>#REF!</v>
      </c>
      <c r="CF28" t="e">
        <f>AND(#REF!,"AAAAAE9vvlM=")</f>
        <v>#REF!</v>
      </c>
      <c r="CG28" t="e">
        <f>AND(#REF!,"AAAAAE9vvlQ=")</f>
        <v>#REF!</v>
      </c>
      <c r="CH28" t="e">
        <f>AND(#REF!,"AAAAAE9vvlU=")</f>
        <v>#REF!</v>
      </c>
      <c r="CI28" t="e">
        <f>AND(#REF!,"AAAAAE9vvlY=")</f>
        <v>#REF!</v>
      </c>
      <c r="CJ28" t="e">
        <f>AND(#REF!,"AAAAAE9vvlc=")</f>
        <v>#REF!</v>
      </c>
      <c r="CK28" t="e">
        <f>AND(#REF!,"AAAAAE9vvlg=")</f>
        <v>#REF!</v>
      </c>
      <c r="CL28" t="e">
        <f>IF(#REF!,"AAAAAE9vvlk=",0)</f>
        <v>#REF!</v>
      </c>
      <c r="CM28" t="e">
        <f>AND(#REF!,"AAAAAE9vvlo=")</f>
        <v>#REF!</v>
      </c>
      <c r="CN28" t="e">
        <f>AND(#REF!,"AAAAAE9vvls=")</f>
        <v>#REF!</v>
      </c>
      <c r="CO28" t="e">
        <f>AND(#REF!,"AAAAAE9vvlw=")</f>
        <v>#REF!</v>
      </c>
      <c r="CP28" t="e">
        <f>AND(#REF!,"AAAAAE9vvl0=")</f>
        <v>#REF!</v>
      </c>
      <c r="CQ28" t="e">
        <f>AND(#REF!,"AAAAAE9vvl4=")</f>
        <v>#REF!</v>
      </c>
      <c r="CR28" t="e">
        <f>AND(#REF!,"AAAAAE9vvl8=")</f>
        <v>#REF!</v>
      </c>
      <c r="CS28" t="e">
        <f>AND(#REF!,"AAAAAE9vvmA=")</f>
        <v>#REF!</v>
      </c>
      <c r="CT28" t="e">
        <f>AND(#REF!,"AAAAAE9vvmE=")</f>
        <v>#REF!</v>
      </c>
      <c r="CU28" t="e">
        <f>AND(#REF!,"AAAAAE9vvmI=")</f>
        <v>#REF!</v>
      </c>
      <c r="CV28" t="e">
        <f>AND(#REF!,"AAAAAE9vvmM=")</f>
        <v>#REF!</v>
      </c>
      <c r="CW28" t="e">
        <f>IF(#REF!,"AAAAAE9vvmQ=",0)</f>
        <v>#REF!</v>
      </c>
      <c r="CX28" t="e">
        <f>AND(#REF!,"AAAAAE9vvmU=")</f>
        <v>#REF!</v>
      </c>
      <c r="CY28" t="e">
        <f>AND(#REF!,"AAAAAE9vvmY=")</f>
        <v>#REF!</v>
      </c>
      <c r="CZ28" t="e">
        <f>AND(#REF!,"AAAAAE9vvmc=")</f>
        <v>#REF!</v>
      </c>
      <c r="DA28" t="e">
        <f>AND(#REF!,"AAAAAE9vvmg=")</f>
        <v>#REF!</v>
      </c>
      <c r="DB28" t="e">
        <f>AND(#REF!,"AAAAAE9vvmk=")</f>
        <v>#REF!</v>
      </c>
      <c r="DC28" t="e">
        <f>AND(#REF!,"AAAAAE9vvmo=")</f>
        <v>#REF!</v>
      </c>
      <c r="DD28" t="e">
        <f>AND(#REF!,"AAAAAE9vvms=")</f>
        <v>#REF!</v>
      </c>
      <c r="DE28" t="e">
        <f>AND(#REF!,"AAAAAE9vvmw=")</f>
        <v>#REF!</v>
      </c>
      <c r="DF28" t="e">
        <f>AND(#REF!,"AAAAAE9vvm0=")</f>
        <v>#REF!</v>
      </c>
      <c r="DG28" t="e">
        <f>AND(#REF!,"AAAAAE9vvm4=")</f>
        <v>#REF!</v>
      </c>
      <c r="DH28" t="e">
        <f>IF(#REF!,"AAAAAE9vvm8=",0)</f>
        <v>#REF!</v>
      </c>
      <c r="DI28" t="e">
        <f>AND(#REF!,"AAAAAE9vvnA=")</f>
        <v>#REF!</v>
      </c>
      <c r="DJ28" t="e">
        <f>AND(#REF!,"AAAAAE9vvnE=")</f>
        <v>#REF!</v>
      </c>
      <c r="DK28" t="e">
        <f>AND(#REF!,"AAAAAE9vvnI=")</f>
        <v>#REF!</v>
      </c>
      <c r="DL28" t="e">
        <f>AND(#REF!,"AAAAAE9vvnM=")</f>
        <v>#REF!</v>
      </c>
      <c r="DM28" t="e">
        <f>AND(#REF!,"AAAAAE9vvnQ=")</f>
        <v>#REF!</v>
      </c>
      <c r="DN28" t="e">
        <f>AND(#REF!,"AAAAAE9vvnU=")</f>
        <v>#REF!</v>
      </c>
      <c r="DO28" t="e">
        <f>AND(#REF!,"AAAAAE9vvnY=")</f>
        <v>#REF!</v>
      </c>
      <c r="DP28" t="e">
        <f>AND(#REF!,"AAAAAE9vvnc=")</f>
        <v>#REF!</v>
      </c>
      <c r="DQ28" t="e">
        <f>AND(#REF!,"AAAAAE9vvng=")</f>
        <v>#REF!</v>
      </c>
      <c r="DR28" t="e">
        <f>AND(#REF!,"AAAAAE9vvnk=")</f>
        <v>#REF!</v>
      </c>
      <c r="DS28" t="e">
        <f>IF(#REF!,"AAAAAE9vvno=",0)</f>
        <v>#REF!</v>
      </c>
      <c r="DT28" t="e">
        <f>AND(#REF!,"AAAAAE9vvns=")</f>
        <v>#REF!</v>
      </c>
      <c r="DU28" t="e">
        <f>AND(#REF!,"AAAAAE9vvnw=")</f>
        <v>#REF!</v>
      </c>
      <c r="DV28" t="e">
        <f>AND(#REF!,"AAAAAE9vvn0=")</f>
        <v>#REF!</v>
      </c>
      <c r="DW28" t="e">
        <f>AND(#REF!,"AAAAAE9vvn4=")</f>
        <v>#REF!</v>
      </c>
      <c r="DX28" t="e">
        <f>AND(#REF!,"AAAAAE9vvn8=")</f>
        <v>#REF!</v>
      </c>
      <c r="DY28" t="e">
        <f>AND(#REF!,"AAAAAE9vvoA=")</f>
        <v>#REF!</v>
      </c>
      <c r="DZ28" t="e">
        <f>AND(#REF!,"AAAAAE9vvoE=")</f>
        <v>#REF!</v>
      </c>
      <c r="EA28" t="e">
        <f>AND(#REF!,"AAAAAE9vvoI=")</f>
        <v>#REF!</v>
      </c>
      <c r="EB28" t="e">
        <f>AND(#REF!,"AAAAAE9vvoM=")</f>
        <v>#REF!</v>
      </c>
      <c r="EC28" t="e">
        <f>AND(#REF!,"AAAAAE9vvoQ=")</f>
        <v>#REF!</v>
      </c>
      <c r="ED28" t="e">
        <f>IF(#REF!,"AAAAAE9vvoU=",0)</f>
        <v>#REF!</v>
      </c>
      <c r="EE28" t="e">
        <f>AND(#REF!,"AAAAAE9vvoY=")</f>
        <v>#REF!</v>
      </c>
      <c r="EF28" t="e">
        <f>AND(#REF!,"AAAAAE9vvoc=")</f>
        <v>#REF!</v>
      </c>
      <c r="EG28" t="e">
        <f>AND(#REF!,"AAAAAE9vvog=")</f>
        <v>#REF!</v>
      </c>
      <c r="EH28" t="e">
        <f>AND(#REF!,"AAAAAE9vvok=")</f>
        <v>#REF!</v>
      </c>
      <c r="EI28" t="e">
        <f>AND(#REF!,"AAAAAE9vvoo=")</f>
        <v>#REF!</v>
      </c>
      <c r="EJ28" t="e">
        <f>AND(#REF!,"AAAAAE9vvos=")</f>
        <v>#REF!</v>
      </c>
      <c r="EK28" t="e">
        <f>AND(#REF!,"AAAAAE9vvow=")</f>
        <v>#REF!</v>
      </c>
      <c r="EL28" t="e">
        <f>AND(#REF!,"AAAAAE9vvo0=")</f>
        <v>#REF!</v>
      </c>
      <c r="EM28" t="e">
        <f>AND(#REF!,"AAAAAE9vvo4=")</f>
        <v>#REF!</v>
      </c>
      <c r="EN28" t="e">
        <f>AND(#REF!,"AAAAAE9vvo8=")</f>
        <v>#REF!</v>
      </c>
      <c r="EO28" t="e">
        <f>IF(#REF!,"AAAAAE9vvpA=",0)</f>
        <v>#REF!</v>
      </c>
      <c r="EP28" t="e">
        <f>AND(#REF!,"AAAAAE9vvpE=")</f>
        <v>#REF!</v>
      </c>
      <c r="EQ28" t="e">
        <f>AND(#REF!,"AAAAAE9vvpI=")</f>
        <v>#REF!</v>
      </c>
      <c r="ER28" t="e">
        <f>AND(#REF!,"AAAAAE9vvpM=")</f>
        <v>#REF!</v>
      </c>
      <c r="ES28" t="e">
        <f>AND(#REF!,"AAAAAE9vvpQ=")</f>
        <v>#REF!</v>
      </c>
      <c r="ET28" t="e">
        <f>AND(#REF!,"AAAAAE9vvpU=")</f>
        <v>#REF!</v>
      </c>
      <c r="EU28" t="e">
        <f>AND(#REF!,"AAAAAE9vvpY=")</f>
        <v>#REF!</v>
      </c>
      <c r="EV28" t="e">
        <f>AND(#REF!,"AAAAAE9vvpc=")</f>
        <v>#REF!</v>
      </c>
      <c r="EW28" t="e">
        <f>AND(#REF!,"AAAAAE9vvpg=")</f>
        <v>#REF!</v>
      </c>
      <c r="EX28" t="e">
        <f>AND(#REF!,"AAAAAE9vvpk=")</f>
        <v>#REF!</v>
      </c>
      <c r="EY28" t="e">
        <f>AND(#REF!,"AAAAAE9vvpo=")</f>
        <v>#REF!</v>
      </c>
      <c r="EZ28" t="e">
        <f>IF(#REF!,"AAAAAE9vvps=",0)</f>
        <v>#REF!</v>
      </c>
      <c r="FA28" t="e">
        <f>AND(#REF!,"AAAAAE9vvpw=")</f>
        <v>#REF!</v>
      </c>
      <c r="FB28" t="e">
        <f>AND(#REF!,"AAAAAE9vvp0=")</f>
        <v>#REF!</v>
      </c>
      <c r="FC28" t="e">
        <f>AND(#REF!,"AAAAAE9vvp4=")</f>
        <v>#REF!</v>
      </c>
      <c r="FD28" t="e">
        <f>AND(#REF!,"AAAAAE9vvp8=")</f>
        <v>#REF!</v>
      </c>
      <c r="FE28" t="e">
        <f>AND(#REF!,"AAAAAE9vvqA=")</f>
        <v>#REF!</v>
      </c>
      <c r="FF28" t="e">
        <f>AND(#REF!,"AAAAAE9vvqE=")</f>
        <v>#REF!</v>
      </c>
      <c r="FG28" t="e">
        <f>AND(#REF!,"AAAAAE9vvqI=")</f>
        <v>#REF!</v>
      </c>
      <c r="FH28" t="e">
        <f>AND(#REF!,"AAAAAE9vvqM=")</f>
        <v>#REF!</v>
      </c>
      <c r="FI28" t="e">
        <f>AND(#REF!,"AAAAAE9vvqQ=")</f>
        <v>#REF!</v>
      </c>
      <c r="FJ28" t="e">
        <f>AND(#REF!,"AAAAAE9vvqU=")</f>
        <v>#REF!</v>
      </c>
      <c r="FK28" t="e">
        <f>IF(#REF!,"AAAAAE9vvqY=",0)</f>
        <v>#REF!</v>
      </c>
      <c r="FL28" t="e">
        <f>AND(#REF!,"AAAAAE9vvqc=")</f>
        <v>#REF!</v>
      </c>
      <c r="FM28" t="e">
        <f>AND(#REF!,"AAAAAE9vvqg=")</f>
        <v>#REF!</v>
      </c>
      <c r="FN28" t="e">
        <f>AND(#REF!,"AAAAAE9vvqk=")</f>
        <v>#REF!</v>
      </c>
      <c r="FO28" t="e">
        <f>AND(#REF!,"AAAAAE9vvqo=")</f>
        <v>#REF!</v>
      </c>
      <c r="FP28" t="e">
        <f>AND(#REF!,"AAAAAE9vvqs=")</f>
        <v>#REF!</v>
      </c>
      <c r="FQ28" t="e">
        <f>AND(#REF!,"AAAAAE9vvqw=")</f>
        <v>#REF!</v>
      </c>
      <c r="FR28" t="e">
        <f>AND(#REF!,"AAAAAE9vvq0=")</f>
        <v>#REF!</v>
      </c>
      <c r="FS28" t="e">
        <f>AND(#REF!,"AAAAAE9vvq4=")</f>
        <v>#REF!</v>
      </c>
      <c r="FT28" t="e">
        <f>AND(#REF!,"AAAAAE9vvq8=")</f>
        <v>#REF!</v>
      </c>
      <c r="FU28" t="e">
        <f>AND(#REF!,"AAAAAE9vvrA=")</f>
        <v>#REF!</v>
      </c>
      <c r="FV28" t="e">
        <f>IF(#REF!,"AAAAAE9vvrE=",0)</f>
        <v>#REF!</v>
      </c>
      <c r="FW28" t="e">
        <f>AND(#REF!,"AAAAAE9vvrI=")</f>
        <v>#REF!</v>
      </c>
      <c r="FX28" t="e">
        <f>AND(#REF!,"AAAAAE9vvrM=")</f>
        <v>#REF!</v>
      </c>
      <c r="FY28" t="e">
        <f>AND(#REF!,"AAAAAE9vvrQ=")</f>
        <v>#REF!</v>
      </c>
      <c r="FZ28" t="e">
        <f>AND(#REF!,"AAAAAE9vvrU=")</f>
        <v>#REF!</v>
      </c>
      <c r="GA28" t="e">
        <f>AND(#REF!,"AAAAAE9vvrY=")</f>
        <v>#REF!</v>
      </c>
      <c r="GB28" t="e">
        <f>AND(#REF!,"AAAAAE9vvrc=")</f>
        <v>#REF!</v>
      </c>
      <c r="GC28" t="e">
        <f>AND(#REF!,"AAAAAE9vvrg=")</f>
        <v>#REF!</v>
      </c>
      <c r="GD28" t="e">
        <f>AND(#REF!,"AAAAAE9vvrk=")</f>
        <v>#REF!</v>
      </c>
      <c r="GE28" t="e">
        <f>AND(#REF!,"AAAAAE9vvro=")</f>
        <v>#REF!</v>
      </c>
      <c r="GF28" t="e">
        <f>AND(#REF!,"AAAAAE9vvrs=")</f>
        <v>#REF!</v>
      </c>
      <c r="GG28" t="e">
        <f>IF(#REF!,"AAAAAE9vvrw=",0)</f>
        <v>#REF!</v>
      </c>
      <c r="GH28" t="e">
        <f>AND(#REF!,"AAAAAE9vvr0=")</f>
        <v>#REF!</v>
      </c>
      <c r="GI28" t="e">
        <f>AND(#REF!,"AAAAAE9vvr4=")</f>
        <v>#REF!</v>
      </c>
      <c r="GJ28" t="e">
        <f>AND(#REF!,"AAAAAE9vvr8=")</f>
        <v>#REF!</v>
      </c>
      <c r="GK28" t="e">
        <f>AND(#REF!,"AAAAAE9vvsA=")</f>
        <v>#REF!</v>
      </c>
      <c r="GL28" t="e">
        <f>AND(#REF!,"AAAAAE9vvsE=")</f>
        <v>#REF!</v>
      </c>
      <c r="GM28" t="e">
        <f>AND(#REF!,"AAAAAE9vvsI=")</f>
        <v>#REF!</v>
      </c>
      <c r="GN28" t="e">
        <f>AND(#REF!,"AAAAAE9vvsM=")</f>
        <v>#REF!</v>
      </c>
      <c r="GO28" t="e">
        <f>AND(#REF!,"AAAAAE9vvsQ=")</f>
        <v>#REF!</v>
      </c>
      <c r="GP28" t="e">
        <f>AND(#REF!,"AAAAAE9vvsU=")</f>
        <v>#REF!</v>
      </c>
      <c r="GQ28" t="e">
        <f>AND(#REF!,"AAAAAE9vvsY=")</f>
        <v>#REF!</v>
      </c>
      <c r="GR28" t="e">
        <f>IF(#REF!,"AAAAAE9vvsc=",0)</f>
        <v>#REF!</v>
      </c>
      <c r="GS28" t="e">
        <f>AND(#REF!,"AAAAAE9vvsg=")</f>
        <v>#REF!</v>
      </c>
      <c r="GT28" t="e">
        <f>AND(#REF!,"AAAAAE9vvsk=")</f>
        <v>#REF!</v>
      </c>
      <c r="GU28" t="e">
        <f>AND(#REF!,"AAAAAE9vvso=")</f>
        <v>#REF!</v>
      </c>
      <c r="GV28" t="e">
        <f>AND(#REF!,"AAAAAE9vvss=")</f>
        <v>#REF!</v>
      </c>
      <c r="GW28" t="e">
        <f>AND(#REF!,"AAAAAE9vvsw=")</f>
        <v>#REF!</v>
      </c>
      <c r="GX28" t="e">
        <f>AND(#REF!,"AAAAAE9vvs0=")</f>
        <v>#REF!</v>
      </c>
      <c r="GY28" t="e">
        <f>AND(#REF!,"AAAAAE9vvs4=")</f>
        <v>#REF!</v>
      </c>
      <c r="GZ28" t="e">
        <f>AND(#REF!,"AAAAAE9vvs8=")</f>
        <v>#REF!</v>
      </c>
      <c r="HA28" t="e">
        <f>AND(#REF!,"AAAAAE9vvtA=")</f>
        <v>#REF!</v>
      </c>
      <c r="HB28" t="e">
        <f>AND(#REF!,"AAAAAE9vvtE=")</f>
        <v>#REF!</v>
      </c>
      <c r="HC28" t="e">
        <f>IF(#REF!,"AAAAAE9vvtI=",0)</f>
        <v>#REF!</v>
      </c>
      <c r="HD28" t="e">
        <f>AND(#REF!,"AAAAAE9vvtM=")</f>
        <v>#REF!</v>
      </c>
      <c r="HE28" t="e">
        <f>AND(#REF!,"AAAAAE9vvtQ=")</f>
        <v>#REF!</v>
      </c>
      <c r="HF28" t="e">
        <f>AND(#REF!,"AAAAAE9vvtU=")</f>
        <v>#REF!</v>
      </c>
      <c r="HG28" t="e">
        <f>AND(#REF!,"AAAAAE9vvtY=")</f>
        <v>#REF!</v>
      </c>
      <c r="HH28" t="e">
        <f>AND(#REF!,"AAAAAE9vvtc=")</f>
        <v>#REF!</v>
      </c>
      <c r="HI28" t="e">
        <f>AND(#REF!,"AAAAAE9vvtg=")</f>
        <v>#REF!</v>
      </c>
      <c r="HJ28" t="e">
        <f>AND(#REF!,"AAAAAE9vvtk=")</f>
        <v>#REF!</v>
      </c>
      <c r="HK28" t="e">
        <f>AND(#REF!,"AAAAAE9vvto=")</f>
        <v>#REF!</v>
      </c>
      <c r="HL28" t="e">
        <f>AND(#REF!,"AAAAAE9vvts=")</f>
        <v>#REF!</v>
      </c>
      <c r="HM28" t="e">
        <f>AND(#REF!,"AAAAAE9vvtw=")</f>
        <v>#REF!</v>
      </c>
      <c r="HN28" t="e">
        <f>IF(#REF!,"AAAAAE9vvt0=",0)</f>
        <v>#REF!</v>
      </c>
      <c r="HO28" t="e">
        <f>AND(#REF!,"AAAAAE9vvt4=")</f>
        <v>#REF!</v>
      </c>
      <c r="HP28" t="e">
        <f>AND(#REF!,"AAAAAE9vvt8=")</f>
        <v>#REF!</v>
      </c>
      <c r="HQ28" t="e">
        <f>AND(#REF!,"AAAAAE9vvuA=")</f>
        <v>#REF!</v>
      </c>
      <c r="HR28" t="e">
        <f>AND(#REF!,"AAAAAE9vvuE=")</f>
        <v>#REF!</v>
      </c>
      <c r="HS28" t="e">
        <f>AND(#REF!,"AAAAAE9vvuI=")</f>
        <v>#REF!</v>
      </c>
      <c r="HT28" t="e">
        <f>AND(#REF!,"AAAAAE9vvuM=")</f>
        <v>#REF!</v>
      </c>
      <c r="HU28" t="e">
        <f>AND(#REF!,"AAAAAE9vvuQ=")</f>
        <v>#REF!</v>
      </c>
      <c r="HV28" t="e">
        <f>AND(#REF!,"AAAAAE9vvuU=")</f>
        <v>#REF!</v>
      </c>
      <c r="HW28" t="e">
        <f>AND(#REF!,"AAAAAE9vvuY=")</f>
        <v>#REF!</v>
      </c>
      <c r="HX28" t="e">
        <f>AND(#REF!,"AAAAAE9vvuc=")</f>
        <v>#REF!</v>
      </c>
      <c r="HY28" t="e">
        <f>IF(#REF!,"AAAAAE9vvug=",0)</f>
        <v>#REF!</v>
      </c>
      <c r="HZ28" t="e">
        <f>AND(#REF!,"AAAAAE9vvuk=")</f>
        <v>#REF!</v>
      </c>
      <c r="IA28" t="e">
        <f>AND(#REF!,"AAAAAE9vvuo=")</f>
        <v>#REF!</v>
      </c>
      <c r="IB28" t="e">
        <f>AND(#REF!,"AAAAAE9vvus=")</f>
        <v>#REF!</v>
      </c>
      <c r="IC28" t="e">
        <f>AND(#REF!,"AAAAAE9vvuw=")</f>
        <v>#REF!</v>
      </c>
      <c r="ID28" t="e">
        <f>AND(#REF!,"AAAAAE9vvu0=")</f>
        <v>#REF!</v>
      </c>
      <c r="IE28" t="e">
        <f>AND(#REF!,"AAAAAE9vvu4=")</f>
        <v>#REF!</v>
      </c>
      <c r="IF28" t="e">
        <f>AND(#REF!,"AAAAAE9vvu8=")</f>
        <v>#REF!</v>
      </c>
      <c r="IG28" t="e">
        <f>AND(#REF!,"AAAAAE9vvvA=")</f>
        <v>#REF!</v>
      </c>
      <c r="IH28" t="e">
        <f>AND(#REF!,"AAAAAE9vvvE=")</f>
        <v>#REF!</v>
      </c>
      <c r="II28" t="e">
        <f>AND(#REF!,"AAAAAE9vvvI=")</f>
        <v>#REF!</v>
      </c>
      <c r="IJ28" t="e">
        <f>IF(#REF!,"AAAAAE9vvvM=",0)</f>
        <v>#REF!</v>
      </c>
      <c r="IK28" t="e">
        <f>AND(#REF!,"AAAAAE9vvvQ=")</f>
        <v>#REF!</v>
      </c>
      <c r="IL28" t="e">
        <f>AND(#REF!,"AAAAAE9vvvU=")</f>
        <v>#REF!</v>
      </c>
      <c r="IM28" t="e">
        <f>AND(#REF!,"AAAAAE9vvvY=")</f>
        <v>#REF!</v>
      </c>
      <c r="IN28" t="e">
        <f>AND(#REF!,"AAAAAE9vvvc=")</f>
        <v>#REF!</v>
      </c>
      <c r="IO28" t="e">
        <f>AND(#REF!,"AAAAAE9vvvg=")</f>
        <v>#REF!</v>
      </c>
      <c r="IP28" t="e">
        <f>AND(#REF!,"AAAAAE9vvvk=")</f>
        <v>#REF!</v>
      </c>
      <c r="IQ28" t="e">
        <f>AND(#REF!,"AAAAAE9vvvo=")</f>
        <v>#REF!</v>
      </c>
      <c r="IR28" t="e">
        <f>AND(#REF!,"AAAAAE9vvvs=")</f>
        <v>#REF!</v>
      </c>
      <c r="IS28" t="e">
        <f>AND(#REF!,"AAAAAE9vvvw=")</f>
        <v>#REF!</v>
      </c>
      <c r="IT28" t="e">
        <f>AND(#REF!,"AAAAAE9vvv0=")</f>
        <v>#REF!</v>
      </c>
      <c r="IU28" t="e">
        <f>IF(#REF!,"AAAAAE9vvv4=",0)</f>
        <v>#REF!</v>
      </c>
      <c r="IV28" t="e">
        <f>AND(#REF!,"AAAAAE9vvv8=")</f>
        <v>#REF!</v>
      </c>
    </row>
    <row r="29" spans="1:256" x14ac:dyDescent="0.25">
      <c r="A29" t="e">
        <f>AND(#REF!,"AAAAAGv/vwA=")</f>
        <v>#REF!</v>
      </c>
      <c r="B29" t="e">
        <f>AND(#REF!,"AAAAAGv/vwE=")</f>
        <v>#REF!</v>
      </c>
      <c r="C29" t="e">
        <f>AND(#REF!,"AAAAAGv/vwI=")</f>
        <v>#REF!</v>
      </c>
      <c r="D29" t="e">
        <f>AND(#REF!,"AAAAAGv/vwM=")</f>
        <v>#REF!</v>
      </c>
      <c r="E29" t="e">
        <f>AND(#REF!,"AAAAAGv/vwQ=")</f>
        <v>#REF!</v>
      </c>
      <c r="F29" t="e">
        <f>AND(#REF!,"AAAAAGv/vwU=")</f>
        <v>#REF!</v>
      </c>
      <c r="G29" t="e">
        <f>AND(#REF!,"AAAAAGv/vwY=")</f>
        <v>#REF!</v>
      </c>
      <c r="H29" t="e">
        <f>AND(#REF!,"AAAAAGv/vwc=")</f>
        <v>#REF!</v>
      </c>
      <c r="I29" t="e">
        <f>AND(#REF!,"AAAAAGv/vwg=")</f>
        <v>#REF!</v>
      </c>
      <c r="J29" t="e">
        <f>IF(#REF!,"AAAAAGv/vwk=",0)</f>
        <v>#REF!</v>
      </c>
      <c r="K29" t="e">
        <f>AND(#REF!,"AAAAAGv/vwo=")</f>
        <v>#REF!</v>
      </c>
      <c r="L29" t="e">
        <f>AND(#REF!,"AAAAAGv/vws=")</f>
        <v>#REF!</v>
      </c>
      <c r="M29" t="e">
        <f>AND(#REF!,"AAAAAGv/vww=")</f>
        <v>#REF!</v>
      </c>
      <c r="N29" t="e">
        <f>AND(#REF!,"AAAAAGv/vw0=")</f>
        <v>#REF!</v>
      </c>
      <c r="O29" t="e">
        <f>AND(#REF!,"AAAAAGv/vw4=")</f>
        <v>#REF!</v>
      </c>
      <c r="P29" t="e">
        <f>AND(#REF!,"AAAAAGv/vw8=")</f>
        <v>#REF!</v>
      </c>
      <c r="Q29" t="e">
        <f>AND(#REF!,"AAAAAGv/vxA=")</f>
        <v>#REF!</v>
      </c>
      <c r="R29" t="e">
        <f>AND(#REF!,"AAAAAGv/vxE=")</f>
        <v>#REF!</v>
      </c>
      <c r="S29" t="e">
        <f>AND(#REF!,"AAAAAGv/vxI=")</f>
        <v>#REF!</v>
      </c>
      <c r="T29" t="e">
        <f>AND(#REF!,"AAAAAGv/vxM=")</f>
        <v>#REF!</v>
      </c>
      <c r="U29" t="e">
        <f>IF(#REF!,"AAAAAGv/vxQ=",0)</f>
        <v>#REF!</v>
      </c>
      <c r="V29" t="e">
        <f>AND(#REF!,"AAAAAGv/vxU=")</f>
        <v>#REF!</v>
      </c>
      <c r="W29" t="e">
        <f>AND(#REF!,"AAAAAGv/vxY=")</f>
        <v>#REF!</v>
      </c>
      <c r="X29" t="e">
        <f>AND(#REF!,"AAAAAGv/vxc=")</f>
        <v>#REF!</v>
      </c>
      <c r="Y29" t="e">
        <f>AND(#REF!,"AAAAAGv/vxg=")</f>
        <v>#REF!</v>
      </c>
      <c r="Z29" t="e">
        <f>AND(#REF!,"AAAAAGv/vxk=")</f>
        <v>#REF!</v>
      </c>
      <c r="AA29" t="e">
        <f>AND(#REF!,"AAAAAGv/vxo=")</f>
        <v>#REF!</v>
      </c>
      <c r="AB29" t="e">
        <f>AND(#REF!,"AAAAAGv/vxs=")</f>
        <v>#REF!</v>
      </c>
      <c r="AC29" t="e">
        <f>AND(#REF!,"AAAAAGv/vxw=")</f>
        <v>#REF!</v>
      </c>
      <c r="AD29" t="e">
        <f>AND(#REF!,"AAAAAGv/vx0=")</f>
        <v>#REF!</v>
      </c>
      <c r="AE29" t="e">
        <f>AND(#REF!,"AAAAAGv/vx4=")</f>
        <v>#REF!</v>
      </c>
      <c r="AF29" t="e">
        <f>IF(#REF!,"AAAAAGv/vx8=",0)</f>
        <v>#REF!</v>
      </c>
      <c r="AG29" t="e">
        <f>AND(#REF!,"AAAAAGv/vyA=")</f>
        <v>#REF!</v>
      </c>
      <c r="AH29" t="e">
        <f>AND(#REF!,"AAAAAGv/vyE=")</f>
        <v>#REF!</v>
      </c>
      <c r="AI29" t="e">
        <f>AND(#REF!,"AAAAAGv/vyI=")</f>
        <v>#REF!</v>
      </c>
      <c r="AJ29" t="e">
        <f>AND(#REF!,"AAAAAGv/vyM=")</f>
        <v>#REF!</v>
      </c>
      <c r="AK29" t="e">
        <f>AND(#REF!,"AAAAAGv/vyQ=")</f>
        <v>#REF!</v>
      </c>
      <c r="AL29" t="e">
        <f>AND(#REF!,"AAAAAGv/vyU=")</f>
        <v>#REF!</v>
      </c>
      <c r="AM29" t="e">
        <f>AND(#REF!,"AAAAAGv/vyY=")</f>
        <v>#REF!</v>
      </c>
      <c r="AN29" t="e">
        <f>AND(#REF!,"AAAAAGv/vyc=")</f>
        <v>#REF!</v>
      </c>
      <c r="AO29" t="e">
        <f>AND(#REF!,"AAAAAGv/vyg=")</f>
        <v>#REF!</v>
      </c>
      <c r="AP29" t="e">
        <f>AND(#REF!,"AAAAAGv/vyk=")</f>
        <v>#REF!</v>
      </c>
      <c r="AQ29" t="e">
        <f>IF(#REF!,"AAAAAGv/vyo=",0)</f>
        <v>#REF!</v>
      </c>
      <c r="AR29" t="e">
        <f>AND(#REF!,"AAAAAGv/vys=")</f>
        <v>#REF!</v>
      </c>
      <c r="AS29" t="e">
        <f>AND(#REF!,"AAAAAGv/vyw=")</f>
        <v>#REF!</v>
      </c>
      <c r="AT29" t="e">
        <f>AND(#REF!,"AAAAAGv/vy0=")</f>
        <v>#REF!</v>
      </c>
      <c r="AU29" t="e">
        <f>AND(#REF!,"AAAAAGv/vy4=")</f>
        <v>#REF!</v>
      </c>
      <c r="AV29" t="e">
        <f>AND(#REF!,"AAAAAGv/vy8=")</f>
        <v>#REF!</v>
      </c>
      <c r="AW29" t="e">
        <f>AND(#REF!,"AAAAAGv/vzA=")</f>
        <v>#REF!</v>
      </c>
      <c r="AX29" t="e">
        <f>AND(#REF!,"AAAAAGv/vzE=")</f>
        <v>#REF!</v>
      </c>
      <c r="AY29" t="e">
        <f>AND(#REF!,"AAAAAGv/vzI=")</f>
        <v>#REF!</v>
      </c>
      <c r="AZ29" t="e">
        <f>AND(#REF!,"AAAAAGv/vzM=")</f>
        <v>#REF!</v>
      </c>
      <c r="BA29" t="e">
        <f>AND(#REF!,"AAAAAGv/vzQ=")</f>
        <v>#REF!</v>
      </c>
      <c r="BB29" t="e">
        <f>IF(#REF!,"AAAAAGv/vzU=",0)</f>
        <v>#REF!</v>
      </c>
      <c r="BC29" t="e">
        <f>AND(#REF!,"AAAAAGv/vzY=")</f>
        <v>#REF!</v>
      </c>
      <c r="BD29" t="e">
        <f>AND(#REF!,"AAAAAGv/vzc=")</f>
        <v>#REF!</v>
      </c>
      <c r="BE29" t="e">
        <f>AND(#REF!,"AAAAAGv/vzg=")</f>
        <v>#REF!</v>
      </c>
      <c r="BF29" t="e">
        <f>AND(#REF!,"AAAAAGv/vzk=")</f>
        <v>#REF!</v>
      </c>
      <c r="BG29" t="e">
        <f>AND(#REF!,"AAAAAGv/vzo=")</f>
        <v>#REF!</v>
      </c>
      <c r="BH29" t="e">
        <f>AND(#REF!,"AAAAAGv/vzs=")</f>
        <v>#REF!</v>
      </c>
      <c r="BI29" t="e">
        <f>AND(#REF!,"AAAAAGv/vzw=")</f>
        <v>#REF!</v>
      </c>
      <c r="BJ29" t="e">
        <f>AND(#REF!,"AAAAAGv/vz0=")</f>
        <v>#REF!</v>
      </c>
      <c r="BK29" t="e">
        <f>AND(#REF!,"AAAAAGv/vz4=")</f>
        <v>#REF!</v>
      </c>
      <c r="BL29" t="e">
        <f>AND(#REF!,"AAAAAGv/vz8=")</f>
        <v>#REF!</v>
      </c>
      <c r="BM29" t="e">
        <f>IF(#REF!,"AAAAAGv/v0A=",0)</f>
        <v>#REF!</v>
      </c>
      <c r="BN29" t="e">
        <f>AND(#REF!,"AAAAAGv/v0E=")</f>
        <v>#REF!</v>
      </c>
      <c r="BO29" t="e">
        <f>AND(#REF!,"AAAAAGv/v0I=")</f>
        <v>#REF!</v>
      </c>
      <c r="BP29" t="e">
        <f>AND(#REF!,"AAAAAGv/v0M=")</f>
        <v>#REF!</v>
      </c>
      <c r="BQ29" t="e">
        <f>AND(#REF!,"AAAAAGv/v0Q=")</f>
        <v>#REF!</v>
      </c>
      <c r="BR29" t="e">
        <f>AND(#REF!,"AAAAAGv/v0U=")</f>
        <v>#REF!</v>
      </c>
      <c r="BS29" t="e">
        <f>AND(#REF!,"AAAAAGv/v0Y=")</f>
        <v>#REF!</v>
      </c>
      <c r="BT29" t="e">
        <f>AND(#REF!,"AAAAAGv/v0c=")</f>
        <v>#REF!</v>
      </c>
      <c r="BU29" t="e">
        <f>AND(#REF!,"AAAAAGv/v0g=")</f>
        <v>#REF!</v>
      </c>
      <c r="BV29" t="e">
        <f>AND(#REF!,"AAAAAGv/v0k=")</f>
        <v>#REF!</v>
      </c>
      <c r="BW29" t="e">
        <f>AND(#REF!,"AAAAAGv/v0o=")</f>
        <v>#REF!</v>
      </c>
      <c r="BX29" t="e">
        <f>IF(#REF!,"AAAAAGv/v0s=",0)</f>
        <v>#REF!</v>
      </c>
      <c r="BY29" t="e">
        <f>AND(#REF!,"AAAAAGv/v0w=")</f>
        <v>#REF!</v>
      </c>
      <c r="BZ29" t="e">
        <f>AND(#REF!,"AAAAAGv/v00=")</f>
        <v>#REF!</v>
      </c>
      <c r="CA29" t="e">
        <f>AND(#REF!,"AAAAAGv/v04=")</f>
        <v>#REF!</v>
      </c>
      <c r="CB29" t="e">
        <f>AND(#REF!,"AAAAAGv/v08=")</f>
        <v>#REF!</v>
      </c>
      <c r="CC29" t="e">
        <f>AND(#REF!,"AAAAAGv/v1A=")</f>
        <v>#REF!</v>
      </c>
      <c r="CD29" t="e">
        <f>AND(#REF!,"AAAAAGv/v1E=")</f>
        <v>#REF!</v>
      </c>
      <c r="CE29" t="e">
        <f>AND(#REF!,"AAAAAGv/v1I=")</f>
        <v>#REF!</v>
      </c>
      <c r="CF29" t="e">
        <f>AND(#REF!,"AAAAAGv/v1M=")</f>
        <v>#REF!</v>
      </c>
      <c r="CG29" t="e">
        <f>AND(#REF!,"AAAAAGv/v1Q=")</f>
        <v>#REF!</v>
      </c>
      <c r="CH29" t="e">
        <f>AND(#REF!,"AAAAAGv/v1U=")</f>
        <v>#REF!</v>
      </c>
      <c r="CI29" t="e">
        <f>IF(#REF!,"AAAAAGv/v1Y=",0)</f>
        <v>#REF!</v>
      </c>
      <c r="CJ29" t="e">
        <f>AND(#REF!,"AAAAAGv/v1c=")</f>
        <v>#REF!</v>
      </c>
      <c r="CK29" t="e">
        <f>AND(#REF!,"AAAAAGv/v1g=")</f>
        <v>#REF!</v>
      </c>
      <c r="CL29" t="e">
        <f>AND(#REF!,"AAAAAGv/v1k=")</f>
        <v>#REF!</v>
      </c>
      <c r="CM29" t="e">
        <f>AND(#REF!,"AAAAAGv/v1o=")</f>
        <v>#REF!</v>
      </c>
      <c r="CN29" t="e">
        <f>AND(#REF!,"AAAAAGv/v1s=")</f>
        <v>#REF!</v>
      </c>
      <c r="CO29" t="e">
        <f>AND(#REF!,"AAAAAGv/v1w=")</f>
        <v>#REF!</v>
      </c>
      <c r="CP29" t="e">
        <f>AND(#REF!,"AAAAAGv/v10=")</f>
        <v>#REF!</v>
      </c>
      <c r="CQ29" t="e">
        <f>AND(#REF!,"AAAAAGv/v14=")</f>
        <v>#REF!</v>
      </c>
      <c r="CR29" t="e">
        <f>AND(#REF!,"AAAAAGv/v18=")</f>
        <v>#REF!</v>
      </c>
      <c r="CS29" t="e">
        <f>AND(#REF!,"AAAAAGv/v2A=")</f>
        <v>#REF!</v>
      </c>
      <c r="CT29" t="e">
        <f>IF(#REF!,"AAAAAGv/v2E=",0)</f>
        <v>#REF!</v>
      </c>
      <c r="CU29" t="e">
        <f>AND(#REF!,"AAAAAGv/v2I=")</f>
        <v>#REF!</v>
      </c>
      <c r="CV29" t="e">
        <f>AND(#REF!,"AAAAAGv/v2M=")</f>
        <v>#REF!</v>
      </c>
      <c r="CW29" t="e">
        <f>AND(#REF!,"AAAAAGv/v2Q=")</f>
        <v>#REF!</v>
      </c>
      <c r="CX29" t="e">
        <f>AND(#REF!,"AAAAAGv/v2U=")</f>
        <v>#REF!</v>
      </c>
      <c r="CY29" t="e">
        <f>AND(#REF!,"AAAAAGv/v2Y=")</f>
        <v>#REF!</v>
      </c>
      <c r="CZ29" t="e">
        <f>AND(#REF!,"AAAAAGv/v2c=")</f>
        <v>#REF!</v>
      </c>
      <c r="DA29" t="e">
        <f>AND(#REF!,"AAAAAGv/v2g=")</f>
        <v>#REF!</v>
      </c>
      <c r="DB29" t="e">
        <f>AND(#REF!,"AAAAAGv/v2k=")</f>
        <v>#REF!</v>
      </c>
      <c r="DC29" t="e">
        <f>AND(#REF!,"AAAAAGv/v2o=")</f>
        <v>#REF!</v>
      </c>
      <c r="DD29" t="e">
        <f>AND(#REF!,"AAAAAGv/v2s=")</f>
        <v>#REF!</v>
      </c>
      <c r="DE29" t="e">
        <f>IF(#REF!,"AAAAAGv/v2w=",0)</f>
        <v>#REF!</v>
      </c>
      <c r="DF29" t="e">
        <f>AND(#REF!,"AAAAAGv/v20=")</f>
        <v>#REF!</v>
      </c>
      <c r="DG29" t="e">
        <f>AND(#REF!,"AAAAAGv/v24=")</f>
        <v>#REF!</v>
      </c>
      <c r="DH29" t="e">
        <f>AND(#REF!,"AAAAAGv/v28=")</f>
        <v>#REF!</v>
      </c>
      <c r="DI29" t="e">
        <f>AND(#REF!,"AAAAAGv/v3A=")</f>
        <v>#REF!</v>
      </c>
      <c r="DJ29" t="e">
        <f>AND(#REF!,"AAAAAGv/v3E=")</f>
        <v>#REF!</v>
      </c>
      <c r="DK29" t="e">
        <f>AND(#REF!,"AAAAAGv/v3I=")</f>
        <v>#REF!</v>
      </c>
      <c r="DL29" t="e">
        <f>AND(#REF!,"AAAAAGv/v3M=")</f>
        <v>#REF!</v>
      </c>
      <c r="DM29" t="e">
        <f>AND(#REF!,"AAAAAGv/v3Q=")</f>
        <v>#REF!</v>
      </c>
      <c r="DN29" t="e">
        <f>AND(#REF!,"AAAAAGv/v3U=")</f>
        <v>#REF!</v>
      </c>
      <c r="DO29" t="e">
        <f>AND(#REF!,"AAAAAGv/v3Y=")</f>
        <v>#REF!</v>
      </c>
      <c r="DP29" t="e">
        <f>IF(#REF!,"AAAAAGv/v3c=",0)</f>
        <v>#REF!</v>
      </c>
      <c r="DQ29" t="e">
        <f>AND(#REF!,"AAAAAGv/v3g=")</f>
        <v>#REF!</v>
      </c>
      <c r="DR29" t="e">
        <f>AND(#REF!,"AAAAAGv/v3k=")</f>
        <v>#REF!</v>
      </c>
      <c r="DS29" t="e">
        <f>AND(#REF!,"AAAAAGv/v3o=")</f>
        <v>#REF!</v>
      </c>
      <c r="DT29" t="e">
        <f>AND(#REF!,"AAAAAGv/v3s=")</f>
        <v>#REF!</v>
      </c>
      <c r="DU29" t="e">
        <f>AND(#REF!,"AAAAAGv/v3w=")</f>
        <v>#REF!</v>
      </c>
      <c r="DV29" t="e">
        <f>AND(#REF!,"AAAAAGv/v30=")</f>
        <v>#REF!</v>
      </c>
      <c r="DW29" t="e">
        <f>AND(#REF!,"AAAAAGv/v34=")</f>
        <v>#REF!</v>
      </c>
      <c r="DX29" t="e">
        <f>AND(#REF!,"AAAAAGv/v38=")</f>
        <v>#REF!</v>
      </c>
      <c r="DY29" t="e">
        <f>AND(#REF!,"AAAAAGv/v4A=")</f>
        <v>#REF!</v>
      </c>
      <c r="DZ29" t="e">
        <f>AND(#REF!,"AAAAAGv/v4E=")</f>
        <v>#REF!</v>
      </c>
      <c r="EA29" t="e">
        <f>IF(#REF!,"AAAAAGv/v4I=",0)</f>
        <v>#REF!</v>
      </c>
      <c r="EB29" t="e">
        <f>AND(#REF!,"AAAAAGv/v4M=")</f>
        <v>#REF!</v>
      </c>
      <c r="EC29" t="e">
        <f>AND(#REF!,"AAAAAGv/v4Q=")</f>
        <v>#REF!</v>
      </c>
      <c r="ED29" t="e">
        <f>AND(#REF!,"AAAAAGv/v4U=")</f>
        <v>#REF!</v>
      </c>
      <c r="EE29" t="e">
        <f>AND(#REF!,"AAAAAGv/v4Y=")</f>
        <v>#REF!</v>
      </c>
      <c r="EF29" t="e">
        <f>AND(#REF!,"AAAAAGv/v4c=")</f>
        <v>#REF!</v>
      </c>
      <c r="EG29" t="e">
        <f>AND(#REF!,"AAAAAGv/v4g=")</f>
        <v>#REF!</v>
      </c>
      <c r="EH29" t="e">
        <f>AND(#REF!,"AAAAAGv/v4k=")</f>
        <v>#REF!</v>
      </c>
      <c r="EI29" t="e">
        <f>AND(#REF!,"AAAAAGv/v4o=")</f>
        <v>#REF!</v>
      </c>
      <c r="EJ29" t="e">
        <f>AND(#REF!,"AAAAAGv/v4s=")</f>
        <v>#REF!</v>
      </c>
      <c r="EK29" t="e">
        <f>AND(#REF!,"AAAAAGv/v4w=")</f>
        <v>#REF!</v>
      </c>
      <c r="EL29" t="e">
        <f>IF(#REF!,"AAAAAGv/v40=",0)</f>
        <v>#REF!</v>
      </c>
      <c r="EM29" t="e">
        <f>AND(#REF!,"AAAAAGv/v44=")</f>
        <v>#REF!</v>
      </c>
      <c r="EN29" t="e">
        <f>AND(#REF!,"AAAAAGv/v48=")</f>
        <v>#REF!</v>
      </c>
      <c r="EO29" t="e">
        <f>AND(#REF!,"AAAAAGv/v5A=")</f>
        <v>#REF!</v>
      </c>
      <c r="EP29" t="e">
        <f>AND(#REF!,"AAAAAGv/v5E=")</f>
        <v>#REF!</v>
      </c>
      <c r="EQ29" t="e">
        <f>AND(#REF!,"AAAAAGv/v5I=")</f>
        <v>#REF!</v>
      </c>
      <c r="ER29" t="e">
        <f>AND(#REF!,"AAAAAGv/v5M=")</f>
        <v>#REF!</v>
      </c>
      <c r="ES29" t="e">
        <f>AND(#REF!,"AAAAAGv/v5Q=")</f>
        <v>#REF!</v>
      </c>
      <c r="ET29" t="e">
        <f>AND(#REF!,"AAAAAGv/v5U=")</f>
        <v>#REF!</v>
      </c>
      <c r="EU29" t="e">
        <f>AND(#REF!,"AAAAAGv/v5Y=")</f>
        <v>#REF!</v>
      </c>
      <c r="EV29" t="e">
        <f>AND(#REF!,"AAAAAGv/v5c=")</f>
        <v>#REF!</v>
      </c>
      <c r="EW29" t="e">
        <f>IF(#REF!,"AAAAAGv/v5g=",0)</f>
        <v>#REF!</v>
      </c>
      <c r="EX29" t="e">
        <f>AND(#REF!,"AAAAAGv/v5k=")</f>
        <v>#REF!</v>
      </c>
      <c r="EY29" t="e">
        <f>AND(#REF!,"AAAAAGv/v5o=")</f>
        <v>#REF!</v>
      </c>
      <c r="EZ29" t="e">
        <f>AND(#REF!,"AAAAAGv/v5s=")</f>
        <v>#REF!</v>
      </c>
      <c r="FA29" t="e">
        <f>AND(#REF!,"AAAAAGv/v5w=")</f>
        <v>#REF!</v>
      </c>
      <c r="FB29" t="e">
        <f>AND(#REF!,"AAAAAGv/v50=")</f>
        <v>#REF!</v>
      </c>
      <c r="FC29" t="e">
        <f>AND(#REF!,"AAAAAGv/v54=")</f>
        <v>#REF!</v>
      </c>
      <c r="FD29" t="e">
        <f>AND(#REF!,"AAAAAGv/v58=")</f>
        <v>#REF!</v>
      </c>
      <c r="FE29" t="e">
        <f>AND(#REF!,"AAAAAGv/v6A=")</f>
        <v>#REF!</v>
      </c>
      <c r="FF29" t="e">
        <f>AND(#REF!,"AAAAAGv/v6E=")</f>
        <v>#REF!</v>
      </c>
      <c r="FG29" t="e">
        <f>AND(#REF!,"AAAAAGv/v6I=")</f>
        <v>#REF!</v>
      </c>
      <c r="FH29" t="e">
        <f>IF(#REF!,"AAAAAGv/v6M=",0)</f>
        <v>#REF!</v>
      </c>
      <c r="FI29" t="e">
        <f>AND(#REF!,"AAAAAGv/v6Q=")</f>
        <v>#REF!</v>
      </c>
      <c r="FJ29" t="e">
        <f>AND(#REF!,"AAAAAGv/v6U=")</f>
        <v>#REF!</v>
      </c>
      <c r="FK29" t="e">
        <f>AND(#REF!,"AAAAAGv/v6Y=")</f>
        <v>#REF!</v>
      </c>
      <c r="FL29" t="e">
        <f>AND(#REF!,"AAAAAGv/v6c=")</f>
        <v>#REF!</v>
      </c>
      <c r="FM29" t="e">
        <f>AND(#REF!,"AAAAAGv/v6g=")</f>
        <v>#REF!</v>
      </c>
      <c r="FN29" t="e">
        <f>AND(#REF!,"AAAAAGv/v6k=")</f>
        <v>#REF!</v>
      </c>
      <c r="FO29" t="e">
        <f>AND(#REF!,"AAAAAGv/v6o=")</f>
        <v>#REF!</v>
      </c>
      <c r="FP29" t="e">
        <f>AND(#REF!,"AAAAAGv/v6s=")</f>
        <v>#REF!</v>
      </c>
      <c r="FQ29" t="e">
        <f>AND(#REF!,"AAAAAGv/v6w=")</f>
        <v>#REF!</v>
      </c>
      <c r="FR29" t="e">
        <f>AND(#REF!,"AAAAAGv/v60=")</f>
        <v>#REF!</v>
      </c>
      <c r="FS29" t="e">
        <f>IF(#REF!,"AAAAAGv/v64=",0)</f>
        <v>#REF!</v>
      </c>
      <c r="FT29" t="e">
        <f>AND(#REF!,"AAAAAGv/v68=")</f>
        <v>#REF!</v>
      </c>
      <c r="FU29" t="e">
        <f>AND(#REF!,"AAAAAGv/v7A=")</f>
        <v>#REF!</v>
      </c>
      <c r="FV29" t="e">
        <f>AND(#REF!,"AAAAAGv/v7E=")</f>
        <v>#REF!</v>
      </c>
      <c r="FW29" t="e">
        <f>AND(#REF!,"AAAAAGv/v7I=")</f>
        <v>#REF!</v>
      </c>
      <c r="FX29" t="e">
        <f>AND(#REF!,"AAAAAGv/v7M=")</f>
        <v>#REF!</v>
      </c>
      <c r="FY29" t="e">
        <f>AND(#REF!,"AAAAAGv/v7Q=")</f>
        <v>#REF!</v>
      </c>
      <c r="FZ29" t="e">
        <f>AND(#REF!,"AAAAAGv/v7U=")</f>
        <v>#REF!</v>
      </c>
      <c r="GA29" t="e">
        <f>AND(#REF!,"AAAAAGv/v7Y=")</f>
        <v>#REF!</v>
      </c>
      <c r="GB29" t="e">
        <f>AND(#REF!,"AAAAAGv/v7c=")</f>
        <v>#REF!</v>
      </c>
      <c r="GC29" t="e">
        <f>AND(#REF!,"AAAAAGv/v7g=")</f>
        <v>#REF!</v>
      </c>
      <c r="GD29" t="e">
        <f>IF(#REF!,"AAAAAGv/v7k=",0)</f>
        <v>#REF!</v>
      </c>
      <c r="GE29" t="e">
        <f>AND(#REF!,"AAAAAGv/v7o=")</f>
        <v>#REF!</v>
      </c>
      <c r="GF29" t="e">
        <f>AND(#REF!,"AAAAAGv/v7s=")</f>
        <v>#REF!</v>
      </c>
      <c r="GG29" t="e">
        <f>AND(#REF!,"AAAAAGv/v7w=")</f>
        <v>#REF!</v>
      </c>
      <c r="GH29" t="e">
        <f>AND(#REF!,"AAAAAGv/v70=")</f>
        <v>#REF!</v>
      </c>
      <c r="GI29" t="e">
        <f>AND(#REF!,"AAAAAGv/v74=")</f>
        <v>#REF!</v>
      </c>
      <c r="GJ29" t="e">
        <f>AND(#REF!,"AAAAAGv/v78=")</f>
        <v>#REF!</v>
      </c>
      <c r="GK29" t="e">
        <f>AND(#REF!,"AAAAAGv/v8A=")</f>
        <v>#REF!</v>
      </c>
      <c r="GL29" t="e">
        <f>AND(#REF!,"AAAAAGv/v8E=")</f>
        <v>#REF!</v>
      </c>
      <c r="GM29" t="e">
        <f>AND(#REF!,"AAAAAGv/v8I=")</f>
        <v>#REF!</v>
      </c>
      <c r="GN29" t="e">
        <f>AND(#REF!,"AAAAAGv/v8M=")</f>
        <v>#REF!</v>
      </c>
      <c r="GO29" t="e">
        <f>IF(#REF!,"AAAAAGv/v8Q=",0)</f>
        <v>#REF!</v>
      </c>
      <c r="GP29" t="e">
        <f>AND(#REF!,"AAAAAGv/v8U=")</f>
        <v>#REF!</v>
      </c>
      <c r="GQ29" t="e">
        <f>AND(#REF!,"AAAAAGv/v8Y=")</f>
        <v>#REF!</v>
      </c>
      <c r="GR29" t="e">
        <f>AND(#REF!,"AAAAAGv/v8c=")</f>
        <v>#REF!</v>
      </c>
      <c r="GS29" t="e">
        <f>AND(#REF!,"AAAAAGv/v8g=")</f>
        <v>#REF!</v>
      </c>
      <c r="GT29" t="e">
        <f>AND(#REF!,"AAAAAGv/v8k=")</f>
        <v>#REF!</v>
      </c>
      <c r="GU29" t="e">
        <f>AND(#REF!,"AAAAAGv/v8o=")</f>
        <v>#REF!</v>
      </c>
      <c r="GV29" t="e">
        <f>AND(#REF!,"AAAAAGv/v8s=")</f>
        <v>#REF!</v>
      </c>
      <c r="GW29" t="e">
        <f>AND(#REF!,"AAAAAGv/v8w=")</f>
        <v>#REF!</v>
      </c>
      <c r="GX29" t="e">
        <f>AND(#REF!,"AAAAAGv/v80=")</f>
        <v>#REF!</v>
      </c>
      <c r="GY29" t="e">
        <f>AND(#REF!,"AAAAAGv/v84=")</f>
        <v>#REF!</v>
      </c>
      <c r="GZ29" t="e">
        <f>IF(#REF!,"AAAAAGv/v88=",0)</f>
        <v>#REF!</v>
      </c>
      <c r="HA29" t="e">
        <f>AND(#REF!,"AAAAAGv/v9A=")</f>
        <v>#REF!</v>
      </c>
      <c r="HB29" t="e">
        <f>AND(#REF!,"AAAAAGv/v9E=")</f>
        <v>#REF!</v>
      </c>
      <c r="HC29" t="e">
        <f>AND(#REF!,"AAAAAGv/v9I=")</f>
        <v>#REF!</v>
      </c>
      <c r="HD29" t="e">
        <f>AND(#REF!,"AAAAAGv/v9M=")</f>
        <v>#REF!</v>
      </c>
      <c r="HE29" t="e">
        <f>AND(#REF!,"AAAAAGv/v9Q=")</f>
        <v>#REF!</v>
      </c>
      <c r="HF29" t="e">
        <f>AND(#REF!,"AAAAAGv/v9U=")</f>
        <v>#REF!</v>
      </c>
      <c r="HG29" t="e">
        <f>AND(#REF!,"AAAAAGv/v9Y=")</f>
        <v>#REF!</v>
      </c>
      <c r="HH29" t="e">
        <f>AND(#REF!,"AAAAAGv/v9c=")</f>
        <v>#REF!</v>
      </c>
      <c r="HI29" t="e">
        <f>AND(#REF!,"AAAAAGv/v9g=")</f>
        <v>#REF!</v>
      </c>
      <c r="HJ29" t="e">
        <f>AND(#REF!,"AAAAAGv/v9k=")</f>
        <v>#REF!</v>
      </c>
      <c r="HK29" t="e">
        <f>IF(#REF!,"AAAAAGv/v9o=",0)</f>
        <v>#REF!</v>
      </c>
      <c r="HL29" t="e">
        <f>AND(#REF!,"AAAAAGv/v9s=")</f>
        <v>#REF!</v>
      </c>
      <c r="HM29" t="e">
        <f>AND(#REF!,"AAAAAGv/v9w=")</f>
        <v>#REF!</v>
      </c>
      <c r="HN29" t="e">
        <f>AND(#REF!,"AAAAAGv/v90=")</f>
        <v>#REF!</v>
      </c>
      <c r="HO29" t="e">
        <f>AND(#REF!,"AAAAAGv/v94=")</f>
        <v>#REF!</v>
      </c>
      <c r="HP29" t="e">
        <f>AND(#REF!,"AAAAAGv/v98=")</f>
        <v>#REF!</v>
      </c>
      <c r="HQ29" t="e">
        <f>AND(#REF!,"AAAAAGv/v+A=")</f>
        <v>#REF!</v>
      </c>
      <c r="HR29" t="e">
        <f>AND(#REF!,"AAAAAGv/v+E=")</f>
        <v>#REF!</v>
      </c>
      <c r="HS29" t="e">
        <f>AND(#REF!,"AAAAAGv/v+I=")</f>
        <v>#REF!</v>
      </c>
      <c r="HT29" t="e">
        <f>AND(#REF!,"AAAAAGv/v+M=")</f>
        <v>#REF!</v>
      </c>
      <c r="HU29" t="e">
        <f>AND(#REF!,"AAAAAGv/v+Q=")</f>
        <v>#REF!</v>
      </c>
      <c r="HV29" t="e">
        <f>IF(#REF!,"AAAAAGv/v+U=",0)</f>
        <v>#REF!</v>
      </c>
      <c r="HW29" t="e">
        <f>AND(#REF!,"AAAAAGv/v+Y=")</f>
        <v>#REF!</v>
      </c>
      <c r="HX29" t="e">
        <f>AND(#REF!,"AAAAAGv/v+c=")</f>
        <v>#REF!</v>
      </c>
      <c r="HY29" t="e">
        <f>AND(#REF!,"AAAAAGv/v+g=")</f>
        <v>#REF!</v>
      </c>
      <c r="HZ29" t="e">
        <f>AND(#REF!,"AAAAAGv/v+k=")</f>
        <v>#REF!</v>
      </c>
      <c r="IA29" t="e">
        <f>AND(#REF!,"AAAAAGv/v+o=")</f>
        <v>#REF!</v>
      </c>
      <c r="IB29" t="e">
        <f>AND(#REF!,"AAAAAGv/v+s=")</f>
        <v>#REF!</v>
      </c>
      <c r="IC29" t="e">
        <f>AND(#REF!,"AAAAAGv/v+w=")</f>
        <v>#REF!</v>
      </c>
      <c r="ID29" t="e">
        <f>AND(#REF!,"AAAAAGv/v+0=")</f>
        <v>#REF!</v>
      </c>
      <c r="IE29" t="e">
        <f>AND(#REF!,"AAAAAGv/v+4=")</f>
        <v>#REF!</v>
      </c>
      <c r="IF29" t="e">
        <f>AND(#REF!,"AAAAAGv/v+8=")</f>
        <v>#REF!</v>
      </c>
      <c r="IG29" t="e">
        <f>IF(#REF!,"AAAAAGv/v/A=",0)</f>
        <v>#REF!</v>
      </c>
      <c r="IH29" t="e">
        <f>AND(#REF!,"AAAAAGv/v/E=")</f>
        <v>#REF!</v>
      </c>
      <c r="II29" t="e">
        <f>AND(#REF!,"AAAAAGv/v/I=")</f>
        <v>#REF!</v>
      </c>
      <c r="IJ29" t="e">
        <f>AND(#REF!,"AAAAAGv/v/M=")</f>
        <v>#REF!</v>
      </c>
      <c r="IK29" t="e">
        <f>AND(#REF!,"AAAAAGv/v/Q=")</f>
        <v>#REF!</v>
      </c>
      <c r="IL29" t="e">
        <f>AND(#REF!,"AAAAAGv/v/U=")</f>
        <v>#REF!</v>
      </c>
      <c r="IM29" t="e">
        <f>AND(#REF!,"AAAAAGv/v/Y=")</f>
        <v>#REF!</v>
      </c>
      <c r="IN29" t="e">
        <f>AND(#REF!,"AAAAAGv/v/c=")</f>
        <v>#REF!</v>
      </c>
      <c r="IO29" t="e">
        <f>AND(#REF!,"AAAAAGv/v/g=")</f>
        <v>#REF!</v>
      </c>
      <c r="IP29" t="e">
        <f>AND(#REF!,"AAAAAGv/v/k=")</f>
        <v>#REF!</v>
      </c>
      <c r="IQ29" t="e">
        <f>AND(#REF!,"AAAAAGv/v/o=")</f>
        <v>#REF!</v>
      </c>
      <c r="IR29" t="e">
        <f>IF(#REF!,"AAAAAGv/v/s=",0)</f>
        <v>#REF!</v>
      </c>
      <c r="IS29" t="e">
        <f>AND(#REF!,"AAAAAGv/v/w=")</f>
        <v>#REF!</v>
      </c>
      <c r="IT29" t="e">
        <f>AND(#REF!,"AAAAAGv/v/0=")</f>
        <v>#REF!</v>
      </c>
      <c r="IU29" t="e">
        <f>AND(#REF!,"AAAAAGv/v/4=")</f>
        <v>#REF!</v>
      </c>
      <c r="IV29" t="e">
        <f>AND(#REF!,"AAAAAGv/v/8=")</f>
        <v>#REF!</v>
      </c>
    </row>
    <row r="30" spans="1:256" x14ac:dyDescent="0.25">
      <c r="A30" t="e">
        <f>AND(#REF!,"AAAAAHlrfwA=")</f>
        <v>#REF!</v>
      </c>
      <c r="B30" t="e">
        <f>AND(#REF!,"AAAAAHlrfwE=")</f>
        <v>#REF!</v>
      </c>
      <c r="C30" t="e">
        <f>AND(#REF!,"AAAAAHlrfwI=")</f>
        <v>#REF!</v>
      </c>
      <c r="D30" t="e">
        <f>AND(#REF!,"AAAAAHlrfwM=")</f>
        <v>#REF!</v>
      </c>
      <c r="E30" t="e">
        <f>AND(#REF!,"AAAAAHlrfwQ=")</f>
        <v>#REF!</v>
      </c>
      <c r="F30" t="e">
        <f>AND(#REF!,"AAAAAHlrfwU=")</f>
        <v>#REF!</v>
      </c>
      <c r="G30" t="e">
        <f>IF(#REF!,"AAAAAHlrfwY=",0)</f>
        <v>#REF!</v>
      </c>
      <c r="H30" t="e">
        <f>AND(#REF!,"AAAAAHlrfwc=")</f>
        <v>#REF!</v>
      </c>
      <c r="I30" t="e">
        <f>AND(#REF!,"AAAAAHlrfwg=")</f>
        <v>#REF!</v>
      </c>
      <c r="J30" t="e">
        <f>AND(#REF!,"AAAAAHlrfwk=")</f>
        <v>#REF!</v>
      </c>
      <c r="K30" t="e">
        <f>AND(#REF!,"AAAAAHlrfwo=")</f>
        <v>#REF!</v>
      </c>
      <c r="L30" t="e">
        <f>AND(#REF!,"AAAAAHlrfws=")</f>
        <v>#REF!</v>
      </c>
      <c r="M30" t="e">
        <f>AND(#REF!,"AAAAAHlrfww=")</f>
        <v>#REF!</v>
      </c>
      <c r="N30" t="e">
        <f>AND(#REF!,"AAAAAHlrfw0=")</f>
        <v>#REF!</v>
      </c>
      <c r="O30" t="e">
        <f>AND(#REF!,"AAAAAHlrfw4=")</f>
        <v>#REF!</v>
      </c>
      <c r="P30" t="e">
        <f>AND(#REF!,"AAAAAHlrfw8=")</f>
        <v>#REF!</v>
      </c>
      <c r="Q30" t="e">
        <f>AND(#REF!,"AAAAAHlrfxA=")</f>
        <v>#REF!</v>
      </c>
      <c r="R30" t="e">
        <f>IF(#REF!,"AAAAAHlrfxE=",0)</f>
        <v>#REF!</v>
      </c>
      <c r="S30" t="e">
        <f>AND(#REF!,"AAAAAHlrfxI=")</f>
        <v>#REF!</v>
      </c>
      <c r="T30" t="e">
        <f>AND(#REF!,"AAAAAHlrfxM=")</f>
        <v>#REF!</v>
      </c>
      <c r="U30" t="e">
        <f>AND(#REF!,"AAAAAHlrfxQ=")</f>
        <v>#REF!</v>
      </c>
      <c r="V30" t="e">
        <f>AND(#REF!,"AAAAAHlrfxU=")</f>
        <v>#REF!</v>
      </c>
      <c r="W30" t="e">
        <f>AND(#REF!,"AAAAAHlrfxY=")</f>
        <v>#REF!</v>
      </c>
      <c r="X30" t="e">
        <f>AND(#REF!,"AAAAAHlrfxc=")</f>
        <v>#REF!</v>
      </c>
      <c r="Y30" t="e">
        <f>AND(#REF!,"AAAAAHlrfxg=")</f>
        <v>#REF!</v>
      </c>
      <c r="Z30" t="e">
        <f>AND(#REF!,"AAAAAHlrfxk=")</f>
        <v>#REF!</v>
      </c>
      <c r="AA30" t="e">
        <f>AND(#REF!,"AAAAAHlrfxo=")</f>
        <v>#REF!</v>
      </c>
      <c r="AB30" t="e">
        <f>AND(#REF!,"AAAAAHlrfxs=")</f>
        <v>#REF!</v>
      </c>
      <c r="AC30" t="e">
        <f>IF(#REF!,"AAAAAHlrfxw=",0)</f>
        <v>#REF!</v>
      </c>
      <c r="AD30" t="e">
        <f>AND(#REF!,"AAAAAHlrfx0=")</f>
        <v>#REF!</v>
      </c>
      <c r="AE30" t="e">
        <f>AND(#REF!,"AAAAAHlrfx4=")</f>
        <v>#REF!</v>
      </c>
      <c r="AF30" t="e">
        <f>AND(#REF!,"AAAAAHlrfx8=")</f>
        <v>#REF!</v>
      </c>
      <c r="AG30" t="e">
        <f>AND(#REF!,"AAAAAHlrfyA=")</f>
        <v>#REF!</v>
      </c>
      <c r="AH30" t="e">
        <f>AND(#REF!,"AAAAAHlrfyE=")</f>
        <v>#REF!</v>
      </c>
      <c r="AI30" t="e">
        <f>AND(#REF!,"AAAAAHlrfyI=")</f>
        <v>#REF!</v>
      </c>
      <c r="AJ30" t="e">
        <f>AND(#REF!,"AAAAAHlrfyM=")</f>
        <v>#REF!</v>
      </c>
      <c r="AK30" t="e">
        <f>AND(#REF!,"AAAAAHlrfyQ=")</f>
        <v>#REF!</v>
      </c>
      <c r="AL30" t="e">
        <f>AND(#REF!,"AAAAAHlrfyU=")</f>
        <v>#REF!</v>
      </c>
      <c r="AM30" t="e">
        <f>AND(#REF!,"AAAAAHlrfyY=")</f>
        <v>#REF!</v>
      </c>
      <c r="AN30" t="e">
        <f>IF(#REF!,"AAAAAHlrfyc=",0)</f>
        <v>#REF!</v>
      </c>
      <c r="AO30" t="e">
        <f>AND(#REF!,"AAAAAHlrfyg=")</f>
        <v>#REF!</v>
      </c>
      <c r="AP30" t="e">
        <f>AND(#REF!,"AAAAAHlrfyk=")</f>
        <v>#REF!</v>
      </c>
      <c r="AQ30" t="e">
        <f>AND(#REF!,"AAAAAHlrfyo=")</f>
        <v>#REF!</v>
      </c>
      <c r="AR30" t="e">
        <f>AND(#REF!,"AAAAAHlrfys=")</f>
        <v>#REF!</v>
      </c>
      <c r="AS30" t="e">
        <f>AND(#REF!,"AAAAAHlrfyw=")</f>
        <v>#REF!</v>
      </c>
      <c r="AT30" t="e">
        <f>AND(#REF!,"AAAAAHlrfy0=")</f>
        <v>#REF!</v>
      </c>
      <c r="AU30" t="e">
        <f>AND(#REF!,"AAAAAHlrfy4=")</f>
        <v>#REF!</v>
      </c>
      <c r="AV30" t="e">
        <f>AND(#REF!,"AAAAAHlrfy8=")</f>
        <v>#REF!</v>
      </c>
      <c r="AW30" t="e">
        <f>AND(#REF!,"AAAAAHlrfzA=")</f>
        <v>#REF!</v>
      </c>
      <c r="AX30" t="e">
        <f>AND(#REF!,"AAAAAHlrfzE=")</f>
        <v>#REF!</v>
      </c>
      <c r="AY30" t="e">
        <f>IF(#REF!,"AAAAAHlrfzI=",0)</f>
        <v>#REF!</v>
      </c>
      <c r="AZ30" t="e">
        <f>AND(#REF!,"AAAAAHlrfzM=")</f>
        <v>#REF!</v>
      </c>
      <c r="BA30" t="e">
        <f>AND(#REF!,"AAAAAHlrfzQ=")</f>
        <v>#REF!</v>
      </c>
      <c r="BB30" t="e">
        <f>AND(#REF!,"AAAAAHlrfzU=")</f>
        <v>#REF!</v>
      </c>
      <c r="BC30" t="e">
        <f>AND(#REF!,"AAAAAHlrfzY=")</f>
        <v>#REF!</v>
      </c>
      <c r="BD30" t="e">
        <f>AND(#REF!,"AAAAAHlrfzc=")</f>
        <v>#REF!</v>
      </c>
      <c r="BE30" t="e">
        <f>AND(#REF!,"AAAAAHlrfzg=")</f>
        <v>#REF!</v>
      </c>
      <c r="BF30" t="e">
        <f>AND(#REF!,"AAAAAHlrfzk=")</f>
        <v>#REF!</v>
      </c>
      <c r="BG30" t="e">
        <f>AND(#REF!,"AAAAAHlrfzo=")</f>
        <v>#REF!</v>
      </c>
      <c r="BH30" t="e">
        <f>AND(#REF!,"AAAAAHlrfzs=")</f>
        <v>#REF!</v>
      </c>
      <c r="BI30" t="e">
        <f>AND(#REF!,"AAAAAHlrfzw=")</f>
        <v>#REF!</v>
      </c>
      <c r="BJ30" t="e">
        <f>IF(#REF!,"AAAAAHlrfz0=",0)</f>
        <v>#REF!</v>
      </c>
      <c r="BK30" t="e">
        <f>AND(#REF!,"AAAAAHlrfz4=")</f>
        <v>#REF!</v>
      </c>
      <c r="BL30" t="e">
        <f>AND(#REF!,"AAAAAHlrfz8=")</f>
        <v>#REF!</v>
      </c>
      <c r="BM30" t="e">
        <f>AND(#REF!,"AAAAAHlrf0A=")</f>
        <v>#REF!</v>
      </c>
      <c r="BN30" t="e">
        <f>AND(#REF!,"AAAAAHlrf0E=")</f>
        <v>#REF!</v>
      </c>
      <c r="BO30" t="e">
        <f>AND(#REF!,"AAAAAHlrf0I=")</f>
        <v>#REF!</v>
      </c>
      <c r="BP30" t="e">
        <f>AND(#REF!,"AAAAAHlrf0M=")</f>
        <v>#REF!</v>
      </c>
      <c r="BQ30" t="e">
        <f>AND(#REF!,"AAAAAHlrf0Q=")</f>
        <v>#REF!</v>
      </c>
      <c r="BR30" t="e">
        <f>AND(#REF!,"AAAAAHlrf0U=")</f>
        <v>#REF!</v>
      </c>
      <c r="BS30" t="e">
        <f>AND(#REF!,"AAAAAHlrf0Y=")</f>
        <v>#REF!</v>
      </c>
      <c r="BT30" t="e">
        <f>AND(#REF!,"AAAAAHlrf0c=")</f>
        <v>#REF!</v>
      </c>
      <c r="BU30" t="e">
        <f>IF(#REF!,"AAAAAHlrf0g=",0)</f>
        <v>#REF!</v>
      </c>
      <c r="BV30" t="e">
        <f>AND(#REF!,"AAAAAHlrf0k=")</f>
        <v>#REF!</v>
      </c>
      <c r="BW30" t="e">
        <f>AND(#REF!,"AAAAAHlrf0o=")</f>
        <v>#REF!</v>
      </c>
      <c r="BX30" t="e">
        <f>AND(#REF!,"AAAAAHlrf0s=")</f>
        <v>#REF!</v>
      </c>
      <c r="BY30" t="e">
        <f>AND(#REF!,"AAAAAHlrf0w=")</f>
        <v>#REF!</v>
      </c>
      <c r="BZ30" t="e">
        <f>AND(#REF!,"AAAAAHlrf00=")</f>
        <v>#REF!</v>
      </c>
      <c r="CA30" t="e">
        <f>AND(#REF!,"AAAAAHlrf04=")</f>
        <v>#REF!</v>
      </c>
      <c r="CB30" t="e">
        <f>AND(#REF!,"AAAAAHlrf08=")</f>
        <v>#REF!</v>
      </c>
      <c r="CC30" t="e">
        <f>AND(#REF!,"AAAAAHlrf1A=")</f>
        <v>#REF!</v>
      </c>
      <c r="CD30" t="e">
        <f>AND(#REF!,"AAAAAHlrf1E=")</f>
        <v>#REF!</v>
      </c>
      <c r="CE30" t="e">
        <f>AND(#REF!,"AAAAAHlrf1I=")</f>
        <v>#REF!</v>
      </c>
      <c r="CF30" t="e">
        <f>IF(#REF!,"AAAAAHlrf1M=",0)</f>
        <v>#REF!</v>
      </c>
      <c r="CG30" t="e">
        <f>AND(#REF!,"AAAAAHlrf1Q=")</f>
        <v>#REF!</v>
      </c>
      <c r="CH30" t="e">
        <f>AND(#REF!,"AAAAAHlrf1U=")</f>
        <v>#REF!</v>
      </c>
      <c r="CI30" t="e">
        <f>AND(#REF!,"AAAAAHlrf1Y=")</f>
        <v>#REF!</v>
      </c>
      <c r="CJ30" t="e">
        <f>AND(#REF!,"AAAAAHlrf1c=")</f>
        <v>#REF!</v>
      </c>
      <c r="CK30" t="e">
        <f>AND(#REF!,"AAAAAHlrf1g=")</f>
        <v>#REF!</v>
      </c>
      <c r="CL30" t="e">
        <f>AND(#REF!,"AAAAAHlrf1k=")</f>
        <v>#REF!</v>
      </c>
      <c r="CM30" t="e">
        <f>AND(#REF!,"AAAAAHlrf1o=")</f>
        <v>#REF!</v>
      </c>
      <c r="CN30" t="e">
        <f>AND(#REF!,"AAAAAHlrf1s=")</f>
        <v>#REF!</v>
      </c>
      <c r="CO30" t="e">
        <f>AND(#REF!,"AAAAAHlrf1w=")</f>
        <v>#REF!</v>
      </c>
      <c r="CP30" t="e">
        <f>AND(#REF!,"AAAAAHlrf10=")</f>
        <v>#REF!</v>
      </c>
      <c r="CQ30" t="e">
        <f>IF(#REF!,"AAAAAHlrf14=",0)</f>
        <v>#REF!</v>
      </c>
      <c r="CR30" t="e">
        <f>AND(#REF!,"AAAAAHlrf18=")</f>
        <v>#REF!</v>
      </c>
      <c r="CS30" t="e">
        <f>AND(#REF!,"AAAAAHlrf2A=")</f>
        <v>#REF!</v>
      </c>
      <c r="CT30" t="e">
        <f>AND(#REF!,"AAAAAHlrf2E=")</f>
        <v>#REF!</v>
      </c>
      <c r="CU30" t="e">
        <f>AND(#REF!,"AAAAAHlrf2I=")</f>
        <v>#REF!</v>
      </c>
      <c r="CV30" t="e">
        <f>AND(#REF!,"AAAAAHlrf2M=")</f>
        <v>#REF!</v>
      </c>
      <c r="CW30" t="e">
        <f>AND(#REF!,"AAAAAHlrf2Q=")</f>
        <v>#REF!</v>
      </c>
      <c r="CX30" t="e">
        <f>AND(#REF!,"AAAAAHlrf2U=")</f>
        <v>#REF!</v>
      </c>
      <c r="CY30" t="e">
        <f>AND(#REF!,"AAAAAHlrf2Y=")</f>
        <v>#REF!</v>
      </c>
      <c r="CZ30" t="e">
        <f>AND(#REF!,"AAAAAHlrf2c=")</f>
        <v>#REF!</v>
      </c>
      <c r="DA30" t="e">
        <f>AND(#REF!,"AAAAAHlrf2g=")</f>
        <v>#REF!</v>
      </c>
      <c r="DB30" t="e">
        <f>IF(#REF!,"AAAAAHlrf2k=",0)</f>
        <v>#REF!</v>
      </c>
      <c r="DC30" t="e">
        <f>AND(#REF!,"AAAAAHlrf2o=")</f>
        <v>#REF!</v>
      </c>
      <c r="DD30" t="e">
        <f>AND(#REF!,"AAAAAHlrf2s=")</f>
        <v>#REF!</v>
      </c>
      <c r="DE30" t="e">
        <f>AND(#REF!,"AAAAAHlrf2w=")</f>
        <v>#REF!</v>
      </c>
      <c r="DF30" t="e">
        <f>AND(#REF!,"AAAAAHlrf20=")</f>
        <v>#REF!</v>
      </c>
      <c r="DG30" t="e">
        <f>AND(#REF!,"AAAAAHlrf24=")</f>
        <v>#REF!</v>
      </c>
      <c r="DH30" t="e">
        <f>AND(#REF!,"AAAAAHlrf28=")</f>
        <v>#REF!</v>
      </c>
      <c r="DI30" t="e">
        <f>AND(#REF!,"AAAAAHlrf3A=")</f>
        <v>#REF!</v>
      </c>
      <c r="DJ30" t="e">
        <f>AND(#REF!,"AAAAAHlrf3E=")</f>
        <v>#REF!</v>
      </c>
      <c r="DK30" t="e">
        <f>AND(#REF!,"AAAAAHlrf3I=")</f>
        <v>#REF!</v>
      </c>
      <c r="DL30" t="e">
        <f>AND(#REF!,"AAAAAHlrf3M=")</f>
        <v>#REF!</v>
      </c>
      <c r="DM30" t="e">
        <f>IF(#REF!,"AAAAAHlrf3Q=",0)</f>
        <v>#REF!</v>
      </c>
      <c r="DN30" t="e">
        <f>AND(#REF!,"AAAAAHlrf3U=")</f>
        <v>#REF!</v>
      </c>
      <c r="DO30" t="e">
        <f>AND(#REF!,"AAAAAHlrf3Y=")</f>
        <v>#REF!</v>
      </c>
      <c r="DP30" t="e">
        <f>AND(#REF!,"AAAAAHlrf3c=")</f>
        <v>#REF!</v>
      </c>
      <c r="DQ30" t="e">
        <f>AND(#REF!,"AAAAAHlrf3g=")</f>
        <v>#REF!</v>
      </c>
      <c r="DR30" t="e">
        <f>AND(#REF!,"AAAAAHlrf3k=")</f>
        <v>#REF!</v>
      </c>
      <c r="DS30" t="e">
        <f>AND(#REF!,"AAAAAHlrf3o=")</f>
        <v>#REF!</v>
      </c>
      <c r="DT30" t="e">
        <f>AND(#REF!,"AAAAAHlrf3s=")</f>
        <v>#REF!</v>
      </c>
      <c r="DU30" t="e">
        <f>AND(#REF!,"AAAAAHlrf3w=")</f>
        <v>#REF!</v>
      </c>
      <c r="DV30" t="e">
        <f>AND(#REF!,"AAAAAHlrf30=")</f>
        <v>#REF!</v>
      </c>
      <c r="DW30" t="e">
        <f>AND(#REF!,"AAAAAHlrf34=")</f>
        <v>#REF!</v>
      </c>
      <c r="DX30" t="e">
        <f>IF(#REF!,"AAAAAHlrf38=",0)</f>
        <v>#REF!</v>
      </c>
      <c r="DY30" t="e">
        <f>AND(#REF!,"AAAAAHlrf4A=")</f>
        <v>#REF!</v>
      </c>
      <c r="DZ30" t="e">
        <f>AND(#REF!,"AAAAAHlrf4E=")</f>
        <v>#REF!</v>
      </c>
      <c r="EA30" t="e">
        <f>AND(#REF!,"AAAAAHlrf4I=")</f>
        <v>#REF!</v>
      </c>
      <c r="EB30" t="e">
        <f>AND(#REF!,"AAAAAHlrf4M=")</f>
        <v>#REF!</v>
      </c>
      <c r="EC30" t="e">
        <f>AND(#REF!,"AAAAAHlrf4Q=")</f>
        <v>#REF!</v>
      </c>
      <c r="ED30" t="e">
        <f>AND(#REF!,"AAAAAHlrf4U=")</f>
        <v>#REF!</v>
      </c>
      <c r="EE30" t="e">
        <f>AND(#REF!,"AAAAAHlrf4Y=")</f>
        <v>#REF!</v>
      </c>
      <c r="EF30" t="e">
        <f>AND(#REF!,"AAAAAHlrf4c=")</f>
        <v>#REF!</v>
      </c>
      <c r="EG30" t="e">
        <f>AND(#REF!,"AAAAAHlrf4g=")</f>
        <v>#REF!</v>
      </c>
      <c r="EH30" t="e">
        <f>AND(#REF!,"AAAAAHlrf4k=")</f>
        <v>#REF!</v>
      </c>
      <c r="EI30" t="e">
        <f>IF(#REF!,"AAAAAHlrf4o=",0)</f>
        <v>#REF!</v>
      </c>
      <c r="EJ30" t="e">
        <f>AND(#REF!,"AAAAAHlrf4s=")</f>
        <v>#REF!</v>
      </c>
      <c r="EK30" t="e">
        <f>AND(#REF!,"AAAAAHlrf4w=")</f>
        <v>#REF!</v>
      </c>
      <c r="EL30" t="e">
        <f>AND(#REF!,"AAAAAHlrf40=")</f>
        <v>#REF!</v>
      </c>
      <c r="EM30" t="e">
        <f>AND(#REF!,"AAAAAHlrf44=")</f>
        <v>#REF!</v>
      </c>
      <c r="EN30" t="e">
        <f>AND(#REF!,"AAAAAHlrf48=")</f>
        <v>#REF!</v>
      </c>
      <c r="EO30" t="e">
        <f>AND(#REF!,"AAAAAHlrf5A=")</f>
        <v>#REF!</v>
      </c>
      <c r="EP30" t="e">
        <f>AND(#REF!,"AAAAAHlrf5E=")</f>
        <v>#REF!</v>
      </c>
      <c r="EQ30" t="e">
        <f>AND(#REF!,"AAAAAHlrf5I=")</f>
        <v>#REF!</v>
      </c>
      <c r="ER30" t="e">
        <f>AND(#REF!,"AAAAAHlrf5M=")</f>
        <v>#REF!</v>
      </c>
      <c r="ES30" t="e">
        <f>AND(#REF!,"AAAAAHlrf5Q=")</f>
        <v>#REF!</v>
      </c>
      <c r="ET30" t="e">
        <f>IF(#REF!,"AAAAAHlrf5U=",0)</f>
        <v>#REF!</v>
      </c>
      <c r="EU30" t="e">
        <f>AND(#REF!,"AAAAAHlrf5Y=")</f>
        <v>#REF!</v>
      </c>
      <c r="EV30" t="e">
        <f>AND(#REF!,"AAAAAHlrf5c=")</f>
        <v>#REF!</v>
      </c>
      <c r="EW30" t="e">
        <f>AND(#REF!,"AAAAAHlrf5g=")</f>
        <v>#REF!</v>
      </c>
      <c r="EX30" t="e">
        <f>AND(#REF!,"AAAAAHlrf5k=")</f>
        <v>#REF!</v>
      </c>
      <c r="EY30" t="e">
        <f>AND(#REF!,"AAAAAHlrf5o=")</f>
        <v>#REF!</v>
      </c>
      <c r="EZ30" t="e">
        <f>AND(#REF!,"AAAAAHlrf5s=")</f>
        <v>#REF!</v>
      </c>
      <c r="FA30" t="e">
        <f>AND(#REF!,"AAAAAHlrf5w=")</f>
        <v>#REF!</v>
      </c>
      <c r="FB30" t="e">
        <f>AND(#REF!,"AAAAAHlrf50=")</f>
        <v>#REF!</v>
      </c>
      <c r="FC30" t="e">
        <f>AND(#REF!,"AAAAAHlrf54=")</f>
        <v>#REF!</v>
      </c>
      <c r="FD30" t="e">
        <f>AND(#REF!,"AAAAAHlrf58=")</f>
        <v>#REF!</v>
      </c>
      <c r="FE30" t="e">
        <f>IF(#REF!,"AAAAAHlrf6A=",0)</f>
        <v>#REF!</v>
      </c>
      <c r="FF30" t="e">
        <f>AND(#REF!,"AAAAAHlrf6E=")</f>
        <v>#REF!</v>
      </c>
      <c r="FG30" t="e">
        <f>AND(#REF!,"AAAAAHlrf6I=")</f>
        <v>#REF!</v>
      </c>
      <c r="FH30" t="e">
        <f>AND(#REF!,"AAAAAHlrf6M=")</f>
        <v>#REF!</v>
      </c>
      <c r="FI30" t="e">
        <f>AND(#REF!,"AAAAAHlrf6Q=")</f>
        <v>#REF!</v>
      </c>
      <c r="FJ30" t="e">
        <f>AND(#REF!,"AAAAAHlrf6U=")</f>
        <v>#REF!</v>
      </c>
      <c r="FK30" t="e">
        <f>AND(#REF!,"AAAAAHlrf6Y=")</f>
        <v>#REF!</v>
      </c>
      <c r="FL30" t="e">
        <f>AND(#REF!,"AAAAAHlrf6c=")</f>
        <v>#REF!</v>
      </c>
      <c r="FM30" t="e">
        <f>AND(#REF!,"AAAAAHlrf6g=")</f>
        <v>#REF!</v>
      </c>
      <c r="FN30" t="e">
        <f>AND(#REF!,"AAAAAHlrf6k=")</f>
        <v>#REF!</v>
      </c>
      <c r="FO30" t="e">
        <f>AND(#REF!,"AAAAAHlrf6o=")</f>
        <v>#REF!</v>
      </c>
      <c r="FP30" t="e">
        <f>IF(#REF!,"AAAAAHlrf6s=",0)</f>
        <v>#REF!</v>
      </c>
      <c r="FQ30" t="e">
        <f>AND(#REF!,"AAAAAHlrf6w=")</f>
        <v>#REF!</v>
      </c>
      <c r="FR30" t="e">
        <f>AND(#REF!,"AAAAAHlrf60=")</f>
        <v>#REF!</v>
      </c>
      <c r="FS30" t="e">
        <f>AND(#REF!,"AAAAAHlrf64=")</f>
        <v>#REF!</v>
      </c>
      <c r="FT30" t="e">
        <f>AND(#REF!,"AAAAAHlrf68=")</f>
        <v>#REF!</v>
      </c>
      <c r="FU30" t="e">
        <f>AND(#REF!,"AAAAAHlrf7A=")</f>
        <v>#REF!</v>
      </c>
      <c r="FV30" t="e">
        <f>AND(#REF!,"AAAAAHlrf7E=")</f>
        <v>#REF!</v>
      </c>
      <c r="FW30" t="e">
        <f>AND(#REF!,"AAAAAHlrf7I=")</f>
        <v>#REF!</v>
      </c>
      <c r="FX30" t="e">
        <f>AND(#REF!,"AAAAAHlrf7M=")</f>
        <v>#REF!</v>
      </c>
      <c r="FY30" t="e">
        <f>AND(#REF!,"AAAAAHlrf7Q=")</f>
        <v>#REF!</v>
      </c>
      <c r="FZ30" t="e">
        <f>AND(#REF!,"AAAAAHlrf7U=")</f>
        <v>#REF!</v>
      </c>
      <c r="GA30" t="e">
        <f>IF(#REF!,"AAAAAHlrf7Y=",0)</f>
        <v>#REF!</v>
      </c>
      <c r="GB30" t="e">
        <f>AND(#REF!,"AAAAAHlrf7c=")</f>
        <v>#REF!</v>
      </c>
      <c r="GC30" t="e">
        <f>AND(#REF!,"AAAAAHlrf7g=")</f>
        <v>#REF!</v>
      </c>
      <c r="GD30" t="e">
        <f>AND(#REF!,"AAAAAHlrf7k=")</f>
        <v>#REF!</v>
      </c>
      <c r="GE30" t="e">
        <f>AND(#REF!,"AAAAAHlrf7o=")</f>
        <v>#REF!</v>
      </c>
      <c r="GF30" t="e">
        <f>AND(#REF!,"AAAAAHlrf7s=")</f>
        <v>#REF!</v>
      </c>
      <c r="GG30" t="e">
        <f>AND(#REF!,"AAAAAHlrf7w=")</f>
        <v>#REF!</v>
      </c>
      <c r="GH30" t="e">
        <f>AND(#REF!,"AAAAAHlrf70=")</f>
        <v>#REF!</v>
      </c>
      <c r="GI30" t="e">
        <f>AND(#REF!,"AAAAAHlrf74=")</f>
        <v>#REF!</v>
      </c>
      <c r="GJ30" t="e">
        <f>AND(#REF!,"AAAAAHlrf78=")</f>
        <v>#REF!</v>
      </c>
      <c r="GK30" t="e">
        <f>AND(#REF!,"AAAAAHlrf8A=")</f>
        <v>#REF!</v>
      </c>
      <c r="GL30" t="e">
        <f>IF(#REF!,"AAAAAHlrf8E=",0)</f>
        <v>#REF!</v>
      </c>
      <c r="GM30" t="e">
        <f>AND(#REF!,"AAAAAHlrf8I=")</f>
        <v>#REF!</v>
      </c>
      <c r="GN30" t="e">
        <f>AND(#REF!,"AAAAAHlrf8M=")</f>
        <v>#REF!</v>
      </c>
      <c r="GO30" t="e">
        <f>AND(#REF!,"AAAAAHlrf8Q=")</f>
        <v>#REF!</v>
      </c>
      <c r="GP30" t="e">
        <f>AND(#REF!,"AAAAAHlrf8U=")</f>
        <v>#REF!</v>
      </c>
      <c r="GQ30" t="e">
        <f>AND(#REF!,"AAAAAHlrf8Y=")</f>
        <v>#REF!</v>
      </c>
      <c r="GR30" t="e">
        <f>AND(#REF!,"AAAAAHlrf8c=")</f>
        <v>#REF!</v>
      </c>
      <c r="GS30" t="e">
        <f>AND(#REF!,"AAAAAHlrf8g=")</f>
        <v>#REF!</v>
      </c>
      <c r="GT30" t="e">
        <f>AND(#REF!,"AAAAAHlrf8k=")</f>
        <v>#REF!</v>
      </c>
      <c r="GU30" t="e">
        <f>AND(#REF!,"AAAAAHlrf8o=")</f>
        <v>#REF!</v>
      </c>
      <c r="GV30" t="e">
        <f>AND(#REF!,"AAAAAHlrf8s=")</f>
        <v>#REF!</v>
      </c>
      <c r="GW30" t="e">
        <f>IF(#REF!,"AAAAAHlrf8w=",0)</f>
        <v>#REF!</v>
      </c>
      <c r="GX30" t="e">
        <f>AND(#REF!,"AAAAAHlrf80=")</f>
        <v>#REF!</v>
      </c>
      <c r="GY30" t="e">
        <f>AND(#REF!,"AAAAAHlrf84=")</f>
        <v>#REF!</v>
      </c>
      <c r="GZ30" t="e">
        <f>AND(#REF!,"AAAAAHlrf88=")</f>
        <v>#REF!</v>
      </c>
      <c r="HA30" t="e">
        <f>AND(#REF!,"AAAAAHlrf9A=")</f>
        <v>#REF!</v>
      </c>
      <c r="HB30" t="e">
        <f>AND(#REF!,"AAAAAHlrf9E=")</f>
        <v>#REF!</v>
      </c>
      <c r="HC30" t="e">
        <f>AND(#REF!,"AAAAAHlrf9I=")</f>
        <v>#REF!</v>
      </c>
      <c r="HD30" t="e">
        <f>AND(#REF!,"AAAAAHlrf9M=")</f>
        <v>#REF!</v>
      </c>
      <c r="HE30" t="e">
        <f>AND(#REF!,"AAAAAHlrf9Q=")</f>
        <v>#REF!</v>
      </c>
      <c r="HF30" t="e">
        <f>AND(#REF!,"AAAAAHlrf9U=")</f>
        <v>#REF!</v>
      </c>
      <c r="HG30" t="e">
        <f>AND(#REF!,"AAAAAHlrf9Y=")</f>
        <v>#REF!</v>
      </c>
      <c r="HH30" t="e">
        <f>IF(#REF!,"AAAAAHlrf9c=",0)</f>
        <v>#REF!</v>
      </c>
      <c r="HI30" t="e">
        <f>AND(#REF!,"AAAAAHlrf9g=")</f>
        <v>#REF!</v>
      </c>
      <c r="HJ30" t="e">
        <f>AND(#REF!,"AAAAAHlrf9k=")</f>
        <v>#REF!</v>
      </c>
      <c r="HK30" t="e">
        <f>AND(#REF!,"AAAAAHlrf9o=")</f>
        <v>#REF!</v>
      </c>
      <c r="HL30" t="e">
        <f>AND(#REF!,"AAAAAHlrf9s=")</f>
        <v>#REF!</v>
      </c>
      <c r="HM30" t="e">
        <f>AND(#REF!,"AAAAAHlrf9w=")</f>
        <v>#REF!</v>
      </c>
      <c r="HN30" t="e">
        <f>AND(#REF!,"AAAAAHlrf90=")</f>
        <v>#REF!</v>
      </c>
      <c r="HO30" t="e">
        <f>AND(#REF!,"AAAAAHlrf94=")</f>
        <v>#REF!</v>
      </c>
      <c r="HP30" t="e">
        <f>AND(#REF!,"AAAAAHlrf98=")</f>
        <v>#REF!</v>
      </c>
      <c r="HQ30" t="e">
        <f>AND(#REF!,"AAAAAHlrf+A=")</f>
        <v>#REF!</v>
      </c>
      <c r="HR30" t="e">
        <f>AND(#REF!,"AAAAAHlrf+E=")</f>
        <v>#REF!</v>
      </c>
      <c r="HS30" t="e">
        <f>IF(#REF!,"AAAAAHlrf+I=",0)</f>
        <v>#REF!</v>
      </c>
      <c r="HT30" t="e">
        <f>AND(#REF!,"AAAAAHlrf+M=")</f>
        <v>#REF!</v>
      </c>
      <c r="HU30" t="e">
        <f>AND(#REF!,"AAAAAHlrf+Q=")</f>
        <v>#REF!</v>
      </c>
      <c r="HV30" t="e">
        <f>AND(#REF!,"AAAAAHlrf+U=")</f>
        <v>#REF!</v>
      </c>
      <c r="HW30" t="e">
        <f>AND(#REF!,"AAAAAHlrf+Y=")</f>
        <v>#REF!</v>
      </c>
      <c r="HX30" t="e">
        <f>AND(#REF!,"AAAAAHlrf+c=")</f>
        <v>#REF!</v>
      </c>
      <c r="HY30" t="e">
        <f>AND(#REF!,"AAAAAHlrf+g=")</f>
        <v>#REF!</v>
      </c>
      <c r="HZ30" t="e">
        <f>AND(#REF!,"AAAAAHlrf+k=")</f>
        <v>#REF!</v>
      </c>
      <c r="IA30" t="e">
        <f>AND(#REF!,"AAAAAHlrf+o=")</f>
        <v>#REF!</v>
      </c>
      <c r="IB30" t="e">
        <f>AND(#REF!,"AAAAAHlrf+s=")</f>
        <v>#REF!</v>
      </c>
      <c r="IC30" t="e">
        <f>AND(#REF!,"AAAAAHlrf+w=")</f>
        <v>#REF!</v>
      </c>
      <c r="ID30" t="e">
        <f>IF(#REF!,"AAAAAHlrf+0=",0)</f>
        <v>#REF!</v>
      </c>
      <c r="IE30" t="e">
        <f>AND(#REF!,"AAAAAHlrf+4=")</f>
        <v>#REF!</v>
      </c>
      <c r="IF30" t="e">
        <f>AND(#REF!,"AAAAAHlrf+8=")</f>
        <v>#REF!</v>
      </c>
      <c r="IG30" t="e">
        <f>AND(#REF!,"AAAAAHlrf/A=")</f>
        <v>#REF!</v>
      </c>
      <c r="IH30" t="e">
        <f>AND(#REF!,"AAAAAHlrf/E=")</f>
        <v>#REF!</v>
      </c>
      <c r="II30" t="e">
        <f>AND(#REF!,"AAAAAHlrf/I=")</f>
        <v>#REF!</v>
      </c>
      <c r="IJ30" t="e">
        <f>AND(#REF!,"AAAAAHlrf/M=")</f>
        <v>#REF!</v>
      </c>
      <c r="IK30" t="e">
        <f>AND(#REF!,"AAAAAHlrf/Q=")</f>
        <v>#REF!</v>
      </c>
      <c r="IL30" t="e">
        <f>AND(#REF!,"AAAAAHlrf/U=")</f>
        <v>#REF!</v>
      </c>
      <c r="IM30" t="e">
        <f>AND(#REF!,"AAAAAHlrf/Y=")</f>
        <v>#REF!</v>
      </c>
      <c r="IN30" t="e">
        <f>AND(#REF!,"AAAAAHlrf/c=")</f>
        <v>#REF!</v>
      </c>
      <c r="IO30" t="e">
        <f>IF(#REF!,"AAAAAHlrf/g=",0)</f>
        <v>#REF!</v>
      </c>
      <c r="IP30" t="e">
        <f>AND(#REF!,"AAAAAHlrf/k=")</f>
        <v>#REF!</v>
      </c>
      <c r="IQ30" t="e">
        <f>AND(#REF!,"AAAAAHlrf/o=")</f>
        <v>#REF!</v>
      </c>
      <c r="IR30" t="e">
        <f>AND(#REF!,"AAAAAHlrf/s=")</f>
        <v>#REF!</v>
      </c>
      <c r="IS30" t="e">
        <f>AND(#REF!,"AAAAAHlrf/w=")</f>
        <v>#REF!</v>
      </c>
      <c r="IT30" t="e">
        <f>AND(#REF!,"AAAAAHlrf/0=")</f>
        <v>#REF!</v>
      </c>
      <c r="IU30" t="e">
        <f>AND(#REF!,"AAAAAHlrf/4=")</f>
        <v>#REF!</v>
      </c>
      <c r="IV30" t="e">
        <f>AND(#REF!,"AAAAAHlrf/8=")</f>
        <v>#REF!</v>
      </c>
    </row>
    <row r="31" spans="1:256" x14ac:dyDescent="0.25">
      <c r="A31" t="e">
        <f>AND(#REF!,"AAAAAHf//QA=")</f>
        <v>#REF!</v>
      </c>
      <c r="B31" t="e">
        <f>AND(#REF!,"AAAAAHf//QE=")</f>
        <v>#REF!</v>
      </c>
      <c r="C31" t="e">
        <f>AND(#REF!,"AAAAAHf//QI=")</f>
        <v>#REF!</v>
      </c>
      <c r="D31" t="e">
        <f>IF(#REF!,"AAAAAHf//QM=",0)</f>
        <v>#REF!</v>
      </c>
      <c r="E31" t="e">
        <f>AND(#REF!,"AAAAAHf//QQ=")</f>
        <v>#REF!</v>
      </c>
      <c r="F31" t="e">
        <f>AND(#REF!,"AAAAAHf//QU=")</f>
        <v>#REF!</v>
      </c>
      <c r="G31" t="e">
        <f>AND(#REF!,"AAAAAHf//QY=")</f>
        <v>#REF!</v>
      </c>
      <c r="H31" t="e">
        <f>AND(#REF!,"AAAAAHf//Qc=")</f>
        <v>#REF!</v>
      </c>
      <c r="I31" t="e">
        <f>AND(#REF!,"AAAAAHf//Qg=")</f>
        <v>#REF!</v>
      </c>
      <c r="J31" t="e">
        <f>AND(#REF!,"AAAAAHf//Qk=")</f>
        <v>#REF!</v>
      </c>
      <c r="K31" t="e">
        <f>AND(#REF!,"AAAAAHf//Qo=")</f>
        <v>#REF!</v>
      </c>
      <c r="L31" t="e">
        <f>AND(#REF!,"AAAAAHf//Qs=")</f>
        <v>#REF!</v>
      </c>
      <c r="M31" t="e">
        <f>AND(#REF!,"AAAAAHf//Qw=")</f>
        <v>#REF!</v>
      </c>
      <c r="N31" t="e">
        <f>AND(#REF!,"AAAAAHf//Q0=")</f>
        <v>#REF!</v>
      </c>
      <c r="O31" t="e">
        <f>IF(#REF!,"AAAAAHf//Q4=",0)</f>
        <v>#REF!</v>
      </c>
      <c r="P31" t="e">
        <f>AND(#REF!,"AAAAAHf//Q8=")</f>
        <v>#REF!</v>
      </c>
      <c r="Q31" t="e">
        <f>AND(#REF!,"AAAAAHf//RA=")</f>
        <v>#REF!</v>
      </c>
      <c r="R31" t="e">
        <f>AND(#REF!,"AAAAAHf//RE=")</f>
        <v>#REF!</v>
      </c>
      <c r="S31" t="e">
        <f>AND(#REF!,"AAAAAHf//RI=")</f>
        <v>#REF!</v>
      </c>
      <c r="T31" t="e">
        <f>AND(#REF!,"AAAAAHf//RM=")</f>
        <v>#REF!</v>
      </c>
      <c r="U31" t="e">
        <f>AND(#REF!,"AAAAAHf//RQ=")</f>
        <v>#REF!</v>
      </c>
      <c r="V31" t="e">
        <f>AND(#REF!,"AAAAAHf//RU=")</f>
        <v>#REF!</v>
      </c>
      <c r="W31" t="e">
        <f>AND(#REF!,"AAAAAHf//RY=")</f>
        <v>#REF!</v>
      </c>
      <c r="X31" t="e">
        <f>AND(#REF!,"AAAAAHf//Rc=")</f>
        <v>#REF!</v>
      </c>
      <c r="Y31" t="e">
        <f>AND(#REF!,"AAAAAHf//Rg=")</f>
        <v>#REF!</v>
      </c>
      <c r="Z31" t="e">
        <f>IF(#REF!,"AAAAAHf//Rk=",0)</f>
        <v>#REF!</v>
      </c>
      <c r="AA31" t="e">
        <f>AND(#REF!,"AAAAAHf//Ro=")</f>
        <v>#REF!</v>
      </c>
      <c r="AB31" t="e">
        <f>AND(#REF!,"AAAAAHf//Rs=")</f>
        <v>#REF!</v>
      </c>
      <c r="AC31" t="e">
        <f>AND(#REF!,"AAAAAHf//Rw=")</f>
        <v>#REF!</v>
      </c>
      <c r="AD31" t="e">
        <f>AND(#REF!,"AAAAAHf//R0=")</f>
        <v>#REF!</v>
      </c>
      <c r="AE31" t="e">
        <f>AND(#REF!,"AAAAAHf//R4=")</f>
        <v>#REF!</v>
      </c>
      <c r="AF31" t="e">
        <f>AND(#REF!,"AAAAAHf//R8=")</f>
        <v>#REF!</v>
      </c>
      <c r="AG31" t="e">
        <f>AND(#REF!,"AAAAAHf//SA=")</f>
        <v>#REF!</v>
      </c>
      <c r="AH31" t="e">
        <f>AND(#REF!,"AAAAAHf//SE=")</f>
        <v>#REF!</v>
      </c>
      <c r="AI31" t="e">
        <f>AND(#REF!,"AAAAAHf//SI=")</f>
        <v>#REF!</v>
      </c>
      <c r="AJ31" t="e">
        <f>AND(#REF!,"AAAAAHf//SM=")</f>
        <v>#REF!</v>
      </c>
      <c r="AK31" t="e">
        <f>IF(#REF!,"AAAAAHf//SQ=",0)</f>
        <v>#REF!</v>
      </c>
      <c r="AL31" t="e">
        <f>AND(#REF!,"AAAAAHf//SU=")</f>
        <v>#REF!</v>
      </c>
      <c r="AM31" t="e">
        <f>AND(#REF!,"AAAAAHf//SY=")</f>
        <v>#REF!</v>
      </c>
      <c r="AN31" t="e">
        <f>AND(#REF!,"AAAAAHf//Sc=")</f>
        <v>#REF!</v>
      </c>
      <c r="AO31" t="e">
        <f>AND(#REF!,"AAAAAHf//Sg=")</f>
        <v>#REF!</v>
      </c>
      <c r="AP31" t="e">
        <f>AND(#REF!,"AAAAAHf//Sk=")</f>
        <v>#REF!</v>
      </c>
      <c r="AQ31" t="e">
        <f>AND(#REF!,"AAAAAHf//So=")</f>
        <v>#REF!</v>
      </c>
      <c r="AR31" t="e">
        <f>AND(#REF!,"AAAAAHf//Ss=")</f>
        <v>#REF!</v>
      </c>
      <c r="AS31" t="e">
        <f>AND(#REF!,"AAAAAHf//Sw=")</f>
        <v>#REF!</v>
      </c>
      <c r="AT31" t="e">
        <f>AND(#REF!,"AAAAAHf//S0=")</f>
        <v>#REF!</v>
      </c>
      <c r="AU31" t="e">
        <f>AND(#REF!,"AAAAAHf//S4=")</f>
        <v>#REF!</v>
      </c>
      <c r="AV31" t="e">
        <f>IF(#REF!,"AAAAAHf//S8=",0)</f>
        <v>#REF!</v>
      </c>
      <c r="AW31" t="e">
        <f>AND(#REF!,"AAAAAHf//TA=")</f>
        <v>#REF!</v>
      </c>
      <c r="AX31" t="e">
        <f>AND(#REF!,"AAAAAHf//TE=")</f>
        <v>#REF!</v>
      </c>
      <c r="AY31" t="e">
        <f>AND(#REF!,"AAAAAHf//TI=")</f>
        <v>#REF!</v>
      </c>
      <c r="AZ31" t="e">
        <f>AND(#REF!,"AAAAAHf//TM=")</f>
        <v>#REF!</v>
      </c>
      <c r="BA31" t="e">
        <f>AND(#REF!,"AAAAAHf//TQ=")</f>
        <v>#REF!</v>
      </c>
      <c r="BB31" t="e">
        <f>AND(#REF!,"AAAAAHf//TU=")</f>
        <v>#REF!</v>
      </c>
      <c r="BC31" t="e">
        <f>AND(#REF!,"AAAAAHf//TY=")</f>
        <v>#REF!</v>
      </c>
      <c r="BD31" t="e">
        <f>AND(#REF!,"AAAAAHf//Tc=")</f>
        <v>#REF!</v>
      </c>
      <c r="BE31" t="e">
        <f>AND(#REF!,"AAAAAHf//Tg=")</f>
        <v>#REF!</v>
      </c>
      <c r="BF31" t="e">
        <f>AND(#REF!,"AAAAAHf//Tk=")</f>
        <v>#REF!</v>
      </c>
      <c r="BG31" t="e">
        <f>IF(#REF!,"AAAAAHf//To=",0)</f>
        <v>#REF!</v>
      </c>
      <c r="BH31" t="e">
        <f>AND(#REF!,"AAAAAHf//Ts=")</f>
        <v>#REF!</v>
      </c>
      <c r="BI31" t="e">
        <f>AND(#REF!,"AAAAAHf//Tw=")</f>
        <v>#REF!</v>
      </c>
      <c r="BJ31" t="e">
        <f>AND(#REF!,"AAAAAHf//T0=")</f>
        <v>#REF!</v>
      </c>
      <c r="BK31" t="e">
        <f>AND(#REF!,"AAAAAHf//T4=")</f>
        <v>#REF!</v>
      </c>
      <c r="BL31" t="e">
        <f>AND(#REF!,"AAAAAHf//T8=")</f>
        <v>#REF!</v>
      </c>
      <c r="BM31" t="e">
        <f>AND(#REF!,"AAAAAHf//UA=")</f>
        <v>#REF!</v>
      </c>
      <c r="BN31" t="e">
        <f>AND(#REF!,"AAAAAHf//UE=")</f>
        <v>#REF!</v>
      </c>
      <c r="BO31" t="e">
        <f>AND(#REF!,"AAAAAHf//UI=")</f>
        <v>#REF!</v>
      </c>
      <c r="BP31" t="e">
        <f>AND(#REF!,"AAAAAHf//UM=")</f>
        <v>#REF!</v>
      </c>
      <c r="BQ31" t="e">
        <f>AND(#REF!,"AAAAAHf//UQ=")</f>
        <v>#REF!</v>
      </c>
      <c r="BR31" t="e">
        <f>IF(#REF!,"AAAAAHf//UU=",0)</f>
        <v>#REF!</v>
      </c>
      <c r="BS31" t="e">
        <f>AND(#REF!,"AAAAAHf//UY=")</f>
        <v>#REF!</v>
      </c>
      <c r="BT31" t="e">
        <f>AND(#REF!,"AAAAAHf//Uc=")</f>
        <v>#REF!</v>
      </c>
      <c r="BU31" t="e">
        <f>AND(#REF!,"AAAAAHf//Ug=")</f>
        <v>#REF!</v>
      </c>
      <c r="BV31" t="e">
        <f>AND(#REF!,"AAAAAHf//Uk=")</f>
        <v>#REF!</v>
      </c>
      <c r="BW31" t="e">
        <f>AND(#REF!,"AAAAAHf//Uo=")</f>
        <v>#REF!</v>
      </c>
      <c r="BX31" t="e">
        <f>AND(#REF!,"AAAAAHf//Us=")</f>
        <v>#REF!</v>
      </c>
      <c r="BY31" t="e">
        <f>AND(#REF!,"AAAAAHf//Uw=")</f>
        <v>#REF!</v>
      </c>
      <c r="BZ31" t="e">
        <f>AND(#REF!,"AAAAAHf//U0=")</f>
        <v>#REF!</v>
      </c>
      <c r="CA31" t="e">
        <f>AND(#REF!,"AAAAAHf//U4=")</f>
        <v>#REF!</v>
      </c>
      <c r="CB31" t="e">
        <f>AND(#REF!,"AAAAAHf//U8=")</f>
        <v>#REF!</v>
      </c>
      <c r="CC31" t="e">
        <f>IF(#REF!,"AAAAAHf//VA=",0)</f>
        <v>#REF!</v>
      </c>
      <c r="CD31" t="e">
        <f>AND(#REF!,"AAAAAHf//VE=")</f>
        <v>#REF!</v>
      </c>
      <c r="CE31" t="e">
        <f>AND(#REF!,"AAAAAHf//VI=")</f>
        <v>#REF!</v>
      </c>
      <c r="CF31" t="e">
        <f>AND(#REF!,"AAAAAHf//VM=")</f>
        <v>#REF!</v>
      </c>
      <c r="CG31" t="e">
        <f>AND(#REF!,"AAAAAHf//VQ=")</f>
        <v>#REF!</v>
      </c>
      <c r="CH31" t="e">
        <f>AND(#REF!,"AAAAAHf//VU=")</f>
        <v>#REF!</v>
      </c>
      <c r="CI31" t="e">
        <f>AND(#REF!,"AAAAAHf//VY=")</f>
        <v>#REF!</v>
      </c>
      <c r="CJ31" t="e">
        <f>AND(#REF!,"AAAAAHf//Vc=")</f>
        <v>#REF!</v>
      </c>
      <c r="CK31" t="e">
        <f>AND(#REF!,"AAAAAHf//Vg=")</f>
        <v>#REF!</v>
      </c>
      <c r="CL31" t="e">
        <f>AND(#REF!,"AAAAAHf//Vk=")</f>
        <v>#REF!</v>
      </c>
      <c r="CM31" t="e">
        <f>AND(#REF!,"AAAAAHf//Vo=")</f>
        <v>#REF!</v>
      </c>
      <c r="CN31" t="e">
        <f>IF(#REF!,"AAAAAHf//Vs=",0)</f>
        <v>#REF!</v>
      </c>
      <c r="CO31" t="e">
        <f>AND(#REF!,"AAAAAHf//Vw=")</f>
        <v>#REF!</v>
      </c>
      <c r="CP31" t="e">
        <f>AND(#REF!,"AAAAAHf//V0=")</f>
        <v>#REF!</v>
      </c>
      <c r="CQ31" t="e">
        <f>AND(#REF!,"AAAAAHf//V4=")</f>
        <v>#REF!</v>
      </c>
      <c r="CR31" t="e">
        <f>AND(#REF!,"AAAAAHf//V8=")</f>
        <v>#REF!</v>
      </c>
      <c r="CS31" t="e">
        <f>AND(#REF!,"AAAAAHf//WA=")</f>
        <v>#REF!</v>
      </c>
      <c r="CT31" t="e">
        <f>AND(#REF!,"AAAAAHf//WE=")</f>
        <v>#REF!</v>
      </c>
      <c r="CU31" t="e">
        <f>AND(#REF!,"AAAAAHf//WI=")</f>
        <v>#REF!</v>
      </c>
      <c r="CV31" t="e">
        <f>AND(#REF!,"AAAAAHf//WM=")</f>
        <v>#REF!</v>
      </c>
      <c r="CW31" t="e">
        <f>AND(#REF!,"AAAAAHf//WQ=")</f>
        <v>#REF!</v>
      </c>
      <c r="CX31" t="e">
        <f>AND(#REF!,"AAAAAHf//WU=")</f>
        <v>#REF!</v>
      </c>
      <c r="CY31" t="e">
        <f>IF(#REF!,"AAAAAHf//WY=",0)</f>
        <v>#REF!</v>
      </c>
      <c r="CZ31" t="e">
        <f>AND(#REF!,"AAAAAHf//Wc=")</f>
        <v>#REF!</v>
      </c>
      <c r="DA31" t="e">
        <f>AND(#REF!,"AAAAAHf//Wg=")</f>
        <v>#REF!</v>
      </c>
      <c r="DB31" t="e">
        <f>AND(#REF!,"AAAAAHf//Wk=")</f>
        <v>#REF!</v>
      </c>
      <c r="DC31" t="e">
        <f>AND(#REF!,"AAAAAHf//Wo=")</f>
        <v>#REF!</v>
      </c>
      <c r="DD31" t="e">
        <f>AND(#REF!,"AAAAAHf//Ws=")</f>
        <v>#REF!</v>
      </c>
      <c r="DE31" t="e">
        <f>AND(#REF!,"AAAAAHf//Ww=")</f>
        <v>#REF!</v>
      </c>
      <c r="DF31" t="e">
        <f>AND(#REF!,"AAAAAHf//W0=")</f>
        <v>#REF!</v>
      </c>
      <c r="DG31" t="e">
        <f>AND(#REF!,"AAAAAHf//W4=")</f>
        <v>#REF!</v>
      </c>
      <c r="DH31" t="e">
        <f>AND(#REF!,"AAAAAHf//W8=")</f>
        <v>#REF!</v>
      </c>
      <c r="DI31" t="e">
        <f>AND(#REF!,"AAAAAHf//XA=")</f>
        <v>#REF!</v>
      </c>
      <c r="DJ31" t="e">
        <f>IF(#REF!,"AAAAAHf//XE=",0)</f>
        <v>#REF!</v>
      </c>
      <c r="DK31" t="e">
        <f>AND(#REF!,"AAAAAHf//XI=")</f>
        <v>#REF!</v>
      </c>
      <c r="DL31" t="e">
        <f>AND(#REF!,"AAAAAHf//XM=")</f>
        <v>#REF!</v>
      </c>
      <c r="DM31" t="e">
        <f>AND(#REF!,"AAAAAHf//XQ=")</f>
        <v>#REF!</v>
      </c>
      <c r="DN31" t="e">
        <f>AND(#REF!,"AAAAAHf//XU=")</f>
        <v>#REF!</v>
      </c>
      <c r="DO31" t="e">
        <f>AND(#REF!,"AAAAAHf//XY=")</f>
        <v>#REF!</v>
      </c>
      <c r="DP31" t="e">
        <f>AND(#REF!,"AAAAAHf//Xc=")</f>
        <v>#REF!</v>
      </c>
      <c r="DQ31" t="e">
        <f>AND(#REF!,"AAAAAHf//Xg=")</f>
        <v>#REF!</v>
      </c>
      <c r="DR31" t="e">
        <f>AND(#REF!,"AAAAAHf//Xk=")</f>
        <v>#REF!</v>
      </c>
      <c r="DS31" t="e">
        <f>AND(#REF!,"AAAAAHf//Xo=")</f>
        <v>#REF!</v>
      </c>
      <c r="DT31" t="e">
        <f>AND(#REF!,"AAAAAHf//Xs=")</f>
        <v>#REF!</v>
      </c>
      <c r="DU31" t="e">
        <f>IF(#REF!,"AAAAAHf//Xw=",0)</f>
        <v>#REF!</v>
      </c>
      <c r="DV31" t="e">
        <f>AND(#REF!,"AAAAAHf//X0=")</f>
        <v>#REF!</v>
      </c>
      <c r="DW31" t="e">
        <f>AND(#REF!,"AAAAAHf//X4=")</f>
        <v>#REF!</v>
      </c>
      <c r="DX31" t="e">
        <f>AND(#REF!,"AAAAAHf//X8=")</f>
        <v>#REF!</v>
      </c>
      <c r="DY31" t="e">
        <f>AND(#REF!,"AAAAAHf//YA=")</f>
        <v>#REF!</v>
      </c>
      <c r="DZ31" t="e">
        <f>AND(#REF!,"AAAAAHf//YE=")</f>
        <v>#REF!</v>
      </c>
      <c r="EA31" t="e">
        <f>AND(#REF!,"AAAAAHf//YI=")</f>
        <v>#REF!</v>
      </c>
      <c r="EB31" t="e">
        <f>AND(#REF!,"AAAAAHf//YM=")</f>
        <v>#REF!</v>
      </c>
      <c r="EC31" t="e">
        <f>AND(#REF!,"AAAAAHf//YQ=")</f>
        <v>#REF!</v>
      </c>
      <c r="ED31" t="e">
        <f>AND(#REF!,"AAAAAHf//YU=")</f>
        <v>#REF!</v>
      </c>
      <c r="EE31" t="e">
        <f>AND(#REF!,"AAAAAHf//YY=")</f>
        <v>#REF!</v>
      </c>
      <c r="EF31" t="e">
        <f>IF(#REF!,"AAAAAHf//Yc=",0)</f>
        <v>#REF!</v>
      </c>
      <c r="EG31" t="e">
        <f>AND(#REF!,"AAAAAHf//Yg=")</f>
        <v>#REF!</v>
      </c>
      <c r="EH31" t="e">
        <f>AND(#REF!,"AAAAAHf//Yk=")</f>
        <v>#REF!</v>
      </c>
      <c r="EI31" t="e">
        <f>AND(#REF!,"AAAAAHf//Yo=")</f>
        <v>#REF!</v>
      </c>
      <c r="EJ31" t="e">
        <f>AND(#REF!,"AAAAAHf//Ys=")</f>
        <v>#REF!</v>
      </c>
      <c r="EK31" t="e">
        <f>AND(#REF!,"AAAAAHf//Yw=")</f>
        <v>#REF!</v>
      </c>
      <c r="EL31" t="e">
        <f>AND(#REF!,"AAAAAHf//Y0=")</f>
        <v>#REF!</v>
      </c>
      <c r="EM31" t="e">
        <f>AND(#REF!,"AAAAAHf//Y4=")</f>
        <v>#REF!</v>
      </c>
      <c r="EN31" t="e">
        <f>AND(#REF!,"AAAAAHf//Y8=")</f>
        <v>#REF!</v>
      </c>
      <c r="EO31" t="e">
        <f>AND(#REF!,"AAAAAHf//ZA=")</f>
        <v>#REF!</v>
      </c>
      <c r="EP31" t="e">
        <f>AND(#REF!,"AAAAAHf//ZE=")</f>
        <v>#REF!</v>
      </c>
      <c r="EQ31" t="e">
        <f>IF(#REF!,"AAAAAHf//ZI=",0)</f>
        <v>#REF!</v>
      </c>
      <c r="ER31" t="e">
        <f>AND(#REF!,"AAAAAHf//ZM=")</f>
        <v>#REF!</v>
      </c>
      <c r="ES31" t="e">
        <f>AND(#REF!,"AAAAAHf//ZQ=")</f>
        <v>#REF!</v>
      </c>
      <c r="ET31" t="e">
        <f>AND(#REF!,"AAAAAHf//ZU=")</f>
        <v>#REF!</v>
      </c>
      <c r="EU31" t="e">
        <f>AND(#REF!,"AAAAAHf//ZY=")</f>
        <v>#REF!</v>
      </c>
      <c r="EV31" t="e">
        <f>AND(#REF!,"AAAAAHf//Zc=")</f>
        <v>#REF!</v>
      </c>
      <c r="EW31" t="e">
        <f>AND(#REF!,"AAAAAHf//Zg=")</f>
        <v>#REF!</v>
      </c>
      <c r="EX31" t="e">
        <f>AND(#REF!,"AAAAAHf//Zk=")</f>
        <v>#REF!</v>
      </c>
      <c r="EY31" t="e">
        <f>AND(#REF!,"AAAAAHf//Zo=")</f>
        <v>#REF!</v>
      </c>
      <c r="EZ31" t="e">
        <f>AND(#REF!,"AAAAAHf//Zs=")</f>
        <v>#REF!</v>
      </c>
      <c r="FA31" t="e">
        <f>AND(#REF!,"AAAAAHf//Zw=")</f>
        <v>#REF!</v>
      </c>
      <c r="FB31" t="e">
        <f>IF(#REF!,"AAAAAHf//Z0=",0)</f>
        <v>#REF!</v>
      </c>
      <c r="FC31" t="e">
        <f>AND(#REF!,"AAAAAHf//Z4=")</f>
        <v>#REF!</v>
      </c>
      <c r="FD31" t="e">
        <f>AND(#REF!,"AAAAAHf//Z8=")</f>
        <v>#REF!</v>
      </c>
      <c r="FE31" t="e">
        <f>AND(#REF!,"AAAAAHf//aA=")</f>
        <v>#REF!</v>
      </c>
      <c r="FF31" t="e">
        <f>AND(#REF!,"AAAAAHf//aE=")</f>
        <v>#REF!</v>
      </c>
      <c r="FG31" t="e">
        <f>AND(#REF!,"AAAAAHf//aI=")</f>
        <v>#REF!</v>
      </c>
      <c r="FH31" t="e">
        <f>AND(#REF!,"AAAAAHf//aM=")</f>
        <v>#REF!</v>
      </c>
      <c r="FI31" t="e">
        <f>AND(#REF!,"AAAAAHf//aQ=")</f>
        <v>#REF!</v>
      </c>
      <c r="FJ31" t="e">
        <f>AND(#REF!,"AAAAAHf//aU=")</f>
        <v>#REF!</v>
      </c>
      <c r="FK31" t="e">
        <f>AND(#REF!,"AAAAAHf//aY=")</f>
        <v>#REF!</v>
      </c>
      <c r="FL31" t="e">
        <f>AND(#REF!,"AAAAAHf//ac=")</f>
        <v>#REF!</v>
      </c>
      <c r="FM31" t="e">
        <f>IF(#REF!,"AAAAAHf//ag=",0)</f>
        <v>#REF!</v>
      </c>
      <c r="FN31" t="e">
        <f>AND(#REF!,"AAAAAHf//ak=")</f>
        <v>#REF!</v>
      </c>
      <c r="FO31" t="e">
        <f>AND(#REF!,"AAAAAHf//ao=")</f>
        <v>#REF!</v>
      </c>
      <c r="FP31" t="e">
        <f>AND(#REF!,"AAAAAHf//as=")</f>
        <v>#REF!</v>
      </c>
      <c r="FQ31" t="e">
        <f>AND(#REF!,"AAAAAHf//aw=")</f>
        <v>#REF!</v>
      </c>
      <c r="FR31" t="e">
        <f>AND(#REF!,"AAAAAHf//a0=")</f>
        <v>#REF!</v>
      </c>
      <c r="FS31" t="e">
        <f>AND(#REF!,"AAAAAHf//a4=")</f>
        <v>#REF!</v>
      </c>
      <c r="FT31" t="e">
        <f>AND(#REF!,"AAAAAHf//a8=")</f>
        <v>#REF!</v>
      </c>
      <c r="FU31" t="e">
        <f>AND(#REF!,"AAAAAHf//bA=")</f>
        <v>#REF!</v>
      </c>
      <c r="FV31" t="e">
        <f>AND(#REF!,"AAAAAHf//bE=")</f>
        <v>#REF!</v>
      </c>
      <c r="FW31" t="e">
        <f>AND(#REF!,"AAAAAHf//bI=")</f>
        <v>#REF!</v>
      </c>
      <c r="FX31" t="e">
        <f>IF(#REF!,"AAAAAHf//bM=",0)</f>
        <v>#REF!</v>
      </c>
      <c r="FY31" t="e">
        <f>AND(#REF!,"AAAAAHf//bQ=")</f>
        <v>#REF!</v>
      </c>
      <c r="FZ31" t="e">
        <f>AND(#REF!,"AAAAAHf//bU=")</f>
        <v>#REF!</v>
      </c>
      <c r="GA31" t="e">
        <f>AND(#REF!,"AAAAAHf//bY=")</f>
        <v>#REF!</v>
      </c>
      <c r="GB31" t="e">
        <f>AND(#REF!,"AAAAAHf//bc=")</f>
        <v>#REF!</v>
      </c>
      <c r="GC31" t="e">
        <f>AND(#REF!,"AAAAAHf//bg=")</f>
        <v>#REF!</v>
      </c>
      <c r="GD31" t="e">
        <f>AND(#REF!,"AAAAAHf//bk=")</f>
        <v>#REF!</v>
      </c>
      <c r="GE31" t="e">
        <f>AND(#REF!,"AAAAAHf//bo=")</f>
        <v>#REF!</v>
      </c>
      <c r="GF31" t="e">
        <f>AND(#REF!,"AAAAAHf//bs=")</f>
        <v>#REF!</v>
      </c>
      <c r="GG31" t="e">
        <f>AND(#REF!,"AAAAAHf//bw=")</f>
        <v>#REF!</v>
      </c>
      <c r="GH31" t="e">
        <f>AND(#REF!,"AAAAAHf//b0=")</f>
        <v>#REF!</v>
      </c>
      <c r="GI31" t="e">
        <f>IF(#REF!,"AAAAAHf//b4=",0)</f>
        <v>#REF!</v>
      </c>
      <c r="GJ31" t="e">
        <f>AND(#REF!,"AAAAAHf//b8=")</f>
        <v>#REF!</v>
      </c>
      <c r="GK31" t="e">
        <f>AND(#REF!,"AAAAAHf//cA=")</f>
        <v>#REF!</v>
      </c>
      <c r="GL31" t="e">
        <f>AND(#REF!,"AAAAAHf//cE=")</f>
        <v>#REF!</v>
      </c>
      <c r="GM31" t="e">
        <f>AND(#REF!,"AAAAAHf//cI=")</f>
        <v>#REF!</v>
      </c>
      <c r="GN31" t="e">
        <f>AND(#REF!,"AAAAAHf//cM=")</f>
        <v>#REF!</v>
      </c>
      <c r="GO31" t="e">
        <f>AND(#REF!,"AAAAAHf//cQ=")</f>
        <v>#REF!</v>
      </c>
      <c r="GP31" t="e">
        <f>AND(#REF!,"AAAAAHf//cU=")</f>
        <v>#REF!</v>
      </c>
      <c r="GQ31" t="e">
        <f>AND(#REF!,"AAAAAHf//cY=")</f>
        <v>#REF!</v>
      </c>
      <c r="GR31" t="e">
        <f>AND(#REF!,"AAAAAHf//cc=")</f>
        <v>#REF!</v>
      </c>
      <c r="GS31" t="e">
        <f>AND(#REF!,"AAAAAHf//cg=")</f>
        <v>#REF!</v>
      </c>
      <c r="GT31" t="e">
        <f>IF(#REF!,"AAAAAHf//ck=",0)</f>
        <v>#REF!</v>
      </c>
      <c r="GU31" t="e">
        <f>AND(#REF!,"AAAAAHf//co=")</f>
        <v>#REF!</v>
      </c>
      <c r="GV31" t="e">
        <f>AND(#REF!,"AAAAAHf//cs=")</f>
        <v>#REF!</v>
      </c>
      <c r="GW31" t="e">
        <f>AND(#REF!,"AAAAAHf//cw=")</f>
        <v>#REF!</v>
      </c>
      <c r="GX31" t="e">
        <f>AND(#REF!,"AAAAAHf//c0=")</f>
        <v>#REF!</v>
      </c>
      <c r="GY31" t="e">
        <f>AND(#REF!,"AAAAAHf//c4=")</f>
        <v>#REF!</v>
      </c>
      <c r="GZ31" t="e">
        <f>AND(#REF!,"AAAAAHf//c8=")</f>
        <v>#REF!</v>
      </c>
      <c r="HA31" t="e">
        <f>AND(#REF!,"AAAAAHf//dA=")</f>
        <v>#REF!</v>
      </c>
      <c r="HB31" t="e">
        <f>AND(#REF!,"AAAAAHf//dE=")</f>
        <v>#REF!</v>
      </c>
      <c r="HC31" t="e">
        <f>AND(#REF!,"AAAAAHf//dI=")</f>
        <v>#REF!</v>
      </c>
      <c r="HD31" t="e">
        <f>AND(#REF!,"AAAAAHf//dM=")</f>
        <v>#REF!</v>
      </c>
      <c r="HE31" t="e">
        <f>IF(#REF!,"AAAAAHf//dQ=",0)</f>
        <v>#REF!</v>
      </c>
      <c r="HF31" t="e">
        <f>AND(#REF!,"AAAAAHf//dU=")</f>
        <v>#REF!</v>
      </c>
      <c r="HG31" t="e">
        <f>AND(#REF!,"AAAAAHf//dY=")</f>
        <v>#REF!</v>
      </c>
      <c r="HH31" t="e">
        <f>AND(#REF!,"AAAAAHf//dc=")</f>
        <v>#REF!</v>
      </c>
      <c r="HI31" t="e">
        <f>AND(#REF!,"AAAAAHf//dg=")</f>
        <v>#REF!</v>
      </c>
      <c r="HJ31" t="e">
        <f>AND(#REF!,"AAAAAHf//dk=")</f>
        <v>#REF!</v>
      </c>
      <c r="HK31" t="e">
        <f>AND(#REF!,"AAAAAHf//do=")</f>
        <v>#REF!</v>
      </c>
      <c r="HL31" t="e">
        <f>AND(#REF!,"AAAAAHf//ds=")</f>
        <v>#REF!</v>
      </c>
      <c r="HM31" t="e">
        <f>AND(#REF!,"AAAAAHf//dw=")</f>
        <v>#REF!</v>
      </c>
      <c r="HN31" t="e">
        <f>AND(#REF!,"AAAAAHf//d0=")</f>
        <v>#REF!</v>
      </c>
      <c r="HO31" t="e">
        <f>AND(#REF!,"AAAAAHf//d4=")</f>
        <v>#REF!</v>
      </c>
      <c r="HP31" t="e">
        <f>IF(#REF!,"AAAAAHf//d8=",0)</f>
        <v>#REF!</v>
      </c>
      <c r="HQ31" t="e">
        <f>AND(#REF!,"AAAAAHf//eA=")</f>
        <v>#REF!</v>
      </c>
      <c r="HR31" t="e">
        <f>AND(#REF!,"AAAAAHf//eE=")</f>
        <v>#REF!</v>
      </c>
      <c r="HS31" t="e">
        <f>AND(#REF!,"AAAAAHf//eI=")</f>
        <v>#REF!</v>
      </c>
      <c r="HT31" t="e">
        <f>AND(#REF!,"AAAAAHf//eM=")</f>
        <v>#REF!</v>
      </c>
      <c r="HU31" t="e">
        <f>AND(#REF!,"AAAAAHf//eQ=")</f>
        <v>#REF!</v>
      </c>
      <c r="HV31" t="e">
        <f>AND(#REF!,"AAAAAHf//eU=")</f>
        <v>#REF!</v>
      </c>
      <c r="HW31" t="e">
        <f>AND(#REF!,"AAAAAHf//eY=")</f>
        <v>#REF!</v>
      </c>
      <c r="HX31" t="e">
        <f>AND(#REF!,"AAAAAHf//ec=")</f>
        <v>#REF!</v>
      </c>
      <c r="HY31" t="e">
        <f>AND(#REF!,"AAAAAHf//eg=")</f>
        <v>#REF!</v>
      </c>
      <c r="HZ31" t="e">
        <f>AND(#REF!,"AAAAAHf//ek=")</f>
        <v>#REF!</v>
      </c>
      <c r="IA31" t="e">
        <f>IF(#REF!,"AAAAAHf//eo=",0)</f>
        <v>#REF!</v>
      </c>
      <c r="IB31" t="e">
        <f>AND(#REF!,"AAAAAHf//es=")</f>
        <v>#REF!</v>
      </c>
      <c r="IC31" t="e">
        <f>AND(#REF!,"AAAAAHf//ew=")</f>
        <v>#REF!</v>
      </c>
      <c r="ID31" t="e">
        <f>AND(#REF!,"AAAAAHf//e0=")</f>
        <v>#REF!</v>
      </c>
      <c r="IE31" t="e">
        <f>AND(#REF!,"AAAAAHf//e4=")</f>
        <v>#REF!</v>
      </c>
      <c r="IF31" t="e">
        <f>AND(#REF!,"AAAAAHf//e8=")</f>
        <v>#REF!</v>
      </c>
      <c r="IG31" t="e">
        <f>AND(#REF!,"AAAAAHf//fA=")</f>
        <v>#REF!</v>
      </c>
      <c r="IH31" t="e">
        <f>AND(#REF!,"AAAAAHf//fE=")</f>
        <v>#REF!</v>
      </c>
      <c r="II31" t="e">
        <f>AND(#REF!,"AAAAAHf//fI=")</f>
        <v>#REF!</v>
      </c>
      <c r="IJ31" t="e">
        <f>AND(#REF!,"AAAAAHf//fM=")</f>
        <v>#REF!</v>
      </c>
      <c r="IK31" t="e">
        <f>AND(#REF!,"AAAAAHf//fQ=")</f>
        <v>#REF!</v>
      </c>
      <c r="IL31" t="e">
        <f>IF(#REF!,"AAAAAHf//fU=",0)</f>
        <v>#REF!</v>
      </c>
      <c r="IM31" t="e">
        <f>AND(#REF!,"AAAAAHf//fY=")</f>
        <v>#REF!</v>
      </c>
      <c r="IN31" t="e">
        <f>AND(#REF!,"AAAAAHf//fc=")</f>
        <v>#REF!</v>
      </c>
      <c r="IO31" t="e">
        <f>AND(#REF!,"AAAAAHf//fg=")</f>
        <v>#REF!</v>
      </c>
      <c r="IP31" t="e">
        <f>AND(#REF!,"AAAAAHf//fk=")</f>
        <v>#REF!</v>
      </c>
      <c r="IQ31" t="e">
        <f>AND(#REF!,"AAAAAHf//fo=")</f>
        <v>#REF!</v>
      </c>
      <c r="IR31" t="e">
        <f>AND(#REF!,"AAAAAHf//fs=")</f>
        <v>#REF!</v>
      </c>
      <c r="IS31" t="e">
        <f>AND(#REF!,"AAAAAHf//fw=")</f>
        <v>#REF!</v>
      </c>
      <c r="IT31" t="e">
        <f>AND(#REF!,"AAAAAHf//f0=")</f>
        <v>#REF!</v>
      </c>
      <c r="IU31" t="e">
        <f>AND(#REF!,"AAAAAHf//f4=")</f>
        <v>#REF!</v>
      </c>
      <c r="IV31" t="e">
        <f>AND(#REF!,"AAAAAHf//f8=")</f>
        <v>#REF!</v>
      </c>
    </row>
    <row r="32" spans="1:256" x14ac:dyDescent="0.25">
      <c r="A32" t="e">
        <f>IF(#REF!,"AAAAAG+79wA=",0)</f>
        <v>#REF!</v>
      </c>
      <c r="B32" t="e">
        <f>AND(#REF!,"AAAAAG+79wE=")</f>
        <v>#REF!</v>
      </c>
      <c r="C32" t="e">
        <f>AND(#REF!,"AAAAAG+79wI=")</f>
        <v>#REF!</v>
      </c>
      <c r="D32" t="e">
        <f>AND(#REF!,"AAAAAG+79wM=")</f>
        <v>#REF!</v>
      </c>
      <c r="E32" t="e">
        <f>AND(#REF!,"AAAAAG+79wQ=")</f>
        <v>#REF!</v>
      </c>
      <c r="F32" t="e">
        <f>AND(#REF!,"AAAAAG+79wU=")</f>
        <v>#REF!</v>
      </c>
      <c r="G32" t="e">
        <f>AND(#REF!,"AAAAAG+79wY=")</f>
        <v>#REF!</v>
      </c>
      <c r="H32" t="e">
        <f>AND(#REF!,"AAAAAG+79wc=")</f>
        <v>#REF!</v>
      </c>
      <c r="I32" t="e">
        <f>AND(#REF!,"AAAAAG+79wg=")</f>
        <v>#REF!</v>
      </c>
      <c r="J32" t="e">
        <f>AND(#REF!,"AAAAAG+79wk=")</f>
        <v>#REF!</v>
      </c>
      <c r="K32" t="e">
        <f>AND(#REF!,"AAAAAG+79wo=")</f>
        <v>#REF!</v>
      </c>
      <c r="L32" t="e">
        <f>IF(#REF!,"AAAAAG+79ws=",0)</f>
        <v>#REF!</v>
      </c>
      <c r="M32" t="e">
        <f>AND(#REF!,"AAAAAG+79ww=")</f>
        <v>#REF!</v>
      </c>
      <c r="N32" t="e">
        <f>AND(#REF!,"AAAAAG+79w0=")</f>
        <v>#REF!</v>
      </c>
      <c r="O32" t="e">
        <f>AND(#REF!,"AAAAAG+79w4=")</f>
        <v>#REF!</v>
      </c>
      <c r="P32" t="e">
        <f>AND(#REF!,"AAAAAG+79w8=")</f>
        <v>#REF!</v>
      </c>
      <c r="Q32" t="e">
        <f>AND(#REF!,"AAAAAG+79xA=")</f>
        <v>#REF!</v>
      </c>
      <c r="R32" t="e">
        <f>AND(#REF!,"AAAAAG+79xE=")</f>
        <v>#REF!</v>
      </c>
      <c r="S32" t="e">
        <f>AND(#REF!,"AAAAAG+79xI=")</f>
        <v>#REF!</v>
      </c>
      <c r="T32" t="e">
        <f>AND(#REF!,"AAAAAG+79xM=")</f>
        <v>#REF!</v>
      </c>
      <c r="U32" t="e">
        <f>AND(#REF!,"AAAAAG+79xQ=")</f>
        <v>#REF!</v>
      </c>
      <c r="V32" t="e">
        <f>AND(#REF!,"AAAAAG+79xU=")</f>
        <v>#REF!</v>
      </c>
      <c r="W32" t="e">
        <f>IF(#REF!,"AAAAAG+79xY=",0)</f>
        <v>#REF!</v>
      </c>
      <c r="X32" t="e">
        <f>AND(#REF!,"AAAAAG+79xc=")</f>
        <v>#REF!</v>
      </c>
      <c r="Y32" t="e">
        <f>AND(#REF!,"AAAAAG+79xg=")</f>
        <v>#REF!</v>
      </c>
      <c r="Z32" t="e">
        <f>AND(#REF!,"AAAAAG+79xk=")</f>
        <v>#REF!</v>
      </c>
      <c r="AA32" t="e">
        <f>AND(#REF!,"AAAAAG+79xo=")</f>
        <v>#REF!</v>
      </c>
      <c r="AB32" t="e">
        <f>AND(#REF!,"AAAAAG+79xs=")</f>
        <v>#REF!</v>
      </c>
      <c r="AC32" t="e">
        <f>AND(#REF!,"AAAAAG+79xw=")</f>
        <v>#REF!</v>
      </c>
      <c r="AD32" t="e">
        <f>AND(#REF!,"AAAAAG+79x0=")</f>
        <v>#REF!</v>
      </c>
      <c r="AE32" t="e">
        <f>AND(#REF!,"AAAAAG+79x4=")</f>
        <v>#REF!</v>
      </c>
      <c r="AF32" t="e">
        <f>AND(#REF!,"AAAAAG+79x8=")</f>
        <v>#REF!</v>
      </c>
      <c r="AG32" t="e">
        <f>AND(#REF!,"AAAAAG+79yA=")</f>
        <v>#REF!</v>
      </c>
      <c r="AH32" t="e">
        <f>IF(#REF!,"AAAAAG+79yE=",0)</f>
        <v>#REF!</v>
      </c>
      <c r="AI32" t="e">
        <f>AND(#REF!,"AAAAAG+79yI=")</f>
        <v>#REF!</v>
      </c>
      <c r="AJ32" t="e">
        <f>AND(#REF!,"AAAAAG+79yM=")</f>
        <v>#REF!</v>
      </c>
      <c r="AK32" t="e">
        <f>AND(#REF!,"AAAAAG+79yQ=")</f>
        <v>#REF!</v>
      </c>
      <c r="AL32" t="e">
        <f>AND(#REF!,"AAAAAG+79yU=")</f>
        <v>#REF!</v>
      </c>
      <c r="AM32" t="e">
        <f>AND(#REF!,"AAAAAG+79yY=")</f>
        <v>#REF!</v>
      </c>
      <c r="AN32" t="e">
        <f>AND(#REF!,"AAAAAG+79yc=")</f>
        <v>#REF!</v>
      </c>
      <c r="AO32" t="e">
        <f>AND(#REF!,"AAAAAG+79yg=")</f>
        <v>#REF!</v>
      </c>
      <c r="AP32" t="e">
        <f>AND(#REF!,"AAAAAG+79yk=")</f>
        <v>#REF!</v>
      </c>
      <c r="AQ32" t="e">
        <f>AND(#REF!,"AAAAAG+79yo=")</f>
        <v>#REF!</v>
      </c>
      <c r="AR32" t="e">
        <f>AND(#REF!,"AAAAAG+79ys=")</f>
        <v>#REF!</v>
      </c>
      <c r="AS32" t="e">
        <f>IF(#REF!,"AAAAAG+79yw=",0)</f>
        <v>#REF!</v>
      </c>
      <c r="AT32" t="e">
        <f>AND(#REF!,"AAAAAG+79y0=")</f>
        <v>#REF!</v>
      </c>
      <c r="AU32" t="e">
        <f>AND(#REF!,"AAAAAG+79y4=")</f>
        <v>#REF!</v>
      </c>
      <c r="AV32" t="e">
        <f>AND(#REF!,"AAAAAG+79y8=")</f>
        <v>#REF!</v>
      </c>
      <c r="AW32" t="e">
        <f>AND(#REF!,"AAAAAG+79zA=")</f>
        <v>#REF!</v>
      </c>
      <c r="AX32" t="e">
        <f>AND(#REF!,"AAAAAG+79zE=")</f>
        <v>#REF!</v>
      </c>
      <c r="AY32" t="e">
        <f>AND(#REF!,"AAAAAG+79zI=")</f>
        <v>#REF!</v>
      </c>
      <c r="AZ32" t="e">
        <f>AND(#REF!,"AAAAAG+79zM=")</f>
        <v>#REF!</v>
      </c>
      <c r="BA32" t="e">
        <f>AND(#REF!,"AAAAAG+79zQ=")</f>
        <v>#REF!</v>
      </c>
      <c r="BB32" t="e">
        <f>AND(#REF!,"AAAAAG+79zU=")</f>
        <v>#REF!</v>
      </c>
      <c r="BC32" t="e">
        <f>AND(#REF!,"AAAAAG+79zY=")</f>
        <v>#REF!</v>
      </c>
      <c r="BD32" t="e">
        <f>IF(#REF!,"AAAAAG+79zc=",0)</f>
        <v>#REF!</v>
      </c>
      <c r="BE32" t="e">
        <f>AND(#REF!,"AAAAAG+79zg=")</f>
        <v>#REF!</v>
      </c>
      <c r="BF32" t="e">
        <f>AND(#REF!,"AAAAAG+79zk=")</f>
        <v>#REF!</v>
      </c>
      <c r="BG32" t="e">
        <f>AND(#REF!,"AAAAAG+79zo=")</f>
        <v>#REF!</v>
      </c>
      <c r="BH32" t="e">
        <f>AND(#REF!,"AAAAAG+79zs=")</f>
        <v>#REF!</v>
      </c>
      <c r="BI32" t="e">
        <f>AND(#REF!,"AAAAAG+79zw=")</f>
        <v>#REF!</v>
      </c>
      <c r="BJ32" t="e">
        <f>AND(#REF!,"AAAAAG+79z0=")</f>
        <v>#REF!</v>
      </c>
      <c r="BK32" t="e">
        <f>AND(#REF!,"AAAAAG+79z4=")</f>
        <v>#REF!</v>
      </c>
      <c r="BL32" t="e">
        <f>AND(#REF!,"AAAAAG+79z8=")</f>
        <v>#REF!</v>
      </c>
      <c r="BM32" t="e">
        <f>AND(#REF!,"AAAAAG+790A=")</f>
        <v>#REF!</v>
      </c>
      <c r="BN32" t="e">
        <f>AND(#REF!,"AAAAAG+790E=")</f>
        <v>#REF!</v>
      </c>
      <c r="BO32" t="e">
        <f>IF(#REF!,"AAAAAG+790I=",0)</f>
        <v>#REF!</v>
      </c>
      <c r="BP32" t="e">
        <f>AND(#REF!,"AAAAAG+790M=")</f>
        <v>#REF!</v>
      </c>
      <c r="BQ32" t="e">
        <f>AND(#REF!,"AAAAAG+790Q=")</f>
        <v>#REF!</v>
      </c>
      <c r="BR32" t="e">
        <f>AND(#REF!,"AAAAAG+790U=")</f>
        <v>#REF!</v>
      </c>
      <c r="BS32" t="e">
        <f>AND(#REF!,"AAAAAG+790Y=")</f>
        <v>#REF!</v>
      </c>
      <c r="BT32" t="e">
        <f>AND(#REF!,"AAAAAG+790c=")</f>
        <v>#REF!</v>
      </c>
      <c r="BU32" t="e">
        <f>AND(#REF!,"AAAAAG+790g=")</f>
        <v>#REF!</v>
      </c>
      <c r="BV32" t="e">
        <f>AND(#REF!,"AAAAAG+790k=")</f>
        <v>#REF!</v>
      </c>
      <c r="BW32" t="e">
        <f>AND(#REF!,"AAAAAG+790o=")</f>
        <v>#REF!</v>
      </c>
      <c r="BX32" t="e">
        <f>AND(#REF!,"AAAAAG+790s=")</f>
        <v>#REF!</v>
      </c>
      <c r="BY32" t="e">
        <f>AND(#REF!,"AAAAAG+790w=")</f>
        <v>#REF!</v>
      </c>
      <c r="BZ32" t="e">
        <f>IF(#REF!,"AAAAAG+7900=",0)</f>
        <v>#REF!</v>
      </c>
      <c r="CA32" t="e">
        <f>AND(#REF!,"AAAAAG+7904=")</f>
        <v>#REF!</v>
      </c>
      <c r="CB32" t="e">
        <f>AND(#REF!,"AAAAAG+7908=")</f>
        <v>#REF!</v>
      </c>
      <c r="CC32" t="e">
        <f>AND(#REF!,"AAAAAG+791A=")</f>
        <v>#REF!</v>
      </c>
      <c r="CD32" t="e">
        <f>AND(#REF!,"AAAAAG+791E=")</f>
        <v>#REF!</v>
      </c>
      <c r="CE32" t="e">
        <f>AND(#REF!,"AAAAAG+791I=")</f>
        <v>#REF!</v>
      </c>
      <c r="CF32" t="e">
        <f>AND(#REF!,"AAAAAG+791M=")</f>
        <v>#REF!</v>
      </c>
      <c r="CG32" t="e">
        <f>AND(#REF!,"AAAAAG+791Q=")</f>
        <v>#REF!</v>
      </c>
      <c r="CH32" t="e">
        <f>AND(#REF!,"AAAAAG+791U=")</f>
        <v>#REF!</v>
      </c>
      <c r="CI32" t="e">
        <f>AND(#REF!,"AAAAAG+791Y=")</f>
        <v>#REF!</v>
      </c>
      <c r="CJ32" t="e">
        <f>AND(#REF!,"AAAAAG+791c=")</f>
        <v>#REF!</v>
      </c>
      <c r="CK32" t="e">
        <f>IF(#REF!,"AAAAAG+791g=",0)</f>
        <v>#REF!</v>
      </c>
      <c r="CL32" t="e">
        <f>AND(#REF!,"AAAAAG+791k=")</f>
        <v>#REF!</v>
      </c>
      <c r="CM32" t="e">
        <f>AND(#REF!,"AAAAAG+791o=")</f>
        <v>#REF!</v>
      </c>
      <c r="CN32" t="e">
        <f>AND(#REF!,"AAAAAG+791s=")</f>
        <v>#REF!</v>
      </c>
      <c r="CO32" t="e">
        <f>AND(#REF!,"AAAAAG+791w=")</f>
        <v>#REF!</v>
      </c>
      <c r="CP32" t="e">
        <f>AND(#REF!,"AAAAAG+7910=")</f>
        <v>#REF!</v>
      </c>
      <c r="CQ32" t="e">
        <f>AND(#REF!,"AAAAAG+7914=")</f>
        <v>#REF!</v>
      </c>
      <c r="CR32" t="e">
        <f>AND(#REF!,"AAAAAG+7918=")</f>
        <v>#REF!</v>
      </c>
      <c r="CS32" t="e">
        <f>AND(#REF!,"AAAAAG+792A=")</f>
        <v>#REF!</v>
      </c>
      <c r="CT32" t="e">
        <f>AND(#REF!,"AAAAAG+792E=")</f>
        <v>#REF!</v>
      </c>
      <c r="CU32" t="e">
        <f>AND(#REF!,"AAAAAG+792I=")</f>
        <v>#REF!</v>
      </c>
      <c r="CV32" t="e">
        <f>IF(#REF!,"AAAAAG+792M=",0)</f>
        <v>#REF!</v>
      </c>
      <c r="CW32" t="e">
        <f>AND(#REF!,"AAAAAG+792Q=")</f>
        <v>#REF!</v>
      </c>
      <c r="CX32" t="e">
        <f>AND(#REF!,"AAAAAG+792U=")</f>
        <v>#REF!</v>
      </c>
      <c r="CY32" t="e">
        <f>AND(#REF!,"AAAAAG+792Y=")</f>
        <v>#REF!</v>
      </c>
      <c r="CZ32" t="e">
        <f>AND(#REF!,"AAAAAG+792c=")</f>
        <v>#REF!</v>
      </c>
      <c r="DA32" t="e">
        <f>AND(#REF!,"AAAAAG+792g=")</f>
        <v>#REF!</v>
      </c>
      <c r="DB32" t="e">
        <f>AND(#REF!,"AAAAAG+792k=")</f>
        <v>#REF!</v>
      </c>
      <c r="DC32" t="e">
        <f>AND(#REF!,"AAAAAG+792o=")</f>
        <v>#REF!</v>
      </c>
      <c r="DD32" t="e">
        <f>AND(#REF!,"AAAAAG+792s=")</f>
        <v>#REF!</v>
      </c>
      <c r="DE32" t="e">
        <f>AND(#REF!,"AAAAAG+792w=")</f>
        <v>#REF!</v>
      </c>
      <c r="DF32" t="e">
        <f>AND(#REF!,"AAAAAG+7920=")</f>
        <v>#REF!</v>
      </c>
      <c r="DG32" t="e">
        <f>IF(#REF!,"AAAAAG+7924=",0)</f>
        <v>#REF!</v>
      </c>
      <c r="DH32" t="e">
        <f>AND(#REF!,"AAAAAG+7928=")</f>
        <v>#REF!</v>
      </c>
      <c r="DI32" t="e">
        <f>AND(#REF!,"AAAAAG+793A=")</f>
        <v>#REF!</v>
      </c>
      <c r="DJ32" t="e">
        <f>AND(#REF!,"AAAAAG+793E=")</f>
        <v>#REF!</v>
      </c>
      <c r="DK32" t="e">
        <f>AND(#REF!,"AAAAAG+793I=")</f>
        <v>#REF!</v>
      </c>
      <c r="DL32" t="e">
        <f>AND(#REF!,"AAAAAG+793M=")</f>
        <v>#REF!</v>
      </c>
      <c r="DM32" t="e">
        <f>AND(#REF!,"AAAAAG+793Q=")</f>
        <v>#REF!</v>
      </c>
      <c r="DN32" t="e">
        <f>AND(#REF!,"AAAAAG+793U=")</f>
        <v>#REF!</v>
      </c>
      <c r="DO32" t="e">
        <f>AND(#REF!,"AAAAAG+793Y=")</f>
        <v>#REF!</v>
      </c>
      <c r="DP32" t="e">
        <f>AND(#REF!,"AAAAAG+793c=")</f>
        <v>#REF!</v>
      </c>
      <c r="DQ32" t="e">
        <f>AND(#REF!,"AAAAAG+793g=")</f>
        <v>#REF!</v>
      </c>
      <c r="DR32" t="e">
        <f>IF(#REF!,"AAAAAG+793k=",0)</f>
        <v>#REF!</v>
      </c>
      <c r="DS32" t="e">
        <f>AND(#REF!,"AAAAAG+793o=")</f>
        <v>#REF!</v>
      </c>
      <c r="DT32" t="e">
        <f>AND(#REF!,"AAAAAG+793s=")</f>
        <v>#REF!</v>
      </c>
      <c r="DU32" t="e">
        <f>AND(#REF!,"AAAAAG+793w=")</f>
        <v>#REF!</v>
      </c>
      <c r="DV32" t="e">
        <f>AND(#REF!,"AAAAAG+7930=")</f>
        <v>#REF!</v>
      </c>
      <c r="DW32" t="e">
        <f>AND(#REF!,"AAAAAG+7934=")</f>
        <v>#REF!</v>
      </c>
      <c r="DX32" t="e">
        <f>AND(#REF!,"AAAAAG+7938=")</f>
        <v>#REF!</v>
      </c>
      <c r="DY32" t="e">
        <f>AND(#REF!,"AAAAAG+794A=")</f>
        <v>#REF!</v>
      </c>
      <c r="DZ32" t="e">
        <f>AND(#REF!,"AAAAAG+794E=")</f>
        <v>#REF!</v>
      </c>
      <c r="EA32" t="e">
        <f>AND(#REF!,"AAAAAG+794I=")</f>
        <v>#REF!</v>
      </c>
      <c r="EB32" t="e">
        <f>AND(#REF!,"AAAAAG+794M=")</f>
        <v>#REF!</v>
      </c>
      <c r="EC32" t="e">
        <f>IF(#REF!,"AAAAAG+794Q=",0)</f>
        <v>#REF!</v>
      </c>
      <c r="ED32" t="e">
        <f>AND(#REF!,"AAAAAG+794U=")</f>
        <v>#REF!</v>
      </c>
      <c r="EE32" t="e">
        <f>AND(#REF!,"AAAAAG+794Y=")</f>
        <v>#REF!</v>
      </c>
      <c r="EF32" t="e">
        <f>AND(#REF!,"AAAAAG+794c=")</f>
        <v>#REF!</v>
      </c>
      <c r="EG32" t="e">
        <f>AND(#REF!,"AAAAAG+794g=")</f>
        <v>#REF!</v>
      </c>
      <c r="EH32" t="e">
        <f>AND(#REF!,"AAAAAG+794k=")</f>
        <v>#REF!</v>
      </c>
      <c r="EI32" t="e">
        <f>AND(#REF!,"AAAAAG+794o=")</f>
        <v>#REF!</v>
      </c>
      <c r="EJ32" t="e">
        <f>AND(#REF!,"AAAAAG+794s=")</f>
        <v>#REF!</v>
      </c>
      <c r="EK32" t="e">
        <f>AND(#REF!,"AAAAAG+794w=")</f>
        <v>#REF!</v>
      </c>
      <c r="EL32" t="e">
        <f>AND(#REF!,"AAAAAG+7940=")</f>
        <v>#REF!</v>
      </c>
      <c r="EM32" t="e">
        <f>AND(#REF!,"AAAAAG+7944=")</f>
        <v>#REF!</v>
      </c>
      <c r="EN32" t="e">
        <f>IF(#REF!,"AAAAAG+7948=",0)</f>
        <v>#REF!</v>
      </c>
      <c r="EO32" t="e">
        <f>AND(#REF!,"AAAAAG+795A=")</f>
        <v>#REF!</v>
      </c>
      <c r="EP32" t="e">
        <f>AND(#REF!,"AAAAAG+795E=")</f>
        <v>#REF!</v>
      </c>
      <c r="EQ32" t="e">
        <f>AND(#REF!,"AAAAAG+795I=")</f>
        <v>#REF!</v>
      </c>
      <c r="ER32" t="e">
        <f>AND(#REF!,"AAAAAG+795M=")</f>
        <v>#REF!</v>
      </c>
      <c r="ES32" t="e">
        <f>AND(#REF!,"AAAAAG+795Q=")</f>
        <v>#REF!</v>
      </c>
      <c r="ET32" t="e">
        <f>AND(#REF!,"AAAAAG+795U=")</f>
        <v>#REF!</v>
      </c>
      <c r="EU32" t="e">
        <f>AND(#REF!,"AAAAAG+795Y=")</f>
        <v>#REF!</v>
      </c>
      <c r="EV32" t="e">
        <f>AND(#REF!,"AAAAAG+795c=")</f>
        <v>#REF!</v>
      </c>
      <c r="EW32" t="e">
        <f>AND(#REF!,"AAAAAG+795g=")</f>
        <v>#REF!</v>
      </c>
      <c r="EX32" t="e">
        <f>AND(#REF!,"AAAAAG+795k=")</f>
        <v>#REF!</v>
      </c>
      <c r="EY32" t="e">
        <f>IF(#REF!,"AAAAAG+795o=",0)</f>
        <v>#REF!</v>
      </c>
      <c r="EZ32" t="e">
        <f>AND(#REF!,"AAAAAG+795s=")</f>
        <v>#REF!</v>
      </c>
      <c r="FA32" t="e">
        <f>AND(#REF!,"AAAAAG+795w=")</f>
        <v>#REF!</v>
      </c>
      <c r="FB32" t="e">
        <f>AND(#REF!,"AAAAAG+7950=")</f>
        <v>#REF!</v>
      </c>
      <c r="FC32" t="e">
        <f>AND(#REF!,"AAAAAG+7954=")</f>
        <v>#REF!</v>
      </c>
      <c r="FD32" t="e">
        <f>AND(#REF!,"AAAAAG+7958=")</f>
        <v>#REF!</v>
      </c>
      <c r="FE32" t="e">
        <f>AND(#REF!,"AAAAAG+796A=")</f>
        <v>#REF!</v>
      </c>
      <c r="FF32" t="e">
        <f>AND(#REF!,"AAAAAG+796E=")</f>
        <v>#REF!</v>
      </c>
      <c r="FG32" t="e">
        <f>AND(#REF!,"AAAAAG+796I=")</f>
        <v>#REF!</v>
      </c>
      <c r="FH32" t="e">
        <f>AND(#REF!,"AAAAAG+796M=")</f>
        <v>#REF!</v>
      </c>
      <c r="FI32" t="e">
        <f>AND(#REF!,"AAAAAG+796Q=")</f>
        <v>#REF!</v>
      </c>
      <c r="FJ32" t="e">
        <f>IF(#REF!,"AAAAAG+796U=",0)</f>
        <v>#REF!</v>
      </c>
      <c r="FK32" t="e">
        <f>AND(#REF!,"AAAAAG+796Y=")</f>
        <v>#REF!</v>
      </c>
      <c r="FL32" t="e">
        <f>AND(#REF!,"AAAAAG+796c=")</f>
        <v>#REF!</v>
      </c>
      <c r="FM32" t="e">
        <f>AND(#REF!,"AAAAAG+796g=")</f>
        <v>#REF!</v>
      </c>
      <c r="FN32" t="e">
        <f>AND(#REF!,"AAAAAG+796k=")</f>
        <v>#REF!</v>
      </c>
      <c r="FO32" t="e">
        <f>AND(#REF!,"AAAAAG+796o=")</f>
        <v>#REF!</v>
      </c>
      <c r="FP32" t="e">
        <f>AND(#REF!,"AAAAAG+796s=")</f>
        <v>#REF!</v>
      </c>
      <c r="FQ32" t="e">
        <f>AND(#REF!,"AAAAAG+796w=")</f>
        <v>#REF!</v>
      </c>
      <c r="FR32" t="e">
        <f>AND(#REF!,"AAAAAG+7960=")</f>
        <v>#REF!</v>
      </c>
      <c r="FS32" t="e">
        <f>AND(#REF!,"AAAAAG+7964=")</f>
        <v>#REF!</v>
      </c>
      <c r="FT32" t="e">
        <f>AND(#REF!,"AAAAAG+7968=")</f>
        <v>#REF!</v>
      </c>
      <c r="FU32" t="e">
        <f>IF(#REF!,"AAAAAG+797A=",0)</f>
        <v>#REF!</v>
      </c>
      <c r="FV32" t="e">
        <f>AND(#REF!,"AAAAAG+797E=")</f>
        <v>#REF!</v>
      </c>
      <c r="FW32" t="e">
        <f>AND(#REF!,"AAAAAG+797I=")</f>
        <v>#REF!</v>
      </c>
      <c r="FX32" t="e">
        <f>AND(#REF!,"AAAAAG+797M=")</f>
        <v>#REF!</v>
      </c>
      <c r="FY32" t="e">
        <f>AND(#REF!,"AAAAAG+797Q=")</f>
        <v>#REF!</v>
      </c>
      <c r="FZ32" t="e">
        <f>AND(#REF!,"AAAAAG+797U=")</f>
        <v>#REF!</v>
      </c>
      <c r="GA32" t="e">
        <f>AND(#REF!,"AAAAAG+797Y=")</f>
        <v>#REF!</v>
      </c>
      <c r="GB32" t="e">
        <f>AND(#REF!,"AAAAAG+797c=")</f>
        <v>#REF!</v>
      </c>
      <c r="GC32" t="e">
        <f>AND(#REF!,"AAAAAG+797g=")</f>
        <v>#REF!</v>
      </c>
      <c r="GD32" t="e">
        <f>AND(#REF!,"AAAAAG+797k=")</f>
        <v>#REF!</v>
      </c>
      <c r="GE32" t="e">
        <f>AND(#REF!,"AAAAAG+797o=")</f>
        <v>#REF!</v>
      </c>
      <c r="GF32" t="e">
        <f>IF(#REF!,"AAAAAG+797s=",0)</f>
        <v>#REF!</v>
      </c>
      <c r="GG32" t="e">
        <f>AND(#REF!,"AAAAAG+797w=")</f>
        <v>#REF!</v>
      </c>
      <c r="GH32" t="e">
        <f>AND(#REF!,"AAAAAG+7970=")</f>
        <v>#REF!</v>
      </c>
      <c r="GI32" t="e">
        <f>AND(#REF!,"AAAAAG+7974=")</f>
        <v>#REF!</v>
      </c>
      <c r="GJ32" t="e">
        <f>AND(#REF!,"AAAAAG+7978=")</f>
        <v>#REF!</v>
      </c>
      <c r="GK32" t="e">
        <f>AND(#REF!,"AAAAAG+798A=")</f>
        <v>#REF!</v>
      </c>
      <c r="GL32" t="e">
        <f>AND(#REF!,"AAAAAG+798E=")</f>
        <v>#REF!</v>
      </c>
      <c r="GM32" t="e">
        <f>AND(#REF!,"AAAAAG+798I=")</f>
        <v>#REF!</v>
      </c>
      <c r="GN32" t="e">
        <f>AND(#REF!,"AAAAAG+798M=")</f>
        <v>#REF!</v>
      </c>
      <c r="GO32" t="e">
        <f>AND(#REF!,"AAAAAG+798Q=")</f>
        <v>#REF!</v>
      </c>
      <c r="GP32" t="e">
        <f>AND(#REF!,"AAAAAG+798U=")</f>
        <v>#REF!</v>
      </c>
      <c r="GQ32" t="e">
        <f>IF(#REF!,"AAAAAG+798Y=",0)</f>
        <v>#REF!</v>
      </c>
      <c r="GR32" t="e">
        <f>AND(#REF!,"AAAAAG+798c=")</f>
        <v>#REF!</v>
      </c>
      <c r="GS32" t="e">
        <f>AND(#REF!,"AAAAAG+798g=")</f>
        <v>#REF!</v>
      </c>
      <c r="GT32" t="e">
        <f>AND(#REF!,"AAAAAG+798k=")</f>
        <v>#REF!</v>
      </c>
      <c r="GU32" t="e">
        <f>AND(#REF!,"AAAAAG+798o=")</f>
        <v>#REF!</v>
      </c>
      <c r="GV32" t="e">
        <f>AND(#REF!,"AAAAAG+798s=")</f>
        <v>#REF!</v>
      </c>
      <c r="GW32" t="e">
        <f>AND(#REF!,"AAAAAG+798w=")</f>
        <v>#REF!</v>
      </c>
      <c r="GX32" t="e">
        <f>AND(#REF!,"AAAAAG+7980=")</f>
        <v>#REF!</v>
      </c>
      <c r="GY32" t="e">
        <f>AND(#REF!,"AAAAAG+7984=")</f>
        <v>#REF!</v>
      </c>
      <c r="GZ32" t="e">
        <f>AND(#REF!,"AAAAAG+7988=")</f>
        <v>#REF!</v>
      </c>
      <c r="HA32" t="e">
        <f>AND(#REF!,"AAAAAG+799A=")</f>
        <v>#REF!</v>
      </c>
      <c r="HB32" t="e">
        <f>IF(#REF!,"AAAAAG+799E=",0)</f>
        <v>#REF!</v>
      </c>
      <c r="HC32" t="e">
        <f>AND(#REF!,"AAAAAG+799I=")</f>
        <v>#REF!</v>
      </c>
      <c r="HD32" t="e">
        <f>AND(#REF!,"AAAAAG+799M=")</f>
        <v>#REF!</v>
      </c>
      <c r="HE32" t="e">
        <f>AND(#REF!,"AAAAAG+799Q=")</f>
        <v>#REF!</v>
      </c>
      <c r="HF32" t="e">
        <f>AND(#REF!,"AAAAAG+799U=")</f>
        <v>#REF!</v>
      </c>
      <c r="HG32" t="e">
        <f>AND(#REF!,"AAAAAG+799Y=")</f>
        <v>#REF!</v>
      </c>
      <c r="HH32" t="e">
        <f>AND(#REF!,"AAAAAG+799c=")</f>
        <v>#REF!</v>
      </c>
      <c r="HI32" t="e">
        <f>AND(#REF!,"AAAAAG+799g=")</f>
        <v>#REF!</v>
      </c>
      <c r="HJ32" t="e">
        <f>AND(#REF!,"AAAAAG+799k=")</f>
        <v>#REF!</v>
      </c>
      <c r="HK32" t="e">
        <f>AND(#REF!,"AAAAAG+799o=")</f>
        <v>#REF!</v>
      </c>
      <c r="HL32" t="e">
        <f>AND(#REF!,"AAAAAG+799s=")</f>
        <v>#REF!</v>
      </c>
      <c r="HM32" t="e">
        <f>IF(#REF!,"AAAAAG+799w=",0)</f>
        <v>#REF!</v>
      </c>
      <c r="HN32" t="e">
        <f>AND(#REF!,"AAAAAG+7990=")</f>
        <v>#REF!</v>
      </c>
      <c r="HO32" t="e">
        <f>AND(#REF!,"AAAAAG+7994=")</f>
        <v>#REF!</v>
      </c>
      <c r="HP32" t="e">
        <f>AND(#REF!,"AAAAAG+7998=")</f>
        <v>#REF!</v>
      </c>
      <c r="HQ32" t="e">
        <f>AND(#REF!,"AAAAAG+79+A=")</f>
        <v>#REF!</v>
      </c>
      <c r="HR32" t="e">
        <f>AND(#REF!,"AAAAAG+79+E=")</f>
        <v>#REF!</v>
      </c>
      <c r="HS32" t="e">
        <f>AND(#REF!,"AAAAAG+79+I=")</f>
        <v>#REF!</v>
      </c>
      <c r="HT32" t="e">
        <f>AND(#REF!,"AAAAAG+79+M=")</f>
        <v>#REF!</v>
      </c>
      <c r="HU32" t="e">
        <f>AND(#REF!,"AAAAAG+79+Q=")</f>
        <v>#REF!</v>
      </c>
      <c r="HV32" t="e">
        <f>AND(#REF!,"AAAAAG+79+U=")</f>
        <v>#REF!</v>
      </c>
      <c r="HW32" t="e">
        <f>AND(#REF!,"AAAAAG+79+Y=")</f>
        <v>#REF!</v>
      </c>
      <c r="HX32" t="e">
        <f>IF(#REF!,"AAAAAG+79+c=",0)</f>
        <v>#REF!</v>
      </c>
      <c r="HY32" t="e">
        <f>AND(#REF!,"AAAAAG+79+g=")</f>
        <v>#REF!</v>
      </c>
      <c r="HZ32" t="e">
        <f>AND(#REF!,"AAAAAG+79+k=")</f>
        <v>#REF!</v>
      </c>
      <c r="IA32" t="e">
        <f>AND(#REF!,"AAAAAG+79+o=")</f>
        <v>#REF!</v>
      </c>
      <c r="IB32" t="e">
        <f>AND(#REF!,"AAAAAG+79+s=")</f>
        <v>#REF!</v>
      </c>
      <c r="IC32" t="e">
        <f>AND(#REF!,"AAAAAG+79+w=")</f>
        <v>#REF!</v>
      </c>
      <c r="ID32" t="e">
        <f>AND(#REF!,"AAAAAG+79+0=")</f>
        <v>#REF!</v>
      </c>
      <c r="IE32" t="e">
        <f>AND(#REF!,"AAAAAG+79+4=")</f>
        <v>#REF!</v>
      </c>
      <c r="IF32" t="e">
        <f>AND(#REF!,"AAAAAG+79+8=")</f>
        <v>#REF!</v>
      </c>
      <c r="IG32" t="e">
        <f>AND(#REF!,"AAAAAG+79/A=")</f>
        <v>#REF!</v>
      </c>
      <c r="IH32" t="e">
        <f>AND(#REF!,"AAAAAG+79/E=")</f>
        <v>#REF!</v>
      </c>
      <c r="II32" t="e">
        <f>IF(#REF!,"AAAAAG+79/I=",0)</f>
        <v>#REF!</v>
      </c>
      <c r="IJ32" t="e">
        <f>AND(#REF!,"AAAAAG+79/M=")</f>
        <v>#REF!</v>
      </c>
      <c r="IK32" t="e">
        <f>AND(#REF!,"AAAAAG+79/Q=")</f>
        <v>#REF!</v>
      </c>
      <c r="IL32" t="e">
        <f>AND(#REF!,"AAAAAG+79/U=")</f>
        <v>#REF!</v>
      </c>
      <c r="IM32" t="e">
        <f>AND(#REF!,"AAAAAG+79/Y=")</f>
        <v>#REF!</v>
      </c>
      <c r="IN32" t="e">
        <f>AND(#REF!,"AAAAAG+79/c=")</f>
        <v>#REF!</v>
      </c>
      <c r="IO32" t="e">
        <f>AND(#REF!,"AAAAAG+79/g=")</f>
        <v>#REF!</v>
      </c>
      <c r="IP32" t="e">
        <f>AND(#REF!,"AAAAAG+79/k=")</f>
        <v>#REF!</v>
      </c>
      <c r="IQ32" t="e">
        <f>AND(#REF!,"AAAAAG+79/o=")</f>
        <v>#REF!</v>
      </c>
      <c r="IR32" t="e">
        <f>AND(#REF!,"AAAAAG+79/s=")</f>
        <v>#REF!</v>
      </c>
      <c r="IS32" t="e">
        <f>AND(#REF!,"AAAAAG+79/w=")</f>
        <v>#REF!</v>
      </c>
      <c r="IT32" t="e">
        <f>IF(#REF!,"AAAAAG+79/0=",0)</f>
        <v>#REF!</v>
      </c>
      <c r="IU32" t="e">
        <f>AND(#REF!,"AAAAAG+79/4=")</f>
        <v>#REF!</v>
      </c>
      <c r="IV32" t="e">
        <f>AND(#REF!,"AAAAAG+79/8=")</f>
        <v>#REF!</v>
      </c>
    </row>
    <row r="33" spans="1:256" x14ac:dyDescent="0.25">
      <c r="A33" t="e">
        <f>AND(#REF!,"AAAAAHe/dgA=")</f>
        <v>#REF!</v>
      </c>
      <c r="B33" t="e">
        <f>AND(#REF!,"AAAAAHe/dgE=")</f>
        <v>#REF!</v>
      </c>
      <c r="C33" t="e">
        <f>AND(#REF!,"AAAAAHe/dgI=")</f>
        <v>#REF!</v>
      </c>
      <c r="D33" t="e">
        <f>AND(#REF!,"AAAAAHe/dgM=")</f>
        <v>#REF!</v>
      </c>
      <c r="E33" t="e">
        <f>AND(#REF!,"AAAAAHe/dgQ=")</f>
        <v>#REF!</v>
      </c>
      <c r="F33" t="e">
        <f>AND(#REF!,"AAAAAHe/dgU=")</f>
        <v>#REF!</v>
      </c>
      <c r="G33" t="e">
        <f>AND(#REF!,"AAAAAHe/dgY=")</f>
        <v>#REF!</v>
      </c>
      <c r="H33" t="e">
        <f>AND(#REF!,"AAAAAHe/dgc=")</f>
        <v>#REF!</v>
      </c>
      <c r="I33" t="e">
        <f>IF(#REF!,"AAAAAHe/dgg=",0)</f>
        <v>#REF!</v>
      </c>
      <c r="J33" t="e">
        <f>AND(#REF!,"AAAAAHe/dgk=")</f>
        <v>#REF!</v>
      </c>
      <c r="K33" t="e">
        <f>AND(#REF!,"AAAAAHe/dgo=")</f>
        <v>#REF!</v>
      </c>
      <c r="L33" t="e">
        <f>AND(#REF!,"AAAAAHe/dgs=")</f>
        <v>#REF!</v>
      </c>
      <c r="M33" t="e">
        <f>AND(#REF!,"AAAAAHe/dgw=")</f>
        <v>#REF!</v>
      </c>
      <c r="N33" t="e">
        <f>AND(#REF!,"AAAAAHe/dg0=")</f>
        <v>#REF!</v>
      </c>
      <c r="O33" t="e">
        <f>AND(#REF!,"AAAAAHe/dg4=")</f>
        <v>#REF!</v>
      </c>
      <c r="P33" t="e">
        <f>AND(#REF!,"AAAAAHe/dg8=")</f>
        <v>#REF!</v>
      </c>
      <c r="Q33" t="e">
        <f>AND(#REF!,"AAAAAHe/dhA=")</f>
        <v>#REF!</v>
      </c>
      <c r="R33" t="e">
        <f>AND(#REF!,"AAAAAHe/dhE=")</f>
        <v>#REF!</v>
      </c>
      <c r="S33" t="e">
        <f>AND(#REF!,"AAAAAHe/dhI=")</f>
        <v>#REF!</v>
      </c>
      <c r="T33" t="e">
        <f>IF(#REF!,"AAAAAHe/dhM=",0)</f>
        <v>#REF!</v>
      </c>
      <c r="U33" t="e">
        <f>AND(#REF!,"AAAAAHe/dhQ=")</f>
        <v>#REF!</v>
      </c>
      <c r="V33" t="e">
        <f>AND(#REF!,"AAAAAHe/dhU=")</f>
        <v>#REF!</v>
      </c>
      <c r="W33" t="e">
        <f>AND(#REF!,"AAAAAHe/dhY=")</f>
        <v>#REF!</v>
      </c>
      <c r="X33" t="e">
        <f>AND(#REF!,"AAAAAHe/dhc=")</f>
        <v>#REF!</v>
      </c>
      <c r="Y33" t="e">
        <f>AND(#REF!,"AAAAAHe/dhg=")</f>
        <v>#REF!</v>
      </c>
      <c r="Z33" t="e">
        <f>AND(#REF!,"AAAAAHe/dhk=")</f>
        <v>#REF!</v>
      </c>
      <c r="AA33" t="e">
        <f>AND(#REF!,"AAAAAHe/dho=")</f>
        <v>#REF!</v>
      </c>
      <c r="AB33" t="e">
        <f>AND(#REF!,"AAAAAHe/dhs=")</f>
        <v>#REF!</v>
      </c>
      <c r="AC33" t="e">
        <f>AND(#REF!,"AAAAAHe/dhw=")</f>
        <v>#REF!</v>
      </c>
      <c r="AD33" t="e">
        <f>AND(#REF!,"AAAAAHe/dh0=")</f>
        <v>#REF!</v>
      </c>
      <c r="AE33" t="e">
        <f>IF(#REF!,"AAAAAHe/dh4=",0)</f>
        <v>#REF!</v>
      </c>
      <c r="AF33" t="e">
        <f>AND(#REF!,"AAAAAHe/dh8=")</f>
        <v>#REF!</v>
      </c>
      <c r="AG33" t="e">
        <f>AND(#REF!,"AAAAAHe/diA=")</f>
        <v>#REF!</v>
      </c>
      <c r="AH33" t="e">
        <f>AND(#REF!,"AAAAAHe/diE=")</f>
        <v>#REF!</v>
      </c>
      <c r="AI33" t="e">
        <f>AND(#REF!,"AAAAAHe/diI=")</f>
        <v>#REF!</v>
      </c>
      <c r="AJ33" t="e">
        <f>AND(#REF!,"AAAAAHe/diM=")</f>
        <v>#REF!</v>
      </c>
      <c r="AK33" t="e">
        <f>AND(#REF!,"AAAAAHe/diQ=")</f>
        <v>#REF!</v>
      </c>
      <c r="AL33" t="e">
        <f>AND(#REF!,"AAAAAHe/diU=")</f>
        <v>#REF!</v>
      </c>
      <c r="AM33" t="e">
        <f>AND(#REF!,"AAAAAHe/diY=")</f>
        <v>#REF!</v>
      </c>
      <c r="AN33" t="e">
        <f>AND(#REF!,"AAAAAHe/dic=")</f>
        <v>#REF!</v>
      </c>
      <c r="AO33" t="e">
        <f>AND(#REF!,"AAAAAHe/dig=")</f>
        <v>#REF!</v>
      </c>
      <c r="AP33" t="e">
        <f>IF(#REF!,"AAAAAHe/dik=",0)</f>
        <v>#REF!</v>
      </c>
      <c r="AQ33" t="e">
        <f>AND(#REF!,"AAAAAHe/dio=")</f>
        <v>#REF!</v>
      </c>
      <c r="AR33" t="e">
        <f>AND(#REF!,"AAAAAHe/dis=")</f>
        <v>#REF!</v>
      </c>
      <c r="AS33" t="e">
        <f>AND(#REF!,"AAAAAHe/diw=")</f>
        <v>#REF!</v>
      </c>
      <c r="AT33" t="e">
        <f>AND(#REF!,"AAAAAHe/di0=")</f>
        <v>#REF!</v>
      </c>
      <c r="AU33" t="e">
        <f>AND(#REF!,"AAAAAHe/di4=")</f>
        <v>#REF!</v>
      </c>
      <c r="AV33" t="e">
        <f>AND(#REF!,"AAAAAHe/di8=")</f>
        <v>#REF!</v>
      </c>
      <c r="AW33" t="e">
        <f>AND(#REF!,"AAAAAHe/djA=")</f>
        <v>#REF!</v>
      </c>
      <c r="AX33" t="e">
        <f>AND(#REF!,"AAAAAHe/djE=")</f>
        <v>#REF!</v>
      </c>
      <c r="AY33" t="e">
        <f>AND(#REF!,"AAAAAHe/djI=")</f>
        <v>#REF!</v>
      </c>
      <c r="AZ33" t="e">
        <f>AND(#REF!,"AAAAAHe/djM=")</f>
        <v>#REF!</v>
      </c>
      <c r="BA33" t="e">
        <f>IF(#REF!,"AAAAAHe/djQ=",0)</f>
        <v>#REF!</v>
      </c>
      <c r="BB33" t="e">
        <f>AND(#REF!,"AAAAAHe/djU=")</f>
        <v>#REF!</v>
      </c>
      <c r="BC33" t="e">
        <f>AND(#REF!,"AAAAAHe/djY=")</f>
        <v>#REF!</v>
      </c>
      <c r="BD33" t="e">
        <f>AND(#REF!,"AAAAAHe/djc=")</f>
        <v>#REF!</v>
      </c>
      <c r="BE33" t="e">
        <f>AND(#REF!,"AAAAAHe/djg=")</f>
        <v>#REF!</v>
      </c>
      <c r="BF33" t="e">
        <f>AND(#REF!,"AAAAAHe/djk=")</f>
        <v>#REF!</v>
      </c>
      <c r="BG33" t="e">
        <f>AND(#REF!,"AAAAAHe/djo=")</f>
        <v>#REF!</v>
      </c>
      <c r="BH33" t="e">
        <f>AND(#REF!,"AAAAAHe/djs=")</f>
        <v>#REF!</v>
      </c>
      <c r="BI33" t="e">
        <f>AND(#REF!,"AAAAAHe/djw=")</f>
        <v>#REF!</v>
      </c>
      <c r="BJ33" t="e">
        <f>AND(#REF!,"AAAAAHe/dj0=")</f>
        <v>#REF!</v>
      </c>
      <c r="BK33" t="e">
        <f>AND(#REF!,"AAAAAHe/dj4=")</f>
        <v>#REF!</v>
      </c>
      <c r="BL33" t="e">
        <f>IF(#REF!,"AAAAAHe/dj8=",0)</f>
        <v>#REF!</v>
      </c>
      <c r="BM33" t="e">
        <f>AND(#REF!,"AAAAAHe/dkA=")</f>
        <v>#REF!</v>
      </c>
      <c r="BN33" t="e">
        <f>AND(#REF!,"AAAAAHe/dkE=")</f>
        <v>#REF!</v>
      </c>
      <c r="BO33" t="e">
        <f>AND(#REF!,"AAAAAHe/dkI=")</f>
        <v>#REF!</v>
      </c>
      <c r="BP33" t="e">
        <f>AND(#REF!,"AAAAAHe/dkM=")</f>
        <v>#REF!</v>
      </c>
      <c r="BQ33" t="e">
        <f>AND(#REF!,"AAAAAHe/dkQ=")</f>
        <v>#REF!</v>
      </c>
      <c r="BR33" t="e">
        <f>AND(#REF!,"AAAAAHe/dkU=")</f>
        <v>#REF!</v>
      </c>
      <c r="BS33" t="e">
        <f>AND(#REF!,"AAAAAHe/dkY=")</f>
        <v>#REF!</v>
      </c>
      <c r="BT33" t="e">
        <f>AND(#REF!,"AAAAAHe/dkc=")</f>
        <v>#REF!</v>
      </c>
      <c r="BU33" t="e">
        <f>AND(#REF!,"AAAAAHe/dkg=")</f>
        <v>#REF!</v>
      </c>
      <c r="BV33" t="e">
        <f>AND(#REF!,"AAAAAHe/dkk=")</f>
        <v>#REF!</v>
      </c>
      <c r="BW33" t="e">
        <f>IF(#REF!,"AAAAAHe/dko=",0)</f>
        <v>#REF!</v>
      </c>
      <c r="BX33" t="e">
        <f>AND(#REF!,"AAAAAHe/dks=")</f>
        <v>#REF!</v>
      </c>
      <c r="BY33" t="e">
        <f>AND(#REF!,"AAAAAHe/dkw=")</f>
        <v>#REF!</v>
      </c>
      <c r="BZ33" t="e">
        <f>AND(#REF!,"AAAAAHe/dk0=")</f>
        <v>#REF!</v>
      </c>
      <c r="CA33" t="e">
        <f>AND(#REF!,"AAAAAHe/dk4=")</f>
        <v>#REF!</v>
      </c>
      <c r="CB33" t="e">
        <f>AND(#REF!,"AAAAAHe/dk8=")</f>
        <v>#REF!</v>
      </c>
      <c r="CC33" t="e">
        <f>AND(#REF!,"AAAAAHe/dlA=")</f>
        <v>#REF!</v>
      </c>
      <c r="CD33" t="e">
        <f>AND(#REF!,"AAAAAHe/dlE=")</f>
        <v>#REF!</v>
      </c>
      <c r="CE33" t="e">
        <f>AND(#REF!,"AAAAAHe/dlI=")</f>
        <v>#REF!</v>
      </c>
      <c r="CF33" t="e">
        <f>AND(#REF!,"AAAAAHe/dlM=")</f>
        <v>#REF!</v>
      </c>
      <c r="CG33" t="e">
        <f>AND(#REF!,"AAAAAHe/dlQ=")</f>
        <v>#REF!</v>
      </c>
      <c r="CH33" t="e">
        <f>IF(#REF!,"AAAAAHe/dlU=",0)</f>
        <v>#REF!</v>
      </c>
      <c r="CI33" t="e">
        <f>AND(#REF!,"AAAAAHe/dlY=")</f>
        <v>#REF!</v>
      </c>
      <c r="CJ33" t="e">
        <f>AND(#REF!,"AAAAAHe/dlc=")</f>
        <v>#REF!</v>
      </c>
      <c r="CK33" t="e">
        <f>AND(#REF!,"AAAAAHe/dlg=")</f>
        <v>#REF!</v>
      </c>
      <c r="CL33" t="e">
        <f>AND(#REF!,"AAAAAHe/dlk=")</f>
        <v>#REF!</v>
      </c>
      <c r="CM33" t="e">
        <f>AND(#REF!,"AAAAAHe/dlo=")</f>
        <v>#REF!</v>
      </c>
      <c r="CN33" t="e">
        <f>AND(#REF!,"AAAAAHe/dls=")</f>
        <v>#REF!</v>
      </c>
      <c r="CO33" t="e">
        <f>AND(#REF!,"AAAAAHe/dlw=")</f>
        <v>#REF!</v>
      </c>
      <c r="CP33" t="e">
        <f>AND(#REF!,"AAAAAHe/dl0=")</f>
        <v>#REF!</v>
      </c>
      <c r="CQ33" t="e">
        <f>AND(#REF!,"AAAAAHe/dl4=")</f>
        <v>#REF!</v>
      </c>
      <c r="CR33" t="e">
        <f>AND(#REF!,"AAAAAHe/dl8=")</f>
        <v>#REF!</v>
      </c>
      <c r="CS33" t="e">
        <f>IF(#REF!,"AAAAAHe/dmA=",0)</f>
        <v>#REF!</v>
      </c>
      <c r="CT33" t="e">
        <f>AND(#REF!,"AAAAAHe/dmE=")</f>
        <v>#REF!</v>
      </c>
      <c r="CU33" t="e">
        <f>AND(#REF!,"AAAAAHe/dmI=")</f>
        <v>#REF!</v>
      </c>
      <c r="CV33" t="e">
        <f>AND(#REF!,"AAAAAHe/dmM=")</f>
        <v>#REF!</v>
      </c>
      <c r="CW33" t="e">
        <f>AND(#REF!,"AAAAAHe/dmQ=")</f>
        <v>#REF!</v>
      </c>
      <c r="CX33" t="e">
        <f>AND(#REF!,"AAAAAHe/dmU=")</f>
        <v>#REF!</v>
      </c>
      <c r="CY33" t="e">
        <f>AND(#REF!,"AAAAAHe/dmY=")</f>
        <v>#REF!</v>
      </c>
      <c r="CZ33" t="e">
        <f>AND(#REF!,"AAAAAHe/dmc=")</f>
        <v>#REF!</v>
      </c>
      <c r="DA33" t="e">
        <f>AND(#REF!,"AAAAAHe/dmg=")</f>
        <v>#REF!</v>
      </c>
      <c r="DB33" t="e">
        <f>AND(#REF!,"AAAAAHe/dmk=")</f>
        <v>#REF!</v>
      </c>
      <c r="DC33" t="e">
        <f>AND(#REF!,"AAAAAHe/dmo=")</f>
        <v>#REF!</v>
      </c>
      <c r="DD33" t="e">
        <f>IF(#REF!,"AAAAAHe/dms=",0)</f>
        <v>#REF!</v>
      </c>
      <c r="DE33" t="e">
        <f>AND(#REF!,"AAAAAHe/dmw=")</f>
        <v>#REF!</v>
      </c>
      <c r="DF33" t="e">
        <f>AND(#REF!,"AAAAAHe/dm0=")</f>
        <v>#REF!</v>
      </c>
      <c r="DG33" t="e">
        <f>AND(#REF!,"AAAAAHe/dm4=")</f>
        <v>#REF!</v>
      </c>
      <c r="DH33" t="e">
        <f>AND(#REF!,"AAAAAHe/dm8=")</f>
        <v>#REF!</v>
      </c>
      <c r="DI33" t="e">
        <f>AND(#REF!,"AAAAAHe/dnA=")</f>
        <v>#REF!</v>
      </c>
      <c r="DJ33" t="e">
        <f>AND(#REF!,"AAAAAHe/dnE=")</f>
        <v>#REF!</v>
      </c>
      <c r="DK33" t="e">
        <f>AND(#REF!,"AAAAAHe/dnI=")</f>
        <v>#REF!</v>
      </c>
      <c r="DL33" t="e">
        <f>AND(#REF!,"AAAAAHe/dnM=")</f>
        <v>#REF!</v>
      </c>
      <c r="DM33" t="e">
        <f>AND(#REF!,"AAAAAHe/dnQ=")</f>
        <v>#REF!</v>
      </c>
      <c r="DN33" t="e">
        <f>AND(#REF!,"AAAAAHe/dnU=")</f>
        <v>#REF!</v>
      </c>
      <c r="DO33" t="e">
        <f>IF(#REF!,"AAAAAHe/dnY=",0)</f>
        <v>#REF!</v>
      </c>
      <c r="DP33" t="e">
        <f>AND(#REF!,"AAAAAHe/dnc=")</f>
        <v>#REF!</v>
      </c>
      <c r="DQ33" t="e">
        <f>AND(#REF!,"AAAAAHe/dng=")</f>
        <v>#REF!</v>
      </c>
      <c r="DR33" t="e">
        <f>AND(#REF!,"AAAAAHe/dnk=")</f>
        <v>#REF!</v>
      </c>
      <c r="DS33" t="e">
        <f>AND(#REF!,"AAAAAHe/dno=")</f>
        <v>#REF!</v>
      </c>
      <c r="DT33" t="e">
        <f>AND(#REF!,"AAAAAHe/dns=")</f>
        <v>#REF!</v>
      </c>
      <c r="DU33" t="e">
        <f>AND(#REF!,"AAAAAHe/dnw=")</f>
        <v>#REF!</v>
      </c>
      <c r="DV33" t="e">
        <f>AND(#REF!,"AAAAAHe/dn0=")</f>
        <v>#REF!</v>
      </c>
      <c r="DW33" t="e">
        <f>AND(#REF!,"AAAAAHe/dn4=")</f>
        <v>#REF!</v>
      </c>
      <c r="DX33" t="e">
        <f>AND(#REF!,"AAAAAHe/dn8=")</f>
        <v>#REF!</v>
      </c>
      <c r="DY33" t="e">
        <f>AND(#REF!,"AAAAAHe/doA=")</f>
        <v>#REF!</v>
      </c>
      <c r="DZ33" t="e">
        <f>IF(#REF!,"AAAAAHe/doE=",0)</f>
        <v>#REF!</v>
      </c>
      <c r="EA33" t="e">
        <f>AND(#REF!,"AAAAAHe/doI=")</f>
        <v>#REF!</v>
      </c>
      <c r="EB33" t="e">
        <f>AND(#REF!,"AAAAAHe/doM=")</f>
        <v>#REF!</v>
      </c>
      <c r="EC33" t="e">
        <f>AND(#REF!,"AAAAAHe/doQ=")</f>
        <v>#REF!</v>
      </c>
      <c r="ED33" t="e">
        <f>AND(#REF!,"AAAAAHe/doU=")</f>
        <v>#REF!</v>
      </c>
      <c r="EE33" t="e">
        <f>AND(#REF!,"AAAAAHe/doY=")</f>
        <v>#REF!</v>
      </c>
      <c r="EF33" t="e">
        <f>AND(#REF!,"AAAAAHe/doc=")</f>
        <v>#REF!</v>
      </c>
      <c r="EG33" t="e">
        <f>AND(#REF!,"AAAAAHe/dog=")</f>
        <v>#REF!</v>
      </c>
      <c r="EH33" t="e">
        <f>AND(#REF!,"AAAAAHe/dok=")</f>
        <v>#REF!</v>
      </c>
      <c r="EI33" t="e">
        <f>AND(#REF!,"AAAAAHe/doo=")</f>
        <v>#REF!</v>
      </c>
      <c r="EJ33" t="e">
        <f>AND(#REF!,"AAAAAHe/dos=")</f>
        <v>#REF!</v>
      </c>
      <c r="EK33" t="e">
        <f>IF(#REF!,"AAAAAHe/dow=",0)</f>
        <v>#REF!</v>
      </c>
      <c r="EL33" t="e">
        <f>AND(#REF!,"AAAAAHe/do0=")</f>
        <v>#REF!</v>
      </c>
      <c r="EM33" t="e">
        <f>AND(#REF!,"AAAAAHe/do4=")</f>
        <v>#REF!</v>
      </c>
      <c r="EN33" t="e">
        <f>AND(#REF!,"AAAAAHe/do8=")</f>
        <v>#REF!</v>
      </c>
      <c r="EO33" t="e">
        <f>AND(#REF!,"AAAAAHe/dpA=")</f>
        <v>#REF!</v>
      </c>
      <c r="EP33" t="e">
        <f>AND(#REF!,"AAAAAHe/dpE=")</f>
        <v>#REF!</v>
      </c>
      <c r="EQ33" t="e">
        <f>AND(#REF!,"AAAAAHe/dpI=")</f>
        <v>#REF!</v>
      </c>
      <c r="ER33" t="e">
        <f>AND(#REF!,"AAAAAHe/dpM=")</f>
        <v>#REF!</v>
      </c>
      <c r="ES33" t="e">
        <f>AND(#REF!,"AAAAAHe/dpQ=")</f>
        <v>#REF!</v>
      </c>
      <c r="ET33" t="e">
        <f>AND(#REF!,"AAAAAHe/dpU=")</f>
        <v>#REF!</v>
      </c>
      <c r="EU33" t="e">
        <f>AND(#REF!,"AAAAAHe/dpY=")</f>
        <v>#REF!</v>
      </c>
      <c r="EV33" t="e">
        <f>IF(#REF!,"AAAAAHe/dpc=",0)</f>
        <v>#REF!</v>
      </c>
      <c r="EW33" t="e">
        <f>AND(#REF!,"AAAAAHe/dpg=")</f>
        <v>#REF!</v>
      </c>
      <c r="EX33" t="e">
        <f>AND(#REF!,"AAAAAHe/dpk=")</f>
        <v>#REF!</v>
      </c>
      <c r="EY33" t="e">
        <f>AND(#REF!,"AAAAAHe/dpo=")</f>
        <v>#REF!</v>
      </c>
      <c r="EZ33" t="e">
        <f>AND(#REF!,"AAAAAHe/dps=")</f>
        <v>#REF!</v>
      </c>
      <c r="FA33" t="e">
        <f>AND(#REF!,"AAAAAHe/dpw=")</f>
        <v>#REF!</v>
      </c>
      <c r="FB33" t="e">
        <f>AND(#REF!,"AAAAAHe/dp0=")</f>
        <v>#REF!</v>
      </c>
      <c r="FC33" t="e">
        <f>AND(#REF!,"AAAAAHe/dp4=")</f>
        <v>#REF!</v>
      </c>
      <c r="FD33" t="e">
        <f>AND(#REF!,"AAAAAHe/dp8=")</f>
        <v>#REF!</v>
      </c>
      <c r="FE33" t="e">
        <f>AND(#REF!,"AAAAAHe/dqA=")</f>
        <v>#REF!</v>
      </c>
      <c r="FF33" t="e">
        <f>AND(#REF!,"AAAAAHe/dqE=")</f>
        <v>#REF!</v>
      </c>
      <c r="FG33" t="e">
        <f>IF(#REF!,"AAAAAHe/dqI=",0)</f>
        <v>#REF!</v>
      </c>
      <c r="FH33" t="e">
        <f>AND(#REF!,"AAAAAHe/dqM=")</f>
        <v>#REF!</v>
      </c>
      <c r="FI33" t="e">
        <f>AND(#REF!,"AAAAAHe/dqQ=")</f>
        <v>#REF!</v>
      </c>
      <c r="FJ33" t="e">
        <f>AND(#REF!,"AAAAAHe/dqU=")</f>
        <v>#REF!</v>
      </c>
      <c r="FK33" t="e">
        <f>AND(#REF!,"AAAAAHe/dqY=")</f>
        <v>#REF!</v>
      </c>
      <c r="FL33" t="e">
        <f>AND(#REF!,"AAAAAHe/dqc=")</f>
        <v>#REF!</v>
      </c>
      <c r="FM33" t="e">
        <f>AND(#REF!,"AAAAAHe/dqg=")</f>
        <v>#REF!</v>
      </c>
      <c r="FN33" t="e">
        <f>AND(#REF!,"AAAAAHe/dqk=")</f>
        <v>#REF!</v>
      </c>
      <c r="FO33" t="e">
        <f>AND(#REF!,"AAAAAHe/dqo=")</f>
        <v>#REF!</v>
      </c>
      <c r="FP33" t="e">
        <f>AND(#REF!,"AAAAAHe/dqs=")</f>
        <v>#REF!</v>
      </c>
      <c r="FQ33" t="e">
        <f>AND(#REF!,"AAAAAHe/dqw=")</f>
        <v>#REF!</v>
      </c>
      <c r="FR33" t="e">
        <f>IF(#REF!,"AAAAAHe/dq0=",0)</f>
        <v>#REF!</v>
      </c>
      <c r="FS33" t="e">
        <f>AND(#REF!,"AAAAAHe/dq4=")</f>
        <v>#REF!</v>
      </c>
      <c r="FT33" t="e">
        <f>AND(#REF!,"AAAAAHe/dq8=")</f>
        <v>#REF!</v>
      </c>
      <c r="FU33" t="e">
        <f>AND(#REF!,"AAAAAHe/drA=")</f>
        <v>#REF!</v>
      </c>
      <c r="FV33" t="e">
        <f>AND(#REF!,"AAAAAHe/drE=")</f>
        <v>#REF!</v>
      </c>
      <c r="FW33" t="e">
        <f>AND(#REF!,"AAAAAHe/drI=")</f>
        <v>#REF!</v>
      </c>
      <c r="FX33" t="e">
        <f>AND(#REF!,"AAAAAHe/drM=")</f>
        <v>#REF!</v>
      </c>
      <c r="FY33" t="e">
        <f>AND(#REF!,"AAAAAHe/drQ=")</f>
        <v>#REF!</v>
      </c>
      <c r="FZ33" t="e">
        <f>AND(#REF!,"AAAAAHe/drU=")</f>
        <v>#REF!</v>
      </c>
      <c r="GA33" t="e">
        <f>AND(#REF!,"AAAAAHe/drY=")</f>
        <v>#REF!</v>
      </c>
      <c r="GB33" t="e">
        <f>AND(#REF!,"AAAAAHe/drc=")</f>
        <v>#REF!</v>
      </c>
      <c r="GC33" t="e">
        <f>IF(#REF!,"AAAAAHe/drg=",0)</f>
        <v>#REF!</v>
      </c>
      <c r="GD33" t="e">
        <f>AND(#REF!,"AAAAAHe/drk=")</f>
        <v>#REF!</v>
      </c>
      <c r="GE33" t="e">
        <f>AND(#REF!,"AAAAAHe/dro=")</f>
        <v>#REF!</v>
      </c>
      <c r="GF33" t="e">
        <f>AND(#REF!,"AAAAAHe/drs=")</f>
        <v>#REF!</v>
      </c>
      <c r="GG33" t="e">
        <f>AND(#REF!,"AAAAAHe/drw=")</f>
        <v>#REF!</v>
      </c>
      <c r="GH33" t="e">
        <f>AND(#REF!,"AAAAAHe/dr0=")</f>
        <v>#REF!</v>
      </c>
      <c r="GI33" t="e">
        <f>AND(#REF!,"AAAAAHe/dr4=")</f>
        <v>#REF!</v>
      </c>
      <c r="GJ33" t="e">
        <f>AND(#REF!,"AAAAAHe/dr8=")</f>
        <v>#REF!</v>
      </c>
      <c r="GK33" t="e">
        <f>AND(#REF!,"AAAAAHe/dsA=")</f>
        <v>#REF!</v>
      </c>
      <c r="GL33" t="e">
        <f>AND(#REF!,"AAAAAHe/dsE=")</f>
        <v>#REF!</v>
      </c>
      <c r="GM33" t="e">
        <f>AND(#REF!,"AAAAAHe/dsI=")</f>
        <v>#REF!</v>
      </c>
      <c r="GN33" t="e">
        <f>IF(#REF!,"AAAAAHe/dsM=",0)</f>
        <v>#REF!</v>
      </c>
      <c r="GO33" t="e">
        <f>AND(#REF!,"AAAAAHe/dsQ=")</f>
        <v>#REF!</v>
      </c>
      <c r="GP33" t="e">
        <f>AND(#REF!,"AAAAAHe/dsU=")</f>
        <v>#REF!</v>
      </c>
      <c r="GQ33" t="e">
        <f>AND(#REF!,"AAAAAHe/dsY=")</f>
        <v>#REF!</v>
      </c>
      <c r="GR33" t="e">
        <f>AND(#REF!,"AAAAAHe/dsc=")</f>
        <v>#REF!</v>
      </c>
      <c r="GS33" t="e">
        <f>AND(#REF!,"AAAAAHe/dsg=")</f>
        <v>#REF!</v>
      </c>
      <c r="GT33" t="e">
        <f>AND(#REF!,"AAAAAHe/dsk=")</f>
        <v>#REF!</v>
      </c>
      <c r="GU33" t="e">
        <f>AND(#REF!,"AAAAAHe/dso=")</f>
        <v>#REF!</v>
      </c>
      <c r="GV33" t="e">
        <f>AND(#REF!,"AAAAAHe/dss=")</f>
        <v>#REF!</v>
      </c>
      <c r="GW33" t="e">
        <f>AND(#REF!,"AAAAAHe/dsw=")</f>
        <v>#REF!</v>
      </c>
      <c r="GX33" t="e">
        <f>AND(#REF!,"AAAAAHe/ds0=")</f>
        <v>#REF!</v>
      </c>
      <c r="GY33" t="e">
        <f>IF(#REF!,"AAAAAHe/ds4=",0)</f>
        <v>#REF!</v>
      </c>
      <c r="GZ33" t="e">
        <f>AND(#REF!,"AAAAAHe/ds8=")</f>
        <v>#REF!</v>
      </c>
      <c r="HA33" t="e">
        <f>AND(#REF!,"AAAAAHe/dtA=")</f>
        <v>#REF!</v>
      </c>
      <c r="HB33" t="e">
        <f>AND(#REF!,"AAAAAHe/dtE=")</f>
        <v>#REF!</v>
      </c>
      <c r="HC33" t="e">
        <f>AND(#REF!,"AAAAAHe/dtI=")</f>
        <v>#REF!</v>
      </c>
      <c r="HD33" t="e">
        <f>AND(#REF!,"AAAAAHe/dtM=")</f>
        <v>#REF!</v>
      </c>
      <c r="HE33" t="e">
        <f>AND(#REF!,"AAAAAHe/dtQ=")</f>
        <v>#REF!</v>
      </c>
      <c r="HF33" t="e">
        <f>AND(#REF!,"AAAAAHe/dtU=")</f>
        <v>#REF!</v>
      </c>
      <c r="HG33" t="e">
        <f>AND(#REF!,"AAAAAHe/dtY=")</f>
        <v>#REF!</v>
      </c>
      <c r="HH33" t="e">
        <f>AND(#REF!,"AAAAAHe/dtc=")</f>
        <v>#REF!</v>
      </c>
      <c r="HI33" t="e">
        <f>AND(#REF!,"AAAAAHe/dtg=")</f>
        <v>#REF!</v>
      </c>
      <c r="HJ33" t="e">
        <f>IF(#REF!,"AAAAAHe/dtk=",0)</f>
        <v>#REF!</v>
      </c>
      <c r="HK33" t="e">
        <f>AND(#REF!,"AAAAAHe/dto=")</f>
        <v>#REF!</v>
      </c>
      <c r="HL33" t="e">
        <f>AND(#REF!,"AAAAAHe/dts=")</f>
        <v>#REF!</v>
      </c>
      <c r="HM33" t="e">
        <f>AND(#REF!,"AAAAAHe/dtw=")</f>
        <v>#REF!</v>
      </c>
      <c r="HN33" t="e">
        <f>AND(#REF!,"AAAAAHe/dt0=")</f>
        <v>#REF!</v>
      </c>
      <c r="HO33" t="e">
        <f>AND(#REF!,"AAAAAHe/dt4=")</f>
        <v>#REF!</v>
      </c>
      <c r="HP33" t="e">
        <f>AND(#REF!,"AAAAAHe/dt8=")</f>
        <v>#REF!</v>
      </c>
      <c r="HQ33" t="e">
        <f>AND(#REF!,"AAAAAHe/duA=")</f>
        <v>#REF!</v>
      </c>
      <c r="HR33" t="e">
        <f>AND(#REF!,"AAAAAHe/duE=")</f>
        <v>#REF!</v>
      </c>
      <c r="HS33" t="e">
        <f>AND(#REF!,"AAAAAHe/duI=")</f>
        <v>#REF!</v>
      </c>
      <c r="HT33" t="e">
        <f>AND(#REF!,"AAAAAHe/duM=")</f>
        <v>#REF!</v>
      </c>
      <c r="HU33" t="e">
        <f>IF(#REF!,"AAAAAHe/duQ=",0)</f>
        <v>#REF!</v>
      </c>
      <c r="HV33" t="e">
        <f>AND(#REF!,"AAAAAHe/duU=")</f>
        <v>#REF!</v>
      </c>
      <c r="HW33" t="e">
        <f>AND(#REF!,"AAAAAHe/duY=")</f>
        <v>#REF!</v>
      </c>
      <c r="HX33" t="e">
        <f>AND(#REF!,"AAAAAHe/duc=")</f>
        <v>#REF!</v>
      </c>
      <c r="HY33" t="e">
        <f>AND(#REF!,"AAAAAHe/dug=")</f>
        <v>#REF!</v>
      </c>
      <c r="HZ33" t="e">
        <f>AND(#REF!,"AAAAAHe/duk=")</f>
        <v>#REF!</v>
      </c>
      <c r="IA33" t="e">
        <f>AND(#REF!,"AAAAAHe/duo=")</f>
        <v>#REF!</v>
      </c>
      <c r="IB33" t="e">
        <f>AND(#REF!,"AAAAAHe/dus=")</f>
        <v>#REF!</v>
      </c>
      <c r="IC33" t="e">
        <f>AND(#REF!,"AAAAAHe/duw=")</f>
        <v>#REF!</v>
      </c>
      <c r="ID33" t="e">
        <f>AND(#REF!,"AAAAAHe/du0=")</f>
        <v>#REF!</v>
      </c>
      <c r="IE33" t="e">
        <f>AND(#REF!,"AAAAAHe/du4=")</f>
        <v>#REF!</v>
      </c>
      <c r="IF33" t="e">
        <f>IF(#REF!,"AAAAAHe/du8=",0)</f>
        <v>#REF!</v>
      </c>
      <c r="IG33" t="e">
        <f>AND(#REF!,"AAAAAHe/dvA=")</f>
        <v>#REF!</v>
      </c>
      <c r="IH33" t="e">
        <f>AND(#REF!,"AAAAAHe/dvE=")</f>
        <v>#REF!</v>
      </c>
      <c r="II33" t="e">
        <f>AND(#REF!,"AAAAAHe/dvI=")</f>
        <v>#REF!</v>
      </c>
      <c r="IJ33" t="e">
        <f>AND(#REF!,"AAAAAHe/dvM=")</f>
        <v>#REF!</v>
      </c>
      <c r="IK33" t="e">
        <f>AND(#REF!,"AAAAAHe/dvQ=")</f>
        <v>#REF!</v>
      </c>
      <c r="IL33" t="e">
        <f>AND(#REF!,"AAAAAHe/dvU=")</f>
        <v>#REF!</v>
      </c>
      <c r="IM33" t="e">
        <f>AND(#REF!,"AAAAAHe/dvY=")</f>
        <v>#REF!</v>
      </c>
      <c r="IN33" t="e">
        <f>AND(#REF!,"AAAAAHe/dvc=")</f>
        <v>#REF!</v>
      </c>
      <c r="IO33" t="e">
        <f>AND(#REF!,"AAAAAHe/dvg=")</f>
        <v>#REF!</v>
      </c>
      <c r="IP33" t="e">
        <f>AND(#REF!,"AAAAAHe/dvk=")</f>
        <v>#REF!</v>
      </c>
      <c r="IQ33" t="e">
        <f>IF(#REF!,"AAAAAHe/dvo=",0)</f>
        <v>#REF!</v>
      </c>
      <c r="IR33" t="e">
        <f>AND(#REF!,"AAAAAHe/dvs=")</f>
        <v>#REF!</v>
      </c>
      <c r="IS33" t="e">
        <f>AND(#REF!,"AAAAAHe/dvw=")</f>
        <v>#REF!</v>
      </c>
      <c r="IT33" t="e">
        <f>AND(#REF!,"AAAAAHe/dv0=")</f>
        <v>#REF!</v>
      </c>
      <c r="IU33" t="e">
        <f>AND(#REF!,"AAAAAHe/dv4=")</f>
        <v>#REF!</v>
      </c>
      <c r="IV33" t="e">
        <f>AND(#REF!,"AAAAAHe/dv8=")</f>
        <v>#REF!</v>
      </c>
    </row>
    <row r="34" spans="1:256" x14ac:dyDescent="0.25">
      <c r="A34" t="e">
        <f>AND(#REF!,"AAAAACf09QA=")</f>
        <v>#REF!</v>
      </c>
      <c r="B34" t="e">
        <f>AND(#REF!,"AAAAACf09QE=")</f>
        <v>#REF!</v>
      </c>
      <c r="C34" t="e">
        <f>AND(#REF!,"AAAAACf09QI=")</f>
        <v>#REF!</v>
      </c>
      <c r="D34" t="e">
        <f>AND(#REF!,"AAAAACf09QM=")</f>
        <v>#REF!</v>
      </c>
      <c r="E34" t="e">
        <f>AND(#REF!,"AAAAACf09QQ=")</f>
        <v>#REF!</v>
      </c>
      <c r="F34" t="e">
        <f>IF(#REF!,"AAAAACf09QU=",0)</f>
        <v>#REF!</v>
      </c>
      <c r="G34" t="e">
        <f>AND(#REF!,"AAAAACf09QY=")</f>
        <v>#REF!</v>
      </c>
      <c r="H34" t="e">
        <f>AND(#REF!,"AAAAACf09Qc=")</f>
        <v>#REF!</v>
      </c>
      <c r="I34" t="e">
        <f>AND(#REF!,"AAAAACf09Qg=")</f>
        <v>#REF!</v>
      </c>
      <c r="J34" t="e">
        <f>AND(#REF!,"AAAAACf09Qk=")</f>
        <v>#REF!</v>
      </c>
      <c r="K34" t="e">
        <f>AND(#REF!,"AAAAACf09Qo=")</f>
        <v>#REF!</v>
      </c>
      <c r="L34" t="e">
        <f>AND(#REF!,"AAAAACf09Qs=")</f>
        <v>#REF!</v>
      </c>
      <c r="M34" t="e">
        <f>AND(#REF!,"AAAAACf09Qw=")</f>
        <v>#REF!</v>
      </c>
      <c r="N34" t="e">
        <f>AND(#REF!,"AAAAACf09Q0=")</f>
        <v>#REF!</v>
      </c>
      <c r="O34" t="e">
        <f>AND(#REF!,"AAAAACf09Q4=")</f>
        <v>#REF!</v>
      </c>
      <c r="P34" t="e">
        <f>AND(#REF!,"AAAAACf09Q8=")</f>
        <v>#REF!</v>
      </c>
      <c r="Q34" t="e">
        <f>IF(#REF!,"AAAAACf09RA=",0)</f>
        <v>#REF!</v>
      </c>
      <c r="R34" t="e">
        <f>AND(#REF!,"AAAAACf09RE=")</f>
        <v>#REF!</v>
      </c>
      <c r="S34" t="e">
        <f>AND(#REF!,"AAAAACf09RI=")</f>
        <v>#REF!</v>
      </c>
      <c r="T34" t="e">
        <f>AND(#REF!,"AAAAACf09RM=")</f>
        <v>#REF!</v>
      </c>
      <c r="U34" t="e">
        <f>AND(#REF!,"AAAAACf09RQ=")</f>
        <v>#REF!</v>
      </c>
      <c r="V34" t="e">
        <f>AND(#REF!,"AAAAACf09RU=")</f>
        <v>#REF!</v>
      </c>
      <c r="W34" t="e">
        <f>AND(#REF!,"AAAAACf09RY=")</f>
        <v>#REF!</v>
      </c>
      <c r="X34" t="e">
        <f>AND(#REF!,"AAAAACf09Rc=")</f>
        <v>#REF!</v>
      </c>
      <c r="Y34" t="e">
        <f>AND(#REF!,"AAAAACf09Rg=")</f>
        <v>#REF!</v>
      </c>
      <c r="Z34" t="e">
        <f>AND(#REF!,"AAAAACf09Rk=")</f>
        <v>#REF!</v>
      </c>
      <c r="AA34" t="e">
        <f>AND(#REF!,"AAAAACf09Ro=")</f>
        <v>#REF!</v>
      </c>
      <c r="AB34" t="e">
        <f>IF(#REF!,"AAAAACf09Rs=",0)</f>
        <v>#REF!</v>
      </c>
      <c r="AC34" t="e">
        <f>AND(#REF!,"AAAAACf09Rw=")</f>
        <v>#REF!</v>
      </c>
      <c r="AD34" t="e">
        <f>AND(#REF!,"AAAAACf09R0=")</f>
        <v>#REF!</v>
      </c>
      <c r="AE34" t="e">
        <f>AND(#REF!,"AAAAACf09R4=")</f>
        <v>#REF!</v>
      </c>
      <c r="AF34" t="e">
        <f>AND(#REF!,"AAAAACf09R8=")</f>
        <v>#REF!</v>
      </c>
      <c r="AG34" t="e">
        <f>AND(#REF!,"AAAAACf09SA=")</f>
        <v>#REF!</v>
      </c>
      <c r="AH34" t="e">
        <f>AND(#REF!,"AAAAACf09SE=")</f>
        <v>#REF!</v>
      </c>
      <c r="AI34" t="e">
        <f>AND(#REF!,"AAAAACf09SI=")</f>
        <v>#REF!</v>
      </c>
      <c r="AJ34" t="e">
        <f>AND(#REF!,"AAAAACf09SM=")</f>
        <v>#REF!</v>
      </c>
      <c r="AK34" t="e">
        <f>AND(#REF!,"AAAAACf09SQ=")</f>
        <v>#REF!</v>
      </c>
      <c r="AL34" t="e">
        <f>AND(#REF!,"AAAAACf09SU=")</f>
        <v>#REF!</v>
      </c>
      <c r="AM34" t="e">
        <f>IF(#REF!,"AAAAACf09SY=",0)</f>
        <v>#REF!</v>
      </c>
      <c r="AN34" t="e">
        <f>AND(#REF!,"AAAAACf09Sc=")</f>
        <v>#REF!</v>
      </c>
      <c r="AO34" t="e">
        <f>AND(#REF!,"AAAAACf09Sg=")</f>
        <v>#REF!</v>
      </c>
      <c r="AP34" t="e">
        <f>AND(#REF!,"AAAAACf09Sk=")</f>
        <v>#REF!</v>
      </c>
      <c r="AQ34" t="e">
        <f>AND(#REF!,"AAAAACf09So=")</f>
        <v>#REF!</v>
      </c>
      <c r="AR34" t="e">
        <f>AND(#REF!,"AAAAACf09Ss=")</f>
        <v>#REF!</v>
      </c>
      <c r="AS34" t="e">
        <f>AND(#REF!,"AAAAACf09Sw=")</f>
        <v>#REF!</v>
      </c>
      <c r="AT34" t="e">
        <f>AND(#REF!,"AAAAACf09S0=")</f>
        <v>#REF!</v>
      </c>
      <c r="AU34" t="e">
        <f>AND(#REF!,"AAAAACf09S4=")</f>
        <v>#REF!</v>
      </c>
      <c r="AV34" t="e">
        <f>AND(#REF!,"AAAAACf09S8=")</f>
        <v>#REF!</v>
      </c>
      <c r="AW34" t="e">
        <f>AND(#REF!,"AAAAACf09TA=")</f>
        <v>#REF!</v>
      </c>
      <c r="AX34" t="e">
        <f>IF(#REF!,"AAAAACf09TE=",0)</f>
        <v>#REF!</v>
      </c>
      <c r="AY34" t="e">
        <f>AND(#REF!,"AAAAACf09TI=")</f>
        <v>#REF!</v>
      </c>
      <c r="AZ34" t="e">
        <f>AND(#REF!,"AAAAACf09TM=")</f>
        <v>#REF!</v>
      </c>
      <c r="BA34" t="e">
        <f>AND(#REF!,"AAAAACf09TQ=")</f>
        <v>#REF!</v>
      </c>
      <c r="BB34" t="e">
        <f>AND(#REF!,"AAAAACf09TU=")</f>
        <v>#REF!</v>
      </c>
      <c r="BC34" t="e">
        <f>AND(#REF!,"AAAAACf09TY=")</f>
        <v>#REF!</v>
      </c>
      <c r="BD34" t="e">
        <f>AND(#REF!,"AAAAACf09Tc=")</f>
        <v>#REF!</v>
      </c>
      <c r="BE34" t="e">
        <f>AND(#REF!,"AAAAACf09Tg=")</f>
        <v>#REF!</v>
      </c>
      <c r="BF34" t="e">
        <f>AND(#REF!,"AAAAACf09Tk=")</f>
        <v>#REF!</v>
      </c>
      <c r="BG34" t="e">
        <f>AND(#REF!,"AAAAACf09To=")</f>
        <v>#REF!</v>
      </c>
      <c r="BH34" t="e">
        <f>AND(#REF!,"AAAAACf09Ts=")</f>
        <v>#REF!</v>
      </c>
      <c r="BI34" t="e">
        <f>IF(#REF!,"AAAAACf09Tw=",0)</f>
        <v>#REF!</v>
      </c>
      <c r="BJ34" t="e">
        <f>AND(#REF!,"AAAAACf09T0=")</f>
        <v>#REF!</v>
      </c>
      <c r="BK34" t="e">
        <f>AND(#REF!,"AAAAACf09T4=")</f>
        <v>#REF!</v>
      </c>
      <c r="BL34" t="e">
        <f>AND(#REF!,"AAAAACf09T8=")</f>
        <v>#REF!</v>
      </c>
      <c r="BM34" t="e">
        <f>AND(#REF!,"AAAAACf09UA=")</f>
        <v>#REF!</v>
      </c>
      <c r="BN34" t="e">
        <f>AND(#REF!,"AAAAACf09UE=")</f>
        <v>#REF!</v>
      </c>
      <c r="BO34" t="e">
        <f>AND(#REF!,"AAAAACf09UI=")</f>
        <v>#REF!</v>
      </c>
      <c r="BP34" t="e">
        <f>AND(#REF!,"AAAAACf09UM=")</f>
        <v>#REF!</v>
      </c>
      <c r="BQ34" t="e">
        <f>AND(#REF!,"AAAAACf09UQ=")</f>
        <v>#REF!</v>
      </c>
      <c r="BR34" t="e">
        <f>AND(#REF!,"AAAAACf09UU=")</f>
        <v>#REF!</v>
      </c>
      <c r="BS34" t="e">
        <f>AND(#REF!,"AAAAACf09UY=")</f>
        <v>#REF!</v>
      </c>
      <c r="BT34" t="e">
        <f>IF(#REF!,"AAAAACf09Uc=",0)</f>
        <v>#REF!</v>
      </c>
      <c r="BU34" t="e">
        <f>AND(#REF!,"AAAAACf09Ug=")</f>
        <v>#REF!</v>
      </c>
      <c r="BV34" t="e">
        <f>AND(#REF!,"AAAAACf09Uk=")</f>
        <v>#REF!</v>
      </c>
      <c r="BW34" t="e">
        <f>AND(#REF!,"AAAAACf09Uo=")</f>
        <v>#REF!</v>
      </c>
      <c r="BX34" t="e">
        <f>AND(#REF!,"AAAAACf09Us=")</f>
        <v>#REF!</v>
      </c>
      <c r="BY34" t="e">
        <f>AND(#REF!,"AAAAACf09Uw=")</f>
        <v>#REF!</v>
      </c>
      <c r="BZ34" t="e">
        <f>AND(#REF!,"AAAAACf09U0=")</f>
        <v>#REF!</v>
      </c>
      <c r="CA34" t="e">
        <f>AND(#REF!,"AAAAACf09U4=")</f>
        <v>#REF!</v>
      </c>
      <c r="CB34" t="e">
        <f>AND(#REF!,"AAAAACf09U8=")</f>
        <v>#REF!</v>
      </c>
      <c r="CC34" t="e">
        <f>AND(#REF!,"AAAAACf09VA=")</f>
        <v>#REF!</v>
      </c>
      <c r="CD34" t="e">
        <f>AND(#REF!,"AAAAACf09VE=")</f>
        <v>#REF!</v>
      </c>
      <c r="CE34" t="e">
        <f>IF(#REF!,"AAAAACf09VI=",0)</f>
        <v>#REF!</v>
      </c>
      <c r="CF34" t="e">
        <f>AND(#REF!,"AAAAACf09VM=")</f>
        <v>#REF!</v>
      </c>
      <c r="CG34" t="e">
        <f>AND(#REF!,"AAAAACf09VQ=")</f>
        <v>#REF!</v>
      </c>
      <c r="CH34" t="e">
        <f>AND(#REF!,"AAAAACf09VU=")</f>
        <v>#REF!</v>
      </c>
      <c r="CI34" t="e">
        <f>AND(#REF!,"AAAAACf09VY=")</f>
        <v>#REF!</v>
      </c>
      <c r="CJ34" t="e">
        <f>AND(#REF!,"AAAAACf09Vc=")</f>
        <v>#REF!</v>
      </c>
      <c r="CK34" t="e">
        <f>AND(#REF!,"AAAAACf09Vg=")</f>
        <v>#REF!</v>
      </c>
      <c r="CL34" t="e">
        <f>AND(#REF!,"AAAAACf09Vk=")</f>
        <v>#REF!</v>
      </c>
      <c r="CM34" t="e">
        <f>AND(#REF!,"AAAAACf09Vo=")</f>
        <v>#REF!</v>
      </c>
      <c r="CN34" t="e">
        <f>AND(#REF!,"AAAAACf09Vs=")</f>
        <v>#REF!</v>
      </c>
      <c r="CO34" t="e">
        <f>AND(#REF!,"AAAAACf09Vw=")</f>
        <v>#REF!</v>
      </c>
      <c r="CP34" t="e">
        <f>IF(#REF!,"AAAAACf09V0=",0)</f>
        <v>#REF!</v>
      </c>
      <c r="CQ34" t="e">
        <f>AND(#REF!,"AAAAACf09V4=")</f>
        <v>#REF!</v>
      </c>
      <c r="CR34" t="e">
        <f>AND(#REF!,"AAAAACf09V8=")</f>
        <v>#REF!</v>
      </c>
      <c r="CS34" t="e">
        <f>AND(#REF!,"AAAAACf09WA=")</f>
        <v>#REF!</v>
      </c>
      <c r="CT34" t="e">
        <f>AND(#REF!,"AAAAACf09WE=")</f>
        <v>#REF!</v>
      </c>
      <c r="CU34" t="e">
        <f>AND(#REF!,"AAAAACf09WI=")</f>
        <v>#REF!</v>
      </c>
      <c r="CV34" t="e">
        <f>AND(#REF!,"AAAAACf09WM=")</f>
        <v>#REF!</v>
      </c>
      <c r="CW34" t="e">
        <f>AND(#REF!,"AAAAACf09WQ=")</f>
        <v>#REF!</v>
      </c>
      <c r="CX34" t="e">
        <f>AND(#REF!,"AAAAACf09WU=")</f>
        <v>#REF!</v>
      </c>
      <c r="CY34" t="e">
        <f>AND(#REF!,"AAAAACf09WY=")</f>
        <v>#REF!</v>
      </c>
      <c r="CZ34" t="e">
        <f>AND(#REF!,"AAAAACf09Wc=")</f>
        <v>#REF!</v>
      </c>
      <c r="DA34" t="e">
        <f>IF(#REF!,"AAAAACf09Wg=",0)</f>
        <v>#REF!</v>
      </c>
      <c r="DB34" t="e">
        <f>AND(#REF!,"AAAAACf09Wk=")</f>
        <v>#REF!</v>
      </c>
      <c r="DC34" t="e">
        <f>AND(#REF!,"AAAAACf09Wo=")</f>
        <v>#REF!</v>
      </c>
      <c r="DD34" t="e">
        <f>AND(#REF!,"AAAAACf09Ws=")</f>
        <v>#REF!</v>
      </c>
      <c r="DE34" t="e">
        <f>AND(#REF!,"AAAAACf09Ww=")</f>
        <v>#REF!</v>
      </c>
      <c r="DF34" t="e">
        <f>AND(#REF!,"AAAAACf09W0=")</f>
        <v>#REF!</v>
      </c>
      <c r="DG34" t="e">
        <f>AND(#REF!,"AAAAACf09W4=")</f>
        <v>#REF!</v>
      </c>
      <c r="DH34" t="e">
        <f>AND(#REF!,"AAAAACf09W8=")</f>
        <v>#REF!</v>
      </c>
      <c r="DI34" t="e">
        <f>AND(#REF!,"AAAAACf09XA=")</f>
        <v>#REF!</v>
      </c>
      <c r="DJ34" t="e">
        <f>AND(#REF!,"AAAAACf09XE=")</f>
        <v>#REF!</v>
      </c>
      <c r="DK34" t="e">
        <f>AND(#REF!,"AAAAACf09XI=")</f>
        <v>#REF!</v>
      </c>
      <c r="DL34" t="e">
        <f>IF(#REF!,"AAAAACf09XM=",0)</f>
        <v>#REF!</v>
      </c>
      <c r="DM34" t="e">
        <f>AND(#REF!,"AAAAACf09XQ=")</f>
        <v>#REF!</v>
      </c>
      <c r="DN34" t="e">
        <f>AND(#REF!,"AAAAACf09XU=")</f>
        <v>#REF!</v>
      </c>
      <c r="DO34" t="e">
        <f>AND(#REF!,"AAAAACf09XY=")</f>
        <v>#REF!</v>
      </c>
      <c r="DP34" t="e">
        <f>AND(#REF!,"AAAAACf09Xc=")</f>
        <v>#REF!</v>
      </c>
      <c r="DQ34" t="e">
        <f>AND(#REF!,"AAAAACf09Xg=")</f>
        <v>#REF!</v>
      </c>
      <c r="DR34" t="e">
        <f>AND(#REF!,"AAAAACf09Xk=")</f>
        <v>#REF!</v>
      </c>
      <c r="DS34" t="e">
        <f>AND(#REF!,"AAAAACf09Xo=")</f>
        <v>#REF!</v>
      </c>
      <c r="DT34" t="e">
        <f>AND(#REF!,"AAAAACf09Xs=")</f>
        <v>#REF!</v>
      </c>
      <c r="DU34" t="e">
        <f>AND(#REF!,"AAAAACf09Xw=")</f>
        <v>#REF!</v>
      </c>
      <c r="DV34" t="e">
        <f>AND(#REF!,"AAAAACf09X0=")</f>
        <v>#REF!</v>
      </c>
      <c r="DW34" t="e">
        <f>IF(#REF!,"AAAAACf09X4=",0)</f>
        <v>#REF!</v>
      </c>
      <c r="DX34" t="e">
        <f>AND(#REF!,"AAAAACf09X8=")</f>
        <v>#REF!</v>
      </c>
      <c r="DY34" t="e">
        <f>AND(#REF!,"AAAAACf09YA=")</f>
        <v>#REF!</v>
      </c>
      <c r="DZ34" t="e">
        <f>AND(#REF!,"AAAAACf09YE=")</f>
        <v>#REF!</v>
      </c>
      <c r="EA34" t="e">
        <f>AND(#REF!,"AAAAACf09YI=")</f>
        <v>#REF!</v>
      </c>
      <c r="EB34" t="e">
        <f>AND(#REF!,"AAAAACf09YM=")</f>
        <v>#REF!</v>
      </c>
      <c r="EC34" t="e">
        <f>AND(#REF!,"AAAAACf09YQ=")</f>
        <v>#REF!</v>
      </c>
      <c r="ED34" t="e">
        <f>AND(#REF!,"AAAAACf09YU=")</f>
        <v>#REF!</v>
      </c>
      <c r="EE34" t="e">
        <f>AND(#REF!,"AAAAACf09YY=")</f>
        <v>#REF!</v>
      </c>
      <c r="EF34" t="e">
        <f>AND(#REF!,"AAAAACf09Yc=")</f>
        <v>#REF!</v>
      </c>
      <c r="EG34" t="e">
        <f>AND(#REF!,"AAAAACf09Yg=")</f>
        <v>#REF!</v>
      </c>
      <c r="EH34" t="e">
        <f>IF(#REF!,"AAAAACf09Yk=",0)</f>
        <v>#REF!</v>
      </c>
      <c r="EI34" t="e">
        <f>AND(#REF!,"AAAAACf09Yo=")</f>
        <v>#REF!</v>
      </c>
      <c r="EJ34" t="e">
        <f>AND(#REF!,"AAAAACf09Ys=")</f>
        <v>#REF!</v>
      </c>
      <c r="EK34" t="e">
        <f>AND(#REF!,"AAAAACf09Yw=")</f>
        <v>#REF!</v>
      </c>
      <c r="EL34" t="e">
        <f>AND(#REF!,"AAAAACf09Y0=")</f>
        <v>#REF!</v>
      </c>
      <c r="EM34" t="e">
        <f>AND(#REF!,"AAAAACf09Y4=")</f>
        <v>#REF!</v>
      </c>
      <c r="EN34" t="e">
        <f>AND(#REF!,"AAAAACf09Y8=")</f>
        <v>#REF!</v>
      </c>
      <c r="EO34" t="e">
        <f>AND(#REF!,"AAAAACf09ZA=")</f>
        <v>#REF!</v>
      </c>
      <c r="EP34" t="e">
        <f>AND(#REF!,"AAAAACf09ZE=")</f>
        <v>#REF!</v>
      </c>
      <c r="EQ34" t="e">
        <f>AND(#REF!,"AAAAACf09ZI=")</f>
        <v>#REF!</v>
      </c>
      <c r="ER34" t="e">
        <f>AND(#REF!,"AAAAACf09ZM=")</f>
        <v>#REF!</v>
      </c>
      <c r="ES34" t="e">
        <f>IF(#REF!,"AAAAACf09ZQ=",0)</f>
        <v>#REF!</v>
      </c>
      <c r="ET34" t="e">
        <f>AND(#REF!,"AAAAACf09ZU=")</f>
        <v>#REF!</v>
      </c>
      <c r="EU34" t="e">
        <f>AND(#REF!,"AAAAACf09ZY=")</f>
        <v>#REF!</v>
      </c>
      <c r="EV34" t="e">
        <f>AND(#REF!,"AAAAACf09Zc=")</f>
        <v>#REF!</v>
      </c>
      <c r="EW34" t="e">
        <f>AND(#REF!,"AAAAACf09Zg=")</f>
        <v>#REF!</v>
      </c>
      <c r="EX34" t="e">
        <f>AND(#REF!,"AAAAACf09Zk=")</f>
        <v>#REF!</v>
      </c>
      <c r="EY34" t="e">
        <f>AND(#REF!,"AAAAACf09Zo=")</f>
        <v>#REF!</v>
      </c>
      <c r="EZ34" t="e">
        <f>AND(#REF!,"AAAAACf09Zs=")</f>
        <v>#REF!</v>
      </c>
      <c r="FA34" t="e">
        <f>AND(#REF!,"AAAAACf09Zw=")</f>
        <v>#REF!</v>
      </c>
      <c r="FB34" t="e">
        <f>AND(#REF!,"AAAAACf09Z0=")</f>
        <v>#REF!</v>
      </c>
      <c r="FC34" t="e">
        <f>AND(#REF!,"AAAAACf09Z4=")</f>
        <v>#REF!</v>
      </c>
      <c r="FD34" t="e">
        <f>IF(#REF!,"AAAAACf09Z8=",0)</f>
        <v>#REF!</v>
      </c>
      <c r="FE34" t="e">
        <f>AND(#REF!,"AAAAACf09aA=")</f>
        <v>#REF!</v>
      </c>
      <c r="FF34" t="e">
        <f>AND(#REF!,"AAAAACf09aE=")</f>
        <v>#REF!</v>
      </c>
      <c r="FG34" t="e">
        <f>AND(#REF!,"AAAAACf09aI=")</f>
        <v>#REF!</v>
      </c>
      <c r="FH34" t="e">
        <f>AND(#REF!,"AAAAACf09aM=")</f>
        <v>#REF!</v>
      </c>
      <c r="FI34" t="e">
        <f>AND(#REF!,"AAAAACf09aQ=")</f>
        <v>#REF!</v>
      </c>
      <c r="FJ34" t="e">
        <f>AND(#REF!,"AAAAACf09aU=")</f>
        <v>#REF!</v>
      </c>
      <c r="FK34" t="e">
        <f>AND(#REF!,"AAAAACf09aY=")</f>
        <v>#REF!</v>
      </c>
      <c r="FL34" t="e">
        <f>AND(#REF!,"AAAAACf09ac=")</f>
        <v>#REF!</v>
      </c>
      <c r="FM34" t="e">
        <f>AND(#REF!,"AAAAACf09ag=")</f>
        <v>#REF!</v>
      </c>
      <c r="FN34" t="e">
        <f>AND(#REF!,"AAAAACf09ak=")</f>
        <v>#REF!</v>
      </c>
      <c r="FO34" t="e">
        <f>IF(#REF!,"AAAAACf09ao=",0)</f>
        <v>#REF!</v>
      </c>
      <c r="FP34" t="e">
        <f>AND(#REF!,"AAAAACf09as=")</f>
        <v>#REF!</v>
      </c>
      <c r="FQ34" t="e">
        <f>AND(#REF!,"AAAAACf09aw=")</f>
        <v>#REF!</v>
      </c>
      <c r="FR34" t="e">
        <f>AND(#REF!,"AAAAACf09a0=")</f>
        <v>#REF!</v>
      </c>
      <c r="FS34" t="e">
        <f>AND(#REF!,"AAAAACf09a4=")</f>
        <v>#REF!</v>
      </c>
      <c r="FT34" t="e">
        <f>AND(#REF!,"AAAAACf09a8=")</f>
        <v>#REF!</v>
      </c>
      <c r="FU34" t="e">
        <f>AND(#REF!,"AAAAACf09bA=")</f>
        <v>#REF!</v>
      </c>
      <c r="FV34" t="e">
        <f>AND(#REF!,"AAAAACf09bE=")</f>
        <v>#REF!</v>
      </c>
      <c r="FW34" t="e">
        <f>AND(#REF!,"AAAAACf09bI=")</f>
        <v>#REF!</v>
      </c>
      <c r="FX34" t="e">
        <f>AND(#REF!,"AAAAACf09bM=")</f>
        <v>#REF!</v>
      </c>
      <c r="FY34" t="e">
        <f>AND(#REF!,"AAAAACf09bQ=")</f>
        <v>#REF!</v>
      </c>
      <c r="FZ34" t="e">
        <f>IF(#REF!,"AAAAACf09bU=",0)</f>
        <v>#REF!</v>
      </c>
      <c r="GA34" t="e">
        <f>AND(#REF!,"AAAAACf09bY=")</f>
        <v>#REF!</v>
      </c>
      <c r="GB34" t="e">
        <f>AND(#REF!,"AAAAACf09bc=")</f>
        <v>#REF!</v>
      </c>
      <c r="GC34" t="e">
        <f>AND(#REF!,"AAAAACf09bg=")</f>
        <v>#REF!</v>
      </c>
      <c r="GD34" t="e">
        <f>AND(#REF!,"AAAAACf09bk=")</f>
        <v>#REF!</v>
      </c>
      <c r="GE34" t="e">
        <f>AND(#REF!,"AAAAACf09bo=")</f>
        <v>#REF!</v>
      </c>
      <c r="GF34" t="e">
        <f>AND(#REF!,"AAAAACf09bs=")</f>
        <v>#REF!</v>
      </c>
      <c r="GG34" t="e">
        <f>AND(#REF!,"AAAAACf09bw=")</f>
        <v>#REF!</v>
      </c>
      <c r="GH34" t="e">
        <f>AND(#REF!,"AAAAACf09b0=")</f>
        <v>#REF!</v>
      </c>
      <c r="GI34" t="e">
        <f>AND(#REF!,"AAAAACf09b4=")</f>
        <v>#REF!</v>
      </c>
      <c r="GJ34" t="e">
        <f>AND(#REF!,"AAAAACf09b8=")</f>
        <v>#REF!</v>
      </c>
      <c r="GK34" t="e">
        <f>IF(#REF!,"AAAAACf09cA=",0)</f>
        <v>#REF!</v>
      </c>
      <c r="GL34" t="e">
        <f>AND(#REF!,"AAAAACf09cE=")</f>
        <v>#REF!</v>
      </c>
      <c r="GM34" t="e">
        <f>AND(#REF!,"AAAAACf09cI=")</f>
        <v>#REF!</v>
      </c>
      <c r="GN34" t="e">
        <f>AND(#REF!,"AAAAACf09cM=")</f>
        <v>#REF!</v>
      </c>
      <c r="GO34" t="e">
        <f>AND(#REF!,"AAAAACf09cQ=")</f>
        <v>#REF!</v>
      </c>
      <c r="GP34" t="e">
        <f>AND(#REF!,"AAAAACf09cU=")</f>
        <v>#REF!</v>
      </c>
      <c r="GQ34" t="e">
        <f>AND(#REF!,"AAAAACf09cY=")</f>
        <v>#REF!</v>
      </c>
      <c r="GR34" t="e">
        <f>AND(#REF!,"AAAAACf09cc=")</f>
        <v>#REF!</v>
      </c>
      <c r="GS34" t="e">
        <f>AND(#REF!,"AAAAACf09cg=")</f>
        <v>#REF!</v>
      </c>
      <c r="GT34" t="e">
        <f>AND(#REF!,"AAAAACf09ck=")</f>
        <v>#REF!</v>
      </c>
      <c r="GU34" t="e">
        <f>AND(#REF!,"AAAAACf09co=")</f>
        <v>#REF!</v>
      </c>
      <c r="GV34" t="e">
        <f>IF(#REF!,"AAAAACf09cs=",0)</f>
        <v>#REF!</v>
      </c>
      <c r="GW34" t="e">
        <f>AND(#REF!,"AAAAACf09cw=")</f>
        <v>#REF!</v>
      </c>
      <c r="GX34" t="e">
        <f>AND(#REF!,"AAAAACf09c0=")</f>
        <v>#REF!</v>
      </c>
      <c r="GY34" t="e">
        <f>AND(#REF!,"AAAAACf09c4=")</f>
        <v>#REF!</v>
      </c>
      <c r="GZ34" t="e">
        <f>AND(#REF!,"AAAAACf09c8=")</f>
        <v>#REF!</v>
      </c>
      <c r="HA34" t="e">
        <f>AND(#REF!,"AAAAACf09dA=")</f>
        <v>#REF!</v>
      </c>
      <c r="HB34" t="e">
        <f>AND(#REF!,"AAAAACf09dE=")</f>
        <v>#REF!</v>
      </c>
      <c r="HC34" t="e">
        <f>AND(#REF!,"AAAAACf09dI=")</f>
        <v>#REF!</v>
      </c>
      <c r="HD34" t="e">
        <f>AND(#REF!,"AAAAACf09dM=")</f>
        <v>#REF!</v>
      </c>
      <c r="HE34" t="e">
        <f>AND(#REF!,"AAAAACf09dQ=")</f>
        <v>#REF!</v>
      </c>
      <c r="HF34" t="e">
        <f>AND(#REF!,"AAAAACf09dU=")</f>
        <v>#REF!</v>
      </c>
      <c r="HG34" t="e">
        <f>IF(#REF!,"AAAAACf09dY=",0)</f>
        <v>#REF!</v>
      </c>
      <c r="HH34" t="e">
        <f>AND(#REF!,"AAAAACf09dc=")</f>
        <v>#REF!</v>
      </c>
      <c r="HI34" t="e">
        <f>AND(#REF!,"AAAAACf09dg=")</f>
        <v>#REF!</v>
      </c>
      <c r="HJ34" t="e">
        <f>AND(#REF!,"AAAAACf09dk=")</f>
        <v>#REF!</v>
      </c>
      <c r="HK34" t="e">
        <f>AND(#REF!,"AAAAACf09do=")</f>
        <v>#REF!</v>
      </c>
      <c r="HL34" t="e">
        <f>AND(#REF!,"AAAAACf09ds=")</f>
        <v>#REF!</v>
      </c>
      <c r="HM34" t="e">
        <f>AND(#REF!,"AAAAACf09dw=")</f>
        <v>#REF!</v>
      </c>
      <c r="HN34" t="e">
        <f>AND(#REF!,"AAAAACf09d0=")</f>
        <v>#REF!</v>
      </c>
      <c r="HO34" t="e">
        <f>AND(#REF!,"AAAAACf09d4=")</f>
        <v>#REF!</v>
      </c>
      <c r="HP34" t="e">
        <f>AND(#REF!,"AAAAACf09d8=")</f>
        <v>#REF!</v>
      </c>
      <c r="HQ34" t="e">
        <f>AND(#REF!,"AAAAACf09eA=")</f>
        <v>#REF!</v>
      </c>
      <c r="HR34" t="e">
        <f>IF(#REF!,"AAAAACf09eE=",0)</f>
        <v>#REF!</v>
      </c>
      <c r="HS34" t="e">
        <f>AND(#REF!,"AAAAACf09eI=")</f>
        <v>#REF!</v>
      </c>
      <c r="HT34" t="e">
        <f>AND(#REF!,"AAAAACf09eM=")</f>
        <v>#REF!</v>
      </c>
      <c r="HU34" t="e">
        <f>AND(#REF!,"AAAAACf09eQ=")</f>
        <v>#REF!</v>
      </c>
      <c r="HV34" t="e">
        <f>AND(#REF!,"AAAAACf09eU=")</f>
        <v>#REF!</v>
      </c>
      <c r="HW34" t="e">
        <f>AND(#REF!,"AAAAACf09eY=")</f>
        <v>#REF!</v>
      </c>
      <c r="HX34" t="e">
        <f>AND(#REF!,"AAAAACf09ec=")</f>
        <v>#REF!</v>
      </c>
      <c r="HY34" t="e">
        <f>AND(#REF!,"AAAAACf09eg=")</f>
        <v>#REF!</v>
      </c>
      <c r="HZ34" t="e">
        <f>AND(#REF!,"AAAAACf09ek=")</f>
        <v>#REF!</v>
      </c>
      <c r="IA34" t="e">
        <f>AND(#REF!,"AAAAACf09eo=")</f>
        <v>#REF!</v>
      </c>
      <c r="IB34" t="e">
        <f>AND(#REF!,"AAAAACf09es=")</f>
        <v>#REF!</v>
      </c>
      <c r="IC34" t="e">
        <f>IF(#REF!,"AAAAACf09ew=",0)</f>
        <v>#REF!</v>
      </c>
      <c r="ID34" t="e">
        <f>AND(#REF!,"AAAAACf09e0=")</f>
        <v>#REF!</v>
      </c>
      <c r="IE34" t="e">
        <f>AND(#REF!,"AAAAACf09e4=")</f>
        <v>#REF!</v>
      </c>
      <c r="IF34" t="e">
        <f>AND(#REF!,"AAAAACf09e8=")</f>
        <v>#REF!</v>
      </c>
      <c r="IG34" t="e">
        <f>AND(#REF!,"AAAAACf09fA=")</f>
        <v>#REF!</v>
      </c>
      <c r="IH34" t="e">
        <f>AND(#REF!,"AAAAACf09fE=")</f>
        <v>#REF!</v>
      </c>
      <c r="II34" t="e">
        <f>AND(#REF!,"AAAAACf09fI=")</f>
        <v>#REF!</v>
      </c>
      <c r="IJ34" t="e">
        <f>AND(#REF!,"AAAAACf09fM=")</f>
        <v>#REF!</v>
      </c>
      <c r="IK34" t="e">
        <f>AND(#REF!,"AAAAACf09fQ=")</f>
        <v>#REF!</v>
      </c>
      <c r="IL34" t="e">
        <f>AND(#REF!,"AAAAACf09fU=")</f>
        <v>#REF!</v>
      </c>
      <c r="IM34" t="e">
        <f>AND(#REF!,"AAAAACf09fY=")</f>
        <v>#REF!</v>
      </c>
      <c r="IN34" t="e">
        <f>IF(#REF!,"AAAAACf09fc=",0)</f>
        <v>#REF!</v>
      </c>
      <c r="IO34" t="e">
        <f>AND(#REF!,"AAAAACf09fg=")</f>
        <v>#REF!</v>
      </c>
      <c r="IP34" t="e">
        <f>AND(#REF!,"AAAAACf09fk=")</f>
        <v>#REF!</v>
      </c>
      <c r="IQ34" t="e">
        <f>AND(#REF!,"AAAAACf09fo=")</f>
        <v>#REF!</v>
      </c>
      <c r="IR34" t="e">
        <f>AND(#REF!,"AAAAACf09fs=")</f>
        <v>#REF!</v>
      </c>
      <c r="IS34" t="e">
        <f>AND(#REF!,"AAAAACf09fw=")</f>
        <v>#REF!</v>
      </c>
      <c r="IT34" t="e">
        <f>AND(#REF!,"AAAAACf09f0=")</f>
        <v>#REF!</v>
      </c>
      <c r="IU34" t="e">
        <f>AND(#REF!,"AAAAACf09f4=")</f>
        <v>#REF!</v>
      </c>
      <c r="IV34" t="e">
        <f>AND(#REF!,"AAAAACf09f8=")</f>
        <v>#REF!</v>
      </c>
    </row>
    <row r="35" spans="1:256" x14ac:dyDescent="0.25">
      <c r="A35" t="e">
        <f>AND(#REF!,"AAAAAHz+zwA=")</f>
        <v>#REF!</v>
      </c>
      <c r="B35" t="e">
        <f>AND(#REF!,"AAAAAHz+zwE=")</f>
        <v>#REF!</v>
      </c>
      <c r="C35" t="e">
        <f>IF(#REF!,"AAAAAHz+zwI=",0)</f>
        <v>#REF!</v>
      </c>
      <c r="D35" t="e">
        <f>AND(#REF!,"AAAAAHz+zwM=")</f>
        <v>#REF!</v>
      </c>
      <c r="E35" t="e">
        <f>AND(#REF!,"AAAAAHz+zwQ=")</f>
        <v>#REF!</v>
      </c>
      <c r="F35" t="e">
        <f>AND(#REF!,"AAAAAHz+zwU=")</f>
        <v>#REF!</v>
      </c>
      <c r="G35" t="e">
        <f>AND(#REF!,"AAAAAHz+zwY=")</f>
        <v>#REF!</v>
      </c>
      <c r="H35" t="e">
        <f>AND(#REF!,"AAAAAHz+zwc=")</f>
        <v>#REF!</v>
      </c>
      <c r="I35" t="e">
        <f>AND(#REF!,"AAAAAHz+zwg=")</f>
        <v>#REF!</v>
      </c>
      <c r="J35" t="e">
        <f>AND(#REF!,"AAAAAHz+zwk=")</f>
        <v>#REF!</v>
      </c>
      <c r="K35" t="e">
        <f>AND(#REF!,"AAAAAHz+zwo=")</f>
        <v>#REF!</v>
      </c>
      <c r="L35" t="e">
        <f>AND(#REF!,"AAAAAHz+zws=")</f>
        <v>#REF!</v>
      </c>
      <c r="M35" t="e">
        <f>AND(#REF!,"AAAAAHz+zww=")</f>
        <v>#REF!</v>
      </c>
      <c r="N35" t="e">
        <f>IF(#REF!,"AAAAAHz+zw0=",0)</f>
        <v>#REF!</v>
      </c>
      <c r="O35" t="e">
        <f>AND(#REF!,"AAAAAHz+zw4=")</f>
        <v>#REF!</v>
      </c>
      <c r="P35" t="e">
        <f>AND(#REF!,"AAAAAHz+zw8=")</f>
        <v>#REF!</v>
      </c>
      <c r="Q35" t="e">
        <f>AND(#REF!,"AAAAAHz+zxA=")</f>
        <v>#REF!</v>
      </c>
      <c r="R35" t="e">
        <f>AND(#REF!,"AAAAAHz+zxE=")</f>
        <v>#REF!</v>
      </c>
      <c r="S35" t="e">
        <f>AND(#REF!,"AAAAAHz+zxI=")</f>
        <v>#REF!</v>
      </c>
      <c r="T35" t="e">
        <f>AND(#REF!,"AAAAAHz+zxM=")</f>
        <v>#REF!</v>
      </c>
      <c r="U35" t="e">
        <f>AND(#REF!,"AAAAAHz+zxQ=")</f>
        <v>#REF!</v>
      </c>
      <c r="V35" t="e">
        <f>AND(#REF!,"AAAAAHz+zxU=")</f>
        <v>#REF!</v>
      </c>
      <c r="W35" t="e">
        <f>AND(#REF!,"AAAAAHz+zxY=")</f>
        <v>#REF!</v>
      </c>
      <c r="X35" t="e">
        <f>AND(#REF!,"AAAAAHz+zxc=")</f>
        <v>#REF!</v>
      </c>
      <c r="Y35" t="e">
        <f>IF(#REF!,"AAAAAHz+zxg=",0)</f>
        <v>#REF!</v>
      </c>
      <c r="Z35" t="e">
        <f>AND(#REF!,"AAAAAHz+zxk=")</f>
        <v>#REF!</v>
      </c>
      <c r="AA35" t="e">
        <f>AND(#REF!,"AAAAAHz+zxo=")</f>
        <v>#REF!</v>
      </c>
      <c r="AB35" t="e">
        <f>AND(#REF!,"AAAAAHz+zxs=")</f>
        <v>#REF!</v>
      </c>
      <c r="AC35" t="e">
        <f>AND(#REF!,"AAAAAHz+zxw=")</f>
        <v>#REF!</v>
      </c>
      <c r="AD35" t="e">
        <f>AND(#REF!,"AAAAAHz+zx0=")</f>
        <v>#REF!</v>
      </c>
      <c r="AE35" t="e">
        <f>AND(#REF!,"AAAAAHz+zx4=")</f>
        <v>#REF!</v>
      </c>
      <c r="AF35" t="e">
        <f>AND(#REF!,"AAAAAHz+zx8=")</f>
        <v>#REF!</v>
      </c>
      <c r="AG35" t="e">
        <f>AND(#REF!,"AAAAAHz+zyA=")</f>
        <v>#REF!</v>
      </c>
      <c r="AH35" t="e">
        <f>AND(#REF!,"AAAAAHz+zyE=")</f>
        <v>#REF!</v>
      </c>
      <c r="AI35" t="e">
        <f>AND(#REF!,"AAAAAHz+zyI=")</f>
        <v>#REF!</v>
      </c>
      <c r="AJ35" t="e">
        <f>IF(#REF!,"AAAAAHz+zyM=",0)</f>
        <v>#REF!</v>
      </c>
      <c r="AK35" t="e">
        <f>AND(#REF!,"AAAAAHz+zyQ=")</f>
        <v>#REF!</v>
      </c>
      <c r="AL35" t="e">
        <f>AND(#REF!,"AAAAAHz+zyU=")</f>
        <v>#REF!</v>
      </c>
      <c r="AM35" t="e">
        <f>AND(#REF!,"AAAAAHz+zyY=")</f>
        <v>#REF!</v>
      </c>
      <c r="AN35" t="e">
        <f>AND(#REF!,"AAAAAHz+zyc=")</f>
        <v>#REF!</v>
      </c>
      <c r="AO35" t="e">
        <f>AND(#REF!,"AAAAAHz+zyg=")</f>
        <v>#REF!</v>
      </c>
      <c r="AP35" t="e">
        <f>AND(#REF!,"AAAAAHz+zyk=")</f>
        <v>#REF!</v>
      </c>
      <c r="AQ35" t="e">
        <f>AND(#REF!,"AAAAAHz+zyo=")</f>
        <v>#REF!</v>
      </c>
      <c r="AR35" t="e">
        <f>AND(#REF!,"AAAAAHz+zys=")</f>
        <v>#REF!</v>
      </c>
      <c r="AS35" t="e">
        <f>AND(#REF!,"AAAAAHz+zyw=")</f>
        <v>#REF!</v>
      </c>
      <c r="AT35" t="e">
        <f>AND(#REF!,"AAAAAHz+zy0=")</f>
        <v>#REF!</v>
      </c>
      <c r="AU35" t="e">
        <f>IF(#REF!,"AAAAAHz+zy4=",0)</f>
        <v>#REF!</v>
      </c>
      <c r="AV35" t="e">
        <f>AND(#REF!,"AAAAAHz+zy8=")</f>
        <v>#REF!</v>
      </c>
      <c r="AW35" t="e">
        <f>AND(#REF!,"AAAAAHz+zzA=")</f>
        <v>#REF!</v>
      </c>
      <c r="AX35" t="e">
        <f>AND(#REF!,"AAAAAHz+zzE=")</f>
        <v>#REF!</v>
      </c>
      <c r="AY35" t="e">
        <f>AND(#REF!,"AAAAAHz+zzI=")</f>
        <v>#REF!</v>
      </c>
      <c r="AZ35" t="e">
        <f>AND(#REF!,"AAAAAHz+zzM=")</f>
        <v>#REF!</v>
      </c>
      <c r="BA35" t="e">
        <f>AND(#REF!,"AAAAAHz+zzQ=")</f>
        <v>#REF!</v>
      </c>
      <c r="BB35" t="e">
        <f>AND(#REF!,"AAAAAHz+zzU=")</f>
        <v>#REF!</v>
      </c>
      <c r="BC35" t="e">
        <f>AND(#REF!,"AAAAAHz+zzY=")</f>
        <v>#REF!</v>
      </c>
      <c r="BD35" t="e">
        <f>AND(#REF!,"AAAAAHz+zzc=")</f>
        <v>#REF!</v>
      </c>
      <c r="BE35" t="e">
        <f>AND(#REF!,"AAAAAHz+zzg=")</f>
        <v>#REF!</v>
      </c>
      <c r="BF35" t="e">
        <f>IF(#REF!,"AAAAAHz+zzk=",0)</f>
        <v>#REF!</v>
      </c>
      <c r="BG35" t="e">
        <f>AND(#REF!,"AAAAAHz+zzo=")</f>
        <v>#REF!</v>
      </c>
      <c r="BH35" t="e">
        <f>AND(#REF!,"AAAAAHz+zzs=")</f>
        <v>#REF!</v>
      </c>
      <c r="BI35" t="e">
        <f>AND(#REF!,"AAAAAHz+zzw=")</f>
        <v>#REF!</v>
      </c>
      <c r="BJ35" t="e">
        <f>AND(#REF!,"AAAAAHz+zz0=")</f>
        <v>#REF!</v>
      </c>
      <c r="BK35" t="e">
        <f>AND(#REF!,"AAAAAHz+zz4=")</f>
        <v>#REF!</v>
      </c>
      <c r="BL35" t="e">
        <f>AND(#REF!,"AAAAAHz+zz8=")</f>
        <v>#REF!</v>
      </c>
      <c r="BM35" t="e">
        <f>AND(#REF!,"AAAAAHz+z0A=")</f>
        <v>#REF!</v>
      </c>
      <c r="BN35" t="e">
        <f>AND(#REF!,"AAAAAHz+z0E=")</f>
        <v>#REF!</v>
      </c>
      <c r="BO35" t="e">
        <f>AND(#REF!,"AAAAAHz+z0I=")</f>
        <v>#REF!</v>
      </c>
      <c r="BP35" t="e">
        <f>AND(#REF!,"AAAAAHz+z0M=")</f>
        <v>#REF!</v>
      </c>
      <c r="BQ35" t="e">
        <f>IF(#REF!,"AAAAAHz+z0Q=",0)</f>
        <v>#REF!</v>
      </c>
      <c r="BR35" t="e">
        <f>AND(#REF!,"AAAAAHz+z0U=")</f>
        <v>#REF!</v>
      </c>
      <c r="BS35" t="e">
        <f>AND(#REF!,"AAAAAHz+z0Y=")</f>
        <v>#REF!</v>
      </c>
      <c r="BT35" t="e">
        <f>AND(#REF!,"AAAAAHz+z0c=")</f>
        <v>#REF!</v>
      </c>
      <c r="BU35" t="e">
        <f>AND(#REF!,"AAAAAHz+z0g=")</f>
        <v>#REF!</v>
      </c>
      <c r="BV35" t="e">
        <f>AND(#REF!,"AAAAAHz+z0k=")</f>
        <v>#REF!</v>
      </c>
      <c r="BW35" t="e">
        <f>AND(#REF!,"AAAAAHz+z0o=")</f>
        <v>#REF!</v>
      </c>
      <c r="BX35" t="e">
        <f>AND(#REF!,"AAAAAHz+z0s=")</f>
        <v>#REF!</v>
      </c>
      <c r="BY35" t="e">
        <f>AND(#REF!,"AAAAAHz+z0w=")</f>
        <v>#REF!</v>
      </c>
      <c r="BZ35" t="e">
        <f>AND(#REF!,"AAAAAHz+z00=")</f>
        <v>#REF!</v>
      </c>
      <c r="CA35" t="e">
        <f>AND(#REF!,"AAAAAHz+z04=")</f>
        <v>#REF!</v>
      </c>
      <c r="CB35" t="e">
        <f>IF(#REF!,"AAAAAHz+z08=",0)</f>
        <v>#REF!</v>
      </c>
      <c r="CC35" t="e">
        <f>AND(#REF!,"AAAAAHz+z1A=")</f>
        <v>#REF!</v>
      </c>
      <c r="CD35" t="e">
        <f>AND(#REF!,"AAAAAHz+z1E=")</f>
        <v>#REF!</v>
      </c>
      <c r="CE35" t="e">
        <f>AND(#REF!,"AAAAAHz+z1I=")</f>
        <v>#REF!</v>
      </c>
      <c r="CF35" t="e">
        <f>AND(#REF!,"AAAAAHz+z1M=")</f>
        <v>#REF!</v>
      </c>
      <c r="CG35" t="e">
        <f>AND(#REF!,"AAAAAHz+z1Q=")</f>
        <v>#REF!</v>
      </c>
      <c r="CH35" t="e">
        <f>AND(#REF!,"AAAAAHz+z1U=")</f>
        <v>#REF!</v>
      </c>
      <c r="CI35" t="e">
        <f>AND(#REF!,"AAAAAHz+z1Y=")</f>
        <v>#REF!</v>
      </c>
      <c r="CJ35" t="e">
        <f>AND(#REF!,"AAAAAHz+z1c=")</f>
        <v>#REF!</v>
      </c>
      <c r="CK35" t="e">
        <f>AND(#REF!,"AAAAAHz+z1g=")</f>
        <v>#REF!</v>
      </c>
      <c r="CL35" t="e">
        <f>AND(#REF!,"AAAAAHz+z1k=")</f>
        <v>#REF!</v>
      </c>
      <c r="CM35" t="e">
        <f>IF(#REF!,"AAAAAHz+z1o=",0)</f>
        <v>#REF!</v>
      </c>
      <c r="CN35" t="e">
        <f>AND(#REF!,"AAAAAHz+z1s=")</f>
        <v>#REF!</v>
      </c>
      <c r="CO35" t="e">
        <f>AND(#REF!,"AAAAAHz+z1w=")</f>
        <v>#REF!</v>
      </c>
      <c r="CP35" t="e">
        <f>AND(#REF!,"AAAAAHz+z10=")</f>
        <v>#REF!</v>
      </c>
      <c r="CQ35" t="e">
        <f>AND(#REF!,"AAAAAHz+z14=")</f>
        <v>#REF!</v>
      </c>
      <c r="CR35" t="e">
        <f>AND(#REF!,"AAAAAHz+z18=")</f>
        <v>#REF!</v>
      </c>
      <c r="CS35" t="e">
        <f>AND(#REF!,"AAAAAHz+z2A=")</f>
        <v>#REF!</v>
      </c>
      <c r="CT35" t="e">
        <f>AND(#REF!,"AAAAAHz+z2E=")</f>
        <v>#REF!</v>
      </c>
      <c r="CU35" t="e">
        <f>AND(#REF!,"AAAAAHz+z2I=")</f>
        <v>#REF!</v>
      </c>
      <c r="CV35" t="e">
        <f>AND(#REF!,"AAAAAHz+z2M=")</f>
        <v>#REF!</v>
      </c>
      <c r="CW35" t="e">
        <f>AND(#REF!,"AAAAAHz+z2Q=")</f>
        <v>#REF!</v>
      </c>
      <c r="CX35" t="e">
        <f>IF(#REF!,"AAAAAHz+z2U=",0)</f>
        <v>#REF!</v>
      </c>
      <c r="CY35" t="e">
        <f>AND(#REF!,"AAAAAHz+z2Y=")</f>
        <v>#REF!</v>
      </c>
      <c r="CZ35" t="e">
        <f>AND(#REF!,"AAAAAHz+z2c=")</f>
        <v>#REF!</v>
      </c>
      <c r="DA35" t="e">
        <f>AND(#REF!,"AAAAAHz+z2g=")</f>
        <v>#REF!</v>
      </c>
      <c r="DB35" t="e">
        <f>AND(#REF!,"AAAAAHz+z2k=")</f>
        <v>#REF!</v>
      </c>
      <c r="DC35" t="e">
        <f>AND(#REF!,"AAAAAHz+z2o=")</f>
        <v>#REF!</v>
      </c>
      <c r="DD35" t="e">
        <f>AND(#REF!,"AAAAAHz+z2s=")</f>
        <v>#REF!</v>
      </c>
      <c r="DE35" t="e">
        <f>AND(#REF!,"AAAAAHz+z2w=")</f>
        <v>#REF!</v>
      </c>
      <c r="DF35" t="e">
        <f>AND(#REF!,"AAAAAHz+z20=")</f>
        <v>#REF!</v>
      </c>
      <c r="DG35" t="e">
        <f>AND(#REF!,"AAAAAHz+z24=")</f>
        <v>#REF!</v>
      </c>
      <c r="DH35" t="e">
        <f>AND(#REF!,"AAAAAHz+z28=")</f>
        <v>#REF!</v>
      </c>
      <c r="DI35" t="e">
        <f>IF(#REF!,"AAAAAHz+z3A=",0)</f>
        <v>#REF!</v>
      </c>
      <c r="DJ35" t="e">
        <f>AND(#REF!,"AAAAAHz+z3E=")</f>
        <v>#REF!</v>
      </c>
      <c r="DK35" t="e">
        <f>AND(#REF!,"AAAAAHz+z3I=")</f>
        <v>#REF!</v>
      </c>
      <c r="DL35" t="e">
        <f>AND(#REF!,"AAAAAHz+z3M=")</f>
        <v>#REF!</v>
      </c>
      <c r="DM35" t="e">
        <f>AND(#REF!,"AAAAAHz+z3Q=")</f>
        <v>#REF!</v>
      </c>
      <c r="DN35" t="e">
        <f>AND(#REF!,"AAAAAHz+z3U=")</f>
        <v>#REF!</v>
      </c>
      <c r="DO35" t="e">
        <f>AND(#REF!,"AAAAAHz+z3Y=")</f>
        <v>#REF!</v>
      </c>
      <c r="DP35" t="e">
        <f>AND(#REF!,"AAAAAHz+z3c=")</f>
        <v>#REF!</v>
      </c>
      <c r="DQ35" t="e">
        <f>AND(#REF!,"AAAAAHz+z3g=")</f>
        <v>#REF!</v>
      </c>
      <c r="DR35" t="e">
        <f>AND(#REF!,"AAAAAHz+z3k=")</f>
        <v>#REF!</v>
      </c>
      <c r="DS35" t="e">
        <f>AND(#REF!,"AAAAAHz+z3o=")</f>
        <v>#REF!</v>
      </c>
      <c r="DT35" t="e">
        <f>IF(#REF!,"AAAAAHz+z3s=",0)</f>
        <v>#REF!</v>
      </c>
      <c r="DU35" t="e">
        <f>AND(#REF!,"AAAAAHz+z3w=")</f>
        <v>#REF!</v>
      </c>
      <c r="DV35" t="e">
        <f>AND(#REF!,"AAAAAHz+z30=")</f>
        <v>#REF!</v>
      </c>
      <c r="DW35" t="e">
        <f>AND(#REF!,"AAAAAHz+z34=")</f>
        <v>#REF!</v>
      </c>
      <c r="DX35" t="e">
        <f>AND(#REF!,"AAAAAHz+z38=")</f>
        <v>#REF!</v>
      </c>
      <c r="DY35" t="e">
        <f>AND(#REF!,"AAAAAHz+z4A=")</f>
        <v>#REF!</v>
      </c>
      <c r="DZ35" t="e">
        <f>AND(#REF!,"AAAAAHz+z4E=")</f>
        <v>#REF!</v>
      </c>
      <c r="EA35" t="e">
        <f>AND(#REF!,"AAAAAHz+z4I=")</f>
        <v>#REF!</v>
      </c>
      <c r="EB35" t="e">
        <f>AND(#REF!,"AAAAAHz+z4M=")</f>
        <v>#REF!</v>
      </c>
      <c r="EC35" t="e">
        <f>AND(#REF!,"AAAAAHz+z4Q=")</f>
        <v>#REF!</v>
      </c>
      <c r="ED35" t="e">
        <f>AND(#REF!,"AAAAAHz+z4U=")</f>
        <v>#REF!</v>
      </c>
      <c r="EE35" t="e">
        <f>IF(#REF!,"AAAAAHz+z4Y=",0)</f>
        <v>#REF!</v>
      </c>
      <c r="EF35" t="e">
        <f>AND(#REF!,"AAAAAHz+z4c=")</f>
        <v>#REF!</v>
      </c>
      <c r="EG35" t="e">
        <f>AND(#REF!,"AAAAAHz+z4g=")</f>
        <v>#REF!</v>
      </c>
      <c r="EH35" t="e">
        <f>AND(#REF!,"AAAAAHz+z4k=")</f>
        <v>#REF!</v>
      </c>
      <c r="EI35" t="e">
        <f>AND(#REF!,"AAAAAHz+z4o=")</f>
        <v>#REF!</v>
      </c>
      <c r="EJ35" t="e">
        <f>AND(#REF!,"AAAAAHz+z4s=")</f>
        <v>#REF!</v>
      </c>
      <c r="EK35" t="e">
        <f>AND(#REF!,"AAAAAHz+z4w=")</f>
        <v>#REF!</v>
      </c>
      <c r="EL35" t="e">
        <f>AND(#REF!,"AAAAAHz+z40=")</f>
        <v>#REF!</v>
      </c>
      <c r="EM35" t="e">
        <f>AND(#REF!,"AAAAAHz+z44=")</f>
        <v>#REF!</v>
      </c>
      <c r="EN35" t="e">
        <f>AND(#REF!,"AAAAAHz+z48=")</f>
        <v>#REF!</v>
      </c>
      <c r="EO35" t="e">
        <f>AND(#REF!,"AAAAAHz+z5A=")</f>
        <v>#REF!</v>
      </c>
      <c r="EP35" t="e">
        <f>IF(#REF!,"AAAAAHz+z5E=",0)</f>
        <v>#REF!</v>
      </c>
      <c r="EQ35" t="e">
        <f>AND(#REF!,"AAAAAHz+z5I=")</f>
        <v>#REF!</v>
      </c>
      <c r="ER35" t="e">
        <f>AND(#REF!,"AAAAAHz+z5M=")</f>
        <v>#REF!</v>
      </c>
      <c r="ES35" t="e">
        <f>AND(#REF!,"AAAAAHz+z5Q=")</f>
        <v>#REF!</v>
      </c>
      <c r="ET35" t="e">
        <f>AND(#REF!,"AAAAAHz+z5U=")</f>
        <v>#REF!</v>
      </c>
      <c r="EU35" t="e">
        <f>AND(#REF!,"AAAAAHz+z5Y=")</f>
        <v>#REF!</v>
      </c>
      <c r="EV35" t="e">
        <f>AND(#REF!,"AAAAAHz+z5c=")</f>
        <v>#REF!</v>
      </c>
      <c r="EW35" t="e">
        <f>AND(#REF!,"AAAAAHz+z5g=")</f>
        <v>#REF!</v>
      </c>
      <c r="EX35" t="e">
        <f>AND(#REF!,"AAAAAHz+z5k=")</f>
        <v>#REF!</v>
      </c>
      <c r="EY35" t="e">
        <f>AND(#REF!,"AAAAAHz+z5o=")</f>
        <v>#REF!</v>
      </c>
      <c r="EZ35" t="e">
        <f>AND(#REF!,"AAAAAHz+z5s=")</f>
        <v>#REF!</v>
      </c>
      <c r="FA35" t="e">
        <f>IF(#REF!,"AAAAAHz+z5w=",0)</f>
        <v>#REF!</v>
      </c>
      <c r="FB35" t="e">
        <f>AND(#REF!,"AAAAAHz+z50=")</f>
        <v>#REF!</v>
      </c>
      <c r="FC35" t="e">
        <f>AND(#REF!,"AAAAAHz+z54=")</f>
        <v>#REF!</v>
      </c>
      <c r="FD35" t="e">
        <f>AND(#REF!,"AAAAAHz+z58=")</f>
        <v>#REF!</v>
      </c>
      <c r="FE35" t="e">
        <f>AND(#REF!,"AAAAAHz+z6A=")</f>
        <v>#REF!</v>
      </c>
      <c r="FF35" t="e">
        <f>AND(#REF!,"AAAAAHz+z6E=")</f>
        <v>#REF!</v>
      </c>
      <c r="FG35" t="e">
        <f>AND(#REF!,"AAAAAHz+z6I=")</f>
        <v>#REF!</v>
      </c>
      <c r="FH35" t="e">
        <f>AND(#REF!,"AAAAAHz+z6M=")</f>
        <v>#REF!</v>
      </c>
      <c r="FI35" t="e">
        <f>AND(#REF!,"AAAAAHz+z6Q=")</f>
        <v>#REF!</v>
      </c>
      <c r="FJ35" t="e">
        <f>AND(#REF!,"AAAAAHz+z6U=")</f>
        <v>#REF!</v>
      </c>
      <c r="FK35" t="e">
        <f>AND(#REF!,"AAAAAHz+z6Y=")</f>
        <v>#REF!</v>
      </c>
      <c r="FL35" t="e">
        <f>IF(#REF!,"AAAAAHz+z6c=",0)</f>
        <v>#REF!</v>
      </c>
      <c r="FM35" t="e">
        <f>AND(#REF!,"AAAAAHz+z6g=")</f>
        <v>#REF!</v>
      </c>
      <c r="FN35" t="e">
        <f>AND(#REF!,"AAAAAHz+z6k=")</f>
        <v>#REF!</v>
      </c>
      <c r="FO35" t="e">
        <f>AND(#REF!,"AAAAAHz+z6o=")</f>
        <v>#REF!</v>
      </c>
      <c r="FP35" t="e">
        <f>AND(#REF!,"AAAAAHz+z6s=")</f>
        <v>#REF!</v>
      </c>
      <c r="FQ35" t="e">
        <f>AND(#REF!,"AAAAAHz+z6w=")</f>
        <v>#REF!</v>
      </c>
      <c r="FR35" t="e">
        <f>AND(#REF!,"AAAAAHz+z60=")</f>
        <v>#REF!</v>
      </c>
      <c r="FS35" t="e">
        <f>AND(#REF!,"AAAAAHz+z64=")</f>
        <v>#REF!</v>
      </c>
      <c r="FT35" t="e">
        <f>AND(#REF!,"AAAAAHz+z68=")</f>
        <v>#REF!</v>
      </c>
      <c r="FU35" t="e">
        <f>AND(#REF!,"AAAAAHz+z7A=")</f>
        <v>#REF!</v>
      </c>
      <c r="FV35" t="e">
        <f>AND(#REF!,"AAAAAHz+z7E=")</f>
        <v>#REF!</v>
      </c>
      <c r="FW35" t="e">
        <f>IF(#REF!,"AAAAAHz+z7I=",0)</f>
        <v>#REF!</v>
      </c>
      <c r="FX35" t="e">
        <f>AND(#REF!,"AAAAAHz+z7M=")</f>
        <v>#REF!</v>
      </c>
      <c r="FY35" t="e">
        <f>AND(#REF!,"AAAAAHz+z7Q=")</f>
        <v>#REF!</v>
      </c>
      <c r="FZ35" t="e">
        <f>AND(#REF!,"AAAAAHz+z7U=")</f>
        <v>#REF!</v>
      </c>
      <c r="GA35" t="e">
        <f>AND(#REF!,"AAAAAHz+z7Y=")</f>
        <v>#REF!</v>
      </c>
      <c r="GB35" t="e">
        <f>AND(#REF!,"AAAAAHz+z7c=")</f>
        <v>#REF!</v>
      </c>
      <c r="GC35" t="e">
        <f>AND(#REF!,"AAAAAHz+z7g=")</f>
        <v>#REF!</v>
      </c>
      <c r="GD35" t="e">
        <f>AND(#REF!,"AAAAAHz+z7k=")</f>
        <v>#REF!</v>
      </c>
      <c r="GE35" t="e">
        <f>AND(#REF!,"AAAAAHz+z7o=")</f>
        <v>#REF!</v>
      </c>
      <c r="GF35" t="e">
        <f>AND(#REF!,"AAAAAHz+z7s=")</f>
        <v>#REF!</v>
      </c>
      <c r="GG35" t="e">
        <f>AND(#REF!,"AAAAAHz+z7w=")</f>
        <v>#REF!</v>
      </c>
      <c r="GH35" t="e">
        <f>IF(#REF!,"AAAAAHz+z70=",0)</f>
        <v>#REF!</v>
      </c>
      <c r="GI35" t="e">
        <f>AND(#REF!,"AAAAAHz+z74=")</f>
        <v>#REF!</v>
      </c>
      <c r="GJ35" t="e">
        <f>AND(#REF!,"AAAAAHz+z78=")</f>
        <v>#REF!</v>
      </c>
      <c r="GK35" t="e">
        <f>AND(#REF!,"AAAAAHz+z8A=")</f>
        <v>#REF!</v>
      </c>
      <c r="GL35" t="e">
        <f>AND(#REF!,"AAAAAHz+z8E=")</f>
        <v>#REF!</v>
      </c>
      <c r="GM35" t="e">
        <f>AND(#REF!,"AAAAAHz+z8I=")</f>
        <v>#REF!</v>
      </c>
      <c r="GN35" t="e">
        <f>AND(#REF!,"AAAAAHz+z8M=")</f>
        <v>#REF!</v>
      </c>
      <c r="GO35" t="e">
        <f>AND(#REF!,"AAAAAHz+z8Q=")</f>
        <v>#REF!</v>
      </c>
      <c r="GP35" t="e">
        <f>AND(#REF!,"AAAAAHz+z8U=")</f>
        <v>#REF!</v>
      </c>
      <c r="GQ35" t="e">
        <f>AND(#REF!,"AAAAAHz+z8Y=")</f>
        <v>#REF!</v>
      </c>
      <c r="GR35" t="e">
        <f>AND(#REF!,"AAAAAHz+z8c=")</f>
        <v>#REF!</v>
      </c>
      <c r="GS35" t="e">
        <f>IF(#REF!,"AAAAAHz+z8g=",0)</f>
        <v>#REF!</v>
      </c>
      <c r="GT35" t="e">
        <f>AND(#REF!,"AAAAAHz+z8k=")</f>
        <v>#REF!</v>
      </c>
      <c r="GU35" t="e">
        <f>AND(#REF!,"AAAAAHz+z8o=")</f>
        <v>#REF!</v>
      </c>
      <c r="GV35" t="e">
        <f>AND(#REF!,"AAAAAHz+z8s=")</f>
        <v>#REF!</v>
      </c>
      <c r="GW35" t="e">
        <f>AND(#REF!,"AAAAAHz+z8w=")</f>
        <v>#REF!</v>
      </c>
      <c r="GX35" t="e">
        <f>AND(#REF!,"AAAAAHz+z80=")</f>
        <v>#REF!</v>
      </c>
      <c r="GY35" t="e">
        <f>AND(#REF!,"AAAAAHz+z84=")</f>
        <v>#REF!</v>
      </c>
      <c r="GZ35" t="e">
        <f>AND(#REF!,"AAAAAHz+z88=")</f>
        <v>#REF!</v>
      </c>
      <c r="HA35" t="e">
        <f>AND(#REF!,"AAAAAHz+z9A=")</f>
        <v>#REF!</v>
      </c>
      <c r="HB35" t="e">
        <f>AND(#REF!,"AAAAAHz+z9E=")</f>
        <v>#REF!</v>
      </c>
      <c r="HC35" t="e">
        <f>AND(#REF!,"AAAAAHz+z9I=")</f>
        <v>#REF!</v>
      </c>
      <c r="HD35" t="e">
        <f>IF(#REF!,"AAAAAHz+z9M=",0)</f>
        <v>#REF!</v>
      </c>
      <c r="HE35" t="e">
        <f>AND(#REF!,"AAAAAHz+z9Q=")</f>
        <v>#REF!</v>
      </c>
      <c r="HF35" t="e">
        <f>AND(#REF!,"AAAAAHz+z9U=")</f>
        <v>#REF!</v>
      </c>
      <c r="HG35" t="e">
        <f>AND(#REF!,"AAAAAHz+z9Y=")</f>
        <v>#REF!</v>
      </c>
      <c r="HH35" t="e">
        <f>AND(#REF!,"AAAAAHz+z9c=")</f>
        <v>#REF!</v>
      </c>
      <c r="HI35" t="e">
        <f>AND(#REF!,"AAAAAHz+z9g=")</f>
        <v>#REF!</v>
      </c>
      <c r="HJ35" t="e">
        <f>AND(#REF!,"AAAAAHz+z9k=")</f>
        <v>#REF!</v>
      </c>
      <c r="HK35" t="e">
        <f>AND(#REF!,"AAAAAHz+z9o=")</f>
        <v>#REF!</v>
      </c>
      <c r="HL35" t="e">
        <f>AND(#REF!,"AAAAAHz+z9s=")</f>
        <v>#REF!</v>
      </c>
      <c r="HM35" t="e">
        <f>AND(#REF!,"AAAAAHz+z9w=")</f>
        <v>#REF!</v>
      </c>
      <c r="HN35" t="e">
        <f>AND(#REF!,"AAAAAHz+z90=")</f>
        <v>#REF!</v>
      </c>
      <c r="HO35" t="e">
        <f>IF(#REF!,"AAAAAHz+z94=",0)</f>
        <v>#REF!</v>
      </c>
      <c r="HP35" t="e">
        <f>AND(#REF!,"AAAAAHz+z98=")</f>
        <v>#REF!</v>
      </c>
      <c r="HQ35" t="e">
        <f>AND(#REF!,"AAAAAHz+z+A=")</f>
        <v>#REF!</v>
      </c>
      <c r="HR35" t="e">
        <f>AND(#REF!,"AAAAAHz+z+E=")</f>
        <v>#REF!</v>
      </c>
      <c r="HS35" t="e">
        <f>AND(#REF!,"AAAAAHz+z+I=")</f>
        <v>#REF!</v>
      </c>
      <c r="HT35" t="e">
        <f>AND(#REF!,"AAAAAHz+z+M=")</f>
        <v>#REF!</v>
      </c>
      <c r="HU35" t="e">
        <f>AND(#REF!,"AAAAAHz+z+Q=")</f>
        <v>#REF!</v>
      </c>
      <c r="HV35" t="e">
        <f>AND(#REF!,"AAAAAHz+z+U=")</f>
        <v>#REF!</v>
      </c>
      <c r="HW35" t="e">
        <f>AND(#REF!,"AAAAAHz+z+Y=")</f>
        <v>#REF!</v>
      </c>
      <c r="HX35" t="e">
        <f>AND(#REF!,"AAAAAHz+z+c=")</f>
        <v>#REF!</v>
      </c>
      <c r="HY35" t="e">
        <f>AND(#REF!,"AAAAAHz+z+g=")</f>
        <v>#REF!</v>
      </c>
      <c r="HZ35" t="e">
        <f>IF(#REF!,"AAAAAHz+z+k=",0)</f>
        <v>#REF!</v>
      </c>
      <c r="IA35" t="e">
        <f>AND(#REF!,"AAAAAHz+z+o=")</f>
        <v>#REF!</v>
      </c>
      <c r="IB35" t="e">
        <f>AND(#REF!,"AAAAAHz+z+s=")</f>
        <v>#REF!</v>
      </c>
      <c r="IC35" t="e">
        <f>AND(#REF!,"AAAAAHz+z+w=")</f>
        <v>#REF!</v>
      </c>
      <c r="ID35" t="e">
        <f>AND(#REF!,"AAAAAHz+z+0=")</f>
        <v>#REF!</v>
      </c>
      <c r="IE35" t="e">
        <f>AND(#REF!,"AAAAAHz+z+4=")</f>
        <v>#REF!</v>
      </c>
      <c r="IF35" t="e">
        <f>AND(#REF!,"AAAAAHz+z+8=")</f>
        <v>#REF!</v>
      </c>
      <c r="IG35" t="e">
        <f>AND(#REF!,"AAAAAHz+z/A=")</f>
        <v>#REF!</v>
      </c>
      <c r="IH35" t="e">
        <f>AND(#REF!,"AAAAAHz+z/E=")</f>
        <v>#REF!</v>
      </c>
      <c r="II35" t="e">
        <f>AND(#REF!,"AAAAAHz+z/I=")</f>
        <v>#REF!</v>
      </c>
      <c r="IJ35" t="e">
        <f>AND(#REF!,"AAAAAHz+z/M=")</f>
        <v>#REF!</v>
      </c>
      <c r="IK35" t="e">
        <f>IF(#REF!,"AAAAAHz+z/Q=",0)</f>
        <v>#REF!</v>
      </c>
      <c r="IL35" t="e">
        <f>AND(#REF!,"AAAAAHz+z/U=")</f>
        <v>#REF!</v>
      </c>
      <c r="IM35" t="e">
        <f>AND(#REF!,"AAAAAHz+z/Y=")</f>
        <v>#REF!</v>
      </c>
      <c r="IN35" t="e">
        <f>AND(#REF!,"AAAAAHz+z/c=")</f>
        <v>#REF!</v>
      </c>
      <c r="IO35" t="e">
        <f>AND(#REF!,"AAAAAHz+z/g=")</f>
        <v>#REF!</v>
      </c>
      <c r="IP35" t="e">
        <f>AND(#REF!,"AAAAAHz+z/k=")</f>
        <v>#REF!</v>
      </c>
      <c r="IQ35" t="e">
        <f>AND(#REF!,"AAAAAHz+z/o=")</f>
        <v>#REF!</v>
      </c>
      <c r="IR35" t="e">
        <f>AND(#REF!,"AAAAAHz+z/s=")</f>
        <v>#REF!</v>
      </c>
      <c r="IS35" t="e">
        <f>AND(#REF!,"AAAAAHz+z/w=")</f>
        <v>#REF!</v>
      </c>
      <c r="IT35" t="e">
        <f>AND(#REF!,"AAAAAHz+z/0=")</f>
        <v>#REF!</v>
      </c>
      <c r="IU35" t="e">
        <f>AND(#REF!,"AAAAAHz+z/4=")</f>
        <v>#REF!</v>
      </c>
      <c r="IV35" t="e">
        <f>IF(#REF!,"AAAAAHz+z/8=",0)</f>
        <v>#REF!</v>
      </c>
    </row>
    <row r="36" spans="1:256" x14ac:dyDescent="0.25">
      <c r="A36" t="e">
        <f>AND(#REF!,"AAAAAHd//gA=")</f>
        <v>#REF!</v>
      </c>
      <c r="B36" t="e">
        <f>AND(#REF!,"AAAAAHd//gE=")</f>
        <v>#REF!</v>
      </c>
      <c r="C36" t="e">
        <f>AND(#REF!,"AAAAAHd//gI=")</f>
        <v>#REF!</v>
      </c>
      <c r="D36" t="e">
        <f>AND(#REF!,"AAAAAHd//gM=")</f>
        <v>#REF!</v>
      </c>
      <c r="E36" t="e">
        <f>AND(#REF!,"AAAAAHd//gQ=")</f>
        <v>#REF!</v>
      </c>
      <c r="F36" t="e">
        <f>AND(#REF!,"AAAAAHd//gU=")</f>
        <v>#REF!</v>
      </c>
      <c r="G36" t="e">
        <f>AND(#REF!,"AAAAAHd//gY=")</f>
        <v>#REF!</v>
      </c>
      <c r="H36" t="e">
        <f>AND(#REF!,"AAAAAHd//gc=")</f>
        <v>#REF!</v>
      </c>
      <c r="I36" t="e">
        <f>AND(#REF!,"AAAAAHd//gg=")</f>
        <v>#REF!</v>
      </c>
      <c r="J36" t="e">
        <f>AND(#REF!,"AAAAAHd//gk=")</f>
        <v>#REF!</v>
      </c>
      <c r="K36" t="e">
        <f>IF(#REF!,"AAAAAHd//go=",0)</f>
        <v>#REF!</v>
      </c>
      <c r="L36" t="e">
        <f>AND(#REF!,"AAAAAHd//gs=")</f>
        <v>#REF!</v>
      </c>
      <c r="M36" t="e">
        <f>AND(#REF!,"AAAAAHd//gw=")</f>
        <v>#REF!</v>
      </c>
      <c r="N36" t="e">
        <f>AND(#REF!,"AAAAAHd//g0=")</f>
        <v>#REF!</v>
      </c>
      <c r="O36" t="e">
        <f>AND(#REF!,"AAAAAHd//g4=")</f>
        <v>#REF!</v>
      </c>
      <c r="P36" t="e">
        <f>AND(#REF!,"AAAAAHd//g8=")</f>
        <v>#REF!</v>
      </c>
      <c r="Q36" t="e">
        <f>AND(#REF!,"AAAAAHd//hA=")</f>
        <v>#REF!</v>
      </c>
      <c r="R36" t="e">
        <f>AND(#REF!,"AAAAAHd//hE=")</f>
        <v>#REF!</v>
      </c>
      <c r="S36" t="e">
        <f>AND(#REF!,"AAAAAHd//hI=")</f>
        <v>#REF!</v>
      </c>
      <c r="T36" t="e">
        <f>AND(#REF!,"AAAAAHd//hM=")</f>
        <v>#REF!</v>
      </c>
      <c r="U36" t="e">
        <f>AND(#REF!,"AAAAAHd//hQ=")</f>
        <v>#REF!</v>
      </c>
      <c r="V36" t="e">
        <f>IF(#REF!,"AAAAAHd//hU=",0)</f>
        <v>#REF!</v>
      </c>
      <c r="W36" t="e">
        <f>AND(#REF!,"AAAAAHd//hY=")</f>
        <v>#REF!</v>
      </c>
      <c r="X36" t="e">
        <f>AND(#REF!,"AAAAAHd//hc=")</f>
        <v>#REF!</v>
      </c>
      <c r="Y36" t="e">
        <f>AND(#REF!,"AAAAAHd//hg=")</f>
        <v>#REF!</v>
      </c>
      <c r="Z36" t="e">
        <f>AND(#REF!,"AAAAAHd//hk=")</f>
        <v>#REF!</v>
      </c>
      <c r="AA36" t="e">
        <f>AND(#REF!,"AAAAAHd//ho=")</f>
        <v>#REF!</v>
      </c>
      <c r="AB36" t="e">
        <f>AND(#REF!,"AAAAAHd//hs=")</f>
        <v>#REF!</v>
      </c>
      <c r="AC36" t="e">
        <f>AND(#REF!,"AAAAAHd//hw=")</f>
        <v>#REF!</v>
      </c>
      <c r="AD36" t="e">
        <f>AND(#REF!,"AAAAAHd//h0=")</f>
        <v>#REF!</v>
      </c>
      <c r="AE36" t="e">
        <f>AND(#REF!,"AAAAAHd//h4=")</f>
        <v>#REF!</v>
      </c>
      <c r="AF36" t="e">
        <f>AND(#REF!,"AAAAAHd//h8=")</f>
        <v>#REF!</v>
      </c>
      <c r="AG36" t="e">
        <f>IF(#REF!,"AAAAAHd//iA=",0)</f>
        <v>#REF!</v>
      </c>
      <c r="AH36" t="e">
        <f>AND(#REF!,"AAAAAHd//iE=")</f>
        <v>#REF!</v>
      </c>
      <c r="AI36" t="e">
        <f>AND(#REF!,"AAAAAHd//iI=")</f>
        <v>#REF!</v>
      </c>
      <c r="AJ36" t="e">
        <f>AND(#REF!,"AAAAAHd//iM=")</f>
        <v>#REF!</v>
      </c>
      <c r="AK36" t="e">
        <f>AND(#REF!,"AAAAAHd//iQ=")</f>
        <v>#REF!</v>
      </c>
      <c r="AL36" t="e">
        <f>AND(#REF!,"AAAAAHd//iU=")</f>
        <v>#REF!</v>
      </c>
      <c r="AM36" t="e">
        <f>AND(#REF!,"AAAAAHd//iY=")</f>
        <v>#REF!</v>
      </c>
      <c r="AN36" t="e">
        <f>AND(#REF!,"AAAAAHd//ic=")</f>
        <v>#REF!</v>
      </c>
      <c r="AO36" t="e">
        <f>AND(#REF!,"AAAAAHd//ig=")</f>
        <v>#REF!</v>
      </c>
      <c r="AP36" t="e">
        <f>AND(#REF!,"AAAAAHd//ik=")</f>
        <v>#REF!</v>
      </c>
      <c r="AQ36" t="e">
        <f>AND(#REF!,"AAAAAHd//io=")</f>
        <v>#REF!</v>
      </c>
      <c r="AR36" t="e">
        <f>IF(#REF!,"AAAAAHd//is=",0)</f>
        <v>#REF!</v>
      </c>
      <c r="AS36" t="e">
        <f>AND(#REF!,"AAAAAHd//iw=")</f>
        <v>#REF!</v>
      </c>
      <c r="AT36" t="e">
        <f>AND(#REF!,"AAAAAHd//i0=")</f>
        <v>#REF!</v>
      </c>
      <c r="AU36" t="e">
        <f>AND(#REF!,"AAAAAHd//i4=")</f>
        <v>#REF!</v>
      </c>
      <c r="AV36" t="e">
        <f>AND(#REF!,"AAAAAHd//i8=")</f>
        <v>#REF!</v>
      </c>
      <c r="AW36" t="e">
        <f>AND(#REF!,"AAAAAHd//jA=")</f>
        <v>#REF!</v>
      </c>
      <c r="AX36" t="e">
        <f>AND(#REF!,"AAAAAHd//jE=")</f>
        <v>#REF!</v>
      </c>
      <c r="AY36" t="e">
        <f>AND(#REF!,"AAAAAHd//jI=")</f>
        <v>#REF!</v>
      </c>
      <c r="AZ36" t="e">
        <f>AND(#REF!,"AAAAAHd//jM=")</f>
        <v>#REF!</v>
      </c>
      <c r="BA36" t="e">
        <f>AND(#REF!,"AAAAAHd//jQ=")</f>
        <v>#REF!</v>
      </c>
      <c r="BB36" t="e">
        <f>AND(#REF!,"AAAAAHd//jU=")</f>
        <v>#REF!</v>
      </c>
      <c r="BC36" t="e">
        <f>IF(#REF!,"AAAAAHd//jY=",0)</f>
        <v>#REF!</v>
      </c>
      <c r="BD36" t="e">
        <f>AND(#REF!,"AAAAAHd//jc=")</f>
        <v>#REF!</v>
      </c>
      <c r="BE36" t="e">
        <f>AND(#REF!,"AAAAAHd//jg=")</f>
        <v>#REF!</v>
      </c>
      <c r="BF36" t="e">
        <f>AND(#REF!,"AAAAAHd//jk=")</f>
        <v>#REF!</v>
      </c>
      <c r="BG36" t="e">
        <f>AND(#REF!,"AAAAAHd//jo=")</f>
        <v>#REF!</v>
      </c>
      <c r="BH36" t="e">
        <f>AND(#REF!,"AAAAAHd//js=")</f>
        <v>#REF!</v>
      </c>
      <c r="BI36" t="e">
        <f>AND(#REF!,"AAAAAHd//jw=")</f>
        <v>#REF!</v>
      </c>
      <c r="BJ36" t="e">
        <f>AND(#REF!,"AAAAAHd//j0=")</f>
        <v>#REF!</v>
      </c>
      <c r="BK36" t="e">
        <f>AND(#REF!,"AAAAAHd//j4=")</f>
        <v>#REF!</v>
      </c>
      <c r="BL36" t="e">
        <f>AND(#REF!,"AAAAAHd//j8=")</f>
        <v>#REF!</v>
      </c>
      <c r="BM36" t="e">
        <f>AND(#REF!,"AAAAAHd//kA=")</f>
        <v>#REF!</v>
      </c>
      <c r="BN36" t="e">
        <f>IF(#REF!,"AAAAAHd//kE=",0)</f>
        <v>#REF!</v>
      </c>
      <c r="BO36" t="e">
        <f>AND(#REF!,"AAAAAHd//kI=")</f>
        <v>#REF!</v>
      </c>
      <c r="BP36" t="e">
        <f>AND(#REF!,"AAAAAHd//kM=")</f>
        <v>#REF!</v>
      </c>
      <c r="BQ36" t="e">
        <f>AND(#REF!,"AAAAAHd//kQ=")</f>
        <v>#REF!</v>
      </c>
      <c r="BR36" t="e">
        <f>AND(#REF!,"AAAAAHd//kU=")</f>
        <v>#REF!</v>
      </c>
      <c r="BS36" t="e">
        <f>AND(#REF!,"AAAAAHd//kY=")</f>
        <v>#REF!</v>
      </c>
      <c r="BT36" t="e">
        <f>AND(#REF!,"AAAAAHd//kc=")</f>
        <v>#REF!</v>
      </c>
      <c r="BU36" t="e">
        <f>AND(#REF!,"AAAAAHd//kg=")</f>
        <v>#REF!</v>
      </c>
      <c r="BV36" t="e">
        <f>AND(#REF!,"AAAAAHd//kk=")</f>
        <v>#REF!</v>
      </c>
      <c r="BW36" t="e">
        <f>AND(#REF!,"AAAAAHd//ko=")</f>
        <v>#REF!</v>
      </c>
      <c r="BX36" t="e">
        <f>AND(#REF!,"AAAAAHd//ks=")</f>
        <v>#REF!</v>
      </c>
      <c r="BY36" t="e">
        <f>IF(#REF!,"AAAAAHd//kw=",0)</f>
        <v>#REF!</v>
      </c>
      <c r="BZ36" t="e">
        <f>AND(#REF!,"AAAAAHd//k0=")</f>
        <v>#REF!</v>
      </c>
      <c r="CA36" t="e">
        <f>AND(#REF!,"AAAAAHd//k4=")</f>
        <v>#REF!</v>
      </c>
      <c r="CB36" t="e">
        <f>AND(#REF!,"AAAAAHd//k8=")</f>
        <v>#REF!</v>
      </c>
      <c r="CC36" t="e">
        <f>AND(#REF!,"AAAAAHd//lA=")</f>
        <v>#REF!</v>
      </c>
      <c r="CD36" t="e">
        <f>AND(#REF!,"AAAAAHd//lE=")</f>
        <v>#REF!</v>
      </c>
      <c r="CE36" t="e">
        <f>AND(#REF!,"AAAAAHd//lI=")</f>
        <v>#REF!</v>
      </c>
      <c r="CF36" t="e">
        <f>AND(#REF!,"AAAAAHd//lM=")</f>
        <v>#REF!</v>
      </c>
      <c r="CG36" t="e">
        <f>AND(#REF!,"AAAAAHd//lQ=")</f>
        <v>#REF!</v>
      </c>
      <c r="CH36" t="e">
        <f>AND(#REF!,"AAAAAHd//lU=")</f>
        <v>#REF!</v>
      </c>
      <c r="CI36" t="e">
        <f>AND(#REF!,"AAAAAHd//lY=")</f>
        <v>#REF!</v>
      </c>
      <c r="CJ36" t="e">
        <f>IF(#REF!,"AAAAAHd//lc=",0)</f>
        <v>#REF!</v>
      </c>
      <c r="CK36" t="e">
        <f>AND(#REF!,"AAAAAHd//lg=")</f>
        <v>#REF!</v>
      </c>
      <c r="CL36" t="e">
        <f>AND(#REF!,"AAAAAHd//lk=")</f>
        <v>#REF!</v>
      </c>
      <c r="CM36" t="e">
        <f>AND(#REF!,"AAAAAHd//lo=")</f>
        <v>#REF!</v>
      </c>
      <c r="CN36" t="e">
        <f>AND(#REF!,"AAAAAHd//ls=")</f>
        <v>#REF!</v>
      </c>
      <c r="CO36" t="e">
        <f>AND(#REF!,"AAAAAHd//lw=")</f>
        <v>#REF!</v>
      </c>
      <c r="CP36" t="e">
        <f>AND(#REF!,"AAAAAHd//l0=")</f>
        <v>#REF!</v>
      </c>
      <c r="CQ36" t="e">
        <f>AND(#REF!,"AAAAAHd//l4=")</f>
        <v>#REF!</v>
      </c>
      <c r="CR36" t="e">
        <f>AND(#REF!,"AAAAAHd//l8=")</f>
        <v>#REF!</v>
      </c>
      <c r="CS36" t="e">
        <f>AND(#REF!,"AAAAAHd//mA=")</f>
        <v>#REF!</v>
      </c>
      <c r="CT36" t="e">
        <f>AND(#REF!,"AAAAAHd//mE=")</f>
        <v>#REF!</v>
      </c>
      <c r="CU36" t="e">
        <f>IF(#REF!,"AAAAAHd//mI=",0)</f>
        <v>#REF!</v>
      </c>
      <c r="CV36" t="e">
        <f>AND(#REF!,"AAAAAHd//mM=")</f>
        <v>#REF!</v>
      </c>
      <c r="CW36" t="e">
        <f>AND(#REF!,"AAAAAHd//mQ=")</f>
        <v>#REF!</v>
      </c>
      <c r="CX36" t="e">
        <f>AND(#REF!,"AAAAAHd//mU=")</f>
        <v>#REF!</v>
      </c>
      <c r="CY36" t="e">
        <f>AND(#REF!,"AAAAAHd//mY=")</f>
        <v>#REF!</v>
      </c>
      <c r="CZ36" t="e">
        <f>AND(#REF!,"AAAAAHd//mc=")</f>
        <v>#REF!</v>
      </c>
      <c r="DA36" t="e">
        <f>AND(#REF!,"AAAAAHd//mg=")</f>
        <v>#REF!</v>
      </c>
      <c r="DB36" t="e">
        <f>AND(#REF!,"AAAAAHd//mk=")</f>
        <v>#REF!</v>
      </c>
      <c r="DC36" t="e">
        <f>AND(#REF!,"AAAAAHd//mo=")</f>
        <v>#REF!</v>
      </c>
      <c r="DD36" t="e">
        <f>AND(#REF!,"AAAAAHd//ms=")</f>
        <v>#REF!</v>
      </c>
      <c r="DE36" t="e">
        <f>AND(#REF!,"AAAAAHd//mw=")</f>
        <v>#REF!</v>
      </c>
      <c r="DF36" t="e">
        <f>IF(#REF!,"AAAAAHd//m0=",0)</f>
        <v>#REF!</v>
      </c>
      <c r="DG36" t="e">
        <f>AND(#REF!,"AAAAAHd//m4=")</f>
        <v>#REF!</v>
      </c>
      <c r="DH36" t="e">
        <f>AND(#REF!,"AAAAAHd//m8=")</f>
        <v>#REF!</v>
      </c>
      <c r="DI36" t="e">
        <f>AND(#REF!,"AAAAAHd//nA=")</f>
        <v>#REF!</v>
      </c>
      <c r="DJ36" t="e">
        <f>AND(#REF!,"AAAAAHd//nE=")</f>
        <v>#REF!</v>
      </c>
      <c r="DK36" t="e">
        <f>AND(#REF!,"AAAAAHd//nI=")</f>
        <v>#REF!</v>
      </c>
      <c r="DL36" t="e">
        <f>AND(#REF!,"AAAAAHd//nM=")</f>
        <v>#REF!</v>
      </c>
      <c r="DM36" t="e">
        <f>AND(#REF!,"AAAAAHd//nQ=")</f>
        <v>#REF!</v>
      </c>
      <c r="DN36" t="e">
        <f>AND(#REF!,"AAAAAHd//nU=")</f>
        <v>#REF!</v>
      </c>
      <c r="DO36" t="e">
        <f>AND(#REF!,"AAAAAHd//nY=")</f>
        <v>#REF!</v>
      </c>
      <c r="DP36" t="e">
        <f>AND(#REF!,"AAAAAHd//nc=")</f>
        <v>#REF!</v>
      </c>
      <c r="DQ36" t="e">
        <f>IF(#REF!,"AAAAAHd//ng=",0)</f>
        <v>#REF!</v>
      </c>
      <c r="DR36" t="e">
        <f>AND(#REF!,"AAAAAHd//nk=")</f>
        <v>#REF!</v>
      </c>
      <c r="DS36" t="e">
        <f>AND(#REF!,"AAAAAHd//no=")</f>
        <v>#REF!</v>
      </c>
      <c r="DT36" t="e">
        <f>AND(#REF!,"AAAAAHd//ns=")</f>
        <v>#REF!</v>
      </c>
      <c r="DU36" t="e">
        <f>AND(#REF!,"AAAAAHd//nw=")</f>
        <v>#REF!</v>
      </c>
      <c r="DV36" t="e">
        <f>AND(#REF!,"AAAAAHd//n0=")</f>
        <v>#REF!</v>
      </c>
      <c r="DW36" t="e">
        <f>AND(#REF!,"AAAAAHd//n4=")</f>
        <v>#REF!</v>
      </c>
      <c r="DX36" t="e">
        <f>AND(#REF!,"AAAAAHd//n8=")</f>
        <v>#REF!</v>
      </c>
      <c r="DY36" t="e">
        <f>AND(#REF!,"AAAAAHd//oA=")</f>
        <v>#REF!</v>
      </c>
      <c r="DZ36" t="e">
        <f>AND(#REF!,"AAAAAHd//oE=")</f>
        <v>#REF!</v>
      </c>
      <c r="EA36" t="e">
        <f>AND(#REF!,"AAAAAHd//oI=")</f>
        <v>#REF!</v>
      </c>
      <c r="EB36" t="e">
        <f>IF(#REF!,"AAAAAHd//oM=",0)</f>
        <v>#REF!</v>
      </c>
      <c r="EC36" t="e">
        <f>AND(#REF!,"AAAAAHd//oQ=")</f>
        <v>#REF!</v>
      </c>
      <c r="ED36" t="e">
        <f>AND(#REF!,"AAAAAHd//oU=")</f>
        <v>#REF!</v>
      </c>
      <c r="EE36" t="e">
        <f>AND(#REF!,"AAAAAHd//oY=")</f>
        <v>#REF!</v>
      </c>
      <c r="EF36" t="e">
        <f>AND(#REF!,"AAAAAHd//oc=")</f>
        <v>#REF!</v>
      </c>
      <c r="EG36" t="e">
        <f>AND(#REF!,"AAAAAHd//og=")</f>
        <v>#REF!</v>
      </c>
      <c r="EH36" t="e">
        <f>AND(#REF!,"AAAAAHd//ok=")</f>
        <v>#REF!</v>
      </c>
      <c r="EI36" t="e">
        <f>AND(#REF!,"AAAAAHd//oo=")</f>
        <v>#REF!</v>
      </c>
      <c r="EJ36" t="e">
        <f>AND(#REF!,"AAAAAHd//os=")</f>
        <v>#REF!</v>
      </c>
      <c r="EK36" t="e">
        <f>AND(#REF!,"AAAAAHd//ow=")</f>
        <v>#REF!</v>
      </c>
      <c r="EL36" t="e">
        <f>AND(#REF!,"AAAAAHd//o0=")</f>
        <v>#REF!</v>
      </c>
      <c r="EM36" t="e">
        <f>IF(#REF!,"AAAAAHd//o4=",0)</f>
        <v>#REF!</v>
      </c>
      <c r="EN36" t="e">
        <f>AND(#REF!,"AAAAAHd//o8=")</f>
        <v>#REF!</v>
      </c>
      <c r="EO36" t="e">
        <f>AND(#REF!,"AAAAAHd//pA=")</f>
        <v>#REF!</v>
      </c>
      <c r="EP36" t="e">
        <f>AND(#REF!,"AAAAAHd//pE=")</f>
        <v>#REF!</v>
      </c>
      <c r="EQ36" t="e">
        <f>AND(#REF!,"AAAAAHd//pI=")</f>
        <v>#REF!</v>
      </c>
      <c r="ER36" t="e">
        <f>AND(#REF!,"AAAAAHd//pM=")</f>
        <v>#REF!</v>
      </c>
      <c r="ES36" t="e">
        <f>AND(#REF!,"AAAAAHd//pQ=")</f>
        <v>#REF!</v>
      </c>
      <c r="ET36" t="e">
        <f>AND(#REF!,"AAAAAHd//pU=")</f>
        <v>#REF!</v>
      </c>
      <c r="EU36" t="e">
        <f>AND(#REF!,"AAAAAHd//pY=")</f>
        <v>#REF!</v>
      </c>
      <c r="EV36" t="e">
        <f>AND(#REF!,"AAAAAHd//pc=")</f>
        <v>#REF!</v>
      </c>
      <c r="EW36" t="e">
        <f>AND(#REF!,"AAAAAHd//pg=")</f>
        <v>#REF!</v>
      </c>
      <c r="EX36" t="e">
        <f>IF(#REF!,"AAAAAHd//pk=",0)</f>
        <v>#REF!</v>
      </c>
      <c r="EY36" t="e">
        <f>AND(#REF!,"AAAAAHd//po=")</f>
        <v>#REF!</v>
      </c>
      <c r="EZ36" t="e">
        <f>AND(#REF!,"AAAAAHd//ps=")</f>
        <v>#REF!</v>
      </c>
      <c r="FA36" t="e">
        <f>AND(#REF!,"AAAAAHd//pw=")</f>
        <v>#REF!</v>
      </c>
      <c r="FB36" t="e">
        <f>AND(#REF!,"AAAAAHd//p0=")</f>
        <v>#REF!</v>
      </c>
      <c r="FC36" t="e">
        <f>AND(#REF!,"AAAAAHd//p4=")</f>
        <v>#REF!</v>
      </c>
      <c r="FD36" t="e">
        <f>AND(#REF!,"AAAAAHd//p8=")</f>
        <v>#REF!</v>
      </c>
      <c r="FE36" t="e">
        <f>AND(#REF!,"AAAAAHd//qA=")</f>
        <v>#REF!</v>
      </c>
      <c r="FF36" t="e">
        <f>AND(#REF!,"AAAAAHd//qE=")</f>
        <v>#REF!</v>
      </c>
      <c r="FG36" t="e">
        <f>AND(#REF!,"AAAAAHd//qI=")</f>
        <v>#REF!</v>
      </c>
      <c r="FH36" t="e">
        <f>AND(#REF!,"AAAAAHd//qM=")</f>
        <v>#REF!</v>
      </c>
      <c r="FI36" t="e">
        <f>IF(#REF!,"AAAAAHd//qQ=",0)</f>
        <v>#REF!</v>
      </c>
      <c r="FJ36" t="e">
        <f>AND(#REF!,"AAAAAHd//qU=")</f>
        <v>#REF!</v>
      </c>
      <c r="FK36" t="e">
        <f>AND(#REF!,"AAAAAHd//qY=")</f>
        <v>#REF!</v>
      </c>
      <c r="FL36" t="e">
        <f>AND(#REF!,"AAAAAHd//qc=")</f>
        <v>#REF!</v>
      </c>
      <c r="FM36" t="e">
        <f>AND(#REF!,"AAAAAHd//qg=")</f>
        <v>#REF!</v>
      </c>
      <c r="FN36" t="e">
        <f>AND(#REF!,"AAAAAHd//qk=")</f>
        <v>#REF!</v>
      </c>
      <c r="FO36" t="e">
        <f>AND(#REF!,"AAAAAHd//qo=")</f>
        <v>#REF!</v>
      </c>
      <c r="FP36" t="e">
        <f>AND(#REF!,"AAAAAHd//qs=")</f>
        <v>#REF!</v>
      </c>
      <c r="FQ36" t="e">
        <f>AND(#REF!,"AAAAAHd//qw=")</f>
        <v>#REF!</v>
      </c>
      <c r="FR36" t="e">
        <f>AND(#REF!,"AAAAAHd//q0=")</f>
        <v>#REF!</v>
      </c>
      <c r="FS36" t="e">
        <f>AND(#REF!,"AAAAAHd//q4=")</f>
        <v>#REF!</v>
      </c>
      <c r="FT36" t="e">
        <f>IF(#REF!,"AAAAAHd//q8=",0)</f>
        <v>#REF!</v>
      </c>
      <c r="FU36" t="e">
        <f>AND(#REF!,"AAAAAHd//rA=")</f>
        <v>#REF!</v>
      </c>
      <c r="FV36" t="e">
        <f>AND(#REF!,"AAAAAHd//rE=")</f>
        <v>#REF!</v>
      </c>
      <c r="FW36" t="e">
        <f>AND(#REF!,"AAAAAHd//rI=")</f>
        <v>#REF!</v>
      </c>
      <c r="FX36" t="e">
        <f>AND(#REF!,"AAAAAHd//rM=")</f>
        <v>#REF!</v>
      </c>
      <c r="FY36" t="e">
        <f>AND(#REF!,"AAAAAHd//rQ=")</f>
        <v>#REF!</v>
      </c>
      <c r="FZ36" t="e">
        <f>AND(#REF!,"AAAAAHd//rU=")</f>
        <v>#REF!</v>
      </c>
      <c r="GA36" t="e">
        <f>AND(#REF!,"AAAAAHd//rY=")</f>
        <v>#REF!</v>
      </c>
      <c r="GB36" t="e">
        <f>AND(#REF!,"AAAAAHd//rc=")</f>
        <v>#REF!</v>
      </c>
      <c r="GC36" t="e">
        <f>AND(#REF!,"AAAAAHd//rg=")</f>
        <v>#REF!</v>
      </c>
      <c r="GD36" t="e">
        <f>AND(#REF!,"AAAAAHd//rk=")</f>
        <v>#REF!</v>
      </c>
      <c r="GE36" t="e">
        <f>IF(#REF!,"AAAAAHd//ro=",0)</f>
        <v>#REF!</v>
      </c>
      <c r="GF36" t="e">
        <f>AND(#REF!,"AAAAAHd//rs=")</f>
        <v>#REF!</v>
      </c>
      <c r="GG36" t="e">
        <f>AND(#REF!,"AAAAAHd//rw=")</f>
        <v>#REF!</v>
      </c>
      <c r="GH36" t="e">
        <f>AND(#REF!,"AAAAAHd//r0=")</f>
        <v>#REF!</v>
      </c>
      <c r="GI36" t="e">
        <f>AND(#REF!,"AAAAAHd//r4=")</f>
        <v>#REF!</v>
      </c>
      <c r="GJ36" t="e">
        <f>AND(#REF!,"AAAAAHd//r8=")</f>
        <v>#REF!</v>
      </c>
      <c r="GK36" t="e">
        <f>AND(#REF!,"AAAAAHd//sA=")</f>
        <v>#REF!</v>
      </c>
      <c r="GL36" t="e">
        <f>AND(#REF!,"AAAAAHd//sE=")</f>
        <v>#REF!</v>
      </c>
      <c r="GM36" t="e">
        <f>AND(#REF!,"AAAAAHd//sI=")</f>
        <v>#REF!</v>
      </c>
      <c r="GN36" t="e">
        <f>AND(#REF!,"AAAAAHd//sM=")</f>
        <v>#REF!</v>
      </c>
      <c r="GO36" t="e">
        <f>AND(#REF!,"AAAAAHd//sQ=")</f>
        <v>#REF!</v>
      </c>
      <c r="GP36" t="e">
        <f>IF(#REF!,"AAAAAHd//sU=",0)</f>
        <v>#REF!</v>
      </c>
      <c r="GQ36" t="e">
        <f>AND(#REF!,"AAAAAHd//sY=")</f>
        <v>#REF!</v>
      </c>
      <c r="GR36" t="e">
        <f>AND(#REF!,"AAAAAHd//sc=")</f>
        <v>#REF!</v>
      </c>
      <c r="GS36" t="e">
        <f>AND(#REF!,"AAAAAHd//sg=")</f>
        <v>#REF!</v>
      </c>
      <c r="GT36" t="e">
        <f>AND(#REF!,"AAAAAHd//sk=")</f>
        <v>#REF!</v>
      </c>
      <c r="GU36" t="e">
        <f>AND(#REF!,"AAAAAHd//so=")</f>
        <v>#REF!</v>
      </c>
      <c r="GV36" t="e">
        <f>AND(#REF!,"AAAAAHd//ss=")</f>
        <v>#REF!</v>
      </c>
      <c r="GW36" t="e">
        <f>AND(#REF!,"AAAAAHd//sw=")</f>
        <v>#REF!</v>
      </c>
      <c r="GX36" t="e">
        <f>AND(#REF!,"AAAAAHd//s0=")</f>
        <v>#REF!</v>
      </c>
      <c r="GY36" t="e">
        <f>AND(#REF!,"AAAAAHd//s4=")</f>
        <v>#REF!</v>
      </c>
      <c r="GZ36" t="e">
        <f>AND(#REF!,"AAAAAHd//s8=")</f>
        <v>#REF!</v>
      </c>
      <c r="HA36" t="e">
        <f>IF(#REF!,"AAAAAHd//tA=",0)</f>
        <v>#REF!</v>
      </c>
      <c r="HB36" t="e">
        <f>AND(#REF!,"AAAAAHd//tE=")</f>
        <v>#REF!</v>
      </c>
      <c r="HC36" t="e">
        <f>AND(#REF!,"AAAAAHd//tI=")</f>
        <v>#REF!</v>
      </c>
      <c r="HD36" t="e">
        <f>AND(#REF!,"AAAAAHd//tM=")</f>
        <v>#REF!</v>
      </c>
      <c r="HE36" t="e">
        <f>AND(#REF!,"AAAAAHd//tQ=")</f>
        <v>#REF!</v>
      </c>
      <c r="HF36" t="e">
        <f>AND(#REF!,"AAAAAHd//tU=")</f>
        <v>#REF!</v>
      </c>
      <c r="HG36" t="e">
        <f>AND(#REF!,"AAAAAHd//tY=")</f>
        <v>#REF!</v>
      </c>
      <c r="HH36" t="e">
        <f>AND(#REF!,"AAAAAHd//tc=")</f>
        <v>#REF!</v>
      </c>
      <c r="HI36" t="e">
        <f>AND(#REF!,"AAAAAHd//tg=")</f>
        <v>#REF!</v>
      </c>
      <c r="HJ36" t="e">
        <f>AND(#REF!,"AAAAAHd//tk=")</f>
        <v>#REF!</v>
      </c>
      <c r="HK36" t="e">
        <f>AND(#REF!,"AAAAAHd//to=")</f>
        <v>#REF!</v>
      </c>
      <c r="HL36" t="e">
        <f>IF(#REF!,"AAAAAHd//ts=",0)</f>
        <v>#REF!</v>
      </c>
      <c r="HM36" t="e">
        <f>AND(#REF!,"AAAAAHd//tw=")</f>
        <v>#REF!</v>
      </c>
      <c r="HN36" t="e">
        <f>AND(#REF!,"AAAAAHd//t0=")</f>
        <v>#REF!</v>
      </c>
      <c r="HO36" t="e">
        <f>AND(#REF!,"AAAAAHd//t4=")</f>
        <v>#REF!</v>
      </c>
      <c r="HP36" t="e">
        <f>AND(#REF!,"AAAAAHd//t8=")</f>
        <v>#REF!</v>
      </c>
      <c r="HQ36" t="e">
        <f>AND(#REF!,"AAAAAHd//uA=")</f>
        <v>#REF!</v>
      </c>
      <c r="HR36" t="e">
        <f>AND(#REF!,"AAAAAHd//uE=")</f>
        <v>#REF!</v>
      </c>
      <c r="HS36" t="e">
        <f>AND(#REF!,"AAAAAHd//uI=")</f>
        <v>#REF!</v>
      </c>
      <c r="HT36" t="e">
        <f>AND(#REF!,"AAAAAHd//uM=")</f>
        <v>#REF!</v>
      </c>
      <c r="HU36" t="e">
        <f>AND(#REF!,"AAAAAHd//uQ=")</f>
        <v>#REF!</v>
      </c>
      <c r="HV36" t="e">
        <f>AND(#REF!,"AAAAAHd//uU=")</f>
        <v>#REF!</v>
      </c>
      <c r="HW36" t="e">
        <f>IF(#REF!,"AAAAAHd//uY=",0)</f>
        <v>#REF!</v>
      </c>
      <c r="HX36" t="e">
        <f>AND(#REF!,"AAAAAHd//uc=")</f>
        <v>#REF!</v>
      </c>
      <c r="HY36" t="e">
        <f>AND(#REF!,"AAAAAHd//ug=")</f>
        <v>#REF!</v>
      </c>
      <c r="HZ36" t="e">
        <f>AND(#REF!,"AAAAAHd//uk=")</f>
        <v>#REF!</v>
      </c>
      <c r="IA36" t="e">
        <f>AND(#REF!,"AAAAAHd//uo=")</f>
        <v>#REF!</v>
      </c>
      <c r="IB36" t="e">
        <f>AND(#REF!,"AAAAAHd//us=")</f>
        <v>#REF!</v>
      </c>
      <c r="IC36" t="e">
        <f>AND(#REF!,"AAAAAHd//uw=")</f>
        <v>#REF!</v>
      </c>
      <c r="ID36" t="e">
        <f>AND(#REF!,"AAAAAHd//u0=")</f>
        <v>#REF!</v>
      </c>
      <c r="IE36" t="e">
        <f>AND(#REF!,"AAAAAHd//u4=")</f>
        <v>#REF!</v>
      </c>
      <c r="IF36" t="e">
        <f>AND(#REF!,"AAAAAHd//u8=")</f>
        <v>#REF!</v>
      </c>
      <c r="IG36" t="e">
        <f>AND(#REF!,"AAAAAHd//vA=")</f>
        <v>#REF!</v>
      </c>
      <c r="IH36" t="e">
        <f>IF(#REF!,"AAAAAHd//vE=",0)</f>
        <v>#REF!</v>
      </c>
      <c r="II36" t="e">
        <f>AND(#REF!,"AAAAAHd//vI=")</f>
        <v>#REF!</v>
      </c>
      <c r="IJ36" t="e">
        <f>AND(#REF!,"AAAAAHd//vM=")</f>
        <v>#REF!</v>
      </c>
      <c r="IK36" t="e">
        <f>AND(#REF!,"AAAAAHd//vQ=")</f>
        <v>#REF!</v>
      </c>
      <c r="IL36" t="e">
        <f>AND(#REF!,"AAAAAHd//vU=")</f>
        <v>#REF!</v>
      </c>
      <c r="IM36" t="e">
        <f>AND(#REF!,"AAAAAHd//vY=")</f>
        <v>#REF!</v>
      </c>
      <c r="IN36" t="e">
        <f>AND(#REF!,"AAAAAHd//vc=")</f>
        <v>#REF!</v>
      </c>
      <c r="IO36" t="e">
        <f>AND(#REF!,"AAAAAHd//vg=")</f>
        <v>#REF!</v>
      </c>
      <c r="IP36" t="e">
        <f>AND(#REF!,"AAAAAHd//vk=")</f>
        <v>#REF!</v>
      </c>
      <c r="IQ36" t="e">
        <f>AND(#REF!,"AAAAAHd//vo=")</f>
        <v>#REF!</v>
      </c>
      <c r="IR36" t="e">
        <f>AND(#REF!,"AAAAAHd//vs=")</f>
        <v>#REF!</v>
      </c>
      <c r="IS36" t="e">
        <f>IF(#REF!,"AAAAAHd//vw=",0)</f>
        <v>#REF!</v>
      </c>
      <c r="IT36" t="e">
        <f>AND(#REF!,"AAAAAHd//v0=")</f>
        <v>#REF!</v>
      </c>
      <c r="IU36" t="e">
        <f>AND(#REF!,"AAAAAHd//v4=")</f>
        <v>#REF!</v>
      </c>
      <c r="IV36" t="e">
        <f>AND(#REF!,"AAAAAHd//v8=")</f>
        <v>#REF!</v>
      </c>
    </row>
    <row r="37" spans="1:256" x14ac:dyDescent="0.25">
      <c r="A37" t="e">
        <f>AND(#REF!,"AAAAAC6f/gA=")</f>
        <v>#REF!</v>
      </c>
      <c r="B37" t="e">
        <f>AND(#REF!,"AAAAAC6f/gE=")</f>
        <v>#REF!</v>
      </c>
      <c r="C37" t="e">
        <f>AND(#REF!,"AAAAAC6f/gI=")</f>
        <v>#REF!</v>
      </c>
      <c r="D37" t="e">
        <f>AND(#REF!,"AAAAAC6f/gM=")</f>
        <v>#REF!</v>
      </c>
      <c r="E37" t="e">
        <f>AND(#REF!,"AAAAAC6f/gQ=")</f>
        <v>#REF!</v>
      </c>
      <c r="F37" t="e">
        <f>AND(#REF!,"AAAAAC6f/gU=")</f>
        <v>#REF!</v>
      </c>
      <c r="G37" t="e">
        <f>AND(#REF!,"AAAAAC6f/gY=")</f>
        <v>#REF!</v>
      </c>
      <c r="H37" t="e">
        <f>IF(#REF!,"AAAAAC6f/gc=",0)</f>
        <v>#REF!</v>
      </c>
      <c r="I37" t="e">
        <f>AND(#REF!,"AAAAAC6f/gg=")</f>
        <v>#REF!</v>
      </c>
      <c r="J37" t="e">
        <f>AND(#REF!,"AAAAAC6f/gk=")</f>
        <v>#REF!</v>
      </c>
      <c r="K37" t="e">
        <f>AND(#REF!,"AAAAAC6f/go=")</f>
        <v>#REF!</v>
      </c>
      <c r="L37" t="e">
        <f>AND(#REF!,"AAAAAC6f/gs=")</f>
        <v>#REF!</v>
      </c>
      <c r="M37" t="e">
        <f>AND(#REF!,"AAAAAC6f/gw=")</f>
        <v>#REF!</v>
      </c>
      <c r="N37" t="e">
        <f>AND(#REF!,"AAAAAC6f/g0=")</f>
        <v>#REF!</v>
      </c>
      <c r="O37" t="e">
        <f>AND(#REF!,"AAAAAC6f/g4=")</f>
        <v>#REF!</v>
      </c>
      <c r="P37" t="e">
        <f>AND(#REF!,"AAAAAC6f/g8=")</f>
        <v>#REF!</v>
      </c>
      <c r="Q37" t="e">
        <f>AND(#REF!,"AAAAAC6f/hA=")</f>
        <v>#REF!</v>
      </c>
      <c r="R37" t="e">
        <f>AND(#REF!,"AAAAAC6f/hE=")</f>
        <v>#REF!</v>
      </c>
      <c r="S37" t="e">
        <f>IF(#REF!,"AAAAAC6f/hI=",0)</f>
        <v>#REF!</v>
      </c>
      <c r="T37" t="e">
        <f>AND(#REF!,"AAAAAC6f/hM=")</f>
        <v>#REF!</v>
      </c>
      <c r="U37" t="e">
        <f>AND(#REF!,"AAAAAC6f/hQ=")</f>
        <v>#REF!</v>
      </c>
      <c r="V37" t="e">
        <f>AND(#REF!,"AAAAAC6f/hU=")</f>
        <v>#REF!</v>
      </c>
      <c r="W37" t="e">
        <f>AND(#REF!,"AAAAAC6f/hY=")</f>
        <v>#REF!</v>
      </c>
      <c r="X37" t="e">
        <f>AND(#REF!,"AAAAAC6f/hc=")</f>
        <v>#REF!</v>
      </c>
      <c r="Y37" t="e">
        <f>AND(#REF!,"AAAAAC6f/hg=")</f>
        <v>#REF!</v>
      </c>
      <c r="Z37" t="e">
        <f>AND(#REF!,"AAAAAC6f/hk=")</f>
        <v>#REF!</v>
      </c>
      <c r="AA37" t="e">
        <f>AND(#REF!,"AAAAAC6f/ho=")</f>
        <v>#REF!</v>
      </c>
      <c r="AB37" t="e">
        <f>AND(#REF!,"AAAAAC6f/hs=")</f>
        <v>#REF!</v>
      </c>
      <c r="AC37" t="e">
        <f>AND(#REF!,"AAAAAC6f/hw=")</f>
        <v>#REF!</v>
      </c>
      <c r="AD37" t="e">
        <f>IF(#REF!,"AAAAAC6f/h0=",0)</f>
        <v>#REF!</v>
      </c>
      <c r="AE37" t="e">
        <f>AND(#REF!,"AAAAAC6f/h4=")</f>
        <v>#REF!</v>
      </c>
      <c r="AF37" t="e">
        <f>AND(#REF!,"AAAAAC6f/h8=")</f>
        <v>#REF!</v>
      </c>
      <c r="AG37" t="e">
        <f>AND(#REF!,"AAAAAC6f/iA=")</f>
        <v>#REF!</v>
      </c>
      <c r="AH37" t="e">
        <f>AND(#REF!,"AAAAAC6f/iE=")</f>
        <v>#REF!</v>
      </c>
      <c r="AI37" t="e">
        <f>AND(#REF!,"AAAAAC6f/iI=")</f>
        <v>#REF!</v>
      </c>
      <c r="AJ37" t="e">
        <f>AND(#REF!,"AAAAAC6f/iM=")</f>
        <v>#REF!</v>
      </c>
      <c r="AK37" t="e">
        <f>AND(#REF!,"AAAAAC6f/iQ=")</f>
        <v>#REF!</v>
      </c>
      <c r="AL37" t="e">
        <f>AND(#REF!,"AAAAAC6f/iU=")</f>
        <v>#REF!</v>
      </c>
      <c r="AM37" t="e">
        <f>AND(#REF!,"AAAAAC6f/iY=")</f>
        <v>#REF!</v>
      </c>
      <c r="AN37" t="e">
        <f>AND(#REF!,"AAAAAC6f/ic=")</f>
        <v>#REF!</v>
      </c>
      <c r="AO37" t="e">
        <f>IF(#REF!,"AAAAAC6f/ig=",0)</f>
        <v>#REF!</v>
      </c>
      <c r="AP37" t="e">
        <f>AND(#REF!,"AAAAAC6f/ik=")</f>
        <v>#REF!</v>
      </c>
      <c r="AQ37" t="e">
        <f>AND(#REF!,"AAAAAC6f/io=")</f>
        <v>#REF!</v>
      </c>
      <c r="AR37" t="e">
        <f>AND(#REF!,"AAAAAC6f/is=")</f>
        <v>#REF!</v>
      </c>
      <c r="AS37" t="e">
        <f>AND(#REF!,"AAAAAC6f/iw=")</f>
        <v>#REF!</v>
      </c>
      <c r="AT37" t="e">
        <f>AND(#REF!,"AAAAAC6f/i0=")</f>
        <v>#REF!</v>
      </c>
      <c r="AU37" t="e">
        <f>AND(#REF!,"AAAAAC6f/i4=")</f>
        <v>#REF!</v>
      </c>
      <c r="AV37" t="e">
        <f>AND(#REF!,"AAAAAC6f/i8=")</f>
        <v>#REF!</v>
      </c>
      <c r="AW37" t="e">
        <f>AND(#REF!,"AAAAAC6f/jA=")</f>
        <v>#REF!</v>
      </c>
      <c r="AX37" t="e">
        <f>AND(#REF!,"AAAAAC6f/jE=")</f>
        <v>#REF!</v>
      </c>
      <c r="AY37" t="e">
        <f>AND(#REF!,"AAAAAC6f/jI=")</f>
        <v>#REF!</v>
      </c>
      <c r="AZ37" t="e">
        <f>IF(#REF!,"AAAAAC6f/jM=",0)</f>
        <v>#REF!</v>
      </c>
      <c r="BA37" t="e">
        <f>AND(#REF!,"AAAAAC6f/jQ=")</f>
        <v>#REF!</v>
      </c>
      <c r="BB37" t="e">
        <f>AND(#REF!,"AAAAAC6f/jU=")</f>
        <v>#REF!</v>
      </c>
      <c r="BC37" t="e">
        <f>AND(#REF!,"AAAAAC6f/jY=")</f>
        <v>#REF!</v>
      </c>
      <c r="BD37" t="e">
        <f>AND(#REF!,"AAAAAC6f/jc=")</f>
        <v>#REF!</v>
      </c>
      <c r="BE37" t="e">
        <f>AND(#REF!,"AAAAAC6f/jg=")</f>
        <v>#REF!</v>
      </c>
      <c r="BF37" t="e">
        <f>AND(#REF!,"AAAAAC6f/jk=")</f>
        <v>#REF!</v>
      </c>
      <c r="BG37" t="e">
        <f>AND(#REF!,"AAAAAC6f/jo=")</f>
        <v>#REF!</v>
      </c>
      <c r="BH37" t="e">
        <f>AND(#REF!,"AAAAAC6f/js=")</f>
        <v>#REF!</v>
      </c>
      <c r="BI37" t="e">
        <f>AND(#REF!,"AAAAAC6f/jw=")</f>
        <v>#REF!</v>
      </c>
      <c r="BJ37" t="e">
        <f>AND(#REF!,"AAAAAC6f/j0=")</f>
        <v>#REF!</v>
      </c>
      <c r="BK37" t="e">
        <f>IF(#REF!,"AAAAAC6f/j4=",0)</f>
        <v>#REF!</v>
      </c>
      <c r="BL37" t="e">
        <f>AND(#REF!,"AAAAAC6f/j8=")</f>
        <v>#REF!</v>
      </c>
      <c r="BM37" t="e">
        <f>AND(#REF!,"AAAAAC6f/kA=")</f>
        <v>#REF!</v>
      </c>
      <c r="BN37" t="e">
        <f>AND(#REF!,"AAAAAC6f/kE=")</f>
        <v>#REF!</v>
      </c>
      <c r="BO37" t="e">
        <f>AND(#REF!,"AAAAAC6f/kI=")</f>
        <v>#REF!</v>
      </c>
      <c r="BP37" t="e">
        <f>AND(#REF!,"AAAAAC6f/kM=")</f>
        <v>#REF!</v>
      </c>
      <c r="BQ37" t="e">
        <f>AND(#REF!,"AAAAAC6f/kQ=")</f>
        <v>#REF!</v>
      </c>
      <c r="BR37" t="e">
        <f>AND(#REF!,"AAAAAC6f/kU=")</f>
        <v>#REF!</v>
      </c>
      <c r="BS37" t="e">
        <f>AND(#REF!,"AAAAAC6f/kY=")</f>
        <v>#REF!</v>
      </c>
      <c r="BT37" t="e">
        <f>AND(#REF!,"AAAAAC6f/kc=")</f>
        <v>#REF!</v>
      </c>
      <c r="BU37" t="e">
        <f>AND(#REF!,"AAAAAC6f/kg=")</f>
        <v>#REF!</v>
      </c>
      <c r="BV37" t="e">
        <f>IF(#REF!,"AAAAAC6f/kk=",0)</f>
        <v>#REF!</v>
      </c>
      <c r="BW37" t="e">
        <f>AND(#REF!,"AAAAAC6f/ko=")</f>
        <v>#REF!</v>
      </c>
      <c r="BX37" t="e">
        <f>AND(#REF!,"AAAAAC6f/ks=")</f>
        <v>#REF!</v>
      </c>
      <c r="BY37" t="e">
        <f>AND(#REF!,"AAAAAC6f/kw=")</f>
        <v>#REF!</v>
      </c>
      <c r="BZ37" t="e">
        <f>AND(#REF!,"AAAAAC6f/k0=")</f>
        <v>#REF!</v>
      </c>
      <c r="CA37" t="e">
        <f>AND(#REF!,"AAAAAC6f/k4=")</f>
        <v>#REF!</v>
      </c>
      <c r="CB37" t="e">
        <f>AND(#REF!,"AAAAAC6f/k8=")</f>
        <v>#REF!</v>
      </c>
      <c r="CC37" t="e">
        <f>AND(#REF!,"AAAAAC6f/lA=")</f>
        <v>#REF!</v>
      </c>
      <c r="CD37" t="e">
        <f>AND(#REF!,"AAAAAC6f/lE=")</f>
        <v>#REF!</v>
      </c>
      <c r="CE37" t="e">
        <f>AND(#REF!,"AAAAAC6f/lI=")</f>
        <v>#REF!</v>
      </c>
      <c r="CF37" t="e">
        <f>AND(#REF!,"AAAAAC6f/lM=")</f>
        <v>#REF!</v>
      </c>
      <c r="CG37" t="e">
        <f>IF(#REF!,"AAAAAC6f/lQ=",0)</f>
        <v>#REF!</v>
      </c>
      <c r="CH37" t="e">
        <f>AND(#REF!,"AAAAAC6f/lU=")</f>
        <v>#REF!</v>
      </c>
      <c r="CI37" t="e">
        <f>AND(#REF!,"AAAAAC6f/lY=")</f>
        <v>#REF!</v>
      </c>
      <c r="CJ37" t="e">
        <f>AND(#REF!,"AAAAAC6f/lc=")</f>
        <v>#REF!</v>
      </c>
      <c r="CK37" t="e">
        <f>AND(#REF!,"AAAAAC6f/lg=")</f>
        <v>#REF!</v>
      </c>
      <c r="CL37" t="e">
        <f>AND(#REF!,"AAAAAC6f/lk=")</f>
        <v>#REF!</v>
      </c>
      <c r="CM37" t="e">
        <f>AND(#REF!,"AAAAAC6f/lo=")</f>
        <v>#REF!</v>
      </c>
      <c r="CN37" t="e">
        <f>AND(#REF!,"AAAAAC6f/ls=")</f>
        <v>#REF!</v>
      </c>
      <c r="CO37" t="e">
        <f>AND(#REF!,"AAAAAC6f/lw=")</f>
        <v>#REF!</v>
      </c>
      <c r="CP37" t="e">
        <f>AND(#REF!,"AAAAAC6f/l0=")</f>
        <v>#REF!</v>
      </c>
      <c r="CQ37" t="e">
        <f>AND(#REF!,"AAAAAC6f/l4=")</f>
        <v>#REF!</v>
      </c>
      <c r="CR37" t="e">
        <f>IF(#REF!,"AAAAAC6f/l8=",0)</f>
        <v>#REF!</v>
      </c>
      <c r="CS37" t="e">
        <f>AND(#REF!,"AAAAAC6f/mA=")</f>
        <v>#REF!</v>
      </c>
      <c r="CT37" t="e">
        <f>AND(#REF!,"AAAAAC6f/mE=")</f>
        <v>#REF!</v>
      </c>
      <c r="CU37" t="e">
        <f>AND(#REF!,"AAAAAC6f/mI=")</f>
        <v>#REF!</v>
      </c>
      <c r="CV37" t="e">
        <f>AND(#REF!,"AAAAAC6f/mM=")</f>
        <v>#REF!</v>
      </c>
      <c r="CW37" t="e">
        <f>AND(#REF!,"AAAAAC6f/mQ=")</f>
        <v>#REF!</v>
      </c>
      <c r="CX37" t="e">
        <f>AND(#REF!,"AAAAAC6f/mU=")</f>
        <v>#REF!</v>
      </c>
      <c r="CY37" t="e">
        <f>AND(#REF!,"AAAAAC6f/mY=")</f>
        <v>#REF!</v>
      </c>
      <c r="CZ37" t="e">
        <f>AND(#REF!,"AAAAAC6f/mc=")</f>
        <v>#REF!</v>
      </c>
      <c r="DA37" t="e">
        <f>AND(#REF!,"AAAAAC6f/mg=")</f>
        <v>#REF!</v>
      </c>
      <c r="DB37" t="e">
        <f>AND(#REF!,"AAAAAC6f/mk=")</f>
        <v>#REF!</v>
      </c>
      <c r="DC37" t="e">
        <f>IF(#REF!,"AAAAAC6f/mo=",0)</f>
        <v>#REF!</v>
      </c>
      <c r="DD37" t="e">
        <f>AND(#REF!,"AAAAAC6f/ms=")</f>
        <v>#REF!</v>
      </c>
      <c r="DE37" t="e">
        <f>AND(#REF!,"AAAAAC6f/mw=")</f>
        <v>#REF!</v>
      </c>
      <c r="DF37" t="e">
        <f>AND(#REF!,"AAAAAC6f/m0=")</f>
        <v>#REF!</v>
      </c>
      <c r="DG37" t="e">
        <f>AND(#REF!,"AAAAAC6f/m4=")</f>
        <v>#REF!</v>
      </c>
      <c r="DH37" t="e">
        <f>AND(#REF!,"AAAAAC6f/m8=")</f>
        <v>#REF!</v>
      </c>
      <c r="DI37" t="e">
        <f>AND(#REF!,"AAAAAC6f/nA=")</f>
        <v>#REF!</v>
      </c>
      <c r="DJ37" t="e">
        <f>AND(#REF!,"AAAAAC6f/nE=")</f>
        <v>#REF!</v>
      </c>
      <c r="DK37" t="e">
        <f>AND(#REF!,"AAAAAC6f/nI=")</f>
        <v>#REF!</v>
      </c>
      <c r="DL37" t="e">
        <f>AND(#REF!,"AAAAAC6f/nM=")</f>
        <v>#REF!</v>
      </c>
      <c r="DM37" t="e">
        <f>AND(#REF!,"AAAAAC6f/nQ=")</f>
        <v>#REF!</v>
      </c>
      <c r="DN37" t="e">
        <f>IF(#REF!,"AAAAAC6f/nU=",0)</f>
        <v>#REF!</v>
      </c>
      <c r="DO37" t="e">
        <f>AND(#REF!,"AAAAAC6f/nY=")</f>
        <v>#REF!</v>
      </c>
      <c r="DP37" t="e">
        <f>AND(#REF!,"AAAAAC6f/nc=")</f>
        <v>#REF!</v>
      </c>
      <c r="DQ37" t="e">
        <f>AND(#REF!,"AAAAAC6f/ng=")</f>
        <v>#REF!</v>
      </c>
      <c r="DR37" t="e">
        <f>AND(#REF!,"AAAAAC6f/nk=")</f>
        <v>#REF!</v>
      </c>
      <c r="DS37" t="e">
        <f>AND(#REF!,"AAAAAC6f/no=")</f>
        <v>#REF!</v>
      </c>
      <c r="DT37" t="e">
        <f>AND(#REF!,"AAAAAC6f/ns=")</f>
        <v>#REF!</v>
      </c>
      <c r="DU37" t="e">
        <f>AND(#REF!,"AAAAAC6f/nw=")</f>
        <v>#REF!</v>
      </c>
      <c r="DV37" t="e">
        <f>AND(#REF!,"AAAAAC6f/n0=")</f>
        <v>#REF!</v>
      </c>
      <c r="DW37" t="e">
        <f>AND(#REF!,"AAAAAC6f/n4=")</f>
        <v>#REF!</v>
      </c>
      <c r="DX37" t="e">
        <f>AND(#REF!,"AAAAAC6f/n8=")</f>
        <v>#REF!</v>
      </c>
      <c r="DY37" t="e">
        <f>IF(#REF!,"AAAAAC6f/oA=",0)</f>
        <v>#REF!</v>
      </c>
      <c r="DZ37" t="e">
        <f>AND(#REF!,"AAAAAC6f/oE=")</f>
        <v>#REF!</v>
      </c>
      <c r="EA37" t="e">
        <f>AND(#REF!,"AAAAAC6f/oI=")</f>
        <v>#REF!</v>
      </c>
      <c r="EB37" t="e">
        <f>AND(#REF!,"AAAAAC6f/oM=")</f>
        <v>#REF!</v>
      </c>
      <c r="EC37" t="e">
        <f>AND(#REF!,"AAAAAC6f/oQ=")</f>
        <v>#REF!</v>
      </c>
      <c r="ED37" t="e">
        <f>AND(#REF!,"AAAAAC6f/oU=")</f>
        <v>#REF!</v>
      </c>
      <c r="EE37" t="e">
        <f>AND(#REF!,"AAAAAC6f/oY=")</f>
        <v>#REF!</v>
      </c>
      <c r="EF37" t="e">
        <f>AND(#REF!,"AAAAAC6f/oc=")</f>
        <v>#REF!</v>
      </c>
      <c r="EG37" t="e">
        <f>AND(#REF!,"AAAAAC6f/og=")</f>
        <v>#REF!</v>
      </c>
      <c r="EH37" t="e">
        <f>AND(#REF!,"AAAAAC6f/ok=")</f>
        <v>#REF!</v>
      </c>
      <c r="EI37" t="e">
        <f>AND(#REF!,"AAAAAC6f/oo=")</f>
        <v>#REF!</v>
      </c>
      <c r="EJ37" t="e">
        <f>IF(#REF!,"AAAAAC6f/os=",0)</f>
        <v>#REF!</v>
      </c>
      <c r="EK37" t="e">
        <f>AND(#REF!,"AAAAAC6f/ow=")</f>
        <v>#REF!</v>
      </c>
      <c r="EL37" t="e">
        <f>AND(#REF!,"AAAAAC6f/o0=")</f>
        <v>#REF!</v>
      </c>
      <c r="EM37" t="e">
        <f>AND(#REF!,"AAAAAC6f/o4=")</f>
        <v>#REF!</v>
      </c>
      <c r="EN37" t="e">
        <f>AND(#REF!,"AAAAAC6f/o8=")</f>
        <v>#REF!</v>
      </c>
      <c r="EO37" t="e">
        <f>AND(#REF!,"AAAAAC6f/pA=")</f>
        <v>#REF!</v>
      </c>
      <c r="EP37" t="e">
        <f>AND(#REF!,"AAAAAC6f/pE=")</f>
        <v>#REF!</v>
      </c>
      <c r="EQ37" t="e">
        <f>AND(#REF!,"AAAAAC6f/pI=")</f>
        <v>#REF!</v>
      </c>
      <c r="ER37" t="e">
        <f>AND(#REF!,"AAAAAC6f/pM=")</f>
        <v>#REF!</v>
      </c>
      <c r="ES37" t="e">
        <f>AND(#REF!,"AAAAAC6f/pQ=")</f>
        <v>#REF!</v>
      </c>
      <c r="ET37" t="e">
        <f>AND(#REF!,"AAAAAC6f/pU=")</f>
        <v>#REF!</v>
      </c>
      <c r="EU37" t="e">
        <f>IF(#REF!,"AAAAAC6f/pY=",0)</f>
        <v>#REF!</v>
      </c>
      <c r="EV37" t="e">
        <f>AND(#REF!,"AAAAAC6f/pc=")</f>
        <v>#REF!</v>
      </c>
      <c r="EW37" t="e">
        <f>AND(#REF!,"AAAAAC6f/pg=")</f>
        <v>#REF!</v>
      </c>
      <c r="EX37" t="e">
        <f>AND(#REF!,"AAAAAC6f/pk=")</f>
        <v>#REF!</v>
      </c>
      <c r="EY37" t="e">
        <f>AND(#REF!,"AAAAAC6f/po=")</f>
        <v>#REF!</v>
      </c>
      <c r="EZ37" t="e">
        <f>AND(#REF!,"AAAAAC6f/ps=")</f>
        <v>#REF!</v>
      </c>
      <c r="FA37" t="e">
        <f>AND(#REF!,"AAAAAC6f/pw=")</f>
        <v>#REF!</v>
      </c>
      <c r="FB37" t="e">
        <f>AND(#REF!,"AAAAAC6f/p0=")</f>
        <v>#REF!</v>
      </c>
      <c r="FC37" t="e">
        <f>AND(#REF!,"AAAAAC6f/p4=")</f>
        <v>#REF!</v>
      </c>
      <c r="FD37" t="e">
        <f>AND(#REF!,"AAAAAC6f/p8=")</f>
        <v>#REF!</v>
      </c>
      <c r="FE37" t="e">
        <f>AND(#REF!,"AAAAAC6f/qA=")</f>
        <v>#REF!</v>
      </c>
      <c r="FF37" t="e">
        <f>IF(#REF!,"AAAAAC6f/qE=",0)</f>
        <v>#REF!</v>
      </c>
      <c r="FG37" t="e">
        <f>AND(#REF!,"AAAAAC6f/qI=")</f>
        <v>#REF!</v>
      </c>
      <c r="FH37" t="e">
        <f>AND(#REF!,"AAAAAC6f/qM=")</f>
        <v>#REF!</v>
      </c>
      <c r="FI37" t="e">
        <f>AND(#REF!,"AAAAAC6f/qQ=")</f>
        <v>#REF!</v>
      </c>
      <c r="FJ37" t="e">
        <f>AND(#REF!,"AAAAAC6f/qU=")</f>
        <v>#REF!</v>
      </c>
      <c r="FK37" t="e">
        <f>AND(#REF!,"AAAAAC6f/qY=")</f>
        <v>#REF!</v>
      </c>
      <c r="FL37" t="e">
        <f>AND(#REF!,"AAAAAC6f/qc=")</f>
        <v>#REF!</v>
      </c>
      <c r="FM37" t="e">
        <f>AND(#REF!,"AAAAAC6f/qg=")</f>
        <v>#REF!</v>
      </c>
      <c r="FN37" t="e">
        <f>AND(#REF!,"AAAAAC6f/qk=")</f>
        <v>#REF!</v>
      </c>
      <c r="FO37" t="e">
        <f>AND(#REF!,"AAAAAC6f/qo=")</f>
        <v>#REF!</v>
      </c>
      <c r="FP37" t="e">
        <f>AND(#REF!,"AAAAAC6f/qs=")</f>
        <v>#REF!</v>
      </c>
      <c r="FQ37" t="e">
        <f>IF(#REF!,"AAAAAC6f/qw=",0)</f>
        <v>#REF!</v>
      </c>
      <c r="FR37" t="e">
        <f>AND(#REF!,"AAAAAC6f/q0=")</f>
        <v>#REF!</v>
      </c>
      <c r="FS37" t="e">
        <f>AND(#REF!,"AAAAAC6f/q4=")</f>
        <v>#REF!</v>
      </c>
      <c r="FT37" t="e">
        <f>AND(#REF!,"AAAAAC6f/q8=")</f>
        <v>#REF!</v>
      </c>
      <c r="FU37" t="e">
        <f>AND(#REF!,"AAAAAC6f/rA=")</f>
        <v>#REF!</v>
      </c>
      <c r="FV37" t="e">
        <f>AND(#REF!,"AAAAAC6f/rE=")</f>
        <v>#REF!</v>
      </c>
      <c r="FW37" t="e">
        <f>AND(#REF!,"AAAAAC6f/rI=")</f>
        <v>#REF!</v>
      </c>
      <c r="FX37" t="e">
        <f>AND(#REF!,"AAAAAC6f/rM=")</f>
        <v>#REF!</v>
      </c>
      <c r="FY37" t="e">
        <f>AND(#REF!,"AAAAAC6f/rQ=")</f>
        <v>#REF!</v>
      </c>
      <c r="FZ37" t="e">
        <f>AND(#REF!,"AAAAAC6f/rU=")</f>
        <v>#REF!</v>
      </c>
      <c r="GA37" t="e">
        <f>AND(#REF!,"AAAAAC6f/rY=")</f>
        <v>#REF!</v>
      </c>
      <c r="GB37" t="e">
        <f>IF(#REF!,"AAAAAC6f/rc=",0)</f>
        <v>#REF!</v>
      </c>
      <c r="GC37" t="e">
        <f>AND(#REF!,"AAAAAC6f/rg=")</f>
        <v>#REF!</v>
      </c>
      <c r="GD37" t="e">
        <f>AND(#REF!,"AAAAAC6f/rk=")</f>
        <v>#REF!</v>
      </c>
      <c r="GE37" t="e">
        <f>AND(#REF!,"AAAAAC6f/ro=")</f>
        <v>#REF!</v>
      </c>
      <c r="GF37" t="e">
        <f>AND(#REF!,"AAAAAC6f/rs=")</f>
        <v>#REF!</v>
      </c>
      <c r="GG37" t="e">
        <f>AND(#REF!,"AAAAAC6f/rw=")</f>
        <v>#REF!</v>
      </c>
      <c r="GH37" t="e">
        <f>AND(#REF!,"AAAAAC6f/r0=")</f>
        <v>#REF!</v>
      </c>
      <c r="GI37" t="e">
        <f>AND(#REF!,"AAAAAC6f/r4=")</f>
        <v>#REF!</v>
      </c>
      <c r="GJ37" t="e">
        <f>AND(#REF!,"AAAAAC6f/r8=")</f>
        <v>#REF!</v>
      </c>
      <c r="GK37" t="e">
        <f>AND(#REF!,"AAAAAC6f/sA=")</f>
        <v>#REF!</v>
      </c>
      <c r="GL37" t="e">
        <f>AND(#REF!,"AAAAAC6f/sE=")</f>
        <v>#REF!</v>
      </c>
      <c r="GM37" t="e">
        <f>IF(#REF!,"AAAAAC6f/sI=",0)</f>
        <v>#REF!</v>
      </c>
      <c r="GN37" t="e">
        <f>AND(#REF!,"AAAAAC6f/sM=")</f>
        <v>#REF!</v>
      </c>
      <c r="GO37" t="e">
        <f>AND(#REF!,"AAAAAC6f/sQ=")</f>
        <v>#REF!</v>
      </c>
      <c r="GP37" t="e">
        <f>AND(#REF!,"AAAAAC6f/sU=")</f>
        <v>#REF!</v>
      </c>
      <c r="GQ37" t="e">
        <f>AND(#REF!,"AAAAAC6f/sY=")</f>
        <v>#REF!</v>
      </c>
      <c r="GR37" t="e">
        <f>AND(#REF!,"AAAAAC6f/sc=")</f>
        <v>#REF!</v>
      </c>
      <c r="GS37" t="e">
        <f>AND(#REF!,"AAAAAC6f/sg=")</f>
        <v>#REF!</v>
      </c>
      <c r="GT37" t="e">
        <f>AND(#REF!,"AAAAAC6f/sk=")</f>
        <v>#REF!</v>
      </c>
      <c r="GU37" t="e">
        <f>AND(#REF!,"AAAAAC6f/so=")</f>
        <v>#REF!</v>
      </c>
      <c r="GV37" t="e">
        <f>AND(#REF!,"AAAAAC6f/ss=")</f>
        <v>#REF!</v>
      </c>
      <c r="GW37" t="e">
        <f>AND(#REF!,"AAAAAC6f/sw=")</f>
        <v>#REF!</v>
      </c>
      <c r="GX37" t="e">
        <f>IF(#REF!,"AAAAAC6f/s0=",0)</f>
        <v>#REF!</v>
      </c>
      <c r="GY37" t="e">
        <f>AND(#REF!,"AAAAAC6f/s4=")</f>
        <v>#REF!</v>
      </c>
      <c r="GZ37" t="e">
        <f>AND(#REF!,"AAAAAC6f/s8=")</f>
        <v>#REF!</v>
      </c>
      <c r="HA37" t="e">
        <f>AND(#REF!,"AAAAAC6f/tA=")</f>
        <v>#REF!</v>
      </c>
      <c r="HB37" t="e">
        <f>AND(#REF!,"AAAAAC6f/tE=")</f>
        <v>#REF!</v>
      </c>
      <c r="HC37" t="e">
        <f>AND(#REF!,"AAAAAC6f/tI=")</f>
        <v>#REF!</v>
      </c>
      <c r="HD37" t="e">
        <f>AND(#REF!,"AAAAAC6f/tM=")</f>
        <v>#REF!</v>
      </c>
      <c r="HE37" t="e">
        <f>AND(#REF!,"AAAAAC6f/tQ=")</f>
        <v>#REF!</v>
      </c>
      <c r="HF37" t="e">
        <f>AND(#REF!,"AAAAAC6f/tU=")</f>
        <v>#REF!</v>
      </c>
      <c r="HG37" t="e">
        <f>AND(#REF!,"AAAAAC6f/tY=")</f>
        <v>#REF!</v>
      </c>
      <c r="HH37" t="e">
        <f>AND(#REF!,"AAAAAC6f/tc=")</f>
        <v>#REF!</v>
      </c>
      <c r="HI37" t="e">
        <f>IF(#REF!,"AAAAAC6f/tg=",0)</f>
        <v>#REF!</v>
      </c>
      <c r="HJ37" t="e">
        <f>AND(#REF!,"AAAAAC6f/tk=")</f>
        <v>#REF!</v>
      </c>
      <c r="HK37" t="e">
        <f>AND(#REF!,"AAAAAC6f/to=")</f>
        <v>#REF!</v>
      </c>
      <c r="HL37" t="e">
        <f>AND(#REF!,"AAAAAC6f/ts=")</f>
        <v>#REF!</v>
      </c>
      <c r="HM37" t="e">
        <f>AND(#REF!,"AAAAAC6f/tw=")</f>
        <v>#REF!</v>
      </c>
      <c r="HN37" t="e">
        <f>AND(#REF!,"AAAAAC6f/t0=")</f>
        <v>#REF!</v>
      </c>
      <c r="HO37" t="e">
        <f>AND(#REF!,"AAAAAC6f/t4=")</f>
        <v>#REF!</v>
      </c>
      <c r="HP37" t="e">
        <f>AND(#REF!,"AAAAAC6f/t8=")</f>
        <v>#REF!</v>
      </c>
      <c r="HQ37" t="e">
        <f>AND(#REF!,"AAAAAC6f/uA=")</f>
        <v>#REF!</v>
      </c>
      <c r="HR37" t="e">
        <f>AND(#REF!,"AAAAAC6f/uE=")</f>
        <v>#REF!</v>
      </c>
      <c r="HS37" t="e">
        <f>AND(#REF!,"AAAAAC6f/uI=")</f>
        <v>#REF!</v>
      </c>
      <c r="HT37" t="e">
        <f>IF(#REF!,"AAAAAC6f/uM=",0)</f>
        <v>#REF!</v>
      </c>
      <c r="HU37" t="e">
        <f>AND(#REF!,"AAAAAC6f/uQ=")</f>
        <v>#REF!</v>
      </c>
      <c r="HV37" t="e">
        <f>AND(#REF!,"AAAAAC6f/uU=")</f>
        <v>#REF!</v>
      </c>
      <c r="HW37" t="e">
        <f>AND(#REF!,"AAAAAC6f/uY=")</f>
        <v>#REF!</v>
      </c>
      <c r="HX37" t="e">
        <f>AND(#REF!,"AAAAAC6f/uc=")</f>
        <v>#REF!</v>
      </c>
      <c r="HY37" t="e">
        <f>AND(#REF!,"AAAAAC6f/ug=")</f>
        <v>#REF!</v>
      </c>
      <c r="HZ37" t="e">
        <f>AND(#REF!,"AAAAAC6f/uk=")</f>
        <v>#REF!</v>
      </c>
      <c r="IA37" t="e">
        <f>AND(#REF!,"AAAAAC6f/uo=")</f>
        <v>#REF!</v>
      </c>
      <c r="IB37" t="e">
        <f>AND(#REF!,"AAAAAC6f/us=")</f>
        <v>#REF!</v>
      </c>
      <c r="IC37" t="e">
        <f>AND(#REF!,"AAAAAC6f/uw=")</f>
        <v>#REF!</v>
      </c>
      <c r="ID37" t="e">
        <f>AND(#REF!,"AAAAAC6f/u0=")</f>
        <v>#REF!</v>
      </c>
      <c r="IE37" t="e">
        <f>IF(#REF!,"AAAAAC6f/u4=",0)</f>
        <v>#REF!</v>
      </c>
      <c r="IF37" t="e">
        <f>AND(#REF!,"AAAAAC6f/u8=")</f>
        <v>#REF!</v>
      </c>
      <c r="IG37" t="e">
        <f>AND(#REF!,"AAAAAC6f/vA=")</f>
        <v>#REF!</v>
      </c>
      <c r="IH37" t="e">
        <f>AND(#REF!,"AAAAAC6f/vE=")</f>
        <v>#REF!</v>
      </c>
      <c r="II37" t="e">
        <f>AND(#REF!,"AAAAAC6f/vI=")</f>
        <v>#REF!</v>
      </c>
      <c r="IJ37" t="e">
        <f>AND(#REF!,"AAAAAC6f/vM=")</f>
        <v>#REF!</v>
      </c>
      <c r="IK37" t="e">
        <f>AND(#REF!,"AAAAAC6f/vQ=")</f>
        <v>#REF!</v>
      </c>
      <c r="IL37" t="e">
        <f>AND(#REF!,"AAAAAC6f/vU=")</f>
        <v>#REF!</v>
      </c>
      <c r="IM37" t="e">
        <f>AND(#REF!,"AAAAAC6f/vY=")</f>
        <v>#REF!</v>
      </c>
      <c r="IN37" t="e">
        <f>AND(#REF!,"AAAAAC6f/vc=")</f>
        <v>#REF!</v>
      </c>
      <c r="IO37" t="e">
        <f>AND(#REF!,"AAAAAC6f/vg=")</f>
        <v>#REF!</v>
      </c>
      <c r="IP37" t="e">
        <f>IF(#REF!,"AAAAAC6f/vk=",0)</f>
        <v>#REF!</v>
      </c>
      <c r="IQ37" t="e">
        <f>AND(#REF!,"AAAAAC6f/vo=")</f>
        <v>#REF!</v>
      </c>
      <c r="IR37" t="e">
        <f>AND(#REF!,"AAAAAC6f/vs=")</f>
        <v>#REF!</v>
      </c>
      <c r="IS37" t="e">
        <f>AND(#REF!,"AAAAAC6f/vw=")</f>
        <v>#REF!</v>
      </c>
      <c r="IT37" t="e">
        <f>AND(#REF!,"AAAAAC6f/v0=")</f>
        <v>#REF!</v>
      </c>
      <c r="IU37" t="e">
        <f>AND(#REF!,"AAAAAC6f/v4=")</f>
        <v>#REF!</v>
      </c>
      <c r="IV37" t="e">
        <f>AND(#REF!,"AAAAAC6f/v8=")</f>
        <v>#REF!</v>
      </c>
    </row>
    <row r="38" spans="1:256" x14ac:dyDescent="0.25">
      <c r="A38" t="e">
        <f>AND(#REF!,"AAAAAH57/wA=")</f>
        <v>#REF!</v>
      </c>
      <c r="B38" t="e">
        <f>AND(#REF!,"AAAAAH57/wE=")</f>
        <v>#REF!</v>
      </c>
      <c r="C38" t="e">
        <f>AND(#REF!,"AAAAAH57/wI=")</f>
        <v>#REF!</v>
      </c>
      <c r="D38" t="e">
        <f>AND(#REF!,"AAAAAH57/wM=")</f>
        <v>#REF!</v>
      </c>
      <c r="E38" t="e">
        <f>IF(#REF!,"AAAAAH57/wQ=",0)</f>
        <v>#REF!</v>
      </c>
      <c r="F38" t="e">
        <f>AND(#REF!,"AAAAAH57/wU=")</f>
        <v>#REF!</v>
      </c>
      <c r="G38" t="e">
        <f>AND(#REF!,"AAAAAH57/wY=")</f>
        <v>#REF!</v>
      </c>
      <c r="H38" t="e">
        <f>AND(#REF!,"AAAAAH57/wc=")</f>
        <v>#REF!</v>
      </c>
      <c r="I38" t="e">
        <f>AND(#REF!,"AAAAAH57/wg=")</f>
        <v>#REF!</v>
      </c>
      <c r="J38" t="e">
        <f>AND(#REF!,"AAAAAH57/wk=")</f>
        <v>#REF!</v>
      </c>
      <c r="K38" t="e">
        <f>AND(#REF!,"AAAAAH57/wo=")</f>
        <v>#REF!</v>
      </c>
      <c r="L38" t="e">
        <f>AND(#REF!,"AAAAAH57/ws=")</f>
        <v>#REF!</v>
      </c>
      <c r="M38" t="e">
        <f>AND(#REF!,"AAAAAH57/ww=")</f>
        <v>#REF!</v>
      </c>
      <c r="N38" t="e">
        <f>AND(#REF!,"AAAAAH57/w0=")</f>
        <v>#REF!</v>
      </c>
      <c r="O38" t="e">
        <f>AND(#REF!,"AAAAAH57/w4=")</f>
        <v>#REF!</v>
      </c>
      <c r="P38" t="e">
        <f>IF(#REF!,"AAAAAH57/w8=",0)</f>
        <v>#REF!</v>
      </c>
      <c r="Q38" t="e">
        <f>AND(#REF!,"AAAAAH57/xA=")</f>
        <v>#REF!</v>
      </c>
      <c r="R38" t="e">
        <f>AND(#REF!,"AAAAAH57/xE=")</f>
        <v>#REF!</v>
      </c>
      <c r="S38" t="e">
        <f>AND(#REF!,"AAAAAH57/xI=")</f>
        <v>#REF!</v>
      </c>
      <c r="T38" t="e">
        <f>AND(#REF!,"AAAAAH57/xM=")</f>
        <v>#REF!</v>
      </c>
      <c r="U38" t="e">
        <f>AND(#REF!,"AAAAAH57/xQ=")</f>
        <v>#REF!</v>
      </c>
      <c r="V38" t="e">
        <f>AND(#REF!,"AAAAAH57/xU=")</f>
        <v>#REF!</v>
      </c>
      <c r="W38" t="e">
        <f>AND(#REF!,"AAAAAH57/xY=")</f>
        <v>#REF!</v>
      </c>
      <c r="X38" t="e">
        <f>AND(#REF!,"AAAAAH57/xc=")</f>
        <v>#REF!</v>
      </c>
      <c r="Y38" t="e">
        <f>AND(#REF!,"AAAAAH57/xg=")</f>
        <v>#REF!</v>
      </c>
      <c r="Z38" t="e">
        <f>AND(#REF!,"AAAAAH57/xk=")</f>
        <v>#REF!</v>
      </c>
      <c r="AA38" t="e">
        <f>IF(#REF!,"AAAAAH57/xo=",0)</f>
        <v>#REF!</v>
      </c>
      <c r="AB38" t="e">
        <f>AND(#REF!,"AAAAAH57/xs=")</f>
        <v>#REF!</v>
      </c>
      <c r="AC38" t="e">
        <f>AND(#REF!,"AAAAAH57/xw=")</f>
        <v>#REF!</v>
      </c>
      <c r="AD38" t="e">
        <f>AND(#REF!,"AAAAAH57/x0=")</f>
        <v>#REF!</v>
      </c>
      <c r="AE38" t="e">
        <f>AND(#REF!,"AAAAAH57/x4=")</f>
        <v>#REF!</v>
      </c>
      <c r="AF38" t="e">
        <f>AND(#REF!,"AAAAAH57/x8=")</f>
        <v>#REF!</v>
      </c>
      <c r="AG38" t="e">
        <f>AND(#REF!,"AAAAAH57/yA=")</f>
        <v>#REF!</v>
      </c>
      <c r="AH38" t="e">
        <f>AND(#REF!,"AAAAAH57/yE=")</f>
        <v>#REF!</v>
      </c>
      <c r="AI38" t="e">
        <f>AND(#REF!,"AAAAAH57/yI=")</f>
        <v>#REF!</v>
      </c>
      <c r="AJ38" t="e">
        <f>AND(#REF!,"AAAAAH57/yM=")</f>
        <v>#REF!</v>
      </c>
      <c r="AK38" t="e">
        <f>AND(#REF!,"AAAAAH57/yQ=")</f>
        <v>#REF!</v>
      </c>
      <c r="AL38" t="e">
        <f>IF(#REF!,"AAAAAH57/yU=",0)</f>
        <v>#REF!</v>
      </c>
      <c r="AM38" t="e">
        <f>AND(#REF!,"AAAAAH57/yY=")</f>
        <v>#REF!</v>
      </c>
      <c r="AN38" t="e">
        <f>AND(#REF!,"AAAAAH57/yc=")</f>
        <v>#REF!</v>
      </c>
      <c r="AO38" t="e">
        <f>AND(#REF!,"AAAAAH57/yg=")</f>
        <v>#REF!</v>
      </c>
      <c r="AP38" t="e">
        <f>AND(#REF!,"AAAAAH57/yk=")</f>
        <v>#REF!</v>
      </c>
      <c r="AQ38" t="e">
        <f>AND(#REF!,"AAAAAH57/yo=")</f>
        <v>#REF!</v>
      </c>
      <c r="AR38" t="e">
        <f>AND(#REF!,"AAAAAH57/ys=")</f>
        <v>#REF!</v>
      </c>
      <c r="AS38" t="e">
        <f>AND(#REF!,"AAAAAH57/yw=")</f>
        <v>#REF!</v>
      </c>
      <c r="AT38" t="e">
        <f>AND(#REF!,"AAAAAH57/y0=")</f>
        <v>#REF!</v>
      </c>
      <c r="AU38" t="e">
        <f>AND(#REF!,"AAAAAH57/y4=")</f>
        <v>#REF!</v>
      </c>
      <c r="AV38" t="e">
        <f>AND(#REF!,"AAAAAH57/y8=")</f>
        <v>#REF!</v>
      </c>
      <c r="AW38" t="e">
        <f>IF(#REF!,"AAAAAH57/zA=",0)</f>
        <v>#REF!</v>
      </c>
      <c r="AX38" t="e">
        <f>AND(#REF!,"AAAAAH57/zE=")</f>
        <v>#REF!</v>
      </c>
      <c r="AY38" t="e">
        <f>AND(#REF!,"AAAAAH57/zI=")</f>
        <v>#REF!</v>
      </c>
      <c r="AZ38" t="e">
        <f>AND(#REF!,"AAAAAH57/zM=")</f>
        <v>#REF!</v>
      </c>
      <c r="BA38" t="e">
        <f>AND(#REF!,"AAAAAH57/zQ=")</f>
        <v>#REF!</v>
      </c>
      <c r="BB38" t="e">
        <f>AND(#REF!,"AAAAAH57/zU=")</f>
        <v>#REF!</v>
      </c>
      <c r="BC38" t="e">
        <f>AND(#REF!,"AAAAAH57/zY=")</f>
        <v>#REF!</v>
      </c>
      <c r="BD38" t="e">
        <f>AND(#REF!,"AAAAAH57/zc=")</f>
        <v>#REF!</v>
      </c>
      <c r="BE38" t="e">
        <f>AND(#REF!,"AAAAAH57/zg=")</f>
        <v>#REF!</v>
      </c>
      <c r="BF38" t="e">
        <f>AND(#REF!,"AAAAAH57/zk=")</f>
        <v>#REF!</v>
      </c>
      <c r="BG38" t="e">
        <f>AND(#REF!,"AAAAAH57/zo=")</f>
        <v>#REF!</v>
      </c>
      <c r="BH38" t="e">
        <f>IF(#REF!,"AAAAAH57/zs=",0)</f>
        <v>#REF!</v>
      </c>
      <c r="BI38" t="e">
        <f>AND(#REF!,"AAAAAH57/zw=")</f>
        <v>#REF!</v>
      </c>
      <c r="BJ38" t="e">
        <f>AND(#REF!,"AAAAAH57/z0=")</f>
        <v>#REF!</v>
      </c>
      <c r="BK38" t="e">
        <f>AND(#REF!,"AAAAAH57/z4=")</f>
        <v>#REF!</v>
      </c>
      <c r="BL38" t="e">
        <f>AND(#REF!,"AAAAAH57/z8=")</f>
        <v>#REF!</v>
      </c>
      <c r="BM38" t="e">
        <f>AND(#REF!,"AAAAAH57/0A=")</f>
        <v>#REF!</v>
      </c>
      <c r="BN38" t="e">
        <f>AND(#REF!,"AAAAAH57/0E=")</f>
        <v>#REF!</v>
      </c>
      <c r="BO38" t="e">
        <f>AND(#REF!,"AAAAAH57/0I=")</f>
        <v>#REF!</v>
      </c>
      <c r="BP38" t="e">
        <f>AND(#REF!,"AAAAAH57/0M=")</f>
        <v>#REF!</v>
      </c>
      <c r="BQ38" t="e">
        <f>AND(#REF!,"AAAAAH57/0Q=")</f>
        <v>#REF!</v>
      </c>
      <c r="BR38" t="e">
        <f>AND(#REF!,"AAAAAH57/0U=")</f>
        <v>#REF!</v>
      </c>
      <c r="BS38" t="e">
        <f>IF(#REF!,"AAAAAH57/0Y=",0)</f>
        <v>#REF!</v>
      </c>
      <c r="BT38" t="e">
        <f>AND(#REF!,"AAAAAH57/0c=")</f>
        <v>#REF!</v>
      </c>
      <c r="BU38" t="e">
        <f>AND(#REF!,"AAAAAH57/0g=")</f>
        <v>#REF!</v>
      </c>
      <c r="BV38" t="e">
        <f>AND(#REF!,"AAAAAH57/0k=")</f>
        <v>#REF!</v>
      </c>
      <c r="BW38" t="e">
        <f>AND(#REF!,"AAAAAH57/0o=")</f>
        <v>#REF!</v>
      </c>
      <c r="BX38" t="e">
        <f>AND(#REF!,"AAAAAH57/0s=")</f>
        <v>#REF!</v>
      </c>
      <c r="BY38" t="e">
        <f>AND(#REF!,"AAAAAH57/0w=")</f>
        <v>#REF!</v>
      </c>
      <c r="BZ38" t="e">
        <f>AND(#REF!,"AAAAAH57/00=")</f>
        <v>#REF!</v>
      </c>
      <c r="CA38" t="e">
        <f>AND(#REF!,"AAAAAH57/04=")</f>
        <v>#REF!</v>
      </c>
      <c r="CB38" t="e">
        <f>AND(#REF!,"AAAAAH57/08=")</f>
        <v>#REF!</v>
      </c>
      <c r="CC38" t="e">
        <f>AND(#REF!,"AAAAAH57/1A=")</f>
        <v>#REF!</v>
      </c>
      <c r="CD38" t="e">
        <f>IF(#REF!,"AAAAAH57/1E=",0)</f>
        <v>#REF!</v>
      </c>
      <c r="CE38" t="e">
        <f>AND(#REF!,"AAAAAH57/1I=")</f>
        <v>#REF!</v>
      </c>
      <c r="CF38" t="e">
        <f>AND(#REF!,"AAAAAH57/1M=")</f>
        <v>#REF!</v>
      </c>
      <c r="CG38" t="e">
        <f>AND(#REF!,"AAAAAH57/1Q=")</f>
        <v>#REF!</v>
      </c>
      <c r="CH38" t="e">
        <f>AND(#REF!,"AAAAAH57/1U=")</f>
        <v>#REF!</v>
      </c>
      <c r="CI38" t="e">
        <f>AND(#REF!,"AAAAAH57/1Y=")</f>
        <v>#REF!</v>
      </c>
      <c r="CJ38" t="e">
        <f>AND(#REF!,"AAAAAH57/1c=")</f>
        <v>#REF!</v>
      </c>
      <c r="CK38" t="e">
        <f>AND(#REF!,"AAAAAH57/1g=")</f>
        <v>#REF!</v>
      </c>
      <c r="CL38" t="e">
        <f>AND(#REF!,"AAAAAH57/1k=")</f>
        <v>#REF!</v>
      </c>
      <c r="CM38" t="e">
        <f>AND(#REF!,"AAAAAH57/1o=")</f>
        <v>#REF!</v>
      </c>
      <c r="CN38" t="e">
        <f>AND(#REF!,"AAAAAH57/1s=")</f>
        <v>#REF!</v>
      </c>
      <c r="CO38" t="e">
        <f>IF(#REF!,"AAAAAH57/1w=",0)</f>
        <v>#REF!</v>
      </c>
      <c r="CP38" t="e">
        <f>AND(#REF!,"AAAAAH57/10=")</f>
        <v>#REF!</v>
      </c>
      <c r="CQ38" t="e">
        <f>AND(#REF!,"AAAAAH57/14=")</f>
        <v>#REF!</v>
      </c>
      <c r="CR38" t="e">
        <f>AND(#REF!,"AAAAAH57/18=")</f>
        <v>#REF!</v>
      </c>
      <c r="CS38" t="e">
        <f>AND(#REF!,"AAAAAH57/2A=")</f>
        <v>#REF!</v>
      </c>
      <c r="CT38" t="e">
        <f>AND(#REF!,"AAAAAH57/2E=")</f>
        <v>#REF!</v>
      </c>
      <c r="CU38" t="e">
        <f>AND(#REF!,"AAAAAH57/2I=")</f>
        <v>#REF!</v>
      </c>
      <c r="CV38" t="e">
        <f>AND(#REF!,"AAAAAH57/2M=")</f>
        <v>#REF!</v>
      </c>
      <c r="CW38" t="e">
        <f>AND(#REF!,"AAAAAH57/2Q=")</f>
        <v>#REF!</v>
      </c>
      <c r="CX38" t="e">
        <f>AND(#REF!,"AAAAAH57/2U=")</f>
        <v>#REF!</v>
      </c>
      <c r="CY38" t="e">
        <f>AND(#REF!,"AAAAAH57/2Y=")</f>
        <v>#REF!</v>
      </c>
      <c r="CZ38" t="e">
        <f>IF(#REF!,"AAAAAH57/2c=",0)</f>
        <v>#REF!</v>
      </c>
      <c r="DA38" t="e">
        <f>AND(#REF!,"AAAAAH57/2g=")</f>
        <v>#REF!</v>
      </c>
      <c r="DB38" t="e">
        <f>AND(#REF!,"AAAAAH57/2k=")</f>
        <v>#REF!</v>
      </c>
      <c r="DC38" t="e">
        <f>AND(#REF!,"AAAAAH57/2o=")</f>
        <v>#REF!</v>
      </c>
      <c r="DD38" t="e">
        <f>AND(#REF!,"AAAAAH57/2s=")</f>
        <v>#REF!</v>
      </c>
      <c r="DE38" t="e">
        <f>AND(#REF!,"AAAAAH57/2w=")</f>
        <v>#REF!</v>
      </c>
      <c r="DF38" t="e">
        <f>AND(#REF!,"AAAAAH57/20=")</f>
        <v>#REF!</v>
      </c>
      <c r="DG38" t="e">
        <f>AND(#REF!,"AAAAAH57/24=")</f>
        <v>#REF!</v>
      </c>
      <c r="DH38" t="e">
        <f>AND(#REF!,"AAAAAH57/28=")</f>
        <v>#REF!</v>
      </c>
      <c r="DI38" t="e">
        <f>AND(#REF!,"AAAAAH57/3A=")</f>
        <v>#REF!</v>
      </c>
      <c r="DJ38" t="e">
        <f>AND(#REF!,"AAAAAH57/3E=")</f>
        <v>#REF!</v>
      </c>
      <c r="DK38" t="e">
        <f>IF(#REF!,"AAAAAH57/3I=",0)</f>
        <v>#REF!</v>
      </c>
      <c r="DL38" t="e">
        <f>AND(#REF!,"AAAAAH57/3M=")</f>
        <v>#REF!</v>
      </c>
      <c r="DM38" t="e">
        <f>AND(#REF!,"AAAAAH57/3Q=")</f>
        <v>#REF!</v>
      </c>
      <c r="DN38" t="e">
        <f>AND(#REF!,"AAAAAH57/3U=")</f>
        <v>#REF!</v>
      </c>
      <c r="DO38" t="e">
        <f>AND(#REF!,"AAAAAH57/3Y=")</f>
        <v>#REF!</v>
      </c>
      <c r="DP38" t="e">
        <f>AND(#REF!,"AAAAAH57/3c=")</f>
        <v>#REF!</v>
      </c>
      <c r="DQ38" t="e">
        <f>AND(#REF!,"AAAAAH57/3g=")</f>
        <v>#REF!</v>
      </c>
      <c r="DR38" t="e">
        <f>AND(#REF!,"AAAAAH57/3k=")</f>
        <v>#REF!</v>
      </c>
      <c r="DS38" t="e">
        <f>AND(#REF!,"AAAAAH57/3o=")</f>
        <v>#REF!</v>
      </c>
      <c r="DT38" t="e">
        <f>AND(#REF!,"AAAAAH57/3s=")</f>
        <v>#REF!</v>
      </c>
      <c r="DU38" t="e">
        <f>AND(#REF!,"AAAAAH57/3w=")</f>
        <v>#REF!</v>
      </c>
      <c r="DV38" t="e">
        <f>IF(#REF!,"AAAAAH57/30=",0)</f>
        <v>#REF!</v>
      </c>
      <c r="DW38" t="e">
        <f>AND(#REF!,"AAAAAH57/34=")</f>
        <v>#REF!</v>
      </c>
      <c r="DX38" t="e">
        <f>AND(#REF!,"AAAAAH57/38=")</f>
        <v>#REF!</v>
      </c>
      <c r="DY38" t="e">
        <f>AND(#REF!,"AAAAAH57/4A=")</f>
        <v>#REF!</v>
      </c>
      <c r="DZ38" t="e">
        <f>AND(#REF!,"AAAAAH57/4E=")</f>
        <v>#REF!</v>
      </c>
      <c r="EA38" t="e">
        <f>AND(#REF!,"AAAAAH57/4I=")</f>
        <v>#REF!</v>
      </c>
      <c r="EB38" t="e">
        <f>AND(#REF!,"AAAAAH57/4M=")</f>
        <v>#REF!</v>
      </c>
      <c r="EC38" t="e">
        <f>AND(#REF!,"AAAAAH57/4Q=")</f>
        <v>#REF!</v>
      </c>
      <c r="ED38" t="e">
        <f>AND(#REF!,"AAAAAH57/4U=")</f>
        <v>#REF!</v>
      </c>
      <c r="EE38" t="e">
        <f>AND(#REF!,"AAAAAH57/4Y=")</f>
        <v>#REF!</v>
      </c>
      <c r="EF38" t="e">
        <f>AND(#REF!,"AAAAAH57/4c=")</f>
        <v>#REF!</v>
      </c>
      <c r="EG38" t="e">
        <f>IF(#REF!,"AAAAAH57/4g=",0)</f>
        <v>#REF!</v>
      </c>
      <c r="EH38" t="e">
        <f>AND(#REF!,"AAAAAH57/4k=")</f>
        <v>#REF!</v>
      </c>
      <c r="EI38" t="e">
        <f>AND(#REF!,"AAAAAH57/4o=")</f>
        <v>#REF!</v>
      </c>
      <c r="EJ38" t="e">
        <f>AND(#REF!,"AAAAAH57/4s=")</f>
        <v>#REF!</v>
      </c>
      <c r="EK38" t="e">
        <f>AND(#REF!,"AAAAAH57/4w=")</f>
        <v>#REF!</v>
      </c>
      <c r="EL38" t="e">
        <f>AND(#REF!,"AAAAAH57/40=")</f>
        <v>#REF!</v>
      </c>
      <c r="EM38" t="e">
        <f>AND(#REF!,"AAAAAH57/44=")</f>
        <v>#REF!</v>
      </c>
      <c r="EN38" t="e">
        <f>AND(#REF!,"AAAAAH57/48=")</f>
        <v>#REF!</v>
      </c>
      <c r="EO38" t="e">
        <f>AND(#REF!,"AAAAAH57/5A=")</f>
        <v>#REF!</v>
      </c>
      <c r="EP38" t="e">
        <f>AND(#REF!,"AAAAAH57/5E=")</f>
        <v>#REF!</v>
      </c>
      <c r="EQ38" t="e">
        <f>AND(#REF!,"AAAAAH57/5I=")</f>
        <v>#REF!</v>
      </c>
      <c r="ER38" t="e">
        <f>IF(#REF!,"AAAAAH57/5M=",0)</f>
        <v>#REF!</v>
      </c>
      <c r="ES38" t="e">
        <f>AND(#REF!,"AAAAAH57/5Q=")</f>
        <v>#REF!</v>
      </c>
      <c r="ET38" t="e">
        <f>AND(#REF!,"AAAAAH57/5U=")</f>
        <v>#REF!</v>
      </c>
      <c r="EU38" t="e">
        <f>AND(#REF!,"AAAAAH57/5Y=")</f>
        <v>#REF!</v>
      </c>
      <c r="EV38" t="e">
        <f>AND(#REF!,"AAAAAH57/5c=")</f>
        <v>#REF!</v>
      </c>
      <c r="EW38" t="e">
        <f>AND(#REF!,"AAAAAH57/5g=")</f>
        <v>#REF!</v>
      </c>
      <c r="EX38" t="e">
        <f>AND(#REF!,"AAAAAH57/5k=")</f>
        <v>#REF!</v>
      </c>
      <c r="EY38" t="e">
        <f>AND(#REF!,"AAAAAH57/5o=")</f>
        <v>#REF!</v>
      </c>
      <c r="EZ38" t="e">
        <f>AND(#REF!,"AAAAAH57/5s=")</f>
        <v>#REF!</v>
      </c>
      <c r="FA38" t="e">
        <f>AND(#REF!,"AAAAAH57/5w=")</f>
        <v>#REF!</v>
      </c>
      <c r="FB38" t="e">
        <f>AND(#REF!,"AAAAAH57/50=")</f>
        <v>#REF!</v>
      </c>
      <c r="FC38" t="e">
        <f>IF(#REF!,"AAAAAH57/54=",0)</f>
        <v>#REF!</v>
      </c>
      <c r="FD38" t="e">
        <f>AND(#REF!,"AAAAAH57/58=")</f>
        <v>#REF!</v>
      </c>
      <c r="FE38" t="e">
        <f>AND(#REF!,"AAAAAH57/6A=")</f>
        <v>#REF!</v>
      </c>
      <c r="FF38" t="e">
        <f>AND(#REF!,"AAAAAH57/6E=")</f>
        <v>#REF!</v>
      </c>
      <c r="FG38" t="e">
        <f>AND(#REF!,"AAAAAH57/6I=")</f>
        <v>#REF!</v>
      </c>
      <c r="FH38" t="e">
        <f>AND(#REF!,"AAAAAH57/6M=")</f>
        <v>#REF!</v>
      </c>
      <c r="FI38" t="e">
        <f>AND(#REF!,"AAAAAH57/6Q=")</f>
        <v>#REF!</v>
      </c>
      <c r="FJ38" t="e">
        <f>AND(#REF!,"AAAAAH57/6U=")</f>
        <v>#REF!</v>
      </c>
      <c r="FK38" t="e">
        <f>AND(#REF!,"AAAAAH57/6Y=")</f>
        <v>#REF!</v>
      </c>
      <c r="FL38" t="e">
        <f>AND(#REF!,"AAAAAH57/6c=")</f>
        <v>#REF!</v>
      </c>
      <c r="FM38" t="e">
        <f>AND(#REF!,"AAAAAH57/6g=")</f>
        <v>#REF!</v>
      </c>
      <c r="FN38" t="e">
        <f>IF(#REF!,"AAAAAH57/6k=",0)</f>
        <v>#REF!</v>
      </c>
      <c r="FO38" t="e">
        <f>AND(#REF!,"AAAAAH57/6o=")</f>
        <v>#REF!</v>
      </c>
      <c r="FP38" t="e">
        <f>AND(#REF!,"AAAAAH57/6s=")</f>
        <v>#REF!</v>
      </c>
      <c r="FQ38" t="e">
        <f>AND(#REF!,"AAAAAH57/6w=")</f>
        <v>#REF!</v>
      </c>
      <c r="FR38" t="e">
        <f>AND(#REF!,"AAAAAH57/60=")</f>
        <v>#REF!</v>
      </c>
      <c r="FS38" t="e">
        <f>AND(#REF!,"AAAAAH57/64=")</f>
        <v>#REF!</v>
      </c>
      <c r="FT38" t="e">
        <f>AND(#REF!,"AAAAAH57/68=")</f>
        <v>#REF!</v>
      </c>
      <c r="FU38" t="e">
        <f>AND(#REF!,"AAAAAH57/7A=")</f>
        <v>#REF!</v>
      </c>
      <c r="FV38" t="e">
        <f>AND(#REF!,"AAAAAH57/7E=")</f>
        <v>#REF!</v>
      </c>
      <c r="FW38" t="e">
        <f>AND(#REF!,"AAAAAH57/7I=")</f>
        <v>#REF!</v>
      </c>
      <c r="FX38" t="e">
        <f>AND(#REF!,"AAAAAH57/7M=")</f>
        <v>#REF!</v>
      </c>
      <c r="FY38" t="e">
        <f>IF(#REF!,"AAAAAH57/7Q=",0)</f>
        <v>#REF!</v>
      </c>
      <c r="FZ38" t="e">
        <f>AND(#REF!,"AAAAAH57/7U=")</f>
        <v>#REF!</v>
      </c>
      <c r="GA38" t="e">
        <f>AND(#REF!,"AAAAAH57/7Y=")</f>
        <v>#REF!</v>
      </c>
      <c r="GB38" t="e">
        <f>AND(#REF!,"AAAAAH57/7c=")</f>
        <v>#REF!</v>
      </c>
      <c r="GC38" t="e">
        <f>AND(#REF!,"AAAAAH57/7g=")</f>
        <v>#REF!</v>
      </c>
      <c r="GD38" t="e">
        <f>AND(#REF!,"AAAAAH57/7k=")</f>
        <v>#REF!</v>
      </c>
      <c r="GE38" t="e">
        <f>AND(#REF!,"AAAAAH57/7o=")</f>
        <v>#REF!</v>
      </c>
      <c r="GF38" t="e">
        <f>AND(#REF!,"AAAAAH57/7s=")</f>
        <v>#REF!</v>
      </c>
      <c r="GG38" t="e">
        <f>AND(#REF!,"AAAAAH57/7w=")</f>
        <v>#REF!</v>
      </c>
      <c r="GH38" t="e">
        <f>AND(#REF!,"AAAAAH57/70=")</f>
        <v>#REF!</v>
      </c>
      <c r="GI38" t="e">
        <f>AND(#REF!,"AAAAAH57/74=")</f>
        <v>#REF!</v>
      </c>
      <c r="GJ38" t="e">
        <f>IF(#REF!,"AAAAAH57/78=",0)</f>
        <v>#REF!</v>
      </c>
      <c r="GK38" t="e">
        <f>AND(#REF!,"AAAAAH57/8A=")</f>
        <v>#REF!</v>
      </c>
      <c r="GL38" t="e">
        <f>AND(#REF!,"AAAAAH57/8E=")</f>
        <v>#REF!</v>
      </c>
      <c r="GM38" t="e">
        <f>AND(#REF!,"AAAAAH57/8I=")</f>
        <v>#REF!</v>
      </c>
      <c r="GN38" t="e">
        <f>AND(#REF!,"AAAAAH57/8M=")</f>
        <v>#REF!</v>
      </c>
      <c r="GO38" t="e">
        <f>AND(#REF!,"AAAAAH57/8Q=")</f>
        <v>#REF!</v>
      </c>
      <c r="GP38" t="e">
        <f>AND(#REF!,"AAAAAH57/8U=")</f>
        <v>#REF!</v>
      </c>
      <c r="GQ38" t="e">
        <f>AND(#REF!,"AAAAAH57/8Y=")</f>
        <v>#REF!</v>
      </c>
      <c r="GR38" t="e">
        <f>AND(#REF!,"AAAAAH57/8c=")</f>
        <v>#REF!</v>
      </c>
      <c r="GS38" t="e">
        <f>AND(#REF!,"AAAAAH57/8g=")</f>
        <v>#REF!</v>
      </c>
      <c r="GT38" t="e">
        <f>AND(#REF!,"AAAAAH57/8k=")</f>
        <v>#REF!</v>
      </c>
      <c r="GU38" t="e">
        <f>IF(#REF!,"AAAAAH57/8o=",0)</f>
        <v>#REF!</v>
      </c>
      <c r="GV38" t="e">
        <f>AND(#REF!,"AAAAAH57/8s=")</f>
        <v>#REF!</v>
      </c>
      <c r="GW38" t="e">
        <f>AND(#REF!,"AAAAAH57/8w=")</f>
        <v>#REF!</v>
      </c>
      <c r="GX38" t="e">
        <f>AND(#REF!,"AAAAAH57/80=")</f>
        <v>#REF!</v>
      </c>
      <c r="GY38" t="e">
        <f>AND(#REF!,"AAAAAH57/84=")</f>
        <v>#REF!</v>
      </c>
      <c r="GZ38" t="e">
        <f>AND(#REF!,"AAAAAH57/88=")</f>
        <v>#REF!</v>
      </c>
      <c r="HA38" t="e">
        <f>AND(#REF!,"AAAAAH57/9A=")</f>
        <v>#REF!</v>
      </c>
      <c r="HB38" t="e">
        <f>AND(#REF!,"AAAAAH57/9E=")</f>
        <v>#REF!</v>
      </c>
      <c r="HC38" t="e">
        <f>AND(#REF!,"AAAAAH57/9I=")</f>
        <v>#REF!</v>
      </c>
      <c r="HD38" t="e">
        <f>AND(#REF!,"AAAAAH57/9M=")</f>
        <v>#REF!</v>
      </c>
      <c r="HE38" t="e">
        <f>AND(#REF!,"AAAAAH57/9Q=")</f>
        <v>#REF!</v>
      </c>
      <c r="HF38" t="e">
        <f>IF(#REF!,"AAAAAH57/9U=",0)</f>
        <v>#REF!</v>
      </c>
      <c r="HG38" t="e">
        <f>AND(#REF!,"AAAAAH57/9Y=")</f>
        <v>#REF!</v>
      </c>
      <c r="HH38" t="e">
        <f>AND(#REF!,"AAAAAH57/9c=")</f>
        <v>#REF!</v>
      </c>
      <c r="HI38" t="e">
        <f>AND(#REF!,"AAAAAH57/9g=")</f>
        <v>#REF!</v>
      </c>
      <c r="HJ38" t="e">
        <f>AND(#REF!,"AAAAAH57/9k=")</f>
        <v>#REF!</v>
      </c>
      <c r="HK38" t="e">
        <f>AND(#REF!,"AAAAAH57/9o=")</f>
        <v>#REF!</v>
      </c>
      <c r="HL38" t="e">
        <f>AND(#REF!,"AAAAAH57/9s=")</f>
        <v>#REF!</v>
      </c>
      <c r="HM38" t="e">
        <f>AND(#REF!,"AAAAAH57/9w=")</f>
        <v>#REF!</v>
      </c>
      <c r="HN38" t="e">
        <f>AND(#REF!,"AAAAAH57/90=")</f>
        <v>#REF!</v>
      </c>
      <c r="HO38" t="e">
        <f>AND(#REF!,"AAAAAH57/94=")</f>
        <v>#REF!</v>
      </c>
      <c r="HP38" t="e">
        <f>AND(#REF!,"AAAAAH57/98=")</f>
        <v>#REF!</v>
      </c>
      <c r="HQ38" t="e">
        <f>IF(#REF!,"AAAAAH57/+A=",0)</f>
        <v>#REF!</v>
      </c>
      <c r="HR38" t="e">
        <f>AND(#REF!,"AAAAAH57/+E=")</f>
        <v>#REF!</v>
      </c>
      <c r="HS38" t="e">
        <f>AND(#REF!,"AAAAAH57/+I=")</f>
        <v>#REF!</v>
      </c>
      <c r="HT38" t="e">
        <f>AND(#REF!,"AAAAAH57/+M=")</f>
        <v>#REF!</v>
      </c>
      <c r="HU38" t="e">
        <f>AND(#REF!,"AAAAAH57/+Q=")</f>
        <v>#REF!</v>
      </c>
      <c r="HV38" t="e">
        <f>AND(#REF!,"AAAAAH57/+U=")</f>
        <v>#REF!</v>
      </c>
      <c r="HW38" t="e">
        <f>AND(#REF!,"AAAAAH57/+Y=")</f>
        <v>#REF!</v>
      </c>
      <c r="HX38" t="e">
        <f>AND(#REF!,"AAAAAH57/+c=")</f>
        <v>#REF!</v>
      </c>
      <c r="HY38" t="e">
        <f>AND(#REF!,"AAAAAH57/+g=")</f>
        <v>#REF!</v>
      </c>
      <c r="HZ38" t="e">
        <f>AND(#REF!,"AAAAAH57/+k=")</f>
        <v>#REF!</v>
      </c>
      <c r="IA38" t="e">
        <f>AND(#REF!,"AAAAAH57/+o=")</f>
        <v>#REF!</v>
      </c>
      <c r="IB38" t="e">
        <f>IF(#REF!,"AAAAAH57/+s=",0)</f>
        <v>#REF!</v>
      </c>
      <c r="IC38" t="e">
        <f>AND(#REF!,"AAAAAH57/+w=")</f>
        <v>#REF!</v>
      </c>
      <c r="ID38" t="e">
        <f>AND(#REF!,"AAAAAH57/+0=")</f>
        <v>#REF!</v>
      </c>
      <c r="IE38" t="e">
        <f>AND(#REF!,"AAAAAH57/+4=")</f>
        <v>#REF!</v>
      </c>
      <c r="IF38" t="e">
        <f>AND(#REF!,"AAAAAH57/+8=")</f>
        <v>#REF!</v>
      </c>
      <c r="IG38" t="e">
        <f>AND(#REF!,"AAAAAH57//A=")</f>
        <v>#REF!</v>
      </c>
      <c r="IH38" t="e">
        <f>AND(#REF!,"AAAAAH57//E=")</f>
        <v>#REF!</v>
      </c>
      <c r="II38" t="e">
        <f>AND(#REF!,"AAAAAH57//I=")</f>
        <v>#REF!</v>
      </c>
      <c r="IJ38" t="e">
        <f>AND(#REF!,"AAAAAH57//M=")</f>
        <v>#REF!</v>
      </c>
      <c r="IK38" t="e">
        <f>AND(#REF!,"AAAAAH57//Q=")</f>
        <v>#REF!</v>
      </c>
      <c r="IL38" t="e">
        <f>AND(#REF!,"AAAAAH57//U=")</f>
        <v>#REF!</v>
      </c>
      <c r="IM38" t="e">
        <f>IF(#REF!,"AAAAAH57//Y=",0)</f>
        <v>#REF!</v>
      </c>
      <c r="IN38" t="e">
        <f>AND(#REF!,"AAAAAH57//c=")</f>
        <v>#REF!</v>
      </c>
      <c r="IO38" t="e">
        <f>AND(#REF!,"AAAAAH57//g=")</f>
        <v>#REF!</v>
      </c>
      <c r="IP38" t="e">
        <f>AND(#REF!,"AAAAAH57//k=")</f>
        <v>#REF!</v>
      </c>
      <c r="IQ38" t="e">
        <f>AND(#REF!,"AAAAAH57//o=")</f>
        <v>#REF!</v>
      </c>
      <c r="IR38" t="e">
        <f>AND(#REF!,"AAAAAH57//s=")</f>
        <v>#REF!</v>
      </c>
      <c r="IS38" t="e">
        <f>AND(#REF!,"AAAAAH57//w=")</f>
        <v>#REF!</v>
      </c>
      <c r="IT38" t="e">
        <f>AND(#REF!,"AAAAAH57//0=")</f>
        <v>#REF!</v>
      </c>
      <c r="IU38" t="e">
        <f>AND(#REF!,"AAAAAH57//4=")</f>
        <v>#REF!</v>
      </c>
      <c r="IV38" t="e">
        <f>AND(#REF!,"AAAAAH57//8=")</f>
        <v>#REF!</v>
      </c>
    </row>
    <row r="39" spans="1:256" x14ac:dyDescent="0.25">
      <c r="A39" t="e">
        <f>AND(#REF!,"AAAAAHZ31wA=")</f>
        <v>#REF!</v>
      </c>
      <c r="B39" t="e">
        <f>IF(#REF!,"AAAAAHZ31wE=",0)</f>
        <v>#REF!</v>
      </c>
      <c r="C39" t="e">
        <f>AND(#REF!,"AAAAAHZ31wI=")</f>
        <v>#REF!</v>
      </c>
      <c r="D39" t="e">
        <f>AND(#REF!,"AAAAAHZ31wM=")</f>
        <v>#REF!</v>
      </c>
      <c r="E39" t="e">
        <f>AND(#REF!,"AAAAAHZ31wQ=")</f>
        <v>#REF!</v>
      </c>
      <c r="F39" t="e">
        <f>AND(#REF!,"AAAAAHZ31wU=")</f>
        <v>#REF!</v>
      </c>
      <c r="G39" t="e">
        <f>AND(#REF!,"AAAAAHZ31wY=")</f>
        <v>#REF!</v>
      </c>
      <c r="H39" t="e">
        <f>AND(#REF!,"AAAAAHZ31wc=")</f>
        <v>#REF!</v>
      </c>
      <c r="I39" t="e">
        <f>AND(#REF!,"AAAAAHZ31wg=")</f>
        <v>#REF!</v>
      </c>
      <c r="J39" t="e">
        <f>AND(#REF!,"AAAAAHZ31wk=")</f>
        <v>#REF!</v>
      </c>
      <c r="K39" t="e">
        <f>AND(#REF!,"AAAAAHZ31wo=")</f>
        <v>#REF!</v>
      </c>
      <c r="L39" t="e">
        <f>AND(#REF!,"AAAAAHZ31ws=")</f>
        <v>#REF!</v>
      </c>
      <c r="M39" t="e">
        <f>IF(#REF!,"AAAAAHZ31ww=",0)</f>
        <v>#REF!</v>
      </c>
      <c r="N39" t="e">
        <f>AND(#REF!,"AAAAAHZ31w0=")</f>
        <v>#REF!</v>
      </c>
      <c r="O39" t="e">
        <f>AND(#REF!,"AAAAAHZ31w4=")</f>
        <v>#REF!</v>
      </c>
      <c r="P39" t="e">
        <f>AND(#REF!,"AAAAAHZ31w8=")</f>
        <v>#REF!</v>
      </c>
      <c r="Q39" t="e">
        <f>AND(#REF!,"AAAAAHZ31xA=")</f>
        <v>#REF!</v>
      </c>
      <c r="R39" t="e">
        <f>AND(#REF!,"AAAAAHZ31xE=")</f>
        <v>#REF!</v>
      </c>
      <c r="S39" t="e">
        <f>AND(#REF!,"AAAAAHZ31xI=")</f>
        <v>#REF!</v>
      </c>
      <c r="T39" t="e">
        <f>AND(#REF!,"AAAAAHZ31xM=")</f>
        <v>#REF!</v>
      </c>
      <c r="U39" t="e">
        <f>AND(#REF!,"AAAAAHZ31xQ=")</f>
        <v>#REF!</v>
      </c>
      <c r="V39" t="e">
        <f>AND(#REF!,"AAAAAHZ31xU=")</f>
        <v>#REF!</v>
      </c>
      <c r="W39" t="e">
        <f>AND(#REF!,"AAAAAHZ31xY=")</f>
        <v>#REF!</v>
      </c>
      <c r="X39" t="e">
        <f>IF(#REF!,"AAAAAHZ31xc=",0)</f>
        <v>#REF!</v>
      </c>
      <c r="Y39" t="e">
        <f>AND(#REF!,"AAAAAHZ31xg=")</f>
        <v>#REF!</v>
      </c>
      <c r="Z39" t="e">
        <f>AND(#REF!,"AAAAAHZ31xk=")</f>
        <v>#REF!</v>
      </c>
      <c r="AA39" t="e">
        <f>AND(#REF!,"AAAAAHZ31xo=")</f>
        <v>#REF!</v>
      </c>
      <c r="AB39" t="e">
        <f>AND(#REF!,"AAAAAHZ31xs=")</f>
        <v>#REF!</v>
      </c>
      <c r="AC39" t="e">
        <f>AND(#REF!,"AAAAAHZ31xw=")</f>
        <v>#REF!</v>
      </c>
      <c r="AD39" t="e">
        <f>AND(#REF!,"AAAAAHZ31x0=")</f>
        <v>#REF!</v>
      </c>
      <c r="AE39" t="e">
        <f>AND(#REF!,"AAAAAHZ31x4=")</f>
        <v>#REF!</v>
      </c>
      <c r="AF39" t="e">
        <f>AND(#REF!,"AAAAAHZ31x8=")</f>
        <v>#REF!</v>
      </c>
      <c r="AG39" t="e">
        <f>AND(#REF!,"AAAAAHZ31yA=")</f>
        <v>#REF!</v>
      </c>
      <c r="AH39" t="e">
        <f>AND(#REF!,"AAAAAHZ31yE=")</f>
        <v>#REF!</v>
      </c>
      <c r="AI39" t="e">
        <f>IF(#REF!,"AAAAAHZ31yI=",0)</f>
        <v>#REF!</v>
      </c>
      <c r="AJ39" t="e">
        <f>AND(#REF!,"AAAAAHZ31yM=")</f>
        <v>#REF!</v>
      </c>
      <c r="AK39" t="e">
        <f>AND(#REF!,"AAAAAHZ31yQ=")</f>
        <v>#REF!</v>
      </c>
      <c r="AL39" t="e">
        <f>AND(#REF!,"AAAAAHZ31yU=")</f>
        <v>#REF!</v>
      </c>
      <c r="AM39" t="e">
        <f>AND(#REF!,"AAAAAHZ31yY=")</f>
        <v>#REF!</v>
      </c>
      <c r="AN39" t="e">
        <f>AND(#REF!,"AAAAAHZ31yc=")</f>
        <v>#REF!</v>
      </c>
      <c r="AO39" t="e">
        <f>AND(#REF!,"AAAAAHZ31yg=")</f>
        <v>#REF!</v>
      </c>
      <c r="AP39" t="e">
        <f>AND(#REF!,"AAAAAHZ31yk=")</f>
        <v>#REF!</v>
      </c>
      <c r="AQ39" t="e">
        <f>AND(#REF!,"AAAAAHZ31yo=")</f>
        <v>#REF!</v>
      </c>
      <c r="AR39" t="e">
        <f>AND(#REF!,"AAAAAHZ31ys=")</f>
        <v>#REF!</v>
      </c>
      <c r="AS39" t="e">
        <f>AND(#REF!,"AAAAAHZ31yw=")</f>
        <v>#REF!</v>
      </c>
      <c r="AT39" t="e">
        <f>IF(#REF!,"AAAAAHZ31y0=",0)</f>
        <v>#REF!</v>
      </c>
      <c r="AU39" t="e">
        <f>AND(#REF!,"AAAAAHZ31y4=")</f>
        <v>#REF!</v>
      </c>
      <c r="AV39" t="e">
        <f>AND(#REF!,"AAAAAHZ31y8=")</f>
        <v>#REF!</v>
      </c>
      <c r="AW39" t="e">
        <f>AND(#REF!,"AAAAAHZ31zA=")</f>
        <v>#REF!</v>
      </c>
      <c r="AX39" t="e">
        <f>AND(#REF!,"AAAAAHZ31zE=")</f>
        <v>#REF!</v>
      </c>
      <c r="AY39" t="e">
        <f>AND(#REF!,"AAAAAHZ31zI=")</f>
        <v>#REF!</v>
      </c>
      <c r="AZ39" t="e">
        <f>AND(#REF!,"AAAAAHZ31zM=")</f>
        <v>#REF!</v>
      </c>
      <c r="BA39" t="e">
        <f>AND(#REF!,"AAAAAHZ31zQ=")</f>
        <v>#REF!</v>
      </c>
      <c r="BB39" t="e">
        <f>AND(#REF!,"AAAAAHZ31zU=")</f>
        <v>#REF!</v>
      </c>
      <c r="BC39" t="e">
        <f>AND(#REF!,"AAAAAHZ31zY=")</f>
        <v>#REF!</v>
      </c>
      <c r="BD39" t="e">
        <f>AND(#REF!,"AAAAAHZ31zc=")</f>
        <v>#REF!</v>
      </c>
      <c r="BE39" t="e">
        <f>IF(#REF!,"AAAAAHZ31zg=",0)</f>
        <v>#REF!</v>
      </c>
      <c r="BF39" t="e">
        <f>AND(#REF!,"AAAAAHZ31zk=")</f>
        <v>#REF!</v>
      </c>
      <c r="BG39" t="e">
        <f>AND(#REF!,"AAAAAHZ31zo=")</f>
        <v>#REF!</v>
      </c>
      <c r="BH39" t="e">
        <f>AND(#REF!,"AAAAAHZ31zs=")</f>
        <v>#REF!</v>
      </c>
      <c r="BI39" t="e">
        <f>AND(#REF!,"AAAAAHZ31zw=")</f>
        <v>#REF!</v>
      </c>
      <c r="BJ39" t="e">
        <f>AND(#REF!,"AAAAAHZ31z0=")</f>
        <v>#REF!</v>
      </c>
      <c r="BK39" t="e">
        <f>AND(#REF!,"AAAAAHZ31z4=")</f>
        <v>#REF!</v>
      </c>
      <c r="BL39" t="e">
        <f>AND(#REF!,"AAAAAHZ31z8=")</f>
        <v>#REF!</v>
      </c>
      <c r="BM39" t="e">
        <f>AND(#REF!,"AAAAAHZ310A=")</f>
        <v>#REF!</v>
      </c>
      <c r="BN39" t="e">
        <f>AND(#REF!,"AAAAAHZ310E=")</f>
        <v>#REF!</v>
      </c>
      <c r="BO39" t="e">
        <f>AND(#REF!,"AAAAAHZ310I=")</f>
        <v>#REF!</v>
      </c>
      <c r="BP39" t="e">
        <f>IF(#REF!,"AAAAAHZ310M=",0)</f>
        <v>#REF!</v>
      </c>
      <c r="BQ39" t="e">
        <f>AND(#REF!,"AAAAAHZ310Q=")</f>
        <v>#REF!</v>
      </c>
      <c r="BR39" t="e">
        <f>AND(#REF!,"AAAAAHZ310U=")</f>
        <v>#REF!</v>
      </c>
      <c r="BS39" t="e">
        <f>AND(#REF!,"AAAAAHZ310Y=")</f>
        <v>#REF!</v>
      </c>
      <c r="BT39" t="e">
        <f>AND(#REF!,"AAAAAHZ310c=")</f>
        <v>#REF!</v>
      </c>
      <c r="BU39" t="e">
        <f>AND(#REF!,"AAAAAHZ310g=")</f>
        <v>#REF!</v>
      </c>
      <c r="BV39" t="e">
        <f>AND(#REF!,"AAAAAHZ310k=")</f>
        <v>#REF!</v>
      </c>
      <c r="BW39" t="e">
        <f>AND(#REF!,"AAAAAHZ310o=")</f>
        <v>#REF!</v>
      </c>
      <c r="BX39" t="e">
        <f>AND(#REF!,"AAAAAHZ310s=")</f>
        <v>#REF!</v>
      </c>
      <c r="BY39" t="e">
        <f>AND(#REF!,"AAAAAHZ310w=")</f>
        <v>#REF!</v>
      </c>
      <c r="BZ39" t="e">
        <f>AND(#REF!,"AAAAAHZ3100=")</f>
        <v>#REF!</v>
      </c>
      <c r="CA39" t="e">
        <f>IF(#REF!,"AAAAAHZ3104=",0)</f>
        <v>#REF!</v>
      </c>
      <c r="CB39" t="e">
        <f>AND(#REF!,"AAAAAHZ3108=")</f>
        <v>#REF!</v>
      </c>
      <c r="CC39" t="e">
        <f>AND(#REF!,"AAAAAHZ311A=")</f>
        <v>#REF!</v>
      </c>
      <c r="CD39" t="e">
        <f>AND(#REF!,"AAAAAHZ311E=")</f>
        <v>#REF!</v>
      </c>
      <c r="CE39" t="e">
        <f>AND(#REF!,"AAAAAHZ311I=")</f>
        <v>#REF!</v>
      </c>
      <c r="CF39" t="e">
        <f>AND(#REF!,"AAAAAHZ311M=")</f>
        <v>#REF!</v>
      </c>
      <c r="CG39" t="e">
        <f>AND(#REF!,"AAAAAHZ311Q=")</f>
        <v>#REF!</v>
      </c>
      <c r="CH39" t="e">
        <f>AND(#REF!,"AAAAAHZ311U=")</f>
        <v>#REF!</v>
      </c>
      <c r="CI39" t="e">
        <f>AND(#REF!,"AAAAAHZ311Y=")</f>
        <v>#REF!</v>
      </c>
      <c r="CJ39" t="e">
        <f>AND(#REF!,"AAAAAHZ311c=")</f>
        <v>#REF!</v>
      </c>
      <c r="CK39" t="e">
        <f>AND(#REF!,"AAAAAHZ311g=")</f>
        <v>#REF!</v>
      </c>
      <c r="CL39" t="e">
        <f>IF(#REF!,"AAAAAHZ311k=",0)</f>
        <v>#REF!</v>
      </c>
      <c r="CM39" t="e">
        <f>AND(#REF!,"AAAAAHZ311o=")</f>
        <v>#REF!</v>
      </c>
      <c r="CN39" t="e">
        <f>AND(#REF!,"AAAAAHZ311s=")</f>
        <v>#REF!</v>
      </c>
      <c r="CO39" t="e">
        <f>AND(#REF!,"AAAAAHZ311w=")</f>
        <v>#REF!</v>
      </c>
      <c r="CP39" t="e">
        <f>AND(#REF!,"AAAAAHZ3110=")</f>
        <v>#REF!</v>
      </c>
      <c r="CQ39" t="e">
        <f>AND(#REF!,"AAAAAHZ3114=")</f>
        <v>#REF!</v>
      </c>
      <c r="CR39" t="e">
        <f>AND(#REF!,"AAAAAHZ3118=")</f>
        <v>#REF!</v>
      </c>
      <c r="CS39" t="e">
        <f>AND(#REF!,"AAAAAHZ312A=")</f>
        <v>#REF!</v>
      </c>
      <c r="CT39" t="e">
        <f>AND(#REF!,"AAAAAHZ312E=")</f>
        <v>#REF!</v>
      </c>
      <c r="CU39" t="e">
        <f>AND(#REF!,"AAAAAHZ312I=")</f>
        <v>#REF!</v>
      </c>
      <c r="CV39" t="e">
        <f>AND(#REF!,"AAAAAHZ312M=")</f>
        <v>#REF!</v>
      </c>
      <c r="CW39" t="e">
        <f>IF(#REF!,"AAAAAHZ312Q=",0)</f>
        <v>#REF!</v>
      </c>
      <c r="CX39" t="e">
        <f>AND(#REF!,"AAAAAHZ312U=")</f>
        <v>#REF!</v>
      </c>
      <c r="CY39" t="e">
        <f>AND(#REF!,"AAAAAHZ312Y=")</f>
        <v>#REF!</v>
      </c>
      <c r="CZ39" t="e">
        <f>AND(#REF!,"AAAAAHZ312c=")</f>
        <v>#REF!</v>
      </c>
      <c r="DA39" t="e">
        <f>AND(#REF!,"AAAAAHZ312g=")</f>
        <v>#REF!</v>
      </c>
      <c r="DB39" t="e">
        <f>AND(#REF!,"AAAAAHZ312k=")</f>
        <v>#REF!</v>
      </c>
      <c r="DC39" t="e">
        <f>AND(#REF!,"AAAAAHZ312o=")</f>
        <v>#REF!</v>
      </c>
      <c r="DD39" t="e">
        <f>AND(#REF!,"AAAAAHZ312s=")</f>
        <v>#REF!</v>
      </c>
      <c r="DE39" t="e">
        <f>AND(#REF!,"AAAAAHZ312w=")</f>
        <v>#REF!</v>
      </c>
      <c r="DF39" t="e">
        <f>AND(#REF!,"AAAAAHZ3120=")</f>
        <v>#REF!</v>
      </c>
      <c r="DG39" t="e">
        <f>AND(#REF!,"AAAAAHZ3124=")</f>
        <v>#REF!</v>
      </c>
      <c r="DH39" t="e">
        <f>IF(#REF!,"AAAAAHZ3128=",0)</f>
        <v>#REF!</v>
      </c>
      <c r="DI39" t="e">
        <f>AND(#REF!,"AAAAAHZ313A=")</f>
        <v>#REF!</v>
      </c>
      <c r="DJ39" t="e">
        <f>AND(#REF!,"AAAAAHZ313E=")</f>
        <v>#REF!</v>
      </c>
      <c r="DK39" t="e">
        <f>AND(#REF!,"AAAAAHZ313I=")</f>
        <v>#REF!</v>
      </c>
      <c r="DL39" t="e">
        <f>AND(#REF!,"AAAAAHZ313M=")</f>
        <v>#REF!</v>
      </c>
      <c r="DM39" t="e">
        <f>AND(#REF!,"AAAAAHZ313Q=")</f>
        <v>#REF!</v>
      </c>
      <c r="DN39" t="e">
        <f>AND(#REF!,"AAAAAHZ313U=")</f>
        <v>#REF!</v>
      </c>
      <c r="DO39" t="e">
        <f>AND(#REF!,"AAAAAHZ313Y=")</f>
        <v>#REF!</v>
      </c>
      <c r="DP39" t="e">
        <f>AND(#REF!,"AAAAAHZ313c=")</f>
        <v>#REF!</v>
      </c>
      <c r="DQ39" t="e">
        <f>AND(#REF!,"AAAAAHZ313g=")</f>
        <v>#REF!</v>
      </c>
      <c r="DR39" t="e">
        <f>AND(#REF!,"AAAAAHZ313k=")</f>
        <v>#REF!</v>
      </c>
      <c r="DS39" t="e">
        <f>IF(#REF!,"AAAAAHZ313o=",0)</f>
        <v>#REF!</v>
      </c>
      <c r="DT39" t="e">
        <f>AND(#REF!,"AAAAAHZ313s=")</f>
        <v>#REF!</v>
      </c>
      <c r="DU39" t="e">
        <f>AND(#REF!,"AAAAAHZ313w=")</f>
        <v>#REF!</v>
      </c>
      <c r="DV39" t="e">
        <f>AND(#REF!,"AAAAAHZ3130=")</f>
        <v>#REF!</v>
      </c>
      <c r="DW39" t="e">
        <f>AND(#REF!,"AAAAAHZ3134=")</f>
        <v>#REF!</v>
      </c>
      <c r="DX39" t="e">
        <f>AND(#REF!,"AAAAAHZ3138=")</f>
        <v>#REF!</v>
      </c>
      <c r="DY39" t="e">
        <f>AND(#REF!,"AAAAAHZ314A=")</f>
        <v>#REF!</v>
      </c>
      <c r="DZ39" t="e">
        <f>AND(#REF!,"AAAAAHZ314E=")</f>
        <v>#REF!</v>
      </c>
      <c r="EA39" t="e">
        <f>AND(#REF!,"AAAAAHZ314I=")</f>
        <v>#REF!</v>
      </c>
      <c r="EB39" t="e">
        <f>AND(#REF!,"AAAAAHZ314M=")</f>
        <v>#REF!</v>
      </c>
      <c r="EC39" t="e">
        <f>AND(#REF!,"AAAAAHZ314Q=")</f>
        <v>#REF!</v>
      </c>
      <c r="ED39" t="e">
        <f>IF(#REF!,"AAAAAHZ314U=",0)</f>
        <v>#REF!</v>
      </c>
      <c r="EE39" t="e">
        <f>AND(#REF!,"AAAAAHZ314Y=")</f>
        <v>#REF!</v>
      </c>
      <c r="EF39" t="e">
        <f>AND(#REF!,"AAAAAHZ314c=")</f>
        <v>#REF!</v>
      </c>
      <c r="EG39" t="e">
        <f>AND(#REF!,"AAAAAHZ314g=")</f>
        <v>#REF!</v>
      </c>
      <c r="EH39" t="e">
        <f>AND(#REF!,"AAAAAHZ314k=")</f>
        <v>#REF!</v>
      </c>
      <c r="EI39" t="e">
        <f>AND(#REF!,"AAAAAHZ314o=")</f>
        <v>#REF!</v>
      </c>
      <c r="EJ39" t="e">
        <f>AND(#REF!,"AAAAAHZ314s=")</f>
        <v>#REF!</v>
      </c>
      <c r="EK39" t="e">
        <f>AND(#REF!,"AAAAAHZ314w=")</f>
        <v>#REF!</v>
      </c>
      <c r="EL39" t="e">
        <f>AND(#REF!,"AAAAAHZ3140=")</f>
        <v>#REF!</v>
      </c>
      <c r="EM39" t="e">
        <f>AND(#REF!,"AAAAAHZ3144=")</f>
        <v>#REF!</v>
      </c>
      <c r="EN39" t="e">
        <f>AND(#REF!,"AAAAAHZ3148=")</f>
        <v>#REF!</v>
      </c>
      <c r="EO39" t="e">
        <f>IF(#REF!,"AAAAAHZ315A=",0)</f>
        <v>#REF!</v>
      </c>
      <c r="EP39" t="e">
        <f>AND(#REF!,"AAAAAHZ315E=")</f>
        <v>#REF!</v>
      </c>
      <c r="EQ39" t="e">
        <f>AND(#REF!,"AAAAAHZ315I=")</f>
        <v>#REF!</v>
      </c>
      <c r="ER39" t="e">
        <f>AND(#REF!,"AAAAAHZ315M=")</f>
        <v>#REF!</v>
      </c>
      <c r="ES39" t="e">
        <f>AND(#REF!,"AAAAAHZ315Q=")</f>
        <v>#REF!</v>
      </c>
      <c r="ET39" t="e">
        <f>AND(#REF!,"AAAAAHZ315U=")</f>
        <v>#REF!</v>
      </c>
      <c r="EU39" t="e">
        <f>AND(#REF!,"AAAAAHZ315Y=")</f>
        <v>#REF!</v>
      </c>
      <c r="EV39" t="e">
        <f>AND(#REF!,"AAAAAHZ315c=")</f>
        <v>#REF!</v>
      </c>
      <c r="EW39" t="e">
        <f>AND(#REF!,"AAAAAHZ315g=")</f>
        <v>#REF!</v>
      </c>
      <c r="EX39" t="e">
        <f>AND(#REF!,"AAAAAHZ315k=")</f>
        <v>#REF!</v>
      </c>
      <c r="EY39" t="e">
        <f>AND(#REF!,"AAAAAHZ315o=")</f>
        <v>#REF!</v>
      </c>
      <c r="EZ39" t="e">
        <f>IF(#REF!,"AAAAAHZ315s=",0)</f>
        <v>#REF!</v>
      </c>
      <c r="FA39" t="e">
        <f>AND(#REF!,"AAAAAHZ315w=")</f>
        <v>#REF!</v>
      </c>
      <c r="FB39" t="e">
        <f>AND(#REF!,"AAAAAHZ3150=")</f>
        <v>#REF!</v>
      </c>
      <c r="FC39" t="e">
        <f>AND(#REF!,"AAAAAHZ3154=")</f>
        <v>#REF!</v>
      </c>
      <c r="FD39" t="e">
        <f>AND(#REF!,"AAAAAHZ3158=")</f>
        <v>#REF!</v>
      </c>
      <c r="FE39" t="e">
        <f>AND(#REF!,"AAAAAHZ316A=")</f>
        <v>#REF!</v>
      </c>
      <c r="FF39" t="e">
        <f>AND(#REF!,"AAAAAHZ316E=")</f>
        <v>#REF!</v>
      </c>
      <c r="FG39" t="e">
        <f>AND(#REF!,"AAAAAHZ316I=")</f>
        <v>#REF!</v>
      </c>
      <c r="FH39" t="e">
        <f>AND(#REF!,"AAAAAHZ316M=")</f>
        <v>#REF!</v>
      </c>
      <c r="FI39" t="e">
        <f>AND(#REF!,"AAAAAHZ316Q=")</f>
        <v>#REF!</v>
      </c>
      <c r="FJ39" t="e">
        <f>AND(#REF!,"AAAAAHZ316U=")</f>
        <v>#REF!</v>
      </c>
      <c r="FK39" t="e">
        <f>IF(#REF!,"AAAAAHZ316Y=",0)</f>
        <v>#REF!</v>
      </c>
      <c r="FL39" t="e">
        <f>AND(#REF!,"AAAAAHZ316c=")</f>
        <v>#REF!</v>
      </c>
      <c r="FM39" t="e">
        <f>AND(#REF!,"AAAAAHZ316g=")</f>
        <v>#REF!</v>
      </c>
      <c r="FN39" t="e">
        <f>AND(#REF!,"AAAAAHZ316k=")</f>
        <v>#REF!</v>
      </c>
      <c r="FO39" t="e">
        <f>AND(#REF!,"AAAAAHZ316o=")</f>
        <v>#REF!</v>
      </c>
      <c r="FP39" t="e">
        <f>AND(#REF!,"AAAAAHZ316s=")</f>
        <v>#REF!</v>
      </c>
      <c r="FQ39" t="e">
        <f>AND(#REF!,"AAAAAHZ316w=")</f>
        <v>#REF!</v>
      </c>
      <c r="FR39" t="e">
        <f>AND(#REF!,"AAAAAHZ3160=")</f>
        <v>#REF!</v>
      </c>
      <c r="FS39" t="e">
        <f>AND(#REF!,"AAAAAHZ3164=")</f>
        <v>#REF!</v>
      </c>
      <c r="FT39" t="e">
        <f>AND(#REF!,"AAAAAHZ3168=")</f>
        <v>#REF!</v>
      </c>
      <c r="FU39" t="e">
        <f>AND(#REF!,"AAAAAHZ317A=")</f>
        <v>#REF!</v>
      </c>
      <c r="FV39" t="e">
        <f>IF(#REF!,"AAAAAHZ317E=",0)</f>
        <v>#REF!</v>
      </c>
      <c r="FW39" t="e">
        <f>AND(#REF!,"AAAAAHZ317I=")</f>
        <v>#REF!</v>
      </c>
      <c r="FX39" t="e">
        <f>AND(#REF!,"AAAAAHZ317M=")</f>
        <v>#REF!</v>
      </c>
      <c r="FY39" t="e">
        <f>AND(#REF!,"AAAAAHZ317Q=")</f>
        <v>#REF!</v>
      </c>
      <c r="FZ39" t="e">
        <f>AND(#REF!,"AAAAAHZ317U=")</f>
        <v>#REF!</v>
      </c>
      <c r="GA39" t="e">
        <f>AND(#REF!,"AAAAAHZ317Y=")</f>
        <v>#REF!</v>
      </c>
      <c r="GB39" t="e">
        <f>AND(#REF!,"AAAAAHZ317c=")</f>
        <v>#REF!</v>
      </c>
      <c r="GC39" t="e">
        <f>AND(#REF!,"AAAAAHZ317g=")</f>
        <v>#REF!</v>
      </c>
      <c r="GD39" t="e">
        <f>AND(#REF!,"AAAAAHZ317k=")</f>
        <v>#REF!</v>
      </c>
      <c r="GE39" t="e">
        <f>AND(#REF!,"AAAAAHZ317o=")</f>
        <v>#REF!</v>
      </c>
      <c r="GF39" t="e">
        <f>AND(#REF!,"AAAAAHZ317s=")</f>
        <v>#REF!</v>
      </c>
      <c r="GG39" t="e">
        <f>IF(#REF!,"AAAAAHZ317w=",0)</f>
        <v>#REF!</v>
      </c>
      <c r="GH39" t="e">
        <f>AND(#REF!,"AAAAAHZ3170=")</f>
        <v>#REF!</v>
      </c>
      <c r="GI39" t="e">
        <f>AND(#REF!,"AAAAAHZ3174=")</f>
        <v>#REF!</v>
      </c>
      <c r="GJ39" t="e">
        <f>AND(#REF!,"AAAAAHZ3178=")</f>
        <v>#REF!</v>
      </c>
      <c r="GK39" t="e">
        <f>AND(#REF!,"AAAAAHZ318A=")</f>
        <v>#REF!</v>
      </c>
      <c r="GL39" t="e">
        <f>AND(#REF!,"AAAAAHZ318E=")</f>
        <v>#REF!</v>
      </c>
      <c r="GM39" t="e">
        <f>AND(#REF!,"AAAAAHZ318I=")</f>
        <v>#REF!</v>
      </c>
      <c r="GN39" t="e">
        <f>AND(#REF!,"AAAAAHZ318M=")</f>
        <v>#REF!</v>
      </c>
      <c r="GO39" t="e">
        <f>AND(#REF!,"AAAAAHZ318Q=")</f>
        <v>#REF!</v>
      </c>
      <c r="GP39" t="e">
        <f>AND(#REF!,"AAAAAHZ318U=")</f>
        <v>#REF!</v>
      </c>
      <c r="GQ39" t="e">
        <f>AND(#REF!,"AAAAAHZ318Y=")</f>
        <v>#REF!</v>
      </c>
      <c r="GR39" t="e">
        <f>IF(#REF!,"AAAAAHZ318c=",0)</f>
        <v>#REF!</v>
      </c>
      <c r="GS39" t="e">
        <f>AND(#REF!,"AAAAAHZ318g=")</f>
        <v>#REF!</v>
      </c>
      <c r="GT39" t="e">
        <f>AND(#REF!,"AAAAAHZ318k=")</f>
        <v>#REF!</v>
      </c>
      <c r="GU39" t="e">
        <f>AND(#REF!,"AAAAAHZ318o=")</f>
        <v>#REF!</v>
      </c>
      <c r="GV39" t="e">
        <f>AND(#REF!,"AAAAAHZ318s=")</f>
        <v>#REF!</v>
      </c>
      <c r="GW39" t="e">
        <f>AND(#REF!,"AAAAAHZ318w=")</f>
        <v>#REF!</v>
      </c>
      <c r="GX39" t="e">
        <f>AND(#REF!,"AAAAAHZ3180=")</f>
        <v>#REF!</v>
      </c>
      <c r="GY39" t="e">
        <f>AND(#REF!,"AAAAAHZ3184=")</f>
        <v>#REF!</v>
      </c>
      <c r="GZ39" t="e">
        <f>AND(#REF!,"AAAAAHZ3188=")</f>
        <v>#REF!</v>
      </c>
      <c r="HA39" t="e">
        <f>AND(#REF!,"AAAAAHZ319A=")</f>
        <v>#REF!</v>
      </c>
      <c r="HB39" t="e">
        <f>AND(#REF!,"AAAAAHZ319E=")</f>
        <v>#REF!</v>
      </c>
      <c r="HC39" t="e">
        <f>IF(#REF!,"AAAAAHZ319I=",0)</f>
        <v>#REF!</v>
      </c>
      <c r="HD39" t="e">
        <f>AND(#REF!,"AAAAAHZ319M=")</f>
        <v>#REF!</v>
      </c>
      <c r="HE39" t="e">
        <f>AND(#REF!,"AAAAAHZ319Q=")</f>
        <v>#REF!</v>
      </c>
      <c r="HF39" t="e">
        <f>AND(#REF!,"AAAAAHZ319U=")</f>
        <v>#REF!</v>
      </c>
      <c r="HG39" t="e">
        <f>AND(#REF!,"AAAAAHZ319Y=")</f>
        <v>#REF!</v>
      </c>
      <c r="HH39" t="e">
        <f>AND(#REF!,"AAAAAHZ319c=")</f>
        <v>#REF!</v>
      </c>
      <c r="HI39" t="e">
        <f>AND(#REF!,"AAAAAHZ319g=")</f>
        <v>#REF!</v>
      </c>
      <c r="HJ39" t="e">
        <f>AND(#REF!,"AAAAAHZ319k=")</f>
        <v>#REF!</v>
      </c>
      <c r="HK39" t="e">
        <f>AND(#REF!,"AAAAAHZ319o=")</f>
        <v>#REF!</v>
      </c>
      <c r="HL39" t="e">
        <f>AND(#REF!,"AAAAAHZ319s=")</f>
        <v>#REF!</v>
      </c>
      <c r="HM39" t="e">
        <f>AND(#REF!,"AAAAAHZ319w=")</f>
        <v>#REF!</v>
      </c>
      <c r="HN39" t="e">
        <f>IF(#REF!,"AAAAAHZ3190=",0)</f>
        <v>#REF!</v>
      </c>
      <c r="HO39" t="e">
        <f>AND(#REF!,"AAAAAHZ3194=")</f>
        <v>#REF!</v>
      </c>
      <c r="HP39" t="e">
        <f>AND(#REF!,"AAAAAHZ3198=")</f>
        <v>#REF!</v>
      </c>
      <c r="HQ39" t="e">
        <f>AND(#REF!,"AAAAAHZ31+A=")</f>
        <v>#REF!</v>
      </c>
      <c r="HR39" t="e">
        <f>AND(#REF!,"AAAAAHZ31+E=")</f>
        <v>#REF!</v>
      </c>
      <c r="HS39" t="e">
        <f>AND(#REF!,"AAAAAHZ31+I=")</f>
        <v>#REF!</v>
      </c>
      <c r="HT39" t="e">
        <f>AND(#REF!,"AAAAAHZ31+M=")</f>
        <v>#REF!</v>
      </c>
      <c r="HU39" t="e">
        <f>AND(#REF!,"AAAAAHZ31+Q=")</f>
        <v>#REF!</v>
      </c>
      <c r="HV39" t="e">
        <f>AND(#REF!,"AAAAAHZ31+U=")</f>
        <v>#REF!</v>
      </c>
      <c r="HW39" t="e">
        <f>AND(#REF!,"AAAAAHZ31+Y=")</f>
        <v>#REF!</v>
      </c>
      <c r="HX39" t="e">
        <f>AND(#REF!,"AAAAAHZ31+c=")</f>
        <v>#REF!</v>
      </c>
      <c r="HY39" t="e">
        <f>IF(#REF!,"AAAAAHZ31+g=",0)</f>
        <v>#REF!</v>
      </c>
      <c r="HZ39" t="e">
        <f>AND(#REF!,"AAAAAHZ31+k=")</f>
        <v>#REF!</v>
      </c>
      <c r="IA39" t="e">
        <f>AND(#REF!,"AAAAAHZ31+o=")</f>
        <v>#REF!</v>
      </c>
      <c r="IB39" t="e">
        <f>AND(#REF!,"AAAAAHZ31+s=")</f>
        <v>#REF!</v>
      </c>
      <c r="IC39" t="e">
        <f>AND(#REF!,"AAAAAHZ31+w=")</f>
        <v>#REF!</v>
      </c>
      <c r="ID39" t="e">
        <f>AND(#REF!,"AAAAAHZ31+0=")</f>
        <v>#REF!</v>
      </c>
      <c r="IE39" t="e">
        <f>AND(#REF!,"AAAAAHZ31+4=")</f>
        <v>#REF!</v>
      </c>
      <c r="IF39" t="e">
        <f>AND(#REF!,"AAAAAHZ31+8=")</f>
        <v>#REF!</v>
      </c>
      <c r="IG39" t="e">
        <f>AND(#REF!,"AAAAAHZ31/A=")</f>
        <v>#REF!</v>
      </c>
      <c r="IH39" t="e">
        <f>AND(#REF!,"AAAAAHZ31/E=")</f>
        <v>#REF!</v>
      </c>
      <c r="II39" t="e">
        <f>AND(#REF!,"AAAAAHZ31/I=")</f>
        <v>#REF!</v>
      </c>
      <c r="IJ39" t="e">
        <f>IF(#REF!,"AAAAAHZ31/M=",0)</f>
        <v>#REF!</v>
      </c>
      <c r="IK39" t="e">
        <f>AND(#REF!,"AAAAAHZ31/Q=")</f>
        <v>#REF!</v>
      </c>
      <c r="IL39" t="e">
        <f>AND(#REF!,"AAAAAHZ31/U=")</f>
        <v>#REF!</v>
      </c>
      <c r="IM39" t="e">
        <f>AND(#REF!,"AAAAAHZ31/Y=")</f>
        <v>#REF!</v>
      </c>
      <c r="IN39" t="e">
        <f>AND(#REF!,"AAAAAHZ31/c=")</f>
        <v>#REF!</v>
      </c>
      <c r="IO39" t="e">
        <f>AND(#REF!,"AAAAAHZ31/g=")</f>
        <v>#REF!</v>
      </c>
      <c r="IP39" t="e">
        <f>AND(#REF!,"AAAAAHZ31/k=")</f>
        <v>#REF!</v>
      </c>
      <c r="IQ39" t="e">
        <f>AND(#REF!,"AAAAAHZ31/o=")</f>
        <v>#REF!</v>
      </c>
      <c r="IR39" t="e">
        <f>AND(#REF!,"AAAAAHZ31/s=")</f>
        <v>#REF!</v>
      </c>
      <c r="IS39" t="e">
        <f>AND(#REF!,"AAAAAHZ31/w=")</f>
        <v>#REF!</v>
      </c>
      <c r="IT39" t="e">
        <f>AND(#REF!,"AAAAAHZ31/0=")</f>
        <v>#REF!</v>
      </c>
      <c r="IU39" t="e">
        <f>IF(#REF!,"AAAAAHZ31/4=",0)</f>
        <v>#REF!</v>
      </c>
      <c r="IV39" t="e">
        <f>AND(#REF!,"AAAAAHZ31/8=")</f>
        <v>#REF!</v>
      </c>
    </row>
    <row r="40" spans="1:256" x14ac:dyDescent="0.25">
      <c r="A40" t="e">
        <f>AND(#REF!,"AAAAAG88IwA=")</f>
        <v>#REF!</v>
      </c>
      <c r="B40" t="e">
        <f>AND(#REF!,"AAAAAG88IwE=")</f>
        <v>#REF!</v>
      </c>
      <c r="C40" t="e">
        <f>AND(#REF!,"AAAAAG88IwI=")</f>
        <v>#REF!</v>
      </c>
      <c r="D40" t="e">
        <f>AND(#REF!,"AAAAAG88IwM=")</f>
        <v>#REF!</v>
      </c>
      <c r="E40" t="e">
        <f>AND(#REF!,"AAAAAG88IwQ=")</f>
        <v>#REF!</v>
      </c>
      <c r="F40" t="e">
        <f>AND(#REF!,"AAAAAG88IwU=")</f>
        <v>#REF!</v>
      </c>
      <c r="G40" t="e">
        <f>AND(#REF!,"AAAAAG88IwY=")</f>
        <v>#REF!</v>
      </c>
      <c r="H40" t="e">
        <f>AND(#REF!,"AAAAAG88Iwc=")</f>
        <v>#REF!</v>
      </c>
      <c r="I40" t="e">
        <f>AND(#REF!,"AAAAAG88Iwg=")</f>
        <v>#REF!</v>
      </c>
      <c r="J40" t="e">
        <f>IF(#REF!,"AAAAAG88Iwk=",0)</f>
        <v>#REF!</v>
      </c>
      <c r="K40" t="e">
        <f>AND(#REF!,"AAAAAG88Iwo=")</f>
        <v>#REF!</v>
      </c>
      <c r="L40" t="e">
        <f>AND(#REF!,"AAAAAG88Iws=")</f>
        <v>#REF!</v>
      </c>
      <c r="M40" t="e">
        <f>AND(#REF!,"AAAAAG88Iww=")</f>
        <v>#REF!</v>
      </c>
      <c r="N40" t="e">
        <f>AND(#REF!,"AAAAAG88Iw0=")</f>
        <v>#REF!</v>
      </c>
      <c r="O40" t="e">
        <f>AND(#REF!,"AAAAAG88Iw4=")</f>
        <v>#REF!</v>
      </c>
      <c r="P40" t="e">
        <f>AND(#REF!,"AAAAAG88Iw8=")</f>
        <v>#REF!</v>
      </c>
      <c r="Q40" t="e">
        <f>AND(#REF!,"AAAAAG88IxA=")</f>
        <v>#REF!</v>
      </c>
      <c r="R40" t="e">
        <f>AND(#REF!,"AAAAAG88IxE=")</f>
        <v>#REF!</v>
      </c>
      <c r="S40" t="e">
        <f>AND(#REF!,"AAAAAG88IxI=")</f>
        <v>#REF!</v>
      </c>
      <c r="T40" t="e">
        <f>AND(#REF!,"AAAAAG88IxM=")</f>
        <v>#REF!</v>
      </c>
      <c r="U40" t="e">
        <f>IF(#REF!,"AAAAAG88IxQ=",0)</f>
        <v>#REF!</v>
      </c>
      <c r="V40" t="e">
        <f>AND(#REF!,"AAAAAG88IxU=")</f>
        <v>#REF!</v>
      </c>
      <c r="W40" t="e">
        <f>AND(#REF!,"AAAAAG88IxY=")</f>
        <v>#REF!</v>
      </c>
      <c r="X40" t="e">
        <f>AND(#REF!,"AAAAAG88Ixc=")</f>
        <v>#REF!</v>
      </c>
      <c r="Y40" t="e">
        <f>AND(#REF!,"AAAAAG88Ixg=")</f>
        <v>#REF!</v>
      </c>
      <c r="Z40" t="e">
        <f>AND(#REF!,"AAAAAG88Ixk=")</f>
        <v>#REF!</v>
      </c>
      <c r="AA40" t="e">
        <f>AND(#REF!,"AAAAAG88Ixo=")</f>
        <v>#REF!</v>
      </c>
      <c r="AB40" t="e">
        <f>AND(#REF!,"AAAAAG88Ixs=")</f>
        <v>#REF!</v>
      </c>
      <c r="AC40" t="e">
        <f>AND(#REF!,"AAAAAG88Ixw=")</f>
        <v>#REF!</v>
      </c>
      <c r="AD40" t="e">
        <f>AND(#REF!,"AAAAAG88Ix0=")</f>
        <v>#REF!</v>
      </c>
      <c r="AE40" t="e">
        <f>AND(#REF!,"AAAAAG88Ix4=")</f>
        <v>#REF!</v>
      </c>
      <c r="AF40" t="e">
        <f>IF(#REF!,"AAAAAG88Ix8=",0)</f>
        <v>#REF!</v>
      </c>
      <c r="AG40" t="e">
        <f>AND(#REF!,"AAAAAG88IyA=")</f>
        <v>#REF!</v>
      </c>
      <c r="AH40" t="e">
        <f>AND(#REF!,"AAAAAG88IyE=")</f>
        <v>#REF!</v>
      </c>
      <c r="AI40" t="e">
        <f>AND(#REF!,"AAAAAG88IyI=")</f>
        <v>#REF!</v>
      </c>
      <c r="AJ40" t="e">
        <f>AND(#REF!,"AAAAAG88IyM=")</f>
        <v>#REF!</v>
      </c>
      <c r="AK40" t="e">
        <f>AND(#REF!,"AAAAAG88IyQ=")</f>
        <v>#REF!</v>
      </c>
      <c r="AL40" t="e">
        <f>AND(#REF!,"AAAAAG88IyU=")</f>
        <v>#REF!</v>
      </c>
      <c r="AM40" t="e">
        <f>AND(#REF!,"AAAAAG88IyY=")</f>
        <v>#REF!</v>
      </c>
      <c r="AN40" t="e">
        <f>AND(#REF!,"AAAAAG88Iyc=")</f>
        <v>#REF!</v>
      </c>
      <c r="AO40" t="e">
        <f>AND(#REF!,"AAAAAG88Iyg=")</f>
        <v>#REF!</v>
      </c>
      <c r="AP40" t="e">
        <f>AND(#REF!,"AAAAAG88Iyk=")</f>
        <v>#REF!</v>
      </c>
      <c r="AQ40" t="e">
        <f>IF(#REF!,"AAAAAG88Iyo=",0)</f>
        <v>#REF!</v>
      </c>
      <c r="AR40" t="e">
        <f>AND(#REF!,"AAAAAG88Iys=")</f>
        <v>#REF!</v>
      </c>
      <c r="AS40" t="e">
        <f>AND(#REF!,"AAAAAG88Iyw=")</f>
        <v>#REF!</v>
      </c>
      <c r="AT40" t="e">
        <f>AND(#REF!,"AAAAAG88Iy0=")</f>
        <v>#REF!</v>
      </c>
      <c r="AU40" t="e">
        <f>AND(#REF!,"AAAAAG88Iy4=")</f>
        <v>#REF!</v>
      </c>
      <c r="AV40" t="e">
        <f>AND(#REF!,"AAAAAG88Iy8=")</f>
        <v>#REF!</v>
      </c>
      <c r="AW40" t="e">
        <f>AND(#REF!,"AAAAAG88IzA=")</f>
        <v>#REF!</v>
      </c>
      <c r="AX40" t="e">
        <f>AND(#REF!,"AAAAAG88IzE=")</f>
        <v>#REF!</v>
      </c>
      <c r="AY40" t="e">
        <f>AND(#REF!,"AAAAAG88IzI=")</f>
        <v>#REF!</v>
      </c>
      <c r="AZ40" t="e">
        <f>AND(#REF!,"AAAAAG88IzM=")</f>
        <v>#REF!</v>
      </c>
      <c r="BA40" t="e">
        <f>AND(#REF!,"AAAAAG88IzQ=")</f>
        <v>#REF!</v>
      </c>
      <c r="BB40" t="e">
        <f>IF(#REF!,"AAAAAG88IzU=",0)</f>
        <v>#REF!</v>
      </c>
      <c r="BC40" t="e">
        <f>AND(#REF!,"AAAAAG88IzY=")</f>
        <v>#REF!</v>
      </c>
      <c r="BD40" t="e">
        <f>AND(#REF!,"AAAAAG88Izc=")</f>
        <v>#REF!</v>
      </c>
      <c r="BE40" t="e">
        <f>AND(#REF!,"AAAAAG88Izg=")</f>
        <v>#REF!</v>
      </c>
      <c r="BF40" t="e">
        <f>AND(#REF!,"AAAAAG88Izk=")</f>
        <v>#REF!</v>
      </c>
      <c r="BG40" t="e">
        <f>AND(#REF!,"AAAAAG88Izo=")</f>
        <v>#REF!</v>
      </c>
      <c r="BH40" t="e">
        <f>AND(#REF!,"AAAAAG88Izs=")</f>
        <v>#REF!</v>
      </c>
      <c r="BI40" t="e">
        <f>AND(#REF!,"AAAAAG88Izw=")</f>
        <v>#REF!</v>
      </c>
      <c r="BJ40" t="e">
        <f>AND(#REF!,"AAAAAG88Iz0=")</f>
        <v>#REF!</v>
      </c>
      <c r="BK40" t="e">
        <f>AND(#REF!,"AAAAAG88Iz4=")</f>
        <v>#REF!</v>
      </c>
      <c r="BL40" t="e">
        <f>AND(#REF!,"AAAAAG88Iz8=")</f>
        <v>#REF!</v>
      </c>
      <c r="BM40" t="e">
        <f>IF(#REF!,"AAAAAG88I0A=",0)</f>
        <v>#REF!</v>
      </c>
      <c r="BN40" t="e">
        <f>AND(#REF!,"AAAAAG88I0E=")</f>
        <v>#REF!</v>
      </c>
      <c r="BO40" t="e">
        <f>AND(#REF!,"AAAAAG88I0I=")</f>
        <v>#REF!</v>
      </c>
      <c r="BP40" t="e">
        <f>AND(#REF!,"AAAAAG88I0M=")</f>
        <v>#REF!</v>
      </c>
      <c r="BQ40" t="e">
        <f>AND(#REF!,"AAAAAG88I0Q=")</f>
        <v>#REF!</v>
      </c>
      <c r="BR40" t="e">
        <f>AND(#REF!,"AAAAAG88I0U=")</f>
        <v>#REF!</v>
      </c>
      <c r="BS40" t="e">
        <f>AND(#REF!,"AAAAAG88I0Y=")</f>
        <v>#REF!</v>
      </c>
      <c r="BT40" t="e">
        <f>AND(#REF!,"AAAAAG88I0c=")</f>
        <v>#REF!</v>
      </c>
      <c r="BU40" t="e">
        <f>AND(#REF!,"AAAAAG88I0g=")</f>
        <v>#REF!</v>
      </c>
      <c r="BV40" t="e">
        <f>AND(#REF!,"AAAAAG88I0k=")</f>
        <v>#REF!</v>
      </c>
      <c r="BW40" t="e">
        <f>AND(#REF!,"AAAAAG88I0o=")</f>
        <v>#REF!</v>
      </c>
      <c r="BX40" t="e">
        <f>IF(#REF!,"AAAAAG88I0s=",0)</f>
        <v>#REF!</v>
      </c>
      <c r="BY40" t="e">
        <f>AND(#REF!,"AAAAAG88I0w=")</f>
        <v>#REF!</v>
      </c>
      <c r="BZ40" t="e">
        <f>AND(#REF!,"AAAAAG88I00=")</f>
        <v>#REF!</v>
      </c>
      <c r="CA40" t="e">
        <f>AND(#REF!,"AAAAAG88I04=")</f>
        <v>#REF!</v>
      </c>
      <c r="CB40" t="e">
        <f>AND(#REF!,"AAAAAG88I08=")</f>
        <v>#REF!</v>
      </c>
      <c r="CC40" t="e">
        <f>AND(#REF!,"AAAAAG88I1A=")</f>
        <v>#REF!</v>
      </c>
      <c r="CD40" t="e">
        <f>AND(#REF!,"AAAAAG88I1E=")</f>
        <v>#REF!</v>
      </c>
      <c r="CE40" t="e">
        <f>AND(#REF!,"AAAAAG88I1I=")</f>
        <v>#REF!</v>
      </c>
      <c r="CF40" t="e">
        <f>AND(#REF!,"AAAAAG88I1M=")</f>
        <v>#REF!</v>
      </c>
      <c r="CG40" t="e">
        <f>AND(#REF!,"AAAAAG88I1Q=")</f>
        <v>#REF!</v>
      </c>
      <c r="CH40" t="e">
        <f>AND(#REF!,"AAAAAG88I1U=")</f>
        <v>#REF!</v>
      </c>
      <c r="CI40" t="e">
        <f>IF(#REF!,"AAAAAG88I1Y=",0)</f>
        <v>#REF!</v>
      </c>
      <c r="CJ40" t="e">
        <f>AND(#REF!,"AAAAAG88I1c=")</f>
        <v>#REF!</v>
      </c>
      <c r="CK40" t="e">
        <f>AND(#REF!,"AAAAAG88I1g=")</f>
        <v>#REF!</v>
      </c>
      <c r="CL40" t="e">
        <f>AND(#REF!,"AAAAAG88I1k=")</f>
        <v>#REF!</v>
      </c>
      <c r="CM40" t="e">
        <f>AND(#REF!,"AAAAAG88I1o=")</f>
        <v>#REF!</v>
      </c>
      <c r="CN40" t="e">
        <f>AND(#REF!,"AAAAAG88I1s=")</f>
        <v>#REF!</v>
      </c>
      <c r="CO40" t="e">
        <f>AND(#REF!,"AAAAAG88I1w=")</f>
        <v>#REF!</v>
      </c>
      <c r="CP40" t="e">
        <f>AND(#REF!,"AAAAAG88I10=")</f>
        <v>#REF!</v>
      </c>
      <c r="CQ40" t="e">
        <f>AND(#REF!,"AAAAAG88I14=")</f>
        <v>#REF!</v>
      </c>
      <c r="CR40" t="e">
        <f>AND(#REF!,"AAAAAG88I18=")</f>
        <v>#REF!</v>
      </c>
      <c r="CS40" t="e">
        <f>AND(#REF!,"AAAAAG88I2A=")</f>
        <v>#REF!</v>
      </c>
      <c r="CT40" t="e">
        <f>IF(#REF!,"AAAAAG88I2E=",0)</f>
        <v>#REF!</v>
      </c>
      <c r="CU40" t="e">
        <f>AND(#REF!,"AAAAAG88I2I=")</f>
        <v>#REF!</v>
      </c>
      <c r="CV40" t="e">
        <f>AND(#REF!,"AAAAAG88I2M=")</f>
        <v>#REF!</v>
      </c>
      <c r="CW40" t="e">
        <f>AND(#REF!,"AAAAAG88I2Q=")</f>
        <v>#REF!</v>
      </c>
      <c r="CX40" t="e">
        <f>AND(#REF!,"AAAAAG88I2U=")</f>
        <v>#REF!</v>
      </c>
      <c r="CY40" t="e">
        <f>AND(#REF!,"AAAAAG88I2Y=")</f>
        <v>#REF!</v>
      </c>
      <c r="CZ40" t="e">
        <f>AND(#REF!,"AAAAAG88I2c=")</f>
        <v>#REF!</v>
      </c>
      <c r="DA40" t="e">
        <f>AND(#REF!,"AAAAAG88I2g=")</f>
        <v>#REF!</v>
      </c>
      <c r="DB40" t="e">
        <f>AND(#REF!,"AAAAAG88I2k=")</f>
        <v>#REF!</v>
      </c>
      <c r="DC40" t="e">
        <f>AND(#REF!,"AAAAAG88I2o=")</f>
        <v>#REF!</v>
      </c>
      <c r="DD40" t="e">
        <f>AND(#REF!,"AAAAAG88I2s=")</f>
        <v>#REF!</v>
      </c>
      <c r="DE40" t="e">
        <f>IF(#REF!,"AAAAAG88I2w=",0)</f>
        <v>#REF!</v>
      </c>
      <c r="DF40" t="e">
        <f>AND(#REF!,"AAAAAG88I20=")</f>
        <v>#REF!</v>
      </c>
      <c r="DG40" t="e">
        <f>AND(#REF!,"AAAAAG88I24=")</f>
        <v>#REF!</v>
      </c>
      <c r="DH40" t="e">
        <f>AND(#REF!,"AAAAAG88I28=")</f>
        <v>#REF!</v>
      </c>
      <c r="DI40" t="e">
        <f>AND(#REF!,"AAAAAG88I3A=")</f>
        <v>#REF!</v>
      </c>
      <c r="DJ40" t="e">
        <f>AND(#REF!,"AAAAAG88I3E=")</f>
        <v>#REF!</v>
      </c>
      <c r="DK40" t="e">
        <f>AND(#REF!,"AAAAAG88I3I=")</f>
        <v>#REF!</v>
      </c>
      <c r="DL40" t="e">
        <f>AND(#REF!,"AAAAAG88I3M=")</f>
        <v>#REF!</v>
      </c>
      <c r="DM40" t="e">
        <f>AND(#REF!,"AAAAAG88I3Q=")</f>
        <v>#REF!</v>
      </c>
      <c r="DN40" t="e">
        <f>AND(#REF!,"AAAAAG88I3U=")</f>
        <v>#REF!</v>
      </c>
      <c r="DO40" t="e">
        <f>AND(#REF!,"AAAAAG88I3Y=")</f>
        <v>#REF!</v>
      </c>
      <c r="DP40" t="e">
        <f>IF(#REF!,"AAAAAG88I3c=",0)</f>
        <v>#REF!</v>
      </c>
      <c r="DQ40" t="e">
        <f>AND(#REF!,"AAAAAG88I3g=")</f>
        <v>#REF!</v>
      </c>
      <c r="DR40" t="e">
        <f>AND(#REF!,"AAAAAG88I3k=")</f>
        <v>#REF!</v>
      </c>
      <c r="DS40" t="e">
        <f>AND(#REF!,"AAAAAG88I3o=")</f>
        <v>#REF!</v>
      </c>
      <c r="DT40" t="e">
        <f>AND(#REF!,"AAAAAG88I3s=")</f>
        <v>#REF!</v>
      </c>
      <c r="DU40" t="e">
        <f>AND(#REF!,"AAAAAG88I3w=")</f>
        <v>#REF!</v>
      </c>
      <c r="DV40" t="e">
        <f>AND(#REF!,"AAAAAG88I30=")</f>
        <v>#REF!</v>
      </c>
      <c r="DW40" t="e">
        <f>AND(#REF!,"AAAAAG88I34=")</f>
        <v>#REF!</v>
      </c>
      <c r="DX40" t="e">
        <f>AND(#REF!,"AAAAAG88I38=")</f>
        <v>#REF!</v>
      </c>
      <c r="DY40" t="e">
        <f>AND(#REF!,"AAAAAG88I4A=")</f>
        <v>#REF!</v>
      </c>
      <c r="DZ40" t="e">
        <f>AND(#REF!,"AAAAAG88I4E=")</f>
        <v>#REF!</v>
      </c>
      <c r="EA40" t="e">
        <f>IF(#REF!,"AAAAAG88I4I=",0)</f>
        <v>#REF!</v>
      </c>
      <c r="EB40" t="e">
        <f>AND(#REF!,"AAAAAG88I4M=")</f>
        <v>#REF!</v>
      </c>
      <c r="EC40" t="e">
        <f>AND(#REF!,"AAAAAG88I4Q=")</f>
        <v>#REF!</v>
      </c>
      <c r="ED40" t="e">
        <f>AND(#REF!,"AAAAAG88I4U=")</f>
        <v>#REF!</v>
      </c>
      <c r="EE40" t="e">
        <f>AND(#REF!,"AAAAAG88I4Y=")</f>
        <v>#REF!</v>
      </c>
      <c r="EF40" t="e">
        <f>AND(#REF!,"AAAAAG88I4c=")</f>
        <v>#REF!</v>
      </c>
      <c r="EG40" t="e">
        <f>AND(#REF!,"AAAAAG88I4g=")</f>
        <v>#REF!</v>
      </c>
      <c r="EH40" t="e">
        <f>AND(#REF!,"AAAAAG88I4k=")</f>
        <v>#REF!</v>
      </c>
      <c r="EI40" t="e">
        <f>AND(#REF!,"AAAAAG88I4o=")</f>
        <v>#REF!</v>
      </c>
      <c r="EJ40" t="e">
        <f>AND(#REF!,"AAAAAG88I4s=")</f>
        <v>#REF!</v>
      </c>
      <c r="EK40" t="e">
        <f>AND(#REF!,"AAAAAG88I4w=")</f>
        <v>#REF!</v>
      </c>
      <c r="EL40" t="e">
        <f>IF(#REF!,"AAAAAG88I40=",0)</f>
        <v>#REF!</v>
      </c>
      <c r="EM40" t="e">
        <f>AND(#REF!,"AAAAAG88I44=")</f>
        <v>#REF!</v>
      </c>
      <c r="EN40" t="e">
        <f>AND(#REF!,"AAAAAG88I48=")</f>
        <v>#REF!</v>
      </c>
      <c r="EO40" t="e">
        <f>AND(#REF!,"AAAAAG88I5A=")</f>
        <v>#REF!</v>
      </c>
      <c r="EP40" t="e">
        <f>AND(#REF!,"AAAAAG88I5E=")</f>
        <v>#REF!</v>
      </c>
      <c r="EQ40" t="e">
        <f>AND(#REF!,"AAAAAG88I5I=")</f>
        <v>#REF!</v>
      </c>
      <c r="ER40" t="e">
        <f>AND(#REF!,"AAAAAG88I5M=")</f>
        <v>#REF!</v>
      </c>
      <c r="ES40" t="e">
        <f>AND(#REF!,"AAAAAG88I5Q=")</f>
        <v>#REF!</v>
      </c>
      <c r="ET40" t="e">
        <f>AND(#REF!,"AAAAAG88I5U=")</f>
        <v>#REF!</v>
      </c>
      <c r="EU40" t="e">
        <f>AND(#REF!,"AAAAAG88I5Y=")</f>
        <v>#REF!</v>
      </c>
      <c r="EV40" t="e">
        <f>AND(#REF!,"AAAAAG88I5c=")</f>
        <v>#REF!</v>
      </c>
      <c r="EW40" t="e">
        <f>IF(#REF!,"AAAAAG88I5g=",0)</f>
        <v>#REF!</v>
      </c>
      <c r="EX40" t="e">
        <f>AND(#REF!,"AAAAAG88I5k=")</f>
        <v>#REF!</v>
      </c>
      <c r="EY40" t="e">
        <f>AND(#REF!,"AAAAAG88I5o=")</f>
        <v>#REF!</v>
      </c>
      <c r="EZ40" t="e">
        <f>AND(#REF!,"AAAAAG88I5s=")</f>
        <v>#REF!</v>
      </c>
      <c r="FA40" t="e">
        <f>AND(#REF!,"AAAAAG88I5w=")</f>
        <v>#REF!</v>
      </c>
      <c r="FB40" t="e">
        <f>AND(#REF!,"AAAAAG88I50=")</f>
        <v>#REF!</v>
      </c>
      <c r="FC40" t="e">
        <f>AND(#REF!,"AAAAAG88I54=")</f>
        <v>#REF!</v>
      </c>
      <c r="FD40" t="e">
        <f>AND(#REF!,"AAAAAG88I58=")</f>
        <v>#REF!</v>
      </c>
      <c r="FE40" t="e">
        <f>AND(#REF!,"AAAAAG88I6A=")</f>
        <v>#REF!</v>
      </c>
      <c r="FF40" t="e">
        <f>AND(#REF!,"AAAAAG88I6E=")</f>
        <v>#REF!</v>
      </c>
      <c r="FG40" t="e">
        <f>AND(#REF!,"AAAAAG88I6I=")</f>
        <v>#REF!</v>
      </c>
      <c r="FH40" t="e">
        <f>IF(#REF!,"AAAAAG88I6M=",0)</f>
        <v>#REF!</v>
      </c>
      <c r="FI40" t="e">
        <f>AND(#REF!,"AAAAAG88I6Q=")</f>
        <v>#REF!</v>
      </c>
      <c r="FJ40" t="e">
        <f>AND(#REF!,"AAAAAG88I6U=")</f>
        <v>#REF!</v>
      </c>
      <c r="FK40" t="e">
        <f>AND(#REF!,"AAAAAG88I6Y=")</f>
        <v>#REF!</v>
      </c>
      <c r="FL40" t="e">
        <f>AND(#REF!,"AAAAAG88I6c=")</f>
        <v>#REF!</v>
      </c>
      <c r="FM40" t="e">
        <f>AND(#REF!,"AAAAAG88I6g=")</f>
        <v>#REF!</v>
      </c>
      <c r="FN40" t="e">
        <f>AND(#REF!,"AAAAAG88I6k=")</f>
        <v>#REF!</v>
      </c>
      <c r="FO40" t="e">
        <f>AND(#REF!,"AAAAAG88I6o=")</f>
        <v>#REF!</v>
      </c>
      <c r="FP40" t="e">
        <f>AND(#REF!,"AAAAAG88I6s=")</f>
        <v>#REF!</v>
      </c>
      <c r="FQ40" t="e">
        <f>AND(#REF!,"AAAAAG88I6w=")</f>
        <v>#REF!</v>
      </c>
      <c r="FR40" t="e">
        <f>AND(#REF!,"AAAAAG88I60=")</f>
        <v>#REF!</v>
      </c>
      <c r="FS40" t="e">
        <f>IF(#REF!,"AAAAAG88I64=",0)</f>
        <v>#REF!</v>
      </c>
      <c r="FT40" t="e">
        <f>AND(#REF!,"AAAAAG88I68=")</f>
        <v>#REF!</v>
      </c>
      <c r="FU40" t="e">
        <f>AND(#REF!,"AAAAAG88I7A=")</f>
        <v>#REF!</v>
      </c>
      <c r="FV40" t="e">
        <f>AND(#REF!,"AAAAAG88I7E=")</f>
        <v>#REF!</v>
      </c>
      <c r="FW40" t="e">
        <f>AND(#REF!,"AAAAAG88I7I=")</f>
        <v>#REF!</v>
      </c>
      <c r="FX40" t="e">
        <f>AND(#REF!,"AAAAAG88I7M=")</f>
        <v>#REF!</v>
      </c>
      <c r="FY40" t="e">
        <f>AND(#REF!,"AAAAAG88I7Q=")</f>
        <v>#REF!</v>
      </c>
      <c r="FZ40" t="e">
        <f>AND(#REF!,"AAAAAG88I7U=")</f>
        <v>#REF!</v>
      </c>
      <c r="GA40" t="e">
        <f>AND(#REF!,"AAAAAG88I7Y=")</f>
        <v>#REF!</v>
      </c>
      <c r="GB40" t="e">
        <f>AND(#REF!,"AAAAAG88I7c=")</f>
        <v>#REF!</v>
      </c>
      <c r="GC40" t="e">
        <f>AND(#REF!,"AAAAAG88I7g=")</f>
        <v>#REF!</v>
      </c>
      <c r="GD40" t="e">
        <f>IF(#REF!,"AAAAAG88I7k=",0)</f>
        <v>#REF!</v>
      </c>
      <c r="GE40" t="e">
        <f>AND(#REF!,"AAAAAG88I7o=")</f>
        <v>#REF!</v>
      </c>
      <c r="GF40" t="e">
        <f>AND(#REF!,"AAAAAG88I7s=")</f>
        <v>#REF!</v>
      </c>
      <c r="GG40" t="e">
        <f>AND(#REF!,"AAAAAG88I7w=")</f>
        <v>#REF!</v>
      </c>
      <c r="GH40" t="e">
        <f>AND(#REF!,"AAAAAG88I70=")</f>
        <v>#REF!</v>
      </c>
      <c r="GI40" t="e">
        <f>AND(#REF!,"AAAAAG88I74=")</f>
        <v>#REF!</v>
      </c>
      <c r="GJ40" t="e">
        <f>AND(#REF!,"AAAAAG88I78=")</f>
        <v>#REF!</v>
      </c>
      <c r="GK40" t="e">
        <f>AND(#REF!,"AAAAAG88I8A=")</f>
        <v>#REF!</v>
      </c>
      <c r="GL40" t="e">
        <f>AND(#REF!,"AAAAAG88I8E=")</f>
        <v>#REF!</v>
      </c>
      <c r="GM40" t="e">
        <f>AND(#REF!,"AAAAAG88I8I=")</f>
        <v>#REF!</v>
      </c>
      <c r="GN40" t="e">
        <f>AND(#REF!,"AAAAAG88I8M=")</f>
        <v>#REF!</v>
      </c>
      <c r="GO40" t="e">
        <f>IF(#REF!,"AAAAAG88I8Q=",0)</f>
        <v>#REF!</v>
      </c>
      <c r="GP40" t="e">
        <f>AND(#REF!,"AAAAAG88I8U=")</f>
        <v>#REF!</v>
      </c>
      <c r="GQ40" t="e">
        <f>AND(#REF!,"AAAAAG88I8Y=")</f>
        <v>#REF!</v>
      </c>
      <c r="GR40" t="e">
        <f>AND(#REF!,"AAAAAG88I8c=")</f>
        <v>#REF!</v>
      </c>
      <c r="GS40" t="e">
        <f>AND(#REF!,"AAAAAG88I8g=")</f>
        <v>#REF!</v>
      </c>
      <c r="GT40" t="e">
        <f>AND(#REF!,"AAAAAG88I8k=")</f>
        <v>#REF!</v>
      </c>
      <c r="GU40" t="e">
        <f>AND(#REF!,"AAAAAG88I8o=")</f>
        <v>#REF!</v>
      </c>
      <c r="GV40" t="e">
        <f>AND(#REF!,"AAAAAG88I8s=")</f>
        <v>#REF!</v>
      </c>
      <c r="GW40" t="e">
        <f>AND(#REF!,"AAAAAG88I8w=")</f>
        <v>#REF!</v>
      </c>
      <c r="GX40" t="e">
        <f>AND(#REF!,"AAAAAG88I80=")</f>
        <v>#REF!</v>
      </c>
      <c r="GY40" t="e">
        <f>AND(#REF!,"AAAAAG88I84=")</f>
        <v>#REF!</v>
      </c>
      <c r="GZ40" t="e">
        <f>IF(#REF!,"AAAAAG88I88=",0)</f>
        <v>#REF!</v>
      </c>
      <c r="HA40" t="e">
        <f>AND(#REF!,"AAAAAG88I9A=")</f>
        <v>#REF!</v>
      </c>
      <c r="HB40" t="e">
        <f>AND(#REF!,"AAAAAG88I9E=")</f>
        <v>#REF!</v>
      </c>
      <c r="HC40" t="e">
        <f>AND(#REF!,"AAAAAG88I9I=")</f>
        <v>#REF!</v>
      </c>
      <c r="HD40" t="e">
        <f>AND(#REF!,"AAAAAG88I9M=")</f>
        <v>#REF!</v>
      </c>
      <c r="HE40" t="e">
        <f>AND(#REF!,"AAAAAG88I9Q=")</f>
        <v>#REF!</v>
      </c>
      <c r="HF40" t="e">
        <f>AND(#REF!,"AAAAAG88I9U=")</f>
        <v>#REF!</v>
      </c>
      <c r="HG40" t="e">
        <f>AND(#REF!,"AAAAAG88I9Y=")</f>
        <v>#REF!</v>
      </c>
      <c r="HH40" t="e">
        <f>AND(#REF!,"AAAAAG88I9c=")</f>
        <v>#REF!</v>
      </c>
      <c r="HI40" t="e">
        <f>AND(#REF!,"AAAAAG88I9g=")</f>
        <v>#REF!</v>
      </c>
      <c r="HJ40" t="e">
        <f>AND(#REF!,"AAAAAG88I9k=")</f>
        <v>#REF!</v>
      </c>
      <c r="HK40" t="e">
        <f>IF(#REF!,"AAAAAG88I9o=",0)</f>
        <v>#REF!</v>
      </c>
      <c r="HL40" t="e">
        <f>AND(#REF!,"AAAAAG88I9s=")</f>
        <v>#REF!</v>
      </c>
      <c r="HM40" t="e">
        <f>AND(#REF!,"AAAAAG88I9w=")</f>
        <v>#REF!</v>
      </c>
      <c r="HN40" t="e">
        <f>AND(#REF!,"AAAAAG88I90=")</f>
        <v>#REF!</v>
      </c>
      <c r="HO40" t="e">
        <f>AND(#REF!,"AAAAAG88I94=")</f>
        <v>#REF!</v>
      </c>
      <c r="HP40" t="e">
        <f>AND(#REF!,"AAAAAG88I98=")</f>
        <v>#REF!</v>
      </c>
      <c r="HQ40" t="e">
        <f>AND(#REF!,"AAAAAG88I+A=")</f>
        <v>#REF!</v>
      </c>
      <c r="HR40" t="e">
        <f>AND(#REF!,"AAAAAG88I+E=")</f>
        <v>#REF!</v>
      </c>
      <c r="HS40" t="e">
        <f>AND(#REF!,"AAAAAG88I+I=")</f>
        <v>#REF!</v>
      </c>
      <c r="HT40" t="e">
        <f>AND(#REF!,"AAAAAG88I+M=")</f>
        <v>#REF!</v>
      </c>
      <c r="HU40" t="e">
        <f>AND(#REF!,"AAAAAG88I+Q=")</f>
        <v>#REF!</v>
      </c>
      <c r="HV40" t="e">
        <f>IF(#REF!,"AAAAAG88I+U=",0)</f>
        <v>#REF!</v>
      </c>
      <c r="HW40" t="e">
        <f>AND(#REF!,"AAAAAG88I+Y=")</f>
        <v>#REF!</v>
      </c>
      <c r="HX40" t="e">
        <f>AND(#REF!,"AAAAAG88I+c=")</f>
        <v>#REF!</v>
      </c>
      <c r="HY40" t="e">
        <f>AND(#REF!,"AAAAAG88I+g=")</f>
        <v>#REF!</v>
      </c>
      <c r="HZ40" t="e">
        <f>AND(#REF!,"AAAAAG88I+k=")</f>
        <v>#REF!</v>
      </c>
      <c r="IA40" t="e">
        <f>AND(#REF!,"AAAAAG88I+o=")</f>
        <v>#REF!</v>
      </c>
      <c r="IB40" t="e">
        <f>AND(#REF!,"AAAAAG88I+s=")</f>
        <v>#REF!</v>
      </c>
      <c r="IC40" t="e">
        <f>AND(#REF!,"AAAAAG88I+w=")</f>
        <v>#REF!</v>
      </c>
      <c r="ID40" t="e">
        <f>AND(#REF!,"AAAAAG88I+0=")</f>
        <v>#REF!</v>
      </c>
      <c r="IE40" t="e">
        <f>AND(#REF!,"AAAAAG88I+4=")</f>
        <v>#REF!</v>
      </c>
      <c r="IF40" t="e">
        <f>AND(#REF!,"AAAAAG88I+8=")</f>
        <v>#REF!</v>
      </c>
      <c r="IG40" t="e">
        <f>IF(#REF!,"AAAAAG88I/A=",0)</f>
        <v>#REF!</v>
      </c>
      <c r="IH40" t="e">
        <f>AND(#REF!,"AAAAAG88I/E=")</f>
        <v>#REF!</v>
      </c>
      <c r="II40" t="e">
        <f>AND(#REF!,"AAAAAG88I/I=")</f>
        <v>#REF!</v>
      </c>
      <c r="IJ40" t="e">
        <f>AND(#REF!,"AAAAAG88I/M=")</f>
        <v>#REF!</v>
      </c>
      <c r="IK40" t="e">
        <f>AND(#REF!,"AAAAAG88I/Q=")</f>
        <v>#REF!</v>
      </c>
      <c r="IL40" t="e">
        <f>AND(#REF!,"AAAAAG88I/U=")</f>
        <v>#REF!</v>
      </c>
      <c r="IM40" t="e">
        <f>AND(#REF!,"AAAAAG88I/Y=")</f>
        <v>#REF!</v>
      </c>
      <c r="IN40" t="e">
        <f>AND(#REF!,"AAAAAG88I/c=")</f>
        <v>#REF!</v>
      </c>
      <c r="IO40" t="e">
        <f>AND(#REF!,"AAAAAG88I/g=")</f>
        <v>#REF!</v>
      </c>
      <c r="IP40" t="e">
        <f>AND(#REF!,"AAAAAG88I/k=")</f>
        <v>#REF!</v>
      </c>
      <c r="IQ40" t="e">
        <f>AND(#REF!,"AAAAAG88I/o=")</f>
        <v>#REF!</v>
      </c>
      <c r="IR40" t="e">
        <f>IF(#REF!,"AAAAAG88I/s=",0)</f>
        <v>#REF!</v>
      </c>
      <c r="IS40" t="e">
        <f>AND(#REF!,"AAAAAG88I/w=")</f>
        <v>#REF!</v>
      </c>
      <c r="IT40" t="e">
        <f>AND(#REF!,"AAAAAG88I/0=")</f>
        <v>#REF!</v>
      </c>
      <c r="IU40" t="e">
        <f>AND(#REF!,"AAAAAG88I/4=")</f>
        <v>#REF!</v>
      </c>
      <c r="IV40" t="e">
        <f>AND(#REF!,"AAAAAG88I/8=")</f>
        <v>#REF!</v>
      </c>
    </row>
    <row r="41" spans="1:256" x14ac:dyDescent="0.25">
      <c r="A41" t="e">
        <f>AND(#REF!,"AAAAAGTHfwA=")</f>
        <v>#REF!</v>
      </c>
      <c r="B41" t="e">
        <f>AND(#REF!,"AAAAAGTHfwE=")</f>
        <v>#REF!</v>
      </c>
      <c r="C41" t="e">
        <f>AND(#REF!,"AAAAAGTHfwI=")</f>
        <v>#REF!</v>
      </c>
      <c r="D41" t="e">
        <f>AND(#REF!,"AAAAAGTHfwM=")</f>
        <v>#REF!</v>
      </c>
      <c r="E41" t="e">
        <f>AND(#REF!,"AAAAAGTHfwQ=")</f>
        <v>#REF!</v>
      </c>
      <c r="F41" t="e">
        <f>AND(#REF!,"AAAAAGTHfwU=")</f>
        <v>#REF!</v>
      </c>
      <c r="G41" t="e">
        <f>IF(#REF!,"AAAAAGTHfwY=",0)</f>
        <v>#REF!</v>
      </c>
      <c r="H41" t="e">
        <f>AND(#REF!,"AAAAAGTHfwc=")</f>
        <v>#REF!</v>
      </c>
      <c r="I41" t="e">
        <f>AND(#REF!,"AAAAAGTHfwg=")</f>
        <v>#REF!</v>
      </c>
      <c r="J41" t="e">
        <f>AND(#REF!,"AAAAAGTHfwk=")</f>
        <v>#REF!</v>
      </c>
      <c r="K41" t="e">
        <f>AND(#REF!,"AAAAAGTHfwo=")</f>
        <v>#REF!</v>
      </c>
      <c r="L41" t="e">
        <f>AND(#REF!,"AAAAAGTHfws=")</f>
        <v>#REF!</v>
      </c>
      <c r="M41" t="e">
        <f>AND(#REF!,"AAAAAGTHfww=")</f>
        <v>#REF!</v>
      </c>
      <c r="N41" t="e">
        <f>AND(#REF!,"AAAAAGTHfw0=")</f>
        <v>#REF!</v>
      </c>
      <c r="O41" t="e">
        <f>AND(#REF!,"AAAAAGTHfw4=")</f>
        <v>#REF!</v>
      </c>
      <c r="P41" t="e">
        <f>AND(#REF!,"AAAAAGTHfw8=")</f>
        <v>#REF!</v>
      </c>
      <c r="Q41" t="e">
        <f>AND(#REF!,"AAAAAGTHfxA=")</f>
        <v>#REF!</v>
      </c>
      <c r="R41" t="e">
        <f>IF(#REF!,"AAAAAGTHfxE=",0)</f>
        <v>#REF!</v>
      </c>
      <c r="S41" t="e">
        <f>AND(#REF!,"AAAAAGTHfxI=")</f>
        <v>#REF!</v>
      </c>
      <c r="T41" t="e">
        <f>AND(#REF!,"AAAAAGTHfxM=")</f>
        <v>#REF!</v>
      </c>
      <c r="U41" t="e">
        <f>AND(#REF!,"AAAAAGTHfxQ=")</f>
        <v>#REF!</v>
      </c>
      <c r="V41" t="e">
        <f>AND(#REF!,"AAAAAGTHfxU=")</f>
        <v>#REF!</v>
      </c>
      <c r="W41" t="e">
        <f>AND(#REF!,"AAAAAGTHfxY=")</f>
        <v>#REF!</v>
      </c>
      <c r="X41" t="e">
        <f>AND(#REF!,"AAAAAGTHfxc=")</f>
        <v>#REF!</v>
      </c>
      <c r="Y41" t="e">
        <f>AND(#REF!,"AAAAAGTHfxg=")</f>
        <v>#REF!</v>
      </c>
      <c r="Z41" t="e">
        <f>AND(#REF!,"AAAAAGTHfxk=")</f>
        <v>#REF!</v>
      </c>
      <c r="AA41" t="e">
        <f>AND(#REF!,"AAAAAGTHfxo=")</f>
        <v>#REF!</v>
      </c>
      <c r="AB41" t="e">
        <f>AND(#REF!,"AAAAAGTHfxs=")</f>
        <v>#REF!</v>
      </c>
      <c r="AC41" t="e">
        <f>IF(#REF!,"AAAAAGTHfxw=",0)</f>
        <v>#REF!</v>
      </c>
      <c r="AD41" t="e">
        <f>AND(#REF!,"AAAAAGTHfx0=")</f>
        <v>#REF!</v>
      </c>
      <c r="AE41" t="e">
        <f>AND(#REF!,"AAAAAGTHfx4=")</f>
        <v>#REF!</v>
      </c>
      <c r="AF41" t="e">
        <f>AND(#REF!,"AAAAAGTHfx8=")</f>
        <v>#REF!</v>
      </c>
      <c r="AG41" t="e">
        <f>AND(#REF!,"AAAAAGTHfyA=")</f>
        <v>#REF!</v>
      </c>
      <c r="AH41" t="e">
        <f>AND(#REF!,"AAAAAGTHfyE=")</f>
        <v>#REF!</v>
      </c>
      <c r="AI41" t="e">
        <f>AND(#REF!,"AAAAAGTHfyI=")</f>
        <v>#REF!</v>
      </c>
      <c r="AJ41" t="e">
        <f>AND(#REF!,"AAAAAGTHfyM=")</f>
        <v>#REF!</v>
      </c>
      <c r="AK41" t="e">
        <f>AND(#REF!,"AAAAAGTHfyQ=")</f>
        <v>#REF!</v>
      </c>
      <c r="AL41" t="e">
        <f>AND(#REF!,"AAAAAGTHfyU=")</f>
        <v>#REF!</v>
      </c>
      <c r="AM41" t="e">
        <f>AND(#REF!,"AAAAAGTHfyY=")</f>
        <v>#REF!</v>
      </c>
      <c r="AN41" t="e">
        <f>IF(#REF!,"AAAAAGTHfyc=",0)</f>
        <v>#REF!</v>
      </c>
      <c r="AO41" t="e">
        <f>AND(#REF!,"AAAAAGTHfyg=")</f>
        <v>#REF!</v>
      </c>
      <c r="AP41" t="e">
        <f>AND(#REF!,"AAAAAGTHfyk=")</f>
        <v>#REF!</v>
      </c>
      <c r="AQ41" t="e">
        <f>AND(#REF!,"AAAAAGTHfyo=")</f>
        <v>#REF!</v>
      </c>
      <c r="AR41" t="e">
        <f>AND(#REF!,"AAAAAGTHfys=")</f>
        <v>#REF!</v>
      </c>
      <c r="AS41" t="e">
        <f>AND(#REF!,"AAAAAGTHfyw=")</f>
        <v>#REF!</v>
      </c>
      <c r="AT41" t="e">
        <f>AND(#REF!,"AAAAAGTHfy0=")</f>
        <v>#REF!</v>
      </c>
      <c r="AU41" t="e">
        <f>AND(#REF!,"AAAAAGTHfy4=")</f>
        <v>#REF!</v>
      </c>
      <c r="AV41" t="e">
        <f>AND(#REF!,"AAAAAGTHfy8=")</f>
        <v>#REF!</v>
      </c>
      <c r="AW41" t="e">
        <f>AND(#REF!,"AAAAAGTHfzA=")</f>
        <v>#REF!</v>
      </c>
      <c r="AX41" t="e">
        <f>AND(#REF!,"AAAAAGTHfzE=")</f>
        <v>#REF!</v>
      </c>
      <c r="AY41" t="e">
        <f>IF(#REF!,"AAAAAGTHfzI=",0)</f>
        <v>#REF!</v>
      </c>
      <c r="AZ41" t="e">
        <f>AND(#REF!,"AAAAAGTHfzM=")</f>
        <v>#REF!</v>
      </c>
      <c r="BA41" t="e">
        <f>AND(#REF!,"AAAAAGTHfzQ=")</f>
        <v>#REF!</v>
      </c>
      <c r="BB41" t="e">
        <f>AND(#REF!,"AAAAAGTHfzU=")</f>
        <v>#REF!</v>
      </c>
      <c r="BC41" t="e">
        <f>AND(#REF!,"AAAAAGTHfzY=")</f>
        <v>#REF!</v>
      </c>
      <c r="BD41" t="e">
        <f>AND(#REF!,"AAAAAGTHfzc=")</f>
        <v>#REF!</v>
      </c>
      <c r="BE41" t="e">
        <f>AND(#REF!,"AAAAAGTHfzg=")</f>
        <v>#REF!</v>
      </c>
      <c r="BF41" t="e">
        <f>AND(#REF!,"AAAAAGTHfzk=")</f>
        <v>#REF!</v>
      </c>
      <c r="BG41" t="e">
        <f>AND(#REF!,"AAAAAGTHfzo=")</f>
        <v>#REF!</v>
      </c>
      <c r="BH41" t="e">
        <f>AND(#REF!,"AAAAAGTHfzs=")</f>
        <v>#REF!</v>
      </c>
      <c r="BI41" t="e">
        <f>AND(#REF!,"AAAAAGTHfzw=")</f>
        <v>#REF!</v>
      </c>
      <c r="BJ41" t="e">
        <f>IF(#REF!,"AAAAAGTHfz0=",0)</f>
        <v>#REF!</v>
      </c>
      <c r="BK41" t="e">
        <f>AND(#REF!,"AAAAAGTHfz4=")</f>
        <v>#REF!</v>
      </c>
      <c r="BL41" t="e">
        <f>AND(#REF!,"AAAAAGTHfz8=")</f>
        <v>#REF!</v>
      </c>
      <c r="BM41" t="e">
        <f>AND(#REF!,"AAAAAGTHf0A=")</f>
        <v>#REF!</v>
      </c>
      <c r="BN41" t="e">
        <f>AND(#REF!,"AAAAAGTHf0E=")</f>
        <v>#REF!</v>
      </c>
      <c r="BO41" t="e">
        <f>AND(#REF!,"AAAAAGTHf0I=")</f>
        <v>#REF!</v>
      </c>
      <c r="BP41" t="e">
        <f>AND(#REF!,"AAAAAGTHf0M=")</f>
        <v>#REF!</v>
      </c>
      <c r="BQ41" t="e">
        <f>AND(#REF!,"AAAAAGTHf0Q=")</f>
        <v>#REF!</v>
      </c>
      <c r="BR41" t="e">
        <f>AND(#REF!,"AAAAAGTHf0U=")</f>
        <v>#REF!</v>
      </c>
      <c r="BS41" t="e">
        <f>AND(#REF!,"AAAAAGTHf0Y=")</f>
        <v>#REF!</v>
      </c>
      <c r="BT41" t="e">
        <f>AND(#REF!,"AAAAAGTHf0c=")</f>
        <v>#REF!</v>
      </c>
      <c r="BU41" t="e">
        <f>IF(#REF!,"AAAAAGTHf0g=",0)</f>
        <v>#REF!</v>
      </c>
      <c r="BV41" t="e">
        <f>AND(#REF!,"AAAAAGTHf0k=")</f>
        <v>#REF!</v>
      </c>
      <c r="BW41" t="e">
        <f>AND(#REF!,"AAAAAGTHf0o=")</f>
        <v>#REF!</v>
      </c>
      <c r="BX41" t="e">
        <f>AND(#REF!,"AAAAAGTHf0s=")</f>
        <v>#REF!</v>
      </c>
      <c r="BY41" t="e">
        <f>AND(#REF!,"AAAAAGTHf0w=")</f>
        <v>#REF!</v>
      </c>
      <c r="BZ41" t="e">
        <f>AND(#REF!,"AAAAAGTHf00=")</f>
        <v>#REF!</v>
      </c>
      <c r="CA41" t="e">
        <f>AND(#REF!,"AAAAAGTHf04=")</f>
        <v>#REF!</v>
      </c>
      <c r="CB41" t="e">
        <f>AND(#REF!,"AAAAAGTHf08=")</f>
        <v>#REF!</v>
      </c>
      <c r="CC41" t="e">
        <f>AND(#REF!,"AAAAAGTHf1A=")</f>
        <v>#REF!</v>
      </c>
      <c r="CD41" t="e">
        <f>AND(#REF!,"AAAAAGTHf1E=")</f>
        <v>#REF!</v>
      </c>
      <c r="CE41" t="e">
        <f>AND(#REF!,"AAAAAGTHf1I=")</f>
        <v>#REF!</v>
      </c>
      <c r="CF41" t="e">
        <f>IF(#REF!,"AAAAAGTHf1M=",0)</f>
        <v>#REF!</v>
      </c>
      <c r="CG41" t="e">
        <f>AND(#REF!,"AAAAAGTHf1Q=")</f>
        <v>#REF!</v>
      </c>
      <c r="CH41" t="e">
        <f>AND(#REF!,"AAAAAGTHf1U=")</f>
        <v>#REF!</v>
      </c>
      <c r="CI41" t="e">
        <f>AND(#REF!,"AAAAAGTHf1Y=")</f>
        <v>#REF!</v>
      </c>
      <c r="CJ41" t="e">
        <f>AND(#REF!,"AAAAAGTHf1c=")</f>
        <v>#REF!</v>
      </c>
      <c r="CK41" t="e">
        <f>AND(#REF!,"AAAAAGTHf1g=")</f>
        <v>#REF!</v>
      </c>
      <c r="CL41" t="e">
        <f>AND(#REF!,"AAAAAGTHf1k=")</f>
        <v>#REF!</v>
      </c>
      <c r="CM41" t="e">
        <f>AND(#REF!,"AAAAAGTHf1o=")</f>
        <v>#REF!</v>
      </c>
      <c r="CN41" t="e">
        <f>AND(#REF!,"AAAAAGTHf1s=")</f>
        <v>#REF!</v>
      </c>
      <c r="CO41" t="e">
        <f>AND(#REF!,"AAAAAGTHf1w=")</f>
        <v>#REF!</v>
      </c>
      <c r="CP41" t="e">
        <f>AND(#REF!,"AAAAAGTHf10=")</f>
        <v>#REF!</v>
      </c>
      <c r="CQ41" t="e">
        <f>IF(#REF!,"AAAAAGTHf14=",0)</f>
        <v>#REF!</v>
      </c>
      <c r="CR41" t="e">
        <f>AND(#REF!,"AAAAAGTHf18=")</f>
        <v>#REF!</v>
      </c>
      <c r="CS41" t="e">
        <f>AND(#REF!,"AAAAAGTHf2A=")</f>
        <v>#REF!</v>
      </c>
      <c r="CT41" t="e">
        <f>AND(#REF!,"AAAAAGTHf2E=")</f>
        <v>#REF!</v>
      </c>
      <c r="CU41" t="e">
        <f>AND(#REF!,"AAAAAGTHf2I=")</f>
        <v>#REF!</v>
      </c>
      <c r="CV41" t="e">
        <f>AND(#REF!,"AAAAAGTHf2M=")</f>
        <v>#REF!</v>
      </c>
      <c r="CW41" t="e">
        <f>AND(#REF!,"AAAAAGTHf2Q=")</f>
        <v>#REF!</v>
      </c>
      <c r="CX41" t="e">
        <f>AND(#REF!,"AAAAAGTHf2U=")</f>
        <v>#REF!</v>
      </c>
      <c r="CY41" t="e">
        <f>AND(#REF!,"AAAAAGTHf2Y=")</f>
        <v>#REF!</v>
      </c>
      <c r="CZ41" t="e">
        <f>AND(#REF!,"AAAAAGTHf2c=")</f>
        <v>#REF!</v>
      </c>
      <c r="DA41" t="e">
        <f>AND(#REF!,"AAAAAGTHf2g=")</f>
        <v>#REF!</v>
      </c>
      <c r="DB41" t="e">
        <f>IF(#REF!,"AAAAAGTHf2k=",0)</f>
        <v>#REF!</v>
      </c>
      <c r="DC41" t="e">
        <f>AND(#REF!,"AAAAAGTHf2o=")</f>
        <v>#REF!</v>
      </c>
      <c r="DD41" t="e">
        <f>AND(#REF!,"AAAAAGTHf2s=")</f>
        <v>#REF!</v>
      </c>
      <c r="DE41" t="e">
        <f>AND(#REF!,"AAAAAGTHf2w=")</f>
        <v>#REF!</v>
      </c>
      <c r="DF41" t="e">
        <f>AND(#REF!,"AAAAAGTHf20=")</f>
        <v>#REF!</v>
      </c>
      <c r="DG41" t="e">
        <f>AND(#REF!,"AAAAAGTHf24=")</f>
        <v>#REF!</v>
      </c>
      <c r="DH41" t="e">
        <f>AND(#REF!,"AAAAAGTHf28=")</f>
        <v>#REF!</v>
      </c>
      <c r="DI41" t="e">
        <f>AND(#REF!,"AAAAAGTHf3A=")</f>
        <v>#REF!</v>
      </c>
      <c r="DJ41" t="e">
        <f>AND(#REF!,"AAAAAGTHf3E=")</f>
        <v>#REF!</v>
      </c>
      <c r="DK41" t="e">
        <f>AND(#REF!,"AAAAAGTHf3I=")</f>
        <v>#REF!</v>
      </c>
      <c r="DL41" t="e">
        <f>AND(#REF!,"AAAAAGTHf3M=")</f>
        <v>#REF!</v>
      </c>
      <c r="DM41" t="e">
        <f>IF(#REF!,"AAAAAGTHf3Q=",0)</f>
        <v>#REF!</v>
      </c>
      <c r="DN41" t="e">
        <f>AND(#REF!,"AAAAAGTHf3U=")</f>
        <v>#REF!</v>
      </c>
      <c r="DO41" t="e">
        <f>AND(#REF!,"AAAAAGTHf3Y=")</f>
        <v>#REF!</v>
      </c>
      <c r="DP41" t="e">
        <f>AND(#REF!,"AAAAAGTHf3c=")</f>
        <v>#REF!</v>
      </c>
      <c r="DQ41" t="e">
        <f>AND(#REF!,"AAAAAGTHf3g=")</f>
        <v>#REF!</v>
      </c>
      <c r="DR41" t="e">
        <f>AND(#REF!,"AAAAAGTHf3k=")</f>
        <v>#REF!</v>
      </c>
      <c r="DS41" t="e">
        <f>AND(#REF!,"AAAAAGTHf3o=")</f>
        <v>#REF!</v>
      </c>
      <c r="DT41" t="e">
        <f>AND(#REF!,"AAAAAGTHf3s=")</f>
        <v>#REF!</v>
      </c>
      <c r="DU41" t="e">
        <f>AND(#REF!,"AAAAAGTHf3w=")</f>
        <v>#REF!</v>
      </c>
      <c r="DV41" t="e">
        <f>AND(#REF!,"AAAAAGTHf30=")</f>
        <v>#REF!</v>
      </c>
      <c r="DW41" t="e">
        <f>AND(#REF!,"AAAAAGTHf34=")</f>
        <v>#REF!</v>
      </c>
      <c r="DX41" t="e">
        <f>IF(#REF!,"AAAAAGTHf38=",0)</f>
        <v>#REF!</v>
      </c>
      <c r="DY41" t="e">
        <f>AND(#REF!,"AAAAAGTHf4A=")</f>
        <v>#REF!</v>
      </c>
      <c r="DZ41" t="e">
        <f>AND(#REF!,"AAAAAGTHf4E=")</f>
        <v>#REF!</v>
      </c>
      <c r="EA41" t="e">
        <f>AND(#REF!,"AAAAAGTHf4I=")</f>
        <v>#REF!</v>
      </c>
      <c r="EB41" t="e">
        <f>AND(#REF!,"AAAAAGTHf4M=")</f>
        <v>#REF!</v>
      </c>
      <c r="EC41" t="e">
        <f>AND(#REF!,"AAAAAGTHf4Q=")</f>
        <v>#REF!</v>
      </c>
      <c r="ED41" t="e">
        <f>AND(#REF!,"AAAAAGTHf4U=")</f>
        <v>#REF!</v>
      </c>
      <c r="EE41" t="e">
        <f>AND(#REF!,"AAAAAGTHf4Y=")</f>
        <v>#REF!</v>
      </c>
      <c r="EF41" t="e">
        <f>AND(#REF!,"AAAAAGTHf4c=")</f>
        <v>#REF!</v>
      </c>
      <c r="EG41" t="e">
        <f>AND(#REF!,"AAAAAGTHf4g=")</f>
        <v>#REF!</v>
      </c>
      <c r="EH41" t="e">
        <f>AND(#REF!,"AAAAAGTHf4k=")</f>
        <v>#REF!</v>
      </c>
      <c r="EI41" t="e">
        <f>IF(#REF!,"AAAAAGTHf4o=",0)</f>
        <v>#REF!</v>
      </c>
      <c r="EJ41" t="e">
        <f>AND(#REF!,"AAAAAGTHf4s=")</f>
        <v>#REF!</v>
      </c>
      <c r="EK41" t="e">
        <f>AND(#REF!,"AAAAAGTHf4w=")</f>
        <v>#REF!</v>
      </c>
      <c r="EL41" t="e">
        <f>AND(#REF!,"AAAAAGTHf40=")</f>
        <v>#REF!</v>
      </c>
      <c r="EM41" t="e">
        <f>AND(#REF!,"AAAAAGTHf44=")</f>
        <v>#REF!</v>
      </c>
      <c r="EN41" t="e">
        <f>AND(#REF!,"AAAAAGTHf48=")</f>
        <v>#REF!</v>
      </c>
      <c r="EO41" t="e">
        <f>AND(#REF!,"AAAAAGTHf5A=")</f>
        <v>#REF!</v>
      </c>
      <c r="EP41" t="e">
        <f>AND(#REF!,"AAAAAGTHf5E=")</f>
        <v>#REF!</v>
      </c>
      <c r="EQ41" t="e">
        <f>AND(#REF!,"AAAAAGTHf5I=")</f>
        <v>#REF!</v>
      </c>
      <c r="ER41" t="e">
        <f>AND(#REF!,"AAAAAGTHf5M=")</f>
        <v>#REF!</v>
      </c>
      <c r="ES41" t="e">
        <f>AND(#REF!,"AAAAAGTHf5Q=")</f>
        <v>#REF!</v>
      </c>
      <c r="ET41" t="e">
        <f>IF(#REF!,"AAAAAGTHf5U=",0)</f>
        <v>#REF!</v>
      </c>
      <c r="EU41" t="e">
        <f>AND(#REF!,"AAAAAGTHf5Y=")</f>
        <v>#REF!</v>
      </c>
      <c r="EV41" t="e">
        <f>AND(#REF!,"AAAAAGTHf5c=")</f>
        <v>#REF!</v>
      </c>
      <c r="EW41" t="e">
        <f>AND(#REF!,"AAAAAGTHf5g=")</f>
        <v>#REF!</v>
      </c>
      <c r="EX41" t="e">
        <f>AND(#REF!,"AAAAAGTHf5k=")</f>
        <v>#REF!</v>
      </c>
      <c r="EY41" t="e">
        <f>AND(#REF!,"AAAAAGTHf5o=")</f>
        <v>#REF!</v>
      </c>
      <c r="EZ41" t="e">
        <f>AND(#REF!,"AAAAAGTHf5s=")</f>
        <v>#REF!</v>
      </c>
      <c r="FA41" t="e">
        <f>AND(#REF!,"AAAAAGTHf5w=")</f>
        <v>#REF!</v>
      </c>
      <c r="FB41" t="e">
        <f>AND(#REF!,"AAAAAGTHf50=")</f>
        <v>#REF!</v>
      </c>
      <c r="FC41" t="e">
        <f>AND(#REF!,"AAAAAGTHf54=")</f>
        <v>#REF!</v>
      </c>
      <c r="FD41" t="e">
        <f>AND(#REF!,"AAAAAGTHf58=")</f>
        <v>#REF!</v>
      </c>
      <c r="FE41" t="e">
        <f>IF(#REF!,"AAAAAGTHf6A=",0)</f>
        <v>#REF!</v>
      </c>
      <c r="FF41" t="e">
        <f>AND(#REF!,"AAAAAGTHf6E=")</f>
        <v>#REF!</v>
      </c>
      <c r="FG41" t="e">
        <f>AND(#REF!,"AAAAAGTHf6I=")</f>
        <v>#REF!</v>
      </c>
      <c r="FH41" t="e">
        <f>AND(#REF!,"AAAAAGTHf6M=")</f>
        <v>#REF!</v>
      </c>
      <c r="FI41" t="e">
        <f>AND(#REF!,"AAAAAGTHf6Q=")</f>
        <v>#REF!</v>
      </c>
      <c r="FJ41" t="e">
        <f>AND(#REF!,"AAAAAGTHf6U=")</f>
        <v>#REF!</v>
      </c>
      <c r="FK41" t="e">
        <f>AND(#REF!,"AAAAAGTHf6Y=")</f>
        <v>#REF!</v>
      </c>
      <c r="FL41" t="e">
        <f>AND(#REF!,"AAAAAGTHf6c=")</f>
        <v>#REF!</v>
      </c>
      <c r="FM41" t="e">
        <f>AND(#REF!,"AAAAAGTHf6g=")</f>
        <v>#REF!</v>
      </c>
      <c r="FN41" t="e">
        <f>AND(#REF!,"AAAAAGTHf6k=")</f>
        <v>#REF!</v>
      </c>
      <c r="FO41" t="e">
        <f>AND(#REF!,"AAAAAGTHf6o=")</f>
        <v>#REF!</v>
      </c>
      <c r="FP41" t="e">
        <f>IF(#REF!,"AAAAAGTHf6s=",0)</f>
        <v>#REF!</v>
      </c>
      <c r="FQ41" t="e">
        <f>AND(#REF!,"AAAAAGTHf6w=")</f>
        <v>#REF!</v>
      </c>
      <c r="FR41" t="e">
        <f>AND(#REF!,"AAAAAGTHf60=")</f>
        <v>#REF!</v>
      </c>
      <c r="FS41" t="e">
        <f>AND(#REF!,"AAAAAGTHf64=")</f>
        <v>#REF!</v>
      </c>
      <c r="FT41" t="e">
        <f>AND(#REF!,"AAAAAGTHf68=")</f>
        <v>#REF!</v>
      </c>
      <c r="FU41" t="e">
        <f>AND(#REF!,"AAAAAGTHf7A=")</f>
        <v>#REF!</v>
      </c>
      <c r="FV41" t="e">
        <f>AND(#REF!,"AAAAAGTHf7E=")</f>
        <v>#REF!</v>
      </c>
      <c r="FW41" t="e">
        <f>AND(#REF!,"AAAAAGTHf7I=")</f>
        <v>#REF!</v>
      </c>
      <c r="FX41" t="e">
        <f>AND(#REF!,"AAAAAGTHf7M=")</f>
        <v>#REF!</v>
      </c>
      <c r="FY41" t="e">
        <f>AND(#REF!,"AAAAAGTHf7Q=")</f>
        <v>#REF!</v>
      </c>
      <c r="FZ41" t="e">
        <f>AND(#REF!,"AAAAAGTHf7U=")</f>
        <v>#REF!</v>
      </c>
      <c r="GA41" t="e">
        <f>IF(#REF!,"AAAAAGTHf7Y=",0)</f>
        <v>#REF!</v>
      </c>
      <c r="GB41" t="e">
        <f>AND(#REF!,"AAAAAGTHf7c=")</f>
        <v>#REF!</v>
      </c>
      <c r="GC41" t="e">
        <f>AND(#REF!,"AAAAAGTHf7g=")</f>
        <v>#REF!</v>
      </c>
      <c r="GD41" t="e">
        <f>AND(#REF!,"AAAAAGTHf7k=")</f>
        <v>#REF!</v>
      </c>
      <c r="GE41" t="e">
        <f>AND(#REF!,"AAAAAGTHf7o=")</f>
        <v>#REF!</v>
      </c>
      <c r="GF41" t="e">
        <f>AND(#REF!,"AAAAAGTHf7s=")</f>
        <v>#REF!</v>
      </c>
      <c r="GG41" t="e">
        <f>AND(#REF!,"AAAAAGTHf7w=")</f>
        <v>#REF!</v>
      </c>
      <c r="GH41" t="e">
        <f>AND(#REF!,"AAAAAGTHf70=")</f>
        <v>#REF!</v>
      </c>
      <c r="GI41" t="e">
        <f>AND(#REF!,"AAAAAGTHf74=")</f>
        <v>#REF!</v>
      </c>
      <c r="GJ41" t="e">
        <f>AND(#REF!,"AAAAAGTHf78=")</f>
        <v>#REF!</v>
      </c>
      <c r="GK41" t="e">
        <f>AND(#REF!,"AAAAAGTHf8A=")</f>
        <v>#REF!</v>
      </c>
      <c r="GL41" t="e">
        <f>IF(#REF!,"AAAAAGTHf8E=",0)</f>
        <v>#REF!</v>
      </c>
      <c r="GM41" t="e">
        <f>AND(#REF!,"AAAAAGTHf8I=")</f>
        <v>#REF!</v>
      </c>
      <c r="GN41" t="e">
        <f>AND(#REF!,"AAAAAGTHf8M=")</f>
        <v>#REF!</v>
      </c>
      <c r="GO41" t="e">
        <f>AND(#REF!,"AAAAAGTHf8Q=")</f>
        <v>#REF!</v>
      </c>
      <c r="GP41" t="e">
        <f>AND(#REF!,"AAAAAGTHf8U=")</f>
        <v>#REF!</v>
      </c>
      <c r="GQ41" t="e">
        <f>AND(#REF!,"AAAAAGTHf8Y=")</f>
        <v>#REF!</v>
      </c>
      <c r="GR41" t="e">
        <f>AND(#REF!,"AAAAAGTHf8c=")</f>
        <v>#REF!</v>
      </c>
      <c r="GS41" t="e">
        <f>AND(#REF!,"AAAAAGTHf8g=")</f>
        <v>#REF!</v>
      </c>
      <c r="GT41" t="e">
        <f>AND(#REF!,"AAAAAGTHf8k=")</f>
        <v>#REF!</v>
      </c>
      <c r="GU41" t="e">
        <f>AND(#REF!,"AAAAAGTHf8o=")</f>
        <v>#REF!</v>
      </c>
      <c r="GV41" t="e">
        <f>AND(#REF!,"AAAAAGTHf8s=")</f>
        <v>#REF!</v>
      </c>
      <c r="GW41" t="e">
        <f>IF(#REF!,"AAAAAGTHf8w=",0)</f>
        <v>#REF!</v>
      </c>
      <c r="GX41" t="e">
        <f>AND(#REF!,"AAAAAGTHf80=")</f>
        <v>#REF!</v>
      </c>
      <c r="GY41" t="e">
        <f>AND(#REF!,"AAAAAGTHf84=")</f>
        <v>#REF!</v>
      </c>
      <c r="GZ41" t="e">
        <f>AND(#REF!,"AAAAAGTHf88=")</f>
        <v>#REF!</v>
      </c>
      <c r="HA41" t="e">
        <f>AND(#REF!,"AAAAAGTHf9A=")</f>
        <v>#REF!</v>
      </c>
      <c r="HB41" t="e">
        <f>AND(#REF!,"AAAAAGTHf9E=")</f>
        <v>#REF!</v>
      </c>
      <c r="HC41" t="e">
        <f>AND(#REF!,"AAAAAGTHf9I=")</f>
        <v>#REF!</v>
      </c>
      <c r="HD41" t="e">
        <f>AND(#REF!,"AAAAAGTHf9M=")</f>
        <v>#REF!</v>
      </c>
      <c r="HE41" t="e">
        <f>AND(#REF!,"AAAAAGTHf9Q=")</f>
        <v>#REF!</v>
      </c>
      <c r="HF41" t="e">
        <f>AND(#REF!,"AAAAAGTHf9U=")</f>
        <v>#REF!</v>
      </c>
      <c r="HG41" t="e">
        <f>AND(#REF!,"AAAAAGTHf9Y=")</f>
        <v>#REF!</v>
      </c>
      <c r="HH41" t="e">
        <f>IF(#REF!,"AAAAAGTHf9c=",0)</f>
        <v>#REF!</v>
      </c>
      <c r="HI41" t="e">
        <f>AND(#REF!,"AAAAAGTHf9g=")</f>
        <v>#REF!</v>
      </c>
      <c r="HJ41" t="e">
        <f>AND(#REF!,"AAAAAGTHf9k=")</f>
        <v>#REF!</v>
      </c>
      <c r="HK41" t="e">
        <f>AND(#REF!,"AAAAAGTHf9o=")</f>
        <v>#REF!</v>
      </c>
      <c r="HL41" t="e">
        <f>AND(#REF!,"AAAAAGTHf9s=")</f>
        <v>#REF!</v>
      </c>
      <c r="HM41" t="e">
        <f>AND(#REF!,"AAAAAGTHf9w=")</f>
        <v>#REF!</v>
      </c>
      <c r="HN41" t="e">
        <f>AND(#REF!,"AAAAAGTHf90=")</f>
        <v>#REF!</v>
      </c>
      <c r="HO41" t="e">
        <f>AND(#REF!,"AAAAAGTHf94=")</f>
        <v>#REF!</v>
      </c>
      <c r="HP41" t="e">
        <f>AND(#REF!,"AAAAAGTHf98=")</f>
        <v>#REF!</v>
      </c>
      <c r="HQ41" t="e">
        <f>AND(#REF!,"AAAAAGTHf+A=")</f>
        <v>#REF!</v>
      </c>
      <c r="HR41" t="e">
        <f>AND(#REF!,"AAAAAGTHf+E=")</f>
        <v>#REF!</v>
      </c>
      <c r="HS41" t="e">
        <f>IF(#REF!,"AAAAAGTHf+I=",0)</f>
        <v>#REF!</v>
      </c>
      <c r="HT41" t="e">
        <f>AND(#REF!,"AAAAAGTHf+M=")</f>
        <v>#REF!</v>
      </c>
      <c r="HU41" t="e">
        <f>AND(#REF!,"AAAAAGTHf+Q=")</f>
        <v>#REF!</v>
      </c>
      <c r="HV41" t="e">
        <f>AND(#REF!,"AAAAAGTHf+U=")</f>
        <v>#REF!</v>
      </c>
      <c r="HW41" t="e">
        <f>AND(#REF!,"AAAAAGTHf+Y=")</f>
        <v>#REF!</v>
      </c>
      <c r="HX41" t="e">
        <f>AND(#REF!,"AAAAAGTHf+c=")</f>
        <v>#REF!</v>
      </c>
      <c r="HY41" t="e">
        <f>AND(#REF!,"AAAAAGTHf+g=")</f>
        <v>#REF!</v>
      </c>
      <c r="HZ41" t="e">
        <f>AND(#REF!,"AAAAAGTHf+k=")</f>
        <v>#REF!</v>
      </c>
      <c r="IA41" t="e">
        <f>AND(#REF!,"AAAAAGTHf+o=")</f>
        <v>#REF!</v>
      </c>
      <c r="IB41" t="e">
        <f>AND(#REF!,"AAAAAGTHf+s=")</f>
        <v>#REF!</v>
      </c>
      <c r="IC41" t="e">
        <f>AND(#REF!,"AAAAAGTHf+w=")</f>
        <v>#REF!</v>
      </c>
      <c r="ID41" t="e">
        <f>IF(#REF!,"AAAAAGTHf+0=",0)</f>
        <v>#REF!</v>
      </c>
      <c r="IE41" t="e">
        <f>AND(#REF!,"AAAAAGTHf+4=")</f>
        <v>#REF!</v>
      </c>
      <c r="IF41" t="e">
        <f>AND(#REF!,"AAAAAGTHf+8=")</f>
        <v>#REF!</v>
      </c>
      <c r="IG41" t="e">
        <f>AND(#REF!,"AAAAAGTHf/A=")</f>
        <v>#REF!</v>
      </c>
      <c r="IH41" t="e">
        <f>AND(#REF!,"AAAAAGTHf/E=")</f>
        <v>#REF!</v>
      </c>
      <c r="II41" t="e">
        <f>AND(#REF!,"AAAAAGTHf/I=")</f>
        <v>#REF!</v>
      </c>
      <c r="IJ41" t="e">
        <f>AND(#REF!,"AAAAAGTHf/M=")</f>
        <v>#REF!</v>
      </c>
      <c r="IK41" t="e">
        <f>AND(#REF!,"AAAAAGTHf/Q=")</f>
        <v>#REF!</v>
      </c>
      <c r="IL41" t="e">
        <f>AND(#REF!,"AAAAAGTHf/U=")</f>
        <v>#REF!</v>
      </c>
      <c r="IM41" t="e">
        <f>AND(#REF!,"AAAAAGTHf/Y=")</f>
        <v>#REF!</v>
      </c>
      <c r="IN41" t="e">
        <f>AND(#REF!,"AAAAAGTHf/c=")</f>
        <v>#REF!</v>
      </c>
      <c r="IO41" t="e">
        <f>IF(#REF!,"AAAAAGTHf/g=",0)</f>
        <v>#REF!</v>
      </c>
      <c r="IP41" t="e">
        <f>AND(#REF!,"AAAAAGTHf/k=")</f>
        <v>#REF!</v>
      </c>
      <c r="IQ41" t="e">
        <f>AND(#REF!,"AAAAAGTHf/o=")</f>
        <v>#REF!</v>
      </c>
      <c r="IR41" t="e">
        <f>AND(#REF!,"AAAAAGTHf/s=")</f>
        <v>#REF!</v>
      </c>
      <c r="IS41" t="e">
        <f>AND(#REF!,"AAAAAGTHf/w=")</f>
        <v>#REF!</v>
      </c>
      <c r="IT41" t="e">
        <f>AND(#REF!,"AAAAAGTHf/0=")</f>
        <v>#REF!</v>
      </c>
      <c r="IU41" t="e">
        <f>AND(#REF!,"AAAAAGTHf/4=")</f>
        <v>#REF!</v>
      </c>
      <c r="IV41" t="e">
        <f>AND(#REF!,"AAAAAGTHf/8=")</f>
        <v>#REF!</v>
      </c>
    </row>
    <row r="42" spans="1:256" x14ac:dyDescent="0.25">
      <c r="A42" t="e">
        <f>AND(#REF!,"AAAAAHn3vgA=")</f>
        <v>#REF!</v>
      </c>
      <c r="B42" t="e">
        <f>AND(#REF!,"AAAAAHn3vgE=")</f>
        <v>#REF!</v>
      </c>
      <c r="C42" t="e">
        <f>AND(#REF!,"AAAAAHn3vgI=")</f>
        <v>#REF!</v>
      </c>
      <c r="D42" t="e">
        <f>IF(#REF!,"AAAAAHn3vgM=",0)</f>
        <v>#REF!</v>
      </c>
      <c r="E42" t="e">
        <f>AND(#REF!,"AAAAAHn3vgQ=")</f>
        <v>#REF!</v>
      </c>
      <c r="F42" t="e">
        <f>AND(#REF!,"AAAAAHn3vgU=")</f>
        <v>#REF!</v>
      </c>
      <c r="G42" t="e">
        <f>AND(#REF!,"AAAAAHn3vgY=")</f>
        <v>#REF!</v>
      </c>
      <c r="H42" t="e">
        <f>AND(#REF!,"AAAAAHn3vgc=")</f>
        <v>#REF!</v>
      </c>
      <c r="I42" t="e">
        <f>AND(#REF!,"AAAAAHn3vgg=")</f>
        <v>#REF!</v>
      </c>
      <c r="J42" t="e">
        <f>AND(#REF!,"AAAAAHn3vgk=")</f>
        <v>#REF!</v>
      </c>
      <c r="K42" t="e">
        <f>AND(#REF!,"AAAAAHn3vgo=")</f>
        <v>#REF!</v>
      </c>
      <c r="L42" t="e">
        <f>AND(#REF!,"AAAAAHn3vgs=")</f>
        <v>#REF!</v>
      </c>
      <c r="M42" t="e">
        <f>AND(#REF!,"AAAAAHn3vgw=")</f>
        <v>#REF!</v>
      </c>
      <c r="N42" t="e">
        <f>AND(#REF!,"AAAAAHn3vg0=")</f>
        <v>#REF!</v>
      </c>
      <c r="O42" t="e">
        <f>IF(#REF!,"AAAAAHn3vg4=",0)</f>
        <v>#REF!</v>
      </c>
      <c r="P42" t="e">
        <f>AND(#REF!,"AAAAAHn3vg8=")</f>
        <v>#REF!</v>
      </c>
      <c r="Q42" t="e">
        <f>AND(#REF!,"AAAAAHn3vhA=")</f>
        <v>#REF!</v>
      </c>
      <c r="R42" t="e">
        <f>AND(#REF!,"AAAAAHn3vhE=")</f>
        <v>#REF!</v>
      </c>
      <c r="S42" t="e">
        <f>AND(#REF!,"AAAAAHn3vhI=")</f>
        <v>#REF!</v>
      </c>
      <c r="T42" t="e">
        <f>AND(#REF!,"AAAAAHn3vhM=")</f>
        <v>#REF!</v>
      </c>
      <c r="U42" t="e">
        <f>AND(#REF!,"AAAAAHn3vhQ=")</f>
        <v>#REF!</v>
      </c>
      <c r="V42" t="e">
        <f>AND(#REF!,"AAAAAHn3vhU=")</f>
        <v>#REF!</v>
      </c>
      <c r="W42" t="e">
        <f>AND(#REF!,"AAAAAHn3vhY=")</f>
        <v>#REF!</v>
      </c>
      <c r="X42" t="e">
        <f>AND(#REF!,"AAAAAHn3vhc=")</f>
        <v>#REF!</v>
      </c>
      <c r="Y42" t="e">
        <f>AND(#REF!,"AAAAAHn3vhg=")</f>
        <v>#REF!</v>
      </c>
      <c r="Z42" t="e">
        <f>IF(#REF!,"AAAAAHn3vhk=",0)</f>
        <v>#REF!</v>
      </c>
      <c r="AA42" t="e">
        <f>AND(#REF!,"AAAAAHn3vho=")</f>
        <v>#REF!</v>
      </c>
      <c r="AB42" t="e">
        <f>AND(#REF!,"AAAAAHn3vhs=")</f>
        <v>#REF!</v>
      </c>
      <c r="AC42" t="e">
        <f>AND(#REF!,"AAAAAHn3vhw=")</f>
        <v>#REF!</v>
      </c>
      <c r="AD42" t="e">
        <f>AND(#REF!,"AAAAAHn3vh0=")</f>
        <v>#REF!</v>
      </c>
      <c r="AE42" t="e">
        <f>AND(#REF!,"AAAAAHn3vh4=")</f>
        <v>#REF!</v>
      </c>
      <c r="AF42" t="e">
        <f>AND(#REF!,"AAAAAHn3vh8=")</f>
        <v>#REF!</v>
      </c>
      <c r="AG42" t="e">
        <f>AND(#REF!,"AAAAAHn3viA=")</f>
        <v>#REF!</v>
      </c>
      <c r="AH42" t="e">
        <f>AND(#REF!,"AAAAAHn3viE=")</f>
        <v>#REF!</v>
      </c>
      <c r="AI42" t="e">
        <f>AND(#REF!,"AAAAAHn3viI=")</f>
        <v>#REF!</v>
      </c>
      <c r="AJ42" t="e">
        <f>AND(#REF!,"AAAAAHn3viM=")</f>
        <v>#REF!</v>
      </c>
      <c r="AK42" t="e">
        <f>IF(#REF!,"AAAAAHn3viQ=",0)</f>
        <v>#REF!</v>
      </c>
      <c r="AL42" t="e">
        <f>AND(#REF!,"AAAAAHn3viU=")</f>
        <v>#REF!</v>
      </c>
      <c r="AM42" t="e">
        <f>AND(#REF!,"AAAAAHn3viY=")</f>
        <v>#REF!</v>
      </c>
      <c r="AN42" t="e">
        <f>AND(#REF!,"AAAAAHn3vic=")</f>
        <v>#REF!</v>
      </c>
      <c r="AO42" t="e">
        <f>AND(#REF!,"AAAAAHn3vig=")</f>
        <v>#REF!</v>
      </c>
      <c r="AP42" t="e">
        <f>AND(#REF!,"AAAAAHn3vik=")</f>
        <v>#REF!</v>
      </c>
      <c r="AQ42" t="e">
        <f>AND(#REF!,"AAAAAHn3vio=")</f>
        <v>#REF!</v>
      </c>
      <c r="AR42" t="e">
        <f>AND(#REF!,"AAAAAHn3vis=")</f>
        <v>#REF!</v>
      </c>
      <c r="AS42" t="e">
        <f>AND(#REF!,"AAAAAHn3viw=")</f>
        <v>#REF!</v>
      </c>
      <c r="AT42" t="e">
        <f>AND(#REF!,"AAAAAHn3vi0=")</f>
        <v>#REF!</v>
      </c>
      <c r="AU42" t="e">
        <f>AND(#REF!,"AAAAAHn3vi4=")</f>
        <v>#REF!</v>
      </c>
      <c r="AV42" t="e">
        <f>IF(#REF!,"AAAAAHn3vi8=",0)</f>
        <v>#REF!</v>
      </c>
      <c r="AW42" t="e">
        <f>AND(#REF!,"AAAAAHn3vjA=")</f>
        <v>#REF!</v>
      </c>
      <c r="AX42" t="e">
        <f>AND(#REF!,"AAAAAHn3vjE=")</f>
        <v>#REF!</v>
      </c>
      <c r="AY42" t="e">
        <f>AND(#REF!,"AAAAAHn3vjI=")</f>
        <v>#REF!</v>
      </c>
      <c r="AZ42" t="e">
        <f>AND(#REF!,"AAAAAHn3vjM=")</f>
        <v>#REF!</v>
      </c>
      <c r="BA42" t="e">
        <f>AND(#REF!,"AAAAAHn3vjQ=")</f>
        <v>#REF!</v>
      </c>
      <c r="BB42" t="e">
        <f>AND(#REF!,"AAAAAHn3vjU=")</f>
        <v>#REF!</v>
      </c>
      <c r="BC42" t="e">
        <f>AND(#REF!,"AAAAAHn3vjY=")</f>
        <v>#REF!</v>
      </c>
      <c r="BD42" t="e">
        <f>AND(#REF!,"AAAAAHn3vjc=")</f>
        <v>#REF!</v>
      </c>
      <c r="BE42" t="e">
        <f>AND(#REF!,"AAAAAHn3vjg=")</f>
        <v>#REF!</v>
      </c>
      <c r="BF42" t="e">
        <f>AND(#REF!,"AAAAAHn3vjk=")</f>
        <v>#REF!</v>
      </c>
      <c r="BG42" t="e">
        <f>IF(#REF!,"AAAAAHn3vjo=",0)</f>
        <v>#REF!</v>
      </c>
      <c r="BH42" t="e">
        <f>AND(#REF!,"AAAAAHn3vjs=")</f>
        <v>#REF!</v>
      </c>
      <c r="BI42" t="e">
        <f>AND(#REF!,"AAAAAHn3vjw=")</f>
        <v>#REF!</v>
      </c>
      <c r="BJ42" t="e">
        <f>AND(#REF!,"AAAAAHn3vj0=")</f>
        <v>#REF!</v>
      </c>
      <c r="BK42" t="e">
        <f>AND(#REF!,"AAAAAHn3vj4=")</f>
        <v>#REF!</v>
      </c>
      <c r="BL42" t="e">
        <f>AND(#REF!,"AAAAAHn3vj8=")</f>
        <v>#REF!</v>
      </c>
      <c r="BM42" t="e">
        <f>AND(#REF!,"AAAAAHn3vkA=")</f>
        <v>#REF!</v>
      </c>
      <c r="BN42" t="e">
        <f>AND(#REF!,"AAAAAHn3vkE=")</f>
        <v>#REF!</v>
      </c>
      <c r="BO42" t="e">
        <f>AND(#REF!,"AAAAAHn3vkI=")</f>
        <v>#REF!</v>
      </c>
      <c r="BP42" t="e">
        <f>AND(#REF!,"AAAAAHn3vkM=")</f>
        <v>#REF!</v>
      </c>
      <c r="BQ42" t="e">
        <f>AND(#REF!,"AAAAAHn3vkQ=")</f>
        <v>#REF!</v>
      </c>
      <c r="BR42" t="e">
        <f>IF(#REF!,"AAAAAHn3vkU=",0)</f>
        <v>#REF!</v>
      </c>
      <c r="BS42" t="e">
        <f>AND(#REF!,"AAAAAHn3vkY=")</f>
        <v>#REF!</v>
      </c>
      <c r="BT42" t="e">
        <f>AND(#REF!,"AAAAAHn3vkc=")</f>
        <v>#REF!</v>
      </c>
      <c r="BU42" t="e">
        <f>AND(#REF!,"AAAAAHn3vkg=")</f>
        <v>#REF!</v>
      </c>
      <c r="BV42" t="e">
        <f>AND(#REF!,"AAAAAHn3vkk=")</f>
        <v>#REF!</v>
      </c>
      <c r="BW42" t="e">
        <f>AND(#REF!,"AAAAAHn3vko=")</f>
        <v>#REF!</v>
      </c>
      <c r="BX42" t="e">
        <f>AND(#REF!,"AAAAAHn3vks=")</f>
        <v>#REF!</v>
      </c>
      <c r="BY42" t="e">
        <f>AND(#REF!,"AAAAAHn3vkw=")</f>
        <v>#REF!</v>
      </c>
      <c r="BZ42" t="e">
        <f>AND(#REF!,"AAAAAHn3vk0=")</f>
        <v>#REF!</v>
      </c>
      <c r="CA42" t="e">
        <f>AND(#REF!,"AAAAAHn3vk4=")</f>
        <v>#REF!</v>
      </c>
      <c r="CB42" t="e">
        <f>AND(#REF!,"AAAAAHn3vk8=")</f>
        <v>#REF!</v>
      </c>
      <c r="CC42" t="e">
        <f>IF(#REF!,"AAAAAHn3vlA=",0)</f>
        <v>#REF!</v>
      </c>
      <c r="CD42" t="e">
        <f>AND(#REF!,"AAAAAHn3vlE=")</f>
        <v>#REF!</v>
      </c>
      <c r="CE42" t="e">
        <f>AND(#REF!,"AAAAAHn3vlI=")</f>
        <v>#REF!</v>
      </c>
      <c r="CF42" t="e">
        <f>AND(#REF!,"AAAAAHn3vlM=")</f>
        <v>#REF!</v>
      </c>
      <c r="CG42" t="e">
        <f>AND(#REF!,"AAAAAHn3vlQ=")</f>
        <v>#REF!</v>
      </c>
      <c r="CH42" t="e">
        <f>AND(#REF!,"AAAAAHn3vlU=")</f>
        <v>#REF!</v>
      </c>
      <c r="CI42" t="e">
        <f>AND(#REF!,"AAAAAHn3vlY=")</f>
        <v>#REF!</v>
      </c>
      <c r="CJ42" t="e">
        <f>AND(#REF!,"AAAAAHn3vlc=")</f>
        <v>#REF!</v>
      </c>
      <c r="CK42" t="e">
        <f>AND(#REF!,"AAAAAHn3vlg=")</f>
        <v>#REF!</v>
      </c>
      <c r="CL42" t="e">
        <f>AND(#REF!,"AAAAAHn3vlk=")</f>
        <v>#REF!</v>
      </c>
      <c r="CM42" t="e">
        <f>AND(#REF!,"AAAAAHn3vlo=")</f>
        <v>#REF!</v>
      </c>
      <c r="CN42" t="e">
        <f>IF(#REF!,"AAAAAHn3vls=",0)</f>
        <v>#REF!</v>
      </c>
      <c r="CO42" t="e">
        <f>AND(#REF!,"AAAAAHn3vlw=")</f>
        <v>#REF!</v>
      </c>
      <c r="CP42" t="e">
        <f>AND(#REF!,"AAAAAHn3vl0=")</f>
        <v>#REF!</v>
      </c>
      <c r="CQ42" t="e">
        <f>AND(#REF!,"AAAAAHn3vl4=")</f>
        <v>#REF!</v>
      </c>
      <c r="CR42" t="e">
        <f>AND(#REF!,"AAAAAHn3vl8=")</f>
        <v>#REF!</v>
      </c>
      <c r="CS42" t="e">
        <f>AND(#REF!,"AAAAAHn3vmA=")</f>
        <v>#REF!</v>
      </c>
      <c r="CT42" t="e">
        <f>AND(#REF!,"AAAAAHn3vmE=")</f>
        <v>#REF!</v>
      </c>
      <c r="CU42" t="e">
        <f>AND(#REF!,"AAAAAHn3vmI=")</f>
        <v>#REF!</v>
      </c>
      <c r="CV42" t="e">
        <f>AND(#REF!,"AAAAAHn3vmM=")</f>
        <v>#REF!</v>
      </c>
      <c r="CW42" t="e">
        <f>AND(#REF!,"AAAAAHn3vmQ=")</f>
        <v>#REF!</v>
      </c>
      <c r="CX42" t="e">
        <f>AND(#REF!,"AAAAAHn3vmU=")</f>
        <v>#REF!</v>
      </c>
      <c r="CY42" t="e">
        <f>IF(#REF!,"AAAAAHn3vmY=",0)</f>
        <v>#REF!</v>
      </c>
      <c r="CZ42" t="e">
        <f>AND(#REF!,"AAAAAHn3vmc=")</f>
        <v>#REF!</v>
      </c>
      <c r="DA42" t="e">
        <f>AND(#REF!,"AAAAAHn3vmg=")</f>
        <v>#REF!</v>
      </c>
      <c r="DB42" t="e">
        <f>AND(#REF!,"AAAAAHn3vmk=")</f>
        <v>#REF!</v>
      </c>
      <c r="DC42" t="e">
        <f>AND(#REF!,"AAAAAHn3vmo=")</f>
        <v>#REF!</v>
      </c>
      <c r="DD42" t="e">
        <f>AND(#REF!,"AAAAAHn3vms=")</f>
        <v>#REF!</v>
      </c>
      <c r="DE42" t="e">
        <f>AND(#REF!,"AAAAAHn3vmw=")</f>
        <v>#REF!</v>
      </c>
      <c r="DF42" t="e">
        <f>AND(#REF!,"AAAAAHn3vm0=")</f>
        <v>#REF!</v>
      </c>
      <c r="DG42" t="e">
        <f>AND(#REF!,"AAAAAHn3vm4=")</f>
        <v>#REF!</v>
      </c>
      <c r="DH42" t="e">
        <f>AND(#REF!,"AAAAAHn3vm8=")</f>
        <v>#REF!</v>
      </c>
      <c r="DI42" t="e">
        <f>AND(#REF!,"AAAAAHn3vnA=")</f>
        <v>#REF!</v>
      </c>
      <c r="DJ42" t="e">
        <f>IF(#REF!,"AAAAAHn3vnE=",0)</f>
        <v>#REF!</v>
      </c>
      <c r="DK42" t="e">
        <f>AND(#REF!,"AAAAAHn3vnI=")</f>
        <v>#REF!</v>
      </c>
      <c r="DL42" t="e">
        <f>AND(#REF!,"AAAAAHn3vnM=")</f>
        <v>#REF!</v>
      </c>
      <c r="DM42" t="e">
        <f>AND(#REF!,"AAAAAHn3vnQ=")</f>
        <v>#REF!</v>
      </c>
      <c r="DN42" t="e">
        <f>AND(#REF!,"AAAAAHn3vnU=")</f>
        <v>#REF!</v>
      </c>
      <c r="DO42" t="e">
        <f>AND(#REF!,"AAAAAHn3vnY=")</f>
        <v>#REF!</v>
      </c>
      <c r="DP42" t="e">
        <f>AND(#REF!,"AAAAAHn3vnc=")</f>
        <v>#REF!</v>
      </c>
      <c r="DQ42" t="e">
        <f>AND(#REF!,"AAAAAHn3vng=")</f>
        <v>#REF!</v>
      </c>
      <c r="DR42" t="e">
        <f>AND(#REF!,"AAAAAHn3vnk=")</f>
        <v>#REF!</v>
      </c>
      <c r="DS42" t="e">
        <f>AND(#REF!,"AAAAAHn3vno=")</f>
        <v>#REF!</v>
      </c>
      <c r="DT42" t="e">
        <f>AND(#REF!,"AAAAAHn3vns=")</f>
        <v>#REF!</v>
      </c>
      <c r="DU42" t="e">
        <f>IF(#REF!,"AAAAAHn3vnw=",0)</f>
        <v>#REF!</v>
      </c>
      <c r="DV42" t="e">
        <f>AND(#REF!,"AAAAAHn3vn0=")</f>
        <v>#REF!</v>
      </c>
      <c r="DW42" t="e">
        <f>AND(#REF!,"AAAAAHn3vn4=")</f>
        <v>#REF!</v>
      </c>
      <c r="DX42" t="e">
        <f>AND(#REF!,"AAAAAHn3vn8=")</f>
        <v>#REF!</v>
      </c>
      <c r="DY42" t="e">
        <f>AND(#REF!,"AAAAAHn3voA=")</f>
        <v>#REF!</v>
      </c>
      <c r="DZ42" t="e">
        <f>AND(#REF!,"AAAAAHn3voE=")</f>
        <v>#REF!</v>
      </c>
      <c r="EA42" t="e">
        <f>AND(#REF!,"AAAAAHn3voI=")</f>
        <v>#REF!</v>
      </c>
      <c r="EB42" t="e">
        <f>AND(#REF!,"AAAAAHn3voM=")</f>
        <v>#REF!</v>
      </c>
      <c r="EC42" t="e">
        <f>AND(#REF!,"AAAAAHn3voQ=")</f>
        <v>#REF!</v>
      </c>
      <c r="ED42" t="e">
        <f>AND(#REF!,"AAAAAHn3voU=")</f>
        <v>#REF!</v>
      </c>
      <c r="EE42" t="e">
        <f>AND(#REF!,"AAAAAHn3voY=")</f>
        <v>#REF!</v>
      </c>
      <c r="EF42" t="e">
        <f>IF(#REF!,"AAAAAHn3voc=",0)</f>
        <v>#REF!</v>
      </c>
      <c r="EG42" t="e">
        <f>AND(#REF!,"AAAAAHn3vog=")</f>
        <v>#REF!</v>
      </c>
      <c r="EH42" t="e">
        <f>AND(#REF!,"AAAAAHn3vok=")</f>
        <v>#REF!</v>
      </c>
      <c r="EI42" t="e">
        <f>AND(#REF!,"AAAAAHn3voo=")</f>
        <v>#REF!</v>
      </c>
      <c r="EJ42" t="e">
        <f>AND(#REF!,"AAAAAHn3vos=")</f>
        <v>#REF!</v>
      </c>
      <c r="EK42" t="e">
        <f>AND(#REF!,"AAAAAHn3vow=")</f>
        <v>#REF!</v>
      </c>
      <c r="EL42" t="e">
        <f>AND(#REF!,"AAAAAHn3vo0=")</f>
        <v>#REF!</v>
      </c>
      <c r="EM42" t="e">
        <f>AND(#REF!,"AAAAAHn3vo4=")</f>
        <v>#REF!</v>
      </c>
      <c r="EN42" t="e">
        <f>AND(#REF!,"AAAAAHn3vo8=")</f>
        <v>#REF!</v>
      </c>
      <c r="EO42" t="e">
        <f>AND(#REF!,"AAAAAHn3vpA=")</f>
        <v>#REF!</v>
      </c>
      <c r="EP42" t="e">
        <f>AND(#REF!,"AAAAAHn3vpE=")</f>
        <v>#REF!</v>
      </c>
      <c r="EQ42" t="e">
        <f>IF(#REF!,"AAAAAHn3vpI=",0)</f>
        <v>#REF!</v>
      </c>
      <c r="ER42" t="e">
        <f>AND(#REF!,"AAAAAHn3vpM=")</f>
        <v>#REF!</v>
      </c>
      <c r="ES42" t="e">
        <f>AND(#REF!,"AAAAAHn3vpQ=")</f>
        <v>#REF!</v>
      </c>
      <c r="ET42" t="e">
        <f>AND(#REF!,"AAAAAHn3vpU=")</f>
        <v>#REF!</v>
      </c>
      <c r="EU42" t="e">
        <f>AND(#REF!,"AAAAAHn3vpY=")</f>
        <v>#REF!</v>
      </c>
      <c r="EV42" t="e">
        <f>AND(#REF!,"AAAAAHn3vpc=")</f>
        <v>#REF!</v>
      </c>
      <c r="EW42" t="e">
        <f>AND(#REF!,"AAAAAHn3vpg=")</f>
        <v>#REF!</v>
      </c>
      <c r="EX42" t="e">
        <f>AND(#REF!,"AAAAAHn3vpk=")</f>
        <v>#REF!</v>
      </c>
      <c r="EY42" t="e">
        <f>AND(#REF!,"AAAAAHn3vpo=")</f>
        <v>#REF!</v>
      </c>
      <c r="EZ42" t="e">
        <f>AND(#REF!,"AAAAAHn3vps=")</f>
        <v>#REF!</v>
      </c>
      <c r="FA42" t="e">
        <f>AND(#REF!,"AAAAAHn3vpw=")</f>
        <v>#REF!</v>
      </c>
      <c r="FB42" t="e">
        <f>IF(#REF!,"AAAAAHn3vp0=",0)</f>
        <v>#REF!</v>
      </c>
      <c r="FC42" t="e">
        <f>AND(#REF!,"AAAAAHn3vp4=")</f>
        <v>#REF!</v>
      </c>
      <c r="FD42" t="e">
        <f>AND(#REF!,"AAAAAHn3vp8=")</f>
        <v>#REF!</v>
      </c>
      <c r="FE42" t="e">
        <f>AND(#REF!,"AAAAAHn3vqA=")</f>
        <v>#REF!</v>
      </c>
      <c r="FF42" t="e">
        <f>AND(#REF!,"AAAAAHn3vqE=")</f>
        <v>#REF!</v>
      </c>
      <c r="FG42" t="e">
        <f>AND(#REF!,"AAAAAHn3vqI=")</f>
        <v>#REF!</v>
      </c>
      <c r="FH42" t="e">
        <f>AND(#REF!,"AAAAAHn3vqM=")</f>
        <v>#REF!</v>
      </c>
      <c r="FI42" t="e">
        <f>AND(#REF!,"AAAAAHn3vqQ=")</f>
        <v>#REF!</v>
      </c>
      <c r="FJ42" t="e">
        <f>AND(#REF!,"AAAAAHn3vqU=")</f>
        <v>#REF!</v>
      </c>
      <c r="FK42" t="e">
        <f>AND(#REF!,"AAAAAHn3vqY=")</f>
        <v>#REF!</v>
      </c>
      <c r="FL42" t="e">
        <f>AND(#REF!,"AAAAAHn3vqc=")</f>
        <v>#REF!</v>
      </c>
      <c r="FM42" t="e">
        <f>IF(#REF!,"AAAAAHn3vqg=",0)</f>
        <v>#REF!</v>
      </c>
      <c r="FN42" t="e">
        <f>AND(#REF!,"AAAAAHn3vqk=")</f>
        <v>#REF!</v>
      </c>
      <c r="FO42" t="e">
        <f>AND(#REF!,"AAAAAHn3vqo=")</f>
        <v>#REF!</v>
      </c>
      <c r="FP42" t="e">
        <f>AND(#REF!,"AAAAAHn3vqs=")</f>
        <v>#REF!</v>
      </c>
      <c r="FQ42" t="e">
        <f>AND(#REF!,"AAAAAHn3vqw=")</f>
        <v>#REF!</v>
      </c>
      <c r="FR42" t="e">
        <f>AND(#REF!,"AAAAAHn3vq0=")</f>
        <v>#REF!</v>
      </c>
      <c r="FS42" t="e">
        <f>AND(#REF!,"AAAAAHn3vq4=")</f>
        <v>#REF!</v>
      </c>
      <c r="FT42" t="e">
        <f>AND(#REF!,"AAAAAHn3vq8=")</f>
        <v>#REF!</v>
      </c>
      <c r="FU42" t="e">
        <f>AND(#REF!,"AAAAAHn3vrA=")</f>
        <v>#REF!</v>
      </c>
      <c r="FV42" t="e">
        <f>AND(#REF!,"AAAAAHn3vrE=")</f>
        <v>#REF!</v>
      </c>
      <c r="FW42" t="e">
        <f>AND(#REF!,"AAAAAHn3vrI=")</f>
        <v>#REF!</v>
      </c>
      <c r="FX42" t="e">
        <f>IF(#REF!,"AAAAAHn3vrM=",0)</f>
        <v>#REF!</v>
      </c>
      <c r="FY42" t="e">
        <f>AND(#REF!,"AAAAAHn3vrQ=")</f>
        <v>#REF!</v>
      </c>
      <c r="FZ42" t="e">
        <f>AND(#REF!,"AAAAAHn3vrU=")</f>
        <v>#REF!</v>
      </c>
      <c r="GA42" t="e">
        <f>AND(#REF!,"AAAAAHn3vrY=")</f>
        <v>#REF!</v>
      </c>
      <c r="GB42" t="e">
        <f>AND(#REF!,"AAAAAHn3vrc=")</f>
        <v>#REF!</v>
      </c>
      <c r="GC42" t="e">
        <f>AND(#REF!,"AAAAAHn3vrg=")</f>
        <v>#REF!</v>
      </c>
      <c r="GD42" t="e">
        <f>AND(#REF!,"AAAAAHn3vrk=")</f>
        <v>#REF!</v>
      </c>
      <c r="GE42" t="e">
        <f>AND(#REF!,"AAAAAHn3vro=")</f>
        <v>#REF!</v>
      </c>
      <c r="GF42" t="e">
        <f>AND(#REF!,"AAAAAHn3vrs=")</f>
        <v>#REF!</v>
      </c>
      <c r="GG42" t="e">
        <f>AND(#REF!,"AAAAAHn3vrw=")</f>
        <v>#REF!</v>
      </c>
      <c r="GH42" t="e">
        <f>AND(#REF!,"AAAAAHn3vr0=")</f>
        <v>#REF!</v>
      </c>
      <c r="GI42" t="e">
        <f>IF(#REF!,"AAAAAHn3vr4=",0)</f>
        <v>#REF!</v>
      </c>
      <c r="GJ42" t="e">
        <f>AND(#REF!,"AAAAAHn3vr8=")</f>
        <v>#REF!</v>
      </c>
      <c r="GK42" t="e">
        <f>AND(#REF!,"AAAAAHn3vsA=")</f>
        <v>#REF!</v>
      </c>
      <c r="GL42" t="e">
        <f>AND(#REF!,"AAAAAHn3vsE=")</f>
        <v>#REF!</v>
      </c>
      <c r="GM42" t="e">
        <f>AND(#REF!,"AAAAAHn3vsI=")</f>
        <v>#REF!</v>
      </c>
      <c r="GN42" t="e">
        <f>AND(#REF!,"AAAAAHn3vsM=")</f>
        <v>#REF!</v>
      </c>
      <c r="GO42" t="e">
        <f>AND(#REF!,"AAAAAHn3vsQ=")</f>
        <v>#REF!</v>
      </c>
      <c r="GP42" t="e">
        <f>AND(#REF!,"AAAAAHn3vsU=")</f>
        <v>#REF!</v>
      </c>
      <c r="GQ42" t="e">
        <f>AND(#REF!,"AAAAAHn3vsY=")</f>
        <v>#REF!</v>
      </c>
      <c r="GR42" t="e">
        <f>AND(#REF!,"AAAAAHn3vsc=")</f>
        <v>#REF!</v>
      </c>
      <c r="GS42" t="e">
        <f>AND(#REF!,"AAAAAHn3vsg=")</f>
        <v>#REF!</v>
      </c>
      <c r="GT42" t="e">
        <f>IF(#REF!,"AAAAAHn3vsk=",0)</f>
        <v>#REF!</v>
      </c>
      <c r="GU42" t="e">
        <f>AND(#REF!,"AAAAAHn3vso=")</f>
        <v>#REF!</v>
      </c>
      <c r="GV42" t="e">
        <f>AND(#REF!,"AAAAAHn3vss=")</f>
        <v>#REF!</v>
      </c>
      <c r="GW42" t="e">
        <f>AND(#REF!,"AAAAAHn3vsw=")</f>
        <v>#REF!</v>
      </c>
      <c r="GX42" t="e">
        <f>AND(#REF!,"AAAAAHn3vs0=")</f>
        <v>#REF!</v>
      </c>
      <c r="GY42" t="e">
        <f>AND(#REF!,"AAAAAHn3vs4=")</f>
        <v>#REF!</v>
      </c>
      <c r="GZ42" t="e">
        <f>AND(#REF!,"AAAAAHn3vs8=")</f>
        <v>#REF!</v>
      </c>
      <c r="HA42" t="e">
        <f>AND(#REF!,"AAAAAHn3vtA=")</f>
        <v>#REF!</v>
      </c>
      <c r="HB42" t="e">
        <f>AND(#REF!,"AAAAAHn3vtE=")</f>
        <v>#REF!</v>
      </c>
      <c r="HC42" t="e">
        <f>AND(#REF!,"AAAAAHn3vtI=")</f>
        <v>#REF!</v>
      </c>
      <c r="HD42" t="e">
        <f>AND(#REF!,"AAAAAHn3vtM=")</f>
        <v>#REF!</v>
      </c>
      <c r="HE42" t="e">
        <f>IF(#REF!,"AAAAAHn3vtQ=",0)</f>
        <v>#REF!</v>
      </c>
      <c r="HF42" t="e">
        <f>AND(#REF!,"AAAAAHn3vtU=")</f>
        <v>#REF!</v>
      </c>
      <c r="HG42" t="e">
        <f>AND(#REF!,"AAAAAHn3vtY=")</f>
        <v>#REF!</v>
      </c>
      <c r="HH42" t="e">
        <f>AND(#REF!,"AAAAAHn3vtc=")</f>
        <v>#REF!</v>
      </c>
      <c r="HI42" t="e">
        <f>AND(#REF!,"AAAAAHn3vtg=")</f>
        <v>#REF!</v>
      </c>
      <c r="HJ42" t="e">
        <f>AND(#REF!,"AAAAAHn3vtk=")</f>
        <v>#REF!</v>
      </c>
      <c r="HK42" t="e">
        <f>AND(#REF!,"AAAAAHn3vto=")</f>
        <v>#REF!</v>
      </c>
      <c r="HL42" t="e">
        <f>AND(#REF!,"AAAAAHn3vts=")</f>
        <v>#REF!</v>
      </c>
      <c r="HM42" t="e">
        <f>AND(#REF!,"AAAAAHn3vtw=")</f>
        <v>#REF!</v>
      </c>
      <c r="HN42" t="e">
        <f>AND(#REF!,"AAAAAHn3vt0=")</f>
        <v>#REF!</v>
      </c>
      <c r="HO42" t="e">
        <f>AND(#REF!,"AAAAAHn3vt4=")</f>
        <v>#REF!</v>
      </c>
      <c r="HP42" t="e">
        <f>IF(#REF!,"AAAAAHn3vt8=",0)</f>
        <v>#REF!</v>
      </c>
      <c r="HQ42" t="e">
        <f>AND(#REF!,"AAAAAHn3vuA=")</f>
        <v>#REF!</v>
      </c>
      <c r="HR42" t="e">
        <f>AND(#REF!,"AAAAAHn3vuE=")</f>
        <v>#REF!</v>
      </c>
      <c r="HS42" t="e">
        <f>AND(#REF!,"AAAAAHn3vuI=")</f>
        <v>#REF!</v>
      </c>
      <c r="HT42" t="e">
        <f>AND(#REF!,"AAAAAHn3vuM=")</f>
        <v>#REF!</v>
      </c>
      <c r="HU42" t="e">
        <f>AND(#REF!,"AAAAAHn3vuQ=")</f>
        <v>#REF!</v>
      </c>
      <c r="HV42" t="e">
        <f>AND(#REF!,"AAAAAHn3vuU=")</f>
        <v>#REF!</v>
      </c>
      <c r="HW42" t="e">
        <f>AND(#REF!,"AAAAAHn3vuY=")</f>
        <v>#REF!</v>
      </c>
      <c r="HX42" t="e">
        <f>AND(#REF!,"AAAAAHn3vuc=")</f>
        <v>#REF!</v>
      </c>
      <c r="HY42" t="e">
        <f>AND(#REF!,"AAAAAHn3vug=")</f>
        <v>#REF!</v>
      </c>
      <c r="HZ42" t="e">
        <f>AND(#REF!,"AAAAAHn3vuk=")</f>
        <v>#REF!</v>
      </c>
      <c r="IA42" t="e">
        <f>IF(#REF!,"AAAAAHn3vuo=",0)</f>
        <v>#REF!</v>
      </c>
      <c r="IB42" t="e">
        <f>AND(#REF!,"AAAAAHn3vus=")</f>
        <v>#REF!</v>
      </c>
      <c r="IC42" t="e">
        <f>AND(#REF!,"AAAAAHn3vuw=")</f>
        <v>#REF!</v>
      </c>
      <c r="ID42" t="e">
        <f>AND(#REF!,"AAAAAHn3vu0=")</f>
        <v>#REF!</v>
      </c>
      <c r="IE42" t="e">
        <f>AND(#REF!,"AAAAAHn3vu4=")</f>
        <v>#REF!</v>
      </c>
      <c r="IF42" t="e">
        <f>AND(#REF!,"AAAAAHn3vu8=")</f>
        <v>#REF!</v>
      </c>
      <c r="IG42" t="e">
        <f>AND(#REF!,"AAAAAHn3vvA=")</f>
        <v>#REF!</v>
      </c>
      <c r="IH42" t="e">
        <f>AND(#REF!,"AAAAAHn3vvE=")</f>
        <v>#REF!</v>
      </c>
      <c r="II42" t="e">
        <f>AND(#REF!,"AAAAAHn3vvI=")</f>
        <v>#REF!</v>
      </c>
      <c r="IJ42" t="e">
        <f>AND(#REF!,"AAAAAHn3vvM=")</f>
        <v>#REF!</v>
      </c>
      <c r="IK42" t="e">
        <f>AND(#REF!,"AAAAAHn3vvQ=")</f>
        <v>#REF!</v>
      </c>
      <c r="IL42" t="e">
        <f>IF(#REF!,"AAAAAHn3vvU=",0)</f>
        <v>#REF!</v>
      </c>
      <c r="IM42" t="e">
        <f>AND(#REF!,"AAAAAHn3vvY=")</f>
        <v>#REF!</v>
      </c>
      <c r="IN42" t="e">
        <f>AND(#REF!,"AAAAAHn3vvc=")</f>
        <v>#REF!</v>
      </c>
      <c r="IO42" t="e">
        <f>AND(#REF!,"AAAAAHn3vvg=")</f>
        <v>#REF!</v>
      </c>
      <c r="IP42" t="e">
        <f>AND(#REF!,"AAAAAHn3vvk=")</f>
        <v>#REF!</v>
      </c>
      <c r="IQ42" t="e">
        <f>AND(#REF!,"AAAAAHn3vvo=")</f>
        <v>#REF!</v>
      </c>
      <c r="IR42" t="e">
        <f>AND(#REF!,"AAAAAHn3vvs=")</f>
        <v>#REF!</v>
      </c>
      <c r="IS42" t="e">
        <f>AND(#REF!,"AAAAAHn3vvw=")</f>
        <v>#REF!</v>
      </c>
      <c r="IT42" t="e">
        <f>AND(#REF!,"AAAAAHn3vv0=")</f>
        <v>#REF!</v>
      </c>
      <c r="IU42" t="e">
        <f>AND(#REF!,"AAAAAHn3vv4=")</f>
        <v>#REF!</v>
      </c>
      <c r="IV42" t="e">
        <f>AND(#REF!,"AAAAAHn3vv8=")</f>
        <v>#REF!</v>
      </c>
    </row>
    <row r="43" spans="1:256" x14ac:dyDescent="0.25">
      <c r="A43" t="e">
        <f>IF(#REF!,"AAAAAHd6/QA=",0)</f>
        <v>#REF!</v>
      </c>
      <c r="B43" t="e">
        <f>AND(#REF!,"AAAAAHd6/QE=")</f>
        <v>#REF!</v>
      </c>
      <c r="C43" t="e">
        <f>AND(#REF!,"AAAAAHd6/QI=")</f>
        <v>#REF!</v>
      </c>
      <c r="D43" t="e">
        <f>AND(#REF!,"AAAAAHd6/QM=")</f>
        <v>#REF!</v>
      </c>
      <c r="E43" t="e">
        <f>AND(#REF!,"AAAAAHd6/QQ=")</f>
        <v>#REF!</v>
      </c>
      <c r="F43" t="e">
        <f>AND(#REF!,"AAAAAHd6/QU=")</f>
        <v>#REF!</v>
      </c>
      <c r="G43" t="e">
        <f>AND(#REF!,"AAAAAHd6/QY=")</f>
        <v>#REF!</v>
      </c>
      <c r="H43" t="e">
        <f>AND(#REF!,"AAAAAHd6/Qc=")</f>
        <v>#REF!</v>
      </c>
      <c r="I43" t="e">
        <f>AND(#REF!,"AAAAAHd6/Qg=")</f>
        <v>#REF!</v>
      </c>
      <c r="J43" t="e">
        <f>AND(#REF!,"AAAAAHd6/Qk=")</f>
        <v>#REF!</v>
      </c>
      <c r="K43" t="e">
        <f>AND(#REF!,"AAAAAHd6/Qo=")</f>
        <v>#REF!</v>
      </c>
      <c r="L43" t="e">
        <f>IF(#REF!,"AAAAAHd6/Qs=",0)</f>
        <v>#REF!</v>
      </c>
      <c r="M43" t="e">
        <f>AND(#REF!,"AAAAAHd6/Qw=")</f>
        <v>#REF!</v>
      </c>
      <c r="N43" t="e">
        <f>AND(#REF!,"AAAAAHd6/Q0=")</f>
        <v>#REF!</v>
      </c>
      <c r="O43" t="e">
        <f>AND(#REF!,"AAAAAHd6/Q4=")</f>
        <v>#REF!</v>
      </c>
      <c r="P43" t="e">
        <f>AND(#REF!,"AAAAAHd6/Q8=")</f>
        <v>#REF!</v>
      </c>
      <c r="Q43" t="e">
        <f>AND(#REF!,"AAAAAHd6/RA=")</f>
        <v>#REF!</v>
      </c>
      <c r="R43" t="e">
        <f>AND(#REF!,"AAAAAHd6/RE=")</f>
        <v>#REF!</v>
      </c>
      <c r="S43" t="e">
        <f>AND(#REF!,"AAAAAHd6/RI=")</f>
        <v>#REF!</v>
      </c>
      <c r="T43" t="e">
        <f>AND(#REF!,"AAAAAHd6/RM=")</f>
        <v>#REF!</v>
      </c>
      <c r="U43" t="e">
        <f>AND(#REF!,"AAAAAHd6/RQ=")</f>
        <v>#REF!</v>
      </c>
      <c r="V43" t="e">
        <f>AND(#REF!,"AAAAAHd6/RU=")</f>
        <v>#REF!</v>
      </c>
      <c r="W43" t="e">
        <f>IF(#REF!,"AAAAAHd6/RY=",0)</f>
        <v>#REF!</v>
      </c>
      <c r="X43" t="e">
        <f>AND(#REF!,"AAAAAHd6/Rc=")</f>
        <v>#REF!</v>
      </c>
      <c r="Y43" t="e">
        <f>AND(#REF!,"AAAAAHd6/Rg=")</f>
        <v>#REF!</v>
      </c>
      <c r="Z43" t="e">
        <f>AND(#REF!,"AAAAAHd6/Rk=")</f>
        <v>#REF!</v>
      </c>
      <c r="AA43" t="e">
        <f>AND(#REF!,"AAAAAHd6/Ro=")</f>
        <v>#REF!</v>
      </c>
      <c r="AB43" t="e">
        <f>AND(#REF!,"AAAAAHd6/Rs=")</f>
        <v>#REF!</v>
      </c>
      <c r="AC43" t="e">
        <f>AND(#REF!,"AAAAAHd6/Rw=")</f>
        <v>#REF!</v>
      </c>
      <c r="AD43" t="e">
        <f>AND(#REF!,"AAAAAHd6/R0=")</f>
        <v>#REF!</v>
      </c>
      <c r="AE43" t="e">
        <f>AND(#REF!,"AAAAAHd6/R4=")</f>
        <v>#REF!</v>
      </c>
      <c r="AF43" t="e">
        <f>AND(#REF!,"AAAAAHd6/R8=")</f>
        <v>#REF!</v>
      </c>
      <c r="AG43" t="e">
        <f>AND(#REF!,"AAAAAHd6/SA=")</f>
        <v>#REF!</v>
      </c>
      <c r="AH43" t="e">
        <f>IF(#REF!,"AAAAAHd6/SE=",0)</f>
        <v>#REF!</v>
      </c>
      <c r="AI43" t="e">
        <f>AND(#REF!,"AAAAAHd6/SI=")</f>
        <v>#REF!</v>
      </c>
      <c r="AJ43" t="e">
        <f>AND(#REF!,"AAAAAHd6/SM=")</f>
        <v>#REF!</v>
      </c>
      <c r="AK43" t="e">
        <f>AND(#REF!,"AAAAAHd6/SQ=")</f>
        <v>#REF!</v>
      </c>
      <c r="AL43" t="e">
        <f>AND(#REF!,"AAAAAHd6/SU=")</f>
        <v>#REF!</v>
      </c>
      <c r="AM43" t="e">
        <f>AND(#REF!,"AAAAAHd6/SY=")</f>
        <v>#REF!</v>
      </c>
      <c r="AN43" t="e">
        <f>AND(#REF!,"AAAAAHd6/Sc=")</f>
        <v>#REF!</v>
      </c>
      <c r="AO43" t="e">
        <f>AND(#REF!,"AAAAAHd6/Sg=")</f>
        <v>#REF!</v>
      </c>
      <c r="AP43" t="e">
        <f>AND(#REF!,"AAAAAHd6/Sk=")</f>
        <v>#REF!</v>
      </c>
      <c r="AQ43" t="e">
        <f>AND(#REF!,"AAAAAHd6/So=")</f>
        <v>#REF!</v>
      </c>
      <c r="AR43" t="e">
        <f>AND(#REF!,"AAAAAHd6/Ss=")</f>
        <v>#REF!</v>
      </c>
      <c r="AS43" t="e">
        <f>IF(#REF!,"AAAAAHd6/Sw=",0)</f>
        <v>#REF!</v>
      </c>
      <c r="AT43" t="e">
        <f>AND(#REF!,"AAAAAHd6/S0=")</f>
        <v>#REF!</v>
      </c>
      <c r="AU43" t="e">
        <f>AND(#REF!,"AAAAAHd6/S4=")</f>
        <v>#REF!</v>
      </c>
      <c r="AV43" t="e">
        <f>AND(#REF!,"AAAAAHd6/S8=")</f>
        <v>#REF!</v>
      </c>
      <c r="AW43" t="e">
        <f>AND(#REF!,"AAAAAHd6/TA=")</f>
        <v>#REF!</v>
      </c>
      <c r="AX43" t="e">
        <f>AND(#REF!,"AAAAAHd6/TE=")</f>
        <v>#REF!</v>
      </c>
      <c r="AY43" t="e">
        <f>AND(#REF!,"AAAAAHd6/TI=")</f>
        <v>#REF!</v>
      </c>
      <c r="AZ43" t="e">
        <f>AND(#REF!,"AAAAAHd6/TM=")</f>
        <v>#REF!</v>
      </c>
      <c r="BA43" t="e">
        <f>AND(#REF!,"AAAAAHd6/TQ=")</f>
        <v>#REF!</v>
      </c>
      <c r="BB43" t="e">
        <f>AND(#REF!,"AAAAAHd6/TU=")</f>
        <v>#REF!</v>
      </c>
      <c r="BC43" t="e">
        <f>AND(#REF!,"AAAAAHd6/TY=")</f>
        <v>#REF!</v>
      </c>
      <c r="BD43" t="e">
        <f>IF(#REF!,"AAAAAHd6/Tc=",0)</f>
        <v>#REF!</v>
      </c>
      <c r="BE43" t="e">
        <f>AND(#REF!,"AAAAAHd6/Tg=")</f>
        <v>#REF!</v>
      </c>
      <c r="BF43" t="e">
        <f>AND(#REF!,"AAAAAHd6/Tk=")</f>
        <v>#REF!</v>
      </c>
      <c r="BG43" t="e">
        <f>AND(#REF!,"AAAAAHd6/To=")</f>
        <v>#REF!</v>
      </c>
      <c r="BH43" t="e">
        <f>AND(#REF!,"AAAAAHd6/Ts=")</f>
        <v>#REF!</v>
      </c>
      <c r="BI43" t="e">
        <f>AND(#REF!,"AAAAAHd6/Tw=")</f>
        <v>#REF!</v>
      </c>
      <c r="BJ43" t="e">
        <f>AND(#REF!,"AAAAAHd6/T0=")</f>
        <v>#REF!</v>
      </c>
      <c r="BK43" t="e">
        <f>AND(#REF!,"AAAAAHd6/T4=")</f>
        <v>#REF!</v>
      </c>
      <c r="BL43" t="e">
        <f>AND(#REF!,"AAAAAHd6/T8=")</f>
        <v>#REF!</v>
      </c>
      <c r="BM43" t="e">
        <f>AND(#REF!,"AAAAAHd6/UA=")</f>
        <v>#REF!</v>
      </c>
      <c r="BN43" t="e">
        <f>AND(#REF!,"AAAAAHd6/UE=")</f>
        <v>#REF!</v>
      </c>
      <c r="BO43" t="e">
        <f>IF(#REF!,"AAAAAHd6/UI=",0)</f>
        <v>#REF!</v>
      </c>
      <c r="BP43" t="e">
        <f>AND(#REF!,"AAAAAHd6/UM=")</f>
        <v>#REF!</v>
      </c>
      <c r="BQ43" t="e">
        <f>AND(#REF!,"AAAAAHd6/UQ=")</f>
        <v>#REF!</v>
      </c>
      <c r="BR43" t="e">
        <f>AND(#REF!,"AAAAAHd6/UU=")</f>
        <v>#REF!</v>
      </c>
      <c r="BS43" t="e">
        <f>AND(#REF!,"AAAAAHd6/UY=")</f>
        <v>#REF!</v>
      </c>
      <c r="BT43" t="e">
        <f>AND(#REF!,"AAAAAHd6/Uc=")</f>
        <v>#REF!</v>
      </c>
      <c r="BU43" t="e">
        <f>AND(#REF!,"AAAAAHd6/Ug=")</f>
        <v>#REF!</v>
      </c>
      <c r="BV43" t="e">
        <f>AND(#REF!,"AAAAAHd6/Uk=")</f>
        <v>#REF!</v>
      </c>
      <c r="BW43" t="e">
        <f>AND(#REF!,"AAAAAHd6/Uo=")</f>
        <v>#REF!</v>
      </c>
      <c r="BX43" t="e">
        <f>AND(#REF!,"AAAAAHd6/Us=")</f>
        <v>#REF!</v>
      </c>
      <c r="BY43" t="e">
        <f>AND(#REF!,"AAAAAHd6/Uw=")</f>
        <v>#REF!</v>
      </c>
      <c r="BZ43" t="e">
        <f>IF(#REF!,"AAAAAHd6/U0=",0)</f>
        <v>#REF!</v>
      </c>
      <c r="CA43" t="e">
        <f>AND(#REF!,"AAAAAHd6/U4=")</f>
        <v>#REF!</v>
      </c>
      <c r="CB43" t="e">
        <f>AND(#REF!,"AAAAAHd6/U8=")</f>
        <v>#REF!</v>
      </c>
      <c r="CC43" t="e">
        <f>AND(#REF!,"AAAAAHd6/VA=")</f>
        <v>#REF!</v>
      </c>
      <c r="CD43" t="e">
        <f>AND(#REF!,"AAAAAHd6/VE=")</f>
        <v>#REF!</v>
      </c>
      <c r="CE43" t="e">
        <f>AND(#REF!,"AAAAAHd6/VI=")</f>
        <v>#REF!</v>
      </c>
      <c r="CF43" t="e">
        <f>AND(#REF!,"AAAAAHd6/VM=")</f>
        <v>#REF!</v>
      </c>
      <c r="CG43" t="e">
        <f>AND(#REF!,"AAAAAHd6/VQ=")</f>
        <v>#REF!</v>
      </c>
      <c r="CH43" t="e">
        <f>AND(#REF!,"AAAAAHd6/VU=")</f>
        <v>#REF!</v>
      </c>
      <c r="CI43" t="e">
        <f>AND(#REF!,"AAAAAHd6/VY=")</f>
        <v>#REF!</v>
      </c>
      <c r="CJ43" t="e">
        <f>AND(#REF!,"AAAAAHd6/Vc=")</f>
        <v>#REF!</v>
      </c>
      <c r="CK43" t="e">
        <f>IF(#REF!,"AAAAAHd6/Vg=",0)</f>
        <v>#REF!</v>
      </c>
      <c r="CL43" t="e">
        <f>AND(#REF!,"AAAAAHd6/Vk=")</f>
        <v>#REF!</v>
      </c>
      <c r="CM43" t="e">
        <f>AND(#REF!,"AAAAAHd6/Vo=")</f>
        <v>#REF!</v>
      </c>
      <c r="CN43" t="e">
        <f>AND(#REF!,"AAAAAHd6/Vs=")</f>
        <v>#REF!</v>
      </c>
      <c r="CO43" t="e">
        <f>AND(#REF!,"AAAAAHd6/Vw=")</f>
        <v>#REF!</v>
      </c>
      <c r="CP43" t="e">
        <f>AND(#REF!,"AAAAAHd6/V0=")</f>
        <v>#REF!</v>
      </c>
      <c r="CQ43" t="e">
        <f>AND(#REF!,"AAAAAHd6/V4=")</f>
        <v>#REF!</v>
      </c>
      <c r="CR43" t="e">
        <f>AND(#REF!,"AAAAAHd6/V8=")</f>
        <v>#REF!</v>
      </c>
      <c r="CS43" t="e">
        <f>AND(#REF!,"AAAAAHd6/WA=")</f>
        <v>#REF!</v>
      </c>
      <c r="CT43" t="e">
        <f>AND(#REF!,"AAAAAHd6/WE=")</f>
        <v>#REF!</v>
      </c>
      <c r="CU43" t="e">
        <f>AND(#REF!,"AAAAAHd6/WI=")</f>
        <v>#REF!</v>
      </c>
      <c r="CV43" t="e">
        <f>IF(#REF!,"AAAAAHd6/WM=",0)</f>
        <v>#REF!</v>
      </c>
      <c r="CW43" t="e">
        <f>AND(#REF!,"AAAAAHd6/WQ=")</f>
        <v>#REF!</v>
      </c>
      <c r="CX43" t="e">
        <f>AND(#REF!,"AAAAAHd6/WU=")</f>
        <v>#REF!</v>
      </c>
      <c r="CY43" t="e">
        <f>AND(#REF!,"AAAAAHd6/WY=")</f>
        <v>#REF!</v>
      </c>
      <c r="CZ43" t="e">
        <f>AND(#REF!,"AAAAAHd6/Wc=")</f>
        <v>#REF!</v>
      </c>
      <c r="DA43" t="e">
        <f>AND(#REF!,"AAAAAHd6/Wg=")</f>
        <v>#REF!</v>
      </c>
      <c r="DB43" t="e">
        <f>AND(#REF!,"AAAAAHd6/Wk=")</f>
        <v>#REF!</v>
      </c>
      <c r="DC43" t="e">
        <f>AND(#REF!,"AAAAAHd6/Wo=")</f>
        <v>#REF!</v>
      </c>
      <c r="DD43" t="e">
        <f>AND(#REF!,"AAAAAHd6/Ws=")</f>
        <v>#REF!</v>
      </c>
      <c r="DE43" t="e">
        <f>AND(#REF!,"AAAAAHd6/Ww=")</f>
        <v>#REF!</v>
      </c>
      <c r="DF43" t="e">
        <f>AND(#REF!,"AAAAAHd6/W0=")</f>
        <v>#REF!</v>
      </c>
      <c r="DG43" t="e">
        <f>IF(#REF!,"AAAAAHd6/W4=",0)</f>
        <v>#REF!</v>
      </c>
      <c r="DH43" t="e">
        <f>AND(#REF!,"AAAAAHd6/W8=")</f>
        <v>#REF!</v>
      </c>
      <c r="DI43" t="e">
        <f>AND(#REF!,"AAAAAHd6/XA=")</f>
        <v>#REF!</v>
      </c>
      <c r="DJ43" t="e">
        <f>AND(#REF!,"AAAAAHd6/XE=")</f>
        <v>#REF!</v>
      </c>
      <c r="DK43" t="e">
        <f>AND(#REF!,"AAAAAHd6/XI=")</f>
        <v>#REF!</v>
      </c>
      <c r="DL43" t="e">
        <f>AND(#REF!,"AAAAAHd6/XM=")</f>
        <v>#REF!</v>
      </c>
      <c r="DM43" t="e">
        <f>AND(#REF!,"AAAAAHd6/XQ=")</f>
        <v>#REF!</v>
      </c>
      <c r="DN43" t="e">
        <f>AND(#REF!,"AAAAAHd6/XU=")</f>
        <v>#REF!</v>
      </c>
      <c r="DO43" t="e">
        <f>AND(#REF!,"AAAAAHd6/XY=")</f>
        <v>#REF!</v>
      </c>
      <c r="DP43" t="e">
        <f>AND(#REF!,"AAAAAHd6/Xc=")</f>
        <v>#REF!</v>
      </c>
      <c r="DQ43" t="e">
        <f>AND(#REF!,"AAAAAHd6/Xg=")</f>
        <v>#REF!</v>
      </c>
      <c r="DR43" t="e">
        <f>IF(#REF!,"AAAAAHd6/Xk=",0)</f>
        <v>#REF!</v>
      </c>
      <c r="DS43" t="e">
        <f>AND(#REF!,"AAAAAHd6/Xo=")</f>
        <v>#REF!</v>
      </c>
      <c r="DT43" t="e">
        <f>AND(#REF!,"AAAAAHd6/Xs=")</f>
        <v>#REF!</v>
      </c>
      <c r="DU43" t="e">
        <f>AND(#REF!,"AAAAAHd6/Xw=")</f>
        <v>#REF!</v>
      </c>
      <c r="DV43" t="e">
        <f>AND(#REF!,"AAAAAHd6/X0=")</f>
        <v>#REF!</v>
      </c>
      <c r="DW43" t="e">
        <f>AND(#REF!,"AAAAAHd6/X4=")</f>
        <v>#REF!</v>
      </c>
      <c r="DX43" t="e">
        <f>AND(#REF!,"AAAAAHd6/X8=")</f>
        <v>#REF!</v>
      </c>
      <c r="DY43" t="e">
        <f>AND(#REF!,"AAAAAHd6/YA=")</f>
        <v>#REF!</v>
      </c>
      <c r="DZ43" t="e">
        <f>AND(#REF!,"AAAAAHd6/YE=")</f>
        <v>#REF!</v>
      </c>
      <c r="EA43" t="e">
        <f>AND(#REF!,"AAAAAHd6/YI=")</f>
        <v>#REF!</v>
      </c>
      <c r="EB43" t="e">
        <f>AND(#REF!,"AAAAAHd6/YM=")</f>
        <v>#REF!</v>
      </c>
      <c r="EC43" t="e">
        <f>IF(#REF!,"AAAAAHd6/YQ=",0)</f>
        <v>#REF!</v>
      </c>
      <c r="ED43" t="e">
        <f>AND(#REF!,"AAAAAHd6/YU=")</f>
        <v>#REF!</v>
      </c>
      <c r="EE43" t="e">
        <f>AND(#REF!,"AAAAAHd6/YY=")</f>
        <v>#REF!</v>
      </c>
      <c r="EF43" t="e">
        <f>AND(#REF!,"AAAAAHd6/Yc=")</f>
        <v>#REF!</v>
      </c>
      <c r="EG43" t="e">
        <f>AND(#REF!,"AAAAAHd6/Yg=")</f>
        <v>#REF!</v>
      </c>
      <c r="EH43" t="e">
        <f>AND(#REF!,"AAAAAHd6/Yk=")</f>
        <v>#REF!</v>
      </c>
      <c r="EI43" t="e">
        <f>AND(#REF!,"AAAAAHd6/Yo=")</f>
        <v>#REF!</v>
      </c>
      <c r="EJ43" t="e">
        <f>AND(#REF!,"AAAAAHd6/Ys=")</f>
        <v>#REF!</v>
      </c>
      <c r="EK43" t="e">
        <f>AND(#REF!,"AAAAAHd6/Yw=")</f>
        <v>#REF!</v>
      </c>
      <c r="EL43" t="e">
        <f>AND(#REF!,"AAAAAHd6/Y0=")</f>
        <v>#REF!</v>
      </c>
      <c r="EM43" t="e">
        <f>AND(#REF!,"AAAAAHd6/Y4=")</f>
        <v>#REF!</v>
      </c>
      <c r="EN43" t="e">
        <f>IF(#REF!,"AAAAAHd6/Y8=",0)</f>
        <v>#REF!</v>
      </c>
      <c r="EO43" t="e">
        <f>AND(#REF!,"AAAAAHd6/ZA=")</f>
        <v>#REF!</v>
      </c>
      <c r="EP43" t="e">
        <f>AND(#REF!,"AAAAAHd6/ZE=")</f>
        <v>#REF!</v>
      </c>
      <c r="EQ43" t="e">
        <f>AND(#REF!,"AAAAAHd6/ZI=")</f>
        <v>#REF!</v>
      </c>
      <c r="ER43" t="e">
        <f>AND(#REF!,"AAAAAHd6/ZM=")</f>
        <v>#REF!</v>
      </c>
      <c r="ES43" t="e">
        <f>AND(#REF!,"AAAAAHd6/ZQ=")</f>
        <v>#REF!</v>
      </c>
      <c r="ET43" t="e">
        <f>AND(#REF!,"AAAAAHd6/ZU=")</f>
        <v>#REF!</v>
      </c>
      <c r="EU43" t="e">
        <f>AND(#REF!,"AAAAAHd6/ZY=")</f>
        <v>#REF!</v>
      </c>
      <c r="EV43" t="e">
        <f>AND(#REF!,"AAAAAHd6/Zc=")</f>
        <v>#REF!</v>
      </c>
      <c r="EW43" t="e">
        <f>AND(#REF!,"AAAAAHd6/Zg=")</f>
        <v>#REF!</v>
      </c>
      <c r="EX43" t="e">
        <f>AND(#REF!,"AAAAAHd6/Zk=")</f>
        <v>#REF!</v>
      </c>
      <c r="EY43" t="e">
        <f>IF(#REF!,"AAAAAHd6/Zo=",0)</f>
        <v>#REF!</v>
      </c>
      <c r="EZ43" t="e">
        <f>AND(#REF!,"AAAAAHd6/Zs=")</f>
        <v>#REF!</v>
      </c>
      <c r="FA43" t="e">
        <f>AND(#REF!,"AAAAAHd6/Zw=")</f>
        <v>#REF!</v>
      </c>
      <c r="FB43" t="e">
        <f>AND(#REF!,"AAAAAHd6/Z0=")</f>
        <v>#REF!</v>
      </c>
      <c r="FC43" t="e">
        <f>AND(#REF!,"AAAAAHd6/Z4=")</f>
        <v>#REF!</v>
      </c>
      <c r="FD43" t="e">
        <f>AND(#REF!,"AAAAAHd6/Z8=")</f>
        <v>#REF!</v>
      </c>
      <c r="FE43" t="e">
        <f>AND(#REF!,"AAAAAHd6/aA=")</f>
        <v>#REF!</v>
      </c>
      <c r="FF43" t="e">
        <f>AND(#REF!,"AAAAAHd6/aE=")</f>
        <v>#REF!</v>
      </c>
      <c r="FG43" t="e">
        <f>AND(#REF!,"AAAAAHd6/aI=")</f>
        <v>#REF!</v>
      </c>
      <c r="FH43" t="e">
        <f>AND(#REF!,"AAAAAHd6/aM=")</f>
        <v>#REF!</v>
      </c>
      <c r="FI43" t="e">
        <f>AND(#REF!,"AAAAAHd6/aQ=")</f>
        <v>#REF!</v>
      </c>
      <c r="FJ43" t="e">
        <f>IF(#REF!,"AAAAAHd6/aU=",0)</f>
        <v>#REF!</v>
      </c>
      <c r="FK43" t="e">
        <f>AND(#REF!,"AAAAAHd6/aY=")</f>
        <v>#REF!</v>
      </c>
      <c r="FL43" t="e">
        <f>AND(#REF!,"AAAAAHd6/ac=")</f>
        <v>#REF!</v>
      </c>
      <c r="FM43" t="e">
        <f>AND(#REF!,"AAAAAHd6/ag=")</f>
        <v>#REF!</v>
      </c>
      <c r="FN43" t="e">
        <f>AND(#REF!,"AAAAAHd6/ak=")</f>
        <v>#REF!</v>
      </c>
      <c r="FO43" t="e">
        <f>AND(#REF!,"AAAAAHd6/ao=")</f>
        <v>#REF!</v>
      </c>
      <c r="FP43" t="e">
        <f>AND(#REF!,"AAAAAHd6/as=")</f>
        <v>#REF!</v>
      </c>
      <c r="FQ43" t="e">
        <f>AND(#REF!,"AAAAAHd6/aw=")</f>
        <v>#REF!</v>
      </c>
      <c r="FR43" t="e">
        <f>AND(#REF!,"AAAAAHd6/a0=")</f>
        <v>#REF!</v>
      </c>
      <c r="FS43" t="e">
        <f>AND(#REF!,"AAAAAHd6/a4=")</f>
        <v>#REF!</v>
      </c>
      <c r="FT43" t="e">
        <f>AND(#REF!,"AAAAAHd6/a8=")</f>
        <v>#REF!</v>
      </c>
      <c r="FU43" t="e">
        <f>IF(#REF!,"AAAAAHd6/bA=",0)</f>
        <v>#REF!</v>
      </c>
      <c r="FV43" t="e">
        <f>AND(#REF!,"AAAAAHd6/bE=")</f>
        <v>#REF!</v>
      </c>
      <c r="FW43" t="e">
        <f>AND(#REF!,"AAAAAHd6/bI=")</f>
        <v>#REF!</v>
      </c>
      <c r="FX43" t="e">
        <f>AND(#REF!,"AAAAAHd6/bM=")</f>
        <v>#REF!</v>
      </c>
      <c r="FY43" t="e">
        <f>AND(#REF!,"AAAAAHd6/bQ=")</f>
        <v>#REF!</v>
      </c>
      <c r="FZ43" t="e">
        <f>AND(#REF!,"AAAAAHd6/bU=")</f>
        <v>#REF!</v>
      </c>
      <c r="GA43" t="e">
        <f>AND(#REF!,"AAAAAHd6/bY=")</f>
        <v>#REF!</v>
      </c>
      <c r="GB43" t="e">
        <f>AND(#REF!,"AAAAAHd6/bc=")</f>
        <v>#REF!</v>
      </c>
      <c r="GC43" t="e">
        <f>AND(#REF!,"AAAAAHd6/bg=")</f>
        <v>#REF!</v>
      </c>
      <c r="GD43" t="e">
        <f>AND(#REF!,"AAAAAHd6/bk=")</f>
        <v>#REF!</v>
      </c>
      <c r="GE43" t="e">
        <f>AND(#REF!,"AAAAAHd6/bo=")</f>
        <v>#REF!</v>
      </c>
      <c r="GF43" t="e">
        <f>IF(#REF!,"AAAAAHd6/bs=",0)</f>
        <v>#REF!</v>
      </c>
      <c r="GG43" t="e">
        <f>AND(#REF!,"AAAAAHd6/bw=")</f>
        <v>#REF!</v>
      </c>
      <c r="GH43" t="e">
        <f>AND(#REF!,"AAAAAHd6/b0=")</f>
        <v>#REF!</v>
      </c>
      <c r="GI43" t="e">
        <f>AND(#REF!,"AAAAAHd6/b4=")</f>
        <v>#REF!</v>
      </c>
      <c r="GJ43" t="e">
        <f>AND(#REF!,"AAAAAHd6/b8=")</f>
        <v>#REF!</v>
      </c>
      <c r="GK43" t="e">
        <f>AND(#REF!,"AAAAAHd6/cA=")</f>
        <v>#REF!</v>
      </c>
      <c r="GL43" t="e">
        <f>AND(#REF!,"AAAAAHd6/cE=")</f>
        <v>#REF!</v>
      </c>
      <c r="GM43" t="e">
        <f>AND(#REF!,"AAAAAHd6/cI=")</f>
        <v>#REF!</v>
      </c>
      <c r="GN43" t="e">
        <f>AND(#REF!,"AAAAAHd6/cM=")</f>
        <v>#REF!</v>
      </c>
      <c r="GO43" t="e">
        <f>AND(#REF!,"AAAAAHd6/cQ=")</f>
        <v>#REF!</v>
      </c>
      <c r="GP43" t="e">
        <f>AND(#REF!,"AAAAAHd6/cU=")</f>
        <v>#REF!</v>
      </c>
      <c r="GQ43" t="e">
        <f>IF(#REF!,"AAAAAHd6/cY=",0)</f>
        <v>#REF!</v>
      </c>
      <c r="GR43" t="e">
        <f>AND(#REF!,"AAAAAHd6/cc=")</f>
        <v>#REF!</v>
      </c>
      <c r="GS43" t="e">
        <f>AND(#REF!,"AAAAAHd6/cg=")</f>
        <v>#REF!</v>
      </c>
      <c r="GT43" t="e">
        <f>AND(#REF!,"AAAAAHd6/ck=")</f>
        <v>#REF!</v>
      </c>
      <c r="GU43" t="e">
        <f>AND(#REF!,"AAAAAHd6/co=")</f>
        <v>#REF!</v>
      </c>
      <c r="GV43" t="e">
        <f>AND(#REF!,"AAAAAHd6/cs=")</f>
        <v>#REF!</v>
      </c>
      <c r="GW43" t="e">
        <f>AND(#REF!,"AAAAAHd6/cw=")</f>
        <v>#REF!</v>
      </c>
      <c r="GX43" t="e">
        <f>AND(#REF!,"AAAAAHd6/c0=")</f>
        <v>#REF!</v>
      </c>
      <c r="GY43" t="e">
        <f>AND(#REF!,"AAAAAHd6/c4=")</f>
        <v>#REF!</v>
      </c>
      <c r="GZ43" t="e">
        <f>AND(#REF!,"AAAAAHd6/c8=")</f>
        <v>#REF!</v>
      </c>
      <c r="HA43" t="e">
        <f>AND(#REF!,"AAAAAHd6/dA=")</f>
        <v>#REF!</v>
      </c>
      <c r="HB43" t="e">
        <f>IF(#REF!,"AAAAAHd6/dE=",0)</f>
        <v>#REF!</v>
      </c>
      <c r="HC43" t="e">
        <f>AND(#REF!,"AAAAAHd6/dI=")</f>
        <v>#REF!</v>
      </c>
      <c r="HD43" t="e">
        <f>AND(#REF!,"AAAAAHd6/dM=")</f>
        <v>#REF!</v>
      </c>
      <c r="HE43" t="e">
        <f>AND(#REF!,"AAAAAHd6/dQ=")</f>
        <v>#REF!</v>
      </c>
      <c r="HF43" t="e">
        <f>AND(#REF!,"AAAAAHd6/dU=")</f>
        <v>#REF!</v>
      </c>
      <c r="HG43" t="e">
        <f>AND(#REF!,"AAAAAHd6/dY=")</f>
        <v>#REF!</v>
      </c>
      <c r="HH43" t="e">
        <f>AND(#REF!,"AAAAAHd6/dc=")</f>
        <v>#REF!</v>
      </c>
      <c r="HI43" t="e">
        <f>AND(#REF!,"AAAAAHd6/dg=")</f>
        <v>#REF!</v>
      </c>
      <c r="HJ43" t="e">
        <f>AND(#REF!,"AAAAAHd6/dk=")</f>
        <v>#REF!</v>
      </c>
      <c r="HK43" t="e">
        <f>AND(#REF!,"AAAAAHd6/do=")</f>
        <v>#REF!</v>
      </c>
      <c r="HL43" t="e">
        <f>AND(#REF!,"AAAAAHd6/ds=")</f>
        <v>#REF!</v>
      </c>
      <c r="HM43" t="e">
        <f>IF(#REF!,"AAAAAHd6/dw=",0)</f>
        <v>#REF!</v>
      </c>
      <c r="HN43" t="e">
        <f>AND(#REF!,"AAAAAHd6/d0=")</f>
        <v>#REF!</v>
      </c>
      <c r="HO43" t="e">
        <f>AND(#REF!,"AAAAAHd6/d4=")</f>
        <v>#REF!</v>
      </c>
      <c r="HP43" t="e">
        <f>AND(#REF!,"AAAAAHd6/d8=")</f>
        <v>#REF!</v>
      </c>
      <c r="HQ43" t="e">
        <f>AND(#REF!,"AAAAAHd6/eA=")</f>
        <v>#REF!</v>
      </c>
      <c r="HR43" t="e">
        <f>AND(#REF!,"AAAAAHd6/eE=")</f>
        <v>#REF!</v>
      </c>
      <c r="HS43" t="e">
        <f>AND(#REF!,"AAAAAHd6/eI=")</f>
        <v>#REF!</v>
      </c>
      <c r="HT43" t="e">
        <f>AND(#REF!,"AAAAAHd6/eM=")</f>
        <v>#REF!</v>
      </c>
      <c r="HU43" t="e">
        <f>AND(#REF!,"AAAAAHd6/eQ=")</f>
        <v>#REF!</v>
      </c>
      <c r="HV43" t="e">
        <f>AND(#REF!,"AAAAAHd6/eU=")</f>
        <v>#REF!</v>
      </c>
      <c r="HW43" t="e">
        <f>AND(#REF!,"AAAAAHd6/eY=")</f>
        <v>#REF!</v>
      </c>
      <c r="HX43" t="e">
        <f>IF(#REF!,"AAAAAHd6/ec=",0)</f>
        <v>#REF!</v>
      </c>
      <c r="HY43" t="e">
        <f>AND(#REF!,"AAAAAHd6/eg=")</f>
        <v>#REF!</v>
      </c>
      <c r="HZ43" t="e">
        <f>AND(#REF!,"AAAAAHd6/ek=")</f>
        <v>#REF!</v>
      </c>
      <c r="IA43" t="e">
        <f>AND(#REF!,"AAAAAHd6/eo=")</f>
        <v>#REF!</v>
      </c>
      <c r="IB43" t="e">
        <f>AND(#REF!,"AAAAAHd6/es=")</f>
        <v>#REF!</v>
      </c>
      <c r="IC43" t="e">
        <f>AND(#REF!,"AAAAAHd6/ew=")</f>
        <v>#REF!</v>
      </c>
      <c r="ID43" t="e">
        <f>AND(#REF!,"AAAAAHd6/e0=")</f>
        <v>#REF!</v>
      </c>
      <c r="IE43" t="e">
        <f>AND(#REF!,"AAAAAHd6/e4=")</f>
        <v>#REF!</v>
      </c>
      <c r="IF43" t="e">
        <f>AND(#REF!,"AAAAAHd6/e8=")</f>
        <v>#REF!</v>
      </c>
      <c r="IG43" t="e">
        <f>AND(#REF!,"AAAAAHd6/fA=")</f>
        <v>#REF!</v>
      </c>
      <c r="IH43" t="e">
        <f>AND(#REF!,"AAAAAHd6/fE=")</f>
        <v>#REF!</v>
      </c>
      <c r="II43" t="e">
        <f>IF(#REF!,"AAAAAHd6/fI=",0)</f>
        <v>#REF!</v>
      </c>
      <c r="IJ43" t="e">
        <f>AND(#REF!,"AAAAAHd6/fM=")</f>
        <v>#REF!</v>
      </c>
      <c r="IK43" t="e">
        <f>AND(#REF!,"AAAAAHd6/fQ=")</f>
        <v>#REF!</v>
      </c>
      <c r="IL43" t="e">
        <f>AND(#REF!,"AAAAAHd6/fU=")</f>
        <v>#REF!</v>
      </c>
      <c r="IM43" t="e">
        <f>AND(#REF!,"AAAAAHd6/fY=")</f>
        <v>#REF!</v>
      </c>
      <c r="IN43" t="e">
        <f>AND(#REF!,"AAAAAHd6/fc=")</f>
        <v>#REF!</v>
      </c>
      <c r="IO43" t="e">
        <f>AND(#REF!,"AAAAAHd6/fg=")</f>
        <v>#REF!</v>
      </c>
      <c r="IP43" t="e">
        <f>AND(#REF!,"AAAAAHd6/fk=")</f>
        <v>#REF!</v>
      </c>
      <c r="IQ43" t="e">
        <f>AND(#REF!,"AAAAAHd6/fo=")</f>
        <v>#REF!</v>
      </c>
      <c r="IR43" t="e">
        <f>AND(#REF!,"AAAAAHd6/fs=")</f>
        <v>#REF!</v>
      </c>
      <c r="IS43" t="e">
        <f>AND(#REF!,"AAAAAHd6/fw=")</f>
        <v>#REF!</v>
      </c>
      <c r="IT43" t="e">
        <f>IF(#REF!,"AAAAAHd6/f0=",0)</f>
        <v>#REF!</v>
      </c>
      <c r="IU43" t="e">
        <f>AND(#REF!,"AAAAAHd6/f4=")</f>
        <v>#REF!</v>
      </c>
      <c r="IV43" t="e">
        <f>AND(#REF!,"AAAAAHd6/f8=")</f>
        <v>#REF!</v>
      </c>
    </row>
    <row r="44" spans="1:256" x14ac:dyDescent="0.25">
      <c r="A44" t="e">
        <f>AND(#REF!,"AAAAAH+/bgA=")</f>
        <v>#REF!</v>
      </c>
      <c r="B44" t="e">
        <f>AND(#REF!,"AAAAAH+/bgE=")</f>
        <v>#REF!</v>
      </c>
      <c r="C44" t="e">
        <f>AND(#REF!,"AAAAAH+/bgI=")</f>
        <v>#REF!</v>
      </c>
      <c r="D44" t="e">
        <f>AND(#REF!,"AAAAAH+/bgM=")</f>
        <v>#REF!</v>
      </c>
      <c r="E44" t="e">
        <f>AND(#REF!,"AAAAAH+/bgQ=")</f>
        <v>#REF!</v>
      </c>
      <c r="F44" t="e">
        <f>AND(#REF!,"AAAAAH+/bgU=")</f>
        <v>#REF!</v>
      </c>
      <c r="G44" t="e">
        <f>AND(#REF!,"AAAAAH+/bgY=")</f>
        <v>#REF!</v>
      </c>
      <c r="H44" t="e">
        <f>AND(#REF!,"AAAAAH+/bgc=")</f>
        <v>#REF!</v>
      </c>
      <c r="I44" t="e">
        <f>IF(#REF!,"AAAAAH+/bgg=",0)</f>
        <v>#REF!</v>
      </c>
      <c r="J44" t="e">
        <f>AND(#REF!,"AAAAAH+/bgk=")</f>
        <v>#REF!</v>
      </c>
      <c r="K44" t="e">
        <f>AND(#REF!,"AAAAAH+/bgo=")</f>
        <v>#REF!</v>
      </c>
      <c r="L44" t="e">
        <f>AND(#REF!,"AAAAAH+/bgs=")</f>
        <v>#REF!</v>
      </c>
      <c r="M44" t="e">
        <f>AND(#REF!,"AAAAAH+/bgw=")</f>
        <v>#REF!</v>
      </c>
      <c r="N44" t="e">
        <f>AND(#REF!,"AAAAAH+/bg0=")</f>
        <v>#REF!</v>
      </c>
      <c r="O44" t="e">
        <f>AND(#REF!,"AAAAAH+/bg4=")</f>
        <v>#REF!</v>
      </c>
      <c r="P44" t="e">
        <f>AND(#REF!,"AAAAAH+/bg8=")</f>
        <v>#REF!</v>
      </c>
      <c r="Q44" t="e">
        <f>AND(#REF!,"AAAAAH+/bhA=")</f>
        <v>#REF!</v>
      </c>
      <c r="R44" t="e">
        <f>AND(#REF!,"AAAAAH+/bhE=")</f>
        <v>#REF!</v>
      </c>
      <c r="S44" t="e">
        <f>AND(#REF!,"AAAAAH+/bhI=")</f>
        <v>#REF!</v>
      </c>
      <c r="T44" t="e">
        <f>IF(#REF!,"AAAAAH+/bhM=",0)</f>
        <v>#REF!</v>
      </c>
      <c r="U44" t="e">
        <f>AND(#REF!,"AAAAAH+/bhQ=")</f>
        <v>#REF!</v>
      </c>
      <c r="V44" t="e">
        <f>AND(#REF!,"AAAAAH+/bhU=")</f>
        <v>#REF!</v>
      </c>
      <c r="W44" t="e">
        <f>AND(#REF!,"AAAAAH+/bhY=")</f>
        <v>#REF!</v>
      </c>
      <c r="X44" t="e">
        <f>AND(#REF!,"AAAAAH+/bhc=")</f>
        <v>#REF!</v>
      </c>
      <c r="Y44" t="e">
        <f>AND(#REF!,"AAAAAH+/bhg=")</f>
        <v>#REF!</v>
      </c>
      <c r="Z44" t="e">
        <f>AND(#REF!,"AAAAAH+/bhk=")</f>
        <v>#REF!</v>
      </c>
      <c r="AA44" t="e">
        <f>AND(#REF!,"AAAAAH+/bho=")</f>
        <v>#REF!</v>
      </c>
      <c r="AB44" t="e">
        <f>AND(#REF!,"AAAAAH+/bhs=")</f>
        <v>#REF!</v>
      </c>
      <c r="AC44" t="e">
        <f>AND(#REF!,"AAAAAH+/bhw=")</f>
        <v>#REF!</v>
      </c>
      <c r="AD44" t="e">
        <f>AND(#REF!,"AAAAAH+/bh0=")</f>
        <v>#REF!</v>
      </c>
      <c r="AE44" t="e">
        <f>IF(#REF!,"AAAAAH+/bh4=",0)</f>
        <v>#REF!</v>
      </c>
      <c r="AF44" t="e">
        <f>AND(#REF!,"AAAAAH+/bh8=")</f>
        <v>#REF!</v>
      </c>
      <c r="AG44" t="e">
        <f>AND(#REF!,"AAAAAH+/biA=")</f>
        <v>#REF!</v>
      </c>
      <c r="AH44" t="e">
        <f>AND(#REF!,"AAAAAH+/biE=")</f>
        <v>#REF!</v>
      </c>
      <c r="AI44" t="e">
        <f>AND(#REF!,"AAAAAH+/biI=")</f>
        <v>#REF!</v>
      </c>
      <c r="AJ44" t="e">
        <f>AND(#REF!,"AAAAAH+/biM=")</f>
        <v>#REF!</v>
      </c>
      <c r="AK44" t="e">
        <f>AND(#REF!,"AAAAAH+/biQ=")</f>
        <v>#REF!</v>
      </c>
      <c r="AL44" t="e">
        <f>AND(#REF!,"AAAAAH+/biU=")</f>
        <v>#REF!</v>
      </c>
      <c r="AM44" t="e">
        <f>AND(#REF!,"AAAAAH+/biY=")</f>
        <v>#REF!</v>
      </c>
      <c r="AN44" t="e">
        <f>AND(#REF!,"AAAAAH+/bic=")</f>
        <v>#REF!</v>
      </c>
      <c r="AO44" t="e">
        <f>AND(#REF!,"AAAAAH+/big=")</f>
        <v>#REF!</v>
      </c>
      <c r="AP44" t="e">
        <f>IF(#REF!,"AAAAAH+/bik=",0)</f>
        <v>#REF!</v>
      </c>
      <c r="AQ44" t="e">
        <f>AND(#REF!,"AAAAAH+/bio=")</f>
        <v>#REF!</v>
      </c>
      <c r="AR44" t="e">
        <f>AND(#REF!,"AAAAAH+/bis=")</f>
        <v>#REF!</v>
      </c>
      <c r="AS44" t="e">
        <f>AND(#REF!,"AAAAAH+/biw=")</f>
        <v>#REF!</v>
      </c>
      <c r="AT44" t="e">
        <f>AND(#REF!,"AAAAAH+/bi0=")</f>
        <v>#REF!</v>
      </c>
      <c r="AU44" t="e">
        <f>AND(#REF!,"AAAAAH+/bi4=")</f>
        <v>#REF!</v>
      </c>
      <c r="AV44" t="e">
        <f>AND(#REF!,"AAAAAH+/bi8=")</f>
        <v>#REF!</v>
      </c>
      <c r="AW44" t="e">
        <f>AND(#REF!,"AAAAAH+/bjA=")</f>
        <v>#REF!</v>
      </c>
      <c r="AX44" t="e">
        <f>AND(#REF!,"AAAAAH+/bjE=")</f>
        <v>#REF!</v>
      </c>
      <c r="AY44" t="e">
        <f>AND(#REF!,"AAAAAH+/bjI=")</f>
        <v>#REF!</v>
      </c>
      <c r="AZ44" t="e">
        <f>AND(#REF!,"AAAAAH+/bjM=")</f>
        <v>#REF!</v>
      </c>
      <c r="BA44" t="e">
        <f>IF(#REF!,"AAAAAH+/bjQ=",0)</f>
        <v>#REF!</v>
      </c>
      <c r="BB44" t="e">
        <f>AND(#REF!,"AAAAAH+/bjU=")</f>
        <v>#REF!</v>
      </c>
      <c r="BC44" t="e">
        <f>AND(#REF!,"AAAAAH+/bjY=")</f>
        <v>#REF!</v>
      </c>
      <c r="BD44" t="e">
        <f>AND(#REF!,"AAAAAH+/bjc=")</f>
        <v>#REF!</v>
      </c>
      <c r="BE44" t="e">
        <f>AND(#REF!,"AAAAAH+/bjg=")</f>
        <v>#REF!</v>
      </c>
      <c r="BF44" t="e">
        <f>AND(#REF!,"AAAAAH+/bjk=")</f>
        <v>#REF!</v>
      </c>
      <c r="BG44" t="e">
        <f>AND(#REF!,"AAAAAH+/bjo=")</f>
        <v>#REF!</v>
      </c>
      <c r="BH44" t="e">
        <f>AND(#REF!,"AAAAAH+/bjs=")</f>
        <v>#REF!</v>
      </c>
      <c r="BI44" t="e">
        <f>AND(#REF!,"AAAAAH+/bjw=")</f>
        <v>#REF!</v>
      </c>
      <c r="BJ44" t="e">
        <f>AND(#REF!,"AAAAAH+/bj0=")</f>
        <v>#REF!</v>
      </c>
      <c r="BK44" t="e">
        <f>AND(#REF!,"AAAAAH+/bj4=")</f>
        <v>#REF!</v>
      </c>
      <c r="BL44" t="e">
        <f>IF(#REF!,"AAAAAH+/bj8=",0)</f>
        <v>#REF!</v>
      </c>
      <c r="BM44" t="e">
        <f>AND(#REF!,"AAAAAH+/bkA=")</f>
        <v>#REF!</v>
      </c>
      <c r="BN44" t="e">
        <f>AND(#REF!,"AAAAAH+/bkE=")</f>
        <v>#REF!</v>
      </c>
      <c r="BO44" t="e">
        <f>AND(#REF!,"AAAAAH+/bkI=")</f>
        <v>#REF!</v>
      </c>
      <c r="BP44" t="e">
        <f>AND(#REF!,"AAAAAH+/bkM=")</f>
        <v>#REF!</v>
      </c>
      <c r="BQ44" t="e">
        <f>AND(#REF!,"AAAAAH+/bkQ=")</f>
        <v>#REF!</v>
      </c>
      <c r="BR44" t="e">
        <f>AND(#REF!,"AAAAAH+/bkU=")</f>
        <v>#REF!</v>
      </c>
      <c r="BS44" t="e">
        <f>AND(#REF!,"AAAAAH+/bkY=")</f>
        <v>#REF!</v>
      </c>
      <c r="BT44" t="e">
        <f>AND(#REF!,"AAAAAH+/bkc=")</f>
        <v>#REF!</v>
      </c>
      <c r="BU44" t="e">
        <f>AND(#REF!,"AAAAAH+/bkg=")</f>
        <v>#REF!</v>
      </c>
      <c r="BV44" t="e">
        <f>AND(#REF!,"AAAAAH+/bkk=")</f>
        <v>#REF!</v>
      </c>
      <c r="BW44" t="e">
        <f>IF(#REF!,"AAAAAH+/bko=",0)</f>
        <v>#REF!</v>
      </c>
      <c r="BX44" t="e">
        <f>AND(#REF!,"AAAAAH+/bks=")</f>
        <v>#REF!</v>
      </c>
      <c r="BY44" t="e">
        <f>AND(#REF!,"AAAAAH+/bkw=")</f>
        <v>#REF!</v>
      </c>
      <c r="BZ44" t="e">
        <f>AND(#REF!,"AAAAAH+/bk0=")</f>
        <v>#REF!</v>
      </c>
      <c r="CA44" t="e">
        <f>AND(#REF!,"AAAAAH+/bk4=")</f>
        <v>#REF!</v>
      </c>
      <c r="CB44" t="e">
        <f>AND(#REF!,"AAAAAH+/bk8=")</f>
        <v>#REF!</v>
      </c>
      <c r="CC44" t="e">
        <f>AND(#REF!,"AAAAAH+/blA=")</f>
        <v>#REF!</v>
      </c>
      <c r="CD44" t="e">
        <f>AND(#REF!,"AAAAAH+/blE=")</f>
        <v>#REF!</v>
      </c>
      <c r="CE44" t="e">
        <f>AND(#REF!,"AAAAAH+/blI=")</f>
        <v>#REF!</v>
      </c>
      <c r="CF44" t="e">
        <f>AND(#REF!,"AAAAAH+/blM=")</f>
        <v>#REF!</v>
      </c>
      <c r="CG44" t="e">
        <f>AND(#REF!,"AAAAAH+/blQ=")</f>
        <v>#REF!</v>
      </c>
      <c r="CH44" t="e">
        <f>IF(#REF!,"AAAAAH+/blU=",0)</f>
        <v>#REF!</v>
      </c>
      <c r="CI44" t="e">
        <f>AND(#REF!,"AAAAAH+/blY=")</f>
        <v>#REF!</v>
      </c>
      <c r="CJ44" t="e">
        <f>AND(#REF!,"AAAAAH+/blc=")</f>
        <v>#REF!</v>
      </c>
      <c r="CK44" t="e">
        <f>AND(#REF!,"AAAAAH+/blg=")</f>
        <v>#REF!</v>
      </c>
      <c r="CL44" t="e">
        <f>AND(#REF!,"AAAAAH+/blk=")</f>
        <v>#REF!</v>
      </c>
      <c r="CM44" t="e">
        <f>AND(#REF!,"AAAAAH+/blo=")</f>
        <v>#REF!</v>
      </c>
      <c r="CN44" t="e">
        <f>AND(#REF!,"AAAAAH+/bls=")</f>
        <v>#REF!</v>
      </c>
      <c r="CO44" t="e">
        <f>AND(#REF!,"AAAAAH+/blw=")</f>
        <v>#REF!</v>
      </c>
      <c r="CP44" t="e">
        <f>AND(#REF!,"AAAAAH+/bl0=")</f>
        <v>#REF!</v>
      </c>
      <c r="CQ44" t="e">
        <f>AND(#REF!,"AAAAAH+/bl4=")</f>
        <v>#REF!</v>
      </c>
      <c r="CR44" t="e">
        <f>AND(#REF!,"AAAAAH+/bl8=")</f>
        <v>#REF!</v>
      </c>
      <c r="CS44" t="e">
        <f>IF(#REF!,"AAAAAH+/bmA=",0)</f>
        <v>#REF!</v>
      </c>
      <c r="CT44" t="e">
        <f>AND(#REF!,"AAAAAH+/bmE=")</f>
        <v>#REF!</v>
      </c>
      <c r="CU44" t="e">
        <f>AND(#REF!,"AAAAAH+/bmI=")</f>
        <v>#REF!</v>
      </c>
      <c r="CV44" t="e">
        <f>AND(#REF!,"AAAAAH+/bmM=")</f>
        <v>#REF!</v>
      </c>
      <c r="CW44" t="e">
        <f>AND(#REF!,"AAAAAH+/bmQ=")</f>
        <v>#REF!</v>
      </c>
      <c r="CX44" t="e">
        <f>AND(#REF!,"AAAAAH+/bmU=")</f>
        <v>#REF!</v>
      </c>
      <c r="CY44" t="e">
        <f>AND(#REF!,"AAAAAH+/bmY=")</f>
        <v>#REF!</v>
      </c>
      <c r="CZ44" t="e">
        <f>AND(#REF!,"AAAAAH+/bmc=")</f>
        <v>#REF!</v>
      </c>
      <c r="DA44" t="e">
        <f>AND(#REF!,"AAAAAH+/bmg=")</f>
        <v>#REF!</v>
      </c>
      <c r="DB44" t="e">
        <f>AND(#REF!,"AAAAAH+/bmk=")</f>
        <v>#REF!</v>
      </c>
      <c r="DC44" t="e">
        <f>AND(#REF!,"AAAAAH+/bmo=")</f>
        <v>#REF!</v>
      </c>
      <c r="DD44" t="e">
        <f>IF(#REF!,"AAAAAH+/bms=",0)</f>
        <v>#REF!</v>
      </c>
      <c r="DE44" t="e">
        <f>AND(#REF!,"AAAAAH+/bmw=")</f>
        <v>#REF!</v>
      </c>
      <c r="DF44" t="e">
        <f>AND(#REF!,"AAAAAH+/bm0=")</f>
        <v>#REF!</v>
      </c>
      <c r="DG44" t="e">
        <f>AND(#REF!,"AAAAAH+/bm4=")</f>
        <v>#REF!</v>
      </c>
      <c r="DH44" t="e">
        <f>AND(#REF!,"AAAAAH+/bm8=")</f>
        <v>#REF!</v>
      </c>
      <c r="DI44" t="e">
        <f>AND(#REF!,"AAAAAH+/bnA=")</f>
        <v>#REF!</v>
      </c>
      <c r="DJ44" t="e">
        <f>AND(#REF!,"AAAAAH+/bnE=")</f>
        <v>#REF!</v>
      </c>
      <c r="DK44" t="e">
        <f>AND(#REF!,"AAAAAH+/bnI=")</f>
        <v>#REF!</v>
      </c>
      <c r="DL44" t="e">
        <f>AND(#REF!,"AAAAAH+/bnM=")</f>
        <v>#REF!</v>
      </c>
      <c r="DM44" t="e">
        <f>AND(#REF!,"AAAAAH+/bnQ=")</f>
        <v>#REF!</v>
      </c>
      <c r="DN44" t="e">
        <f>AND(#REF!,"AAAAAH+/bnU=")</f>
        <v>#REF!</v>
      </c>
      <c r="DO44" t="e">
        <f>IF(#REF!,"AAAAAH+/bnY=",0)</f>
        <v>#REF!</v>
      </c>
      <c r="DP44" t="e">
        <f>AND(#REF!,"AAAAAH+/bnc=")</f>
        <v>#REF!</v>
      </c>
      <c r="DQ44" t="e">
        <f>AND(#REF!,"AAAAAH+/bng=")</f>
        <v>#REF!</v>
      </c>
      <c r="DR44" t="e">
        <f>AND(#REF!,"AAAAAH+/bnk=")</f>
        <v>#REF!</v>
      </c>
      <c r="DS44" t="e">
        <f>AND(#REF!,"AAAAAH+/bno=")</f>
        <v>#REF!</v>
      </c>
      <c r="DT44" t="e">
        <f>AND(#REF!,"AAAAAH+/bns=")</f>
        <v>#REF!</v>
      </c>
      <c r="DU44" t="e">
        <f>AND(#REF!,"AAAAAH+/bnw=")</f>
        <v>#REF!</v>
      </c>
      <c r="DV44" t="e">
        <f>AND(#REF!,"AAAAAH+/bn0=")</f>
        <v>#REF!</v>
      </c>
      <c r="DW44" t="e">
        <f>AND(#REF!,"AAAAAH+/bn4=")</f>
        <v>#REF!</v>
      </c>
      <c r="DX44" t="e">
        <f>AND(#REF!,"AAAAAH+/bn8=")</f>
        <v>#REF!</v>
      </c>
      <c r="DY44" t="e">
        <f>AND(#REF!,"AAAAAH+/boA=")</f>
        <v>#REF!</v>
      </c>
      <c r="DZ44" t="e">
        <f>IF(#REF!,"AAAAAH+/boE=",0)</f>
        <v>#REF!</v>
      </c>
      <c r="EA44" t="e">
        <f>AND(#REF!,"AAAAAH+/boI=")</f>
        <v>#REF!</v>
      </c>
      <c r="EB44" t="e">
        <f>AND(#REF!,"AAAAAH+/boM=")</f>
        <v>#REF!</v>
      </c>
      <c r="EC44" t="e">
        <f>AND(#REF!,"AAAAAH+/boQ=")</f>
        <v>#REF!</v>
      </c>
      <c r="ED44" t="e">
        <f>AND(#REF!,"AAAAAH+/boU=")</f>
        <v>#REF!</v>
      </c>
      <c r="EE44" t="e">
        <f>AND(#REF!,"AAAAAH+/boY=")</f>
        <v>#REF!</v>
      </c>
      <c r="EF44" t="e">
        <f>AND(#REF!,"AAAAAH+/boc=")</f>
        <v>#REF!</v>
      </c>
      <c r="EG44" t="e">
        <f>AND(#REF!,"AAAAAH+/bog=")</f>
        <v>#REF!</v>
      </c>
      <c r="EH44" t="e">
        <f>AND(#REF!,"AAAAAH+/bok=")</f>
        <v>#REF!</v>
      </c>
      <c r="EI44" t="e">
        <f>AND(#REF!,"AAAAAH+/boo=")</f>
        <v>#REF!</v>
      </c>
      <c r="EJ44" t="e">
        <f>AND(#REF!,"AAAAAH+/bos=")</f>
        <v>#REF!</v>
      </c>
      <c r="EK44" t="e">
        <f>IF(#REF!,"AAAAAH+/bow=",0)</f>
        <v>#REF!</v>
      </c>
      <c r="EL44" t="e">
        <f>AND(#REF!,"AAAAAH+/bo0=")</f>
        <v>#REF!</v>
      </c>
      <c r="EM44" t="e">
        <f>AND(#REF!,"AAAAAH+/bo4=")</f>
        <v>#REF!</v>
      </c>
      <c r="EN44" t="e">
        <f>AND(#REF!,"AAAAAH+/bo8=")</f>
        <v>#REF!</v>
      </c>
      <c r="EO44" t="e">
        <f>AND(#REF!,"AAAAAH+/bpA=")</f>
        <v>#REF!</v>
      </c>
      <c r="EP44" t="e">
        <f>AND(#REF!,"AAAAAH+/bpE=")</f>
        <v>#REF!</v>
      </c>
      <c r="EQ44" t="e">
        <f>AND(#REF!,"AAAAAH+/bpI=")</f>
        <v>#REF!</v>
      </c>
      <c r="ER44" t="e">
        <f>AND(#REF!,"AAAAAH+/bpM=")</f>
        <v>#REF!</v>
      </c>
      <c r="ES44" t="e">
        <f>AND(#REF!,"AAAAAH+/bpQ=")</f>
        <v>#REF!</v>
      </c>
      <c r="ET44" t="e">
        <f>AND(#REF!,"AAAAAH+/bpU=")</f>
        <v>#REF!</v>
      </c>
      <c r="EU44" t="e">
        <f>AND(#REF!,"AAAAAH+/bpY=")</f>
        <v>#REF!</v>
      </c>
      <c r="EV44" t="e">
        <f>IF(#REF!,"AAAAAH+/bpc=",0)</f>
        <v>#REF!</v>
      </c>
      <c r="EW44" t="e">
        <f>AND(#REF!,"AAAAAH+/bpg=")</f>
        <v>#REF!</v>
      </c>
      <c r="EX44" t="e">
        <f>AND(#REF!,"AAAAAH+/bpk=")</f>
        <v>#REF!</v>
      </c>
      <c r="EY44" t="e">
        <f>AND(#REF!,"AAAAAH+/bpo=")</f>
        <v>#REF!</v>
      </c>
      <c r="EZ44" t="e">
        <f>AND(#REF!,"AAAAAH+/bps=")</f>
        <v>#REF!</v>
      </c>
      <c r="FA44" t="e">
        <f>AND(#REF!,"AAAAAH+/bpw=")</f>
        <v>#REF!</v>
      </c>
      <c r="FB44" t="e">
        <f>AND(#REF!,"AAAAAH+/bp0=")</f>
        <v>#REF!</v>
      </c>
      <c r="FC44" t="e">
        <f>AND(#REF!,"AAAAAH+/bp4=")</f>
        <v>#REF!</v>
      </c>
      <c r="FD44" t="e">
        <f>AND(#REF!,"AAAAAH+/bp8=")</f>
        <v>#REF!</v>
      </c>
      <c r="FE44" t="e">
        <f>AND(#REF!,"AAAAAH+/bqA=")</f>
        <v>#REF!</v>
      </c>
      <c r="FF44" t="e">
        <f>AND(#REF!,"AAAAAH+/bqE=")</f>
        <v>#REF!</v>
      </c>
      <c r="FG44" t="e">
        <f>IF(#REF!,"AAAAAH+/bqI=",0)</f>
        <v>#REF!</v>
      </c>
      <c r="FH44" t="e">
        <f>AND(#REF!,"AAAAAH+/bqM=")</f>
        <v>#REF!</v>
      </c>
      <c r="FI44" t="e">
        <f>AND(#REF!,"AAAAAH+/bqQ=")</f>
        <v>#REF!</v>
      </c>
      <c r="FJ44" t="e">
        <f>AND(#REF!,"AAAAAH+/bqU=")</f>
        <v>#REF!</v>
      </c>
      <c r="FK44" t="e">
        <f>AND(#REF!,"AAAAAH+/bqY=")</f>
        <v>#REF!</v>
      </c>
      <c r="FL44" t="e">
        <f>AND(#REF!,"AAAAAH+/bqc=")</f>
        <v>#REF!</v>
      </c>
      <c r="FM44" t="e">
        <f>AND(#REF!,"AAAAAH+/bqg=")</f>
        <v>#REF!</v>
      </c>
      <c r="FN44" t="e">
        <f>AND(#REF!,"AAAAAH+/bqk=")</f>
        <v>#REF!</v>
      </c>
      <c r="FO44" t="e">
        <f>AND(#REF!,"AAAAAH+/bqo=")</f>
        <v>#REF!</v>
      </c>
      <c r="FP44" t="e">
        <f>AND(#REF!,"AAAAAH+/bqs=")</f>
        <v>#REF!</v>
      </c>
      <c r="FQ44" t="e">
        <f>AND(#REF!,"AAAAAH+/bqw=")</f>
        <v>#REF!</v>
      </c>
      <c r="FR44" t="e">
        <f>IF(#REF!,"AAAAAH+/bq0=",0)</f>
        <v>#REF!</v>
      </c>
      <c r="FS44" t="e">
        <f>AND(#REF!,"AAAAAH+/bq4=")</f>
        <v>#REF!</v>
      </c>
      <c r="FT44" t="e">
        <f>AND(#REF!,"AAAAAH+/bq8=")</f>
        <v>#REF!</v>
      </c>
      <c r="FU44" t="e">
        <f>AND(#REF!,"AAAAAH+/brA=")</f>
        <v>#REF!</v>
      </c>
      <c r="FV44" t="e">
        <f>AND(#REF!,"AAAAAH+/brE=")</f>
        <v>#REF!</v>
      </c>
      <c r="FW44" t="e">
        <f>AND(#REF!,"AAAAAH+/brI=")</f>
        <v>#REF!</v>
      </c>
      <c r="FX44" t="e">
        <f>AND(#REF!,"AAAAAH+/brM=")</f>
        <v>#REF!</v>
      </c>
      <c r="FY44" t="e">
        <f>AND(#REF!,"AAAAAH+/brQ=")</f>
        <v>#REF!</v>
      </c>
      <c r="FZ44" t="e">
        <f>AND(#REF!,"AAAAAH+/brU=")</f>
        <v>#REF!</v>
      </c>
      <c r="GA44" t="e">
        <f>AND(#REF!,"AAAAAH+/brY=")</f>
        <v>#REF!</v>
      </c>
      <c r="GB44" t="e">
        <f>AND(#REF!,"AAAAAH+/brc=")</f>
        <v>#REF!</v>
      </c>
      <c r="GC44" t="e">
        <f>IF(#REF!,"AAAAAH+/brg=",0)</f>
        <v>#REF!</v>
      </c>
      <c r="GD44" t="e">
        <f>AND(#REF!,"AAAAAH+/brk=")</f>
        <v>#REF!</v>
      </c>
      <c r="GE44" t="e">
        <f>AND(#REF!,"AAAAAH+/bro=")</f>
        <v>#REF!</v>
      </c>
      <c r="GF44" t="e">
        <f>AND(#REF!,"AAAAAH+/brs=")</f>
        <v>#REF!</v>
      </c>
      <c r="GG44" t="e">
        <f>AND(#REF!,"AAAAAH+/brw=")</f>
        <v>#REF!</v>
      </c>
      <c r="GH44" t="e">
        <f>AND(#REF!,"AAAAAH+/br0=")</f>
        <v>#REF!</v>
      </c>
      <c r="GI44" t="e">
        <f>AND(#REF!,"AAAAAH+/br4=")</f>
        <v>#REF!</v>
      </c>
      <c r="GJ44" t="e">
        <f>AND(#REF!,"AAAAAH+/br8=")</f>
        <v>#REF!</v>
      </c>
      <c r="GK44" t="e">
        <f>AND(#REF!,"AAAAAH+/bsA=")</f>
        <v>#REF!</v>
      </c>
      <c r="GL44" t="e">
        <f>AND(#REF!,"AAAAAH+/bsE=")</f>
        <v>#REF!</v>
      </c>
      <c r="GM44" t="e">
        <f>AND(#REF!,"AAAAAH+/bsI=")</f>
        <v>#REF!</v>
      </c>
      <c r="GN44" t="e">
        <f>IF(#REF!,"AAAAAH+/bsM=",0)</f>
        <v>#REF!</v>
      </c>
      <c r="GO44" t="e">
        <f>AND(#REF!,"AAAAAH+/bsQ=")</f>
        <v>#REF!</v>
      </c>
      <c r="GP44" t="e">
        <f>AND(#REF!,"AAAAAH+/bsU=")</f>
        <v>#REF!</v>
      </c>
      <c r="GQ44" t="e">
        <f>AND(#REF!,"AAAAAH+/bsY=")</f>
        <v>#REF!</v>
      </c>
      <c r="GR44" t="e">
        <f>AND(#REF!,"AAAAAH+/bsc=")</f>
        <v>#REF!</v>
      </c>
      <c r="GS44" t="e">
        <f>AND(#REF!,"AAAAAH+/bsg=")</f>
        <v>#REF!</v>
      </c>
      <c r="GT44" t="e">
        <f>AND(#REF!,"AAAAAH+/bsk=")</f>
        <v>#REF!</v>
      </c>
      <c r="GU44" t="e">
        <f>AND(#REF!,"AAAAAH+/bso=")</f>
        <v>#REF!</v>
      </c>
      <c r="GV44" t="e">
        <f>AND(#REF!,"AAAAAH+/bss=")</f>
        <v>#REF!</v>
      </c>
      <c r="GW44" t="e">
        <f>AND(#REF!,"AAAAAH+/bsw=")</f>
        <v>#REF!</v>
      </c>
      <c r="GX44" t="e">
        <f>AND(#REF!,"AAAAAH+/bs0=")</f>
        <v>#REF!</v>
      </c>
      <c r="GY44" t="e">
        <f>IF(#REF!,"AAAAAH+/bs4=",0)</f>
        <v>#REF!</v>
      </c>
      <c r="GZ44" t="e">
        <f>AND(#REF!,"AAAAAH+/bs8=")</f>
        <v>#REF!</v>
      </c>
      <c r="HA44" t="e">
        <f>AND(#REF!,"AAAAAH+/btA=")</f>
        <v>#REF!</v>
      </c>
      <c r="HB44" t="e">
        <f>AND(#REF!,"AAAAAH+/btE=")</f>
        <v>#REF!</v>
      </c>
      <c r="HC44" t="e">
        <f>AND(#REF!,"AAAAAH+/btI=")</f>
        <v>#REF!</v>
      </c>
      <c r="HD44" t="e">
        <f>AND(#REF!,"AAAAAH+/btM=")</f>
        <v>#REF!</v>
      </c>
      <c r="HE44" t="e">
        <f>AND(#REF!,"AAAAAH+/btQ=")</f>
        <v>#REF!</v>
      </c>
      <c r="HF44" t="e">
        <f>AND(#REF!,"AAAAAH+/btU=")</f>
        <v>#REF!</v>
      </c>
      <c r="HG44" t="e">
        <f>AND(#REF!,"AAAAAH+/btY=")</f>
        <v>#REF!</v>
      </c>
      <c r="HH44" t="e">
        <f>AND(#REF!,"AAAAAH+/btc=")</f>
        <v>#REF!</v>
      </c>
      <c r="HI44" t="e">
        <f>AND(#REF!,"AAAAAH+/btg=")</f>
        <v>#REF!</v>
      </c>
      <c r="HJ44" t="e">
        <f>IF(#REF!,"AAAAAH+/btk=",0)</f>
        <v>#REF!</v>
      </c>
      <c r="HK44" t="e">
        <f>AND(#REF!,"AAAAAH+/bto=")</f>
        <v>#REF!</v>
      </c>
      <c r="HL44" t="e">
        <f>AND(#REF!,"AAAAAH+/bts=")</f>
        <v>#REF!</v>
      </c>
      <c r="HM44" t="e">
        <f>AND(#REF!,"AAAAAH+/btw=")</f>
        <v>#REF!</v>
      </c>
      <c r="HN44" t="e">
        <f>AND(#REF!,"AAAAAH+/bt0=")</f>
        <v>#REF!</v>
      </c>
      <c r="HO44" t="e">
        <f>AND(#REF!,"AAAAAH+/bt4=")</f>
        <v>#REF!</v>
      </c>
      <c r="HP44" t="e">
        <f>AND(#REF!,"AAAAAH+/bt8=")</f>
        <v>#REF!</v>
      </c>
      <c r="HQ44" t="e">
        <f>AND(#REF!,"AAAAAH+/buA=")</f>
        <v>#REF!</v>
      </c>
      <c r="HR44" t="e">
        <f>AND(#REF!,"AAAAAH+/buE=")</f>
        <v>#REF!</v>
      </c>
      <c r="HS44" t="e">
        <f>AND(#REF!,"AAAAAH+/buI=")</f>
        <v>#REF!</v>
      </c>
      <c r="HT44" t="e">
        <f>AND(#REF!,"AAAAAH+/buM=")</f>
        <v>#REF!</v>
      </c>
      <c r="HU44" t="e">
        <f>IF(#REF!,"AAAAAH+/buQ=",0)</f>
        <v>#REF!</v>
      </c>
      <c r="HV44" t="e">
        <f>AND(#REF!,"AAAAAH+/buU=")</f>
        <v>#REF!</v>
      </c>
      <c r="HW44" t="e">
        <f>AND(#REF!,"AAAAAH+/buY=")</f>
        <v>#REF!</v>
      </c>
      <c r="HX44" t="e">
        <f>AND(#REF!,"AAAAAH+/buc=")</f>
        <v>#REF!</v>
      </c>
      <c r="HY44" t="e">
        <f>AND(#REF!,"AAAAAH+/bug=")</f>
        <v>#REF!</v>
      </c>
      <c r="HZ44" t="e">
        <f>AND(#REF!,"AAAAAH+/buk=")</f>
        <v>#REF!</v>
      </c>
      <c r="IA44" t="e">
        <f>AND(#REF!,"AAAAAH+/buo=")</f>
        <v>#REF!</v>
      </c>
      <c r="IB44" t="e">
        <f>AND(#REF!,"AAAAAH+/bus=")</f>
        <v>#REF!</v>
      </c>
      <c r="IC44" t="e">
        <f>AND(#REF!,"AAAAAH+/buw=")</f>
        <v>#REF!</v>
      </c>
      <c r="ID44" t="e">
        <f>AND(#REF!,"AAAAAH+/bu0=")</f>
        <v>#REF!</v>
      </c>
      <c r="IE44" t="e">
        <f>AND(#REF!,"AAAAAH+/bu4=")</f>
        <v>#REF!</v>
      </c>
      <c r="IF44" t="e">
        <f>IF(#REF!,"AAAAAH+/bu8=",0)</f>
        <v>#REF!</v>
      </c>
      <c r="IG44" t="e">
        <f>AND(#REF!,"AAAAAH+/bvA=")</f>
        <v>#REF!</v>
      </c>
      <c r="IH44" t="e">
        <f>AND(#REF!,"AAAAAH+/bvE=")</f>
        <v>#REF!</v>
      </c>
      <c r="II44" t="e">
        <f>AND(#REF!,"AAAAAH+/bvI=")</f>
        <v>#REF!</v>
      </c>
      <c r="IJ44" t="e">
        <f>AND(#REF!,"AAAAAH+/bvM=")</f>
        <v>#REF!</v>
      </c>
      <c r="IK44" t="e">
        <f>AND(#REF!,"AAAAAH+/bvQ=")</f>
        <v>#REF!</v>
      </c>
      <c r="IL44" t="e">
        <f>AND(#REF!,"AAAAAH+/bvU=")</f>
        <v>#REF!</v>
      </c>
      <c r="IM44" t="e">
        <f>AND(#REF!,"AAAAAH+/bvY=")</f>
        <v>#REF!</v>
      </c>
      <c r="IN44" t="e">
        <f>AND(#REF!,"AAAAAH+/bvc=")</f>
        <v>#REF!</v>
      </c>
      <c r="IO44" t="e">
        <f>AND(#REF!,"AAAAAH+/bvg=")</f>
        <v>#REF!</v>
      </c>
      <c r="IP44" t="e">
        <f>AND(#REF!,"AAAAAH+/bvk=")</f>
        <v>#REF!</v>
      </c>
      <c r="IQ44" t="e">
        <f>IF(#REF!,"AAAAAH+/bvo=",0)</f>
        <v>#REF!</v>
      </c>
      <c r="IR44" t="e">
        <f>AND(#REF!,"AAAAAH+/bvs=")</f>
        <v>#REF!</v>
      </c>
      <c r="IS44" t="e">
        <f>AND(#REF!,"AAAAAH+/bvw=")</f>
        <v>#REF!</v>
      </c>
      <c r="IT44" t="e">
        <f>AND(#REF!,"AAAAAH+/bv0=")</f>
        <v>#REF!</v>
      </c>
      <c r="IU44" t="e">
        <f>AND(#REF!,"AAAAAH+/bv4=")</f>
        <v>#REF!</v>
      </c>
      <c r="IV44" t="e">
        <f>AND(#REF!,"AAAAAH+/bv8=")</f>
        <v>#REF!</v>
      </c>
    </row>
    <row r="45" spans="1:256" x14ac:dyDescent="0.25">
      <c r="A45" t="e">
        <f>AND(#REF!,"AAAAAH9/2wA=")</f>
        <v>#REF!</v>
      </c>
      <c r="B45" t="e">
        <f>AND(#REF!,"AAAAAH9/2wE=")</f>
        <v>#REF!</v>
      </c>
      <c r="C45" t="e">
        <f>AND(#REF!,"AAAAAH9/2wI=")</f>
        <v>#REF!</v>
      </c>
      <c r="D45" t="e">
        <f>AND(#REF!,"AAAAAH9/2wM=")</f>
        <v>#REF!</v>
      </c>
      <c r="E45" t="e">
        <f>AND(#REF!,"AAAAAH9/2wQ=")</f>
        <v>#REF!</v>
      </c>
      <c r="F45" t="e">
        <f>IF(#REF!,"AAAAAH9/2wU=",0)</f>
        <v>#REF!</v>
      </c>
      <c r="G45" t="e">
        <f>AND(#REF!,"AAAAAH9/2wY=")</f>
        <v>#REF!</v>
      </c>
      <c r="H45" t="e">
        <f>AND(#REF!,"AAAAAH9/2wc=")</f>
        <v>#REF!</v>
      </c>
      <c r="I45" t="e">
        <f>AND(#REF!,"AAAAAH9/2wg=")</f>
        <v>#REF!</v>
      </c>
      <c r="J45" t="e">
        <f>AND(#REF!,"AAAAAH9/2wk=")</f>
        <v>#REF!</v>
      </c>
      <c r="K45" t="e">
        <f>AND(#REF!,"AAAAAH9/2wo=")</f>
        <v>#REF!</v>
      </c>
      <c r="L45" t="e">
        <f>AND(#REF!,"AAAAAH9/2ws=")</f>
        <v>#REF!</v>
      </c>
      <c r="M45" t="e">
        <f>AND(#REF!,"AAAAAH9/2ww=")</f>
        <v>#REF!</v>
      </c>
      <c r="N45" t="e">
        <f>AND(#REF!,"AAAAAH9/2w0=")</f>
        <v>#REF!</v>
      </c>
      <c r="O45" t="e">
        <f>AND(#REF!,"AAAAAH9/2w4=")</f>
        <v>#REF!</v>
      </c>
      <c r="P45" t="e">
        <f>AND(#REF!,"AAAAAH9/2w8=")</f>
        <v>#REF!</v>
      </c>
      <c r="Q45" t="e">
        <f>IF(#REF!,"AAAAAH9/2xA=",0)</f>
        <v>#REF!</v>
      </c>
      <c r="R45" t="e">
        <f>AND(#REF!,"AAAAAH9/2xE=")</f>
        <v>#REF!</v>
      </c>
      <c r="S45" t="e">
        <f>AND(#REF!,"AAAAAH9/2xI=")</f>
        <v>#REF!</v>
      </c>
      <c r="T45" t="e">
        <f>AND(#REF!,"AAAAAH9/2xM=")</f>
        <v>#REF!</v>
      </c>
      <c r="U45" t="e">
        <f>AND(#REF!,"AAAAAH9/2xQ=")</f>
        <v>#REF!</v>
      </c>
      <c r="V45" t="e">
        <f>AND(#REF!,"AAAAAH9/2xU=")</f>
        <v>#REF!</v>
      </c>
      <c r="W45" t="e">
        <f>AND(#REF!,"AAAAAH9/2xY=")</f>
        <v>#REF!</v>
      </c>
      <c r="X45" t="e">
        <f>AND(#REF!,"AAAAAH9/2xc=")</f>
        <v>#REF!</v>
      </c>
      <c r="Y45" t="e">
        <f>AND(#REF!,"AAAAAH9/2xg=")</f>
        <v>#REF!</v>
      </c>
      <c r="Z45" t="e">
        <f>AND(#REF!,"AAAAAH9/2xk=")</f>
        <v>#REF!</v>
      </c>
      <c r="AA45" t="e">
        <f>AND(#REF!,"AAAAAH9/2xo=")</f>
        <v>#REF!</v>
      </c>
      <c r="AB45" t="e">
        <f>IF(#REF!,"AAAAAH9/2xs=",0)</f>
        <v>#REF!</v>
      </c>
      <c r="AC45" t="e">
        <f>AND(#REF!,"AAAAAH9/2xw=")</f>
        <v>#REF!</v>
      </c>
      <c r="AD45" t="e">
        <f>AND(#REF!,"AAAAAH9/2x0=")</f>
        <v>#REF!</v>
      </c>
      <c r="AE45" t="e">
        <f>AND(#REF!,"AAAAAH9/2x4=")</f>
        <v>#REF!</v>
      </c>
      <c r="AF45" t="e">
        <f>AND(#REF!,"AAAAAH9/2x8=")</f>
        <v>#REF!</v>
      </c>
      <c r="AG45" t="e">
        <f>AND(#REF!,"AAAAAH9/2yA=")</f>
        <v>#REF!</v>
      </c>
      <c r="AH45" t="e">
        <f>AND(#REF!,"AAAAAH9/2yE=")</f>
        <v>#REF!</v>
      </c>
      <c r="AI45" t="e">
        <f>AND(#REF!,"AAAAAH9/2yI=")</f>
        <v>#REF!</v>
      </c>
      <c r="AJ45" t="e">
        <f>AND(#REF!,"AAAAAH9/2yM=")</f>
        <v>#REF!</v>
      </c>
      <c r="AK45" t="e">
        <f>AND(#REF!,"AAAAAH9/2yQ=")</f>
        <v>#REF!</v>
      </c>
      <c r="AL45" t="e">
        <f>AND(#REF!,"AAAAAH9/2yU=")</f>
        <v>#REF!</v>
      </c>
      <c r="AM45" t="e">
        <f>IF(#REF!,"AAAAAH9/2yY=",0)</f>
        <v>#REF!</v>
      </c>
      <c r="AN45" t="e">
        <f>AND(#REF!,"AAAAAH9/2yc=")</f>
        <v>#REF!</v>
      </c>
      <c r="AO45" t="e">
        <f>AND(#REF!,"AAAAAH9/2yg=")</f>
        <v>#REF!</v>
      </c>
      <c r="AP45" t="e">
        <f>AND(#REF!,"AAAAAH9/2yk=")</f>
        <v>#REF!</v>
      </c>
      <c r="AQ45" t="e">
        <f>AND(#REF!,"AAAAAH9/2yo=")</f>
        <v>#REF!</v>
      </c>
      <c r="AR45" t="e">
        <f>AND(#REF!,"AAAAAH9/2ys=")</f>
        <v>#REF!</v>
      </c>
      <c r="AS45" t="e">
        <f>AND(#REF!,"AAAAAH9/2yw=")</f>
        <v>#REF!</v>
      </c>
      <c r="AT45" t="e">
        <f>AND(#REF!,"AAAAAH9/2y0=")</f>
        <v>#REF!</v>
      </c>
      <c r="AU45" t="e">
        <f>AND(#REF!,"AAAAAH9/2y4=")</f>
        <v>#REF!</v>
      </c>
      <c r="AV45" t="e">
        <f>AND(#REF!,"AAAAAH9/2y8=")</f>
        <v>#REF!</v>
      </c>
      <c r="AW45" t="e">
        <f>AND(#REF!,"AAAAAH9/2zA=")</f>
        <v>#REF!</v>
      </c>
      <c r="AX45" t="e">
        <f>IF(#REF!,"AAAAAH9/2zE=",0)</f>
        <v>#REF!</v>
      </c>
      <c r="AY45" t="e">
        <f>AND(#REF!,"AAAAAH9/2zI=")</f>
        <v>#REF!</v>
      </c>
      <c r="AZ45" t="e">
        <f>AND(#REF!,"AAAAAH9/2zM=")</f>
        <v>#REF!</v>
      </c>
      <c r="BA45" t="e">
        <f>AND(#REF!,"AAAAAH9/2zQ=")</f>
        <v>#REF!</v>
      </c>
      <c r="BB45" t="e">
        <f>AND(#REF!,"AAAAAH9/2zU=")</f>
        <v>#REF!</v>
      </c>
      <c r="BC45" t="e">
        <f>AND(#REF!,"AAAAAH9/2zY=")</f>
        <v>#REF!</v>
      </c>
      <c r="BD45" t="e">
        <f>AND(#REF!,"AAAAAH9/2zc=")</f>
        <v>#REF!</v>
      </c>
      <c r="BE45" t="e">
        <f>AND(#REF!,"AAAAAH9/2zg=")</f>
        <v>#REF!</v>
      </c>
      <c r="BF45" t="e">
        <f>AND(#REF!,"AAAAAH9/2zk=")</f>
        <v>#REF!</v>
      </c>
      <c r="BG45" t="e">
        <f>AND(#REF!,"AAAAAH9/2zo=")</f>
        <v>#REF!</v>
      </c>
      <c r="BH45" t="e">
        <f>AND(#REF!,"AAAAAH9/2zs=")</f>
        <v>#REF!</v>
      </c>
      <c r="BI45" t="e">
        <f>IF(#REF!,"AAAAAH9/2zw=",0)</f>
        <v>#REF!</v>
      </c>
      <c r="BJ45" t="e">
        <f>AND(#REF!,"AAAAAH9/2z0=")</f>
        <v>#REF!</v>
      </c>
      <c r="BK45" t="e">
        <f>AND(#REF!,"AAAAAH9/2z4=")</f>
        <v>#REF!</v>
      </c>
      <c r="BL45" t="e">
        <f>AND(#REF!,"AAAAAH9/2z8=")</f>
        <v>#REF!</v>
      </c>
      <c r="BM45" t="e">
        <f>AND(#REF!,"AAAAAH9/20A=")</f>
        <v>#REF!</v>
      </c>
      <c r="BN45" t="e">
        <f>AND(#REF!,"AAAAAH9/20E=")</f>
        <v>#REF!</v>
      </c>
      <c r="BO45" t="e">
        <f>AND(#REF!,"AAAAAH9/20I=")</f>
        <v>#REF!</v>
      </c>
      <c r="BP45" t="e">
        <f>AND(#REF!,"AAAAAH9/20M=")</f>
        <v>#REF!</v>
      </c>
      <c r="BQ45" t="e">
        <f>AND(#REF!,"AAAAAH9/20Q=")</f>
        <v>#REF!</v>
      </c>
      <c r="BR45" t="e">
        <f>AND(#REF!,"AAAAAH9/20U=")</f>
        <v>#REF!</v>
      </c>
      <c r="BS45" t="e">
        <f>AND(#REF!,"AAAAAH9/20Y=")</f>
        <v>#REF!</v>
      </c>
      <c r="BT45" t="e">
        <f>IF(#REF!,"AAAAAH9/20c=",0)</f>
        <v>#REF!</v>
      </c>
      <c r="BU45" t="e">
        <f>AND(#REF!,"AAAAAH9/20g=")</f>
        <v>#REF!</v>
      </c>
      <c r="BV45" t="e">
        <f>AND(#REF!,"AAAAAH9/20k=")</f>
        <v>#REF!</v>
      </c>
      <c r="BW45" t="e">
        <f>AND(#REF!,"AAAAAH9/20o=")</f>
        <v>#REF!</v>
      </c>
      <c r="BX45" t="e">
        <f>AND(#REF!,"AAAAAH9/20s=")</f>
        <v>#REF!</v>
      </c>
      <c r="BY45" t="e">
        <f>AND(#REF!,"AAAAAH9/20w=")</f>
        <v>#REF!</v>
      </c>
      <c r="BZ45" t="e">
        <f>AND(#REF!,"AAAAAH9/200=")</f>
        <v>#REF!</v>
      </c>
      <c r="CA45" t="e">
        <f>AND(#REF!,"AAAAAH9/204=")</f>
        <v>#REF!</v>
      </c>
      <c r="CB45" t="e">
        <f>AND(#REF!,"AAAAAH9/208=")</f>
        <v>#REF!</v>
      </c>
      <c r="CC45" t="e">
        <f>AND(#REF!,"AAAAAH9/21A=")</f>
        <v>#REF!</v>
      </c>
      <c r="CD45" t="e">
        <f>AND(#REF!,"AAAAAH9/21E=")</f>
        <v>#REF!</v>
      </c>
      <c r="CE45" t="e">
        <f>IF(#REF!,"AAAAAH9/21I=",0)</f>
        <v>#REF!</v>
      </c>
      <c r="CF45" t="e">
        <f>AND(#REF!,"AAAAAH9/21M=")</f>
        <v>#REF!</v>
      </c>
      <c r="CG45" t="e">
        <f>AND(#REF!,"AAAAAH9/21Q=")</f>
        <v>#REF!</v>
      </c>
      <c r="CH45" t="e">
        <f>AND(#REF!,"AAAAAH9/21U=")</f>
        <v>#REF!</v>
      </c>
      <c r="CI45" t="e">
        <f>AND(#REF!,"AAAAAH9/21Y=")</f>
        <v>#REF!</v>
      </c>
      <c r="CJ45" t="e">
        <f>AND(#REF!,"AAAAAH9/21c=")</f>
        <v>#REF!</v>
      </c>
      <c r="CK45" t="e">
        <f>AND(#REF!,"AAAAAH9/21g=")</f>
        <v>#REF!</v>
      </c>
      <c r="CL45" t="e">
        <f>AND(#REF!,"AAAAAH9/21k=")</f>
        <v>#REF!</v>
      </c>
      <c r="CM45" t="e">
        <f>AND(#REF!,"AAAAAH9/21o=")</f>
        <v>#REF!</v>
      </c>
      <c r="CN45" t="e">
        <f>AND(#REF!,"AAAAAH9/21s=")</f>
        <v>#REF!</v>
      </c>
      <c r="CO45" t="e">
        <f>AND(#REF!,"AAAAAH9/21w=")</f>
        <v>#REF!</v>
      </c>
      <c r="CP45" t="e">
        <f>IF(#REF!,"AAAAAH9/210=",0)</f>
        <v>#REF!</v>
      </c>
      <c r="CQ45" t="e">
        <f>AND(#REF!,"AAAAAH9/214=")</f>
        <v>#REF!</v>
      </c>
      <c r="CR45" t="e">
        <f>AND(#REF!,"AAAAAH9/218=")</f>
        <v>#REF!</v>
      </c>
      <c r="CS45" t="e">
        <f>AND(#REF!,"AAAAAH9/22A=")</f>
        <v>#REF!</v>
      </c>
      <c r="CT45" t="e">
        <f>AND(#REF!,"AAAAAH9/22E=")</f>
        <v>#REF!</v>
      </c>
      <c r="CU45" t="e">
        <f>AND(#REF!,"AAAAAH9/22I=")</f>
        <v>#REF!</v>
      </c>
      <c r="CV45" t="e">
        <f>AND(#REF!,"AAAAAH9/22M=")</f>
        <v>#REF!</v>
      </c>
      <c r="CW45" t="e">
        <f>AND(#REF!,"AAAAAH9/22Q=")</f>
        <v>#REF!</v>
      </c>
      <c r="CX45" t="e">
        <f>AND(#REF!,"AAAAAH9/22U=")</f>
        <v>#REF!</v>
      </c>
      <c r="CY45" t="e">
        <f>AND(#REF!,"AAAAAH9/22Y=")</f>
        <v>#REF!</v>
      </c>
      <c r="CZ45" t="e">
        <f>AND(#REF!,"AAAAAH9/22c=")</f>
        <v>#REF!</v>
      </c>
      <c r="DA45" t="e">
        <f>IF(#REF!,"AAAAAH9/22g=",0)</f>
        <v>#REF!</v>
      </c>
      <c r="DB45" t="e">
        <f>AND(#REF!,"AAAAAH9/22k=")</f>
        <v>#REF!</v>
      </c>
      <c r="DC45" t="e">
        <f>AND(#REF!,"AAAAAH9/22o=")</f>
        <v>#REF!</v>
      </c>
      <c r="DD45" t="e">
        <f>AND(#REF!,"AAAAAH9/22s=")</f>
        <v>#REF!</v>
      </c>
      <c r="DE45" t="e">
        <f>AND(#REF!,"AAAAAH9/22w=")</f>
        <v>#REF!</v>
      </c>
      <c r="DF45" t="e">
        <f>AND(#REF!,"AAAAAH9/220=")</f>
        <v>#REF!</v>
      </c>
      <c r="DG45" t="e">
        <f>AND(#REF!,"AAAAAH9/224=")</f>
        <v>#REF!</v>
      </c>
      <c r="DH45" t="e">
        <f>AND(#REF!,"AAAAAH9/228=")</f>
        <v>#REF!</v>
      </c>
      <c r="DI45" t="e">
        <f>AND(#REF!,"AAAAAH9/23A=")</f>
        <v>#REF!</v>
      </c>
      <c r="DJ45" t="e">
        <f>AND(#REF!,"AAAAAH9/23E=")</f>
        <v>#REF!</v>
      </c>
      <c r="DK45" t="e">
        <f>AND(#REF!,"AAAAAH9/23I=")</f>
        <v>#REF!</v>
      </c>
      <c r="DL45" t="e">
        <f>IF(#REF!,"AAAAAH9/23M=",0)</f>
        <v>#REF!</v>
      </c>
      <c r="DM45" t="e">
        <f>AND(#REF!,"AAAAAH9/23Q=")</f>
        <v>#REF!</v>
      </c>
      <c r="DN45" t="e">
        <f>AND(#REF!,"AAAAAH9/23U=")</f>
        <v>#REF!</v>
      </c>
      <c r="DO45" t="e">
        <f>AND(#REF!,"AAAAAH9/23Y=")</f>
        <v>#REF!</v>
      </c>
      <c r="DP45" t="e">
        <f>AND(#REF!,"AAAAAH9/23c=")</f>
        <v>#REF!</v>
      </c>
      <c r="DQ45" t="e">
        <f>AND(#REF!,"AAAAAH9/23g=")</f>
        <v>#REF!</v>
      </c>
      <c r="DR45" t="e">
        <f>AND(#REF!,"AAAAAH9/23k=")</f>
        <v>#REF!</v>
      </c>
      <c r="DS45" t="e">
        <f>AND(#REF!,"AAAAAH9/23o=")</f>
        <v>#REF!</v>
      </c>
      <c r="DT45" t="e">
        <f>AND(#REF!,"AAAAAH9/23s=")</f>
        <v>#REF!</v>
      </c>
      <c r="DU45" t="e">
        <f>AND(#REF!,"AAAAAH9/23w=")</f>
        <v>#REF!</v>
      </c>
      <c r="DV45" t="e">
        <f>AND(#REF!,"AAAAAH9/230=")</f>
        <v>#REF!</v>
      </c>
      <c r="DW45" t="e">
        <f>IF(#REF!,"AAAAAH9/234=",0)</f>
        <v>#REF!</v>
      </c>
      <c r="DX45" t="e">
        <f>AND(#REF!,"AAAAAH9/238=")</f>
        <v>#REF!</v>
      </c>
      <c r="DY45" t="e">
        <f>AND(#REF!,"AAAAAH9/24A=")</f>
        <v>#REF!</v>
      </c>
      <c r="DZ45" t="e">
        <f>AND(#REF!,"AAAAAH9/24E=")</f>
        <v>#REF!</v>
      </c>
      <c r="EA45" t="e">
        <f>AND(#REF!,"AAAAAH9/24I=")</f>
        <v>#REF!</v>
      </c>
      <c r="EB45" t="e">
        <f>AND(#REF!,"AAAAAH9/24M=")</f>
        <v>#REF!</v>
      </c>
      <c r="EC45" t="e">
        <f>AND(#REF!,"AAAAAH9/24Q=")</f>
        <v>#REF!</v>
      </c>
      <c r="ED45" t="e">
        <f>AND(#REF!,"AAAAAH9/24U=")</f>
        <v>#REF!</v>
      </c>
      <c r="EE45" t="e">
        <f>AND(#REF!,"AAAAAH9/24Y=")</f>
        <v>#REF!</v>
      </c>
      <c r="EF45" t="e">
        <f>AND(#REF!,"AAAAAH9/24c=")</f>
        <v>#REF!</v>
      </c>
      <c r="EG45" t="e">
        <f>AND(#REF!,"AAAAAH9/24g=")</f>
        <v>#REF!</v>
      </c>
      <c r="EH45" t="e">
        <f>IF(#REF!,"AAAAAH9/24k=",0)</f>
        <v>#REF!</v>
      </c>
      <c r="EI45" t="e">
        <f>AND(#REF!,"AAAAAH9/24o=")</f>
        <v>#REF!</v>
      </c>
      <c r="EJ45" t="e">
        <f>AND(#REF!,"AAAAAH9/24s=")</f>
        <v>#REF!</v>
      </c>
      <c r="EK45" t="e">
        <f>AND(#REF!,"AAAAAH9/24w=")</f>
        <v>#REF!</v>
      </c>
      <c r="EL45" t="e">
        <f>AND(#REF!,"AAAAAH9/240=")</f>
        <v>#REF!</v>
      </c>
      <c r="EM45" t="e">
        <f>AND(#REF!,"AAAAAH9/244=")</f>
        <v>#REF!</v>
      </c>
      <c r="EN45" t="e">
        <f>AND(#REF!,"AAAAAH9/248=")</f>
        <v>#REF!</v>
      </c>
      <c r="EO45" t="e">
        <f>AND(#REF!,"AAAAAH9/25A=")</f>
        <v>#REF!</v>
      </c>
      <c r="EP45" t="e">
        <f>AND(#REF!,"AAAAAH9/25E=")</f>
        <v>#REF!</v>
      </c>
      <c r="EQ45" t="e">
        <f>AND(#REF!,"AAAAAH9/25I=")</f>
        <v>#REF!</v>
      </c>
      <c r="ER45" t="e">
        <f>AND(#REF!,"AAAAAH9/25M=")</f>
        <v>#REF!</v>
      </c>
      <c r="ES45" t="e">
        <f>IF(#REF!,"AAAAAH9/25Q=",0)</f>
        <v>#REF!</v>
      </c>
      <c r="ET45" t="e">
        <f>AND(#REF!,"AAAAAH9/25U=")</f>
        <v>#REF!</v>
      </c>
      <c r="EU45" t="e">
        <f>AND(#REF!,"AAAAAH9/25Y=")</f>
        <v>#REF!</v>
      </c>
      <c r="EV45" t="e">
        <f>AND(#REF!,"AAAAAH9/25c=")</f>
        <v>#REF!</v>
      </c>
      <c r="EW45" t="e">
        <f>AND(#REF!,"AAAAAH9/25g=")</f>
        <v>#REF!</v>
      </c>
      <c r="EX45" t="e">
        <f>AND(#REF!,"AAAAAH9/25k=")</f>
        <v>#REF!</v>
      </c>
      <c r="EY45" t="e">
        <f>AND(#REF!,"AAAAAH9/25o=")</f>
        <v>#REF!</v>
      </c>
      <c r="EZ45" t="e">
        <f>AND(#REF!,"AAAAAH9/25s=")</f>
        <v>#REF!</v>
      </c>
      <c r="FA45" t="e">
        <f>AND(#REF!,"AAAAAH9/25w=")</f>
        <v>#REF!</v>
      </c>
      <c r="FB45" t="e">
        <f>AND(#REF!,"AAAAAH9/250=")</f>
        <v>#REF!</v>
      </c>
      <c r="FC45" t="e">
        <f>AND(#REF!,"AAAAAH9/254=")</f>
        <v>#REF!</v>
      </c>
      <c r="FD45" t="e">
        <f>IF(#REF!,"AAAAAH9/258=",0)</f>
        <v>#REF!</v>
      </c>
      <c r="FE45" t="e">
        <f>AND(#REF!,"AAAAAH9/26A=")</f>
        <v>#REF!</v>
      </c>
      <c r="FF45" t="e">
        <f>AND(#REF!,"AAAAAH9/26E=")</f>
        <v>#REF!</v>
      </c>
      <c r="FG45" t="e">
        <f>AND(#REF!,"AAAAAH9/26I=")</f>
        <v>#REF!</v>
      </c>
      <c r="FH45" t="e">
        <f>AND(#REF!,"AAAAAH9/26M=")</f>
        <v>#REF!</v>
      </c>
      <c r="FI45" t="e">
        <f>AND(#REF!,"AAAAAH9/26Q=")</f>
        <v>#REF!</v>
      </c>
      <c r="FJ45" t="e">
        <f>AND(#REF!,"AAAAAH9/26U=")</f>
        <v>#REF!</v>
      </c>
      <c r="FK45" t="e">
        <f>AND(#REF!,"AAAAAH9/26Y=")</f>
        <v>#REF!</v>
      </c>
      <c r="FL45" t="e">
        <f>AND(#REF!,"AAAAAH9/26c=")</f>
        <v>#REF!</v>
      </c>
      <c r="FM45" t="e">
        <f>AND(#REF!,"AAAAAH9/26g=")</f>
        <v>#REF!</v>
      </c>
      <c r="FN45" t="e">
        <f>AND(#REF!,"AAAAAH9/26k=")</f>
        <v>#REF!</v>
      </c>
      <c r="FO45" t="e">
        <f>IF(#REF!,"AAAAAH9/26o=",0)</f>
        <v>#REF!</v>
      </c>
      <c r="FP45" t="e">
        <f>AND(#REF!,"AAAAAH9/26s=")</f>
        <v>#REF!</v>
      </c>
      <c r="FQ45" t="e">
        <f>AND(#REF!,"AAAAAH9/26w=")</f>
        <v>#REF!</v>
      </c>
      <c r="FR45" t="e">
        <f>AND(#REF!,"AAAAAH9/260=")</f>
        <v>#REF!</v>
      </c>
      <c r="FS45" t="e">
        <f>AND(#REF!,"AAAAAH9/264=")</f>
        <v>#REF!</v>
      </c>
      <c r="FT45" t="e">
        <f>AND(#REF!,"AAAAAH9/268=")</f>
        <v>#REF!</v>
      </c>
      <c r="FU45" t="e">
        <f>AND(#REF!,"AAAAAH9/27A=")</f>
        <v>#REF!</v>
      </c>
      <c r="FV45" t="e">
        <f>AND(#REF!,"AAAAAH9/27E=")</f>
        <v>#REF!</v>
      </c>
      <c r="FW45" t="e">
        <f>AND(#REF!,"AAAAAH9/27I=")</f>
        <v>#REF!</v>
      </c>
      <c r="FX45" t="e">
        <f>AND(#REF!,"AAAAAH9/27M=")</f>
        <v>#REF!</v>
      </c>
      <c r="FY45" t="e">
        <f>AND(#REF!,"AAAAAH9/27Q=")</f>
        <v>#REF!</v>
      </c>
      <c r="FZ45" t="e">
        <f>IF(#REF!,"AAAAAH9/27U=",0)</f>
        <v>#REF!</v>
      </c>
      <c r="GA45" t="e">
        <f>AND(#REF!,"AAAAAH9/27Y=")</f>
        <v>#REF!</v>
      </c>
      <c r="GB45" t="e">
        <f>AND(#REF!,"AAAAAH9/27c=")</f>
        <v>#REF!</v>
      </c>
      <c r="GC45" t="e">
        <f>AND(#REF!,"AAAAAH9/27g=")</f>
        <v>#REF!</v>
      </c>
      <c r="GD45" t="e">
        <f>AND(#REF!,"AAAAAH9/27k=")</f>
        <v>#REF!</v>
      </c>
      <c r="GE45" t="e">
        <f>AND(#REF!,"AAAAAH9/27o=")</f>
        <v>#REF!</v>
      </c>
      <c r="GF45" t="e">
        <f>AND(#REF!,"AAAAAH9/27s=")</f>
        <v>#REF!</v>
      </c>
      <c r="GG45" t="e">
        <f>AND(#REF!,"AAAAAH9/27w=")</f>
        <v>#REF!</v>
      </c>
      <c r="GH45" t="e">
        <f>AND(#REF!,"AAAAAH9/270=")</f>
        <v>#REF!</v>
      </c>
      <c r="GI45" t="e">
        <f>AND(#REF!,"AAAAAH9/274=")</f>
        <v>#REF!</v>
      </c>
      <c r="GJ45" t="e">
        <f>AND(#REF!,"AAAAAH9/278=")</f>
        <v>#REF!</v>
      </c>
      <c r="GK45" t="e">
        <f>IF(#REF!,"AAAAAH9/28A=",0)</f>
        <v>#REF!</v>
      </c>
      <c r="GL45" t="e">
        <f>AND(#REF!,"AAAAAH9/28E=")</f>
        <v>#REF!</v>
      </c>
      <c r="GM45" t="e">
        <f>AND(#REF!,"AAAAAH9/28I=")</f>
        <v>#REF!</v>
      </c>
      <c r="GN45" t="e">
        <f>AND(#REF!,"AAAAAH9/28M=")</f>
        <v>#REF!</v>
      </c>
      <c r="GO45" t="e">
        <f>AND(#REF!,"AAAAAH9/28Q=")</f>
        <v>#REF!</v>
      </c>
      <c r="GP45" t="e">
        <f>AND(#REF!,"AAAAAH9/28U=")</f>
        <v>#REF!</v>
      </c>
      <c r="GQ45" t="e">
        <f>AND(#REF!,"AAAAAH9/28Y=")</f>
        <v>#REF!</v>
      </c>
      <c r="GR45" t="e">
        <f>AND(#REF!,"AAAAAH9/28c=")</f>
        <v>#REF!</v>
      </c>
      <c r="GS45" t="e">
        <f>AND(#REF!,"AAAAAH9/28g=")</f>
        <v>#REF!</v>
      </c>
      <c r="GT45" t="e">
        <f>AND(#REF!,"AAAAAH9/28k=")</f>
        <v>#REF!</v>
      </c>
      <c r="GU45" t="e">
        <f>AND(#REF!,"AAAAAH9/28o=")</f>
        <v>#REF!</v>
      </c>
      <c r="GV45" t="e">
        <f>IF(#REF!,"AAAAAH9/28s=",0)</f>
        <v>#REF!</v>
      </c>
      <c r="GW45" t="e">
        <f>AND(#REF!,"AAAAAH9/28w=")</f>
        <v>#REF!</v>
      </c>
      <c r="GX45" t="e">
        <f>AND(#REF!,"AAAAAH9/280=")</f>
        <v>#REF!</v>
      </c>
      <c r="GY45" t="e">
        <f>AND(#REF!,"AAAAAH9/284=")</f>
        <v>#REF!</v>
      </c>
      <c r="GZ45" t="e">
        <f>AND(#REF!,"AAAAAH9/288=")</f>
        <v>#REF!</v>
      </c>
      <c r="HA45" t="e">
        <f>AND(#REF!,"AAAAAH9/29A=")</f>
        <v>#REF!</v>
      </c>
      <c r="HB45" t="e">
        <f>AND(#REF!,"AAAAAH9/29E=")</f>
        <v>#REF!</v>
      </c>
      <c r="HC45" t="e">
        <f>AND(#REF!,"AAAAAH9/29I=")</f>
        <v>#REF!</v>
      </c>
      <c r="HD45" t="e">
        <f>AND(#REF!,"AAAAAH9/29M=")</f>
        <v>#REF!</v>
      </c>
      <c r="HE45" t="e">
        <f>AND(#REF!,"AAAAAH9/29Q=")</f>
        <v>#REF!</v>
      </c>
      <c r="HF45" t="e">
        <f>AND(#REF!,"AAAAAH9/29U=")</f>
        <v>#REF!</v>
      </c>
      <c r="HG45" t="e">
        <f>IF(#REF!,"AAAAAH9/29Y=",0)</f>
        <v>#REF!</v>
      </c>
      <c r="HH45" t="e">
        <f>AND(#REF!,"AAAAAH9/29c=")</f>
        <v>#REF!</v>
      </c>
      <c r="HI45" t="e">
        <f>AND(#REF!,"AAAAAH9/29g=")</f>
        <v>#REF!</v>
      </c>
      <c r="HJ45" t="e">
        <f>AND(#REF!,"AAAAAH9/29k=")</f>
        <v>#REF!</v>
      </c>
      <c r="HK45" t="e">
        <f>AND(#REF!,"AAAAAH9/29o=")</f>
        <v>#REF!</v>
      </c>
      <c r="HL45" t="e">
        <f>AND(#REF!,"AAAAAH9/29s=")</f>
        <v>#REF!</v>
      </c>
      <c r="HM45" t="e">
        <f>AND(#REF!,"AAAAAH9/29w=")</f>
        <v>#REF!</v>
      </c>
      <c r="HN45" t="e">
        <f>AND(#REF!,"AAAAAH9/290=")</f>
        <v>#REF!</v>
      </c>
      <c r="HO45" t="e">
        <f>AND(#REF!,"AAAAAH9/294=")</f>
        <v>#REF!</v>
      </c>
      <c r="HP45" t="e">
        <f>AND(#REF!,"AAAAAH9/298=")</f>
        <v>#REF!</v>
      </c>
      <c r="HQ45" t="e">
        <f>AND(#REF!,"AAAAAH9/2+A=")</f>
        <v>#REF!</v>
      </c>
      <c r="HR45" t="e">
        <f>IF(#REF!,"AAAAAH9/2+E=",0)</f>
        <v>#REF!</v>
      </c>
      <c r="HS45" t="e">
        <f>AND(#REF!,"AAAAAH9/2+I=")</f>
        <v>#REF!</v>
      </c>
      <c r="HT45" t="e">
        <f>AND(#REF!,"AAAAAH9/2+M=")</f>
        <v>#REF!</v>
      </c>
      <c r="HU45" t="e">
        <f>AND(#REF!,"AAAAAH9/2+Q=")</f>
        <v>#REF!</v>
      </c>
      <c r="HV45" t="e">
        <f>AND(#REF!,"AAAAAH9/2+U=")</f>
        <v>#REF!</v>
      </c>
      <c r="HW45" t="e">
        <f>AND(#REF!,"AAAAAH9/2+Y=")</f>
        <v>#REF!</v>
      </c>
      <c r="HX45" t="e">
        <f>AND(#REF!,"AAAAAH9/2+c=")</f>
        <v>#REF!</v>
      </c>
      <c r="HY45" t="e">
        <f>AND(#REF!,"AAAAAH9/2+g=")</f>
        <v>#REF!</v>
      </c>
      <c r="HZ45" t="e">
        <f>AND(#REF!,"AAAAAH9/2+k=")</f>
        <v>#REF!</v>
      </c>
      <c r="IA45" t="e">
        <f>AND(#REF!,"AAAAAH9/2+o=")</f>
        <v>#REF!</v>
      </c>
      <c r="IB45" t="e">
        <f>AND(#REF!,"AAAAAH9/2+s=")</f>
        <v>#REF!</v>
      </c>
      <c r="IC45" t="e">
        <f>IF(#REF!,"AAAAAH9/2+w=",0)</f>
        <v>#REF!</v>
      </c>
      <c r="ID45" t="e">
        <f>AND(#REF!,"AAAAAH9/2+0=")</f>
        <v>#REF!</v>
      </c>
      <c r="IE45" t="e">
        <f>AND(#REF!,"AAAAAH9/2+4=")</f>
        <v>#REF!</v>
      </c>
      <c r="IF45" t="e">
        <f>AND(#REF!,"AAAAAH9/2+8=")</f>
        <v>#REF!</v>
      </c>
      <c r="IG45" t="e">
        <f>AND(#REF!,"AAAAAH9/2/A=")</f>
        <v>#REF!</v>
      </c>
      <c r="IH45" t="e">
        <f>AND(#REF!,"AAAAAH9/2/E=")</f>
        <v>#REF!</v>
      </c>
      <c r="II45" t="e">
        <f>AND(#REF!,"AAAAAH9/2/I=")</f>
        <v>#REF!</v>
      </c>
      <c r="IJ45" t="e">
        <f>AND(#REF!,"AAAAAH9/2/M=")</f>
        <v>#REF!</v>
      </c>
      <c r="IK45" t="e">
        <f>AND(#REF!,"AAAAAH9/2/Q=")</f>
        <v>#REF!</v>
      </c>
      <c r="IL45" t="e">
        <f>AND(#REF!,"AAAAAH9/2/U=")</f>
        <v>#REF!</v>
      </c>
      <c r="IM45" t="e">
        <f>AND(#REF!,"AAAAAH9/2/Y=")</f>
        <v>#REF!</v>
      </c>
      <c r="IN45" t="e">
        <f>IF(#REF!,"AAAAAH9/2/c=",0)</f>
        <v>#REF!</v>
      </c>
      <c r="IO45" t="e">
        <f>AND(#REF!,"AAAAAH9/2/g=")</f>
        <v>#REF!</v>
      </c>
      <c r="IP45" t="e">
        <f>AND(#REF!,"AAAAAH9/2/k=")</f>
        <v>#REF!</v>
      </c>
      <c r="IQ45" t="e">
        <f>AND(#REF!,"AAAAAH9/2/o=")</f>
        <v>#REF!</v>
      </c>
      <c r="IR45" t="e">
        <f>AND(#REF!,"AAAAAH9/2/s=")</f>
        <v>#REF!</v>
      </c>
      <c r="IS45" t="e">
        <f>AND(#REF!,"AAAAAH9/2/w=")</f>
        <v>#REF!</v>
      </c>
      <c r="IT45" t="e">
        <f>AND(#REF!,"AAAAAH9/2/0=")</f>
        <v>#REF!</v>
      </c>
      <c r="IU45" t="e">
        <f>AND(#REF!,"AAAAAH9/2/4=")</f>
        <v>#REF!</v>
      </c>
      <c r="IV45" t="e">
        <f>AND(#REF!,"AAAAAH9/2/8=")</f>
        <v>#REF!</v>
      </c>
    </row>
    <row r="46" spans="1:256" x14ac:dyDescent="0.25">
      <c r="A46" t="e">
        <f>AND(#REF!,"AAAAAH793wA=")</f>
        <v>#REF!</v>
      </c>
      <c r="B46" t="e">
        <f>AND(#REF!,"AAAAAH793wE=")</f>
        <v>#REF!</v>
      </c>
      <c r="C46" t="e">
        <f>IF(#REF!,"AAAAAH793wI=",0)</f>
        <v>#REF!</v>
      </c>
      <c r="D46" t="e">
        <f>AND(#REF!,"AAAAAH793wM=")</f>
        <v>#REF!</v>
      </c>
      <c r="E46" t="e">
        <f>AND(#REF!,"AAAAAH793wQ=")</f>
        <v>#REF!</v>
      </c>
      <c r="F46" t="e">
        <f>AND(#REF!,"AAAAAH793wU=")</f>
        <v>#REF!</v>
      </c>
      <c r="G46" t="e">
        <f>AND(#REF!,"AAAAAH793wY=")</f>
        <v>#REF!</v>
      </c>
      <c r="H46" t="e">
        <f>AND(#REF!,"AAAAAH793wc=")</f>
        <v>#REF!</v>
      </c>
      <c r="I46" t="e">
        <f>AND(#REF!,"AAAAAH793wg=")</f>
        <v>#REF!</v>
      </c>
      <c r="J46" t="e">
        <f>AND(#REF!,"AAAAAH793wk=")</f>
        <v>#REF!</v>
      </c>
      <c r="K46" t="e">
        <f>AND(#REF!,"AAAAAH793wo=")</f>
        <v>#REF!</v>
      </c>
      <c r="L46" t="e">
        <f>AND(#REF!,"AAAAAH793ws=")</f>
        <v>#REF!</v>
      </c>
      <c r="M46" t="e">
        <f>AND(#REF!,"AAAAAH793ww=")</f>
        <v>#REF!</v>
      </c>
      <c r="N46" t="e">
        <f>IF(#REF!,"AAAAAH793w0=",0)</f>
        <v>#REF!</v>
      </c>
      <c r="O46" t="e">
        <f>AND(#REF!,"AAAAAH793w4=")</f>
        <v>#REF!</v>
      </c>
      <c r="P46" t="e">
        <f>AND(#REF!,"AAAAAH793w8=")</f>
        <v>#REF!</v>
      </c>
      <c r="Q46" t="e">
        <f>AND(#REF!,"AAAAAH793xA=")</f>
        <v>#REF!</v>
      </c>
      <c r="R46" t="e">
        <f>AND(#REF!,"AAAAAH793xE=")</f>
        <v>#REF!</v>
      </c>
      <c r="S46" t="e">
        <f>AND(#REF!,"AAAAAH793xI=")</f>
        <v>#REF!</v>
      </c>
      <c r="T46" t="e">
        <f>AND(#REF!,"AAAAAH793xM=")</f>
        <v>#REF!</v>
      </c>
      <c r="U46" t="e">
        <f>AND(#REF!,"AAAAAH793xQ=")</f>
        <v>#REF!</v>
      </c>
      <c r="V46" t="e">
        <f>AND(#REF!,"AAAAAH793xU=")</f>
        <v>#REF!</v>
      </c>
      <c r="W46" t="e">
        <f>AND(#REF!,"AAAAAH793xY=")</f>
        <v>#REF!</v>
      </c>
      <c r="X46" t="e">
        <f>AND(#REF!,"AAAAAH793xc=")</f>
        <v>#REF!</v>
      </c>
      <c r="Y46" t="e">
        <f>IF(#REF!,"AAAAAH793xg=",0)</f>
        <v>#REF!</v>
      </c>
      <c r="Z46" t="e">
        <f>AND(#REF!,"AAAAAH793xk=")</f>
        <v>#REF!</v>
      </c>
      <c r="AA46" t="e">
        <f>AND(#REF!,"AAAAAH793xo=")</f>
        <v>#REF!</v>
      </c>
      <c r="AB46" t="e">
        <f>AND(#REF!,"AAAAAH793xs=")</f>
        <v>#REF!</v>
      </c>
      <c r="AC46" t="e">
        <f>AND(#REF!,"AAAAAH793xw=")</f>
        <v>#REF!</v>
      </c>
      <c r="AD46" t="e">
        <f>AND(#REF!,"AAAAAH793x0=")</f>
        <v>#REF!</v>
      </c>
      <c r="AE46" t="e">
        <f>AND(#REF!,"AAAAAH793x4=")</f>
        <v>#REF!</v>
      </c>
      <c r="AF46" t="e">
        <f>AND(#REF!,"AAAAAH793x8=")</f>
        <v>#REF!</v>
      </c>
      <c r="AG46" t="e">
        <f>AND(#REF!,"AAAAAH793yA=")</f>
        <v>#REF!</v>
      </c>
      <c r="AH46" t="e">
        <f>AND(#REF!,"AAAAAH793yE=")</f>
        <v>#REF!</v>
      </c>
      <c r="AI46" t="e">
        <f>AND(#REF!,"AAAAAH793yI=")</f>
        <v>#REF!</v>
      </c>
      <c r="AJ46" t="e">
        <f>IF(#REF!,"AAAAAH793yM=",0)</f>
        <v>#REF!</v>
      </c>
      <c r="AK46" t="e">
        <f>AND(#REF!,"AAAAAH793yQ=")</f>
        <v>#REF!</v>
      </c>
      <c r="AL46" t="e">
        <f>AND(#REF!,"AAAAAH793yU=")</f>
        <v>#REF!</v>
      </c>
      <c r="AM46" t="e">
        <f>AND(#REF!,"AAAAAH793yY=")</f>
        <v>#REF!</v>
      </c>
      <c r="AN46" t="e">
        <f>AND(#REF!,"AAAAAH793yc=")</f>
        <v>#REF!</v>
      </c>
      <c r="AO46" t="e">
        <f>AND(#REF!,"AAAAAH793yg=")</f>
        <v>#REF!</v>
      </c>
      <c r="AP46" t="e">
        <f>AND(#REF!,"AAAAAH793yk=")</f>
        <v>#REF!</v>
      </c>
      <c r="AQ46" t="e">
        <f>AND(#REF!,"AAAAAH793yo=")</f>
        <v>#REF!</v>
      </c>
      <c r="AR46" t="e">
        <f>AND(#REF!,"AAAAAH793ys=")</f>
        <v>#REF!</v>
      </c>
      <c r="AS46" t="e">
        <f>AND(#REF!,"AAAAAH793yw=")</f>
        <v>#REF!</v>
      </c>
      <c r="AT46" t="e">
        <f>AND(#REF!,"AAAAAH793y0=")</f>
        <v>#REF!</v>
      </c>
      <c r="AU46" t="e">
        <f>IF(#REF!,"AAAAAH793y4=",0)</f>
        <v>#REF!</v>
      </c>
      <c r="AV46" t="e">
        <f>AND(#REF!,"AAAAAH793y8=")</f>
        <v>#REF!</v>
      </c>
      <c r="AW46" t="e">
        <f>AND(#REF!,"AAAAAH793zA=")</f>
        <v>#REF!</v>
      </c>
      <c r="AX46" t="e">
        <f>AND(#REF!,"AAAAAH793zE=")</f>
        <v>#REF!</v>
      </c>
      <c r="AY46" t="e">
        <f>AND(#REF!,"AAAAAH793zI=")</f>
        <v>#REF!</v>
      </c>
      <c r="AZ46" t="e">
        <f>AND(#REF!,"AAAAAH793zM=")</f>
        <v>#REF!</v>
      </c>
      <c r="BA46" t="e">
        <f>AND(#REF!,"AAAAAH793zQ=")</f>
        <v>#REF!</v>
      </c>
      <c r="BB46" t="e">
        <f>AND(#REF!,"AAAAAH793zU=")</f>
        <v>#REF!</v>
      </c>
      <c r="BC46" t="e">
        <f>AND(#REF!,"AAAAAH793zY=")</f>
        <v>#REF!</v>
      </c>
      <c r="BD46" t="e">
        <f>AND(#REF!,"AAAAAH793zc=")</f>
        <v>#REF!</v>
      </c>
      <c r="BE46" t="e">
        <f>AND(#REF!,"AAAAAH793zg=")</f>
        <v>#REF!</v>
      </c>
      <c r="BF46" t="e">
        <f>IF(#REF!,"AAAAAH793zk=",0)</f>
        <v>#REF!</v>
      </c>
      <c r="BG46" t="e">
        <f>AND(#REF!,"AAAAAH793zo=")</f>
        <v>#REF!</v>
      </c>
      <c r="BH46" t="e">
        <f>AND(#REF!,"AAAAAH793zs=")</f>
        <v>#REF!</v>
      </c>
      <c r="BI46" t="e">
        <f>AND(#REF!,"AAAAAH793zw=")</f>
        <v>#REF!</v>
      </c>
      <c r="BJ46" t="e">
        <f>AND(#REF!,"AAAAAH793z0=")</f>
        <v>#REF!</v>
      </c>
      <c r="BK46" t="e">
        <f>AND(#REF!,"AAAAAH793z4=")</f>
        <v>#REF!</v>
      </c>
      <c r="BL46" t="e">
        <f>AND(#REF!,"AAAAAH793z8=")</f>
        <v>#REF!</v>
      </c>
      <c r="BM46" t="e">
        <f>AND(#REF!,"AAAAAH7930A=")</f>
        <v>#REF!</v>
      </c>
      <c r="BN46" t="e">
        <f>AND(#REF!,"AAAAAH7930E=")</f>
        <v>#REF!</v>
      </c>
      <c r="BO46" t="e">
        <f>AND(#REF!,"AAAAAH7930I=")</f>
        <v>#REF!</v>
      </c>
      <c r="BP46" t="e">
        <f>AND(#REF!,"AAAAAH7930M=")</f>
        <v>#REF!</v>
      </c>
      <c r="BQ46" t="e">
        <f>IF(#REF!,"AAAAAH7930Q=",0)</f>
        <v>#REF!</v>
      </c>
      <c r="BR46" t="e">
        <f>AND(#REF!,"AAAAAH7930U=")</f>
        <v>#REF!</v>
      </c>
      <c r="BS46" t="e">
        <f>AND(#REF!,"AAAAAH7930Y=")</f>
        <v>#REF!</v>
      </c>
      <c r="BT46" t="e">
        <f>AND(#REF!,"AAAAAH7930c=")</f>
        <v>#REF!</v>
      </c>
      <c r="BU46" t="e">
        <f>AND(#REF!,"AAAAAH7930g=")</f>
        <v>#REF!</v>
      </c>
      <c r="BV46" t="e">
        <f>AND(#REF!,"AAAAAH7930k=")</f>
        <v>#REF!</v>
      </c>
      <c r="BW46" t="e">
        <f>AND(#REF!,"AAAAAH7930o=")</f>
        <v>#REF!</v>
      </c>
      <c r="BX46" t="e">
        <f>AND(#REF!,"AAAAAH7930s=")</f>
        <v>#REF!</v>
      </c>
      <c r="BY46" t="e">
        <f>AND(#REF!,"AAAAAH7930w=")</f>
        <v>#REF!</v>
      </c>
      <c r="BZ46" t="e">
        <f>AND(#REF!,"AAAAAH79300=")</f>
        <v>#REF!</v>
      </c>
      <c r="CA46" t="e">
        <f>AND(#REF!,"AAAAAH79304=")</f>
        <v>#REF!</v>
      </c>
      <c r="CB46" t="e">
        <f>IF(#REF!,"AAAAAH79308=",0)</f>
        <v>#REF!</v>
      </c>
      <c r="CC46" t="e">
        <f>AND(#REF!,"AAAAAH7931A=")</f>
        <v>#REF!</v>
      </c>
      <c r="CD46" t="e">
        <f>AND(#REF!,"AAAAAH7931E=")</f>
        <v>#REF!</v>
      </c>
      <c r="CE46" t="e">
        <f>AND(#REF!,"AAAAAH7931I=")</f>
        <v>#REF!</v>
      </c>
      <c r="CF46" t="e">
        <f>AND(#REF!,"AAAAAH7931M=")</f>
        <v>#REF!</v>
      </c>
      <c r="CG46" t="e">
        <f>AND(#REF!,"AAAAAH7931Q=")</f>
        <v>#REF!</v>
      </c>
      <c r="CH46" t="e">
        <f>AND(#REF!,"AAAAAH7931U=")</f>
        <v>#REF!</v>
      </c>
      <c r="CI46" t="e">
        <f>AND(#REF!,"AAAAAH7931Y=")</f>
        <v>#REF!</v>
      </c>
      <c r="CJ46" t="e">
        <f>AND(#REF!,"AAAAAH7931c=")</f>
        <v>#REF!</v>
      </c>
      <c r="CK46" t="e">
        <f>AND(#REF!,"AAAAAH7931g=")</f>
        <v>#REF!</v>
      </c>
      <c r="CL46" t="e">
        <f>AND(#REF!,"AAAAAH7931k=")</f>
        <v>#REF!</v>
      </c>
      <c r="CM46" t="e">
        <f>IF(#REF!,"AAAAAH7931o=",0)</f>
        <v>#REF!</v>
      </c>
      <c r="CN46" t="e">
        <f>AND(#REF!,"AAAAAH7931s=")</f>
        <v>#REF!</v>
      </c>
      <c r="CO46" t="e">
        <f>AND(#REF!,"AAAAAH7931w=")</f>
        <v>#REF!</v>
      </c>
      <c r="CP46" t="e">
        <f>AND(#REF!,"AAAAAH79310=")</f>
        <v>#REF!</v>
      </c>
      <c r="CQ46" t="e">
        <f>AND(#REF!,"AAAAAH79314=")</f>
        <v>#REF!</v>
      </c>
      <c r="CR46" t="e">
        <f>AND(#REF!,"AAAAAH79318=")</f>
        <v>#REF!</v>
      </c>
      <c r="CS46" t="e">
        <f>AND(#REF!,"AAAAAH7932A=")</f>
        <v>#REF!</v>
      </c>
      <c r="CT46" t="e">
        <f>AND(#REF!,"AAAAAH7932E=")</f>
        <v>#REF!</v>
      </c>
      <c r="CU46" t="e">
        <f>AND(#REF!,"AAAAAH7932I=")</f>
        <v>#REF!</v>
      </c>
      <c r="CV46" t="e">
        <f>AND(#REF!,"AAAAAH7932M=")</f>
        <v>#REF!</v>
      </c>
      <c r="CW46" t="e">
        <f>AND(#REF!,"AAAAAH7932Q=")</f>
        <v>#REF!</v>
      </c>
      <c r="CX46" t="e">
        <f>IF(#REF!,"AAAAAH7932U=",0)</f>
        <v>#REF!</v>
      </c>
      <c r="CY46" t="e">
        <f>AND(#REF!,"AAAAAH7932Y=")</f>
        <v>#REF!</v>
      </c>
      <c r="CZ46" t="e">
        <f>AND(#REF!,"AAAAAH7932c=")</f>
        <v>#REF!</v>
      </c>
      <c r="DA46" t="e">
        <f>AND(#REF!,"AAAAAH7932g=")</f>
        <v>#REF!</v>
      </c>
      <c r="DB46" t="e">
        <f>AND(#REF!,"AAAAAH7932k=")</f>
        <v>#REF!</v>
      </c>
      <c r="DC46" t="e">
        <f>AND(#REF!,"AAAAAH7932o=")</f>
        <v>#REF!</v>
      </c>
      <c r="DD46" t="e">
        <f>AND(#REF!,"AAAAAH7932s=")</f>
        <v>#REF!</v>
      </c>
      <c r="DE46" t="e">
        <f>AND(#REF!,"AAAAAH7932w=")</f>
        <v>#REF!</v>
      </c>
      <c r="DF46" t="e">
        <f>AND(#REF!,"AAAAAH79320=")</f>
        <v>#REF!</v>
      </c>
      <c r="DG46" t="e">
        <f>AND(#REF!,"AAAAAH79324=")</f>
        <v>#REF!</v>
      </c>
      <c r="DH46" t="e">
        <f>AND(#REF!,"AAAAAH79328=")</f>
        <v>#REF!</v>
      </c>
      <c r="DI46" t="e">
        <f>IF(#REF!,"AAAAAH7933A=",0)</f>
        <v>#REF!</v>
      </c>
      <c r="DJ46" t="e">
        <f>AND(#REF!,"AAAAAH7933E=")</f>
        <v>#REF!</v>
      </c>
      <c r="DK46" t="e">
        <f>AND(#REF!,"AAAAAH7933I=")</f>
        <v>#REF!</v>
      </c>
      <c r="DL46" t="e">
        <f>AND(#REF!,"AAAAAH7933M=")</f>
        <v>#REF!</v>
      </c>
      <c r="DM46" t="e">
        <f>AND(#REF!,"AAAAAH7933Q=")</f>
        <v>#REF!</v>
      </c>
      <c r="DN46" t="e">
        <f>AND(#REF!,"AAAAAH7933U=")</f>
        <v>#REF!</v>
      </c>
      <c r="DO46" t="e">
        <f>AND(#REF!,"AAAAAH7933Y=")</f>
        <v>#REF!</v>
      </c>
      <c r="DP46" t="e">
        <f>AND(#REF!,"AAAAAH7933c=")</f>
        <v>#REF!</v>
      </c>
      <c r="DQ46" t="e">
        <f>AND(#REF!,"AAAAAH7933g=")</f>
        <v>#REF!</v>
      </c>
      <c r="DR46" t="e">
        <f>AND(#REF!,"AAAAAH7933k=")</f>
        <v>#REF!</v>
      </c>
      <c r="DS46" t="e">
        <f>AND(#REF!,"AAAAAH7933o=")</f>
        <v>#REF!</v>
      </c>
      <c r="DT46" t="e">
        <f>IF(#REF!,"AAAAAH7933s=",0)</f>
        <v>#REF!</v>
      </c>
      <c r="DU46" t="e">
        <f>AND(#REF!,"AAAAAH7933w=")</f>
        <v>#REF!</v>
      </c>
      <c r="DV46" t="e">
        <f>AND(#REF!,"AAAAAH79330=")</f>
        <v>#REF!</v>
      </c>
      <c r="DW46" t="e">
        <f>AND(#REF!,"AAAAAH79334=")</f>
        <v>#REF!</v>
      </c>
      <c r="DX46" t="e">
        <f>AND(#REF!,"AAAAAH79338=")</f>
        <v>#REF!</v>
      </c>
      <c r="DY46" t="e">
        <f>AND(#REF!,"AAAAAH7934A=")</f>
        <v>#REF!</v>
      </c>
      <c r="DZ46" t="e">
        <f>AND(#REF!,"AAAAAH7934E=")</f>
        <v>#REF!</v>
      </c>
      <c r="EA46" t="e">
        <f>AND(#REF!,"AAAAAH7934I=")</f>
        <v>#REF!</v>
      </c>
      <c r="EB46" t="e">
        <f>AND(#REF!,"AAAAAH7934M=")</f>
        <v>#REF!</v>
      </c>
      <c r="EC46" t="e">
        <f>AND(#REF!,"AAAAAH7934Q=")</f>
        <v>#REF!</v>
      </c>
      <c r="ED46" t="e">
        <f>AND(#REF!,"AAAAAH7934U=")</f>
        <v>#REF!</v>
      </c>
      <c r="EE46" t="e">
        <f>IF(#REF!,"AAAAAH7934Y=",0)</f>
        <v>#REF!</v>
      </c>
      <c r="EF46" t="e">
        <f>AND(#REF!,"AAAAAH7934c=")</f>
        <v>#REF!</v>
      </c>
      <c r="EG46" t="e">
        <f>AND(#REF!,"AAAAAH7934g=")</f>
        <v>#REF!</v>
      </c>
      <c r="EH46" t="e">
        <f>AND(#REF!,"AAAAAH7934k=")</f>
        <v>#REF!</v>
      </c>
      <c r="EI46" t="e">
        <f>AND(#REF!,"AAAAAH7934o=")</f>
        <v>#REF!</v>
      </c>
      <c r="EJ46" t="e">
        <f>AND(#REF!,"AAAAAH7934s=")</f>
        <v>#REF!</v>
      </c>
      <c r="EK46" t="e">
        <f>AND(#REF!,"AAAAAH7934w=")</f>
        <v>#REF!</v>
      </c>
      <c r="EL46" t="e">
        <f>AND(#REF!,"AAAAAH79340=")</f>
        <v>#REF!</v>
      </c>
      <c r="EM46" t="e">
        <f>AND(#REF!,"AAAAAH79344=")</f>
        <v>#REF!</v>
      </c>
      <c r="EN46" t="e">
        <f>AND(#REF!,"AAAAAH79348=")</f>
        <v>#REF!</v>
      </c>
      <c r="EO46" t="e">
        <f>AND(#REF!,"AAAAAH7935A=")</f>
        <v>#REF!</v>
      </c>
      <c r="EP46" t="e">
        <f>IF(#REF!,"AAAAAH7935E=",0)</f>
        <v>#REF!</v>
      </c>
      <c r="EQ46" t="e">
        <f>AND(#REF!,"AAAAAH7935I=")</f>
        <v>#REF!</v>
      </c>
      <c r="ER46" t="e">
        <f>AND(#REF!,"AAAAAH7935M=")</f>
        <v>#REF!</v>
      </c>
      <c r="ES46" t="e">
        <f>AND(#REF!,"AAAAAH7935Q=")</f>
        <v>#REF!</v>
      </c>
      <c r="ET46" t="e">
        <f>AND(#REF!,"AAAAAH7935U=")</f>
        <v>#REF!</v>
      </c>
      <c r="EU46" t="e">
        <f>AND(#REF!,"AAAAAH7935Y=")</f>
        <v>#REF!</v>
      </c>
      <c r="EV46" t="e">
        <f>AND(#REF!,"AAAAAH7935c=")</f>
        <v>#REF!</v>
      </c>
      <c r="EW46" t="e">
        <f>AND(#REF!,"AAAAAH7935g=")</f>
        <v>#REF!</v>
      </c>
      <c r="EX46" t="e">
        <f>AND(#REF!,"AAAAAH7935k=")</f>
        <v>#REF!</v>
      </c>
      <c r="EY46" t="e">
        <f>AND(#REF!,"AAAAAH7935o=")</f>
        <v>#REF!</v>
      </c>
      <c r="EZ46" t="e">
        <f>AND(#REF!,"AAAAAH7935s=")</f>
        <v>#REF!</v>
      </c>
      <c r="FA46" t="e">
        <f>IF(#REF!,"AAAAAH7935w=",0)</f>
        <v>#REF!</v>
      </c>
      <c r="FB46" t="e">
        <f>AND(#REF!,"AAAAAH79350=")</f>
        <v>#REF!</v>
      </c>
      <c r="FC46" t="e">
        <f>AND(#REF!,"AAAAAH79354=")</f>
        <v>#REF!</v>
      </c>
      <c r="FD46" t="e">
        <f>AND(#REF!,"AAAAAH79358=")</f>
        <v>#REF!</v>
      </c>
      <c r="FE46" t="e">
        <f>AND(#REF!,"AAAAAH7936A=")</f>
        <v>#REF!</v>
      </c>
      <c r="FF46" t="e">
        <f>AND(#REF!,"AAAAAH7936E=")</f>
        <v>#REF!</v>
      </c>
      <c r="FG46" t="e">
        <f>AND(#REF!,"AAAAAH7936I=")</f>
        <v>#REF!</v>
      </c>
      <c r="FH46" t="e">
        <f>AND(#REF!,"AAAAAH7936M=")</f>
        <v>#REF!</v>
      </c>
      <c r="FI46" t="e">
        <f>AND(#REF!,"AAAAAH7936Q=")</f>
        <v>#REF!</v>
      </c>
      <c r="FJ46" t="e">
        <f>AND(#REF!,"AAAAAH7936U=")</f>
        <v>#REF!</v>
      </c>
      <c r="FK46" t="e">
        <f>AND(#REF!,"AAAAAH7936Y=")</f>
        <v>#REF!</v>
      </c>
      <c r="FL46" t="e">
        <f>IF(#REF!,"AAAAAH7936c=",0)</f>
        <v>#REF!</v>
      </c>
      <c r="FM46" t="e">
        <f>AND(#REF!,"AAAAAH7936g=")</f>
        <v>#REF!</v>
      </c>
      <c r="FN46" t="e">
        <f>AND(#REF!,"AAAAAH7936k=")</f>
        <v>#REF!</v>
      </c>
      <c r="FO46" t="e">
        <f>AND(#REF!,"AAAAAH7936o=")</f>
        <v>#REF!</v>
      </c>
      <c r="FP46" t="e">
        <f>AND(#REF!,"AAAAAH7936s=")</f>
        <v>#REF!</v>
      </c>
      <c r="FQ46" t="e">
        <f>AND(#REF!,"AAAAAH7936w=")</f>
        <v>#REF!</v>
      </c>
      <c r="FR46" t="e">
        <f>AND(#REF!,"AAAAAH79360=")</f>
        <v>#REF!</v>
      </c>
      <c r="FS46" t="e">
        <f>AND(#REF!,"AAAAAH79364=")</f>
        <v>#REF!</v>
      </c>
      <c r="FT46" t="e">
        <f>AND(#REF!,"AAAAAH79368=")</f>
        <v>#REF!</v>
      </c>
      <c r="FU46" t="e">
        <f>AND(#REF!,"AAAAAH7937A=")</f>
        <v>#REF!</v>
      </c>
      <c r="FV46" t="e">
        <f>AND(#REF!,"AAAAAH7937E=")</f>
        <v>#REF!</v>
      </c>
      <c r="FW46" t="e">
        <f>IF(#REF!,"AAAAAH7937I=",0)</f>
        <v>#REF!</v>
      </c>
      <c r="FX46" t="e">
        <f>AND(#REF!,"AAAAAH7937M=")</f>
        <v>#REF!</v>
      </c>
      <c r="FY46" t="e">
        <f>AND(#REF!,"AAAAAH7937Q=")</f>
        <v>#REF!</v>
      </c>
      <c r="FZ46" t="e">
        <f>AND(#REF!,"AAAAAH7937U=")</f>
        <v>#REF!</v>
      </c>
      <c r="GA46" t="e">
        <f>AND(#REF!,"AAAAAH7937Y=")</f>
        <v>#REF!</v>
      </c>
      <c r="GB46" t="e">
        <f>AND(#REF!,"AAAAAH7937c=")</f>
        <v>#REF!</v>
      </c>
      <c r="GC46" t="e">
        <f>AND(#REF!,"AAAAAH7937g=")</f>
        <v>#REF!</v>
      </c>
      <c r="GD46" t="e">
        <f>AND(#REF!,"AAAAAH7937k=")</f>
        <v>#REF!</v>
      </c>
      <c r="GE46" t="e">
        <f>AND(#REF!,"AAAAAH7937o=")</f>
        <v>#REF!</v>
      </c>
      <c r="GF46" t="e">
        <f>AND(#REF!,"AAAAAH7937s=")</f>
        <v>#REF!</v>
      </c>
      <c r="GG46" t="e">
        <f>AND(#REF!,"AAAAAH7937w=")</f>
        <v>#REF!</v>
      </c>
      <c r="GH46" t="e">
        <f>IF(#REF!,"AAAAAH79370=",0)</f>
        <v>#REF!</v>
      </c>
      <c r="GI46" t="e">
        <f>AND(#REF!,"AAAAAH79374=")</f>
        <v>#REF!</v>
      </c>
      <c r="GJ46" t="e">
        <f>AND(#REF!,"AAAAAH79378=")</f>
        <v>#REF!</v>
      </c>
      <c r="GK46" t="e">
        <f>AND(#REF!,"AAAAAH7938A=")</f>
        <v>#REF!</v>
      </c>
      <c r="GL46" t="e">
        <f>AND(#REF!,"AAAAAH7938E=")</f>
        <v>#REF!</v>
      </c>
      <c r="GM46" t="e">
        <f>AND(#REF!,"AAAAAH7938I=")</f>
        <v>#REF!</v>
      </c>
      <c r="GN46" t="e">
        <f>AND(#REF!,"AAAAAH7938M=")</f>
        <v>#REF!</v>
      </c>
      <c r="GO46" t="e">
        <f>AND(#REF!,"AAAAAH7938Q=")</f>
        <v>#REF!</v>
      </c>
      <c r="GP46" t="e">
        <f>AND(#REF!,"AAAAAH7938U=")</f>
        <v>#REF!</v>
      </c>
      <c r="GQ46" t="e">
        <f>AND(#REF!,"AAAAAH7938Y=")</f>
        <v>#REF!</v>
      </c>
      <c r="GR46" t="e">
        <f>AND(#REF!,"AAAAAH7938c=")</f>
        <v>#REF!</v>
      </c>
      <c r="GS46" t="e">
        <f>IF(#REF!,"AAAAAH7938g=",0)</f>
        <v>#REF!</v>
      </c>
      <c r="GT46" t="e">
        <f>AND(#REF!,"AAAAAH7938k=")</f>
        <v>#REF!</v>
      </c>
      <c r="GU46" t="e">
        <f>AND(#REF!,"AAAAAH7938o=")</f>
        <v>#REF!</v>
      </c>
      <c r="GV46" t="e">
        <f>AND(#REF!,"AAAAAH7938s=")</f>
        <v>#REF!</v>
      </c>
      <c r="GW46" t="e">
        <f>AND(#REF!,"AAAAAH7938w=")</f>
        <v>#REF!</v>
      </c>
      <c r="GX46" t="e">
        <f>AND(#REF!,"AAAAAH79380=")</f>
        <v>#REF!</v>
      </c>
      <c r="GY46" t="e">
        <f>AND(#REF!,"AAAAAH79384=")</f>
        <v>#REF!</v>
      </c>
      <c r="GZ46" t="e">
        <f>AND(#REF!,"AAAAAH79388=")</f>
        <v>#REF!</v>
      </c>
      <c r="HA46" t="e">
        <f>AND(#REF!,"AAAAAH7939A=")</f>
        <v>#REF!</v>
      </c>
      <c r="HB46" t="e">
        <f>AND(#REF!,"AAAAAH7939E=")</f>
        <v>#REF!</v>
      </c>
      <c r="HC46" t="e">
        <f>AND(#REF!,"AAAAAH7939I=")</f>
        <v>#REF!</v>
      </c>
      <c r="HD46" t="e">
        <f>IF(#REF!,"AAAAAH7939M=",0)</f>
        <v>#REF!</v>
      </c>
      <c r="HE46" t="e">
        <f>AND(#REF!,"AAAAAH7939Q=")</f>
        <v>#REF!</v>
      </c>
      <c r="HF46" t="e">
        <f>AND(#REF!,"AAAAAH7939U=")</f>
        <v>#REF!</v>
      </c>
      <c r="HG46" t="e">
        <f>AND(#REF!,"AAAAAH7939Y=")</f>
        <v>#REF!</v>
      </c>
      <c r="HH46" t="e">
        <f>AND(#REF!,"AAAAAH7939c=")</f>
        <v>#REF!</v>
      </c>
      <c r="HI46" t="e">
        <f>AND(#REF!,"AAAAAH7939g=")</f>
        <v>#REF!</v>
      </c>
      <c r="HJ46" t="e">
        <f>AND(#REF!,"AAAAAH7939k=")</f>
        <v>#REF!</v>
      </c>
      <c r="HK46" t="e">
        <f>AND(#REF!,"AAAAAH7939o=")</f>
        <v>#REF!</v>
      </c>
      <c r="HL46" t="e">
        <f>AND(#REF!,"AAAAAH7939s=")</f>
        <v>#REF!</v>
      </c>
      <c r="HM46" t="e">
        <f>AND(#REF!,"AAAAAH7939w=")</f>
        <v>#REF!</v>
      </c>
      <c r="HN46" t="e">
        <f>AND(#REF!,"AAAAAH79390=")</f>
        <v>#REF!</v>
      </c>
      <c r="HO46" t="e">
        <f>IF(#REF!,"AAAAAH79394=",0)</f>
        <v>#REF!</v>
      </c>
      <c r="HP46" t="e">
        <f>AND(#REF!,"AAAAAH79398=")</f>
        <v>#REF!</v>
      </c>
      <c r="HQ46" t="e">
        <f>AND(#REF!,"AAAAAH793+A=")</f>
        <v>#REF!</v>
      </c>
      <c r="HR46" t="e">
        <f>AND(#REF!,"AAAAAH793+E=")</f>
        <v>#REF!</v>
      </c>
      <c r="HS46" t="e">
        <f>AND(#REF!,"AAAAAH793+I=")</f>
        <v>#REF!</v>
      </c>
      <c r="HT46" t="e">
        <f>AND(#REF!,"AAAAAH793+M=")</f>
        <v>#REF!</v>
      </c>
      <c r="HU46" t="e">
        <f>AND(#REF!,"AAAAAH793+Q=")</f>
        <v>#REF!</v>
      </c>
      <c r="HV46" t="e">
        <f>AND(#REF!,"AAAAAH793+U=")</f>
        <v>#REF!</v>
      </c>
      <c r="HW46" t="e">
        <f>AND(#REF!,"AAAAAH793+Y=")</f>
        <v>#REF!</v>
      </c>
      <c r="HX46" t="e">
        <f>AND(#REF!,"AAAAAH793+c=")</f>
        <v>#REF!</v>
      </c>
      <c r="HY46" t="e">
        <f>AND(#REF!,"AAAAAH793+g=")</f>
        <v>#REF!</v>
      </c>
      <c r="HZ46" t="e">
        <f>IF(#REF!,"AAAAAH793+k=",0)</f>
        <v>#REF!</v>
      </c>
      <c r="IA46" t="e">
        <f>AND(#REF!,"AAAAAH793+o=")</f>
        <v>#REF!</v>
      </c>
      <c r="IB46" t="e">
        <f>AND(#REF!,"AAAAAH793+s=")</f>
        <v>#REF!</v>
      </c>
      <c r="IC46" t="e">
        <f>AND(#REF!,"AAAAAH793+w=")</f>
        <v>#REF!</v>
      </c>
      <c r="ID46" t="e">
        <f>AND(#REF!,"AAAAAH793+0=")</f>
        <v>#REF!</v>
      </c>
      <c r="IE46" t="e">
        <f>AND(#REF!,"AAAAAH793+4=")</f>
        <v>#REF!</v>
      </c>
      <c r="IF46" t="e">
        <f>AND(#REF!,"AAAAAH793+8=")</f>
        <v>#REF!</v>
      </c>
      <c r="IG46" t="e">
        <f>AND(#REF!,"AAAAAH793/A=")</f>
        <v>#REF!</v>
      </c>
      <c r="IH46" t="e">
        <f>AND(#REF!,"AAAAAH793/E=")</f>
        <v>#REF!</v>
      </c>
      <c r="II46" t="e">
        <f>AND(#REF!,"AAAAAH793/I=")</f>
        <v>#REF!</v>
      </c>
      <c r="IJ46" t="e">
        <f>AND(#REF!,"AAAAAH793/M=")</f>
        <v>#REF!</v>
      </c>
      <c r="IK46" t="e">
        <f>IF(#REF!,"AAAAAH793/Q=",0)</f>
        <v>#REF!</v>
      </c>
      <c r="IL46" t="e">
        <f>AND(#REF!,"AAAAAH793/U=")</f>
        <v>#REF!</v>
      </c>
      <c r="IM46" t="e">
        <f>AND(#REF!,"AAAAAH793/Y=")</f>
        <v>#REF!</v>
      </c>
      <c r="IN46" t="e">
        <f>AND(#REF!,"AAAAAH793/c=")</f>
        <v>#REF!</v>
      </c>
      <c r="IO46" t="e">
        <f>AND(#REF!,"AAAAAH793/g=")</f>
        <v>#REF!</v>
      </c>
      <c r="IP46" t="e">
        <f>AND(#REF!,"AAAAAH793/k=")</f>
        <v>#REF!</v>
      </c>
      <c r="IQ46" t="e">
        <f>AND(#REF!,"AAAAAH793/o=")</f>
        <v>#REF!</v>
      </c>
      <c r="IR46" t="e">
        <f>AND(#REF!,"AAAAAH793/s=")</f>
        <v>#REF!</v>
      </c>
      <c r="IS46" t="e">
        <f>AND(#REF!,"AAAAAH793/w=")</f>
        <v>#REF!</v>
      </c>
      <c r="IT46" t="e">
        <f>AND(#REF!,"AAAAAH793/0=")</f>
        <v>#REF!</v>
      </c>
      <c r="IU46" t="e">
        <f>AND(#REF!,"AAAAAH793/4=")</f>
        <v>#REF!</v>
      </c>
      <c r="IV46" t="e">
        <f>IF(#REF!,"AAAAAH793/8=",0)</f>
        <v>#REF!</v>
      </c>
    </row>
    <row r="47" spans="1:256" x14ac:dyDescent="0.25">
      <c r="A47" t="e">
        <f>AND(#REF!,"AAAAAB7P/wA=")</f>
        <v>#REF!</v>
      </c>
      <c r="B47" t="e">
        <f>AND(#REF!,"AAAAAB7P/wE=")</f>
        <v>#REF!</v>
      </c>
      <c r="C47" t="e">
        <f>AND(#REF!,"AAAAAB7P/wI=")</f>
        <v>#REF!</v>
      </c>
      <c r="D47" t="e">
        <f>AND(#REF!,"AAAAAB7P/wM=")</f>
        <v>#REF!</v>
      </c>
      <c r="E47" t="e">
        <f>AND(#REF!,"AAAAAB7P/wQ=")</f>
        <v>#REF!</v>
      </c>
      <c r="F47" t="e">
        <f>AND(#REF!,"AAAAAB7P/wU=")</f>
        <v>#REF!</v>
      </c>
      <c r="G47" t="e">
        <f>AND(#REF!,"AAAAAB7P/wY=")</f>
        <v>#REF!</v>
      </c>
      <c r="H47" t="e">
        <f>AND(#REF!,"AAAAAB7P/wc=")</f>
        <v>#REF!</v>
      </c>
      <c r="I47" t="e">
        <f>AND(#REF!,"AAAAAB7P/wg=")</f>
        <v>#REF!</v>
      </c>
      <c r="J47" t="e">
        <f>AND(#REF!,"AAAAAB7P/wk=")</f>
        <v>#REF!</v>
      </c>
      <c r="K47" t="e">
        <f>IF(#REF!,"AAAAAB7P/wo=",0)</f>
        <v>#REF!</v>
      </c>
      <c r="L47" t="e">
        <f>AND(#REF!,"AAAAAB7P/ws=")</f>
        <v>#REF!</v>
      </c>
      <c r="M47" t="e">
        <f>AND(#REF!,"AAAAAB7P/ww=")</f>
        <v>#REF!</v>
      </c>
      <c r="N47" t="e">
        <f>AND(#REF!,"AAAAAB7P/w0=")</f>
        <v>#REF!</v>
      </c>
      <c r="O47" t="e">
        <f>AND(#REF!,"AAAAAB7P/w4=")</f>
        <v>#REF!</v>
      </c>
      <c r="P47" t="e">
        <f>AND(#REF!,"AAAAAB7P/w8=")</f>
        <v>#REF!</v>
      </c>
      <c r="Q47" t="e">
        <f>AND(#REF!,"AAAAAB7P/xA=")</f>
        <v>#REF!</v>
      </c>
      <c r="R47" t="e">
        <f>AND(#REF!,"AAAAAB7P/xE=")</f>
        <v>#REF!</v>
      </c>
      <c r="S47" t="e">
        <f>AND(#REF!,"AAAAAB7P/xI=")</f>
        <v>#REF!</v>
      </c>
      <c r="T47" t="e">
        <f>AND(#REF!,"AAAAAB7P/xM=")</f>
        <v>#REF!</v>
      </c>
      <c r="U47" t="e">
        <f>AND(#REF!,"AAAAAB7P/xQ=")</f>
        <v>#REF!</v>
      </c>
      <c r="V47" t="e">
        <f>IF(#REF!,"AAAAAB7P/xU=",0)</f>
        <v>#REF!</v>
      </c>
      <c r="W47" t="e">
        <f>AND(#REF!,"AAAAAB7P/xY=")</f>
        <v>#REF!</v>
      </c>
      <c r="X47" t="e">
        <f>AND(#REF!,"AAAAAB7P/xc=")</f>
        <v>#REF!</v>
      </c>
      <c r="Y47" t="e">
        <f>AND(#REF!,"AAAAAB7P/xg=")</f>
        <v>#REF!</v>
      </c>
      <c r="Z47" t="e">
        <f>AND(#REF!,"AAAAAB7P/xk=")</f>
        <v>#REF!</v>
      </c>
      <c r="AA47" t="e">
        <f>AND(#REF!,"AAAAAB7P/xo=")</f>
        <v>#REF!</v>
      </c>
      <c r="AB47" t="e">
        <f>AND(#REF!,"AAAAAB7P/xs=")</f>
        <v>#REF!</v>
      </c>
      <c r="AC47" t="e">
        <f>AND(#REF!,"AAAAAB7P/xw=")</f>
        <v>#REF!</v>
      </c>
      <c r="AD47" t="e">
        <f>AND(#REF!,"AAAAAB7P/x0=")</f>
        <v>#REF!</v>
      </c>
      <c r="AE47" t="e">
        <f>AND(#REF!,"AAAAAB7P/x4=")</f>
        <v>#REF!</v>
      </c>
      <c r="AF47" t="e">
        <f>AND(#REF!,"AAAAAB7P/x8=")</f>
        <v>#REF!</v>
      </c>
      <c r="AG47" t="e">
        <f>IF(#REF!,"AAAAAB7P/yA=",0)</f>
        <v>#REF!</v>
      </c>
      <c r="AH47" t="e">
        <f>AND(#REF!,"AAAAAB7P/yE=")</f>
        <v>#REF!</v>
      </c>
      <c r="AI47" t="e">
        <f>AND(#REF!,"AAAAAB7P/yI=")</f>
        <v>#REF!</v>
      </c>
      <c r="AJ47" t="e">
        <f>AND(#REF!,"AAAAAB7P/yM=")</f>
        <v>#REF!</v>
      </c>
      <c r="AK47" t="e">
        <f>AND(#REF!,"AAAAAB7P/yQ=")</f>
        <v>#REF!</v>
      </c>
      <c r="AL47" t="e">
        <f>AND(#REF!,"AAAAAB7P/yU=")</f>
        <v>#REF!</v>
      </c>
      <c r="AM47" t="e">
        <f>AND(#REF!,"AAAAAB7P/yY=")</f>
        <v>#REF!</v>
      </c>
      <c r="AN47" t="e">
        <f>AND(#REF!,"AAAAAB7P/yc=")</f>
        <v>#REF!</v>
      </c>
      <c r="AO47" t="e">
        <f>AND(#REF!,"AAAAAB7P/yg=")</f>
        <v>#REF!</v>
      </c>
      <c r="AP47" t="e">
        <f>AND(#REF!,"AAAAAB7P/yk=")</f>
        <v>#REF!</v>
      </c>
      <c r="AQ47" t="e">
        <f>AND(#REF!,"AAAAAB7P/yo=")</f>
        <v>#REF!</v>
      </c>
      <c r="AR47" t="e">
        <f>IF(#REF!,"AAAAAB7P/ys=",0)</f>
        <v>#REF!</v>
      </c>
      <c r="AS47" t="e">
        <f>AND(#REF!,"AAAAAB7P/yw=")</f>
        <v>#REF!</v>
      </c>
      <c r="AT47" t="e">
        <f>AND(#REF!,"AAAAAB7P/y0=")</f>
        <v>#REF!</v>
      </c>
      <c r="AU47" t="e">
        <f>AND(#REF!,"AAAAAB7P/y4=")</f>
        <v>#REF!</v>
      </c>
      <c r="AV47" t="e">
        <f>AND(#REF!,"AAAAAB7P/y8=")</f>
        <v>#REF!</v>
      </c>
      <c r="AW47" t="e">
        <f>AND(#REF!,"AAAAAB7P/zA=")</f>
        <v>#REF!</v>
      </c>
      <c r="AX47" t="e">
        <f>AND(#REF!,"AAAAAB7P/zE=")</f>
        <v>#REF!</v>
      </c>
      <c r="AY47" t="e">
        <f>AND(#REF!,"AAAAAB7P/zI=")</f>
        <v>#REF!</v>
      </c>
      <c r="AZ47" t="e">
        <f>AND(#REF!,"AAAAAB7P/zM=")</f>
        <v>#REF!</v>
      </c>
      <c r="BA47" t="e">
        <f>AND(#REF!,"AAAAAB7P/zQ=")</f>
        <v>#REF!</v>
      </c>
      <c r="BB47" t="e">
        <f>AND(#REF!,"AAAAAB7P/zU=")</f>
        <v>#REF!</v>
      </c>
      <c r="BC47" t="e">
        <f>IF(#REF!,"AAAAAB7P/zY=",0)</f>
        <v>#REF!</v>
      </c>
      <c r="BD47" t="e">
        <f>AND(#REF!,"AAAAAB7P/zc=")</f>
        <v>#REF!</v>
      </c>
      <c r="BE47" t="e">
        <f>AND(#REF!,"AAAAAB7P/zg=")</f>
        <v>#REF!</v>
      </c>
      <c r="BF47" t="e">
        <f>AND(#REF!,"AAAAAB7P/zk=")</f>
        <v>#REF!</v>
      </c>
      <c r="BG47" t="e">
        <f>AND(#REF!,"AAAAAB7P/zo=")</f>
        <v>#REF!</v>
      </c>
      <c r="BH47" t="e">
        <f>AND(#REF!,"AAAAAB7P/zs=")</f>
        <v>#REF!</v>
      </c>
      <c r="BI47" t="e">
        <f>AND(#REF!,"AAAAAB7P/zw=")</f>
        <v>#REF!</v>
      </c>
      <c r="BJ47" t="e">
        <f>AND(#REF!,"AAAAAB7P/z0=")</f>
        <v>#REF!</v>
      </c>
      <c r="BK47" t="e">
        <f>AND(#REF!,"AAAAAB7P/z4=")</f>
        <v>#REF!</v>
      </c>
      <c r="BL47" t="e">
        <f>AND(#REF!,"AAAAAB7P/z8=")</f>
        <v>#REF!</v>
      </c>
      <c r="BM47" t="e">
        <f>AND(#REF!,"AAAAAB7P/0A=")</f>
        <v>#REF!</v>
      </c>
      <c r="BN47" t="e">
        <f>IF(#REF!,"AAAAAB7P/0E=",0)</f>
        <v>#REF!</v>
      </c>
      <c r="BO47" t="e">
        <f>AND(#REF!,"AAAAAB7P/0I=")</f>
        <v>#REF!</v>
      </c>
      <c r="BP47" t="e">
        <f>AND(#REF!,"AAAAAB7P/0M=")</f>
        <v>#REF!</v>
      </c>
      <c r="BQ47" t="e">
        <f>AND(#REF!,"AAAAAB7P/0Q=")</f>
        <v>#REF!</v>
      </c>
      <c r="BR47" t="e">
        <f>AND(#REF!,"AAAAAB7P/0U=")</f>
        <v>#REF!</v>
      </c>
      <c r="BS47" t="e">
        <f>AND(#REF!,"AAAAAB7P/0Y=")</f>
        <v>#REF!</v>
      </c>
      <c r="BT47" t="e">
        <f>AND(#REF!,"AAAAAB7P/0c=")</f>
        <v>#REF!</v>
      </c>
      <c r="BU47" t="e">
        <f>AND(#REF!,"AAAAAB7P/0g=")</f>
        <v>#REF!</v>
      </c>
      <c r="BV47" t="e">
        <f>AND(#REF!,"AAAAAB7P/0k=")</f>
        <v>#REF!</v>
      </c>
      <c r="BW47" t="e">
        <f>AND(#REF!,"AAAAAB7P/0o=")</f>
        <v>#REF!</v>
      </c>
      <c r="BX47" t="e">
        <f>AND(#REF!,"AAAAAB7P/0s=")</f>
        <v>#REF!</v>
      </c>
      <c r="BY47" t="e">
        <f>IF(#REF!,"AAAAAB7P/0w=",0)</f>
        <v>#REF!</v>
      </c>
      <c r="BZ47" t="e">
        <f>AND(#REF!,"AAAAAB7P/00=")</f>
        <v>#REF!</v>
      </c>
      <c r="CA47" t="e">
        <f>AND(#REF!,"AAAAAB7P/04=")</f>
        <v>#REF!</v>
      </c>
      <c r="CB47" t="e">
        <f>AND(#REF!,"AAAAAB7P/08=")</f>
        <v>#REF!</v>
      </c>
      <c r="CC47" t="e">
        <f>AND(#REF!,"AAAAAB7P/1A=")</f>
        <v>#REF!</v>
      </c>
      <c r="CD47" t="e">
        <f>AND(#REF!,"AAAAAB7P/1E=")</f>
        <v>#REF!</v>
      </c>
      <c r="CE47" t="e">
        <f>AND(#REF!,"AAAAAB7P/1I=")</f>
        <v>#REF!</v>
      </c>
      <c r="CF47" t="e">
        <f>AND(#REF!,"AAAAAB7P/1M=")</f>
        <v>#REF!</v>
      </c>
      <c r="CG47" t="e">
        <f>AND(#REF!,"AAAAAB7P/1Q=")</f>
        <v>#REF!</v>
      </c>
      <c r="CH47" t="e">
        <f>AND(#REF!,"AAAAAB7P/1U=")</f>
        <v>#REF!</v>
      </c>
      <c r="CI47" t="e">
        <f>AND(#REF!,"AAAAAB7P/1Y=")</f>
        <v>#REF!</v>
      </c>
      <c r="CJ47" t="e">
        <f>IF(#REF!,"AAAAAB7P/1c=",0)</f>
        <v>#REF!</v>
      </c>
      <c r="CK47" t="e">
        <f>AND(#REF!,"AAAAAB7P/1g=")</f>
        <v>#REF!</v>
      </c>
      <c r="CL47" t="e">
        <f>AND(#REF!,"AAAAAB7P/1k=")</f>
        <v>#REF!</v>
      </c>
      <c r="CM47" t="e">
        <f>AND(#REF!,"AAAAAB7P/1o=")</f>
        <v>#REF!</v>
      </c>
      <c r="CN47" t="e">
        <f>AND(#REF!,"AAAAAB7P/1s=")</f>
        <v>#REF!</v>
      </c>
      <c r="CO47" t="e">
        <f>AND(#REF!,"AAAAAB7P/1w=")</f>
        <v>#REF!</v>
      </c>
      <c r="CP47" t="e">
        <f>AND(#REF!,"AAAAAB7P/10=")</f>
        <v>#REF!</v>
      </c>
      <c r="CQ47" t="e">
        <f>AND(#REF!,"AAAAAB7P/14=")</f>
        <v>#REF!</v>
      </c>
      <c r="CR47" t="e">
        <f>AND(#REF!,"AAAAAB7P/18=")</f>
        <v>#REF!</v>
      </c>
      <c r="CS47" t="e">
        <f>AND(#REF!,"AAAAAB7P/2A=")</f>
        <v>#REF!</v>
      </c>
      <c r="CT47" t="e">
        <f>AND(#REF!,"AAAAAB7P/2E=")</f>
        <v>#REF!</v>
      </c>
      <c r="CU47" t="e">
        <f>IF(#REF!,"AAAAAB7P/2I=",0)</f>
        <v>#REF!</v>
      </c>
      <c r="CV47" t="e">
        <f>AND(#REF!,"AAAAAB7P/2M=")</f>
        <v>#REF!</v>
      </c>
      <c r="CW47" t="e">
        <f>AND(#REF!,"AAAAAB7P/2Q=")</f>
        <v>#REF!</v>
      </c>
      <c r="CX47" t="e">
        <f>AND(#REF!,"AAAAAB7P/2U=")</f>
        <v>#REF!</v>
      </c>
      <c r="CY47" t="e">
        <f>AND(#REF!,"AAAAAB7P/2Y=")</f>
        <v>#REF!</v>
      </c>
      <c r="CZ47" t="e">
        <f>AND(#REF!,"AAAAAB7P/2c=")</f>
        <v>#REF!</v>
      </c>
      <c r="DA47" t="e">
        <f>AND(#REF!,"AAAAAB7P/2g=")</f>
        <v>#REF!</v>
      </c>
      <c r="DB47" t="e">
        <f>AND(#REF!,"AAAAAB7P/2k=")</f>
        <v>#REF!</v>
      </c>
      <c r="DC47" t="e">
        <f>AND(#REF!,"AAAAAB7P/2o=")</f>
        <v>#REF!</v>
      </c>
      <c r="DD47" t="e">
        <f>AND(#REF!,"AAAAAB7P/2s=")</f>
        <v>#REF!</v>
      </c>
      <c r="DE47" t="e">
        <f>AND(#REF!,"AAAAAB7P/2w=")</f>
        <v>#REF!</v>
      </c>
      <c r="DF47" t="e">
        <f>IF(#REF!,"AAAAAB7P/20=",0)</f>
        <v>#REF!</v>
      </c>
      <c r="DG47" t="e">
        <f>AND(#REF!,"AAAAAB7P/24=")</f>
        <v>#REF!</v>
      </c>
      <c r="DH47" t="e">
        <f>AND(#REF!,"AAAAAB7P/28=")</f>
        <v>#REF!</v>
      </c>
      <c r="DI47" t="e">
        <f>AND(#REF!,"AAAAAB7P/3A=")</f>
        <v>#REF!</v>
      </c>
      <c r="DJ47" t="e">
        <f>AND(#REF!,"AAAAAB7P/3E=")</f>
        <v>#REF!</v>
      </c>
      <c r="DK47" t="e">
        <f>AND(#REF!,"AAAAAB7P/3I=")</f>
        <v>#REF!</v>
      </c>
      <c r="DL47" t="e">
        <f>AND(#REF!,"AAAAAB7P/3M=")</f>
        <v>#REF!</v>
      </c>
      <c r="DM47" t="e">
        <f>AND(#REF!,"AAAAAB7P/3Q=")</f>
        <v>#REF!</v>
      </c>
      <c r="DN47" t="e">
        <f>AND(#REF!,"AAAAAB7P/3U=")</f>
        <v>#REF!</v>
      </c>
      <c r="DO47" t="e">
        <f>AND(#REF!,"AAAAAB7P/3Y=")</f>
        <v>#REF!</v>
      </c>
      <c r="DP47" t="e">
        <f>AND(#REF!,"AAAAAB7P/3c=")</f>
        <v>#REF!</v>
      </c>
      <c r="DQ47" t="e">
        <f>IF(#REF!,"AAAAAB7P/3g=",0)</f>
        <v>#REF!</v>
      </c>
      <c r="DR47" t="e">
        <f>AND(#REF!,"AAAAAB7P/3k=")</f>
        <v>#REF!</v>
      </c>
      <c r="DS47" t="e">
        <f>AND(#REF!,"AAAAAB7P/3o=")</f>
        <v>#REF!</v>
      </c>
      <c r="DT47" t="e">
        <f>AND(#REF!,"AAAAAB7P/3s=")</f>
        <v>#REF!</v>
      </c>
      <c r="DU47" t="e">
        <f>AND(#REF!,"AAAAAB7P/3w=")</f>
        <v>#REF!</v>
      </c>
      <c r="DV47" t="e">
        <f>AND(#REF!,"AAAAAB7P/30=")</f>
        <v>#REF!</v>
      </c>
      <c r="DW47" t="e">
        <f>AND(#REF!,"AAAAAB7P/34=")</f>
        <v>#REF!</v>
      </c>
      <c r="DX47" t="e">
        <f>AND(#REF!,"AAAAAB7P/38=")</f>
        <v>#REF!</v>
      </c>
      <c r="DY47" t="e">
        <f>AND(#REF!,"AAAAAB7P/4A=")</f>
        <v>#REF!</v>
      </c>
      <c r="DZ47" t="e">
        <f>AND(#REF!,"AAAAAB7P/4E=")</f>
        <v>#REF!</v>
      </c>
      <c r="EA47" t="e">
        <f>AND(#REF!,"AAAAAB7P/4I=")</f>
        <v>#REF!</v>
      </c>
      <c r="EB47" t="e">
        <f>IF(#REF!,"AAAAAB7P/4M=",0)</f>
        <v>#REF!</v>
      </c>
      <c r="EC47" t="e">
        <f>AND(#REF!,"AAAAAB7P/4Q=")</f>
        <v>#REF!</v>
      </c>
      <c r="ED47" t="e">
        <f>AND(#REF!,"AAAAAB7P/4U=")</f>
        <v>#REF!</v>
      </c>
      <c r="EE47" t="e">
        <f>AND(#REF!,"AAAAAB7P/4Y=")</f>
        <v>#REF!</v>
      </c>
      <c r="EF47" t="e">
        <f>AND(#REF!,"AAAAAB7P/4c=")</f>
        <v>#REF!</v>
      </c>
      <c r="EG47" t="e">
        <f>AND(#REF!,"AAAAAB7P/4g=")</f>
        <v>#REF!</v>
      </c>
      <c r="EH47" t="e">
        <f>AND(#REF!,"AAAAAB7P/4k=")</f>
        <v>#REF!</v>
      </c>
      <c r="EI47" t="e">
        <f>AND(#REF!,"AAAAAB7P/4o=")</f>
        <v>#REF!</v>
      </c>
      <c r="EJ47" t="e">
        <f>AND(#REF!,"AAAAAB7P/4s=")</f>
        <v>#REF!</v>
      </c>
      <c r="EK47" t="e">
        <f>AND(#REF!,"AAAAAB7P/4w=")</f>
        <v>#REF!</v>
      </c>
      <c r="EL47" t="e">
        <f>AND(#REF!,"AAAAAB7P/40=")</f>
        <v>#REF!</v>
      </c>
      <c r="EM47" t="e">
        <f>IF(#REF!,"AAAAAB7P/44=",0)</f>
        <v>#REF!</v>
      </c>
      <c r="EN47" t="e">
        <f>AND(#REF!,"AAAAAB7P/48=")</f>
        <v>#REF!</v>
      </c>
      <c r="EO47" t="e">
        <f>AND(#REF!,"AAAAAB7P/5A=")</f>
        <v>#REF!</v>
      </c>
      <c r="EP47" t="e">
        <f>AND(#REF!,"AAAAAB7P/5E=")</f>
        <v>#REF!</v>
      </c>
      <c r="EQ47" t="e">
        <f>AND(#REF!,"AAAAAB7P/5I=")</f>
        <v>#REF!</v>
      </c>
      <c r="ER47" t="e">
        <f>AND(#REF!,"AAAAAB7P/5M=")</f>
        <v>#REF!</v>
      </c>
      <c r="ES47" t="e">
        <f>AND(#REF!,"AAAAAB7P/5Q=")</f>
        <v>#REF!</v>
      </c>
      <c r="ET47" t="e">
        <f>AND(#REF!,"AAAAAB7P/5U=")</f>
        <v>#REF!</v>
      </c>
      <c r="EU47" t="e">
        <f>AND(#REF!,"AAAAAB7P/5Y=")</f>
        <v>#REF!</v>
      </c>
      <c r="EV47" t="e">
        <f>AND(#REF!,"AAAAAB7P/5c=")</f>
        <v>#REF!</v>
      </c>
      <c r="EW47" t="e">
        <f>AND(#REF!,"AAAAAB7P/5g=")</f>
        <v>#REF!</v>
      </c>
      <c r="EX47" t="e">
        <f>IF(#REF!,"AAAAAB7P/5k=",0)</f>
        <v>#REF!</v>
      </c>
      <c r="EY47" t="e">
        <f>AND(#REF!,"AAAAAB7P/5o=")</f>
        <v>#REF!</v>
      </c>
      <c r="EZ47" t="e">
        <f>AND(#REF!,"AAAAAB7P/5s=")</f>
        <v>#REF!</v>
      </c>
      <c r="FA47" t="e">
        <f>AND(#REF!,"AAAAAB7P/5w=")</f>
        <v>#REF!</v>
      </c>
      <c r="FB47" t="e">
        <f>AND(#REF!,"AAAAAB7P/50=")</f>
        <v>#REF!</v>
      </c>
      <c r="FC47" t="e">
        <f>AND(#REF!,"AAAAAB7P/54=")</f>
        <v>#REF!</v>
      </c>
      <c r="FD47" t="e">
        <f>AND(#REF!,"AAAAAB7P/58=")</f>
        <v>#REF!</v>
      </c>
      <c r="FE47" t="e">
        <f>AND(#REF!,"AAAAAB7P/6A=")</f>
        <v>#REF!</v>
      </c>
      <c r="FF47" t="e">
        <f>AND(#REF!,"AAAAAB7P/6E=")</f>
        <v>#REF!</v>
      </c>
      <c r="FG47" t="e">
        <f>AND(#REF!,"AAAAAB7P/6I=")</f>
        <v>#REF!</v>
      </c>
      <c r="FH47" t="e">
        <f>AND(#REF!,"AAAAAB7P/6M=")</f>
        <v>#REF!</v>
      </c>
      <c r="FI47" t="e">
        <f>IF(#REF!,"AAAAAB7P/6Q=",0)</f>
        <v>#REF!</v>
      </c>
      <c r="FJ47" t="e">
        <f>AND(#REF!,"AAAAAB7P/6U=")</f>
        <v>#REF!</v>
      </c>
      <c r="FK47" t="e">
        <f>AND(#REF!,"AAAAAB7P/6Y=")</f>
        <v>#REF!</v>
      </c>
      <c r="FL47" t="e">
        <f>AND(#REF!,"AAAAAB7P/6c=")</f>
        <v>#REF!</v>
      </c>
      <c r="FM47" t="e">
        <f>AND(#REF!,"AAAAAB7P/6g=")</f>
        <v>#REF!</v>
      </c>
      <c r="FN47" t="e">
        <f>AND(#REF!,"AAAAAB7P/6k=")</f>
        <v>#REF!</v>
      </c>
      <c r="FO47" t="e">
        <f>AND(#REF!,"AAAAAB7P/6o=")</f>
        <v>#REF!</v>
      </c>
      <c r="FP47" t="e">
        <f>AND(#REF!,"AAAAAB7P/6s=")</f>
        <v>#REF!</v>
      </c>
      <c r="FQ47" t="e">
        <f>AND(#REF!,"AAAAAB7P/6w=")</f>
        <v>#REF!</v>
      </c>
      <c r="FR47" t="e">
        <f>AND(#REF!,"AAAAAB7P/60=")</f>
        <v>#REF!</v>
      </c>
      <c r="FS47" t="e">
        <f>AND(#REF!,"AAAAAB7P/64=")</f>
        <v>#REF!</v>
      </c>
      <c r="FT47" t="e">
        <f>IF(#REF!,"AAAAAB7P/68=",0)</f>
        <v>#REF!</v>
      </c>
      <c r="FU47" t="e">
        <f>AND(#REF!,"AAAAAB7P/7A=")</f>
        <v>#REF!</v>
      </c>
      <c r="FV47" t="e">
        <f>AND(#REF!,"AAAAAB7P/7E=")</f>
        <v>#REF!</v>
      </c>
      <c r="FW47" t="e">
        <f>AND(#REF!,"AAAAAB7P/7I=")</f>
        <v>#REF!</v>
      </c>
      <c r="FX47" t="e">
        <f>AND(#REF!,"AAAAAB7P/7M=")</f>
        <v>#REF!</v>
      </c>
      <c r="FY47" t="e">
        <f>AND(#REF!,"AAAAAB7P/7Q=")</f>
        <v>#REF!</v>
      </c>
      <c r="FZ47" t="e">
        <f>AND(#REF!,"AAAAAB7P/7U=")</f>
        <v>#REF!</v>
      </c>
      <c r="GA47" t="e">
        <f>AND(#REF!,"AAAAAB7P/7Y=")</f>
        <v>#REF!</v>
      </c>
      <c r="GB47" t="e">
        <f>AND(#REF!,"AAAAAB7P/7c=")</f>
        <v>#REF!</v>
      </c>
      <c r="GC47" t="e">
        <f>AND(#REF!,"AAAAAB7P/7g=")</f>
        <v>#REF!</v>
      </c>
      <c r="GD47" t="e">
        <f>AND(#REF!,"AAAAAB7P/7k=")</f>
        <v>#REF!</v>
      </c>
      <c r="GE47" t="e">
        <f>IF(#REF!,"AAAAAB7P/7o=",0)</f>
        <v>#REF!</v>
      </c>
      <c r="GF47" t="e">
        <f>AND(#REF!,"AAAAAB7P/7s=")</f>
        <v>#REF!</v>
      </c>
      <c r="GG47" t="e">
        <f>AND(#REF!,"AAAAAB7P/7w=")</f>
        <v>#REF!</v>
      </c>
      <c r="GH47" t="e">
        <f>AND(#REF!,"AAAAAB7P/70=")</f>
        <v>#REF!</v>
      </c>
      <c r="GI47" t="e">
        <f>AND(#REF!,"AAAAAB7P/74=")</f>
        <v>#REF!</v>
      </c>
      <c r="GJ47" t="e">
        <f>AND(#REF!,"AAAAAB7P/78=")</f>
        <v>#REF!</v>
      </c>
      <c r="GK47" t="e">
        <f>AND(#REF!,"AAAAAB7P/8A=")</f>
        <v>#REF!</v>
      </c>
      <c r="GL47" t="e">
        <f>AND(#REF!,"AAAAAB7P/8E=")</f>
        <v>#REF!</v>
      </c>
      <c r="GM47" t="e">
        <f>AND(#REF!,"AAAAAB7P/8I=")</f>
        <v>#REF!</v>
      </c>
      <c r="GN47" t="e">
        <f>AND(#REF!,"AAAAAB7P/8M=")</f>
        <v>#REF!</v>
      </c>
      <c r="GO47" t="e">
        <f>AND(#REF!,"AAAAAB7P/8Q=")</f>
        <v>#REF!</v>
      </c>
      <c r="GP47" t="e">
        <f>IF(#REF!,"AAAAAB7P/8U=",0)</f>
        <v>#REF!</v>
      </c>
      <c r="GQ47" t="e">
        <f>AND(#REF!,"AAAAAB7P/8Y=")</f>
        <v>#REF!</v>
      </c>
      <c r="GR47" t="e">
        <f>AND(#REF!,"AAAAAB7P/8c=")</f>
        <v>#REF!</v>
      </c>
      <c r="GS47" t="e">
        <f>AND(#REF!,"AAAAAB7P/8g=")</f>
        <v>#REF!</v>
      </c>
      <c r="GT47" t="e">
        <f>AND(#REF!,"AAAAAB7P/8k=")</f>
        <v>#REF!</v>
      </c>
      <c r="GU47" t="e">
        <f>AND(#REF!,"AAAAAB7P/8o=")</f>
        <v>#REF!</v>
      </c>
      <c r="GV47" t="e">
        <f>AND(#REF!,"AAAAAB7P/8s=")</f>
        <v>#REF!</v>
      </c>
      <c r="GW47" t="e">
        <f>AND(#REF!,"AAAAAB7P/8w=")</f>
        <v>#REF!</v>
      </c>
      <c r="GX47" t="e">
        <f>AND(#REF!,"AAAAAB7P/80=")</f>
        <v>#REF!</v>
      </c>
      <c r="GY47" t="e">
        <f>AND(#REF!,"AAAAAB7P/84=")</f>
        <v>#REF!</v>
      </c>
      <c r="GZ47" t="e">
        <f>AND(#REF!,"AAAAAB7P/88=")</f>
        <v>#REF!</v>
      </c>
      <c r="HA47" t="e">
        <f>IF(#REF!,"AAAAAB7P/9A=",0)</f>
        <v>#REF!</v>
      </c>
      <c r="HB47" t="e">
        <f>AND(#REF!,"AAAAAB7P/9E=")</f>
        <v>#REF!</v>
      </c>
      <c r="HC47" t="e">
        <f>AND(#REF!,"AAAAAB7P/9I=")</f>
        <v>#REF!</v>
      </c>
      <c r="HD47" t="e">
        <f>AND(#REF!,"AAAAAB7P/9M=")</f>
        <v>#REF!</v>
      </c>
      <c r="HE47" t="e">
        <f>AND(#REF!,"AAAAAB7P/9Q=")</f>
        <v>#REF!</v>
      </c>
      <c r="HF47" t="e">
        <f>AND(#REF!,"AAAAAB7P/9U=")</f>
        <v>#REF!</v>
      </c>
      <c r="HG47" t="e">
        <f>AND(#REF!,"AAAAAB7P/9Y=")</f>
        <v>#REF!</v>
      </c>
      <c r="HH47" t="e">
        <f>AND(#REF!,"AAAAAB7P/9c=")</f>
        <v>#REF!</v>
      </c>
      <c r="HI47" t="e">
        <f>AND(#REF!,"AAAAAB7P/9g=")</f>
        <v>#REF!</v>
      </c>
      <c r="HJ47" t="e">
        <f>AND(#REF!,"AAAAAB7P/9k=")</f>
        <v>#REF!</v>
      </c>
      <c r="HK47" t="e">
        <f>AND(#REF!,"AAAAAB7P/9o=")</f>
        <v>#REF!</v>
      </c>
      <c r="HL47" t="e">
        <f>IF(#REF!,"AAAAAB7P/9s=",0)</f>
        <v>#REF!</v>
      </c>
      <c r="HM47" t="e">
        <f>AND(#REF!,"AAAAAB7P/9w=")</f>
        <v>#REF!</v>
      </c>
      <c r="HN47" t="e">
        <f>AND(#REF!,"AAAAAB7P/90=")</f>
        <v>#REF!</v>
      </c>
      <c r="HO47" t="e">
        <f>AND(#REF!,"AAAAAB7P/94=")</f>
        <v>#REF!</v>
      </c>
      <c r="HP47" t="e">
        <f>AND(#REF!,"AAAAAB7P/98=")</f>
        <v>#REF!</v>
      </c>
      <c r="HQ47" t="e">
        <f>AND(#REF!,"AAAAAB7P/+A=")</f>
        <v>#REF!</v>
      </c>
      <c r="HR47" t="e">
        <f>AND(#REF!,"AAAAAB7P/+E=")</f>
        <v>#REF!</v>
      </c>
      <c r="HS47" t="e">
        <f>AND(#REF!,"AAAAAB7P/+I=")</f>
        <v>#REF!</v>
      </c>
      <c r="HT47" t="e">
        <f>AND(#REF!,"AAAAAB7P/+M=")</f>
        <v>#REF!</v>
      </c>
      <c r="HU47" t="e">
        <f>AND(#REF!,"AAAAAB7P/+Q=")</f>
        <v>#REF!</v>
      </c>
      <c r="HV47" t="e">
        <f>AND(#REF!,"AAAAAB7P/+U=")</f>
        <v>#REF!</v>
      </c>
      <c r="HW47" t="e">
        <f>IF(#REF!,"AAAAAB7P/+Y=",0)</f>
        <v>#REF!</v>
      </c>
      <c r="HX47" t="e">
        <f>AND(#REF!,"AAAAAB7P/+c=")</f>
        <v>#REF!</v>
      </c>
      <c r="HY47" t="e">
        <f>AND(#REF!,"AAAAAB7P/+g=")</f>
        <v>#REF!</v>
      </c>
      <c r="HZ47" t="e">
        <f>AND(#REF!,"AAAAAB7P/+k=")</f>
        <v>#REF!</v>
      </c>
      <c r="IA47" t="e">
        <f>AND(#REF!,"AAAAAB7P/+o=")</f>
        <v>#REF!</v>
      </c>
      <c r="IB47" t="e">
        <f>AND(#REF!,"AAAAAB7P/+s=")</f>
        <v>#REF!</v>
      </c>
      <c r="IC47" t="e">
        <f>AND(#REF!,"AAAAAB7P/+w=")</f>
        <v>#REF!</v>
      </c>
      <c r="ID47" t="e">
        <f>AND(#REF!,"AAAAAB7P/+0=")</f>
        <v>#REF!</v>
      </c>
      <c r="IE47" t="e">
        <f>AND(#REF!,"AAAAAB7P/+4=")</f>
        <v>#REF!</v>
      </c>
      <c r="IF47" t="e">
        <f>AND(#REF!,"AAAAAB7P/+8=")</f>
        <v>#REF!</v>
      </c>
      <c r="IG47" t="e">
        <f>AND(#REF!,"AAAAAB7P//A=")</f>
        <v>#REF!</v>
      </c>
      <c r="IH47" t="e">
        <f>IF(#REF!,"AAAAAB7P//E=",0)</f>
        <v>#REF!</v>
      </c>
      <c r="II47" t="e">
        <f>AND(#REF!,"AAAAAB7P//I=")</f>
        <v>#REF!</v>
      </c>
      <c r="IJ47" t="e">
        <f>AND(#REF!,"AAAAAB7P//M=")</f>
        <v>#REF!</v>
      </c>
      <c r="IK47" t="e">
        <f>AND(#REF!,"AAAAAB7P//Q=")</f>
        <v>#REF!</v>
      </c>
      <c r="IL47" t="e">
        <f>AND(#REF!,"AAAAAB7P//U=")</f>
        <v>#REF!</v>
      </c>
      <c r="IM47" t="e">
        <f>AND(#REF!,"AAAAAB7P//Y=")</f>
        <v>#REF!</v>
      </c>
      <c r="IN47" t="e">
        <f>AND(#REF!,"AAAAAB7P//c=")</f>
        <v>#REF!</v>
      </c>
      <c r="IO47" t="e">
        <f>AND(#REF!,"AAAAAB7P//g=")</f>
        <v>#REF!</v>
      </c>
      <c r="IP47" t="e">
        <f>AND(#REF!,"AAAAAB7P//k=")</f>
        <v>#REF!</v>
      </c>
      <c r="IQ47" t="e">
        <f>AND(#REF!,"AAAAAB7P//o=")</f>
        <v>#REF!</v>
      </c>
      <c r="IR47" t="e">
        <f>AND(#REF!,"AAAAAB7P//s=")</f>
        <v>#REF!</v>
      </c>
      <c r="IS47" t="e">
        <f>IF(#REF!,"AAAAAB7P//w=",0)</f>
        <v>#REF!</v>
      </c>
      <c r="IT47" t="e">
        <f>AND(#REF!,"AAAAAB7P//0=")</f>
        <v>#REF!</v>
      </c>
      <c r="IU47" t="e">
        <f>AND(#REF!,"AAAAAB7P//4=")</f>
        <v>#REF!</v>
      </c>
      <c r="IV47" t="e">
        <f>AND(#REF!,"AAAAAB7P//8=")</f>
        <v>#REF!</v>
      </c>
    </row>
    <row r="48" spans="1:256" x14ac:dyDescent="0.25">
      <c r="A48" t="e">
        <f>AND(#REF!,"AAAAACrVxgA=")</f>
        <v>#REF!</v>
      </c>
      <c r="B48" t="e">
        <f>AND(#REF!,"AAAAACrVxgE=")</f>
        <v>#REF!</v>
      </c>
      <c r="C48" t="e">
        <f>AND(#REF!,"AAAAACrVxgI=")</f>
        <v>#REF!</v>
      </c>
      <c r="D48" t="e">
        <f>AND(#REF!,"AAAAACrVxgM=")</f>
        <v>#REF!</v>
      </c>
      <c r="E48" t="e">
        <f>AND(#REF!,"AAAAACrVxgQ=")</f>
        <v>#REF!</v>
      </c>
      <c r="F48" t="e">
        <f>AND(#REF!,"AAAAACrVxgU=")</f>
        <v>#REF!</v>
      </c>
      <c r="G48" t="e">
        <f>AND(#REF!,"AAAAACrVxgY=")</f>
        <v>#REF!</v>
      </c>
      <c r="H48" t="e">
        <f>IF(#REF!,"AAAAACrVxgc=",0)</f>
        <v>#REF!</v>
      </c>
      <c r="I48" t="e">
        <f>AND(#REF!,"AAAAACrVxgg=")</f>
        <v>#REF!</v>
      </c>
      <c r="J48" t="e">
        <f>AND(#REF!,"AAAAACrVxgk=")</f>
        <v>#REF!</v>
      </c>
      <c r="K48" t="e">
        <f>AND(#REF!,"AAAAACrVxgo=")</f>
        <v>#REF!</v>
      </c>
      <c r="L48" t="e">
        <f>AND(#REF!,"AAAAACrVxgs=")</f>
        <v>#REF!</v>
      </c>
      <c r="M48" t="e">
        <f>AND(#REF!,"AAAAACrVxgw=")</f>
        <v>#REF!</v>
      </c>
      <c r="N48" t="e">
        <f>AND(#REF!,"AAAAACrVxg0=")</f>
        <v>#REF!</v>
      </c>
      <c r="O48" t="e">
        <f>AND(#REF!,"AAAAACrVxg4=")</f>
        <v>#REF!</v>
      </c>
      <c r="P48" t="e">
        <f>AND(#REF!,"AAAAACrVxg8=")</f>
        <v>#REF!</v>
      </c>
      <c r="Q48" t="e">
        <f>AND(#REF!,"AAAAACrVxhA=")</f>
        <v>#REF!</v>
      </c>
      <c r="R48" t="e">
        <f>AND(#REF!,"AAAAACrVxhE=")</f>
        <v>#REF!</v>
      </c>
      <c r="S48" t="e">
        <f>IF(#REF!,"AAAAACrVxhI=",0)</f>
        <v>#REF!</v>
      </c>
      <c r="T48" t="e">
        <f>AND(#REF!,"AAAAACrVxhM=")</f>
        <v>#REF!</v>
      </c>
      <c r="U48" t="e">
        <f>AND(#REF!,"AAAAACrVxhQ=")</f>
        <v>#REF!</v>
      </c>
      <c r="V48" t="e">
        <f>AND(#REF!,"AAAAACrVxhU=")</f>
        <v>#REF!</v>
      </c>
      <c r="W48" t="e">
        <f>AND(#REF!,"AAAAACrVxhY=")</f>
        <v>#REF!</v>
      </c>
      <c r="X48" t="e">
        <f>AND(#REF!,"AAAAACrVxhc=")</f>
        <v>#REF!</v>
      </c>
      <c r="Y48" t="e">
        <f>AND(#REF!,"AAAAACrVxhg=")</f>
        <v>#REF!</v>
      </c>
      <c r="Z48" t="e">
        <f>AND(#REF!,"AAAAACrVxhk=")</f>
        <v>#REF!</v>
      </c>
      <c r="AA48" t="e">
        <f>AND(#REF!,"AAAAACrVxho=")</f>
        <v>#REF!</v>
      </c>
      <c r="AB48" t="e">
        <f>AND(#REF!,"AAAAACrVxhs=")</f>
        <v>#REF!</v>
      </c>
      <c r="AC48" t="e">
        <f>AND(#REF!,"AAAAACrVxhw=")</f>
        <v>#REF!</v>
      </c>
      <c r="AD48" t="e">
        <f>IF(#REF!,"AAAAACrVxh0=",0)</f>
        <v>#REF!</v>
      </c>
      <c r="AE48" t="e">
        <f>AND(#REF!,"AAAAACrVxh4=")</f>
        <v>#REF!</v>
      </c>
      <c r="AF48" t="e">
        <f>AND(#REF!,"AAAAACrVxh8=")</f>
        <v>#REF!</v>
      </c>
      <c r="AG48" t="e">
        <f>AND(#REF!,"AAAAACrVxiA=")</f>
        <v>#REF!</v>
      </c>
      <c r="AH48" t="e">
        <f>AND(#REF!,"AAAAACrVxiE=")</f>
        <v>#REF!</v>
      </c>
      <c r="AI48" t="e">
        <f>AND(#REF!,"AAAAACrVxiI=")</f>
        <v>#REF!</v>
      </c>
      <c r="AJ48" t="e">
        <f>AND(#REF!,"AAAAACrVxiM=")</f>
        <v>#REF!</v>
      </c>
      <c r="AK48" t="e">
        <f>AND(#REF!,"AAAAACrVxiQ=")</f>
        <v>#REF!</v>
      </c>
      <c r="AL48" t="e">
        <f>AND(#REF!,"AAAAACrVxiU=")</f>
        <v>#REF!</v>
      </c>
      <c r="AM48" t="e">
        <f>AND(#REF!,"AAAAACrVxiY=")</f>
        <v>#REF!</v>
      </c>
      <c r="AN48" t="e">
        <f>AND(#REF!,"AAAAACrVxic=")</f>
        <v>#REF!</v>
      </c>
      <c r="AO48" t="e">
        <f>IF(#REF!,"AAAAACrVxig=",0)</f>
        <v>#REF!</v>
      </c>
      <c r="AP48" t="e">
        <f>AND(#REF!,"AAAAACrVxik=")</f>
        <v>#REF!</v>
      </c>
      <c r="AQ48" t="e">
        <f>AND(#REF!,"AAAAACrVxio=")</f>
        <v>#REF!</v>
      </c>
      <c r="AR48" t="e">
        <f>AND(#REF!,"AAAAACrVxis=")</f>
        <v>#REF!</v>
      </c>
      <c r="AS48" t="e">
        <f>AND(#REF!,"AAAAACrVxiw=")</f>
        <v>#REF!</v>
      </c>
      <c r="AT48" t="e">
        <f>AND(#REF!,"AAAAACrVxi0=")</f>
        <v>#REF!</v>
      </c>
      <c r="AU48" t="e">
        <f>AND(#REF!,"AAAAACrVxi4=")</f>
        <v>#REF!</v>
      </c>
      <c r="AV48" t="e">
        <f>AND(#REF!,"AAAAACrVxi8=")</f>
        <v>#REF!</v>
      </c>
      <c r="AW48" t="e">
        <f>AND(#REF!,"AAAAACrVxjA=")</f>
        <v>#REF!</v>
      </c>
      <c r="AX48" t="e">
        <f>AND(#REF!,"AAAAACrVxjE=")</f>
        <v>#REF!</v>
      </c>
      <c r="AY48" t="e">
        <f>AND(#REF!,"AAAAACrVxjI=")</f>
        <v>#REF!</v>
      </c>
      <c r="AZ48" t="e">
        <f>IF(#REF!,"AAAAACrVxjM=",0)</f>
        <v>#REF!</v>
      </c>
      <c r="BA48" t="e">
        <f>AND(#REF!,"AAAAACrVxjQ=")</f>
        <v>#REF!</v>
      </c>
      <c r="BB48" t="e">
        <f>AND(#REF!,"AAAAACrVxjU=")</f>
        <v>#REF!</v>
      </c>
      <c r="BC48" t="e">
        <f>AND(#REF!,"AAAAACrVxjY=")</f>
        <v>#REF!</v>
      </c>
      <c r="BD48" t="e">
        <f>AND(#REF!,"AAAAACrVxjc=")</f>
        <v>#REF!</v>
      </c>
      <c r="BE48" t="e">
        <f>AND(#REF!,"AAAAACrVxjg=")</f>
        <v>#REF!</v>
      </c>
      <c r="BF48" t="e">
        <f>AND(#REF!,"AAAAACrVxjk=")</f>
        <v>#REF!</v>
      </c>
      <c r="BG48" t="e">
        <f>AND(#REF!,"AAAAACrVxjo=")</f>
        <v>#REF!</v>
      </c>
      <c r="BH48" t="e">
        <f>AND(#REF!,"AAAAACrVxjs=")</f>
        <v>#REF!</v>
      </c>
      <c r="BI48" t="e">
        <f>AND(#REF!,"AAAAACrVxjw=")</f>
        <v>#REF!</v>
      </c>
      <c r="BJ48" t="e">
        <f>AND(#REF!,"AAAAACrVxj0=")</f>
        <v>#REF!</v>
      </c>
      <c r="BK48" t="e">
        <f>IF(#REF!,"AAAAACrVxj4=",0)</f>
        <v>#REF!</v>
      </c>
      <c r="BL48" t="e">
        <f>AND(#REF!,"AAAAACrVxj8=")</f>
        <v>#REF!</v>
      </c>
      <c r="BM48" t="e">
        <f>AND(#REF!,"AAAAACrVxkA=")</f>
        <v>#REF!</v>
      </c>
      <c r="BN48" t="e">
        <f>AND(#REF!,"AAAAACrVxkE=")</f>
        <v>#REF!</v>
      </c>
      <c r="BO48" t="e">
        <f>AND(#REF!,"AAAAACrVxkI=")</f>
        <v>#REF!</v>
      </c>
      <c r="BP48" t="e">
        <f>AND(#REF!,"AAAAACrVxkM=")</f>
        <v>#REF!</v>
      </c>
      <c r="BQ48" t="e">
        <f>AND(#REF!,"AAAAACrVxkQ=")</f>
        <v>#REF!</v>
      </c>
      <c r="BR48" t="e">
        <f>AND(#REF!,"AAAAACrVxkU=")</f>
        <v>#REF!</v>
      </c>
      <c r="BS48" t="e">
        <f>AND(#REF!,"AAAAACrVxkY=")</f>
        <v>#REF!</v>
      </c>
      <c r="BT48" t="e">
        <f>AND(#REF!,"AAAAACrVxkc=")</f>
        <v>#REF!</v>
      </c>
      <c r="BU48" t="e">
        <f>AND(#REF!,"AAAAACrVxkg=")</f>
        <v>#REF!</v>
      </c>
      <c r="BV48" t="e">
        <f>IF(#REF!,"AAAAACrVxkk=",0)</f>
        <v>#REF!</v>
      </c>
      <c r="BW48" t="e">
        <f>AND(#REF!,"AAAAACrVxko=")</f>
        <v>#REF!</v>
      </c>
      <c r="BX48" t="e">
        <f>AND(#REF!,"AAAAACrVxks=")</f>
        <v>#REF!</v>
      </c>
      <c r="BY48" t="e">
        <f>AND(#REF!,"AAAAACrVxkw=")</f>
        <v>#REF!</v>
      </c>
      <c r="BZ48" t="e">
        <f>AND(#REF!,"AAAAACrVxk0=")</f>
        <v>#REF!</v>
      </c>
      <c r="CA48" t="e">
        <f>AND(#REF!,"AAAAACrVxk4=")</f>
        <v>#REF!</v>
      </c>
      <c r="CB48" t="e">
        <f>AND(#REF!,"AAAAACrVxk8=")</f>
        <v>#REF!</v>
      </c>
      <c r="CC48" t="e">
        <f>AND(#REF!,"AAAAACrVxlA=")</f>
        <v>#REF!</v>
      </c>
      <c r="CD48" t="e">
        <f>AND(#REF!,"AAAAACrVxlE=")</f>
        <v>#REF!</v>
      </c>
      <c r="CE48" t="e">
        <f>AND(#REF!,"AAAAACrVxlI=")</f>
        <v>#REF!</v>
      </c>
      <c r="CF48" t="e">
        <f>AND(#REF!,"AAAAACrVxlM=")</f>
        <v>#REF!</v>
      </c>
      <c r="CG48" t="e">
        <f>IF(#REF!,"AAAAACrVxlQ=",0)</f>
        <v>#REF!</v>
      </c>
      <c r="CH48" t="e">
        <f>AND(#REF!,"AAAAACrVxlU=")</f>
        <v>#REF!</v>
      </c>
      <c r="CI48" t="e">
        <f>AND(#REF!,"AAAAACrVxlY=")</f>
        <v>#REF!</v>
      </c>
      <c r="CJ48" t="e">
        <f>AND(#REF!,"AAAAACrVxlc=")</f>
        <v>#REF!</v>
      </c>
      <c r="CK48" t="e">
        <f>AND(#REF!,"AAAAACrVxlg=")</f>
        <v>#REF!</v>
      </c>
      <c r="CL48" t="e">
        <f>AND(#REF!,"AAAAACrVxlk=")</f>
        <v>#REF!</v>
      </c>
      <c r="CM48" t="e">
        <f>AND(#REF!,"AAAAACrVxlo=")</f>
        <v>#REF!</v>
      </c>
      <c r="CN48" t="e">
        <f>AND(#REF!,"AAAAACrVxls=")</f>
        <v>#REF!</v>
      </c>
      <c r="CO48" t="e">
        <f>AND(#REF!,"AAAAACrVxlw=")</f>
        <v>#REF!</v>
      </c>
      <c r="CP48" t="e">
        <f>AND(#REF!,"AAAAACrVxl0=")</f>
        <v>#REF!</v>
      </c>
      <c r="CQ48" t="e">
        <f>AND(#REF!,"AAAAACrVxl4=")</f>
        <v>#REF!</v>
      </c>
      <c r="CR48" t="e">
        <f>IF(#REF!,"AAAAACrVxl8=",0)</f>
        <v>#REF!</v>
      </c>
      <c r="CS48" t="e">
        <f>AND(#REF!,"AAAAACrVxmA=")</f>
        <v>#REF!</v>
      </c>
      <c r="CT48" t="e">
        <f>AND(#REF!,"AAAAACrVxmE=")</f>
        <v>#REF!</v>
      </c>
      <c r="CU48" t="e">
        <f>AND(#REF!,"AAAAACrVxmI=")</f>
        <v>#REF!</v>
      </c>
      <c r="CV48" t="e">
        <f>AND(#REF!,"AAAAACrVxmM=")</f>
        <v>#REF!</v>
      </c>
      <c r="CW48" t="e">
        <f>AND(#REF!,"AAAAACrVxmQ=")</f>
        <v>#REF!</v>
      </c>
      <c r="CX48" t="e">
        <f>AND(#REF!,"AAAAACrVxmU=")</f>
        <v>#REF!</v>
      </c>
      <c r="CY48" t="e">
        <f>AND(#REF!,"AAAAACrVxmY=")</f>
        <v>#REF!</v>
      </c>
      <c r="CZ48" t="e">
        <f>AND(#REF!,"AAAAACrVxmc=")</f>
        <v>#REF!</v>
      </c>
      <c r="DA48" t="e">
        <f>AND(#REF!,"AAAAACrVxmg=")</f>
        <v>#REF!</v>
      </c>
      <c r="DB48" t="e">
        <f>AND(#REF!,"AAAAACrVxmk=")</f>
        <v>#REF!</v>
      </c>
      <c r="DC48" t="e">
        <f>IF(#REF!,"AAAAACrVxmo=",0)</f>
        <v>#REF!</v>
      </c>
      <c r="DD48" t="e">
        <f>AND(#REF!,"AAAAACrVxms=")</f>
        <v>#REF!</v>
      </c>
      <c r="DE48" t="e">
        <f>AND(#REF!,"AAAAACrVxmw=")</f>
        <v>#REF!</v>
      </c>
      <c r="DF48" t="e">
        <f>AND(#REF!,"AAAAACrVxm0=")</f>
        <v>#REF!</v>
      </c>
      <c r="DG48" t="e">
        <f>AND(#REF!,"AAAAACrVxm4=")</f>
        <v>#REF!</v>
      </c>
      <c r="DH48" t="e">
        <f>AND(#REF!,"AAAAACrVxm8=")</f>
        <v>#REF!</v>
      </c>
      <c r="DI48" t="e">
        <f>AND(#REF!,"AAAAACrVxnA=")</f>
        <v>#REF!</v>
      </c>
      <c r="DJ48" t="e">
        <f>AND(#REF!,"AAAAACrVxnE=")</f>
        <v>#REF!</v>
      </c>
      <c r="DK48" t="e">
        <f>AND(#REF!,"AAAAACrVxnI=")</f>
        <v>#REF!</v>
      </c>
      <c r="DL48" t="e">
        <f>AND(#REF!,"AAAAACrVxnM=")</f>
        <v>#REF!</v>
      </c>
      <c r="DM48" t="e">
        <f>AND(#REF!,"AAAAACrVxnQ=")</f>
        <v>#REF!</v>
      </c>
      <c r="DN48" t="e">
        <f>IF(#REF!,"AAAAACrVxnU=",0)</f>
        <v>#REF!</v>
      </c>
      <c r="DO48" t="e">
        <f>AND(#REF!,"AAAAACrVxnY=")</f>
        <v>#REF!</v>
      </c>
      <c r="DP48" t="e">
        <f>AND(#REF!,"AAAAACrVxnc=")</f>
        <v>#REF!</v>
      </c>
      <c r="DQ48" t="e">
        <f>AND(#REF!,"AAAAACrVxng=")</f>
        <v>#REF!</v>
      </c>
      <c r="DR48" t="e">
        <f>AND(#REF!,"AAAAACrVxnk=")</f>
        <v>#REF!</v>
      </c>
      <c r="DS48" t="e">
        <f>AND(#REF!,"AAAAACrVxno=")</f>
        <v>#REF!</v>
      </c>
      <c r="DT48" t="e">
        <f>AND(#REF!,"AAAAACrVxns=")</f>
        <v>#REF!</v>
      </c>
      <c r="DU48" t="e">
        <f>AND(#REF!,"AAAAACrVxnw=")</f>
        <v>#REF!</v>
      </c>
      <c r="DV48" t="e">
        <f>AND(#REF!,"AAAAACrVxn0=")</f>
        <v>#REF!</v>
      </c>
      <c r="DW48" t="e">
        <f>AND(#REF!,"AAAAACrVxn4=")</f>
        <v>#REF!</v>
      </c>
      <c r="DX48" t="e">
        <f>AND(#REF!,"AAAAACrVxn8=")</f>
        <v>#REF!</v>
      </c>
      <c r="DY48" t="e">
        <f>IF(#REF!,"AAAAACrVxoA=",0)</f>
        <v>#REF!</v>
      </c>
      <c r="DZ48" t="e">
        <f>AND(#REF!,"AAAAACrVxoE=")</f>
        <v>#REF!</v>
      </c>
      <c r="EA48" t="e">
        <f>AND(#REF!,"AAAAACrVxoI=")</f>
        <v>#REF!</v>
      </c>
      <c r="EB48" t="e">
        <f>AND(#REF!,"AAAAACrVxoM=")</f>
        <v>#REF!</v>
      </c>
      <c r="EC48" t="e">
        <f>AND(#REF!,"AAAAACrVxoQ=")</f>
        <v>#REF!</v>
      </c>
      <c r="ED48" t="e">
        <f>AND(#REF!,"AAAAACrVxoU=")</f>
        <v>#REF!</v>
      </c>
      <c r="EE48" t="e">
        <f>AND(#REF!,"AAAAACrVxoY=")</f>
        <v>#REF!</v>
      </c>
      <c r="EF48" t="e">
        <f>AND(#REF!,"AAAAACrVxoc=")</f>
        <v>#REF!</v>
      </c>
      <c r="EG48" t="e">
        <f>AND(#REF!,"AAAAACrVxog=")</f>
        <v>#REF!</v>
      </c>
      <c r="EH48" t="e">
        <f>AND(#REF!,"AAAAACrVxok=")</f>
        <v>#REF!</v>
      </c>
      <c r="EI48" t="e">
        <f>AND(#REF!,"AAAAACrVxoo=")</f>
        <v>#REF!</v>
      </c>
      <c r="EJ48" t="e">
        <f>IF(#REF!,"AAAAACrVxos=",0)</f>
        <v>#REF!</v>
      </c>
      <c r="EK48" t="e">
        <f>AND(#REF!,"AAAAACrVxow=")</f>
        <v>#REF!</v>
      </c>
      <c r="EL48" t="e">
        <f>AND(#REF!,"AAAAACrVxo0=")</f>
        <v>#REF!</v>
      </c>
      <c r="EM48" t="e">
        <f>AND(#REF!,"AAAAACrVxo4=")</f>
        <v>#REF!</v>
      </c>
      <c r="EN48" t="e">
        <f>AND(#REF!,"AAAAACrVxo8=")</f>
        <v>#REF!</v>
      </c>
      <c r="EO48" t="e">
        <f>AND(#REF!,"AAAAACrVxpA=")</f>
        <v>#REF!</v>
      </c>
      <c r="EP48" t="e">
        <f>AND(#REF!,"AAAAACrVxpE=")</f>
        <v>#REF!</v>
      </c>
      <c r="EQ48" t="e">
        <f>AND(#REF!,"AAAAACrVxpI=")</f>
        <v>#REF!</v>
      </c>
      <c r="ER48" t="e">
        <f>AND(#REF!,"AAAAACrVxpM=")</f>
        <v>#REF!</v>
      </c>
      <c r="ES48" t="e">
        <f>AND(#REF!,"AAAAACrVxpQ=")</f>
        <v>#REF!</v>
      </c>
      <c r="ET48" t="e">
        <f>AND(#REF!,"AAAAACrVxpU=")</f>
        <v>#REF!</v>
      </c>
      <c r="EU48" t="e">
        <f>IF(#REF!,"AAAAACrVxpY=",0)</f>
        <v>#REF!</v>
      </c>
      <c r="EV48" t="e">
        <f>AND(#REF!,"AAAAACrVxpc=")</f>
        <v>#REF!</v>
      </c>
      <c r="EW48" t="e">
        <f>AND(#REF!,"AAAAACrVxpg=")</f>
        <v>#REF!</v>
      </c>
      <c r="EX48" t="e">
        <f>AND(#REF!,"AAAAACrVxpk=")</f>
        <v>#REF!</v>
      </c>
      <c r="EY48" t="e">
        <f>AND(#REF!,"AAAAACrVxpo=")</f>
        <v>#REF!</v>
      </c>
      <c r="EZ48" t="e">
        <f>AND(#REF!,"AAAAACrVxps=")</f>
        <v>#REF!</v>
      </c>
      <c r="FA48" t="e">
        <f>AND(#REF!,"AAAAACrVxpw=")</f>
        <v>#REF!</v>
      </c>
      <c r="FB48" t="e">
        <f>AND(#REF!,"AAAAACrVxp0=")</f>
        <v>#REF!</v>
      </c>
      <c r="FC48" t="e">
        <f>AND(#REF!,"AAAAACrVxp4=")</f>
        <v>#REF!</v>
      </c>
      <c r="FD48" t="e">
        <f>AND(#REF!,"AAAAACrVxp8=")</f>
        <v>#REF!</v>
      </c>
      <c r="FE48" t="e">
        <f>AND(#REF!,"AAAAACrVxqA=")</f>
        <v>#REF!</v>
      </c>
      <c r="FF48" t="e">
        <f>IF(#REF!,"AAAAACrVxqE=",0)</f>
        <v>#REF!</v>
      </c>
      <c r="FG48" t="e">
        <f>AND(#REF!,"AAAAACrVxqI=")</f>
        <v>#REF!</v>
      </c>
      <c r="FH48" t="e">
        <f>AND(#REF!,"AAAAACrVxqM=")</f>
        <v>#REF!</v>
      </c>
      <c r="FI48" t="e">
        <f>AND(#REF!,"AAAAACrVxqQ=")</f>
        <v>#REF!</v>
      </c>
      <c r="FJ48" t="e">
        <f>AND(#REF!,"AAAAACrVxqU=")</f>
        <v>#REF!</v>
      </c>
      <c r="FK48" t="e">
        <f>AND(#REF!,"AAAAACrVxqY=")</f>
        <v>#REF!</v>
      </c>
      <c r="FL48" t="e">
        <f>AND(#REF!,"AAAAACrVxqc=")</f>
        <v>#REF!</v>
      </c>
      <c r="FM48" t="e">
        <f>AND(#REF!,"AAAAACrVxqg=")</f>
        <v>#REF!</v>
      </c>
      <c r="FN48" t="e">
        <f>AND(#REF!,"AAAAACrVxqk=")</f>
        <v>#REF!</v>
      </c>
      <c r="FO48" t="e">
        <f>AND(#REF!,"AAAAACrVxqo=")</f>
        <v>#REF!</v>
      </c>
      <c r="FP48" t="e">
        <f>AND(#REF!,"AAAAACrVxqs=")</f>
        <v>#REF!</v>
      </c>
      <c r="FQ48" t="e">
        <f>IF(#REF!,"AAAAACrVxqw=",0)</f>
        <v>#REF!</v>
      </c>
      <c r="FR48" t="e">
        <f>AND(#REF!,"AAAAACrVxq0=")</f>
        <v>#REF!</v>
      </c>
      <c r="FS48" t="e">
        <f>AND(#REF!,"AAAAACrVxq4=")</f>
        <v>#REF!</v>
      </c>
      <c r="FT48" t="e">
        <f>AND(#REF!,"AAAAACrVxq8=")</f>
        <v>#REF!</v>
      </c>
      <c r="FU48" t="e">
        <f>AND(#REF!,"AAAAACrVxrA=")</f>
        <v>#REF!</v>
      </c>
      <c r="FV48" t="e">
        <f>AND(#REF!,"AAAAACrVxrE=")</f>
        <v>#REF!</v>
      </c>
      <c r="FW48" t="e">
        <f>AND(#REF!,"AAAAACrVxrI=")</f>
        <v>#REF!</v>
      </c>
      <c r="FX48" t="e">
        <f>AND(#REF!,"AAAAACrVxrM=")</f>
        <v>#REF!</v>
      </c>
      <c r="FY48" t="e">
        <f>AND(#REF!,"AAAAACrVxrQ=")</f>
        <v>#REF!</v>
      </c>
      <c r="FZ48" t="e">
        <f>AND(#REF!,"AAAAACrVxrU=")</f>
        <v>#REF!</v>
      </c>
      <c r="GA48" t="e">
        <f>AND(#REF!,"AAAAACrVxrY=")</f>
        <v>#REF!</v>
      </c>
      <c r="GB48" t="e">
        <f>IF(#REF!,"AAAAACrVxrc=",0)</f>
        <v>#REF!</v>
      </c>
      <c r="GC48" t="e">
        <f>AND(#REF!,"AAAAACrVxrg=")</f>
        <v>#REF!</v>
      </c>
      <c r="GD48" t="e">
        <f>AND(#REF!,"AAAAACrVxrk=")</f>
        <v>#REF!</v>
      </c>
      <c r="GE48" t="e">
        <f>AND(#REF!,"AAAAACrVxro=")</f>
        <v>#REF!</v>
      </c>
      <c r="GF48" t="e">
        <f>AND(#REF!,"AAAAACrVxrs=")</f>
        <v>#REF!</v>
      </c>
      <c r="GG48" t="e">
        <f>AND(#REF!,"AAAAACrVxrw=")</f>
        <v>#REF!</v>
      </c>
      <c r="GH48" t="e">
        <f>AND(#REF!,"AAAAACrVxr0=")</f>
        <v>#REF!</v>
      </c>
      <c r="GI48" t="e">
        <f>AND(#REF!,"AAAAACrVxr4=")</f>
        <v>#REF!</v>
      </c>
      <c r="GJ48" t="e">
        <f>AND(#REF!,"AAAAACrVxr8=")</f>
        <v>#REF!</v>
      </c>
      <c r="GK48" t="e">
        <f>AND(#REF!,"AAAAACrVxsA=")</f>
        <v>#REF!</v>
      </c>
      <c r="GL48" t="e">
        <f>AND(#REF!,"AAAAACrVxsE=")</f>
        <v>#REF!</v>
      </c>
      <c r="GM48" t="e">
        <f>IF(#REF!,"AAAAACrVxsI=",0)</f>
        <v>#REF!</v>
      </c>
      <c r="GN48" t="e">
        <f>AND(#REF!,"AAAAACrVxsM=")</f>
        <v>#REF!</v>
      </c>
      <c r="GO48" t="e">
        <f>AND(#REF!,"AAAAACrVxsQ=")</f>
        <v>#REF!</v>
      </c>
      <c r="GP48" t="e">
        <f>AND(#REF!,"AAAAACrVxsU=")</f>
        <v>#REF!</v>
      </c>
      <c r="GQ48" t="e">
        <f>AND(#REF!,"AAAAACrVxsY=")</f>
        <v>#REF!</v>
      </c>
      <c r="GR48" t="e">
        <f>AND(#REF!,"AAAAACrVxsc=")</f>
        <v>#REF!</v>
      </c>
      <c r="GS48" t="e">
        <f>AND(#REF!,"AAAAACrVxsg=")</f>
        <v>#REF!</v>
      </c>
      <c r="GT48" t="e">
        <f>AND(#REF!,"AAAAACrVxsk=")</f>
        <v>#REF!</v>
      </c>
      <c r="GU48" t="e">
        <f>AND(#REF!,"AAAAACrVxso=")</f>
        <v>#REF!</v>
      </c>
      <c r="GV48" t="e">
        <f>AND(#REF!,"AAAAACrVxss=")</f>
        <v>#REF!</v>
      </c>
      <c r="GW48" t="e">
        <f>AND(#REF!,"AAAAACrVxsw=")</f>
        <v>#REF!</v>
      </c>
      <c r="GX48" t="e">
        <f>IF(#REF!,"AAAAACrVxs0=",0)</f>
        <v>#REF!</v>
      </c>
      <c r="GY48" t="e">
        <f>AND(#REF!,"AAAAACrVxs4=")</f>
        <v>#REF!</v>
      </c>
      <c r="GZ48" t="e">
        <f>AND(#REF!,"AAAAACrVxs8=")</f>
        <v>#REF!</v>
      </c>
      <c r="HA48" t="e">
        <f>AND(#REF!,"AAAAACrVxtA=")</f>
        <v>#REF!</v>
      </c>
      <c r="HB48" t="e">
        <f>AND(#REF!,"AAAAACrVxtE=")</f>
        <v>#REF!</v>
      </c>
      <c r="HC48" t="e">
        <f>AND(#REF!,"AAAAACrVxtI=")</f>
        <v>#REF!</v>
      </c>
      <c r="HD48" t="e">
        <f>AND(#REF!,"AAAAACrVxtM=")</f>
        <v>#REF!</v>
      </c>
      <c r="HE48" t="e">
        <f>AND(#REF!,"AAAAACrVxtQ=")</f>
        <v>#REF!</v>
      </c>
      <c r="HF48" t="e">
        <f>AND(#REF!,"AAAAACrVxtU=")</f>
        <v>#REF!</v>
      </c>
      <c r="HG48" t="e">
        <f>AND(#REF!,"AAAAACrVxtY=")</f>
        <v>#REF!</v>
      </c>
      <c r="HH48" t="e">
        <f>AND(#REF!,"AAAAACrVxtc=")</f>
        <v>#REF!</v>
      </c>
      <c r="HI48" t="e">
        <f>IF(#REF!,"AAAAACrVxtg=",0)</f>
        <v>#REF!</v>
      </c>
      <c r="HJ48" t="e">
        <f>AND(#REF!,"AAAAACrVxtk=")</f>
        <v>#REF!</v>
      </c>
      <c r="HK48" t="e">
        <f>AND(#REF!,"AAAAACrVxto=")</f>
        <v>#REF!</v>
      </c>
      <c r="HL48" t="e">
        <f>AND(#REF!,"AAAAACrVxts=")</f>
        <v>#REF!</v>
      </c>
      <c r="HM48" t="e">
        <f>AND(#REF!,"AAAAACrVxtw=")</f>
        <v>#REF!</v>
      </c>
      <c r="HN48" t="e">
        <f>AND(#REF!,"AAAAACrVxt0=")</f>
        <v>#REF!</v>
      </c>
      <c r="HO48" t="e">
        <f>AND(#REF!,"AAAAACrVxt4=")</f>
        <v>#REF!</v>
      </c>
      <c r="HP48" t="e">
        <f>AND(#REF!,"AAAAACrVxt8=")</f>
        <v>#REF!</v>
      </c>
      <c r="HQ48" t="e">
        <f>AND(#REF!,"AAAAACrVxuA=")</f>
        <v>#REF!</v>
      </c>
      <c r="HR48" t="e">
        <f>AND(#REF!,"AAAAACrVxuE=")</f>
        <v>#REF!</v>
      </c>
      <c r="HS48" t="e">
        <f>AND(#REF!,"AAAAACrVxuI=")</f>
        <v>#REF!</v>
      </c>
      <c r="HT48" t="e">
        <f>IF(#REF!,"AAAAACrVxuM=",0)</f>
        <v>#REF!</v>
      </c>
      <c r="HU48" t="e">
        <f>AND(#REF!,"AAAAACrVxuQ=")</f>
        <v>#REF!</v>
      </c>
      <c r="HV48" t="e">
        <f>AND(#REF!,"AAAAACrVxuU=")</f>
        <v>#REF!</v>
      </c>
      <c r="HW48" t="e">
        <f>AND(#REF!,"AAAAACrVxuY=")</f>
        <v>#REF!</v>
      </c>
      <c r="HX48" t="e">
        <f>AND(#REF!,"AAAAACrVxuc=")</f>
        <v>#REF!</v>
      </c>
      <c r="HY48" t="e">
        <f>AND(#REF!,"AAAAACrVxug=")</f>
        <v>#REF!</v>
      </c>
      <c r="HZ48" t="e">
        <f>AND(#REF!,"AAAAACrVxuk=")</f>
        <v>#REF!</v>
      </c>
      <c r="IA48" t="e">
        <f>AND(#REF!,"AAAAACrVxuo=")</f>
        <v>#REF!</v>
      </c>
      <c r="IB48" t="e">
        <f>AND(#REF!,"AAAAACrVxus=")</f>
        <v>#REF!</v>
      </c>
      <c r="IC48" t="e">
        <f>AND(#REF!,"AAAAACrVxuw=")</f>
        <v>#REF!</v>
      </c>
      <c r="ID48" t="e">
        <f>AND(#REF!,"AAAAACrVxu0=")</f>
        <v>#REF!</v>
      </c>
      <c r="IE48" t="e">
        <f>IF(#REF!,"AAAAACrVxu4=",0)</f>
        <v>#REF!</v>
      </c>
      <c r="IF48" t="e">
        <f>AND(#REF!,"AAAAACrVxu8=")</f>
        <v>#REF!</v>
      </c>
      <c r="IG48" t="e">
        <f>AND(#REF!,"AAAAACrVxvA=")</f>
        <v>#REF!</v>
      </c>
      <c r="IH48" t="e">
        <f>AND(#REF!,"AAAAACrVxvE=")</f>
        <v>#REF!</v>
      </c>
      <c r="II48" t="e">
        <f>AND(#REF!,"AAAAACrVxvI=")</f>
        <v>#REF!</v>
      </c>
      <c r="IJ48" t="e">
        <f>AND(#REF!,"AAAAACrVxvM=")</f>
        <v>#REF!</v>
      </c>
      <c r="IK48" t="e">
        <f>AND(#REF!,"AAAAACrVxvQ=")</f>
        <v>#REF!</v>
      </c>
      <c r="IL48" t="e">
        <f>AND(#REF!,"AAAAACrVxvU=")</f>
        <v>#REF!</v>
      </c>
      <c r="IM48" t="e">
        <f>AND(#REF!,"AAAAACrVxvY=")</f>
        <v>#REF!</v>
      </c>
      <c r="IN48" t="e">
        <f>AND(#REF!,"AAAAACrVxvc=")</f>
        <v>#REF!</v>
      </c>
      <c r="IO48" t="e">
        <f>AND(#REF!,"AAAAACrVxvg=")</f>
        <v>#REF!</v>
      </c>
      <c r="IP48" t="e">
        <f>IF(#REF!,"AAAAACrVxvk=",0)</f>
        <v>#REF!</v>
      </c>
      <c r="IQ48" t="e">
        <f>AND(#REF!,"AAAAACrVxvo=")</f>
        <v>#REF!</v>
      </c>
      <c r="IR48" t="e">
        <f>AND(#REF!,"AAAAACrVxvs=")</f>
        <v>#REF!</v>
      </c>
      <c r="IS48" t="e">
        <f>AND(#REF!,"AAAAACrVxvw=")</f>
        <v>#REF!</v>
      </c>
      <c r="IT48" t="e">
        <f>AND(#REF!,"AAAAACrVxv0=")</f>
        <v>#REF!</v>
      </c>
      <c r="IU48" t="e">
        <f>AND(#REF!,"AAAAACrVxv4=")</f>
        <v>#REF!</v>
      </c>
      <c r="IV48" t="e">
        <f>AND(#REF!,"AAAAACrVxv8=")</f>
        <v>#REF!</v>
      </c>
    </row>
    <row r="49" spans="1:256" x14ac:dyDescent="0.25">
      <c r="A49" t="e">
        <f>AND(#REF!,"AAAAAH3+vwA=")</f>
        <v>#REF!</v>
      </c>
      <c r="B49" t="e">
        <f>AND(#REF!,"AAAAAH3+vwE=")</f>
        <v>#REF!</v>
      </c>
      <c r="C49" t="e">
        <f>AND(#REF!,"AAAAAH3+vwI=")</f>
        <v>#REF!</v>
      </c>
      <c r="D49" t="e">
        <f>AND(#REF!,"AAAAAH3+vwM=")</f>
        <v>#REF!</v>
      </c>
      <c r="E49" t="e">
        <f>IF(#REF!,"AAAAAH3+vwQ=",0)</f>
        <v>#REF!</v>
      </c>
      <c r="F49" t="e">
        <f>AND(#REF!,"AAAAAH3+vwU=")</f>
        <v>#REF!</v>
      </c>
      <c r="G49" t="e">
        <f>AND(#REF!,"AAAAAH3+vwY=")</f>
        <v>#REF!</v>
      </c>
      <c r="H49" t="e">
        <f>AND(#REF!,"AAAAAH3+vwc=")</f>
        <v>#REF!</v>
      </c>
      <c r="I49" t="e">
        <f>AND(#REF!,"AAAAAH3+vwg=")</f>
        <v>#REF!</v>
      </c>
      <c r="J49" t="e">
        <f>AND(#REF!,"AAAAAH3+vwk=")</f>
        <v>#REF!</v>
      </c>
      <c r="K49" t="e">
        <f>AND(#REF!,"AAAAAH3+vwo=")</f>
        <v>#REF!</v>
      </c>
      <c r="L49" t="e">
        <f>AND(#REF!,"AAAAAH3+vws=")</f>
        <v>#REF!</v>
      </c>
      <c r="M49" t="e">
        <f>AND(#REF!,"AAAAAH3+vww=")</f>
        <v>#REF!</v>
      </c>
      <c r="N49" t="e">
        <f>AND(#REF!,"AAAAAH3+vw0=")</f>
        <v>#REF!</v>
      </c>
      <c r="O49" t="e">
        <f>AND(#REF!,"AAAAAH3+vw4=")</f>
        <v>#REF!</v>
      </c>
      <c r="P49" t="e">
        <f>IF(#REF!,"AAAAAH3+vw8=",0)</f>
        <v>#REF!</v>
      </c>
      <c r="Q49" t="e">
        <f>AND(#REF!,"AAAAAH3+vxA=")</f>
        <v>#REF!</v>
      </c>
      <c r="R49" t="e">
        <f>AND(#REF!,"AAAAAH3+vxE=")</f>
        <v>#REF!</v>
      </c>
      <c r="S49" t="e">
        <f>AND(#REF!,"AAAAAH3+vxI=")</f>
        <v>#REF!</v>
      </c>
      <c r="T49" t="e">
        <f>AND(#REF!,"AAAAAH3+vxM=")</f>
        <v>#REF!</v>
      </c>
      <c r="U49" t="e">
        <f>AND(#REF!,"AAAAAH3+vxQ=")</f>
        <v>#REF!</v>
      </c>
      <c r="V49" t="e">
        <f>AND(#REF!,"AAAAAH3+vxU=")</f>
        <v>#REF!</v>
      </c>
      <c r="W49" t="e">
        <f>AND(#REF!,"AAAAAH3+vxY=")</f>
        <v>#REF!</v>
      </c>
      <c r="X49" t="e">
        <f>AND(#REF!,"AAAAAH3+vxc=")</f>
        <v>#REF!</v>
      </c>
      <c r="Y49" t="e">
        <f>AND(#REF!,"AAAAAH3+vxg=")</f>
        <v>#REF!</v>
      </c>
      <c r="Z49" t="e">
        <f>AND(#REF!,"AAAAAH3+vxk=")</f>
        <v>#REF!</v>
      </c>
      <c r="AA49" t="e">
        <f>IF(#REF!,"AAAAAH3+vxo=",0)</f>
        <v>#REF!</v>
      </c>
      <c r="AB49" t="e">
        <f>AND(#REF!,"AAAAAH3+vxs=")</f>
        <v>#REF!</v>
      </c>
      <c r="AC49" t="e">
        <f>AND(#REF!,"AAAAAH3+vxw=")</f>
        <v>#REF!</v>
      </c>
      <c r="AD49" t="e">
        <f>AND(#REF!,"AAAAAH3+vx0=")</f>
        <v>#REF!</v>
      </c>
      <c r="AE49" t="e">
        <f>AND(#REF!,"AAAAAH3+vx4=")</f>
        <v>#REF!</v>
      </c>
      <c r="AF49" t="e">
        <f>AND(#REF!,"AAAAAH3+vx8=")</f>
        <v>#REF!</v>
      </c>
      <c r="AG49" t="e">
        <f>AND(#REF!,"AAAAAH3+vyA=")</f>
        <v>#REF!</v>
      </c>
      <c r="AH49" t="e">
        <f>AND(#REF!,"AAAAAH3+vyE=")</f>
        <v>#REF!</v>
      </c>
      <c r="AI49" t="e">
        <f>AND(#REF!,"AAAAAH3+vyI=")</f>
        <v>#REF!</v>
      </c>
      <c r="AJ49" t="e">
        <f>AND(#REF!,"AAAAAH3+vyM=")</f>
        <v>#REF!</v>
      </c>
      <c r="AK49" t="e">
        <f>AND(#REF!,"AAAAAH3+vyQ=")</f>
        <v>#REF!</v>
      </c>
      <c r="AL49" t="e">
        <f>IF(#REF!,"AAAAAH3+vyU=",0)</f>
        <v>#REF!</v>
      </c>
      <c r="AM49" t="e">
        <f>AND(#REF!,"AAAAAH3+vyY=")</f>
        <v>#REF!</v>
      </c>
      <c r="AN49" t="e">
        <f>AND(#REF!,"AAAAAH3+vyc=")</f>
        <v>#REF!</v>
      </c>
      <c r="AO49" t="e">
        <f>AND(#REF!,"AAAAAH3+vyg=")</f>
        <v>#REF!</v>
      </c>
      <c r="AP49" t="e">
        <f>AND(#REF!,"AAAAAH3+vyk=")</f>
        <v>#REF!</v>
      </c>
      <c r="AQ49" t="e">
        <f>AND(#REF!,"AAAAAH3+vyo=")</f>
        <v>#REF!</v>
      </c>
      <c r="AR49" t="e">
        <f>AND(#REF!,"AAAAAH3+vys=")</f>
        <v>#REF!</v>
      </c>
      <c r="AS49" t="e">
        <f>AND(#REF!,"AAAAAH3+vyw=")</f>
        <v>#REF!</v>
      </c>
      <c r="AT49" t="e">
        <f>AND(#REF!,"AAAAAH3+vy0=")</f>
        <v>#REF!</v>
      </c>
      <c r="AU49" t="e">
        <f>AND(#REF!,"AAAAAH3+vy4=")</f>
        <v>#REF!</v>
      </c>
      <c r="AV49" t="e">
        <f>AND(#REF!,"AAAAAH3+vy8=")</f>
        <v>#REF!</v>
      </c>
      <c r="AW49" t="e">
        <f>IF(#REF!,"AAAAAH3+vzA=",0)</f>
        <v>#REF!</v>
      </c>
      <c r="AX49" t="e">
        <f>AND(#REF!,"AAAAAH3+vzE=")</f>
        <v>#REF!</v>
      </c>
      <c r="AY49" t="e">
        <f>AND(#REF!,"AAAAAH3+vzI=")</f>
        <v>#REF!</v>
      </c>
      <c r="AZ49" t="e">
        <f>AND(#REF!,"AAAAAH3+vzM=")</f>
        <v>#REF!</v>
      </c>
      <c r="BA49" t="e">
        <f>AND(#REF!,"AAAAAH3+vzQ=")</f>
        <v>#REF!</v>
      </c>
      <c r="BB49" t="e">
        <f>AND(#REF!,"AAAAAH3+vzU=")</f>
        <v>#REF!</v>
      </c>
      <c r="BC49" t="e">
        <f>AND(#REF!,"AAAAAH3+vzY=")</f>
        <v>#REF!</v>
      </c>
      <c r="BD49" t="e">
        <f>AND(#REF!,"AAAAAH3+vzc=")</f>
        <v>#REF!</v>
      </c>
      <c r="BE49" t="e">
        <f>AND(#REF!,"AAAAAH3+vzg=")</f>
        <v>#REF!</v>
      </c>
      <c r="BF49" t="e">
        <f>AND(#REF!,"AAAAAH3+vzk=")</f>
        <v>#REF!</v>
      </c>
      <c r="BG49" t="e">
        <f>AND(#REF!,"AAAAAH3+vzo=")</f>
        <v>#REF!</v>
      </c>
      <c r="BH49" t="e">
        <f>IF(#REF!,"AAAAAH3+vzs=",0)</f>
        <v>#REF!</v>
      </c>
      <c r="BI49" t="e">
        <f>AND(#REF!,"AAAAAH3+vzw=")</f>
        <v>#REF!</v>
      </c>
      <c r="BJ49" t="e">
        <f>AND(#REF!,"AAAAAH3+vz0=")</f>
        <v>#REF!</v>
      </c>
      <c r="BK49" t="e">
        <f>AND(#REF!,"AAAAAH3+vz4=")</f>
        <v>#REF!</v>
      </c>
      <c r="BL49" t="e">
        <f>AND(#REF!,"AAAAAH3+vz8=")</f>
        <v>#REF!</v>
      </c>
      <c r="BM49" t="e">
        <f>AND(#REF!,"AAAAAH3+v0A=")</f>
        <v>#REF!</v>
      </c>
      <c r="BN49" t="e">
        <f>AND(#REF!,"AAAAAH3+v0E=")</f>
        <v>#REF!</v>
      </c>
      <c r="BO49" t="e">
        <f>AND(#REF!,"AAAAAH3+v0I=")</f>
        <v>#REF!</v>
      </c>
      <c r="BP49" t="e">
        <f>AND(#REF!,"AAAAAH3+v0M=")</f>
        <v>#REF!</v>
      </c>
      <c r="BQ49" t="e">
        <f>AND(#REF!,"AAAAAH3+v0Q=")</f>
        <v>#REF!</v>
      </c>
      <c r="BR49" t="e">
        <f>AND(#REF!,"AAAAAH3+v0U=")</f>
        <v>#REF!</v>
      </c>
      <c r="BS49" t="e">
        <f>IF(#REF!,"AAAAAH3+v0Y=",0)</f>
        <v>#REF!</v>
      </c>
      <c r="BT49" t="e">
        <f>AND(#REF!,"AAAAAH3+v0c=")</f>
        <v>#REF!</v>
      </c>
      <c r="BU49" t="e">
        <f>AND(#REF!,"AAAAAH3+v0g=")</f>
        <v>#REF!</v>
      </c>
      <c r="BV49" t="e">
        <f>AND(#REF!,"AAAAAH3+v0k=")</f>
        <v>#REF!</v>
      </c>
      <c r="BW49" t="e">
        <f>AND(#REF!,"AAAAAH3+v0o=")</f>
        <v>#REF!</v>
      </c>
      <c r="BX49" t="e">
        <f>AND(#REF!,"AAAAAH3+v0s=")</f>
        <v>#REF!</v>
      </c>
      <c r="BY49" t="e">
        <f>AND(#REF!,"AAAAAH3+v0w=")</f>
        <v>#REF!</v>
      </c>
      <c r="BZ49" t="e">
        <f>AND(#REF!,"AAAAAH3+v00=")</f>
        <v>#REF!</v>
      </c>
      <c r="CA49" t="e">
        <f>AND(#REF!,"AAAAAH3+v04=")</f>
        <v>#REF!</v>
      </c>
      <c r="CB49" t="e">
        <f>AND(#REF!,"AAAAAH3+v08=")</f>
        <v>#REF!</v>
      </c>
      <c r="CC49" t="e">
        <f>AND(#REF!,"AAAAAH3+v1A=")</f>
        <v>#REF!</v>
      </c>
      <c r="CD49" t="e">
        <f>IF(#REF!,"AAAAAH3+v1E=",0)</f>
        <v>#REF!</v>
      </c>
      <c r="CE49" t="e">
        <f>AND(#REF!,"AAAAAH3+v1I=")</f>
        <v>#REF!</v>
      </c>
      <c r="CF49" t="e">
        <f>AND(#REF!,"AAAAAH3+v1M=")</f>
        <v>#REF!</v>
      </c>
      <c r="CG49" t="e">
        <f>AND(#REF!,"AAAAAH3+v1Q=")</f>
        <v>#REF!</v>
      </c>
      <c r="CH49" t="e">
        <f>AND(#REF!,"AAAAAH3+v1U=")</f>
        <v>#REF!</v>
      </c>
      <c r="CI49" t="e">
        <f>AND(#REF!,"AAAAAH3+v1Y=")</f>
        <v>#REF!</v>
      </c>
      <c r="CJ49" t="e">
        <f>AND(#REF!,"AAAAAH3+v1c=")</f>
        <v>#REF!</v>
      </c>
      <c r="CK49" t="e">
        <f>AND(#REF!,"AAAAAH3+v1g=")</f>
        <v>#REF!</v>
      </c>
      <c r="CL49" t="e">
        <f>AND(#REF!,"AAAAAH3+v1k=")</f>
        <v>#REF!</v>
      </c>
      <c r="CM49" t="e">
        <f>AND(#REF!,"AAAAAH3+v1o=")</f>
        <v>#REF!</v>
      </c>
      <c r="CN49" t="e">
        <f>AND(#REF!,"AAAAAH3+v1s=")</f>
        <v>#REF!</v>
      </c>
      <c r="CO49" t="e">
        <f>IF(#REF!,"AAAAAH3+v1w=",0)</f>
        <v>#REF!</v>
      </c>
      <c r="CP49" t="e">
        <f>AND(#REF!,"AAAAAH3+v10=")</f>
        <v>#REF!</v>
      </c>
      <c r="CQ49" t="e">
        <f>AND(#REF!,"AAAAAH3+v14=")</f>
        <v>#REF!</v>
      </c>
      <c r="CR49" t="e">
        <f>AND(#REF!,"AAAAAH3+v18=")</f>
        <v>#REF!</v>
      </c>
      <c r="CS49" t="e">
        <f>AND(#REF!,"AAAAAH3+v2A=")</f>
        <v>#REF!</v>
      </c>
      <c r="CT49" t="e">
        <f>AND(#REF!,"AAAAAH3+v2E=")</f>
        <v>#REF!</v>
      </c>
      <c r="CU49" t="e">
        <f>AND(#REF!,"AAAAAH3+v2I=")</f>
        <v>#REF!</v>
      </c>
      <c r="CV49" t="e">
        <f>AND(#REF!,"AAAAAH3+v2M=")</f>
        <v>#REF!</v>
      </c>
      <c r="CW49" t="e">
        <f>AND(#REF!,"AAAAAH3+v2Q=")</f>
        <v>#REF!</v>
      </c>
      <c r="CX49" t="e">
        <f>AND(#REF!,"AAAAAH3+v2U=")</f>
        <v>#REF!</v>
      </c>
      <c r="CY49" t="e">
        <f>AND(#REF!,"AAAAAH3+v2Y=")</f>
        <v>#REF!</v>
      </c>
      <c r="CZ49" t="e">
        <f>IF(#REF!,"AAAAAH3+v2c=",0)</f>
        <v>#REF!</v>
      </c>
      <c r="DA49" t="e">
        <f>AND(#REF!,"AAAAAH3+v2g=")</f>
        <v>#REF!</v>
      </c>
      <c r="DB49" t="e">
        <f>AND(#REF!,"AAAAAH3+v2k=")</f>
        <v>#REF!</v>
      </c>
      <c r="DC49" t="e">
        <f>AND(#REF!,"AAAAAH3+v2o=")</f>
        <v>#REF!</v>
      </c>
      <c r="DD49" t="e">
        <f>AND(#REF!,"AAAAAH3+v2s=")</f>
        <v>#REF!</v>
      </c>
      <c r="DE49" t="e">
        <f>AND(#REF!,"AAAAAH3+v2w=")</f>
        <v>#REF!</v>
      </c>
      <c r="DF49" t="e">
        <f>AND(#REF!,"AAAAAH3+v20=")</f>
        <v>#REF!</v>
      </c>
      <c r="DG49" t="e">
        <f>AND(#REF!,"AAAAAH3+v24=")</f>
        <v>#REF!</v>
      </c>
      <c r="DH49" t="e">
        <f>AND(#REF!,"AAAAAH3+v28=")</f>
        <v>#REF!</v>
      </c>
      <c r="DI49" t="e">
        <f>AND(#REF!,"AAAAAH3+v3A=")</f>
        <v>#REF!</v>
      </c>
      <c r="DJ49" t="e">
        <f>AND(#REF!,"AAAAAH3+v3E=")</f>
        <v>#REF!</v>
      </c>
      <c r="DK49" t="e">
        <f>IF(#REF!,"AAAAAH3+v3I=",0)</f>
        <v>#REF!</v>
      </c>
      <c r="DL49" t="e">
        <f>AND(#REF!,"AAAAAH3+v3M=")</f>
        <v>#REF!</v>
      </c>
      <c r="DM49" t="e">
        <f>AND(#REF!,"AAAAAH3+v3Q=")</f>
        <v>#REF!</v>
      </c>
      <c r="DN49" t="e">
        <f>AND(#REF!,"AAAAAH3+v3U=")</f>
        <v>#REF!</v>
      </c>
      <c r="DO49" t="e">
        <f>AND(#REF!,"AAAAAH3+v3Y=")</f>
        <v>#REF!</v>
      </c>
      <c r="DP49" t="e">
        <f>AND(#REF!,"AAAAAH3+v3c=")</f>
        <v>#REF!</v>
      </c>
      <c r="DQ49" t="e">
        <f>AND(#REF!,"AAAAAH3+v3g=")</f>
        <v>#REF!</v>
      </c>
      <c r="DR49" t="e">
        <f>AND(#REF!,"AAAAAH3+v3k=")</f>
        <v>#REF!</v>
      </c>
      <c r="DS49" t="e">
        <f>AND(#REF!,"AAAAAH3+v3o=")</f>
        <v>#REF!</v>
      </c>
      <c r="DT49" t="e">
        <f>AND(#REF!,"AAAAAH3+v3s=")</f>
        <v>#REF!</v>
      </c>
      <c r="DU49" t="e">
        <f>AND(#REF!,"AAAAAH3+v3w=")</f>
        <v>#REF!</v>
      </c>
      <c r="DV49" t="e">
        <f>IF(#REF!,"AAAAAH3+v30=",0)</f>
        <v>#REF!</v>
      </c>
      <c r="DW49" t="e">
        <f>AND(#REF!,"AAAAAH3+v34=")</f>
        <v>#REF!</v>
      </c>
      <c r="DX49" t="e">
        <f>AND(#REF!,"AAAAAH3+v38=")</f>
        <v>#REF!</v>
      </c>
      <c r="DY49" t="e">
        <f>AND(#REF!,"AAAAAH3+v4A=")</f>
        <v>#REF!</v>
      </c>
      <c r="DZ49" t="e">
        <f>AND(#REF!,"AAAAAH3+v4E=")</f>
        <v>#REF!</v>
      </c>
      <c r="EA49" t="e">
        <f>AND(#REF!,"AAAAAH3+v4I=")</f>
        <v>#REF!</v>
      </c>
      <c r="EB49" t="e">
        <f>AND(#REF!,"AAAAAH3+v4M=")</f>
        <v>#REF!</v>
      </c>
      <c r="EC49" t="e">
        <f>AND(#REF!,"AAAAAH3+v4Q=")</f>
        <v>#REF!</v>
      </c>
      <c r="ED49" t="e">
        <f>AND(#REF!,"AAAAAH3+v4U=")</f>
        <v>#REF!</v>
      </c>
      <c r="EE49" t="e">
        <f>AND(#REF!,"AAAAAH3+v4Y=")</f>
        <v>#REF!</v>
      </c>
      <c r="EF49" t="e">
        <f>AND(#REF!,"AAAAAH3+v4c=")</f>
        <v>#REF!</v>
      </c>
      <c r="EG49" t="e">
        <f>IF(#REF!,"AAAAAH3+v4g=",0)</f>
        <v>#REF!</v>
      </c>
      <c r="EH49" t="e">
        <f>AND(#REF!,"AAAAAH3+v4k=")</f>
        <v>#REF!</v>
      </c>
      <c r="EI49" t="e">
        <f>AND(#REF!,"AAAAAH3+v4o=")</f>
        <v>#REF!</v>
      </c>
      <c r="EJ49" t="e">
        <f>AND(#REF!,"AAAAAH3+v4s=")</f>
        <v>#REF!</v>
      </c>
      <c r="EK49" t="e">
        <f>AND(#REF!,"AAAAAH3+v4w=")</f>
        <v>#REF!</v>
      </c>
      <c r="EL49" t="e">
        <f>AND(#REF!,"AAAAAH3+v40=")</f>
        <v>#REF!</v>
      </c>
      <c r="EM49" t="e">
        <f>AND(#REF!,"AAAAAH3+v44=")</f>
        <v>#REF!</v>
      </c>
      <c r="EN49" t="e">
        <f>AND(#REF!,"AAAAAH3+v48=")</f>
        <v>#REF!</v>
      </c>
      <c r="EO49" t="e">
        <f>AND(#REF!,"AAAAAH3+v5A=")</f>
        <v>#REF!</v>
      </c>
      <c r="EP49" t="e">
        <f>AND(#REF!,"AAAAAH3+v5E=")</f>
        <v>#REF!</v>
      </c>
      <c r="EQ49" t="e">
        <f>AND(#REF!,"AAAAAH3+v5I=")</f>
        <v>#REF!</v>
      </c>
      <c r="ER49" t="e">
        <f>IF(#REF!,"AAAAAH3+v5M=",0)</f>
        <v>#REF!</v>
      </c>
      <c r="ES49" t="e">
        <f>AND(#REF!,"AAAAAH3+v5Q=")</f>
        <v>#REF!</v>
      </c>
      <c r="ET49" t="e">
        <f>AND(#REF!,"AAAAAH3+v5U=")</f>
        <v>#REF!</v>
      </c>
      <c r="EU49" t="e">
        <f>AND(#REF!,"AAAAAH3+v5Y=")</f>
        <v>#REF!</v>
      </c>
      <c r="EV49" t="e">
        <f>AND(#REF!,"AAAAAH3+v5c=")</f>
        <v>#REF!</v>
      </c>
      <c r="EW49" t="e">
        <f>AND(#REF!,"AAAAAH3+v5g=")</f>
        <v>#REF!</v>
      </c>
      <c r="EX49" t="e">
        <f>AND(#REF!,"AAAAAH3+v5k=")</f>
        <v>#REF!</v>
      </c>
      <c r="EY49" t="e">
        <f>AND(#REF!,"AAAAAH3+v5o=")</f>
        <v>#REF!</v>
      </c>
      <c r="EZ49" t="e">
        <f>AND(#REF!,"AAAAAH3+v5s=")</f>
        <v>#REF!</v>
      </c>
      <c r="FA49" t="e">
        <f>AND(#REF!,"AAAAAH3+v5w=")</f>
        <v>#REF!</v>
      </c>
      <c r="FB49" t="e">
        <f>AND(#REF!,"AAAAAH3+v50=")</f>
        <v>#REF!</v>
      </c>
      <c r="FC49" t="e">
        <f>IF(#REF!,"AAAAAH3+v54=",0)</f>
        <v>#REF!</v>
      </c>
      <c r="FD49" t="e">
        <f>AND(#REF!,"AAAAAH3+v58=")</f>
        <v>#REF!</v>
      </c>
      <c r="FE49" t="e">
        <f>AND(#REF!,"AAAAAH3+v6A=")</f>
        <v>#REF!</v>
      </c>
      <c r="FF49" t="e">
        <f>AND(#REF!,"AAAAAH3+v6E=")</f>
        <v>#REF!</v>
      </c>
      <c r="FG49" t="e">
        <f>AND(#REF!,"AAAAAH3+v6I=")</f>
        <v>#REF!</v>
      </c>
      <c r="FH49" t="e">
        <f>AND(#REF!,"AAAAAH3+v6M=")</f>
        <v>#REF!</v>
      </c>
      <c r="FI49" t="e">
        <f>AND(#REF!,"AAAAAH3+v6Q=")</f>
        <v>#REF!</v>
      </c>
      <c r="FJ49" t="e">
        <f>AND(#REF!,"AAAAAH3+v6U=")</f>
        <v>#REF!</v>
      </c>
      <c r="FK49" t="e">
        <f>AND(#REF!,"AAAAAH3+v6Y=")</f>
        <v>#REF!</v>
      </c>
      <c r="FL49" t="e">
        <f>AND(#REF!,"AAAAAH3+v6c=")</f>
        <v>#REF!</v>
      </c>
      <c r="FM49" t="e">
        <f>AND(#REF!,"AAAAAH3+v6g=")</f>
        <v>#REF!</v>
      </c>
      <c r="FN49" t="e">
        <f>IF(#REF!,"AAAAAH3+v6k=",0)</f>
        <v>#REF!</v>
      </c>
      <c r="FO49" t="e">
        <f>AND(#REF!,"AAAAAH3+v6o=")</f>
        <v>#REF!</v>
      </c>
      <c r="FP49" t="e">
        <f>AND(#REF!,"AAAAAH3+v6s=")</f>
        <v>#REF!</v>
      </c>
      <c r="FQ49" t="e">
        <f>AND(#REF!,"AAAAAH3+v6w=")</f>
        <v>#REF!</v>
      </c>
      <c r="FR49" t="e">
        <f>AND(#REF!,"AAAAAH3+v60=")</f>
        <v>#REF!</v>
      </c>
      <c r="FS49" t="e">
        <f>AND(#REF!,"AAAAAH3+v64=")</f>
        <v>#REF!</v>
      </c>
      <c r="FT49" t="e">
        <f>AND(#REF!,"AAAAAH3+v68=")</f>
        <v>#REF!</v>
      </c>
      <c r="FU49" t="e">
        <f>AND(#REF!,"AAAAAH3+v7A=")</f>
        <v>#REF!</v>
      </c>
      <c r="FV49" t="e">
        <f>AND(#REF!,"AAAAAH3+v7E=")</f>
        <v>#REF!</v>
      </c>
      <c r="FW49" t="e">
        <f>AND(#REF!,"AAAAAH3+v7I=")</f>
        <v>#REF!</v>
      </c>
      <c r="FX49" t="e">
        <f>AND(#REF!,"AAAAAH3+v7M=")</f>
        <v>#REF!</v>
      </c>
      <c r="FY49" t="e">
        <f>IF(#REF!,"AAAAAH3+v7Q=",0)</f>
        <v>#REF!</v>
      </c>
      <c r="FZ49" t="e">
        <f>AND(#REF!,"AAAAAH3+v7U=")</f>
        <v>#REF!</v>
      </c>
      <c r="GA49" t="e">
        <f>AND(#REF!,"AAAAAH3+v7Y=")</f>
        <v>#REF!</v>
      </c>
      <c r="GB49" t="e">
        <f>AND(#REF!,"AAAAAH3+v7c=")</f>
        <v>#REF!</v>
      </c>
      <c r="GC49" t="e">
        <f>AND(#REF!,"AAAAAH3+v7g=")</f>
        <v>#REF!</v>
      </c>
      <c r="GD49" t="e">
        <f>AND(#REF!,"AAAAAH3+v7k=")</f>
        <v>#REF!</v>
      </c>
      <c r="GE49" t="e">
        <f>AND(#REF!,"AAAAAH3+v7o=")</f>
        <v>#REF!</v>
      </c>
      <c r="GF49" t="e">
        <f>AND(#REF!,"AAAAAH3+v7s=")</f>
        <v>#REF!</v>
      </c>
      <c r="GG49" t="e">
        <f>AND(#REF!,"AAAAAH3+v7w=")</f>
        <v>#REF!</v>
      </c>
      <c r="GH49" t="e">
        <f>AND(#REF!,"AAAAAH3+v70=")</f>
        <v>#REF!</v>
      </c>
      <c r="GI49" t="e">
        <f>AND(#REF!,"AAAAAH3+v74=")</f>
        <v>#REF!</v>
      </c>
      <c r="GJ49" t="e">
        <f>IF(#REF!,"AAAAAH3+v78=",0)</f>
        <v>#REF!</v>
      </c>
      <c r="GK49" t="e">
        <f>AND(#REF!,"AAAAAH3+v8A=")</f>
        <v>#REF!</v>
      </c>
      <c r="GL49" t="e">
        <f>AND(#REF!,"AAAAAH3+v8E=")</f>
        <v>#REF!</v>
      </c>
      <c r="GM49" t="e">
        <f>AND(#REF!,"AAAAAH3+v8I=")</f>
        <v>#REF!</v>
      </c>
      <c r="GN49" t="e">
        <f>AND(#REF!,"AAAAAH3+v8M=")</f>
        <v>#REF!</v>
      </c>
      <c r="GO49" t="e">
        <f>AND(#REF!,"AAAAAH3+v8Q=")</f>
        <v>#REF!</v>
      </c>
      <c r="GP49" t="e">
        <f>AND(#REF!,"AAAAAH3+v8U=")</f>
        <v>#REF!</v>
      </c>
      <c r="GQ49" t="e">
        <f>AND(#REF!,"AAAAAH3+v8Y=")</f>
        <v>#REF!</v>
      </c>
      <c r="GR49" t="e">
        <f>AND(#REF!,"AAAAAH3+v8c=")</f>
        <v>#REF!</v>
      </c>
      <c r="GS49" t="e">
        <f>AND(#REF!,"AAAAAH3+v8g=")</f>
        <v>#REF!</v>
      </c>
      <c r="GT49" t="e">
        <f>AND(#REF!,"AAAAAH3+v8k=")</f>
        <v>#REF!</v>
      </c>
      <c r="GU49" t="e">
        <f>IF(#REF!,"AAAAAH3+v8o=",0)</f>
        <v>#REF!</v>
      </c>
      <c r="GV49" t="e">
        <f>AND(#REF!,"AAAAAH3+v8s=")</f>
        <v>#REF!</v>
      </c>
      <c r="GW49" t="e">
        <f>AND(#REF!,"AAAAAH3+v8w=")</f>
        <v>#REF!</v>
      </c>
      <c r="GX49" t="e">
        <f>AND(#REF!,"AAAAAH3+v80=")</f>
        <v>#REF!</v>
      </c>
      <c r="GY49" t="e">
        <f>AND(#REF!,"AAAAAH3+v84=")</f>
        <v>#REF!</v>
      </c>
      <c r="GZ49" t="e">
        <f>AND(#REF!,"AAAAAH3+v88=")</f>
        <v>#REF!</v>
      </c>
      <c r="HA49" t="e">
        <f>AND(#REF!,"AAAAAH3+v9A=")</f>
        <v>#REF!</v>
      </c>
      <c r="HB49" t="e">
        <f>AND(#REF!,"AAAAAH3+v9E=")</f>
        <v>#REF!</v>
      </c>
      <c r="HC49" t="e">
        <f>AND(#REF!,"AAAAAH3+v9I=")</f>
        <v>#REF!</v>
      </c>
      <c r="HD49" t="e">
        <f>AND(#REF!,"AAAAAH3+v9M=")</f>
        <v>#REF!</v>
      </c>
      <c r="HE49" t="e">
        <f>AND(#REF!,"AAAAAH3+v9Q=")</f>
        <v>#REF!</v>
      </c>
      <c r="HF49" t="e">
        <f>IF(#REF!,"AAAAAH3+v9U=",0)</f>
        <v>#REF!</v>
      </c>
      <c r="HG49" t="e">
        <f>AND(#REF!,"AAAAAH3+v9Y=")</f>
        <v>#REF!</v>
      </c>
      <c r="HH49" t="e">
        <f>AND(#REF!,"AAAAAH3+v9c=")</f>
        <v>#REF!</v>
      </c>
      <c r="HI49" t="e">
        <f>AND(#REF!,"AAAAAH3+v9g=")</f>
        <v>#REF!</v>
      </c>
      <c r="HJ49" t="e">
        <f>AND(#REF!,"AAAAAH3+v9k=")</f>
        <v>#REF!</v>
      </c>
      <c r="HK49" t="e">
        <f>AND(#REF!,"AAAAAH3+v9o=")</f>
        <v>#REF!</v>
      </c>
      <c r="HL49" t="e">
        <f>AND(#REF!,"AAAAAH3+v9s=")</f>
        <v>#REF!</v>
      </c>
      <c r="HM49" t="e">
        <f>AND(#REF!,"AAAAAH3+v9w=")</f>
        <v>#REF!</v>
      </c>
      <c r="HN49" t="e">
        <f>AND(#REF!,"AAAAAH3+v90=")</f>
        <v>#REF!</v>
      </c>
      <c r="HO49" t="e">
        <f>AND(#REF!,"AAAAAH3+v94=")</f>
        <v>#REF!</v>
      </c>
      <c r="HP49" t="e">
        <f>AND(#REF!,"AAAAAH3+v98=")</f>
        <v>#REF!</v>
      </c>
      <c r="HQ49" t="e">
        <f>IF(#REF!,"AAAAAH3+v+A=",0)</f>
        <v>#REF!</v>
      </c>
      <c r="HR49" t="e">
        <f>AND(#REF!,"AAAAAH3+v+E=")</f>
        <v>#REF!</v>
      </c>
      <c r="HS49" t="e">
        <f>AND(#REF!,"AAAAAH3+v+I=")</f>
        <v>#REF!</v>
      </c>
      <c r="HT49" t="e">
        <f>AND(#REF!,"AAAAAH3+v+M=")</f>
        <v>#REF!</v>
      </c>
      <c r="HU49" t="e">
        <f>AND(#REF!,"AAAAAH3+v+Q=")</f>
        <v>#REF!</v>
      </c>
      <c r="HV49" t="e">
        <f>AND(#REF!,"AAAAAH3+v+U=")</f>
        <v>#REF!</v>
      </c>
      <c r="HW49" t="e">
        <f>AND(#REF!,"AAAAAH3+v+Y=")</f>
        <v>#REF!</v>
      </c>
      <c r="HX49" t="e">
        <f>AND(#REF!,"AAAAAH3+v+c=")</f>
        <v>#REF!</v>
      </c>
      <c r="HY49" t="e">
        <f>AND(#REF!,"AAAAAH3+v+g=")</f>
        <v>#REF!</v>
      </c>
      <c r="HZ49" t="e">
        <f>AND(#REF!,"AAAAAH3+v+k=")</f>
        <v>#REF!</v>
      </c>
      <c r="IA49" t="e">
        <f>AND(#REF!,"AAAAAH3+v+o=")</f>
        <v>#REF!</v>
      </c>
      <c r="IB49" t="e">
        <f>IF(#REF!,"AAAAAH3+v+s=",0)</f>
        <v>#REF!</v>
      </c>
      <c r="IC49" t="e">
        <f>AND(#REF!,"AAAAAH3+v+w=")</f>
        <v>#REF!</v>
      </c>
      <c r="ID49" t="e">
        <f>AND(#REF!,"AAAAAH3+v+0=")</f>
        <v>#REF!</v>
      </c>
      <c r="IE49" t="e">
        <f>AND(#REF!,"AAAAAH3+v+4=")</f>
        <v>#REF!</v>
      </c>
      <c r="IF49" t="e">
        <f>AND(#REF!,"AAAAAH3+v+8=")</f>
        <v>#REF!</v>
      </c>
      <c r="IG49" t="e">
        <f>AND(#REF!,"AAAAAH3+v/A=")</f>
        <v>#REF!</v>
      </c>
      <c r="IH49" t="e">
        <f>AND(#REF!,"AAAAAH3+v/E=")</f>
        <v>#REF!</v>
      </c>
      <c r="II49" t="e">
        <f>AND(#REF!,"AAAAAH3+v/I=")</f>
        <v>#REF!</v>
      </c>
      <c r="IJ49" t="e">
        <f>AND(#REF!,"AAAAAH3+v/M=")</f>
        <v>#REF!</v>
      </c>
      <c r="IK49" t="e">
        <f>AND(#REF!,"AAAAAH3+v/Q=")</f>
        <v>#REF!</v>
      </c>
      <c r="IL49" t="e">
        <f>AND(#REF!,"AAAAAH3+v/U=")</f>
        <v>#REF!</v>
      </c>
      <c r="IM49" t="e">
        <f>IF(#REF!,"AAAAAH3+v/Y=",0)</f>
        <v>#REF!</v>
      </c>
      <c r="IN49" t="e">
        <f>AND(#REF!,"AAAAAH3+v/c=")</f>
        <v>#REF!</v>
      </c>
      <c r="IO49" t="e">
        <f>AND(#REF!,"AAAAAH3+v/g=")</f>
        <v>#REF!</v>
      </c>
      <c r="IP49" t="e">
        <f>AND(#REF!,"AAAAAH3+v/k=")</f>
        <v>#REF!</v>
      </c>
      <c r="IQ49" t="e">
        <f>AND(#REF!,"AAAAAH3+v/o=")</f>
        <v>#REF!</v>
      </c>
      <c r="IR49" t="e">
        <f>AND(#REF!,"AAAAAH3+v/s=")</f>
        <v>#REF!</v>
      </c>
      <c r="IS49" t="e">
        <f>AND(#REF!,"AAAAAH3+v/w=")</f>
        <v>#REF!</v>
      </c>
      <c r="IT49" t="e">
        <f>AND(#REF!,"AAAAAH3+v/0=")</f>
        <v>#REF!</v>
      </c>
      <c r="IU49" t="e">
        <f>AND(#REF!,"AAAAAH3+v/4=")</f>
        <v>#REF!</v>
      </c>
      <c r="IV49" t="e">
        <f>AND(#REF!,"AAAAAH3+v/8=")</f>
        <v>#REF!</v>
      </c>
    </row>
    <row r="50" spans="1:256" x14ac:dyDescent="0.25">
      <c r="A50" t="e">
        <f>AND(#REF!,"AAAAAFdp+wA=")</f>
        <v>#REF!</v>
      </c>
      <c r="B50" t="e">
        <f>IF(#REF!,"AAAAAFdp+wE=",0)</f>
        <v>#REF!</v>
      </c>
      <c r="C50" t="e">
        <f>AND(#REF!,"AAAAAFdp+wI=")</f>
        <v>#REF!</v>
      </c>
      <c r="D50" t="e">
        <f>AND(#REF!,"AAAAAFdp+wM=")</f>
        <v>#REF!</v>
      </c>
      <c r="E50" t="e">
        <f>AND(#REF!,"AAAAAFdp+wQ=")</f>
        <v>#REF!</v>
      </c>
      <c r="F50" t="e">
        <f>AND(#REF!,"AAAAAFdp+wU=")</f>
        <v>#REF!</v>
      </c>
      <c r="G50" t="e">
        <f>AND(#REF!,"AAAAAFdp+wY=")</f>
        <v>#REF!</v>
      </c>
      <c r="H50" t="e">
        <f>AND(#REF!,"AAAAAFdp+wc=")</f>
        <v>#REF!</v>
      </c>
      <c r="I50" t="e">
        <f>AND(#REF!,"AAAAAFdp+wg=")</f>
        <v>#REF!</v>
      </c>
      <c r="J50" t="e">
        <f>AND(#REF!,"AAAAAFdp+wk=")</f>
        <v>#REF!</v>
      </c>
      <c r="K50" t="e">
        <f>AND(#REF!,"AAAAAFdp+wo=")</f>
        <v>#REF!</v>
      </c>
      <c r="L50" t="e">
        <f>AND(#REF!,"AAAAAFdp+ws=")</f>
        <v>#REF!</v>
      </c>
      <c r="M50" t="e">
        <f>IF(#REF!,"AAAAAFdp+ww=",0)</f>
        <v>#REF!</v>
      </c>
      <c r="N50" t="e">
        <f>AND(#REF!,"AAAAAFdp+w0=")</f>
        <v>#REF!</v>
      </c>
      <c r="O50" t="e">
        <f>AND(#REF!,"AAAAAFdp+w4=")</f>
        <v>#REF!</v>
      </c>
      <c r="P50" t="e">
        <f>AND(#REF!,"AAAAAFdp+w8=")</f>
        <v>#REF!</v>
      </c>
      <c r="Q50" t="e">
        <f>AND(#REF!,"AAAAAFdp+xA=")</f>
        <v>#REF!</v>
      </c>
      <c r="R50" t="e">
        <f>AND(#REF!,"AAAAAFdp+xE=")</f>
        <v>#REF!</v>
      </c>
      <c r="S50" t="e">
        <f>AND(#REF!,"AAAAAFdp+xI=")</f>
        <v>#REF!</v>
      </c>
      <c r="T50" t="e">
        <f>AND(#REF!,"AAAAAFdp+xM=")</f>
        <v>#REF!</v>
      </c>
      <c r="U50" t="e">
        <f>AND(#REF!,"AAAAAFdp+xQ=")</f>
        <v>#REF!</v>
      </c>
      <c r="V50" t="e">
        <f>AND(#REF!,"AAAAAFdp+xU=")</f>
        <v>#REF!</v>
      </c>
      <c r="W50" t="e">
        <f>AND(#REF!,"AAAAAFdp+xY=")</f>
        <v>#REF!</v>
      </c>
      <c r="X50" t="e">
        <f>IF(#REF!,"AAAAAFdp+xc=",0)</f>
        <v>#REF!</v>
      </c>
      <c r="Y50" t="e">
        <f>AND(#REF!,"AAAAAFdp+xg=")</f>
        <v>#REF!</v>
      </c>
      <c r="Z50" t="e">
        <f>AND(#REF!,"AAAAAFdp+xk=")</f>
        <v>#REF!</v>
      </c>
      <c r="AA50" t="e">
        <f>AND(#REF!,"AAAAAFdp+xo=")</f>
        <v>#REF!</v>
      </c>
      <c r="AB50" t="e">
        <f>AND(#REF!,"AAAAAFdp+xs=")</f>
        <v>#REF!</v>
      </c>
      <c r="AC50" t="e">
        <f>AND(#REF!,"AAAAAFdp+xw=")</f>
        <v>#REF!</v>
      </c>
      <c r="AD50" t="e">
        <f>AND(#REF!,"AAAAAFdp+x0=")</f>
        <v>#REF!</v>
      </c>
      <c r="AE50" t="e">
        <f>AND(#REF!,"AAAAAFdp+x4=")</f>
        <v>#REF!</v>
      </c>
      <c r="AF50" t="e">
        <f>AND(#REF!,"AAAAAFdp+x8=")</f>
        <v>#REF!</v>
      </c>
      <c r="AG50" t="e">
        <f>AND(#REF!,"AAAAAFdp+yA=")</f>
        <v>#REF!</v>
      </c>
      <c r="AH50" t="e">
        <f>AND(#REF!,"AAAAAFdp+yE=")</f>
        <v>#REF!</v>
      </c>
      <c r="AI50" t="e">
        <f>IF(#REF!,"AAAAAFdp+yI=",0)</f>
        <v>#REF!</v>
      </c>
      <c r="AJ50" t="e">
        <f>AND(#REF!,"AAAAAFdp+yM=")</f>
        <v>#REF!</v>
      </c>
      <c r="AK50" t="e">
        <f>AND(#REF!,"AAAAAFdp+yQ=")</f>
        <v>#REF!</v>
      </c>
      <c r="AL50" t="e">
        <f>AND(#REF!,"AAAAAFdp+yU=")</f>
        <v>#REF!</v>
      </c>
      <c r="AM50" t="e">
        <f>AND(#REF!,"AAAAAFdp+yY=")</f>
        <v>#REF!</v>
      </c>
      <c r="AN50" t="e">
        <f>AND(#REF!,"AAAAAFdp+yc=")</f>
        <v>#REF!</v>
      </c>
      <c r="AO50" t="e">
        <f>AND(#REF!,"AAAAAFdp+yg=")</f>
        <v>#REF!</v>
      </c>
      <c r="AP50" t="e">
        <f>AND(#REF!,"AAAAAFdp+yk=")</f>
        <v>#REF!</v>
      </c>
      <c r="AQ50" t="e">
        <f>AND(#REF!,"AAAAAFdp+yo=")</f>
        <v>#REF!</v>
      </c>
      <c r="AR50" t="e">
        <f>AND(#REF!,"AAAAAFdp+ys=")</f>
        <v>#REF!</v>
      </c>
      <c r="AS50" t="e">
        <f>AND(#REF!,"AAAAAFdp+yw=")</f>
        <v>#REF!</v>
      </c>
      <c r="AT50" t="e">
        <f>IF(#REF!,"AAAAAFdp+y0=",0)</f>
        <v>#REF!</v>
      </c>
      <c r="AU50" t="e">
        <f>AND(#REF!,"AAAAAFdp+y4=")</f>
        <v>#REF!</v>
      </c>
      <c r="AV50" t="e">
        <f>AND(#REF!,"AAAAAFdp+y8=")</f>
        <v>#REF!</v>
      </c>
      <c r="AW50" t="e">
        <f>AND(#REF!,"AAAAAFdp+zA=")</f>
        <v>#REF!</v>
      </c>
      <c r="AX50" t="e">
        <f>AND(#REF!,"AAAAAFdp+zE=")</f>
        <v>#REF!</v>
      </c>
      <c r="AY50" t="e">
        <f>AND(#REF!,"AAAAAFdp+zI=")</f>
        <v>#REF!</v>
      </c>
      <c r="AZ50" t="e">
        <f>AND(#REF!,"AAAAAFdp+zM=")</f>
        <v>#REF!</v>
      </c>
      <c r="BA50" t="e">
        <f>AND(#REF!,"AAAAAFdp+zQ=")</f>
        <v>#REF!</v>
      </c>
      <c r="BB50" t="e">
        <f>AND(#REF!,"AAAAAFdp+zU=")</f>
        <v>#REF!</v>
      </c>
      <c r="BC50" t="e">
        <f>AND(#REF!,"AAAAAFdp+zY=")</f>
        <v>#REF!</v>
      </c>
      <c r="BD50" t="e">
        <f>AND(#REF!,"AAAAAFdp+zc=")</f>
        <v>#REF!</v>
      </c>
      <c r="BE50" t="e">
        <f>IF(#REF!,"AAAAAFdp+zg=",0)</f>
        <v>#REF!</v>
      </c>
      <c r="BF50" t="e">
        <f>AND(#REF!,"AAAAAFdp+zk=")</f>
        <v>#REF!</v>
      </c>
      <c r="BG50" t="e">
        <f>AND(#REF!,"AAAAAFdp+zo=")</f>
        <v>#REF!</v>
      </c>
      <c r="BH50" t="e">
        <f>AND(#REF!,"AAAAAFdp+zs=")</f>
        <v>#REF!</v>
      </c>
      <c r="BI50" t="e">
        <f>AND(#REF!,"AAAAAFdp+zw=")</f>
        <v>#REF!</v>
      </c>
      <c r="BJ50" t="e">
        <f>AND(#REF!,"AAAAAFdp+z0=")</f>
        <v>#REF!</v>
      </c>
      <c r="BK50" t="e">
        <f>AND(#REF!,"AAAAAFdp+z4=")</f>
        <v>#REF!</v>
      </c>
      <c r="BL50" t="e">
        <f>AND(#REF!,"AAAAAFdp+z8=")</f>
        <v>#REF!</v>
      </c>
      <c r="BM50" t="e">
        <f>AND(#REF!,"AAAAAFdp+0A=")</f>
        <v>#REF!</v>
      </c>
      <c r="BN50" t="e">
        <f>AND(#REF!,"AAAAAFdp+0E=")</f>
        <v>#REF!</v>
      </c>
      <c r="BO50" t="e">
        <f>AND(#REF!,"AAAAAFdp+0I=")</f>
        <v>#REF!</v>
      </c>
      <c r="BP50" t="e">
        <f>IF(#REF!,"AAAAAFdp+0M=",0)</f>
        <v>#REF!</v>
      </c>
      <c r="BQ50" t="e">
        <f>AND(#REF!,"AAAAAFdp+0Q=")</f>
        <v>#REF!</v>
      </c>
      <c r="BR50" t="e">
        <f>AND(#REF!,"AAAAAFdp+0U=")</f>
        <v>#REF!</v>
      </c>
      <c r="BS50" t="e">
        <f>AND(#REF!,"AAAAAFdp+0Y=")</f>
        <v>#REF!</v>
      </c>
      <c r="BT50" t="e">
        <f>AND(#REF!,"AAAAAFdp+0c=")</f>
        <v>#REF!</v>
      </c>
      <c r="BU50" t="e">
        <f>AND(#REF!,"AAAAAFdp+0g=")</f>
        <v>#REF!</v>
      </c>
      <c r="BV50" t="e">
        <f>AND(#REF!,"AAAAAFdp+0k=")</f>
        <v>#REF!</v>
      </c>
      <c r="BW50" t="e">
        <f>AND(#REF!,"AAAAAFdp+0o=")</f>
        <v>#REF!</v>
      </c>
      <c r="BX50" t="e">
        <f>AND(#REF!,"AAAAAFdp+0s=")</f>
        <v>#REF!</v>
      </c>
      <c r="BY50" t="e">
        <f>AND(#REF!,"AAAAAFdp+0w=")</f>
        <v>#REF!</v>
      </c>
      <c r="BZ50" t="e">
        <f>AND(#REF!,"AAAAAFdp+00=")</f>
        <v>#REF!</v>
      </c>
      <c r="CA50" t="e">
        <f>IF(#REF!,"AAAAAFdp+04=",0)</f>
        <v>#REF!</v>
      </c>
      <c r="CB50" t="e">
        <f>AND(#REF!,"AAAAAFdp+08=")</f>
        <v>#REF!</v>
      </c>
      <c r="CC50" t="e">
        <f>AND(#REF!,"AAAAAFdp+1A=")</f>
        <v>#REF!</v>
      </c>
      <c r="CD50" t="e">
        <f>AND(#REF!,"AAAAAFdp+1E=")</f>
        <v>#REF!</v>
      </c>
      <c r="CE50" t="e">
        <f>AND(#REF!,"AAAAAFdp+1I=")</f>
        <v>#REF!</v>
      </c>
      <c r="CF50" t="e">
        <f>AND(#REF!,"AAAAAFdp+1M=")</f>
        <v>#REF!</v>
      </c>
      <c r="CG50" t="e">
        <f>AND(#REF!,"AAAAAFdp+1Q=")</f>
        <v>#REF!</v>
      </c>
      <c r="CH50" t="e">
        <f>AND(#REF!,"AAAAAFdp+1U=")</f>
        <v>#REF!</v>
      </c>
      <c r="CI50" t="e">
        <f>AND(#REF!,"AAAAAFdp+1Y=")</f>
        <v>#REF!</v>
      </c>
      <c r="CJ50" t="e">
        <f>AND(#REF!,"AAAAAFdp+1c=")</f>
        <v>#REF!</v>
      </c>
      <c r="CK50" t="e">
        <f>AND(#REF!,"AAAAAFdp+1g=")</f>
        <v>#REF!</v>
      </c>
      <c r="CL50" t="e">
        <f>IF(#REF!,"AAAAAFdp+1k=",0)</f>
        <v>#REF!</v>
      </c>
      <c r="CM50" t="e">
        <f>AND(#REF!,"AAAAAFdp+1o=")</f>
        <v>#REF!</v>
      </c>
      <c r="CN50" t="e">
        <f>AND(#REF!,"AAAAAFdp+1s=")</f>
        <v>#REF!</v>
      </c>
      <c r="CO50" t="e">
        <f>AND(#REF!,"AAAAAFdp+1w=")</f>
        <v>#REF!</v>
      </c>
      <c r="CP50" t="e">
        <f>AND(#REF!,"AAAAAFdp+10=")</f>
        <v>#REF!</v>
      </c>
      <c r="CQ50" t="e">
        <f>AND(#REF!,"AAAAAFdp+14=")</f>
        <v>#REF!</v>
      </c>
      <c r="CR50" t="e">
        <f>AND(#REF!,"AAAAAFdp+18=")</f>
        <v>#REF!</v>
      </c>
      <c r="CS50" t="e">
        <f>AND(#REF!,"AAAAAFdp+2A=")</f>
        <v>#REF!</v>
      </c>
      <c r="CT50" t="e">
        <f>AND(#REF!,"AAAAAFdp+2E=")</f>
        <v>#REF!</v>
      </c>
      <c r="CU50" t="e">
        <f>AND(#REF!,"AAAAAFdp+2I=")</f>
        <v>#REF!</v>
      </c>
      <c r="CV50" t="e">
        <f>AND(#REF!,"AAAAAFdp+2M=")</f>
        <v>#REF!</v>
      </c>
      <c r="CW50" t="e">
        <f>IF(#REF!,"AAAAAFdp+2Q=",0)</f>
        <v>#REF!</v>
      </c>
      <c r="CX50" t="e">
        <f>AND(#REF!,"AAAAAFdp+2U=")</f>
        <v>#REF!</v>
      </c>
      <c r="CY50" t="e">
        <f>AND(#REF!,"AAAAAFdp+2Y=")</f>
        <v>#REF!</v>
      </c>
      <c r="CZ50" t="e">
        <f>AND(#REF!,"AAAAAFdp+2c=")</f>
        <v>#REF!</v>
      </c>
      <c r="DA50" t="e">
        <f>AND(#REF!,"AAAAAFdp+2g=")</f>
        <v>#REF!</v>
      </c>
      <c r="DB50" t="e">
        <f>AND(#REF!,"AAAAAFdp+2k=")</f>
        <v>#REF!</v>
      </c>
      <c r="DC50" t="e">
        <f>AND(#REF!,"AAAAAFdp+2o=")</f>
        <v>#REF!</v>
      </c>
      <c r="DD50" t="e">
        <f>AND(#REF!,"AAAAAFdp+2s=")</f>
        <v>#REF!</v>
      </c>
      <c r="DE50" t="e">
        <f>AND(#REF!,"AAAAAFdp+2w=")</f>
        <v>#REF!</v>
      </c>
      <c r="DF50" t="e">
        <f>AND(#REF!,"AAAAAFdp+20=")</f>
        <v>#REF!</v>
      </c>
      <c r="DG50" t="e">
        <f>AND(#REF!,"AAAAAFdp+24=")</f>
        <v>#REF!</v>
      </c>
      <c r="DH50" t="e">
        <f>IF(#REF!,"AAAAAFdp+28=",0)</f>
        <v>#REF!</v>
      </c>
      <c r="DI50" t="e">
        <f>AND(#REF!,"AAAAAFdp+3A=")</f>
        <v>#REF!</v>
      </c>
      <c r="DJ50" t="e">
        <f>AND(#REF!,"AAAAAFdp+3E=")</f>
        <v>#REF!</v>
      </c>
      <c r="DK50" t="e">
        <f>AND(#REF!,"AAAAAFdp+3I=")</f>
        <v>#REF!</v>
      </c>
      <c r="DL50" t="e">
        <f>AND(#REF!,"AAAAAFdp+3M=")</f>
        <v>#REF!</v>
      </c>
      <c r="DM50" t="e">
        <f>AND(#REF!,"AAAAAFdp+3Q=")</f>
        <v>#REF!</v>
      </c>
      <c r="DN50" t="e">
        <f>AND(#REF!,"AAAAAFdp+3U=")</f>
        <v>#REF!</v>
      </c>
      <c r="DO50" t="e">
        <f>AND(#REF!,"AAAAAFdp+3Y=")</f>
        <v>#REF!</v>
      </c>
      <c r="DP50" t="e">
        <f>AND(#REF!,"AAAAAFdp+3c=")</f>
        <v>#REF!</v>
      </c>
      <c r="DQ50" t="e">
        <f>AND(#REF!,"AAAAAFdp+3g=")</f>
        <v>#REF!</v>
      </c>
      <c r="DR50" t="e">
        <f>AND(#REF!,"AAAAAFdp+3k=")</f>
        <v>#REF!</v>
      </c>
      <c r="DS50" t="e">
        <f>IF(#REF!,"AAAAAFdp+3o=",0)</f>
        <v>#REF!</v>
      </c>
      <c r="DT50" t="e">
        <f>AND(#REF!,"AAAAAFdp+3s=")</f>
        <v>#REF!</v>
      </c>
      <c r="DU50" t="e">
        <f>AND(#REF!,"AAAAAFdp+3w=")</f>
        <v>#REF!</v>
      </c>
      <c r="DV50" t="e">
        <f>AND(#REF!,"AAAAAFdp+30=")</f>
        <v>#REF!</v>
      </c>
      <c r="DW50" t="e">
        <f>AND(#REF!,"AAAAAFdp+34=")</f>
        <v>#REF!</v>
      </c>
      <c r="DX50" t="e">
        <f>AND(#REF!,"AAAAAFdp+38=")</f>
        <v>#REF!</v>
      </c>
      <c r="DY50" t="e">
        <f>AND(#REF!,"AAAAAFdp+4A=")</f>
        <v>#REF!</v>
      </c>
      <c r="DZ50" t="e">
        <f>AND(#REF!,"AAAAAFdp+4E=")</f>
        <v>#REF!</v>
      </c>
      <c r="EA50" t="e">
        <f>AND(#REF!,"AAAAAFdp+4I=")</f>
        <v>#REF!</v>
      </c>
      <c r="EB50" t="e">
        <f>AND(#REF!,"AAAAAFdp+4M=")</f>
        <v>#REF!</v>
      </c>
      <c r="EC50" t="e">
        <f>AND(#REF!,"AAAAAFdp+4Q=")</f>
        <v>#REF!</v>
      </c>
      <c r="ED50" t="e">
        <f>IF(#REF!,"AAAAAFdp+4U=",0)</f>
        <v>#REF!</v>
      </c>
      <c r="EE50" t="e">
        <f>AND(#REF!,"AAAAAFdp+4Y=")</f>
        <v>#REF!</v>
      </c>
      <c r="EF50" t="e">
        <f>AND(#REF!,"AAAAAFdp+4c=")</f>
        <v>#REF!</v>
      </c>
      <c r="EG50" t="e">
        <f>AND(#REF!,"AAAAAFdp+4g=")</f>
        <v>#REF!</v>
      </c>
      <c r="EH50" t="e">
        <f>AND(#REF!,"AAAAAFdp+4k=")</f>
        <v>#REF!</v>
      </c>
      <c r="EI50" t="e">
        <f>AND(#REF!,"AAAAAFdp+4o=")</f>
        <v>#REF!</v>
      </c>
      <c r="EJ50" t="e">
        <f>AND(#REF!,"AAAAAFdp+4s=")</f>
        <v>#REF!</v>
      </c>
      <c r="EK50" t="e">
        <f>AND(#REF!,"AAAAAFdp+4w=")</f>
        <v>#REF!</v>
      </c>
      <c r="EL50" t="e">
        <f>AND(#REF!,"AAAAAFdp+40=")</f>
        <v>#REF!</v>
      </c>
      <c r="EM50" t="e">
        <f>AND(#REF!,"AAAAAFdp+44=")</f>
        <v>#REF!</v>
      </c>
      <c r="EN50" t="e">
        <f>AND(#REF!,"AAAAAFdp+48=")</f>
        <v>#REF!</v>
      </c>
      <c r="EO50" t="e">
        <f>IF(#REF!,"AAAAAFdp+5A=",0)</f>
        <v>#REF!</v>
      </c>
      <c r="EP50" t="e">
        <f>AND(#REF!,"AAAAAFdp+5E=")</f>
        <v>#REF!</v>
      </c>
      <c r="EQ50" t="e">
        <f>AND(#REF!,"AAAAAFdp+5I=")</f>
        <v>#REF!</v>
      </c>
      <c r="ER50" t="e">
        <f>AND(#REF!,"AAAAAFdp+5M=")</f>
        <v>#REF!</v>
      </c>
      <c r="ES50" t="e">
        <f>AND(#REF!,"AAAAAFdp+5Q=")</f>
        <v>#REF!</v>
      </c>
      <c r="ET50" t="e">
        <f>AND(#REF!,"AAAAAFdp+5U=")</f>
        <v>#REF!</v>
      </c>
      <c r="EU50" t="e">
        <f>AND(#REF!,"AAAAAFdp+5Y=")</f>
        <v>#REF!</v>
      </c>
      <c r="EV50" t="e">
        <f>AND(#REF!,"AAAAAFdp+5c=")</f>
        <v>#REF!</v>
      </c>
      <c r="EW50" t="e">
        <f>AND(#REF!,"AAAAAFdp+5g=")</f>
        <v>#REF!</v>
      </c>
      <c r="EX50" t="e">
        <f>AND(#REF!,"AAAAAFdp+5k=")</f>
        <v>#REF!</v>
      </c>
      <c r="EY50" t="e">
        <f>AND(#REF!,"AAAAAFdp+5o=")</f>
        <v>#REF!</v>
      </c>
      <c r="EZ50" t="e">
        <f>IF(#REF!,"AAAAAFdp+5s=",0)</f>
        <v>#REF!</v>
      </c>
      <c r="FA50" t="e">
        <f>AND(#REF!,"AAAAAFdp+5w=")</f>
        <v>#REF!</v>
      </c>
      <c r="FB50" t="e">
        <f>AND(#REF!,"AAAAAFdp+50=")</f>
        <v>#REF!</v>
      </c>
      <c r="FC50" t="e">
        <f>AND(#REF!,"AAAAAFdp+54=")</f>
        <v>#REF!</v>
      </c>
      <c r="FD50" t="e">
        <f>AND(#REF!,"AAAAAFdp+58=")</f>
        <v>#REF!</v>
      </c>
      <c r="FE50" t="e">
        <f>AND(#REF!,"AAAAAFdp+6A=")</f>
        <v>#REF!</v>
      </c>
      <c r="FF50" t="e">
        <f>AND(#REF!,"AAAAAFdp+6E=")</f>
        <v>#REF!</v>
      </c>
      <c r="FG50" t="e">
        <f>AND(#REF!,"AAAAAFdp+6I=")</f>
        <v>#REF!</v>
      </c>
      <c r="FH50" t="e">
        <f>AND(#REF!,"AAAAAFdp+6M=")</f>
        <v>#REF!</v>
      </c>
      <c r="FI50" t="e">
        <f>AND(#REF!,"AAAAAFdp+6Q=")</f>
        <v>#REF!</v>
      </c>
      <c r="FJ50" t="e">
        <f>AND(#REF!,"AAAAAFdp+6U=")</f>
        <v>#REF!</v>
      </c>
      <c r="FK50" t="e">
        <f>IF(#REF!,"AAAAAFdp+6Y=",0)</f>
        <v>#REF!</v>
      </c>
      <c r="FL50" t="e">
        <f>AND(#REF!,"AAAAAFdp+6c=")</f>
        <v>#REF!</v>
      </c>
      <c r="FM50" t="e">
        <f>AND(#REF!,"AAAAAFdp+6g=")</f>
        <v>#REF!</v>
      </c>
      <c r="FN50" t="e">
        <f>AND(#REF!,"AAAAAFdp+6k=")</f>
        <v>#REF!</v>
      </c>
      <c r="FO50" t="e">
        <f>AND(#REF!,"AAAAAFdp+6o=")</f>
        <v>#REF!</v>
      </c>
      <c r="FP50" t="e">
        <f>AND(#REF!,"AAAAAFdp+6s=")</f>
        <v>#REF!</v>
      </c>
      <c r="FQ50" t="e">
        <f>AND(#REF!,"AAAAAFdp+6w=")</f>
        <v>#REF!</v>
      </c>
      <c r="FR50" t="e">
        <f>AND(#REF!,"AAAAAFdp+60=")</f>
        <v>#REF!</v>
      </c>
      <c r="FS50" t="e">
        <f>AND(#REF!,"AAAAAFdp+64=")</f>
        <v>#REF!</v>
      </c>
      <c r="FT50" t="e">
        <f>AND(#REF!,"AAAAAFdp+68=")</f>
        <v>#REF!</v>
      </c>
      <c r="FU50" t="e">
        <f>AND(#REF!,"AAAAAFdp+7A=")</f>
        <v>#REF!</v>
      </c>
      <c r="FV50" t="e">
        <f>IF(#REF!,"AAAAAFdp+7E=",0)</f>
        <v>#REF!</v>
      </c>
      <c r="FW50" t="e">
        <f>AND(#REF!,"AAAAAFdp+7I=")</f>
        <v>#REF!</v>
      </c>
      <c r="FX50" t="e">
        <f>AND(#REF!,"AAAAAFdp+7M=")</f>
        <v>#REF!</v>
      </c>
      <c r="FY50" t="e">
        <f>AND(#REF!,"AAAAAFdp+7Q=")</f>
        <v>#REF!</v>
      </c>
      <c r="FZ50" t="e">
        <f>AND(#REF!,"AAAAAFdp+7U=")</f>
        <v>#REF!</v>
      </c>
      <c r="GA50" t="e">
        <f>AND(#REF!,"AAAAAFdp+7Y=")</f>
        <v>#REF!</v>
      </c>
      <c r="GB50" t="e">
        <f>AND(#REF!,"AAAAAFdp+7c=")</f>
        <v>#REF!</v>
      </c>
      <c r="GC50" t="e">
        <f>AND(#REF!,"AAAAAFdp+7g=")</f>
        <v>#REF!</v>
      </c>
      <c r="GD50" t="e">
        <f>AND(#REF!,"AAAAAFdp+7k=")</f>
        <v>#REF!</v>
      </c>
      <c r="GE50" t="e">
        <f>AND(#REF!,"AAAAAFdp+7o=")</f>
        <v>#REF!</v>
      </c>
      <c r="GF50" t="e">
        <f>AND(#REF!,"AAAAAFdp+7s=")</f>
        <v>#REF!</v>
      </c>
      <c r="GG50" t="e">
        <f>IF(#REF!,"AAAAAFdp+7w=",0)</f>
        <v>#REF!</v>
      </c>
      <c r="GH50" t="e">
        <f>AND(#REF!,"AAAAAFdp+70=")</f>
        <v>#REF!</v>
      </c>
      <c r="GI50" t="e">
        <f>AND(#REF!,"AAAAAFdp+74=")</f>
        <v>#REF!</v>
      </c>
      <c r="GJ50" t="e">
        <f>AND(#REF!,"AAAAAFdp+78=")</f>
        <v>#REF!</v>
      </c>
      <c r="GK50" t="e">
        <f>AND(#REF!,"AAAAAFdp+8A=")</f>
        <v>#REF!</v>
      </c>
      <c r="GL50" t="e">
        <f>AND(#REF!,"AAAAAFdp+8E=")</f>
        <v>#REF!</v>
      </c>
      <c r="GM50" t="e">
        <f>AND(#REF!,"AAAAAFdp+8I=")</f>
        <v>#REF!</v>
      </c>
      <c r="GN50" t="e">
        <f>AND(#REF!,"AAAAAFdp+8M=")</f>
        <v>#REF!</v>
      </c>
      <c r="GO50" t="e">
        <f>AND(#REF!,"AAAAAFdp+8Q=")</f>
        <v>#REF!</v>
      </c>
      <c r="GP50" t="e">
        <f>AND(#REF!,"AAAAAFdp+8U=")</f>
        <v>#REF!</v>
      </c>
      <c r="GQ50" t="e">
        <f>AND(#REF!,"AAAAAFdp+8Y=")</f>
        <v>#REF!</v>
      </c>
      <c r="GR50" t="e">
        <f>IF(#REF!,"AAAAAFdp+8c=",0)</f>
        <v>#REF!</v>
      </c>
      <c r="GS50" t="e">
        <f>AND(#REF!,"AAAAAFdp+8g=")</f>
        <v>#REF!</v>
      </c>
      <c r="GT50" t="e">
        <f>AND(#REF!,"AAAAAFdp+8k=")</f>
        <v>#REF!</v>
      </c>
      <c r="GU50" t="e">
        <f>AND(#REF!,"AAAAAFdp+8o=")</f>
        <v>#REF!</v>
      </c>
      <c r="GV50" t="e">
        <f>AND(#REF!,"AAAAAFdp+8s=")</f>
        <v>#REF!</v>
      </c>
      <c r="GW50" t="e">
        <f>AND(#REF!,"AAAAAFdp+8w=")</f>
        <v>#REF!</v>
      </c>
      <c r="GX50" t="e">
        <f>AND(#REF!,"AAAAAFdp+80=")</f>
        <v>#REF!</v>
      </c>
      <c r="GY50" t="e">
        <f>AND(#REF!,"AAAAAFdp+84=")</f>
        <v>#REF!</v>
      </c>
      <c r="GZ50" t="e">
        <f>AND(#REF!,"AAAAAFdp+88=")</f>
        <v>#REF!</v>
      </c>
      <c r="HA50" t="e">
        <f>AND(#REF!,"AAAAAFdp+9A=")</f>
        <v>#REF!</v>
      </c>
      <c r="HB50" t="e">
        <f>AND(#REF!,"AAAAAFdp+9E=")</f>
        <v>#REF!</v>
      </c>
      <c r="HC50" t="e">
        <f>IF(#REF!,"AAAAAFdp+9I=",0)</f>
        <v>#REF!</v>
      </c>
      <c r="HD50" t="e">
        <f>AND(#REF!,"AAAAAFdp+9M=")</f>
        <v>#REF!</v>
      </c>
      <c r="HE50" t="e">
        <f>AND(#REF!,"AAAAAFdp+9Q=")</f>
        <v>#REF!</v>
      </c>
      <c r="HF50" t="e">
        <f>AND(#REF!,"AAAAAFdp+9U=")</f>
        <v>#REF!</v>
      </c>
      <c r="HG50" t="e">
        <f>AND(#REF!,"AAAAAFdp+9Y=")</f>
        <v>#REF!</v>
      </c>
      <c r="HH50" t="e">
        <f>AND(#REF!,"AAAAAFdp+9c=")</f>
        <v>#REF!</v>
      </c>
      <c r="HI50" t="e">
        <f>AND(#REF!,"AAAAAFdp+9g=")</f>
        <v>#REF!</v>
      </c>
      <c r="HJ50" t="e">
        <f>AND(#REF!,"AAAAAFdp+9k=")</f>
        <v>#REF!</v>
      </c>
      <c r="HK50" t="e">
        <f>AND(#REF!,"AAAAAFdp+9o=")</f>
        <v>#REF!</v>
      </c>
      <c r="HL50" t="e">
        <f>AND(#REF!,"AAAAAFdp+9s=")</f>
        <v>#REF!</v>
      </c>
      <c r="HM50" t="e">
        <f>AND(#REF!,"AAAAAFdp+9w=")</f>
        <v>#REF!</v>
      </c>
      <c r="HN50" t="e">
        <f>IF(#REF!,"AAAAAFdp+90=",0)</f>
        <v>#REF!</v>
      </c>
      <c r="HO50" t="e">
        <f>AND(#REF!,"AAAAAFdp+94=")</f>
        <v>#REF!</v>
      </c>
      <c r="HP50" t="e">
        <f>AND(#REF!,"AAAAAFdp+98=")</f>
        <v>#REF!</v>
      </c>
      <c r="HQ50" t="e">
        <f>AND(#REF!,"AAAAAFdp++A=")</f>
        <v>#REF!</v>
      </c>
      <c r="HR50" t="e">
        <f>AND(#REF!,"AAAAAFdp++E=")</f>
        <v>#REF!</v>
      </c>
      <c r="HS50" t="e">
        <f>AND(#REF!,"AAAAAFdp++I=")</f>
        <v>#REF!</v>
      </c>
      <c r="HT50" t="e">
        <f>AND(#REF!,"AAAAAFdp++M=")</f>
        <v>#REF!</v>
      </c>
      <c r="HU50" t="e">
        <f>AND(#REF!,"AAAAAFdp++Q=")</f>
        <v>#REF!</v>
      </c>
      <c r="HV50" t="e">
        <f>AND(#REF!,"AAAAAFdp++U=")</f>
        <v>#REF!</v>
      </c>
      <c r="HW50" t="e">
        <f>AND(#REF!,"AAAAAFdp++Y=")</f>
        <v>#REF!</v>
      </c>
      <c r="HX50" t="e">
        <f>AND(#REF!,"AAAAAFdp++c=")</f>
        <v>#REF!</v>
      </c>
      <c r="HY50" t="e">
        <f>IF(#REF!,"AAAAAFdp++g=",0)</f>
        <v>#REF!</v>
      </c>
      <c r="HZ50" t="e">
        <f>AND(#REF!,"AAAAAFdp++k=")</f>
        <v>#REF!</v>
      </c>
      <c r="IA50" t="e">
        <f>AND(#REF!,"AAAAAFdp++o=")</f>
        <v>#REF!</v>
      </c>
      <c r="IB50" t="e">
        <f>AND(#REF!,"AAAAAFdp++s=")</f>
        <v>#REF!</v>
      </c>
      <c r="IC50" t="e">
        <f>AND(#REF!,"AAAAAFdp++w=")</f>
        <v>#REF!</v>
      </c>
      <c r="ID50" t="e">
        <f>AND(#REF!,"AAAAAFdp++0=")</f>
        <v>#REF!</v>
      </c>
      <c r="IE50" t="e">
        <f>AND(#REF!,"AAAAAFdp++4=")</f>
        <v>#REF!</v>
      </c>
      <c r="IF50" t="e">
        <f>AND(#REF!,"AAAAAFdp++8=")</f>
        <v>#REF!</v>
      </c>
      <c r="IG50" t="e">
        <f>AND(#REF!,"AAAAAFdp+/A=")</f>
        <v>#REF!</v>
      </c>
      <c r="IH50" t="e">
        <f>AND(#REF!,"AAAAAFdp+/E=")</f>
        <v>#REF!</v>
      </c>
      <c r="II50" t="e">
        <f>AND(#REF!,"AAAAAFdp+/I=")</f>
        <v>#REF!</v>
      </c>
      <c r="IJ50" t="e">
        <f>IF(#REF!,"AAAAAFdp+/M=",0)</f>
        <v>#REF!</v>
      </c>
      <c r="IK50" t="e">
        <f>AND(#REF!,"AAAAAFdp+/Q=")</f>
        <v>#REF!</v>
      </c>
      <c r="IL50" t="e">
        <f>AND(#REF!,"AAAAAFdp+/U=")</f>
        <v>#REF!</v>
      </c>
      <c r="IM50" t="e">
        <f>AND(#REF!,"AAAAAFdp+/Y=")</f>
        <v>#REF!</v>
      </c>
      <c r="IN50" t="e">
        <f>AND(#REF!,"AAAAAFdp+/c=")</f>
        <v>#REF!</v>
      </c>
      <c r="IO50" t="e">
        <f>AND(#REF!,"AAAAAFdp+/g=")</f>
        <v>#REF!</v>
      </c>
      <c r="IP50" t="e">
        <f>AND(#REF!,"AAAAAFdp+/k=")</f>
        <v>#REF!</v>
      </c>
      <c r="IQ50" t="e">
        <f>AND(#REF!,"AAAAAFdp+/o=")</f>
        <v>#REF!</v>
      </c>
      <c r="IR50" t="e">
        <f>AND(#REF!,"AAAAAFdp+/s=")</f>
        <v>#REF!</v>
      </c>
      <c r="IS50" t="e">
        <f>AND(#REF!,"AAAAAFdp+/w=")</f>
        <v>#REF!</v>
      </c>
      <c r="IT50" t="e">
        <f>AND(#REF!,"AAAAAFdp+/0=")</f>
        <v>#REF!</v>
      </c>
      <c r="IU50" t="e">
        <f>IF(#REF!,"AAAAAFdp+/4=",0)</f>
        <v>#REF!</v>
      </c>
      <c r="IV50" t="e">
        <f>AND(#REF!,"AAAAAFdp+/8=")</f>
        <v>#REF!</v>
      </c>
    </row>
    <row r="51" spans="1:256" x14ac:dyDescent="0.25">
      <c r="A51" t="e">
        <f>AND(#REF!,"AAAAABZ3twA=")</f>
        <v>#REF!</v>
      </c>
      <c r="B51" t="e">
        <f>AND(#REF!,"AAAAABZ3twE=")</f>
        <v>#REF!</v>
      </c>
      <c r="C51" t="e">
        <f>AND(#REF!,"AAAAABZ3twI=")</f>
        <v>#REF!</v>
      </c>
      <c r="D51" t="e">
        <f>AND(#REF!,"AAAAABZ3twM=")</f>
        <v>#REF!</v>
      </c>
      <c r="E51" t="e">
        <f>AND(#REF!,"AAAAABZ3twQ=")</f>
        <v>#REF!</v>
      </c>
      <c r="F51" t="e">
        <f>AND(#REF!,"AAAAABZ3twU=")</f>
        <v>#REF!</v>
      </c>
      <c r="G51" t="e">
        <f>AND(#REF!,"AAAAABZ3twY=")</f>
        <v>#REF!</v>
      </c>
      <c r="H51" t="e">
        <f>AND(#REF!,"AAAAABZ3twc=")</f>
        <v>#REF!</v>
      </c>
      <c r="I51" t="e">
        <f>AND(#REF!,"AAAAABZ3twg=")</f>
        <v>#REF!</v>
      </c>
      <c r="J51" t="e">
        <f>IF(#REF!,"AAAAABZ3twk=",0)</f>
        <v>#REF!</v>
      </c>
      <c r="K51" t="e">
        <f>AND(#REF!,"AAAAABZ3two=")</f>
        <v>#REF!</v>
      </c>
      <c r="L51" t="e">
        <f>AND(#REF!,"AAAAABZ3tws=")</f>
        <v>#REF!</v>
      </c>
      <c r="M51" t="e">
        <f>AND(#REF!,"AAAAABZ3tww=")</f>
        <v>#REF!</v>
      </c>
      <c r="N51" t="e">
        <f>AND(#REF!,"AAAAABZ3tw0=")</f>
        <v>#REF!</v>
      </c>
      <c r="O51" t="e">
        <f>AND(#REF!,"AAAAABZ3tw4=")</f>
        <v>#REF!</v>
      </c>
      <c r="P51" t="e">
        <f>AND(#REF!,"AAAAABZ3tw8=")</f>
        <v>#REF!</v>
      </c>
      <c r="Q51" t="e">
        <f>AND(#REF!,"AAAAABZ3txA=")</f>
        <v>#REF!</v>
      </c>
      <c r="R51" t="e">
        <f>AND(#REF!,"AAAAABZ3txE=")</f>
        <v>#REF!</v>
      </c>
      <c r="S51" t="e">
        <f>AND(#REF!,"AAAAABZ3txI=")</f>
        <v>#REF!</v>
      </c>
      <c r="T51" t="e">
        <f>AND(#REF!,"AAAAABZ3txM=")</f>
        <v>#REF!</v>
      </c>
      <c r="U51" t="e">
        <f>IF(#REF!,"AAAAABZ3txQ=",0)</f>
        <v>#REF!</v>
      </c>
      <c r="V51" t="e">
        <f>AND(#REF!,"AAAAABZ3txU=")</f>
        <v>#REF!</v>
      </c>
      <c r="W51" t="e">
        <f>AND(#REF!,"AAAAABZ3txY=")</f>
        <v>#REF!</v>
      </c>
      <c r="X51" t="e">
        <f>AND(#REF!,"AAAAABZ3txc=")</f>
        <v>#REF!</v>
      </c>
      <c r="Y51" t="e">
        <f>AND(#REF!,"AAAAABZ3txg=")</f>
        <v>#REF!</v>
      </c>
      <c r="Z51" t="e">
        <f>AND(#REF!,"AAAAABZ3txk=")</f>
        <v>#REF!</v>
      </c>
      <c r="AA51" t="e">
        <f>AND(#REF!,"AAAAABZ3txo=")</f>
        <v>#REF!</v>
      </c>
      <c r="AB51" t="e">
        <f>AND(#REF!,"AAAAABZ3txs=")</f>
        <v>#REF!</v>
      </c>
      <c r="AC51" t="e">
        <f>AND(#REF!,"AAAAABZ3txw=")</f>
        <v>#REF!</v>
      </c>
      <c r="AD51" t="e">
        <f>AND(#REF!,"AAAAABZ3tx0=")</f>
        <v>#REF!</v>
      </c>
      <c r="AE51" t="e">
        <f>AND(#REF!,"AAAAABZ3tx4=")</f>
        <v>#REF!</v>
      </c>
      <c r="AF51" t="e">
        <f>IF(#REF!,"AAAAABZ3tx8=",0)</f>
        <v>#REF!</v>
      </c>
      <c r="AG51" t="e">
        <f>AND(#REF!,"AAAAABZ3tyA=")</f>
        <v>#REF!</v>
      </c>
      <c r="AH51" t="e">
        <f>AND(#REF!,"AAAAABZ3tyE=")</f>
        <v>#REF!</v>
      </c>
      <c r="AI51" t="e">
        <f>AND(#REF!,"AAAAABZ3tyI=")</f>
        <v>#REF!</v>
      </c>
      <c r="AJ51" t="e">
        <f>AND(#REF!,"AAAAABZ3tyM=")</f>
        <v>#REF!</v>
      </c>
      <c r="AK51" t="e">
        <f>AND(#REF!,"AAAAABZ3tyQ=")</f>
        <v>#REF!</v>
      </c>
      <c r="AL51" t="e">
        <f>AND(#REF!,"AAAAABZ3tyU=")</f>
        <v>#REF!</v>
      </c>
      <c r="AM51" t="e">
        <f>AND(#REF!,"AAAAABZ3tyY=")</f>
        <v>#REF!</v>
      </c>
      <c r="AN51" t="e">
        <f>AND(#REF!,"AAAAABZ3tyc=")</f>
        <v>#REF!</v>
      </c>
      <c r="AO51" t="e">
        <f>AND(#REF!,"AAAAABZ3tyg=")</f>
        <v>#REF!</v>
      </c>
      <c r="AP51" t="e">
        <f>AND(#REF!,"AAAAABZ3tyk=")</f>
        <v>#REF!</v>
      </c>
      <c r="AQ51" t="e">
        <f>IF(#REF!,"AAAAABZ3tyo=",0)</f>
        <v>#REF!</v>
      </c>
      <c r="AR51" t="e">
        <f>AND(#REF!,"AAAAABZ3tys=")</f>
        <v>#REF!</v>
      </c>
      <c r="AS51" t="e">
        <f>AND(#REF!,"AAAAABZ3tyw=")</f>
        <v>#REF!</v>
      </c>
      <c r="AT51" t="e">
        <f>AND(#REF!,"AAAAABZ3ty0=")</f>
        <v>#REF!</v>
      </c>
      <c r="AU51" t="e">
        <f>AND(#REF!,"AAAAABZ3ty4=")</f>
        <v>#REF!</v>
      </c>
      <c r="AV51" t="e">
        <f>AND(#REF!,"AAAAABZ3ty8=")</f>
        <v>#REF!</v>
      </c>
      <c r="AW51" t="e">
        <f>AND(#REF!,"AAAAABZ3tzA=")</f>
        <v>#REF!</v>
      </c>
      <c r="AX51" t="e">
        <f>AND(#REF!,"AAAAABZ3tzE=")</f>
        <v>#REF!</v>
      </c>
      <c r="AY51" t="e">
        <f>AND(#REF!,"AAAAABZ3tzI=")</f>
        <v>#REF!</v>
      </c>
      <c r="AZ51" t="e">
        <f>AND(#REF!,"AAAAABZ3tzM=")</f>
        <v>#REF!</v>
      </c>
      <c r="BA51" t="e">
        <f>AND(#REF!,"AAAAABZ3tzQ=")</f>
        <v>#REF!</v>
      </c>
      <c r="BB51" t="e">
        <f>IF(#REF!,"AAAAABZ3tzU=",0)</f>
        <v>#REF!</v>
      </c>
      <c r="BC51" t="e">
        <f>AND(#REF!,"AAAAABZ3tzY=")</f>
        <v>#REF!</v>
      </c>
      <c r="BD51" t="e">
        <f>AND(#REF!,"AAAAABZ3tzc=")</f>
        <v>#REF!</v>
      </c>
      <c r="BE51" t="e">
        <f>AND(#REF!,"AAAAABZ3tzg=")</f>
        <v>#REF!</v>
      </c>
      <c r="BF51" t="e">
        <f>AND(#REF!,"AAAAABZ3tzk=")</f>
        <v>#REF!</v>
      </c>
      <c r="BG51" t="e">
        <f>AND(#REF!,"AAAAABZ3tzo=")</f>
        <v>#REF!</v>
      </c>
      <c r="BH51" t="e">
        <f>AND(#REF!,"AAAAABZ3tzs=")</f>
        <v>#REF!</v>
      </c>
      <c r="BI51" t="e">
        <f>AND(#REF!,"AAAAABZ3tzw=")</f>
        <v>#REF!</v>
      </c>
      <c r="BJ51" t="e">
        <f>AND(#REF!,"AAAAABZ3tz0=")</f>
        <v>#REF!</v>
      </c>
      <c r="BK51" t="e">
        <f>AND(#REF!,"AAAAABZ3tz4=")</f>
        <v>#REF!</v>
      </c>
      <c r="BL51" t="e">
        <f>AND(#REF!,"AAAAABZ3tz8=")</f>
        <v>#REF!</v>
      </c>
      <c r="BM51" t="e">
        <f>IF(#REF!,"AAAAABZ3t0A=",0)</f>
        <v>#REF!</v>
      </c>
      <c r="BN51" t="e">
        <f>AND(#REF!,"AAAAABZ3t0E=")</f>
        <v>#REF!</v>
      </c>
      <c r="BO51" t="e">
        <f>AND(#REF!,"AAAAABZ3t0I=")</f>
        <v>#REF!</v>
      </c>
      <c r="BP51" t="e">
        <f>AND(#REF!,"AAAAABZ3t0M=")</f>
        <v>#REF!</v>
      </c>
      <c r="BQ51" t="e">
        <f>AND(#REF!,"AAAAABZ3t0Q=")</f>
        <v>#REF!</v>
      </c>
      <c r="BR51" t="e">
        <f>AND(#REF!,"AAAAABZ3t0U=")</f>
        <v>#REF!</v>
      </c>
      <c r="BS51" t="e">
        <f>AND(#REF!,"AAAAABZ3t0Y=")</f>
        <v>#REF!</v>
      </c>
      <c r="BT51" t="e">
        <f>AND(#REF!,"AAAAABZ3t0c=")</f>
        <v>#REF!</v>
      </c>
      <c r="BU51" t="e">
        <f>AND(#REF!,"AAAAABZ3t0g=")</f>
        <v>#REF!</v>
      </c>
      <c r="BV51" t="e">
        <f>AND(#REF!,"AAAAABZ3t0k=")</f>
        <v>#REF!</v>
      </c>
      <c r="BW51" t="e">
        <f>AND(#REF!,"AAAAABZ3t0o=")</f>
        <v>#REF!</v>
      </c>
      <c r="BX51" t="e">
        <f>IF(#REF!,"AAAAABZ3t0s=",0)</f>
        <v>#REF!</v>
      </c>
      <c r="BY51" t="e">
        <f>AND(#REF!,"AAAAABZ3t0w=")</f>
        <v>#REF!</v>
      </c>
      <c r="BZ51" t="e">
        <f>AND(#REF!,"AAAAABZ3t00=")</f>
        <v>#REF!</v>
      </c>
      <c r="CA51" t="e">
        <f>AND(#REF!,"AAAAABZ3t04=")</f>
        <v>#REF!</v>
      </c>
      <c r="CB51" t="e">
        <f>AND(#REF!,"AAAAABZ3t08=")</f>
        <v>#REF!</v>
      </c>
      <c r="CC51" t="e">
        <f>AND(#REF!,"AAAAABZ3t1A=")</f>
        <v>#REF!</v>
      </c>
      <c r="CD51" t="e">
        <f>AND(#REF!,"AAAAABZ3t1E=")</f>
        <v>#REF!</v>
      </c>
      <c r="CE51" t="e">
        <f>AND(#REF!,"AAAAABZ3t1I=")</f>
        <v>#REF!</v>
      </c>
      <c r="CF51" t="e">
        <f>AND(#REF!,"AAAAABZ3t1M=")</f>
        <v>#REF!</v>
      </c>
      <c r="CG51" t="e">
        <f>AND(#REF!,"AAAAABZ3t1Q=")</f>
        <v>#REF!</v>
      </c>
      <c r="CH51" t="e">
        <f>AND(#REF!,"AAAAABZ3t1U=")</f>
        <v>#REF!</v>
      </c>
      <c r="CI51" t="e">
        <f>IF(#REF!,"AAAAABZ3t1Y=",0)</f>
        <v>#REF!</v>
      </c>
      <c r="CJ51" t="e">
        <f>AND(#REF!,"AAAAABZ3t1c=")</f>
        <v>#REF!</v>
      </c>
      <c r="CK51" t="e">
        <f>AND(#REF!,"AAAAABZ3t1g=")</f>
        <v>#REF!</v>
      </c>
      <c r="CL51" t="e">
        <f>AND(#REF!,"AAAAABZ3t1k=")</f>
        <v>#REF!</v>
      </c>
      <c r="CM51" t="e">
        <f>AND(#REF!,"AAAAABZ3t1o=")</f>
        <v>#REF!</v>
      </c>
      <c r="CN51" t="e">
        <f>AND(#REF!,"AAAAABZ3t1s=")</f>
        <v>#REF!</v>
      </c>
      <c r="CO51" t="e">
        <f>AND(#REF!,"AAAAABZ3t1w=")</f>
        <v>#REF!</v>
      </c>
      <c r="CP51" t="e">
        <f>AND(#REF!,"AAAAABZ3t10=")</f>
        <v>#REF!</v>
      </c>
      <c r="CQ51" t="e">
        <f>AND(#REF!,"AAAAABZ3t14=")</f>
        <v>#REF!</v>
      </c>
      <c r="CR51" t="e">
        <f>AND(#REF!,"AAAAABZ3t18=")</f>
        <v>#REF!</v>
      </c>
      <c r="CS51" t="e">
        <f>AND(#REF!,"AAAAABZ3t2A=")</f>
        <v>#REF!</v>
      </c>
      <c r="CT51" t="e">
        <f>IF(#REF!,"AAAAABZ3t2E=",0)</f>
        <v>#REF!</v>
      </c>
      <c r="CU51" t="e">
        <f>AND(#REF!,"AAAAABZ3t2I=")</f>
        <v>#REF!</v>
      </c>
      <c r="CV51" t="e">
        <f>AND(#REF!,"AAAAABZ3t2M=")</f>
        <v>#REF!</v>
      </c>
      <c r="CW51" t="e">
        <f>AND(#REF!,"AAAAABZ3t2Q=")</f>
        <v>#REF!</v>
      </c>
      <c r="CX51" t="e">
        <f>AND(#REF!,"AAAAABZ3t2U=")</f>
        <v>#REF!</v>
      </c>
      <c r="CY51" t="e">
        <f>AND(#REF!,"AAAAABZ3t2Y=")</f>
        <v>#REF!</v>
      </c>
      <c r="CZ51" t="e">
        <f>AND(#REF!,"AAAAABZ3t2c=")</f>
        <v>#REF!</v>
      </c>
      <c r="DA51" t="e">
        <f>AND(#REF!,"AAAAABZ3t2g=")</f>
        <v>#REF!</v>
      </c>
      <c r="DB51" t="e">
        <f>AND(#REF!,"AAAAABZ3t2k=")</f>
        <v>#REF!</v>
      </c>
      <c r="DC51" t="e">
        <f>AND(#REF!,"AAAAABZ3t2o=")</f>
        <v>#REF!</v>
      </c>
      <c r="DD51" t="e">
        <f>AND(#REF!,"AAAAABZ3t2s=")</f>
        <v>#REF!</v>
      </c>
      <c r="DE51" t="e">
        <f>IF(#REF!,"AAAAABZ3t2w=",0)</f>
        <v>#REF!</v>
      </c>
      <c r="DF51" t="e">
        <f>AND(#REF!,"AAAAABZ3t20=")</f>
        <v>#REF!</v>
      </c>
      <c r="DG51" t="e">
        <f>AND(#REF!,"AAAAABZ3t24=")</f>
        <v>#REF!</v>
      </c>
      <c r="DH51" t="e">
        <f>AND(#REF!,"AAAAABZ3t28=")</f>
        <v>#REF!</v>
      </c>
      <c r="DI51" t="e">
        <f>AND(#REF!,"AAAAABZ3t3A=")</f>
        <v>#REF!</v>
      </c>
      <c r="DJ51" t="e">
        <f>AND(#REF!,"AAAAABZ3t3E=")</f>
        <v>#REF!</v>
      </c>
      <c r="DK51" t="e">
        <f>AND(#REF!,"AAAAABZ3t3I=")</f>
        <v>#REF!</v>
      </c>
      <c r="DL51" t="e">
        <f>AND(#REF!,"AAAAABZ3t3M=")</f>
        <v>#REF!</v>
      </c>
      <c r="DM51" t="e">
        <f>AND(#REF!,"AAAAABZ3t3Q=")</f>
        <v>#REF!</v>
      </c>
      <c r="DN51" t="e">
        <f>AND(#REF!,"AAAAABZ3t3U=")</f>
        <v>#REF!</v>
      </c>
      <c r="DO51" t="e">
        <f>AND(#REF!,"AAAAABZ3t3Y=")</f>
        <v>#REF!</v>
      </c>
      <c r="DP51" t="e">
        <f>IF(#REF!,"AAAAABZ3t3c=",0)</f>
        <v>#REF!</v>
      </c>
      <c r="DQ51" t="e">
        <f>AND(#REF!,"AAAAABZ3t3g=")</f>
        <v>#REF!</v>
      </c>
      <c r="DR51" t="e">
        <f>AND(#REF!,"AAAAABZ3t3k=")</f>
        <v>#REF!</v>
      </c>
      <c r="DS51" t="e">
        <f>AND(#REF!,"AAAAABZ3t3o=")</f>
        <v>#REF!</v>
      </c>
      <c r="DT51" t="e">
        <f>AND(#REF!,"AAAAABZ3t3s=")</f>
        <v>#REF!</v>
      </c>
      <c r="DU51" t="e">
        <f>AND(#REF!,"AAAAABZ3t3w=")</f>
        <v>#REF!</v>
      </c>
      <c r="DV51" t="e">
        <f>AND(#REF!,"AAAAABZ3t30=")</f>
        <v>#REF!</v>
      </c>
      <c r="DW51" t="e">
        <f>AND(#REF!,"AAAAABZ3t34=")</f>
        <v>#REF!</v>
      </c>
      <c r="DX51" t="e">
        <f>AND(#REF!,"AAAAABZ3t38=")</f>
        <v>#REF!</v>
      </c>
      <c r="DY51" t="e">
        <f>AND(#REF!,"AAAAABZ3t4A=")</f>
        <v>#REF!</v>
      </c>
      <c r="DZ51" t="e">
        <f>AND(#REF!,"AAAAABZ3t4E=")</f>
        <v>#REF!</v>
      </c>
      <c r="EA51" t="e">
        <f>IF(#REF!,"AAAAABZ3t4I=",0)</f>
        <v>#REF!</v>
      </c>
      <c r="EB51" t="e">
        <f>AND(#REF!,"AAAAABZ3t4M=")</f>
        <v>#REF!</v>
      </c>
      <c r="EC51" t="e">
        <f>AND(#REF!,"AAAAABZ3t4Q=")</f>
        <v>#REF!</v>
      </c>
      <c r="ED51" t="e">
        <f>AND(#REF!,"AAAAABZ3t4U=")</f>
        <v>#REF!</v>
      </c>
      <c r="EE51" t="e">
        <f>AND(#REF!,"AAAAABZ3t4Y=")</f>
        <v>#REF!</v>
      </c>
      <c r="EF51" t="e">
        <f>AND(#REF!,"AAAAABZ3t4c=")</f>
        <v>#REF!</v>
      </c>
      <c r="EG51" t="e">
        <f>AND(#REF!,"AAAAABZ3t4g=")</f>
        <v>#REF!</v>
      </c>
      <c r="EH51" t="e">
        <f>AND(#REF!,"AAAAABZ3t4k=")</f>
        <v>#REF!</v>
      </c>
      <c r="EI51" t="e">
        <f>AND(#REF!,"AAAAABZ3t4o=")</f>
        <v>#REF!</v>
      </c>
      <c r="EJ51" t="e">
        <f>AND(#REF!,"AAAAABZ3t4s=")</f>
        <v>#REF!</v>
      </c>
      <c r="EK51" t="e">
        <f>AND(#REF!,"AAAAABZ3t4w=")</f>
        <v>#REF!</v>
      </c>
      <c r="EL51" t="e">
        <f>IF(#REF!,"AAAAABZ3t40=",0)</f>
        <v>#REF!</v>
      </c>
      <c r="EM51" t="e">
        <f>AND(#REF!,"AAAAABZ3t44=")</f>
        <v>#REF!</v>
      </c>
      <c r="EN51" t="e">
        <f>AND(#REF!,"AAAAABZ3t48=")</f>
        <v>#REF!</v>
      </c>
      <c r="EO51" t="e">
        <f>AND(#REF!,"AAAAABZ3t5A=")</f>
        <v>#REF!</v>
      </c>
      <c r="EP51" t="e">
        <f>AND(#REF!,"AAAAABZ3t5E=")</f>
        <v>#REF!</v>
      </c>
      <c r="EQ51" t="e">
        <f>AND(#REF!,"AAAAABZ3t5I=")</f>
        <v>#REF!</v>
      </c>
      <c r="ER51" t="e">
        <f>AND(#REF!,"AAAAABZ3t5M=")</f>
        <v>#REF!</v>
      </c>
      <c r="ES51" t="e">
        <f>AND(#REF!,"AAAAABZ3t5Q=")</f>
        <v>#REF!</v>
      </c>
      <c r="ET51" t="e">
        <f>AND(#REF!,"AAAAABZ3t5U=")</f>
        <v>#REF!</v>
      </c>
      <c r="EU51" t="e">
        <f>AND(#REF!,"AAAAABZ3t5Y=")</f>
        <v>#REF!</v>
      </c>
      <c r="EV51" t="e">
        <f>AND(#REF!,"AAAAABZ3t5c=")</f>
        <v>#REF!</v>
      </c>
      <c r="EW51" t="e">
        <f>IF(#REF!,"AAAAABZ3t5g=",0)</f>
        <v>#REF!</v>
      </c>
      <c r="EX51" t="e">
        <f>AND(#REF!,"AAAAABZ3t5k=")</f>
        <v>#REF!</v>
      </c>
      <c r="EY51" t="e">
        <f>AND(#REF!,"AAAAABZ3t5o=")</f>
        <v>#REF!</v>
      </c>
      <c r="EZ51" t="e">
        <f>AND(#REF!,"AAAAABZ3t5s=")</f>
        <v>#REF!</v>
      </c>
      <c r="FA51" t="e">
        <f>AND(#REF!,"AAAAABZ3t5w=")</f>
        <v>#REF!</v>
      </c>
      <c r="FB51" t="e">
        <f>AND(#REF!,"AAAAABZ3t50=")</f>
        <v>#REF!</v>
      </c>
      <c r="FC51" t="e">
        <f>AND(#REF!,"AAAAABZ3t54=")</f>
        <v>#REF!</v>
      </c>
      <c r="FD51" t="e">
        <f>AND(#REF!,"AAAAABZ3t58=")</f>
        <v>#REF!</v>
      </c>
      <c r="FE51" t="e">
        <f>AND(#REF!,"AAAAABZ3t6A=")</f>
        <v>#REF!</v>
      </c>
      <c r="FF51" t="e">
        <f>AND(#REF!,"AAAAABZ3t6E=")</f>
        <v>#REF!</v>
      </c>
      <c r="FG51" t="e">
        <f>AND(#REF!,"AAAAABZ3t6I=")</f>
        <v>#REF!</v>
      </c>
      <c r="FH51" t="e">
        <f>IF(#REF!,"AAAAABZ3t6M=",0)</f>
        <v>#REF!</v>
      </c>
      <c r="FI51" t="e">
        <f>AND(#REF!,"AAAAABZ3t6Q=")</f>
        <v>#REF!</v>
      </c>
      <c r="FJ51" t="e">
        <f>AND(#REF!,"AAAAABZ3t6U=")</f>
        <v>#REF!</v>
      </c>
      <c r="FK51" t="e">
        <f>AND(#REF!,"AAAAABZ3t6Y=")</f>
        <v>#REF!</v>
      </c>
      <c r="FL51" t="e">
        <f>AND(#REF!,"AAAAABZ3t6c=")</f>
        <v>#REF!</v>
      </c>
      <c r="FM51" t="e">
        <f>AND(#REF!,"AAAAABZ3t6g=")</f>
        <v>#REF!</v>
      </c>
      <c r="FN51" t="e">
        <f>AND(#REF!,"AAAAABZ3t6k=")</f>
        <v>#REF!</v>
      </c>
      <c r="FO51" t="e">
        <f>AND(#REF!,"AAAAABZ3t6o=")</f>
        <v>#REF!</v>
      </c>
      <c r="FP51" t="e">
        <f>AND(#REF!,"AAAAABZ3t6s=")</f>
        <v>#REF!</v>
      </c>
      <c r="FQ51" t="e">
        <f>AND(#REF!,"AAAAABZ3t6w=")</f>
        <v>#REF!</v>
      </c>
      <c r="FR51" t="e">
        <f>AND(#REF!,"AAAAABZ3t60=")</f>
        <v>#REF!</v>
      </c>
      <c r="FS51" t="e">
        <f>IF(#REF!,"AAAAABZ3t64=",0)</f>
        <v>#REF!</v>
      </c>
      <c r="FT51" t="e">
        <f>AND(#REF!,"AAAAABZ3t68=")</f>
        <v>#REF!</v>
      </c>
      <c r="FU51" t="e">
        <f>AND(#REF!,"AAAAABZ3t7A=")</f>
        <v>#REF!</v>
      </c>
      <c r="FV51" t="e">
        <f>AND(#REF!,"AAAAABZ3t7E=")</f>
        <v>#REF!</v>
      </c>
      <c r="FW51" t="e">
        <f>AND(#REF!,"AAAAABZ3t7I=")</f>
        <v>#REF!</v>
      </c>
      <c r="FX51" t="e">
        <f>AND(#REF!,"AAAAABZ3t7M=")</f>
        <v>#REF!</v>
      </c>
      <c r="FY51" t="e">
        <f>AND(#REF!,"AAAAABZ3t7Q=")</f>
        <v>#REF!</v>
      </c>
      <c r="FZ51" t="e">
        <f>AND(#REF!,"AAAAABZ3t7U=")</f>
        <v>#REF!</v>
      </c>
      <c r="GA51" t="e">
        <f>AND(#REF!,"AAAAABZ3t7Y=")</f>
        <v>#REF!</v>
      </c>
      <c r="GB51" t="e">
        <f>AND(#REF!,"AAAAABZ3t7c=")</f>
        <v>#REF!</v>
      </c>
      <c r="GC51" t="e">
        <f>AND(#REF!,"AAAAABZ3t7g=")</f>
        <v>#REF!</v>
      </c>
      <c r="GD51" t="e">
        <f>IF(#REF!,"AAAAABZ3t7k=",0)</f>
        <v>#REF!</v>
      </c>
      <c r="GE51" t="e">
        <f>AND(#REF!,"AAAAABZ3t7o=")</f>
        <v>#REF!</v>
      </c>
      <c r="GF51" t="e">
        <f>AND(#REF!,"AAAAABZ3t7s=")</f>
        <v>#REF!</v>
      </c>
      <c r="GG51" t="e">
        <f>AND(#REF!,"AAAAABZ3t7w=")</f>
        <v>#REF!</v>
      </c>
      <c r="GH51" t="e">
        <f>AND(#REF!,"AAAAABZ3t70=")</f>
        <v>#REF!</v>
      </c>
      <c r="GI51" t="e">
        <f>AND(#REF!,"AAAAABZ3t74=")</f>
        <v>#REF!</v>
      </c>
      <c r="GJ51" t="e">
        <f>AND(#REF!,"AAAAABZ3t78=")</f>
        <v>#REF!</v>
      </c>
      <c r="GK51" t="e">
        <f>AND(#REF!,"AAAAABZ3t8A=")</f>
        <v>#REF!</v>
      </c>
      <c r="GL51" t="e">
        <f>AND(#REF!,"AAAAABZ3t8E=")</f>
        <v>#REF!</v>
      </c>
      <c r="GM51" t="e">
        <f>AND(#REF!,"AAAAABZ3t8I=")</f>
        <v>#REF!</v>
      </c>
      <c r="GN51" t="e">
        <f>AND(#REF!,"AAAAABZ3t8M=")</f>
        <v>#REF!</v>
      </c>
      <c r="GO51" t="e">
        <f>IF(#REF!,"AAAAABZ3t8Q=",0)</f>
        <v>#REF!</v>
      </c>
      <c r="GP51" t="e">
        <f>AND(#REF!,"AAAAABZ3t8U=")</f>
        <v>#REF!</v>
      </c>
      <c r="GQ51" t="e">
        <f>AND(#REF!,"AAAAABZ3t8Y=")</f>
        <v>#REF!</v>
      </c>
      <c r="GR51" t="e">
        <f>AND(#REF!,"AAAAABZ3t8c=")</f>
        <v>#REF!</v>
      </c>
      <c r="GS51" t="e">
        <f>AND(#REF!,"AAAAABZ3t8g=")</f>
        <v>#REF!</v>
      </c>
      <c r="GT51" t="e">
        <f>AND(#REF!,"AAAAABZ3t8k=")</f>
        <v>#REF!</v>
      </c>
      <c r="GU51" t="e">
        <f>AND(#REF!,"AAAAABZ3t8o=")</f>
        <v>#REF!</v>
      </c>
      <c r="GV51" t="e">
        <f>AND(#REF!,"AAAAABZ3t8s=")</f>
        <v>#REF!</v>
      </c>
      <c r="GW51" t="e">
        <f>AND(#REF!,"AAAAABZ3t8w=")</f>
        <v>#REF!</v>
      </c>
      <c r="GX51" t="e">
        <f>AND(#REF!,"AAAAABZ3t80=")</f>
        <v>#REF!</v>
      </c>
      <c r="GY51" t="e">
        <f>AND(#REF!,"AAAAABZ3t84=")</f>
        <v>#REF!</v>
      </c>
      <c r="GZ51" t="e">
        <f>IF(#REF!,"AAAAABZ3t88=",0)</f>
        <v>#REF!</v>
      </c>
      <c r="HA51" t="e">
        <f>AND(#REF!,"AAAAABZ3t9A=")</f>
        <v>#REF!</v>
      </c>
      <c r="HB51" t="e">
        <f>AND(#REF!,"AAAAABZ3t9E=")</f>
        <v>#REF!</v>
      </c>
      <c r="HC51" t="e">
        <f>AND(#REF!,"AAAAABZ3t9I=")</f>
        <v>#REF!</v>
      </c>
      <c r="HD51" t="e">
        <f>AND(#REF!,"AAAAABZ3t9M=")</f>
        <v>#REF!</v>
      </c>
      <c r="HE51" t="e">
        <f>AND(#REF!,"AAAAABZ3t9Q=")</f>
        <v>#REF!</v>
      </c>
      <c r="HF51" t="e">
        <f>AND(#REF!,"AAAAABZ3t9U=")</f>
        <v>#REF!</v>
      </c>
      <c r="HG51" t="e">
        <f>AND(#REF!,"AAAAABZ3t9Y=")</f>
        <v>#REF!</v>
      </c>
      <c r="HH51" t="e">
        <f>AND(#REF!,"AAAAABZ3t9c=")</f>
        <v>#REF!</v>
      </c>
      <c r="HI51" t="e">
        <f>AND(#REF!,"AAAAABZ3t9g=")</f>
        <v>#REF!</v>
      </c>
      <c r="HJ51" t="e">
        <f>AND(#REF!,"AAAAABZ3t9k=")</f>
        <v>#REF!</v>
      </c>
      <c r="HK51" t="e">
        <f>IF(#REF!,"AAAAABZ3t9o=",0)</f>
        <v>#REF!</v>
      </c>
      <c r="HL51" t="e">
        <f>AND(#REF!,"AAAAABZ3t9s=")</f>
        <v>#REF!</v>
      </c>
      <c r="HM51" t="e">
        <f>AND(#REF!,"AAAAABZ3t9w=")</f>
        <v>#REF!</v>
      </c>
      <c r="HN51" t="e">
        <f>AND(#REF!,"AAAAABZ3t90=")</f>
        <v>#REF!</v>
      </c>
      <c r="HO51" t="e">
        <f>AND(#REF!,"AAAAABZ3t94=")</f>
        <v>#REF!</v>
      </c>
      <c r="HP51" t="e">
        <f>AND(#REF!,"AAAAABZ3t98=")</f>
        <v>#REF!</v>
      </c>
      <c r="HQ51" t="e">
        <f>AND(#REF!,"AAAAABZ3t+A=")</f>
        <v>#REF!</v>
      </c>
      <c r="HR51" t="e">
        <f>AND(#REF!,"AAAAABZ3t+E=")</f>
        <v>#REF!</v>
      </c>
      <c r="HS51" t="e">
        <f>AND(#REF!,"AAAAABZ3t+I=")</f>
        <v>#REF!</v>
      </c>
      <c r="HT51" t="e">
        <f>AND(#REF!,"AAAAABZ3t+M=")</f>
        <v>#REF!</v>
      </c>
      <c r="HU51" t="e">
        <f>AND(#REF!,"AAAAABZ3t+Q=")</f>
        <v>#REF!</v>
      </c>
      <c r="HV51" t="e">
        <f>IF(#REF!,"AAAAABZ3t+U=",0)</f>
        <v>#REF!</v>
      </c>
      <c r="HW51" t="e">
        <f>AND(#REF!,"AAAAABZ3t+Y=")</f>
        <v>#REF!</v>
      </c>
      <c r="HX51" t="e">
        <f>AND(#REF!,"AAAAABZ3t+c=")</f>
        <v>#REF!</v>
      </c>
      <c r="HY51" t="e">
        <f>AND(#REF!,"AAAAABZ3t+g=")</f>
        <v>#REF!</v>
      </c>
      <c r="HZ51" t="e">
        <f>AND(#REF!,"AAAAABZ3t+k=")</f>
        <v>#REF!</v>
      </c>
      <c r="IA51" t="e">
        <f>AND(#REF!,"AAAAABZ3t+o=")</f>
        <v>#REF!</v>
      </c>
      <c r="IB51" t="e">
        <f>AND(#REF!,"AAAAABZ3t+s=")</f>
        <v>#REF!</v>
      </c>
      <c r="IC51" t="e">
        <f>AND(#REF!,"AAAAABZ3t+w=")</f>
        <v>#REF!</v>
      </c>
      <c r="ID51" t="e">
        <f>AND(#REF!,"AAAAABZ3t+0=")</f>
        <v>#REF!</v>
      </c>
      <c r="IE51" t="e">
        <f>AND(#REF!,"AAAAABZ3t+4=")</f>
        <v>#REF!</v>
      </c>
      <c r="IF51" t="e">
        <f>AND(#REF!,"AAAAABZ3t+8=")</f>
        <v>#REF!</v>
      </c>
      <c r="IG51" t="e">
        <f>IF(#REF!,"AAAAABZ3t/A=",0)</f>
        <v>#REF!</v>
      </c>
      <c r="IH51" t="e">
        <f>AND(#REF!,"AAAAABZ3t/E=")</f>
        <v>#REF!</v>
      </c>
      <c r="II51" t="e">
        <f>AND(#REF!,"AAAAABZ3t/I=")</f>
        <v>#REF!</v>
      </c>
      <c r="IJ51" t="e">
        <f>AND(#REF!,"AAAAABZ3t/M=")</f>
        <v>#REF!</v>
      </c>
      <c r="IK51" t="e">
        <f>AND(#REF!,"AAAAABZ3t/Q=")</f>
        <v>#REF!</v>
      </c>
      <c r="IL51" t="e">
        <f>AND(#REF!,"AAAAABZ3t/U=")</f>
        <v>#REF!</v>
      </c>
      <c r="IM51" t="e">
        <f>AND(#REF!,"AAAAABZ3t/Y=")</f>
        <v>#REF!</v>
      </c>
      <c r="IN51" t="e">
        <f>AND(#REF!,"AAAAABZ3t/c=")</f>
        <v>#REF!</v>
      </c>
      <c r="IO51" t="e">
        <f>AND(#REF!,"AAAAABZ3t/g=")</f>
        <v>#REF!</v>
      </c>
      <c r="IP51" t="e">
        <f>AND(#REF!,"AAAAABZ3t/k=")</f>
        <v>#REF!</v>
      </c>
      <c r="IQ51" t="e">
        <f>AND(#REF!,"AAAAABZ3t/o=")</f>
        <v>#REF!</v>
      </c>
      <c r="IR51" t="e">
        <f>IF(#REF!,"AAAAABZ3t/s=",0)</f>
        <v>#REF!</v>
      </c>
      <c r="IS51" t="e">
        <f>AND(#REF!,"AAAAABZ3t/w=")</f>
        <v>#REF!</v>
      </c>
      <c r="IT51" t="e">
        <f>AND(#REF!,"AAAAABZ3t/0=")</f>
        <v>#REF!</v>
      </c>
      <c r="IU51" t="e">
        <f>AND(#REF!,"AAAAABZ3t/4=")</f>
        <v>#REF!</v>
      </c>
      <c r="IV51" t="e">
        <f>AND(#REF!,"AAAAABZ3t/8=")</f>
        <v>#REF!</v>
      </c>
    </row>
    <row r="52" spans="1:256" x14ac:dyDescent="0.25">
      <c r="A52" t="e">
        <f>AND(#REF!,"AAAAAHxf/wA=")</f>
        <v>#REF!</v>
      </c>
      <c r="B52" t="e">
        <f>AND(#REF!,"AAAAAHxf/wE=")</f>
        <v>#REF!</v>
      </c>
      <c r="C52" t="e">
        <f>AND(#REF!,"AAAAAHxf/wI=")</f>
        <v>#REF!</v>
      </c>
      <c r="D52" t="e">
        <f>AND(#REF!,"AAAAAHxf/wM=")</f>
        <v>#REF!</v>
      </c>
      <c r="E52" t="e">
        <f>AND(#REF!,"AAAAAHxf/wQ=")</f>
        <v>#REF!</v>
      </c>
      <c r="F52" t="e">
        <f>AND(#REF!,"AAAAAHxf/wU=")</f>
        <v>#REF!</v>
      </c>
      <c r="G52" t="e">
        <f>IF(#REF!,"AAAAAHxf/wY=",0)</f>
        <v>#REF!</v>
      </c>
      <c r="H52" t="e">
        <f>AND(#REF!,"AAAAAHxf/wc=")</f>
        <v>#REF!</v>
      </c>
      <c r="I52" t="e">
        <f>AND(#REF!,"AAAAAHxf/wg=")</f>
        <v>#REF!</v>
      </c>
      <c r="J52" t="e">
        <f>AND(#REF!,"AAAAAHxf/wk=")</f>
        <v>#REF!</v>
      </c>
      <c r="K52" t="e">
        <f>AND(#REF!,"AAAAAHxf/wo=")</f>
        <v>#REF!</v>
      </c>
      <c r="L52" t="e">
        <f>AND(#REF!,"AAAAAHxf/ws=")</f>
        <v>#REF!</v>
      </c>
      <c r="M52" t="e">
        <f>AND(#REF!,"AAAAAHxf/ww=")</f>
        <v>#REF!</v>
      </c>
      <c r="N52" t="e">
        <f>AND(#REF!,"AAAAAHxf/w0=")</f>
        <v>#REF!</v>
      </c>
      <c r="O52" t="e">
        <f>AND(#REF!,"AAAAAHxf/w4=")</f>
        <v>#REF!</v>
      </c>
      <c r="P52" t="e">
        <f>AND(#REF!,"AAAAAHxf/w8=")</f>
        <v>#REF!</v>
      </c>
      <c r="Q52" t="e">
        <f>AND(#REF!,"AAAAAHxf/xA=")</f>
        <v>#REF!</v>
      </c>
      <c r="R52" t="e">
        <f>IF(#REF!,"AAAAAHxf/xE=",0)</f>
        <v>#REF!</v>
      </c>
      <c r="S52" t="e">
        <f>AND(#REF!,"AAAAAHxf/xI=")</f>
        <v>#REF!</v>
      </c>
      <c r="T52" t="e">
        <f>AND(#REF!,"AAAAAHxf/xM=")</f>
        <v>#REF!</v>
      </c>
      <c r="U52" t="e">
        <f>AND(#REF!,"AAAAAHxf/xQ=")</f>
        <v>#REF!</v>
      </c>
      <c r="V52" t="e">
        <f>AND(#REF!,"AAAAAHxf/xU=")</f>
        <v>#REF!</v>
      </c>
      <c r="W52" t="e">
        <f>AND(#REF!,"AAAAAHxf/xY=")</f>
        <v>#REF!</v>
      </c>
      <c r="X52" t="e">
        <f>AND(#REF!,"AAAAAHxf/xc=")</f>
        <v>#REF!</v>
      </c>
      <c r="Y52" t="e">
        <f>AND(#REF!,"AAAAAHxf/xg=")</f>
        <v>#REF!</v>
      </c>
      <c r="Z52" t="e">
        <f>AND(#REF!,"AAAAAHxf/xk=")</f>
        <v>#REF!</v>
      </c>
      <c r="AA52" t="e">
        <f>AND(#REF!,"AAAAAHxf/xo=")</f>
        <v>#REF!</v>
      </c>
      <c r="AB52" t="e">
        <f>AND(#REF!,"AAAAAHxf/xs=")</f>
        <v>#REF!</v>
      </c>
      <c r="AC52" t="e">
        <f>IF(#REF!,"AAAAAHxf/xw=",0)</f>
        <v>#REF!</v>
      </c>
      <c r="AD52" t="e">
        <f>AND(#REF!,"AAAAAHxf/x0=")</f>
        <v>#REF!</v>
      </c>
      <c r="AE52" t="e">
        <f>AND(#REF!,"AAAAAHxf/x4=")</f>
        <v>#REF!</v>
      </c>
      <c r="AF52" t="e">
        <f>AND(#REF!,"AAAAAHxf/x8=")</f>
        <v>#REF!</v>
      </c>
      <c r="AG52" t="e">
        <f>AND(#REF!,"AAAAAHxf/yA=")</f>
        <v>#REF!</v>
      </c>
      <c r="AH52" t="e">
        <f>AND(#REF!,"AAAAAHxf/yE=")</f>
        <v>#REF!</v>
      </c>
      <c r="AI52" t="e">
        <f>AND(#REF!,"AAAAAHxf/yI=")</f>
        <v>#REF!</v>
      </c>
      <c r="AJ52" t="e">
        <f>AND(#REF!,"AAAAAHxf/yM=")</f>
        <v>#REF!</v>
      </c>
      <c r="AK52" t="e">
        <f>AND(#REF!,"AAAAAHxf/yQ=")</f>
        <v>#REF!</v>
      </c>
      <c r="AL52" t="e">
        <f>AND(#REF!,"AAAAAHxf/yU=")</f>
        <v>#REF!</v>
      </c>
      <c r="AM52" t="e">
        <f>AND(#REF!,"AAAAAHxf/yY=")</f>
        <v>#REF!</v>
      </c>
      <c r="AN52" t="e">
        <f>IF(#REF!,"AAAAAHxf/yc=",0)</f>
        <v>#REF!</v>
      </c>
      <c r="AO52" t="e">
        <f>AND(#REF!,"AAAAAHxf/yg=")</f>
        <v>#REF!</v>
      </c>
      <c r="AP52" t="e">
        <f>AND(#REF!,"AAAAAHxf/yk=")</f>
        <v>#REF!</v>
      </c>
      <c r="AQ52" t="e">
        <f>AND(#REF!,"AAAAAHxf/yo=")</f>
        <v>#REF!</v>
      </c>
      <c r="AR52" t="e">
        <f>AND(#REF!,"AAAAAHxf/ys=")</f>
        <v>#REF!</v>
      </c>
      <c r="AS52" t="e">
        <f>AND(#REF!,"AAAAAHxf/yw=")</f>
        <v>#REF!</v>
      </c>
      <c r="AT52" t="e">
        <f>AND(#REF!,"AAAAAHxf/y0=")</f>
        <v>#REF!</v>
      </c>
      <c r="AU52" t="e">
        <f>AND(#REF!,"AAAAAHxf/y4=")</f>
        <v>#REF!</v>
      </c>
      <c r="AV52" t="e">
        <f>AND(#REF!,"AAAAAHxf/y8=")</f>
        <v>#REF!</v>
      </c>
      <c r="AW52" t="e">
        <f>AND(#REF!,"AAAAAHxf/zA=")</f>
        <v>#REF!</v>
      </c>
      <c r="AX52" t="e">
        <f>AND(#REF!,"AAAAAHxf/zE=")</f>
        <v>#REF!</v>
      </c>
      <c r="AY52" t="e">
        <f>IF(#REF!,"AAAAAHxf/zI=",0)</f>
        <v>#REF!</v>
      </c>
      <c r="AZ52" t="e">
        <f>AND(#REF!,"AAAAAHxf/zM=")</f>
        <v>#REF!</v>
      </c>
      <c r="BA52" t="e">
        <f>AND(#REF!,"AAAAAHxf/zQ=")</f>
        <v>#REF!</v>
      </c>
      <c r="BB52" t="e">
        <f>AND(#REF!,"AAAAAHxf/zU=")</f>
        <v>#REF!</v>
      </c>
      <c r="BC52" t="e">
        <f>AND(#REF!,"AAAAAHxf/zY=")</f>
        <v>#REF!</v>
      </c>
      <c r="BD52" t="e">
        <f>AND(#REF!,"AAAAAHxf/zc=")</f>
        <v>#REF!</v>
      </c>
      <c r="BE52" t="e">
        <f>AND(#REF!,"AAAAAHxf/zg=")</f>
        <v>#REF!</v>
      </c>
      <c r="BF52" t="e">
        <f>AND(#REF!,"AAAAAHxf/zk=")</f>
        <v>#REF!</v>
      </c>
      <c r="BG52" t="e">
        <f>AND(#REF!,"AAAAAHxf/zo=")</f>
        <v>#REF!</v>
      </c>
      <c r="BH52" t="e">
        <f>AND(#REF!,"AAAAAHxf/zs=")</f>
        <v>#REF!</v>
      </c>
      <c r="BI52" t="e">
        <f>AND(#REF!,"AAAAAHxf/zw=")</f>
        <v>#REF!</v>
      </c>
      <c r="BJ52" t="e">
        <f>IF(#REF!,"AAAAAHxf/z0=",0)</f>
        <v>#REF!</v>
      </c>
      <c r="BK52" t="e">
        <f>AND(#REF!,"AAAAAHxf/z4=")</f>
        <v>#REF!</v>
      </c>
      <c r="BL52" t="e">
        <f>AND(#REF!,"AAAAAHxf/z8=")</f>
        <v>#REF!</v>
      </c>
      <c r="BM52" t="e">
        <f>AND(#REF!,"AAAAAHxf/0A=")</f>
        <v>#REF!</v>
      </c>
      <c r="BN52" t="e">
        <f>AND(#REF!,"AAAAAHxf/0E=")</f>
        <v>#REF!</v>
      </c>
      <c r="BO52" t="e">
        <f>AND(#REF!,"AAAAAHxf/0I=")</f>
        <v>#REF!</v>
      </c>
      <c r="BP52" t="e">
        <f>AND(#REF!,"AAAAAHxf/0M=")</f>
        <v>#REF!</v>
      </c>
      <c r="BQ52" t="e">
        <f>AND(#REF!,"AAAAAHxf/0Q=")</f>
        <v>#REF!</v>
      </c>
      <c r="BR52" t="e">
        <f>AND(#REF!,"AAAAAHxf/0U=")</f>
        <v>#REF!</v>
      </c>
      <c r="BS52" t="e">
        <f>AND(#REF!,"AAAAAHxf/0Y=")</f>
        <v>#REF!</v>
      </c>
      <c r="BT52" t="e">
        <f>AND(#REF!,"AAAAAHxf/0c=")</f>
        <v>#REF!</v>
      </c>
      <c r="BU52" t="e">
        <f>IF(#REF!,"AAAAAHxf/0g=",0)</f>
        <v>#REF!</v>
      </c>
      <c r="BV52" t="e">
        <f>AND(#REF!,"AAAAAHxf/0k=")</f>
        <v>#REF!</v>
      </c>
      <c r="BW52" t="e">
        <f>AND(#REF!,"AAAAAHxf/0o=")</f>
        <v>#REF!</v>
      </c>
      <c r="BX52" t="e">
        <f>AND(#REF!,"AAAAAHxf/0s=")</f>
        <v>#REF!</v>
      </c>
      <c r="BY52" t="e">
        <f>AND(#REF!,"AAAAAHxf/0w=")</f>
        <v>#REF!</v>
      </c>
      <c r="BZ52" t="e">
        <f>AND(#REF!,"AAAAAHxf/00=")</f>
        <v>#REF!</v>
      </c>
      <c r="CA52" t="e">
        <f>AND(#REF!,"AAAAAHxf/04=")</f>
        <v>#REF!</v>
      </c>
      <c r="CB52" t="e">
        <f>AND(#REF!,"AAAAAHxf/08=")</f>
        <v>#REF!</v>
      </c>
      <c r="CC52" t="e">
        <f>AND(#REF!,"AAAAAHxf/1A=")</f>
        <v>#REF!</v>
      </c>
      <c r="CD52" t="e">
        <f>AND(#REF!,"AAAAAHxf/1E=")</f>
        <v>#REF!</v>
      </c>
      <c r="CE52" t="e">
        <f>AND(#REF!,"AAAAAHxf/1I=")</f>
        <v>#REF!</v>
      </c>
      <c r="CF52" t="e">
        <f>IF(#REF!,"AAAAAHxf/1M=",0)</f>
        <v>#REF!</v>
      </c>
      <c r="CG52" t="e">
        <f>AND(#REF!,"AAAAAHxf/1Q=")</f>
        <v>#REF!</v>
      </c>
      <c r="CH52" t="e">
        <f>AND(#REF!,"AAAAAHxf/1U=")</f>
        <v>#REF!</v>
      </c>
      <c r="CI52" t="e">
        <f>AND(#REF!,"AAAAAHxf/1Y=")</f>
        <v>#REF!</v>
      </c>
      <c r="CJ52" t="e">
        <f>AND(#REF!,"AAAAAHxf/1c=")</f>
        <v>#REF!</v>
      </c>
      <c r="CK52" t="e">
        <f>AND(#REF!,"AAAAAHxf/1g=")</f>
        <v>#REF!</v>
      </c>
      <c r="CL52" t="e">
        <f>AND(#REF!,"AAAAAHxf/1k=")</f>
        <v>#REF!</v>
      </c>
      <c r="CM52" t="e">
        <f>AND(#REF!,"AAAAAHxf/1o=")</f>
        <v>#REF!</v>
      </c>
      <c r="CN52" t="e">
        <f>AND(#REF!,"AAAAAHxf/1s=")</f>
        <v>#REF!</v>
      </c>
      <c r="CO52" t="e">
        <f>AND(#REF!,"AAAAAHxf/1w=")</f>
        <v>#REF!</v>
      </c>
      <c r="CP52" t="e">
        <f>AND(#REF!,"AAAAAHxf/10=")</f>
        <v>#REF!</v>
      </c>
      <c r="CQ52" t="e">
        <f>IF(#REF!,"AAAAAHxf/14=",0)</f>
        <v>#REF!</v>
      </c>
      <c r="CR52" t="e">
        <f>AND(#REF!,"AAAAAHxf/18=")</f>
        <v>#REF!</v>
      </c>
      <c r="CS52" t="e">
        <f>AND(#REF!,"AAAAAHxf/2A=")</f>
        <v>#REF!</v>
      </c>
      <c r="CT52" t="e">
        <f>AND(#REF!,"AAAAAHxf/2E=")</f>
        <v>#REF!</v>
      </c>
      <c r="CU52" t="e">
        <f>AND(#REF!,"AAAAAHxf/2I=")</f>
        <v>#REF!</v>
      </c>
      <c r="CV52" t="e">
        <f>AND(#REF!,"AAAAAHxf/2M=")</f>
        <v>#REF!</v>
      </c>
      <c r="CW52" t="e">
        <f>AND(#REF!,"AAAAAHxf/2Q=")</f>
        <v>#REF!</v>
      </c>
      <c r="CX52" t="e">
        <f>AND(#REF!,"AAAAAHxf/2U=")</f>
        <v>#REF!</v>
      </c>
      <c r="CY52" t="e">
        <f>AND(#REF!,"AAAAAHxf/2Y=")</f>
        <v>#REF!</v>
      </c>
      <c r="CZ52" t="e">
        <f>AND(#REF!,"AAAAAHxf/2c=")</f>
        <v>#REF!</v>
      </c>
      <c r="DA52" t="e">
        <f>AND(#REF!,"AAAAAHxf/2g=")</f>
        <v>#REF!</v>
      </c>
      <c r="DB52" t="e">
        <f>IF(#REF!,"AAAAAHxf/2k=",0)</f>
        <v>#REF!</v>
      </c>
      <c r="DC52" t="e">
        <f>AND(#REF!,"AAAAAHxf/2o=")</f>
        <v>#REF!</v>
      </c>
      <c r="DD52" t="e">
        <f>AND(#REF!,"AAAAAHxf/2s=")</f>
        <v>#REF!</v>
      </c>
      <c r="DE52" t="e">
        <f>AND(#REF!,"AAAAAHxf/2w=")</f>
        <v>#REF!</v>
      </c>
      <c r="DF52" t="e">
        <f>AND(#REF!,"AAAAAHxf/20=")</f>
        <v>#REF!</v>
      </c>
      <c r="DG52" t="e">
        <f>AND(#REF!,"AAAAAHxf/24=")</f>
        <v>#REF!</v>
      </c>
      <c r="DH52" t="e">
        <f>AND(#REF!,"AAAAAHxf/28=")</f>
        <v>#REF!</v>
      </c>
      <c r="DI52" t="e">
        <f>AND(#REF!,"AAAAAHxf/3A=")</f>
        <v>#REF!</v>
      </c>
      <c r="DJ52" t="e">
        <f>AND(#REF!,"AAAAAHxf/3E=")</f>
        <v>#REF!</v>
      </c>
      <c r="DK52" t="e">
        <f>AND(#REF!,"AAAAAHxf/3I=")</f>
        <v>#REF!</v>
      </c>
      <c r="DL52" t="e">
        <f>AND(#REF!,"AAAAAHxf/3M=")</f>
        <v>#REF!</v>
      </c>
      <c r="DM52" t="e">
        <f>IF(#REF!,"AAAAAHxf/3Q=",0)</f>
        <v>#REF!</v>
      </c>
      <c r="DN52" t="e">
        <f>AND(#REF!,"AAAAAHxf/3U=")</f>
        <v>#REF!</v>
      </c>
      <c r="DO52" t="e">
        <f>AND(#REF!,"AAAAAHxf/3Y=")</f>
        <v>#REF!</v>
      </c>
      <c r="DP52" t="e">
        <f>AND(#REF!,"AAAAAHxf/3c=")</f>
        <v>#REF!</v>
      </c>
      <c r="DQ52" t="e">
        <f>AND(#REF!,"AAAAAHxf/3g=")</f>
        <v>#REF!</v>
      </c>
      <c r="DR52" t="e">
        <f>AND(#REF!,"AAAAAHxf/3k=")</f>
        <v>#REF!</v>
      </c>
      <c r="DS52" t="e">
        <f>AND(#REF!,"AAAAAHxf/3o=")</f>
        <v>#REF!</v>
      </c>
      <c r="DT52" t="e">
        <f>AND(#REF!,"AAAAAHxf/3s=")</f>
        <v>#REF!</v>
      </c>
      <c r="DU52" t="e">
        <f>AND(#REF!,"AAAAAHxf/3w=")</f>
        <v>#REF!</v>
      </c>
      <c r="DV52" t="e">
        <f>AND(#REF!,"AAAAAHxf/30=")</f>
        <v>#REF!</v>
      </c>
      <c r="DW52" t="e">
        <f>AND(#REF!,"AAAAAHxf/34=")</f>
        <v>#REF!</v>
      </c>
      <c r="DX52" t="e">
        <f>IF(#REF!,"AAAAAHxf/38=",0)</f>
        <v>#REF!</v>
      </c>
      <c r="DY52" t="e">
        <f>AND(#REF!,"AAAAAHxf/4A=")</f>
        <v>#REF!</v>
      </c>
      <c r="DZ52" t="e">
        <f>AND(#REF!,"AAAAAHxf/4E=")</f>
        <v>#REF!</v>
      </c>
      <c r="EA52" t="e">
        <f>AND(#REF!,"AAAAAHxf/4I=")</f>
        <v>#REF!</v>
      </c>
      <c r="EB52" t="e">
        <f>AND(#REF!,"AAAAAHxf/4M=")</f>
        <v>#REF!</v>
      </c>
      <c r="EC52" t="e">
        <f>AND(#REF!,"AAAAAHxf/4Q=")</f>
        <v>#REF!</v>
      </c>
      <c r="ED52" t="e">
        <f>AND(#REF!,"AAAAAHxf/4U=")</f>
        <v>#REF!</v>
      </c>
      <c r="EE52" t="e">
        <f>AND(#REF!,"AAAAAHxf/4Y=")</f>
        <v>#REF!</v>
      </c>
      <c r="EF52" t="e">
        <f>AND(#REF!,"AAAAAHxf/4c=")</f>
        <v>#REF!</v>
      </c>
      <c r="EG52" t="e">
        <f>AND(#REF!,"AAAAAHxf/4g=")</f>
        <v>#REF!</v>
      </c>
      <c r="EH52" t="e">
        <f>AND(#REF!,"AAAAAHxf/4k=")</f>
        <v>#REF!</v>
      </c>
      <c r="EI52" t="e">
        <f>IF(#REF!,"AAAAAHxf/4o=",0)</f>
        <v>#REF!</v>
      </c>
      <c r="EJ52" t="e">
        <f>AND(#REF!,"AAAAAHxf/4s=")</f>
        <v>#REF!</v>
      </c>
      <c r="EK52" t="e">
        <f>AND(#REF!,"AAAAAHxf/4w=")</f>
        <v>#REF!</v>
      </c>
      <c r="EL52" t="e">
        <f>AND(#REF!,"AAAAAHxf/40=")</f>
        <v>#REF!</v>
      </c>
      <c r="EM52" t="e">
        <f>AND(#REF!,"AAAAAHxf/44=")</f>
        <v>#REF!</v>
      </c>
      <c r="EN52" t="e">
        <f>AND(#REF!,"AAAAAHxf/48=")</f>
        <v>#REF!</v>
      </c>
      <c r="EO52" t="e">
        <f>AND(#REF!,"AAAAAHxf/5A=")</f>
        <v>#REF!</v>
      </c>
      <c r="EP52" t="e">
        <f>AND(#REF!,"AAAAAHxf/5E=")</f>
        <v>#REF!</v>
      </c>
      <c r="EQ52" t="e">
        <f>AND(#REF!,"AAAAAHxf/5I=")</f>
        <v>#REF!</v>
      </c>
      <c r="ER52" t="e">
        <f>AND(#REF!,"AAAAAHxf/5M=")</f>
        <v>#REF!</v>
      </c>
      <c r="ES52" t="e">
        <f>AND(#REF!,"AAAAAHxf/5Q=")</f>
        <v>#REF!</v>
      </c>
      <c r="ET52" t="e">
        <f>IF(#REF!,"AAAAAHxf/5U=",0)</f>
        <v>#REF!</v>
      </c>
      <c r="EU52" t="e">
        <f>AND(#REF!,"AAAAAHxf/5Y=")</f>
        <v>#REF!</v>
      </c>
      <c r="EV52" t="e">
        <f>AND(#REF!,"AAAAAHxf/5c=")</f>
        <v>#REF!</v>
      </c>
      <c r="EW52" t="e">
        <f>AND(#REF!,"AAAAAHxf/5g=")</f>
        <v>#REF!</v>
      </c>
      <c r="EX52" t="e">
        <f>AND(#REF!,"AAAAAHxf/5k=")</f>
        <v>#REF!</v>
      </c>
      <c r="EY52" t="e">
        <f>AND(#REF!,"AAAAAHxf/5o=")</f>
        <v>#REF!</v>
      </c>
      <c r="EZ52" t="e">
        <f>AND(#REF!,"AAAAAHxf/5s=")</f>
        <v>#REF!</v>
      </c>
      <c r="FA52" t="e">
        <f>AND(#REF!,"AAAAAHxf/5w=")</f>
        <v>#REF!</v>
      </c>
      <c r="FB52" t="e">
        <f>AND(#REF!,"AAAAAHxf/50=")</f>
        <v>#REF!</v>
      </c>
      <c r="FC52" t="e">
        <f>AND(#REF!,"AAAAAHxf/54=")</f>
        <v>#REF!</v>
      </c>
      <c r="FD52" t="e">
        <f>AND(#REF!,"AAAAAHxf/58=")</f>
        <v>#REF!</v>
      </c>
      <c r="FE52" t="e">
        <f>IF(#REF!,"AAAAAHxf/6A=",0)</f>
        <v>#REF!</v>
      </c>
      <c r="FF52" t="e">
        <f>AND(#REF!,"AAAAAHxf/6E=")</f>
        <v>#REF!</v>
      </c>
      <c r="FG52" t="e">
        <f>AND(#REF!,"AAAAAHxf/6I=")</f>
        <v>#REF!</v>
      </c>
      <c r="FH52" t="e">
        <f>AND(#REF!,"AAAAAHxf/6M=")</f>
        <v>#REF!</v>
      </c>
      <c r="FI52" t="e">
        <f>AND(#REF!,"AAAAAHxf/6Q=")</f>
        <v>#REF!</v>
      </c>
      <c r="FJ52" t="e">
        <f>AND(#REF!,"AAAAAHxf/6U=")</f>
        <v>#REF!</v>
      </c>
      <c r="FK52" t="e">
        <f>AND(#REF!,"AAAAAHxf/6Y=")</f>
        <v>#REF!</v>
      </c>
      <c r="FL52" t="e">
        <f>AND(#REF!,"AAAAAHxf/6c=")</f>
        <v>#REF!</v>
      </c>
      <c r="FM52" t="e">
        <f>AND(#REF!,"AAAAAHxf/6g=")</f>
        <v>#REF!</v>
      </c>
      <c r="FN52" t="e">
        <f>AND(#REF!,"AAAAAHxf/6k=")</f>
        <v>#REF!</v>
      </c>
      <c r="FO52" t="e">
        <f>AND(#REF!,"AAAAAHxf/6o=")</f>
        <v>#REF!</v>
      </c>
      <c r="FP52" t="e">
        <f>IF(#REF!,"AAAAAHxf/6s=",0)</f>
        <v>#REF!</v>
      </c>
      <c r="FQ52" t="e">
        <f>AND(#REF!,"AAAAAHxf/6w=")</f>
        <v>#REF!</v>
      </c>
      <c r="FR52" t="e">
        <f>AND(#REF!,"AAAAAHxf/60=")</f>
        <v>#REF!</v>
      </c>
      <c r="FS52" t="e">
        <f>AND(#REF!,"AAAAAHxf/64=")</f>
        <v>#REF!</v>
      </c>
      <c r="FT52" t="e">
        <f>AND(#REF!,"AAAAAHxf/68=")</f>
        <v>#REF!</v>
      </c>
      <c r="FU52" t="e">
        <f>AND(#REF!,"AAAAAHxf/7A=")</f>
        <v>#REF!</v>
      </c>
      <c r="FV52" t="e">
        <f>AND(#REF!,"AAAAAHxf/7E=")</f>
        <v>#REF!</v>
      </c>
      <c r="FW52" t="e">
        <f>AND(#REF!,"AAAAAHxf/7I=")</f>
        <v>#REF!</v>
      </c>
      <c r="FX52" t="e">
        <f>AND(#REF!,"AAAAAHxf/7M=")</f>
        <v>#REF!</v>
      </c>
      <c r="FY52" t="e">
        <f>AND(#REF!,"AAAAAHxf/7Q=")</f>
        <v>#REF!</v>
      </c>
      <c r="FZ52" t="e">
        <f>AND(#REF!,"AAAAAHxf/7U=")</f>
        <v>#REF!</v>
      </c>
      <c r="GA52" t="e">
        <f>IF(#REF!,"AAAAAHxf/7Y=",0)</f>
        <v>#REF!</v>
      </c>
      <c r="GB52" t="e">
        <f>AND(#REF!,"AAAAAHxf/7c=")</f>
        <v>#REF!</v>
      </c>
      <c r="GC52" t="e">
        <f>AND(#REF!,"AAAAAHxf/7g=")</f>
        <v>#REF!</v>
      </c>
      <c r="GD52" t="e">
        <f>AND(#REF!,"AAAAAHxf/7k=")</f>
        <v>#REF!</v>
      </c>
      <c r="GE52" t="e">
        <f>AND(#REF!,"AAAAAHxf/7o=")</f>
        <v>#REF!</v>
      </c>
      <c r="GF52" t="e">
        <f>AND(#REF!,"AAAAAHxf/7s=")</f>
        <v>#REF!</v>
      </c>
      <c r="GG52" t="e">
        <f>AND(#REF!,"AAAAAHxf/7w=")</f>
        <v>#REF!</v>
      </c>
      <c r="GH52" t="e">
        <f>AND(#REF!,"AAAAAHxf/70=")</f>
        <v>#REF!</v>
      </c>
      <c r="GI52" t="e">
        <f>AND(#REF!,"AAAAAHxf/74=")</f>
        <v>#REF!</v>
      </c>
      <c r="GJ52" t="e">
        <f>AND(#REF!,"AAAAAHxf/78=")</f>
        <v>#REF!</v>
      </c>
      <c r="GK52" t="e">
        <f>AND(#REF!,"AAAAAHxf/8A=")</f>
        <v>#REF!</v>
      </c>
      <c r="GL52" t="e">
        <f>IF(#REF!,"AAAAAHxf/8E=",0)</f>
        <v>#REF!</v>
      </c>
      <c r="GM52" t="e">
        <f>AND(#REF!,"AAAAAHxf/8I=")</f>
        <v>#REF!</v>
      </c>
      <c r="GN52" t="e">
        <f>AND(#REF!,"AAAAAHxf/8M=")</f>
        <v>#REF!</v>
      </c>
      <c r="GO52" t="e">
        <f>AND(#REF!,"AAAAAHxf/8Q=")</f>
        <v>#REF!</v>
      </c>
      <c r="GP52" t="e">
        <f>AND(#REF!,"AAAAAHxf/8U=")</f>
        <v>#REF!</v>
      </c>
      <c r="GQ52" t="e">
        <f>AND(#REF!,"AAAAAHxf/8Y=")</f>
        <v>#REF!</v>
      </c>
      <c r="GR52" t="e">
        <f>AND(#REF!,"AAAAAHxf/8c=")</f>
        <v>#REF!</v>
      </c>
      <c r="GS52" t="e">
        <f>AND(#REF!,"AAAAAHxf/8g=")</f>
        <v>#REF!</v>
      </c>
      <c r="GT52" t="e">
        <f>AND(#REF!,"AAAAAHxf/8k=")</f>
        <v>#REF!</v>
      </c>
      <c r="GU52" t="e">
        <f>AND(#REF!,"AAAAAHxf/8o=")</f>
        <v>#REF!</v>
      </c>
      <c r="GV52" t="e">
        <f>AND(#REF!,"AAAAAHxf/8s=")</f>
        <v>#REF!</v>
      </c>
      <c r="GW52" t="e">
        <f>IF(#REF!,"AAAAAHxf/8w=",0)</f>
        <v>#REF!</v>
      </c>
      <c r="GX52" t="e">
        <f>AND(#REF!,"AAAAAHxf/80=")</f>
        <v>#REF!</v>
      </c>
      <c r="GY52" t="e">
        <f>AND(#REF!,"AAAAAHxf/84=")</f>
        <v>#REF!</v>
      </c>
      <c r="GZ52" t="e">
        <f>AND(#REF!,"AAAAAHxf/88=")</f>
        <v>#REF!</v>
      </c>
      <c r="HA52" t="e">
        <f>AND(#REF!,"AAAAAHxf/9A=")</f>
        <v>#REF!</v>
      </c>
      <c r="HB52" t="e">
        <f>AND(#REF!,"AAAAAHxf/9E=")</f>
        <v>#REF!</v>
      </c>
      <c r="HC52" t="e">
        <f>AND(#REF!,"AAAAAHxf/9I=")</f>
        <v>#REF!</v>
      </c>
      <c r="HD52" t="e">
        <f>AND(#REF!,"AAAAAHxf/9M=")</f>
        <v>#REF!</v>
      </c>
      <c r="HE52" t="e">
        <f>AND(#REF!,"AAAAAHxf/9Q=")</f>
        <v>#REF!</v>
      </c>
      <c r="HF52" t="e">
        <f>AND(#REF!,"AAAAAHxf/9U=")</f>
        <v>#REF!</v>
      </c>
      <c r="HG52" t="e">
        <f>AND(#REF!,"AAAAAHxf/9Y=")</f>
        <v>#REF!</v>
      </c>
      <c r="HH52" t="e">
        <f>IF(#REF!,"AAAAAHxf/9c=",0)</f>
        <v>#REF!</v>
      </c>
      <c r="HI52" t="e">
        <f>AND(#REF!,"AAAAAHxf/9g=")</f>
        <v>#REF!</v>
      </c>
      <c r="HJ52" t="e">
        <f>AND(#REF!,"AAAAAHxf/9k=")</f>
        <v>#REF!</v>
      </c>
      <c r="HK52" t="e">
        <f>AND(#REF!,"AAAAAHxf/9o=")</f>
        <v>#REF!</v>
      </c>
      <c r="HL52" t="e">
        <f>AND(#REF!,"AAAAAHxf/9s=")</f>
        <v>#REF!</v>
      </c>
      <c r="HM52" t="e">
        <f>AND(#REF!,"AAAAAHxf/9w=")</f>
        <v>#REF!</v>
      </c>
      <c r="HN52" t="e">
        <f>AND(#REF!,"AAAAAHxf/90=")</f>
        <v>#REF!</v>
      </c>
      <c r="HO52" t="e">
        <f>AND(#REF!,"AAAAAHxf/94=")</f>
        <v>#REF!</v>
      </c>
      <c r="HP52" t="e">
        <f>AND(#REF!,"AAAAAHxf/98=")</f>
        <v>#REF!</v>
      </c>
      <c r="HQ52" t="e">
        <f>AND(#REF!,"AAAAAHxf/+A=")</f>
        <v>#REF!</v>
      </c>
      <c r="HR52" t="e">
        <f>AND(#REF!,"AAAAAHxf/+E=")</f>
        <v>#REF!</v>
      </c>
      <c r="HS52" t="e">
        <f>IF(#REF!,"AAAAAHxf/+I=",0)</f>
        <v>#REF!</v>
      </c>
      <c r="HT52" t="e">
        <f>AND(#REF!,"AAAAAHxf/+M=")</f>
        <v>#REF!</v>
      </c>
      <c r="HU52" t="e">
        <f>AND(#REF!,"AAAAAHxf/+Q=")</f>
        <v>#REF!</v>
      </c>
      <c r="HV52" t="e">
        <f>AND(#REF!,"AAAAAHxf/+U=")</f>
        <v>#REF!</v>
      </c>
      <c r="HW52" t="e">
        <f>AND(#REF!,"AAAAAHxf/+Y=")</f>
        <v>#REF!</v>
      </c>
      <c r="HX52" t="e">
        <f>AND(#REF!,"AAAAAHxf/+c=")</f>
        <v>#REF!</v>
      </c>
      <c r="HY52" t="e">
        <f>AND(#REF!,"AAAAAHxf/+g=")</f>
        <v>#REF!</v>
      </c>
      <c r="HZ52" t="e">
        <f>AND(#REF!,"AAAAAHxf/+k=")</f>
        <v>#REF!</v>
      </c>
      <c r="IA52" t="e">
        <f>AND(#REF!,"AAAAAHxf/+o=")</f>
        <v>#REF!</v>
      </c>
      <c r="IB52" t="e">
        <f>AND(#REF!,"AAAAAHxf/+s=")</f>
        <v>#REF!</v>
      </c>
      <c r="IC52" t="e">
        <f>AND(#REF!,"AAAAAHxf/+w=")</f>
        <v>#REF!</v>
      </c>
      <c r="ID52" t="e">
        <f>IF(#REF!,"AAAAAHxf/+0=",0)</f>
        <v>#REF!</v>
      </c>
      <c r="IE52" t="e">
        <f>AND(#REF!,"AAAAAHxf/+4=")</f>
        <v>#REF!</v>
      </c>
      <c r="IF52" t="e">
        <f>AND(#REF!,"AAAAAHxf/+8=")</f>
        <v>#REF!</v>
      </c>
      <c r="IG52" t="e">
        <f>AND(#REF!,"AAAAAHxf//A=")</f>
        <v>#REF!</v>
      </c>
      <c r="IH52" t="e">
        <f>AND(#REF!,"AAAAAHxf//E=")</f>
        <v>#REF!</v>
      </c>
      <c r="II52" t="e">
        <f>AND(#REF!,"AAAAAHxf//I=")</f>
        <v>#REF!</v>
      </c>
      <c r="IJ52" t="e">
        <f>AND(#REF!,"AAAAAHxf//M=")</f>
        <v>#REF!</v>
      </c>
      <c r="IK52" t="e">
        <f>AND(#REF!,"AAAAAHxf//Q=")</f>
        <v>#REF!</v>
      </c>
      <c r="IL52" t="e">
        <f>AND(#REF!,"AAAAAHxf//U=")</f>
        <v>#REF!</v>
      </c>
      <c r="IM52" t="e">
        <f>AND(#REF!,"AAAAAHxf//Y=")</f>
        <v>#REF!</v>
      </c>
      <c r="IN52" t="e">
        <f>AND(#REF!,"AAAAAHxf//c=")</f>
        <v>#REF!</v>
      </c>
      <c r="IO52" t="e">
        <f>IF(#REF!,"AAAAAHxf//g=",0)</f>
        <v>#REF!</v>
      </c>
      <c r="IP52" t="e">
        <f>AND(#REF!,"AAAAAHxf//k=")</f>
        <v>#REF!</v>
      </c>
      <c r="IQ52" t="e">
        <f>AND(#REF!,"AAAAAHxf//o=")</f>
        <v>#REF!</v>
      </c>
      <c r="IR52" t="e">
        <f>AND(#REF!,"AAAAAHxf//s=")</f>
        <v>#REF!</v>
      </c>
      <c r="IS52" t="e">
        <f>AND(#REF!,"AAAAAHxf//w=")</f>
        <v>#REF!</v>
      </c>
      <c r="IT52" t="e">
        <f>AND(#REF!,"AAAAAHxf//0=")</f>
        <v>#REF!</v>
      </c>
      <c r="IU52" t="e">
        <f>AND(#REF!,"AAAAAHxf//4=")</f>
        <v>#REF!</v>
      </c>
      <c r="IV52" t="e">
        <f>AND(#REF!,"AAAAAHxf//8=")</f>
        <v>#REF!</v>
      </c>
    </row>
    <row r="53" spans="1:256" x14ac:dyDescent="0.25">
      <c r="A53" t="e">
        <f>AND(#REF!,"AAAAAFquawA=")</f>
        <v>#REF!</v>
      </c>
      <c r="B53" t="e">
        <f>AND(#REF!,"AAAAAFquawE=")</f>
        <v>#REF!</v>
      </c>
      <c r="C53" t="e">
        <f>AND(#REF!,"AAAAAFquawI=")</f>
        <v>#REF!</v>
      </c>
      <c r="D53" t="e">
        <f>IF(#REF!,"AAAAAFquawM=",0)</f>
        <v>#REF!</v>
      </c>
      <c r="E53" t="e">
        <f>AND(#REF!,"AAAAAFquawQ=")</f>
        <v>#REF!</v>
      </c>
      <c r="F53" t="e">
        <f>AND(#REF!,"AAAAAFquawU=")</f>
        <v>#REF!</v>
      </c>
      <c r="G53" t="e">
        <f>AND(#REF!,"AAAAAFquawY=")</f>
        <v>#REF!</v>
      </c>
      <c r="H53" t="e">
        <f>AND(#REF!,"AAAAAFquawc=")</f>
        <v>#REF!</v>
      </c>
      <c r="I53" t="e">
        <f>AND(#REF!,"AAAAAFquawg=")</f>
        <v>#REF!</v>
      </c>
      <c r="J53" t="e">
        <f>AND(#REF!,"AAAAAFquawk=")</f>
        <v>#REF!</v>
      </c>
      <c r="K53" t="e">
        <f>AND(#REF!,"AAAAAFquawo=")</f>
        <v>#REF!</v>
      </c>
      <c r="L53" t="e">
        <f>AND(#REF!,"AAAAAFquaws=")</f>
        <v>#REF!</v>
      </c>
      <c r="M53" t="e">
        <f>AND(#REF!,"AAAAAFquaww=")</f>
        <v>#REF!</v>
      </c>
      <c r="N53" t="e">
        <f>AND(#REF!,"AAAAAFquaw0=")</f>
        <v>#REF!</v>
      </c>
      <c r="O53" t="e">
        <f>IF(#REF!,"AAAAAFquaw4=",0)</f>
        <v>#REF!</v>
      </c>
      <c r="P53" t="e">
        <f>AND(#REF!,"AAAAAFquaw8=")</f>
        <v>#REF!</v>
      </c>
      <c r="Q53" t="e">
        <f>AND(#REF!,"AAAAAFquaxA=")</f>
        <v>#REF!</v>
      </c>
      <c r="R53" t="e">
        <f>AND(#REF!,"AAAAAFquaxE=")</f>
        <v>#REF!</v>
      </c>
      <c r="S53" t="e">
        <f>AND(#REF!,"AAAAAFquaxI=")</f>
        <v>#REF!</v>
      </c>
      <c r="T53" t="e">
        <f>AND(#REF!,"AAAAAFquaxM=")</f>
        <v>#REF!</v>
      </c>
      <c r="U53" t="e">
        <f>AND(#REF!,"AAAAAFquaxQ=")</f>
        <v>#REF!</v>
      </c>
      <c r="V53" t="e">
        <f>AND(#REF!,"AAAAAFquaxU=")</f>
        <v>#REF!</v>
      </c>
      <c r="W53" t="e">
        <f>AND(#REF!,"AAAAAFquaxY=")</f>
        <v>#REF!</v>
      </c>
      <c r="X53" t="e">
        <f>AND(#REF!,"AAAAAFquaxc=")</f>
        <v>#REF!</v>
      </c>
      <c r="Y53" t="e">
        <f>AND(#REF!,"AAAAAFquaxg=")</f>
        <v>#REF!</v>
      </c>
      <c r="Z53" t="e">
        <f>IF(#REF!,"AAAAAFquaxk=",0)</f>
        <v>#REF!</v>
      </c>
      <c r="AA53" t="e">
        <f>AND(#REF!,"AAAAAFquaxo=")</f>
        <v>#REF!</v>
      </c>
      <c r="AB53" t="e">
        <f>AND(#REF!,"AAAAAFquaxs=")</f>
        <v>#REF!</v>
      </c>
      <c r="AC53" t="e">
        <f>AND(#REF!,"AAAAAFquaxw=")</f>
        <v>#REF!</v>
      </c>
      <c r="AD53" t="e">
        <f>AND(#REF!,"AAAAAFquax0=")</f>
        <v>#REF!</v>
      </c>
      <c r="AE53" t="e">
        <f>AND(#REF!,"AAAAAFquax4=")</f>
        <v>#REF!</v>
      </c>
      <c r="AF53" t="e">
        <f>AND(#REF!,"AAAAAFquax8=")</f>
        <v>#REF!</v>
      </c>
      <c r="AG53" t="e">
        <f>AND(#REF!,"AAAAAFquayA=")</f>
        <v>#REF!</v>
      </c>
      <c r="AH53" t="e">
        <f>AND(#REF!,"AAAAAFquayE=")</f>
        <v>#REF!</v>
      </c>
      <c r="AI53" t="e">
        <f>AND(#REF!,"AAAAAFquayI=")</f>
        <v>#REF!</v>
      </c>
      <c r="AJ53" t="e">
        <f>AND(#REF!,"AAAAAFquayM=")</f>
        <v>#REF!</v>
      </c>
      <c r="AK53" t="e">
        <f>IF(#REF!,"AAAAAFquayQ=",0)</f>
        <v>#REF!</v>
      </c>
      <c r="AL53" t="e">
        <f>AND(#REF!,"AAAAAFquayU=")</f>
        <v>#REF!</v>
      </c>
      <c r="AM53" t="e">
        <f>AND(#REF!,"AAAAAFquayY=")</f>
        <v>#REF!</v>
      </c>
      <c r="AN53" t="e">
        <f>AND(#REF!,"AAAAAFquayc=")</f>
        <v>#REF!</v>
      </c>
      <c r="AO53" t="e">
        <f>AND(#REF!,"AAAAAFquayg=")</f>
        <v>#REF!</v>
      </c>
      <c r="AP53" t="e">
        <f>AND(#REF!,"AAAAAFquayk=")</f>
        <v>#REF!</v>
      </c>
      <c r="AQ53" t="e">
        <f>AND(#REF!,"AAAAAFquayo=")</f>
        <v>#REF!</v>
      </c>
      <c r="AR53" t="e">
        <f>AND(#REF!,"AAAAAFquays=")</f>
        <v>#REF!</v>
      </c>
      <c r="AS53" t="e">
        <f>AND(#REF!,"AAAAAFquayw=")</f>
        <v>#REF!</v>
      </c>
      <c r="AT53" t="e">
        <f>AND(#REF!,"AAAAAFquay0=")</f>
        <v>#REF!</v>
      </c>
      <c r="AU53" t="e">
        <f>AND(#REF!,"AAAAAFquay4=")</f>
        <v>#REF!</v>
      </c>
      <c r="AV53" t="e">
        <f>IF(#REF!,"AAAAAFquay8=",0)</f>
        <v>#REF!</v>
      </c>
      <c r="AW53" t="e">
        <f>AND(#REF!,"AAAAAFquazA=")</f>
        <v>#REF!</v>
      </c>
      <c r="AX53" t="e">
        <f>AND(#REF!,"AAAAAFquazE=")</f>
        <v>#REF!</v>
      </c>
      <c r="AY53" t="e">
        <f>AND(#REF!,"AAAAAFquazI=")</f>
        <v>#REF!</v>
      </c>
      <c r="AZ53" t="e">
        <f>AND(#REF!,"AAAAAFquazM=")</f>
        <v>#REF!</v>
      </c>
      <c r="BA53" t="e">
        <f>AND(#REF!,"AAAAAFquazQ=")</f>
        <v>#REF!</v>
      </c>
      <c r="BB53" t="e">
        <f>AND(#REF!,"AAAAAFquazU=")</f>
        <v>#REF!</v>
      </c>
      <c r="BC53" t="e">
        <f>AND(#REF!,"AAAAAFquazY=")</f>
        <v>#REF!</v>
      </c>
      <c r="BD53" t="e">
        <f>AND(#REF!,"AAAAAFquazc=")</f>
        <v>#REF!</v>
      </c>
      <c r="BE53" t="e">
        <f>AND(#REF!,"AAAAAFquazg=")</f>
        <v>#REF!</v>
      </c>
      <c r="BF53" t="e">
        <f>AND(#REF!,"AAAAAFquazk=")</f>
        <v>#REF!</v>
      </c>
      <c r="BG53" t="e">
        <f>IF(#REF!,"AAAAAFquazo=",0)</f>
        <v>#REF!</v>
      </c>
      <c r="BH53" t="e">
        <f>AND(#REF!,"AAAAAFquazs=")</f>
        <v>#REF!</v>
      </c>
      <c r="BI53" t="e">
        <f>AND(#REF!,"AAAAAFquazw=")</f>
        <v>#REF!</v>
      </c>
      <c r="BJ53" t="e">
        <f>AND(#REF!,"AAAAAFquaz0=")</f>
        <v>#REF!</v>
      </c>
      <c r="BK53" t="e">
        <f>AND(#REF!,"AAAAAFquaz4=")</f>
        <v>#REF!</v>
      </c>
      <c r="BL53" t="e">
        <f>AND(#REF!,"AAAAAFquaz8=")</f>
        <v>#REF!</v>
      </c>
      <c r="BM53" t="e">
        <f>AND(#REF!,"AAAAAFqua0A=")</f>
        <v>#REF!</v>
      </c>
      <c r="BN53" t="e">
        <f>AND(#REF!,"AAAAAFqua0E=")</f>
        <v>#REF!</v>
      </c>
      <c r="BO53" t="e">
        <f>AND(#REF!,"AAAAAFqua0I=")</f>
        <v>#REF!</v>
      </c>
      <c r="BP53" t="e">
        <f>AND(#REF!,"AAAAAFqua0M=")</f>
        <v>#REF!</v>
      </c>
      <c r="BQ53" t="e">
        <f>AND(#REF!,"AAAAAFqua0Q=")</f>
        <v>#REF!</v>
      </c>
      <c r="BR53" t="e">
        <f>IF(#REF!,"AAAAAFqua0U=",0)</f>
        <v>#REF!</v>
      </c>
      <c r="BS53" t="e">
        <f>AND(#REF!,"AAAAAFqua0Y=")</f>
        <v>#REF!</v>
      </c>
      <c r="BT53" t="e">
        <f>AND(#REF!,"AAAAAFqua0c=")</f>
        <v>#REF!</v>
      </c>
      <c r="BU53" t="e">
        <f>AND(#REF!,"AAAAAFqua0g=")</f>
        <v>#REF!</v>
      </c>
      <c r="BV53" t="e">
        <f>AND(#REF!,"AAAAAFqua0k=")</f>
        <v>#REF!</v>
      </c>
      <c r="BW53" t="e">
        <f>AND(#REF!,"AAAAAFqua0o=")</f>
        <v>#REF!</v>
      </c>
      <c r="BX53" t="e">
        <f>AND(#REF!,"AAAAAFqua0s=")</f>
        <v>#REF!</v>
      </c>
      <c r="BY53" t="e">
        <f>AND(#REF!,"AAAAAFqua0w=")</f>
        <v>#REF!</v>
      </c>
      <c r="BZ53" t="e">
        <f>AND(#REF!,"AAAAAFqua00=")</f>
        <v>#REF!</v>
      </c>
      <c r="CA53" t="e">
        <f>AND(#REF!,"AAAAAFqua04=")</f>
        <v>#REF!</v>
      </c>
      <c r="CB53" t="e">
        <f>AND(#REF!,"AAAAAFqua08=")</f>
        <v>#REF!</v>
      </c>
      <c r="CC53" t="e">
        <f>IF(#REF!,"AAAAAFqua1A=",0)</f>
        <v>#REF!</v>
      </c>
      <c r="CD53" t="e">
        <f>AND(#REF!,"AAAAAFqua1E=")</f>
        <v>#REF!</v>
      </c>
      <c r="CE53" t="e">
        <f>AND(#REF!,"AAAAAFqua1I=")</f>
        <v>#REF!</v>
      </c>
      <c r="CF53" t="e">
        <f>AND(#REF!,"AAAAAFqua1M=")</f>
        <v>#REF!</v>
      </c>
      <c r="CG53" t="e">
        <f>AND(#REF!,"AAAAAFqua1Q=")</f>
        <v>#REF!</v>
      </c>
      <c r="CH53" t="e">
        <f>AND(#REF!,"AAAAAFqua1U=")</f>
        <v>#REF!</v>
      </c>
      <c r="CI53" t="e">
        <f>AND(#REF!,"AAAAAFqua1Y=")</f>
        <v>#REF!</v>
      </c>
      <c r="CJ53" t="e">
        <f>AND(#REF!,"AAAAAFqua1c=")</f>
        <v>#REF!</v>
      </c>
      <c r="CK53" t="e">
        <f>AND(#REF!,"AAAAAFqua1g=")</f>
        <v>#REF!</v>
      </c>
      <c r="CL53" t="e">
        <f>AND(#REF!,"AAAAAFqua1k=")</f>
        <v>#REF!</v>
      </c>
      <c r="CM53" t="e">
        <f>AND(#REF!,"AAAAAFqua1o=")</f>
        <v>#REF!</v>
      </c>
      <c r="CN53" t="e">
        <f>IF(#REF!,"AAAAAFqua1s=",0)</f>
        <v>#REF!</v>
      </c>
      <c r="CO53" t="e">
        <f>AND(#REF!,"AAAAAFqua1w=")</f>
        <v>#REF!</v>
      </c>
      <c r="CP53" t="e">
        <f>AND(#REF!,"AAAAAFqua10=")</f>
        <v>#REF!</v>
      </c>
      <c r="CQ53" t="e">
        <f>AND(#REF!,"AAAAAFqua14=")</f>
        <v>#REF!</v>
      </c>
      <c r="CR53" t="e">
        <f>AND(#REF!,"AAAAAFqua18=")</f>
        <v>#REF!</v>
      </c>
      <c r="CS53" t="e">
        <f>AND(#REF!,"AAAAAFqua2A=")</f>
        <v>#REF!</v>
      </c>
      <c r="CT53" t="e">
        <f>AND(#REF!,"AAAAAFqua2E=")</f>
        <v>#REF!</v>
      </c>
      <c r="CU53" t="e">
        <f>AND(#REF!,"AAAAAFqua2I=")</f>
        <v>#REF!</v>
      </c>
      <c r="CV53" t="e">
        <f>AND(#REF!,"AAAAAFqua2M=")</f>
        <v>#REF!</v>
      </c>
      <c r="CW53" t="e">
        <f>AND(#REF!,"AAAAAFqua2Q=")</f>
        <v>#REF!</v>
      </c>
      <c r="CX53" t="e">
        <f>AND(#REF!,"AAAAAFqua2U=")</f>
        <v>#REF!</v>
      </c>
      <c r="CY53" t="e">
        <f>IF(#REF!,"AAAAAFqua2Y=",0)</f>
        <v>#REF!</v>
      </c>
      <c r="CZ53" t="e">
        <f>AND(#REF!,"AAAAAFqua2c=")</f>
        <v>#REF!</v>
      </c>
      <c r="DA53" t="e">
        <f>AND(#REF!,"AAAAAFqua2g=")</f>
        <v>#REF!</v>
      </c>
      <c r="DB53" t="e">
        <f>AND(#REF!,"AAAAAFqua2k=")</f>
        <v>#REF!</v>
      </c>
      <c r="DC53" t="e">
        <f>AND(#REF!,"AAAAAFqua2o=")</f>
        <v>#REF!</v>
      </c>
      <c r="DD53" t="e">
        <f>AND(#REF!,"AAAAAFqua2s=")</f>
        <v>#REF!</v>
      </c>
      <c r="DE53" t="e">
        <f>AND(#REF!,"AAAAAFqua2w=")</f>
        <v>#REF!</v>
      </c>
      <c r="DF53" t="e">
        <f>AND(#REF!,"AAAAAFqua20=")</f>
        <v>#REF!</v>
      </c>
      <c r="DG53" t="e">
        <f>AND(#REF!,"AAAAAFqua24=")</f>
        <v>#REF!</v>
      </c>
      <c r="DH53" t="e">
        <f>AND(#REF!,"AAAAAFqua28=")</f>
        <v>#REF!</v>
      </c>
      <c r="DI53" t="e">
        <f>AND(#REF!,"AAAAAFqua3A=")</f>
        <v>#REF!</v>
      </c>
      <c r="DJ53" t="e">
        <f>IF(#REF!,"AAAAAFqua3E=",0)</f>
        <v>#REF!</v>
      </c>
      <c r="DK53" t="e">
        <f>AND(#REF!,"AAAAAFqua3I=")</f>
        <v>#REF!</v>
      </c>
      <c r="DL53" t="e">
        <f>AND(#REF!,"AAAAAFqua3M=")</f>
        <v>#REF!</v>
      </c>
      <c r="DM53" t="e">
        <f>AND(#REF!,"AAAAAFqua3Q=")</f>
        <v>#REF!</v>
      </c>
      <c r="DN53" t="e">
        <f>AND(#REF!,"AAAAAFqua3U=")</f>
        <v>#REF!</v>
      </c>
      <c r="DO53" t="e">
        <f>AND(#REF!,"AAAAAFqua3Y=")</f>
        <v>#REF!</v>
      </c>
      <c r="DP53" t="e">
        <f>AND(#REF!,"AAAAAFqua3c=")</f>
        <v>#REF!</v>
      </c>
      <c r="DQ53" t="e">
        <f>AND(#REF!,"AAAAAFqua3g=")</f>
        <v>#REF!</v>
      </c>
      <c r="DR53" t="e">
        <f>AND(#REF!,"AAAAAFqua3k=")</f>
        <v>#REF!</v>
      </c>
      <c r="DS53" t="e">
        <f>AND(#REF!,"AAAAAFqua3o=")</f>
        <v>#REF!</v>
      </c>
      <c r="DT53" t="e">
        <f>AND(#REF!,"AAAAAFqua3s=")</f>
        <v>#REF!</v>
      </c>
      <c r="DU53" t="e">
        <f>IF(#REF!,"AAAAAFqua3w=",0)</f>
        <v>#REF!</v>
      </c>
      <c r="DV53" t="e">
        <f>AND(#REF!,"AAAAAFqua30=")</f>
        <v>#REF!</v>
      </c>
      <c r="DW53" t="e">
        <f>AND(#REF!,"AAAAAFqua34=")</f>
        <v>#REF!</v>
      </c>
      <c r="DX53" t="e">
        <f>AND(#REF!,"AAAAAFqua38=")</f>
        <v>#REF!</v>
      </c>
      <c r="DY53" t="e">
        <f>AND(#REF!,"AAAAAFqua4A=")</f>
        <v>#REF!</v>
      </c>
      <c r="DZ53" t="e">
        <f>AND(#REF!,"AAAAAFqua4E=")</f>
        <v>#REF!</v>
      </c>
      <c r="EA53" t="e">
        <f>AND(#REF!,"AAAAAFqua4I=")</f>
        <v>#REF!</v>
      </c>
      <c r="EB53" t="e">
        <f>AND(#REF!,"AAAAAFqua4M=")</f>
        <v>#REF!</v>
      </c>
      <c r="EC53" t="e">
        <f>AND(#REF!,"AAAAAFqua4Q=")</f>
        <v>#REF!</v>
      </c>
      <c r="ED53" t="e">
        <f>AND(#REF!,"AAAAAFqua4U=")</f>
        <v>#REF!</v>
      </c>
      <c r="EE53" t="e">
        <f>AND(#REF!,"AAAAAFqua4Y=")</f>
        <v>#REF!</v>
      </c>
      <c r="EF53" t="e">
        <f>IF(#REF!,"AAAAAFqua4c=",0)</f>
        <v>#REF!</v>
      </c>
      <c r="EG53" t="e">
        <f>AND(#REF!,"AAAAAFqua4g=")</f>
        <v>#REF!</v>
      </c>
      <c r="EH53" t="e">
        <f>AND(#REF!,"AAAAAFqua4k=")</f>
        <v>#REF!</v>
      </c>
      <c r="EI53" t="e">
        <f>AND(#REF!,"AAAAAFqua4o=")</f>
        <v>#REF!</v>
      </c>
      <c r="EJ53" t="e">
        <f>AND(#REF!,"AAAAAFqua4s=")</f>
        <v>#REF!</v>
      </c>
      <c r="EK53" t="e">
        <f>AND(#REF!,"AAAAAFqua4w=")</f>
        <v>#REF!</v>
      </c>
      <c r="EL53" t="e">
        <f>AND(#REF!,"AAAAAFqua40=")</f>
        <v>#REF!</v>
      </c>
      <c r="EM53" t="e">
        <f>AND(#REF!,"AAAAAFqua44=")</f>
        <v>#REF!</v>
      </c>
      <c r="EN53" t="e">
        <f>AND(#REF!,"AAAAAFqua48=")</f>
        <v>#REF!</v>
      </c>
      <c r="EO53" t="e">
        <f>AND(#REF!,"AAAAAFqua5A=")</f>
        <v>#REF!</v>
      </c>
      <c r="EP53" t="e">
        <f>AND(#REF!,"AAAAAFqua5E=")</f>
        <v>#REF!</v>
      </c>
      <c r="EQ53" t="e">
        <f>IF(#REF!,"AAAAAFqua5I=",0)</f>
        <v>#REF!</v>
      </c>
      <c r="ER53" t="e">
        <f>AND(#REF!,"AAAAAFqua5M=")</f>
        <v>#REF!</v>
      </c>
      <c r="ES53" t="e">
        <f>AND(#REF!,"AAAAAFqua5Q=")</f>
        <v>#REF!</v>
      </c>
      <c r="ET53" t="e">
        <f>AND(#REF!,"AAAAAFqua5U=")</f>
        <v>#REF!</v>
      </c>
      <c r="EU53" t="e">
        <f>AND(#REF!,"AAAAAFqua5Y=")</f>
        <v>#REF!</v>
      </c>
      <c r="EV53" t="e">
        <f>AND(#REF!,"AAAAAFqua5c=")</f>
        <v>#REF!</v>
      </c>
      <c r="EW53" t="e">
        <f>AND(#REF!,"AAAAAFqua5g=")</f>
        <v>#REF!</v>
      </c>
      <c r="EX53" t="e">
        <f>AND(#REF!,"AAAAAFqua5k=")</f>
        <v>#REF!</v>
      </c>
      <c r="EY53" t="e">
        <f>AND(#REF!,"AAAAAFqua5o=")</f>
        <v>#REF!</v>
      </c>
      <c r="EZ53" t="e">
        <f>AND(#REF!,"AAAAAFqua5s=")</f>
        <v>#REF!</v>
      </c>
      <c r="FA53" t="e">
        <f>AND(#REF!,"AAAAAFqua5w=")</f>
        <v>#REF!</v>
      </c>
      <c r="FB53" t="e">
        <f>IF(#REF!,"AAAAAFqua50=",0)</f>
        <v>#REF!</v>
      </c>
      <c r="FC53" t="e">
        <f>AND(#REF!,"AAAAAFqua54=")</f>
        <v>#REF!</v>
      </c>
      <c r="FD53" t="e">
        <f>AND(#REF!,"AAAAAFqua58=")</f>
        <v>#REF!</v>
      </c>
      <c r="FE53" t="e">
        <f>AND(#REF!,"AAAAAFqua6A=")</f>
        <v>#REF!</v>
      </c>
      <c r="FF53" t="e">
        <f>AND(#REF!,"AAAAAFqua6E=")</f>
        <v>#REF!</v>
      </c>
      <c r="FG53" t="e">
        <f>AND(#REF!,"AAAAAFqua6I=")</f>
        <v>#REF!</v>
      </c>
      <c r="FH53" t="e">
        <f>AND(#REF!,"AAAAAFqua6M=")</f>
        <v>#REF!</v>
      </c>
      <c r="FI53" t="e">
        <f>AND(#REF!,"AAAAAFqua6Q=")</f>
        <v>#REF!</v>
      </c>
      <c r="FJ53" t="e">
        <f>AND(#REF!,"AAAAAFqua6U=")</f>
        <v>#REF!</v>
      </c>
      <c r="FK53" t="e">
        <f>AND(#REF!,"AAAAAFqua6Y=")</f>
        <v>#REF!</v>
      </c>
      <c r="FL53" t="e">
        <f>AND(#REF!,"AAAAAFqua6c=")</f>
        <v>#REF!</v>
      </c>
      <c r="FM53" t="e">
        <f>IF(#REF!,"AAAAAFqua6g=",0)</f>
        <v>#REF!</v>
      </c>
      <c r="FN53" t="e">
        <f>AND(#REF!,"AAAAAFqua6k=")</f>
        <v>#REF!</v>
      </c>
      <c r="FO53" t="e">
        <f>AND(#REF!,"AAAAAFqua6o=")</f>
        <v>#REF!</v>
      </c>
      <c r="FP53" t="e">
        <f>AND(#REF!,"AAAAAFqua6s=")</f>
        <v>#REF!</v>
      </c>
      <c r="FQ53" t="e">
        <f>AND(#REF!,"AAAAAFqua6w=")</f>
        <v>#REF!</v>
      </c>
      <c r="FR53" t="e">
        <f>AND(#REF!,"AAAAAFqua60=")</f>
        <v>#REF!</v>
      </c>
      <c r="FS53" t="e">
        <f>AND(#REF!,"AAAAAFqua64=")</f>
        <v>#REF!</v>
      </c>
      <c r="FT53" t="e">
        <f>AND(#REF!,"AAAAAFqua68=")</f>
        <v>#REF!</v>
      </c>
      <c r="FU53" t="e">
        <f>AND(#REF!,"AAAAAFqua7A=")</f>
        <v>#REF!</v>
      </c>
      <c r="FV53" t="e">
        <f>AND(#REF!,"AAAAAFqua7E=")</f>
        <v>#REF!</v>
      </c>
      <c r="FW53" t="e">
        <f>AND(#REF!,"AAAAAFqua7I=")</f>
        <v>#REF!</v>
      </c>
      <c r="FX53" t="e">
        <f>IF(#REF!,"AAAAAFqua7M=",0)</f>
        <v>#REF!</v>
      </c>
      <c r="FY53" t="e">
        <f>AND(#REF!,"AAAAAFqua7Q=")</f>
        <v>#REF!</v>
      </c>
      <c r="FZ53" t="e">
        <f>AND(#REF!,"AAAAAFqua7U=")</f>
        <v>#REF!</v>
      </c>
      <c r="GA53" t="e">
        <f>AND(#REF!,"AAAAAFqua7Y=")</f>
        <v>#REF!</v>
      </c>
      <c r="GB53" t="e">
        <f>AND(#REF!,"AAAAAFqua7c=")</f>
        <v>#REF!</v>
      </c>
      <c r="GC53" t="e">
        <f>AND(#REF!,"AAAAAFqua7g=")</f>
        <v>#REF!</v>
      </c>
      <c r="GD53" t="e">
        <f>AND(#REF!,"AAAAAFqua7k=")</f>
        <v>#REF!</v>
      </c>
      <c r="GE53" t="e">
        <f>AND(#REF!,"AAAAAFqua7o=")</f>
        <v>#REF!</v>
      </c>
      <c r="GF53" t="e">
        <f>AND(#REF!,"AAAAAFqua7s=")</f>
        <v>#REF!</v>
      </c>
      <c r="GG53" t="e">
        <f>AND(#REF!,"AAAAAFqua7w=")</f>
        <v>#REF!</v>
      </c>
      <c r="GH53" t="e">
        <f>AND(#REF!,"AAAAAFqua70=")</f>
        <v>#REF!</v>
      </c>
      <c r="GI53" t="e">
        <f>IF(#REF!,"AAAAAFqua74=",0)</f>
        <v>#REF!</v>
      </c>
      <c r="GJ53" t="e">
        <f>AND(#REF!,"AAAAAFqua78=")</f>
        <v>#REF!</v>
      </c>
      <c r="GK53" t="e">
        <f>AND(#REF!,"AAAAAFqua8A=")</f>
        <v>#REF!</v>
      </c>
      <c r="GL53" t="e">
        <f>AND(#REF!,"AAAAAFqua8E=")</f>
        <v>#REF!</v>
      </c>
      <c r="GM53" t="e">
        <f>AND(#REF!,"AAAAAFqua8I=")</f>
        <v>#REF!</v>
      </c>
      <c r="GN53" t="e">
        <f>AND(#REF!,"AAAAAFqua8M=")</f>
        <v>#REF!</v>
      </c>
      <c r="GO53" t="e">
        <f>AND(#REF!,"AAAAAFqua8Q=")</f>
        <v>#REF!</v>
      </c>
      <c r="GP53" t="e">
        <f>AND(#REF!,"AAAAAFqua8U=")</f>
        <v>#REF!</v>
      </c>
      <c r="GQ53" t="e">
        <f>AND(#REF!,"AAAAAFqua8Y=")</f>
        <v>#REF!</v>
      </c>
      <c r="GR53" t="e">
        <f>AND(#REF!,"AAAAAFqua8c=")</f>
        <v>#REF!</v>
      </c>
      <c r="GS53" t="e">
        <f>AND(#REF!,"AAAAAFqua8g=")</f>
        <v>#REF!</v>
      </c>
      <c r="GT53" t="e">
        <f>IF(#REF!,"AAAAAFqua8k=",0)</f>
        <v>#REF!</v>
      </c>
      <c r="GU53" t="e">
        <f>AND(#REF!,"AAAAAFqua8o=")</f>
        <v>#REF!</v>
      </c>
      <c r="GV53" t="e">
        <f>AND(#REF!,"AAAAAFqua8s=")</f>
        <v>#REF!</v>
      </c>
      <c r="GW53" t="e">
        <f>AND(#REF!,"AAAAAFqua8w=")</f>
        <v>#REF!</v>
      </c>
      <c r="GX53" t="e">
        <f>AND(#REF!,"AAAAAFqua80=")</f>
        <v>#REF!</v>
      </c>
      <c r="GY53" t="e">
        <f>AND(#REF!,"AAAAAFqua84=")</f>
        <v>#REF!</v>
      </c>
      <c r="GZ53" t="e">
        <f>AND(#REF!,"AAAAAFqua88=")</f>
        <v>#REF!</v>
      </c>
      <c r="HA53" t="e">
        <f>AND(#REF!,"AAAAAFqua9A=")</f>
        <v>#REF!</v>
      </c>
      <c r="HB53" t="e">
        <f>AND(#REF!,"AAAAAFqua9E=")</f>
        <v>#REF!</v>
      </c>
      <c r="HC53" t="e">
        <f>AND(#REF!,"AAAAAFqua9I=")</f>
        <v>#REF!</v>
      </c>
      <c r="HD53" t="e">
        <f>AND(#REF!,"AAAAAFqua9M=")</f>
        <v>#REF!</v>
      </c>
      <c r="HE53" t="e">
        <f>IF(#REF!,"AAAAAFqua9Q=",0)</f>
        <v>#REF!</v>
      </c>
      <c r="HF53" t="e">
        <f>AND(#REF!,"AAAAAFqua9U=")</f>
        <v>#REF!</v>
      </c>
      <c r="HG53" t="e">
        <f>AND(#REF!,"AAAAAFqua9Y=")</f>
        <v>#REF!</v>
      </c>
      <c r="HH53" t="e">
        <f>AND(#REF!,"AAAAAFqua9c=")</f>
        <v>#REF!</v>
      </c>
      <c r="HI53" t="e">
        <f>AND(#REF!,"AAAAAFqua9g=")</f>
        <v>#REF!</v>
      </c>
      <c r="HJ53" t="e">
        <f>AND(#REF!,"AAAAAFqua9k=")</f>
        <v>#REF!</v>
      </c>
      <c r="HK53" t="e">
        <f>AND(#REF!,"AAAAAFqua9o=")</f>
        <v>#REF!</v>
      </c>
      <c r="HL53" t="e">
        <f>AND(#REF!,"AAAAAFqua9s=")</f>
        <v>#REF!</v>
      </c>
      <c r="HM53" t="e">
        <f>AND(#REF!,"AAAAAFqua9w=")</f>
        <v>#REF!</v>
      </c>
      <c r="HN53" t="e">
        <f>AND(#REF!,"AAAAAFqua90=")</f>
        <v>#REF!</v>
      </c>
      <c r="HO53" t="e">
        <f>AND(#REF!,"AAAAAFqua94=")</f>
        <v>#REF!</v>
      </c>
      <c r="HP53" t="e">
        <f>IF(#REF!,"AAAAAFqua98=",0)</f>
        <v>#REF!</v>
      </c>
      <c r="HQ53" t="e">
        <f>AND(#REF!,"AAAAAFqua+A=")</f>
        <v>#REF!</v>
      </c>
      <c r="HR53" t="e">
        <f>AND(#REF!,"AAAAAFqua+E=")</f>
        <v>#REF!</v>
      </c>
      <c r="HS53" t="e">
        <f>AND(#REF!,"AAAAAFqua+I=")</f>
        <v>#REF!</v>
      </c>
      <c r="HT53" t="e">
        <f>AND(#REF!,"AAAAAFqua+M=")</f>
        <v>#REF!</v>
      </c>
      <c r="HU53" t="e">
        <f>AND(#REF!,"AAAAAFqua+Q=")</f>
        <v>#REF!</v>
      </c>
      <c r="HV53" t="e">
        <f>AND(#REF!,"AAAAAFqua+U=")</f>
        <v>#REF!</v>
      </c>
      <c r="HW53" t="e">
        <f>AND(#REF!,"AAAAAFqua+Y=")</f>
        <v>#REF!</v>
      </c>
      <c r="HX53" t="e">
        <f>AND(#REF!,"AAAAAFqua+c=")</f>
        <v>#REF!</v>
      </c>
      <c r="HY53" t="e">
        <f>AND(#REF!,"AAAAAFqua+g=")</f>
        <v>#REF!</v>
      </c>
      <c r="HZ53" t="e">
        <f>AND(#REF!,"AAAAAFqua+k=")</f>
        <v>#REF!</v>
      </c>
      <c r="IA53" t="e">
        <f>IF(#REF!,"AAAAAFqua+o=",0)</f>
        <v>#REF!</v>
      </c>
      <c r="IB53" t="e">
        <f>AND(#REF!,"AAAAAFqua+s=")</f>
        <v>#REF!</v>
      </c>
      <c r="IC53" t="e">
        <f>AND(#REF!,"AAAAAFqua+w=")</f>
        <v>#REF!</v>
      </c>
      <c r="ID53" t="e">
        <f>AND(#REF!,"AAAAAFqua+0=")</f>
        <v>#REF!</v>
      </c>
      <c r="IE53" t="e">
        <f>AND(#REF!,"AAAAAFqua+4=")</f>
        <v>#REF!</v>
      </c>
      <c r="IF53" t="e">
        <f>AND(#REF!,"AAAAAFqua+8=")</f>
        <v>#REF!</v>
      </c>
      <c r="IG53" t="e">
        <f>AND(#REF!,"AAAAAFqua/A=")</f>
        <v>#REF!</v>
      </c>
      <c r="IH53" t="e">
        <f>AND(#REF!,"AAAAAFqua/E=")</f>
        <v>#REF!</v>
      </c>
      <c r="II53" t="e">
        <f>AND(#REF!,"AAAAAFqua/I=")</f>
        <v>#REF!</v>
      </c>
      <c r="IJ53" t="e">
        <f>AND(#REF!,"AAAAAFqua/M=")</f>
        <v>#REF!</v>
      </c>
      <c r="IK53" t="e">
        <f>AND(#REF!,"AAAAAFqua/Q=")</f>
        <v>#REF!</v>
      </c>
      <c r="IL53" t="e">
        <f>IF(#REF!,"AAAAAFqua/U=",0)</f>
        <v>#REF!</v>
      </c>
      <c r="IM53" t="e">
        <f>AND(#REF!,"AAAAAFqua/Y=")</f>
        <v>#REF!</v>
      </c>
      <c r="IN53" t="e">
        <f>AND(#REF!,"AAAAAFqua/c=")</f>
        <v>#REF!</v>
      </c>
      <c r="IO53" t="e">
        <f>AND(#REF!,"AAAAAFqua/g=")</f>
        <v>#REF!</v>
      </c>
      <c r="IP53" t="e">
        <f>AND(#REF!,"AAAAAFqua/k=")</f>
        <v>#REF!</v>
      </c>
      <c r="IQ53" t="e">
        <f>AND(#REF!,"AAAAAFqua/o=")</f>
        <v>#REF!</v>
      </c>
      <c r="IR53" t="e">
        <f>AND(#REF!,"AAAAAFqua/s=")</f>
        <v>#REF!</v>
      </c>
      <c r="IS53" t="e">
        <f>AND(#REF!,"AAAAAFqua/w=")</f>
        <v>#REF!</v>
      </c>
      <c r="IT53" t="e">
        <f>AND(#REF!,"AAAAAFqua/0=")</f>
        <v>#REF!</v>
      </c>
      <c r="IU53" t="e">
        <f>AND(#REF!,"AAAAAFqua/4=")</f>
        <v>#REF!</v>
      </c>
      <c r="IV53" t="e">
        <f>AND(#REF!,"AAAAAFqua/8=")</f>
        <v>#REF!</v>
      </c>
    </row>
    <row r="54" spans="1:256" x14ac:dyDescent="0.25">
      <c r="A54" t="e">
        <f>IF(#REF!,"AAAAABn3lQA=",0)</f>
        <v>#REF!</v>
      </c>
      <c r="B54" t="e">
        <f>AND(#REF!,"AAAAABn3lQE=")</f>
        <v>#REF!</v>
      </c>
      <c r="C54" t="e">
        <f>AND(#REF!,"AAAAABn3lQI=")</f>
        <v>#REF!</v>
      </c>
      <c r="D54" t="e">
        <f>AND(#REF!,"AAAAABn3lQM=")</f>
        <v>#REF!</v>
      </c>
      <c r="E54" t="e">
        <f>AND(#REF!,"AAAAABn3lQQ=")</f>
        <v>#REF!</v>
      </c>
      <c r="F54" t="e">
        <f>AND(#REF!,"AAAAABn3lQU=")</f>
        <v>#REF!</v>
      </c>
      <c r="G54" t="e">
        <f>AND(#REF!,"AAAAABn3lQY=")</f>
        <v>#REF!</v>
      </c>
      <c r="H54" t="e">
        <f>AND(#REF!,"AAAAABn3lQc=")</f>
        <v>#REF!</v>
      </c>
      <c r="I54" t="e">
        <f>AND(#REF!,"AAAAABn3lQg=")</f>
        <v>#REF!</v>
      </c>
      <c r="J54" t="e">
        <f>AND(#REF!,"AAAAABn3lQk=")</f>
        <v>#REF!</v>
      </c>
      <c r="K54" t="e">
        <f>AND(#REF!,"AAAAABn3lQo=")</f>
        <v>#REF!</v>
      </c>
      <c r="L54" t="e">
        <f>IF(#REF!,"AAAAABn3lQs=",0)</f>
        <v>#REF!</v>
      </c>
      <c r="M54" t="e">
        <f>AND(#REF!,"AAAAABn3lQw=")</f>
        <v>#REF!</v>
      </c>
      <c r="N54" t="e">
        <f>AND(#REF!,"AAAAABn3lQ0=")</f>
        <v>#REF!</v>
      </c>
      <c r="O54" t="e">
        <f>AND(#REF!,"AAAAABn3lQ4=")</f>
        <v>#REF!</v>
      </c>
      <c r="P54" t="e">
        <f>AND(#REF!,"AAAAABn3lQ8=")</f>
        <v>#REF!</v>
      </c>
      <c r="Q54" t="e">
        <f>AND(#REF!,"AAAAABn3lRA=")</f>
        <v>#REF!</v>
      </c>
      <c r="R54" t="e">
        <f>AND(#REF!,"AAAAABn3lRE=")</f>
        <v>#REF!</v>
      </c>
      <c r="S54" t="e">
        <f>AND(#REF!,"AAAAABn3lRI=")</f>
        <v>#REF!</v>
      </c>
      <c r="T54" t="e">
        <f>AND(#REF!,"AAAAABn3lRM=")</f>
        <v>#REF!</v>
      </c>
      <c r="U54" t="e">
        <f>AND(#REF!,"AAAAABn3lRQ=")</f>
        <v>#REF!</v>
      </c>
      <c r="V54" t="e">
        <f>AND(#REF!,"AAAAABn3lRU=")</f>
        <v>#REF!</v>
      </c>
      <c r="W54" t="e">
        <f>IF(#REF!,"AAAAABn3lRY=",0)</f>
        <v>#REF!</v>
      </c>
      <c r="X54" t="e">
        <f>AND(#REF!,"AAAAABn3lRc=")</f>
        <v>#REF!</v>
      </c>
      <c r="Y54" t="e">
        <f>AND(#REF!,"AAAAABn3lRg=")</f>
        <v>#REF!</v>
      </c>
      <c r="Z54" t="e">
        <f>AND(#REF!,"AAAAABn3lRk=")</f>
        <v>#REF!</v>
      </c>
      <c r="AA54" t="e">
        <f>AND(#REF!,"AAAAABn3lRo=")</f>
        <v>#REF!</v>
      </c>
      <c r="AB54" t="e">
        <f>AND(#REF!,"AAAAABn3lRs=")</f>
        <v>#REF!</v>
      </c>
      <c r="AC54" t="e">
        <f>AND(#REF!,"AAAAABn3lRw=")</f>
        <v>#REF!</v>
      </c>
      <c r="AD54" t="e">
        <f>AND(#REF!,"AAAAABn3lR0=")</f>
        <v>#REF!</v>
      </c>
      <c r="AE54" t="e">
        <f>AND(#REF!,"AAAAABn3lR4=")</f>
        <v>#REF!</v>
      </c>
      <c r="AF54" t="e">
        <f>AND(#REF!,"AAAAABn3lR8=")</f>
        <v>#REF!</v>
      </c>
      <c r="AG54" t="e">
        <f>AND(#REF!,"AAAAABn3lSA=")</f>
        <v>#REF!</v>
      </c>
      <c r="AH54" t="e">
        <f>IF(#REF!,"AAAAABn3lSE=",0)</f>
        <v>#REF!</v>
      </c>
      <c r="AI54" t="e">
        <f>AND(#REF!,"AAAAABn3lSI=")</f>
        <v>#REF!</v>
      </c>
      <c r="AJ54" t="e">
        <f>AND(#REF!,"AAAAABn3lSM=")</f>
        <v>#REF!</v>
      </c>
      <c r="AK54" t="e">
        <f>AND(#REF!,"AAAAABn3lSQ=")</f>
        <v>#REF!</v>
      </c>
      <c r="AL54" t="e">
        <f>AND(#REF!,"AAAAABn3lSU=")</f>
        <v>#REF!</v>
      </c>
      <c r="AM54" t="e">
        <f>AND(#REF!,"AAAAABn3lSY=")</f>
        <v>#REF!</v>
      </c>
      <c r="AN54" t="e">
        <f>AND(#REF!,"AAAAABn3lSc=")</f>
        <v>#REF!</v>
      </c>
      <c r="AO54" t="e">
        <f>AND(#REF!,"AAAAABn3lSg=")</f>
        <v>#REF!</v>
      </c>
      <c r="AP54" t="e">
        <f>AND(#REF!,"AAAAABn3lSk=")</f>
        <v>#REF!</v>
      </c>
      <c r="AQ54" t="e">
        <f>AND(#REF!,"AAAAABn3lSo=")</f>
        <v>#REF!</v>
      </c>
      <c r="AR54" t="e">
        <f>AND(#REF!,"AAAAABn3lSs=")</f>
        <v>#REF!</v>
      </c>
      <c r="AS54" t="e">
        <f>IF(#REF!,"AAAAABn3lSw=",0)</f>
        <v>#REF!</v>
      </c>
      <c r="AT54" t="e">
        <f>AND(#REF!,"AAAAABn3lS0=")</f>
        <v>#REF!</v>
      </c>
      <c r="AU54" t="e">
        <f>AND(#REF!,"AAAAABn3lS4=")</f>
        <v>#REF!</v>
      </c>
      <c r="AV54" t="e">
        <f>AND(#REF!,"AAAAABn3lS8=")</f>
        <v>#REF!</v>
      </c>
      <c r="AW54" t="e">
        <f>AND(#REF!,"AAAAABn3lTA=")</f>
        <v>#REF!</v>
      </c>
      <c r="AX54" t="e">
        <f>AND(#REF!,"AAAAABn3lTE=")</f>
        <v>#REF!</v>
      </c>
      <c r="AY54" t="e">
        <f>AND(#REF!,"AAAAABn3lTI=")</f>
        <v>#REF!</v>
      </c>
      <c r="AZ54" t="e">
        <f>AND(#REF!,"AAAAABn3lTM=")</f>
        <v>#REF!</v>
      </c>
      <c r="BA54" t="e">
        <f>AND(#REF!,"AAAAABn3lTQ=")</f>
        <v>#REF!</v>
      </c>
      <c r="BB54" t="e">
        <f>AND(#REF!,"AAAAABn3lTU=")</f>
        <v>#REF!</v>
      </c>
      <c r="BC54" t="e">
        <f>AND(#REF!,"AAAAABn3lTY=")</f>
        <v>#REF!</v>
      </c>
      <c r="BD54" t="e">
        <f>IF(#REF!,"AAAAABn3lTc=",0)</f>
        <v>#REF!</v>
      </c>
      <c r="BE54" t="e">
        <f>AND(#REF!,"AAAAABn3lTg=")</f>
        <v>#REF!</v>
      </c>
      <c r="BF54" t="e">
        <f>AND(#REF!,"AAAAABn3lTk=")</f>
        <v>#REF!</v>
      </c>
      <c r="BG54" t="e">
        <f>AND(#REF!,"AAAAABn3lTo=")</f>
        <v>#REF!</v>
      </c>
      <c r="BH54" t="e">
        <f>AND(#REF!,"AAAAABn3lTs=")</f>
        <v>#REF!</v>
      </c>
      <c r="BI54" t="e">
        <f>AND(#REF!,"AAAAABn3lTw=")</f>
        <v>#REF!</v>
      </c>
      <c r="BJ54" t="e">
        <f>AND(#REF!,"AAAAABn3lT0=")</f>
        <v>#REF!</v>
      </c>
      <c r="BK54" t="e">
        <f>AND(#REF!,"AAAAABn3lT4=")</f>
        <v>#REF!</v>
      </c>
      <c r="BL54" t="e">
        <f>AND(#REF!,"AAAAABn3lT8=")</f>
        <v>#REF!</v>
      </c>
      <c r="BM54" t="e">
        <f>AND(#REF!,"AAAAABn3lUA=")</f>
        <v>#REF!</v>
      </c>
      <c r="BN54" t="e">
        <f>AND(#REF!,"AAAAABn3lUE=")</f>
        <v>#REF!</v>
      </c>
      <c r="BO54" t="e">
        <f>IF(#REF!,"AAAAABn3lUI=",0)</f>
        <v>#REF!</v>
      </c>
      <c r="BP54" t="e">
        <f>AND(#REF!,"AAAAABn3lUM=")</f>
        <v>#REF!</v>
      </c>
      <c r="BQ54" t="e">
        <f>AND(#REF!,"AAAAABn3lUQ=")</f>
        <v>#REF!</v>
      </c>
      <c r="BR54" t="e">
        <f>AND(#REF!,"AAAAABn3lUU=")</f>
        <v>#REF!</v>
      </c>
      <c r="BS54" t="e">
        <f>AND(#REF!,"AAAAABn3lUY=")</f>
        <v>#REF!</v>
      </c>
      <c r="BT54" t="e">
        <f>AND(#REF!,"AAAAABn3lUc=")</f>
        <v>#REF!</v>
      </c>
      <c r="BU54" t="e">
        <f>AND(#REF!,"AAAAABn3lUg=")</f>
        <v>#REF!</v>
      </c>
      <c r="BV54" t="e">
        <f>AND(#REF!,"AAAAABn3lUk=")</f>
        <v>#REF!</v>
      </c>
      <c r="BW54" t="e">
        <f>AND(#REF!,"AAAAABn3lUo=")</f>
        <v>#REF!</v>
      </c>
      <c r="BX54" t="e">
        <f>AND(#REF!,"AAAAABn3lUs=")</f>
        <v>#REF!</v>
      </c>
      <c r="BY54" t="e">
        <f>AND(#REF!,"AAAAABn3lUw=")</f>
        <v>#REF!</v>
      </c>
      <c r="BZ54" t="e">
        <f>IF(#REF!,"AAAAABn3lU0=",0)</f>
        <v>#REF!</v>
      </c>
      <c r="CA54" t="e">
        <f>AND(#REF!,"AAAAABn3lU4=")</f>
        <v>#REF!</v>
      </c>
      <c r="CB54" t="e">
        <f>AND(#REF!,"AAAAABn3lU8=")</f>
        <v>#REF!</v>
      </c>
      <c r="CC54" t="e">
        <f>AND(#REF!,"AAAAABn3lVA=")</f>
        <v>#REF!</v>
      </c>
      <c r="CD54" t="e">
        <f>AND(#REF!,"AAAAABn3lVE=")</f>
        <v>#REF!</v>
      </c>
      <c r="CE54" t="e">
        <f>AND(#REF!,"AAAAABn3lVI=")</f>
        <v>#REF!</v>
      </c>
      <c r="CF54" t="e">
        <f>AND(#REF!,"AAAAABn3lVM=")</f>
        <v>#REF!</v>
      </c>
      <c r="CG54" t="e">
        <f>AND(#REF!,"AAAAABn3lVQ=")</f>
        <v>#REF!</v>
      </c>
      <c r="CH54" t="e">
        <f>AND(#REF!,"AAAAABn3lVU=")</f>
        <v>#REF!</v>
      </c>
      <c r="CI54" t="e">
        <f>AND(#REF!,"AAAAABn3lVY=")</f>
        <v>#REF!</v>
      </c>
      <c r="CJ54" t="e">
        <f>AND(#REF!,"AAAAABn3lVc=")</f>
        <v>#REF!</v>
      </c>
      <c r="CK54" t="e">
        <f>IF(#REF!,"AAAAABn3lVg=",0)</f>
        <v>#REF!</v>
      </c>
      <c r="CL54" t="e">
        <f>AND(#REF!,"AAAAABn3lVk=")</f>
        <v>#REF!</v>
      </c>
      <c r="CM54" t="e">
        <f>AND(#REF!,"AAAAABn3lVo=")</f>
        <v>#REF!</v>
      </c>
      <c r="CN54" t="e">
        <f>AND(#REF!,"AAAAABn3lVs=")</f>
        <v>#REF!</v>
      </c>
      <c r="CO54" t="e">
        <f>AND(#REF!,"AAAAABn3lVw=")</f>
        <v>#REF!</v>
      </c>
      <c r="CP54" t="e">
        <f>AND(#REF!,"AAAAABn3lV0=")</f>
        <v>#REF!</v>
      </c>
      <c r="CQ54" t="e">
        <f>AND(#REF!,"AAAAABn3lV4=")</f>
        <v>#REF!</v>
      </c>
      <c r="CR54" t="e">
        <f>AND(#REF!,"AAAAABn3lV8=")</f>
        <v>#REF!</v>
      </c>
      <c r="CS54" t="e">
        <f>AND(#REF!,"AAAAABn3lWA=")</f>
        <v>#REF!</v>
      </c>
      <c r="CT54" t="e">
        <f>AND(#REF!,"AAAAABn3lWE=")</f>
        <v>#REF!</v>
      </c>
      <c r="CU54" t="e">
        <f>AND(#REF!,"AAAAABn3lWI=")</f>
        <v>#REF!</v>
      </c>
      <c r="CV54" t="e">
        <f>IF(#REF!,"AAAAABn3lWM=",0)</f>
        <v>#REF!</v>
      </c>
      <c r="CW54" t="e">
        <f>AND(#REF!,"AAAAABn3lWQ=")</f>
        <v>#REF!</v>
      </c>
      <c r="CX54" t="e">
        <f>AND(#REF!,"AAAAABn3lWU=")</f>
        <v>#REF!</v>
      </c>
      <c r="CY54" t="e">
        <f>AND(#REF!,"AAAAABn3lWY=")</f>
        <v>#REF!</v>
      </c>
      <c r="CZ54" t="e">
        <f>AND(#REF!,"AAAAABn3lWc=")</f>
        <v>#REF!</v>
      </c>
      <c r="DA54" t="e">
        <f>AND(#REF!,"AAAAABn3lWg=")</f>
        <v>#REF!</v>
      </c>
      <c r="DB54" t="e">
        <f>AND(#REF!,"AAAAABn3lWk=")</f>
        <v>#REF!</v>
      </c>
      <c r="DC54" t="e">
        <f>AND(#REF!,"AAAAABn3lWo=")</f>
        <v>#REF!</v>
      </c>
      <c r="DD54" t="e">
        <f>AND(#REF!,"AAAAABn3lWs=")</f>
        <v>#REF!</v>
      </c>
      <c r="DE54" t="e">
        <f>AND(#REF!,"AAAAABn3lWw=")</f>
        <v>#REF!</v>
      </c>
      <c r="DF54" t="e">
        <f>AND(#REF!,"AAAAABn3lW0=")</f>
        <v>#REF!</v>
      </c>
      <c r="DG54" t="e">
        <f>IF(#REF!,"AAAAABn3lW4=",0)</f>
        <v>#REF!</v>
      </c>
      <c r="DH54" t="e">
        <f>AND(#REF!,"AAAAABn3lW8=")</f>
        <v>#REF!</v>
      </c>
      <c r="DI54" t="e">
        <f>AND(#REF!,"AAAAABn3lXA=")</f>
        <v>#REF!</v>
      </c>
      <c r="DJ54" t="e">
        <f>AND(#REF!,"AAAAABn3lXE=")</f>
        <v>#REF!</v>
      </c>
      <c r="DK54" t="e">
        <f>AND(#REF!,"AAAAABn3lXI=")</f>
        <v>#REF!</v>
      </c>
      <c r="DL54" t="e">
        <f>AND(#REF!,"AAAAABn3lXM=")</f>
        <v>#REF!</v>
      </c>
      <c r="DM54" t="e">
        <f>AND(#REF!,"AAAAABn3lXQ=")</f>
        <v>#REF!</v>
      </c>
      <c r="DN54" t="e">
        <f>AND(#REF!,"AAAAABn3lXU=")</f>
        <v>#REF!</v>
      </c>
      <c r="DO54" t="e">
        <f>AND(#REF!,"AAAAABn3lXY=")</f>
        <v>#REF!</v>
      </c>
      <c r="DP54" t="e">
        <f>AND(#REF!,"AAAAABn3lXc=")</f>
        <v>#REF!</v>
      </c>
      <c r="DQ54" t="e">
        <f>AND(#REF!,"AAAAABn3lXg=")</f>
        <v>#REF!</v>
      </c>
      <c r="DR54" t="e">
        <f>IF(#REF!,"AAAAABn3lXk=",0)</f>
        <v>#REF!</v>
      </c>
      <c r="DS54" t="e">
        <f>AND(#REF!,"AAAAABn3lXo=")</f>
        <v>#REF!</v>
      </c>
      <c r="DT54" t="e">
        <f>AND(#REF!,"AAAAABn3lXs=")</f>
        <v>#REF!</v>
      </c>
      <c r="DU54" t="e">
        <f>AND(#REF!,"AAAAABn3lXw=")</f>
        <v>#REF!</v>
      </c>
      <c r="DV54" t="e">
        <f>AND(#REF!,"AAAAABn3lX0=")</f>
        <v>#REF!</v>
      </c>
      <c r="DW54" t="e">
        <f>AND(#REF!,"AAAAABn3lX4=")</f>
        <v>#REF!</v>
      </c>
      <c r="DX54" t="e">
        <f>AND(#REF!,"AAAAABn3lX8=")</f>
        <v>#REF!</v>
      </c>
      <c r="DY54" t="e">
        <f>AND(#REF!,"AAAAABn3lYA=")</f>
        <v>#REF!</v>
      </c>
      <c r="DZ54" t="e">
        <f>AND(#REF!,"AAAAABn3lYE=")</f>
        <v>#REF!</v>
      </c>
      <c r="EA54" t="e">
        <f>AND(#REF!,"AAAAABn3lYI=")</f>
        <v>#REF!</v>
      </c>
      <c r="EB54" t="e">
        <f>AND(#REF!,"AAAAABn3lYM=")</f>
        <v>#REF!</v>
      </c>
      <c r="EC54" t="e">
        <f>IF(#REF!,"AAAAABn3lYQ=",0)</f>
        <v>#REF!</v>
      </c>
      <c r="ED54" t="e">
        <f>AND(#REF!,"AAAAABn3lYU=")</f>
        <v>#REF!</v>
      </c>
      <c r="EE54" t="e">
        <f>AND(#REF!,"AAAAABn3lYY=")</f>
        <v>#REF!</v>
      </c>
      <c r="EF54" t="e">
        <f>AND(#REF!,"AAAAABn3lYc=")</f>
        <v>#REF!</v>
      </c>
      <c r="EG54" t="e">
        <f>AND(#REF!,"AAAAABn3lYg=")</f>
        <v>#REF!</v>
      </c>
      <c r="EH54" t="e">
        <f>AND(#REF!,"AAAAABn3lYk=")</f>
        <v>#REF!</v>
      </c>
      <c r="EI54" t="e">
        <f>AND(#REF!,"AAAAABn3lYo=")</f>
        <v>#REF!</v>
      </c>
      <c r="EJ54" t="e">
        <f>AND(#REF!,"AAAAABn3lYs=")</f>
        <v>#REF!</v>
      </c>
      <c r="EK54" t="e">
        <f>AND(#REF!,"AAAAABn3lYw=")</f>
        <v>#REF!</v>
      </c>
      <c r="EL54" t="e">
        <f>AND(#REF!,"AAAAABn3lY0=")</f>
        <v>#REF!</v>
      </c>
      <c r="EM54" t="e">
        <f>AND(#REF!,"AAAAABn3lY4=")</f>
        <v>#REF!</v>
      </c>
      <c r="EN54" t="e">
        <f>IF(#REF!,"AAAAABn3lY8=",0)</f>
        <v>#REF!</v>
      </c>
      <c r="EO54" t="e">
        <f>AND(#REF!,"AAAAABn3lZA=")</f>
        <v>#REF!</v>
      </c>
      <c r="EP54" t="e">
        <f>AND(#REF!,"AAAAABn3lZE=")</f>
        <v>#REF!</v>
      </c>
      <c r="EQ54" t="e">
        <f>AND(#REF!,"AAAAABn3lZI=")</f>
        <v>#REF!</v>
      </c>
      <c r="ER54" t="e">
        <f>AND(#REF!,"AAAAABn3lZM=")</f>
        <v>#REF!</v>
      </c>
      <c r="ES54" t="e">
        <f>AND(#REF!,"AAAAABn3lZQ=")</f>
        <v>#REF!</v>
      </c>
      <c r="ET54" t="e">
        <f>AND(#REF!,"AAAAABn3lZU=")</f>
        <v>#REF!</v>
      </c>
      <c r="EU54" t="e">
        <f>AND(#REF!,"AAAAABn3lZY=")</f>
        <v>#REF!</v>
      </c>
      <c r="EV54" t="e">
        <f>AND(#REF!,"AAAAABn3lZc=")</f>
        <v>#REF!</v>
      </c>
      <c r="EW54" t="e">
        <f>AND(#REF!,"AAAAABn3lZg=")</f>
        <v>#REF!</v>
      </c>
      <c r="EX54" t="e">
        <f>AND(#REF!,"AAAAABn3lZk=")</f>
        <v>#REF!</v>
      </c>
      <c r="EY54" t="e">
        <f>IF(#REF!,"AAAAABn3lZo=",0)</f>
        <v>#REF!</v>
      </c>
      <c r="EZ54" t="e">
        <f>AND(#REF!,"AAAAABn3lZs=")</f>
        <v>#REF!</v>
      </c>
      <c r="FA54" t="e">
        <f>AND(#REF!,"AAAAABn3lZw=")</f>
        <v>#REF!</v>
      </c>
      <c r="FB54" t="e">
        <f>AND(#REF!,"AAAAABn3lZ0=")</f>
        <v>#REF!</v>
      </c>
      <c r="FC54" t="e">
        <f>AND(#REF!,"AAAAABn3lZ4=")</f>
        <v>#REF!</v>
      </c>
      <c r="FD54" t="e">
        <f>AND(#REF!,"AAAAABn3lZ8=")</f>
        <v>#REF!</v>
      </c>
      <c r="FE54" t="e">
        <f>AND(#REF!,"AAAAABn3laA=")</f>
        <v>#REF!</v>
      </c>
      <c r="FF54" t="e">
        <f>AND(#REF!,"AAAAABn3laE=")</f>
        <v>#REF!</v>
      </c>
      <c r="FG54" t="e">
        <f>AND(#REF!,"AAAAABn3laI=")</f>
        <v>#REF!</v>
      </c>
      <c r="FH54" t="e">
        <f>AND(#REF!,"AAAAABn3laM=")</f>
        <v>#REF!</v>
      </c>
      <c r="FI54" t="e">
        <f>AND(#REF!,"AAAAABn3laQ=")</f>
        <v>#REF!</v>
      </c>
      <c r="FJ54" t="e">
        <f>IF(#REF!,"AAAAABn3laU=",0)</f>
        <v>#REF!</v>
      </c>
      <c r="FK54" t="e">
        <f>AND(#REF!,"AAAAABn3laY=")</f>
        <v>#REF!</v>
      </c>
      <c r="FL54" t="e">
        <f>AND(#REF!,"AAAAABn3lac=")</f>
        <v>#REF!</v>
      </c>
      <c r="FM54" t="e">
        <f>AND(#REF!,"AAAAABn3lag=")</f>
        <v>#REF!</v>
      </c>
      <c r="FN54" t="e">
        <f>AND(#REF!,"AAAAABn3lak=")</f>
        <v>#REF!</v>
      </c>
      <c r="FO54" t="e">
        <f>AND(#REF!,"AAAAABn3lao=")</f>
        <v>#REF!</v>
      </c>
      <c r="FP54" t="e">
        <f>AND(#REF!,"AAAAABn3las=")</f>
        <v>#REF!</v>
      </c>
      <c r="FQ54" t="e">
        <f>AND(#REF!,"AAAAABn3law=")</f>
        <v>#REF!</v>
      </c>
      <c r="FR54" t="e">
        <f>AND(#REF!,"AAAAABn3la0=")</f>
        <v>#REF!</v>
      </c>
      <c r="FS54" t="e">
        <f>AND(#REF!,"AAAAABn3la4=")</f>
        <v>#REF!</v>
      </c>
      <c r="FT54" t="e">
        <f>AND(#REF!,"AAAAABn3la8=")</f>
        <v>#REF!</v>
      </c>
      <c r="FU54" t="e">
        <f>IF(#REF!,"AAAAABn3lbA=",0)</f>
        <v>#REF!</v>
      </c>
      <c r="FV54" t="e">
        <f>AND(#REF!,"AAAAABn3lbE=")</f>
        <v>#REF!</v>
      </c>
      <c r="FW54" t="e">
        <f>AND(#REF!,"AAAAABn3lbI=")</f>
        <v>#REF!</v>
      </c>
      <c r="FX54" t="e">
        <f>AND(#REF!,"AAAAABn3lbM=")</f>
        <v>#REF!</v>
      </c>
      <c r="FY54" t="e">
        <f>AND(#REF!,"AAAAABn3lbQ=")</f>
        <v>#REF!</v>
      </c>
      <c r="FZ54" t="e">
        <f>AND(#REF!,"AAAAABn3lbU=")</f>
        <v>#REF!</v>
      </c>
      <c r="GA54" t="e">
        <f>AND(#REF!,"AAAAABn3lbY=")</f>
        <v>#REF!</v>
      </c>
      <c r="GB54" t="e">
        <f>AND(#REF!,"AAAAABn3lbc=")</f>
        <v>#REF!</v>
      </c>
      <c r="GC54" t="e">
        <f>AND(#REF!,"AAAAABn3lbg=")</f>
        <v>#REF!</v>
      </c>
      <c r="GD54" t="e">
        <f>AND(#REF!,"AAAAABn3lbk=")</f>
        <v>#REF!</v>
      </c>
      <c r="GE54" t="e">
        <f>AND(#REF!,"AAAAABn3lbo=")</f>
        <v>#REF!</v>
      </c>
      <c r="GF54" t="e">
        <f>IF(#REF!,"AAAAABn3lbs=",0)</f>
        <v>#REF!</v>
      </c>
      <c r="GG54" t="e">
        <f>AND(#REF!,"AAAAABn3lbw=")</f>
        <v>#REF!</v>
      </c>
      <c r="GH54" t="e">
        <f>AND(#REF!,"AAAAABn3lb0=")</f>
        <v>#REF!</v>
      </c>
      <c r="GI54" t="e">
        <f>AND(#REF!,"AAAAABn3lb4=")</f>
        <v>#REF!</v>
      </c>
      <c r="GJ54" t="e">
        <f>AND(#REF!,"AAAAABn3lb8=")</f>
        <v>#REF!</v>
      </c>
      <c r="GK54" t="e">
        <f>AND(#REF!,"AAAAABn3lcA=")</f>
        <v>#REF!</v>
      </c>
      <c r="GL54" t="e">
        <f>AND(#REF!,"AAAAABn3lcE=")</f>
        <v>#REF!</v>
      </c>
      <c r="GM54" t="e">
        <f>AND(#REF!,"AAAAABn3lcI=")</f>
        <v>#REF!</v>
      </c>
      <c r="GN54" t="e">
        <f>AND(#REF!,"AAAAABn3lcM=")</f>
        <v>#REF!</v>
      </c>
      <c r="GO54" t="e">
        <f>AND(#REF!,"AAAAABn3lcQ=")</f>
        <v>#REF!</v>
      </c>
      <c r="GP54" t="e">
        <f>AND(#REF!,"AAAAABn3lcU=")</f>
        <v>#REF!</v>
      </c>
      <c r="GQ54" t="e">
        <f>IF(#REF!,"AAAAABn3lcY=",0)</f>
        <v>#REF!</v>
      </c>
      <c r="GR54" t="e">
        <f>AND(#REF!,"AAAAABn3lcc=")</f>
        <v>#REF!</v>
      </c>
      <c r="GS54" t="e">
        <f>AND(#REF!,"AAAAABn3lcg=")</f>
        <v>#REF!</v>
      </c>
      <c r="GT54" t="e">
        <f>AND(#REF!,"AAAAABn3lck=")</f>
        <v>#REF!</v>
      </c>
      <c r="GU54" t="e">
        <f>AND(#REF!,"AAAAABn3lco=")</f>
        <v>#REF!</v>
      </c>
      <c r="GV54" t="e">
        <f>AND(#REF!,"AAAAABn3lcs=")</f>
        <v>#REF!</v>
      </c>
      <c r="GW54" t="e">
        <f>AND(#REF!,"AAAAABn3lcw=")</f>
        <v>#REF!</v>
      </c>
      <c r="GX54" t="e">
        <f>AND(#REF!,"AAAAABn3lc0=")</f>
        <v>#REF!</v>
      </c>
      <c r="GY54" t="e">
        <f>AND(#REF!,"AAAAABn3lc4=")</f>
        <v>#REF!</v>
      </c>
      <c r="GZ54" t="e">
        <f>AND(#REF!,"AAAAABn3lc8=")</f>
        <v>#REF!</v>
      </c>
      <c r="HA54" t="e">
        <f>AND(#REF!,"AAAAABn3ldA=")</f>
        <v>#REF!</v>
      </c>
      <c r="HB54" t="e">
        <f>IF(#REF!,"AAAAABn3ldE=",0)</f>
        <v>#REF!</v>
      </c>
      <c r="HC54" t="e">
        <f>AND(#REF!,"AAAAABn3ldI=")</f>
        <v>#REF!</v>
      </c>
      <c r="HD54" t="e">
        <f>AND(#REF!,"AAAAABn3ldM=")</f>
        <v>#REF!</v>
      </c>
      <c r="HE54" t="e">
        <f>AND(#REF!,"AAAAABn3ldQ=")</f>
        <v>#REF!</v>
      </c>
      <c r="HF54" t="e">
        <f>AND(#REF!,"AAAAABn3ldU=")</f>
        <v>#REF!</v>
      </c>
      <c r="HG54" t="e">
        <f>AND(#REF!,"AAAAABn3ldY=")</f>
        <v>#REF!</v>
      </c>
      <c r="HH54" t="e">
        <f>AND(#REF!,"AAAAABn3ldc=")</f>
        <v>#REF!</v>
      </c>
      <c r="HI54" t="e">
        <f>AND(#REF!,"AAAAABn3ldg=")</f>
        <v>#REF!</v>
      </c>
      <c r="HJ54" t="e">
        <f>AND(#REF!,"AAAAABn3ldk=")</f>
        <v>#REF!</v>
      </c>
      <c r="HK54" t="e">
        <f>AND(#REF!,"AAAAABn3ldo=")</f>
        <v>#REF!</v>
      </c>
      <c r="HL54" t="e">
        <f>AND(#REF!,"AAAAABn3lds=")</f>
        <v>#REF!</v>
      </c>
      <c r="HM54" t="e">
        <f>IF(#REF!,"AAAAABn3ldw=",0)</f>
        <v>#REF!</v>
      </c>
      <c r="HN54" t="e">
        <f>AND(#REF!,"AAAAABn3ld0=")</f>
        <v>#REF!</v>
      </c>
      <c r="HO54" t="e">
        <f>AND(#REF!,"AAAAABn3ld4=")</f>
        <v>#REF!</v>
      </c>
      <c r="HP54" t="e">
        <f>AND(#REF!,"AAAAABn3ld8=")</f>
        <v>#REF!</v>
      </c>
      <c r="HQ54" t="e">
        <f>AND(#REF!,"AAAAABn3leA=")</f>
        <v>#REF!</v>
      </c>
      <c r="HR54" t="e">
        <f>AND(#REF!,"AAAAABn3leE=")</f>
        <v>#REF!</v>
      </c>
      <c r="HS54" t="e">
        <f>AND(#REF!,"AAAAABn3leI=")</f>
        <v>#REF!</v>
      </c>
      <c r="HT54" t="e">
        <f>AND(#REF!,"AAAAABn3leM=")</f>
        <v>#REF!</v>
      </c>
      <c r="HU54" t="e">
        <f>AND(#REF!,"AAAAABn3leQ=")</f>
        <v>#REF!</v>
      </c>
      <c r="HV54" t="e">
        <f>AND(#REF!,"AAAAABn3leU=")</f>
        <v>#REF!</v>
      </c>
      <c r="HW54" t="e">
        <f>AND(#REF!,"AAAAABn3leY=")</f>
        <v>#REF!</v>
      </c>
      <c r="HX54" t="e">
        <f>IF(#REF!,"AAAAABn3lec=",0)</f>
        <v>#REF!</v>
      </c>
      <c r="HY54" t="e">
        <f>AND(#REF!,"AAAAABn3leg=")</f>
        <v>#REF!</v>
      </c>
      <c r="HZ54" t="e">
        <f>AND(#REF!,"AAAAABn3lek=")</f>
        <v>#REF!</v>
      </c>
      <c r="IA54" t="e">
        <f>AND(#REF!,"AAAAABn3leo=")</f>
        <v>#REF!</v>
      </c>
      <c r="IB54" t="e">
        <f>AND(#REF!,"AAAAABn3les=")</f>
        <v>#REF!</v>
      </c>
      <c r="IC54" t="e">
        <f>AND(#REF!,"AAAAABn3lew=")</f>
        <v>#REF!</v>
      </c>
      <c r="ID54" t="e">
        <f>AND(#REF!,"AAAAABn3le0=")</f>
        <v>#REF!</v>
      </c>
      <c r="IE54" t="e">
        <f>AND(#REF!,"AAAAABn3le4=")</f>
        <v>#REF!</v>
      </c>
      <c r="IF54" t="e">
        <f>AND(#REF!,"AAAAABn3le8=")</f>
        <v>#REF!</v>
      </c>
      <c r="IG54" t="e">
        <f>AND(#REF!,"AAAAABn3lfA=")</f>
        <v>#REF!</v>
      </c>
      <c r="IH54" t="e">
        <f>AND(#REF!,"AAAAABn3lfE=")</f>
        <v>#REF!</v>
      </c>
      <c r="II54" t="e">
        <f>IF(#REF!,"AAAAABn3lfI=",0)</f>
        <v>#REF!</v>
      </c>
      <c r="IJ54" t="e">
        <f>AND(#REF!,"AAAAABn3lfM=")</f>
        <v>#REF!</v>
      </c>
      <c r="IK54" t="e">
        <f>AND(#REF!,"AAAAABn3lfQ=")</f>
        <v>#REF!</v>
      </c>
      <c r="IL54" t="e">
        <f>AND(#REF!,"AAAAABn3lfU=")</f>
        <v>#REF!</v>
      </c>
      <c r="IM54" t="e">
        <f>AND(#REF!,"AAAAABn3lfY=")</f>
        <v>#REF!</v>
      </c>
      <c r="IN54" t="e">
        <f>AND(#REF!,"AAAAABn3lfc=")</f>
        <v>#REF!</v>
      </c>
      <c r="IO54" t="e">
        <f>AND(#REF!,"AAAAABn3lfg=")</f>
        <v>#REF!</v>
      </c>
      <c r="IP54" t="e">
        <f>AND(#REF!,"AAAAABn3lfk=")</f>
        <v>#REF!</v>
      </c>
      <c r="IQ54" t="e">
        <f>AND(#REF!,"AAAAABn3lfo=")</f>
        <v>#REF!</v>
      </c>
      <c r="IR54" t="e">
        <f>AND(#REF!,"AAAAABn3lfs=")</f>
        <v>#REF!</v>
      </c>
      <c r="IS54" t="e">
        <f>AND(#REF!,"AAAAABn3lfw=")</f>
        <v>#REF!</v>
      </c>
      <c r="IT54" t="e">
        <f>IF(#REF!,"AAAAABn3lf0=",0)</f>
        <v>#REF!</v>
      </c>
      <c r="IU54" t="e">
        <f>AND(#REF!,"AAAAABn3lf4=")</f>
        <v>#REF!</v>
      </c>
      <c r="IV54" t="e">
        <f>AND(#REF!,"AAAAABn3lf8=")</f>
        <v>#REF!</v>
      </c>
    </row>
    <row r="55" spans="1:256" x14ac:dyDescent="0.25">
      <c r="A55" t="e">
        <f>AND(#REF!,"AAAAAH/7vwA=")</f>
        <v>#REF!</v>
      </c>
      <c r="B55" t="e">
        <f>AND(#REF!,"AAAAAH/7vwE=")</f>
        <v>#REF!</v>
      </c>
      <c r="C55" t="e">
        <f>AND(#REF!,"AAAAAH/7vwI=")</f>
        <v>#REF!</v>
      </c>
      <c r="D55" t="e">
        <f>AND(#REF!,"AAAAAH/7vwM=")</f>
        <v>#REF!</v>
      </c>
      <c r="E55" t="e">
        <f>AND(#REF!,"AAAAAH/7vwQ=")</f>
        <v>#REF!</v>
      </c>
      <c r="F55" t="e">
        <f>AND(#REF!,"AAAAAH/7vwU=")</f>
        <v>#REF!</v>
      </c>
      <c r="G55" t="e">
        <f>AND(#REF!,"AAAAAH/7vwY=")</f>
        <v>#REF!</v>
      </c>
      <c r="H55" t="e">
        <f>AND(#REF!,"AAAAAH/7vwc=")</f>
        <v>#REF!</v>
      </c>
      <c r="I55" t="e">
        <f>IF(#REF!,"AAAAAH/7vwg=",0)</f>
        <v>#REF!</v>
      </c>
      <c r="J55" t="e">
        <f>AND(#REF!,"AAAAAH/7vwk=")</f>
        <v>#REF!</v>
      </c>
      <c r="K55" t="e">
        <f>AND(#REF!,"AAAAAH/7vwo=")</f>
        <v>#REF!</v>
      </c>
      <c r="L55" t="e">
        <f>AND(#REF!,"AAAAAH/7vws=")</f>
        <v>#REF!</v>
      </c>
      <c r="M55" t="e">
        <f>AND(#REF!,"AAAAAH/7vww=")</f>
        <v>#REF!</v>
      </c>
      <c r="N55" t="e">
        <f>AND(#REF!,"AAAAAH/7vw0=")</f>
        <v>#REF!</v>
      </c>
      <c r="O55" t="e">
        <f>AND(#REF!,"AAAAAH/7vw4=")</f>
        <v>#REF!</v>
      </c>
      <c r="P55" t="e">
        <f>AND(#REF!,"AAAAAH/7vw8=")</f>
        <v>#REF!</v>
      </c>
      <c r="Q55" t="e">
        <f>AND(#REF!,"AAAAAH/7vxA=")</f>
        <v>#REF!</v>
      </c>
      <c r="R55" t="e">
        <f>AND(#REF!,"AAAAAH/7vxE=")</f>
        <v>#REF!</v>
      </c>
      <c r="S55" t="e">
        <f>AND(#REF!,"AAAAAH/7vxI=")</f>
        <v>#REF!</v>
      </c>
      <c r="T55" t="e">
        <f>IF(#REF!,"AAAAAH/7vxM=",0)</f>
        <v>#REF!</v>
      </c>
      <c r="U55" t="e">
        <f>AND(#REF!,"AAAAAH/7vxQ=")</f>
        <v>#REF!</v>
      </c>
      <c r="V55" t="e">
        <f>AND(#REF!,"AAAAAH/7vxU=")</f>
        <v>#REF!</v>
      </c>
      <c r="W55" t="e">
        <f>AND(#REF!,"AAAAAH/7vxY=")</f>
        <v>#REF!</v>
      </c>
      <c r="X55" t="e">
        <f>AND(#REF!,"AAAAAH/7vxc=")</f>
        <v>#REF!</v>
      </c>
      <c r="Y55" t="e">
        <f>AND(#REF!,"AAAAAH/7vxg=")</f>
        <v>#REF!</v>
      </c>
      <c r="Z55" t="e">
        <f>AND(#REF!,"AAAAAH/7vxk=")</f>
        <v>#REF!</v>
      </c>
      <c r="AA55" t="e">
        <f>AND(#REF!,"AAAAAH/7vxo=")</f>
        <v>#REF!</v>
      </c>
      <c r="AB55" t="e">
        <f>AND(#REF!,"AAAAAH/7vxs=")</f>
        <v>#REF!</v>
      </c>
      <c r="AC55" t="e">
        <f>AND(#REF!,"AAAAAH/7vxw=")</f>
        <v>#REF!</v>
      </c>
      <c r="AD55" t="e">
        <f>AND(#REF!,"AAAAAH/7vx0=")</f>
        <v>#REF!</v>
      </c>
      <c r="AE55" t="e">
        <f>IF(#REF!,"AAAAAH/7vx4=",0)</f>
        <v>#REF!</v>
      </c>
      <c r="AF55" t="e">
        <f>AND(#REF!,"AAAAAH/7vx8=")</f>
        <v>#REF!</v>
      </c>
      <c r="AG55" t="e">
        <f>AND(#REF!,"AAAAAH/7vyA=")</f>
        <v>#REF!</v>
      </c>
      <c r="AH55" t="e">
        <f>AND(#REF!,"AAAAAH/7vyE=")</f>
        <v>#REF!</v>
      </c>
      <c r="AI55" t="e">
        <f>AND(#REF!,"AAAAAH/7vyI=")</f>
        <v>#REF!</v>
      </c>
      <c r="AJ55" t="e">
        <f>AND(#REF!,"AAAAAH/7vyM=")</f>
        <v>#REF!</v>
      </c>
      <c r="AK55" t="e">
        <f>AND(#REF!,"AAAAAH/7vyQ=")</f>
        <v>#REF!</v>
      </c>
      <c r="AL55" t="e">
        <f>AND(#REF!,"AAAAAH/7vyU=")</f>
        <v>#REF!</v>
      </c>
      <c r="AM55" t="e">
        <f>AND(#REF!,"AAAAAH/7vyY=")</f>
        <v>#REF!</v>
      </c>
      <c r="AN55" t="e">
        <f>AND(#REF!,"AAAAAH/7vyc=")</f>
        <v>#REF!</v>
      </c>
      <c r="AO55" t="e">
        <f>AND(#REF!,"AAAAAH/7vyg=")</f>
        <v>#REF!</v>
      </c>
      <c r="AP55" t="e">
        <f>IF(#REF!,"AAAAAH/7vyk=",0)</f>
        <v>#REF!</v>
      </c>
      <c r="AQ55" t="e">
        <f>AND(#REF!,"AAAAAH/7vyo=")</f>
        <v>#REF!</v>
      </c>
      <c r="AR55" t="e">
        <f>AND(#REF!,"AAAAAH/7vys=")</f>
        <v>#REF!</v>
      </c>
      <c r="AS55" t="e">
        <f>AND(#REF!,"AAAAAH/7vyw=")</f>
        <v>#REF!</v>
      </c>
      <c r="AT55" t="e">
        <f>AND(#REF!,"AAAAAH/7vy0=")</f>
        <v>#REF!</v>
      </c>
      <c r="AU55" t="e">
        <f>AND(#REF!,"AAAAAH/7vy4=")</f>
        <v>#REF!</v>
      </c>
      <c r="AV55" t="e">
        <f>AND(#REF!,"AAAAAH/7vy8=")</f>
        <v>#REF!</v>
      </c>
      <c r="AW55" t="e">
        <f>AND(#REF!,"AAAAAH/7vzA=")</f>
        <v>#REF!</v>
      </c>
      <c r="AX55" t="e">
        <f>AND(#REF!,"AAAAAH/7vzE=")</f>
        <v>#REF!</v>
      </c>
      <c r="AY55" t="e">
        <f>AND(#REF!,"AAAAAH/7vzI=")</f>
        <v>#REF!</v>
      </c>
      <c r="AZ55" t="e">
        <f>AND(#REF!,"AAAAAH/7vzM=")</f>
        <v>#REF!</v>
      </c>
      <c r="BA55" t="e">
        <f>IF(#REF!,"AAAAAH/7vzQ=",0)</f>
        <v>#REF!</v>
      </c>
      <c r="BB55" t="e">
        <f>AND(#REF!,"AAAAAH/7vzU=")</f>
        <v>#REF!</v>
      </c>
      <c r="BC55" t="e">
        <f>AND(#REF!,"AAAAAH/7vzY=")</f>
        <v>#REF!</v>
      </c>
      <c r="BD55" t="e">
        <f>AND(#REF!,"AAAAAH/7vzc=")</f>
        <v>#REF!</v>
      </c>
      <c r="BE55" t="e">
        <f>AND(#REF!,"AAAAAH/7vzg=")</f>
        <v>#REF!</v>
      </c>
      <c r="BF55" t="e">
        <f>AND(#REF!,"AAAAAH/7vzk=")</f>
        <v>#REF!</v>
      </c>
      <c r="BG55" t="e">
        <f>AND(#REF!,"AAAAAH/7vzo=")</f>
        <v>#REF!</v>
      </c>
      <c r="BH55" t="e">
        <f>AND(#REF!,"AAAAAH/7vzs=")</f>
        <v>#REF!</v>
      </c>
      <c r="BI55" t="e">
        <f>AND(#REF!,"AAAAAH/7vzw=")</f>
        <v>#REF!</v>
      </c>
      <c r="BJ55" t="e">
        <f>AND(#REF!,"AAAAAH/7vz0=")</f>
        <v>#REF!</v>
      </c>
      <c r="BK55" t="e">
        <f>AND(#REF!,"AAAAAH/7vz4=")</f>
        <v>#REF!</v>
      </c>
      <c r="BL55" t="e">
        <f>IF(#REF!,"AAAAAH/7vz8=",0)</f>
        <v>#REF!</v>
      </c>
      <c r="BM55" t="e">
        <f>AND(#REF!,"AAAAAH/7v0A=")</f>
        <v>#REF!</v>
      </c>
      <c r="BN55" t="e">
        <f>AND(#REF!,"AAAAAH/7v0E=")</f>
        <v>#REF!</v>
      </c>
      <c r="BO55" t="e">
        <f>AND(#REF!,"AAAAAH/7v0I=")</f>
        <v>#REF!</v>
      </c>
      <c r="BP55" t="e">
        <f>AND(#REF!,"AAAAAH/7v0M=")</f>
        <v>#REF!</v>
      </c>
      <c r="BQ55" t="e">
        <f>AND(#REF!,"AAAAAH/7v0Q=")</f>
        <v>#REF!</v>
      </c>
      <c r="BR55" t="e">
        <f>AND(#REF!,"AAAAAH/7v0U=")</f>
        <v>#REF!</v>
      </c>
      <c r="BS55" t="e">
        <f>AND(#REF!,"AAAAAH/7v0Y=")</f>
        <v>#REF!</v>
      </c>
      <c r="BT55" t="e">
        <f>AND(#REF!,"AAAAAH/7v0c=")</f>
        <v>#REF!</v>
      </c>
      <c r="BU55" t="e">
        <f>AND(#REF!,"AAAAAH/7v0g=")</f>
        <v>#REF!</v>
      </c>
      <c r="BV55" t="e">
        <f>AND(#REF!,"AAAAAH/7v0k=")</f>
        <v>#REF!</v>
      </c>
      <c r="BW55" t="e">
        <f>IF(#REF!,"AAAAAH/7v0o=",0)</f>
        <v>#REF!</v>
      </c>
      <c r="BX55" t="e">
        <f>AND(#REF!,"AAAAAH/7v0s=")</f>
        <v>#REF!</v>
      </c>
      <c r="BY55" t="e">
        <f>AND(#REF!,"AAAAAH/7v0w=")</f>
        <v>#REF!</v>
      </c>
      <c r="BZ55" t="e">
        <f>AND(#REF!,"AAAAAH/7v00=")</f>
        <v>#REF!</v>
      </c>
      <c r="CA55" t="e">
        <f>AND(#REF!,"AAAAAH/7v04=")</f>
        <v>#REF!</v>
      </c>
      <c r="CB55" t="e">
        <f>AND(#REF!,"AAAAAH/7v08=")</f>
        <v>#REF!</v>
      </c>
      <c r="CC55" t="e">
        <f>AND(#REF!,"AAAAAH/7v1A=")</f>
        <v>#REF!</v>
      </c>
      <c r="CD55" t="e">
        <f>AND(#REF!,"AAAAAH/7v1E=")</f>
        <v>#REF!</v>
      </c>
      <c r="CE55" t="e">
        <f>AND(#REF!,"AAAAAH/7v1I=")</f>
        <v>#REF!</v>
      </c>
      <c r="CF55" t="e">
        <f>AND(#REF!,"AAAAAH/7v1M=")</f>
        <v>#REF!</v>
      </c>
      <c r="CG55" t="e">
        <f>AND(#REF!,"AAAAAH/7v1Q=")</f>
        <v>#REF!</v>
      </c>
      <c r="CH55" t="e">
        <f>IF(#REF!,"AAAAAH/7v1U=",0)</f>
        <v>#REF!</v>
      </c>
      <c r="CI55" t="e">
        <f>AND(#REF!,"AAAAAH/7v1Y=")</f>
        <v>#REF!</v>
      </c>
      <c r="CJ55" t="e">
        <f>AND(#REF!,"AAAAAH/7v1c=")</f>
        <v>#REF!</v>
      </c>
      <c r="CK55" t="e">
        <f>AND(#REF!,"AAAAAH/7v1g=")</f>
        <v>#REF!</v>
      </c>
      <c r="CL55" t="e">
        <f>AND(#REF!,"AAAAAH/7v1k=")</f>
        <v>#REF!</v>
      </c>
      <c r="CM55" t="e">
        <f>AND(#REF!,"AAAAAH/7v1o=")</f>
        <v>#REF!</v>
      </c>
      <c r="CN55" t="e">
        <f>AND(#REF!,"AAAAAH/7v1s=")</f>
        <v>#REF!</v>
      </c>
      <c r="CO55" t="e">
        <f>AND(#REF!,"AAAAAH/7v1w=")</f>
        <v>#REF!</v>
      </c>
      <c r="CP55" t="e">
        <f>AND(#REF!,"AAAAAH/7v10=")</f>
        <v>#REF!</v>
      </c>
      <c r="CQ55" t="e">
        <f>AND(#REF!,"AAAAAH/7v14=")</f>
        <v>#REF!</v>
      </c>
      <c r="CR55" t="e">
        <f>AND(#REF!,"AAAAAH/7v18=")</f>
        <v>#REF!</v>
      </c>
      <c r="CS55" t="e">
        <f>IF(#REF!,"AAAAAH/7v2A=",0)</f>
        <v>#REF!</v>
      </c>
      <c r="CT55" t="e">
        <f>AND(#REF!,"AAAAAH/7v2E=")</f>
        <v>#REF!</v>
      </c>
      <c r="CU55" t="e">
        <f>AND(#REF!,"AAAAAH/7v2I=")</f>
        <v>#REF!</v>
      </c>
      <c r="CV55" t="e">
        <f>AND(#REF!,"AAAAAH/7v2M=")</f>
        <v>#REF!</v>
      </c>
      <c r="CW55" t="e">
        <f>AND(#REF!,"AAAAAH/7v2Q=")</f>
        <v>#REF!</v>
      </c>
      <c r="CX55" t="e">
        <f>AND(#REF!,"AAAAAH/7v2U=")</f>
        <v>#REF!</v>
      </c>
      <c r="CY55" t="e">
        <f>AND(#REF!,"AAAAAH/7v2Y=")</f>
        <v>#REF!</v>
      </c>
      <c r="CZ55" t="e">
        <f>AND(#REF!,"AAAAAH/7v2c=")</f>
        <v>#REF!</v>
      </c>
      <c r="DA55" t="e">
        <f>AND(#REF!,"AAAAAH/7v2g=")</f>
        <v>#REF!</v>
      </c>
      <c r="DB55" t="e">
        <f>AND(#REF!,"AAAAAH/7v2k=")</f>
        <v>#REF!</v>
      </c>
      <c r="DC55" t="e">
        <f>AND(#REF!,"AAAAAH/7v2o=")</f>
        <v>#REF!</v>
      </c>
      <c r="DD55" t="e">
        <f>IF(#REF!,"AAAAAH/7v2s=",0)</f>
        <v>#REF!</v>
      </c>
      <c r="DE55" t="e">
        <f>AND(#REF!,"AAAAAH/7v2w=")</f>
        <v>#REF!</v>
      </c>
      <c r="DF55" t="e">
        <f>AND(#REF!,"AAAAAH/7v20=")</f>
        <v>#REF!</v>
      </c>
      <c r="DG55" t="e">
        <f>AND(#REF!,"AAAAAH/7v24=")</f>
        <v>#REF!</v>
      </c>
      <c r="DH55" t="e">
        <f>AND(#REF!,"AAAAAH/7v28=")</f>
        <v>#REF!</v>
      </c>
      <c r="DI55" t="e">
        <f>AND(#REF!,"AAAAAH/7v3A=")</f>
        <v>#REF!</v>
      </c>
      <c r="DJ55" t="e">
        <f>AND(#REF!,"AAAAAH/7v3E=")</f>
        <v>#REF!</v>
      </c>
      <c r="DK55" t="e">
        <f>AND(#REF!,"AAAAAH/7v3I=")</f>
        <v>#REF!</v>
      </c>
      <c r="DL55" t="e">
        <f>AND(#REF!,"AAAAAH/7v3M=")</f>
        <v>#REF!</v>
      </c>
      <c r="DM55" t="e">
        <f>AND(#REF!,"AAAAAH/7v3Q=")</f>
        <v>#REF!</v>
      </c>
      <c r="DN55" t="e">
        <f>AND(#REF!,"AAAAAH/7v3U=")</f>
        <v>#REF!</v>
      </c>
      <c r="DO55" t="e">
        <f>IF(#REF!,"AAAAAH/7v3Y=",0)</f>
        <v>#REF!</v>
      </c>
      <c r="DP55" t="e">
        <f>AND(#REF!,"AAAAAH/7v3c=")</f>
        <v>#REF!</v>
      </c>
      <c r="DQ55" t="e">
        <f>AND(#REF!,"AAAAAH/7v3g=")</f>
        <v>#REF!</v>
      </c>
      <c r="DR55" t="e">
        <f>AND(#REF!,"AAAAAH/7v3k=")</f>
        <v>#REF!</v>
      </c>
      <c r="DS55" t="e">
        <f>AND(#REF!,"AAAAAH/7v3o=")</f>
        <v>#REF!</v>
      </c>
      <c r="DT55" t="e">
        <f>AND(#REF!,"AAAAAH/7v3s=")</f>
        <v>#REF!</v>
      </c>
      <c r="DU55" t="e">
        <f>AND(#REF!,"AAAAAH/7v3w=")</f>
        <v>#REF!</v>
      </c>
      <c r="DV55" t="e">
        <f>AND(#REF!,"AAAAAH/7v30=")</f>
        <v>#REF!</v>
      </c>
      <c r="DW55" t="e">
        <f>AND(#REF!,"AAAAAH/7v34=")</f>
        <v>#REF!</v>
      </c>
      <c r="DX55" t="e">
        <f>AND(#REF!,"AAAAAH/7v38=")</f>
        <v>#REF!</v>
      </c>
      <c r="DY55" t="e">
        <f>AND(#REF!,"AAAAAH/7v4A=")</f>
        <v>#REF!</v>
      </c>
      <c r="DZ55" t="e">
        <f>IF(#REF!,"AAAAAH/7v4E=",0)</f>
        <v>#REF!</v>
      </c>
      <c r="EA55" t="e">
        <f>AND(#REF!,"AAAAAH/7v4I=")</f>
        <v>#REF!</v>
      </c>
      <c r="EB55" t="e">
        <f>AND(#REF!,"AAAAAH/7v4M=")</f>
        <v>#REF!</v>
      </c>
      <c r="EC55" t="e">
        <f>AND(#REF!,"AAAAAH/7v4Q=")</f>
        <v>#REF!</v>
      </c>
      <c r="ED55" t="e">
        <f>AND(#REF!,"AAAAAH/7v4U=")</f>
        <v>#REF!</v>
      </c>
      <c r="EE55" t="e">
        <f>AND(#REF!,"AAAAAH/7v4Y=")</f>
        <v>#REF!</v>
      </c>
      <c r="EF55" t="e">
        <f>AND(#REF!,"AAAAAH/7v4c=")</f>
        <v>#REF!</v>
      </c>
      <c r="EG55" t="e">
        <f>AND(#REF!,"AAAAAH/7v4g=")</f>
        <v>#REF!</v>
      </c>
      <c r="EH55" t="e">
        <f>AND(#REF!,"AAAAAH/7v4k=")</f>
        <v>#REF!</v>
      </c>
      <c r="EI55" t="e">
        <f>AND(#REF!,"AAAAAH/7v4o=")</f>
        <v>#REF!</v>
      </c>
      <c r="EJ55" t="e">
        <f>AND(#REF!,"AAAAAH/7v4s=")</f>
        <v>#REF!</v>
      </c>
      <c r="EK55" t="e">
        <f>IF(#REF!,"AAAAAH/7v4w=",0)</f>
        <v>#REF!</v>
      </c>
      <c r="EL55" t="e">
        <f>AND(#REF!,"AAAAAH/7v40=")</f>
        <v>#REF!</v>
      </c>
      <c r="EM55" t="e">
        <f>AND(#REF!,"AAAAAH/7v44=")</f>
        <v>#REF!</v>
      </c>
      <c r="EN55" t="e">
        <f>AND(#REF!,"AAAAAH/7v48=")</f>
        <v>#REF!</v>
      </c>
      <c r="EO55" t="e">
        <f>AND(#REF!,"AAAAAH/7v5A=")</f>
        <v>#REF!</v>
      </c>
      <c r="EP55" t="e">
        <f>AND(#REF!,"AAAAAH/7v5E=")</f>
        <v>#REF!</v>
      </c>
      <c r="EQ55" t="e">
        <f>AND(#REF!,"AAAAAH/7v5I=")</f>
        <v>#REF!</v>
      </c>
      <c r="ER55" t="e">
        <f>AND(#REF!,"AAAAAH/7v5M=")</f>
        <v>#REF!</v>
      </c>
      <c r="ES55" t="e">
        <f>AND(#REF!,"AAAAAH/7v5Q=")</f>
        <v>#REF!</v>
      </c>
      <c r="ET55" t="e">
        <f>AND(#REF!,"AAAAAH/7v5U=")</f>
        <v>#REF!</v>
      </c>
      <c r="EU55" t="e">
        <f>AND(#REF!,"AAAAAH/7v5Y=")</f>
        <v>#REF!</v>
      </c>
      <c r="EV55" t="e">
        <f>IF(#REF!,"AAAAAH/7v5c=",0)</f>
        <v>#REF!</v>
      </c>
      <c r="EW55" t="e">
        <f>AND(#REF!,"AAAAAH/7v5g=")</f>
        <v>#REF!</v>
      </c>
      <c r="EX55" t="e">
        <f>AND(#REF!,"AAAAAH/7v5k=")</f>
        <v>#REF!</v>
      </c>
      <c r="EY55" t="e">
        <f>AND(#REF!,"AAAAAH/7v5o=")</f>
        <v>#REF!</v>
      </c>
      <c r="EZ55" t="e">
        <f>AND(#REF!,"AAAAAH/7v5s=")</f>
        <v>#REF!</v>
      </c>
      <c r="FA55" t="e">
        <f>AND(#REF!,"AAAAAH/7v5w=")</f>
        <v>#REF!</v>
      </c>
      <c r="FB55" t="e">
        <f>AND(#REF!,"AAAAAH/7v50=")</f>
        <v>#REF!</v>
      </c>
      <c r="FC55" t="e">
        <f>AND(#REF!,"AAAAAH/7v54=")</f>
        <v>#REF!</v>
      </c>
      <c r="FD55" t="e">
        <f>AND(#REF!,"AAAAAH/7v58=")</f>
        <v>#REF!</v>
      </c>
      <c r="FE55" t="e">
        <f>AND(#REF!,"AAAAAH/7v6A=")</f>
        <v>#REF!</v>
      </c>
      <c r="FF55" t="e">
        <f>AND(#REF!,"AAAAAH/7v6E=")</f>
        <v>#REF!</v>
      </c>
      <c r="FG55" t="e">
        <f>IF(#REF!,"AAAAAH/7v6I=",0)</f>
        <v>#REF!</v>
      </c>
      <c r="FH55" t="e">
        <f>AND(#REF!,"AAAAAH/7v6M=")</f>
        <v>#REF!</v>
      </c>
      <c r="FI55" t="e">
        <f>AND(#REF!,"AAAAAH/7v6Q=")</f>
        <v>#REF!</v>
      </c>
      <c r="FJ55" t="e">
        <f>AND(#REF!,"AAAAAH/7v6U=")</f>
        <v>#REF!</v>
      </c>
      <c r="FK55" t="e">
        <f>AND(#REF!,"AAAAAH/7v6Y=")</f>
        <v>#REF!</v>
      </c>
      <c r="FL55" t="e">
        <f>AND(#REF!,"AAAAAH/7v6c=")</f>
        <v>#REF!</v>
      </c>
      <c r="FM55" t="e">
        <f>AND(#REF!,"AAAAAH/7v6g=")</f>
        <v>#REF!</v>
      </c>
      <c r="FN55" t="e">
        <f>AND(#REF!,"AAAAAH/7v6k=")</f>
        <v>#REF!</v>
      </c>
      <c r="FO55" t="e">
        <f>AND(#REF!,"AAAAAH/7v6o=")</f>
        <v>#REF!</v>
      </c>
      <c r="FP55" t="e">
        <f>AND(#REF!,"AAAAAH/7v6s=")</f>
        <v>#REF!</v>
      </c>
      <c r="FQ55" t="e">
        <f>AND(#REF!,"AAAAAH/7v6w=")</f>
        <v>#REF!</v>
      </c>
      <c r="FR55" t="e">
        <f>IF(#REF!,"AAAAAH/7v60=",0)</f>
        <v>#REF!</v>
      </c>
      <c r="FS55" t="e">
        <f>AND(#REF!,"AAAAAH/7v64=")</f>
        <v>#REF!</v>
      </c>
      <c r="FT55" t="e">
        <f>AND(#REF!,"AAAAAH/7v68=")</f>
        <v>#REF!</v>
      </c>
      <c r="FU55" t="e">
        <f>AND(#REF!,"AAAAAH/7v7A=")</f>
        <v>#REF!</v>
      </c>
      <c r="FV55" t="e">
        <f>AND(#REF!,"AAAAAH/7v7E=")</f>
        <v>#REF!</v>
      </c>
      <c r="FW55" t="e">
        <f>AND(#REF!,"AAAAAH/7v7I=")</f>
        <v>#REF!</v>
      </c>
      <c r="FX55" t="e">
        <f>AND(#REF!,"AAAAAH/7v7M=")</f>
        <v>#REF!</v>
      </c>
      <c r="FY55" t="e">
        <f>AND(#REF!,"AAAAAH/7v7Q=")</f>
        <v>#REF!</v>
      </c>
      <c r="FZ55" t="e">
        <f>AND(#REF!,"AAAAAH/7v7U=")</f>
        <v>#REF!</v>
      </c>
      <c r="GA55" t="e">
        <f>AND(#REF!,"AAAAAH/7v7Y=")</f>
        <v>#REF!</v>
      </c>
      <c r="GB55" t="e">
        <f>AND(#REF!,"AAAAAH/7v7c=")</f>
        <v>#REF!</v>
      </c>
      <c r="GC55" t="e">
        <f>IF(#REF!,"AAAAAH/7v7g=",0)</f>
        <v>#REF!</v>
      </c>
      <c r="GD55" t="e">
        <f>AND(#REF!,"AAAAAH/7v7k=")</f>
        <v>#REF!</v>
      </c>
      <c r="GE55" t="e">
        <f>AND(#REF!,"AAAAAH/7v7o=")</f>
        <v>#REF!</v>
      </c>
      <c r="GF55" t="e">
        <f>AND(#REF!,"AAAAAH/7v7s=")</f>
        <v>#REF!</v>
      </c>
      <c r="GG55" t="e">
        <f>AND(#REF!,"AAAAAH/7v7w=")</f>
        <v>#REF!</v>
      </c>
      <c r="GH55" t="e">
        <f>AND(#REF!,"AAAAAH/7v70=")</f>
        <v>#REF!</v>
      </c>
      <c r="GI55" t="e">
        <f>AND(#REF!,"AAAAAH/7v74=")</f>
        <v>#REF!</v>
      </c>
      <c r="GJ55" t="e">
        <f>AND(#REF!,"AAAAAH/7v78=")</f>
        <v>#REF!</v>
      </c>
      <c r="GK55" t="e">
        <f>AND(#REF!,"AAAAAH/7v8A=")</f>
        <v>#REF!</v>
      </c>
      <c r="GL55" t="e">
        <f>AND(#REF!,"AAAAAH/7v8E=")</f>
        <v>#REF!</v>
      </c>
      <c r="GM55" t="e">
        <f>AND(#REF!,"AAAAAH/7v8I=")</f>
        <v>#REF!</v>
      </c>
      <c r="GN55" t="e">
        <f>IF(#REF!,"AAAAAH/7v8M=",0)</f>
        <v>#REF!</v>
      </c>
      <c r="GO55" t="e">
        <f>AND(#REF!,"AAAAAH/7v8Q=")</f>
        <v>#REF!</v>
      </c>
      <c r="GP55" t="e">
        <f>AND(#REF!,"AAAAAH/7v8U=")</f>
        <v>#REF!</v>
      </c>
      <c r="GQ55" t="e">
        <f>AND(#REF!,"AAAAAH/7v8Y=")</f>
        <v>#REF!</v>
      </c>
      <c r="GR55" t="e">
        <f>AND(#REF!,"AAAAAH/7v8c=")</f>
        <v>#REF!</v>
      </c>
      <c r="GS55" t="e">
        <f>AND(#REF!,"AAAAAH/7v8g=")</f>
        <v>#REF!</v>
      </c>
      <c r="GT55" t="e">
        <f>AND(#REF!,"AAAAAH/7v8k=")</f>
        <v>#REF!</v>
      </c>
      <c r="GU55" t="e">
        <f>AND(#REF!,"AAAAAH/7v8o=")</f>
        <v>#REF!</v>
      </c>
      <c r="GV55" t="e">
        <f>AND(#REF!,"AAAAAH/7v8s=")</f>
        <v>#REF!</v>
      </c>
      <c r="GW55" t="e">
        <f>AND(#REF!,"AAAAAH/7v8w=")</f>
        <v>#REF!</v>
      </c>
      <c r="GX55" t="e">
        <f>AND(#REF!,"AAAAAH/7v80=")</f>
        <v>#REF!</v>
      </c>
      <c r="GY55" t="e">
        <f>IF(#REF!,"AAAAAH/7v84=",0)</f>
        <v>#REF!</v>
      </c>
      <c r="GZ55" t="e">
        <f>AND(#REF!,"AAAAAH/7v88=")</f>
        <v>#REF!</v>
      </c>
      <c r="HA55" t="e">
        <f>AND(#REF!,"AAAAAH/7v9A=")</f>
        <v>#REF!</v>
      </c>
      <c r="HB55" t="e">
        <f>AND(#REF!,"AAAAAH/7v9E=")</f>
        <v>#REF!</v>
      </c>
      <c r="HC55" t="e">
        <f>AND(#REF!,"AAAAAH/7v9I=")</f>
        <v>#REF!</v>
      </c>
      <c r="HD55" t="e">
        <f>AND(#REF!,"AAAAAH/7v9M=")</f>
        <v>#REF!</v>
      </c>
      <c r="HE55" t="e">
        <f>AND(#REF!,"AAAAAH/7v9Q=")</f>
        <v>#REF!</v>
      </c>
      <c r="HF55" t="e">
        <f>AND(#REF!,"AAAAAH/7v9U=")</f>
        <v>#REF!</v>
      </c>
      <c r="HG55" t="e">
        <f>AND(#REF!,"AAAAAH/7v9Y=")</f>
        <v>#REF!</v>
      </c>
      <c r="HH55" t="e">
        <f>AND(#REF!,"AAAAAH/7v9c=")</f>
        <v>#REF!</v>
      </c>
      <c r="HI55" t="e">
        <f>AND(#REF!,"AAAAAH/7v9g=")</f>
        <v>#REF!</v>
      </c>
      <c r="HJ55" t="e">
        <f>IF(#REF!,"AAAAAH/7v9k=",0)</f>
        <v>#REF!</v>
      </c>
      <c r="HK55" t="e">
        <f>AND(#REF!,"AAAAAH/7v9o=")</f>
        <v>#REF!</v>
      </c>
      <c r="HL55" t="e">
        <f>AND(#REF!,"AAAAAH/7v9s=")</f>
        <v>#REF!</v>
      </c>
      <c r="HM55" t="e">
        <f>AND(#REF!,"AAAAAH/7v9w=")</f>
        <v>#REF!</v>
      </c>
      <c r="HN55" t="e">
        <f>AND(#REF!,"AAAAAH/7v90=")</f>
        <v>#REF!</v>
      </c>
      <c r="HO55" t="e">
        <f>AND(#REF!,"AAAAAH/7v94=")</f>
        <v>#REF!</v>
      </c>
      <c r="HP55" t="e">
        <f>AND(#REF!,"AAAAAH/7v98=")</f>
        <v>#REF!</v>
      </c>
      <c r="HQ55" t="e">
        <f>AND(#REF!,"AAAAAH/7v+A=")</f>
        <v>#REF!</v>
      </c>
      <c r="HR55" t="e">
        <f>AND(#REF!,"AAAAAH/7v+E=")</f>
        <v>#REF!</v>
      </c>
      <c r="HS55" t="e">
        <f>AND(#REF!,"AAAAAH/7v+I=")</f>
        <v>#REF!</v>
      </c>
      <c r="HT55" t="e">
        <f>AND(#REF!,"AAAAAH/7v+M=")</f>
        <v>#REF!</v>
      </c>
      <c r="HU55" t="e">
        <f>IF(#REF!,"AAAAAH/7v+Q=",0)</f>
        <v>#REF!</v>
      </c>
      <c r="HV55" t="e">
        <f>AND(#REF!,"AAAAAH/7v+U=")</f>
        <v>#REF!</v>
      </c>
      <c r="HW55" t="e">
        <f>AND(#REF!,"AAAAAH/7v+Y=")</f>
        <v>#REF!</v>
      </c>
      <c r="HX55" t="e">
        <f>AND(#REF!,"AAAAAH/7v+c=")</f>
        <v>#REF!</v>
      </c>
      <c r="HY55" t="e">
        <f>AND(#REF!,"AAAAAH/7v+g=")</f>
        <v>#REF!</v>
      </c>
      <c r="HZ55" t="e">
        <f>AND(#REF!,"AAAAAH/7v+k=")</f>
        <v>#REF!</v>
      </c>
      <c r="IA55" t="e">
        <f>AND(#REF!,"AAAAAH/7v+o=")</f>
        <v>#REF!</v>
      </c>
      <c r="IB55" t="e">
        <f>AND(#REF!,"AAAAAH/7v+s=")</f>
        <v>#REF!</v>
      </c>
      <c r="IC55" t="e">
        <f>AND(#REF!,"AAAAAH/7v+w=")</f>
        <v>#REF!</v>
      </c>
      <c r="ID55" t="e">
        <f>AND(#REF!,"AAAAAH/7v+0=")</f>
        <v>#REF!</v>
      </c>
      <c r="IE55" t="e">
        <f>AND(#REF!,"AAAAAH/7v+4=")</f>
        <v>#REF!</v>
      </c>
      <c r="IF55" t="e">
        <f>IF(#REF!,"AAAAAH/7v+8=",0)</f>
        <v>#REF!</v>
      </c>
      <c r="IG55" t="e">
        <f>AND(#REF!,"AAAAAH/7v/A=")</f>
        <v>#REF!</v>
      </c>
      <c r="IH55" t="e">
        <f>AND(#REF!,"AAAAAH/7v/E=")</f>
        <v>#REF!</v>
      </c>
      <c r="II55" t="e">
        <f>AND(#REF!,"AAAAAH/7v/I=")</f>
        <v>#REF!</v>
      </c>
      <c r="IJ55" t="e">
        <f>AND(#REF!,"AAAAAH/7v/M=")</f>
        <v>#REF!</v>
      </c>
      <c r="IK55" t="e">
        <f>AND(#REF!,"AAAAAH/7v/Q=")</f>
        <v>#REF!</v>
      </c>
      <c r="IL55" t="e">
        <f>AND(#REF!,"AAAAAH/7v/U=")</f>
        <v>#REF!</v>
      </c>
      <c r="IM55" t="e">
        <f>AND(#REF!,"AAAAAH/7v/Y=")</f>
        <v>#REF!</v>
      </c>
      <c r="IN55" t="e">
        <f>AND(#REF!,"AAAAAH/7v/c=")</f>
        <v>#REF!</v>
      </c>
      <c r="IO55" t="e">
        <f>AND(#REF!,"AAAAAH/7v/g=")</f>
        <v>#REF!</v>
      </c>
      <c r="IP55" t="e">
        <f>AND(#REF!,"AAAAAH/7v/k=")</f>
        <v>#REF!</v>
      </c>
      <c r="IQ55" t="e">
        <f>IF(#REF!,"AAAAAH/7v/o=",0)</f>
        <v>#REF!</v>
      </c>
      <c r="IR55" t="e">
        <f>AND(#REF!,"AAAAAH/7v/s=")</f>
        <v>#REF!</v>
      </c>
      <c r="IS55" t="e">
        <f>AND(#REF!,"AAAAAH/7v/w=")</f>
        <v>#REF!</v>
      </c>
      <c r="IT55" t="e">
        <f>AND(#REF!,"AAAAAH/7v/0=")</f>
        <v>#REF!</v>
      </c>
      <c r="IU55" t="e">
        <f>AND(#REF!,"AAAAAH/7v/4=")</f>
        <v>#REF!</v>
      </c>
      <c r="IV55" t="e">
        <f>AND(#REF!,"AAAAAH/7v/8=")</f>
        <v>#REF!</v>
      </c>
    </row>
    <row r="56" spans="1:256" x14ac:dyDescent="0.25">
      <c r="A56" t="e">
        <f>AND(#REF!,"AAAAAD/vbwA=")</f>
        <v>#REF!</v>
      </c>
      <c r="B56" t="e">
        <f>AND(#REF!,"AAAAAD/vbwE=")</f>
        <v>#REF!</v>
      </c>
      <c r="C56" t="e">
        <f>AND(#REF!,"AAAAAD/vbwI=")</f>
        <v>#REF!</v>
      </c>
      <c r="D56" t="e">
        <f>AND(#REF!,"AAAAAD/vbwM=")</f>
        <v>#REF!</v>
      </c>
      <c r="E56" t="e">
        <f>AND(#REF!,"AAAAAD/vbwQ=")</f>
        <v>#REF!</v>
      </c>
      <c r="F56" t="e">
        <f>IF(#REF!,"AAAAAD/vbwU=",0)</f>
        <v>#REF!</v>
      </c>
      <c r="G56" t="e">
        <f>AND(#REF!,"AAAAAD/vbwY=")</f>
        <v>#REF!</v>
      </c>
      <c r="H56" t="e">
        <f>AND(#REF!,"AAAAAD/vbwc=")</f>
        <v>#REF!</v>
      </c>
      <c r="I56" t="e">
        <f>AND(#REF!,"AAAAAD/vbwg=")</f>
        <v>#REF!</v>
      </c>
      <c r="J56" t="e">
        <f>AND(#REF!,"AAAAAD/vbwk=")</f>
        <v>#REF!</v>
      </c>
      <c r="K56" t="e">
        <f>AND(#REF!,"AAAAAD/vbwo=")</f>
        <v>#REF!</v>
      </c>
      <c r="L56" t="e">
        <f>AND(#REF!,"AAAAAD/vbws=")</f>
        <v>#REF!</v>
      </c>
      <c r="M56" t="e">
        <f>AND(#REF!,"AAAAAD/vbww=")</f>
        <v>#REF!</v>
      </c>
      <c r="N56" t="e">
        <f>AND(#REF!,"AAAAAD/vbw0=")</f>
        <v>#REF!</v>
      </c>
      <c r="O56" t="e">
        <f>AND(#REF!,"AAAAAD/vbw4=")</f>
        <v>#REF!</v>
      </c>
      <c r="P56" t="e">
        <f>AND(#REF!,"AAAAAD/vbw8=")</f>
        <v>#REF!</v>
      </c>
      <c r="Q56" t="e">
        <f>IF(#REF!,"AAAAAD/vbxA=",0)</f>
        <v>#REF!</v>
      </c>
      <c r="R56" t="e">
        <f>AND(#REF!,"AAAAAD/vbxE=")</f>
        <v>#REF!</v>
      </c>
      <c r="S56" t="e">
        <f>AND(#REF!,"AAAAAD/vbxI=")</f>
        <v>#REF!</v>
      </c>
      <c r="T56" t="e">
        <f>AND(#REF!,"AAAAAD/vbxM=")</f>
        <v>#REF!</v>
      </c>
      <c r="U56" t="e">
        <f>AND(#REF!,"AAAAAD/vbxQ=")</f>
        <v>#REF!</v>
      </c>
      <c r="V56" t="e">
        <f>AND(#REF!,"AAAAAD/vbxU=")</f>
        <v>#REF!</v>
      </c>
      <c r="W56" t="e">
        <f>AND(#REF!,"AAAAAD/vbxY=")</f>
        <v>#REF!</v>
      </c>
      <c r="X56" t="e">
        <f>AND(#REF!,"AAAAAD/vbxc=")</f>
        <v>#REF!</v>
      </c>
      <c r="Y56" t="e">
        <f>AND(#REF!,"AAAAAD/vbxg=")</f>
        <v>#REF!</v>
      </c>
      <c r="Z56" t="e">
        <f>AND(#REF!,"AAAAAD/vbxk=")</f>
        <v>#REF!</v>
      </c>
      <c r="AA56" t="e">
        <f>AND(#REF!,"AAAAAD/vbxo=")</f>
        <v>#REF!</v>
      </c>
      <c r="AB56" t="e">
        <f>IF(#REF!,"AAAAAD/vbxs=",0)</f>
        <v>#REF!</v>
      </c>
      <c r="AC56" t="e">
        <f>AND(#REF!,"AAAAAD/vbxw=")</f>
        <v>#REF!</v>
      </c>
      <c r="AD56" t="e">
        <f>AND(#REF!,"AAAAAD/vbx0=")</f>
        <v>#REF!</v>
      </c>
      <c r="AE56" t="e">
        <f>AND(#REF!,"AAAAAD/vbx4=")</f>
        <v>#REF!</v>
      </c>
      <c r="AF56" t="e">
        <f>AND(#REF!,"AAAAAD/vbx8=")</f>
        <v>#REF!</v>
      </c>
      <c r="AG56" t="e">
        <f>AND(#REF!,"AAAAAD/vbyA=")</f>
        <v>#REF!</v>
      </c>
      <c r="AH56" t="e">
        <f>AND(#REF!,"AAAAAD/vbyE=")</f>
        <v>#REF!</v>
      </c>
      <c r="AI56" t="e">
        <f>AND(#REF!,"AAAAAD/vbyI=")</f>
        <v>#REF!</v>
      </c>
      <c r="AJ56" t="e">
        <f>AND(#REF!,"AAAAAD/vbyM=")</f>
        <v>#REF!</v>
      </c>
      <c r="AK56" t="e">
        <f>AND(#REF!,"AAAAAD/vbyQ=")</f>
        <v>#REF!</v>
      </c>
      <c r="AL56" t="e">
        <f>AND(#REF!,"AAAAAD/vbyU=")</f>
        <v>#REF!</v>
      </c>
      <c r="AM56" t="e">
        <f>IF(#REF!,"AAAAAD/vbyY=",0)</f>
        <v>#REF!</v>
      </c>
      <c r="AN56" t="e">
        <f>AND(#REF!,"AAAAAD/vbyc=")</f>
        <v>#REF!</v>
      </c>
      <c r="AO56" t="e">
        <f>AND(#REF!,"AAAAAD/vbyg=")</f>
        <v>#REF!</v>
      </c>
      <c r="AP56" t="e">
        <f>AND(#REF!,"AAAAAD/vbyk=")</f>
        <v>#REF!</v>
      </c>
      <c r="AQ56" t="e">
        <f>AND(#REF!,"AAAAAD/vbyo=")</f>
        <v>#REF!</v>
      </c>
      <c r="AR56" t="e">
        <f>AND(#REF!,"AAAAAD/vbys=")</f>
        <v>#REF!</v>
      </c>
      <c r="AS56" t="e">
        <f>AND(#REF!,"AAAAAD/vbyw=")</f>
        <v>#REF!</v>
      </c>
      <c r="AT56" t="e">
        <f>AND(#REF!,"AAAAAD/vby0=")</f>
        <v>#REF!</v>
      </c>
      <c r="AU56" t="e">
        <f>AND(#REF!,"AAAAAD/vby4=")</f>
        <v>#REF!</v>
      </c>
      <c r="AV56" t="e">
        <f>AND(#REF!,"AAAAAD/vby8=")</f>
        <v>#REF!</v>
      </c>
      <c r="AW56" t="e">
        <f>AND(#REF!,"AAAAAD/vbzA=")</f>
        <v>#REF!</v>
      </c>
      <c r="AX56" t="e">
        <f>IF(#REF!,"AAAAAD/vbzE=",0)</f>
        <v>#REF!</v>
      </c>
      <c r="AY56" t="e">
        <f>AND(#REF!,"AAAAAD/vbzI=")</f>
        <v>#REF!</v>
      </c>
      <c r="AZ56" t="e">
        <f>AND(#REF!,"AAAAAD/vbzM=")</f>
        <v>#REF!</v>
      </c>
      <c r="BA56" t="e">
        <f>AND(#REF!,"AAAAAD/vbzQ=")</f>
        <v>#REF!</v>
      </c>
      <c r="BB56" t="e">
        <f>AND(#REF!,"AAAAAD/vbzU=")</f>
        <v>#REF!</v>
      </c>
      <c r="BC56" t="e">
        <f>AND(#REF!,"AAAAAD/vbzY=")</f>
        <v>#REF!</v>
      </c>
      <c r="BD56" t="e">
        <f>AND(#REF!,"AAAAAD/vbzc=")</f>
        <v>#REF!</v>
      </c>
      <c r="BE56" t="e">
        <f>AND(#REF!,"AAAAAD/vbzg=")</f>
        <v>#REF!</v>
      </c>
      <c r="BF56" t="e">
        <f>AND(#REF!,"AAAAAD/vbzk=")</f>
        <v>#REF!</v>
      </c>
      <c r="BG56" t="e">
        <f>AND(#REF!,"AAAAAD/vbzo=")</f>
        <v>#REF!</v>
      </c>
      <c r="BH56" t="e">
        <f>AND(#REF!,"AAAAAD/vbzs=")</f>
        <v>#REF!</v>
      </c>
      <c r="BI56" t="e">
        <f>IF(#REF!,"AAAAAD/vbzw=",0)</f>
        <v>#REF!</v>
      </c>
      <c r="BJ56" t="e">
        <f>AND(#REF!,"AAAAAD/vbz0=")</f>
        <v>#REF!</v>
      </c>
      <c r="BK56" t="e">
        <f>AND(#REF!,"AAAAAD/vbz4=")</f>
        <v>#REF!</v>
      </c>
      <c r="BL56" t="e">
        <f>AND(#REF!,"AAAAAD/vbz8=")</f>
        <v>#REF!</v>
      </c>
      <c r="BM56" t="e">
        <f>AND(#REF!,"AAAAAD/vb0A=")</f>
        <v>#REF!</v>
      </c>
      <c r="BN56" t="e">
        <f>AND(#REF!,"AAAAAD/vb0E=")</f>
        <v>#REF!</v>
      </c>
      <c r="BO56" t="e">
        <f>AND(#REF!,"AAAAAD/vb0I=")</f>
        <v>#REF!</v>
      </c>
      <c r="BP56" t="e">
        <f>AND(#REF!,"AAAAAD/vb0M=")</f>
        <v>#REF!</v>
      </c>
      <c r="BQ56" t="e">
        <f>AND(#REF!,"AAAAAD/vb0Q=")</f>
        <v>#REF!</v>
      </c>
      <c r="BR56" t="e">
        <f>AND(#REF!,"AAAAAD/vb0U=")</f>
        <v>#REF!</v>
      </c>
      <c r="BS56" t="e">
        <f>AND(#REF!,"AAAAAD/vb0Y=")</f>
        <v>#REF!</v>
      </c>
      <c r="BT56" t="e">
        <f>IF(#REF!,"AAAAAD/vb0c=",0)</f>
        <v>#REF!</v>
      </c>
      <c r="BU56" t="e">
        <f>AND(#REF!,"AAAAAD/vb0g=")</f>
        <v>#REF!</v>
      </c>
      <c r="BV56" t="e">
        <f>AND(#REF!,"AAAAAD/vb0k=")</f>
        <v>#REF!</v>
      </c>
      <c r="BW56" t="e">
        <f>AND(#REF!,"AAAAAD/vb0o=")</f>
        <v>#REF!</v>
      </c>
      <c r="BX56" t="e">
        <f>AND(#REF!,"AAAAAD/vb0s=")</f>
        <v>#REF!</v>
      </c>
      <c r="BY56" t="e">
        <f>AND(#REF!,"AAAAAD/vb0w=")</f>
        <v>#REF!</v>
      </c>
      <c r="BZ56" t="e">
        <f>AND(#REF!,"AAAAAD/vb00=")</f>
        <v>#REF!</v>
      </c>
      <c r="CA56" t="e">
        <f>AND(#REF!,"AAAAAD/vb04=")</f>
        <v>#REF!</v>
      </c>
      <c r="CB56" t="e">
        <f>AND(#REF!,"AAAAAD/vb08=")</f>
        <v>#REF!</v>
      </c>
      <c r="CC56" t="e">
        <f>AND(#REF!,"AAAAAD/vb1A=")</f>
        <v>#REF!</v>
      </c>
      <c r="CD56" t="e">
        <f>AND(#REF!,"AAAAAD/vb1E=")</f>
        <v>#REF!</v>
      </c>
      <c r="CE56" t="e">
        <f>IF(#REF!,"AAAAAD/vb1I=",0)</f>
        <v>#REF!</v>
      </c>
      <c r="CF56" t="e">
        <f>AND(#REF!,"AAAAAD/vb1M=")</f>
        <v>#REF!</v>
      </c>
      <c r="CG56" t="e">
        <f>AND(#REF!,"AAAAAD/vb1Q=")</f>
        <v>#REF!</v>
      </c>
      <c r="CH56" t="e">
        <f>AND(#REF!,"AAAAAD/vb1U=")</f>
        <v>#REF!</v>
      </c>
      <c r="CI56" t="e">
        <f>AND(#REF!,"AAAAAD/vb1Y=")</f>
        <v>#REF!</v>
      </c>
      <c r="CJ56" t="e">
        <f>AND(#REF!,"AAAAAD/vb1c=")</f>
        <v>#REF!</v>
      </c>
      <c r="CK56" t="e">
        <f>AND(#REF!,"AAAAAD/vb1g=")</f>
        <v>#REF!</v>
      </c>
      <c r="CL56" t="e">
        <f>AND(#REF!,"AAAAAD/vb1k=")</f>
        <v>#REF!</v>
      </c>
      <c r="CM56" t="e">
        <f>AND(#REF!,"AAAAAD/vb1o=")</f>
        <v>#REF!</v>
      </c>
      <c r="CN56" t="e">
        <f>AND(#REF!,"AAAAAD/vb1s=")</f>
        <v>#REF!</v>
      </c>
      <c r="CO56" t="e">
        <f>AND(#REF!,"AAAAAD/vb1w=")</f>
        <v>#REF!</v>
      </c>
      <c r="CP56" t="e">
        <f>IF(#REF!,"AAAAAD/vb10=",0)</f>
        <v>#REF!</v>
      </c>
      <c r="CQ56" t="e">
        <f>AND(#REF!,"AAAAAD/vb14=")</f>
        <v>#REF!</v>
      </c>
      <c r="CR56" t="e">
        <f>AND(#REF!,"AAAAAD/vb18=")</f>
        <v>#REF!</v>
      </c>
      <c r="CS56" t="e">
        <f>AND(#REF!,"AAAAAD/vb2A=")</f>
        <v>#REF!</v>
      </c>
      <c r="CT56" t="e">
        <f>AND(#REF!,"AAAAAD/vb2E=")</f>
        <v>#REF!</v>
      </c>
      <c r="CU56" t="e">
        <f>AND(#REF!,"AAAAAD/vb2I=")</f>
        <v>#REF!</v>
      </c>
      <c r="CV56" t="e">
        <f>AND(#REF!,"AAAAAD/vb2M=")</f>
        <v>#REF!</v>
      </c>
      <c r="CW56" t="e">
        <f>AND(#REF!,"AAAAAD/vb2Q=")</f>
        <v>#REF!</v>
      </c>
      <c r="CX56" t="e">
        <f>AND(#REF!,"AAAAAD/vb2U=")</f>
        <v>#REF!</v>
      </c>
      <c r="CY56" t="e">
        <f>AND(#REF!,"AAAAAD/vb2Y=")</f>
        <v>#REF!</v>
      </c>
      <c r="CZ56" t="e">
        <f>AND(#REF!,"AAAAAD/vb2c=")</f>
        <v>#REF!</v>
      </c>
      <c r="DA56" t="e">
        <f>IF(#REF!,"AAAAAD/vb2g=",0)</f>
        <v>#REF!</v>
      </c>
      <c r="DB56" t="e">
        <f>AND(#REF!,"AAAAAD/vb2k=")</f>
        <v>#REF!</v>
      </c>
      <c r="DC56" t="e">
        <f>AND(#REF!,"AAAAAD/vb2o=")</f>
        <v>#REF!</v>
      </c>
      <c r="DD56" t="e">
        <f>AND(#REF!,"AAAAAD/vb2s=")</f>
        <v>#REF!</v>
      </c>
      <c r="DE56" t="e">
        <f>AND(#REF!,"AAAAAD/vb2w=")</f>
        <v>#REF!</v>
      </c>
      <c r="DF56" t="e">
        <f>AND(#REF!,"AAAAAD/vb20=")</f>
        <v>#REF!</v>
      </c>
      <c r="DG56" t="e">
        <f>AND(#REF!,"AAAAAD/vb24=")</f>
        <v>#REF!</v>
      </c>
      <c r="DH56" t="e">
        <f>AND(#REF!,"AAAAAD/vb28=")</f>
        <v>#REF!</v>
      </c>
      <c r="DI56" t="e">
        <f>AND(#REF!,"AAAAAD/vb3A=")</f>
        <v>#REF!</v>
      </c>
      <c r="DJ56" t="e">
        <f>AND(#REF!,"AAAAAD/vb3E=")</f>
        <v>#REF!</v>
      </c>
      <c r="DK56" t="e">
        <f>AND(#REF!,"AAAAAD/vb3I=")</f>
        <v>#REF!</v>
      </c>
      <c r="DL56" t="e">
        <f>IF(#REF!,"AAAAAD/vb3M=",0)</f>
        <v>#REF!</v>
      </c>
      <c r="DM56" t="e">
        <f>AND(#REF!,"AAAAAD/vb3Q=")</f>
        <v>#REF!</v>
      </c>
      <c r="DN56" t="e">
        <f>AND(#REF!,"AAAAAD/vb3U=")</f>
        <v>#REF!</v>
      </c>
      <c r="DO56" t="e">
        <f>AND(#REF!,"AAAAAD/vb3Y=")</f>
        <v>#REF!</v>
      </c>
      <c r="DP56" t="e">
        <f>AND(#REF!,"AAAAAD/vb3c=")</f>
        <v>#REF!</v>
      </c>
      <c r="DQ56" t="e">
        <f>AND(#REF!,"AAAAAD/vb3g=")</f>
        <v>#REF!</v>
      </c>
      <c r="DR56" t="e">
        <f>AND(#REF!,"AAAAAD/vb3k=")</f>
        <v>#REF!</v>
      </c>
      <c r="DS56" t="e">
        <f>AND(#REF!,"AAAAAD/vb3o=")</f>
        <v>#REF!</v>
      </c>
      <c r="DT56" t="e">
        <f>AND(#REF!,"AAAAAD/vb3s=")</f>
        <v>#REF!</v>
      </c>
      <c r="DU56" t="e">
        <f>AND(#REF!,"AAAAAD/vb3w=")</f>
        <v>#REF!</v>
      </c>
      <c r="DV56" t="e">
        <f>AND(#REF!,"AAAAAD/vb30=")</f>
        <v>#REF!</v>
      </c>
      <c r="DW56" t="e">
        <f>IF(#REF!,"AAAAAD/vb34=",0)</f>
        <v>#REF!</v>
      </c>
      <c r="DX56" t="e">
        <f>AND(#REF!,"AAAAAD/vb38=")</f>
        <v>#REF!</v>
      </c>
      <c r="DY56" t="e">
        <f>AND(#REF!,"AAAAAD/vb4A=")</f>
        <v>#REF!</v>
      </c>
      <c r="DZ56" t="e">
        <f>AND(#REF!,"AAAAAD/vb4E=")</f>
        <v>#REF!</v>
      </c>
      <c r="EA56" t="e">
        <f>AND(#REF!,"AAAAAD/vb4I=")</f>
        <v>#REF!</v>
      </c>
      <c r="EB56" t="e">
        <f>AND(#REF!,"AAAAAD/vb4M=")</f>
        <v>#REF!</v>
      </c>
      <c r="EC56" t="e">
        <f>AND(#REF!,"AAAAAD/vb4Q=")</f>
        <v>#REF!</v>
      </c>
      <c r="ED56" t="e">
        <f>AND(#REF!,"AAAAAD/vb4U=")</f>
        <v>#REF!</v>
      </c>
      <c r="EE56" t="e">
        <f>AND(#REF!,"AAAAAD/vb4Y=")</f>
        <v>#REF!</v>
      </c>
      <c r="EF56" t="e">
        <f>AND(#REF!,"AAAAAD/vb4c=")</f>
        <v>#REF!</v>
      </c>
      <c r="EG56" t="e">
        <f>AND(#REF!,"AAAAAD/vb4g=")</f>
        <v>#REF!</v>
      </c>
      <c r="EH56" t="e">
        <f>IF(#REF!,"AAAAAD/vb4k=",0)</f>
        <v>#REF!</v>
      </c>
      <c r="EI56" t="e">
        <f>AND(#REF!,"AAAAAD/vb4o=")</f>
        <v>#REF!</v>
      </c>
      <c r="EJ56" t="e">
        <f>AND(#REF!,"AAAAAD/vb4s=")</f>
        <v>#REF!</v>
      </c>
      <c r="EK56" t="e">
        <f>AND(#REF!,"AAAAAD/vb4w=")</f>
        <v>#REF!</v>
      </c>
      <c r="EL56" t="e">
        <f>AND(#REF!,"AAAAAD/vb40=")</f>
        <v>#REF!</v>
      </c>
      <c r="EM56" t="e">
        <f>AND(#REF!,"AAAAAD/vb44=")</f>
        <v>#REF!</v>
      </c>
      <c r="EN56" t="e">
        <f>AND(#REF!,"AAAAAD/vb48=")</f>
        <v>#REF!</v>
      </c>
      <c r="EO56" t="e">
        <f>AND(#REF!,"AAAAAD/vb5A=")</f>
        <v>#REF!</v>
      </c>
      <c r="EP56" t="e">
        <f>AND(#REF!,"AAAAAD/vb5E=")</f>
        <v>#REF!</v>
      </c>
      <c r="EQ56" t="e">
        <f>AND(#REF!,"AAAAAD/vb5I=")</f>
        <v>#REF!</v>
      </c>
      <c r="ER56" t="e">
        <f>AND(#REF!,"AAAAAD/vb5M=")</f>
        <v>#REF!</v>
      </c>
      <c r="ES56" t="e">
        <f>IF(#REF!,"AAAAAD/vb5Q=",0)</f>
        <v>#REF!</v>
      </c>
      <c r="ET56" t="e">
        <f>AND(#REF!,"AAAAAD/vb5U=")</f>
        <v>#REF!</v>
      </c>
      <c r="EU56" t="e">
        <f>AND(#REF!,"AAAAAD/vb5Y=")</f>
        <v>#REF!</v>
      </c>
      <c r="EV56" t="e">
        <f>AND(#REF!,"AAAAAD/vb5c=")</f>
        <v>#REF!</v>
      </c>
      <c r="EW56" t="e">
        <f>AND(#REF!,"AAAAAD/vb5g=")</f>
        <v>#REF!</v>
      </c>
      <c r="EX56" t="e">
        <f>AND(#REF!,"AAAAAD/vb5k=")</f>
        <v>#REF!</v>
      </c>
      <c r="EY56" t="e">
        <f>AND(#REF!,"AAAAAD/vb5o=")</f>
        <v>#REF!</v>
      </c>
      <c r="EZ56" t="e">
        <f>AND(#REF!,"AAAAAD/vb5s=")</f>
        <v>#REF!</v>
      </c>
      <c r="FA56" t="e">
        <f>AND(#REF!,"AAAAAD/vb5w=")</f>
        <v>#REF!</v>
      </c>
      <c r="FB56" t="e">
        <f>AND(#REF!,"AAAAAD/vb50=")</f>
        <v>#REF!</v>
      </c>
      <c r="FC56" t="e">
        <f>AND(#REF!,"AAAAAD/vb54=")</f>
        <v>#REF!</v>
      </c>
      <c r="FD56" t="e">
        <f>IF(#REF!,"AAAAAD/vb58=",0)</f>
        <v>#REF!</v>
      </c>
      <c r="FE56" t="e">
        <f>AND(#REF!,"AAAAAD/vb6A=")</f>
        <v>#REF!</v>
      </c>
      <c r="FF56" t="e">
        <f>AND(#REF!,"AAAAAD/vb6E=")</f>
        <v>#REF!</v>
      </c>
      <c r="FG56" t="e">
        <f>AND(#REF!,"AAAAAD/vb6I=")</f>
        <v>#REF!</v>
      </c>
      <c r="FH56" t="e">
        <f>AND(#REF!,"AAAAAD/vb6M=")</f>
        <v>#REF!</v>
      </c>
      <c r="FI56" t="e">
        <f>AND(#REF!,"AAAAAD/vb6Q=")</f>
        <v>#REF!</v>
      </c>
      <c r="FJ56" t="e">
        <f>AND(#REF!,"AAAAAD/vb6U=")</f>
        <v>#REF!</v>
      </c>
      <c r="FK56" t="e">
        <f>AND(#REF!,"AAAAAD/vb6Y=")</f>
        <v>#REF!</v>
      </c>
      <c r="FL56" t="e">
        <f>AND(#REF!,"AAAAAD/vb6c=")</f>
        <v>#REF!</v>
      </c>
      <c r="FM56" t="e">
        <f>AND(#REF!,"AAAAAD/vb6g=")</f>
        <v>#REF!</v>
      </c>
      <c r="FN56" t="e">
        <f>AND(#REF!,"AAAAAD/vb6k=")</f>
        <v>#REF!</v>
      </c>
      <c r="FO56" t="e">
        <f>IF(#REF!,"AAAAAD/vb6o=",0)</f>
        <v>#REF!</v>
      </c>
      <c r="FP56" t="e">
        <f>AND(#REF!,"AAAAAD/vb6s=")</f>
        <v>#REF!</v>
      </c>
      <c r="FQ56" t="e">
        <f>AND(#REF!,"AAAAAD/vb6w=")</f>
        <v>#REF!</v>
      </c>
      <c r="FR56" t="e">
        <f>AND(#REF!,"AAAAAD/vb60=")</f>
        <v>#REF!</v>
      </c>
      <c r="FS56" t="e">
        <f>AND(#REF!,"AAAAAD/vb64=")</f>
        <v>#REF!</v>
      </c>
      <c r="FT56" t="e">
        <f>AND(#REF!,"AAAAAD/vb68=")</f>
        <v>#REF!</v>
      </c>
      <c r="FU56" t="e">
        <f>AND(#REF!,"AAAAAD/vb7A=")</f>
        <v>#REF!</v>
      </c>
      <c r="FV56" t="e">
        <f>AND(#REF!,"AAAAAD/vb7E=")</f>
        <v>#REF!</v>
      </c>
      <c r="FW56" t="e">
        <f>AND(#REF!,"AAAAAD/vb7I=")</f>
        <v>#REF!</v>
      </c>
      <c r="FX56" t="e">
        <f>AND(#REF!,"AAAAAD/vb7M=")</f>
        <v>#REF!</v>
      </c>
      <c r="FY56" t="e">
        <f>AND(#REF!,"AAAAAD/vb7Q=")</f>
        <v>#REF!</v>
      </c>
      <c r="FZ56" t="e">
        <f>IF(#REF!,"AAAAAD/vb7U=",0)</f>
        <v>#REF!</v>
      </c>
      <c r="GA56" t="e">
        <f>AND(#REF!,"AAAAAD/vb7Y=")</f>
        <v>#REF!</v>
      </c>
      <c r="GB56" t="e">
        <f>AND(#REF!,"AAAAAD/vb7c=")</f>
        <v>#REF!</v>
      </c>
      <c r="GC56" t="e">
        <f>AND(#REF!,"AAAAAD/vb7g=")</f>
        <v>#REF!</v>
      </c>
      <c r="GD56" t="e">
        <f>AND(#REF!,"AAAAAD/vb7k=")</f>
        <v>#REF!</v>
      </c>
      <c r="GE56" t="e">
        <f>AND(#REF!,"AAAAAD/vb7o=")</f>
        <v>#REF!</v>
      </c>
      <c r="GF56" t="e">
        <f>AND(#REF!,"AAAAAD/vb7s=")</f>
        <v>#REF!</v>
      </c>
      <c r="GG56" t="e">
        <f>AND(#REF!,"AAAAAD/vb7w=")</f>
        <v>#REF!</v>
      </c>
      <c r="GH56" t="e">
        <f>AND(#REF!,"AAAAAD/vb70=")</f>
        <v>#REF!</v>
      </c>
      <c r="GI56" t="e">
        <f>AND(#REF!,"AAAAAD/vb74=")</f>
        <v>#REF!</v>
      </c>
      <c r="GJ56" t="e">
        <f>AND(#REF!,"AAAAAD/vb78=")</f>
        <v>#REF!</v>
      </c>
      <c r="GK56" t="e">
        <f>IF(#REF!,"AAAAAD/vb8A=",0)</f>
        <v>#REF!</v>
      </c>
      <c r="GL56" t="e">
        <f>AND(#REF!,"AAAAAD/vb8E=")</f>
        <v>#REF!</v>
      </c>
      <c r="GM56" t="e">
        <f>AND(#REF!,"AAAAAD/vb8I=")</f>
        <v>#REF!</v>
      </c>
      <c r="GN56" t="e">
        <f>AND(#REF!,"AAAAAD/vb8M=")</f>
        <v>#REF!</v>
      </c>
      <c r="GO56" t="e">
        <f>AND(#REF!,"AAAAAD/vb8Q=")</f>
        <v>#REF!</v>
      </c>
      <c r="GP56" t="e">
        <f>AND(#REF!,"AAAAAD/vb8U=")</f>
        <v>#REF!</v>
      </c>
      <c r="GQ56" t="e">
        <f>AND(#REF!,"AAAAAD/vb8Y=")</f>
        <v>#REF!</v>
      </c>
      <c r="GR56" t="e">
        <f>AND(#REF!,"AAAAAD/vb8c=")</f>
        <v>#REF!</v>
      </c>
      <c r="GS56" t="e">
        <f>AND(#REF!,"AAAAAD/vb8g=")</f>
        <v>#REF!</v>
      </c>
      <c r="GT56" t="e">
        <f>AND(#REF!,"AAAAAD/vb8k=")</f>
        <v>#REF!</v>
      </c>
      <c r="GU56" t="e">
        <f>AND(#REF!,"AAAAAD/vb8o=")</f>
        <v>#REF!</v>
      </c>
      <c r="GV56" t="e">
        <f>IF(#REF!,"AAAAAD/vb8s=",0)</f>
        <v>#REF!</v>
      </c>
      <c r="GW56" t="e">
        <f>AND(#REF!,"AAAAAD/vb8w=")</f>
        <v>#REF!</v>
      </c>
      <c r="GX56" t="e">
        <f>AND(#REF!,"AAAAAD/vb80=")</f>
        <v>#REF!</v>
      </c>
      <c r="GY56" t="e">
        <f>AND(#REF!,"AAAAAD/vb84=")</f>
        <v>#REF!</v>
      </c>
      <c r="GZ56" t="e">
        <f>AND(#REF!,"AAAAAD/vb88=")</f>
        <v>#REF!</v>
      </c>
      <c r="HA56" t="e">
        <f>AND(#REF!,"AAAAAD/vb9A=")</f>
        <v>#REF!</v>
      </c>
      <c r="HB56" t="e">
        <f>AND(#REF!,"AAAAAD/vb9E=")</f>
        <v>#REF!</v>
      </c>
      <c r="HC56" t="e">
        <f>AND(#REF!,"AAAAAD/vb9I=")</f>
        <v>#REF!</v>
      </c>
      <c r="HD56" t="e">
        <f>AND(#REF!,"AAAAAD/vb9M=")</f>
        <v>#REF!</v>
      </c>
      <c r="HE56" t="e">
        <f>AND(#REF!,"AAAAAD/vb9Q=")</f>
        <v>#REF!</v>
      </c>
      <c r="HF56" t="e">
        <f>AND(#REF!,"AAAAAD/vb9U=")</f>
        <v>#REF!</v>
      </c>
      <c r="HG56" t="e">
        <f>IF(#REF!,"AAAAAD/vb9Y=",0)</f>
        <v>#REF!</v>
      </c>
      <c r="HH56" t="e">
        <f>AND(#REF!,"AAAAAD/vb9c=")</f>
        <v>#REF!</v>
      </c>
      <c r="HI56" t="e">
        <f>AND(#REF!,"AAAAAD/vb9g=")</f>
        <v>#REF!</v>
      </c>
      <c r="HJ56" t="e">
        <f>AND(#REF!,"AAAAAD/vb9k=")</f>
        <v>#REF!</v>
      </c>
      <c r="HK56" t="e">
        <f>AND(#REF!,"AAAAAD/vb9o=")</f>
        <v>#REF!</v>
      </c>
      <c r="HL56" t="e">
        <f>AND(#REF!,"AAAAAD/vb9s=")</f>
        <v>#REF!</v>
      </c>
      <c r="HM56" t="e">
        <f>AND(#REF!,"AAAAAD/vb9w=")</f>
        <v>#REF!</v>
      </c>
      <c r="HN56" t="e">
        <f>AND(#REF!,"AAAAAD/vb90=")</f>
        <v>#REF!</v>
      </c>
      <c r="HO56" t="e">
        <f>AND(#REF!,"AAAAAD/vb94=")</f>
        <v>#REF!</v>
      </c>
      <c r="HP56" t="e">
        <f>AND(#REF!,"AAAAAD/vb98=")</f>
        <v>#REF!</v>
      </c>
      <c r="HQ56" t="e">
        <f>AND(#REF!,"AAAAAD/vb+A=")</f>
        <v>#REF!</v>
      </c>
      <c r="HR56" t="e">
        <f>IF(#REF!,"AAAAAD/vb+E=",0)</f>
        <v>#REF!</v>
      </c>
      <c r="HS56" t="e">
        <f>AND(#REF!,"AAAAAD/vb+I=")</f>
        <v>#REF!</v>
      </c>
      <c r="HT56" t="e">
        <f>AND(#REF!,"AAAAAD/vb+M=")</f>
        <v>#REF!</v>
      </c>
      <c r="HU56" t="e">
        <f>AND(#REF!,"AAAAAD/vb+Q=")</f>
        <v>#REF!</v>
      </c>
      <c r="HV56" t="e">
        <f>AND(#REF!,"AAAAAD/vb+U=")</f>
        <v>#REF!</v>
      </c>
      <c r="HW56" t="e">
        <f>AND(#REF!,"AAAAAD/vb+Y=")</f>
        <v>#REF!</v>
      </c>
      <c r="HX56" t="e">
        <f>AND(#REF!,"AAAAAD/vb+c=")</f>
        <v>#REF!</v>
      </c>
      <c r="HY56" t="e">
        <f>AND(#REF!,"AAAAAD/vb+g=")</f>
        <v>#REF!</v>
      </c>
      <c r="HZ56" t="e">
        <f>AND(#REF!,"AAAAAD/vb+k=")</f>
        <v>#REF!</v>
      </c>
      <c r="IA56" t="e">
        <f>AND(#REF!,"AAAAAD/vb+o=")</f>
        <v>#REF!</v>
      </c>
      <c r="IB56" t="e">
        <f>AND(#REF!,"AAAAAD/vb+s=")</f>
        <v>#REF!</v>
      </c>
      <c r="IC56" t="e">
        <f>IF(#REF!,"AAAAAD/vb+w=",0)</f>
        <v>#REF!</v>
      </c>
      <c r="ID56" t="e">
        <f>AND(#REF!,"AAAAAD/vb+0=")</f>
        <v>#REF!</v>
      </c>
      <c r="IE56" t="e">
        <f>AND(#REF!,"AAAAAD/vb+4=")</f>
        <v>#REF!</v>
      </c>
      <c r="IF56" t="e">
        <f>AND(#REF!,"AAAAAD/vb+8=")</f>
        <v>#REF!</v>
      </c>
      <c r="IG56" t="e">
        <f>AND(#REF!,"AAAAAD/vb/A=")</f>
        <v>#REF!</v>
      </c>
      <c r="IH56" t="e">
        <f>AND(#REF!,"AAAAAD/vb/E=")</f>
        <v>#REF!</v>
      </c>
      <c r="II56" t="e">
        <f>AND(#REF!,"AAAAAD/vb/I=")</f>
        <v>#REF!</v>
      </c>
      <c r="IJ56" t="e">
        <f>AND(#REF!,"AAAAAD/vb/M=")</f>
        <v>#REF!</v>
      </c>
      <c r="IK56" t="e">
        <f>AND(#REF!,"AAAAAD/vb/Q=")</f>
        <v>#REF!</v>
      </c>
      <c r="IL56" t="e">
        <f>AND(#REF!,"AAAAAD/vb/U=")</f>
        <v>#REF!</v>
      </c>
      <c r="IM56" t="e">
        <f>AND(#REF!,"AAAAAD/vb/Y=")</f>
        <v>#REF!</v>
      </c>
      <c r="IN56" t="e">
        <f>IF(#REF!,"AAAAAD/vb/c=",0)</f>
        <v>#REF!</v>
      </c>
      <c r="IO56" t="e">
        <f>AND(#REF!,"AAAAAD/vb/g=")</f>
        <v>#REF!</v>
      </c>
      <c r="IP56" t="e">
        <f>AND(#REF!,"AAAAAD/vb/k=")</f>
        <v>#REF!</v>
      </c>
      <c r="IQ56" t="e">
        <f>AND(#REF!,"AAAAAD/vb/o=")</f>
        <v>#REF!</v>
      </c>
      <c r="IR56" t="e">
        <f>AND(#REF!,"AAAAAD/vb/s=")</f>
        <v>#REF!</v>
      </c>
      <c r="IS56" t="e">
        <f>AND(#REF!,"AAAAAD/vb/w=")</f>
        <v>#REF!</v>
      </c>
      <c r="IT56" t="e">
        <f>AND(#REF!,"AAAAAD/vb/0=")</f>
        <v>#REF!</v>
      </c>
      <c r="IU56" t="e">
        <f>AND(#REF!,"AAAAAD/vb/4=")</f>
        <v>#REF!</v>
      </c>
      <c r="IV56" t="e">
        <f>AND(#REF!,"AAAAAD/vb/8=")</f>
        <v>#REF!</v>
      </c>
    </row>
    <row r="57" spans="1:256" x14ac:dyDescent="0.25">
      <c r="A57" t="e">
        <f>AND(#REF!,"AAAAAD+/3QA=")</f>
        <v>#REF!</v>
      </c>
      <c r="B57" t="e">
        <f>AND(#REF!,"AAAAAD+/3QE=")</f>
        <v>#REF!</v>
      </c>
      <c r="C57" t="e">
        <f>IF(#REF!,"AAAAAD+/3QI=",0)</f>
        <v>#REF!</v>
      </c>
      <c r="D57" t="e">
        <f>AND(#REF!,"AAAAAD+/3QM=")</f>
        <v>#REF!</v>
      </c>
      <c r="E57" t="e">
        <f>AND(#REF!,"AAAAAD+/3QQ=")</f>
        <v>#REF!</v>
      </c>
      <c r="F57" t="e">
        <f>AND(#REF!,"AAAAAD+/3QU=")</f>
        <v>#REF!</v>
      </c>
      <c r="G57" t="e">
        <f>AND(#REF!,"AAAAAD+/3QY=")</f>
        <v>#REF!</v>
      </c>
      <c r="H57" t="e">
        <f>AND(#REF!,"AAAAAD+/3Qc=")</f>
        <v>#REF!</v>
      </c>
      <c r="I57" t="e">
        <f>AND(#REF!,"AAAAAD+/3Qg=")</f>
        <v>#REF!</v>
      </c>
      <c r="J57" t="e">
        <f>AND(#REF!,"AAAAAD+/3Qk=")</f>
        <v>#REF!</v>
      </c>
      <c r="K57" t="e">
        <f>AND(#REF!,"AAAAAD+/3Qo=")</f>
        <v>#REF!</v>
      </c>
      <c r="L57" t="e">
        <f>AND(#REF!,"AAAAAD+/3Qs=")</f>
        <v>#REF!</v>
      </c>
      <c r="M57" t="e">
        <f>AND(#REF!,"AAAAAD+/3Qw=")</f>
        <v>#REF!</v>
      </c>
      <c r="N57" t="e">
        <f>IF(#REF!,"AAAAAD+/3Q0=",0)</f>
        <v>#REF!</v>
      </c>
      <c r="O57" t="e">
        <f>AND(#REF!,"AAAAAD+/3Q4=")</f>
        <v>#REF!</v>
      </c>
      <c r="P57" t="e">
        <f>AND(#REF!,"AAAAAD+/3Q8=")</f>
        <v>#REF!</v>
      </c>
      <c r="Q57" t="e">
        <f>AND(#REF!,"AAAAAD+/3RA=")</f>
        <v>#REF!</v>
      </c>
      <c r="R57" t="e">
        <f>AND(#REF!,"AAAAAD+/3RE=")</f>
        <v>#REF!</v>
      </c>
      <c r="S57" t="e">
        <f>AND(#REF!,"AAAAAD+/3RI=")</f>
        <v>#REF!</v>
      </c>
      <c r="T57" t="e">
        <f>AND(#REF!,"AAAAAD+/3RM=")</f>
        <v>#REF!</v>
      </c>
      <c r="U57" t="e">
        <f>AND(#REF!,"AAAAAD+/3RQ=")</f>
        <v>#REF!</v>
      </c>
      <c r="V57" t="e">
        <f>AND(#REF!,"AAAAAD+/3RU=")</f>
        <v>#REF!</v>
      </c>
      <c r="W57" t="e">
        <f>AND(#REF!,"AAAAAD+/3RY=")</f>
        <v>#REF!</v>
      </c>
      <c r="X57" t="e">
        <f>AND(#REF!,"AAAAAD+/3Rc=")</f>
        <v>#REF!</v>
      </c>
      <c r="Y57" t="e">
        <f>IF(#REF!,"AAAAAD+/3Rg=",0)</f>
        <v>#REF!</v>
      </c>
      <c r="Z57" t="e">
        <f>AND(#REF!,"AAAAAD+/3Rk=")</f>
        <v>#REF!</v>
      </c>
      <c r="AA57" t="e">
        <f>AND(#REF!,"AAAAAD+/3Ro=")</f>
        <v>#REF!</v>
      </c>
      <c r="AB57" t="e">
        <f>AND(#REF!,"AAAAAD+/3Rs=")</f>
        <v>#REF!</v>
      </c>
      <c r="AC57" t="e">
        <f>AND(#REF!,"AAAAAD+/3Rw=")</f>
        <v>#REF!</v>
      </c>
      <c r="AD57" t="e">
        <f>AND(#REF!,"AAAAAD+/3R0=")</f>
        <v>#REF!</v>
      </c>
      <c r="AE57" t="e">
        <f>AND(#REF!,"AAAAAD+/3R4=")</f>
        <v>#REF!</v>
      </c>
      <c r="AF57" t="e">
        <f>AND(#REF!,"AAAAAD+/3R8=")</f>
        <v>#REF!</v>
      </c>
      <c r="AG57" t="e">
        <f>AND(#REF!,"AAAAAD+/3SA=")</f>
        <v>#REF!</v>
      </c>
      <c r="AH57" t="e">
        <f>AND(#REF!,"AAAAAD+/3SE=")</f>
        <v>#REF!</v>
      </c>
      <c r="AI57" t="e">
        <f>AND(#REF!,"AAAAAD+/3SI=")</f>
        <v>#REF!</v>
      </c>
      <c r="AJ57" t="e">
        <f>IF(#REF!,"AAAAAD+/3SM=",0)</f>
        <v>#REF!</v>
      </c>
      <c r="AK57" t="e">
        <f>AND(#REF!,"AAAAAD+/3SQ=")</f>
        <v>#REF!</v>
      </c>
      <c r="AL57" t="e">
        <f>AND(#REF!,"AAAAAD+/3SU=")</f>
        <v>#REF!</v>
      </c>
      <c r="AM57" t="e">
        <f>AND(#REF!,"AAAAAD+/3SY=")</f>
        <v>#REF!</v>
      </c>
      <c r="AN57" t="e">
        <f>AND(#REF!,"AAAAAD+/3Sc=")</f>
        <v>#REF!</v>
      </c>
      <c r="AO57" t="e">
        <f>AND(#REF!,"AAAAAD+/3Sg=")</f>
        <v>#REF!</v>
      </c>
      <c r="AP57" t="e">
        <f>AND(#REF!,"AAAAAD+/3Sk=")</f>
        <v>#REF!</v>
      </c>
      <c r="AQ57" t="e">
        <f>AND(#REF!,"AAAAAD+/3So=")</f>
        <v>#REF!</v>
      </c>
      <c r="AR57" t="e">
        <f>AND(#REF!,"AAAAAD+/3Ss=")</f>
        <v>#REF!</v>
      </c>
      <c r="AS57" t="e">
        <f>AND(#REF!,"AAAAAD+/3Sw=")</f>
        <v>#REF!</v>
      </c>
      <c r="AT57" t="e">
        <f>AND(#REF!,"AAAAAD+/3S0=")</f>
        <v>#REF!</v>
      </c>
      <c r="AU57" t="e">
        <f>IF(#REF!,"AAAAAD+/3S4=",0)</f>
        <v>#REF!</v>
      </c>
      <c r="AV57" t="e">
        <f>AND(#REF!,"AAAAAD+/3S8=")</f>
        <v>#REF!</v>
      </c>
      <c r="AW57" t="e">
        <f>AND(#REF!,"AAAAAD+/3TA=")</f>
        <v>#REF!</v>
      </c>
      <c r="AX57" t="e">
        <f>AND(#REF!,"AAAAAD+/3TE=")</f>
        <v>#REF!</v>
      </c>
      <c r="AY57" t="e">
        <f>AND(#REF!,"AAAAAD+/3TI=")</f>
        <v>#REF!</v>
      </c>
      <c r="AZ57" t="e">
        <f>AND(#REF!,"AAAAAD+/3TM=")</f>
        <v>#REF!</v>
      </c>
      <c r="BA57" t="e">
        <f>AND(#REF!,"AAAAAD+/3TQ=")</f>
        <v>#REF!</v>
      </c>
      <c r="BB57" t="e">
        <f>AND(#REF!,"AAAAAD+/3TU=")</f>
        <v>#REF!</v>
      </c>
      <c r="BC57" t="e">
        <f>AND(#REF!,"AAAAAD+/3TY=")</f>
        <v>#REF!</v>
      </c>
      <c r="BD57" t="e">
        <f>AND(#REF!,"AAAAAD+/3Tc=")</f>
        <v>#REF!</v>
      </c>
      <c r="BE57" t="e">
        <f>AND(#REF!,"AAAAAD+/3Tg=")</f>
        <v>#REF!</v>
      </c>
      <c r="BF57" t="e">
        <f>IF(#REF!,"AAAAAD+/3Tk=",0)</f>
        <v>#REF!</v>
      </c>
      <c r="BG57" t="e">
        <f>AND(#REF!,"AAAAAD+/3To=")</f>
        <v>#REF!</v>
      </c>
      <c r="BH57" t="e">
        <f>AND(#REF!,"AAAAAD+/3Ts=")</f>
        <v>#REF!</v>
      </c>
      <c r="BI57" t="e">
        <f>AND(#REF!,"AAAAAD+/3Tw=")</f>
        <v>#REF!</v>
      </c>
      <c r="BJ57" t="e">
        <f>AND(#REF!,"AAAAAD+/3T0=")</f>
        <v>#REF!</v>
      </c>
      <c r="BK57" t="e">
        <f>AND(#REF!,"AAAAAD+/3T4=")</f>
        <v>#REF!</v>
      </c>
      <c r="BL57" t="e">
        <f>AND(#REF!,"AAAAAD+/3T8=")</f>
        <v>#REF!</v>
      </c>
      <c r="BM57" t="e">
        <f>AND(#REF!,"AAAAAD+/3UA=")</f>
        <v>#REF!</v>
      </c>
      <c r="BN57" t="e">
        <f>AND(#REF!,"AAAAAD+/3UE=")</f>
        <v>#REF!</v>
      </c>
      <c r="BO57" t="e">
        <f>AND(#REF!,"AAAAAD+/3UI=")</f>
        <v>#REF!</v>
      </c>
      <c r="BP57" t="e">
        <f>AND(#REF!,"AAAAAD+/3UM=")</f>
        <v>#REF!</v>
      </c>
      <c r="BQ57" t="e">
        <f>IF(#REF!,"AAAAAD+/3UQ=",0)</f>
        <v>#REF!</v>
      </c>
      <c r="BR57" t="e">
        <f>AND(#REF!,"AAAAAD+/3UU=")</f>
        <v>#REF!</v>
      </c>
      <c r="BS57" t="e">
        <f>AND(#REF!,"AAAAAD+/3UY=")</f>
        <v>#REF!</v>
      </c>
      <c r="BT57" t="e">
        <f>AND(#REF!,"AAAAAD+/3Uc=")</f>
        <v>#REF!</v>
      </c>
      <c r="BU57" t="e">
        <f>AND(#REF!,"AAAAAD+/3Ug=")</f>
        <v>#REF!</v>
      </c>
      <c r="BV57" t="e">
        <f>AND(#REF!,"AAAAAD+/3Uk=")</f>
        <v>#REF!</v>
      </c>
      <c r="BW57" t="e">
        <f>AND(#REF!,"AAAAAD+/3Uo=")</f>
        <v>#REF!</v>
      </c>
      <c r="BX57" t="e">
        <f>AND(#REF!,"AAAAAD+/3Us=")</f>
        <v>#REF!</v>
      </c>
      <c r="BY57" t="e">
        <f>AND(#REF!,"AAAAAD+/3Uw=")</f>
        <v>#REF!</v>
      </c>
      <c r="BZ57" t="e">
        <f>AND(#REF!,"AAAAAD+/3U0=")</f>
        <v>#REF!</v>
      </c>
      <c r="CA57" t="e">
        <f>AND(#REF!,"AAAAAD+/3U4=")</f>
        <v>#REF!</v>
      </c>
      <c r="CB57" t="e">
        <f>IF(#REF!,"AAAAAD+/3U8=",0)</f>
        <v>#REF!</v>
      </c>
      <c r="CC57" t="e">
        <f>AND(#REF!,"AAAAAD+/3VA=")</f>
        <v>#REF!</v>
      </c>
      <c r="CD57" t="e">
        <f>AND(#REF!,"AAAAAD+/3VE=")</f>
        <v>#REF!</v>
      </c>
      <c r="CE57" t="e">
        <f>AND(#REF!,"AAAAAD+/3VI=")</f>
        <v>#REF!</v>
      </c>
      <c r="CF57" t="e">
        <f>AND(#REF!,"AAAAAD+/3VM=")</f>
        <v>#REF!</v>
      </c>
      <c r="CG57" t="e">
        <f>AND(#REF!,"AAAAAD+/3VQ=")</f>
        <v>#REF!</v>
      </c>
      <c r="CH57" t="e">
        <f>AND(#REF!,"AAAAAD+/3VU=")</f>
        <v>#REF!</v>
      </c>
      <c r="CI57" t="e">
        <f>AND(#REF!,"AAAAAD+/3VY=")</f>
        <v>#REF!</v>
      </c>
      <c r="CJ57" t="e">
        <f>AND(#REF!,"AAAAAD+/3Vc=")</f>
        <v>#REF!</v>
      </c>
      <c r="CK57" t="e">
        <f>AND(#REF!,"AAAAAD+/3Vg=")</f>
        <v>#REF!</v>
      </c>
      <c r="CL57" t="e">
        <f>AND(#REF!,"AAAAAD+/3Vk=")</f>
        <v>#REF!</v>
      </c>
      <c r="CM57" t="e">
        <f>IF(#REF!,"AAAAAD+/3Vo=",0)</f>
        <v>#REF!</v>
      </c>
      <c r="CN57" t="e">
        <f>AND(#REF!,"AAAAAD+/3Vs=")</f>
        <v>#REF!</v>
      </c>
      <c r="CO57" t="e">
        <f>AND(#REF!,"AAAAAD+/3Vw=")</f>
        <v>#REF!</v>
      </c>
      <c r="CP57" t="e">
        <f>AND(#REF!,"AAAAAD+/3V0=")</f>
        <v>#REF!</v>
      </c>
      <c r="CQ57" t="e">
        <f>AND(#REF!,"AAAAAD+/3V4=")</f>
        <v>#REF!</v>
      </c>
      <c r="CR57" t="e">
        <f>AND(#REF!,"AAAAAD+/3V8=")</f>
        <v>#REF!</v>
      </c>
      <c r="CS57" t="e">
        <f>AND(#REF!,"AAAAAD+/3WA=")</f>
        <v>#REF!</v>
      </c>
      <c r="CT57" t="e">
        <f>AND(#REF!,"AAAAAD+/3WE=")</f>
        <v>#REF!</v>
      </c>
      <c r="CU57" t="e">
        <f>AND(#REF!,"AAAAAD+/3WI=")</f>
        <v>#REF!</v>
      </c>
      <c r="CV57" t="e">
        <f>AND(#REF!,"AAAAAD+/3WM=")</f>
        <v>#REF!</v>
      </c>
      <c r="CW57" t="e">
        <f>AND(#REF!,"AAAAAD+/3WQ=")</f>
        <v>#REF!</v>
      </c>
      <c r="CX57" t="e">
        <f>IF(#REF!,"AAAAAD+/3WU=",0)</f>
        <v>#REF!</v>
      </c>
      <c r="CY57" t="e">
        <f>AND(#REF!,"AAAAAD+/3WY=")</f>
        <v>#REF!</v>
      </c>
      <c r="CZ57" t="e">
        <f>AND(#REF!,"AAAAAD+/3Wc=")</f>
        <v>#REF!</v>
      </c>
      <c r="DA57" t="e">
        <f>AND(#REF!,"AAAAAD+/3Wg=")</f>
        <v>#REF!</v>
      </c>
      <c r="DB57" t="e">
        <f>AND(#REF!,"AAAAAD+/3Wk=")</f>
        <v>#REF!</v>
      </c>
      <c r="DC57" t="e">
        <f>AND(#REF!,"AAAAAD+/3Wo=")</f>
        <v>#REF!</v>
      </c>
      <c r="DD57" t="e">
        <f>AND(#REF!,"AAAAAD+/3Ws=")</f>
        <v>#REF!</v>
      </c>
      <c r="DE57" t="e">
        <f>AND(#REF!,"AAAAAD+/3Ww=")</f>
        <v>#REF!</v>
      </c>
      <c r="DF57" t="e">
        <f>AND(#REF!,"AAAAAD+/3W0=")</f>
        <v>#REF!</v>
      </c>
      <c r="DG57" t="e">
        <f>AND(#REF!,"AAAAAD+/3W4=")</f>
        <v>#REF!</v>
      </c>
      <c r="DH57" t="e">
        <f>AND(#REF!,"AAAAAD+/3W8=")</f>
        <v>#REF!</v>
      </c>
      <c r="DI57" t="e">
        <f>IF(#REF!,"AAAAAD+/3XA=",0)</f>
        <v>#REF!</v>
      </c>
      <c r="DJ57" t="e">
        <f>AND(#REF!,"AAAAAD+/3XE=")</f>
        <v>#REF!</v>
      </c>
      <c r="DK57" t="e">
        <f>AND(#REF!,"AAAAAD+/3XI=")</f>
        <v>#REF!</v>
      </c>
      <c r="DL57" t="e">
        <f>AND(#REF!,"AAAAAD+/3XM=")</f>
        <v>#REF!</v>
      </c>
      <c r="DM57" t="e">
        <f>AND(#REF!,"AAAAAD+/3XQ=")</f>
        <v>#REF!</v>
      </c>
      <c r="DN57" t="e">
        <f>AND(#REF!,"AAAAAD+/3XU=")</f>
        <v>#REF!</v>
      </c>
      <c r="DO57" t="e">
        <f>AND(#REF!,"AAAAAD+/3XY=")</f>
        <v>#REF!</v>
      </c>
      <c r="DP57" t="e">
        <f>AND(#REF!,"AAAAAD+/3Xc=")</f>
        <v>#REF!</v>
      </c>
      <c r="DQ57" t="e">
        <f>AND(#REF!,"AAAAAD+/3Xg=")</f>
        <v>#REF!</v>
      </c>
      <c r="DR57" t="e">
        <f>AND(#REF!,"AAAAAD+/3Xk=")</f>
        <v>#REF!</v>
      </c>
      <c r="DS57" t="e">
        <f>AND(#REF!,"AAAAAD+/3Xo=")</f>
        <v>#REF!</v>
      </c>
      <c r="DT57" t="e">
        <f>IF(#REF!,"AAAAAD+/3Xs=",0)</f>
        <v>#REF!</v>
      </c>
      <c r="DU57" t="e">
        <f>AND(#REF!,"AAAAAD+/3Xw=")</f>
        <v>#REF!</v>
      </c>
      <c r="DV57" t="e">
        <f>AND(#REF!,"AAAAAD+/3X0=")</f>
        <v>#REF!</v>
      </c>
      <c r="DW57" t="e">
        <f>AND(#REF!,"AAAAAD+/3X4=")</f>
        <v>#REF!</v>
      </c>
      <c r="DX57" t="e">
        <f>AND(#REF!,"AAAAAD+/3X8=")</f>
        <v>#REF!</v>
      </c>
      <c r="DY57" t="e">
        <f>AND(#REF!,"AAAAAD+/3YA=")</f>
        <v>#REF!</v>
      </c>
      <c r="DZ57" t="e">
        <f>AND(#REF!,"AAAAAD+/3YE=")</f>
        <v>#REF!</v>
      </c>
      <c r="EA57" t="e">
        <f>AND(#REF!,"AAAAAD+/3YI=")</f>
        <v>#REF!</v>
      </c>
      <c r="EB57" t="e">
        <f>AND(#REF!,"AAAAAD+/3YM=")</f>
        <v>#REF!</v>
      </c>
      <c r="EC57" t="e">
        <f>AND(#REF!,"AAAAAD+/3YQ=")</f>
        <v>#REF!</v>
      </c>
      <c r="ED57" t="e">
        <f>AND(#REF!,"AAAAAD+/3YU=")</f>
        <v>#REF!</v>
      </c>
      <c r="EE57" t="e">
        <f>IF(#REF!,"AAAAAD+/3YY=",0)</f>
        <v>#REF!</v>
      </c>
      <c r="EF57" t="e">
        <f>AND(#REF!,"AAAAAD+/3Yc=")</f>
        <v>#REF!</v>
      </c>
      <c r="EG57" t="e">
        <f>AND(#REF!,"AAAAAD+/3Yg=")</f>
        <v>#REF!</v>
      </c>
      <c r="EH57" t="e">
        <f>AND(#REF!,"AAAAAD+/3Yk=")</f>
        <v>#REF!</v>
      </c>
      <c r="EI57" t="e">
        <f>AND(#REF!,"AAAAAD+/3Yo=")</f>
        <v>#REF!</v>
      </c>
      <c r="EJ57" t="e">
        <f>AND(#REF!,"AAAAAD+/3Ys=")</f>
        <v>#REF!</v>
      </c>
      <c r="EK57" t="e">
        <f>AND(#REF!,"AAAAAD+/3Yw=")</f>
        <v>#REF!</v>
      </c>
      <c r="EL57" t="e">
        <f>AND(#REF!,"AAAAAD+/3Y0=")</f>
        <v>#REF!</v>
      </c>
      <c r="EM57" t="e">
        <f>AND(#REF!,"AAAAAD+/3Y4=")</f>
        <v>#REF!</v>
      </c>
      <c r="EN57" t="e">
        <f>AND(#REF!,"AAAAAD+/3Y8=")</f>
        <v>#REF!</v>
      </c>
      <c r="EO57" t="e">
        <f>AND(#REF!,"AAAAAD+/3ZA=")</f>
        <v>#REF!</v>
      </c>
      <c r="EP57" t="e">
        <f>IF(#REF!,"AAAAAD+/3ZE=",0)</f>
        <v>#REF!</v>
      </c>
      <c r="EQ57" t="e">
        <f>AND(#REF!,"AAAAAD+/3ZI=")</f>
        <v>#REF!</v>
      </c>
      <c r="ER57" t="e">
        <f>AND(#REF!,"AAAAAD+/3ZM=")</f>
        <v>#REF!</v>
      </c>
      <c r="ES57" t="e">
        <f>AND(#REF!,"AAAAAD+/3ZQ=")</f>
        <v>#REF!</v>
      </c>
      <c r="ET57" t="e">
        <f>AND(#REF!,"AAAAAD+/3ZU=")</f>
        <v>#REF!</v>
      </c>
      <c r="EU57" t="e">
        <f>AND(#REF!,"AAAAAD+/3ZY=")</f>
        <v>#REF!</v>
      </c>
      <c r="EV57" t="e">
        <f>AND(#REF!,"AAAAAD+/3Zc=")</f>
        <v>#REF!</v>
      </c>
      <c r="EW57" t="e">
        <f>AND(#REF!,"AAAAAD+/3Zg=")</f>
        <v>#REF!</v>
      </c>
      <c r="EX57" t="e">
        <f>AND(#REF!,"AAAAAD+/3Zk=")</f>
        <v>#REF!</v>
      </c>
      <c r="EY57" t="e">
        <f>AND(#REF!,"AAAAAD+/3Zo=")</f>
        <v>#REF!</v>
      </c>
      <c r="EZ57" t="e">
        <f>AND(#REF!,"AAAAAD+/3Zs=")</f>
        <v>#REF!</v>
      </c>
      <c r="FA57" t="e">
        <f>IF(#REF!,"AAAAAD+/3Zw=",0)</f>
        <v>#REF!</v>
      </c>
      <c r="FB57" t="e">
        <f>AND(#REF!,"AAAAAD+/3Z0=")</f>
        <v>#REF!</v>
      </c>
      <c r="FC57" t="e">
        <f>AND(#REF!,"AAAAAD+/3Z4=")</f>
        <v>#REF!</v>
      </c>
      <c r="FD57" t="e">
        <f>AND(#REF!,"AAAAAD+/3Z8=")</f>
        <v>#REF!</v>
      </c>
      <c r="FE57" t="e">
        <f>AND(#REF!,"AAAAAD+/3aA=")</f>
        <v>#REF!</v>
      </c>
      <c r="FF57" t="e">
        <f>AND(#REF!,"AAAAAD+/3aE=")</f>
        <v>#REF!</v>
      </c>
      <c r="FG57" t="e">
        <f>AND(#REF!,"AAAAAD+/3aI=")</f>
        <v>#REF!</v>
      </c>
      <c r="FH57" t="e">
        <f>AND(#REF!,"AAAAAD+/3aM=")</f>
        <v>#REF!</v>
      </c>
      <c r="FI57" t="e">
        <f>AND(#REF!,"AAAAAD+/3aQ=")</f>
        <v>#REF!</v>
      </c>
      <c r="FJ57" t="e">
        <f>AND(#REF!,"AAAAAD+/3aU=")</f>
        <v>#REF!</v>
      </c>
      <c r="FK57" t="e">
        <f>AND(#REF!,"AAAAAD+/3aY=")</f>
        <v>#REF!</v>
      </c>
      <c r="FL57" t="e">
        <f>IF(#REF!,"AAAAAD+/3ac=",0)</f>
        <v>#REF!</v>
      </c>
      <c r="FM57" t="e">
        <f>AND(#REF!,"AAAAAD+/3ag=")</f>
        <v>#REF!</v>
      </c>
      <c r="FN57" t="e">
        <f>AND(#REF!,"AAAAAD+/3ak=")</f>
        <v>#REF!</v>
      </c>
      <c r="FO57" t="e">
        <f>AND(#REF!,"AAAAAD+/3ao=")</f>
        <v>#REF!</v>
      </c>
      <c r="FP57" t="e">
        <f>AND(#REF!,"AAAAAD+/3as=")</f>
        <v>#REF!</v>
      </c>
      <c r="FQ57" t="e">
        <f>AND(#REF!,"AAAAAD+/3aw=")</f>
        <v>#REF!</v>
      </c>
      <c r="FR57" t="e">
        <f>AND(#REF!,"AAAAAD+/3a0=")</f>
        <v>#REF!</v>
      </c>
      <c r="FS57" t="e">
        <f>AND(#REF!,"AAAAAD+/3a4=")</f>
        <v>#REF!</v>
      </c>
      <c r="FT57" t="e">
        <f>AND(#REF!,"AAAAAD+/3a8=")</f>
        <v>#REF!</v>
      </c>
      <c r="FU57" t="e">
        <f>AND(#REF!,"AAAAAD+/3bA=")</f>
        <v>#REF!</v>
      </c>
      <c r="FV57" t="e">
        <f>AND(#REF!,"AAAAAD+/3bE=")</f>
        <v>#REF!</v>
      </c>
      <c r="FW57" t="e">
        <f>IF(#REF!,"AAAAAD+/3bI=",0)</f>
        <v>#REF!</v>
      </c>
      <c r="FX57" t="e">
        <f>AND(#REF!,"AAAAAD+/3bM=")</f>
        <v>#REF!</v>
      </c>
      <c r="FY57" t="e">
        <f>AND(#REF!,"AAAAAD+/3bQ=")</f>
        <v>#REF!</v>
      </c>
      <c r="FZ57" t="e">
        <f>AND(#REF!,"AAAAAD+/3bU=")</f>
        <v>#REF!</v>
      </c>
      <c r="GA57" t="e">
        <f>AND(#REF!,"AAAAAD+/3bY=")</f>
        <v>#REF!</v>
      </c>
      <c r="GB57" t="e">
        <f>AND(#REF!,"AAAAAD+/3bc=")</f>
        <v>#REF!</v>
      </c>
      <c r="GC57" t="e">
        <f>AND(#REF!,"AAAAAD+/3bg=")</f>
        <v>#REF!</v>
      </c>
      <c r="GD57" t="e">
        <f>AND(#REF!,"AAAAAD+/3bk=")</f>
        <v>#REF!</v>
      </c>
      <c r="GE57" t="e">
        <f>AND(#REF!,"AAAAAD+/3bo=")</f>
        <v>#REF!</v>
      </c>
      <c r="GF57" t="e">
        <f>AND(#REF!,"AAAAAD+/3bs=")</f>
        <v>#REF!</v>
      </c>
      <c r="GG57" t="e">
        <f>AND(#REF!,"AAAAAD+/3bw=")</f>
        <v>#REF!</v>
      </c>
      <c r="GH57" t="e">
        <f>IF(#REF!,"AAAAAD+/3b0=",0)</f>
        <v>#REF!</v>
      </c>
      <c r="GI57" t="e">
        <f>AND(#REF!,"AAAAAD+/3b4=")</f>
        <v>#REF!</v>
      </c>
      <c r="GJ57" t="e">
        <f>AND(#REF!,"AAAAAD+/3b8=")</f>
        <v>#REF!</v>
      </c>
      <c r="GK57" t="e">
        <f>AND(#REF!,"AAAAAD+/3cA=")</f>
        <v>#REF!</v>
      </c>
      <c r="GL57" t="e">
        <f>AND(#REF!,"AAAAAD+/3cE=")</f>
        <v>#REF!</v>
      </c>
      <c r="GM57" t="e">
        <f>AND(#REF!,"AAAAAD+/3cI=")</f>
        <v>#REF!</v>
      </c>
      <c r="GN57" t="e">
        <f>AND(#REF!,"AAAAAD+/3cM=")</f>
        <v>#REF!</v>
      </c>
      <c r="GO57" t="e">
        <f>AND(#REF!,"AAAAAD+/3cQ=")</f>
        <v>#REF!</v>
      </c>
      <c r="GP57" t="e">
        <f>AND(#REF!,"AAAAAD+/3cU=")</f>
        <v>#REF!</v>
      </c>
      <c r="GQ57" t="e">
        <f>AND(#REF!,"AAAAAD+/3cY=")</f>
        <v>#REF!</v>
      </c>
      <c r="GR57" t="e">
        <f>AND(#REF!,"AAAAAD+/3cc=")</f>
        <v>#REF!</v>
      </c>
      <c r="GS57" t="e">
        <f>IF(#REF!,"AAAAAD+/3cg=",0)</f>
        <v>#REF!</v>
      </c>
      <c r="GT57" t="e">
        <f>AND(#REF!,"AAAAAD+/3ck=")</f>
        <v>#REF!</v>
      </c>
      <c r="GU57" t="e">
        <f>AND(#REF!,"AAAAAD+/3co=")</f>
        <v>#REF!</v>
      </c>
      <c r="GV57" t="e">
        <f>AND(#REF!,"AAAAAD+/3cs=")</f>
        <v>#REF!</v>
      </c>
      <c r="GW57" t="e">
        <f>AND(#REF!,"AAAAAD+/3cw=")</f>
        <v>#REF!</v>
      </c>
      <c r="GX57" t="e">
        <f>AND(#REF!,"AAAAAD+/3c0=")</f>
        <v>#REF!</v>
      </c>
      <c r="GY57" t="e">
        <f>AND(#REF!,"AAAAAD+/3c4=")</f>
        <v>#REF!</v>
      </c>
      <c r="GZ57" t="e">
        <f>AND(#REF!,"AAAAAD+/3c8=")</f>
        <v>#REF!</v>
      </c>
      <c r="HA57" t="e">
        <f>AND(#REF!,"AAAAAD+/3dA=")</f>
        <v>#REF!</v>
      </c>
      <c r="HB57" t="e">
        <f>AND(#REF!,"AAAAAD+/3dE=")</f>
        <v>#REF!</v>
      </c>
      <c r="HC57" t="e">
        <f>AND(#REF!,"AAAAAD+/3dI=")</f>
        <v>#REF!</v>
      </c>
      <c r="HD57" t="e">
        <f>IF(#REF!,"AAAAAD+/3dM=",0)</f>
        <v>#REF!</v>
      </c>
      <c r="HE57" t="e">
        <f>AND(#REF!,"AAAAAD+/3dQ=")</f>
        <v>#REF!</v>
      </c>
      <c r="HF57" t="e">
        <f>AND(#REF!,"AAAAAD+/3dU=")</f>
        <v>#REF!</v>
      </c>
      <c r="HG57" t="e">
        <f>AND(#REF!,"AAAAAD+/3dY=")</f>
        <v>#REF!</v>
      </c>
      <c r="HH57" t="e">
        <f>AND(#REF!,"AAAAAD+/3dc=")</f>
        <v>#REF!</v>
      </c>
      <c r="HI57" t="e">
        <f>AND(#REF!,"AAAAAD+/3dg=")</f>
        <v>#REF!</v>
      </c>
      <c r="HJ57" t="e">
        <f>AND(#REF!,"AAAAAD+/3dk=")</f>
        <v>#REF!</v>
      </c>
      <c r="HK57" t="e">
        <f>AND(#REF!,"AAAAAD+/3do=")</f>
        <v>#REF!</v>
      </c>
      <c r="HL57" t="e">
        <f>AND(#REF!,"AAAAAD+/3ds=")</f>
        <v>#REF!</v>
      </c>
      <c r="HM57" t="e">
        <f>AND(#REF!,"AAAAAD+/3dw=")</f>
        <v>#REF!</v>
      </c>
      <c r="HN57" t="e">
        <f>AND(#REF!,"AAAAAD+/3d0=")</f>
        <v>#REF!</v>
      </c>
      <c r="HO57" t="e">
        <f>IF(#REF!,"AAAAAD+/3d4=",0)</f>
        <v>#REF!</v>
      </c>
      <c r="HP57" t="e">
        <f>AND(#REF!,"AAAAAD+/3d8=")</f>
        <v>#REF!</v>
      </c>
      <c r="HQ57" t="e">
        <f>AND(#REF!,"AAAAAD+/3eA=")</f>
        <v>#REF!</v>
      </c>
      <c r="HR57" t="e">
        <f>AND(#REF!,"AAAAAD+/3eE=")</f>
        <v>#REF!</v>
      </c>
      <c r="HS57" t="e">
        <f>AND(#REF!,"AAAAAD+/3eI=")</f>
        <v>#REF!</v>
      </c>
      <c r="HT57" t="e">
        <f>AND(#REF!,"AAAAAD+/3eM=")</f>
        <v>#REF!</v>
      </c>
      <c r="HU57" t="e">
        <f>AND(#REF!,"AAAAAD+/3eQ=")</f>
        <v>#REF!</v>
      </c>
      <c r="HV57" t="e">
        <f>AND(#REF!,"AAAAAD+/3eU=")</f>
        <v>#REF!</v>
      </c>
      <c r="HW57" t="e">
        <f>AND(#REF!,"AAAAAD+/3eY=")</f>
        <v>#REF!</v>
      </c>
      <c r="HX57" t="e">
        <f>AND(#REF!,"AAAAAD+/3ec=")</f>
        <v>#REF!</v>
      </c>
      <c r="HY57" t="e">
        <f>AND(#REF!,"AAAAAD+/3eg=")</f>
        <v>#REF!</v>
      </c>
      <c r="HZ57" t="e">
        <f>IF(#REF!,"AAAAAD+/3ek=",0)</f>
        <v>#REF!</v>
      </c>
      <c r="IA57" t="e">
        <f>AND(#REF!,"AAAAAD+/3eo=")</f>
        <v>#REF!</v>
      </c>
      <c r="IB57" t="e">
        <f>AND(#REF!,"AAAAAD+/3es=")</f>
        <v>#REF!</v>
      </c>
      <c r="IC57" t="e">
        <f>AND(#REF!,"AAAAAD+/3ew=")</f>
        <v>#REF!</v>
      </c>
      <c r="ID57" t="e">
        <f>AND(#REF!,"AAAAAD+/3e0=")</f>
        <v>#REF!</v>
      </c>
      <c r="IE57" t="e">
        <f>AND(#REF!,"AAAAAD+/3e4=")</f>
        <v>#REF!</v>
      </c>
      <c r="IF57" t="e">
        <f>AND(#REF!,"AAAAAD+/3e8=")</f>
        <v>#REF!</v>
      </c>
      <c r="IG57" t="e">
        <f>AND(#REF!,"AAAAAD+/3fA=")</f>
        <v>#REF!</v>
      </c>
      <c r="IH57" t="e">
        <f>AND(#REF!,"AAAAAD+/3fE=")</f>
        <v>#REF!</v>
      </c>
      <c r="II57" t="e">
        <f>AND(#REF!,"AAAAAD+/3fI=")</f>
        <v>#REF!</v>
      </c>
      <c r="IJ57" t="e">
        <f>AND(#REF!,"AAAAAD+/3fM=")</f>
        <v>#REF!</v>
      </c>
      <c r="IK57" t="e">
        <f>IF(#REF!,"AAAAAD+/3fQ=",0)</f>
        <v>#REF!</v>
      </c>
      <c r="IL57" t="e">
        <f>AND(#REF!,"AAAAAD+/3fU=")</f>
        <v>#REF!</v>
      </c>
      <c r="IM57" t="e">
        <f>AND(#REF!,"AAAAAD+/3fY=")</f>
        <v>#REF!</v>
      </c>
      <c r="IN57" t="e">
        <f>AND(#REF!,"AAAAAD+/3fc=")</f>
        <v>#REF!</v>
      </c>
      <c r="IO57" t="e">
        <f>AND(#REF!,"AAAAAD+/3fg=")</f>
        <v>#REF!</v>
      </c>
      <c r="IP57" t="e">
        <f>AND(#REF!,"AAAAAD+/3fk=")</f>
        <v>#REF!</v>
      </c>
      <c r="IQ57" t="e">
        <f>AND(#REF!,"AAAAAD+/3fo=")</f>
        <v>#REF!</v>
      </c>
      <c r="IR57" t="e">
        <f>AND(#REF!,"AAAAAD+/3fs=")</f>
        <v>#REF!</v>
      </c>
      <c r="IS57" t="e">
        <f>AND(#REF!,"AAAAAD+/3fw=")</f>
        <v>#REF!</v>
      </c>
      <c r="IT57" t="e">
        <f>AND(#REF!,"AAAAAD+/3f0=")</f>
        <v>#REF!</v>
      </c>
      <c r="IU57" t="e">
        <f>AND(#REF!,"AAAAAD+/3f4=")</f>
        <v>#REF!</v>
      </c>
      <c r="IV57" t="e">
        <f>IF(#REF!,"AAAAAD+/3f8=",0)</f>
        <v>#REF!</v>
      </c>
    </row>
    <row r="58" spans="1:256" x14ac:dyDescent="0.25">
      <c r="A58" t="e">
        <f>AND(#REF!,"AAAAAH/hNQA=")</f>
        <v>#REF!</v>
      </c>
      <c r="B58" t="e">
        <f>AND(#REF!,"AAAAAH/hNQE=")</f>
        <v>#REF!</v>
      </c>
      <c r="C58" t="e">
        <f>AND(#REF!,"AAAAAH/hNQI=")</f>
        <v>#REF!</v>
      </c>
      <c r="D58" t="e">
        <f>AND(#REF!,"AAAAAH/hNQM=")</f>
        <v>#REF!</v>
      </c>
      <c r="E58" t="e">
        <f>AND(#REF!,"AAAAAH/hNQQ=")</f>
        <v>#REF!</v>
      </c>
      <c r="F58" t="e">
        <f>AND(#REF!,"AAAAAH/hNQU=")</f>
        <v>#REF!</v>
      </c>
      <c r="G58" t="e">
        <f>AND(#REF!,"AAAAAH/hNQY=")</f>
        <v>#REF!</v>
      </c>
      <c r="H58" t="e">
        <f>AND(#REF!,"AAAAAH/hNQc=")</f>
        <v>#REF!</v>
      </c>
      <c r="I58" t="e">
        <f>AND(#REF!,"AAAAAH/hNQg=")</f>
        <v>#REF!</v>
      </c>
      <c r="J58" t="e">
        <f>AND(#REF!,"AAAAAH/hNQk=")</f>
        <v>#REF!</v>
      </c>
      <c r="K58" t="e">
        <f>IF(#REF!,"AAAAAH/hNQo=",0)</f>
        <v>#REF!</v>
      </c>
      <c r="L58" t="e">
        <f>AND(#REF!,"AAAAAH/hNQs=")</f>
        <v>#REF!</v>
      </c>
      <c r="M58" t="e">
        <f>AND(#REF!,"AAAAAH/hNQw=")</f>
        <v>#REF!</v>
      </c>
      <c r="N58" t="e">
        <f>AND(#REF!,"AAAAAH/hNQ0=")</f>
        <v>#REF!</v>
      </c>
      <c r="O58" t="e">
        <f>AND(#REF!,"AAAAAH/hNQ4=")</f>
        <v>#REF!</v>
      </c>
      <c r="P58" t="e">
        <f>AND(#REF!,"AAAAAH/hNQ8=")</f>
        <v>#REF!</v>
      </c>
      <c r="Q58" t="e">
        <f>AND(#REF!,"AAAAAH/hNRA=")</f>
        <v>#REF!</v>
      </c>
      <c r="R58" t="e">
        <f>AND(#REF!,"AAAAAH/hNRE=")</f>
        <v>#REF!</v>
      </c>
      <c r="S58" t="e">
        <f>AND(#REF!,"AAAAAH/hNRI=")</f>
        <v>#REF!</v>
      </c>
      <c r="T58" t="e">
        <f>AND(#REF!,"AAAAAH/hNRM=")</f>
        <v>#REF!</v>
      </c>
      <c r="U58" t="e">
        <f>AND(#REF!,"AAAAAH/hNRQ=")</f>
        <v>#REF!</v>
      </c>
      <c r="V58" t="e">
        <f>IF(#REF!,"AAAAAH/hNRU=",0)</f>
        <v>#REF!</v>
      </c>
      <c r="W58" t="e">
        <f>AND(#REF!,"AAAAAH/hNRY=")</f>
        <v>#REF!</v>
      </c>
      <c r="X58" t="e">
        <f>AND(#REF!,"AAAAAH/hNRc=")</f>
        <v>#REF!</v>
      </c>
      <c r="Y58" t="e">
        <f>AND(#REF!,"AAAAAH/hNRg=")</f>
        <v>#REF!</v>
      </c>
      <c r="Z58" t="e">
        <f>AND(#REF!,"AAAAAH/hNRk=")</f>
        <v>#REF!</v>
      </c>
      <c r="AA58" t="e">
        <f>AND(#REF!,"AAAAAH/hNRo=")</f>
        <v>#REF!</v>
      </c>
      <c r="AB58" t="e">
        <f>AND(#REF!,"AAAAAH/hNRs=")</f>
        <v>#REF!</v>
      </c>
      <c r="AC58" t="e">
        <f>AND(#REF!,"AAAAAH/hNRw=")</f>
        <v>#REF!</v>
      </c>
      <c r="AD58" t="e">
        <f>AND(#REF!,"AAAAAH/hNR0=")</f>
        <v>#REF!</v>
      </c>
      <c r="AE58" t="e">
        <f>AND(#REF!,"AAAAAH/hNR4=")</f>
        <v>#REF!</v>
      </c>
      <c r="AF58" t="e">
        <f>AND(#REF!,"AAAAAH/hNR8=")</f>
        <v>#REF!</v>
      </c>
      <c r="AG58" t="e">
        <f>IF(#REF!,"AAAAAH/hNSA=",0)</f>
        <v>#REF!</v>
      </c>
      <c r="AH58" t="e">
        <f>AND(#REF!,"AAAAAH/hNSE=")</f>
        <v>#REF!</v>
      </c>
      <c r="AI58" t="e">
        <f>AND(#REF!,"AAAAAH/hNSI=")</f>
        <v>#REF!</v>
      </c>
      <c r="AJ58" t="e">
        <f>AND(#REF!,"AAAAAH/hNSM=")</f>
        <v>#REF!</v>
      </c>
      <c r="AK58" t="e">
        <f>AND(#REF!,"AAAAAH/hNSQ=")</f>
        <v>#REF!</v>
      </c>
      <c r="AL58" t="e">
        <f>AND(#REF!,"AAAAAH/hNSU=")</f>
        <v>#REF!</v>
      </c>
      <c r="AM58" t="e">
        <f>AND(#REF!,"AAAAAH/hNSY=")</f>
        <v>#REF!</v>
      </c>
      <c r="AN58" t="e">
        <f>AND(#REF!,"AAAAAH/hNSc=")</f>
        <v>#REF!</v>
      </c>
      <c r="AO58" t="e">
        <f>AND(#REF!,"AAAAAH/hNSg=")</f>
        <v>#REF!</v>
      </c>
      <c r="AP58" t="e">
        <f>AND(#REF!,"AAAAAH/hNSk=")</f>
        <v>#REF!</v>
      </c>
      <c r="AQ58" t="e">
        <f>AND(#REF!,"AAAAAH/hNSo=")</f>
        <v>#REF!</v>
      </c>
      <c r="AR58" t="e">
        <f>IF(#REF!,"AAAAAH/hNSs=",0)</f>
        <v>#REF!</v>
      </c>
      <c r="AS58" t="e">
        <f>AND(#REF!,"AAAAAH/hNSw=")</f>
        <v>#REF!</v>
      </c>
      <c r="AT58" t="e">
        <f>AND(#REF!,"AAAAAH/hNS0=")</f>
        <v>#REF!</v>
      </c>
      <c r="AU58" t="e">
        <f>AND(#REF!,"AAAAAH/hNS4=")</f>
        <v>#REF!</v>
      </c>
      <c r="AV58" t="e">
        <f>AND(#REF!,"AAAAAH/hNS8=")</f>
        <v>#REF!</v>
      </c>
      <c r="AW58" t="e">
        <f>AND(#REF!,"AAAAAH/hNTA=")</f>
        <v>#REF!</v>
      </c>
      <c r="AX58" t="e">
        <f>AND(#REF!,"AAAAAH/hNTE=")</f>
        <v>#REF!</v>
      </c>
      <c r="AY58" t="e">
        <f>AND(#REF!,"AAAAAH/hNTI=")</f>
        <v>#REF!</v>
      </c>
      <c r="AZ58" t="e">
        <f>AND(#REF!,"AAAAAH/hNTM=")</f>
        <v>#REF!</v>
      </c>
      <c r="BA58" t="e">
        <f>AND(#REF!,"AAAAAH/hNTQ=")</f>
        <v>#REF!</v>
      </c>
      <c r="BB58" t="e">
        <f>AND(#REF!,"AAAAAH/hNTU=")</f>
        <v>#REF!</v>
      </c>
      <c r="BC58" t="e">
        <f>IF(#REF!,"AAAAAH/hNTY=",0)</f>
        <v>#REF!</v>
      </c>
      <c r="BD58" t="e">
        <f>AND(#REF!,"AAAAAH/hNTc=")</f>
        <v>#REF!</v>
      </c>
      <c r="BE58" t="e">
        <f>AND(#REF!,"AAAAAH/hNTg=")</f>
        <v>#REF!</v>
      </c>
      <c r="BF58" t="e">
        <f>AND(#REF!,"AAAAAH/hNTk=")</f>
        <v>#REF!</v>
      </c>
      <c r="BG58" t="e">
        <f>AND(#REF!,"AAAAAH/hNTo=")</f>
        <v>#REF!</v>
      </c>
      <c r="BH58" t="e">
        <f>AND(#REF!,"AAAAAH/hNTs=")</f>
        <v>#REF!</v>
      </c>
      <c r="BI58" t="e">
        <f>AND(#REF!,"AAAAAH/hNTw=")</f>
        <v>#REF!</v>
      </c>
      <c r="BJ58" t="e">
        <f>AND(#REF!,"AAAAAH/hNT0=")</f>
        <v>#REF!</v>
      </c>
      <c r="BK58" t="e">
        <f>AND(#REF!,"AAAAAH/hNT4=")</f>
        <v>#REF!</v>
      </c>
      <c r="BL58" t="e">
        <f>AND(#REF!,"AAAAAH/hNT8=")</f>
        <v>#REF!</v>
      </c>
      <c r="BM58" t="e">
        <f>AND(#REF!,"AAAAAH/hNUA=")</f>
        <v>#REF!</v>
      </c>
      <c r="BN58" t="e">
        <f>IF(#REF!,"AAAAAH/hNUE=",0)</f>
        <v>#REF!</v>
      </c>
      <c r="BO58" t="e">
        <f>AND(#REF!,"AAAAAH/hNUI=")</f>
        <v>#REF!</v>
      </c>
      <c r="BP58" t="e">
        <f>AND(#REF!,"AAAAAH/hNUM=")</f>
        <v>#REF!</v>
      </c>
      <c r="BQ58" t="e">
        <f>AND(#REF!,"AAAAAH/hNUQ=")</f>
        <v>#REF!</v>
      </c>
      <c r="BR58" t="e">
        <f>AND(#REF!,"AAAAAH/hNUU=")</f>
        <v>#REF!</v>
      </c>
      <c r="BS58" t="e">
        <f>AND(#REF!,"AAAAAH/hNUY=")</f>
        <v>#REF!</v>
      </c>
      <c r="BT58" t="e">
        <f>AND(#REF!,"AAAAAH/hNUc=")</f>
        <v>#REF!</v>
      </c>
      <c r="BU58" t="e">
        <f>AND(#REF!,"AAAAAH/hNUg=")</f>
        <v>#REF!</v>
      </c>
      <c r="BV58" t="e">
        <f>AND(#REF!,"AAAAAH/hNUk=")</f>
        <v>#REF!</v>
      </c>
      <c r="BW58" t="e">
        <f>AND(#REF!,"AAAAAH/hNUo=")</f>
        <v>#REF!</v>
      </c>
      <c r="BX58" t="e">
        <f>AND(#REF!,"AAAAAH/hNUs=")</f>
        <v>#REF!</v>
      </c>
      <c r="BY58" t="e">
        <f>IF(#REF!,"AAAAAH/hNUw=",0)</f>
        <v>#REF!</v>
      </c>
      <c r="BZ58" t="e">
        <f>AND(#REF!,"AAAAAH/hNU0=")</f>
        <v>#REF!</v>
      </c>
      <c r="CA58" t="e">
        <f>AND(#REF!,"AAAAAH/hNU4=")</f>
        <v>#REF!</v>
      </c>
      <c r="CB58" t="e">
        <f>AND(#REF!,"AAAAAH/hNU8=")</f>
        <v>#REF!</v>
      </c>
      <c r="CC58" t="e">
        <f>AND(#REF!,"AAAAAH/hNVA=")</f>
        <v>#REF!</v>
      </c>
      <c r="CD58" t="e">
        <f>AND(#REF!,"AAAAAH/hNVE=")</f>
        <v>#REF!</v>
      </c>
      <c r="CE58" t="e">
        <f>AND(#REF!,"AAAAAH/hNVI=")</f>
        <v>#REF!</v>
      </c>
      <c r="CF58" t="e">
        <f>AND(#REF!,"AAAAAH/hNVM=")</f>
        <v>#REF!</v>
      </c>
      <c r="CG58" t="e">
        <f>AND(#REF!,"AAAAAH/hNVQ=")</f>
        <v>#REF!</v>
      </c>
      <c r="CH58" t="e">
        <f>AND(#REF!,"AAAAAH/hNVU=")</f>
        <v>#REF!</v>
      </c>
      <c r="CI58" t="e">
        <f>AND(#REF!,"AAAAAH/hNVY=")</f>
        <v>#REF!</v>
      </c>
      <c r="CJ58" t="e">
        <f>IF(#REF!,"AAAAAH/hNVc=",0)</f>
        <v>#REF!</v>
      </c>
      <c r="CK58" t="e">
        <f>AND(#REF!,"AAAAAH/hNVg=")</f>
        <v>#REF!</v>
      </c>
      <c r="CL58" t="e">
        <f>AND(#REF!,"AAAAAH/hNVk=")</f>
        <v>#REF!</v>
      </c>
      <c r="CM58" t="e">
        <f>AND(#REF!,"AAAAAH/hNVo=")</f>
        <v>#REF!</v>
      </c>
      <c r="CN58" t="e">
        <f>AND(#REF!,"AAAAAH/hNVs=")</f>
        <v>#REF!</v>
      </c>
      <c r="CO58" t="e">
        <f>AND(#REF!,"AAAAAH/hNVw=")</f>
        <v>#REF!</v>
      </c>
      <c r="CP58" t="e">
        <f>AND(#REF!,"AAAAAH/hNV0=")</f>
        <v>#REF!</v>
      </c>
      <c r="CQ58" t="e">
        <f>AND(#REF!,"AAAAAH/hNV4=")</f>
        <v>#REF!</v>
      </c>
      <c r="CR58" t="e">
        <f>AND(#REF!,"AAAAAH/hNV8=")</f>
        <v>#REF!</v>
      </c>
      <c r="CS58" t="e">
        <f>AND(#REF!,"AAAAAH/hNWA=")</f>
        <v>#REF!</v>
      </c>
      <c r="CT58" t="e">
        <f>AND(#REF!,"AAAAAH/hNWE=")</f>
        <v>#REF!</v>
      </c>
      <c r="CU58" t="e">
        <f>IF(#REF!,"AAAAAH/hNWI=",0)</f>
        <v>#REF!</v>
      </c>
      <c r="CV58" t="e">
        <f>AND(#REF!,"AAAAAH/hNWM=")</f>
        <v>#REF!</v>
      </c>
      <c r="CW58" t="e">
        <f>AND(#REF!,"AAAAAH/hNWQ=")</f>
        <v>#REF!</v>
      </c>
      <c r="CX58" t="e">
        <f>AND(#REF!,"AAAAAH/hNWU=")</f>
        <v>#REF!</v>
      </c>
      <c r="CY58" t="e">
        <f>AND(#REF!,"AAAAAH/hNWY=")</f>
        <v>#REF!</v>
      </c>
      <c r="CZ58" t="e">
        <f>AND(#REF!,"AAAAAH/hNWc=")</f>
        <v>#REF!</v>
      </c>
      <c r="DA58" t="e">
        <f>AND(#REF!,"AAAAAH/hNWg=")</f>
        <v>#REF!</v>
      </c>
      <c r="DB58" t="e">
        <f>AND(#REF!,"AAAAAH/hNWk=")</f>
        <v>#REF!</v>
      </c>
      <c r="DC58" t="e">
        <f>AND(#REF!,"AAAAAH/hNWo=")</f>
        <v>#REF!</v>
      </c>
      <c r="DD58" t="e">
        <f>AND(#REF!,"AAAAAH/hNWs=")</f>
        <v>#REF!</v>
      </c>
      <c r="DE58" t="e">
        <f>AND(#REF!,"AAAAAH/hNWw=")</f>
        <v>#REF!</v>
      </c>
      <c r="DF58" t="e">
        <f>IF(#REF!,"AAAAAH/hNW0=",0)</f>
        <v>#REF!</v>
      </c>
      <c r="DG58" t="e">
        <f>AND(#REF!,"AAAAAH/hNW4=")</f>
        <v>#REF!</v>
      </c>
      <c r="DH58" t="e">
        <f>AND(#REF!,"AAAAAH/hNW8=")</f>
        <v>#REF!</v>
      </c>
      <c r="DI58" t="e">
        <f>AND(#REF!,"AAAAAH/hNXA=")</f>
        <v>#REF!</v>
      </c>
      <c r="DJ58" t="e">
        <f>AND(#REF!,"AAAAAH/hNXE=")</f>
        <v>#REF!</v>
      </c>
      <c r="DK58" t="e">
        <f>AND(#REF!,"AAAAAH/hNXI=")</f>
        <v>#REF!</v>
      </c>
      <c r="DL58" t="e">
        <f>AND(#REF!,"AAAAAH/hNXM=")</f>
        <v>#REF!</v>
      </c>
      <c r="DM58" t="e">
        <f>AND(#REF!,"AAAAAH/hNXQ=")</f>
        <v>#REF!</v>
      </c>
      <c r="DN58" t="e">
        <f>AND(#REF!,"AAAAAH/hNXU=")</f>
        <v>#REF!</v>
      </c>
      <c r="DO58" t="e">
        <f>AND(#REF!,"AAAAAH/hNXY=")</f>
        <v>#REF!</v>
      </c>
      <c r="DP58" t="e">
        <f>AND(#REF!,"AAAAAH/hNXc=")</f>
        <v>#REF!</v>
      </c>
      <c r="DQ58" t="e">
        <f>IF(#REF!,"AAAAAH/hNXg=",0)</f>
        <v>#REF!</v>
      </c>
      <c r="DR58" t="e">
        <f>AND(#REF!,"AAAAAH/hNXk=")</f>
        <v>#REF!</v>
      </c>
      <c r="DS58" t="e">
        <f>AND(#REF!,"AAAAAH/hNXo=")</f>
        <v>#REF!</v>
      </c>
      <c r="DT58" t="e">
        <f>AND(#REF!,"AAAAAH/hNXs=")</f>
        <v>#REF!</v>
      </c>
      <c r="DU58" t="e">
        <f>AND(#REF!,"AAAAAH/hNXw=")</f>
        <v>#REF!</v>
      </c>
      <c r="DV58" t="e">
        <f>AND(#REF!,"AAAAAH/hNX0=")</f>
        <v>#REF!</v>
      </c>
      <c r="DW58" t="e">
        <f>AND(#REF!,"AAAAAH/hNX4=")</f>
        <v>#REF!</v>
      </c>
      <c r="DX58" t="e">
        <f>AND(#REF!,"AAAAAH/hNX8=")</f>
        <v>#REF!</v>
      </c>
      <c r="DY58" t="e">
        <f>AND(#REF!,"AAAAAH/hNYA=")</f>
        <v>#REF!</v>
      </c>
      <c r="DZ58" t="e">
        <f>AND(#REF!,"AAAAAH/hNYE=")</f>
        <v>#REF!</v>
      </c>
      <c r="EA58" t="e">
        <f>AND(#REF!,"AAAAAH/hNYI=")</f>
        <v>#REF!</v>
      </c>
      <c r="EB58" t="e">
        <f>IF(#REF!,"AAAAAH/hNYM=",0)</f>
        <v>#REF!</v>
      </c>
      <c r="EC58" t="e">
        <f>AND(#REF!,"AAAAAH/hNYQ=")</f>
        <v>#REF!</v>
      </c>
      <c r="ED58" t="e">
        <f>AND(#REF!,"AAAAAH/hNYU=")</f>
        <v>#REF!</v>
      </c>
      <c r="EE58" t="e">
        <f>AND(#REF!,"AAAAAH/hNYY=")</f>
        <v>#REF!</v>
      </c>
      <c r="EF58" t="e">
        <f>AND(#REF!,"AAAAAH/hNYc=")</f>
        <v>#REF!</v>
      </c>
      <c r="EG58" t="e">
        <f>AND(#REF!,"AAAAAH/hNYg=")</f>
        <v>#REF!</v>
      </c>
      <c r="EH58" t="e">
        <f>AND(#REF!,"AAAAAH/hNYk=")</f>
        <v>#REF!</v>
      </c>
      <c r="EI58" t="e">
        <f>AND(#REF!,"AAAAAH/hNYo=")</f>
        <v>#REF!</v>
      </c>
      <c r="EJ58" t="e">
        <f>AND(#REF!,"AAAAAH/hNYs=")</f>
        <v>#REF!</v>
      </c>
      <c r="EK58" t="e">
        <f>AND(#REF!,"AAAAAH/hNYw=")</f>
        <v>#REF!</v>
      </c>
      <c r="EL58" t="e">
        <f>AND(#REF!,"AAAAAH/hNY0=")</f>
        <v>#REF!</v>
      </c>
      <c r="EM58" t="e">
        <f>IF(#REF!,"AAAAAH/hNY4=",0)</f>
        <v>#REF!</v>
      </c>
      <c r="EN58" t="e">
        <f>AND(#REF!,"AAAAAH/hNY8=")</f>
        <v>#REF!</v>
      </c>
      <c r="EO58" t="e">
        <f>AND(#REF!,"AAAAAH/hNZA=")</f>
        <v>#REF!</v>
      </c>
      <c r="EP58" t="e">
        <f>AND(#REF!,"AAAAAH/hNZE=")</f>
        <v>#REF!</v>
      </c>
      <c r="EQ58" t="e">
        <f>AND(#REF!,"AAAAAH/hNZI=")</f>
        <v>#REF!</v>
      </c>
      <c r="ER58" t="e">
        <f>AND(#REF!,"AAAAAH/hNZM=")</f>
        <v>#REF!</v>
      </c>
      <c r="ES58" t="e">
        <f>AND(#REF!,"AAAAAH/hNZQ=")</f>
        <v>#REF!</v>
      </c>
      <c r="ET58" t="e">
        <f>AND(#REF!,"AAAAAH/hNZU=")</f>
        <v>#REF!</v>
      </c>
      <c r="EU58" t="e">
        <f>AND(#REF!,"AAAAAH/hNZY=")</f>
        <v>#REF!</v>
      </c>
      <c r="EV58" t="e">
        <f>AND(#REF!,"AAAAAH/hNZc=")</f>
        <v>#REF!</v>
      </c>
      <c r="EW58" t="e">
        <f>AND(#REF!,"AAAAAH/hNZg=")</f>
        <v>#REF!</v>
      </c>
      <c r="EX58" t="e">
        <f>IF(#REF!,"AAAAAH/hNZk=",0)</f>
        <v>#REF!</v>
      </c>
      <c r="EY58" t="e">
        <f>AND(#REF!,"AAAAAH/hNZo=")</f>
        <v>#REF!</v>
      </c>
      <c r="EZ58" t="e">
        <f>AND(#REF!,"AAAAAH/hNZs=")</f>
        <v>#REF!</v>
      </c>
      <c r="FA58" t="e">
        <f>AND(#REF!,"AAAAAH/hNZw=")</f>
        <v>#REF!</v>
      </c>
      <c r="FB58" t="e">
        <f>AND(#REF!,"AAAAAH/hNZ0=")</f>
        <v>#REF!</v>
      </c>
      <c r="FC58" t="e">
        <f>AND(#REF!,"AAAAAH/hNZ4=")</f>
        <v>#REF!</v>
      </c>
      <c r="FD58" t="e">
        <f>AND(#REF!,"AAAAAH/hNZ8=")</f>
        <v>#REF!</v>
      </c>
      <c r="FE58" t="e">
        <f>AND(#REF!,"AAAAAH/hNaA=")</f>
        <v>#REF!</v>
      </c>
      <c r="FF58" t="e">
        <f>AND(#REF!,"AAAAAH/hNaE=")</f>
        <v>#REF!</v>
      </c>
      <c r="FG58" t="e">
        <f>AND(#REF!,"AAAAAH/hNaI=")</f>
        <v>#REF!</v>
      </c>
      <c r="FH58" t="e">
        <f>AND(#REF!,"AAAAAH/hNaM=")</f>
        <v>#REF!</v>
      </c>
      <c r="FI58" t="e">
        <f>IF(#REF!,"AAAAAH/hNaQ=",0)</f>
        <v>#REF!</v>
      </c>
      <c r="FJ58" t="e">
        <f>AND(#REF!,"AAAAAH/hNaU=")</f>
        <v>#REF!</v>
      </c>
      <c r="FK58" t="e">
        <f>AND(#REF!,"AAAAAH/hNaY=")</f>
        <v>#REF!</v>
      </c>
      <c r="FL58" t="e">
        <f>AND(#REF!,"AAAAAH/hNac=")</f>
        <v>#REF!</v>
      </c>
      <c r="FM58" t="e">
        <f>AND(#REF!,"AAAAAH/hNag=")</f>
        <v>#REF!</v>
      </c>
      <c r="FN58" t="e">
        <f>AND(#REF!,"AAAAAH/hNak=")</f>
        <v>#REF!</v>
      </c>
      <c r="FO58" t="e">
        <f>AND(#REF!,"AAAAAH/hNao=")</f>
        <v>#REF!</v>
      </c>
      <c r="FP58" t="e">
        <f>AND(#REF!,"AAAAAH/hNas=")</f>
        <v>#REF!</v>
      </c>
      <c r="FQ58" t="e">
        <f>AND(#REF!,"AAAAAH/hNaw=")</f>
        <v>#REF!</v>
      </c>
      <c r="FR58" t="e">
        <f>AND(#REF!,"AAAAAH/hNa0=")</f>
        <v>#REF!</v>
      </c>
      <c r="FS58" t="e">
        <f>AND(#REF!,"AAAAAH/hNa4=")</f>
        <v>#REF!</v>
      </c>
      <c r="FT58" t="e">
        <f>IF(#REF!,"AAAAAH/hNa8=",0)</f>
        <v>#REF!</v>
      </c>
      <c r="FU58" t="e">
        <f>AND(#REF!,"AAAAAH/hNbA=")</f>
        <v>#REF!</v>
      </c>
      <c r="FV58" t="e">
        <f>AND(#REF!,"AAAAAH/hNbE=")</f>
        <v>#REF!</v>
      </c>
      <c r="FW58" t="e">
        <f>AND(#REF!,"AAAAAH/hNbI=")</f>
        <v>#REF!</v>
      </c>
      <c r="FX58" t="e">
        <f>AND(#REF!,"AAAAAH/hNbM=")</f>
        <v>#REF!</v>
      </c>
      <c r="FY58" t="e">
        <f>AND(#REF!,"AAAAAH/hNbQ=")</f>
        <v>#REF!</v>
      </c>
      <c r="FZ58" t="e">
        <f>AND(#REF!,"AAAAAH/hNbU=")</f>
        <v>#REF!</v>
      </c>
      <c r="GA58" t="e">
        <f>AND(#REF!,"AAAAAH/hNbY=")</f>
        <v>#REF!</v>
      </c>
      <c r="GB58" t="e">
        <f>AND(#REF!,"AAAAAH/hNbc=")</f>
        <v>#REF!</v>
      </c>
      <c r="GC58" t="e">
        <f>AND(#REF!,"AAAAAH/hNbg=")</f>
        <v>#REF!</v>
      </c>
      <c r="GD58" t="e">
        <f>AND(#REF!,"AAAAAH/hNbk=")</f>
        <v>#REF!</v>
      </c>
      <c r="GE58" t="e">
        <f>IF(#REF!,"AAAAAH/hNbo=",0)</f>
        <v>#REF!</v>
      </c>
      <c r="GF58" t="e">
        <f>AND(#REF!,"AAAAAH/hNbs=")</f>
        <v>#REF!</v>
      </c>
      <c r="GG58" t="e">
        <f>AND(#REF!,"AAAAAH/hNbw=")</f>
        <v>#REF!</v>
      </c>
      <c r="GH58" t="e">
        <f>AND(#REF!,"AAAAAH/hNb0=")</f>
        <v>#REF!</v>
      </c>
      <c r="GI58" t="e">
        <f>AND(#REF!,"AAAAAH/hNb4=")</f>
        <v>#REF!</v>
      </c>
      <c r="GJ58" t="e">
        <f>AND(#REF!,"AAAAAH/hNb8=")</f>
        <v>#REF!</v>
      </c>
      <c r="GK58" t="e">
        <f>AND(#REF!,"AAAAAH/hNcA=")</f>
        <v>#REF!</v>
      </c>
      <c r="GL58" t="e">
        <f>AND(#REF!,"AAAAAH/hNcE=")</f>
        <v>#REF!</v>
      </c>
      <c r="GM58" t="e">
        <f>AND(#REF!,"AAAAAH/hNcI=")</f>
        <v>#REF!</v>
      </c>
      <c r="GN58" t="e">
        <f>AND(#REF!,"AAAAAH/hNcM=")</f>
        <v>#REF!</v>
      </c>
      <c r="GO58" t="e">
        <f>AND(#REF!,"AAAAAH/hNcQ=")</f>
        <v>#REF!</v>
      </c>
      <c r="GP58" t="e">
        <f>IF(#REF!,"AAAAAH/hNcU=",0)</f>
        <v>#REF!</v>
      </c>
      <c r="GQ58" t="e">
        <f>AND(#REF!,"AAAAAH/hNcY=")</f>
        <v>#REF!</v>
      </c>
      <c r="GR58" t="e">
        <f>AND(#REF!,"AAAAAH/hNcc=")</f>
        <v>#REF!</v>
      </c>
      <c r="GS58" t="e">
        <f>AND(#REF!,"AAAAAH/hNcg=")</f>
        <v>#REF!</v>
      </c>
      <c r="GT58" t="e">
        <f>AND(#REF!,"AAAAAH/hNck=")</f>
        <v>#REF!</v>
      </c>
      <c r="GU58" t="e">
        <f>AND(#REF!,"AAAAAH/hNco=")</f>
        <v>#REF!</v>
      </c>
      <c r="GV58" t="e">
        <f>AND(#REF!,"AAAAAH/hNcs=")</f>
        <v>#REF!</v>
      </c>
      <c r="GW58" t="e">
        <f>AND(#REF!,"AAAAAH/hNcw=")</f>
        <v>#REF!</v>
      </c>
      <c r="GX58" t="e">
        <f>AND(#REF!,"AAAAAH/hNc0=")</f>
        <v>#REF!</v>
      </c>
      <c r="GY58" t="e">
        <f>AND(#REF!,"AAAAAH/hNc4=")</f>
        <v>#REF!</v>
      </c>
      <c r="GZ58" t="e">
        <f>AND(#REF!,"AAAAAH/hNc8=")</f>
        <v>#REF!</v>
      </c>
      <c r="HA58" t="e">
        <f>IF(#REF!,"AAAAAH/hNdA=",0)</f>
        <v>#REF!</v>
      </c>
      <c r="HB58" t="e">
        <f>AND(#REF!,"AAAAAH/hNdE=")</f>
        <v>#REF!</v>
      </c>
      <c r="HC58" t="e">
        <f>AND(#REF!,"AAAAAH/hNdI=")</f>
        <v>#REF!</v>
      </c>
      <c r="HD58" t="e">
        <f>AND(#REF!,"AAAAAH/hNdM=")</f>
        <v>#REF!</v>
      </c>
      <c r="HE58" t="e">
        <f>AND(#REF!,"AAAAAH/hNdQ=")</f>
        <v>#REF!</v>
      </c>
      <c r="HF58" t="e">
        <f>AND(#REF!,"AAAAAH/hNdU=")</f>
        <v>#REF!</v>
      </c>
      <c r="HG58" t="e">
        <f>AND(#REF!,"AAAAAH/hNdY=")</f>
        <v>#REF!</v>
      </c>
      <c r="HH58" t="e">
        <f>AND(#REF!,"AAAAAH/hNdc=")</f>
        <v>#REF!</v>
      </c>
      <c r="HI58" t="e">
        <f>AND(#REF!,"AAAAAH/hNdg=")</f>
        <v>#REF!</v>
      </c>
      <c r="HJ58" t="e">
        <f>AND(#REF!,"AAAAAH/hNdk=")</f>
        <v>#REF!</v>
      </c>
      <c r="HK58" t="e">
        <f>AND(#REF!,"AAAAAH/hNdo=")</f>
        <v>#REF!</v>
      </c>
      <c r="HL58" t="e">
        <f>IF(#REF!,"AAAAAH/hNds=",0)</f>
        <v>#REF!</v>
      </c>
      <c r="HM58" t="e">
        <f>AND(#REF!,"AAAAAH/hNdw=")</f>
        <v>#REF!</v>
      </c>
      <c r="HN58" t="e">
        <f>AND(#REF!,"AAAAAH/hNd0=")</f>
        <v>#REF!</v>
      </c>
      <c r="HO58" t="e">
        <f>AND(#REF!,"AAAAAH/hNd4=")</f>
        <v>#REF!</v>
      </c>
      <c r="HP58" t="e">
        <f>AND(#REF!,"AAAAAH/hNd8=")</f>
        <v>#REF!</v>
      </c>
      <c r="HQ58" t="e">
        <f>AND(#REF!,"AAAAAH/hNeA=")</f>
        <v>#REF!</v>
      </c>
      <c r="HR58" t="e">
        <f>AND(#REF!,"AAAAAH/hNeE=")</f>
        <v>#REF!</v>
      </c>
      <c r="HS58" t="e">
        <f>AND(#REF!,"AAAAAH/hNeI=")</f>
        <v>#REF!</v>
      </c>
      <c r="HT58" t="e">
        <f>AND(#REF!,"AAAAAH/hNeM=")</f>
        <v>#REF!</v>
      </c>
      <c r="HU58" t="e">
        <f>AND(#REF!,"AAAAAH/hNeQ=")</f>
        <v>#REF!</v>
      </c>
      <c r="HV58" t="e">
        <f>AND(#REF!,"AAAAAH/hNeU=")</f>
        <v>#REF!</v>
      </c>
      <c r="HW58" t="e">
        <f>IF(#REF!,"AAAAAH/hNeY=",0)</f>
        <v>#REF!</v>
      </c>
      <c r="HX58" t="e">
        <f>AND(#REF!,"AAAAAH/hNec=")</f>
        <v>#REF!</v>
      </c>
      <c r="HY58" t="e">
        <f>AND(#REF!,"AAAAAH/hNeg=")</f>
        <v>#REF!</v>
      </c>
      <c r="HZ58" t="e">
        <f>AND(#REF!,"AAAAAH/hNek=")</f>
        <v>#REF!</v>
      </c>
      <c r="IA58" t="e">
        <f>AND(#REF!,"AAAAAH/hNeo=")</f>
        <v>#REF!</v>
      </c>
      <c r="IB58" t="e">
        <f>AND(#REF!,"AAAAAH/hNes=")</f>
        <v>#REF!</v>
      </c>
      <c r="IC58" t="e">
        <f>AND(#REF!,"AAAAAH/hNew=")</f>
        <v>#REF!</v>
      </c>
      <c r="ID58" t="e">
        <f>AND(#REF!,"AAAAAH/hNe0=")</f>
        <v>#REF!</v>
      </c>
      <c r="IE58" t="e">
        <f>AND(#REF!,"AAAAAH/hNe4=")</f>
        <v>#REF!</v>
      </c>
      <c r="IF58" t="e">
        <f>AND(#REF!,"AAAAAH/hNe8=")</f>
        <v>#REF!</v>
      </c>
      <c r="IG58" t="e">
        <f>AND(#REF!,"AAAAAH/hNfA=")</f>
        <v>#REF!</v>
      </c>
      <c r="IH58" t="e">
        <f>IF(#REF!,"AAAAAH/hNfE=",0)</f>
        <v>#REF!</v>
      </c>
      <c r="II58" t="e">
        <f>AND(#REF!,"AAAAAH/hNfI=")</f>
        <v>#REF!</v>
      </c>
      <c r="IJ58" t="e">
        <f>AND(#REF!,"AAAAAH/hNfM=")</f>
        <v>#REF!</v>
      </c>
      <c r="IK58" t="e">
        <f>AND(#REF!,"AAAAAH/hNfQ=")</f>
        <v>#REF!</v>
      </c>
      <c r="IL58" t="e">
        <f>AND(#REF!,"AAAAAH/hNfU=")</f>
        <v>#REF!</v>
      </c>
      <c r="IM58" t="e">
        <f>AND(#REF!,"AAAAAH/hNfY=")</f>
        <v>#REF!</v>
      </c>
      <c r="IN58" t="e">
        <f>AND(#REF!,"AAAAAH/hNfc=")</f>
        <v>#REF!</v>
      </c>
      <c r="IO58" t="e">
        <f>AND(#REF!,"AAAAAH/hNfg=")</f>
        <v>#REF!</v>
      </c>
      <c r="IP58" t="e">
        <f>AND(#REF!,"AAAAAH/hNfk=")</f>
        <v>#REF!</v>
      </c>
      <c r="IQ58" t="e">
        <f>AND(#REF!,"AAAAAH/hNfo=")</f>
        <v>#REF!</v>
      </c>
      <c r="IR58" t="e">
        <f>AND(#REF!,"AAAAAH/hNfs=")</f>
        <v>#REF!</v>
      </c>
      <c r="IS58" t="e">
        <f>IF(#REF!,"AAAAAH/hNfw=",0)</f>
        <v>#REF!</v>
      </c>
      <c r="IT58" t="e">
        <f>AND(#REF!,"AAAAAH/hNf0=")</f>
        <v>#REF!</v>
      </c>
      <c r="IU58" t="e">
        <f>AND(#REF!,"AAAAAH/hNf4=")</f>
        <v>#REF!</v>
      </c>
      <c r="IV58" t="e">
        <f>AND(#REF!,"AAAAAH/hNf8=")</f>
        <v>#REF!</v>
      </c>
    </row>
    <row r="59" spans="1:256" x14ac:dyDescent="0.25">
      <c r="A59" t="e">
        <f>AND(#REF!,"AAAAAFfXpwA=")</f>
        <v>#REF!</v>
      </c>
      <c r="B59" t="e">
        <f>AND(#REF!,"AAAAAFfXpwE=")</f>
        <v>#REF!</v>
      </c>
      <c r="C59" t="e">
        <f>AND(#REF!,"AAAAAFfXpwI=")</f>
        <v>#REF!</v>
      </c>
      <c r="D59" t="e">
        <f>AND(#REF!,"AAAAAFfXpwM=")</f>
        <v>#REF!</v>
      </c>
      <c r="E59" t="e">
        <f>AND(#REF!,"AAAAAFfXpwQ=")</f>
        <v>#REF!</v>
      </c>
      <c r="F59" t="e">
        <f>AND(#REF!,"AAAAAFfXpwU=")</f>
        <v>#REF!</v>
      </c>
      <c r="G59" t="e">
        <f>AND(#REF!,"AAAAAFfXpwY=")</f>
        <v>#REF!</v>
      </c>
      <c r="H59" t="e">
        <f>IF(#REF!,"AAAAAFfXpwc=",0)</f>
        <v>#REF!</v>
      </c>
      <c r="I59" t="e">
        <f>AND(#REF!,"AAAAAFfXpwg=")</f>
        <v>#REF!</v>
      </c>
      <c r="J59" t="e">
        <f>AND(#REF!,"AAAAAFfXpwk=")</f>
        <v>#REF!</v>
      </c>
      <c r="K59" t="e">
        <f>AND(#REF!,"AAAAAFfXpwo=")</f>
        <v>#REF!</v>
      </c>
      <c r="L59" t="e">
        <f>AND(#REF!,"AAAAAFfXpws=")</f>
        <v>#REF!</v>
      </c>
      <c r="M59" t="e">
        <f>AND(#REF!,"AAAAAFfXpww=")</f>
        <v>#REF!</v>
      </c>
      <c r="N59" t="e">
        <f>AND(#REF!,"AAAAAFfXpw0=")</f>
        <v>#REF!</v>
      </c>
      <c r="O59" t="e">
        <f>AND(#REF!,"AAAAAFfXpw4=")</f>
        <v>#REF!</v>
      </c>
      <c r="P59" t="e">
        <f>AND(#REF!,"AAAAAFfXpw8=")</f>
        <v>#REF!</v>
      </c>
      <c r="Q59" t="e">
        <f>AND(#REF!,"AAAAAFfXpxA=")</f>
        <v>#REF!</v>
      </c>
      <c r="R59" t="e">
        <f>AND(#REF!,"AAAAAFfXpxE=")</f>
        <v>#REF!</v>
      </c>
      <c r="S59" t="e">
        <f>IF(#REF!,"AAAAAFfXpxI=",0)</f>
        <v>#REF!</v>
      </c>
      <c r="T59" t="e">
        <f>AND(#REF!,"AAAAAFfXpxM=")</f>
        <v>#REF!</v>
      </c>
      <c r="U59" t="e">
        <f>AND(#REF!,"AAAAAFfXpxQ=")</f>
        <v>#REF!</v>
      </c>
      <c r="V59" t="e">
        <f>AND(#REF!,"AAAAAFfXpxU=")</f>
        <v>#REF!</v>
      </c>
      <c r="W59" t="e">
        <f>AND(#REF!,"AAAAAFfXpxY=")</f>
        <v>#REF!</v>
      </c>
      <c r="X59" t="e">
        <f>AND(#REF!,"AAAAAFfXpxc=")</f>
        <v>#REF!</v>
      </c>
      <c r="Y59" t="e">
        <f>AND(#REF!,"AAAAAFfXpxg=")</f>
        <v>#REF!</v>
      </c>
      <c r="Z59" t="e">
        <f>AND(#REF!,"AAAAAFfXpxk=")</f>
        <v>#REF!</v>
      </c>
      <c r="AA59" t="e">
        <f>AND(#REF!,"AAAAAFfXpxo=")</f>
        <v>#REF!</v>
      </c>
      <c r="AB59" t="e">
        <f>AND(#REF!,"AAAAAFfXpxs=")</f>
        <v>#REF!</v>
      </c>
      <c r="AC59" t="e">
        <f>AND(#REF!,"AAAAAFfXpxw=")</f>
        <v>#REF!</v>
      </c>
      <c r="AD59" t="e">
        <f>IF(#REF!,"AAAAAFfXpx0=",0)</f>
        <v>#REF!</v>
      </c>
      <c r="AE59" t="e">
        <f>AND(#REF!,"AAAAAFfXpx4=")</f>
        <v>#REF!</v>
      </c>
      <c r="AF59" t="e">
        <f>AND(#REF!,"AAAAAFfXpx8=")</f>
        <v>#REF!</v>
      </c>
      <c r="AG59" t="e">
        <f>AND(#REF!,"AAAAAFfXpyA=")</f>
        <v>#REF!</v>
      </c>
      <c r="AH59" t="e">
        <f>AND(#REF!,"AAAAAFfXpyE=")</f>
        <v>#REF!</v>
      </c>
      <c r="AI59" t="e">
        <f>AND(#REF!,"AAAAAFfXpyI=")</f>
        <v>#REF!</v>
      </c>
      <c r="AJ59" t="e">
        <f>AND(#REF!,"AAAAAFfXpyM=")</f>
        <v>#REF!</v>
      </c>
      <c r="AK59" t="e">
        <f>AND(#REF!,"AAAAAFfXpyQ=")</f>
        <v>#REF!</v>
      </c>
      <c r="AL59" t="e">
        <f>AND(#REF!,"AAAAAFfXpyU=")</f>
        <v>#REF!</v>
      </c>
      <c r="AM59" t="e">
        <f>AND(#REF!,"AAAAAFfXpyY=")</f>
        <v>#REF!</v>
      </c>
      <c r="AN59" t="e">
        <f>AND(#REF!,"AAAAAFfXpyc=")</f>
        <v>#REF!</v>
      </c>
      <c r="AO59" t="e">
        <f>IF(#REF!,"AAAAAFfXpyg=",0)</f>
        <v>#REF!</v>
      </c>
      <c r="AP59" t="e">
        <f>AND(#REF!,"AAAAAFfXpyk=")</f>
        <v>#REF!</v>
      </c>
      <c r="AQ59" t="e">
        <f>AND(#REF!,"AAAAAFfXpyo=")</f>
        <v>#REF!</v>
      </c>
      <c r="AR59" t="e">
        <f>AND(#REF!,"AAAAAFfXpys=")</f>
        <v>#REF!</v>
      </c>
      <c r="AS59" t="e">
        <f>AND(#REF!,"AAAAAFfXpyw=")</f>
        <v>#REF!</v>
      </c>
      <c r="AT59" t="e">
        <f>AND(#REF!,"AAAAAFfXpy0=")</f>
        <v>#REF!</v>
      </c>
      <c r="AU59" t="e">
        <f>AND(#REF!,"AAAAAFfXpy4=")</f>
        <v>#REF!</v>
      </c>
      <c r="AV59" t="e">
        <f>AND(#REF!,"AAAAAFfXpy8=")</f>
        <v>#REF!</v>
      </c>
      <c r="AW59" t="e">
        <f>AND(#REF!,"AAAAAFfXpzA=")</f>
        <v>#REF!</v>
      </c>
      <c r="AX59" t="e">
        <f>AND(#REF!,"AAAAAFfXpzE=")</f>
        <v>#REF!</v>
      </c>
      <c r="AY59" t="e">
        <f>AND(#REF!,"AAAAAFfXpzI=")</f>
        <v>#REF!</v>
      </c>
      <c r="AZ59" t="e">
        <f>IF(#REF!,"AAAAAFfXpzM=",0)</f>
        <v>#REF!</v>
      </c>
      <c r="BA59" t="e">
        <f>AND(#REF!,"AAAAAFfXpzQ=")</f>
        <v>#REF!</v>
      </c>
      <c r="BB59" t="e">
        <f>AND(#REF!,"AAAAAFfXpzU=")</f>
        <v>#REF!</v>
      </c>
      <c r="BC59" t="e">
        <f>AND(#REF!,"AAAAAFfXpzY=")</f>
        <v>#REF!</v>
      </c>
      <c r="BD59" t="e">
        <f>AND(#REF!,"AAAAAFfXpzc=")</f>
        <v>#REF!</v>
      </c>
      <c r="BE59" t="e">
        <f>AND(#REF!,"AAAAAFfXpzg=")</f>
        <v>#REF!</v>
      </c>
      <c r="BF59" t="e">
        <f>AND(#REF!,"AAAAAFfXpzk=")</f>
        <v>#REF!</v>
      </c>
      <c r="BG59" t="e">
        <f>AND(#REF!,"AAAAAFfXpzo=")</f>
        <v>#REF!</v>
      </c>
      <c r="BH59" t="e">
        <f>AND(#REF!,"AAAAAFfXpzs=")</f>
        <v>#REF!</v>
      </c>
      <c r="BI59" t="e">
        <f>AND(#REF!,"AAAAAFfXpzw=")</f>
        <v>#REF!</v>
      </c>
      <c r="BJ59" t="e">
        <f>AND(#REF!,"AAAAAFfXpz0=")</f>
        <v>#REF!</v>
      </c>
      <c r="BK59" t="e">
        <f>IF(#REF!,"AAAAAFfXpz4=",0)</f>
        <v>#REF!</v>
      </c>
      <c r="BL59" t="e">
        <f>AND(#REF!,"AAAAAFfXpz8=")</f>
        <v>#REF!</v>
      </c>
      <c r="BM59" t="e">
        <f>AND(#REF!,"AAAAAFfXp0A=")</f>
        <v>#REF!</v>
      </c>
      <c r="BN59" t="e">
        <f>AND(#REF!,"AAAAAFfXp0E=")</f>
        <v>#REF!</v>
      </c>
      <c r="BO59" t="e">
        <f>AND(#REF!,"AAAAAFfXp0I=")</f>
        <v>#REF!</v>
      </c>
      <c r="BP59" t="e">
        <f>AND(#REF!,"AAAAAFfXp0M=")</f>
        <v>#REF!</v>
      </c>
      <c r="BQ59" t="e">
        <f>AND(#REF!,"AAAAAFfXp0Q=")</f>
        <v>#REF!</v>
      </c>
      <c r="BR59" t="e">
        <f>AND(#REF!,"AAAAAFfXp0U=")</f>
        <v>#REF!</v>
      </c>
      <c r="BS59" t="e">
        <f>AND(#REF!,"AAAAAFfXp0Y=")</f>
        <v>#REF!</v>
      </c>
      <c r="BT59" t="e">
        <f>AND(#REF!,"AAAAAFfXp0c=")</f>
        <v>#REF!</v>
      </c>
      <c r="BU59" t="e">
        <f>AND(#REF!,"AAAAAFfXp0g=")</f>
        <v>#REF!</v>
      </c>
      <c r="BV59" t="e">
        <f>IF(#REF!,"AAAAAFfXp0k=",0)</f>
        <v>#REF!</v>
      </c>
      <c r="BW59" t="e">
        <f>AND(#REF!,"AAAAAFfXp0o=")</f>
        <v>#REF!</v>
      </c>
      <c r="BX59" t="e">
        <f>AND(#REF!,"AAAAAFfXp0s=")</f>
        <v>#REF!</v>
      </c>
      <c r="BY59" t="e">
        <f>AND(#REF!,"AAAAAFfXp0w=")</f>
        <v>#REF!</v>
      </c>
      <c r="BZ59" t="e">
        <f>AND(#REF!,"AAAAAFfXp00=")</f>
        <v>#REF!</v>
      </c>
      <c r="CA59" t="e">
        <f>AND(#REF!,"AAAAAFfXp04=")</f>
        <v>#REF!</v>
      </c>
      <c r="CB59" t="e">
        <f>AND(#REF!,"AAAAAFfXp08=")</f>
        <v>#REF!</v>
      </c>
      <c r="CC59" t="e">
        <f>AND(#REF!,"AAAAAFfXp1A=")</f>
        <v>#REF!</v>
      </c>
      <c r="CD59" t="e">
        <f>AND(#REF!,"AAAAAFfXp1E=")</f>
        <v>#REF!</v>
      </c>
      <c r="CE59" t="e">
        <f>AND(#REF!,"AAAAAFfXp1I=")</f>
        <v>#REF!</v>
      </c>
      <c r="CF59" t="e">
        <f>AND(#REF!,"AAAAAFfXp1M=")</f>
        <v>#REF!</v>
      </c>
      <c r="CG59" t="e">
        <f>IF(#REF!,"AAAAAFfXp1Q=",0)</f>
        <v>#REF!</v>
      </c>
      <c r="CH59" t="e">
        <f>AND(#REF!,"AAAAAFfXp1U=")</f>
        <v>#REF!</v>
      </c>
      <c r="CI59" t="e">
        <f>AND(#REF!,"AAAAAFfXp1Y=")</f>
        <v>#REF!</v>
      </c>
      <c r="CJ59" t="e">
        <f>AND(#REF!,"AAAAAFfXp1c=")</f>
        <v>#REF!</v>
      </c>
      <c r="CK59" t="e">
        <f>AND(#REF!,"AAAAAFfXp1g=")</f>
        <v>#REF!</v>
      </c>
      <c r="CL59" t="e">
        <f>AND(#REF!,"AAAAAFfXp1k=")</f>
        <v>#REF!</v>
      </c>
      <c r="CM59" t="e">
        <f>AND(#REF!,"AAAAAFfXp1o=")</f>
        <v>#REF!</v>
      </c>
      <c r="CN59" t="e">
        <f>AND(#REF!,"AAAAAFfXp1s=")</f>
        <v>#REF!</v>
      </c>
      <c r="CO59" t="e">
        <f>AND(#REF!,"AAAAAFfXp1w=")</f>
        <v>#REF!</v>
      </c>
      <c r="CP59" t="e">
        <f>AND(#REF!,"AAAAAFfXp10=")</f>
        <v>#REF!</v>
      </c>
      <c r="CQ59" t="e">
        <f>AND(#REF!,"AAAAAFfXp14=")</f>
        <v>#REF!</v>
      </c>
      <c r="CR59" t="e">
        <f>IF(#REF!,"AAAAAFfXp18=",0)</f>
        <v>#REF!</v>
      </c>
      <c r="CS59" t="e">
        <f>AND(#REF!,"AAAAAFfXp2A=")</f>
        <v>#REF!</v>
      </c>
      <c r="CT59" t="e">
        <f>AND(#REF!,"AAAAAFfXp2E=")</f>
        <v>#REF!</v>
      </c>
      <c r="CU59" t="e">
        <f>AND(#REF!,"AAAAAFfXp2I=")</f>
        <v>#REF!</v>
      </c>
      <c r="CV59" t="e">
        <f>AND(#REF!,"AAAAAFfXp2M=")</f>
        <v>#REF!</v>
      </c>
      <c r="CW59" t="e">
        <f>AND(#REF!,"AAAAAFfXp2Q=")</f>
        <v>#REF!</v>
      </c>
      <c r="CX59" t="e">
        <f>AND(#REF!,"AAAAAFfXp2U=")</f>
        <v>#REF!</v>
      </c>
      <c r="CY59" t="e">
        <f>AND(#REF!,"AAAAAFfXp2Y=")</f>
        <v>#REF!</v>
      </c>
      <c r="CZ59" t="e">
        <f>AND(#REF!,"AAAAAFfXp2c=")</f>
        <v>#REF!</v>
      </c>
      <c r="DA59" t="e">
        <f>AND(#REF!,"AAAAAFfXp2g=")</f>
        <v>#REF!</v>
      </c>
      <c r="DB59" t="e">
        <f>AND(#REF!,"AAAAAFfXp2k=")</f>
        <v>#REF!</v>
      </c>
      <c r="DC59" t="e">
        <f>IF(#REF!,"AAAAAFfXp2o=",0)</f>
        <v>#REF!</v>
      </c>
      <c r="DD59" t="e">
        <f>AND(#REF!,"AAAAAFfXp2s=")</f>
        <v>#REF!</v>
      </c>
      <c r="DE59" t="e">
        <f>AND(#REF!,"AAAAAFfXp2w=")</f>
        <v>#REF!</v>
      </c>
      <c r="DF59" t="e">
        <f>AND(#REF!,"AAAAAFfXp20=")</f>
        <v>#REF!</v>
      </c>
      <c r="DG59" t="e">
        <f>AND(#REF!,"AAAAAFfXp24=")</f>
        <v>#REF!</v>
      </c>
      <c r="DH59" t="e">
        <f>AND(#REF!,"AAAAAFfXp28=")</f>
        <v>#REF!</v>
      </c>
      <c r="DI59" t="e">
        <f>AND(#REF!,"AAAAAFfXp3A=")</f>
        <v>#REF!</v>
      </c>
      <c r="DJ59" t="e">
        <f>AND(#REF!,"AAAAAFfXp3E=")</f>
        <v>#REF!</v>
      </c>
      <c r="DK59" t="e">
        <f>AND(#REF!,"AAAAAFfXp3I=")</f>
        <v>#REF!</v>
      </c>
      <c r="DL59" t="e">
        <f>AND(#REF!,"AAAAAFfXp3M=")</f>
        <v>#REF!</v>
      </c>
      <c r="DM59" t="e">
        <f>AND(#REF!,"AAAAAFfXp3Q=")</f>
        <v>#REF!</v>
      </c>
      <c r="DN59" t="e">
        <f>IF(#REF!,"AAAAAFfXp3U=",0)</f>
        <v>#REF!</v>
      </c>
      <c r="DO59" t="e">
        <f>AND(#REF!,"AAAAAFfXp3Y=")</f>
        <v>#REF!</v>
      </c>
      <c r="DP59" t="e">
        <f>AND(#REF!,"AAAAAFfXp3c=")</f>
        <v>#REF!</v>
      </c>
      <c r="DQ59" t="e">
        <f>AND(#REF!,"AAAAAFfXp3g=")</f>
        <v>#REF!</v>
      </c>
      <c r="DR59" t="e">
        <f>AND(#REF!,"AAAAAFfXp3k=")</f>
        <v>#REF!</v>
      </c>
      <c r="DS59" t="e">
        <f>AND(#REF!,"AAAAAFfXp3o=")</f>
        <v>#REF!</v>
      </c>
      <c r="DT59" t="e">
        <f>AND(#REF!,"AAAAAFfXp3s=")</f>
        <v>#REF!</v>
      </c>
      <c r="DU59" t="e">
        <f>AND(#REF!,"AAAAAFfXp3w=")</f>
        <v>#REF!</v>
      </c>
      <c r="DV59" t="e">
        <f>AND(#REF!,"AAAAAFfXp30=")</f>
        <v>#REF!</v>
      </c>
      <c r="DW59" t="e">
        <f>AND(#REF!,"AAAAAFfXp34=")</f>
        <v>#REF!</v>
      </c>
      <c r="DX59" t="e">
        <f>AND(#REF!,"AAAAAFfXp38=")</f>
        <v>#REF!</v>
      </c>
      <c r="DY59" t="e">
        <f>IF(#REF!,"AAAAAFfXp4A=",0)</f>
        <v>#REF!</v>
      </c>
      <c r="DZ59" t="e">
        <f>AND(#REF!,"AAAAAFfXp4E=")</f>
        <v>#REF!</v>
      </c>
      <c r="EA59" t="e">
        <f>AND(#REF!,"AAAAAFfXp4I=")</f>
        <v>#REF!</v>
      </c>
      <c r="EB59" t="e">
        <f>AND(#REF!,"AAAAAFfXp4M=")</f>
        <v>#REF!</v>
      </c>
      <c r="EC59" t="e">
        <f>AND(#REF!,"AAAAAFfXp4Q=")</f>
        <v>#REF!</v>
      </c>
      <c r="ED59" t="e">
        <f>AND(#REF!,"AAAAAFfXp4U=")</f>
        <v>#REF!</v>
      </c>
      <c r="EE59" t="e">
        <f>AND(#REF!,"AAAAAFfXp4Y=")</f>
        <v>#REF!</v>
      </c>
      <c r="EF59" t="e">
        <f>AND(#REF!,"AAAAAFfXp4c=")</f>
        <v>#REF!</v>
      </c>
      <c r="EG59" t="e">
        <f>AND(#REF!,"AAAAAFfXp4g=")</f>
        <v>#REF!</v>
      </c>
      <c r="EH59" t="e">
        <f>AND(#REF!,"AAAAAFfXp4k=")</f>
        <v>#REF!</v>
      </c>
      <c r="EI59" t="e">
        <f>AND(#REF!,"AAAAAFfXp4o=")</f>
        <v>#REF!</v>
      </c>
      <c r="EJ59" t="e">
        <f>IF(#REF!,"AAAAAFfXp4s=",0)</f>
        <v>#REF!</v>
      </c>
      <c r="EK59" t="e">
        <f>AND(#REF!,"AAAAAFfXp4w=")</f>
        <v>#REF!</v>
      </c>
      <c r="EL59" t="e">
        <f>AND(#REF!,"AAAAAFfXp40=")</f>
        <v>#REF!</v>
      </c>
      <c r="EM59" t="e">
        <f>AND(#REF!,"AAAAAFfXp44=")</f>
        <v>#REF!</v>
      </c>
      <c r="EN59" t="e">
        <f>AND(#REF!,"AAAAAFfXp48=")</f>
        <v>#REF!</v>
      </c>
      <c r="EO59" t="e">
        <f>AND(#REF!,"AAAAAFfXp5A=")</f>
        <v>#REF!</v>
      </c>
      <c r="EP59" t="e">
        <f>AND(#REF!,"AAAAAFfXp5E=")</f>
        <v>#REF!</v>
      </c>
      <c r="EQ59" t="e">
        <f>AND(#REF!,"AAAAAFfXp5I=")</f>
        <v>#REF!</v>
      </c>
      <c r="ER59" t="e">
        <f>AND(#REF!,"AAAAAFfXp5M=")</f>
        <v>#REF!</v>
      </c>
      <c r="ES59" t="e">
        <f>AND(#REF!,"AAAAAFfXp5Q=")</f>
        <v>#REF!</v>
      </c>
      <c r="ET59" t="e">
        <f>AND(#REF!,"AAAAAFfXp5U=")</f>
        <v>#REF!</v>
      </c>
      <c r="EU59" t="e">
        <f>IF(#REF!,"AAAAAFfXp5Y=",0)</f>
        <v>#REF!</v>
      </c>
      <c r="EV59" t="e">
        <f>AND(#REF!,"AAAAAFfXp5c=")</f>
        <v>#REF!</v>
      </c>
      <c r="EW59" t="e">
        <f>AND(#REF!,"AAAAAFfXp5g=")</f>
        <v>#REF!</v>
      </c>
      <c r="EX59" t="e">
        <f>AND(#REF!,"AAAAAFfXp5k=")</f>
        <v>#REF!</v>
      </c>
      <c r="EY59" t="e">
        <f>AND(#REF!,"AAAAAFfXp5o=")</f>
        <v>#REF!</v>
      </c>
      <c r="EZ59" t="e">
        <f>AND(#REF!,"AAAAAFfXp5s=")</f>
        <v>#REF!</v>
      </c>
      <c r="FA59" t="e">
        <f>AND(#REF!,"AAAAAFfXp5w=")</f>
        <v>#REF!</v>
      </c>
      <c r="FB59" t="e">
        <f>AND(#REF!,"AAAAAFfXp50=")</f>
        <v>#REF!</v>
      </c>
      <c r="FC59" t="e">
        <f>AND(#REF!,"AAAAAFfXp54=")</f>
        <v>#REF!</v>
      </c>
      <c r="FD59" t="e">
        <f>AND(#REF!,"AAAAAFfXp58=")</f>
        <v>#REF!</v>
      </c>
      <c r="FE59" t="e">
        <f>AND(#REF!,"AAAAAFfXp6A=")</f>
        <v>#REF!</v>
      </c>
      <c r="FF59" t="e">
        <f>IF(#REF!,"AAAAAFfXp6E=",0)</f>
        <v>#REF!</v>
      </c>
      <c r="FG59" t="e">
        <f>AND(#REF!,"AAAAAFfXp6I=")</f>
        <v>#REF!</v>
      </c>
      <c r="FH59" t="e">
        <f>AND(#REF!,"AAAAAFfXp6M=")</f>
        <v>#REF!</v>
      </c>
      <c r="FI59" t="e">
        <f>AND(#REF!,"AAAAAFfXp6Q=")</f>
        <v>#REF!</v>
      </c>
      <c r="FJ59" t="e">
        <f>AND(#REF!,"AAAAAFfXp6U=")</f>
        <v>#REF!</v>
      </c>
      <c r="FK59" t="e">
        <f>AND(#REF!,"AAAAAFfXp6Y=")</f>
        <v>#REF!</v>
      </c>
      <c r="FL59" t="e">
        <f>AND(#REF!,"AAAAAFfXp6c=")</f>
        <v>#REF!</v>
      </c>
      <c r="FM59" t="e">
        <f>AND(#REF!,"AAAAAFfXp6g=")</f>
        <v>#REF!</v>
      </c>
      <c r="FN59" t="e">
        <f>AND(#REF!,"AAAAAFfXp6k=")</f>
        <v>#REF!</v>
      </c>
      <c r="FO59" t="e">
        <f>AND(#REF!,"AAAAAFfXp6o=")</f>
        <v>#REF!</v>
      </c>
      <c r="FP59" t="e">
        <f>AND(#REF!,"AAAAAFfXp6s=")</f>
        <v>#REF!</v>
      </c>
      <c r="FQ59" t="e">
        <f>IF(#REF!,"AAAAAFfXp6w=",0)</f>
        <v>#REF!</v>
      </c>
      <c r="FR59" t="e">
        <f>AND(#REF!,"AAAAAFfXp60=")</f>
        <v>#REF!</v>
      </c>
      <c r="FS59" t="e">
        <f>AND(#REF!,"AAAAAFfXp64=")</f>
        <v>#REF!</v>
      </c>
      <c r="FT59" t="e">
        <f>AND(#REF!,"AAAAAFfXp68=")</f>
        <v>#REF!</v>
      </c>
      <c r="FU59" t="e">
        <f>AND(#REF!,"AAAAAFfXp7A=")</f>
        <v>#REF!</v>
      </c>
      <c r="FV59" t="e">
        <f>AND(#REF!,"AAAAAFfXp7E=")</f>
        <v>#REF!</v>
      </c>
      <c r="FW59" t="e">
        <f>AND(#REF!,"AAAAAFfXp7I=")</f>
        <v>#REF!</v>
      </c>
      <c r="FX59" t="e">
        <f>AND(#REF!,"AAAAAFfXp7M=")</f>
        <v>#REF!</v>
      </c>
      <c r="FY59" t="e">
        <f>AND(#REF!,"AAAAAFfXp7Q=")</f>
        <v>#REF!</v>
      </c>
      <c r="FZ59" t="e">
        <f>AND(#REF!,"AAAAAFfXp7U=")</f>
        <v>#REF!</v>
      </c>
      <c r="GA59" t="e">
        <f>AND(#REF!,"AAAAAFfXp7Y=")</f>
        <v>#REF!</v>
      </c>
      <c r="GB59" t="e">
        <f>IF(#REF!,"AAAAAFfXp7c=",0)</f>
        <v>#REF!</v>
      </c>
      <c r="GC59" t="e">
        <f>AND(#REF!,"AAAAAFfXp7g=")</f>
        <v>#REF!</v>
      </c>
      <c r="GD59" t="e">
        <f>AND(#REF!,"AAAAAFfXp7k=")</f>
        <v>#REF!</v>
      </c>
      <c r="GE59" t="e">
        <f>AND(#REF!,"AAAAAFfXp7o=")</f>
        <v>#REF!</v>
      </c>
      <c r="GF59" t="e">
        <f>AND(#REF!,"AAAAAFfXp7s=")</f>
        <v>#REF!</v>
      </c>
      <c r="GG59" t="e">
        <f>AND(#REF!,"AAAAAFfXp7w=")</f>
        <v>#REF!</v>
      </c>
      <c r="GH59" t="e">
        <f>AND(#REF!,"AAAAAFfXp70=")</f>
        <v>#REF!</v>
      </c>
      <c r="GI59" t="e">
        <f>AND(#REF!,"AAAAAFfXp74=")</f>
        <v>#REF!</v>
      </c>
      <c r="GJ59" t="e">
        <f>AND(#REF!,"AAAAAFfXp78=")</f>
        <v>#REF!</v>
      </c>
      <c r="GK59" t="e">
        <f>AND(#REF!,"AAAAAFfXp8A=")</f>
        <v>#REF!</v>
      </c>
      <c r="GL59" t="e">
        <f>AND(#REF!,"AAAAAFfXp8E=")</f>
        <v>#REF!</v>
      </c>
      <c r="GM59" t="e">
        <f>IF(#REF!,"AAAAAFfXp8I=",0)</f>
        <v>#REF!</v>
      </c>
      <c r="GN59" t="e">
        <f>AND(#REF!,"AAAAAFfXp8M=")</f>
        <v>#REF!</v>
      </c>
      <c r="GO59" t="e">
        <f>AND(#REF!,"AAAAAFfXp8Q=")</f>
        <v>#REF!</v>
      </c>
      <c r="GP59" t="e">
        <f>AND(#REF!,"AAAAAFfXp8U=")</f>
        <v>#REF!</v>
      </c>
      <c r="GQ59" t="e">
        <f>AND(#REF!,"AAAAAFfXp8Y=")</f>
        <v>#REF!</v>
      </c>
      <c r="GR59" t="e">
        <f>AND(#REF!,"AAAAAFfXp8c=")</f>
        <v>#REF!</v>
      </c>
      <c r="GS59" t="e">
        <f>AND(#REF!,"AAAAAFfXp8g=")</f>
        <v>#REF!</v>
      </c>
      <c r="GT59" t="e">
        <f>AND(#REF!,"AAAAAFfXp8k=")</f>
        <v>#REF!</v>
      </c>
      <c r="GU59" t="e">
        <f>AND(#REF!,"AAAAAFfXp8o=")</f>
        <v>#REF!</v>
      </c>
      <c r="GV59" t="e">
        <f>AND(#REF!,"AAAAAFfXp8s=")</f>
        <v>#REF!</v>
      </c>
      <c r="GW59" t="e">
        <f>AND(#REF!,"AAAAAFfXp8w=")</f>
        <v>#REF!</v>
      </c>
      <c r="GX59" t="e">
        <f>IF(#REF!,"AAAAAFfXp80=",0)</f>
        <v>#REF!</v>
      </c>
      <c r="GY59" t="e">
        <f>AND(#REF!,"AAAAAFfXp84=")</f>
        <v>#REF!</v>
      </c>
      <c r="GZ59" t="e">
        <f>AND(#REF!,"AAAAAFfXp88=")</f>
        <v>#REF!</v>
      </c>
      <c r="HA59" t="e">
        <f>AND(#REF!,"AAAAAFfXp9A=")</f>
        <v>#REF!</v>
      </c>
      <c r="HB59" t="e">
        <f>AND(#REF!,"AAAAAFfXp9E=")</f>
        <v>#REF!</v>
      </c>
      <c r="HC59" t="e">
        <f>AND(#REF!,"AAAAAFfXp9I=")</f>
        <v>#REF!</v>
      </c>
      <c r="HD59" t="e">
        <f>AND(#REF!,"AAAAAFfXp9M=")</f>
        <v>#REF!</v>
      </c>
      <c r="HE59" t="e">
        <f>AND(#REF!,"AAAAAFfXp9Q=")</f>
        <v>#REF!</v>
      </c>
      <c r="HF59" t="e">
        <f>AND(#REF!,"AAAAAFfXp9U=")</f>
        <v>#REF!</v>
      </c>
      <c r="HG59" t="e">
        <f>AND(#REF!,"AAAAAFfXp9Y=")</f>
        <v>#REF!</v>
      </c>
      <c r="HH59" t="e">
        <f>AND(#REF!,"AAAAAFfXp9c=")</f>
        <v>#REF!</v>
      </c>
      <c r="HI59" t="e">
        <f>IF(#REF!,"AAAAAFfXp9g=",0)</f>
        <v>#REF!</v>
      </c>
      <c r="HJ59" t="e">
        <f>AND(#REF!,"AAAAAFfXp9k=")</f>
        <v>#REF!</v>
      </c>
      <c r="HK59" t="e">
        <f>AND(#REF!,"AAAAAFfXp9o=")</f>
        <v>#REF!</v>
      </c>
      <c r="HL59" t="e">
        <f>AND(#REF!,"AAAAAFfXp9s=")</f>
        <v>#REF!</v>
      </c>
      <c r="HM59" t="e">
        <f>AND(#REF!,"AAAAAFfXp9w=")</f>
        <v>#REF!</v>
      </c>
      <c r="HN59" t="e">
        <f>AND(#REF!,"AAAAAFfXp90=")</f>
        <v>#REF!</v>
      </c>
      <c r="HO59" t="e">
        <f>AND(#REF!,"AAAAAFfXp94=")</f>
        <v>#REF!</v>
      </c>
      <c r="HP59" t="e">
        <f>AND(#REF!,"AAAAAFfXp98=")</f>
        <v>#REF!</v>
      </c>
      <c r="HQ59" t="e">
        <f>AND(#REF!,"AAAAAFfXp+A=")</f>
        <v>#REF!</v>
      </c>
      <c r="HR59" t="e">
        <f>AND(#REF!,"AAAAAFfXp+E=")</f>
        <v>#REF!</v>
      </c>
      <c r="HS59" t="e">
        <f>AND(#REF!,"AAAAAFfXp+I=")</f>
        <v>#REF!</v>
      </c>
      <c r="HT59" t="e">
        <f>IF(#REF!,"AAAAAFfXp+M=",0)</f>
        <v>#REF!</v>
      </c>
      <c r="HU59" t="e">
        <f>AND(#REF!,"AAAAAFfXp+Q=")</f>
        <v>#REF!</v>
      </c>
      <c r="HV59" t="e">
        <f>AND(#REF!,"AAAAAFfXp+U=")</f>
        <v>#REF!</v>
      </c>
      <c r="HW59" t="e">
        <f>AND(#REF!,"AAAAAFfXp+Y=")</f>
        <v>#REF!</v>
      </c>
      <c r="HX59" t="e">
        <f>AND(#REF!,"AAAAAFfXp+c=")</f>
        <v>#REF!</v>
      </c>
      <c r="HY59" t="e">
        <f>AND(#REF!,"AAAAAFfXp+g=")</f>
        <v>#REF!</v>
      </c>
      <c r="HZ59" t="e">
        <f>AND(#REF!,"AAAAAFfXp+k=")</f>
        <v>#REF!</v>
      </c>
      <c r="IA59" t="e">
        <f>AND(#REF!,"AAAAAFfXp+o=")</f>
        <v>#REF!</v>
      </c>
      <c r="IB59" t="e">
        <f>AND(#REF!,"AAAAAFfXp+s=")</f>
        <v>#REF!</v>
      </c>
      <c r="IC59" t="e">
        <f>AND(#REF!,"AAAAAFfXp+w=")</f>
        <v>#REF!</v>
      </c>
      <c r="ID59" t="e">
        <f>AND(#REF!,"AAAAAFfXp+0=")</f>
        <v>#REF!</v>
      </c>
      <c r="IE59" t="e">
        <f>IF(#REF!,"AAAAAFfXp+4=",0)</f>
        <v>#REF!</v>
      </c>
      <c r="IF59" t="e">
        <f>AND(#REF!,"AAAAAFfXp+8=")</f>
        <v>#REF!</v>
      </c>
      <c r="IG59" t="e">
        <f>AND(#REF!,"AAAAAFfXp/A=")</f>
        <v>#REF!</v>
      </c>
      <c r="IH59" t="e">
        <f>AND(#REF!,"AAAAAFfXp/E=")</f>
        <v>#REF!</v>
      </c>
      <c r="II59" t="e">
        <f>AND(#REF!,"AAAAAFfXp/I=")</f>
        <v>#REF!</v>
      </c>
      <c r="IJ59" t="e">
        <f>AND(#REF!,"AAAAAFfXp/M=")</f>
        <v>#REF!</v>
      </c>
      <c r="IK59" t="e">
        <f>AND(#REF!,"AAAAAFfXp/Q=")</f>
        <v>#REF!</v>
      </c>
      <c r="IL59" t="e">
        <f>AND(#REF!,"AAAAAFfXp/U=")</f>
        <v>#REF!</v>
      </c>
      <c r="IM59" t="e">
        <f>AND(#REF!,"AAAAAFfXp/Y=")</f>
        <v>#REF!</v>
      </c>
      <c r="IN59" t="e">
        <f>AND(#REF!,"AAAAAFfXp/c=")</f>
        <v>#REF!</v>
      </c>
      <c r="IO59" t="e">
        <f>AND(#REF!,"AAAAAFfXp/g=")</f>
        <v>#REF!</v>
      </c>
      <c r="IP59" t="e">
        <f>IF(#REF!,"AAAAAFfXp/k=",0)</f>
        <v>#REF!</v>
      </c>
      <c r="IQ59" t="e">
        <f>AND(#REF!,"AAAAAFfXp/o=")</f>
        <v>#REF!</v>
      </c>
      <c r="IR59" t="e">
        <f>AND(#REF!,"AAAAAFfXp/s=")</f>
        <v>#REF!</v>
      </c>
      <c r="IS59" t="e">
        <f>AND(#REF!,"AAAAAFfXp/w=")</f>
        <v>#REF!</v>
      </c>
      <c r="IT59" t="e">
        <f>AND(#REF!,"AAAAAFfXp/0=")</f>
        <v>#REF!</v>
      </c>
      <c r="IU59" t="e">
        <f>AND(#REF!,"AAAAAFfXp/4=")</f>
        <v>#REF!</v>
      </c>
      <c r="IV59" t="e">
        <f>AND(#REF!,"AAAAAFfXp/8=")</f>
        <v>#REF!</v>
      </c>
    </row>
    <row r="60" spans="1:256" x14ac:dyDescent="0.25">
      <c r="A60" t="e">
        <f>AND(#REF!,"AAAAAG37vQA=")</f>
        <v>#REF!</v>
      </c>
      <c r="B60" t="e">
        <f>AND(#REF!,"AAAAAG37vQE=")</f>
        <v>#REF!</v>
      </c>
      <c r="C60" t="e">
        <f>AND(#REF!,"AAAAAG37vQI=")</f>
        <v>#REF!</v>
      </c>
      <c r="D60" t="e">
        <f>AND(#REF!,"AAAAAG37vQM=")</f>
        <v>#REF!</v>
      </c>
      <c r="E60" t="e">
        <f>IF(#REF!,"AAAAAG37vQQ=",0)</f>
        <v>#REF!</v>
      </c>
      <c r="F60" t="e">
        <f>AND(#REF!,"AAAAAG37vQU=")</f>
        <v>#REF!</v>
      </c>
      <c r="G60" t="e">
        <f>AND(#REF!,"AAAAAG37vQY=")</f>
        <v>#REF!</v>
      </c>
      <c r="H60" t="e">
        <f>AND(#REF!,"AAAAAG37vQc=")</f>
        <v>#REF!</v>
      </c>
      <c r="I60" t="e">
        <f>AND(#REF!,"AAAAAG37vQg=")</f>
        <v>#REF!</v>
      </c>
      <c r="J60" t="e">
        <f>AND(#REF!,"AAAAAG37vQk=")</f>
        <v>#REF!</v>
      </c>
      <c r="K60" t="e">
        <f>AND(#REF!,"AAAAAG37vQo=")</f>
        <v>#REF!</v>
      </c>
      <c r="L60" t="e">
        <f>AND(#REF!,"AAAAAG37vQs=")</f>
        <v>#REF!</v>
      </c>
      <c r="M60" t="e">
        <f>AND(#REF!,"AAAAAG37vQw=")</f>
        <v>#REF!</v>
      </c>
      <c r="N60" t="e">
        <f>AND(#REF!,"AAAAAG37vQ0=")</f>
        <v>#REF!</v>
      </c>
      <c r="O60" t="e">
        <f>AND(#REF!,"AAAAAG37vQ4=")</f>
        <v>#REF!</v>
      </c>
      <c r="P60" t="e">
        <f>IF(#REF!,"AAAAAG37vQ8=",0)</f>
        <v>#REF!</v>
      </c>
      <c r="Q60" t="e">
        <f>AND(#REF!,"AAAAAG37vRA=")</f>
        <v>#REF!</v>
      </c>
      <c r="R60" t="e">
        <f>AND(#REF!,"AAAAAG37vRE=")</f>
        <v>#REF!</v>
      </c>
      <c r="S60" t="e">
        <f>AND(#REF!,"AAAAAG37vRI=")</f>
        <v>#REF!</v>
      </c>
      <c r="T60" t="e">
        <f>AND(#REF!,"AAAAAG37vRM=")</f>
        <v>#REF!</v>
      </c>
      <c r="U60" t="e">
        <f>AND(#REF!,"AAAAAG37vRQ=")</f>
        <v>#REF!</v>
      </c>
      <c r="V60" t="e">
        <f>AND(#REF!,"AAAAAG37vRU=")</f>
        <v>#REF!</v>
      </c>
      <c r="W60" t="e">
        <f>AND(#REF!,"AAAAAG37vRY=")</f>
        <v>#REF!</v>
      </c>
      <c r="X60" t="e">
        <f>AND(#REF!,"AAAAAG37vRc=")</f>
        <v>#REF!</v>
      </c>
      <c r="Y60" t="e">
        <f>AND(#REF!,"AAAAAG37vRg=")</f>
        <v>#REF!</v>
      </c>
      <c r="Z60" t="e">
        <f>AND(#REF!,"AAAAAG37vRk=")</f>
        <v>#REF!</v>
      </c>
      <c r="AA60" t="e">
        <f>IF(#REF!,"AAAAAG37vRo=",0)</f>
        <v>#REF!</v>
      </c>
      <c r="AB60" t="e">
        <f>AND(#REF!,"AAAAAG37vRs=")</f>
        <v>#REF!</v>
      </c>
      <c r="AC60" t="e">
        <f>AND(#REF!,"AAAAAG37vRw=")</f>
        <v>#REF!</v>
      </c>
      <c r="AD60" t="e">
        <f>AND(#REF!,"AAAAAG37vR0=")</f>
        <v>#REF!</v>
      </c>
      <c r="AE60" t="e">
        <f>AND(#REF!,"AAAAAG37vR4=")</f>
        <v>#REF!</v>
      </c>
      <c r="AF60" t="e">
        <f>AND(#REF!,"AAAAAG37vR8=")</f>
        <v>#REF!</v>
      </c>
      <c r="AG60" t="e">
        <f>AND(#REF!,"AAAAAG37vSA=")</f>
        <v>#REF!</v>
      </c>
      <c r="AH60" t="e">
        <f>AND(#REF!,"AAAAAG37vSE=")</f>
        <v>#REF!</v>
      </c>
      <c r="AI60" t="e">
        <f>AND(#REF!,"AAAAAG37vSI=")</f>
        <v>#REF!</v>
      </c>
      <c r="AJ60" t="e">
        <f>AND(#REF!,"AAAAAG37vSM=")</f>
        <v>#REF!</v>
      </c>
      <c r="AK60" t="e">
        <f>AND(#REF!,"AAAAAG37vSQ=")</f>
        <v>#REF!</v>
      </c>
      <c r="AL60" t="e">
        <f>IF(#REF!,"AAAAAG37vSU=",0)</f>
        <v>#REF!</v>
      </c>
      <c r="AM60" t="e">
        <f>AND(#REF!,"AAAAAG37vSY=")</f>
        <v>#REF!</v>
      </c>
      <c r="AN60" t="e">
        <f>AND(#REF!,"AAAAAG37vSc=")</f>
        <v>#REF!</v>
      </c>
      <c r="AO60" t="e">
        <f>AND(#REF!,"AAAAAG37vSg=")</f>
        <v>#REF!</v>
      </c>
      <c r="AP60" t="e">
        <f>AND(#REF!,"AAAAAG37vSk=")</f>
        <v>#REF!</v>
      </c>
      <c r="AQ60" t="e">
        <f>AND(#REF!,"AAAAAG37vSo=")</f>
        <v>#REF!</v>
      </c>
      <c r="AR60" t="e">
        <f>AND(#REF!,"AAAAAG37vSs=")</f>
        <v>#REF!</v>
      </c>
      <c r="AS60" t="e">
        <f>AND(#REF!,"AAAAAG37vSw=")</f>
        <v>#REF!</v>
      </c>
      <c r="AT60" t="e">
        <f>AND(#REF!,"AAAAAG37vS0=")</f>
        <v>#REF!</v>
      </c>
      <c r="AU60" t="e">
        <f>AND(#REF!,"AAAAAG37vS4=")</f>
        <v>#REF!</v>
      </c>
      <c r="AV60" t="e">
        <f>AND(#REF!,"AAAAAG37vS8=")</f>
        <v>#REF!</v>
      </c>
      <c r="AW60" t="e">
        <f>IF(#REF!,"AAAAAG37vTA=",0)</f>
        <v>#REF!</v>
      </c>
      <c r="AX60" t="e">
        <f>AND(#REF!,"AAAAAG37vTE=")</f>
        <v>#REF!</v>
      </c>
      <c r="AY60" t="e">
        <f>AND(#REF!,"AAAAAG37vTI=")</f>
        <v>#REF!</v>
      </c>
      <c r="AZ60" t="e">
        <f>AND(#REF!,"AAAAAG37vTM=")</f>
        <v>#REF!</v>
      </c>
      <c r="BA60" t="e">
        <f>AND(#REF!,"AAAAAG37vTQ=")</f>
        <v>#REF!</v>
      </c>
      <c r="BB60" t="e">
        <f>AND(#REF!,"AAAAAG37vTU=")</f>
        <v>#REF!</v>
      </c>
      <c r="BC60" t="e">
        <f>AND(#REF!,"AAAAAG37vTY=")</f>
        <v>#REF!</v>
      </c>
      <c r="BD60" t="e">
        <f>AND(#REF!,"AAAAAG37vTc=")</f>
        <v>#REF!</v>
      </c>
      <c r="BE60" t="e">
        <f>AND(#REF!,"AAAAAG37vTg=")</f>
        <v>#REF!</v>
      </c>
      <c r="BF60" t="e">
        <f>AND(#REF!,"AAAAAG37vTk=")</f>
        <v>#REF!</v>
      </c>
      <c r="BG60" t="e">
        <f>AND(#REF!,"AAAAAG37vTo=")</f>
        <v>#REF!</v>
      </c>
      <c r="BH60" t="e">
        <f>IF(#REF!,"AAAAAG37vTs=",0)</f>
        <v>#REF!</v>
      </c>
      <c r="BI60" t="e">
        <f>AND(#REF!,"AAAAAG37vTw=")</f>
        <v>#REF!</v>
      </c>
      <c r="BJ60" t="e">
        <f>AND(#REF!,"AAAAAG37vT0=")</f>
        <v>#REF!</v>
      </c>
      <c r="BK60" t="e">
        <f>AND(#REF!,"AAAAAG37vT4=")</f>
        <v>#REF!</v>
      </c>
      <c r="BL60" t="e">
        <f>AND(#REF!,"AAAAAG37vT8=")</f>
        <v>#REF!</v>
      </c>
      <c r="BM60" t="e">
        <f>AND(#REF!,"AAAAAG37vUA=")</f>
        <v>#REF!</v>
      </c>
      <c r="BN60" t="e">
        <f>AND(#REF!,"AAAAAG37vUE=")</f>
        <v>#REF!</v>
      </c>
      <c r="BO60" t="e">
        <f>AND(#REF!,"AAAAAG37vUI=")</f>
        <v>#REF!</v>
      </c>
      <c r="BP60" t="e">
        <f>AND(#REF!,"AAAAAG37vUM=")</f>
        <v>#REF!</v>
      </c>
      <c r="BQ60" t="e">
        <f>AND(#REF!,"AAAAAG37vUQ=")</f>
        <v>#REF!</v>
      </c>
      <c r="BR60" t="e">
        <f>AND(#REF!,"AAAAAG37vUU=")</f>
        <v>#REF!</v>
      </c>
      <c r="BS60" t="e">
        <f>IF(#REF!,"AAAAAG37vUY=",0)</f>
        <v>#REF!</v>
      </c>
      <c r="BT60" t="e">
        <f>AND(#REF!,"AAAAAG37vUc=")</f>
        <v>#REF!</v>
      </c>
      <c r="BU60" t="e">
        <f>AND(#REF!,"AAAAAG37vUg=")</f>
        <v>#REF!</v>
      </c>
      <c r="BV60" t="e">
        <f>AND(#REF!,"AAAAAG37vUk=")</f>
        <v>#REF!</v>
      </c>
      <c r="BW60" t="e">
        <f>AND(#REF!,"AAAAAG37vUo=")</f>
        <v>#REF!</v>
      </c>
      <c r="BX60" t="e">
        <f>AND(#REF!,"AAAAAG37vUs=")</f>
        <v>#REF!</v>
      </c>
      <c r="BY60" t="e">
        <f>AND(#REF!,"AAAAAG37vUw=")</f>
        <v>#REF!</v>
      </c>
      <c r="BZ60" t="e">
        <f>AND(#REF!,"AAAAAG37vU0=")</f>
        <v>#REF!</v>
      </c>
      <c r="CA60" t="e">
        <f>AND(#REF!,"AAAAAG37vU4=")</f>
        <v>#REF!</v>
      </c>
      <c r="CB60" t="e">
        <f>AND(#REF!,"AAAAAG37vU8=")</f>
        <v>#REF!</v>
      </c>
      <c r="CC60" t="e">
        <f>AND(#REF!,"AAAAAG37vVA=")</f>
        <v>#REF!</v>
      </c>
      <c r="CD60" t="e">
        <f>IF(#REF!,"AAAAAG37vVE=",0)</f>
        <v>#REF!</v>
      </c>
      <c r="CE60" t="e">
        <f>AND(#REF!,"AAAAAG37vVI=")</f>
        <v>#REF!</v>
      </c>
      <c r="CF60" t="e">
        <f>AND(#REF!,"AAAAAG37vVM=")</f>
        <v>#REF!</v>
      </c>
      <c r="CG60" t="e">
        <f>AND(#REF!,"AAAAAG37vVQ=")</f>
        <v>#REF!</v>
      </c>
      <c r="CH60" t="e">
        <f>AND(#REF!,"AAAAAG37vVU=")</f>
        <v>#REF!</v>
      </c>
      <c r="CI60" t="e">
        <f>AND(#REF!,"AAAAAG37vVY=")</f>
        <v>#REF!</v>
      </c>
      <c r="CJ60" t="e">
        <f>AND(#REF!,"AAAAAG37vVc=")</f>
        <v>#REF!</v>
      </c>
      <c r="CK60" t="e">
        <f>AND(#REF!,"AAAAAG37vVg=")</f>
        <v>#REF!</v>
      </c>
      <c r="CL60" t="e">
        <f>AND(#REF!,"AAAAAG37vVk=")</f>
        <v>#REF!</v>
      </c>
      <c r="CM60" t="e">
        <f>AND(#REF!,"AAAAAG37vVo=")</f>
        <v>#REF!</v>
      </c>
      <c r="CN60" t="e">
        <f>AND(#REF!,"AAAAAG37vVs=")</f>
        <v>#REF!</v>
      </c>
      <c r="CO60" t="e">
        <f>IF(#REF!,"AAAAAG37vVw=",0)</f>
        <v>#REF!</v>
      </c>
      <c r="CP60" t="e">
        <f>AND(#REF!,"AAAAAG37vV0=")</f>
        <v>#REF!</v>
      </c>
      <c r="CQ60" t="e">
        <f>AND(#REF!,"AAAAAG37vV4=")</f>
        <v>#REF!</v>
      </c>
      <c r="CR60" t="e">
        <f>AND(#REF!,"AAAAAG37vV8=")</f>
        <v>#REF!</v>
      </c>
      <c r="CS60" t="e">
        <f>AND(#REF!,"AAAAAG37vWA=")</f>
        <v>#REF!</v>
      </c>
      <c r="CT60" t="e">
        <f>AND(#REF!,"AAAAAG37vWE=")</f>
        <v>#REF!</v>
      </c>
      <c r="CU60" t="e">
        <f>AND(#REF!,"AAAAAG37vWI=")</f>
        <v>#REF!</v>
      </c>
      <c r="CV60" t="e">
        <f>AND(#REF!,"AAAAAG37vWM=")</f>
        <v>#REF!</v>
      </c>
      <c r="CW60" t="e">
        <f>AND(#REF!,"AAAAAG37vWQ=")</f>
        <v>#REF!</v>
      </c>
      <c r="CX60" t="e">
        <f>AND(#REF!,"AAAAAG37vWU=")</f>
        <v>#REF!</v>
      </c>
      <c r="CY60" t="e">
        <f>AND(#REF!,"AAAAAG37vWY=")</f>
        <v>#REF!</v>
      </c>
      <c r="CZ60" t="e">
        <f>IF(#REF!,"AAAAAG37vWc=",0)</f>
        <v>#REF!</v>
      </c>
      <c r="DA60" t="e">
        <f>AND(#REF!,"AAAAAG37vWg=")</f>
        <v>#REF!</v>
      </c>
      <c r="DB60" t="e">
        <f>AND(#REF!,"AAAAAG37vWk=")</f>
        <v>#REF!</v>
      </c>
      <c r="DC60" t="e">
        <f>AND(#REF!,"AAAAAG37vWo=")</f>
        <v>#REF!</v>
      </c>
      <c r="DD60" t="e">
        <f>AND(#REF!,"AAAAAG37vWs=")</f>
        <v>#REF!</v>
      </c>
      <c r="DE60" t="e">
        <f>AND(#REF!,"AAAAAG37vWw=")</f>
        <v>#REF!</v>
      </c>
      <c r="DF60" t="e">
        <f>AND(#REF!,"AAAAAG37vW0=")</f>
        <v>#REF!</v>
      </c>
      <c r="DG60" t="e">
        <f>AND(#REF!,"AAAAAG37vW4=")</f>
        <v>#REF!</v>
      </c>
      <c r="DH60" t="e">
        <f>AND(#REF!,"AAAAAG37vW8=")</f>
        <v>#REF!</v>
      </c>
      <c r="DI60" t="e">
        <f>AND(#REF!,"AAAAAG37vXA=")</f>
        <v>#REF!</v>
      </c>
      <c r="DJ60" t="e">
        <f>AND(#REF!,"AAAAAG37vXE=")</f>
        <v>#REF!</v>
      </c>
      <c r="DK60" t="e">
        <f>IF(#REF!,"AAAAAG37vXI=",0)</f>
        <v>#REF!</v>
      </c>
      <c r="DL60" t="e">
        <f>AND(#REF!,"AAAAAG37vXM=")</f>
        <v>#REF!</v>
      </c>
      <c r="DM60" t="e">
        <f>AND(#REF!,"AAAAAG37vXQ=")</f>
        <v>#REF!</v>
      </c>
      <c r="DN60" t="e">
        <f>AND(#REF!,"AAAAAG37vXU=")</f>
        <v>#REF!</v>
      </c>
      <c r="DO60" t="e">
        <f>AND(#REF!,"AAAAAG37vXY=")</f>
        <v>#REF!</v>
      </c>
      <c r="DP60" t="e">
        <f>AND(#REF!,"AAAAAG37vXc=")</f>
        <v>#REF!</v>
      </c>
      <c r="DQ60" t="e">
        <f>AND(#REF!,"AAAAAG37vXg=")</f>
        <v>#REF!</v>
      </c>
      <c r="DR60" t="e">
        <f>AND(#REF!,"AAAAAG37vXk=")</f>
        <v>#REF!</v>
      </c>
      <c r="DS60" t="e">
        <f>AND(#REF!,"AAAAAG37vXo=")</f>
        <v>#REF!</v>
      </c>
      <c r="DT60" t="e">
        <f>AND(#REF!,"AAAAAG37vXs=")</f>
        <v>#REF!</v>
      </c>
      <c r="DU60" t="e">
        <f>AND(#REF!,"AAAAAG37vXw=")</f>
        <v>#REF!</v>
      </c>
      <c r="DV60" t="e">
        <f>IF(#REF!,"AAAAAG37vX0=",0)</f>
        <v>#REF!</v>
      </c>
      <c r="DW60" t="e">
        <f>AND(#REF!,"AAAAAG37vX4=")</f>
        <v>#REF!</v>
      </c>
      <c r="DX60" t="e">
        <f>AND(#REF!,"AAAAAG37vX8=")</f>
        <v>#REF!</v>
      </c>
      <c r="DY60" t="e">
        <f>AND(#REF!,"AAAAAG37vYA=")</f>
        <v>#REF!</v>
      </c>
      <c r="DZ60" t="e">
        <f>AND(#REF!,"AAAAAG37vYE=")</f>
        <v>#REF!</v>
      </c>
      <c r="EA60" t="e">
        <f>AND(#REF!,"AAAAAG37vYI=")</f>
        <v>#REF!</v>
      </c>
      <c r="EB60" t="e">
        <f>AND(#REF!,"AAAAAG37vYM=")</f>
        <v>#REF!</v>
      </c>
      <c r="EC60" t="e">
        <f>AND(#REF!,"AAAAAG37vYQ=")</f>
        <v>#REF!</v>
      </c>
      <c r="ED60" t="e">
        <f>AND(#REF!,"AAAAAG37vYU=")</f>
        <v>#REF!</v>
      </c>
      <c r="EE60" t="e">
        <f>AND(#REF!,"AAAAAG37vYY=")</f>
        <v>#REF!</v>
      </c>
      <c r="EF60" t="e">
        <f>AND(#REF!,"AAAAAG37vYc=")</f>
        <v>#REF!</v>
      </c>
      <c r="EG60" t="e">
        <f>IF(#REF!,"AAAAAG37vYg=",0)</f>
        <v>#REF!</v>
      </c>
      <c r="EH60" t="e">
        <f>AND(#REF!,"AAAAAG37vYk=")</f>
        <v>#REF!</v>
      </c>
      <c r="EI60" t="e">
        <f>AND(#REF!,"AAAAAG37vYo=")</f>
        <v>#REF!</v>
      </c>
      <c r="EJ60" t="e">
        <f>AND(#REF!,"AAAAAG37vYs=")</f>
        <v>#REF!</v>
      </c>
      <c r="EK60" t="e">
        <f>AND(#REF!,"AAAAAG37vYw=")</f>
        <v>#REF!</v>
      </c>
      <c r="EL60" t="e">
        <f>AND(#REF!,"AAAAAG37vY0=")</f>
        <v>#REF!</v>
      </c>
      <c r="EM60" t="e">
        <f>AND(#REF!,"AAAAAG37vY4=")</f>
        <v>#REF!</v>
      </c>
      <c r="EN60" t="e">
        <f>AND(#REF!,"AAAAAG37vY8=")</f>
        <v>#REF!</v>
      </c>
      <c r="EO60" t="e">
        <f>AND(#REF!,"AAAAAG37vZA=")</f>
        <v>#REF!</v>
      </c>
      <c r="EP60" t="e">
        <f>AND(#REF!,"AAAAAG37vZE=")</f>
        <v>#REF!</v>
      </c>
      <c r="EQ60" t="e">
        <f>AND(#REF!,"AAAAAG37vZI=")</f>
        <v>#REF!</v>
      </c>
      <c r="ER60" t="e">
        <f>IF(#REF!,"AAAAAG37vZM=",0)</f>
        <v>#REF!</v>
      </c>
      <c r="ES60" t="e">
        <f>AND(#REF!,"AAAAAG37vZQ=")</f>
        <v>#REF!</v>
      </c>
      <c r="ET60" t="e">
        <f>AND(#REF!,"AAAAAG37vZU=")</f>
        <v>#REF!</v>
      </c>
      <c r="EU60" t="e">
        <f>AND(#REF!,"AAAAAG37vZY=")</f>
        <v>#REF!</v>
      </c>
      <c r="EV60" t="e">
        <f>AND(#REF!,"AAAAAG37vZc=")</f>
        <v>#REF!</v>
      </c>
      <c r="EW60" t="e">
        <f>AND(#REF!,"AAAAAG37vZg=")</f>
        <v>#REF!</v>
      </c>
      <c r="EX60" t="e">
        <f>AND(#REF!,"AAAAAG37vZk=")</f>
        <v>#REF!</v>
      </c>
      <c r="EY60" t="e">
        <f>AND(#REF!,"AAAAAG37vZo=")</f>
        <v>#REF!</v>
      </c>
      <c r="EZ60" t="e">
        <f>AND(#REF!,"AAAAAG37vZs=")</f>
        <v>#REF!</v>
      </c>
      <c r="FA60" t="e">
        <f>AND(#REF!,"AAAAAG37vZw=")</f>
        <v>#REF!</v>
      </c>
      <c r="FB60" t="e">
        <f>AND(#REF!,"AAAAAG37vZ0=")</f>
        <v>#REF!</v>
      </c>
      <c r="FC60" t="e">
        <f>IF(#REF!,"AAAAAG37vZ4=",0)</f>
        <v>#REF!</v>
      </c>
      <c r="FD60" t="e">
        <f>AND(#REF!,"AAAAAG37vZ8=")</f>
        <v>#REF!</v>
      </c>
      <c r="FE60" t="e">
        <f>AND(#REF!,"AAAAAG37vaA=")</f>
        <v>#REF!</v>
      </c>
      <c r="FF60" t="e">
        <f>AND(#REF!,"AAAAAG37vaE=")</f>
        <v>#REF!</v>
      </c>
      <c r="FG60" t="e">
        <f>AND(#REF!,"AAAAAG37vaI=")</f>
        <v>#REF!</v>
      </c>
      <c r="FH60" t="e">
        <f>AND(#REF!,"AAAAAG37vaM=")</f>
        <v>#REF!</v>
      </c>
      <c r="FI60" t="e">
        <f>AND(#REF!,"AAAAAG37vaQ=")</f>
        <v>#REF!</v>
      </c>
      <c r="FJ60" t="e">
        <f>AND(#REF!,"AAAAAG37vaU=")</f>
        <v>#REF!</v>
      </c>
      <c r="FK60" t="e">
        <f>AND(#REF!,"AAAAAG37vaY=")</f>
        <v>#REF!</v>
      </c>
      <c r="FL60" t="e">
        <f>AND(#REF!,"AAAAAG37vac=")</f>
        <v>#REF!</v>
      </c>
      <c r="FM60" t="e">
        <f>AND(#REF!,"AAAAAG37vag=")</f>
        <v>#REF!</v>
      </c>
      <c r="FN60" t="e">
        <f>IF(#REF!,"AAAAAG37vak=",0)</f>
        <v>#REF!</v>
      </c>
      <c r="FO60" t="e">
        <f>AND(#REF!,"AAAAAG37vao=")</f>
        <v>#REF!</v>
      </c>
      <c r="FP60" t="e">
        <f>AND(#REF!,"AAAAAG37vas=")</f>
        <v>#REF!</v>
      </c>
      <c r="FQ60" t="e">
        <f>AND(#REF!,"AAAAAG37vaw=")</f>
        <v>#REF!</v>
      </c>
      <c r="FR60" t="e">
        <f>AND(#REF!,"AAAAAG37va0=")</f>
        <v>#REF!</v>
      </c>
      <c r="FS60" t="e">
        <f>AND(#REF!,"AAAAAG37va4=")</f>
        <v>#REF!</v>
      </c>
      <c r="FT60" t="e">
        <f>AND(#REF!,"AAAAAG37va8=")</f>
        <v>#REF!</v>
      </c>
      <c r="FU60" t="e">
        <f>AND(#REF!,"AAAAAG37vbA=")</f>
        <v>#REF!</v>
      </c>
      <c r="FV60" t="e">
        <f>AND(#REF!,"AAAAAG37vbE=")</f>
        <v>#REF!</v>
      </c>
      <c r="FW60" t="e">
        <f>AND(#REF!,"AAAAAG37vbI=")</f>
        <v>#REF!</v>
      </c>
      <c r="FX60" t="e">
        <f>AND(#REF!,"AAAAAG37vbM=")</f>
        <v>#REF!</v>
      </c>
      <c r="FY60" t="e">
        <f>IF(#REF!,"AAAAAG37vbQ=",0)</f>
        <v>#REF!</v>
      </c>
      <c r="FZ60" t="e">
        <f>AND(#REF!,"AAAAAG37vbU=")</f>
        <v>#REF!</v>
      </c>
      <c r="GA60" t="e">
        <f>AND(#REF!,"AAAAAG37vbY=")</f>
        <v>#REF!</v>
      </c>
      <c r="GB60" t="e">
        <f>AND(#REF!,"AAAAAG37vbc=")</f>
        <v>#REF!</v>
      </c>
      <c r="GC60" t="e">
        <f>AND(#REF!,"AAAAAG37vbg=")</f>
        <v>#REF!</v>
      </c>
      <c r="GD60" t="e">
        <f>AND(#REF!,"AAAAAG37vbk=")</f>
        <v>#REF!</v>
      </c>
      <c r="GE60" t="e">
        <f>AND(#REF!,"AAAAAG37vbo=")</f>
        <v>#REF!</v>
      </c>
      <c r="GF60" t="e">
        <f>AND(#REF!,"AAAAAG37vbs=")</f>
        <v>#REF!</v>
      </c>
      <c r="GG60" t="e">
        <f>AND(#REF!,"AAAAAG37vbw=")</f>
        <v>#REF!</v>
      </c>
      <c r="GH60" t="e">
        <f>AND(#REF!,"AAAAAG37vb0=")</f>
        <v>#REF!</v>
      </c>
      <c r="GI60" t="e">
        <f>AND(#REF!,"AAAAAG37vb4=")</f>
        <v>#REF!</v>
      </c>
      <c r="GJ60" t="e">
        <f>IF(#REF!,"AAAAAG37vb8=",0)</f>
        <v>#REF!</v>
      </c>
      <c r="GK60" t="e">
        <f>AND(#REF!,"AAAAAG37vcA=")</f>
        <v>#REF!</v>
      </c>
      <c r="GL60" t="e">
        <f>AND(#REF!,"AAAAAG37vcE=")</f>
        <v>#REF!</v>
      </c>
      <c r="GM60" t="e">
        <f>AND(#REF!,"AAAAAG37vcI=")</f>
        <v>#REF!</v>
      </c>
      <c r="GN60" t="e">
        <f>AND(#REF!,"AAAAAG37vcM=")</f>
        <v>#REF!</v>
      </c>
      <c r="GO60" t="e">
        <f>AND(#REF!,"AAAAAG37vcQ=")</f>
        <v>#REF!</v>
      </c>
      <c r="GP60" t="e">
        <f>AND(#REF!,"AAAAAG37vcU=")</f>
        <v>#REF!</v>
      </c>
      <c r="GQ60" t="e">
        <f>AND(#REF!,"AAAAAG37vcY=")</f>
        <v>#REF!</v>
      </c>
      <c r="GR60" t="e">
        <f>AND(#REF!,"AAAAAG37vcc=")</f>
        <v>#REF!</v>
      </c>
      <c r="GS60" t="e">
        <f>AND(#REF!,"AAAAAG37vcg=")</f>
        <v>#REF!</v>
      </c>
      <c r="GT60" t="e">
        <f>AND(#REF!,"AAAAAG37vck=")</f>
        <v>#REF!</v>
      </c>
      <c r="GU60" t="e">
        <f>IF(#REF!,"AAAAAG37vco=",0)</f>
        <v>#REF!</v>
      </c>
      <c r="GV60" t="e">
        <f>AND(#REF!,"AAAAAG37vcs=")</f>
        <v>#REF!</v>
      </c>
      <c r="GW60" t="e">
        <f>AND(#REF!,"AAAAAG37vcw=")</f>
        <v>#REF!</v>
      </c>
      <c r="GX60" t="e">
        <f>AND(#REF!,"AAAAAG37vc0=")</f>
        <v>#REF!</v>
      </c>
      <c r="GY60" t="e">
        <f>AND(#REF!,"AAAAAG37vc4=")</f>
        <v>#REF!</v>
      </c>
      <c r="GZ60" t="e">
        <f>AND(#REF!,"AAAAAG37vc8=")</f>
        <v>#REF!</v>
      </c>
      <c r="HA60" t="e">
        <f>AND(#REF!,"AAAAAG37vdA=")</f>
        <v>#REF!</v>
      </c>
      <c r="HB60" t="e">
        <f>AND(#REF!,"AAAAAG37vdE=")</f>
        <v>#REF!</v>
      </c>
      <c r="HC60" t="e">
        <f>AND(#REF!,"AAAAAG37vdI=")</f>
        <v>#REF!</v>
      </c>
      <c r="HD60" t="e">
        <f>AND(#REF!,"AAAAAG37vdM=")</f>
        <v>#REF!</v>
      </c>
      <c r="HE60" t="e">
        <f>AND(#REF!,"AAAAAG37vdQ=")</f>
        <v>#REF!</v>
      </c>
      <c r="HF60" t="e">
        <f>IF(#REF!,"AAAAAG37vdU=",0)</f>
        <v>#REF!</v>
      </c>
      <c r="HG60" t="e">
        <f>AND(#REF!,"AAAAAG37vdY=")</f>
        <v>#REF!</v>
      </c>
      <c r="HH60" t="e">
        <f>AND(#REF!,"AAAAAG37vdc=")</f>
        <v>#REF!</v>
      </c>
      <c r="HI60" t="e">
        <f>AND(#REF!,"AAAAAG37vdg=")</f>
        <v>#REF!</v>
      </c>
      <c r="HJ60" t="e">
        <f>AND(#REF!,"AAAAAG37vdk=")</f>
        <v>#REF!</v>
      </c>
      <c r="HK60" t="e">
        <f>AND(#REF!,"AAAAAG37vdo=")</f>
        <v>#REF!</v>
      </c>
      <c r="HL60" t="e">
        <f>AND(#REF!,"AAAAAG37vds=")</f>
        <v>#REF!</v>
      </c>
      <c r="HM60" t="e">
        <f>AND(#REF!,"AAAAAG37vdw=")</f>
        <v>#REF!</v>
      </c>
      <c r="HN60" t="e">
        <f>AND(#REF!,"AAAAAG37vd0=")</f>
        <v>#REF!</v>
      </c>
      <c r="HO60" t="e">
        <f>AND(#REF!,"AAAAAG37vd4=")</f>
        <v>#REF!</v>
      </c>
      <c r="HP60" t="e">
        <f>AND(#REF!,"AAAAAG37vd8=")</f>
        <v>#REF!</v>
      </c>
      <c r="HQ60" t="e">
        <f>IF(#REF!,"AAAAAG37veA=",0)</f>
        <v>#REF!</v>
      </c>
      <c r="HR60" t="e">
        <f>AND(#REF!,"AAAAAG37veE=")</f>
        <v>#REF!</v>
      </c>
      <c r="HS60" t="e">
        <f>AND(#REF!,"AAAAAG37veI=")</f>
        <v>#REF!</v>
      </c>
      <c r="HT60" t="e">
        <f>AND(#REF!,"AAAAAG37veM=")</f>
        <v>#REF!</v>
      </c>
      <c r="HU60" t="e">
        <f>AND(#REF!,"AAAAAG37veQ=")</f>
        <v>#REF!</v>
      </c>
      <c r="HV60" t="e">
        <f>AND(#REF!,"AAAAAG37veU=")</f>
        <v>#REF!</v>
      </c>
      <c r="HW60" t="e">
        <f>AND(#REF!,"AAAAAG37veY=")</f>
        <v>#REF!</v>
      </c>
      <c r="HX60" t="e">
        <f>AND(#REF!,"AAAAAG37vec=")</f>
        <v>#REF!</v>
      </c>
      <c r="HY60" t="e">
        <f>AND(#REF!,"AAAAAG37veg=")</f>
        <v>#REF!</v>
      </c>
      <c r="HZ60" t="e">
        <f>AND(#REF!,"AAAAAG37vek=")</f>
        <v>#REF!</v>
      </c>
      <c r="IA60" t="e">
        <f>AND(#REF!,"AAAAAG37veo=")</f>
        <v>#REF!</v>
      </c>
      <c r="IB60" t="e">
        <f>IF(#REF!,"AAAAAG37ves=",0)</f>
        <v>#REF!</v>
      </c>
      <c r="IC60" t="e">
        <f>AND(#REF!,"AAAAAG37vew=")</f>
        <v>#REF!</v>
      </c>
      <c r="ID60" t="e">
        <f>AND(#REF!,"AAAAAG37ve0=")</f>
        <v>#REF!</v>
      </c>
      <c r="IE60" t="e">
        <f>AND(#REF!,"AAAAAG37ve4=")</f>
        <v>#REF!</v>
      </c>
      <c r="IF60" t="e">
        <f>AND(#REF!,"AAAAAG37ve8=")</f>
        <v>#REF!</v>
      </c>
      <c r="IG60" t="e">
        <f>AND(#REF!,"AAAAAG37vfA=")</f>
        <v>#REF!</v>
      </c>
      <c r="IH60" t="e">
        <f>AND(#REF!,"AAAAAG37vfE=")</f>
        <v>#REF!</v>
      </c>
      <c r="II60" t="e">
        <f>AND(#REF!,"AAAAAG37vfI=")</f>
        <v>#REF!</v>
      </c>
      <c r="IJ60" t="e">
        <f>AND(#REF!,"AAAAAG37vfM=")</f>
        <v>#REF!</v>
      </c>
      <c r="IK60" t="e">
        <f>AND(#REF!,"AAAAAG37vfQ=")</f>
        <v>#REF!</v>
      </c>
      <c r="IL60" t="e">
        <f>AND(#REF!,"AAAAAG37vfU=")</f>
        <v>#REF!</v>
      </c>
      <c r="IM60" t="e">
        <f>IF(#REF!,"AAAAAG37vfY=",0)</f>
        <v>#REF!</v>
      </c>
      <c r="IN60" t="e">
        <f>AND(#REF!,"AAAAAG37vfc=")</f>
        <v>#REF!</v>
      </c>
      <c r="IO60" t="e">
        <f>AND(#REF!,"AAAAAG37vfg=")</f>
        <v>#REF!</v>
      </c>
      <c r="IP60" t="e">
        <f>AND(#REF!,"AAAAAG37vfk=")</f>
        <v>#REF!</v>
      </c>
      <c r="IQ60" t="e">
        <f>AND(#REF!,"AAAAAG37vfo=")</f>
        <v>#REF!</v>
      </c>
      <c r="IR60" t="e">
        <f>AND(#REF!,"AAAAAG37vfs=")</f>
        <v>#REF!</v>
      </c>
      <c r="IS60" t="e">
        <f>AND(#REF!,"AAAAAG37vfw=")</f>
        <v>#REF!</v>
      </c>
      <c r="IT60" t="e">
        <f>AND(#REF!,"AAAAAG37vf0=")</f>
        <v>#REF!</v>
      </c>
      <c r="IU60" t="e">
        <f>AND(#REF!,"AAAAAG37vf4=")</f>
        <v>#REF!</v>
      </c>
      <c r="IV60" t="e">
        <f>AND(#REF!,"AAAAAG37vf8=")</f>
        <v>#REF!</v>
      </c>
    </row>
    <row r="61" spans="1:256" x14ac:dyDescent="0.25">
      <c r="A61" t="e">
        <f>AND(#REF!,"AAAAAHnVqwA=")</f>
        <v>#REF!</v>
      </c>
      <c r="B61" t="e">
        <f>IF(#REF!,"AAAAAHnVqwE=",0)</f>
        <v>#REF!</v>
      </c>
      <c r="C61" t="e">
        <f>AND(#REF!,"AAAAAHnVqwI=")</f>
        <v>#REF!</v>
      </c>
      <c r="D61" t="e">
        <f>AND(#REF!,"AAAAAHnVqwM=")</f>
        <v>#REF!</v>
      </c>
      <c r="E61" t="e">
        <f>AND(#REF!,"AAAAAHnVqwQ=")</f>
        <v>#REF!</v>
      </c>
      <c r="F61" t="e">
        <f>AND(#REF!,"AAAAAHnVqwU=")</f>
        <v>#REF!</v>
      </c>
      <c r="G61" t="e">
        <f>AND(#REF!,"AAAAAHnVqwY=")</f>
        <v>#REF!</v>
      </c>
      <c r="H61" t="e">
        <f>AND(#REF!,"AAAAAHnVqwc=")</f>
        <v>#REF!</v>
      </c>
      <c r="I61" t="e">
        <f>AND(#REF!,"AAAAAHnVqwg=")</f>
        <v>#REF!</v>
      </c>
      <c r="J61" t="e">
        <f>AND(#REF!,"AAAAAHnVqwk=")</f>
        <v>#REF!</v>
      </c>
      <c r="K61" t="e">
        <f>AND(#REF!,"AAAAAHnVqwo=")</f>
        <v>#REF!</v>
      </c>
      <c r="L61" t="e">
        <f>AND(#REF!,"AAAAAHnVqws=")</f>
        <v>#REF!</v>
      </c>
      <c r="M61" t="e">
        <f>IF(#REF!,"AAAAAHnVqww=",0)</f>
        <v>#REF!</v>
      </c>
      <c r="N61" t="e">
        <f>AND(#REF!,"AAAAAHnVqw0=")</f>
        <v>#REF!</v>
      </c>
      <c r="O61" t="e">
        <f>AND(#REF!,"AAAAAHnVqw4=")</f>
        <v>#REF!</v>
      </c>
      <c r="P61" t="e">
        <f>AND(#REF!,"AAAAAHnVqw8=")</f>
        <v>#REF!</v>
      </c>
      <c r="Q61" t="e">
        <f>AND(#REF!,"AAAAAHnVqxA=")</f>
        <v>#REF!</v>
      </c>
      <c r="R61" t="e">
        <f>AND(#REF!,"AAAAAHnVqxE=")</f>
        <v>#REF!</v>
      </c>
      <c r="S61" t="e">
        <f>AND(#REF!,"AAAAAHnVqxI=")</f>
        <v>#REF!</v>
      </c>
      <c r="T61" t="e">
        <f>AND(#REF!,"AAAAAHnVqxM=")</f>
        <v>#REF!</v>
      </c>
      <c r="U61" t="e">
        <f>AND(#REF!,"AAAAAHnVqxQ=")</f>
        <v>#REF!</v>
      </c>
      <c r="V61" t="e">
        <f>AND(#REF!,"AAAAAHnVqxU=")</f>
        <v>#REF!</v>
      </c>
      <c r="W61" t="e">
        <f>AND(#REF!,"AAAAAHnVqxY=")</f>
        <v>#REF!</v>
      </c>
      <c r="X61" t="e">
        <f>IF(#REF!,"AAAAAHnVqxc=",0)</f>
        <v>#REF!</v>
      </c>
      <c r="Y61" t="e">
        <f>AND(#REF!,"AAAAAHnVqxg=")</f>
        <v>#REF!</v>
      </c>
      <c r="Z61" t="e">
        <f>AND(#REF!,"AAAAAHnVqxk=")</f>
        <v>#REF!</v>
      </c>
      <c r="AA61" t="e">
        <f>AND(#REF!,"AAAAAHnVqxo=")</f>
        <v>#REF!</v>
      </c>
      <c r="AB61" t="e">
        <f>AND(#REF!,"AAAAAHnVqxs=")</f>
        <v>#REF!</v>
      </c>
      <c r="AC61" t="e">
        <f>AND(#REF!,"AAAAAHnVqxw=")</f>
        <v>#REF!</v>
      </c>
      <c r="AD61" t="e">
        <f>AND(#REF!,"AAAAAHnVqx0=")</f>
        <v>#REF!</v>
      </c>
      <c r="AE61" t="e">
        <f>AND(#REF!,"AAAAAHnVqx4=")</f>
        <v>#REF!</v>
      </c>
      <c r="AF61" t="e">
        <f>AND(#REF!,"AAAAAHnVqx8=")</f>
        <v>#REF!</v>
      </c>
      <c r="AG61" t="e">
        <f>AND(#REF!,"AAAAAHnVqyA=")</f>
        <v>#REF!</v>
      </c>
      <c r="AH61" t="e">
        <f>AND(#REF!,"AAAAAHnVqyE=")</f>
        <v>#REF!</v>
      </c>
      <c r="AI61" t="e">
        <f>IF(#REF!,"AAAAAHnVqyI=",0)</f>
        <v>#REF!</v>
      </c>
      <c r="AJ61" t="e">
        <f>AND(#REF!,"AAAAAHnVqyM=")</f>
        <v>#REF!</v>
      </c>
      <c r="AK61" t="e">
        <f>AND(#REF!,"AAAAAHnVqyQ=")</f>
        <v>#REF!</v>
      </c>
      <c r="AL61" t="e">
        <f>AND(#REF!,"AAAAAHnVqyU=")</f>
        <v>#REF!</v>
      </c>
      <c r="AM61" t="e">
        <f>AND(#REF!,"AAAAAHnVqyY=")</f>
        <v>#REF!</v>
      </c>
      <c r="AN61" t="e">
        <f>AND(#REF!,"AAAAAHnVqyc=")</f>
        <v>#REF!</v>
      </c>
      <c r="AO61" t="e">
        <f>AND(#REF!,"AAAAAHnVqyg=")</f>
        <v>#REF!</v>
      </c>
      <c r="AP61" t="e">
        <f>AND(#REF!,"AAAAAHnVqyk=")</f>
        <v>#REF!</v>
      </c>
      <c r="AQ61" t="e">
        <f>AND(#REF!,"AAAAAHnVqyo=")</f>
        <v>#REF!</v>
      </c>
      <c r="AR61" t="e">
        <f>AND(#REF!,"AAAAAHnVqys=")</f>
        <v>#REF!</v>
      </c>
      <c r="AS61" t="e">
        <f>AND(#REF!,"AAAAAHnVqyw=")</f>
        <v>#REF!</v>
      </c>
      <c r="AT61" t="e">
        <f>IF(#REF!,"AAAAAHnVqy0=",0)</f>
        <v>#REF!</v>
      </c>
      <c r="AU61" t="e">
        <f>AND(#REF!,"AAAAAHnVqy4=")</f>
        <v>#REF!</v>
      </c>
      <c r="AV61" t="e">
        <f>AND(#REF!,"AAAAAHnVqy8=")</f>
        <v>#REF!</v>
      </c>
      <c r="AW61" t="e">
        <f>AND(#REF!,"AAAAAHnVqzA=")</f>
        <v>#REF!</v>
      </c>
      <c r="AX61" t="e">
        <f>AND(#REF!,"AAAAAHnVqzE=")</f>
        <v>#REF!</v>
      </c>
      <c r="AY61" t="e">
        <f>AND(#REF!,"AAAAAHnVqzI=")</f>
        <v>#REF!</v>
      </c>
      <c r="AZ61" t="e">
        <f>AND(#REF!,"AAAAAHnVqzM=")</f>
        <v>#REF!</v>
      </c>
      <c r="BA61" t="e">
        <f>AND(#REF!,"AAAAAHnVqzQ=")</f>
        <v>#REF!</v>
      </c>
      <c r="BB61" t="e">
        <f>AND(#REF!,"AAAAAHnVqzU=")</f>
        <v>#REF!</v>
      </c>
      <c r="BC61" t="e">
        <f>AND(#REF!,"AAAAAHnVqzY=")</f>
        <v>#REF!</v>
      </c>
      <c r="BD61" t="e">
        <f>AND(#REF!,"AAAAAHnVqzc=")</f>
        <v>#REF!</v>
      </c>
      <c r="BE61" t="e">
        <f>IF(#REF!,"AAAAAHnVqzg=",0)</f>
        <v>#REF!</v>
      </c>
      <c r="BF61" t="e">
        <f>AND(#REF!,"AAAAAHnVqzk=")</f>
        <v>#REF!</v>
      </c>
      <c r="BG61" t="e">
        <f>AND(#REF!,"AAAAAHnVqzo=")</f>
        <v>#REF!</v>
      </c>
      <c r="BH61" t="e">
        <f>AND(#REF!,"AAAAAHnVqzs=")</f>
        <v>#REF!</v>
      </c>
      <c r="BI61" t="e">
        <f>AND(#REF!,"AAAAAHnVqzw=")</f>
        <v>#REF!</v>
      </c>
      <c r="BJ61" t="e">
        <f>AND(#REF!,"AAAAAHnVqz0=")</f>
        <v>#REF!</v>
      </c>
      <c r="BK61" t="e">
        <f>AND(#REF!,"AAAAAHnVqz4=")</f>
        <v>#REF!</v>
      </c>
      <c r="BL61" t="e">
        <f>AND(#REF!,"AAAAAHnVqz8=")</f>
        <v>#REF!</v>
      </c>
      <c r="BM61" t="e">
        <f>AND(#REF!,"AAAAAHnVq0A=")</f>
        <v>#REF!</v>
      </c>
      <c r="BN61" t="e">
        <f>AND(#REF!,"AAAAAHnVq0E=")</f>
        <v>#REF!</v>
      </c>
      <c r="BO61" t="e">
        <f>AND(#REF!,"AAAAAHnVq0I=")</f>
        <v>#REF!</v>
      </c>
      <c r="BP61" t="e">
        <f>IF(#REF!,"AAAAAHnVq0M=",0)</f>
        <v>#REF!</v>
      </c>
      <c r="BQ61" t="e">
        <f>AND(#REF!,"AAAAAHnVq0Q=")</f>
        <v>#REF!</v>
      </c>
      <c r="BR61" t="e">
        <f>AND(#REF!,"AAAAAHnVq0U=")</f>
        <v>#REF!</v>
      </c>
      <c r="BS61" t="e">
        <f>AND(#REF!,"AAAAAHnVq0Y=")</f>
        <v>#REF!</v>
      </c>
      <c r="BT61" t="e">
        <f>AND(#REF!,"AAAAAHnVq0c=")</f>
        <v>#REF!</v>
      </c>
      <c r="BU61" t="e">
        <f>AND(#REF!,"AAAAAHnVq0g=")</f>
        <v>#REF!</v>
      </c>
      <c r="BV61" t="e">
        <f>AND(#REF!,"AAAAAHnVq0k=")</f>
        <v>#REF!</v>
      </c>
      <c r="BW61" t="e">
        <f>AND(#REF!,"AAAAAHnVq0o=")</f>
        <v>#REF!</v>
      </c>
      <c r="BX61" t="e">
        <f>AND(#REF!,"AAAAAHnVq0s=")</f>
        <v>#REF!</v>
      </c>
      <c r="BY61" t="e">
        <f>AND(#REF!,"AAAAAHnVq0w=")</f>
        <v>#REF!</v>
      </c>
      <c r="BZ61" t="e">
        <f>AND(#REF!,"AAAAAHnVq00=")</f>
        <v>#REF!</v>
      </c>
      <c r="CA61" t="e">
        <f>IF(#REF!,"AAAAAHnVq04=",0)</f>
        <v>#REF!</v>
      </c>
      <c r="CB61" t="e">
        <f>AND(#REF!,"AAAAAHnVq08=")</f>
        <v>#REF!</v>
      </c>
      <c r="CC61" t="e">
        <f>AND(#REF!,"AAAAAHnVq1A=")</f>
        <v>#REF!</v>
      </c>
      <c r="CD61" t="e">
        <f>AND(#REF!,"AAAAAHnVq1E=")</f>
        <v>#REF!</v>
      </c>
      <c r="CE61" t="e">
        <f>AND(#REF!,"AAAAAHnVq1I=")</f>
        <v>#REF!</v>
      </c>
      <c r="CF61" t="e">
        <f>AND(#REF!,"AAAAAHnVq1M=")</f>
        <v>#REF!</v>
      </c>
      <c r="CG61" t="e">
        <f>AND(#REF!,"AAAAAHnVq1Q=")</f>
        <v>#REF!</v>
      </c>
      <c r="CH61" t="e">
        <f>AND(#REF!,"AAAAAHnVq1U=")</f>
        <v>#REF!</v>
      </c>
      <c r="CI61" t="e">
        <f>AND(#REF!,"AAAAAHnVq1Y=")</f>
        <v>#REF!</v>
      </c>
      <c r="CJ61" t="e">
        <f>AND(#REF!,"AAAAAHnVq1c=")</f>
        <v>#REF!</v>
      </c>
      <c r="CK61" t="e">
        <f>AND(#REF!,"AAAAAHnVq1g=")</f>
        <v>#REF!</v>
      </c>
      <c r="CL61" t="e">
        <f>IF(#REF!,"AAAAAHnVq1k=",0)</f>
        <v>#REF!</v>
      </c>
      <c r="CM61" t="e">
        <f>AND(#REF!,"AAAAAHnVq1o=")</f>
        <v>#REF!</v>
      </c>
      <c r="CN61" t="e">
        <f>AND(#REF!,"AAAAAHnVq1s=")</f>
        <v>#REF!</v>
      </c>
      <c r="CO61" t="e">
        <f>AND(#REF!,"AAAAAHnVq1w=")</f>
        <v>#REF!</v>
      </c>
      <c r="CP61" t="e">
        <f>AND(#REF!,"AAAAAHnVq10=")</f>
        <v>#REF!</v>
      </c>
      <c r="CQ61" t="e">
        <f>AND(#REF!,"AAAAAHnVq14=")</f>
        <v>#REF!</v>
      </c>
      <c r="CR61" t="e">
        <f>AND(#REF!,"AAAAAHnVq18=")</f>
        <v>#REF!</v>
      </c>
      <c r="CS61" t="e">
        <f>AND(#REF!,"AAAAAHnVq2A=")</f>
        <v>#REF!</v>
      </c>
      <c r="CT61" t="e">
        <f>AND(#REF!,"AAAAAHnVq2E=")</f>
        <v>#REF!</v>
      </c>
      <c r="CU61" t="e">
        <f>AND(#REF!,"AAAAAHnVq2I=")</f>
        <v>#REF!</v>
      </c>
      <c r="CV61" t="e">
        <f>AND(#REF!,"AAAAAHnVq2M=")</f>
        <v>#REF!</v>
      </c>
      <c r="CW61" t="e">
        <f>IF(#REF!,"AAAAAHnVq2Q=",0)</f>
        <v>#REF!</v>
      </c>
      <c r="CX61" t="e">
        <f>AND(#REF!,"AAAAAHnVq2U=")</f>
        <v>#REF!</v>
      </c>
      <c r="CY61" t="e">
        <f>AND(#REF!,"AAAAAHnVq2Y=")</f>
        <v>#REF!</v>
      </c>
      <c r="CZ61" t="e">
        <f>AND(#REF!,"AAAAAHnVq2c=")</f>
        <v>#REF!</v>
      </c>
      <c r="DA61" t="e">
        <f>AND(#REF!,"AAAAAHnVq2g=")</f>
        <v>#REF!</v>
      </c>
      <c r="DB61" t="e">
        <f>AND(#REF!,"AAAAAHnVq2k=")</f>
        <v>#REF!</v>
      </c>
      <c r="DC61" t="e">
        <f>AND(#REF!,"AAAAAHnVq2o=")</f>
        <v>#REF!</v>
      </c>
      <c r="DD61" t="e">
        <f>AND(#REF!,"AAAAAHnVq2s=")</f>
        <v>#REF!</v>
      </c>
      <c r="DE61" t="e">
        <f>AND(#REF!,"AAAAAHnVq2w=")</f>
        <v>#REF!</v>
      </c>
      <c r="DF61" t="e">
        <f>AND(#REF!,"AAAAAHnVq20=")</f>
        <v>#REF!</v>
      </c>
      <c r="DG61" t="e">
        <f>AND(#REF!,"AAAAAHnVq24=")</f>
        <v>#REF!</v>
      </c>
      <c r="DH61" t="e">
        <f>IF(#REF!,"AAAAAHnVq28=",0)</f>
        <v>#REF!</v>
      </c>
      <c r="DI61" t="e">
        <f>AND(#REF!,"AAAAAHnVq3A=")</f>
        <v>#REF!</v>
      </c>
      <c r="DJ61" t="e">
        <f>AND(#REF!,"AAAAAHnVq3E=")</f>
        <v>#REF!</v>
      </c>
      <c r="DK61" t="e">
        <f>AND(#REF!,"AAAAAHnVq3I=")</f>
        <v>#REF!</v>
      </c>
      <c r="DL61" t="e">
        <f>AND(#REF!,"AAAAAHnVq3M=")</f>
        <v>#REF!</v>
      </c>
      <c r="DM61" t="e">
        <f>AND(#REF!,"AAAAAHnVq3Q=")</f>
        <v>#REF!</v>
      </c>
      <c r="DN61" t="e">
        <f>AND(#REF!,"AAAAAHnVq3U=")</f>
        <v>#REF!</v>
      </c>
      <c r="DO61" t="e">
        <f>AND(#REF!,"AAAAAHnVq3Y=")</f>
        <v>#REF!</v>
      </c>
      <c r="DP61" t="e">
        <f>AND(#REF!,"AAAAAHnVq3c=")</f>
        <v>#REF!</v>
      </c>
      <c r="DQ61" t="e">
        <f>AND(#REF!,"AAAAAHnVq3g=")</f>
        <v>#REF!</v>
      </c>
      <c r="DR61" t="e">
        <f>AND(#REF!,"AAAAAHnVq3k=")</f>
        <v>#REF!</v>
      </c>
      <c r="DS61" t="e">
        <f>IF(#REF!,"AAAAAHnVq3o=",0)</f>
        <v>#REF!</v>
      </c>
      <c r="DT61" t="e">
        <f>AND(#REF!,"AAAAAHnVq3s=")</f>
        <v>#REF!</v>
      </c>
      <c r="DU61" t="e">
        <f>AND(#REF!,"AAAAAHnVq3w=")</f>
        <v>#REF!</v>
      </c>
      <c r="DV61" t="e">
        <f>AND(#REF!,"AAAAAHnVq30=")</f>
        <v>#REF!</v>
      </c>
      <c r="DW61" t="e">
        <f>AND(#REF!,"AAAAAHnVq34=")</f>
        <v>#REF!</v>
      </c>
      <c r="DX61" t="e">
        <f>AND(#REF!,"AAAAAHnVq38=")</f>
        <v>#REF!</v>
      </c>
      <c r="DY61" t="e">
        <f>AND(#REF!,"AAAAAHnVq4A=")</f>
        <v>#REF!</v>
      </c>
      <c r="DZ61" t="e">
        <f>AND(#REF!,"AAAAAHnVq4E=")</f>
        <v>#REF!</v>
      </c>
      <c r="EA61" t="e">
        <f>AND(#REF!,"AAAAAHnVq4I=")</f>
        <v>#REF!</v>
      </c>
      <c r="EB61" t="e">
        <f>AND(#REF!,"AAAAAHnVq4M=")</f>
        <v>#REF!</v>
      </c>
      <c r="EC61" t="e">
        <f>AND(#REF!,"AAAAAHnVq4Q=")</f>
        <v>#REF!</v>
      </c>
      <c r="ED61" t="e">
        <f>IF(#REF!,"AAAAAHnVq4U=",0)</f>
        <v>#REF!</v>
      </c>
      <c r="EE61" t="e">
        <f>AND(#REF!,"AAAAAHnVq4Y=")</f>
        <v>#REF!</v>
      </c>
      <c r="EF61" t="e">
        <f>AND(#REF!,"AAAAAHnVq4c=")</f>
        <v>#REF!</v>
      </c>
      <c r="EG61" t="e">
        <f>AND(#REF!,"AAAAAHnVq4g=")</f>
        <v>#REF!</v>
      </c>
      <c r="EH61" t="e">
        <f>AND(#REF!,"AAAAAHnVq4k=")</f>
        <v>#REF!</v>
      </c>
      <c r="EI61" t="e">
        <f>AND(#REF!,"AAAAAHnVq4o=")</f>
        <v>#REF!</v>
      </c>
      <c r="EJ61" t="e">
        <f>AND(#REF!,"AAAAAHnVq4s=")</f>
        <v>#REF!</v>
      </c>
      <c r="EK61" t="e">
        <f>AND(#REF!,"AAAAAHnVq4w=")</f>
        <v>#REF!</v>
      </c>
      <c r="EL61" t="e">
        <f>AND(#REF!,"AAAAAHnVq40=")</f>
        <v>#REF!</v>
      </c>
      <c r="EM61" t="e">
        <f>AND(#REF!,"AAAAAHnVq44=")</f>
        <v>#REF!</v>
      </c>
      <c r="EN61" t="e">
        <f>AND(#REF!,"AAAAAHnVq48=")</f>
        <v>#REF!</v>
      </c>
      <c r="EO61" t="e">
        <f>IF(#REF!,"AAAAAHnVq5A=",0)</f>
        <v>#REF!</v>
      </c>
      <c r="EP61" t="e">
        <f>AND(#REF!,"AAAAAHnVq5E=")</f>
        <v>#REF!</v>
      </c>
      <c r="EQ61" t="e">
        <f>AND(#REF!,"AAAAAHnVq5I=")</f>
        <v>#REF!</v>
      </c>
      <c r="ER61" t="e">
        <f>AND(#REF!,"AAAAAHnVq5M=")</f>
        <v>#REF!</v>
      </c>
      <c r="ES61" t="e">
        <f>AND(#REF!,"AAAAAHnVq5Q=")</f>
        <v>#REF!</v>
      </c>
      <c r="ET61" t="e">
        <f>AND(#REF!,"AAAAAHnVq5U=")</f>
        <v>#REF!</v>
      </c>
      <c r="EU61" t="e">
        <f>AND(#REF!,"AAAAAHnVq5Y=")</f>
        <v>#REF!</v>
      </c>
      <c r="EV61" t="e">
        <f>AND(#REF!,"AAAAAHnVq5c=")</f>
        <v>#REF!</v>
      </c>
      <c r="EW61" t="e">
        <f>AND(#REF!,"AAAAAHnVq5g=")</f>
        <v>#REF!</v>
      </c>
      <c r="EX61" t="e">
        <f>AND(#REF!,"AAAAAHnVq5k=")</f>
        <v>#REF!</v>
      </c>
      <c r="EY61" t="e">
        <f>AND(#REF!,"AAAAAHnVq5o=")</f>
        <v>#REF!</v>
      </c>
      <c r="EZ61" t="e">
        <f>IF(#REF!,"AAAAAHnVq5s=",0)</f>
        <v>#REF!</v>
      </c>
      <c r="FA61" t="e">
        <f>AND(#REF!,"AAAAAHnVq5w=")</f>
        <v>#REF!</v>
      </c>
      <c r="FB61" t="e">
        <f>AND(#REF!,"AAAAAHnVq50=")</f>
        <v>#REF!</v>
      </c>
      <c r="FC61" t="e">
        <f>AND(#REF!,"AAAAAHnVq54=")</f>
        <v>#REF!</v>
      </c>
      <c r="FD61" t="e">
        <f>AND(#REF!,"AAAAAHnVq58=")</f>
        <v>#REF!</v>
      </c>
      <c r="FE61" t="e">
        <f>AND(#REF!,"AAAAAHnVq6A=")</f>
        <v>#REF!</v>
      </c>
      <c r="FF61" t="e">
        <f>AND(#REF!,"AAAAAHnVq6E=")</f>
        <v>#REF!</v>
      </c>
      <c r="FG61" t="e">
        <f>AND(#REF!,"AAAAAHnVq6I=")</f>
        <v>#REF!</v>
      </c>
      <c r="FH61" t="e">
        <f>AND(#REF!,"AAAAAHnVq6M=")</f>
        <v>#REF!</v>
      </c>
      <c r="FI61" t="e">
        <f>AND(#REF!,"AAAAAHnVq6Q=")</f>
        <v>#REF!</v>
      </c>
      <c r="FJ61" t="e">
        <f>AND(#REF!,"AAAAAHnVq6U=")</f>
        <v>#REF!</v>
      </c>
      <c r="FK61" t="e">
        <f>IF(#REF!,"AAAAAHnVq6Y=",0)</f>
        <v>#REF!</v>
      </c>
      <c r="FL61" t="e">
        <f>AND(#REF!,"AAAAAHnVq6c=")</f>
        <v>#REF!</v>
      </c>
      <c r="FM61" t="e">
        <f>AND(#REF!,"AAAAAHnVq6g=")</f>
        <v>#REF!</v>
      </c>
      <c r="FN61" t="e">
        <f>AND(#REF!,"AAAAAHnVq6k=")</f>
        <v>#REF!</v>
      </c>
      <c r="FO61" t="e">
        <f>AND(#REF!,"AAAAAHnVq6o=")</f>
        <v>#REF!</v>
      </c>
      <c r="FP61" t="e">
        <f>AND(#REF!,"AAAAAHnVq6s=")</f>
        <v>#REF!</v>
      </c>
      <c r="FQ61" t="e">
        <f>AND(#REF!,"AAAAAHnVq6w=")</f>
        <v>#REF!</v>
      </c>
      <c r="FR61" t="e">
        <f>AND(#REF!,"AAAAAHnVq60=")</f>
        <v>#REF!</v>
      </c>
      <c r="FS61" t="e">
        <f>AND(#REF!,"AAAAAHnVq64=")</f>
        <v>#REF!</v>
      </c>
      <c r="FT61" t="e">
        <f>AND(#REF!,"AAAAAHnVq68=")</f>
        <v>#REF!</v>
      </c>
      <c r="FU61" t="e">
        <f>AND(#REF!,"AAAAAHnVq7A=")</f>
        <v>#REF!</v>
      </c>
      <c r="FV61" t="e">
        <f>IF(#REF!,"AAAAAHnVq7E=",0)</f>
        <v>#REF!</v>
      </c>
      <c r="FW61" t="e">
        <f>AND(#REF!,"AAAAAHnVq7I=")</f>
        <v>#REF!</v>
      </c>
      <c r="FX61" t="e">
        <f>AND(#REF!,"AAAAAHnVq7M=")</f>
        <v>#REF!</v>
      </c>
      <c r="FY61" t="e">
        <f>AND(#REF!,"AAAAAHnVq7Q=")</f>
        <v>#REF!</v>
      </c>
      <c r="FZ61" t="e">
        <f>AND(#REF!,"AAAAAHnVq7U=")</f>
        <v>#REF!</v>
      </c>
      <c r="GA61" t="e">
        <f>AND(#REF!,"AAAAAHnVq7Y=")</f>
        <v>#REF!</v>
      </c>
      <c r="GB61" t="e">
        <f>AND(#REF!,"AAAAAHnVq7c=")</f>
        <v>#REF!</v>
      </c>
      <c r="GC61" t="e">
        <f>AND(#REF!,"AAAAAHnVq7g=")</f>
        <v>#REF!</v>
      </c>
      <c r="GD61" t="e">
        <f>AND(#REF!,"AAAAAHnVq7k=")</f>
        <v>#REF!</v>
      </c>
      <c r="GE61" t="e">
        <f>AND(#REF!,"AAAAAHnVq7o=")</f>
        <v>#REF!</v>
      </c>
      <c r="GF61" t="e">
        <f>AND(#REF!,"AAAAAHnVq7s=")</f>
        <v>#REF!</v>
      </c>
      <c r="GG61" t="e">
        <f>IF(#REF!,"AAAAAHnVq7w=",0)</f>
        <v>#REF!</v>
      </c>
      <c r="GH61" t="e">
        <f>AND(#REF!,"AAAAAHnVq70=")</f>
        <v>#REF!</v>
      </c>
      <c r="GI61" t="e">
        <f>AND(#REF!,"AAAAAHnVq74=")</f>
        <v>#REF!</v>
      </c>
      <c r="GJ61" t="e">
        <f>AND(#REF!,"AAAAAHnVq78=")</f>
        <v>#REF!</v>
      </c>
      <c r="GK61" t="e">
        <f>AND(#REF!,"AAAAAHnVq8A=")</f>
        <v>#REF!</v>
      </c>
      <c r="GL61" t="e">
        <f>AND(#REF!,"AAAAAHnVq8E=")</f>
        <v>#REF!</v>
      </c>
      <c r="GM61" t="e">
        <f>AND(#REF!,"AAAAAHnVq8I=")</f>
        <v>#REF!</v>
      </c>
      <c r="GN61" t="e">
        <f>AND(#REF!,"AAAAAHnVq8M=")</f>
        <v>#REF!</v>
      </c>
      <c r="GO61" t="e">
        <f>AND(#REF!,"AAAAAHnVq8Q=")</f>
        <v>#REF!</v>
      </c>
      <c r="GP61" t="e">
        <f>AND(#REF!,"AAAAAHnVq8U=")</f>
        <v>#REF!</v>
      </c>
      <c r="GQ61" t="e">
        <f>AND(#REF!,"AAAAAHnVq8Y=")</f>
        <v>#REF!</v>
      </c>
      <c r="GR61" t="e">
        <f>IF(#REF!,"AAAAAHnVq8c=",0)</f>
        <v>#REF!</v>
      </c>
      <c r="GS61" t="e">
        <f>AND(#REF!,"AAAAAHnVq8g=")</f>
        <v>#REF!</v>
      </c>
      <c r="GT61" t="e">
        <f>AND(#REF!,"AAAAAHnVq8k=")</f>
        <v>#REF!</v>
      </c>
      <c r="GU61" t="e">
        <f>AND(#REF!,"AAAAAHnVq8o=")</f>
        <v>#REF!</v>
      </c>
      <c r="GV61" t="e">
        <f>AND(#REF!,"AAAAAHnVq8s=")</f>
        <v>#REF!</v>
      </c>
      <c r="GW61" t="e">
        <f>AND(#REF!,"AAAAAHnVq8w=")</f>
        <v>#REF!</v>
      </c>
      <c r="GX61" t="e">
        <f>AND(#REF!,"AAAAAHnVq80=")</f>
        <v>#REF!</v>
      </c>
      <c r="GY61" t="e">
        <f>AND(#REF!,"AAAAAHnVq84=")</f>
        <v>#REF!</v>
      </c>
      <c r="GZ61" t="e">
        <f>AND(#REF!,"AAAAAHnVq88=")</f>
        <v>#REF!</v>
      </c>
      <c r="HA61" t="e">
        <f>AND(#REF!,"AAAAAHnVq9A=")</f>
        <v>#REF!</v>
      </c>
      <c r="HB61" t="e">
        <f>AND(#REF!,"AAAAAHnVq9E=")</f>
        <v>#REF!</v>
      </c>
      <c r="HC61" t="e">
        <f>IF(#REF!,"AAAAAHnVq9I=",0)</f>
        <v>#REF!</v>
      </c>
      <c r="HD61" t="e">
        <f>AND(#REF!,"AAAAAHnVq9M=")</f>
        <v>#REF!</v>
      </c>
      <c r="HE61" t="e">
        <f>AND(#REF!,"AAAAAHnVq9Q=")</f>
        <v>#REF!</v>
      </c>
      <c r="HF61" t="e">
        <f>AND(#REF!,"AAAAAHnVq9U=")</f>
        <v>#REF!</v>
      </c>
      <c r="HG61" t="e">
        <f>AND(#REF!,"AAAAAHnVq9Y=")</f>
        <v>#REF!</v>
      </c>
      <c r="HH61" t="e">
        <f>AND(#REF!,"AAAAAHnVq9c=")</f>
        <v>#REF!</v>
      </c>
      <c r="HI61" t="e">
        <f>AND(#REF!,"AAAAAHnVq9g=")</f>
        <v>#REF!</v>
      </c>
      <c r="HJ61" t="e">
        <f>AND(#REF!,"AAAAAHnVq9k=")</f>
        <v>#REF!</v>
      </c>
      <c r="HK61" t="e">
        <f>AND(#REF!,"AAAAAHnVq9o=")</f>
        <v>#REF!</v>
      </c>
      <c r="HL61" t="e">
        <f>AND(#REF!,"AAAAAHnVq9s=")</f>
        <v>#REF!</v>
      </c>
      <c r="HM61" t="e">
        <f>AND(#REF!,"AAAAAHnVq9w=")</f>
        <v>#REF!</v>
      </c>
      <c r="HN61" t="e">
        <f>IF(#REF!,"AAAAAHnVq90=",0)</f>
        <v>#REF!</v>
      </c>
      <c r="HO61" t="e">
        <f>AND(#REF!,"AAAAAHnVq94=")</f>
        <v>#REF!</v>
      </c>
      <c r="HP61" t="e">
        <f>AND(#REF!,"AAAAAHnVq98=")</f>
        <v>#REF!</v>
      </c>
      <c r="HQ61" t="e">
        <f>AND(#REF!,"AAAAAHnVq+A=")</f>
        <v>#REF!</v>
      </c>
      <c r="HR61" t="e">
        <f>AND(#REF!,"AAAAAHnVq+E=")</f>
        <v>#REF!</v>
      </c>
      <c r="HS61" t="e">
        <f>AND(#REF!,"AAAAAHnVq+I=")</f>
        <v>#REF!</v>
      </c>
      <c r="HT61" t="e">
        <f>AND(#REF!,"AAAAAHnVq+M=")</f>
        <v>#REF!</v>
      </c>
      <c r="HU61" t="e">
        <f>AND(#REF!,"AAAAAHnVq+Q=")</f>
        <v>#REF!</v>
      </c>
      <c r="HV61" t="e">
        <f>AND(#REF!,"AAAAAHnVq+U=")</f>
        <v>#REF!</v>
      </c>
      <c r="HW61" t="e">
        <f>AND(#REF!,"AAAAAHnVq+Y=")</f>
        <v>#REF!</v>
      </c>
      <c r="HX61" t="e">
        <f>AND(#REF!,"AAAAAHnVq+c=")</f>
        <v>#REF!</v>
      </c>
      <c r="HY61" t="e">
        <f>IF(#REF!,"AAAAAHnVq+g=",0)</f>
        <v>#REF!</v>
      </c>
      <c r="HZ61" t="e">
        <f>AND(#REF!,"AAAAAHnVq+k=")</f>
        <v>#REF!</v>
      </c>
      <c r="IA61" t="e">
        <f>AND(#REF!,"AAAAAHnVq+o=")</f>
        <v>#REF!</v>
      </c>
      <c r="IB61" t="e">
        <f>AND(#REF!,"AAAAAHnVq+s=")</f>
        <v>#REF!</v>
      </c>
      <c r="IC61" t="e">
        <f>AND(#REF!,"AAAAAHnVq+w=")</f>
        <v>#REF!</v>
      </c>
      <c r="ID61" t="e">
        <f>AND(#REF!,"AAAAAHnVq+0=")</f>
        <v>#REF!</v>
      </c>
      <c r="IE61" t="e">
        <f>AND(#REF!,"AAAAAHnVq+4=")</f>
        <v>#REF!</v>
      </c>
      <c r="IF61" t="e">
        <f>AND(#REF!,"AAAAAHnVq+8=")</f>
        <v>#REF!</v>
      </c>
      <c r="IG61" t="e">
        <f>AND(#REF!,"AAAAAHnVq/A=")</f>
        <v>#REF!</v>
      </c>
      <c r="IH61" t="e">
        <f>AND(#REF!,"AAAAAHnVq/E=")</f>
        <v>#REF!</v>
      </c>
      <c r="II61" t="e">
        <f>AND(#REF!,"AAAAAHnVq/I=")</f>
        <v>#REF!</v>
      </c>
      <c r="IJ61" t="e">
        <f>IF(#REF!,"AAAAAHnVq/M=",0)</f>
        <v>#REF!</v>
      </c>
      <c r="IK61" t="e">
        <f>AND(#REF!,"AAAAAHnVq/Q=")</f>
        <v>#REF!</v>
      </c>
      <c r="IL61" t="e">
        <f>AND(#REF!,"AAAAAHnVq/U=")</f>
        <v>#REF!</v>
      </c>
      <c r="IM61" t="e">
        <f>AND(#REF!,"AAAAAHnVq/Y=")</f>
        <v>#REF!</v>
      </c>
      <c r="IN61" t="e">
        <f>AND(#REF!,"AAAAAHnVq/c=")</f>
        <v>#REF!</v>
      </c>
      <c r="IO61" t="e">
        <f>AND(#REF!,"AAAAAHnVq/g=")</f>
        <v>#REF!</v>
      </c>
      <c r="IP61" t="e">
        <f>AND(#REF!,"AAAAAHnVq/k=")</f>
        <v>#REF!</v>
      </c>
      <c r="IQ61" t="e">
        <f>AND(#REF!,"AAAAAHnVq/o=")</f>
        <v>#REF!</v>
      </c>
      <c r="IR61" t="e">
        <f>AND(#REF!,"AAAAAHnVq/s=")</f>
        <v>#REF!</v>
      </c>
      <c r="IS61" t="e">
        <f>AND(#REF!,"AAAAAHnVq/w=")</f>
        <v>#REF!</v>
      </c>
      <c r="IT61" t="e">
        <f>AND(#REF!,"AAAAAHnVq/0=")</f>
        <v>#REF!</v>
      </c>
      <c r="IU61" t="e">
        <f>IF(#REF!,"AAAAAHnVq/4=",0)</f>
        <v>#REF!</v>
      </c>
      <c r="IV61" t="e">
        <f>AND(#REF!,"AAAAAHnVq/8=")</f>
        <v>#REF!</v>
      </c>
    </row>
    <row r="62" spans="1:256" x14ac:dyDescent="0.25">
      <c r="A62" t="e">
        <f>AND(#REF!,"AAAAAHt9/gA=")</f>
        <v>#REF!</v>
      </c>
      <c r="B62" t="e">
        <f>AND(#REF!,"AAAAAHt9/gE=")</f>
        <v>#REF!</v>
      </c>
      <c r="C62" t="e">
        <f>AND(#REF!,"AAAAAHt9/gI=")</f>
        <v>#REF!</v>
      </c>
      <c r="D62" t="e">
        <f>AND(#REF!,"AAAAAHt9/gM=")</f>
        <v>#REF!</v>
      </c>
      <c r="E62" t="e">
        <f>AND(#REF!,"AAAAAHt9/gQ=")</f>
        <v>#REF!</v>
      </c>
      <c r="F62" t="e">
        <f>AND(#REF!,"AAAAAHt9/gU=")</f>
        <v>#REF!</v>
      </c>
      <c r="G62" t="e">
        <f>AND(#REF!,"AAAAAHt9/gY=")</f>
        <v>#REF!</v>
      </c>
      <c r="H62" t="e">
        <f>AND(#REF!,"AAAAAHt9/gc=")</f>
        <v>#REF!</v>
      </c>
      <c r="I62" t="e">
        <f>AND(#REF!,"AAAAAHt9/gg=")</f>
        <v>#REF!</v>
      </c>
      <c r="J62" t="e">
        <f>IF(#REF!,"AAAAAHt9/gk=",0)</f>
        <v>#REF!</v>
      </c>
      <c r="K62" t="e">
        <f>AND(#REF!,"AAAAAHt9/go=")</f>
        <v>#REF!</v>
      </c>
      <c r="L62" t="e">
        <f>AND(#REF!,"AAAAAHt9/gs=")</f>
        <v>#REF!</v>
      </c>
      <c r="M62" t="e">
        <f>AND(#REF!,"AAAAAHt9/gw=")</f>
        <v>#REF!</v>
      </c>
      <c r="N62" t="e">
        <f>AND(#REF!,"AAAAAHt9/g0=")</f>
        <v>#REF!</v>
      </c>
      <c r="O62" t="e">
        <f>AND(#REF!,"AAAAAHt9/g4=")</f>
        <v>#REF!</v>
      </c>
      <c r="P62" t="e">
        <f>AND(#REF!,"AAAAAHt9/g8=")</f>
        <v>#REF!</v>
      </c>
      <c r="Q62" t="e">
        <f>AND(#REF!,"AAAAAHt9/hA=")</f>
        <v>#REF!</v>
      </c>
      <c r="R62" t="e">
        <f>AND(#REF!,"AAAAAHt9/hE=")</f>
        <v>#REF!</v>
      </c>
      <c r="S62" t="e">
        <f>AND(#REF!,"AAAAAHt9/hI=")</f>
        <v>#REF!</v>
      </c>
      <c r="T62" t="e">
        <f>AND(#REF!,"AAAAAHt9/hM=")</f>
        <v>#REF!</v>
      </c>
      <c r="U62" t="e">
        <f>IF(#REF!,"AAAAAHt9/hQ=",0)</f>
        <v>#REF!</v>
      </c>
      <c r="V62" t="e">
        <f>AND(#REF!,"AAAAAHt9/hU=")</f>
        <v>#REF!</v>
      </c>
      <c r="W62" t="e">
        <f>AND(#REF!,"AAAAAHt9/hY=")</f>
        <v>#REF!</v>
      </c>
      <c r="X62" t="e">
        <f>AND(#REF!,"AAAAAHt9/hc=")</f>
        <v>#REF!</v>
      </c>
      <c r="Y62" t="e">
        <f>AND(#REF!,"AAAAAHt9/hg=")</f>
        <v>#REF!</v>
      </c>
      <c r="Z62" t="e">
        <f>AND(#REF!,"AAAAAHt9/hk=")</f>
        <v>#REF!</v>
      </c>
      <c r="AA62" t="e">
        <f>AND(#REF!,"AAAAAHt9/ho=")</f>
        <v>#REF!</v>
      </c>
      <c r="AB62" t="e">
        <f>AND(#REF!,"AAAAAHt9/hs=")</f>
        <v>#REF!</v>
      </c>
      <c r="AC62" t="e">
        <f>AND(#REF!,"AAAAAHt9/hw=")</f>
        <v>#REF!</v>
      </c>
      <c r="AD62" t="e">
        <f>AND(#REF!,"AAAAAHt9/h0=")</f>
        <v>#REF!</v>
      </c>
      <c r="AE62" t="e">
        <f>AND(#REF!,"AAAAAHt9/h4=")</f>
        <v>#REF!</v>
      </c>
      <c r="AF62" t="e">
        <f>IF(#REF!,"AAAAAHt9/h8=",0)</f>
        <v>#REF!</v>
      </c>
      <c r="AG62" t="e">
        <f>AND(#REF!,"AAAAAHt9/iA=")</f>
        <v>#REF!</v>
      </c>
      <c r="AH62" t="e">
        <f>AND(#REF!,"AAAAAHt9/iE=")</f>
        <v>#REF!</v>
      </c>
      <c r="AI62" t="e">
        <f>AND(#REF!,"AAAAAHt9/iI=")</f>
        <v>#REF!</v>
      </c>
      <c r="AJ62" t="e">
        <f>AND(#REF!,"AAAAAHt9/iM=")</f>
        <v>#REF!</v>
      </c>
      <c r="AK62" t="e">
        <f>AND(#REF!,"AAAAAHt9/iQ=")</f>
        <v>#REF!</v>
      </c>
      <c r="AL62" t="e">
        <f>AND(#REF!,"AAAAAHt9/iU=")</f>
        <v>#REF!</v>
      </c>
      <c r="AM62" t="e">
        <f>AND(#REF!,"AAAAAHt9/iY=")</f>
        <v>#REF!</v>
      </c>
      <c r="AN62" t="e">
        <f>AND(#REF!,"AAAAAHt9/ic=")</f>
        <v>#REF!</v>
      </c>
      <c r="AO62" t="e">
        <f>AND(#REF!,"AAAAAHt9/ig=")</f>
        <v>#REF!</v>
      </c>
      <c r="AP62" t="e">
        <f>AND(#REF!,"AAAAAHt9/ik=")</f>
        <v>#REF!</v>
      </c>
      <c r="AQ62" t="e">
        <f>IF(#REF!,"AAAAAHt9/io=",0)</f>
        <v>#REF!</v>
      </c>
      <c r="AR62" t="e">
        <f>AND(#REF!,"AAAAAHt9/is=")</f>
        <v>#REF!</v>
      </c>
      <c r="AS62" t="e">
        <f>AND(#REF!,"AAAAAHt9/iw=")</f>
        <v>#REF!</v>
      </c>
      <c r="AT62" t="e">
        <f>AND(#REF!,"AAAAAHt9/i0=")</f>
        <v>#REF!</v>
      </c>
      <c r="AU62" t="e">
        <f>AND(#REF!,"AAAAAHt9/i4=")</f>
        <v>#REF!</v>
      </c>
      <c r="AV62" t="e">
        <f>AND(#REF!,"AAAAAHt9/i8=")</f>
        <v>#REF!</v>
      </c>
      <c r="AW62" t="e">
        <f>AND(#REF!,"AAAAAHt9/jA=")</f>
        <v>#REF!</v>
      </c>
      <c r="AX62" t="e">
        <f>AND(#REF!,"AAAAAHt9/jE=")</f>
        <v>#REF!</v>
      </c>
      <c r="AY62" t="e">
        <f>AND(#REF!,"AAAAAHt9/jI=")</f>
        <v>#REF!</v>
      </c>
      <c r="AZ62" t="e">
        <f>AND(#REF!,"AAAAAHt9/jM=")</f>
        <v>#REF!</v>
      </c>
      <c r="BA62" t="e">
        <f>AND(#REF!,"AAAAAHt9/jQ=")</f>
        <v>#REF!</v>
      </c>
      <c r="BB62" t="e">
        <f>IF(#REF!,"AAAAAHt9/jU=",0)</f>
        <v>#REF!</v>
      </c>
      <c r="BC62" t="e">
        <f>AND(#REF!,"AAAAAHt9/jY=")</f>
        <v>#REF!</v>
      </c>
      <c r="BD62" t="e">
        <f>AND(#REF!,"AAAAAHt9/jc=")</f>
        <v>#REF!</v>
      </c>
      <c r="BE62" t="e">
        <f>AND(#REF!,"AAAAAHt9/jg=")</f>
        <v>#REF!</v>
      </c>
      <c r="BF62" t="e">
        <f>AND(#REF!,"AAAAAHt9/jk=")</f>
        <v>#REF!</v>
      </c>
      <c r="BG62" t="e">
        <f>AND(#REF!,"AAAAAHt9/jo=")</f>
        <v>#REF!</v>
      </c>
      <c r="BH62" t="e">
        <f>AND(#REF!,"AAAAAHt9/js=")</f>
        <v>#REF!</v>
      </c>
      <c r="BI62" t="e">
        <f>AND(#REF!,"AAAAAHt9/jw=")</f>
        <v>#REF!</v>
      </c>
      <c r="BJ62" t="e">
        <f>AND(#REF!,"AAAAAHt9/j0=")</f>
        <v>#REF!</v>
      </c>
      <c r="BK62" t="e">
        <f>AND(#REF!,"AAAAAHt9/j4=")</f>
        <v>#REF!</v>
      </c>
      <c r="BL62" t="e">
        <f>AND(#REF!,"AAAAAHt9/j8=")</f>
        <v>#REF!</v>
      </c>
      <c r="BM62" t="e">
        <f>IF(#REF!,"AAAAAHt9/kA=",0)</f>
        <v>#REF!</v>
      </c>
      <c r="BN62" t="e">
        <f>AND(#REF!,"AAAAAHt9/kE=")</f>
        <v>#REF!</v>
      </c>
      <c r="BO62" t="e">
        <f>AND(#REF!,"AAAAAHt9/kI=")</f>
        <v>#REF!</v>
      </c>
      <c r="BP62" t="e">
        <f>AND(#REF!,"AAAAAHt9/kM=")</f>
        <v>#REF!</v>
      </c>
      <c r="BQ62" t="e">
        <f>AND(#REF!,"AAAAAHt9/kQ=")</f>
        <v>#REF!</v>
      </c>
      <c r="BR62" t="e">
        <f>AND(#REF!,"AAAAAHt9/kU=")</f>
        <v>#REF!</v>
      </c>
      <c r="BS62" t="e">
        <f>AND(#REF!,"AAAAAHt9/kY=")</f>
        <v>#REF!</v>
      </c>
      <c r="BT62" t="e">
        <f>AND(#REF!,"AAAAAHt9/kc=")</f>
        <v>#REF!</v>
      </c>
      <c r="BU62" t="e">
        <f>AND(#REF!,"AAAAAHt9/kg=")</f>
        <v>#REF!</v>
      </c>
      <c r="BV62" t="e">
        <f>AND(#REF!,"AAAAAHt9/kk=")</f>
        <v>#REF!</v>
      </c>
      <c r="BW62" t="e">
        <f>AND(#REF!,"AAAAAHt9/ko=")</f>
        <v>#REF!</v>
      </c>
      <c r="BX62" t="e">
        <f>IF(#REF!,"AAAAAHt9/ks=",0)</f>
        <v>#REF!</v>
      </c>
      <c r="BY62" t="e">
        <f>AND(#REF!,"AAAAAHt9/kw=")</f>
        <v>#REF!</v>
      </c>
      <c r="BZ62" t="e">
        <f>AND(#REF!,"AAAAAHt9/k0=")</f>
        <v>#REF!</v>
      </c>
      <c r="CA62" t="e">
        <f>AND(#REF!,"AAAAAHt9/k4=")</f>
        <v>#REF!</v>
      </c>
      <c r="CB62" t="e">
        <f>AND(#REF!,"AAAAAHt9/k8=")</f>
        <v>#REF!</v>
      </c>
      <c r="CC62" t="e">
        <f>AND(#REF!,"AAAAAHt9/lA=")</f>
        <v>#REF!</v>
      </c>
      <c r="CD62" t="e">
        <f>AND(#REF!,"AAAAAHt9/lE=")</f>
        <v>#REF!</v>
      </c>
      <c r="CE62" t="e">
        <f>AND(#REF!,"AAAAAHt9/lI=")</f>
        <v>#REF!</v>
      </c>
      <c r="CF62" t="e">
        <f>AND(#REF!,"AAAAAHt9/lM=")</f>
        <v>#REF!</v>
      </c>
      <c r="CG62" t="e">
        <f>AND(#REF!,"AAAAAHt9/lQ=")</f>
        <v>#REF!</v>
      </c>
      <c r="CH62" t="e">
        <f>AND(#REF!,"AAAAAHt9/lU=")</f>
        <v>#REF!</v>
      </c>
      <c r="CI62" t="e">
        <f>IF(#REF!,"AAAAAHt9/lY=",0)</f>
        <v>#REF!</v>
      </c>
      <c r="CJ62" t="e">
        <f>AND(#REF!,"AAAAAHt9/lc=")</f>
        <v>#REF!</v>
      </c>
      <c r="CK62" t="e">
        <f>AND(#REF!,"AAAAAHt9/lg=")</f>
        <v>#REF!</v>
      </c>
      <c r="CL62" t="e">
        <f>AND(#REF!,"AAAAAHt9/lk=")</f>
        <v>#REF!</v>
      </c>
      <c r="CM62" t="e">
        <f>AND(#REF!,"AAAAAHt9/lo=")</f>
        <v>#REF!</v>
      </c>
      <c r="CN62" t="e">
        <f>AND(#REF!,"AAAAAHt9/ls=")</f>
        <v>#REF!</v>
      </c>
      <c r="CO62" t="e">
        <f>AND(#REF!,"AAAAAHt9/lw=")</f>
        <v>#REF!</v>
      </c>
      <c r="CP62" t="e">
        <f>AND(#REF!,"AAAAAHt9/l0=")</f>
        <v>#REF!</v>
      </c>
      <c r="CQ62" t="e">
        <f>AND(#REF!,"AAAAAHt9/l4=")</f>
        <v>#REF!</v>
      </c>
      <c r="CR62" t="e">
        <f>AND(#REF!,"AAAAAHt9/l8=")</f>
        <v>#REF!</v>
      </c>
      <c r="CS62" t="e">
        <f>AND(#REF!,"AAAAAHt9/mA=")</f>
        <v>#REF!</v>
      </c>
      <c r="CT62" t="e">
        <f>IF(#REF!,"AAAAAHt9/mE=",0)</f>
        <v>#REF!</v>
      </c>
      <c r="CU62" t="e">
        <f>AND(#REF!,"AAAAAHt9/mI=")</f>
        <v>#REF!</v>
      </c>
      <c r="CV62" t="e">
        <f>AND(#REF!,"AAAAAHt9/mM=")</f>
        <v>#REF!</v>
      </c>
      <c r="CW62" t="e">
        <f>AND(#REF!,"AAAAAHt9/mQ=")</f>
        <v>#REF!</v>
      </c>
      <c r="CX62" t="e">
        <f>AND(#REF!,"AAAAAHt9/mU=")</f>
        <v>#REF!</v>
      </c>
      <c r="CY62" t="e">
        <f>AND(#REF!,"AAAAAHt9/mY=")</f>
        <v>#REF!</v>
      </c>
      <c r="CZ62" t="e">
        <f>AND(#REF!,"AAAAAHt9/mc=")</f>
        <v>#REF!</v>
      </c>
      <c r="DA62" t="e">
        <f>AND(#REF!,"AAAAAHt9/mg=")</f>
        <v>#REF!</v>
      </c>
      <c r="DB62" t="e">
        <f>AND(#REF!,"AAAAAHt9/mk=")</f>
        <v>#REF!</v>
      </c>
      <c r="DC62" t="e">
        <f>AND(#REF!,"AAAAAHt9/mo=")</f>
        <v>#REF!</v>
      </c>
      <c r="DD62" t="e">
        <f>AND(#REF!,"AAAAAHt9/ms=")</f>
        <v>#REF!</v>
      </c>
      <c r="DE62" t="e">
        <f>IF(#REF!,"AAAAAHt9/mw=",0)</f>
        <v>#REF!</v>
      </c>
      <c r="DF62" t="e">
        <f>AND(#REF!,"AAAAAHt9/m0=")</f>
        <v>#REF!</v>
      </c>
      <c r="DG62" t="e">
        <f>AND(#REF!,"AAAAAHt9/m4=")</f>
        <v>#REF!</v>
      </c>
      <c r="DH62" t="e">
        <f>AND(#REF!,"AAAAAHt9/m8=")</f>
        <v>#REF!</v>
      </c>
      <c r="DI62" t="e">
        <f>AND(#REF!,"AAAAAHt9/nA=")</f>
        <v>#REF!</v>
      </c>
      <c r="DJ62" t="e">
        <f>AND(#REF!,"AAAAAHt9/nE=")</f>
        <v>#REF!</v>
      </c>
      <c r="DK62" t="e">
        <f>AND(#REF!,"AAAAAHt9/nI=")</f>
        <v>#REF!</v>
      </c>
      <c r="DL62" t="e">
        <f>AND(#REF!,"AAAAAHt9/nM=")</f>
        <v>#REF!</v>
      </c>
      <c r="DM62" t="e">
        <f>AND(#REF!,"AAAAAHt9/nQ=")</f>
        <v>#REF!</v>
      </c>
      <c r="DN62" t="e">
        <f>AND(#REF!,"AAAAAHt9/nU=")</f>
        <v>#REF!</v>
      </c>
      <c r="DO62" t="e">
        <f>AND(#REF!,"AAAAAHt9/nY=")</f>
        <v>#REF!</v>
      </c>
      <c r="DP62" t="e">
        <f>IF(#REF!,"AAAAAHt9/nc=",0)</f>
        <v>#REF!</v>
      </c>
      <c r="DQ62" t="e">
        <f>AND(#REF!,"AAAAAHt9/ng=")</f>
        <v>#REF!</v>
      </c>
      <c r="DR62" t="e">
        <f>AND(#REF!,"AAAAAHt9/nk=")</f>
        <v>#REF!</v>
      </c>
      <c r="DS62" t="e">
        <f>AND(#REF!,"AAAAAHt9/no=")</f>
        <v>#REF!</v>
      </c>
      <c r="DT62" t="e">
        <f>AND(#REF!,"AAAAAHt9/ns=")</f>
        <v>#REF!</v>
      </c>
      <c r="DU62" t="e">
        <f>AND(#REF!,"AAAAAHt9/nw=")</f>
        <v>#REF!</v>
      </c>
      <c r="DV62" t="e">
        <f>AND(#REF!,"AAAAAHt9/n0=")</f>
        <v>#REF!</v>
      </c>
      <c r="DW62" t="e">
        <f>AND(#REF!,"AAAAAHt9/n4=")</f>
        <v>#REF!</v>
      </c>
      <c r="DX62" t="e">
        <f>AND(#REF!,"AAAAAHt9/n8=")</f>
        <v>#REF!</v>
      </c>
      <c r="DY62" t="e">
        <f>AND(#REF!,"AAAAAHt9/oA=")</f>
        <v>#REF!</v>
      </c>
      <c r="DZ62" t="e">
        <f>AND(#REF!,"AAAAAHt9/oE=")</f>
        <v>#REF!</v>
      </c>
      <c r="EA62" t="e">
        <f>IF(#REF!,"AAAAAHt9/oI=",0)</f>
        <v>#REF!</v>
      </c>
      <c r="EB62" t="e">
        <f>AND(#REF!,"AAAAAHt9/oM=")</f>
        <v>#REF!</v>
      </c>
      <c r="EC62" t="e">
        <f>AND(#REF!,"AAAAAHt9/oQ=")</f>
        <v>#REF!</v>
      </c>
      <c r="ED62" t="e">
        <f>AND(#REF!,"AAAAAHt9/oU=")</f>
        <v>#REF!</v>
      </c>
      <c r="EE62" t="e">
        <f>AND(#REF!,"AAAAAHt9/oY=")</f>
        <v>#REF!</v>
      </c>
      <c r="EF62" t="e">
        <f>AND(#REF!,"AAAAAHt9/oc=")</f>
        <v>#REF!</v>
      </c>
      <c r="EG62" t="e">
        <f>AND(#REF!,"AAAAAHt9/og=")</f>
        <v>#REF!</v>
      </c>
      <c r="EH62" t="e">
        <f>AND(#REF!,"AAAAAHt9/ok=")</f>
        <v>#REF!</v>
      </c>
      <c r="EI62" t="e">
        <f>AND(#REF!,"AAAAAHt9/oo=")</f>
        <v>#REF!</v>
      </c>
      <c r="EJ62" t="e">
        <f>AND(#REF!,"AAAAAHt9/os=")</f>
        <v>#REF!</v>
      </c>
      <c r="EK62" t="e">
        <f>AND(#REF!,"AAAAAHt9/ow=")</f>
        <v>#REF!</v>
      </c>
      <c r="EL62" t="e">
        <f>IF(#REF!,"AAAAAHt9/o0=",0)</f>
        <v>#REF!</v>
      </c>
      <c r="EM62" t="e">
        <f>AND(#REF!,"AAAAAHt9/o4=")</f>
        <v>#REF!</v>
      </c>
      <c r="EN62" t="e">
        <f>AND(#REF!,"AAAAAHt9/o8=")</f>
        <v>#REF!</v>
      </c>
      <c r="EO62" t="e">
        <f>AND(#REF!,"AAAAAHt9/pA=")</f>
        <v>#REF!</v>
      </c>
      <c r="EP62" t="e">
        <f>AND(#REF!,"AAAAAHt9/pE=")</f>
        <v>#REF!</v>
      </c>
      <c r="EQ62" t="e">
        <f>AND(#REF!,"AAAAAHt9/pI=")</f>
        <v>#REF!</v>
      </c>
      <c r="ER62" t="e">
        <f>AND(#REF!,"AAAAAHt9/pM=")</f>
        <v>#REF!</v>
      </c>
      <c r="ES62" t="e">
        <f>AND(#REF!,"AAAAAHt9/pQ=")</f>
        <v>#REF!</v>
      </c>
      <c r="ET62" t="e">
        <f>AND(#REF!,"AAAAAHt9/pU=")</f>
        <v>#REF!</v>
      </c>
      <c r="EU62" t="e">
        <f>AND(#REF!,"AAAAAHt9/pY=")</f>
        <v>#REF!</v>
      </c>
      <c r="EV62" t="e">
        <f>AND(#REF!,"AAAAAHt9/pc=")</f>
        <v>#REF!</v>
      </c>
      <c r="EW62" t="e">
        <f>IF(#REF!,"AAAAAHt9/pg=",0)</f>
        <v>#REF!</v>
      </c>
      <c r="EX62" t="e">
        <f>AND(#REF!,"AAAAAHt9/pk=")</f>
        <v>#REF!</v>
      </c>
      <c r="EY62" t="e">
        <f>AND(#REF!,"AAAAAHt9/po=")</f>
        <v>#REF!</v>
      </c>
      <c r="EZ62" t="e">
        <f>AND(#REF!,"AAAAAHt9/ps=")</f>
        <v>#REF!</v>
      </c>
      <c r="FA62" t="e">
        <f>AND(#REF!,"AAAAAHt9/pw=")</f>
        <v>#REF!</v>
      </c>
      <c r="FB62" t="e">
        <f>AND(#REF!,"AAAAAHt9/p0=")</f>
        <v>#REF!</v>
      </c>
      <c r="FC62" t="e">
        <f>AND(#REF!,"AAAAAHt9/p4=")</f>
        <v>#REF!</v>
      </c>
      <c r="FD62" t="e">
        <f>AND(#REF!,"AAAAAHt9/p8=")</f>
        <v>#REF!</v>
      </c>
      <c r="FE62" t="e">
        <f>AND(#REF!,"AAAAAHt9/qA=")</f>
        <v>#REF!</v>
      </c>
      <c r="FF62" t="e">
        <f>AND(#REF!,"AAAAAHt9/qE=")</f>
        <v>#REF!</v>
      </c>
      <c r="FG62" t="e">
        <f>AND(#REF!,"AAAAAHt9/qI=")</f>
        <v>#REF!</v>
      </c>
      <c r="FH62" t="e">
        <f>IF(#REF!,"AAAAAHt9/qM=",0)</f>
        <v>#REF!</v>
      </c>
      <c r="FI62" t="e">
        <f>AND(#REF!,"AAAAAHt9/qQ=")</f>
        <v>#REF!</v>
      </c>
      <c r="FJ62" t="e">
        <f>AND(#REF!,"AAAAAHt9/qU=")</f>
        <v>#REF!</v>
      </c>
      <c r="FK62" t="e">
        <f>AND(#REF!,"AAAAAHt9/qY=")</f>
        <v>#REF!</v>
      </c>
      <c r="FL62" t="e">
        <f>AND(#REF!,"AAAAAHt9/qc=")</f>
        <v>#REF!</v>
      </c>
      <c r="FM62" t="e">
        <f>AND(#REF!,"AAAAAHt9/qg=")</f>
        <v>#REF!</v>
      </c>
      <c r="FN62" t="e">
        <f>AND(#REF!,"AAAAAHt9/qk=")</f>
        <v>#REF!</v>
      </c>
      <c r="FO62" t="e">
        <f>AND(#REF!,"AAAAAHt9/qo=")</f>
        <v>#REF!</v>
      </c>
      <c r="FP62" t="e">
        <f>AND(#REF!,"AAAAAHt9/qs=")</f>
        <v>#REF!</v>
      </c>
      <c r="FQ62" t="e">
        <f>AND(#REF!,"AAAAAHt9/qw=")</f>
        <v>#REF!</v>
      </c>
      <c r="FR62" t="e">
        <f>AND(#REF!,"AAAAAHt9/q0=")</f>
        <v>#REF!</v>
      </c>
      <c r="FS62" t="e">
        <f>IF(#REF!,"AAAAAHt9/q4=",0)</f>
        <v>#REF!</v>
      </c>
      <c r="FT62" t="e">
        <f>AND(#REF!,"AAAAAHt9/q8=")</f>
        <v>#REF!</v>
      </c>
      <c r="FU62" t="e">
        <f>AND(#REF!,"AAAAAHt9/rA=")</f>
        <v>#REF!</v>
      </c>
      <c r="FV62" t="e">
        <f>AND(#REF!,"AAAAAHt9/rE=")</f>
        <v>#REF!</v>
      </c>
      <c r="FW62" t="e">
        <f>AND(#REF!,"AAAAAHt9/rI=")</f>
        <v>#REF!</v>
      </c>
      <c r="FX62" t="e">
        <f>AND(#REF!,"AAAAAHt9/rM=")</f>
        <v>#REF!</v>
      </c>
      <c r="FY62" t="e">
        <f>AND(#REF!,"AAAAAHt9/rQ=")</f>
        <v>#REF!</v>
      </c>
      <c r="FZ62" t="e">
        <f>AND(#REF!,"AAAAAHt9/rU=")</f>
        <v>#REF!</v>
      </c>
      <c r="GA62" t="e">
        <f>AND(#REF!,"AAAAAHt9/rY=")</f>
        <v>#REF!</v>
      </c>
      <c r="GB62" t="e">
        <f>AND(#REF!,"AAAAAHt9/rc=")</f>
        <v>#REF!</v>
      </c>
      <c r="GC62" t="e">
        <f>AND(#REF!,"AAAAAHt9/rg=")</f>
        <v>#REF!</v>
      </c>
      <c r="GD62" t="e">
        <f>IF(#REF!,"AAAAAHt9/rk=",0)</f>
        <v>#REF!</v>
      </c>
      <c r="GE62" t="e">
        <f>AND(#REF!,"AAAAAHt9/ro=")</f>
        <v>#REF!</v>
      </c>
      <c r="GF62" t="e">
        <f>AND(#REF!,"AAAAAHt9/rs=")</f>
        <v>#REF!</v>
      </c>
      <c r="GG62" t="e">
        <f>AND(#REF!,"AAAAAHt9/rw=")</f>
        <v>#REF!</v>
      </c>
      <c r="GH62" t="e">
        <f>AND(#REF!,"AAAAAHt9/r0=")</f>
        <v>#REF!</v>
      </c>
      <c r="GI62" t="e">
        <f>AND(#REF!,"AAAAAHt9/r4=")</f>
        <v>#REF!</v>
      </c>
      <c r="GJ62" t="e">
        <f>AND(#REF!,"AAAAAHt9/r8=")</f>
        <v>#REF!</v>
      </c>
      <c r="GK62" t="e">
        <f>AND(#REF!,"AAAAAHt9/sA=")</f>
        <v>#REF!</v>
      </c>
      <c r="GL62" t="e">
        <f>AND(#REF!,"AAAAAHt9/sE=")</f>
        <v>#REF!</v>
      </c>
      <c r="GM62" t="e">
        <f>AND(#REF!,"AAAAAHt9/sI=")</f>
        <v>#REF!</v>
      </c>
      <c r="GN62" t="e">
        <f>AND(#REF!,"AAAAAHt9/sM=")</f>
        <v>#REF!</v>
      </c>
      <c r="GO62" t="e">
        <f>IF(#REF!,"AAAAAHt9/sQ=",0)</f>
        <v>#REF!</v>
      </c>
      <c r="GP62" t="e">
        <f>AND(#REF!,"AAAAAHt9/sU=")</f>
        <v>#REF!</v>
      </c>
      <c r="GQ62" t="e">
        <f>AND(#REF!,"AAAAAHt9/sY=")</f>
        <v>#REF!</v>
      </c>
      <c r="GR62" t="e">
        <f>AND(#REF!,"AAAAAHt9/sc=")</f>
        <v>#REF!</v>
      </c>
      <c r="GS62" t="e">
        <f>AND(#REF!,"AAAAAHt9/sg=")</f>
        <v>#REF!</v>
      </c>
      <c r="GT62" t="e">
        <f>AND(#REF!,"AAAAAHt9/sk=")</f>
        <v>#REF!</v>
      </c>
      <c r="GU62" t="e">
        <f>AND(#REF!,"AAAAAHt9/so=")</f>
        <v>#REF!</v>
      </c>
      <c r="GV62" t="e">
        <f>AND(#REF!,"AAAAAHt9/ss=")</f>
        <v>#REF!</v>
      </c>
      <c r="GW62" t="e">
        <f>AND(#REF!,"AAAAAHt9/sw=")</f>
        <v>#REF!</v>
      </c>
      <c r="GX62" t="e">
        <f>AND(#REF!,"AAAAAHt9/s0=")</f>
        <v>#REF!</v>
      </c>
      <c r="GY62" t="e">
        <f>AND(#REF!,"AAAAAHt9/s4=")</f>
        <v>#REF!</v>
      </c>
      <c r="GZ62" t="e">
        <f>IF(#REF!,"AAAAAHt9/s8=",0)</f>
        <v>#REF!</v>
      </c>
      <c r="HA62" t="e">
        <f>AND(#REF!,"AAAAAHt9/tA=")</f>
        <v>#REF!</v>
      </c>
      <c r="HB62" t="e">
        <f>AND(#REF!,"AAAAAHt9/tE=")</f>
        <v>#REF!</v>
      </c>
      <c r="HC62" t="e">
        <f>AND(#REF!,"AAAAAHt9/tI=")</f>
        <v>#REF!</v>
      </c>
      <c r="HD62" t="e">
        <f>AND(#REF!,"AAAAAHt9/tM=")</f>
        <v>#REF!</v>
      </c>
      <c r="HE62" t="e">
        <f>AND(#REF!,"AAAAAHt9/tQ=")</f>
        <v>#REF!</v>
      </c>
      <c r="HF62" t="e">
        <f>AND(#REF!,"AAAAAHt9/tU=")</f>
        <v>#REF!</v>
      </c>
      <c r="HG62" t="e">
        <f>AND(#REF!,"AAAAAHt9/tY=")</f>
        <v>#REF!</v>
      </c>
      <c r="HH62" t="e">
        <f>AND(#REF!,"AAAAAHt9/tc=")</f>
        <v>#REF!</v>
      </c>
      <c r="HI62" t="e">
        <f>AND(#REF!,"AAAAAHt9/tg=")</f>
        <v>#REF!</v>
      </c>
      <c r="HJ62" t="e">
        <f>AND(#REF!,"AAAAAHt9/tk=")</f>
        <v>#REF!</v>
      </c>
      <c r="HK62" t="e">
        <f>IF(#REF!,"AAAAAHt9/to=",0)</f>
        <v>#REF!</v>
      </c>
      <c r="HL62" t="e">
        <f>AND(#REF!,"AAAAAHt9/ts=")</f>
        <v>#REF!</v>
      </c>
      <c r="HM62" t="e">
        <f>AND(#REF!,"AAAAAHt9/tw=")</f>
        <v>#REF!</v>
      </c>
      <c r="HN62" t="e">
        <f>AND(#REF!,"AAAAAHt9/t0=")</f>
        <v>#REF!</v>
      </c>
      <c r="HO62" t="e">
        <f>AND(#REF!,"AAAAAHt9/t4=")</f>
        <v>#REF!</v>
      </c>
      <c r="HP62" t="e">
        <f>AND(#REF!,"AAAAAHt9/t8=")</f>
        <v>#REF!</v>
      </c>
      <c r="HQ62" t="e">
        <f>AND(#REF!,"AAAAAHt9/uA=")</f>
        <v>#REF!</v>
      </c>
      <c r="HR62" t="e">
        <f>AND(#REF!,"AAAAAHt9/uE=")</f>
        <v>#REF!</v>
      </c>
      <c r="HS62" t="e">
        <f>AND(#REF!,"AAAAAHt9/uI=")</f>
        <v>#REF!</v>
      </c>
      <c r="HT62" t="e">
        <f>AND(#REF!,"AAAAAHt9/uM=")</f>
        <v>#REF!</v>
      </c>
      <c r="HU62" t="e">
        <f>AND(#REF!,"AAAAAHt9/uQ=")</f>
        <v>#REF!</v>
      </c>
      <c r="HV62" t="e">
        <f>IF(#REF!,"AAAAAHt9/uU=",0)</f>
        <v>#REF!</v>
      </c>
      <c r="HW62" t="e">
        <f>AND(#REF!,"AAAAAHt9/uY=")</f>
        <v>#REF!</v>
      </c>
      <c r="HX62" t="e">
        <f>AND(#REF!,"AAAAAHt9/uc=")</f>
        <v>#REF!</v>
      </c>
      <c r="HY62" t="e">
        <f>AND(#REF!,"AAAAAHt9/ug=")</f>
        <v>#REF!</v>
      </c>
      <c r="HZ62" t="e">
        <f>AND(#REF!,"AAAAAHt9/uk=")</f>
        <v>#REF!</v>
      </c>
      <c r="IA62" t="e">
        <f>AND(#REF!,"AAAAAHt9/uo=")</f>
        <v>#REF!</v>
      </c>
      <c r="IB62" t="e">
        <f>AND(#REF!,"AAAAAHt9/us=")</f>
        <v>#REF!</v>
      </c>
      <c r="IC62" t="e">
        <f>AND(#REF!,"AAAAAHt9/uw=")</f>
        <v>#REF!</v>
      </c>
      <c r="ID62" t="e">
        <f>AND(#REF!,"AAAAAHt9/u0=")</f>
        <v>#REF!</v>
      </c>
      <c r="IE62" t="e">
        <f>AND(#REF!,"AAAAAHt9/u4=")</f>
        <v>#REF!</v>
      </c>
      <c r="IF62" t="e">
        <f>AND(#REF!,"AAAAAHt9/u8=")</f>
        <v>#REF!</v>
      </c>
      <c r="IG62" t="e">
        <f>IF(#REF!,"AAAAAHt9/vA=",0)</f>
        <v>#REF!</v>
      </c>
      <c r="IH62" t="e">
        <f>AND(#REF!,"AAAAAHt9/vE=")</f>
        <v>#REF!</v>
      </c>
      <c r="II62" t="e">
        <f>AND(#REF!,"AAAAAHt9/vI=")</f>
        <v>#REF!</v>
      </c>
      <c r="IJ62" t="e">
        <f>AND(#REF!,"AAAAAHt9/vM=")</f>
        <v>#REF!</v>
      </c>
      <c r="IK62" t="e">
        <f>AND(#REF!,"AAAAAHt9/vQ=")</f>
        <v>#REF!</v>
      </c>
      <c r="IL62" t="e">
        <f>AND(#REF!,"AAAAAHt9/vU=")</f>
        <v>#REF!</v>
      </c>
      <c r="IM62" t="e">
        <f>AND(#REF!,"AAAAAHt9/vY=")</f>
        <v>#REF!</v>
      </c>
      <c r="IN62" t="e">
        <f>AND(#REF!,"AAAAAHt9/vc=")</f>
        <v>#REF!</v>
      </c>
      <c r="IO62" t="e">
        <f>AND(#REF!,"AAAAAHt9/vg=")</f>
        <v>#REF!</v>
      </c>
      <c r="IP62" t="e">
        <f>AND(#REF!,"AAAAAHt9/vk=")</f>
        <v>#REF!</v>
      </c>
      <c r="IQ62" t="e">
        <f>AND(#REF!,"AAAAAHt9/vo=")</f>
        <v>#REF!</v>
      </c>
      <c r="IR62" t="e">
        <f>IF(#REF!,"AAAAAHt9/vs=",0)</f>
        <v>#REF!</v>
      </c>
      <c r="IS62" t="e">
        <f>AND(#REF!,"AAAAAHt9/vw=")</f>
        <v>#REF!</v>
      </c>
      <c r="IT62" t="e">
        <f>AND(#REF!,"AAAAAHt9/v0=")</f>
        <v>#REF!</v>
      </c>
      <c r="IU62" t="e">
        <f>AND(#REF!,"AAAAAHt9/v4=")</f>
        <v>#REF!</v>
      </c>
      <c r="IV62" t="e">
        <f>AND(#REF!,"AAAAAHt9/v8=")</f>
        <v>#REF!</v>
      </c>
    </row>
    <row r="63" spans="1:256" x14ac:dyDescent="0.25">
      <c r="A63" t="e">
        <f>AND(#REF!,"AAAAAHPz+wA=")</f>
        <v>#REF!</v>
      </c>
      <c r="B63" t="e">
        <f>AND(#REF!,"AAAAAHPz+wE=")</f>
        <v>#REF!</v>
      </c>
      <c r="C63" t="e">
        <f>AND(#REF!,"AAAAAHPz+wI=")</f>
        <v>#REF!</v>
      </c>
      <c r="D63" t="e">
        <f>AND(#REF!,"AAAAAHPz+wM=")</f>
        <v>#REF!</v>
      </c>
      <c r="E63" t="e">
        <f>AND(#REF!,"AAAAAHPz+wQ=")</f>
        <v>#REF!</v>
      </c>
      <c r="F63" t="e">
        <f>AND(#REF!,"AAAAAHPz+wU=")</f>
        <v>#REF!</v>
      </c>
      <c r="G63" t="e">
        <f>IF(#REF!,"AAAAAHPz+wY=",0)</f>
        <v>#REF!</v>
      </c>
      <c r="H63" t="e">
        <f>AND(#REF!,"AAAAAHPz+wc=")</f>
        <v>#REF!</v>
      </c>
      <c r="I63" t="e">
        <f>AND(#REF!,"AAAAAHPz+wg=")</f>
        <v>#REF!</v>
      </c>
      <c r="J63" t="e">
        <f>AND(#REF!,"AAAAAHPz+wk=")</f>
        <v>#REF!</v>
      </c>
      <c r="K63" t="e">
        <f>AND(#REF!,"AAAAAHPz+wo=")</f>
        <v>#REF!</v>
      </c>
      <c r="L63" t="e">
        <f>AND(#REF!,"AAAAAHPz+ws=")</f>
        <v>#REF!</v>
      </c>
      <c r="M63" t="e">
        <f>AND(#REF!,"AAAAAHPz+ww=")</f>
        <v>#REF!</v>
      </c>
      <c r="N63" t="e">
        <f>AND(#REF!,"AAAAAHPz+w0=")</f>
        <v>#REF!</v>
      </c>
      <c r="O63" t="e">
        <f>AND(#REF!,"AAAAAHPz+w4=")</f>
        <v>#REF!</v>
      </c>
      <c r="P63" t="e">
        <f>AND(#REF!,"AAAAAHPz+w8=")</f>
        <v>#REF!</v>
      </c>
      <c r="Q63" t="e">
        <f>AND(#REF!,"AAAAAHPz+xA=")</f>
        <v>#REF!</v>
      </c>
      <c r="R63" t="e">
        <f>IF(#REF!,"AAAAAHPz+xE=",0)</f>
        <v>#REF!</v>
      </c>
      <c r="S63" t="e">
        <f>AND(#REF!,"AAAAAHPz+xI=")</f>
        <v>#REF!</v>
      </c>
      <c r="T63" t="e">
        <f>AND(#REF!,"AAAAAHPz+xM=")</f>
        <v>#REF!</v>
      </c>
      <c r="U63" t="e">
        <f>AND(#REF!,"AAAAAHPz+xQ=")</f>
        <v>#REF!</v>
      </c>
      <c r="V63" t="e">
        <f>AND(#REF!,"AAAAAHPz+xU=")</f>
        <v>#REF!</v>
      </c>
      <c r="W63" t="e">
        <f>AND(#REF!,"AAAAAHPz+xY=")</f>
        <v>#REF!</v>
      </c>
      <c r="X63" t="e">
        <f>AND(#REF!,"AAAAAHPz+xc=")</f>
        <v>#REF!</v>
      </c>
      <c r="Y63" t="e">
        <f>AND(#REF!,"AAAAAHPz+xg=")</f>
        <v>#REF!</v>
      </c>
      <c r="Z63" t="e">
        <f>AND(#REF!,"AAAAAHPz+xk=")</f>
        <v>#REF!</v>
      </c>
      <c r="AA63" t="e">
        <f>AND(#REF!,"AAAAAHPz+xo=")</f>
        <v>#REF!</v>
      </c>
      <c r="AB63" t="e">
        <f>AND(#REF!,"AAAAAHPz+xs=")</f>
        <v>#REF!</v>
      </c>
      <c r="AC63" t="e">
        <f>IF(#REF!,"AAAAAHPz+xw=",0)</f>
        <v>#REF!</v>
      </c>
      <c r="AD63" t="e">
        <f>AND(#REF!,"AAAAAHPz+x0=")</f>
        <v>#REF!</v>
      </c>
      <c r="AE63" t="e">
        <f>AND(#REF!,"AAAAAHPz+x4=")</f>
        <v>#REF!</v>
      </c>
      <c r="AF63" t="e">
        <f>AND(#REF!,"AAAAAHPz+x8=")</f>
        <v>#REF!</v>
      </c>
      <c r="AG63" t="e">
        <f>AND(#REF!,"AAAAAHPz+yA=")</f>
        <v>#REF!</v>
      </c>
      <c r="AH63" t="e">
        <f>AND(#REF!,"AAAAAHPz+yE=")</f>
        <v>#REF!</v>
      </c>
      <c r="AI63" t="e">
        <f>AND(#REF!,"AAAAAHPz+yI=")</f>
        <v>#REF!</v>
      </c>
      <c r="AJ63" t="e">
        <f>AND(#REF!,"AAAAAHPz+yM=")</f>
        <v>#REF!</v>
      </c>
      <c r="AK63" t="e">
        <f>AND(#REF!,"AAAAAHPz+yQ=")</f>
        <v>#REF!</v>
      </c>
      <c r="AL63" t="e">
        <f>AND(#REF!,"AAAAAHPz+yU=")</f>
        <v>#REF!</v>
      </c>
      <c r="AM63" t="e">
        <f>AND(#REF!,"AAAAAHPz+yY=")</f>
        <v>#REF!</v>
      </c>
      <c r="AN63" t="e">
        <f>IF(#REF!,"AAAAAHPz+yc=",0)</f>
        <v>#REF!</v>
      </c>
      <c r="AO63" t="e">
        <f>AND(#REF!,"AAAAAHPz+yg=")</f>
        <v>#REF!</v>
      </c>
      <c r="AP63" t="e">
        <f>AND(#REF!,"AAAAAHPz+yk=")</f>
        <v>#REF!</v>
      </c>
      <c r="AQ63" t="e">
        <f>AND(#REF!,"AAAAAHPz+yo=")</f>
        <v>#REF!</v>
      </c>
      <c r="AR63" t="e">
        <f>AND(#REF!,"AAAAAHPz+ys=")</f>
        <v>#REF!</v>
      </c>
      <c r="AS63" t="e">
        <f>AND(#REF!,"AAAAAHPz+yw=")</f>
        <v>#REF!</v>
      </c>
      <c r="AT63" t="e">
        <f>AND(#REF!,"AAAAAHPz+y0=")</f>
        <v>#REF!</v>
      </c>
      <c r="AU63" t="e">
        <f>AND(#REF!,"AAAAAHPz+y4=")</f>
        <v>#REF!</v>
      </c>
      <c r="AV63" t="e">
        <f>AND(#REF!,"AAAAAHPz+y8=")</f>
        <v>#REF!</v>
      </c>
      <c r="AW63" t="e">
        <f>AND(#REF!,"AAAAAHPz+zA=")</f>
        <v>#REF!</v>
      </c>
      <c r="AX63" t="e">
        <f>AND(#REF!,"AAAAAHPz+zE=")</f>
        <v>#REF!</v>
      </c>
      <c r="AY63" t="e">
        <f>IF(#REF!,"AAAAAHPz+zI=",0)</f>
        <v>#REF!</v>
      </c>
      <c r="AZ63" t="e">
        <f>AND(#REF!,"AAAAAHPz+zM=")</f>
        <v>#REF!</v>
      </c>
      <c r="BA63" t="e">
        <f>AND(#REF!,"AAAAAHPz+zQ=")</f>
        <v>#REF!</v>
      </c>
      <c r="BB63" t="e">
        <f>AND(#REF!,"AAAAAHPz+zU=")</f>
        <v>#REF!</v>
      </c>
      <c r="BC63" t="e">
        <f>AND(#REF!,"AAAAAHPz+zY=")</f>
        <v>#REF!</v>
      </c>
      <c r="BD63" t="e">
        <f>AND(#REF!,"AAAAAHPz+zc=")</f>
        <v>#REF!</v>
      </c>
      <c r="BE63" t="e">
        <f>AND(#REF!,"AAAAAHPz+zg=")</f>
        <v>#REF!</v>
      </c>
      <c r="BF63" t="e">
        <f>AND(#REF!,"AAAAAHPz+zk=")</f>
        <v>#REF!</v>
      </c>
      <c r="BG63" t="e">
        <f>AND(#REF!,"AAAAAHPz+zo=")</f>
        <v>#REF!</v>
      </c>
      <c r="BH63" t="e">
        <f>AND(#REF!,"AAAAAHPz+zs=")</f>
        <v>#REF!</v>
      </c>
      <c r="BI63" t="e">
        <f>AND(#REF!,"AAAAAHPz+zw=")</f>
        <v>#REF!</v>
      </c>
      <c r="BJ63" t="e">
        <f>IF(#REF!,"AAAAAHPz+z0=",0)</f>
        <v>#REF!</v>
      </c>
      <c r="BK63" t="e">
        <f>AND(#REF!,"AAAAAHPz+z4=")</f>
        <v>#REF!</v>
      </c>
      <c r="BL63" t="e">
        <f>AND(#REF!,"AAAAAHPz+z8=")</f>
        <v>#REF!</v>
      </c>
      <c r="BM63" t="e">
        <f>AND(#REF!,"AAAAAHPz+0A=")</f>
        <v>#REF!</v>
      </c>
      <c r="BN63" t="e">
        <f>AND(#REF!,"AAAAAHPz+0E=")</f>
        <v>#REF!</v>
      </c>
      <c r="BO63" t="e">
        <f>AND(#REF!,"AAAAAHPz+0I=")</f>
        <v>#REF!</v>
      </c>
      <c r="BP63" t="e">
        <f>AND(#REF!,"AAAAAHPz+0M=")</f>
        <v>#REF!</v>
      </c>
      <c r="BQ63" t="e">
        <f>AND(#REF!,"AAAAAHPz+0Q=")</f>
        <v>#REF!</v>
      </c>
      <c r="BR63" t="e">
        <f>AND(#REF!,"AAAAAHPz+0U=")</f>
        <v>#REF!</v>
      </c>
      <c r="BS63" t="e">
        <f>AND(#REF!,"AAAAAHPz+0Y=")</f>
        <v>#REF!</v>
      </c>
      <c r="BT63" t="e">
        <f>AND(#REF!,"AAAAAHPz+0c=")</f>
        <v>#REF!</v>
      </c>
      <c r="BU63" t="e">
        <f>IF(#REF!,"AAAAAHPz+0g=",0)</f>
        <v>#REF!</v>
      </c>
      <c r="BV63" t="e">
        <f>AND(#REF!,"AAAAAHPz+0k=")</f>
        <v>#REF!</v>
      </c>
      <c r="BW63" t="e">
        <f>AND(#REF!,"AAAAAHPz+0o=")</f>
        <v>#REF!</v>
      </c>
      <c r="BX63" t="e">
        <f>AND(#REF!,"AAAAAHPz+0s=")</f>
        <v>#REF!</v>
      </c>
      <c r="BY63" t="e">
        <f>AND(#REF!,"AAAAAHPz+0w=")</f>
        <v>#REF!</v>
      </c>
      <c r="BZ63" t="e">
        <f>AND(#REF!,"AAAAAHPz+00=")</f>
        <v>#REF!</v>
      </c>
      <c r="CA63" t="e">
        <f>AND(#REF!,"AAAAAHPz+04=")</f>
        <v>#REF!</v>
      </c>
      <c r="CB63" t="e">
        <f>AND(#REF!,"AAAAAHPz+08=")</f>
        <v>#REF!</v>
      </c>
      <c r="CC63" t="e">
        <f>AND(#REF!,"AAAAAHPz+1A=")</f>
        <v>#REF!</v>
      </c>
      <c r="CD63" t="e">
        <f>AND(#REF!,"AAAAAHPz+1E=")</f>
        <v>#REF!</v>
      </c>
      <c r="CE63" t="e">
        <f>AND(#REF!,"AAAAAHPz+1I=")</f>
        <v>#REF!</v>
      </c>
      <c r="CF63" t="e">
        <f>IF(#REF!,"AAAAAHPz+1M=",0)</f>
        <v>#REF!</v>
      </c>
      <c r="CG63" t="e">
        <f>AND(#REF!,"AAAAAHPz+1Q=")</f>
        <v>#REF!</v>
      </c>
      <c r="CH63" t="e">
        <f>AND(#REF!,"AAAAAHPz+1U=")</f>
        <v>#REF!</v>
      </c>
      <c r="CI63" t="e">
        <f>AND(#REF!,"AAAAAHPz+1Y=")</f>
        <v>#REF!</v>
      </c>
      <c r="CJ63" t="e">
        <f>AND(#REF!,"AAAAAHPz+1c=")</f>
        <v>#REF!</v>
      </c>
      <c r="CK63" t="e">
        <f>AND(#REF!,"AAAAAHPz+1g=")</f>
        <v>#REF!</v>
      </c>
      <c r="CL63" t="e">
        <f>AND(#REF!,"AAAAAHPz+1k=")</f>
        <v>#REF!</v>
      </c>
      <c r="CM63" t="e">
        <f>AND(#REF!,"AAAAAHPz+1o=")</f>
        <v>#REF!</v>
      </c>
      <c r="CN63" t="e">
        <f>AND(#REF!,"AAAAAHPz+1s=")</f>
        <v>#REF!</v>
      </c>
      <c r="CO63" t="e">
        <f>AND(#REF!,"AAAAAHPz+1w=")</f>
        <v>#REF!</v>
      </c>
      <c r="CP63" t="e">
        <f>AND(#REF!,"AAAAAHPz+10=")</f>
        <v>#REF!</v>
      </c>
      <c r="CQ63" t="e">
        <f>IF(#REF!,"AAAAAHPz+14=",0)</f>
        <v>#REF!</v>
      </c>
      <c r="CR63" t="e">
        <f>AND(#REF!,"AAAAAHPz+18=")</f>
        <v>#REF!</v>
      </c>
      <c r="CS63" t="e">
        <f>AND(#REF!,"AAAAAHPz+2A=")</f>
        <v>#REF!</v>
      </c>
      <c r="CT63" t="e">
        <f>AND(#REF!,"AAAAAHPz+2E=")</f>
        <v>#REF!</v>
      </c>
      <c r="CU63" t="e">
        <f>AND(#REF!,"AAAAAHPz+2I=")</f>
        <v>#REF!</v>
      </c>
      <c r="CV63" t="e">
        <f>AND(#REF!,"AAAAAHPz+2M=")</f>
        <v>#REF!</v>
      </c>
      <c r="CW63" t="e">
        <f>AND(#REF!,"AAAAAHPz+2Q=")</f>
        <v>#REF!</v>
      </c>
      <c r="CX63" t="e">
        <f>AND(#REF!,"AAAAAHPz+2U=")</f>
        <v>#REF!</v>
      </c>
      <c r="CY63" t="e">
        <f>AND(#REF!,"AAAAAHPz+2Y=")</f>
        <v>#REF!</v>
      </c>
      <c r="CZ63" t="e">
        <f>AND(#REF!,"AAAAAHPz+2c=")</f>
        <v>#REF!</v>
      </c>
      <c r="DA63" t="e">
        <f>AND(#REF!,"AAAAAHPz+2g=")</f>
        <v>#REF!</v>
      </c>
      <c r="DB63" t="e">
        <f>IF(#REF!,"AAAAAHPz+2k=",0)</f>
        <v>#REF!</v>
      </c>
      <c r="DC63" t="e">
        <f>AND(#REF!,"AAAAAHPz+2o=")</f>
        <v>#REF!</v>
      </c>
      <c r="DD63" t="e">
        <f>AND(#REF!,"AAAAAHPz+2s=")</f>
        <v>#REF!</v>
      </c>
      <c r="DE63" t="e">
        <f>AND(#REF!,"AAAAAHPz+2w=")</f>
        <v>#REF!</v>
      </c>
      <c r="DF63" t="e">
        <f>AND(#REF!,"AAAAAHPz+20=")</f>
        <v>#REF!</v>
      </c>
      <c r="DG63" t="e">
        <f>AND(#REF!,"AAAAAHPz+24=")</f>
        <v>#REF!</v>
      </c>
      <c r="DH63" t="e">
        <f>AND(#REF!,"AAAAAHPz+28=")</f>
        <v>#REF!</v>
      </c>
      <c r="DI63" t="e">
        <f>AND(#REF!,"AAAAAHPz+3A=")</f>
        <v>#REF!</v>
      </c>
      <c r="DJ63" t="e">
        <f>AND(#REF!,"AAAAAHPz+3E=")</f>
        <v>#REF!</v>
      </c>
      <c r="DK63" t="e">
        <f>AND(#REF!,"AAAAAHPz+3I=")</f>
        <v>#REF!</v>
      </c>
      <c r="DL63" t="e">
        <f>AND(#REF!,"AAAAAHPz+3M=")</f>
        <v>#REF!</v>
      </c>
      <c r="DM63" t="e">
        <f>IF(#REF!,"AAAAAHPz+3Q=",0)</f>
        <v>#REF!</v>
      </c>
      <c r="DN63" t="e">
        <f>AND(#REF!,"AAAAAHPz+3U=")</f>
        <v>#REF!</v>
      </c>
      <c r="DO63" t="e">
        <f>AND(#REF!,"AAAAAHPz+3Y=")</f>
        <v>#REF!</v>
      </c>
      <c r="DP63" t="e">
        <f>AND(#REF!,"AAAAAHPz+3c=")</f>
        <v>#REF!</v>
      </c>
      <c r="DQ63" t="e">
        <f>AND(#REF!,"AAAAAHPz+3g=")</f>
        <v>#REF!</v>
      </c>
      <c r="DR63" t="e">
        <f>AND(#REF!,"AAAAAHPz+3k=")</f>
        <v>#REF!</v>
      </c>
      <c r="DS63" t="e">
        <f>AND(#REF!,"AAAAAHPz+3o=")</f>
        <v>#REF!</v>
      </c>
      <c r="DT63" t="e">
        <f>AND(#REF!,"AAAAAHPz+3s=")</f>
        <v>#REF!</v>
      </c>
      <c r="DU63" t="e">
        <f>AND(#REF!,"AAAAAHPz+3w=")</f>
        <v>#REF!</v>
      </c>
      <c r="DV63" t="e">
        <f>AND(#REF!,"AAAAAHPz+30=")</f>
        <v>#REF!</v>
      </c>
      <c r="DW63" t="e">
        <f>AND(#REF!,"AAAAAHPz+34=")</f>
        <v>#REF!</v>
      </c>
      <c r="DX63" t="e">
        <f>IF(#REF!,"AAAAAHPz+38=",0)</f>
        <v>#REF!</v>
      </c>
      <c r="DY63" t="e">
        <f>AND(#REF!,"AAAAAHPz+4A=")</f>
        <v>#REF!</v>
      </c>
      <c r="DZ63" t="e">
        <f>AND(#REF!,"AAAAAHPz+4E=")</f>
        <v>#REF!</v>
      </c>
      <c r="EA63" t="e">
        <f>AND(#REF!,"AAAAAHPz+4I=")</f>
        <v>#REF!</v>
      </c>
      <c r="EB63" t="e">
        <f>AND(#REF!,"AAAAAHPz+4M=")</f>
        <v>#REF!</v>
      </c>
      <c r="EC63" t="e">
        <f>AND(#REF!,"AAAAAHPz+4Q=")</f>
        <v>#REF!</v>
      </c>
      <c r="ED63" t="e">
        <f>AND(#REF!,"AAAAAHPz+4U=")</f>
        <v>#REF!</v>
      </c>
      <c r="EE63" t="e">
        <f>AND(#REF!,"AAAAAHPz+4Y=")</f>
        <v>#REF!</v>
      </c>
      <c r="EF63" t="e">
        <f>AND(#REF!,"AAAAAHPz+4c=")</f>
        <v>#REF!</v>
      </c>
      <c r="EG63" t="e">
        <f>AND(#REF!,"AAAAAHPz+4g=")</f>
        <v>#REF!</v>
      </c>
      <c r="EH63" t="e">
        <f>AND(#REF!,"AAAAAHPz+4k=")</f>
        <v>#REF!</v>
      </c>
      <c r="EI63" t="e">
        <f>IF(#REF!,"AAAAAHPz+4o=",0)</f>
        <v>#REF!</v>
      </c>
      <c r="EJ63" t="e">
        <f>AND(#REF!,"AAAAAHPz+4s=")</f>
        <v>#REF!</v>
      </c>
      <c r="EK63" t="e">
        <f>AND(#REF!,"AAAAAHPz+4w=")</f>
        <v>#REF!</v>
      </c>
      <c r="EL63" t="e">
        <f>AND(#REF!,"AAAAAHPz+40=")</f>
        <v>#REF!</v>
      </c>
      <c r="EM63" t="e">
        <f>AND(#REF!,"AAAAAHPz+44=")</f>
        <v>#REF!</v>
      </c>
      <c r="EN63" t="e">
        <f>AND(#REF!,"AAAAAHPz+48=")</f>
        <v>#REF!</v>
      </c>
      <c r="EO63" t="e">
        <f>AND(#REF!,"AAAAAHPz+5A=")</f>
        <v>#REF!</v>
      </c>
      <c r="EP63" t="e">
        <f>AND(#REF!,"AAAAAHPz+5E=")</f>
        <v>#REF!</v>
      </c>
      <c r="EQ63" t="e">
        <f>AND(#REF!,"AAAAAHPz+5I=")</f>
        <v>#REF!</v>
      </c>
      <c r="ER63" t="e">
        <f>AND(#REF!,"AAAAAHPz+5M=")</f>
        <v>#REF!</v>
      </c>
      <c r="ES63" t="e">
        <f>AND(#REF!,"AAAAAHPz+5Q=")</f>
        <v>#REF!</v>
      </c>
      <c r="ET63" t="e">
        <f>IF(#REF!,"AAAAAHPz+5U=",0)</f>
        <v>#REF!</v>
      </c>
      <c r="EU63" t="e">
        <f>AND(#REF!,"AAAAAHPz+5Y=")</f>
        <v>#REF!</v>
      </c>
      <c r="EV63" t="e">
        <f>AND(#REF!,"AAAAAHPz+5c=")</f>
        <v>#REF!</v>
      </c>
      <c r="EW63" t="e">
        <f>AND(#REF!,"AAAAAHPz+5g=")</f>
        <v>#REF!</v>
      </c>
      <c r="EX63" t="e">
        <f>AND(#REF!,"AAAAAHPz+5k=")</f>
        <v>#REF!</v>
      </c>
      <c r="EY63" t="e">
        <f>AND(#REF!,"AAAAAHPz+5o=")</f>
        <v>#REF!</v>
      </c>
      <c r="EZ63" t="e">
        <f>AND(#REF!,"AAAAAHPz+5s=")</f>
        <v>#REF!</v>
      </c>
      <c r="FA63" t="e">
        <f>AND(#REF!,"AAAAAHPz+5w=")</f>
        <v>#REF!</v>
      </c>
      <c r="FB63" t="e">
        <f>AND(#REF!,"AAAAAHPz+50=")</f>
        <v>#REF!</v>
      </c>
      <c r="FC63" t="e">
        <f>AND(#REF!,"AAAAAHPz+54=")</f>
        <v>#REF!</v>
      </c>
      <c r="FD63" t="e">
        <f>AND(#REF!,"AAAAAHPz+58=")</f>
        <v>#REF!</v>
      </c>
      <c r="FE63" t="e">
        <f>IF(#REF!,"AAAAAHPz+6A=",0)</f>
        <v>#REF!</v>
      </c>
      <c r="FF63" t="e">
        <f>AND(#REF!,"AAAAAHPz+6E=")</f>
        <v>#REF!</v>
      </c>
      <c r="FG63" t="e">
        <f>AND(#REF!,"AAAAAHPz+6I=")</f>
        <v>#REF!</v>
      </c>
      <c r="FH63" t="e">
        <f>AND(#REF!,"AAAAAHPz+6M=")</f>
        <v>#REF!</v>
      </c>
      <c r="FI63" t="e">
        <f>AND(#REF!,"AAAAAHPz+6Q=")</f>
        <v>#REF!</v>
      </c>
      <c r="FJ63" t="e">
        <f>AND(#REF!,"AAAAAHPz+6U=")</f>
        <v>#REF!</v>
      </c>
      <c r="FK63" t="e">
        <f>AND(#REF!,"AAAAAHPz+6Y=")</f>
        <v>#REF!</v>
      </c>
      <c r="FL63" t="e">
        <f>AND(#REF!,"AAAAAHPz+6c=")</f>
        <v>#REF!</v>
      </c>
      <c r="FM63" t="e">
        <f>AND(#REF!,"AAAAAHPz+6g=")</f>
        <v>#REF!</v>
      </c>
      <c r="FN63" t="e">
        <f>AND(#REF!,"AAAAAHPz+6k=")</f>
        <v>#REF!</v>
      </c>
      <c r="FO63" t="e">
        <f>AND(#REF!,"AAAAAHPz+6o=")</f>
        <v>#REF!</v>
      </c>
      <c r="FP63" t="e">
        <f>IF(#REF!,"AAAAAHPz+6s=",0)</f>
        <v>#REF!</v>
      </c>
      <c r="FQ63" t="e">
        <f>AND(#REF!,"AAAAAHPz+6w=")</f>
        <v>#REF!</v>
      </c>
      <c r="FR63" t="e">
        <f>AND(#REF!,"AAAAAHPz+60=")</f>
        <v>#REF!</v>
      </c>
      <c r="FS63" t="e">
        <f>AND(#REF!,"AAAAAHPz+64=")</f>
        <v>#REF!</v>
      </c>
      <c r="FT63" t="e">
        <f>AND(#REF!,"AAAAAHPz+68=")</f>
        <v>#REF!</v>
      </c>
      <c r="FU63" t="e">
        <f>AND(#REF!,"AAAAAHPz+7A=")</f>
        <v>#REF!</v>
      </c>
      <c r="FV63" t="e">
        <f>AND(#REF!,"AAAAAHPz+7E=")</f>
        <v>#REF!</v>
      </c>
      <c r="FW63" t="e">
        <f>AND(#REF!,"AAAAAHPz+7I=")</f>
        <v>#REF!</v>
      </c>
      <c r="FX63" t="e">
        <f>AND(#REF!,"AAAAAHPz+7M=")</f>
        <v>#REF!</v>
      </c>
      <c r="FY63" t="e">
        <f>AND(#REF!,"AAAAAHPz+7Q=")</f>
        <v>#REF!</v>
      </c>
      <c r="FZ63" t="e">
        <f>AND(#REF!,"AAAAAHPz+7U=")</f>
        <v>#REF!</v>
      </c>
      <c r="GA63" t="e">
        <f>IF(#REF!,"AAAAAHPz+7Y=",0)</f>
        <v>#REF!</v>
      </c>
      <c r="GB63" t="e">
        <f>AND(#REF!,"AAAAAHPz+7c=")</f>
        <v>#REF!</v>
      </c>
      <c r="GC63" t="e">
        <f>AND(#REF!,"AAAAAHPz+7g=")</f>
        <v>#REF!</v>
      </c>
      <c r="GD63" t="e">
        <f>AND(#REF!,"AAAAAHPz+7k=")</f>
        <v>#REF!</v>
      </c>
      <c r="GE63" t="e">
        <f>AND(#REF!,"AAAAAHPz+7o=")</f>
        <v>#REF!</v>
      </c>
      <c r="GF63" t="e">
        <f>AND(#REF!,"AAAAAHPz+7s=")</f>
        <v>#REF!</v>
      </c>
      <c r="GG63" t="e">
        <f>AND(#REF!,"AAAAAHPz+7w=")</f>
        <v>#REF!</v>
      </c>
      <c r="GH63" t="e">
        <f>AND(#REF!,"AAAAAHPz+70=")</f>
        <v>#REF!</v>
      </c>
      <c r="GI63" t="e">
        <f>AND(#REF!,"AAAAAHPz+74=")</f>
        <v>#REF!</v>
      </c>
      <c r="GJ63" t="e">
        <f>AND(#REF!,"AAAAAHPz+78=")</f>
        <v>#REF!</v>
      </c>
      <c r="GK63" t="e">
        <f>AND(#REF!,"AAAAAHPz+8A=")</f>
        <v>#REF!</v>
      </c>
      <c r="GL63" t="e">
        <f>IF(#REF!,"AAAAAHPz+8E=",0)</f>
        <v>#REF!</v>
      </c>
      <c r="GM63" t="e">
        <f>AND(#REF!,"AAAAAHPz+8I=")</f>
        <v>#REF!</v>
      </c>
      <c r="GN63" t="e">
        <f>AND(#REF!,"AAAAAHPz+8M=")</f>
        <v>#REF!</v>
      </c>
      <c r="GO63" t="e">
        <f>AND(#REF!,"AAAAAHPz+8Q=")</f>
        <v>#REF!</v>
      </c>
      <c r="GP63" t="e">
        <f>AND(#REF!,"AAAAAHPz+8U=")</f>
        <v>#REF!</v>
      </c>
      <c r="GQ63" t="e">
        <f>AND(#REF!,"AAAAAHPz+8Y=")</f>
        <v>#REF!</v>
      </c>
      <c r="GR63" t="e">
        <f>AND(#REF!,"AAAAAHPz+8c=")</f>
        <v>#REF!</v>
      </c>
      <c r="GS63" t="e">
        <f>AND(#REF!,"AAAAAHPz+8g=")</f>
        <v>#REF!</v>
      </c>
      <c r="GT63" t="e">
        <f>AND(#REF!,"AAAAAHPz+8k=")</f>
        <v>#REF!</v>
      </c>
      <c r="GU63" t="e">
        <f>AND(#REF!,"AAAAAHPz+8o=")</f>
        <v>#REF!</v>
      </c>
      <c r="GV63" t="e">
        <f>AND(#REF!,"AAAAAHPz+8s=")</f>
        <v>#REF!</v>
      </c>
      <c r="GW63" t="e">
        <f>IF(#REF!,"AAAAAHPz+8w=",0)</f>
        <v>#REF!</v>
      </c>
      <c r="GX63" t="e">
        <f>AND(#REF!,"AAAAAHPz+80=")</f>
        <v>#REF!</v>
      </c>
      <c r="GY63" t="e">
        <f>AND(#REF!,"AAAAAHPz+84=")</f>
        <v>#REF!</v>
      </c>
      <c r="GZ63" t="e">
        <f>AND(#REF!,"AAAAAHPz+88=")</f>
        <v>#REF!</v>
      </c>
      <c r="HA63" t="e">
        <f>AND(#REF!,"AAAAAHPz+9A=")</f>
        <v>#REF!</v>
      </c>
      <c r="HB63" t="e">
        <f>AND(#REF!,"AAAAAHPz+9E=")</f>
        <v>#REF!</v>
      </c>
      <c r="HC63" t="e">
        <f>AND(#REF!,"AAAAAHPz+9I=")</f>
        <v>#REF!</v>
      </c>
      <c r="HD63" t="e">
        <f>AND(#REF!,"AAAAAHPz+9M=")</f>
        <v>#REF!</v>
      </c>
      <c r="HE63" t="e">
        <f>AND(#REF!,"AAAAAHPz+9Q=")</f>
        <v>#REF!</v>
      </c>
      <c r="HF63" t="e">
        <f>AND(#REF!,"AAAAAHPz+9U=")</f>
        <v>#REF!</v>
      </c>
      <c r="HG63" t="e">
        <f>AND(#REF!,"AAAAAHPz+9Y=")</f>
        <v>#REF!</v>
      </c>
      <c r="HH63" t="e">
        <f>IF(#REF!,"AAAAAHPz+9c=",0)</f>
        <v>#REF!</v>
      </c>
      <c r="HI63" t="e">
        <f>AND(#REF!,"AAAAAHPz+9g=")</f>
        <v>#REF!</v>
      </c>
      <c r="HJ63" t="e">
        <f>AND(#REF!,"AAAAAHPz+9k=")</f>
        <v>#REF!</v>
      </c>
      <c r="HK63" t="e">
        <f>AND(#REF!,"AAAAAHPz+9o=")</f>
        <v>#REF!</v>
      </c>
      <c r="HL63" t="e">
        <f>AND(#REF!,"AAAAAHPz+9s=")</f>
        <v>#REF!</v>
      </c>
      <c r="HM63" t="e">
        <f>AND(#REF!,"AAAAAHPz+9w=")</f>
        <v>#REF!</v>
      </c>
      <c r="HN63" t="e">
        <f>AND(#REF!,"AAAAAHPz+90=")</f>
        <v>#REF!</v>
      </c>
      <c r="HO63" t="e">
        <f>AND(#REF!,"AAAAAHPz+94=")</f>
        <v>#REF!</v>
      </c>
      <c r="HP63" t="e">
        <f>AND(#REF!,"AAAAAHPz+98=")</f>
        <v>#REF!</v>
      </c>
      <c r="HQ63" t="e">
        <f>AND(#REF!,"AAAAAHPz++A=")</f>
        <v>#REF!</v>
      </c>
      <c r="HR63" t="e">
        <f>AND(#REF!,"AAAAAHPz++E=")</f>
        <v>#REF!</v>
      </c>
      <c r="HS63" t="e">
        <f>IF(#REF!,"AAAAAHPz++I=",0)</f>
        <v>#REF!</v>
      </c>
      <c r="HT63" t="e">
        <f>AND(#REF!,"AAAAAHPz++M=")</f>
        <v>#REF!</v>
      </c>
      <c r="HU63" t="e">
        <f>AND(#REF!,"AAAAAHPz++Q=")</f>
        <v>#REF!</v>
      </c>
      <c r="HV63" t="e">
        <f>AND(#REF!,"AAAAAHPz++U=")</f>
        <v>#REF!</v>
      </c>
      <c r="HW63" t="e">
        <f>AND(#REF!,"AAAAAHPz++Y=")</f>
        <v>#REF!</v>
      </c>
      <c r="HX63" t="e">
        <f>AND(#REF!,"AAAAAHPz++c=")</f>
        <v>#REF!</v>
      </c>
      <c r="HY63" t="e">
        <f>AND(#REF!,"AAAAAHPz++g=")</f>
        <v>#REF!</v>
      </c>
      <c r="HZ63" t="e">
        <f>AND(#REF!,"AAAAAHPz++k=")</f>
        <v>#REF!</v>
      </c>
      <c r="IA63" t="e">
        <f>AND(#REF!,"AAAAAHPz++o=")</f>
        <v>#REF!</v>
      </c>
      <c r="IB63" t="e">
        <f>AND(#REF!,"AAAAAHPz++s=")</f>
        <v>#REF!</v>
      </c>
      <c r="IC63" t="e">
        <f>AND(#REF!,"AAAAAHPz++w=")</f>
        <v>#REF!</v>
      </c>
      <c r="ID63" t="e">
        <f>IF(#REF!,"AAAAAHPz++0=",0)</f>
        <v>#REF!</v>
      </c>
      <c r="IE63" t="e">
        <f>AND(#REF!,"AAAAAHPz++4=")</f>
        <v>#REF!</v>
      </c>
      <c r="IF63" t="e">
        <f>AND(#REF!,"AAAAAHPz++8=")</f>
        <v>#REF!</v>
      </c>
      <c r="IG63" t="e">
        <f>AND(#REF!,"AAAAAHPz+/A=")</f>
        <v>#REF!</v>
      </c>
      <c r="IH63" t="e">
        <f>AND(#REF!,"AAAAAHPz+/E=")</f>
        <v>#REF!</v>
      </c>
      <c r="II63" t="e">
        <f>AND(#REF!,"AAAAAHPz+/I=")</f>
        <v>#REF!</v>
      </c>
      <c r="IJ63" t="e">
        <f>AND(#REF!,"AAAAAHPz+/M=")</f>
        <v>#REF!</v>
      </c>
      <c r="IK63" t="e">
        <f>AND(#REF!,"AAAAAHPz+/Q=")</f>
        <v>#REF!</v>
      </c>
      <c r="IL63" t="e">
        <f>AND(#REF!,"AAAAAHPz+/U=")</f>
        <v>#REF!</v>
      </c>
      <c r="IM63" t="e">
        <f>AND(#REF!,"AAAAAHPz+/Y=")</f>
        <v>#REF!</v>
      </c>
      <c r="IN63" t="e">
        <f>AND(#REF!,"AAAAAHPz+/c=")</f>
        <v>#REF!</v>
      </c>
      <c r="IO63" t="e">
        <f>IF(#REF!,"AAAAAHPz+/g=",0)</f>
        <v>#REF!</v>
      </c>
      <c r="IP63" t="e">
        <f>AND(#REF!,"AAAAAHPz+/k=")</f>
        <v>#REF!</v>
      </c>
      <c r="IQ63" t="e">
        <f>AND(#REF!,"AAAAAHPz+/o=")</f>
        <v>#REF!</v>
      </c>
      <c r="IR63" t="e">
        <f>AND(#REF!,"AAAAAHPz+/s=")</f>
        <v>#REF!</v>
      </c>
      <c r="IS63" t="e">
        <f>AND(#REF!,"AAAAAHPz+/w=")</f>
        <v>#REF!</v>
      </c>
      <c r="IT63" t="e">
        <f>AND(#REF!,"AAAAAHPz+/0=")</f>
        <v>#REF!</v>
      </c>
      <c r="IU63" t="e">
        <f>AND(#REF!,"AAAAAHPz+/4=")</f>
        <v>#REF!</v>
      </c>
      <c r="IV63" t="e">
        <f>AND(#REF!,"AAAAAHPz+/8=")</f>
        <v>#REF!</v>
      </c>
    </row>
    <row r="64" spans="1:256" x14ac:dyDescent="0.25">
      <c r="A64" t="e">
        <f>AND(#REF!,"AAAAADf/3gA=")</f>
        <v>#REF!</v>
      </c>
      <c r="B64" t="e">
        <f>AND(#REF!,"AAAAADf/3gE=")</f>
        <v>#REF!</v>
      </c>
      <c r="C64" t="e">
        <f>AND(#REF!,"AAAAADf/3gI=")</f>
        <v>#REF!</v>
      </c>
      <c r="D64" t="e">
        <f>IF(#REF!,"AAAAADf/3gM=",0)</f>
        <v>#REF!</v>
      </c>
      <c r="E64" t="e">
        <f>AND(#REF!,"AAAAADf/3gQ=")</f>
        <v>#REF!</v>
      </c>
      <c r="F64" t="e">
        <f>AND(#REF!,"AAAAADf/3gU=")</f>
        <v>#REF!</v>
      </c>
      <c r="G64" t="e">
        <f>AND(#REF!,"AAAAADf/3gY=")</f>
        <v>#REF!</v>
      </c>
      <c r="H64" t="e">
        <f>AND(#REF!,"AAAAADf/3gc=")</f>
        <v>#REF!</v>
      </c>
      <c r="I64" t="e">
        <f>AND(#REF!,"AAAAADf/3gg=")</f>
        <v>#REF!</v>
      </c>
      <c r="J64" t="e">
        <f>AND(#REF!,"AAAAADf/3gk=")</f>
        <v>#REF!</v>
      </c>
      <c r="K64" t="e">
        <f>AND(#REF!,"AAAAADf/3go=")</f>
        <v>#REF!</v>
      </c>
      <c r="L64" t="e">
        <f>AND(#REF!,"AAAAADf/3gs=")</f>
        <v>#REF!</v>
      </c>
      <c r="M64" t="e">
        <f>AND(#REF!,"AAAAADf/3gw=")</f>
        <v>#REF!</v>
      </c>
      <c r="N64" t="e">
        <f>AND(#REF!,"AAAAADf/3g0=")</f>
        <v>#REF!</v>
      </c>
      <c r="O64" t="e">
        <f>IF(#REF!,"AAAAADf/3g4=",0)</f>
        <v>#REF!</v>
      </c>
      <c r="P64" t="e">
        <f>AND(#REF!,"AAAAADf/3g8=")</f>
        <v>#REF!</v>
      </c>
      <c r="Q64" t="e">
        <f>AND(#REF!,"AAAAADf/3hA=")</f>
        <v>#REF!</v>
      </c>
      <c r="R64" t="e">
        <f>AND(#REF!,"AAAAADf/3hE=")</f>
        <v>#REF!</v>
      </c>
      <c r="S64" t="e">
        <f>AND(#REF!,"AAAAADf/3hI=")</f>
        <v>#REF!</v>
      </c>
      <c r="T64" t="e">
        <f>AND(#REF!,"AAAAADf/3hM=")</f>
        <v>#REF!</v>
      </c>
      <c r="U64" t="e">
        <f>AND(#REF!,"AAAAADf/3hQ=")</f>
        <v>#REF!</v>
      </c>
      <c r="V64" t="e">
        <f>AND(#REF!,"AAAAADf/3hU=")</f>
        <v>#REF!</v>
      </c>
      <c r="W64" t="e">
        <f>AND(#REF!,"AAAAADf/3hY=")</f>
        <v>#REF!</v>
      </c>
      <c r="X64" t="e">
        <f>AND(#REF!,"AAAAADf/3hc=")</f>
        <v>#REF!</v>
      </c>
      <c r="Y64" t="e">
        <f>AND(#REF!,"AAAAADf/3hg=")</f>
        <v>#REF!</v>
      </c>
      <c r="Z64" t="e">
        <f>IF(#REF!,"AAAAADf/3hk=",0)</f>
        <v>#REF!</v>
      </c>
      <c r="AA64" t="e">
        <f>AND(#REF!,"AAAAADf/3ho=")</f>
        <v>#REF!</v>
      </c>
      <c r="AB64" t="e">
        <f>AND(#REF!,"AAAAADf/3hs=")</f>
        <v>#REF!</v>
      </c>
      <c r="AC64" t="e">
        <f>AND(#REF!,"AAAAADf/3hw=")</f>
        <v>#REF!</v>
      </c>
      <c r="AD64" t="e">
        <f>AND(#REF!,"AAAAADf/3h0=")</f>
        <v>#REF!</v>
      </c>
      <c r="AE64" t="e">
        <f>AND(#REF!,"AAAAADf/3h4=")</f>
        <v>#REF!</v>
      </c>
      <c r="AF64" t="e">
        <f>AND(#REF!,"AAAAADf/3h8=")</f>
        <v>#REF!</v>
      </c>
      <c r="AG64" t="e">
        <f>AND(#REF!,"AAAAADf/3iA=")</f>
        <v>#REF!</v>
      </c>
      <c r="AH64" t="e">
        <f>AND(#REF!,"AAAAADf/3iE=")</f>
        <v>#REF!</v>
      </c>
      <c r="AI64" t="e">
        <f>AND(#REF!,"AAAAADf/3iI=")</f>
        <v>#REF!</v>
      </c>
      <c r="AJ64" t="e">
        <f>AND(#REF!,"AAAAADf/3iM=")</f>
        <v>#REF!</v>
      </c>
      <c r="AK64" t="e">
        <f>IF(#REF!,"AAAAADf/3iQ=",0)</f>
        <v>#REF!</v>
      </c>
      <c r="AL64" t="e">
        <f>AND(#REF!,"AAAAADf/3iU=")</f>
        <v>#REF!</v>
      </c>
      <c r="AM64" t="e">
        <f>AND(#REF!,"AAAAADf/3iY=")</f>
        <v>#REF!</v>
      </c>
      <c r="AN64" t="e">
        <f>AND(#REF!,"AAAAADf/3ic=")</f>
        <v>#REF!</v>
      </c>
      <c r="AO64" t="e">
        <f>AND(#REF!,"AAAAADf/3ig=")</f>
        <v>#REF!</v>
      </c>
      <c r="AP64" t="e">
        <f>AND(#REF!,"AAAAADf/3ik=")</f>
        <v>#REF!</v>
      </c>
      <c r="AQ64" t="e">
        <f>AND(#REF!,"AAAAADf/3io=")</f>
        <v>#REF!</v>
      </c>
      <c r="AR64" t="e">
        <f>AND(#REF!,"AAAAADf/3is=")</f>
        <v>#REF!</v>
      </c>
      <c r="AS64" t="e">
        <f>AND(#REF!,"AAAAADf/3iw=")</f>
        <v>#REF!</v>
      </c>
      <c r="AT64" t="e">
        <f>AND(#REF!,"AAAAADf/3i0=")</f>
        <v>#REF!</v>
      </c>
      <c r="AU64" t="e">
        <f>AND(#REF!,"AAAAADf/3i4=")</f>
        <v>#REF!</v>
      </c>
      <c r="AV64" t="e">
        <f>IF(#REF!,"AAAAADf/3i8=",0)</f>
        <v>#REF!</v>
      </c>
      <c r="AW64" t="e">
        <f>AND(#REF!,"AAAAADf/3jA=")</f>
        <v>#REF!</v>
      </c>
      <c r="AX64" t="e">
        <f>AND(#REF!,"AAAAADf/3jE=")</f>
        <v>#REF!</v>
      </c>
      <c r="AY64" t="e">
        <f>AND(#REF!,"AAAAADf/3jI=")</f>
        <v>#REF!</v>
      </c>
      <c r="AZ64" t="e">
        <f>AND(#REF!,"AAAAADf/3jM=")</f>
        <v>#REF!</v>
      </c>
      <c r="BA64" t="e">
        <f>AND(#REF!,"AAAAADf/3jQ=")</f>
        <v>#REF!</v>
      </c>
      <c r="BB64" t="e">
        <f>AND(#REF!,"AAAAADf/3jU=")</f>
        <v>#REF!</v>
      </c>
      <c r="BC64" t="e">
        <f>AND(#REF!,"AAAAADf/3jY=")</f>
        <v>#REF!</v>
      </c>
      <c r="BD64" t="e">
        <f>AND(#REF!,"AAAAADf/3jc=")</f>
        <v>#REF!</v>
      </c>
      <c r="BE64" t="e">
        <f>AND(#REF!,"AAAAADf/3jg=")</f>
        <v>#REF!</v>
      </c>
      <c r="BF64" t="e">
        <f>AND(#REF!,"AAAAADf/3jk=")</f>
        <v>#REF!</v>
      </c>
      <c r="BG64" t="e">
        <f>IF(#REF!,"AAAAADf/3jo=",0)</f>
        <v>#REF!</v>
      </c>
      <c r="BH64" t="e">
        <f>AND(#REF!,"AAAAADf/3js=")</f>
        <v>#REF!</v>
      </c>
      <c r="BI64" t="e">
        <f>AND(#REF!,"AAAAADf/3jw=")</f>
        <v>#REF!</v>
      </c>
      <c r="BJ64" t="e">
        <f>AND(#REF!,"AAAAADf/3j0=")</f>
        <v>#REF!</v>
      </c>
      <c r="BK64" t="e">
        <f>AND(#REF!,"AAAAADf/3j4=")</f>
        <v>#REF!</v>
      </c>
      <c r="BL64" t="e">
        <f>AND(#REF!,"AAAAADf/3j8=")</f>
        <v>#REF!</v>
      </c>
      <c r="BM64" t="e">
        <f>AND(#REF!,"AAAAADf/3kA=")</f>
        <v>#REF!</v>
      </c>
      <c r="BN64" t="e">
        <f>AND(#REF!,"AAAAADf/3kE=")</f>
        <v>#REF!</v>
      </c>
      <c r="BO64" t="e">
        <f>AND(#REF!,"AAAAADf/3kI=")</f>
        <v>#REF!</v>
      </c>
      <c r="BP64" t="e">
        <f>AND(#REF!,"AAAAADf/3kM=")</f>
        <v>#REF!</v>
      </c>
      <c r="BQ64" t="e">
        <f>AND(#REF!,"AAAAADf/3kQ=")</f>
        <v>#REF!</v>
      </c>
      <c r="BR64" t="e">
        <f>IF(#REF!,"AAAAADf/3kU=",0)</f>
        <v>#REF!</v>
      </c>
      <c r="BS64" t="e">
        <f>AND(#REF!,"AAAAADf/3kY=")</f>
        <v>#REF!</v>
      </c>
      <c r="BT64" t="e">
        <f>AND(#REF!,"AAAAADf/3kc=")</f>
        <v>#REF!</v>
      </c>
      <c r="BU64" t="e">
        <f>AND(#REF!,"AAAAADf/3kg=")</f>
        <v>#REF!</v>
      </c>
      <c r="BV64" t="e">
        <f>AND(#REF!,"AAAAADf/3kk=")</f>
        <v>#REF!</v>
      </c>
      <c r="BW64" t="e">
        <f>AND(#REF!,"AAAAADf/3ko=")</f>
        <v>#REF!</v>
      </c>
      <c r="BX64" t="e">
        <f>AND(#REF!,"AAAAADf/3ks=")</f>
        <v>#REF!</v>
      </c>
      <c r="BY64" t="e">
        <f>AND(#REF!,"AAAAADf/3kw=")</f>
        <v>#REF!</v>
      </c>
      <c r="BZ64" t="e">
        <f>AND(#REF!,"AAAAADf/3k0=")</f>
        <v>#REF!</v>
      </c>
      <c r="CA64" t="e">
        <f>AND(#REF!,"AAAAADf/3k4=")</f>
        <v>#REF!</v>
      </c>
      <c r="CB64" t="e">
        <f>AND(#REF!,"AAAAADf/3k8=")</f>
        <v>#REF!</v>
      </c>
      <c r="CC64" t="e">
        <f>IF(#REF!,"AAAAADf/3lA=",0)</f>
        <v>#REF!</v>
      </c>
      <c r="CD64" t="e">
        <f>AND(#REF!,"AAAAADf/3lE=")</f>
        <v>#REF!</v>
      </c>
      <c r="CE64" t="e">
        <f>AND(#REF!,"AAAAADf/3lI=")</f>
        <v>#REF!</v>
      </c>
      <c r="CF64" t="e">
        <f>AND(#REF!,"AAAAADf/3lM=")</f>
        <v>#REF!</v>
      </c>
      <c r="CG64" t="e">
        <f>AND(#REF!,"AAAAADf/3lQ=")</f>
        <v>#REF!</v>
      </c>
      <c r="CH64" t="e">
        <f>AND(#REF!,"AAAAADf/3lU=")</f>
        <v>#REF!</v>
      </c>
      <c r="CI64" t="e">
        <f>AND(#REF!,"AAAAADf/3lY=")</f>
        <v>#REF!</v>
      </c>
      <c r="CJ64" t="e">
        <f>AND(#REF!,"AAAAADf/3lc=")</f>
        <v>#REF!</v>
      </c>
      <c r="CK64" t="e">
        <f>AND(#REF!,"AAAAADf/3lg=")</f>
        <v>#REF!</v>
      </c>
      <c r="CL64" t="e">
        <f>AND(#REF!,"AAAAADf/3lk=")</f>
        <v>#REF!</v>
      </c>
      <c r="CM64" t="e">
        <f>AND(#REF!,"AAAAADf/3lo=")</f>
        <v>#REF!</v>
      </c>
      <c r="CN64" t="e">
        <f>IF(#REF!,"AAAAADf/3ls=",0)</f>
        <v>#REF!</v>
      </c>
      <c r="CO64" t="e">
        <f>AND(#REF!,"AAAAADf/3lw=")</f>
        <v>#REF!</v>
      </c>
      <c r="CP64" t="e">
        <f>AND(#REF!,"AAAAADf/3l0=")</f>
        <v>#REF!</v>
      </c>
      <c r="CQ64" t="e">
        <f>AND(#REF!,"AAAAADf/3l4=")</f>
        <v>#REF!</v>
      </c>
      <c r="CR64" t="e">
        <f>AND(#REF!,"AAAAADf/3l8=")</f>
        <v>#REF!</v>
      </c>
      <c r="CS64" t="e">
        <f>AND(#REF!,"AAAAADf/3mA=")</f>
        <v>#REF!</v>
      </c>
      <c r="CT64" t="e">
        <f>AND(#REF!,"AAAAADf/3mE=")</f>
        <v>#REF!</v>
      </c>
      <c r="CU64" t="e">
        <f>AND(#REF!,"AAAAADf/3mI=")</f>
        <v>#REF!</v>
      </c>
      <c r="CV64" t="e">
        <f>AND(#REF!,"AAAAADf/3mM=")</f>
        <v>#REF!</v>
      </c>
      <c r="CW64" t="e">
        <f>AND(#REF!,"AAAAADf/3mQ=")</f>
        <v>#REF!</v>
      </c>
      <c r="CX64" t="e">
        <f>AND(#REF!,"AAAAADf/3mU=")</f>
        <v>#REF!</v>
      </c>
      <c r="CY64" t="e">
        <f>IF(#REF!,"AAAAADf/3mY=",0)</f>
        <v>#REF!</v>
      </c>
      <c r="CZ64" t="e">
        <f>AND(#REF!,"AAAAADf/3mc=")</f>
        <v>#REF!</v>
      </c>
      <c r="DA64" t="e">
        <f>AND(#REF!,"AAAAADf/3mg=")</f>
        <v>#REF!</v>
      </c>
      <c r="DB64" t="e">
        <f>AND(#REF!,"AAAAADf/3mk=")</f>
        <v>#REF!</v>
      </c>
      <c r="DC64" t="e">
        <f>AND(#REF!,"AAAAADf/3mo=")</f>
        <v>#REF!</v>
      </c>
      <c r="DD64" t="e">
        <f>AND(#REF!,"AAAAADf/3ms=")</f>
        <v>#REF!</v>
      </c>
      <c r="DE64" t="e">
        <f>AND(#REF!,"AAAAADf/3mw=")</f>
        <v>#REF!</v>
      </c>
      <c r="DF64" t="e">
        <f>AND(#REF!,"AAAAADf/3m0=")</f>
        <v>#REF!</v>
      </c>
      <c r="DG64" t="e">
        <f>AND(#REF!,"AAAAADf/3m4=")</f>
        <v>#REF!</v>
      </c>
      <c r="DH64" t="e">
        <f>AND(#REF!,"AAAAADf/3m8=")</f>
        <v>#REF!</v>
      </c>
      <c r="DI64" t="e">
        <f>AND(#REF!,"AAAAADf/3nA=")</f>
        <v>#REF!</v>
      </c>
      <c r="DJ64" t="e">
        <f>IF(#REF!,"AAAAADf/3nE=",0)</f>
        <v>#REF!</v>
      </c>
      <c r="DK64" t="e">
        <f>AND(#REF!,"AAAAADf/3nI=")</f>
        <v>#REF!</v>
      </c>
      <c r="DL64" t="e">
        <f>AND(#REF!,"AAAAADf/3nM=")</f>
        <v>#REF!</v>
      </c>
      <c r="DM64" t="e">
        <f>AND(#REF!,"AAAAADf/3nQ=")</f>
        <v>#REF!</v>
      </c>
      <c r="DN64" t="e">
        <f>AND(#REF!,"AAAAADf/3nU=")</f>
        <v>#REF!</v>
      </c>
      <c r="DO64" t="e">
        <f>AND(#REF!,"AAAAADf/3nY=")</f>
        <v>#REF!</v>
      </c>
      <c r="DP64" t="e">
        <f>AND(#REF!,"AAAAADf/3nc=")</f>
        <v>#REF!</v>
      </c>
      <c r="DQ64" t="e">
        <f>AND(#REF!,"AAAAADf/3ng=")</f>
        <v>#REF!</v>
      </c>
      <c r="DR64" t="e">
        <f>AND(#REF!,"AAAAADf/3nk=")</f>
        <v>#REF!</v>
      </c>
      <c r="DS64" t="e">
        <f>AND(#REF!,"AAAAADf/3no=")</f>
        <v>#REF!</v>
      </c>
      <c r="DT64" t="e">
        <f>AND(#REF!,"AAAAADf/3ns=")</f>
        <v>#REF!</v>
      </c>
      <c r="DU64" t="e">
        <f>IF(#REF!,"AAAAADf/3nw=",0)</f>
        <v>#REF!</v>
      </c>
      <c r="DV64" t="e">
        <f>AND(#REF!,"AAAAADf/3n0=")</f>
        <v>#REF!</v>
      </c>
      <c r="DW64" t="e">
        <f>AND(#REF!,"AAAAADf/3n4=")</f>
        <v>#REF!</v>
      </c>
      <c r="DX64" t="e">
        <f>AND(#REF!,"AAAAADf/3n8=")</f>
        <v>#REF!</v>
      </c>
      <c r="DY64" t="e">
        <f>AND(#REF!,"AAAAADf/3oA=")</f>
        <v>#REF!</v>
      </c>
      <c r="DZ64" t="e">
        <f>AND(#REF!,"AAAAADf/3oE=")</f>
        <v>#REF!</v>
      </c>
      <c r="EA64" t="e">
        <f>AND(#REF!,"AAAAADf/3oI=")</f>
        <v>#REF!</v>
      </c>
      <c r="EB64" t="e">
        <f>AND(#REF!,"AAAAADf/3oM=")</f>
        <v>#REF!</v>
      </c>
      <c r="EC64" t="e">
        <f>AND(#REF!,"AAAAADf/3oQ=")</f>
        <v>#REF!</v>
      </c>
      <c r="ED64" t="e">
        <f>AND(#REF!,"AAAAADf/3oU=")</f>
        <v>#REF!</v>
      </c>
      <c r="EE64" t="e">
        <f>AND(#REF!,"AAAAADf/3oY=")</f>
        <v>#REF!</v>
      </c>
      <c r="EF64" t="e">
        <f>IF(#REF!,"AAAAADf/3oc=",0)</f>
        <v>#REF!</v>
      </c>
      <c r="EG64" t="e">
        <f>AND(#REF!,"AAAAADf/3og=")</f>
        <v>#REF!</v>
      </c>
      <c r="EH64" t="e">
        <f>AND(#REF!,"AAAAADf/3ok=")</f>
        <v>#REF!</v>
      </c>
      <c r="EI64" t="e">
        <f>AND(#REF!,"AAAAADf/3oo=")</f>
        <v>#REF!</v>
      </c>
      <c r="EJ64" t="e">
        <f>AND(#REF!,"AAAAADf/3os=")</f>
        <v>#REF!</v>
      </c>
      <c r="EK64" t="e">
        <f>AND(#REF!,"AAAAADf/3ow=")</f>
        <v>#REF!</v>
      </c>
      <c r="EL64" t="e">
        <f>AND(#REF!,"AAAAADf/3o0=")</f>
        <v>#REF!</v>
      </c>
      <c r="EM64" t="e">
        <f>AND(#REF!,"AAAAADf/3o4=")</f>
        <v>#REF!</v>
      </c>
      <c r="EN64" t="e">
        <f>AND(#REF!,"AAAAADf/3o8=")</f>
        <v>#REF!</v>
      </c>
      <c r="EO64" t="e">
        <f>AND(#REF!,"AAAAADf/3pA=")</f>
        <v>#REF!</v>
      </c>
      <c r="EP64" t="e">
        <f>AND(#REF!,"AAAAADf/3pE=")</f>
        <v>#REF!</v>
      </c>
      <c r="EQ64" t="e">
        <f>IF(#REF!,"AAAAADf/3pI=",0)</f>
        <v>#REF!</v>
      </c>
      <c r="ER64" t="e">
        <f>AND(#REF!,"AAAAADf/3pM=")</f>
        <v>#REF!</v>
      </c>
      <c r="ES64" t="e">
        <f>AND(#REF!,"AAAAADf/3pQ=")</f>
        <v>#REF!</v>
      </c>
      <c r="ET64" t="e">
        <f>AND(#REF!,"AAAAADf/3pU=")</f>
        <v>#REF!</v>
      </c>
      <c r="EU64" t="e">
        <f>AND(#REF!,"AAAAADf/3pY=")</f>
        <v>#REF!</v>
      </c>
      <c r="EV64" t="e">
        <f>AND(#REF!,"AAAAADf/3pc=")</f>
        <v>#REF!</v>
      </c>
      <c r="EW64" t="e">
        <f>AND(#REF!,"AAAAADf/3pg=")</f>
        <v>#REF!</v>
      </c>
      <c r="EX64" t="e">
        <f>AND(#REF!,"AAAAADf/3pk=")</f>
        <v>#REF!</v>
      </c>
      <c r="EY64" t="e">
        <f>AND(#REF!,"AAAAADf/3po=")</f>
        <v>#REF!</v>
      </c>
      <c r="EZ64" t="e">
        <f>AND(#REF!,"AAAAADf/3ps=")</f>
        <v>#REF!</v>
      </c>
      <c r="FA64" t="e">
        <f>AND(#REF!,"AAAAADf/3pw=")</f>
        <v>#REF!</v>
      </c>
      <c r="FB64" t="e">
        <f>IF(#REF!,"AAAAADf/3p0=",0)</f>
        <v>#REF!</v>
      </c>
      <c r="FC64" t="e">
        <f>AND(#REF!,"AAAAADf/3p4=")</f>
        <v>#REF!</v>
      </c>
      <c r="FD64" t="e">
        <f>AND(#REF!,"AAAAADf/3p8=")</f>
        <v>#REF!</v>
      </c>
      <c r="FE64" t="e">
        <f>AND(#REF!,"AAAAADf/3qA=")</f>
        <v>#REF!</v>
      </c>
      <c r="FF64" t="e">
        <f>AND(#REF!,"AAAAADf/3qE=")</f>
        <v>#REF!</v>
      </c>
      <c r="FG64" t="e">
        <f>AND(#REF!,"AAAAADf/3qI=")</f>
        <v>#REF!</v>
      </c>
      <c r="FH64" t="e">
        <f>AND(#REF!,"AAAAADf/3qM=")</f>
        <v>#REF!</v>
      </c>
      <c r="FI64" t="e">
        <f>AND(#REF!,"AAAAADf/3qQ=")</f>
        <v>#REF!</v>
      </c>
      <c r="FJ64" t="e">
        <f>AND(#REF!,"AAAAADf/3qU=")</f>
        <v>#REF!</v>
      </c>
      <c r="FK64" t="e">
        <f>AND(#REF!,"AAAAADf/3qY=")</f>
        <v>#REF!</v>
      </c>
      <c r="FL64" t="e">
        <f>AND(#REF!,"AAAAADf/3qc=")</f>
        <v>#REF!</v>
      </c>
      <c r="FM64" t="e">
        <f>IF(#REF!,"AAAAADf/3qg=",0)</f>
        <v>#REF!</v>
      </c>
      <c r="FN64" t="e">
        <f>AND(#REF!,"AAAAADf/3qk=")</f>
        <v>#REF!</v>
      </c>
      <c r="FO64" t="e">
        <f>AND(#REF!,"AAAAADf/3qo=")</f>
        <v>#REF!</v>
      </c>
      <c r="FP64" t="e">
        <f>AND(#REF!,"AAAAADf/3qs=")</f>
        <v>#REF!</v>
      </c>
      <c r="FQ64" t="e">
        <f>AND(#REF!,"AAAAADf/3qw=")</f>
        <v>#REF!</v>
      </c>
      <c r="FR64" t="e">
        <f>AND(#REF!,"AAAAADf/3q0=")</f>
        <v>#REF!</v>
      </c>
      <c r="FS64" t="e">
        <f>AND(#REF!,"AAAAADf/3q4=")</f>
        <v>#REF!</v>
      </c>
      <c r="FT64" t="e">
        <f>AND(#REF!,"AAAAADf/3q8=")</f>
        <v>#REF!</v>
      </c>
      <c r="FU64" t="e">
        <f>AND(#REF!,"AAAAADf/3rA=")</f>
        <v>#REF!</v>
      </c>
      <c r="FV64" t="e">
        <f>AND(#REF!,"AAAAADf/3rE=")</f>
        <v>#REF!</v>
      </c>
      <c r="FW64" t="e">
        <f>AND(#REF!,"AAAAADf/3rI=")</f>
        <v>#REF!</v>
      </c>
      <c r="FX64" t="e">
        <f>IF(#REF!,"AAAAADf/3rM=",0)</f>
        <v>#REF!</v>
      </c>
      <c r="FY64" t="e">
        <f>AND(#REF!,"AAAAADf/3rQ=")</f>
        <v>#REF!</v>
      </c>
      <c r="FZ64" t="e">
        <f>AND(#REF!,"AAAAADf/3rU=")</f>
        <v>#REF!</v>
      </c>
      <c r="GA64" t="e">
        <f>AND(#REF!,"AAAAADf/3rY=")</f>
        <v>#REF!</v>
      </c>
      <c r="GB64" t="e">
        <f>AND(#REF!,"AAAAADf/3rc=")</f>
        <v>#REF!</v>
      </c>
      <c r="GC64" t="e">
        <f>AND(#REF!,"AAAAADf/3rg=")</f>
        <v>#REF!</v>
      </c>
      <c r="GD64" t="e">
        <f>AND(#REF!,"AAAAADf/3rk=")</f>
        <v>#REF!</v>
      </c>
      <c r="GE64" t="e">
        <f>AND(#REF!,"AAAAADf/3ro=")</f>
        <v>#REF!</v>
      </c>
      <c r="GF64" t="e">
        <f>AND(#REF!,"AAAAADf/3rs=")</f>
        <v>#REF!</v>
      </c>
      <c r="GG64" t="e">
        <f>AND(#REF!,"AAAAADf/3rw=")</f>
        <v>#REF!</v>
      </c>
      <c r="GH64" t="e">
        <f>AND(#REF!,"AAAAADf/3r0=")</f>
        <v>#REF!</v>
      </c>
      <c r="GI64" t="e">
        <f>IF(#REF!,"AAAAADf/3r4=",0)</f>
        <v>#REF!</v>
      </c>
      <c r="GJ64" t="e">
        <f>AND(#REF!,"AAAAADf/3r8=")</f>
        <v>#REF!</v>
      </c>
      <c r="GK64" t="e">
        <f>AND(#REF!,"AAAAADf/3sA=")</f>
        <v>#REF!</v>
      </c>
      <c r="GL64" t="e">
        <f>AND(#REF!,"AAAAADf/3sE=")</f>
        <v>#REF!</v>
      </c>
      <c r="GM64" t="e">
        <f>AND(#REF!,"AAAAADf/3sI=")</f>
        <v>#REF!</v>
      </c>
      <c r="GN64" t="e">
        <f>AND(#REF!,"AAAAADf/3sM=")</f>
        <v>#REF!</v>
      </c>
      <c r="GO64" t="e">
        <f>AND(#REF!,"AAAAADf/3sQ=")</f>
        <v>#REF!</v>
      </c>
      <c r="GP64" t="e">
        <f>AND(#REF!,"AAAAADf/3sU=")</f>
        <v>#REF!</v>
      </c>
      <c r="GQ64" t="e">
        <f>AND(#REF!,"AAAAADf/3sY=")</f>
        <v>#REF!</v>
      </c>
      <c r="GR64" t="e">
        <f>AND(#REF!,"AAAAADf/3sc=")</f>
        <v>#REF!</v>
      </c>
      <c r="GS64" t="e">
        <f>AND(#REF!,"AAAAADf/3sg=")</f>
        <v>#REF!</v>
      </c>
      <c r="GT64" t="e">
        <f>IF(#REF!,"AAAAADf/3sk=",0)</f>
        <v>#REF!</v>
      </c>
      <c r="GU64" t="e">
        <f>AND(#REF!,"AAAAADf/3so=")</f>
        <v>#REF!</v>
      </c>
      <c r="GV64" t="e">
        <f>AND(#REF!,"AAAAADf/3ss=")</f>
        <v>#REF!</v>
      </c>
      <c r="GW64" t="e">
        <f>AND(#REF!,"AAAAADf/3sw=")</f>
        <v>#REF!</v>
      </c>
      <c r="GX64" t="e">
        <f>AND(#REF!,"AAAAADf/3s0=")</f>
        <v>#REF!</v>
      </c>
      <c r="GY64" t="e">
        <f>AND(#REF!,"AAAAADf/3s4=")</f>
        <v>#REF!</v>
      </c>
      <c r="GZ64" t="e">
        <f>AND(#REF!,"AAAAADf/3s8=")</f>
        <v>#REF!</v>
      </c>
      <c r="HA64" t="e">
        <f>AND(#REF!,"AAAAADf/3tA=")</f>
        <v>#REF!</v>
      </c>
      <c r="HB64" t="e">
        <f>AND(#REF!,"AAAAADf/3tE=")</f>
        <v>#REF!</v>
      </c>
      <c r="HC64" t="e">
        <f>AND(#REF!,"AAAAADf/3tI=")</f>
        <v>#REF!</v>
      </c>
      <c r="HD64" t="e">
        <f>AND(#REF!,"AAAAADf/3tM=")</f>
        <v>#REF!</v>
      </c>
      <c r="HE64" t="e">
        <f>IF(#REF!,"AAAAADf/3tQ=",0)</f>
        <v>#REF!</v>
      </c>
      <c r="HF64" t="e">
        <f>AND(#REF!,"AAAAADf/3tU=")</f>
        <v>#REF!</v>
      </c>
      <c r="HG64" t="e">
        <f>AND(#REF!,"AAAAADf/3tY=")</f>
        <v>#REF!</v>
      </c>
      <c r="HH64" t="e">
        <f>AND(#REF!,"AAAAADf/3tc=")</f>
        <v>#REF!</v>
      </c>
      <c r="HI64" t="e">
        <f>AND(#REF!,"AAAAADf/3tg=")</f>
        <v>#REF!</v>
      </c>
      <c r="HJ64" t="e">
        <f>AND(#REF!,"AAAAADf/3tk=")</f>
        <v>#REF!</v>
      </c>
      <c r="HK64" t="e">
        <f>AND(#REF!,"AAAAADf/3to=")</f>
        <v>#REF!</v>
      </c>
      <c r="HL64" t="e">
        <f>AND(#REF!,"AAAAADf/3ts=")</f>
        <v>#REF!</v>
      </c>
      <c r="HM64" t="e">
        <f>AND(#REF!,"AAAAADf/3tw=")</f>
        <v>#REF!</v>
      </c>
      <c r="HN64" t="e">
        <f>AND(#REF!,"AAAAADf/3t0=")</f>
        <v>#REF!</v>
      </c>
      <c r="HO64" t="e">
        <f>AND(#REF!,"AAAAADf/3t4=")</f>
        <v>#REF!</v>
      </c>
      <c r="HP64" t="e">
        <f>IF(#REF!,"AAAAADf/3t8=",0)</f>
        <v>#REF!</v>
      </c>
      <c r="HQ64" t="e">
        <f>AND(#REF!,"AAAAADf/3uA=")</f>
        <v>#REF!</v>
      </c>
      <c r="HR64" t="e">
        <f>AND(#REF!,"AAAAADf/3uE=")</f>
        <v>#REF!</v>
      </c>
      <c r="HS64" t="e">
        <f>AND(#REF!,"AAAAADf/3uI=")</f>
        <v>#REF!</v>
      </c>
      <c r="HT64" t="e">
        <f>AND(#REF!,"AAAAADf/3uM=")</f>
        <v>#REF!</v>
      </c>
      <c r="HU64" t="e">
        <f>AND(#REF!,"AAAAADf/3uQ=")</f>
        <v>#REF!</v>
      </c>
      <c r="HV64" t="e">
        <f>AND(#REF!,"AAAAADf/3uU=")</f>
        <v>#REF!</v>
      </c>
      <c r="HW64" t="e">
        <f>AND(#REF!,"AAAAADf/3uY=")</f>
        <v>#REF!</v>
      </c>
      <c r="HX64" t="e">
        <f>AND(#REF!,"AAAAADf/3uc=")</f>
        <v>#REF!</v>
      </c>
      <c r="HY64" t="e">
        <f>AND(#REF!,"AAAAADf/3ug=")</f>
        <v>#REF!</v>
      </c>
      <c r="HZ64" t="e">
        <f>AND(#REF!,"AAAAADf/3uk=")</f>
        <v>#REF!</v>
      </c>
      <c r="IA64" t="e">
        <f>IF(#REF!,"AAAAADf/3uo=",0)</f>
        <v>#REF!</v>
      </c>
      <c r="IB64" t="e">
        <f>AND(#REF!,"AAAAADf/3us=")</f>
        <v>#REF!</v>
      </c>
      <c r="IC64" t="e">
        <f>AND(#REF!,"AAAAADf/3uw=")</f>
        <v>#REF!</v>
      </c>
      <c r="ID64" t="e">
        <f>AND(#REF!,"AAAAADf/3u0=")</f>
        <v>#REF!</v>
      </c>
      <c r="IE64" t="e">
        <f>AND(#REF!,"AAAAADf/3u4=")</f>
        <v>#REF!</v>
      </c>
      <c r="IF64" t="e">
        <f>AND(#REF!,"AAAAADf/3u8=")</f>
        <v>#REF!</v>
      </c>
      <c r="IG64" t="e">
        <f>AND(#REF!,"AAAAADf/3vA=")</f>
        <v>#REF!</v>
      </c>
      <c r="IH64" t="e">
        <f>AND(#REF!,"AAAAADf/3vE=")</f>
        <v>#REF!</v>
      </c>
      <c r="II64" t="e">
        <f>AND(#REF!,"AAAAADf/3vI=")</f>
        <v>#REF!</v>
      </c>
      <c r="IJ64" t="e">
        <f>AND(#REF!,"AAAAADf/3vM=")</f>
        <v>#REF!</v>
      </c>
      <c r="IK64" t="e">
        <f>AND(#REF!,"AAAAADf/3vQ=")</f>
        <v>#REF!</v>
      </c>
      <c r="IL64" t="e">
        <f>IF(#REF!,"AAAAADf/3vU=",0)</f>
        <v>#REF!</v>
      </c>
      <c r="IM64" t="e">
        <f>AND(#REF!,"AAAAADf/3vY=")</f>
        <v>#REF!</v>
      </c>
      <c r="IN64" t="e">
        <f>AND(#REF!,"AAAAADf/3vc=")</f>
        <v>#REF!</v>
      </c>
      <c r="IO64" t="e">
        <f>AND(#REF!,"AAAAADf/3vg=")</f>
        <v>#REF!</v>
      </c>
      <c r="IP64" t="e">
        <f>AND(#REF!,"AAAAADf/3vk=")</f>
        <v>#REF!</v>
      </c>
      <c r="IQ64" t="e">
        <f>AND(#REF!,"AAAAADf/3vo=")</f>
        <v>#REF!</v>
      </c>
      <c r="IR64" t="e">
        <f>AND(#REF!,"AAAAADf/3vs=")</f>
        <v>#REF!</v>
      </c>
      <c r="IS64" t="e">
        <f>AND(#REF!,"AAAAADf/3vw=")</f>
        <v>#REF!</v>
      </c>
      <c r="IT64" t="e">
        <f>AND(#REF!,"AAAAADf/3v0=")</f>
        <v>#REF!</v>
      </c>
      <c r="IU64" t="e">
        <f>AND(#REF!,"AAAAADf/3v4=")</f>
        <v>#REF!</v>
      </c>
      <c r="IV64" t="e">
        <f>AND(#REF!,"AAAAADf/3v8=")</f>
        <v>#REF!</v>
      </c>
    </row>
    <row r="65" spans="1:256" x14ac:dyDescent="0.25">
      <c r="A65" t="e">
        <f>IF(#REF!,"AAAAAAf/swA=",0)</f>
        <v>#REF!</v>
      </c>
      <c r="B65" t="e">
        <f>AND(#REF!,"AAAAAAf/swE=")</f>
        <v>#REF!</v>
      </c>
      <c r="C65" t="e">
        <f>AND(#REF!,"AAAAAAf/swI=")</f>
        <v>#REF!</v>
      </c>
      <c r="D65" t="e">
        <f>AND(#REF!,"AAAAAAf/swM=")</f>
        <v>#REF!</v>
      </c>
      <c r="E65" t="e">
        <f>AND(#REF!,"AAAAAAf/swQ=")</f>
        <v>#REF!</v>
      </c>
      <c r="F65" t="e">
        <f>AND(#REF!,"AAAAAAf/swU=")</f>
        <v>#REF!</v>
      </c>
      <c r="G65" t="e">
        <f>AND(#REF!,"AAAAAAf/swY=")</f>
        <v>#REF!</v>
      </c>
      <c r="H65" t="e">
        <f>AND(#REF!,"AAAAAAf/swc=")</f>
        <v>#REF!</v>
      </c>
      <c r="I65" t="e">
        <f>AND(#REF!,"AAAAAAf/swg=")</f>
        <v>#REF!</v>
      </c>
      <c r="J65" t="e">
        <f>AND(#REF!,"AAAAAAf/swk=")</f>
        <v>#REF!</v>
      </c>
      <c r="K65" t="e">
        <f>AND(#REF!,"AAAAAAf/swo=")</f>
        <v>#REF!</v>
      </c>
      <c r="L65" t="e">
        <f>IF(#REF!,"AAAAAAf/sws=",0)</f>
        <v>#REF!</v>
      </c>
      <c r="M65" t="e">
        <f>AND(#REF!,"AAAAAAf/sww=")</f>
        <v>#REF!</v>
      </c>
      <c r="N65" t="e">
        <f>AND(#REF!,"AAAAAAf/sw0=")</f>
        <v>#REF!</v>
      </c>
      <c r="O65" t="e">
        <f>AND(#REF!,"AAAAAAf/sw4=")</f>
        <v>#REF!</v>
      </c>
      <c r="P65" t="e">
        <f>AND(#REF!,"AAAAAAf/sw8=")</f>
        <v>#REF!</v>
      </c>
      <c r="Q65" t="e">
        <f>AND(#REF!,"AAAAAAf/sxA=")</f>
        <v>#REF!</v>
      </c>
      <c r="R65" t="e">
        <f>AND(#REF!,"AAAAAAf/sxE=")</f>
        <v>#REF!</v>
      </c>
      <c r="S65" t="e">
        <f>AND(#REF!,"AAAAAAf/sxI=")</f>
        <v>#REF!</v>
      </c>
      <c r="T65" t="e">
        <f>AND(#REF!,"AAAAAAf/sxM=")</f>
        <v>#REF!</v>
      </c>
      <c r="U65" t="e">
        <f>AND(#REF!,"AAAAAAf/sxQ=")</f>
        <v>#REF!</v>
      </c>
      <c r="V65" t="e">
        <f>AND(#REF!,"AAAAAAf/sxU=")</f>
        <v>#REF!</v>
      </c>
      <c r="W65" t="e">
        <f>IF(#REF!,"AAAAAAf/sxY=",0)</f>
        <v>#REF!</v>
      </c>
      <c r="X65" t="e">
        <f>AND(#REF!,"AAAAAAf/sxc=")</f>
        <v>#REF!</v>
      </c>
      <c r="Y65" t="e">
        <f>AND(#REF!,"AAAAAAf/sxg=")</f>
        <v>#REF!</v>
      </c>
      <c r="Z65" t="e">
        <f>AND(#REF!,"AAAAAAf/sxk=")</f>
        <v>#REF!</v>
      </c>
      <c r="AA65" t="e">
        <f>AND(#REF!,"AAAAAAf/sxo=")</f>
        <v>#REF!</v>
      </c>
      <c r="AB65" t="e">
        <f>AND(#REF!,"AAAAAAf/sxs=")</f>
        <v>#REF!</v>
      </c>
      <c r="AC65" t="e">
        <f>AND(#REF!,"AAAAAAf/sxw=")</f>
        <v>#REF!</v>
      </c>
      <c r="AD65" t="e">
        <f>AND(#REF!,"AAAAAAf/sx0=")</f>
        <v>#REF!</v>
      </c>
      <c r="AE65" t="e">
        <f>AND(#REF!,"AAAAAAf/sx4=")</f>
        <v>#REF!</v>
      </c>
      <c r="AF65" t="e">
        <f>AND(#REF!,"AAAAAAf/sx8=")</f>
        <v>#REF!</v>
      </c>
      <c r="AG65" t="e">
        <f>AND(#REF!,"AAAAAAf/syA=")</f>
        <v>#REF!</v>
      </c>
      <c r="AH65" t="e">
        <f>IF(#REF!,"AAAAAAf/syE=",0)</f>
        <v>#REF!</v>
      </c>
      <c r="AI65" t="e">
        <f>AND(#REF!,"AAAAAAf/syI=")</f>
        <v>#REF!</v>
      </c>
      <c r="AJ65" t="e">
        <f>AND(#REF!,"AAAAAAf/syM=")</f>
        <v>#REF!</v>
      </c>
      <c r="AK65" t="e">
        <f>AND(#REF!,"AAAAAAf/syQ=")</f>
        <v>#REF!</v>
      </c>
      <c r="AL65" t="e">
        <f>AND(#REF!,"AAAAAAf/syU=")</f>
        <v>#REF!</v>
      </c>
      <c r="AM65" t="e">
        <f>AND(#REF!,"AAAAAAf/syY=")</f>
        <v>#REF!</v>
      </c>
      <c r="AN65" t="e">
        <f>AND(#REF!,"AAAAAAf/syc=")</f>
        <v>#REF!</v>
      </c>
      <c r="AO65" t="e">
        <f>AND(#REF!,"AAAAAAf/syg=")</f>
        <v>#REF!</v>
      </c>
      <c r="AP65" t="e">
        <f>AND(#REF!,"AAAAAAf/syk=")</f>
        <v>#REF!</v>
      </c>
      <c r="AQ65" t="e">
        <f>AND(#REF!,"AAAAAAf/syo=")</f>
        <v>#REF!</v>
      </c>
      <c r="AR65" t="e">
        <f>AND(#REF!,"AAAAAAf/sys=")</f>
        <v>#REF!</v>
      </c>
      <c r="AS65" t="e">
        <f>IF(#REF!,"AAAAAAf/syw=",0)</f>
        <v>#REF!</v>
      </c>
      <c r="AT65" t="e">
        <f>AND(#REF!,"AAAAAAf/sy0=")</f>
        <v>#REF!</v>
      </c>
      <c r="AU65" t="e">
        <f>AND(#REF!,"AAAAAAf/sy4=")</f>
        <v>#REF!</v>
      </c>
      <c r="AV65" t="e">
        <f>AND(#REF!,"AAAAAAf/sy8=")</f>
        <v>#REF!</v>
      </c>
      <c r="AW65" t="e">
        <f>AND(#REF!,"AAAAAAf/szA=")</f>
        <v>#REF!</v>
      </c>
      <c r="AX65" t="e">
        <f>AND(#REF!,"AAAAAAf/szE=")</f>
        <v>#REF!</v>
      </c>
      <c r="AY65" t="e">
        <f>AND(#REF!,"AAAAAAf/szI=")</f>
        <v>#REF!</v>
      </c>
      <c r="AZ65" t="e">
        <f>AND(#REF!,"AAAAAAf/szM=")</f>
        <v>#REF!</v>
      </c>
      <c r="BA65" t="e">
        <f>AND(#REF!,"AAAAAAf/szQ=")</f>
        <v>#REF!</v>
      </c>
      <c r="BB65" t="e">
        <f>AND(#REF!,"AAAAAAf/szU=")</f>
        <v>#REF!</v>
      </c>
      <c r="BC65" t="e">
        <f>AND(#REF!,"AAAAAAf/szY=")</f>
        <v>#REF!</v>
      </c>
      <c r="BD65" t="e">
        <f>IF(#REF!,"AAAAAAf/szc=",0)</f>
        <v>#REF!</v>
      </c>
      <c r="BE65" t="e">
        <f>AND(#REF!,"AAAAAAf/szg=")</f>
        <v>#REF!</v>
      </c>
      <c r="BF65" t="e">
        <f>AND(#REF!,"AAAAAAf/szk=")</f>
        <v>#REF!</v>
      </c>
      <c r="BG65" t="e">
        <f>AND(#REF!,"AAAAAAf/szo=")</f>
        <v>#REF!</v>
      </c>
      <c r="BH65" t="e">
        <f>AND(#REF!,"AAAAAAf/szs=")</f>
        <v>#REF!</v>
      </c>
      <c r="BI65" t="e">
        <f>AND(#REF!,"AAAAAAf/szw=")</f>
        <v>#REF!</v>
      </c>
      <c r="BJ65" t="e">
        <f>AND(#REF!,"AAAAAAf/sz0=")</f>
        <v>#REF!</v>
      </c>
      <c r="BK65" t="e">
        <f>AND(#REF!,"AAAAAAf/sz4=")</f>
        <v>#REF!</v>
      </c>
      <c r="BL65" t="e">
        <f>AND(#REF!,"AAAAAAf/sz8=")</f>
        <v>#REF!</v>
      </c>
      <c r="BM65" t="e">
        <f>AND(#REF!,"AAAAAAf/s0A=")</f>
        <v>#REF!</v>
      </c>
      <c r="BN65" t="e">
        <f>AND(#REF!,"AAAAAAf/s0E=")</f>
        <v>#REF!</v>
      </c>
      <c r="BO65" t="e">
        <f>IF(#REF!,"AAAAAAf/s0I=",0)</f>
        <v>#REF!</v>
      </c>
      <c r="BP65" t="e">
        <f>AND(#REF!,"AAAAAAf/s0M=")</f>
        <v>#REF!</v>
      </c>
      <c r="BQ65" t="e">
        <f>AND(#REF!,"AAAAAAf/s0Q=")</f>
        <v>#REF!</v>
      </c>
      <c r="BR65" t="e">
        <f>AND(#REF!,"AAAAAAf/s0U=")</f>
        <v>#REF!</v>
      </c>
      <c r="BS65" t="e">
        <f>AND(#REF!,"AAAAAAf/s0Y=")</f>
        <v>#REF!</v>
      </c>
      <c r="BT65" t="e">
        <f>AND(#REF!,"AAAAAAf/s0c=")</f>
        <v>#REF!</v>
      </c>
      <c r="BU65" t="e">
        <f>AND(#REF!,"AAAAAAf/s0g=")</f>
        <v>#REF!</v>
      </c>
      <c r="BV65" t="e">
        <f>AND(#REF!,"AAAAAAf/s0k=")</f>
        <v>#REF!</v>
      </c>
      <c r="BW65" t="e">
        <f>AND(#REF!,"AAAAAAf/s0o=")</f>
        <v>#REF!</v>
      </c>
      <c r="BX65" t="e">
        <f>AND(#REF!,"AAAAAAf/s0s=")</f>
        <v>#REF!</v>
      </c>
      <c r="BY65" t="e">
        <f>AND(#REF!,"AAAAAAf/s0w=")</f>
        <v>#REF!</v>
      </c>
      <c r="BZ65" t="e">
        <f>IF(#REF!,"AAAAAAf/s00=",0)</f>
        <v>#REF!</v>
      </c>
      <c r="CA65" t="e">
        <f>AND(#REF!,"AAAAAAf/s04=")</f>
        <v>#REF!</v>
      </c>
      <c r="CB65" t="e">
        <f>AND(#REF!,"AAAAAAf/s08=")</f>
        <v>#REF!</v>
      </c>
      <c r="CC65" t="e">
        <f>AND(#REF!,"AAAAAAf/s1A=")</f>
        <v>#REF!</v>
      </c>
      <c r="CD65" t="e">
        <f>AND(#REF!,"AAAAAAf/s1E=")</f>
        <v>#REF!</v>
      </c>
      <c r="CE65" t="e">
        <f>AND(#REF!,"AAAAAAf/s1I=")</f>
        <v>#REF!</v>
      </c>
      <c r="CF65" t="e">
        <f>AND(#REF!,"AAAAAAf/s1M=")</f>
        <v>#REF!</v>
      </c>
      <c r="CG65" t="e">
        <f>AND(#REF!,"AAAAAAf/s1Q=")</f>
        <v>#REF!</v>
      </c>
      <c r="CH65" t="e">
        <f>AND(#REF!,"AAAAAAf/s1U=")</f>
        <v>#REF!</v>
      </c>
      <c r="CI65" t="e">
        <f>AND(#REF!,"AAAAAAf/s1Y=")</f>
        <v>#REF!</v>
      </c>
      <c r="CJ65" t="e">
        <f>AND(#REF!,"AAAAAAf/s1c=")</f>
        <v>#REF!</v>
      </c>
      <c r="CK65" t="e">
        <f>IF(#REF!,"AAAAAAf/s1g=",0)</f>
        <v>#REF!</v>
      </c>
      <c r="CL65" t="e">
        <f>AND(#REF!,"AAAAAAf/s1k=")</f>
        <v>#REF!</v>
      </c>
      <c r="CM65" t="e">
        <f>AND(#REF!,"AAAAAAf/s1o=")</f>
        <v>#REF!</v>
      </c>
      <c r="CN65" t="e">
        <f>AND(#REF!,"AAAAAAf/s1s=")</f>
        <v>#REF!</v>
      </c>
      <c r="CO65" t="e">
        <f>AND(#REF!,"AAAAAAf/s1w=")</f>
        <v>#REF!</v>
      </c>
      <c r="CP65" t="e">
        <f>AND(#REF!,"AAAAAAf/s10=")</f>
        <v>#REF!</v>
      </c>
      <c r="CQ65" t="e">
        <f>AND(#REF!,"AAAAAAf/s14=")</f>
        <v>#REF!</v>
      </c>
      <c r="CR65" t="e">
        <f>AND(#REF!,"AAAAAAf/s18=")</f>
        <v>#REF!</v>
      </c>
      <c r="CS65" t="e">
        <f>AND(#REF!,"AAAAAAf/s2A=")</f>
        <v>#REF!</v>
      </c>
      <c r="CT65" t="e">
        <f>AND(#REF!,"AAAAAAf/s2E=")</f>
        <v>#REF!</v>
      </c>
      <c r="CU65" t="e">
        <f>AND(#REF!,"AAAAAAf/s2I=")</f>
        <v>#REF!</v>
      </c>
      <c r="CV65" t="e">
        <f>IF(#REF!,"AAAAAAf/s2M=",0)</f>
        <v>#REF!</v>
      </c>
      <c r="CW65" t="e">
        <f>AND(#REF!,"AAAAAAf/s2Q=")</f>
        <v>#REF!</v>
      </c>
      <c r="CX65" t="e">
        <f>AND(#REF!,"AAAAAAf/s2U=")</f>
        <v>#REF!</v>
      </c>
      <c r="CY65" t="e">
        <f>AND(#REF!,"AAAAAAf/s2Y=")</f>
        <v>#REF!</v>
      </c>
      <c r="CZ65" t="e">
        <f>AND(#REF!,"AAAAAAf/s2c=")</f>
        <v>#REF!</v>
      </c>
      <c r="DA65" t="e">
        <f>AND(#REF!,"AAAAAAf/s2g=")</f>
        <v>#REF!</v>
      </c>
      <c r="DB65" t="e">
        <f>AND(#REF!,"AAAAAAf/s2k=")</f>
        <v>#REF!</v>
      </c>
      <c r="DC65" t="e">
        <f>AND(#REF!,"AAAAAAf/s2o=")</f>
        <v>#REF!</v>
      </c>
      <c r="DD65" t="e">
        <f>AND(#REF!,"AAAAAAf/s2s=")</f>
        <v>#REF!</v>
      </c>
      <c r="DE65" t="e">
        <f>AND(#REF!,"AAAAAAf/s2w=")</f>
        <v>#REF!</v>
      </c>
      <c r="DF65" t="e">
        <f>AND(#REF!,"AAAAAAf/s20=")</f>
        <v>#REF!</v>
      </c>
      <c r="DG65" t="e">
        <f>IF(#REF!,"AAAAAAf/s24=",0)</f>
        <v>#REF!</v>
      </c>
      <c r="DH65" t="e">
        <f>AND(#REF!,"AAAAAAf/s28=")</f>
        <v>#REF!</v>
      </c>
      <c r="DI65" t="e">
        <f>AND(#REF!,"AAAAAAf/s3A=")</f>
        <v>#REF!</v>
      </c>
      <c r="DJ65" t="e">
        <f>AND(#REF!,"AAAAAAf/s3E=")</f>
        <v>#REF!</v>
      </c>
      <c r="DK65" t="e">
        <f>AND(#REF!,"AAAAAAf/s3I=")</f>
        <v>#REF!</v>
      </c>
      <c r="DL65" t="e">
        <f>AND(#REF!,"AAAAAAf/s3M=")</f>
        <v>#REF!</v>
      </c>
      <c r="DM65" t="e">
        <f>AND(#REF!,"AAAAAAf/s3Q=")</f>
        <v>#REF!</v>
      </c>
      <c r="DN65" t="e">
        <f>AND(#REF!,"AAAAAAf/s3U=")</f>
        <v>#REF!</v>
      </c>
      <c r="DO65" t="e">
        <f>AND(#REF!,"AAAAAAf/s3Y=")</f>
        <v>#REF!</v>
      </c>
      <c r="DP65" t="e">
        <f>AND(#REF!,"AAAAAAf/s3c=")</f>
        <v>#REF!</v>
      </c>
      <c r="DQ65" t="e">
        <f>AND(#REF!,"AAAAAAf/s3g=")</f>
        <v>#REF!</v>
      </c>
      <c r="DR65" t="e">
        <f>IF(#REF!,"AAAAAAf/s3k=",0)</f>
        <v>#REF!</v>
      </c>
      <c r="DS65" t="e">
        <f>AND(#REF!,"AAAAAAf/s3o=")</f>
        <v>#REF!</v>
      </c>
      <c r="DT65" t="e">
        <f>AND(#REF!,"AAAAAAf/s3s=")</f>
        <v>#REF!</v>
      </c>
      <c r="DU65" t="e">
        <f>AND(#REF!,"AAAAAAf/s3w=")</f>
        <v>#REF!</v>
      </c>
      <c r="DV65" t="e">
        <f>AND(#REF!,"AAAAAAf/s30=")</f>
        <v>#REF!</v>
      </c>
      <c r="DW65" t="e">
        <f>AND(#REF!,"AAAAAAf/s34=")</f>
        <v>#REF!</v>
      </c>
      <c r="DX65" t="e">
        <f>AND(#REF!,"AAAAAAf/s38=")</f>
        <v>#REF!</v>
      </c>
      <c r="DY65" t="e">
        <f>AND(#REF!,"AAAAAAf/s4A=")</f>
        <v>#REF!</v>
      </c>
      <c r="DZ65" t="e">
        <f>AND(#REF!,"AAAAAAf/s4E=")</f>
        <v>#REF!</v>
      </c>
      <c r="EA65" t="e">
        <f>AND(#REF!,"AAAAAAf/s4I=")</f>
        <v>#REF!</v>
      </c>
      <c r="EB65" t="e">
        <f>AND(#REF!,"AAAAAAf/s4M=")</f>
        <v>#REF!</v>
      </c>
      <c r="EC65" t="e">
        <f>IF(#REF!,"AAAAAAf/s4Q=",0)</f>
        <v>#REF!</v>
      </c>
      <c r="ED65" t="e">
        <f>AND(#REF!,"AAAAAAf/s4U=")</f>
        <v>#REF!</v>
      </c>
      <c r="EE65" t="e">
        <f>AND(#REF!,"AAAAAAf/s4Y=")</f>
        <v>#REF!</v>
      </c>
      <c r="EF65" t="e">
        <f>AND(#REF!,"AAAAAAf/s4c=")</f>
        <v>#REF!</v>
      </c>
      <c r="EG65" t="e">
        <f>AND(#REF!,"AAAAAAf/s4g=")</f>
        <v>#REF!</v>
      </c>
      <c r="EH65" t="e">
        <f>AND(#REF!,"AAAAAAf/s4k=")</f>
        <v>#REF!</v>
      </c>
      <c r="EI65" t="e">
        <f>AND(#REF!,"AAAAAAf/s4o=")</f>
        <v>#REF!</v>
      </c>
      <c r="EJ65" t="e">
        <f>AND(#REF!,"AAAAAAf/s4s=")</f>
        <v>#REF!</v>
      </c>
      <c r="EK65" t="e">
        <f>AND(#REF!,"AAAAAAf/s4w=")</f>
        <v>#REF!</v>
      </c>
      <c r="EL65" t="e">
        <f>AND(#REF!,"AAAAAAf/s40=")</f>
        <v>#REF!</v>
      </c>
      <c r="EM65" t="e">
        <f>AND(#REF!,"AAAAAAf/s44=")</f>
        <v>#REF!</v>
      </c>
      <c r="EN65" t="e">
        <f>IF(#REF!,"AAAAAAf/s48=",0)</f>
        <v>#REF!</v>
      </c>
      <c r="EO65" t="e">
        <f>AND(#REF!,"AAAAAAf/s5A=")</f>
        <v>#REF!</v>
      </c>
      <c r="EP65" t="e">
        <f>AND(#REF!,"AAAAAAf/s5E=")</f>
        <v>#REF!</v>
      </c>
      <c r="EQ65" t="e">
        <f>AND(#REF!,"AAAAAAf/s5I=")</f>
        <v>#REF!</v>
      </c>
      <c r="ER65" t="e">
        <f>AND(#REF!,"AAAAAAf/s5M=")</f>
        <v>#REF!</v>
      </c>
      <c r="ES65" t="e">
        <f>AND(#REF!,"AAAAAAf/s5Q=")</f>
        <v>#REF!</v>
      </c>
      <c r="ET65" t="e">
        <f>AND(#REF!,"AAAAAAf/s5U=")</f>
        <v>#REF!</v>
      </c>
      <c r="EU65" t="e">
        <f>AND(#REF!,"AAAAAAf/s5Y=")</f>
        <v>#REF!</v>
      </c>
      <c r="EV65" t="e">
        <f>AND(#REF!,"AAAAAAf/s5c=")</f>
        <v>#REF!</v>
      </c>
      <c r="EW65" t="e">
        <f>AND(#REF!,"AAAAAAf/s5g=")</f>
        <v>#REF!</v>
      </c>
      <c r="EX65" t="e">
        <f>AND(#REF!,"AAAAAAf/s5k=")</f>
        <v>#REF!</v>
      </c>
      <c r="EY65" t="e">
        <f>IF(#REF!,"AAAAAAf/s5o=",0)</f>
        <v>#REF!</v>
      </c>
      <c r="EZ65" t="e">
        <f>AND(#REF!,"AAAAAAf/s5s=")</f>
        <v>#REF!</v>
      </c>
      <c r="FA65" t="e">
        <f>AND(#REF!,"AAAAAAf/s5w=")</f>
        <v>#REF!</v>
      </c>
      <c r="FB65" t="e">
        <f>AND(#REF!,"AAAAAAf/s50=")</f>
        <v>#REF!</v>
      </c>
      <c r="FC65" t="e">
        <f>AND(#REF!,"AAAAAAf/s54=")</f>
        <v>#REF!</v>
      </c>
      <c r="FD65" t="e">
        <f>AND(#REF!,"AAAAAAf/s58=")</f>
        <v>#REF!</v>
      </c>
      <c r="FE65" t="e">
        <f>AND(#REF!,"AAAAAAf/s6A=")</f>
        <v>#REF!</v>
      </c>
      <c r="FF65" t="e">
        <f>AND(#REF!,"AAAAAAf/s6E=")</f>
        <v>#REF!</v>
      </c>
      <c r="FG65" t="e">
        <f>AND(#REF!,"AAAAAAf/s6I=")</f>
        <v>#REF!</v>
      </c>
      <c r="FH65" t="e">
        <f>AND(#REF!,"AAAAAAf/s6M=")</f>
        <v>#REF!</v>
      </c>
      <c r="FI65" t="e">
        <f>AND(#REF!,"AAAAAAf/s6Q=")</f>
        <v>#REF!</v>
      </c>
      <c r="FJ65" t="e">
        <f>IF(#REF!,"AAAAAAf/s6U=",0)</f>
        <v>#REF!</v>
      </c>
      <c r="FK65" t="e">
        <f>AND(#REF!,"AAAAAAf/s6Y=")</f>
        <v>#REF!</v>
      </c>
      <c r="FL65" t="e">
        <f>AND(#REF!,"AAAAAAf/s6c=")</f>
        <v>#REF!</v>
      </c>
      <c r="FM65" t="e">
        <f>AND(#REF!,"AAAAAAf/s6g=")</f>
        <v>#REF!</v>
      </c>
      <c r="FN65" t="e">
        <f>AND(#REF!,"AAAAAAf/s6k=")</f>
        <v>#REF!</v>
      </c>
      <c r="FO65" t="e">
        <f>AND(#REF!,"AAAAAAf/s6o=")</f>
        <v>#REF!</v>
      </c>
      <c r="FP65" t="e">
        <f>AND(#REF!,"AAAAAAf/s6s=")</f>
        <v>#REF!</v>
      </c>
      <c r="FQ65" t="e">
        <f>AND(#REF!,"AAAAAAf/s6w=")</f>
        <v>#REF!</v>
      </c>
      <c r="FR65" t="e">
        <f>AND(#REF!,"AAAAAAf/s60=")</f>
        <v>#REF!</v>
      </c>
      <c r="FS65" t="e">
        <f>AND(#REF!,"AAAAAAf/s64=")</f>
        <v>#REF!</v>
      </c>
      <c r="FT65" t="e">
        <f>AND(#REF!,"AAAAAAf/s68=")</f>
        <v>#REF!</v>
      </c>
      <c r="FU65" t="e">
        <f>IF(#REF!,"AAAAAAf/s7A=",0)</f>
        <v>#REF!</v>
      </c>
      <c r="FV65" t="e">
        <f>AND(#REF!,"AAAAAAf/s7E=")</f>
        <v>#REF!</v>
      </c>
      <c r="FW65" t="e">
        <f>AND(#REF!,"AAAAAAf/s7I=")</f>
        <v>#REF!</v>
      </c>
      <c r="FX65" t="e">
        <f>AND(#REF!,"AAAAAAf/s7M=")</f>
        <v>#REF!</v>
      </c>
      <c r="FY65" t="e">
        <f>AND(#REF!,"AAAAAAf/s7Q=")</f>
        <v>#REF!</v>
      </c>
      <c r="FZ65" t="e">
        <f>AND(#REF!,"AAAAAAf/s7U=")</f>
        <v>#REF!</v>
      </c>
      <c r="GA65" t="e">
        <f>AND(#REF!,"AAAAAAf/s7Y=")</f>
        <v>#REF!</v>
      </c>
      <c r="GB65" t="e">
        <f>AND(#REF!,"AAAAAAf/s7c=")</f>
        <v>#REF!</v>
      </c>
      <c r="GC65" t="e">
        <f>AND(#REF!,"AAAAAAf/s7g=")</f>
        <v>#REF!</v>
      </c>
      <c r="GD65" t="e">
        <f>AND(#REF!,"AAAAAAf/s7k=")</f>
        <v>#REF!</v>
      </c>
      <c r="GE65" t="e">
        <f>AND(#REF!,"AAAAAAf/s7o=")</f>
        <v>#REF!</v>
      </c>
      <c r="GF65" t="e">
        <f>IF(#REF!,"AAAAAAf/s7s=",0)</f>
        <v>#REF!</v>
      </c>
      <c r="GG65" t="e">
        <f>AND(#REF!,"AAAAAAf/s7w=")</f>
        <v>#REF!</v>
      </c>
      <c r="GH65" t="e">
        <f>AND(#REF!,"AAAAAAf/s70=")</f>
        <v>#REF!</v>
      </c>
      <c r="GI65" t="e">
        <f>AND(#REF!,"AAAAAAf/s74=")</f>
        <v>#REF!</v>
      </c>
      <c r="GJ65" t="e">
        <f>AND(#REF!,"AAAAAAf/s78=")</f>
        <v>#REF!</v>
      </c>
      <c r="GK65" t="e">
        <f>AND(#REF!,"AAAAAAf/s8A=")</f>
        <v>#REF!</v>
      </c>
      <c r="GL65" t="e">
        <f>AND(#REF!,"AAAAAAf/s8E=")</f>
        <v>#REF!</v>
      </c>
      <c r="GM65" t="e">
        <f>AND(#REF!,"AAAAAAf/s8I=")</f>
        <v>#REF!</v>
      </c>
      <c r="GN65" t="e">
        <f>AND(#REF!,"AAAAAAf/s8M=")</f>
        <v>#REF!</v>
      </c>
      <c r="GO65" t="e">
        <f>AND(#REF!,"AAAAAAf/s8Q=")</f>
        <v>#REF!</v>
      </c>
      <c r="GP65" t="e">
        <f>AND(#REF!,"AAAAAAf/s8U=")</f>
        <v>#REF!</v>
      </c>
      <c r="GQ65" t="e">
        <f>IF(#REF!,"AAAAAAf/s8Y=",0)</f>
        <v>#REF!</v>
      </c>
      <c r="GR65" t="e">
        <f>AND(#REF!,"AAAAAAf/s8c=")</f>
        <v>#REF!</v>
      </c>
      <c r="GS65" t="e">
        <f>AND(#REF!,"AAAAAAf/s8g=")</f>
        <v>#REF!</v>
      </c>
      <c r="GT65" t="e">
        <f>AND(#REF!,"AAAAAAf/s8k=")</f>
        <v>#REF!</v>
      </c>
      <c r="GU65" t="e">
        <f>AND(#REF!,"AAAAAAf/s8o=")</f>
        <v>#REF!</v>
      </c>
      <c r="GV65" t="e">
        <f>AND(#REF!,"AAAAAAf/s8s=")</f>
        <v>#REF!</v>
      </c>
      <c r="GW65" t="e">
        <f>AND(#REF!,"AAAAAAf/s8w=")</f>
        <v>#REF!</v>
      </c>
      <c r="GX65" t="e">
        <f>AND(#REF!,"AAAAAAf/s80=")</f>
        <v>#REF!</v>
      </c>
      <c r="GY65" t="e">
        <f>AND(#REF!,"AAAAAAf/s84=")</f>
        <v>#REF!</v>
      </c>
      <c r="GZ65" t="e">
        <f>AND(#REF!,"AAAAAAf/s88=")</f>
        <v>#REF!</v>
      </c>
      <c r="HA65" t="e">
        <f>AND(#REF!,"AAAAAAf/s9A=")</f>
        <v>#REF!</v>
      </c>
      <c r="HB65" t="e">
        <f>IF(#REF!,"AAAAAAf/s9E=",0)</f>
        <v>#REF!</v>
      </c>
      <c r="HC65" t="e">
        <f>AND(#REF!,"AAAAAAf/s9I=")</f>
        <v>#REF!</v>
      </c>
      <c r="HD65" t="e">
        <f>AND(#REF!,"AAAAAAf/s9M=")</f>
        <v>#REF!</v>
      </c>
      <c r="HE65" t="e">
        <f>AND(#REF!,"AAAAAAf/s9Q=")</f>
        <v>#REF!</v>
      </c>
      <c r="HF65" t="e">
        <f>AND(#REF!,"AAAAAAf/s9U=")</f>
        <v>#REF!</v>
      </c>
      <c r="HG65" t="e">
        <f>AND(#REF!,"AAAAAAf/s9Y=")</f>
        <v>#REF!</v>
      </c>
      <c r="HH65" t="e">
        <f>AND(#REF!,"AAAAAAf/s9c=")</f>
        <v>#REF!</v>
      </c>
      <c r="HI65" t="e">
        <f>AND(#REF!,"AAAAAAf/s9g=")</f>
        <v>#REF!</v>
      </c>
      <c r="HJ65" t="e">
        <f>AND(#REF!,"AAAAAAf/s9k=")</f>
        <v>#REF!</v>
      </c>
      <c r="HK65" t="e">
        <f>AND(#REF!,"AAAAAAf/s9o=")</f>
        <v>#REF!</v>
      </c>
      <c r="HL65" t="e">
        <f>AND(#REF!,"AAAAAAf/s9s=")</f>
        <v>#REF!</v>
      </c>
      <c r="HM65" t="e">
        <f>IF(#REF!,"AAAAAAf/s9w=",0)</f>
        <v>#REF!</v>
      </c>
      <c r="HN65" t="e">
        <f>AND(#REF!,"AAAAAAf/s90=")</f>
        <v>#REF!</v>
      </c>
      <c r="HO65" t="e">
        <f>AND(#REF!,"AAAAAAf/s94=")</f>
        <v>#REF!</v>
      </c>
      <c r="HP65" t="e">
        <f>AND(#REF!,"AAAAAAf/s98=")</f>
        <v>#REF!</v>
      </c>
      <c r="HQ65" t="e">
        <f>AND(#REF!,"AAAAAAf/s+A=")</f>
        <v>#REF!</v>
      </c>
      <c r="HR65" t="e">
        <f>AND(#REF!,"AAAAAAf/s+E=")</f>
        <v>#REF!</v>
      </c>
      <c r="HS65" t="e">
        <f>AND(#REF!,"AAAAAAf/s+I=")</f>
        <v>#REF!</v>
      </c>
      <c r="HT65" t="e">
        <f>AND(#REF!,"AAAAAAf/s+M=")</f>
        <v>#REF!</v>
      </c>
      <c r="HU65" t="e">
        <f>AND(#REF!,"AAAAAAf/s+Q=")</f>
        <v>#REF!</v>
      </c>
      <c r="HV65" t="e">
        <f>AND(#REF!,"AAAAAAf/s+U=")</f>
        <v>#REF!</v>
      </c>
      <c r="HW65" t="e">
        <f>AND(#REF!,"AAAAAAf/s+Y=")</f>
        <v>#REF!</v>
      </c>
      <c r="HX65" t="e">
        <f>IF(#REF!,"AAAAAAf/s+c=",0)</f>
        <v>#REF!</v>
      </c>
      <c r="HY65" t="e">
        <f>AND(#REF!,"AAAAAAf/s+g=")</f>
        <v>#REF!</v>
      </c>
      <c r="HZ65" t="e">
        <f>AND(#REF!,"AAAAAAf/s+k=")</f>
        <v>#REF!</v>
      </c>
      <c r="IA65" t="e">
        <f>AND(#REF!,"AAAAAAf/s+o=")</f>
        <v>#REF!</v>
      </c>
      <c r="IB65" t="e">
        <f>AND(#REF!,"AAAAAAf/s+s=")</f>
        <v>#REF!</v>
      </c>
      <c r="IC65" t="e">
        <f>AND(#REF!,"AAAAAAf/s+w=")</f>
        <v>#REF!</v>
      </c>
      <c r="ID65" t="e">
        <f>AND(#REF!,"AAAAAAf/s+0=")</f>
        <v>#REF!</v>
      </c>
      <c r="IE65" t="e">
        <f>AND(#REF!,"AAAAAAf/s+4=")</f>
        <v>#REF!</v>
      </c>
      <c r="IF65" t="e">
        <f>AND(#REF!,"AAAAAAf/s+8=")</f>
        <v>#REF!</v>
      </c>
      <c r="IG65" t="e">
        <f>AND(#REF!,"AAAAAAf/s/A=")</f>
        <v>#REF!</v>
      </c>
      <c r="IH65" t="e">
        <f>AND(#REF!,"AAAAAAf/s/E=")</f>
        <v>#REF!</v>
      </c>
      <c r="II65" t="e">
        <f>IF(#REF!,"AAAAAAf/s/I=",0)</f>
        <v>#REF!</v>
      </c>
      <c r="IJ65" t="e">
        <f>AND(#REF!,"AAAAAAf/s/M=")</f>
        <v>#REF!</v>
      </c>
      <c r="IK65" t="e">
        <f>AND(#REF!,"AAAAAAf/s/Q=")</f>
        <v>#REF!</v>
      </c>
      <c r="IL65" t="e">
        <f>AND(#REF!,"AAAAAAf/s/U=")</f>
        <v>#REF!</v>
      </c>
      <c r="IM65" t="e">
        <f>AND(#REF!,"AAAAAAf/s/Y=")</f>
        <v>#REF!</v>
      </c>
      <c r="IN65" t="e">
        <f>AND(#REF!,"AAAAAAf/s/c=")</f>
        <v>#REF!</v>
      </c>
      <c r="IO65" t="e">
        <f>AND(#REF!,"AAAAAAf/s/g=")</f>
        <v>#REF!</v>
      </c>
      <c r="IP65" t="e">
        <f>AND(#REF!,"AAAAAAf/s/k=")</f>
        <v>#REF!</v>
      </c>
      <c r="IQ65" t="e">
        <f>AND(#REF!,"AAAAAAf/s/o=")</f>
        <v>#REF!</v>
      </c>
      <c r="IR65" t="e">
        <f>AND(#REF!,"AAAAAAf/s/s=")</f>
        <v>#REF!</v>
      </c>
      <c r="IS65" t="e">
        <f>AND(#REF!,"AAAAAAf/s/w=")</f>
        <v>#REF!</v>
      </c>
      <c r="IT65" t="e">
        <f>IF(#REF!,"AAAAAAf/s/0=",0)</f>
        <v>#REF!</v>
      </c>
      <c r="IU65" t="e">
        <f>AND(#REF!,"AAAAAAf/s/4=")</f>
        <v>#REF!</v>
      </c>
      <c r="IV65" t="e">
        <f>AND(#REF!,"AAAAAAf/s/8=")</f>
        <v>#REF!</v>
      </c>
    </row>
    <row r="66" spans="1:256" x14ac:dyDescent="0.25">
      <c r="A66" t="e">
        <f>AND(#REF!,"AAAAAG5//QA=")</f>
        <v>#REF!</v>
      </c>
      <c r="B66" t="e">
        <f>AND(#REF!,"AAAAAG5//QE=")</f>
        <v>#REF!</v>
      </c>
      <c r="C66" t="e">
        <f>AND(#REF!,"AAAAAG5//QI=")</f>
        <v>#REF!</v>
      </c>
      <c r="D66" t="e">
        <f>AND(#REF!,"AAAAAG5//QM=")</f>
        <v>#REF!</v>
      </c>
      <c r="E66" t="e">
        <f>AND(#REF!,"AAAAAG5//QQ=")</f>
        <v>#REF!</v>
      </c>
      <c r="F66" t="e">
        <f>AND(#REF!,"AAAAAG5//QU=")</f>
        <v>#REF!</v>
      </c>
      <c r="G66" t="e">
        <f>AND(#REF!,"AAAAAG5//QY=")</f>
        <v>#REF!</v>
      </c>
      <c r="H66" t="e">
        <f>AND(#REF!,"AAAAAG5//Qc=")</f>
        <v>#REF!</v>
      </c>
      <c r="I66" t="e">
        <f>IF(#REF!,"AAAAAG5//Qg=",0)</f>
        <v>#REF!</v>
      </c>
      <c r="J66" t="e">
        <f>AND(#REF!,"AAAAAG5//Qk=")</f>
        <v>#REF!</v>
      </c>
      <c r="K66" t="e">
        <f>AND(#REF!,"AAAAAG5//Qo=")</f>
        <v>#REF!</v>
      </c>
      <c r="L66" t="e">
        <f>AND(#REF!,"AAAAAG5//Qs=")</f>
        <v>#REF!</v>
      </c>
      <c r="M66" t="e">
        <f>AND(#REF!,"AAAAAG5//Qw=")</f>
        <v>#REF!</v>
      </c>
      <c r="N66" t="e">
        <f>AND(#REF!,"AAAAAG5//Q0=")</f>
        <v>#REF!</v>
      </c>
      <c r="O66" t="e">
        <f>AND(#REF!,"AAAAAG5//Q4=")</f>
        <v>#REF!</v>
      </c>
      <c r="P66" t="e">
        <f>AND(#REF!,"AAAAAG5//Q8=")</f>
        <v>#REF!</v>
      </c>
      <c r="Q66" t="e">
        <f>AND(#REF!,"AAAAAG5//RA=")</f>
        <v>#REF!</v>
      </c>
      <c r="R66" t="e">
        <f>AND(#REF!,"AAAAAG5//RE=")</f>
        <v>#REF!</v>
      </c>
      <c r="S66" t="e">
        <f>AND(#REF!,"AAAAAG5//RI=")</f>
        <v>#REF!</v>
      </c>
      <c r="T66" t="e">
        <f>IF(#REF!,"AAAAAG5//RM=",0)</f>
        <v>#REF!</v>
      </c>
      <c r="U66" t="e">
        <f>AND(#REF!,"AAAAAG5//RQ=")</f>
        <v>#REF!</v>
      </c>
      <c r="V66" t="e">
        <f>AND(#REF!,"AAAAAG5//RU=")</f>
        <v>#REF!</v>
      </c>
      <c r="W66" t="e">
        <f>AND(#REF!,"AAAAAG5//RY=")</f>
        <v>#REF!</v>
      </c>
      <c r="X66" t="e">
        <f>AND(#REF!,"AAAAAG5//Rc=")</f>
        <v>#REF!</v>
      </c>
      <c r="Y66" t="e">
        <f>AND(#REF!,"AAAAAG5//Rg=")</f>
        <v>#REF!</v>
      </c>
      <c r="Z66" t="e">
        <f>AND(#REF!,"AAAAAG5//Rk=")</f>
        <v>#REF!</v>
      </c>
      <c r="AA66" t="e">
        <f>AND(#REF!,"AAAAAG5//Ro=")</f>
        <v>#REF!</v>
      </c>
      <c r="AB66" t="e">
        <f>AND(#REF!,"AAAAAG5//Rs=")</f>
        <v>#REF!</v>
      </c>
      <c r="AC66" t="e">
        <f>AND(#REF!,"AAAAAG5//Rw=")</f>
        <v>#REF!</v>
      </c>
      <c r="AD66" t="e">
        <f>AND(#REF!,"AAAAAG5//R0=")</f>
        <v>#REF!</v>
      </c>
      <c r="AE66" t="e">
        <f>IF(#REF!,"AAAAAG5//R4=",0)</f>
        <v>#REF!</v>
      </c>
      <c r="AF66" t="e">
        <f>AND(#REF!,"AAAAAG5//R8=")</f>
        <v>#REF!</v>
      </c>
      <c r="AG66" t="e">
        <f>AND(#REF!,"AAAAAG5//SA=")</f>
        <v>#REF!</v>
      </c>
      <c r="AH66" t="e">
        <f>AND(#REF!,"AAAAAG5//SE=")</f>
        <v>#REF!</v>
      </c>
      <c r="AI66" t="e">
        <f>AND(#REF!,"AAAAAG5//SI=")</f>
        <v>#REF!</v>
      </c>
      <c r="AJ66" t="e">
        <f>AND(#REF!,"AAAAAG5//SM=")</f>
        <v>#REF!</v>
      </c>
      <c r="AK66" t="e">
        <f>AND(#REF!,"AAAAAG5//SQ=")</f>
        <v>#REF!</v>
      </c>
      <c r="AL66" t="e">
        <f>AND(#REF!,"AAAAAG5//SU=")</f>
        <v>#REF!</v>
      </c>
      <c r="AM66" t="e">
        <f>AND(#REF!,"AAAAAG5//SY=")</f>
        <v>#REF!</v>
      </c>
      <c r="AN66" t="e">
        <f>AND(#REF!,"AAAAAG5//Sc=")</f>
        <v>#REF!</v>
      </c>
      <c r="AO66" t="e">
        <f>AND(#REF!,"AAAAAG5//Sg=")</f>
        <v>#REF!</v>
      </c>
      <c r="AP66" t="e">
        <f>IF(#REF!,"AAAAAG5//Sk=",0)</f>
        <v>#REF!</v>
      </c>
      <c r="AQ66" t="e">
        <f>AND(#REF!,"AAAAAG5//So=")</f>
        <v>#REF!</v>
      </c>
      <c r="AR66" t="e">
        <f>AND(#REF!,"AAAAAG5//Ss=")</f>
        <v>#REF!</v>
      </c>
      <c r="AS66" t="e">
        <f>AND(#REF!,"AAAAAG5//Sw=")</f>
        <v>#REF!</v>
      </c>
      <c r="AT66" t="e">
        <f>AND(#REF!,"AAAAAG5//S0=")</f>
        <v>#REF!</v>
      </c>
      <c r="AU66" t="e">
        <f>AND(#REF!,"AAAAAG5//S4=")</f>
        <v>#REF!</v>
      </c>
      <c r="AV66" t="e">
        <f>AND(#REF!,"AAAAAG5//S8=")</f>
        <v>#REF!</v>
      </c>
      <c r="AW66" t="e">
        <f>AND(#REF!,"AAAAAG5//TA=")</f>
        <v>#REF!</v>
      </c>
      <c r="AX66" t="e">
        <f>AND(#REF!,"AAAAAG5//TE=")</f>
        <v>#REF!</v>
      </c>
      <c r="AY66" t="e">
        <f>AND(#REF!,"AAAAAG5//TI=")</f>
        <v>#REF!</v>
      </c>
      <c r="AZ66" t="e">
        <f>AND(#REF!,"AAAAAG5//TM=")</f>
        <v>#REF!</v>
      </c>
      <c r="BA66" t="e">
        <f>IF(#REF!,"AAAAAG5//TQ=",0)</f>
        <v>#REF!</v>
      </c>
      <c r="BB66" t="e">
        <f>AND(#REF!,"AAAAAG5//TU=")</f>
        <v>#REF!</v>
      </c>
      <c r="BC66" t="e">
        <f>AND(#REF!,"AAAAAG5//TY=")</f>
        <v>#REF!</v>
      </c>
      <c r="BD66" t="e">
        <f>AND(#REF!,"AAAAAG5//Tc=")</f>
        <v>#REF!</v>
      </c>
      <c r="BE66" t="e">
        <f>AND(#REF!,"AAAAAG5//Tg=")</f>
        <v>#REF!</v>
      </c>
      <c r="BF66" t="e">
        <f>AND(#REF!,"AAAAAG5//Tk=")</f>
        <v>#REF!</v>
      </c>
      <c r="BG66" t="e">
        <f>AND(#REF!,"AAAAAG5//To=")</f>
        <v>#REF!</v>
      </c>
      <c r="BH66" t="e">
        <f>AND(#REF!,"AAAAAG5//Ts=")</f>
        <v>#REF!</v>
      </c>
      <c r="BI66" t="e">
        <f>AND(#REF!,"AAAAAG5//Tw=")</f>
        <v>#REF!</v>
      </c>
      <c r="BJ66" t="e">
        <f>AND(#REF!,"AAAAAG5//T0=")</f>
        <v>#REF!</v>
      </c>
      <c r="BK66" t="e">
        <f>AND(#REF!,"AAAAAG5//T4=")</f>
        <v>#REF!</v>
      </c>
      <c r="BL66" t="e">
        <f>IF(#REF!,"AAAAAG5//T8=",0)</f>
        <v>#REF!</v>
      </c>
      <c r="BM66" t="e">
        <f>AND(#REF!,"AAAAAG5//UA=")</f>
        <v>#REF!</v>
      </c>
      <c r="BN66" t="e">
        <f>AND(#REF!,"AAAAAG5//UE=")</f>
        <v>#REF!</v>
      </c>
      <c r="BO66" t="e">
        <f>AND(#REF!,"AAAAAG5//UI=")</f>
        <v>#REF!</v>
      </c>
      <c r="BP66" t="e">
        <f>AND(#REF!,"AAAAAG5//UM=")</f>
        <v>#REF!</v>
      </c>
      <c r="BQ66" t="e">
        <f>AND(#REF!,"AAAAAG5//UQ=")</f>
        <v>#REF!</v>
      </c>
      <c r="BR66" t="e">
        <f>AND(#REF!,"AAAAAG5//UU=")</f>
        <v>#REF!</v>
      </c>
      <c r="BS66" t="e">
        <f>AND(#REF!,"AAAAAG5//UY=")</f>
        <v>#REF!</v>
      </c>
      <c r="BT66" t="e">
        <f>AND(#REF!,"AAAAAG5//Uc=")</f>
        <v>#REF!</v>
      </c>
      <c r="BU66" t="e">
        <f>AND(#REF!,"AAAAAG5//Ug=")</f>
        <v>#REF!</v>
      </c>
      <c r="BV66" t="e">
        <f>AND(#REF!,"AAAAAG5//Uk=")</f>
        <v>#REF!</v>
      </c>
      <c r="BW66" t="e">
        <f>IF(#REF!,"AAAAAG5//Uo=",0)</f>
        <v>#REF!</v>
      </c>
      <c r="BX66" t="e">
        <f>AND(#REF!,"AAAAAG5//Us=")</f>
        <v>#REF!</v>
      </c>
      <c r="BY66" t="e">
        <f>AND(#REF!,"AAAAAG5//Uw=")</f>
        <v>#REF!</v>
      </c>
      <c r="BZ66" t="e">
        <f>AND(#REF!,"AAAAAG5//U0=")</f>
        <v>#REF!</v>
      </c>
      <c r="CA66" t="e">
        <f>AND(#REF!,"AAAAAG5//U4=")</f>
        <v>#REF!</v>
      </c>
      <c r="CB66" t="e">
        <f>AND(#REF!,"AAAAAG5//U8=")</f>
        <v>#REF!</v>
      </c>
      <c r="CC66" t="e">
        <f>AND(#REF!,"AAAAAG5//VA=")</f>
        <v>#REF!</v>
      </c>
      <c r="CD66" t="e">
        <f>AND(#REF!,"AAAAAG5//VE=")</f>
        <v>#REF!</v>
      </c>
      <c r="CE66" t="e">
        <f>AND(#REF!,"AAAAAG5//VI=")</f>
        <v>#REF!</v>
      </c>
      <c r="CF66" t="e">
        <f>AND(#REF!,"AAAAAG5//VM=")</f>
        <v>#REF!</v>
      </c>
      <c r="CG66" t="e">
        <f>AND(#REF!,"AAAAAG5//VQ=")</f>
        <v>#REF!</v>
      </c>
      <c r="CH66" t="e">
        <f>IF(#REF!,"AAAAAG5//VU=",0)</f>
        <v>#REF!</v>
      </c>
      <c r="CI66" t="e">
        <f>AND(#REF!,"AAAAAG5//VY=")</f>
        <v>#REF!</v>
      </c>
      <c r="CJ66" t="e">
        <f>AND(#REF!,"AAAAAG5//Vc=")</f>
        <v>#REF!</v>
      </c>
      <c r="CK66" t="e">
        <f>AND(#REF!,"AAAAAG5//Vg=")</f>
        <v>#REF!</v>
      </c>
      <c r="CL66" t="e">
        <f>AND(#REF!,"AAAAAG5//Vk=")</f>
        <v>#REF!</v>
      </c>
      <c r="CM66" t="e">
        <f>AND(#REF!,"AAAAAG5//Vo=")</f>
        <v>#REF!</v>
      </c>
      <c r="CN66" t="e">
        <f>AND(#REF!,"AAAAAG5//Vs=")</f>
        <v>#REF!</v>
      </c>
      <c r="CO66" t="e">
        <f>AND(#REF!,"AAAAAG5//Vw=")</f>
        <v>#REF!</v>
      </c>
      <c r="CP66" t="e">
        <f>AND(#REF!,"AAAAAG5//V0=")</f>
        <v>#REF!</v>
      </c>
      <c r="CQ66" t="e">
        <f>AND(#REF!,"AAAAAG5//V4=")</f>
        <v>#REF!</v>
      </c>
      <c r="CR66" t="e">
        <f>AND(#REF!,"AAAAAG5//V8=")</f>
        <v>#REF!</v>
      </c>
      <c r="CS66" t="e">
        <f>IF(#REF!,"AAAAAG5//WA=",0)</f>
        <v>#REF!</v>
      </c>
      <c r="CT66" t="e">
        <f>AND(#REF!,"AAAAAG5//WE=")</f>
        <v>#REF!</v>
      </c>
      <c r="CU66" t="e">
        <f>AND(#REF!,"AAAAAG5//WI=")</f>
        <v>#REF!</v>
      </c>
      <c r="CV66" t="e">
        <f>AND(#REF!,"AAAAAG5//WM=")</f>
        <v>#REF!</v>
      </c>
      <c r="CW66" t="e">
        <f>AND(#REF!,"AAAAAG5//WQ=")</f>
        <v>#REF!</v>
      </c>
      <c r="CX66" t="e">
        <f>AND(#REF!,"AAAAAG5//WU=")</f>
        <v>#REF!</v>
      </c>
      <c r="CY66" t="e">
        <f>AND(#REF!,"AAAAAG5//WY=")</f>
        <v>#REF!</v>
      </c>
      <c r="CZ66" t="e">
        <f>AND(#REF!,"AAAAAG5//Wc=")</f>
        <v>#REF!</v>
      </c>
      <c r="DA66" t="e">
        <f>AND(#REF!,"AAAAAG5//Wg=")</f>
        <v>#REF!</v>
      </c>
      <c r="DB66" t="e">
        <f>AND(#REF!,"AAAAAG5//Wk=")</f>
        <v>#REF!</v>
      </c>
      <c r="DC66" t="e">
        <f>AND(#REF!,"AAAAAG5//Wo=")</f>
        <v>#REF!</v>
      </c>
      <c r="DD66" t="e">
        <f>IF(#REF!,"AAAAAG5//Ws=",0)</f>
        <v>#REF!</v>
      </c>
      <c r="DE66" t="e">
        <f>AND(#REF!,"AAAAAG5//Ww=")</f>
        <v>#REF!</v>
      </c>
      <c r="DF66" t="e">
        <f>AND(#REF!,"AAAAAG5//W0=")</f>
        <v>#REF!</v>
      </c>
      <c r="DG66" t="e">
        <f>AND(#REF!,"AAAAAG5//W4=")</f>
        <v>#REF!</v>
      </c>
      <c r="DH66" t="e">
        <f>AND(#REF!,"AAAAAG5//W8=")</f>
        <v>#REF!</v>
      </c>
      <c r="DI66" t="e">
        <f>AND(#REF!,"AAAAAG5//XA=")</f>
        <v>#REF!</v>
      </c>
      <c r="DJ66" t="e">
        <f>AND(#REF!,"AAAAAG5//XE=")</f>
        <v>#REF!</v>
      </c>
      <c r="DK66" t="e">
        <f>AND(#REF!,"AAAAAG5//XI=")</f>
        <v>#REF!</v>
      </c>
      <c r="DL66" t="e">
        <f>AND(#REF!,"AAAAAG5//XM=")</f>
        <v>#REF!</v>
      </c>
      <c r="DM66" t="e">
        <f>AND(#REF!,"AAAAAG5//XQ=")</f>
        <v>#REF!</v>
      </c>
      <c r="DN66" t="e">
        <f>AND(#REF!,"AAAAAG5//XU=")</f>
        <v>#REF!</v>
      </c>
      <c r="DO66" t="e">
        <f>IF(#REF!,"AAAAAG5//XY=",0)</f>
        <v>#REF!</v>
      </c>
      <c r="DP66" t="e">
        <f>AND(#REF!,"AAAAAG5//Xc=")</f>
        <v>#REF!</v>
      </c>
      <c r="DQ66" t="e">
        <f>AND(#REF!,"AAAAAG5//Xg=")</f>
        <v>#REF!</v>
      </c>
      <c r="DR66" t="e">
        <f>AND(#REF!,"AAAAAG5//Xk=")</f>
        <v>#REF!</v>
      </c>
      <c r="DS66" t="e">
        <f>AND(#REF!,"AAAAAG5//Xo=")</f>
        <v>#REF!</v>
      </c>
      <c r="DT66" t="e">
        <f>AND(#REF!,"AAAAAG5//Xs=")</f>
        <v>#REF!</v>
      </c>
      <c r="DU66" t="e">
        <f>AND(#REF!,"AAAAAG5//Xw=")</f>
        <v>#REF!</v>
      </c>
      <c r="DV66" t="e">
        <f>AND(#REF!,"AAAAAG5//X0=")</f>
        <v>#REF!</v>
      </c>
      <c r="DW66" t="e">
        <f>AND(#REF!,"AAAAAG5//X4=")</f>
        <v>#REF!</v>
      </c>
      <c r="DX66" t="e">
        <f>AND(#REF!,"AAAAAG5//X8=")</f>
        <v>#REF!</v>
      </c>
      <c r="DY66" t="e">
        <f>AND(#REF!,"AAAAAG5//YA=")</f>
        <v>#REF!</v>
      </c>
      <c r="DZ66" t="e">
        <f>IF(#REF!,"AAAAAG5//YE=",0)</f>
        <v>#REF!</v>
      </c>
      <c r="EA66" t="e">
        <f>AND(#REF!,"AAAAAG5//YI=")</f>
        <v>#REF!</v>
      </c>
      <c r="EB66" t="e">
        <f>AND(#REF!,"AAAAAG5//YM=")</f>
        <v>#REF!</v>
      </c>
      <c r="EC66" t="e">
        <f>AND(#REF!,"AAAAAG5//YQ=")</f>
        <v>#REF!</v>
      </c>
      <c r="ED66" t="e">
        <f>AND(#REF!,"AAAAAG5//YU=")</f>
        <v>#REF!</v>
      </c>
      <c r="EE66" t="e">
        <f>AND(#REF!,"AAAAAG5//YY=")</f>
        <v>#REF!</v>
      </c>
      <c r="EF66" t="e">
        <f>AND(#REF!,"AAAAAG5//Yc=")</f>
        <v>#REF!</v>
      </c>
      <c r="EG66" t="e">
        <f>AND(#REF!,"AAAAAG5//Yg=")</f>
        <v>#REF!</v>
      </c>
      <c r="EH66" t="e">
        <f>AND(#REF!,"AAAAAG5//Yk=")</f>
        <v>#REF!</v>
      </c>
      <c r="EI66" t="e">
        <f>AND(#REF!,"AAAAAG5//Yo=")</f>
        <v>#REF!</v>
      </c>
      <c r="EJ66" t="e">
        <f>AND(#REF!,"AAAAAG5//Ys=")</f>
        <v>#REF!</v>
      </c>
      <c r="EK66" t="e">
        <f>IF(#REF!,"AAAAAG5//Yw=",0)</f>
        <v>#REF!</v>
      </c>
      <c r="EL66" t="e">
        <f>AND(#REF!,"AAAAAG5//Y0=")</f>
        <v>#REF!</v>
      </c>
      <c r="EM66" t="e">
        <f>AND(#REF!,"AAAAAG5//Y4=")</f>
        <v>#REF!</v>
      </c>
      <c r="EN66" t="e">
        <f>AND(#REF!,"AAAAAG5//Y8=")</f>
        <v>#REF!</v>
      </c>
      <c r="EO66" t="e">
        <f>AND(#REF!,"AAAAAG5//ZA=")</f>
        <v>#REF!</v>
      </c>
      <c r="EP66" t="e">
        <f>AND(#REF!,"AAAAAG5//ZE=")</f>
        <v>#REF!</v>
      </c>
      <c r="EQ66" t="e">
        <f>AND(#REF!,"AAAAAG5//ZI=")</f>
        <v>#REF!</v>
      </c>
      <c r="ER66" t="e">
        <f>AND(#REF!,"AAAAAG5//ZM=")</f>
        <v>#REF!</v>
      </c>
      <c r="ES66" t="e">
        <f>AND(#REF!,"AAAAAG5//ZQ=")</f>
        <v>#REF!</v>
      </c>
      <c r="ET66" t="e">
        <f>AND(#REF!,"AAAAAG5//ZU=")</f>
        <v>#REF!</v>
      </c>
      <c r="EU66" t="e">
        <f>AND(#REF!,"AAAAAG5//ZY=")</f>
        <v>#REF!</v>
      </c>
      <c r="EV66" t="e">
        <f>IF(#REF!,"AAAAAG5//Zc=",0)</f>
        <v>#REF!</v>
      </c>
      <c r="EW66" t="e">
        <f>AND(#REF!,"AAAAAG5//Zg=")</f>
        <v>#REF!</v>
      </c>
      <c r="EX66" t="e">
        <f>AND(#REF!,"AAAAAG5//Zk=")</f>
        <v>#REF!</v>
      </c>
      <c r="EY66" t="e">
        <f>AND(#REF!,"AAAAAG5//Zo=")</f>
        <v>#REF!</v>
      </c>
      <c r="EZ66" t="e">
        <f>AND(#REF!,"AAAAAG5//Zs=")</f>
        <v>#REF!</v>
      </c>
      <c r="FA66" t="e">
        <f>AND(#REF!,"AAAAAG5//Zw=")</f>
        <v>#REF!</v>
      </c>
      <c r="FB66" t="e">
        <f>AND(#REF!,"AAAAAG5//Z0=")</f>
        <v>#REF!</v>
      </c>
      <c r="FC66" t="e">
        <f>AND(#REF!,"AAAAAG5//Z4=")</f>
        <v>#REF!</v>
      </c>
      <c r="FD66" t="e">
        <f>AND(#REF!,"AAAAAG5//Z8=")</f>
        <v>#REF!</v>
      </c>
      <c r="FE66" t="e">
        <f>AND(#REF!,"AAAAAG5//aA=")</f>
        <v>#REF!</v>
      </c>
      <c r="FF66" t="e">
        <f>AND(#REF!,"AAAAAG5//aE=")</f>
        <v>#REF!</v>
      </c>
      <c r="FG66" t="e">
        <f>IF(#REF!,"AAAAAG5//aI=",0)</f>
        <v>#REF!</v>
      </c>
      <c r="FH66" t="e">
        <f>AND(#REF!,"AAAAAG5//aM=")</f>
        <v>#REF!</v>
      </c>
      <c r="FI66" t="e">
        <f>AND(#REF!,"AAAAAG5//aQ=")</f>
        <v>#REF!</v>
      </c>
      <c r="FJ66" t="e">
        <f>AND(#REF!,"AAAAAG5//aU=")</f>
        <v>#REF!</v>
      </c>
      <c r="FK66" t="e">
        <f>AND(#REF!,"AAAAAG5//aY=")</f>
        <v>#REF!</v>
      </c>
      <c r="FL66" t="e">
        <f>AND(#REF!,"AAAAAG5//ac=")</f>
        <v>#REF!</v>
      </c>
      <c r="FM66" t="e">
        <f>AND(#REF!,"AAAAAG5//ag=")</f>
        <v>#REF!</v>
      </c>
      <c r="FN66" t="e">
        <f>AND(#REF!,"AAAAAG5//ak=")</f>
        <v>#REF!</v>
      </c>
      <c r="FO66" t="e">
        <f>AND(#REF!,"AAAAAG5//ao=")</f>
        <v>#REF!</v>
      </c>
      <c r="FP66" t="e">
        <f>AND(#REF!,"AAAAAG5//as=")</f>
        <v>#REF!</v>
      </c>
      <c r="FQ66" t="e">
        <f>AND(#REF!,"AAAAAG5//aw=")</f>
        <v>#REF!</v>
      </c>
      <c r="FR66" t="e">
        <f>IF(#REF!,"AAAAAG5//a0=",0)</f>
        <v>#REF!</v>
      </c>
      <c r="FS66" t="e">
        <f>AND(#REF!,"AAAAAG5//a4=")</f>
        <v>#REF!</v>
      </c>
      <c r="FT66" t="e">
        <f>AND(#REF!,"AAAAAG5//a8=")</f>
        <v>#REF!</v>
      </c>
      <c r="FU66" t="e">
        <f>AND(#REF!,"AAAAAG5//bA=")</f>
        <v>#REF!</v>
      </c>
      <c r="FV66" t="e">
        <f>AND(#REF!,"AAAAAG5//bE=")</f>
        <v>#REF!</v>
      </c>
      <c r="FW66" t="e">
        <f>AND(#REF!,"AAAAAG5//bI=")</f>
        <v>#REF!</v>
      </c>
      <c r="FX66" t="e">
        <f>AND(#REF!,"AAAAAG5//bM=")</f>
        <v>#REF!</v>
      </c>
      <c r="FY66" t="e">
        <f>AND(#REF!,"AAAAAG5//bQ=")</f>
        <v>#REF!</v>
      </c>
      <c r="FZ66" t="e">
        <f>AND(#REF!,"AAAAAG5//bU=")</f>
        <v>#REF!</v>
      </c>
      <c r="GA66" t="e">
        <f>AND(#REF!,"AAAAAG5//bY=")</f>
        <v>#REF!</v>
      </c>
      <c r="GB66" t="e">
        <f>AND(#REF!,"AAAAAG5//bc=")</f>
        <v>#REF!</v>
      </c>
      <c r="GC66" t="e">
        <f>IF(#REF!,"AAAAAG5//bg=",0)</f>
        <v>#REF!</v>
      </c>
      <c r="GD66" t="e">
        <f>AND(#REF!,"AAAAAG5//bk=")</f>
        <v>#REF!</v>
      </c>
      <c r="GE66" t="e">
        <f>AND(#REF!,"AAAAAG5//bo=")</f>
        <v>#REF!</v>
      </c>
      <c r="GF66" t="e">
        <f>AND(#REF!,"AAAAAG5//bs=")</f>
        <v>#REF!</v>
      </c>
      <c r="GG66" t="e">
        <f>AND(#REF!,"AAAAAG5//bw=")</f>
        <v>#REF!</v>
      </c>
      <c r="GH66" t="e">
        <f>AND(#REF!,"AAAAAG5//b0=")</f>
        <v>#REF!</v>
      </c>
      <c r="GI66" t="e">
        <f>AND(#REF!,"AAAAAG5//b4=")</f>
        <v>#REF!</v>
      </c>
      <c r="GJ66" t="e">
        <f>AND(#REF!,"AAAAAG5//b8=")</f>
        <v>#REF!</v>
      </c>
      <c r="GK66" t="e">
        <f>AND(#REF!,"AAAAAG5//cA=")</f>
        <v>#REF!</v>
      </c>
      <c r="GL66" t="e">
        <f>AND(#REF!,"AAAAAG5//cE=")</f>
        <v>#REF!</v>
      </c>
      <c r="GM66" t="e">
        <f>AND(#REF!,"AAAAAG5//cI=")</f>
        <v>#REF!</v>
      </c>
      <c r="GN66" t="e">
        <f>IF(#REF!,"AAAAAG5//cM=",0)</f>
        <v>#REF!</v>
      </c>
      <c r="GO66" t="e">
        <f>AND(#REF!,"AAAAAG5//cQ=")</f>
        <v>#REF!</v>
      </c>
      <c r="GP66" t="e">
        <f>AND(#REF!,"AAAAAG5//cU=")</f>
        <v>#REF!</v>
      </c>
      <c r="GQ66" t="e">
        <f>AND(#REF!,"AAAAAG5//cY=")</f>
        <v>#REF!</v>
      </c>
      <c r="GR66" t="e">
        <f>AND(#REF!,"AAAAAG5//cc=")</f>
        <v>#REF!</v>
      </c>
      <c r="GS66" t="e">
        <f>AND(#REF!,"AAAAAG5//cg=")</f>
        <v>#REF!</v>
      </c>
      <c r="GT66" t="e">
        <f>AND(#REF!,"AAAAAG5//ck=")</f>
        <v>#REF!</v>
      </c>
      <c r="GU66" t="e">
        <f>AND(#REF!,"AAAAAG5//co=")</f>
        <v>#REF!</v>
      </c>
      <c r="GV66" t="e">
        <f>AND(#REF!,"AAAAAG5//cs=")</f>
        <v>#REF!</v>
      </c>
      <c r="GW66" t="e">
        <f>AND(#REF!,"AAAAAG5//cw=")</f>
        <v>#REF!</v>
      </c>
      <c r="GX66" t="e">
        <f>AND(#REF!,"AAAAAG5//c0=")</f>
        <v>#REF!</v>
      </c>
      <c r="GY66" t="e">
        <f>IF(#REF!,"AAAAAG5//c4=",0)</f>
        <v>#REF!</v>
      </c>
      <c r="GZ66" t="e">
        <f>AND(#REF!,"AAAAAG5//c8=")</f>
        <v>#REF!</v>
      </c>
      <c r="HA66" t="e">
        <f>AND(#REF!,"AAAAAG5//dA=")</f>
        <v>#REF!</v>
      </c>
      <c r="HB66" t="e">
        <f>AND(#REF!,"AAAAAG5//dE=")</f>
        <v>#REF!</v>
      </c>
      <c r="HC66" t="e">
        <f>AND(#REF!,"AAAAAG5//dI=")</f>
        <v>#REF!</v>
      </c>
      <c r="HD66" t="e">
        <f>AND(#REF!,"AAAAAG5//dM=")</f>
        <v>#REF!</v>
      </c>
      <c r="HE66" t="e">
        <f>AND(#REF!,"AAAAAG5//dQ=")</f>
        <v>#REF!</v>
      </c>
      <c r="HF66" t="e">
        <f>AND(#REF!,"AAAAAG5//dU=")</f>
        <v>#REF!</v>
      </c>
      <c r="HG66" t="e">
        <f>AND(#REF!,"AAAAAG5//dY=")</f>
        <v>#REF!</v>
      </c>
      <c r="HH66" t="e">
        <f>AND(#REF!,"AAAAAG5//dc=")</f>
        <v>#REF!</v>
      </c>
      <c r="HI66" t="e">
        <f>AND(#REF!,"AAAAAG5//dg=")</f>
        <v>#REF!</v>
      </c>
      <c r="HJ66" t="e">
        <f>IF(#REF!,"AAAAAG5//dk=",0)</f>
        <v>#REF!</v>
      </c>
      <c r="HK66" t="e">
        <f>AND(#REF!,"AAAAAG5//do=")</f>
        <v>#REF!</v>
      </c>
      <c r="HL66" t="e">
        <f>AND(#REF!,"AAAAAG5//ds=")</f>
        <v>#REF!</v>
      </c>
      <c r="HM66" t="e">
        <f>AND(#REF!,"AAAAAG5//dw=")</f>
        <v>#REF!</v>
      </c>
      <c r="HN66" t="e">
        <f>AND(#REF!,"AAAAAG5//d0=")</f>
        <v>#REF!</v>
      </c>
      <c r="HO66" t="e">
        <f>AND(#REF!,"AAAAAG5//d4=")</f>
        <v>#REF!</v>
      </c>
      <c r="HP66" t="e">
        <f>AND(#REF!,"AAAAAG5//d8=")</f>
        <v>#REF!</v>
      </c>
      <c r="HQ66" t="e">
        <f>AND(#REF!,"AAAAAG5//eA=")</f>
        <v>#REF!</v>
      </c>
      <c r="HR66" t="e">
        <f>AND(#REF!,"AAAAAG5//eE=")</f>
        <v>#REF!</v>
      </c>
      <c r="HS66" t="e">
        <f>AND(#REF!,"AAAAAG5//eI=")</f>
        <v>#REF!</v>
      </c>
      <c r="HT66" t="e">
        <f>AND(#REF!,"AAAAAG5//eM=")</f>
        <v>#REF!</v>
      </c>
      <c r="HU66" t="e">
        <f>IF(#REF!,"AAAAAG5//eQ=",0)</f>
        <v>#REF!</v>
      </c>
      <c r="HV66" t="e">
        <f>AND(#REF!,"AAAAAG5//eU=")</f>
        <v>#REF!</v>
      </c>
      <c r="HW66" t="e">
        <f>AND(#REF!,"AAAAAG5//eY=")</f>
        <v>#REF!</v>
      </c>
      <c r="HX66" t="e">
        <f>AND(#REF!,"AAAAAG5//ec=")</f>
        <v>#REF!</v>
      </c>
      <c r="HY66" t="e">
        <f>AND(#REF!,"AAAAAG5//eg=")</f>
        <v>#REF!</v>
      </c>
      <c r="HZ66" t="e">
        <f>AND(#REF!,"AAAAAG5//ek=")</f>
        <v>#REF!</v>
      </c>
      <c r="IA66" t="e">
        <f>AND(#REF!,"AAAAAG5//eo=")</f>
        <v>#REF!</v>
      </c>
      <c r="IB66" t="e">
        <f>AND(#REF!,"AAAAAG5//es=")</f>
        <v>#REF!</v>
      </c>
      <c r="IC66" t="e">
        <f>AND(#REF!,"AAAAAG5//ew=")</f>
        <v>#REF!</v>
      </c>
      <c r="ID66" t="e">
        <f>AND(#REF!,"AAAAAG5//e0=")</f>
        <v>#REF!</v>
      </c>
      <c r="IE66" t="e">
        <f>AND(#REF!,"AAAAAG5//e4=")</f>
        <v>#REF!</v>
      </c>
      <c r="IF66" t="e">
        <f>IF(#REF!,"AAAAAG5//e8=",0)</f>
        <v>#REF!</v>
      </c>
      <c r="IG66" t="e">
        <f>AND(#REF!,"AAAAAG5//fA=")</f>
        <v>#REF!</v>
      </c>
      <c r="IH66" t="e">
        <f>AND(#REF!,"AAAAAG5//fE=")</f>
        <v>#REF!</v>
      </c>
      <c r="II66" t="e">
        <f>AND(#REF!,"AAAAAG5//fI=")</f>
        <v>#REF!</v>
      </c>
      <c r="IJ66" t="e">
        <f>AND(#REF!,"AAAAAG5//fM=")</f>
        <v>#REF!</v>
      </c>
      <c r="IK66" t="e">
        <f>AND(#REF!,"AAAAAG5//fQ=")</f>
        <v>#REF!</v>
      </c>
      <c r="IL66" t="e">
        <f>AND(#REF!,"AAAAAG5//fU=")</f>
        <v>#REF!</v>
      </c>
      <c r="IM66" t="e">
        <f>AND(#REF!,"AAAAAG5//fY=")</f>
        <v>#REF!</v>
      </c>
      <c r="IN66" t="e">
        <f>AND(#REF!,"AAAAAG5//fc=")</f>
        <v>#REF!</v>
      </c>
      <c r="IO66" t="e">
        <f>AND(#REF!,"AAAAAG5//fg=")</f>
        <v>#REF!</v>
      </c>
      <c r="IP66" t="e">
        <f>AND(#REF!,"AAAAAG5//fk=")</f>
        <v>#REF!</v>
      </c>
      <c r="IQ66" t="e">
        <f>IF(#REF!,"AAAAAG5//fo=",0)</f>
        <v>#REF!</v>
      </c>
      <c r="IR66" t="e">
        <f>AND(#REF!,"AAAAAG5//fs=")</f>
        <v>#REF!</v>
      </c>
      <c r="IS66" t="e">
        <f>AND(#REF!,"AAAAAG5//fw=")</f>
        <v>#REF!</v>
      </c>
      <c r="IT66" t="e">
        <f>AND(#REF!,"AAAAAG5//f0=")</f>
        <v>#REF!</v>
      </c>
      <c r="IU66" t="e">
        <f>AND(#REF!,"AAAAAG5//f4=")</f>
        <v>#REF!</v>
      </c>
      <c r="IV66" t="e">
        <f>AND(#REF!,"AAAAAG5//f8=")</f>
        <v>#REF!</v>
      </c>
    </row>
    <row r="67" spans="1:256" x14ac:dyDescent="0.25">
      <c r="A67" t="e">
        <f>AND(#REF!,"AAAAAF3TuwA=")</f>
        <v>#REF!</v>
      </c>
      <c r="B67" t="e">
        <f>AND(#REF!,"AAAAAF3TuwE=")</f>
        <v>#REF!</v>
      </c>
      <c r="C67" t="e">
        <f>AND(#REF!,"AAAAAF3TuwI=")</f>
        <v>#REF!</v>
      </c>
      <c r="D67" t="e">
        <f>AND(#REF!,"AAAAAF3TuwM=")</f>
        <v>#REF!</v>
      </c>
      <c r="E67" t="e">
        <f>AND(#REF!,"AAAAAF3TuwQ=")</f>
        <v>#REF!</v>
      </c>
      <c r="F67" t="e">
        <f>IF(#REF!,"AAAAAF3TuwU=",0)</f>
        <v>#REF!</v>
      </c>
      <c r="G67" t="e">
        <f>AND(#REF!,"AAAAAF3TuwY=")</f>
        <v>#REF!</v>
      </c>
      <c r="H67" t="e">
        <f>AND(#REF!,"AAAAAF3Tuwc=")</f>
        <v>#REF!</v>
      </c>
      <c r="I67" t="e">
        <f>AND(#REF!,"AAAAAF3Tuwg=")</f>
        <v>#REF!</v>
      </c>
      <c r="J67" t="e">
        <f>AND(#REF!,"AAAAAF3Tuwk=")</f>
        <v>#REF!</v>
      </c>
      <c r="K67" t="e">
        <f>AND(#REF!,"AAAAAF3Tuwo=")</f>
        <v>#REF!</v>
      </c>
      <c r="L67" t="e">
        <f>AND(#REF!,"AAAAAF3Tuws=")</f>
        <v>#REF!</v>
      </c>
      <c r="M67" t="e">
        <f>AND(#REF!,"AAAAAF3Tuww=")</f>
        <v>#REF!</v>
      </c>
      <c r="N67" t="e">
        <f>AND(#REF!,"AAAAAF3Tuw0=")</f>
        <v>#REF!</v>
      </c>
      <c r="O67" t="e">
        <f>AND(#REF!,"AAAAAF3Tuw4=")</f>
        <v>#REF!</v>
      </c>
      <c r="P67" t="e">
        <f>AND(#REF!,"AAAAAF3Tuw8=")</f>
        <v>#REF!</v>
      </c>
      <c r="Q67" t="e">
        <f>IF(#REF!,"AAAAAF3TuxA=",0)</f>
        <v>#REF!</v>
      </c>
      <c r="R67" t="e">
        <f>AND(#REF!,"AAAAAF3TuxE=")</f>
        <v>#REF!</v>
      </c>
      <c r="S67" t="e">
        <f>AND(#REF!,"AAAAAF3TuxI=")</f>
        <v>#REF!</v>
      </c>
      <c r="T67" t="e">
        <f>AND(#REF!,"AAAAAF3TuxM=")</f>
        <v>#REF!</v>
      </c>
      <c r="U67" t="e">
        <f>AND(#REF!,"AAAAAF3TuxQ=")</f>
        <v>#REF!</v>
      </c>
      <c r="V67" t="e">
        <f>AND(#REF!,"AAAAAF3TuxU=")</f>
        <v>#REF!</v>
      </c>
      <c r="W67" t="e">
        <f>AND(#REF!,"AAAAAF3TuxY=")</f>
        <v>#REF!</v>
      </c>
      <c r="X67" t="e">
        <f>AND(#REF!,"AAAAAF3Tuxc=")</f>
        <v>#REF!</v>
      </c>
      <c r="Y67" t="e">
        <f>AND(#REF!,"AAAAAF3Tuxg=")</f>
        <v>#REF!</v>
      </c>
      <c r="Z67" t="e">
        <f>AND(#REF!,"AAAAAF3Tuxk=")</f>
        <v>#REF!</v>
      </c>
      <c r="AA67" t="e">
        <f>AND(#REF!,"AAAAAF3Tuxo=")</f>
        <v>#REF!</v>
      </c>
      <c r="AB67" t="e">
        <f>IF(#REF!,"AAAAAF3Tuxs=",0)</f>
        <v>#REF!</v>
      </c>
      <c r="AC67" t="e">
        <f>AND(#REF!,"AAAAAF3Tuxw=")</f>
        <v>#REF!</v>
      </c>
      <c r="AD67" t="e">
        <f>AND(#REF!,"AAAAAF3Tux0=")</f>
        <v>#REF!</v>
      </c>
      <c r="AE67" t="e">
        <f>AND(#REF!,"AAAAAF3Tux4=")</f>
        <v>#REF!</v>
      </c>
      <c r="AF67" t="e">
        <f>AND(#REF!,"AAAAAF3Tux8=")</f>
        <v>#REF!</v>
      </c>
      <c r="AG67" t="e">
        <f>AND(#REF!,"AAAAAF3TuyA=")</f>
        <v>#REF!</v>
      </c>
      <c r="AH67" t="e">
        <f>AND(#REF!,"AAAAAF3TuyE=")</f>
        <v>#REF!</v>
      </c>
      <c r="AI67" t="e">
        <f>AND(#REF!,"AAAAAF3TuyI=")</f>
        <v>#REF!</v>
      </c>
      <c r="AJ67" t="e">
        <f>AND(#REF!,"AAAAAF3TuyM=")</f>
        <v>#REF!</v>
      </c>
      <c r="AK67" t="e">
        <f>AND(#REF!,"AAAAAF3TuyQ=")</f>
        <v>#REF!</v>
      </c>
      <c r="AL67" t="e">
        <f>AND(#REF!,"AAAAAF3TuyU=")</f>
        <v>#REF!</v>
      </c>
      <c r="AM67" t="e">
        <f>IF(#REF!,"AAAAAF3TuyY=",0)</f>
        <v>#REF!</v>
      </c>
      <c r="AN67" t="e">
        <f>AND(#REF!,"AAAAAF3Tuyc=")</f>
        <v>#REF!</v>
      </c>
      <c r="AO67" t="e">
        <f>AND(#REF!,"AAAAAF3Tuyg=")</f>
        <v>#REF!</v>
      </c>
      <c r="AP67" t="e">
        <f>AND(#REF!,"AAAAAF3Tuyk=")</f>
        <v>#REF!</v>
      </c>
      <c r="AQ67" t="e">
        <f>AND(#REF!,"AAAAAF3Tuyo=")</f>
        <v>#REF!</v>
      </c>
      <c r="AR67" t="e">
        <f>AND(#REF!,"AAAAAF3Tuys=")</f>
        <v>#REF!</v>
      </c>
      <c r="AS67" t="e">
        <f>AND(#REF!,"AAAAAF3Tuyw=")</f>
        <v>#REF!</v>
      </c>
      <c r="AT67" t="e">
        <f>AND(#REF!,"AAAAAF3Tuy0=")</f>
        <v>#REF!</v>
      </c>
      <c r="AU67" t="e">
        <f>AND(#REF!,"AAAAAF3Tuy4=")</f>
        <v>#REF!</v>
      </c>
      <c r="AV67" t="e">
        <f>AND(#REF!,"AAAAAF3Tuy8=")</f>
        <v>#REF!</v>
      </c>
      <c r="AW67" t="e">
        <f>AND(#REF!,"AAAAAF3TuzA=")</f>
        <v>#REF!</v>
      </c>
      <c r="AX67" t="e">
        <f>IF(#REF!,"AAAAAF3TuzE=",0)</f>
        <v>#REF!</v>
      </c>
      <c r="AY67" t="e">
        <f>AND(#REF!,"AAAAAF3TuzI=")</f>
        <v>#REF!</v>
      </c>
      <c r="AZ67" t="e">
        <f>AND(#REF!,"AAAAAF3TuzM=")</f>
        <v>#REF!</v>
      </c>
      <c r="BA67" t="e">
        <f>AND(#REF!,"AAAAAF3TuzQ=")</f>
        <v>#REF!</v>
      </c>
      <c r="BB67" t="e">
        <f>AND(#REF!,"AAAAAF3TuzU=")</f>
        <v>#REF!</v>
      </c>
      <c r="BC67" t="e">
        <f>AND(#REF!,"AAAAAF3TuzY=")</f>
        <v>#REF!</v>
      </c>
      <c r="BD67" t="e">
        <f>AND(#REF!,"AAAAAF3Tuzc=")</f>
        <v>#REF!</v>
      </c>
      <c r="BE67" t="e">
        <f>AND(#REF!,"AAAAAF3Tuzg=")</f>
        <v>#REF!</v>
      </c>
      <c r="BF67" t="e">
        <f>AND(#REF!,"AAAAAF3Tuzk=")</f>
        <v>#REF!</v>
      </c>
      <c r="BG67" t="e">
        <f>AND(#REF!,"AAAAAF3Tuzo=")</f>
        <v>#REF!</v>
      </c>
      <c r="BH67" t="e">
        <f>AND(#REF!,"AAAAAF3Tuzs=")</f>
        <v>#REF!</v>
      </c>
      <c r="BI67" t="e">
        <f>IF(#REF!,"AAAAAF3Tuzw=",0)</f>
        <v>#REF!</v>
      </c>
      <c r="BJ67" t="e">
        <f>AND(#REF!,"AAAAAF3Tuz0=")</f>
        <v>#REF!</v>
      </c>
      <c r="BK67" t="e">
        <f>AND(#REF!,"AAAAAF3Tuz4=")</f>
        <v>#REF!</v>
      </c>
      <c r="BL67" t="e">
        <f>AND(#REF!,"AAAAAF3Tuz8=")</f>
        <v>#REF!</v>
      </c>
      <c r="BM67" t="e">
        <f>AND(#REF!,"AAAAAF3Tu0A=")</f>
        <v>#REF!</v>
      </c>
      <c r="BN67" t="e">
        <f>AND(#REF!,"AAAAAF3Tu0E=")</f>
        <v>#REF!</v>
      </c>
      <c r="BO67" t="e">
        <f>AND(#REF!,"AAAAAF3Tu0I=")</f>
        <v>#REF!</v>
      </c>
      <c r="BP67" t="e">
        <f>AND(#REF!,"AAAAAF3Tu0M=")</f>
        <v>#REF!</v>
      </c>
      <c r="BQ67" t="e">
        <f>AND(#REF!,"AAAAAF3Tu0Q=")</f>
        <v>#REF!</v>
      </c>
      <c r="BR67" t="e">
        <f>AND(#REF!,"AAAAAF3Tu0U=")</f>
        <v>#REF!</v>
      </c>
      <c r="BS67" t="e">
        <f>AND(#REF!,"AAAAAF3Tu0Y=")</f>
        <v>#REF!</v>
      </c>
      <c r="BT67" t="e">
        <f>IF(#REF!,"AAAAAF3Tu0c=",0)</f>
        <v>#REF!</v>
      </c>
      <c r="BU67" t="e">
        <f>AND(#REF!,"AAAAAF3Tu0g=")</f>
        <v>#REF!</v>
      </c>
      <c r="BV67" t="e">
        <f>AND(#REF!,"AAAAAF3Tu0k=")</f>
        <v>#REF!</v>
      </c>
      <c r="BW67" t="e">
        <f>AND(#REF!,"AAAAAF3Tu0o=")</f>
        <v>#REF!</v>
      </c>
      <c r="BX67" t="e">
        <f>AND(#REF!,"AAAAAF3Tu0s=")</f>
        <v>#REF!</v>
      </c>
      <c r="BY67" t="e">
        <f>AND(#REF!,"AAAAAF3Tu0w=")</f>
        <v>#REF!</v>
      </c>
      <c r="BZ67" t="e">
        <f>AND(#REF!,"AAAAAF3Tu00=")</f>
        <v>#REF!</v>
      </c>
      <c r="CA67" t="e">
        <f>AND(#REF!,"AAAAAF3Tu04=")</f>
        <v>#REF!</v>
      </c>
      <c r="CB67" t="e">
        <f>AND(#REF!,"AAAAAF3Tu08=")</f>
        <v>#REF!</v>
      </c>
      <c r="CC67" t="e">
        <f>AND(#REF!,"AAAAAF3Tu1A=")</f>
        <v>#REF!</v>
      </c>
      <c r="CD67" t="e">
        <f>AND(#REF!,"AAAAAF3Tu1E=")</f>
        <v>#REF!</v>
      </c>
      <c r="CE67" t="e">
        <f>IF(#REF!,"AAAAAF3Tu1I=",0)</f>
        <v>#REF!</v>
      </c>
      <c r="CF67" t="e">
        <f>AND(#REF!,"AAAAAF3Tu1M=")</f>
        <v>#REF!</v>
      </c>
      <c r="CG67" t="e">
        <f>AND(#REF!,"AAAAAF3Tu1Q=")</f>
        <v>#REF!</v>
      </c>
      <c r="CH67" t="e">
        <f>AND(#REF!,"AAAAAF3Tu1U=")</f>
        <v>#REF!</v>
      </c>
      <c r="CI67" t="e">
        <f>AND(#REF!,"AAAAAF3Tu1Y=")</f>
        <v>#REF!</v>
      </c>
      <c r="CJ67" t="e">
        <f>AND(#REF!,"AAAAAF3Tu1c=")</f>
        <v>#REF!</v>
      </c>
      <c r="CK67" t="e">
        <f>AND(#REF!,"AAAAAF3Tu1g=")</f>
        <v>#REF!</v>
      </c>
      <c r="CL67" t="e">
        <f>AND(#REF!,"AAAAAF3Tu1k=")</f>
        <v>#REF!</v>
      </c>
      <c r="CM67" t="e">
        <f>AND(#REF!,"AAAAAF3Tu1o=")</f>
        <v>#REF!</v>
      </c>
      <c r="CN67" t="e">
        <f>AND(#REF!,"AAAAAF3Tu1s=")</f>
        <v>#REF!</v>
      </c>
      <c r="CO67" t="e">
        <f>AND(#REF!,"AAAAAF3Tu1w=")</f>
        <v>#REF!</v>
      </c>
      <c r="CP67" t="e">
        <f>IF(#REF!,"AAAAAF3Tu10=",0)</f>
        <v>#REF!</v>
      </c>
      <c r="CQ67" t="e">
        <f>AND(#REF!,"AAAAAF3Tu14=")</f>
        <v>#REF!</v>
      </c>
      <c r="CR67" t="e">
        <f>AND(#REF!,"AAAAAF3Tu18=")</f>
        <v>#REF!</v>
      </c>
      <c r="CS67" t="e">
        <f>AND(#REF!,"AAAAAF3Tu2A=")</f>
        <v>#REF!</v>
      </c>
      <c r="CT67" t="e">
        <f>AND(#REF!,"AAAAAF3Tu2E=")</f>
        <v>#REF!</v>
      </c>
      <c r="CU67" t="e">
        <f>AND(#REF!,"AAAAAF3Tu2I=")</f>
        <v>#REF!</v>
      </c>
      <c r="CV67" t="e">
        <f>AND(#REF!,"AAAAAF3Tu2M=")</f>
        <v>#REF!</v>
      </c>
      <c r="CW67" t="e">
        <f>AND(#REF!,"AAAAAF3Tu2Q=")</f>
        <v>#REF!</v>
      </c>
      <c r="CX67" t="e">
        <f>AND(#REF!,"AAAAAF3Tu2U=")</f>
        <v>#REF!</v>
      </c>
      <c r="CY67" t="e">
        <f>AND(#REF!,"AAAAAF3Tu2Y=")</f>
        <v>#REF!</v>
      </c>
      <c r="CZ67" t="e">
        <f>AND(#REF!,"AAAAAF3Tu2c=")</f>
        <v>#REF!</v>
      </c>
      <c r="DA67" t="e">
        <f>IF(#REF!,"AAAAAF3Tu2g=",0)</f>
        <v>#REF!</v>
      </c>
      <c r="DB67" t="e">
        <f>AND(#REF!,"AAAAAF3Tu2k=")</f>
        <v>#REF!</v>
      </c>
      <c r="DC67" t="e">
        <f>AND(#REF!,"AAAAAF3Tu2o=")</f>
        <v>#REF!</v>
      </c>
      <c r="DD67" t="e">
        <f>AND(#REF!,"AAAAAF3Tu2s=")</f>
        <v>#REF!</v>
      </c>
      <c r="DE67" t="e">
        <f>AND(#REF!,"AAAAAF3Tu2w=")</f>
        <v>#REF!</v>
      </c>
      <c r="DF67" t="e">
        <f>AND(#REF!,"AAAAAF3Tu20=")</f>
        <v>#REF!</v>
      </c>
      <c r="DG67" t="e">
        <f>AND(#REF!,"AAAAAF3Tu24=")</f>
        <v>#REF!</v>
      </c>
      <c r="DH67" t="e">
        <f>AND(#REF!,"AAAAAF3Tu28=")</f>
        <v>#REF!</v>
      </c>
      <c r="DI67" t="e">
        <f>AND(#REF!,"AAAAAF3Tu3A=")</f>
        <v>#REF!</v>
      </c>
      <c r="DJ67" t="e">
        <f>AND(#REF!,"AAAAAF3Tu3E=")</f>
        <v>#REF!</v>
      </c>
      <c r="DK67" t="e">
        <f>AND(#REF!,"AAAAAF3Tu3I=")</f>
        <v>#REF!</v>
      </c>
      <c r="DL67" t="e">
        <f>IF(#REF!,"AAAAAF3Tu3M=",0)</f>
        <v>#REF!</v>
      </c>
      <c r="DM67" t="e">
        <f>AND(#REF!,"AAAAAF3Tu3Q=")</f>
        <v>#REF!</v>
      </c>
      <c r="DN67" t="e">
        <f>AND(#REF!,"AAAAAF3Tu3U=")</f>
        <v>#REF!</v>
      </c>
      <c r="DO67" t="e">
        <f>AND(#REF!,"AAAAAF3Tu3Y=")</f>
        <v>#REF!</v>
      </c>
      <c r="DP67" t="e">
        <f>AND(#REF!,"AAAAAF3Tu3c=")</f>
        <v>#REF!</v>
      </c>
      <c r="DQ67" t="e">
        <f>AND(#REF!,"AAAAAF3Tu3g=")</f>
        <v>#REF!</v>
      </c>
      <c r="DR67" t="e">
        <f>AND(#REF!,"AAAAAF3Tu3k=")</f>
        <v>#REF!</v>
      </c>
      <c r="DS67" t="e">
        <f>AND(#REF!,"AAAAAF3Tu3o=")</f>
        <v>#REF!</v>
      </c>
      <c r="DT67" t="e">
        <f>AND(#REF!,"AAAAAF3Tu3s=")</f>
        <v>#REF!</v>
      </c>
      <c r="DU67" t="e">
        <f>AND(#REF!,"AAAAAF3Tu3w=")</f>
        <v>#REF!</v>
      </c>
      <c r="DV67" t="e">
        <f>AND(#REF!,"AAAAAF3Tu30=")</f>
        <v>#REF!</v>
      </c>
      <c r="DW67" t="e">
        <f>IF(#REF!,"AAAAAF3Tu34=",0)</f>
        <v>#REF!</v>
      </c>
      <c r="DX67" t="e">
        <f>AND(#REF!,"AAAAAF3Tu38=")</f>
        <v>#REF!</v>
      </c>
      <c r="DY67" t="e">
        <f>AND(#REF!,"AAAAAF3Tu4A=")</f>
        <v>#REF!</v>
      </c>
      <c r="DZ67" t="e">
        <f>AND(#REF!,"AAAAAF3Tu4E=")</f>
        <v>#REF!</v>
      </c>
      <c r="EA67" t="e">
        <f>AND(#REF!,"AAAAAF3Tu4I=")</f>
        <v>#REF!</v>
      </c>
      <c r="EB67" t="e">
        <f>AND(#REF!,"AAAAAF3Tu4M=")</f>
        <v>#REF!</v>
      </c>
      <c r="EC67" t="e">
        <f>AND(#REF!,"AAAAAF3Tu4Q=")</f>
        <v>#REF!</v>
      </c>
      <c r="ED67" t="e">
        <f>AND(#REF!,"AAAAAF3Tu4U=")</f>
        <v>#REF!</v>
      </c>
      <c r="EE67" t="e">
        <f>AND(#REF!,"AAAAAF3Tu4Y=")</f>
        <v>#REF!</v>
      </c>
      <c r="EF67" t="e">
        <f>AND(#REF!,"AAAAAF3Tu4c=")</f>
        <v>#REF!</v>
      </c>
      <c r="EG67" t="e">
        <f>AND(#REF!,"AAAAAF3Tu4g=")</f>
        <v>#REF!</v>
      </c>
      <c r="EH67" t="e">
        <f>IF(#REF!,"AAAAAF3Tu4k=",0)</f>
        <v>#REF!</v>
      </c>
      <c r="EI67" t="e">
        <f>AND(#REF!,"AAAAAF3Tu4o=")</f>
        <v>#REF!</v>
      </c>
      <c r="EJ67" t="e">
        <f>AND(#REF!,"AAAAAF3Tu4s=")</f>
        <v>#REF!</v>
      </c>
      <c r="EK67" t="e">
        <f>AND(#REF!,"AAAAAF3Tu4w=")</f>
        <v>#REF!</v>
      </c>
      <c r="EL67" t="e">
        <f>AND(#REF!,"AAAAAF3Tu40=")</f>
        <v>#REF!</v>
      </c>
      <c r="EM67" t="e">
        <f>AND(#REF!,"AAAAAF3Tu44=")</f>
        <v>#REF!</v>
      </c>
      <c r="EN67" t="e">
        <f>AND(#REF!,"AAAAAF3Tu48=")</f>
        <v>#REF!</v>
      </c>
      <c r="EO67" t="e">
        <f>AND(#REF!,"AAAAAF3Tu5A=")</f>
        <v>#REF!</v>
      </c>
      <c r="EP67" t="e">
        <f>AND(#REF!,"AAAAAF3Tu5E=")</f>
        <v>#REF!</v>
      </c>
      <c r="EQ67" t="e">
        <f>AND(#REF!,"AAAAAF3Tu5I=")</f>
        <v>#REF!</v>
      </c>
      <c r="ER67" t="e">
        <f>AND(#REF!,"AAAAAF3Tu5M=")</f>
        <v>#REF!</v>
      </c>
      <c r="ES67" t="e">
        <f>IF(#REF!,"AAAAAF3Tu5Q=",0)</f>
        <v>#REF!</v>
      </c>
      <c r="ET67" t="e">
        <f>AND(#REF!,"AAAAAF3Tu5U=")</f>
        <v>#REF!</v>
      </c>
      <c r="EU67" t="e">
        <f>AND(#REF!,"AAAAAF3Tu5Y=")</f>
        <v>#REF!</v>
      </c>
      <c r="EV67" t="e">
        <f>AND(#REF!,"AAAAAF3Tu5c=")</f>
        <v>#REF!</v>
      </c>
      <c r="EW67" t="e">
        <f>AND(#REF!,"AAAAAF3Tu5g=")</f>
        <v>#REF!</v>
      </c>
      <c r="EX67" t="e">
        <f>AND(#REF!,"AAAAAF3Tu5k=")</f>
        <v>#REF!</v>
      </c>
      <c r="EY67" t="e">
        <f>AND(#REF!,"AAAAAF3Tu5o=")</f>
        <v>#REF!</v>
      </c>
      <c r="EZ67" t="e">
        <f>AND(#REF!,"AAAAAF3Tu5s=")</f>
        <v>#REF!</v>
      </c>
      <c r="FA67" t="e">
        <f>AND(#REF!,"AAAAAF3Tu5w=")</f>
        <v>#REF!</v>
      </c>
      <c r="FB67" t="e">
        <f>AND(#REF!,"AAAAAF3Tu50=")</f>
        <v>#REF!</v>
      </c>
      <c r="FC67" t="e">
        <f>AND(#REF!,"AAAAAF3Tu54=")</f>
        <v>#REF!</v>
      </c>
      <c r="FD67" t="e">
        <f>IF(#REF!,"AAAAAF3Tu58=",0)</f>
        <v>#REF!</v>
      </c>
      <c r="FE67" t="e">
        <f>AND(#REF!,"AAAAAF3Tu6A=")</f>
        <v>#REF!</v>
      </c>
      <c r="FF67" t="e">
        <f>AND(#REF!,"AAAAAF3Tu6E=")</f>
        <v>#REF!</v>
      </c>
      <c r="FG67" t="e">
        <f>AND(#REF!,"AAAAAF3Tu6I=")</f>
        <v>#REF!</v>
      </c>
      <c r="FH67" t="e">
        <f>AND(#REF!,"AAAAAF3Tu6M=")</f>
        <v>#REF!</v>
      </c>
      <c r="FI67" t="e">
        <f>AND(#REF!,"AAAAAF3Tu6Q=")</f>
        <v>#REF!</v>
      </c>
      <c r="FJ67" t="e">
        <f>AND(#REF!,"AAAAAF3Tu6U=")</f>
        <v>#REF!</v>
      </c>
      <c r="FK67" t="e">
        <f>AND(#REF!,"AAAAAF3Tu6Y=")</f>
        <v>#REF!</v>
      </c>
      <c r="FL67" t="e">
        <f>AND(#REF!,"AAAAAF3Tu6c=")</f>
        <v>#REF!</v>
      </c>
      <c r="FM67" t="e">
        <f>AND(#REF!,"AAAAAF3Tu6g=")</f>
        <v>#REF!</v>
      </c>
      <c r="FN67" t="e">
        <f>AND(#REF!,"AAAAAF3Tu6k=")</f>
        <v>#REF!</v>
      </c>
      <c r="FO67" t="e">
        <f>IF(#REF!,"AAAAAF3Tu6o=",0)</f>
        <v>#REF!</v>
      </c>
      <c r="FP67" t="e">
        <f>AND(#REF!,"AAAAAF3Tu6s=")</f>
        <v>#REF!</v>
      </c>
      <c r="FQ67" t="e">
        <f>AND(#REF!,"AAAAAF3Tu6w=")</f>
        <v>#REF!</v>
      </c>
      <c r="FR67" t="e">
        <f>AND(#REF!,"AAAAAF3Tu60=")</f>
        <v>#REF!</v>
      </c>
      <c r="FS67" t="e">
        <f>AND(#REF!,"AAAAAF3Tu64=")</f>
        <v>#REF!</v>
      </c>
      <c r="FT67" t="e">
        <f>AND(#REF!,"AAAAAF3Tu68=")</f>
        <v>#REF!</v>
      </c>
      <c r="FU67" t="e">
        <f>AND(#REF!,"AAAAAF3Tu7A=")</f>
        <v>#REF!</v>
      </c>
      <c r="FV67" t="e">
        <f>AND(#REF!,"AAAAAF3Tu7E=")</f>
        <v>#REF!</v>
      </c>
      <c r="FW67" t="e">
        <f>AND(#REF!,"AAAAAF3Tu7I=")</f>
        <v>#REF!</v>
      </c>
      <c r="FX67" t="e">
        <f>AND(#REF!,"AAAAAF3Tu7M=")</f>
        <v>#REF!</v>
      </c>
      <c r="FY67" t="e">
        <f>AND(#REF!,"AAAAAF3Tu7Q=")</f>
        <v>#REF!</v>
      </c>
      <c r="FZ67" t="e">
        <f>IF(#REF!,"AAAAAF3Tu7U=",0)</f>
        <v>#REF!</v>
      </c>
      <c r="GA67" t="e">
        <f>AND(#REF!,"AAAAAF3Tu7Y=")</f>
        <v>#REF!</v>
      </c>
      <c r="GB67" t="e">
        <f>AND(#REF!,"AAAAAF3Tu7c=")</f>
        <v>#REF!</v>
      </c>
      <c r="GC67" t="e">
        <f>AND(#REF!,"AAAAAF3Tu7g=")</f>
        <v>#REF!</v>
      </c>
      <c r="GD67" t="e">
        <f>AND(#REF!,"AAAAAF3Tu7k=")</f>
        <v>#REF!</v>
      </c>
      <c r="GE67" t="e">
        <f>AND(#REF!,"AAAAAF3Tu7o=")</f>
        <v>#REF!</v>
      </c>
      <c r="GF67" t="e">
        <f>AND(#REF!,"AAAAAF3Tu7s=")</f>
        <v>#REF!</v>
      </c>
      <c r="GG67" t="e">
        <f>AND(#REF!,"AAAAAF3Tu7w=")</f>
        <v>#REF!</v>
      </c>
      <c r="GH67" t="e">
        <f>AND(#REF!,"AAAAAF3Tu70=")</f>
        <v>#REF!</v>
      </c>
      <c r="GI67" t="e">
        <f>AND(#REF!,"AAAAAF3Tu74=")</f>
        <v>#REF!</v>
      </c>
      <c r="GJ67" t="e">
        <f>AND(#REF!,"AAAAAF3Tu78=")</f>
        <v>#REF!</v>
      </c>
      <c r="GK67" t="e">
        <f>IF(#REF!,"AAAAAF3Tu8A=",0)</f>
        <v>#REF!</v>
      </c>
      <c r="GL67" t="e">
        <f>AND(#REF!,"AAAAAF3Tu8E=")</f>
        <v>#REF!</v>
      </c>
      <c r="GM67" t="e">
        <f>AND(#REF!,"AAAAAF3Tu8I=")</f>
        <v>#REF!</v>
      </c>
      <c r="GN67" t="e">
        <f>AND(#REF!,"AAAAAF3Tu8M=")</f>
        <v>#REF!</v>
      </c>
      <c r="GO67" t="e">
        <f>AND(#REF!,"AAAAAF3Tu8Q=")</f>
        <v>#REF!</v>
      </c>
      <c r="GP67" t="e">
        <f>AND(#REF!,"AAAAAF3Tu8U=")</f>
        <v>#REF!</v>
      </c>
      <c r="GQ67" t="e">
        <f>AND(#REF!,"AAAAAF3Tu8Y=")</f>
        <v>#REF!</v>
      </c>
      <c r="GR67" t="e">
        <f>AND(#REF!,"AAAAAF3Tu8c=")</f>
        <v>#REF!</v>
      </c>
      <c r="GS67" t="e">
        <f>AND(#REF!,"AAAAAF3Tu8g=")</f>
        <v>#REF!</v>
      </c>
      <c r="GT67" t="e">
        <f>AND(#REF!,"AAAAAF3Tu8k=")</f>
        <v>#REF!</v>
      </c>
      <c r="GU67" t="e">
        <f>AND(#REF!,"AAAAAF3Tu8o=")</f>
        <v>#REF!</v>
      </c>
      <c r="GV67" t="e">
        <f>IF(#REF!,"AAAAAF3Tu8s=",0)</f>
        <v>#REF!</v>
      </c>
      <c r="GW67" t="e">
        <f>AND(#REF!,"AAAAAF3Tu8w=")</f>
        <v>#REF!</v>
      </c>
      <c r="GX67" t="e">
        <f>AND(#REF!,"AAAAAF3Tu80=")</f>
        <v>#REF!</v>
      </c>
      <c r="GY67" t="e">
        <f>AND(#REF!,"AAAAAF3Tu84=")</f>
        <v>#REF!</v>
      </c>
      <c r="GZ67" t="e">
        <f>AND(#REF!,"AAAAAF3Tu88=")</f>
        <v>#REF!</v>
      </c>
      <c r="HA67" t="e">
        <f>AND(#REF!,"AAAAAF3Tu9A=")</f>
        <v>#REF!</v>
      </c>
      <c r="HB67" t="e">
        <f>AND(#REF!,"AAAAAF3Tu9E=")</f>
        <v>#REF!</v>
      </c>
      <c r="HC67" t="e">
        <f>AND(#REF!,"AAAAAF3Tu9I=")</f>
        <v>#REF!</v>
      </c>
      <c r="HD67" t="e">
        <f>AND(#REF!,"AAAAAF3Tu9M=")</f>
        <v>#REF!</v>
      </c>
      <c r="HE67" t="e">
        <f>AND(#REF!,"AAAAAF3Tu9Q=")</f>
        <v>#REF!</v>
      </c>
      <c r="HF67" t="e">
        <f>AND(#REF!,"AAAAAF3Tu9U=")</f>
        <v>#REF!</v>
      </c>
      <c r="HG67" t="e">
        <f>IF(#REF!,"AAAAAF3Tu9Y=",0)</f>
        <v>#REF!</v>
      </c>
      <c r="HH67" t="e">
        <f>AND(#REF!,"AAAAAF3Tu9c=")</f>
        <v>#REF!</v>
      </c>
      <c r="HI67" t="e">
        <f>AND(#REF!,"AAAAAF3Tu9g=")</f>
        <v>#REF!</v>
      </c>
      <c r="HJ67" t="e">
        <f>AND(#REF!,"AAAAAF3Tu9k=")</f>
        <v>#REF!</v>
      </c>
      <c r="HK67" t="e">
        <f>AND(#REF!,"AAAAAF3Tu9o=")</f>
        <v>#REF!</v>
      </c>
      <c r="HL67" t="e">
        <f>AND(#REF!,"AAAAAF3Tu9s=")</f>
        <v>#REF!</v>
      </c>
      <c r="HM67" t="e">
        <f>AND(#REF!,"AAAAAF3Tu9w=")</f>
        <v>#REF!</v>
      </c>
      <c r="HN67" t="e">
        <f>AND(#REF!,"AAAAAF3Tu90=")</f>
        <v>#REF!</v>
      </c>
      <c r="HO67" t="e">
        <f>AND(#REF!,"AAAAAF3Tu94=")</f>
        <v>#REF!</v>
      </c>
      <c r="HP67" t="e">
        <f>AND(#REF!,"AAAAAF3Tu98=")</f>
        <v>#REF!</v>
      </c>
      <c r="HQ67" t="e">
        <f>AND(#REF!,"AAAAAF3Tu+A=")</f>
        <v>#REF!</v>
      </c>
      <c r="HR67" t="e">
        <f>IF(#REF!,"AAAAAF3Tu+E=",0)</f>
        <v>#REF!</v>
      </c>
      <c r="HS67" t="e">
        <f>AND(#REF!,"AAAAAF3Tu+I=")</f>
        <v>#REF!</v>
      </c>
      <c r="HT67" t="e">
        <f>AND(#REF!,"AAAAAF3Tu+M=")</f>
        <v>#REF!</v>
      </c>
      <c r="HU67" t="e">
        <f>AND(#REF!,"AAAAAF3Tu+Q=")</f>
        <v>#REF!</v>
      </c>
      <c r="HV67" t="e">
        <f>AND(#REF!,"AAAAAF3Tu+U=")</f>
        <v>#REF!</v>
      </c>
      <c r="HW67" t="e">
        <f>AND(#REF!,"AAAAAF3Tu+Y=")</f>
        <v>#REF!</v>
      </c>
      <c r="HX67" t="e">
        <f>AND(#REF!,"AAAAAF3Tu+c=")</f>
        <v>#REF!</v>
      </c>
      <c r="HY67" t="e">
        <f>AND(#REF!,"AAAAAF3Tu+g=")</f>
        <v>#REF!</v>
      </c>
      <c r="HZ67" t="e">
        <f>AND(#REF!,"AAAAAF3Tu+k=")</f>
        <v>#REF!</v>
      </c>
      <c r="IA67" t="e">
        <f>AND(#REF!,"AAAAAF3Tu+o=")</f>
        <v>#REF!</v>
      </c>
      <c r="IB67" t="e">
        <f>AND(#REF!,"AAAAAF3Tu+s=")</f>
        <v>#REF!</v>
      </c>
      <c r="IC67" t="e">
        <f>IF(#REF!,"AAAAAF3Tu+w=",0)</f>
        <v>#REF!</v>
      </c>
      <c r="ID67" t="e">
        <f>AND(#REF!,"AAAAAF3Tu+0=")</f>
        <v>#REF!</v>
      </c>
      <c r="IE67" t="e">
        <f>AND(#REF!,"AAAAAF3Tu+4=")</f>
        <v>#REF!</v>
      </c>
      <c r="IF67" t="e">
        <f>AND(#REF!,"AAAAAF3Tu+8=")</f>
        <v>#REF!</v>
      </c>
      <c r="IG67" t="e">
        <f>AND(#REF!,"AAAAAF3Tu/A=")</f>
        <v>#REF!</v>
      </c>
      <c r="IH67" t="e">
        <f>AND(#REF!,"AAAAAF3Tu/E=")</f>
        <v>#REF!</v>
      </c>
      <c r="II67" t="e">
        <f>AND(#REF!,"AAAAAF3Tu/I=")</f>
        <v>#REF!</v>
      </c>
      <c r="IJ67" t="e">
        <f>AND(#REF!,"AAAAAF3Tu/M=")</f>
        <v>#REF!</v>
      </c>
      <c r="IK67" t="e">
        <f>AND(#REF!,"AAAAAF3Tu/Q=")</f>
        <v>#REF!</v>
      </c>
      <c r="IL67" t="e">
        <f>AND(#REF!,"AAAAAF3Tu/U=")</f>
        <v>#REF!</v>
      </c>
      <c r="IM67" t="e">
        <f>AND(#REF!,"AAAAAF3Tu/Y=")</f>
        <v>#REF!</v>
      </c>
      <c r="IN67" t="e">
        <f>IF(#REF!,"AAAAAF3Tu/c=",0)</f>
        <v>#REF!</v>
      </c>
      <c r="IO67" t="e">
        <f>AND(#REF!,"AAAAAF3Tu/g=")</f>
        <v>#REF!</v>
      </c>
      <c r="IP67" t="e">
        <f>AND(#REF!,"AAAAAF3Tu/k=")</f>
        <v>#REF!</v>
      </c>
      <c r="IQ67" t="e">
        <f>AND(#REF!,"AAAAAF3Tu/o=")</f>
        <v>#REF!</v>
      </c>
      <c r="IR67" t="e">
        <f>AND(#REF!,"AAAAAF3Tu/s=")</f>
        <v>#REF!</v>
      </c>
      <c r="IS67" t="e">
        <f>AND(#REF!,"AAAAAF3Tu/w=")</f>
        <v>#REF!</v>
      </c>
      <c r="IT67" t="e">
        <f>AND(#REF!,"AAAAAF3Tu/0=")</f>
        <v>#REF!</v>
      </c>
      <c r="IU67" t="e">
        <f>AND(#REF!,"AAAAAF3Tu/4=")</f>
        <v>#REF!</v>
      </c>
      <c r="IV67" t="e">
        <f>AND(#REF!,"AAAAAF3Tu/8=")</f>
        <v>#REF!</v>
      </c>
    </row>
    <row r="68" spans="1:256" x14ac:dyDescent="0.25">
      <c r="A68" t="e">
        <f>AND(#REF!,"AAAAAFr8nQA=")</f>
        <v>#REF!</v>
      </c>
      <c r="B68" t="e">
        <f>AND(#REF!,"AAAAAFr8nQE=")</f>
        <v>#REF!</v>
      </c>
      <c r="C68" t="e">
        <f>IF(#REF!,"AAAAAFr8nQI=",0)</f>
        <v>#REF!</v>
      </c>
      <c r="D68" t="e">
        <f>AND(#REF!,"AAAAAFr8nQM=")</f>
        <v>#REF!</v>
      </c>
      <c r="E68" t="e">
        <f>AND(#REF!,"AAAAAFr8nQQ=")</f>
        <v>#REF!</v>
      </c>
      <c r="F68" t="e">
        <f>AND(#REF!,"AAAAAFr8nQU=")</f>
        <v>#REF!</v>
      </c>
      <c r="G68" t="e">
        <f>AND(#REF!,"AAAAAFr8nQY=")</f>
        <v>#REF!</v>
      </c>
      <c r="H68" t="e">
        <f>AND(#REF!,"AAAAAFr8nQc=")</f>
        <v>#REF!</v>
      </c>
      <c r="I68" t="e">
        <f>AND(#REF!,"AAAAAFr8nQg=")</f>
        <v>#REF!</v>
      </c>
      <c r="J68" t="e">
        <f>AND(#REF!,"AAAAAFr8nQk=")</f>
        <v>#REF!</v>
      </c>
      <c r="K68" t="e">
        <f>AND(#REF!,"AAAAAFr8nQo=")</f>
        <v>#REF!</v>
      </c>
      <c r="L68" t="e">
        <f>AND(#REF!,"AAAAAFr8nQs=")</f>
        <v>#REF!</v>
      </c>
      <c r="M68" t="e">
        <f>AND(#REF!,"AAAAAFr8nQw=")</f>
        <v>#REF!</v>
      </c>
      <c r="N68" t="e">
        <f>IF(#REF!,"AAAAAFr8nQ0=",0)</f>
        <v>#REF!</v>
      </c>
      <c r="O68" t="e">
        <f>AND(#REF!,"AAAAAFr8nQ4=")</f>
        <v>#REF!</v>
      </c>
      <c r="P68" t="e">
        <f>AND(#REF!,"AAAAAFr8nQ8=")</f>
        <v>#REF!</v>
      </c>
      <c r="Q68" t="e">
        <f>AND(#REF!,"AAAAAFr8nRA=")</f>
        <v>#REF!</v>
      </c>
      <c r="R68" t="e">
        <f>AND(#REF!,"AAAAAFr8nRE=")</f>
        <v>#REF!</v>
      </c>
      <c r="S68" t="e">
        <f>AND(#REF!,"AAAAAFr8nRI=")</f>
        <v>#REF!</v>
      </c>
      <c r="T68" t="e">
        <f>AND(#REF!,"AAAAAFr8nRM=")</f>
        <v>#REF!</v>
      </c>
      <c r="U68" t="e">
        <f>AND(#REF!,"AAAAAFr8nRQ=")</f>
        <v>#REF!</v>
      </c>
      <c r="V68" t="e">
        <f>AND(#REF!,"AAAAAFr8nRU=")</f>
        <v>#REF!</v>
      </c>
      <c r="W68" t="e">
        <f>AND(#REF!,"AAAAAFr8nRY=")</f>
        <v>#REF!</v>
      </c>
      <c r="X68" t="e">
        <f>AND(#REF!,"AAAAAFr8nRc=")</f>
        <v>#REF!</v>
      </c>
      <c r="Y68" t="e">
        <f>IF(#REF!,"AAAAAFr8nRg=",0)</f>
        <v>#REF!</v>
      </c>
      <c r="Z68" t="e">
        <f>AND(#REF!,"AAAAAFr8nRk=")</f>
        <v>#REF!</v>
      </c>
      <c r="AA68" t="e">
        <f>AND(#REF!,"AAAAAFr8nRo=")</f>
        <v>#REF!</v>
      </c>
      <c r="AB68" t="e">
        <f>AND(#REF!,"AAAAAFr8nRs=")</f>
        <v>#REF!</v>
      </c>
      <c r="AC68" t="e">
        <f>AND(#REF!,"AAAAAFr8nRw=")</f>
        <v>#REF!</v>
      </c>
      <c r="AD68" t="e">
        <f>AND(#REF!,"AAAAAFr8nR0=")</f>
        <v>#REF!</v>
      </c>
      <c r="AE68" t="e">
        <f>AND(#REF!,"AAAAAFr8nR4=")</f>
        <v>#REF!</v>
      </c>
      <c r="AF68" t="e">
        <f>AND(#REF!,"AAAAAFr8nR8=")</f>
        <v>#REF!</v>
      </c>
      <c r="AG68" t="e">
        <f>AND(#REF!,"AAAAAFr8nSA=")</f>
        <v>#REF!</v>
      </c>
      <c r="AH68" t="e">
        <f>AND(#REF!,"AAAAAFr8nSE=")</f>
        <v>#REF!</v>
      </c>
      <c r="AI68" t="e">
        <f>AND(#REF!,"AAAAAFr8nSI=")</f>
        <v>#REF!</v>
      </c>
      <c r="AJ68" t="e">
        <f>IF(#REF!,"AAAAAFr8nSM=",0)</f>
        <v>#REF!</v>
      </c>
      <c r="AK68" t="e">
        <f>AND(#REF!,"AAAAAFr8nSQ=")</f>
        <v>#REF!</v>
      </c>
      <c r="AL68" t="e">
        <f>AND(#REF!,"AAAAAFr8nSU=")</f>
        <v>#REF!</v>
      </c>
      <c r="AM68" t="e">
        <f>AND(#REF!,"AAAAAFr8nSY=")</f>
        <v>#REF!</v>
      </c>
      <c r="AN68" t="e">
        <f>AND(#REF!,"AAAAAFr8nSc=")</f>
        <v>#REF!</v>
      </c>
      <c r="AO68" t="e">
        <f>AND(#REF!,"AAAAAFr8nSg=")</f>
        <v>#REF!</v>
      </c>
      <c r="AP68" t="e">
        <f>AND(#REF!,"AAAAAFr8nSk=")</f>
        <v>#REF!</v>
      </c>
      <c r="AQ68" t="e">
        <f>AND(#REF!,"AAAAAFr8nSo=")</f>
        <v>#REF!</v>
      </c>
      <c r="AR68" t="e">
        <f>AND(#REF!,"AAAAAFr8nSs=")</f>
        <v>#REF!</v>
      </c>
      <c r="AS68" t="e">
        <f>AND(#REF!,"AAAAAFr8nSw=")</f>
        <v>#REF!</v>
      </c>
      <c r="AT68" t="e">
        <f>AND(#REF!,"AAAAAFr8nS0=")</f>
        <v>#REF!</v>
      </c>
      <c r="AU68" t="e">
        <f>IF(#REF!,"AAAAAFr8nS4=",0)</f>
        <v>#REF!</v>
      </c>
      <c r="AV68" t="e">
        <f>AND(#REF!,"AAAAAFr8nS8=")</f>
        <v>#REF!</v>
      </c>
      <c r="AW68" t="e">
        <f>AND(#REF!,"AAAAAFr8nTA=")</f>
        <v>#REF!</v>
      </c>
      <c r="AX68" t="e">
        <f>AND(#REF!,"AAAAAFr8nTE=")</f>
        <v>#REF!</v>
      </c>
      <c r="AY68" t="e">
        <f>AND(#REF!,"AAAAAFr8nTI=")</f>
        <v>#REF!</v>
      </c>
      <c r="AZ68" t="e">
        <f>AND(#REF!,"AAAAAFr8nTM=")</f>
        <v>#REF!</v>
      </c>
      <c r="BA68" t="e">
        <f>AND(#REF!,"AAAAAFr8nTQ=")</f>
        <v>#REF!</v>
      </c>
      <c r="BB68" t="e">
        <f>AND(#REF!,"AAAAAFr8nTU=")</f>
        <v>#REF!</v>
      </c>
      <c r="BC68" t="e">
        <f>AND(#REF!,"AAAAAFr8nTY=")</f>
        <v>#REF!</v>
      </c>
      <c r="BD68" t="e">
        <f>AND(#REF!,"AAAAAFr8nTc=")</f>
        <v>#REF!</v>
      </c>
      <c r="BE68" t="e">
        <f>AND(#REF!,"AAAAAFr8nTg=")</f>
        <v>#REF!</v>
      </c>
      <c r="BF68" t="e">
        <f>IF(#REF!,"AAAAAFr8nTk=",0)</f>
        <v>#REF!</v>
      </c>
      <c r="BG68" t="e">
        <f>AND(#REF!,"AAAAAFr8nTo=")</f>
        <v>#REF!</v>
      </c>
      <c r="BH68" t="e">
        <f>AND(#REF!,"AAAAAFr8nTs=")</f>
        <v>#REF!</v>
      </c>
      <c r="BI68" t="e">
        <f>AND(#REF!,"AAAAAFr8nTw=")</f>
        <v>#REF!</v>
      </c>
      <c r="BJ68" t="e">
        <f>AND(#REF!,"AAAAAFr8nT0=")</f>
        <v>#REF!</v>
      </c>
      <c r="BK68" t="e">
        <f>AND(#REF!,"AAAAAFr8nT4=")</f>
        <v>#REF!</v>
      </c>
      <c r="BL68" t="e">
        <f>AND(#REF!,"AAAAAFr8nT8=")</f>
        <v>#REF!</v>
      </c>
      <c r="BM68" t="e">
        <f>AND(#REF!,"AAAAAFr8nUA=")</f>
        <v>#REF!</v>
      </c>
      <c r="BN68" t="e">
        <f>AND(#REF!,"AAAAAFr8nUE=")</f>
        <v>#REF!</v>
      </c>
      <c r="BO68" t="e">
        <f>AND(#REF!,"AAAAAFr8nUI=")</f>
        <v>#REF!</v>
      </c>
      <c r="BP68" t="e">
        <f>AND(#REF!,"AAAAAFr8nUM=")</f>
        <v>#REF!</v>
      </c>
      <c r="BQ68" t="e">
        <f>IF(#REF!,"AAAAAFr8nUQ=",0)</f>
        <v>#REF!</v>
      </c>
      <c r="BR68" t="e">
        <f>AND(#REF!,"AAAAAFr8nUU=")</f>
        <v>#REF!</v>
      </c>
      <c r="BS68" t="e">
        <f>AND(#REF!,"AAAAAFr8nUY=")</f>
        <v>#REF!</v>
      </c>
      <c r="BT68" t="e">
        <f>AND(#REF!,"AAAAAFr8nUc=")</f>
        <v>#REF!</v>
      </c>
      <c r="BU68" t="e">
        <f>AND(#REF!,"AAAAAFr8nUg=")</f>
        <v>#REF!</v>
      </c>
      <c r="BV68" t="e">
        <f>AND(#REF!,"AAAAAFr8nUk=")</f>
        <v>#REF!</v>
      </c>
      <c r="BW68" t="e">
        <f>AND(#REF!,"AAAAAFr8nUo=")</f>
        <v>#REF!</v>
      </c>
      <c r="BX68" t="e">
        <f>AND(#REF!,"AAAAAFr8nUs=")</f>
        <v>#REF!</v>
      </c>
      <c r="BY68" t="e">
        <f>AND(#REF!,"AAAAAFr8nUw=")</f>
        <v>#REF!</v>
      </c>
      <c r="BZ68" t="e">
        <f>AND(#REF!,"AAAAAFr8nU0=")</f>
        <v>#REF!</v>
      </c>
      <c r="CA68" t="e">
        <f>AND(#REF!,"AAAAAFr8nU4=")</f>
        <v>#REF!</v>
      </c>
      <c r="CB68" t="e">
        <f>IF(#REF!,"AAAAAFr8nU8=",0)</f>
        <v>#REF!</v>
      </c>
      <c r="CC68" t="e">
        <f>AND(#REF!,"AAAAAFr8nVA=")</f>
        <v>#REF!</v>
      </c>
      <c r="CD68" t="e">
        <f>AND(#REF!,"AAAAAFr8nVE=")</f>
        <v>#REF!</v>
      </c>
      <c r="CE68" t="e">
        <f>AND(#REF!,"AAAAAFr8nVI=")</f>
        <v>#REF!</v>
      </c>
      <c r="CF68" t="e">
        <f>AND(#REF!,"AAAAAFr8nVM=")</f>
        <v>#REF!</v>
      </c>
      <c r="CG68" t="e">
        <f>AND(#REF!,"AAAAAFr8nVQ=")</f>
        <v>#REF!</v>
      </c>
      <c r="CH68" t="e">
        <f>AND(#REF!,"AAAAAFr8nVU=")</f>
        <v>#REF!</v>
      </c>
      <c r="CI68" t="e">
        <f>AND(#REF!,"AAAAAFr8nVY=")</f>
        <v>#REF!</v>
      </c>
      <c r="CJ68" t="e">
        <f>AND(#REF!,"AAAAAFr8nVc=")</f>
        <v>#REF!</v>
      </c>
      <c r="CK68" t="e">
        <f>AND(#REF!,"AAAAAFr8nVg=")</f>
        <v>#REF!</v>
      </c>
      <c r="CL68" t="e">
        <f>AND(#REF!,"AAAAAFr8nVk=")</f>
        <v>#REF!</v>
      </c>
      <c r="CM68" t="e">
        <f>IF(#REF!,"AAAAAFr8nVo=",0)</f>
        <v>#REF!</v>
      </c>
      <c r="CN68" t="e">
        <f>AND(#REF!,"AAAAAFr8nVs=")</f>
        <v>#REF!</v>
      </c>
      <c r="CO68" t="e">
        <f>AND(#REF!,"AAAAAFr8nVw=")</f>
        <v>#REF!</v>
      </c>
      <c r="CP68" t="e">
        <f>AND(#REF!,"AAAAAFr8nV0=")</f>
        <v>#REF!</v>
      </c>
      <c r="CQ68" t="e">
        <f>AND(#REF!,"AAAAAFr8nV4=")</f>
        <v>#REF!</v>
      </c>
      <c r="CR68" t="e">
        <f>AND(#REF!,"AAAAAFr8nV8=")</f>
        <v>#REF!</v>
      </c>
      <c r="CS68" t="e">
        <f>AND(#REF!,"AAAAAFr8nWA=")</f>
        <v>#REF!</v>
      </c>
      <c r="CT68" t="e">
        <f>AND(#REF!,"AAAAAFr8nWE=")</f>
        <v>#REF!</v>
      </c>
      <c r="CU68" t="e">
        <f>AND(#REF!,"AAAAAFr8nWI=")</f>
        <v>#REF!</v>
      </c>
      <c r="CV68" t="e">
        <f>AND(#REF!,"AAAAAFr8nWM=")</f>
        <v>#REF!</v>
      </c>
      <c r="CW68" t="e">
        <f>AND(#REF!,"AAAAAFr8nWQ=")</f>
        <v>#REF!</v>
      </c>
      <c r="CX68" t="e">
        <f>IF(#REF!,"AAAAAFr8nWU=",0)</f>
        <v>#REF!</v>
      </c>
      <c r="CY68" t="e">
        <f>AND(#REF!,"AAAAAFr8nWY=")</f>
        <v>#REF!</v>
      </c>
      <c r="CZ68" t="e">
        <f>AND(#REF!,"AAAAAFr8nWc=")</f>
        <v>#REF!</v>
      </c>
      <c r="DA68" t="e">
        <f>AND(#REF!,"AAAAAFr8nWg=")</f>
        <v>#REF!</v>
      </c>
      <c r="DB68" t="e">
        <f>AND(#REF!,"AAAAAFr8nWk=")</f>
        <v>#REF!</v>
      </c>
      <c r="DC68" t="e">
        <f>AND(#REF!,"AAAAAFr8nWo=")</f>
        <v>#REF!</v>
      </c>
      <c r="DD68" t="e">
        <f>AND(#REF!,"AAAAAFr8nWs=")</f>
        <v>#REF!</v>
      </c>
      <c r="DE68" t="e">
        <f>AND(#REF!,"AAAAAFr8nWw=")</f>
        <v>#REF!</v>
      </c>
      <c r="DF68" t="e">
        <f>AND(#REF!,"AAAAAFr8nW0=")</f>
        <v>#REF!</v>
      </c>
      <c r="DG68" t="e">
        <f>AND(#REF!,"AAAAAFr8nW4=")</f>
        <v>#REF!</v>
      </c>
      <c r="DH68" t="e">
        <f>AND(#REF!,"AAAAAFr8nW8=")</f>
        <v>#REF!</v>
      </c>
      <c r="DI68" t="e">
        <f>IF(#REF!,"AAAAAFr8nXA=",0)</f>
        <v>#REF!</v>
      </c>
      <c r="DJ68" t="e">
        <f>AND(#REF!,"AAAAAFr8nXE=")</f>
        <v>#REF!</v>
      </c>
      <c r="DK68" t="e">
        <f>AND(#REF!,"AAAAAFr8nXI=")</f>
        <v>#REF!</v>
      </c>
      <c r="DL68" t="e">
        <f>AND(#REF!,"AAAAAFr8nXM=")</f>
        <v>#REF!</v>
      </c>
      <c r="DM68" t="e">
        <f>AND(#REF!,"AAAAAFr8nXQ=")</f>
        <v>#REF!</v>
      </c>
      <c r="DN68" t="e">
        <f>AND(#REF!,"AAAAAFr8nXU=")</f>
        <v>#REF!</v>
      </c>
      <c r="DO68" t="e">
        <f>AND(#REF!,"AAAAAFr8nXY=")</f>
        <v>#REF!</v>
      </c>
      <c r="DP68" t="e">
        <f>AND(#REF!,"AAAAAFr8nXc=")</f>
        <v>#REF!</v>
      </c>
      <c r="DQ68" t="e">
        <f>AND(#REF!,"AAAAAFr8nXg=")</f>
        <v>#REF!</v>
      </c>
      <c r="DR68" t="e">
        <f>AND(#REF!,"AAAAAFr8nXk=")</f>
        <v>#REF!</v>
      </c>
      <c r="DS68" t="e">
        <f>AND(#REF!,"AAAAAFr8nXo=")</f>
        <v>#REF!</v>
      </c>
      <c r="DT68" t="e">
        <f>IF(#REF!,"AAAAAFr8nXs=",0)</f>
        <v>#REF!</v>
      </c>
      <c r="DU68" t="e">
        <f>AND(#REF!,"AAAAAFr8nXw=")</f>
        <v>#REF!</v>
      </c>
      <c r="DV68" t="e">
        <f>AND(#REF!,"AAAAAFr8nX0=")</f>
        <v>#REF!</v>
      </c>
      <c r="DW68" t="e">
        <f>AND(#REF!,"AAAAAFr8nX4=")</f>
        <v>#REF!</v>
      </c>
      <c r="DX68" t="e">
        <f>AND(#REF!,"AAAAAFr8nX8=")</f>
        <v>#REF!</v>
      </c>
      <c r="DY68" t="e">
        <f>AND(#REF!,"AAAAAFr8nYA=")</f>
        <v>#REF!</v>
      </c>
      <c r="DZ68" t="e">
        <f>AND(#REF!,"AAAAAFr8nYE=")</f>
        <v>#REF!</v>
      </c>
      <c r="EA68" t="e">
        <f>AND(#REF!,"AAAAAFr8nYI=")</f>
        <v>#REF!</v>
      </c>
      <c r="EB68" t="e">
        <f>AND(#REF!,"AAAAAFr8nYM=")</f>
        <v>#REF!</v>
      </c>
      <c r="EC68" t="e">
        <f>AND(#REF!,"AAAAAFr8nYQ=")</f>
        <v>#REF!</v>
      </c>
      <c r="ED68" t="e">
        <f>AND(#REF!,"AAAAAFr8nYU=")</f>
        <v>#REF!</v>
      </c>
      <c r="EE68" t="e">
        <f>IF(#REF!,"AAAAAFr8nYY=",0)</f>
        <v>#REF!</v>
      </c>
      <c r="EF68" t="e">
        <f>AND(#REF!,"AAAAAFr8nYc=")</f>
        <v>#REF!</v>
      </c>
      <c r="EG68" t="e">
        <f>AND(#REF!,"AAAAAFr8nYg=")</f>
        <v>#REF!</v>
      </c>
      <c r="EH68" t="e">
        <f>AND(#REF!,"AAAAAFr8nYk=")</f>
        <v>#REF!</v>
      </c>
      <c r="EI68" t="e">
        <f>AND(#REF!,"AAAAAFr8nYo=")</f>
        <v>#REF!</v>
      </c>
      <c r="EJ68" t="e">
        <f>AND(#REF!,"AAAAAFr8nYs=")</f>
        <v>#REF!</v>
      </c>
      <c r="EK68" t="e">
        <f>AND(#REF!,"AAAAAFr8nYw=")</f>
        <v>#REF!</v>
      </c>
      <c r="EL68" t="e">
        <f>AND(#REF!,"AAAAAFr8nY0=")</f>
        <v>#REF!</v>
      </c>
      <c r="EM68" t="e">
        <f>AND(#REF!,"AAAAAFr8nY4=")</f>
        <v>#REF!</v>
      </c>
      <c r="EN68" t="e">
        <f>AND(#REF!,"AAAAAFr8nY8=")</f>
        <v>#REF!</v>
      </c>
      <c r="EO68" t="e">
        <f>AND(#REF!,"AAAAAFr8nZA=")</f>
        <v>#REF!</v>
      </c>
      <c r="EP68" t="e">
        <f>IF(#REF!,"AAAAAFr8nZE=",0)</f>
        <v>#REF!</v>
      </c>
      <c r="EQ68" t="e">
        <f>AND(#REF!,"AAAAAFr8nZI=")</f>
        <v>#REF!</v>
      </c>
      <c r="ER68" t="e">
        <f>AND(#REF!,"AAAAAFr8nZM=")</f>
        <v>#REF!</v>
      </c>
      <c r="ES68" t="e">
        <f>AND(#REF!,"AAAAAFr8nZQ=")</f>
        <v>#REF!</v>
      </c>
      <c r="ET68" t="e">
        <f>AND(#REF!,"AAAAAFr8nZU=")</f>
        <v>#REF!</v>
      </c>
      <c r="EU68" t="e">
        <f>AND(#REF!,"AAAAAFr8nZY=")</f>
        <v>#REF!</v>
      </c>
      <c r="EV68" t="e">
        <f>AND(#REF!,"AAAAAFr8nZc=")</f>
        <v>#REF!</v>
      </c>
      <c r="EW68" t="e">
        <f>AND(#REF!,"AAAAAFr8nZg=")</f>
        <v>#REF!</v>
      </c>
      <c r="EX68" t="e">
        <f>AND(#REF!,"AAAAAFr8nZk=")</f>
        <v>#REF!</v>
      </c>
      <c r="EY68" t="e">
        <f>AND(#REF!,"AAAAAFr8nZo=")</f>
        <v>#REF!</v>
      </c>
      <c r="EZ68" t="e">
        <f>AND(#REF!,"AAAAAFr8nZs=")</f>
        <v>#REF!</v>
      </c>
      <c r="FA68" t="e">
        <f>IF(#REF!,"AAAAAFr8nZw=",0)</f>
        <v>#REF!</v>
      </c>
      <c r="FB68" t="e">
        <f>AND(#REF!,"AAAAAFr8nZ0=")</f>
        <v>#REF!</v>
      </c>
      <c r="FC68" t="e">
        <f>AND(#REF!,"AAAAAFr8nZ4=")</f>
        <v>#REF!</v>
      </c>
      <c r="FD68" t="e">
        <f>AND(#REF!,"AAAAAFr8nZ8=")</f>
        <v>#REF!</v>
      </c>
      <c r="FE68" t="e">
        <f>AND(#REF!,"AAAAAFr8naA=")</f>
        <v>#REF!</v>
      </c>
      <c r="FF68" t="e">
        <f>AND(#REF!,"AAAAAFr8naE=")</f>
        <v>#REF!</v>
      </c>
      <c r="FG68" t="e">
        <f>AND(#REF!,"AAAAAFr8naI=")</f>
        <v>#REF!</v>
      </c>
      <c r="FH68" t="e">
        <f>AND(#REF!,"AAAAAFr8naM=")</f>
        <v>#REF!</v>
      </c>
      <c r="FI68" t="e">
        <f>AND(#REF!,"AAAAAFr8naQ=")</f>
        <v>#REF!</v>
      </c>
      <c r="FJ68" t="e">
        <f>AND(#REF!,"AAAAAFr8naU=")</f>
        <v>#REF!</v>
      </c>
      <c r="FK68" t="e">
        <f>AND(#REF!,"AAAAAFr8naY=")</f>
        <v>#REF!</v>
      </c>
      <c r="FL68" t="e">
        <f>IF(#REF!,"AAAAAFr8nac=",0)</f>
        <v>#REF!</v>
      </c>
      <c r="FM68" t="e">
        <f>AND(#REF!,"AAAAAFr8nag=")</f>
        <v>#REF!</v>
      </c>
      <c r="FN68" t="e">
        <f>AND(#REF!,"AAAAAFr8nak=")</f>
        <v>#REF!</v>
      </c>
      <c r="FO68" t="e">
        <f>AND(#REF!,"AAAAAFr8nao=")</f>
        <v>#REF!</v>
      </c>
      <c r="FP68" t="e">
        <f>AND(#REF!,"AAAAAFr8nas=")</f>
        <v>#REF!</v>
      </c>
      <c r="FQ68" t="e">
        <f>AND(#REF!,"AAAAAFr8naw=")</f>
        <v>#REF!</v>
      </c>
      <c r="FR68" t="e">
        <f>AND(#REF!,"AAAAAFr8na0=")</f>
        <v>#REF!</v>
      </c>
      <c r="FS68" t="e">
        <f>AND(#REF!,"AAAAAFr8na4=")</f>
        <v>#REF!</v>
      </c>
      <c r="FT68" t="e">
        <f>AND(#REF!,"AAAAAFr8na8=")</f>
        <v>#REF!</v>
      </c>
      <c r="FU68" t="e">
        <f>AND(#REF!,"AAAAAFr8nbA=")</f>
        <v>#REF!</v>
      </c>
      <c r="FV68" t="e">
        <f>AND(#REF!,"AAAAAFr8nbE=")</f>
        <v>#REF!</v>
      </c>
      <c r="FW68" t="e">
        <f>IF(#REF!,"AAAAAFr8nbI=",0)</f>
        <v>#REF!</v>
      </c>
      <c r="FX68" t="e">
        <f>AND(#REF!,"AAAAAFr8nbM=")</f>
        <v>#REF!</v>
      </c>
      <c r="FY68" t="e">
        <f>AND(#REF!,"AAAAAFr8nbQ=")</f>
        <v>#REF!</v>
      </c>
      <c r="FZ68" t="e">
        <f>AND(#REF!,"AAAAAFr8nbU=")</f>
        <v>#REF!</v>
      </c>
      <c r="GA68" t="e">
        <f>AND(#REF!,"AAAAAFr8nbY=")</f>
        <v>#REF!</v>
      </c>
      <c r="GB68" t="e">
        <f>AND(#REF!,"AAAAAFr8nbc=")</f>
        <v>#REF!</v>
      </c>
      <c r="GC68" t="e">
        <f>AND(#REF!,"AAAAAFr8nbg=")</f>
        <v>#REF!</v>
      </c>
      <c r="GD68" t="e">
        <f>AND(#REF!,"AAAAAFr8nbk=")</f>
        <v>#REF!</v>
      </c>
      <c r="GE68" t="e">
        <f>AND(#REF!,"AAAAAFr8nbo=")</f>
        <v>#REF!</v>
      </c>
      <c r="GF68" t="e">
        <f>AND(#REF!,"AAAAAFr8nbs=")</f>
        <v>#REF!</v>
      </c>
      <c r="GG68" t="e">
        <f>AND(#REF!,"AAAAAFr8nbw=")</f>
        <v>#REF!</v>
      </c>
      <c r="GH68" t="e">
        <f>IF(#REF!,"AAAAAFr8nb0=",0)</f>
        <v>#REF!</v>
      </c>
      <c r="GI68" t="e">
        <f>AND(#REF!,"AAAAAFr8nb4=")</f>
        <v>#REF!</v>
      </c>
      <c r="GJ68" t="e">
        <f>AND(#REF!,"AAAAAFr8nb8=")</f>
        <v>#REF!</v>
      </c>
      <c r="GK68" t="e">
        <f>AND(#REF!,"AAAAAFr8ncA=")</f>
        <v>#REF!</v>
      </c>
      <c r="GL68" t="e">
        <f>AND(#REF!,"AAAAAFr8ncE=")</f>
        <v>#REF!</v>
      </c>
      <c r="GM68" t="e">
        <f>AND(#REF!,"AAAAAFr8ncI=")</f>
        <v>#REF!</v>
      </c>
      <c r="GN68" t="e">
        <f>AND(#REF!,"AAAAAFr8ncM=")</f>
        <v>#REF!</v>
      </c>
      <c r="GO68" t="e">
        <f>AND(#REF!,"AAAAAFr8ncQ=")</f>
        <v>#REF!</v>
      </c>
      <c r="GP68" t="e">
        <f>AND(#REF!,"AAAAAFr8ncU=")</f>
        <v>#REF!</v>
      </c>
      <c r="GQ68" t="e">
        <f>AND(#REF!,"AAAAAFr8ncY=")</f>
        <v>#REF!</v>
      </c>
      <c r="GR68" t="e">
        <f>AND(#REF!,"AAAAAFr8ncc=")</f>
        <v>#REF!</v>
      </c>
      <c r="GS68" t="e">
        <f>IF(#REF!,"AAAAAFr8ncg=",0)</f>
        <v>#REF!</v>
      </c>
      <c r="GT68" t="e">
        <f>AND(#REF!,"AAAAAFr8nck=")</f>
        <v>#REF!</v>
      </c>
      <c r="GU68" t="e">
        <f>AND(#REF!,"AAAAAFr8nco=")</f>
        <v>#REF!</v>
      </c>
      <c r="GV68" t="e">
        <f>AND(#REF!,"AAAAAFr8ncs=")</f>
        <v>#REF!</v>
      </c>
      <c r="GW68" t="e">
        <f>AND(#REF!,"AAAAAFr8ncw=")</f>
        <v>#REF!</v>
      </c>
      <c r="GX68" t="e">
        <f>AND(#REF!,"AAAAAFr8nc0=")</f>
        <v>#REF!</v>
      </c>
      <c r="GY68" t="e">
        <f>AND(#REF!,"AAAAAFr8nc4=")</f>
        <v>#REF!</v>
      </c>
      <c r="GZ68" t="e">
        <f>AND(#REF!,"AAAAAFr8nc8=")</f>
        <v>#REF!</v>
      </c>
      <c r="HA68" t="e">
        <f>AND(#REF!,"AAAAAFr8ndA=")</f>
        <v>#REF!</v>
      </c>
      <c r="HB68" t="e">
        <f>AND(#REF!,"AAAAAFr8ndE=")</f>
        <v>#REF!</v>
      </c>
      <c r="HC68" t="e">
        <f>AND(#REF!,"AAAAAFr8ndI=")</f>
        <v>#REF!</v>
      </c>
      <c r="HD68" t="e">
        <f>IF(#REF!,"AAAAAFr8ndM=",0)</f>
        <v>#REF!</v>
      </c>
      <c r="HE68" t="e">
        <f>AND(#REF!,"AAAAAFr8ndQ=")</f>
        <v>#REF!</v>
      </c>
      <c r="HF68" t="e">
        <f>AND(#REF!,"AAAAAFr8ndU=")</f>
        <v>#REF!</v>
      </c>
      <c r="HG68" t="e">
        <f>AND(#REF!,"AAAAAFr8ndY=")</f>
        <v>#REF!</v>
      </c>
      <c r="HH68" t="e">
        <f>AND(#REF!,"AAAAAFr8ndc=")</f>
        <v>#REF!</v>
      </c>
      <c r="HI68" t="e">
        <f>AND(#REF!,"AAAAAFr8ndg=")</f>
        <v>#REF!</v>
      </c>
      <c r="HJ68" t="e">
        <f>AND(#REF!,"AAAAAFr8ndk=")</f>
        <v>#REF!</v>
      </c>
      <c r="HK68" t="e">
        <f>AND(#REF!,"AAAAAFr8ndo=")</f>
        <v>#REF!</v>
      </c>
      <c r="HL68" t="e">
        <f>AND(#REF!,"AAAAAFr8nds=")</f>
        <v>#REF!</v>
      </c>
      <c r="HM68" t="e">
        <f>AND(#REF!,"AAAAAFr8ndw=")</f>
        <v>#REF!</v>
      </c>
      <c r="HN68" t="e">
        <f>AND(#REF!,"AAAAAFr8nd0=")</f>
        <v>#REF!</v>
      </c>
      <c r="HO68" t="e">
        <f>IF(#REF!,"AAAAAFr8nd4=",0)</f>
        <v>#REF!</v>
      </c>
      <c r="HP68" t="e">
        <f>AND(#REF!,"AAAAAFr8nd8=")</f>
        <v>#REF!</v>
      </c>
      <c r="HQ68" t="e">
        <f>AND(#REF!,"AAAAAFr8neA=")</f>
        <v>#REF!</v>
      </c>
      <c r="HR68" t="e">
        <f>AND(#REF!,"AAAAAFr8neE=")</f>
        <v>#REF!</v>
      </c>
      <c r="HS68" t="e">
        <f>AND(#REF!,"AAAAAFr8neI=")</f>
        <v>#REF!</v>
      </c>
      <c r="HT68" t="e">
        <f>AND(#REF!,"AAAAAFr8neM=")</f>
        <v>#REF!</v>
      </c>
      <c r="HU68" t="e">
        <f>AND(#REF!,"AAAAAFr8neQ=")</f>
        <v>#REF!</v>
      </c>
      <c r="HV68" t="e">
        <f>AND(#REF!,"AAAAAFr8neU=")</f>
        <v>#REF!</v>
      </c>
      <c r="HW68" t="e">
        <f>AND(#REF!,"AAAAAFr8neY=")</f>
        <v>#REF!</v>
      </c>
      <c r="HX68" t="e">
        <f>AND(#REF!,"AAAAAFr8nec=")</f>
        <v>#REF!</v>
      </c>
      <c r="HY68" t="e">
        <f>AND(#REF!,"AAAAAFr8neg=")</f>
        <v>#REF!</v>
      </c>
      <c r="HZ68" t="e">
        <f>IF(#REF!,"AAAAAFr8nek=",0)</f>
        <v>#REF!</v>
      </c>
      <c r="IA68" t="e">
        <f>AND(#REF!,"AAAAAFr8neo=")</f>
        <v>#REF!</v>
      </c>
      <c r="IB68" t="e">
        <f>AND(#REF!,"AAAAAFr8nes=")</f>
        <v>#REF!</v>
      </c>
      <c r="IC68" t="e">
        <f>AND(#REF!,"AAAAAFr8new=")</f>
        <v>#REF!</v>
      </c>
      <c r="ID68" t="e">
        <f>AND(#REF!,"AAAAAFr8ne0=")</f>
        <v>#REF!</v>
      </c>
      <c r="IE68" t="e">
        <f>AND(#REF!,"AAAAAFr8ne4=")</f>
        <v>#REF!</v>
      </c>
      <c r="IF68" t="e">
        <f>AND(#REF!,"AAAAAFr8ne8=")</f>
        <v>#REF!</v>
      </c>
      <c r="IG68" t="e">
        <f>AND(#REF!,"AAAAAFr8nfA=")</f>
        <v>#REF!</v>
      </c>
      <c r="IH68" t="e">
        <f>AND(#REF!,"AAAAAFr8nfE=")</f>
        <v>#REF!</v>
      </c>
      <c r="II68" t="e">
        <f>AND(#REF!,"AAAAAFr8nfI=")</f>
        <v>#REF!</v>
      </c>
      <c r="IJ68" t="e">
        <f>AND(#REF!,"AAAAAFr8nfM=")</f>
        <v>#REF!</v>
      </c>
      <c r="IK68" t="e">
        <f>IF(#REF!,"AAAAAFr8nfQ=",0)</f>
        <v>#REF!</v>
      </c>
      <c r="IL68" t="e">
        <f>AND(#REF!,"AAAAAFr8nfU=")</f>
        <v>#REF!</v>
      </c>
      <c r="IM68" t="e">
        <f>AND(#REF!,"AAAAAFr8nfY=")</f>
        <v>#REF!</v>
      </c>
      <c r="IN68" t="e">
        <f>AND(#REF!,"AAAAAFr8nfc=")</f>
        <v>#REF!</v>
      </c>
      <c r="IO68" t="e">
        <f>AND(#REF!,"AAAAAFr8nfg=")</f>
        <v>#REF!</v>
      </c>
      <c r="IP68" t="e">
        <f>AND(#REF!,"AAAAAFr8nfk=")</f>
        <v>#REF!</v>
      </c>
      <c r="IQ68" t="e">
        <f>AND(#REF!,"AAAAAFr8nfo=")</f>
        <v>#REF!</v>
      </c>
      <c r="IR68" t="e">
        <f>AND(#REF!,"AAAAAFr8nfs=")</f>
        <v>#REF!</v>
      </c>
      <c r="IS68" t="e">
        <f>AND(#REF!,"AAAAAFr8nfw=")</f>
        <v>#REF!</v>
      </c>
      <c r="IT68" t="e">
        <f>AND(#REF!,"AAAAAFr8nf0=")</f>
        <v>#REF!</v>
      </c>
      <c r="IU68" t="e">
        <f>AND(#REF!,"AAAAAFr8nf4=")</f>
        <v>#REF!</v>
      </c>
      <c r="IV68" t="e">
        <f>IF(#REF!,"AAAAAFr8nf8=",0)</f>
        <v>#REF!</v>
      </c>
    </row>
    <row r="69" spans="1:256" x14ac:dyDescent="0.25">
      <c r="A69" t="e">
        <f>AND(#REF!,"AAAAAHz+nwA=")</f>
        <v>#REF!</v>
      </c>
      <c r="B69" t="e">
        <f>AND(#REF!,"AAAAAHz+nwE=")</f>
        <v>#REF!</v>
      </c>
      <c r="C69" t="e">
        <f>AND(#REF!,"AAAAAHz+nwI=")</f>
        <v>#REF!</v>
      </c>
      <c r="D69" t="e">
        <f>AND(#REF!,"AAAAAHz+nwM=")</f>
        <v>#REF!</v>
      </c>
      <c r="E69" t="e">
        <f>AND(#REF!,"AAAAAHz+nwQ=")</f>
        <v>#REF!</v>
      </c>
      <c r="F69" t="e">
        <f>AND(#REF!,"AAAAAHz+nwU=")</f>
        <v>#REF!</v>
      </c>
      <c r="G69" t="e">
        <f>AND(#REF!,"AAAAAHz+nwY=")</f>
        <v>#REF!</v>
      </c>
      <c r="H69" t="e">
        <f>AND(#REF!,"AAAAAHz+nwc=")</f>
        <v>#REF!</v>
      </c>
      <c r="I69" t="e">
        <f>AND(#REF!,"AAAAAHz+nwg=")</f>
        <v>#REF!</v>
      </c>
      <c r="J69" t="e">
        <f>AND(#REF!,"AAAAAHz+nwk=")</f>
        <v>#REF!</v>
      </c>
      <c r="K69" t="e">
        <f>IF(#REF!,"AAAAAHz+nwo=",0)</f>
        <v>#REF!</v>
      </c>
      <c r="L69" t="e">
        <f>AND(#REF!,"AAAAAHz+nws=")</f>
        <v>#REF!</v>
      </c>
      <c r="M69" t="e">
        <f>AND(#REF!,"AAAAAHz+nww=")</f>
        <v>#REF!</v>
      </c>
      <c r="N69" t="e">
        <f>AND(#REF!,"AAAAAHz+nw0=")</f>
        <v>#REF!</v>
      </c>
      <c r="O69" t="e">
        <f>AND(#REF!,"AAAAAHz+nw4=")</f>
        <v>#REF!</v>
      </c>
      <c r="P69" t="e">
        <f>AND(#REF!,"AAAAAHz+nw8=")</f>
        <v>#REF!</v>
      </c>
      <c r="Q69" t="e">
        <f>AND(#REF!,"AAAAAHz+nxA=")</f>
        <v>#REF!</v>
      </c>
      <c r="R69" t="e">
        <f>AND(#REF!,"AAAAAHz+nxE=")</f>
        <v>#REF!</v>
      </c>
      <c r="S69" t="e">
        <f>AND(#REF!,"AAAAAHz+nxI=")</f>
        <v>#REF!</v>
      </c>
      <c r="T69" t="e">
        <f>AND(#REF!,"AAAAAHz+nxM=")</f>
        <v>#REF!</v>
      </c>
      <c r="U69" t="e">
        <f>AND(#REF!,"AAAAAHz+nxQ=")</f>
        <v>#REF!</v>
      </c>
      <c r="V69" t="e">
        <f>IF(#REF!,"AAAAAHz+nxU=",0)</f>
        <v>#REF!</v>
      </c>
      <c r="W69" t="e">
        <f>AND(#REF!,"AAAAAHz+nxY=")</f>
        <v>#REF!</v>
      </c>
      <c r="X69" t="e">
        <f>AND(#REF!,"AAAAAHz+nxc=")</f>
        <v>#REF!</v>
      </c>
      <c r="Y69" t="e">
        <f>AND(#REF!,"AAAAAHz+nxg=")</f>
        <v>#REF!</v>
      </c>
      <c r="Z69" t="e">
        <f>AND(#REF!,"AAAAAHz+nxk=")</f>
        <v>#REF!</v>
      </c>
      <c r="AA69" t="e">
        <f>AND(#REF!,"AAAAAHz+nxo=")</f>
        <v>#REF!</v>
      </c>
      <c r="AB69" t="e">
        <f>AND(#REF!,"AAAAAHz+nxs=")</f>
        <v>#REF!</v>
      </c>
      <c r="AC69" t="e">
        <f>AND(#REF!,"AAAAAHz+nxw=")</f>
        <v>#REF!</v>
      </c>
      <c r="AD69" t="e">
        <f>AND(#REF!,"AAAAAHz+nx0=")</f>
        <v>#REF!</v>
      </c>
      <c r="AE69" t="e">
        <f>AND(#REF!,"AAAAAHz+nx4=")</f>
        <v>#REF!</v>
      </c>
      <c r="AF69" t="e">
        <f>AND(#REF!,"AAAAAHz+nx8=")</f>
        <v>#REF!</v>
      </c>
      <c r="AG69" t="e">
        <f>IF(#REF!,"AAAAAHz+nyA=",0)</f>
        <v>#REF!</v>
      </c>
      <c r="AH69" t="e">
        <f>AND(#REF!,"AAAAAHz+nyE=")</f>
        <v>#REF!</v>
      </c>
      <c r="AI69" t="e">
        <f>AND(#REF!,"AAAAAHz+nyI=")</f>
        <v>#REF!</v>
      </c>
      <c r="AJ69" t="e">
        <f>AND(#REF!,"AAAAAHz+nyM=")</f>
        <v>#REF!</v>
      </c>
      <c r="AK69" t="e">
        <f>AND(#REF!,"AAAAAHz+nyQ=")</f>
        <v>#REF!</v>
      </c>
      <c r="AL69" t="e">
        <f>AND(#REF!,"AAAAAHz+nyU=")</f>
        <v>#REF!</v>
      </c>
      <c r="AM69" t="e">
        <f>AND(#REF!,"AAAAAHz+nyY=")</f>
        <v>#REF!</v>
      </c>
      <c r="AN69" t="e">
        <f>AND(#REF!,"AAAAAHz+nyc=")</f>
        <v>#REF!</v>
      </c>
      <c r="AO69" t="e">
        <f>AND(#REF!,"AAAAAHz+nyg=")</f>
        <v>#REF!</v>
      </c>
      <c r="AP69" t="e">
        <f>AND(#REF!,"AAAAAHz+nyk=")</f>
        <v>#REF!</v>
      </c>
      <c r="AQ69" t="e">
        <f>AND(#REF!,"AAAAAHz+nyo=")</f>
        <v>#REF!</v>
      </c>
      <c r="AR69" t="e">
        <f>IF(#REF!,"AAAAAHz+nys=",0)</f>
        <v>#REF!</v>
      </c>
      <c r="AS69" t="e">
        <f>AND(#REF!,"AAAAAHz+nyw=")</f>
        <v>#REF!</v>
      </c>
      <c r="AT69" t="e">
        <f>AND(#REF!,"AAAAAHz+ny0=")</f>
        <v>#REF!</v>
      </c>
      <c r="AU69" t="e">
        <f>AND(#REF!,"AAAAAHz+ny4=")</f>
        <v>#REF!</v>
      </c>
      <c r="AV69" t="e">
        <f>AND(#REF!,"AAAAAHz+ny8=")</f>
        <v>#REF!</v>
      </c>
      <c r="AW69" t="e">
        <f>AND(#REF!,"AAAAAHz+nzA=")</f>
        <v>#REF!</v>
      </c>
      <c r="AX69" t="e">
        <f>AND(#REF!,"AAAAAHz+nzE=")</f>
        <v>#REF!</v>
      </c>
      <c r="AY69" t="e">
        <f>AND(#REF!,"AAAAAHz+nzI=")</f>
        <v>#REF!</v>
      </c>
      <c r="AZ69" t="e">
        <f>AND(#REF!,"AAAAAHz+nzM=")</f>
        <v>#REF!</v>
      </c>
      <c r="BA69" t="e">
        <f>AND(#REF!,"AAAAAHz+nzQ=")</f>
        <v>#REF!</v>
      </c>
      <c r="BB69" t="e">
        <f>AND(#REF!,"AAAAAHz+nzU=")</f>
        <v>#REF!</v>
      </c>
      <c r="BC69" t="e">
        <f>IF(#REF!,"AAAAAHz+nzY=",0)</f>
        <v>#REF!</v>
      </c>
      <c r="BD69" t="e">
        <f>AND(#REF!,"AAAAAHz+nzc=")</f>
        <v>#REF!</v>
      </c>
      <c r="BE69" t="e">
        <f>AND(#REF!,"AAAAAHz+nzg=")</f>
        <v>#REF!</v>
      </c>
      <c r="BF69" t="e">
        <f>AND(#REF!,"AAAAAHz+nzk=")</f>
        <v>#REF!</v>
      </c>
      <c r="BG69" t="e">
        <f>AND(#REF!,"AAAAAHz+nzo=")</f>
        <v>#REF!</v>
      </c>
      <c r="BH69" t="e">
        <f>AND(#REF!,"AAAAAHz+nzs=")</f>
        <v>#REF!</v>
      </c>
      <c r="BI69" t="e">
        <f>AND(#REF!,"AAAAAHz+nzw=")</f>
        <v>#REF!</v>
      </c>
      <c r="BJ69" t="e">
        <f>AND(#REF!,"AAAAAHz+nz0=")</f>
        <v>#REF!</v>
      </c>
      <c r="BK69" t="e">
        <f>AND(#REF!,"AAAAAHz+nz4=")</f>
        <v>#REF!</v>
      </c>
      <c r="BL69" t="e">
        <f>AND(#REF!,"AAAAAHz+nz8=")</f>
        <v>#REF!</v>
      </c>
      <c r="BM69" t="e">
        <f>AND(#REF!,"AAAAAHz+n0A=")</f>
        <v>#REF!</v>
      </c>
      <c r="BN69" t="e">
        <f>IF(#REF!,"AAAAAHz+n0E=",0)</f>
        <v>#REF!</v>
      </c>
      <c r="BO69" t="e">
        <f>AND(#REF!,"AAAAAHz+n0I=")</f>
        <v>#REF!</v>
      </c>
      <c r="BP69" t="e">
        <f>AND(#REF!,"AAAAAHz+n0M=")</f>
        <v>#REF!</v>
      </c>
      <c r="BQ69" t="e">
        <f>AND(#REF!,"AAAAAHz+n0Q=")</f>
        <v>#REF!</v>
      </c>
      <c r="BR69" t="e">
        <f>AND(#REF!,"AAAAAHz+n0U=")</f>
        <v>#REF!</v>
      </c>
      <c r="BS69" t="e">
        <f>AND(#REF!,"AAAAAHz+n0Y=")</f>
        <v>#REF!</v>
      </c>
      <c r="BT69" t="e">
        <f>AND(#REF!,"AAAAAHz+n0c=")</f>
        <v>#REF!</v>
      </c>
      <c r="BU69" t="e">
        <f>AND(#REF!,"AAAAAHz+n0g=")</f>
        <v>#REF!</v>
      </c>
      <c r="BV69" t="e">
        <f>AND(#REF!,"AAAAAHz+n0k=")</f>
        <v>#REF!</v>
      </c>
      <c r="BW69" t="e">
        <f>AND(#REF!,"AAAAAHz+n0o=")</f>
        <v>#REF!</v>
      </c>
      <c r="BX69" t="e">
        <f>AND(#REF!,"AAAAAHz+n0s=")</f>
        <v>#REF!</v>
      </c>
      <c r="BY69" t="e">
        <f>IF(#REF!,"AAAAAHz+n0w=",0)</f>
        <v>#REF!</v>
      </c>
      <c r="BZ69" t="e">
        <f>AND(#REF!,"AAAAAHz+n00=")</f>
        <v>#REF!</v>
      </c>
      <c r="CA69" t="e">
        <f>AND(#REF!,"AAAAAHz+n04=")</f>
        <v>#REF!</v>
      </c>
      <c r="CB69" t="e">
        <f>AND(#REF!,"AAAAAHz+n08=")</f>
        <v>#REF!</v>
      </c>
      <c r="CC69" t="e">
        <f>AND(#REF!,"AAAAAHz+n1A=")</f>
        <v>#REF!</v>
      </c>
      <c r="CD69" t="e">
        <f>AND(#REF!,"AAAAAHz+n1E=")</f>
        <v>#REF!</v>
      </c>
      <c r="CE69" t="e">
        <f>AND(#REF!,"AAAAAHz+n1I=")</f>
        <v>#REF!</v>
      </c>
      <c r="CF69" t="e">
        <f>AND(#REF!,"AAAAAHz+n1M=")</f>
        <v>#REF!</v>
      </c>
      <c r="CG69" t="e">
        <f>AND(#REF!,"AAAAAHz+n1Q=")</f>
        <v>#REF!</v>
      </c>
      <c r="CH69" t="e">
        <f>AND(#REF!,"AAAAAHz+n1U=")</f>
        <v>#REF!</v>
      </c>
      <c r="CI69" t="e">
        <f>AND(#REF!,"AAAAAHz+n1Y=")</f>
        <v>#REF!</v>
      </c>
      <c r="CJ69" t="e">
        <f>IF(#REF!,"AAAAAHz+n1c=",0)</f>
        <v>#REF!</v>
      </c>
      <c r="CK69" t="e">
        <f>AND(#REF!,"AAAAAHz+n1g=")</f>
        <v>#REF!</v>
      </c>
      <c r="CL69" t="e">
        <f>AND(#REF!,"AAAAAHz+n1k=")</f>
        <v>#REF!</v>
      </c>
      <c r="CM69" t="e">
        <f>AND(#REF!,"AAAAAHz+n1o=")</f>
        <v>#REF!</v>
      </c>
      <c r="CN69" t="e">
        <f>AND(#REF!,"AAAAAHz+n1s=")</f>
        <v>#REF!</v>
      </c>
      <c r="CO69" t="e">
        <f>AND(#REF!,"AAAAAHz+n1w=")</f>
        <v>#REF!</v>
      </c>
      <c r="CP69" t="e">
        <f>AND(#REF!,"AAAAAHz+n10=")</f>
        <v>#REF!</v>
      </c>
      <c r="CQ69" t="e">
        <f>AND(#REF!,"AAAAAHz+n14=")</f>
        <v>#REF!</v>
      </c>
      <c r="CR69" t="e">
        <f>AND(#REF!,"AAAAAHz+n18=")</f>
        <v>#REF!</v>
      </c>
      <c r="CS69" t="e">
        <f>AND(#REF!,"AAAAAHz+n2A=")</f>
        <v>#REF!</v>
      </c>
      <c r="CT69" t="e">
        <f>AND(#REF!,"AAAAAHz+n2E=")</f>
        <v>#REF!</v>
      </c>
      <c r="CU69" t="e">
        <f>IF(#REF!,"AAAAAHz+n2I=",0)</f>
        <v>#REF!</v>
      </c>
      <c r="CV69" t="e">
        <f>AND(#REF!,"AAAAAHz+n2M=")</f>
        <v>#REF!</v>
      </c>
      <c r="CW69" t="e">
        <f>AND(#REF!,"AAAAAHz+n2Q=")</f>
        <v>#REF!</v>
      </c>
      <c r="CX69" t="e">
        <f>AND(#REF!,"AAAAAHz+n2U=")</f>
        <v>#REF!</v>
      </c>
      <c r="CY69" t="e">
        <f>AND(#REF!,"AAAAAHz+n2Y=")</f>
        <v>#REF!</v>
      </c>
      <c r="CZ69" t="e">
        <f>AND(#REF!,"AAAAAHz+n2c=")</f>
        <v>#REF!</v>
      </c>
      <c r="DA69" t="e">
        <f>AND(#REF!,"AAAAAHz+n2g=")</f>
        <v>#REF!</v>
      </c>
      <c r="DB69" t="e">
        <f>AND(#REF!,"AAAAAHz+n2k=")</f>
        <v>#REF!</v>
      </c>
      <c r="DC69" t="e">
        <f>AND(#REF!,"AAAAAHz+n2o=")</f>
        <v>#REF!</v>
      </c>
      <c r="DD69" t="e">
        <f>AND(#REF!,"AAAAAHz+n2s=")</f>
        <v>#REF!</v>
      </c>
      <c r="DE69" t="e">
        <f>AND(#REF!,"AAAAAHz+n2w=")</f>
        <v>#REF!</v>
      </c>
      <c r="DF69" t="e">
        <f>IF(#REF!,"AAAAAHz+n20=",0)</f>
        <v>#REF!</v>
      </c>
      <c r="DG69" t="e">
        <f>AND(#REF!,"AAAAAHz+n24=")</f>
        <v>#REF!</v>
      </c>
      <c r="DH69" t="e">
        <f>AND(#REF!,"AAAAAHz+n28=")</f>
        <v>#REF!</v>
      </c>
      <c r="DI69" t="e">
        <f>AND(#REF!,"AAAAAHz+n3A=")</f>
        <v>#REF!</v>
      </c>
      <c r="DJ69" t="e">
        <f>AND(#REF!,"AAAAAHz+n3E=")</f>
        <v>#REF!</v>
      </c>
      <c r="DK69" t="e">
        <f>AND(#REF!,"AAAAAHz+n3I=")</f>
        <v>#REF!</v>
      </c>
      <c r="DL69" t="e">
        <f>AND(#REF!,"AAAAAHz+n3M=")</f>
        <v>#REF!</v>
      </c>
      <c r="DM69" t="e">
        <f>AND(#REF!,"AAAAAHz+n3Q=")</f>
        <v>#REF!</v>
      </c>
      <c r="DN69" t="e">
        <f>AND(#REF!,"AAAAAHz+n3U=")</f>
        <v>#REF!</v>
      </c>
      <c r="DO69" t="e">
        <f>AND(#REF!,"AAAAAHz+n3Y=")</f>
        <v>#REF!</v>
      </c>
      <c r="DP69" t="e">
        <f>AND(#REF!,"AAAAAHz+n3c=")</f>
        <v>#REF!</v>
      </c>
      <c r="DQ69" t="e">
        <f>IF(#REF!,"AAAAAHz+n3g=",0)</f>
        <v>#REF!</v>
      </c>
      <c r="DR69" t="e">
        <f>AND(#REF!,"AAAAAHz+n3k=")</f>
        <v>#REF!</v>
      </c>
      <c r="DS69" t="e">
        <f>AND(#REF!,"AAAAAHz+n3o=")</f>
        <v>#REF!</v>
      </c>
      <c r="DT69" t="e">
        <f>AND(#REF!,"AAAAAHz+n3s=")</f>
        <v>#REF!</v>
      </c>
      <c r="DU69" t="e">
        <f>AND(#REF!,"AAAAAHz+n3w=")</f>
        <v>#REF!</v>
      </c>
      <c r="DV69" t="e">
        <f>AND(#REF!,"AAAAAHz+n30=")</f>
        <v>#REF!</v>
      </c>
      <c r="DW69" t="e">
        <f>AND(#REF!,"AAAAAHz+n34=")</f>
        <v>#REF!</v>
      </c>
      <c r="DX69" t="e">
        <f>AND(#REF!,"AAAAAHz+n38=")</f>
        <v>#REF!</v>
      </c>
      <c r="DY69" t="e">
        <f>AND(#REF!,"AAAAAHz+n4A=")</f>
        <v>#REF!</v>
      </c>
      <c r="DZ69" t="e">
        <f>AND(#REF!,"AAAAAHz+n4E=")</f>
        <v>#REF!</v>
      </c>
      <c r="EA69" t="e">
        <f>AND(#REF!,"AAAAAHz+n4I=")</f>
        <v>#REF!</v>
      </c>
      <c r="EB69" t="e">
        <f>IF(#REF!,"AAAAAHz+n4M=",0)</f>
        <v>#REF!</v>
      </c>
      <c r="EC69" t="e">
        <f>AND(#REF!,"AAAAAHz+n4Q=")</f>
        <v>#REF!</v>
      </c>
      <c r="ED69" t="e">
        <f>AND(#REF!,"AAAAAHz+n4U=")</f>
        <v>#REF!</v>
      </c>
      <c r="EE69" t="e">
        <f>AND(#REF!,"AAAAAHz+n4Y=")</f>
        <v>#REF!</v>
      </c>
      <c r="EF69" t="e">
        <f>AND(#REF!,"AAAAAHz+n4c=")</f>
        <v>#REF!</v>
      </c>
      <c r="EG69" t="e">
        <f>AND(#REF!,"AAAAAHz+n4g=")</f>
        <v>#REF!</v>
      </c>
      <c r="EH69" t="e">
        <f>AND(#REF!,"AAAAAHz+n4k=")</f>
        <v>#REF!</v>
      </c>
      <c r="EI69" t="e">
        <f>AND(#REF!,"AAAAAHz+n4o=")</f>
        <v>#REF!</v>
      </c>
      <c r="EJ69" t="e">
        <f>AND(#REF!,"AAAAAHz+n4s=")</f>
        <v>#REF!</v>
      </c>
      <c r="EK69" t="e">
        <f>AND(#REF!,"AAAAAHz+n4w=")</f>
        <v>#REF!</v>
      </c>
      <c r="EL69" t="e">
        <f>AND(#REF!,"AAAAAHz+n40=")</f>
        <v>#REF!</v>
      </c>
      <c r="EM69" t="e">
        <f>IF(#REF!,"AAAAAHz+n44=",0)</f>
        <v>#REF!</v>
      </c>
      <c r="EN69" t="e">
        <f>AND(#REF!,"AAAAAHz+n48=")</f>
        <v>#REF!</v>
      </c>
      <c r="EO69" t="e">
        <f>AND(#REF!,"AAAAAHz+n5A=")</f>
        <v>#REF!</v>
      </c>
      <c r="EP69" t="e">
        <f>AND(#REF!,"AAAAAHz+n5E=")</f>
        <v>#REF!</v>
      </c>
      <c r="EQ69" t="e">
        <f>AND(#REF!,"AAAAAHz+n5I=")</f>
        <v>#REF!</v>
      </c>
      <c r="ER69" t="e">
        <f>AND(#REF!,"AAAAAHz+n5M=")</f>
        <v>#REF!</v>
      </c>
      <c r="ES69" t="e">
        <f>AND(#REF!,"AAAAAHz+n5Q=")</f>
        <v>#REF!</v>
      </c>
      <c r="ET69" t="e">
        <f>AND(#REF!,"AAAAAHz+n5U=")</f>
        <v>#REF!</v>
      </c>
      <c r="EU69" t="e">
        <f>AND(#REF!,"AAAAAHz+n5Y=")</f>
        <v>#REF!</v>
      </c>
      <c r="EV69" t="e">
        <f>AND(#REF!,"AAAAAHz+n5c=")</f>
        <v>#REF!</v>
      </c>
      <c r="EW69" t="e">
        <f>AND(#REF!,"AAAAAHz+n5g=")</f>
        <v>#REF!</v>
      </c>
      <c r="EX69" t="e">
        <f>IF(#REF!,"AAAAAHz+n5k=",0)</f>
        <v>#REF!</v>
      </c>
      <c r="EY69" t="e">
        <f>AND(#REF!,"AAAAAHz+n5o=")</f>
        <v>#REF!</v>
      </c>
      <c r="EZ69" t="e">
        <f>AND(#REF!,"AAAAAHz+n5s=")</f>
        <v>#REF!</v>
      </c>
      <c r="FA69" t="e">
        <f>AND(#REF!,"AAAAAHz+n5w=")</f>
        <v>#REF!</v>
      </c>
      <c r="FB69" t="e">
        <f>AND(#REF!,"AAAAAHz+n50=")</f>
        <v>#REF!</v>
      </c>
      <c r="FC69" t="e">
        <f>AND(#REF!,"AAAAAHz+n54=")</f>
        <v>#REF!</v>
      </c>
      <c r="FD69" t="e">
        <f>AND(#REF!,"AAAAAHz+n58=")</f>
        <v>#REF!</v>
      </c>
      <c r="FE69" t="e">
        <f>AND(#REF!,"AAAAAHz+n6A=")</f>
        <v>#REF!</v>
      </c>
      <c r="FF69" t="e">
        <f>AND(#REF!,"AAAAAHz+n6E=")</f>
        <v>#REF!</v>
      </c>
      <c r="FG69" t="e">
        <f>AND(#REF!,"AAAAAHz+n6I=")</f>
        <v>#REF!</v>
      </c>
      <c r="FH69" t="e">
        <f>AND(#REF!,"AAAAAHz+n6M=")</f>
        <v>#REF!</v>
      </c>
      <c r="FI69" t="e">
        <f>IF(#REF!,"AAAAAHz+n6Q=",0)</f>
        <v>#REF!</v>
      </c>
      <c r="FJ69" t="e">
        <f>AND(#REF!,"AAAAAHz+n6U=")</f>
        <v>#REF!</v>
      </c>
      <c r="FK69" t="e">
        <f>AND(#REF!,"AAAAAHz+n6Y=")</f>
        <v>#REF!</v>
      </c>
      <c r="FL69" t="e">
        <f>AND(#REF!,"AAAAAHz+n6c=")</f>
        <v>#REF!</v>
      </c>
      <c r="FM69" t="e">
        <f>AND(#REF!,"AAAAAHz+n6g=")</f>
        <v>#REF!</v>
      </c>
      <c r="FN69" t="e">
        <f>AND(#REF!,"AAAAAHz+n6k=")</f>
        <v>#REF!</v>
      </c>
      <c r="FO69" t="e">
        <f>AND(#REF!,"AAAAAHz+n6o=")</f>
        <v>#REF!</v>
      </c>
      <c r="FP69" t="e">
        <f>AND(#REF!,"AAAAAHz+n6s=")</f>
        <v>#REF!</v>
      </c>
      <c r="FQ69" t="e">
        <f>AND(#REF!,"AAAAAHz+n6w=")</f>
        <v>#REF!</v>
      </c>
      <c r="FR69" t="e">
        <f>AND(#REF!,"AAAAAHz+n60=")</f>
        <v>#REF!</v>
      </c>
      <c r="FS69" t="e">
        <f>AND(#REF!,"AAAAAHz+n64=")</f>
        <v>#REF!</v>
      </c>
      <c r="FT69" t="e">
        <f>IF(#REF!,"AAAAAHz+n68=",0)</f>
        <v>#REF!</v>
      </c>
      <c r="FU69" t="e">
        <f>AND(#REF!,"AAAAAHz+n7A=")</f>
        <v>#REF!</v>
      </c>
      <c r="FV69" t="e">
        <f>AND(#REF!,"AAAAAHz+n7E=")</f>
        <v>#REF!</v>
      </c>
      <c r="FW69" t="e">
        <f>AND(#REF!,"AAAAAHz+n7I=")</f>
        <v>#REF!</v>
      </c>
      <c r="FX69" t="e">
        <f>AND(#REF!,"AAAAAHz+n7M=")</f>
        <v>#REF!</v>
      </c>
      <c r="FY69" t="e">
        <f>AND(#REF!,"AAAAAHz+n7Q=")</f>
        <v>#REF!</v>
      </c>
      <c r="FZ69" t="e">
        <f>AND(#REF!,"AAAAAHz+n7U=")</f>
        <v>#REF!</v>
      </c>
      <c r="GA69" t="e">
        <f>AND(#REF!,"AAAAAHz+n7Y=")</f>
        <v>#REF!</v>
      </c>
      <c r="GB69" t="e">
        <f>AND(#REF!,"AAAAAHz+n7c=")</f>
        <v>#REF!</v>
      </c>
      <c r="GC69" t="e">
        <f>AND(#REF!,"AAAAAHz+n7g=")</f>
        <v>#REF!</v>
      </c>
      <c r="GD69" t="e">
        <f>AND(#REF!,"AAAAAHz+n7k=")</f>
        <v>#REF!</v>
      </c>
      <c r="GE69" t="e">
        <f>IF(#REF!,"AAAAAHz+n7o=",0)</f>
        <v>#REF!</v>
      </c>
      <c r="GF69" t="e">
        <f>AND(#REF!,"AAAAAHz+n7s=")</f>
        <v>#REF!</v>
      </c>
      <c r="GG69" t="e">
        <f>AND(#REF!,"AAAAAHz+n7w=")</f>
        <v>#REF!</v>
      </c>
      <c r="GH69" t="e">
        <f>AND(#REF!,"AAAAAHz+n70=")</f>
        <v>#REF!</v>
      </c>
      <c r="GI69" t="e">
        <f>AND(#REF!,"AAAAAHz+n74=")</f>
        <v>#REF!</v>
      </c>
      <c r="GJ69" t="e">
        <f>AND(#REF!,"AAAAAHz+n78=")</f>
        <v>#REF!</v>
      </c>
      <c r="GK69" t="e">
        <f>AND(#REF!,"AAAAAHz+n8A=")</f>
        <v>#REF!</v>
      </c>
      <c r="GL69" t="e">
        <f>AND(#REF!,"AAAAAHz+n8E=")</f>
        <v>#REF!</v>
      </c>
      <c r="GM69" t="e">
        <f>AND(#REF!,"AAAAAHz+n8I=")</f>
        <v>#REF!</v>
      </c>
      <c r="GN69" t="e">
        <f>AND(#REF!,"AAAAAHz+n8M=")</f>
        <v>#REF!</v>
      </c>
      <c r="GO69" t="e">
        <f>AND(#REF!,"AAAAAHz+n8Q=")</f>
        <v>#REF!</v>
      </c>
      <c r="GP69" t="e">
        <f>IF(#REF!,"AAAAAHz+n8U=",0)</f>
        <v>#REF!</v>
      </c>
      <c r="GQ69" t="e">
        <f>AND(#REF!,"AAAAAHz+n8Y=")</f>
        <v>#REF!</v>
      </c>
      <c r="GR69" t="e">
        <f>AND(#REF!,"AAAAAHz+n8c=")</f>
        <v>#REF!</v>
      </c>
      <c r="GS69" t="e">
        <f>AND(#REF!,"AAAAAHz+n8g=")</f>
        <v>#REF!</v>
      </c>
      <c r="GT69" t="e">
        <f>AND(#REF!,"AAAAAHz+n8k=")</f>
        <v>#REF!</v>
      </c>
      <c r="GU69" t="e">
        <f>AND(#REF!,"AAAAAHz+n8o=")</f>
        <v>#REF!</v>
      </c>
      <c r="GV69" t="e">
        <f>AND(#REF!,"AAAAAHz+n8s=")</f>
        <v>#REF!</v>
      </c>
      <c r="GW69" t="e">
        <f>AND(#REF!,"AAAAAHz+n8w=")</f>
        <v>#REF!</v>
      </c>
      <c r="GX69" t="e">
        <f>AND(#REF!,"AAAAAHz+n80=")</f>
        <v>#REF!</v>
      </c>
      <c r="GY69" t="e">
        <f>AND(#REF!,"AAAAAHz+n84=")</f>
        <v>#REF!</v>
      </c>
      <c r="GZ69" t="e">
        <f>AND(#REF!,"AAAAAHz+n88=")</f>
        <v>#REF!</v>
      </c>
      <c r="HA69" t="e">
        <f>IF(#REF!,"AAAAAHz+n9A=",0)</f>
        <v>#REF!</v>
      </c>
      <c r="HB69" t="e">
        <f>AND(#REF!,"AAAAAHz+n9E=")</f>
        <v>#REF!</v>
      </c>
      <c r="HC69" t="e">
        <f>AND(#REF!,"AAAAAHz+n9I=")</f>
        <v>#REF!</v>
      </c>
      <c r="HD69" t="e">
        <f>AND(#REF!,"AAAAAHz+n9M=")</f>
        <v>#REF!</v>
      </c>
      <c r="HE69" t="e">
        <f>AND(#REF!,"AAAAAHz+n9Q=")</f>
        <v>#REF!</v>
      </c>
      <c r="HF69" t="e">
        <f>AND(#REF!,"AAAAAHz+n9U=")</f>
        <v>#REF!</v>
      </c>
      <c r="HG69" t="e">
        <f>AND(#REF!,"AAAAAHz+n9Y=")</f>
        <v>#REF!</v>
      </c>
      <c r="HH69" t="e">
        <f>AND(#REF!,"AAAAAHz+n9c=")</f>
        <v>#REF!</v>
      </c>
      <c r="HI69" t="e">
        <f>AND(#REF!,"AAAAAHz+n9g=")</f>
        <v>#REF!</v>
      </c>
      <c r="HJ69" t="e">
        <f>AND(#REF!,"AAAAAHz+n9k=")</f>
        <v>#REF!</v>
      </c>
      <c r="HK69" t="e">
        <f>AND(#REF!,"AAAAAHz+n9o=")</f>
        <v>#REF!</v>
      </c>
      <c r="HL69" t="e">
        <f>IF(#REF!,"AAAAAHz+n9s=",0)</f>
        <v>#REF!</v>
      </c>
      <c r="HM69" t="e">
        <f>AND(#REF!,"AAAAAHz+n9w=")</f>
        <v>#REF!</v>
      </c>
      <c r="HN69" t="e">
        <f>AND(#REF!,"AAAAAHz+n90=")</f>
        <v>#REF!</v>
      </c>
      <c r="HO69" t="e">
        <f>AND(#REF!,"AAAAAHz+n94=")</f>
        <v>#REF!</v>
      </c>
      <c r="HP69" t="e">
        <f>AND(#REF!,"AAAAAHz+n98=")</f>
        <v>#REF!</v>
      </c>
      <c r="HQ69" t="e">
        <f>AND(#REF!,"AAAAAHz+n+A=")</f>
        <v>#REF!</v>
      </c>
      <c r="HR69" t="e">
        <f>AND(#REF!,"AAAAAHz+n+E=")</f>
        <v>#REF!</v>
      </c>
      <c r="HS69" t="e">
        <f>AND(#REF!,"AAAAAHz+n+I=")</f>
        <v>#REF!</v>
      </c>
      <c r="HT69" t="e">
        <f>AND(#REF!,"AAAAAHz+n+M=")</f>
        <v>#REF!</v>
      </c>
      <c r="HU69" t="e">
        <f>AND(#REF!,"AAAAAHz+n+Q=")</f>
        <v>#REF!</v>
      </c>
      <c r="HV69" t="e">
        <f>AND(#REF!,"AAAAAHz+n+U=")</f>
        <v>#REF!</v>
      </c>
      <c r="HW69" t="e">
        <f>IF(#REF!,"AAAAAHz+n+Y=",0)</f>
        <v>#REF!</v>
      </c>
      <c r="HX69" t="e">
        <f>AND(#REF!,"AAAAAHz+n+c=")</f>
        <v>#REF!</v>
      </c>
      <c r="HY69" t="e">
        <f>AND(#REF!,"AAAAAHz+n+g=")</f>
        <v>#REF!</v>
      </c>
      <c r="HZ69" t="e">
        <f>AND(#REF!,"AAAAAHz+n+k=")</f>
        <v>#REF!</v>
      </c>
      <c r="IA69" t="e">
        <f>AND(#REF!,"AAAAAHz+n+o=")</f>
        <v>#REF!</v>
      </c>
      <c r="IB69" t="e">
        <f>AND(#REF!,"AAAAAHz+n+s=")</f>
        <v>#REF!</v>
      </c>
      <c r="IC69" t="e">
        <f>AND(#REF!,"AAAAAHz+n+w=")</f>
        <v>#REF!</v>
      </c>
      <c r="ID69" t="e">
        <f>AND(#REF!,"AAAAAHz+n+0=")</f>
        <v>#REF!</v>
      </c>
      <c r="IE69" t="e">
        <f>AND(#REF!,"AAAAAHz+n+4=")</f>
        <v>#REF!</v>
      </c>
      <c r="IF69" t="e">
        <f>AND(#REF!,"AAAAAHz+n+8=")</f>
        <v>#REF!</v>
      </c>
      <c r="IG69" t="e">
        <f>AND(#REF!,"AAAAAHz+n/A=")</f>
        <v>#REF!</v>
      </c>
      <c r="IH69" t="e">
        <f>IF(#REF!,"AAAAAHz+n/E=",0)</f>
        <v>#REF!</v>
      </c>
      <c r="II69" t="e">
        <f>AND(#REF!,"AAAAAHz+n/I=")</f>
        <v>#REF!</v>
      </c>
      <c r="IJ69" t="e">
        <f>AND(#REF!,"AAAAAHz+n/M=")</f>
        <v>#REF!</v>
      </c>
      <c r="IK69" t="e">
        <f>AND(#REF!,"AAAAAHz+n/Q=")</f>
        <v>#REF!</v>
      </c>
      <c r="IL69" t="e">
        <f>AND(#REF!,"AAAAAHz+n/U=")</f>
        <v>#REF!</v>
      </c>
      <c r="IM69" t="e">
        <f>AND(#REF!,"AAAAAHz+n/Y=")</f>
        <v>#REF!</v>
      </c>
      <c r="IN69" t="e">
        <f>AND(#REF!,"AAAAAHz+n/c=")</f>
        <v>#REF!</v>
      </c>
      <c r="IO69" t="e">
        <f>AND(#REF!,"AAAAAHz+n/g=")</f>
        <v>#REF!</v>
      </c>
      <c r="IP69" t="e">
        <f>AND(#REF!,"AAAAAHz+n/k=")</f>
        <v>#REF!</v>
      </c>
      <c r="IQ69" t="e">
        <f>AND(#REF!,"AAAAAHz+n/o=")</f>
        <v>#REF!</v>
      </c>
      <c r="IR69" t="e">
        <f>AND(#REF!,"AAAAAHz+n/s=")</f>
        <v>#REF!</v>
      </c>
      <c r="IS69" t="e">
        <f>IF(#REF!,"AAAAAHz+n/w=",0)</f>
        <v>#REF!</v>
      </c>
      <c r="IT69" t="e">
        <f>AND(#REF!,"AAAAAHz+n/0=")</f>
        <v>#REF!</v>
      </c>
      <c r="IU69" t="e">
        <f>AND(#REF!,"AAAAAHz+n/4=")</f>
        <v>#REF!</v>
      </c>
      <c r="IV69" t="e">
        <f>AND(#REF!,"AAAAAHz+n/8=")</f>
        <v>#REF!</v>
      </c>
    </row>
    <row r="70" spans="1:256" x14ac:dyDescent="0.25">
      <c r="A70" t="e">
        <f>AND(#REF!,"AAAAAD/ydAA=")</f>
        <v>#REF!</v>
      </c>
      <c r="B70" t="e">
        <f>AND(#REF!,"AAAAAD/ydAE=")</f>
        <v>#REF!</v>
      </c>
      <c r="C70" t="e">
        <f>AND(#REF!,"AAAAAD/ydAI=")</f>
        <v>#REF!</v>
      </c>
      <c r="D70" t="e">
        <f>AND(#REF!,"AAAAAD/ydAM=")</f>
        <v>#REF!</v>
      </c>
      <c r="E70" t="e">
        <f>AND(#REF!,"AAAAAD/ydAQ=")</f>
        <v>#REF!</v>
      </c>
      <c r="F70" t="e">
        <f>AND(#REF!,"AAAAAD/ydAU=")</f>
        <v>#REF!</v>
      </c>
      <c r="G70" t="e">
        <f>AND(#REF!,"AAAAAD/ydAY=")</f>
        <v>#REF!</v>
      </c>
      <c r="H70" t="e">
        <f>IF(#REF!,"AAAAAD/ydAc=",0)</f>
        <v>#REF!</v>
      </c>
      <c r="I70" t="e">
        <f>AND(#REF!,"AAAAAD/ydAg=")</f>
        <v>#REF!</v>
      </c>
      <c r="J70" t="e">
        <f>AND(#REF!,"AAAAAD/ydAk=")</f>
        <v>#REF!</v>
      </c>
      <c r="K70" t="e">
        <f>AND(#REF!,"AAAAAD/ydAo=")</f>
        <v>#REF!</v>
      </c>
      <c r="L70" t="e">
        <f>AND(#REF!,"AAAAAD/ydAs=")</f>
        <v>#REF!</v>
      </c>
      <c r="M70" t="e">
        <f>AND(#REF!,"AAAAAD/ydAw=")</f>
        <v>#REF!</v>
      </c>
      <c r="N70" t="e">
        <f>AND(#REF!,"AAAAAD/ydA0=")</f>
        <v>#REF!</v>
      </c>
      <c r="O70" t="e">
        <f>AND(#REF!,"AAAAAD/ydA4=")</f>
        <v>#REF!</v>
      </c>
      <c r="P70" t="e">
        <f>AND(#REF!,"AAAAAD/ydA8=")</f>
        <v>#REF!</v>
      </c>
      <c r="Q70" t="e">
        <f>AND(#REF!,"AAAAAD/ydBA=")</f>
        <v>#REF!</v>
      </c>
      <c r="R70" t="e">
        <f>AND(#REF!,"AAAAAD/ydBE=")</f>
        <v>#REF!</v>
      </c>
      <c r="S70" t="e">
        <f>IF(#REF!,"AAAAAD/ydBI=",0)</f>
        <v>#REF!</v>
      </c>
      <c r="T70" t="e">
        <f>AND(#REF!,"AAAAAD/ydBM=")</f>
        <v>#REF!</v>
      </c>
      <c r="U70" t="e">
        <f>AND(#REF!,"AAAAAD/ydBQ=")</f>
        <v>#REF!</v>
      </c>
      <c r="V70" t="e">
        <f>AND(#REF!,"AAAAAD/ydBU=")</f>
        <v>#REF!</v>
      </c>
      <c r="W70" t="e">
        <f>AND(#REF!,"AAAAAD/ydBY=")</f>
        <v>#REF!</v>
      </c>
      <c r="X70" t="e">
        <f>AND(#REF!,"AAAAAD/ydBc=")</f>
        <v>#REF!</v>
      </c>
      <c r="Y70" t="e">
        <f>AND(#REF!,"AAAAAD/ydBg=")</f>
        <v>#REF!</v>
      </c>
      <c r="Z70" t="e">
        <f>AND(#REF!,"AAAAAD/ydBk=")</f>
        <v>#REF!</v>
      </c>
      <c r="AA70" t="e">
        <f>AND(#REF!,"AAAAAD/ydBo=")</f>
        <v>#REF!</v>
      </c>
      <c r="AB70" t="e">
        <f>AND(#REF!,"AAAAAD/ydBs=")</f>
        <v>#REF!</v>
      </c>
      <c r="AC70" t="e">
        <f>AND(#REF!,"AAAAAD/ydBw=")</f>
        <v>#REF!</v>
      </c>
      <c r="AD70" t="e">
        <f>IF(#REF!,"AAAAAD/ydB0=",0)</f>
        <v>#REF!</v>
      </c>
      <c r="AE70" t="e">
        <f>AND(#REF!,"AAAAAD/ydB4=")</f>
        <v>#REF!</v>
      </c>
      <c r="AF70" t="e">
        <f>AND(#REF!,"AAAAAD/ydB8=")</f>
        <v>#REF!</v>
      </c>
      <c r="AG70" t="e">
        <f>AND(#REF!,"AAAAAD/ydCA=")</f>
        <v>#REF!</v>
      </c>
      <c r="AH70" t="e">
        <f>AND(#REF!,"AAAAAD/ydCE=")</f>
        <v>#REF!</v>
      </c>
      <c r="AI70" t="e">
        <f>AND(#REF!,"AAAAAD/ydCI=")</f>
        <v>#REF!</v>
      </c>
      <c r="AJ70" t="e">
        <f>AND(#REF!,"AAAAAD/ydCM=")</f>
        <v>#REF!</v>
      </c>
      <c r="AK70" t="e">
        <f>AND(#REF!,"AAAAAD/ydCQ=")</f>
        <v>#REF!</v>
      </c>
      <c r="AL70" t="e">
        <f>AND(#REF!,"AAAAAD/ydCU=")</f>
        <v>#REF!</v>
      </c>
      <c r="AM70" t="e">
        <f>AND(#REF!,"AAAAAD/ydCY=")</f>
        <v>#REF!</v>
      </c>
      <c r="AN70" t="e">
        <f>AND(#REF!,"AAAAAD/ydCc=")</f>
        <v>#REF!</v>
      </c>
      <c r="AO70" t="e">
        <f>IF(#REF!,"AAAAAD/ydCg=",0)</f>
        <v>#REF!</v>
      </c>
      <c r="AP70" t="e">
        <f>AND(#REF!,"AAAAAD/ydCk=")</f>
        <v>#REF!</v>
      </c>
      <c r="AQ70" t="e">
        <f>AND(#REF!,"AAAAAD/ydCo=")</f>
        <v>#REF!</v>
      </c>
      <c r="AR70" t="e">
        <f>AND(#REF!,"AAAAAD/ydCs=")</f>
        <v>#REF!</v>
      </c>
      <c r="AS70" t="e">
        <f>AND(#REF!,"AAAAAD/ydCw=")</f>
        <v>#REF!</v>
      </c>
      <c r="AT70" t="e">
        <f>AND(#REF!,"AAAAAD/ydC0=")</f>
        <v>#REF!</v>
      </c>
      <c r="AU70" t="e">
        <f>AND(#REF!,"AAAAAD/ydC4=")</f>
        <v>#REF!</v>
      </c>
      <c r="AV70" t="e">
        <f>AND(#REF!,"AAAAAD/ydC8=")</f>
        <v>#REF!</v>
      </c>
      <c r="AW70" t="e">
        <f>AND(#REF!,"AAAAAD/ydDA=")</f>
        <v>#REF!</v>
      </c>
      <c r="AX70" t="e">
        <f>AND(#REF!,"AAAAAD/ydDE=")</f>
        <v>#REF!</v>
      </c>
      <c r="AY70" t="e">
        <f>AND(#REF!,"AAAAAD/ydDI=")</f>
        <v>#REF!</v>
      </c>
      <c r="AZ70" t="e">
        <f>IF(#REF!,"AAAAAD/ydDM=",0)</f>
        <v>#REF!</v>
      </c>
      <c r="BA70" t="e">
        <f>AND(#REF!,"AAAAAD/ydDQ=")</f>
        <v>#REF!</v>
      </c>
      <c r="BB70" t="e">
        <f>AND(#REF!,"AAAAAD/ydDU=")</f>
        <v>#REF!</v>
      </c>
      <c r="BC70" t="e">
        <f>AND(#REF!,"AAAAAD/ydDY=")</f>
        <v>#REF!</v>
      </c>
      <c r="BD70" t="e">
        <f>AND(#REF!,"AAAAAD/ydDc=")</f>
        <v>#REF!</v>
      </c>
      <c r="BE70" t="e">
        <f>AND(#REF!,"AAAAAD/ydDg=")</f>
        <v>#REF!</v>
      </c>
      <c r="BF70" t="e">
        <f>AND(#REF!,"AAAAAD/ydDk=")</f>
        <v>#REF!</v>
      </c>
      <c r="BG70" t="e">
        <f>AND(#REF!,"AAAAAD/ydDo=")</f>
        <v>#REF!</v>
      </c>
      <c r="BH70" t="e">
        <f>AND(#REF!,"AAAAAD/ydDs=")</f>
        <v>#REF!</v>
      </c>
      <c r="BI70" t="e">
        <f>AND(#REF!,"AAAAAD/ydDw=")</f>
        <v>#REF!</v>
      </c>
      <c r="BJ70" t="e">
        <f>AND(#REF!,"AAAAAD/ydD0=")</f>
        <v>#REF!</v>
      </c>
      <c r="BK70" t="e">
        <f>IF(#REF!,"AAAAAD/ydD4=",0)</f>
        <v>#REF!</v>
      </c>
      <c r="BL70" t="e">
        <f>AND(#REF!,"AAAAAD/ydD8=")</f>
        <v>#REF!</v>
      </c>
      <c r="BM70" t="e">
        <f>AND(#REF!,"AAAAAD/ydEA=")</f>
        <v>#REF!</v>
      </c>
      <c r="BN70" t="e">
        <f>AND(#REF!,"AAAAAD/ydEE=")</f>
        <v>#REF!</v>
      </c>
      <c r="BO70" t="e">
        <f>AND(#REF!,"AAAAAD/ydEI=")</f>
        <v>#REF!</v>
      </c>
      <c r="BP70" t="e">
        <f>AND(#REF!,"AAAAAD/ydEM=")</f>
        <v>#REF!</v>
      </c>
      <c r="BQ70" t="e">
        <f>AND(#REF!,"AAAAAD/ydEQ=")</f>
        <v>#REF!</v>
      </c>
      <c r="BR70" t="e">
        <f>AND(#REF!,"AAAAAD/ydEU=")</f>
        <v>#REF!</v>
      </c>
      <c r="BS70" t="e">
        <f>AND(#REF!,"AAAAAD/ydEY=")</f>
        <v>#REF!</v>
      </c>
      <c r="BT70" t="e">
        <f>AND(#REF!,"AAAAAD/ydEc=")</f>
        <v>#REF!</v>
      </c>
      <c r="BU70" t="e">
        <f>AND(#REF!,"AAAAAD/ydEg=")</f>
        <v>#REF!</v>
      </c>
      <c r="BV70" t="e">
        <f>IF(#REF!,"AAAAAD/ydEk=",0)</f>
        <v>#REF!</v>
      </c>
      <c r="BW70" t="e">
        <f>AND(#REF!,"AAAAAD/ydEo=")</f>
        <v>#REF!</v>
      </c>
      <c r="BX70" t="e">
        <f>AND(#REF!,"AAAAAD/ydEs=")</f>
        <v>#REF!</v>
      </c>
      <c r="BY70" t="e">
        <f>AND(#REF!,"AAAAAD/ydEw=")</f>
        <v>#REF!</v>
      </c>
      <c r="BZ70" t="e">
        <f>AND(#REF!,"AAAAAD/ydE0=")</f>
        <v>#REF!</v>
      </c>
      <c r="CA70" t="e">
        <f>AND(#REF!,"AAAAAD/ydE4=")</f>
        <v>#REF!</v>
      </c>
      <c r="CB70" t="e">
        <f>AND(#REF!,"AAAAAD/ydE8=")</f>
        <v>#REF!</v>
      </c>
      <c r="CC70" t="e">
        <f>AND(#REF!,"AAAAAD/ydFA=")</f>
        <v>#REF!</v>
      </c>
      <c r="CD70" t="e">
        <f>AND(#REF!,"AAAAAD/ydFE=")</f>
        <v>#REF!</v>
      </c>
      <c r="CE70" t="e">
        <f>AND(#REF!,"AAAAAD/ydFI=")</f>
        <v>#REF!</v>
      </c>
      <c r="CF70" t="e">
        <f>AND(#REF!,"AAAAAD/ydFM=")</f>
        <v>#REF!</v>
      </c>
      <c r="CG70" t="e">
        <f>IF(#REF!,"AAAAAD/ydFQ=",0)</f>
        <v>#REF!</v>
      </c>
      <c r="CH70" t="e">
        <f>AND(#REF!,"AAAAAD/ydFU=")</f>
        <v>#REF!</v>
      </c>
      <c r="CI70" t="e">
        <f>AND(#REF!,"AAAAAD/ydFY=")</f>
        <v>#REF!</v>
      </c>
      <c r="CJ70" t="e">
        <f>AND(#REF!,"AAAAAD/ydFc=")</f>
        <v>#REF!</v>
      </c>
      <c r="CK70" t="e">
        <f>AND(#REF!,"AAAAAD/ydFg=")</f>
        <v>#REF!</v>
      </c>
      <c r="CL70" t="e">
        <f>AND(#REF!,"AAAAAD/ydFk=")</f>
        <v>#REF!</v>
      </c>
      <c r="CM70" t="e">
        <f>AND(#REF!,"AAAAAD/ydFo=")</f>
        <v>#REF!</v>
      </c>
      <c r="CN70" t="e">
        <f>AND(#REF!,"AAAAAD/ydFs=")</f>
        <v>#REF!</v>
      </c>
      <c r="CO70" t="e">
        <f>AND(#REF!,"AAAAAD/ydFw=")</f>
        <v>#REF!</v>
      </c>
      <c r="CP70" t="e">
        <f>AND(#REF!,"AAAAAD/ydF0=")</f>
        <v>#REF!</v>
      </c>
      <c r="CQ70" t="e">
        <f>AND(#REF!,"AAAAAD/ydF4=")</f>
        <v>#REF!</v>
      </c>
      <c r="CR70" t="e">
        <f>IF(#REF!,"AAAAAD/ydF8=",0)</f>
        <v>#REF!</v>
      </c>
      <c r="CS70" t="e">
        <f>AND(#REF!,"AAAAAD/ydGA=")</f>
        <v>#REF!</v>
      </c>
      <c r="CT70" t="e">
        <f>AND(#REF!,"AAAAAD/ydGE=")</f>
        <v>#REF!</v>
      </c>
      <c r="CU70" t="e">
        <f>AND(#REF!,"AAAAAD/ydGI=")</f>
        <v>#REF!</v>
      </c>
      <c r="CV70" t="e">
        <f>AND(#REF!,"AAAAAD/ydGM=")</f>
        <v>#REF!</v>
      </c>
      <c r="CW70" t="e">
        <f>AND(#REF!,"AAAAAD/ydGQ=")</f>
        <v>#REF!</v>
      </c>
      <c r="CX70" t="e">
        <f>AND(#REF!,"AAAAAD/ydGU=")</f>
        <v>#REF!</v>
      </c>
      <c r="CY70" t="e">
        <f>AND(#REF!,"AAAAAD/ydGY=")</f>
        <v>#REF!</v>
      </c>
      <c r="CZ70" t="e">
        <f>AND(#REF!,"AAAAAD/ydGc=")</f>
        <v>#REF!</v>
      </c>
      <c r="DA70" t="e">
        <f>AND(#REF!,"AAAAAD/ydGg=")</f>
        <v>#REF!</v>
      </c>
      <c r="DB70" t="e">
        <f>AND(#REF!,"AAAAAD/ydGk=")</f>
        <v>#REF!</v>
      </c>
      <c r="DC70" t="e">
        <f>IF(#REF!,"AAAAAD/ydGo=",0)</f>
        <v>#REF!</v>
      </c>
      <c r="DD70" t="e">
        <f>AND(#REF!,"AAAAAD/ydGs=")</f>
        <v>#REF!</v>
      </c>
      <c r="DE70" t="e">
        <f>AND(#REF!,"AAAAAD/ydGw=")</f>
        <v>#REF!</v>
      </c>
      <c r="DF70" t="e">
        <f>AND(#REF!,"AAAAAD/ydG0=")</f>
        <v>#REF!</v>
      </c>
      <c r="DG70" t="e">
        <f>AND(#REF!,"AAAAAD/ydG4=")</f>
        <v>#REF!</v>
      </c>
      <c r="DH70" t="e">
        <f>AND(#REF!,"AAAAAD/ydG8=")</f>
        <v>#REF!</v>
      </c>
      <c r="DI70" t="e">
        <f>AND(#REF!,"AAAAAD/ydHA=")</f>
        <v>#REF!</v>
      </c>
      <c r="DJ70" t="e">
        <f>AND(#REF!,"AAAAAD/ydHE=")</f>
        <v>#REF!</v>
      </c>
      <c r="DK70" t="e">
        <f>AND(#REF!,"AAAAAD/ydHI=")</f>
        <v>#REF!</v>
      </c>
      <c r="DL70" t="e">
        <f>AND(#REF!,"AAAAAD/ydHM=")</f>
        <v>#REF!</v>
      </c>
      <c r="DM70" t="e">
        <f>AND(#REF!,"AAAAAD/ydHQ=")</f>
        <v>#REF!</v>
      </c>
      <c r="DN70" t="e">
        <f>IF(#REF!,"AAAAAD/ydHU=",0)</f>
        <v>#REF!</v>
      </c>
      <c r="DO70" t="e">
        <f>AND(#REF!,"AAAAAD/ydHY=")</f>
        <v>#REF!</v>
      </c>
      <c r="DP70" t="e">
        <f>AND(#REF!,"AAAAAD/ydHc=")</f>
        <v>#REF!</v>
      </c>
      <c r="DQ70" t="e">
        <f>AND(#REF!,"AAAAAD/ydHg=")</f>
        <v>#REF!</v>
      </c>
      <c r="DR70" t="e">
        <f>AND(#REF!,"AAAAAD/ydHk=")</f>
        <v>#REF!</v>
      </c>
      <c r="DS70" t="e">
        <f>AND(#REF!,"AAAAAD/ydHo=")</f>
        <v>#REF!</v>
      </c>
      <c r="DT70" t="e">
        <f>AND(#REF!,"AAAAAD/ydHs=")</f>
        <v>#REF!</v>
      </c>
      <c r="DU70" t="e">
        <f>AND(#REF!,"AAAAAD/ydHw=")</f>
        <v>#REF!</v>
      </c>
      <c r="DV70" t="e">
        <f>AND(#REF!,"AAAAAD/ydH0=")</f>
        <v>#REF!</v>
      </c>
      <c r="DW70" t="e">
        <f>AND(#REF!,"AAAAAD/ydH4=")</f>
        <v>#REF!</v>
      </c>
      <c r="DX70" t="e">
        <f>AND(#REF!,"AAAAAD/ydH8=")</f>
        <v>#REF!</v>
      </c>
      <c r="DY70" t="e">
        <f>IF(#REF!,"AAAAAD/ydIA=",0)</f>
        <v>#REF!</v>
      </c>
      <c r="DZ70" t="e">
        <f>AND(#REF!,"AAAAAD/ydIE=")</f>
        <v>#REF!</v>
      </c>
      <c r="EA70" t="e">
        <f>AND(#REF!,"AAAAAD/ydII=")</f>
        <v>#REF!</v>
      </c>
      <c r="EB70" t="e">
        <f>AND(#REF!,"AAAAAD/ydIM=")</f>
        <v>#REF!</v>
      </c>
      <c r="EC70" t="e">
        <f>AND(#REF!,"AAAAAD/ydIQ=")</f>
        <v>#REF!</v>
      </c>
      <c r="ED70" t="e">
        <f>AND(#REF!,"AAAAAD/ydIU=")</f>
        <v>#REF!</v>
      </c>
      <c r="EE70" t="e">
        <f>AND(#REF!,"AAAAAD/ydIY=")</f>
        <v>#REF!</v>
      </c>
      <c r="EF70" t="e">
        <f>AND(#REF!,"AAAAAD/ydIc=")</f>
        <v>#REF!</v>
      </c>
      <c r="EG70" t="e">
        <f>AND(#REF!,"AAAAAD/ydIg=")</f>
        <v>#REF!</v>
      </c>
      <c r="EH70" t="e">
        <f>AND(#REF!,"AAAAAD/ydIk=")</f>
        <v>#REF!</v>
      </c>
      <c r="EI70" t="e">
        <f>AND(#REF!,"AAAAAD/ydIo=")</f>
        <v>#REF!</v>
      </c>
      <c r="EJ70" t="e">
        <f>IF(#REF!,"AAAAAD/ydIs=",0)</f>
        <v>#REF!</v>
      </c>
      <c r="EK70" t="e">
        <f>AND(#REF!,"AAAAAD/ydIw=")</f>
        <v>#REF!</v>
      </c>
      <c r="EL70" t="e">
        <f>AND(#REF!,"AAAAAD/ydI0=")</f>
        <v>#REF!</v>
      </c>
      <c r="EM70" t="e">
        <f>AND(#REF!,"AAAAAD/ydI4=")</f>
        <v>#REF!</v>
      </c>
      <c r="EN70" t="e">
        <f>AND(#REF!,"AAAAAD/ydI8=")</f>
        <v>#REF!</v>
      </c>
      <c r="EO70" t="e">
        <f>AND(#REF!,"AAAAAD/ydJA=")</f>
        <v>#REF!</v>
      </c>
      <c r="EP70" t="e">
        <f>AND(#REF!,"AAAAAD/ydJE=")</f>
        <v>#REF!</v>
      </c>
      <c r="EQ70" t="e">
        <f>AND(#REF!,"AAAAAD/ydJI=")</f>
        <v>#REF!</v>
      </c>
      <c r="ER70" t="e">
        <f>AND(#REF!,"AAAAAD/ydJM=")</f>
        <v>#REF!</v>
      </c>
      <c r="ES70" t="e">
        <f>AND(#REF!,"AAAAAD/ydJQ=")</f>
        <v>#REF!</v>
      </c>
      <c r="ET70" t="e">
        <f>AND(#REF!,"AAAAAD/ydJU=")</f>
        <v>#REF!</v>
      </c>
      <c r="EU70" t="e">
        <f>IF(#REF!,"AAAAAD/ydJY=",0)</f>
        <v>#REF!</v>
      </c>
      <c r="EV70" t="e">
        <f>AND(#REF!,"AAAAAD/ydJc=")</f>
        <v>#REF!</v>
      </c>
      <c r="EW70" t="e">
        <f>AND(#REF!,"AAAAAD/ydJg=")</f>
        <v>#REF!</v>
      </c>
      <c r="EX70" t="e">
        <f>AND(#REF!,"AAAAAD/ydJk=")</f>
        <v>#REF!</v>
      </c>
      <c r="EY70" t="e">
        <f>AND(#REF!,"AAAAAD/ydJo=")</f>
        <v>#REF!</v>
      </c>
      <c r="EZ70" t="e">
        <f>AND(#REF!,"AAAAAD/ydJs=")</f>
        <v>#REF!</v>
      </c>
      <c r="FA70" t="e">
        <f>AND(#REF!,"AAAAAD/ydJw=")</f>
        <v>#REF!</v>
      </c>
      <c r="FB70" t="e">
        <f>AND(#REF!,"AAAAAD/ydJ0=")</f>
        <v>#REF!</v>
      </c>
      <c r="FC70" t="e">
        <f>AND(#REF!,"AAAAAD/ydJ4=")</f>
        <v>#REF!</v>
      </c>
      <c r="FD70" t="e">
        <f>AND(#REF!,"AAAAAD/ydJ8=")</f>
        <v>#REF!</v>
      </c>
      <c r="FE70" t="e">
        <f>AND(#REF!,"AAAAAD/ydKA=")</f>
        <v>#REF!</v>
      </c>
      <c r="FF70" t="e">
        <f>IF(#REF!,"AAAAAD/ydKE=",0)</f>
        <v>#REF!</v>
      </c>
      <c r="FG70" t="e">
        <f>AND(#REF!,"AAAAAD/ydKI=")</f>
        <v>#REF!</v>
      </c>
      <c r="FH70" t="e">
        <f>AND(#REF!,"AAAAAD/ydKM=")</f>
        <v>#REF!</v>
      </c>
      <c r="FI70" t="e">
        <f>AND(#REF!,"AAAAAD/ydKQ=")</f>
        <v>#REF!</v>
      </c>
      <c r="FJ70" t="e">
        <f>AND(#REF!,"AAAAAD/ydKU=")</f>
        <v>#REF!</v>
      </c>
      <c r="FK70" t="e">
        <f>AND(#REF!,"AAAAAD/ydKY=")</f>
        <v>#REF!</v>
      </c>
      <c r="FL70" t="e">
        <f>AND(#REF!,"AAAAAD/ydKc=")</f>
        <v>#REF!</v>
      </c>
      <c r="FM70" t="e">
        <f>AND(#REF!,"AAAAAD/ydKg=")</f>
        <v>#REF!</v>
      </c>
      <c r="FN70" t="e">
        <f>AND(#REF!,"AAAAAD/ydKk=")</f>
        <v>#REF!</v>
      </c>
      <c r="FO70" t="e">
        <f>AND(#REF!,"AAAAAD/ydKo=")</f>
        <v>#REF!</v>
      </c>
      <c r="FP70" t="e">
        <f>AND(#REF!,"AAAAAD/ydKs=")</f>
        <v>#REF!</v>
      </c>
      <c r="FQ70" t="e">
        <f>IF(#REF!,"AAAAAD/ydKw=",0)</f>
        <v>#REF!</v>
      </c>
      <c r="FR70" t="e">
        <f>AND(#REF!,"AAAAAD/ydK0=")</f>
        <v>#REF!</v>
      </c>
      <c r="FS70" t="e">
        <f>AND(#REF!,"AAAAAD/ydK4=")</f>
        <v>#REF!</v>
      </c>
      <c r="FT70" t="e">
        <f>AND(#REF!,"AAAAAD/ydK8=")</f>
        <v>#REF!</v>
      </c>
      <c r="FU70" t="e">
        <f>AND(#REF!,"AAAAAD/ydLA=")</f>
        <v>#REF!</v>
      </c>
      <c r="FV70" t="e">
        <f>AND(#REF!,"AAAAAD/ydLE=")</f>
        <v>#REF!</v>
      </c>
      <c r="FW70" t="e">
        <f>AND(#REF!,"AAAAAD/ydLI=")</f>
        <v>#REF!</v>
      </c>
      <c r="FX70" t="e">
        <f>AND(#REF!,"AAAAAD/ydLM=")</f>
        <v>#REF!</v>
      </c>
      <c r="FY70" t="e">
        <f>AND(#REF!,"AAAAAD/ydLQ=")</f>
        <v>#REF!</v>
      </c>
      <c r="FZ70" t="e">
        <f>AND(#REF!,"AAAAAD/ydLU=")</f>
        <v>#REF!</v>
      </c>
      <c r="GA70" t="e">
        <f>AND(#REF!,"AAAAAD/ydLY=")</f>
        <v>#REF!</v>
      </c>
      <c r="GB70" t="e">
        <f>IF(#REF!,"AAAAAD/ydLc=",0)</f>
        <v>#REF!</v>
      </c>
      <c r="GC70" t="e">
        <f>AND(#REF!,"AAAAAD/ydLg=")</f>
        <v>#REF!</v>
      </c>
      <c r="GD70" t="e">
        <f>AND(#REF!,"AAAAAD/ydLk=")</f>
        <v>#REF!</v>
      </c>
      <c r="GE70" t="e">
        <f>AND(#REF!,"AAAAAD/ydLo=")</f>
        <v>#REF!</v>
      </c>
      <c r="GF70" t="e">
        <f>AND(#REF!,"AAAAAD/ydLs=")</f>
        <v>#REF!</v>
      </c>
      <c r="GG70" t="e">
        <f>AND(#REF!,"AAAAAD/ydLw=")</f>
        <v>#REF!</v>
      </c>
      <c r="GH70" t="e">
        <f>AND(#REF!,"AAAAAD/ydL0=")</f>
        <v>#REF!</v>
      </c>
      <c r="GI70" t="e">
        <f>AND(#REF!,"AAAAAD/ydL4=")</f>
        <v>#REF!</v>
      </c>
      <c r="GJ70" t="e">
        <f>AND(#REF!,"AAAAAD/ydL8=")</f>
        <v>#REF!</v>
      </c>
      <c r="GK70" t="e">
        <f>AND(#REF!,"AAAAAD/ydMA=")</f>
        <v>#REF!</v>
      </c>
      <c r="GL70" t="e">
        <f>AND(#REF!,"AAAAAD/ydME=")</f>
        <v>#REF!</v>
      </c>
      <c r="GM70" t="e">
        <f>IF(#REF!,"AAAAAD/ydMI=",0)</f>
        <v>#REF!</v>
      </c>
      <c r="GN70" t="e">
        <f>AND(#REF!,"AAAAAD/ydMM=")</f>
        <v>#REF!</v>
      </c>
      <c r="GO70" t="e">
        <f>AND(#REF!,"AAAAAD/ydMQ=")</f>
        <v>#REF!</v>
      </c>
      <c r="GP70" t="e">
        <f>AND(#REF!,"AAAAAD/ydMU=")</f>
        <v>#REF!</v>
      </c>
      <c r="GQ70" t="e">
        <f>AND(#REF!,"AAAAAD/ydMY=")</f>
        <v>#REF!</v>
      </c>
      <c r="GR70" t="e">
        <f>AND(#REF!,"AAAAAD/ydMc=")</f>
        <v>#REF!</v>
      </c>
      <c r="GS70" t="e">
        <f>AND(#REF!,"AAAAAD/ydMg=")</f>
        <v>#REF!</v>
      </c>
      <c r="GT70" t="e">
        <f>AND(#REF!,"AAAAAD/ydMk=")</f>
        <v>#REF!</v>
      </c>
      <c r="GU70" t="e">
        <f>AND(#REF!,"AAAAAD/ydMo=")</f>
        <v>#REF!</v>
      </c>
      <c r="GV70" t="e">
        <f>AND(#REF!,"AAAAAD/ydMs=")</f>
        <v>#REF!</v>
      </c>
      <c r="GW70" t="e">
        <f>AND(#REF!,"AAAAAD/ydMw=")</f>
        <v>#REF!</v>
      </c>
      <c r="GX70" t="e">
        <f>IF(#REF!,"AAAAAD/ydM0=",0)</f>
        <v>#REF!</v>
      </c>
      <c r="GY70" t="e">
        <f>AND(#REF!,"AAAAAD/ydM4=")</f>
        <v>#REF!</v>
      </c>
      <c r="GZ70" t="e">
        <f>AND(#REF!,"AAAAAD/ydM8=")</f>
        <v>#REF!</v>
      </c>
      <c r="HA70" t="e">
        <f>AND(#REF!,"AAAAAD/ydNA=")</f>
        <v>#REF!</v>
      </c>
      <c r="HB70" t="e">
        <f>AND(#REF!,"AAAAAD/ydNE=")</f>
        <v>#REF!</v>
      </c>
      <c r="HC70" t="e">
        <f>AND(#REF!,"AAAAAD/ydNI=")</f>
        <v>#REF!</v>
      </c>
      <c r="HD70" t="e">
        <f>AND(#REF!,"AAAAAD/ydNM=")</f>
        <v>#REF!</v>
      </c>
      <c r="HE70" t="e">
        <f>AND(#REF!,"AAAAAD/ydNQ=")</f>
        <v>#REF!</v>
      </c>
      <c r="HF70" t="e">
        <f>AND(#REF!,"AAAAAD/ydNU=")</f>
        <v>#REF!</v>
      </c>
      <c r="HG70" t="e">
        <f>AND(#REF!,"AAAAAD/ydNY=")</f>
        <v>#REF!</v>
      </c>
      <c r="HH70" t="e">
        <f>AND(#REF!,"AAAAAD/ydNc=")</f>
        <v>#REF!</v>
      </c>
      <c r="HI70" t="e">
        <f>IF(#REF!,"AAAAAD/ydNg=",0)</f>
        <v>#REF!</v>
      </c>
      <c r="HJ70" t="e">
        <f>AND(#REF!,"AAAAAD/ydNk=")</f>
        <v>#REF!</v>
      </c>
      <c r="HK70" t="e">
        <f>AND(#REF!,"AAAAAD/ydNo=")</f>
        <v>#REF!</v>
      </c>
      <c r="HL70" t="e">
        <f>AND(#REF!,"AAAAAD/ydNs=")</f>
        <v>#REF!</v>
      </c>
      <c r="HM70" t="e">
        <f>AND(#REF!,"AAAAAD/ydNw=")</f>
        <v>#REF!</v>
      </c>
      <c r="HN70" t="e">
        <f>AND(#REF!,"AAAAAD/ydN0=")</f>
        <v>#REF!</v>
      </c>
      <c r="HO70" t="e">
        <f>AND(#REF!,"AAAAAD/ydN4=")</f>
        <v>#REF!</v>
      </c>
      <c r="HP70" t="e">
        <f>AND(#REF!,"AAAAAD/ydN8=")</f>
        <v>#REF!</v>
      </c>
      <c r="HQ70" t="e">
        <f>AND(#REF!,"AAAAAD/ydOA=")</f>
        <v>#REF!</v>
      </c>
      <c r="HR70" t="e">
        <f>AND(#REF!,"AAAAAD/ydOE=")</f>
        <v>#REF!</v>
      </c>
      <c r="HS70" t="e">
        <f>AND(#REF!,"AAAAAD/ydOI=")</f>
        <v>#REF!</v>
      </c>
      <c r="HT70" t="e">
        <f>IF(#REF!,"AAAAAD/ydOM=",0)</f>
        <v>#REF!</v>
      </c>
      <c r="HU70" t="e">
        <f>AND(#REF!,"AAAAAD/ydOQ=")</f>
        <v>#REF!</v>
      </c>
      <c r="HV70" t="e">
        <f>AND(#REF!,"AAAAAD/ydOU=")</f>
        <v>#REF!</v>
      </c>
      <c r="HW70" t="e">
        <f>AND(#REF!,"AAAAAD/ydOY=")</f>
        <v>#REF!</v>
      </c>
      <c r="HX70" t="e">
        <f>AND(#REF!,"AAAAAD/ydOc=")</f>
        <v>#REF!</v>
      </c>
      <c r="HY70" t="e">
        <f>AND(#REF!,"AAAAAD/ydOg=")</f>
        <v>#REF!</v>
      </c>
      <c r="HZ70" t="e">
        <f>AND(#REF!,"AAAAAD/ydOk=")</f>
        <v>#REF!</v>
      </c>
      <c r="IA70" t="e">
        <f>AND(#REF!,"AAAAAD/ydOo=")</f>
        <v>#REF!</v>
      </c>
      <c r="IB70" t="e">
        <f>AND(#REF!,"AAAAAD/ydOs=")</f>
        <v>#REF!</v>
      </c>
      <c r="IC70" t="e">
        <f>AND(#REF!,"AAAAAD/ydOw=")</f>
        <v>#REF!</v>
      </c>
      <c r="ID70" t="e">
        <f>AND(#REF!,"AAAAAD/ydO0=")</f>
        <v>#REF!</v>
      </c>
      <c r="IE70" t="e">
        <f>IF(#REF!,"AAAAAD/ydO4=",0)</f>
        <v>#REF!</v>
      </c>
      <c r="IF70" t="e">
        <f>AND(#REF!,"AAAAAD/ydO8=")</f>
        <v>#REF!</v>
      </c>
      <c r="IG70" t="e">
        <f>AND(#REF!,"AAAAAD/ydPA=")</f>
        <v>#REF!</v>
      </c>
      <c r="IH70" t="e">
        <f>AND(#REF!,"AAAAAD/ydPE=")</f>
        <v>#REF!</v>
      </c>
      <c r="II70" t="e">
        <f>AND(#REF!,"AAAAAD/ydPI=")</f>
        <v>#REF!</v>
      </c>
      <c r="IJ70" t="e">
        <f>AND(#REF!,"AAAAAD/ydPM=")</f>
        <v>#REF!</v>
      </c>
      <c r="IK70" t="e">
        <f>AND(#REF!,"AAAAAD/ydPQ=")</f>
        <v>#REF!</v>
      </c>
      <c r="IL70" t="e">
        <f>AND(#REF!,"AAAAAD/ydPU=")</f>
        <v>#REF!</v>
      </c>
      <c r="IM70" t="e">
        <f>AND(#REF!,"AAAAAD/ydPY=")</f>
        <v>#REF!</v>
      </c>
      <c r="IN70" t="e">
        <f>AND(#REF!,"AAAAAD/ydPc=")</f>
        <v>#REF!</v>
      </c>
      <c r="IO70" t="e">
        <f>AND(#REF!,"AAAAAD/ydPg=")</f>
        <v>#REF!</v>
      </c>
      <c r="IP70" t="e">
        <f>IF(#REF!,"AAAAAD/ydPk=",0)</f>
        <v>#REF!</v>
      </c>
      <c r="IQ70" t="e">
        <f>AND(#REF!,"AAAAAD/ydPo=")</f>
        <v>#REF!</v>
      </c>
      <c r="IR70" t="e">
        <f>AND(#REF!,"AAAAAD/ydPs=")</f>
        <v>#REF!</v>
      </c>
      <c r="IS70" t="e">
        <f>AND(#REF!,"AAAAAD/ydPw=")</f>
        <v>#REF!</v>
      </c>
      <c r="IT70" t="e">
        <f>AND(#REF!,"AAAAAD/ydP0=")</f>
        <v>#REF!</v>
      </c>
      <c r="IU70" t="e">
        <f>AND(#REF!,"AAAAAD/ydP4=")</f>
        <v>#REF!</v>
      </c>
      <c r="IV70" t="e">
        <f>AND(#REF!,"AAAAAD/ydP8=")</f>
        <v>#REF!</v>
      </c>
    </row>
    <row r="71" spans="1:256" x14ac:dyDescent="0.25">
      <c r="A71" t="e">
        <f>AND(#REF!,"AAAAAGv//QA=")</f>
        <v>#REF!</v>
      </c>
      <c r="B71" t="e">
        <f>AND(#REF!,"AAAAAGv//QE=")</f>
        <v>#REF!</v>
      </c>
      <c r="C71" t="e">
        <f>AND(#REF!,"AAAAAGv//QI=")</f>
        <v>#REF!</v>
      </c>
      <c r="D71" t="e">
        <f>AND(#REF!,"AAAAAGv//QM=")</f>
        <v>#REF!</v>
      </c>
      <c r="E71" t="e">
        <f>IF(#REF!,"AAAAAGv//QQ=",0)</f>
        <v>#REF!</v>
      </c>
      <c r="F71" t="e">
        <f>AND(#REF!,"AAAAAGv//QU=")</f>
        <v>#REF!</v>
      </c>
      <c r="G71" t="e">
        <f>AND(#REF!,"AAAAAGv//QY=")</f>
        <v>#REF!</v>
      </c>
      <c r="H71" t="e">
        <f>AND(#REF!,"AAAAAGv//Qc=")</f>
        <v>#REF!</v>
      </c>
      <c r="I71" t="e">
        <f>AND(#REF!,"AAAAAGv//Qg=")</f>
        <v>#REF!</v>
      </c>
      <c r="J71" t="e">
        <f>AND(#REF!,"AAAAAGv//Qk=")</f>
        <v>#REF!</v>
      </c>
      <c r="K71" t="e">
        <f>AND(#REF!,"AAAAAGv//Qo=")</f>
        <v>#REF!</v>
      </c>
      <c r="L71" t="e">
        <f>AND(#REF!,"AAAAAGv//Qs=")</f>
        <v>#REF!</v>
      </c>
      <c r="M71" t="e">
        <f>AND(#REF!,"AAAAAGv//Qw=")</f>
        <v>#REF!</v>
      </c>
      <c r="N71" t="e">
        <f>AND(#REF!,"AAAAAGv//Q0=")</f>
        <v>#REF!</v>
      </c>
      <c r="O71" t="e">
        <f>AND(#REF!,"AAAAAGv//Q4=")</f>
        <v>#REF!</v>
      </c>
      <c r="P71" t="e">
        <f>IF(#REF!,"AAAAAGv//Q8=",0)</f>
        <v>#REF!</v>
      </c>
      <c r="Q71" t="e">
        <f>AND(#REF!,"AAAAAGv//RA=")</f>
        <v>#REF!</v>
      </c>
      <c r="R71" t="e">
        <f>AND(#REF!,"AAAAAGv//RE=")</f>
        <v>#REF!</v>
      </c>
      <c r="S71" t="e">
        <f>AND(#REF!,"AAAAAGv//RI=")</f>
        <v>#REF!</v>
      </c>
      <c r="T71" t="e">
        <f>AND(#REF!,"AAAAAGv//RM=")</f>
        <v>#REF!</v>
      </c>
      <c r="U71" t="e">
        <f>AND(#REF!,"AAAAAGv//RQ=")</f>
        <v>#REF!</v>
      </c>
      <c r="V71" t="e">
        <f>AND(#REF!,"AAAAAGv//RU=")</f>
        <v>#REF!</v>
      </c>
      <c r="W71" t="e">
        <f>AND(#REF!,"AAAAAGv//RY=")</f>
        <v>#REF!</v>
      </c>
      <c r="X71" t="e">
        <f>AND(#REF!,"AAAAAGv//Rc=")</f>
        <v>#REF!</v>
      </c>
      <c r="Y71" t="e">
        <f>AND(#REF!,"AAAAAGv//Rg=")</f>
        <v>#REF!</v>
      </c>
      <c r="Z71" t="e">
        <f>AND(#REF!,"AAAAAGv//Rk=")</f>
        <v>#REF!</v>
      </c>
      <c r="AA71" t="e">
        <f>IF(#REF!,"AAAAAGv//Ro=",0)</f>
        <v>#REF!</v>
      </c>
      <c r="AB71" t="e">
        <f>AND(#REF!,"AAAAAGv//Rs=")</f>
        <v>#REF!</v>
      </c>
      <c r="AC71" t="e">
        <f>AND(#REF!,"AAAAAGv//Rw=")</f>
        <v>#REF!</v>
      </c>
      <c r="AD71" t="e">
        <f>AND(#REF!,"AAAAAGv//R0=")</f>
        <v>#REF!</v>
      </c>
      <c r="AE71" t="e">
        <f>AND(#REF!,"AAAAAGv//R4=")</f>
        <v>#REF!</v>
      </c>
      <c r="AF71" t="e">
        <f>AND(#REF!,"AAAAAGv//R8=")</f>
        <v>#REF!</v>
      </c>
      <c r="AG71" t="e">
        <f>AND(#REF!,"AAAAAGv//SA=")</f>
        <v>#REF!</v>
      </c>
      <c r="AH71" t="e">
        <f>AND(#REF!,"AAAAAGv//SE=")</f>
        <v>#REF!</v>
      </c>
      <c r="AI71" t="e">
        <f>AND(#REF!,"AAAAAGv//SI=")</f>
        <v>#REF!</v>
      </c>
      <c r="AJ71" t="e">
        <f>AND(#REF!,"AAAAAGv//SM=")</f>
        <v>#REF!</v>
      </c>
      <c r="AK71" t="e">
        <f>AND(#REF!,"AAAAAGv//SQ=")</f>
        <v>#REF!</v>
      </c>
      <c r="AL71" t="e">
        <f>IF(#REF!,"AAAAAGv//SU=",0)</f>
        <v>#REF!</v>
      </c>
      <c r="AM71" t="e">
        <f>AND(#REF!,"AAAAAGv//SY=")</f>
        <v>#REF!</v>
      </c>
      <c r="AN71" t="e">
        <f>AND(#REF!,"AAAAAGv//Sc=")</f>
        <v>#REF!</v>
      </c>
      <c r="AO71" t="e">
        <f>AND(#REF!,"AAAAAGv//Sg=")</f>
        <v>#REF!</v>
      </c>
      <c r="AP71" t="e">
        <f>AND(#REF!,"AAAAAGv//Sk=")</f>
        <v>#REF!</v>
      </c>
      <c r="AQ71" t="e">
        <f>AND(#REF!,"AAAAAGv//So=")</f>
        <v>#REF!</v>
      </c>
      <c r="AR71" t="e">
        <f>AND(#REF!,"AAAAAGv//Ss=")</f>
        <v>#REF!</v>
      </c>
      <c r="AS71" t="e">
        <f>AND(#REF!,"AAAAAGv//Sw=")</f>
        <v>#REF!</v>
      </c>
      <c r="AT71" t="e">
        <f>AND(#REF!,"AAAAAGv//S0=")</f>
        <v>#REF!</v>
      </c>
      <c r="AU71" t="e">
        <f>AND(#REF!,"AAAAAGv//S4=")</f>
        <v>#REF!</v>
      </c>
      <c r="AV71" t="e">
        <f>AND(#REF!,"AAAAAGv//S8=")</f>
        <v>#REF!</v>
      </c>
      <c r="AW71" t="e">
        <f>IF(#REF!,"AAAAAGv//TA=",0)</f>
        <v>#REF!</v>
      </c>
      <c r="AX71" t="e">
        <f>AND(#REF!,"AAAAAGv//TE=")</f>
        <v>#REF!</v>
      </c>
      <c r="AY71" t="e">
        <f>AND(#REF!,"AAAAAGv//TI=")</f>
        <v>#REF!</v>
      </c>
      <c r="AZ71" t="e">
        <f>AND(#REF!,"AAAAAGv//TM=")</f>
        <v>#REF!</v>
      </c>
      <c r="BA71" t="e">
        <f>AND(#REF!,"AAAAAGv//TQ=")</f>
        <v>#REF!</v>
      </c>
      <c r="BB71" t="e">
        <f>AND(#REF!,"AAAAAGv//TU=")</f>
        <v>#REF!</v>
      </c>
      <c r="BC71" t="e">
        <f>AND(#REF!,"AAAAAGv//TY=")</f>
        <v>#REF!</v>
      </c>
      <c r="BD71" t="e">
        <f>AND(#REF!,"AAAAAGv//Tc=")</f>
        <v>#REF!</v>
      </c>
      <c r="BE71" t="e">
        <f>AND(#REF!,"AAAAAGv//Tg=")</f>
        <v>#REF!</v>
      </c>
      <c r="BF71" t="e">
        <f>AND(#REF!,"AAAAAGv//Tk=")</f>
        <v>#REF!</v>
      </c>
      <c r="BG71" t="e">
        <f>AND(#REF!,"AAAAAGv//To=")</f>
        <v>#REF!</v>
      </c>
      <c r="BH71" t="e">
        <f>IF(#REF!,"AAAAAGv//Ts=",0)</f>
        <v>#REF!</v>
      </c>
      <c r="BI71" t="e">
        <f>AND(#REF!,"AAAAAGv//Tw=")</f>
        <v>#REF!</v>
      </c>
      <c r="BJ71" t="e">
        <f>AND(#REF!,"AAAAAGv//T0=")</f>
        <v>#REF!</v>
      </c>
      <c r="BK71" t="e">
        <f>AND(#REF!,"AAAAAGv//T4=")</f>
        <v>#REF!</v>
      </c>
      <c r="BL71" t="e">
        <f>AND(#REF!,"AAAAAGv//T8=")</f>
        <v>#REF!</v>
      </c>
      <c r="BM71" t="e">
        <f>AND(#REF!,"AAAAAGv//UA=")</f>
        <v>#REF!</v>
      </c>
      <c r="BN71" t="e">
        <f>AND(#REF!,"AAAAAGv//UE=")</f>
        <v>#REF!</v>
      </c>
      <c r="BO71" t="e">
        <f>AND(#REF!,"AAAAAGv//UI=")</f>
        <v>#REF!</v>
      </c>
      <c r="BP71" t="e">
        <f>AND(#REF!,"AAAAAGv//UM=")</f>
        <v>#REF!</v>
      </c>
      <c r="BQ71" t="e">
        <f>AND(#REF!,"AAAAAGv//UQ=")</f>
        <v>#REF!</v>
      </c>
      <c r="BR71" t="e">
        <f>AND(#REF!,"AAAAAGv//UU=")</f>
        <v>#REF!</v>
      </c>
      <c r="BS71" t="e">
        <f>IF(#REF!,"AAAAAGv//UY=",0)</f>
        <v>#REF!</v>
      </c>
      <c r="BT71" t="e">
        <f>AND(#REF!,"AAAAAGv//Uc=")</f>
        <v>#REF!</v>
      </c>
      <c r="BU71" t="e">
        <f>AND(#REF!,"AAAAAGv//Ug=")</f>
        <v>#REF!</v>
      </c>
      <c r="BV71" t="e">
        <f>AND(#REF!,"AAAAAGv//Uk=")</f>
        <v>#REF!</v>
      </c>
      <c r="BW71" t="e">
        <f>AND(#REF!,"AAAAAGv//Uo=")</f>
        <v>#REF!</v>
      </c>
      <c r="BX71" t="e">
        <f>AND(#REF!,"AAAAAGv//Us=")</f>
        <v>#REF!</v>
      </c>
      <c r="BY71" t="e">
        <f>AND(#REF!,"AAAAAGv//Uw=")</f>
        <v>#REF!</v>
      </c>
      <c r="BZ71" t="e">
        <f>AND(#REF!,"AAAAAGv//U0=")</f>
        <v>#REF!</v>
      </c>
      <c r="CA71" t="e">
        <f>AND(#REF!,"AAAAAGv//U4=")</f>
        <v>#REF!</v>
      </c>
      <c r="CB71" t="e">
        <f>AND(#REF!,"AAAAAGv//U8=")</f>
        <v>#REF!</v>
      </c>
      <c r="CC71" t="e">
        <f>AND(#REF!,"AAAAAGv//VA=")</f>
        <v>#REF!</v>
      </c>
      <c r="CD71" t="e">
        <f>IF(#REF!,"AAAAAGv//VE=",0)</f>
        <v>#REF!</v>
      </c>
      <c r="CE71" t="e">
        <f>AND(#REF!,"AAAAAGv//VI=")</f>
        <v>#REF!</v>
      </c>
      <c r="CF71" t="e">
        <f>AND(#REF!,"AAAAAGv//VM=")</f>
        <v>#REF!</v>
      </c>
      <c r="CG71" t="e">
        <f>AND(#REF!,"AAAAAGv//VQ=")</f>
        <v>#REF!</v>
      </c>
      <c r="CH71" t="e">
        <f>AND(#REF!,"AAAAAGv//VU=")</f>
        <v>#REF!</v>
      </c>
      <c r="CI71" t="e">
        <f>AND(#REF!,"AAAAAGv//VY=")</f>
        <v>#REF!</v>
      </c>
      <c r="CJ71" t="e">
        <f>AND(#REF!,"AAAAAGv//Vc=")</f>
        <v>#REF!</v>
      </c>
      <c r="CK71" t="e">
        <f>AND(#REF!,"AAAAAGv//Vg=")</f>
        <v>#REF!</v>
      </c>
      <c r="CL71" t="e">
        <f>AND(#REF!,"AAAAAGv//Vk=")</f>
        <v>#REF!</v>
      </c>
      <c r="CM71" t="e">
        <f>AND(#REF!,"AAAAAGv//Vo=")</f>
        <v>#REF!</v>
      </c>
      <c r="CN71" t="e">
        <f>AND(#REF!,"AAAAAGv//Vs=")</f>
        <v>#REF!</v>
      </c>
      <c r="CO71" t="e">
        <f>IF(#REF!,"AAAAAGv//Vw=",0)</f>
        <v>#REF!</v>
      </c>
      <c r="CP71" t="e">
        <f>AND(#REF!,"AAAAAGv//V0=")</f>
        <v>#REF!</v>
      </c>
      <c r="CQ71" t="e">
        <f>AND(#REF!,"AAAAAGv//V4=")</f>
        <v>#REF!</v>
      </c>
      <c r="CR71" t="e">
        <f>AND(#REF!,"AAAAAGv//V8=")</f>
        <v>#REF!</v>
      </c>
      <c r="CS71" t="e">
        <f>AND(#REF!,"AAAAAGv//WA=")</f>
        <v>#REF!</v>
      </c>
      <c r="CT71" t="e">
        <f>AND(#REF!,"AAAAAGv//WE=")</f>
        <v>#REF!</v>
      </c>
      <c r="CU71" t="e">
        <f>AND(#REF!,"AAAAAGv//WI=")</f>
        <v>#REF!</v>
      </c>
      <c r="CV71" t="e">
        <f>AND(#REF!,"AAAAAGv//WM=")</f>
        <v>#REF!</v>
      </c>
      <c r="CW71" t="e">
        <f>AND(#REF!,"AAAAAGv//WQ=")</f>
        <v>#REF!</v>
      </c>
      <c r="CX71" t="e">
        <f>AND(#REF!,"AAAAAGv//WU=")</f>
        <v>#REF!</v>
      </c>
      <c r="CY71" t="e">
        <f>AND(#REF!,"AAAAAGv//WY=")</f>
        <v>#REF!</v>
      </c>
      <c r="CZ71" t="e">
        <f>IF(#REF!,"AAAAAGv//Wc=",0)</f>
        <v>#REF!</v>
      </c>
      <c r="DA71" t="e">
        <f>AND(#REF!,"AAAAAGv//Wg=")</f>
        <v>#REF!</v>
      </c>
      <c r="DB71" t="e">
        <f>AND(#REF!,"AAAAAGv//Wk=")</f>
        <v>#REF!</v>
      </c>
      <c r="DC71" t="e">
        <f>AND(#REF!,"AAAAAGv//Wo=")</f>
        <v>#REF!</v>
      </c>
      <c r="DD71" t="e">
        <f>AND(#REF!,"AAAAAGv//Ws=")</f>
        <v>#REF!</v>
      </c>
      <c r="DE71" t="e">
        <f>AND(#REF!,"AAAAAGv//Ww=")</f>
        <v>#REF!</v>
      </c>
      <c r="DF71" t="e">
        <f>AND(#REF!,"AAAAAGv//W0=")</f>
        <v>#REF!</v>
      </c>
      <c r="DG71" t="e">
        <f>AND(#REF!,"AAAAAGv//W4=")</f>
        <v>#REF!</v>
      </c>
      <c r="DH71" t="e">
        <f>AND(#REF!,"AAAAAGv//W8=")</f>
        <v>#REF!</v>
      </c>
      <c r="DI71" t="e">
        <f>AND(#REF!,"AAAAAGv//XA=")</f>
        <v>#REF!</v>
      </c>
      <c r="DJ71" t="e">
        <f>AND(#REF!,"AAAAAGv//XE=")</f>
        <v>#REF!</v>
      </c>
      <c r="DK71" t="e">
        <f>IF(#REF!,"AAAAAGv//XI=",0)</f>
        <v>#REF!</v>
      </c>
      <c r="DL71" t="e">
        <f>AND(#REF!,"AAAAAGv//XM=")</f>
        <v>#REF!</v>
      </c>
      <c r="DM71" t="e">
        <f>AND(#REF!,"AAAAAGv//XQ=")</f>
        <v>#REF!</v>
      </c>
      <c r="DN71" t="e">
        <f>AND(#REF!,"AAAAAGv//XU=")</f>
        <v>#REF!</v>
      </c>
      <c r="DO71" t="e">
        <f>AND(#REF!,"AAAAAGv//XY=")</f>
        <v>#REF!</v>
      </c>
      <c r="DP71" t="e">
        <f>AND(#REF!,"AAAAAGv//Xc=")</f>
        <v>#REF!</v>
      </c>
      <c r="DQ71" t="e">
        <f>AND(#REF!,"AAAAAGv//Xg=")</f>
        <v>#REF!</v>
      </c>
      <c r="DR71" t="e">
        <f>AND(#REF!,"AAAAAGv//Xk=")</f>
        <v>#REF!</v>
      </c>
      <c r="DS71" t="e">
        <f>AND(#REF!,"AAAAAGv//Xo=")</f>
        <v>#REF!</v>
      </c>
      <c r="DT71" t="e">
        <f>AND(#REF!,"AAAAAGv//Xs=")</f>
        <v>#REF!</v>
      </c>
      <c r="DU71" t="e">
        <f>AND(#REF!,"AAAAAGv//Xw=")</f>
        <v>#REF!</v>
      </c>
      <c r="DV71" t="e">
        <f>IF(#REF!,"AAAAAGv//X0=",0)</f>
        <v>#REF!</v>
      </c>
      <c r="DW71" t="e">
        <f>AND(#REF!,"AAAAAGv//X4=")</f>
        <v>#REF!</v>
      </c>
      <c r="DX71" t="e">
        <f>AND(#REF!,"AAAAAGv//X8=")</f>
        <v>#REF!</v>
      </c>
      <c r="DY71" t="e">
        <f>AND(#REF!,"AAAAAGv//YA=")</f>
        <v>#REF!</v>
      </c>
      <c r="DZ71" t="e">
        <f>AND(#REF!,"AAAAAGv//YE=")</f>
        <v>#REF!</v>
      </c>
      <c r="EA71" t="e">
        <f>AND(#REF!,"AAAAAGv//YI=")</f>
        <v>#REF!</v>
      </c>
      <c r="EB71" t="e">
        <f>AND(#REF!,"AAAAAGv//YM=")</f>
        <v>#REF!</v>
      </c>
      <c r="EC71" t="e">
        <f>AND(#REF!,"AAAAAGv//YQ=")</f>
        <v>#REF!</v>
      </c>
      <c r="ED71" t="e">
        <f>AND(#REF!,"AAAAAGv//YU=")</f>
        <v>#REF!</v>
      </c>
      <c r="EE71" t="e">
        <f>AND(#REF!,"AAAAAGv//YY=")</f>
        <v>#REF!</v>
      </c>
      <c r="EF71" t="e">
        <f>AND(#REF!,"AAAAAGv//Yc=")</f>
        <v>#REF!</v>
      </c>
      <c r="EG71" t="e">
        <f>IF(#REF!,"AAAAAGv//Yg=",0)</f>
        <v>#REF!</v>
      </c>
      <c r="EH71" t="e">
        <f>AND(#REF!,"AAAAAGv//Yk=")</f>
        <v>#REF!</v>
      </c>
      <c r="EI71" t="e">
        <f>AND(#REF!,"AAAAAGv//Yo=")</f>
        <v>#REF!</v>
      </c>
      <c r="EJ71" t="e">
        <f>AND(#REF!,"AAAAAGv//Ys=")</f>
        <v>#REF!</v>
      </c>
      <c r="EK71" t="e">
        <f>AND(#REF!,"AAAAAGv//Yw=")</f>
        <v>#REF!</v>
      </c>
      <c r="EL71" t="e">
        <f>AND(#REF!,"AAAAAGv//Y0=")</f>
        <v>#REF!</v>
      </c>
      <c r="EM71" t="e">
        <f>AND(#REF!,"AAAAAGv//Y4=")</f>
        <v>#REF!</v>
      </c>
      <c r="EN71" t="e">
        <f>AND(#REF!,"AAAAAGv//Y8=")</f>
        <v>#REF!</v>
      </c>
      <c r="EO71" t="e">
        <f>AND(#REF!,"AAAAAGv//ZA=")</f>
        <v>#REF!</v>
      </c>
      <c r="EP71" t="e">
        <f>AND(#REF!,"AAAAAGv//ZE=")</f>
        <v>#REF!</v>
      </c>
      <c r="EQ71" t="e">
        <f>AND(#REF!,"AAAAAGv//ZI=")</f>
        <v>#REF!</v>
      </c>
      <c r="ER71" t="e">
        <f>IF(#REF!,"AAAAAGv//ZM=",0)</f>
        <v>#REF!</v>
      </c>
      <c r="ES71" t="e">
        <f>AND(#REF!,"AAAAAGv//ZQ=")</f>
        <v>#REF!</v>
      </c>
      <c r="ET71" t="e">
        <f>AND(#REF!,"AAAAAGv//ZU=")</f>
        <v>#REF!</v>
      </c>
      <c r="EU71" t="e">
        <f>AND(#REF!,"AAAAAGv//ZY=")</f>
        <v>#REF!</v>
      </c>
      <c r="EV71" t="e">
        <f>AND(#REF!,"AAAAAGv//Zc=")</f>
        <v>#REF!</v>
      </c>
      <c r="EW71" t="e">
        <f>AND(#REF!,"AAAAAGv//Zg=")</f>
        <v>#REF!</v>
      </c>
      <c r="EX71" t="e">
        <f>AND(#REF!,"AAAAAGv//Zk=")</f>
        <v>#REF!</v>
      </c>
      <c r="EY71" t="e">
        <f>AND(#REF!,"AAAAAGv//Zo=")</f>
        <v>#REF!</v>
      </c>
      <c r="EZ71" t="e">
        <f>AND(#REF!,"AAAAAGv//Zs=")</f>
        <v>#REF!</v>
      </c>
      <c r="FA71" t="e">
        <f>AND(#REF!,"AAAAAGv//Zw=")</f>
        <v>#REF!</v>
      </c>
      <c r="FB71" t="e">
        <f>AND(#REF!,"AAAAAGv//Z0=")</f>
        <v>#REF!</v>
      </c>
      <c r="FC71" t="e">
        <f>IF(#REF!,"AAAAAGv//Z4=",0)</f>
        <v>#REF!</v>
      </c>
      <c r="FD71" t="e">
        <f>AND(#REF!,"AAAAAGv//Z8=")</f>
        <v>#REF!</v>
      </c>
      <c r="FE71" t="e">
        <f>AND(#REF!,"AAAAAGv//aA=")</f>
        <v>#REF!</v>
      </c>
      <c r="FF71" t="e">
        <f>AND(#REF!,"AAAAAGv//aE=")</f>
        <v>#REF!</v>
      </c>
      <c r="FG71" t="e">
        <f>AND(#REF!,"AAAAAGv//aI=")</f>
        <v>#REF!</v>
      </c>
      <c r="FH71" t="e">
        <f>AND(#REF!,"AAAAAGv//aM=")</f>
        <v>#REF!</v>
      </c>
      <c r="FI71" t="e">
        <f>AND(#REF!,"AAAAAGv//aQ=")</f>
        <v>#REF!</v>
      </c>
      <c r="FJ71" t="e">
        <f>AND(#REF!,"AAAAAGv//aU=")</f>
        <v>#REF!</v>
      </c>
      <c r="FK71" t="e">
        <f>AND(#REF!,"AAAAAGv//aY=")</f>
        <v>#REF!</v>
      </c>
      <c r="FL71" t="e">
        <f>AND(#REF!,"AAAAAGv//ac=")</f>
        <v>#REF!</v>
      </c>
      <c r="FM71" t="e">
        <f>AND(#REF!,"AAAAAGv//ag=")</f>
        <v>#REF!</v>
      </c>
      <c r="FN71" t="e">
        <f>IF(#REF!,"AAAAAGv//ak=",0)</f>
        <v>#REF!</v>
      </c>
      <c r="FO71" t="e">
        <f>AND(#REF!,"AAAAAGv//ao=")</f>
        <v>#REF!</v>
      </c>
      <c r="FP71" t="e">
        <f>AND(#REF!,"AAAAAGv//as=")</f>
        <v>#REF!</v>
      </c>
      <c r="FQ71" t="e">
        <f>AND(#REF!,"AAAAAGv//aw=")</f>
        <v>#REF!</v>
      </c>
      <c r="FR71" t="e">
        <f>AND(#REF!,"AAAAAGv//a0=")</f>
        <v>#REF!</v>
      </c>
      <c r="FS71" t="e">
        <f>AND(#REF!,"AAAAAGv//a4=")</f>
        <v>#REF!</v>
      </c>
      <c r="FT71" t="e">
        <f>AND(#REF!,"AAAAAGv//a8=")</f>
        <v>#REF!</v>
      </c>
      <c r="FU71" t="e">
        <f>AND(#REF!,"AAAAAGv//bA=")</f>
        <v>#REF!</v>
      </c>
      <c r="FV71" t="e">
        <f>AND(#REF!,"AAAAAGv//bE=")</f>
        <v>#REF!</v>
      </c>
      <c r="FW71" t="e">
        <f>AND(#REF!,"AAAAAGv//bI=")</f>
        <v>#REF!</v>
      </c>
      <c r="FX71" t="e">
        <f>AND(#REF!,"AAAAAGv//bM=")</f>
        <v>#REF!</v>
      </c>
      <c r="FY71" t="e">
        <f>IF(#REF!,"AAAAAGv//bQ=",0)</f>
        <v>#REF!</v>
      </c>
      <c r="FZ71" t="e">
        <f>AND(#REF!,"AAAAAGv//bU=")</f>
        <v>#REF!</v>
      </c>
      <c r="GA71" t="e">
        <f>AND(#REF!,"AAAAAGv//bY=")</f>
        <v>#REF!</v>
      </c>
      <c r="GB71" t="e">
        <f>AND(#REF!,"AAAAAGv//bc=")</f>
        <v>#REF!</v>
      </c>
      <c r="GC71" t="e">
        <f>AND(#REF!,"AAAAAGv//bg=")</f>
        <v>#REF!</v>
      </c>
      <c r="GD71" t="e">
        <f>AND(#REF!,"AAAAAGv//bk=")</f>
        <v>#REF!</v>
      </c>
      <c r="GE71" t="e">
        <f>AND(#REF!,"AAAAAGv//bo=")</f>
        <v>#REF!</v>
      </c>
      <c r="GF71" t="e">
        <f>AND(#REF!,"AAAAAGv//bs=")</f>
        <v>#REF!</v>
      </c>
      <c r="GG71" t="e">
        <f>AND(#REF!,"AAAAAGv//bw=")</f>
        <v>#REF!</v>
      </c>
      <c r="GH71" t="e">
        <f>AND(#REF!,"AAAAAGv//b0=")</f>
        <v>#REF!</v>
      </c>
      <c r="GI71" t="e">
        <f>AND(#REF!,"AAAAAGv//b4=")</f>
        <v>#REF!</v>
      </c>
      <c r="GJ71" t="e">
        <f>IF(#REF!,"AAAAAGv//b8=",0)</f>
        <v>#REF!</v>
      </c>
      <c r="GK71" t="e">
        <f>AND(#REF!,"AAAAAGv//cA=")</f>
        <v>#REF!</v>
      </c>
      <c r="GL71" t="e">
        <f>AND(#REF!,"AAAAAGv//cE=")</f>
        <v>#REF!</v>
      </c>
      <c r="GM71" t="e">
        <f>AND(#REF!,"AAAAAGv//cI=")</f>
        <v>#REF!</v>
      </c>
      <c r="GN71" t="e">
        <f>AND(#REF!,"AAAAAGv//cM=")</f>
        <v>#REF!</v>
      </c>
      <c r="GO71" t="e">
        <f>AND(#REF!,"AAAAAGv//cQ=")</f>
        <v>#REF!</v>
      </c>
      <c r="GP71" t="e">
        <f>AND(#REF!,"AAAAAGv//cU=")</f>
        <v>#REF!</v>
      </c>
      <c r="GQ71" t="e">
        <f>AND(#REF!,"AAAAAGv//cY=")</f>
        <v>#REF!</v>
      </c>
      <c r="GR71" t="e">
        <f>AND(#REF!,"AAAAAGv//cc=")</f>
        <v>#REF!</v>
      </c>
      <c r="GS71" t="e">
        <f>AND(#REF!,"AAAAAGv//cg=")</f>
        <v>#REF!</v>
      </c>
      <c r="GT71" t="e">
        <f>AND(#REF!,"AAAAAGv//ck=")</f>
        <v>#REF!</v>
      </c>
      <c r="GU71" t="e">
        <f>IF(#REF!,"AAAAAGv//co=",0)</f>
        <v>#REF!</v>
      </c>
      <c r="GV71" t="e">
        <f>AND(#REF!,"AAAAAGv//cs=")</f>
        <v>#REF!</v>
      </c>
      <c r="GW71" t="e">
        <f>AND(#REF!,"AAAAAGv//cw=")</f>
        <v>#REF!</v>
      </c>
      <c r="GX71" t="e">
        <f>AND(#REF!,"AAAAAGv//c0=")</f>
        <v>#REF!</v>
      </c>
      <c r="GY71" t="e">
        <f>AND(#REF!,"AAAAAGv//c4=")</f>
        <v>#REF!</v>
      </c>
      <c r="GZ71" t="e">
        <f>AND(#REF!,"AAAAAGv//c8=")</f>
        <v>#REF!</v>
      </c>
      <c r="HA71" t="e">
        <f>AND(#REF!,"AAAAAGv//dA=")</f>
        <v>#REF!</v>
      </c>
      <c r="HB71" t="e">
        <f>AND(#REF!,"AAAAAGv//dE=")</f>
        <v>#REF!</v>
      </c>
      <c r="HC71" t="e">
        <f>AND(#REF!,"AAAAAGv//dI=")</f>
        <v>#REF!</v>
      </c>
      <c r="HD71" t="e">
        <f>AND(#REF!,"AAAAAGv//dM=")</f>
        <v>#REF!</v>
      </c>
      <c r="HE71" t="e">
        <f>AND(#REF!,"AAAAAGv//dQ=")</f>
        <v>#REF!</v>
      </c>
      <c r="HF71" t="e">
        <f>IF(#REF!,"AAAAAGv//dU=",0)</f>
        <v>#REF!</v>
      </c>
      <c r="HG71" t="e">
        <f>AND(#REF!,"AAAAAGv//dY=")</f>
        <v>#REF!</v>
      </c>
      <c r="HH71" t="e">
        <f>AND(#REF!,"AAAAAGv//dc=")</f>
        <v>#REF!</v>
      </c>
      <c r="HI71" t="e">
        <f>AND(#REF!,"AAAAAGv//dg=")</f>
        <v>#REF!</v>
      </c>
      <c r="HJ71" t="e">
        <f>AND(#REF!,"AAAAAGv//dk=")</f>
        <v>#REF!</v>
      </c>
      <c r="HK71" t="e">
        <f>AND(#REF!,"AAAAAGv//do=")</f>
        <v>#REF!</v>
      </c>
      <c r="HL71" t="e">
        <f>AND(#REF!,"AAAAAGv//ds=")</f>
        <v>#REF!</v>
      </c>
      <c r="HM71" t="e">
        <f>AND(#REF!,"AAAAAGv//dw=")</f>
        <v>#REF!</v>
      </c>
      <c r="HN71" t="e">
        <f>AND(#REF!,"AAAAAGv//d0=")</f>
        <v>#REF!</v>
      </c>
      <c r="HO71" t="e">
        <f>AND(#REF!,"AAAAAGv//d4=")</f>
        <v>#REF!</v>
      </c>
      <c r="HP71" t="e">
        <f>AND(#REF!,"AAAAAGv//d8=")</f>
        <v>#REF!</v>
      </c>
      <c r="HQ71" t="e">
        <f>IF(#REF!,"AAAAAGv//eA=",0)</f>
        <v>#REF!</v>
      </c>
      <c r="HR71" t="e">
        <f>AND(#REF!,"AAAAAGv//eE=")</f>
        <v>#REF!</v>
      </c>
      <c r="HS71" t="e">
        <f>AND(#REF!,"AAAAAGv//eI=")</f>
        <v>#REF!</v>
      </c>
      <c r="HT71" t="e">
        <f>AND(#REF!,"AAAAAGv//eM=")</f>
        <v>#REF!</v>
      </c>
      <c r="HU71" t="e">
        <f>AND(#REF!,"AAAAAGv//eQ=")</f>
        <v>#REF!</v>
      </c>
      <c r="HV71" t="e">
        <f>AND(#REF!,"AAAAAGv//eU=")</f>
        <v>#REF!</v>
      </c>
      <c r="HW71" t="e">
        <f>AND(#REF!,"AAAAAGv//eY=")</f>
        <v>#REF!</v>
      </c>
      <c r="HX71" t="e">
        <f>AND(#REF!,"AAAAAGv//ec=")</f>
        <v>#REF!</v>
      </c>
      <c r="HY71" t="e">
        <f>AND(#REF!,"AAAAAGv//eg=")</f>
        <v>#REF!</v>
      </c>
      <c r="HZ71" t="e">
        <f>AND(#REF!,"AAAAAGv//ek=")</f>
        <v>#REF!</v>
      </c>
      <c r="IA71" t="e">
        <f>AND(#REF!,"AAAAAGv//eo=")</f>
        <v>#REF!</v>
      </c>
      <c r="IB71" t="e">
        <f>IF(#REF!,"AAAAAGv//es=",0)</f>
        <v>#REF!</v>
      </c>
      <c r="IC71" t="e">
        <f>AND(#REF!,"AAAAAGv//ew=")</f>
        <v>#REF!</v>
      </c>
      <c r="ID71" t="e">
        <f>AND(#REF!,"AAAAAGv//e0=")</f>
        <v>#REF!</v>
      </c>
      <c r="IE71" t="e">
        <f>AND(#REF!,"AAAAAGv//e4=")</f>
        <v>#REF!</v>
      </c>
      <c r="IF71" t="e">
        <f>AND(#REF!,"AAAAAGv//e8=")</f>
        <v>#REF!</v>
      </c>
      <c r="IG71" t="e">
        <f>AND(#REF!,"AAAAAGv//fA=")</f>
        <v>#REF!</v>
      </c>
      <c r="IH71" t="e">
        <f>AND(#REF!,"AAAAAGv//fE=")</f>
        <v>#REF!</v>
      </c>
      <c r="II71" t="e">
        <f>AND(#REF!,"AAAAAGv//fI=")</f>
        <v>#REF!</v>
      </c>
      <c r="IJ71" t="e">
        <f>AND(#REF!,"AAAAAGv//fM=")</f>
        <v>#REF!</v>
      </c>
      <c r="IK71" t="e">
        <f>AND(#REF!,"AAAAAGv//fQ=")</f>
        <v>#REF!</v>
      </c>
      <c r="IL71" t="e">
        <f>AND(#REF!,"AAAAAGv//fU=")</f>
        <v>#REF!</v>
      </c>
      <c r="IM71" t="e">
        <f>IF(#REF!,"AAAAAGv//fY=",0)</f>
        <v>#REF!</v>
      </c>
      <c r="IN71" t="e">
        <f>AND(#REF!,"AAAAAGv//fc=")</f>
        <v>#REF!</v>
      </c>
      <c r="IO71" t="e">
        <f>AND(#REF!,"AAAAAGv//fg=")</f>
        <v>#REF!</v>
      </c>
      <c r="IP71" t="e">
        <f>AND(#REF!,"AAAAAGv//fk=")</f>
        <v>#REF!</v>
      </c>
      <c r="IQ71" t="e">
        <f>AND(#REF!,"AAAAAGv//fo=")</f>
        <v>#REF!</v>
      </c>
      <c r="IR71" t="e">
        <f>AND(#REF!,"AAAAAGv//fs=")</f>
        <v>#REF!</v>
      </c>
      <c r="IS71" t="e">
        <f>AND(#REF!,"AAAAAGv//fw=")</f>
        <v>#REF!</v>
      </c>
      <c r="IT71" t="e">
        <f>AND(#REF!,"AAAAAGv//f0=")</f>
        <v>#REF!</v>
      </c>
      <c r="IU71" t="e">
        <f>AND(#REF!,"AAAAAGv//f4=")</f>
        <v>#REF!</v>
      </c>
      <c r="IV71" t="e">
        <f>AND(#REF!,"AAAAAGv//f8=")</f>
        <v>#REF!</v>
      </c>
    </row>
    <row r="72" spans="1:256" x14ac:dyDescent="0.25">
      <c r="A72" t="e">
        <f>AND(#REF!,"AAAAAHuuvwA=")</f>
        <v>#REF!</v>
      </c>
      <c r="B72" t="e">
        <f>IF(#REF!,"AAAAAHuuvwE=",0)</f>
        <v>#REF!</v>
      </c>
      <c r="C72" t="e">
        <f>AND(#REF!,"AAAAAHuuvwI=")</f>
        <v>#REF!</v>
      </c>
      <c r="D72" t="e">
        <f>AND(#REF!,"AAAAAHuuvwM=")</f>
        <v>#REF!</v>
      </c>
      <c r="E72" t="e">
        <f>AND(#REF!,"AAAAAHuuvwQ=")</f>
        <v>#REF!</v>
      </c>
      <c r="F72" t="e">
        <f>AND(#REF!,"AAAAAHuuvwU=")</f>
        <v>#REF!</v>
      </c>
      <c r="G72" t="e">
        <f>AND(#REF!,"AAAAAHuuvwY=")</f>
        <v>#REF!</v>
      </c>
      <c r="H72" t="e">
        <f>AND(#REF!,"AAAAAHuuvwc=")</f>
        <v>#REF!</v>
      </c>
      <c r="I72" t="e">
        <f>AND(#REF!,"AAAAAHuuvwg=")</f>
        <v>#REF!</v>
      </c>
      <c r="J72" t="e">
        <f>AND(#REF!,"AAAAAHuuvwk=")</f>
        <v>#REF!</v>
      </c>
      <c r="K72" t="e">
        <f>AND(#REF!,"AAAAAHuuvwo=")</f>
        <v>#REF!</v>
      </c>
      <c r="L72" t="e">
        <f>AND(#REF!,"AAAAAHuuvws=")</f>
        <v>#REF!</v>
      </c>
      <c r="M72" t="e">
        <f>IF(#REF!,"AAAAAHuuvww=",0)</f>
        <v>#REF!</v>
      </c>
      <c r="N72" t="e">
        <f>AND(#REF!,"AAAAAHuuvw0=")</f>
        <v>#REF!</v>
      </c>
      <c r="O72" t="e">
        <f>AND(#REF!,"AAAAAHuuvw4=")</f>
        <v>#REF!</v>
      </c>
      <c r="P72" t="e">
        <f>AND(#REF!,"AAAAAHuuvw8=")</f>
        <v>#REF!</v>
      </c>
      <c r="Q72" t="e">
        <f>AND(#REF!,"AAAAAHuuvxA=")</f>
        <v>#REF!</v>
      </c>
      <c r="R72" t="e">
        <f>AND(#REF!,"AAAAAHuuvxE=")</f>
        <v>#REF!</v>
      </c>
      <c r="S72" t="e">
        <f>AND(#REF!,"AAAAAHuuvxI=")</f>
        <v>#REF!</v>
      </c>
      <c r="T72" t="e">
        <f>AND(#REF!,"AAAAAHuuvxM=")</f>
        <v>#REF!</v>
      </c>
      <c r="U72" t="e">
        <f>AND(#REF!,"AAAAAHuuvxQ=")</f>
        <v>#REF!</v>
      </c>
      <c r="V72" t="e">
        <f>AND(#REF!,"AAAAAHuuvxU=")</f>
        <v>#REF!</v>
      </c>
      <c r="W72" t="e">
        <f>AND(#REF!,"AAAAAHuuvxY=")</f>
        <v>#REF!</v>
      </c>
      <c r="X72" t="e">
        <f>IF(#REF!,"AAAAAHuuvxc=",0)</f>
        <v>#REF!</v>
      </c>
      <c r="Y72" t="e">
        <f>AND(#REF!,"AAAAAHuuvxg=")</f>
        <v>#REF!</v>
      </c>
      <c r="Z72" t="e">
        <f>AND(#REF!,"AAAAAHuuvxk=")</f>
        <v>#REF!</v>
      </c>
      <c r="AA72" t="e">
        <f>AND(#REF!,"AAAAAHuuvxo=")</f>
        <v>#REF!</v>
      </c>
      <c r="AB72" t="e">
        <f>AND(#REF!,"AAAAAHuuvxs=")</f>
        <v>#REF!</v>
      </c>
      <c r="AC72" t="e">
        <f>AND(#REF!,"AAAAAHuuvxw=")</f>
        <v>#REF!</v>
      </c>
      <c r="AD72" t="e">
        <f>AND(#REF!,"AAAAAHuuvx0=")</f>
        <v>#REF!</v>
      </c>
      <c r="AE72" t="e">
        <f>AND(#REF!,"AAAAAHuuvx4=")</f>
        <v>#REF!</v>
      </c>
      <c r="AF72" t="e">
        <f>AND(#REF!,"AAAAAHuuvx8=")</f>
        <v>#REF!</v>
      </c>
      <c r="AG72" t="e">
        <f>AND(#REF!,"AAAAAHuuvyA=")</f>
        <v>#REF!</v>
      </c>
      <c r="AH72" t="e">
        <f>AND(#REF!,"AAAAAHuuvyE=")</f>
        <v>#REF!</v>
      </c>
      <c r="AI72" t="e">
        <f>IF(#REF!,"AAAAAHuuvyI=",0)</f>
        <v>#REF!</v>
      </c>
      <c r="AJ72" t="e">
        <f>AND(#REF!,"AAAAAHuuvyM=")</f>
        <v>#REF!</v>
      </c>
      <c r="AK72" t="e">
        <f>AND(#REF!,"AAAAAHuuvyQ=")</f>
        <v>#REF!</v>
      </c>
      <c r="AL72" t="e">
        <f>AND(#REF!,"AAAAAHuuvyU=")</f>
        <v>#REF!</v>
      </c>
      <c r="AM72" t="e">
        <f>AND(#REF!,"AAAAAHuuvyY=")</f>
        <v>#REF!</v>
      </c>
      <c r="AN72" t="e">
        <f>AND(#REF!,"AAAAAHuuvyc=")</f>
        <v>#REF!</v>
      </c>
      <c r="AO72" t="e">
        <f>AND(#REF!,"AAAAAHuuvyg=")</f>
        <v>#REF!</v>
      </c>
      <c r="AP72" t="e">
        <f>AND(#REF!,"AAAAAHuuvyk=")</f>
        <v>#REF!</v>
      </c>
      <c r="AQ72" t="e">
        <f>AND(#REF!,"AAAAAHuuvyo=")</f>
        <v>#REF!</v>
      </c>
      <c r="AR72" t="e">
        <f>AND(#REF!,"AAAAAHuuvys=")</f>
        <v>#REF!</v>
      </c>
      <c r="AS72" t="e">
        <f>AND(#REF!,"AAAAAHuuvyw=")</f>
        <v>#REF!</v>
      </c>
      <c r="AT72" t="e">
        <f>IF(#REF!,"AAAAAHuuvy0=",0)</f>
        <v>#REF!</v>
      </c>
      <c r="AU72" t="e">
        <f>AND(#REF!,"AAAAAHuuvy4=")</f>
        <v>#REF!</v>
      </c>
      <c r="AV72" t="e">
        <f>AND(#REF!,"AAAAAHuuvy8=")</f>
        <v>#REF!</v>
      </c>
      <c r="AW72" t="e">
        <f>AND(#REF!,"AAAAAHuuvzA=")</f>
        <v>#REF!</v>
      </c>
      <c r="AX72" t="e">
        <f>AND(#REF!,"AAAAAHuuvzE=")</f>
        <v>#REF!</v>
      </c>
      <c r="AY72" t="e">
        <f>AND(#REF!,"AAAAAHuuvzI=")</f>
        <v>#REF!</v>
      </c>
      <c r="AZ72" t="e">
        <f>AND(#REF!,"AAAAAHuuvzM=")</f>
        <v>#REF!</v>
      </c>
      <c r="BA72" t="e">
        <f>AND(#REF!,"AAAAAHuuvzQ=")</f>
        <v>#REF!</v>
      </c>
      <c r="BB72" t="e">
        <f>AND(#REF!,"AAAAAHuuvzU=")</f>
        <v>#REF!</v>
      </c>
      <c r="BC72" t="e">
        <f>AND(#REF!,"AAAAAHuuvzY=")</f>
        <v>#REF!</v>
      </c>
      <c r="BD72" t="e">
        <f>AND(#REF!,"AAAAAHuuvzc=")</f>
        <v>#REF!</v>
      </c>
      <c r="BE72" t="e">
        <f>IF(#REF!,"AAAAAHuuvzg=",0)</f>
        <v>#REF!</v>
      </c>
      <c r="BF72" t="e">
        <f>AND(#REF!,"AAAAAHuuvzk=")</f>
        <v>#REF!</v>
      </c>
      <c r="BG72" t="e">
        <f>AND(#REF!,"AAAAAHuuvzo=")</f>
        <v>#REF!</v>
      </c>
      <c r="BH72" t="e">
        <f>AND(#REF!,"AAAAAHuuvzs=")</f>
        <v>#REF!</v>
      </c>
      <c r="BI72" t="e">
        <f>AND(#REF!,"AAAAAHuuvzw=")</f>
        <v>#REF!</v>
      </c>
      <c r="BJ72" t="e">
        <f>AND(#REF!,"AAAAAHuuvz0=")</f>
        <v>#REF!</v>
      </c>
      <c r="BK72" t="e">
        <f>AND(#REF!,"AAAAAHuuvz4=")</f>
        <v>#REF!</v>
      </c>
      <c r="BL72" t="e">
        <f>AND(#REF!,"AAAAAHuuvz8=")</f>
        <v>#REF!</v>
      </c>
      <c r="BM72" t="e">
        <f>AND(#REF!,"AAAAAHuuv0A=")</f>
        <v>#REF!</v>
      </c>
      <c r="BN72" t="e">
        <f>AND(#REF!,"AAAAAHuuv0E=")</f>
        <v>#REF!</v>
      </c>
      <c r="BO72" t="e">
        <f>AND(#REF!,"AAAAAHuuv0I=")</f>
        <v>#REF!</v>
      </c>
      <c r="BP72" t="e">
        <f>IF(#REF!,"AAAAAHuuv0M=",0)</f>
        <v>#REF!</v>
      </c>
      <c r="BQ72" t="e">
        <f>AND(#REF!,"AAAAAHuuv0Q=")</f>
        <v>#REF!</v>
      </c>
      <c r="BR72" t="e">
        <f>AND(#REF!,"AAAAAHuuv0U=")</f>
        <v>#REF!</v>
      </c>
      <c r="BS72" t="e">
        <f>AND(#REF!,"AAAAAHuuv0Y=")</f>
        <v>#REF!</v>
      </c>
      <c r="BT72" t="e">
        <f>AND(#REF!,"AAAAAHuuv0c=")</f>
        <v>#REF!</v>
      </c>
      <c r="BU72" t="e">
        <f>AND(#REF!,"AAAAAHuuv0g=")</f>
        <v>#REF!</v>
      </c>
      <c r="BV72" t="e">
        <f>AND(#REF!,"AAAAAHuuv0k=")</f>
        <v>#REF!</v>
      </c>
      <c r="BW72" t="e">
        <f>AND(#REF!,"AAAAAHuuv0o=")</f>
        <v>#REF!</v>
      </c>
      <c r="BX72" t="e">
        <f>AND(#REF!,"AAAAAHuuv0s=")</f>
        <v>#REF!</v>
      </c>
      <c r="BY72" t="e">
        <f>AND(#REF!,"AAAAAHuuv0w=")</f>
        <v>#REF!</v>
      </c>
      <c r="BZ72" t="e">
        <f>AND(#REF!,"AAAAAHuuv00=")</f>
        <v>#REF!</v>
      </c>
      <c r="CA72" t="e">
        <f>IF(#REF!,"AAAAAHuuv04=",0)</f>
        <v>#REF!</v>
      </c>
      <c r="CB72" t="e">
        <f>AND(#REF!,"AAAAAHuuv08=")</f>
        <v>#REF!</v>
      </c>
      <c r="CC72" t="e">
        <f>AND(#REF!,"AAAAAHuuv1A=")</f>
        <v>#REF!</v>
      </c>
      <c r="CD72" t="e">
        <f>AND(#REF!,"AAAAAHuuv1E=")</f>
        <v>#REF!</v>
      </c>
      <c r="CE72" t="e">
        <f>AND(#REF!,"AAAAAHuuv1I=")</f>
        <v>#REF!</v>
      </c>
      <c r="CF72" t="e">
        <f>AND(#REF!,"AAAAAHuuv1M=")</f>
        <v>#REF!</v>
      </c>
      <c r="CG72" t="e">
        <f>AND(#REF!,"AAAAAHuuv1Q=")</f>
        <v>#REF!</v>
      </c>
      <c r="CH72" t="e">
        <f>AND(#REF!,"AAAAAHuuv1U=")</f>
        <v>#REF!</v>
      </c>
      <c r="CI72" t="e">
        <f>AND(#REF!,"AAAAAHuuv1Y=")</f>
        <v>#REF!</v>
      </c>
      <c r="CJ72" t="e">
        <f>AND(#REF!,"AAAAAHuuv1c=")</f>
        <v>#REF!</v>
      </c>
      <c r="CK72" t="e">
        <f>AND(#REF!,"AAAAAHuuv1g=")</f>
        <v>#REF!</v>
      </c>
      <c r="CL72" t="e">
        <f>IF(#REF!,"AAAAAHuuv1k=",0)</f>
        <v>#REF!</v>
      </c>
      <c r="CM72" t="e">
        <f>AND(#REF!,"AAAAAHuuv1o=")</f>
        <v>#REF!</v>
      </c>
      <c r="CN72" t="e">
        <f>AND(#REF!,"AAAAAHuuv1s=")</f>
        <v>#REF!</v>
      </c>
      <c r="CO72" t="e">
        <f>AND(#REF!,"AAAAAHuuv1w=")</f>
        <v>#REF!</v>
      </c>
      <c r="CP72" t="e">
        <f>AND(#REF!,"AAAAAHuuv10=")</f>
        <v>#REF!</v>
      </c>
      <c r="CQ72" t="e">
        <f>AND(#REF!,"AAAAAHuuv14=")</f>
        <v>#REF!</v>
      </c>
      <c r="CR72" t="e">
        <f>AND(#REF!,"AAAAAHuuv18=")</f>
        <v>#REF!</v>
      </c>
      <c r="CS72" t="e">
        <f>AND(#REF!,"AAAAAHuuv2A=")</f>
        <v>#REF!</v>
      </c>
      <c r="CT72" t="e">
        <f>AND(#REF!,"AAAAAHuuv2E=")</f>
        <v>#REF!</v>
      </c>
      <c r="CU72" t="e">
        <f>AND(#REF!,"AAAAAHuuv2I=")</f>
        <v>#REF!</v>
      </c>
      <c r="CV72" t="e">
        <f>AND(#REF!,"AAAAAHuuv2M=")</f>
        <v>#REF!</v>
      </c>
      <c r="CW72" t="e">
        <f>IF(#REF!,"AAAAAHuuv2Q=",0)</f>
        <v>#REF!</v>
      </c>
      <c r="CX72" t="e">
        <f>AND(#REF!,"AAAAAHuuv2U=")</f>
        <v>#REF!</v>
      </c>
      <c r="CY72" t="e">
        <f>AND(#REF!,"AAAAAHuuv2Y=")</f>
        <v>#REF!</v>
      </c>
      <c r="CZ72" t="e">
        <f>AND(#REF!,"AAAAAHuuv2c=")</f>
        <v>#REF!</v>
      </c>
      <c r="DA72" t="e">
        <f>AND(#REF!,"AAAAAHuuv2g=")</f>
        <v>#REF!</v>
      </c>
      <c r="DB72" t="e">
        <f>AND(#REF!,"AAAAAHuuv2k=")</f>
        <v>#REF!</v>
      </c>
      <c r="DC72" t="e">
        <f>AND(#REF!,"AAAAAHuuv2o=")</f>
        <v>#REF!</v>
      </c>
      <c r="DD72" t="e">
        <f>AND(#REF!,"AAAAAHuuv2s=")</f>
        <v>#REF!</v>
      </c>
      <c r="DE72" t="e">
        <f>AND(#REF!,"AAAAAHuuv2w=")</f>
        <v>#REF!</v>
      </c>
      <c r="DF72" t="e">
        <f>AND(#REF!,"AAAAAHuuv20=")</f>
        <v>#REF!</v>
      </c>
      <c r="DG72" t="e">
        <f>AND(#REF!,"AAAAAHuuv24=")</f>
        <v>#REF!</v>
      </c>
      <c r="DH72" t="e">
        <f>IF(#REF!,"AAAAAHuuv28=",0)</f>
        <v>#REF!</v>
      </c>
      <c r="DI72" t="e">
        <f>AND(#REF!,"AAAAAHuuv3A=")</f>
        <v>#REF!</v>
      </c>
      <c r="DJ72" t="e">
        <f>AND(#REF!,"AAAAAHuuv3E=")</f>
        <v>#REF!</v>
      </c>
      <c r="DK72" t="e">
        <f>AND(#REF!,"AAAAAHuuv3I=")</f>
        <v>#REF!</v>
      </c>
      <c r="DL72" t="e">
        <f>AND(#REF!,"AAAAAHuuv3M=")</f>
        <v>#REF!</v>
      </c>
      <c r="DM72" t="e">
        <f>AND(#REF!,"AAAAAHuuv3Q=")</f>
        <v>#REF!</v>
      </c>
      <c r="DN72" t="e">
        <f>AND(#REF!,"AAAAAHuuv3U=")</f>
        <v>#REF!</v>
      </c>
      <c r="DO72" t="e">
        <f>AND(#REF!,"AAAAAHuuv3Y=")</f>
        <v>#REF!</v>
      </c>
      <c r="DP72" t="e">
        <f>AND(#REF!,"AAAAAHuuv3c=")</f>
        <v>#REF!</v>
      </c>
      <c r="DQ72" t="e">
        <f>AND(#REF!,"AAAAAHuuv3g=")</f>
        <v>#REF!</v>
      </c>
      <c r="DR72" t="e">
        <f>AND(#REF!,"AAAAAHuuv3k=")</f>
        <v>#REF!</v>
      </c>
      <c r="DS72" t="e">
        <f>IF(#REF!,"AAAAAHuuv3o=",0)</f>
        <v>#REF!</v>
      </c>
      <c r="DT72" t="e">
        <f>AND(#REF!,"AAAAAHuuv3s=")</f>
        <v>#REF!</v>
      </c>
      <c r="DU72" t="e">
        <f>AND(#REF!,"AAAAAHuuv3w=")</f>
        <v>#REF!</v>
      </c>
      <c r="DV72" t="e">
        <f>AND(#REF!,"AAAAAHuuv30=")</f>
        <v>#REF!</v>
      </c>
      <c r="DW72" t="e">
        <f>AND(#REF!,"AAAAAHuuv34=")</f>
        <v>#REF!</v>
      </c>
      <c r="DX72" t="e">
        <f>AND(#REF!,"AAAAAHuuv38=")</f>
        <v>#REF!</v>
      </c>
      <c r="DY72" t="e">
        <f>AND(#REF!,"AAAAAHuuv4A=")</f>
        <v>#REF!</v>
      </c>
      <c r="DZ72" t="e">
        <f>AND(#REF!,"AAAAAHuuv4E=")</f>
        <v>#REF!</v>
      </c>
      <c r="EA72" t="e">
        <f>AND(#REF!,"AAAAAHuuv4I=")</f>
        <v>#REF!</v>
      </c>
      <c r="EB72" t="e">
        <f>AND(#REF!,"AAAAAHuuv4M=")</f>
        <v>#REF!</v>
      </c>
      <c r="EC72" t="e">
        <f>AND(#REF!,"AAAAAHuuv4Q=")</f>
        <v>#REF!</v>
      </c>
      <c r="ED72" t="e">
        <f>IF(#REF!,"AAAAAHuuv4U=",0)</f>
        <v>#REF!</v>
      </c>
      <c r="EE72" t="e">
        <f>AND(#REF!,"AAAAAHuuv4Y=")</f>
        <v>#REF!</v>
      </c>
      <c r="EF72" t="e">
        <f>AND(#REF!,"AAAAAHuuv4c=")</f>
        <v>#REF!</v>
      </c>
      <c r="EG72" t="e">
        <f>AND(#REF!,"AAAAAHuuv4g=")</f>
        <v>#REF!</v>
      </c>
      <c r="EH72" t="e">
        <f>AND(#REF!,"AAAAAHuuv4k=")</f>
        <v>#REF!</v>
      </c>
      <c r="EI72" t="e">
        <f>AND(#REF!,"AAAAAHuuv4o=")</f>
        <v>#REF!</v>
      </c>
      <c r="EJ72" t="e">
        <f>AND(#REF!,"AAAAAHuuv4s=")</f>
        <v>#REF!</v>
      </c>
      <c r="EK72" t="e">
        <f>AND(#REF!,"AAAAAHuuv4w=")</f>
        <v>#REF!</v>
      </c>
      <c r="EL72" t="e">
        <f>AND(#REF!,"AAAAAHuuv40=")</f>
        <v>#REF!</v>
      </c>
      <c r="EM72" t="e">
        <f>AND(#REF!,"AAAAAHuuv44=")</f>
        <v>#REF!</v>
      </c>
      <c r="EN72" t="e">
        <f>AND(#REF!,"AAAAAHuuv48=")</f>
        <v>#REF!</v>
      </c>
      <c r="EO72" t="e">
        <f>IF(#REF!,"AAAAAHuuv5A=",0)</f>
        <v>#REF!</v>
      </c>
      <c r="EP72" t="e">
        <f>AND(#REF!,"AAAAAHuuv5E=")</f>
        <v>#REF!</v>
      </c>
      <c r="EQ72" t="e">
        <f>AND(#REF!,"AAAAAHuuv5I=")</f>
        <v>#REF!</v>
      </c>
      <c r="ER72" t="e">
        <f>AND(#REF!,"AAAAAHuuv5M=")</f>
        <v>#REF!</v>
      </c>
      <c r="ES72" t="e">
        <f>AND(#REF!,"AAAAAHuuv5Q=")</f>
        <v>#REF!</v>
      </c>
      <c r="ET72" t="e">
        <f>AND(#REF!,"AAAAAHuuv5U=")</f>
        <v>#REF!</v>
      </c>
      <c r="EU72" t="e">
        <f>AND(#REF!,"AAAAAHuuv5Y=")</f>
        <v>#REF!</v>
      </c>
      <c r="EV72" t="e">
        <f>AND(#REF!,"AAAAAHuuv5c=")</f>
        <v>#REF!</v>
      </c>
      <c r="EW72" t="e">
        <f>AND(#REF!,"AAAAAHuuv5g=")</f>
        <v>#REF!</v>
      </c>
      <c r="EX72" t="e">
        <f>AND(#REF!,"AAAAAHuuv5k=")</f>
        <v>#REF!</v>
      </c>
      <c r="EY72" t="e">
        <f>AND(#REF!,"AAAAAHuuv5o=")</f>
        <v>#REF!</v>
      </c>
      <c r="EZ72" t="e">
        <f>IF(#REF!,"AAAAAHuuv5s=",0)</f>
        <v>#REF!</v>
      </c>
      <c r="FA72" t="e">
        <f>AND(#REF!,"AAAAAHuuv5w=")</f>
        <v>#REF!</v>
      </c>
      <c r="FB72" t="e">
        <f>AND(#REF!,"AAAAAHuuv50=")</f>
        <v>#REF!</v>
      </c>
      <c r="FC72" t="e">
        <f>AND(#REF!,"AAAAAHuuv54=")</f>
        <v>#REF!</v>
      </c>
      <c r="FD72" t="e">
        <f>AND(#REF!,"AAAAAHuuv58=")</f>
        <v>#REF!</v>
      </c>
      <c r="FE72" t="e">
        <f>AND(#REF!,"AAAAAHuuv6A=")</f>
        <v>#REF!</v>
      </c>
      <c r="FF72" t="e">
        <f>AND(#REF!,"AAAAAHuuv6E=")</f>
        <v>#REF!</v>
      </c>
      <c r="FG72" t="e">
        <f>AND(#REF!,"AAAAAHuuv6I=")</f>
        <v>#REF!</v>
      </c>
      <c r="FH72" t="e">
        <f>AND(#REF!,"AAAAAHuuv6M=")</f>
        <v>#REF!</v>
      </c>
      <c r="FI72" t="e">
        <f>AND(#REF!,"AAAAAHuuv6Q=")</f>
        <v>#REF!</v>
      </c>
      <c r="FJ72" t="e">
        <f>AND(#REF!,"AAAAAHuuv6U=")</f>
        <v>#REF!</v>
      </c>
      <c r="FK72" t="e">
        <f>IF(#REF!,"AAAAAHuuv6Y=",0)</f>
        <v>#REF!</v>
      </c>
      <c r="FL72" t="e">
        <f>AND(#REF!,"AAAAAHuuv6c=")</f>
        <v>#REF!</v>
      </c>
      <c r="FM72" t="e">
        <f>AND(#REF!,"AAAAAHuuv6g=")</f>
        <v>#REF!</v>
      </c>
      <c r="FN72" t="e">
        <f>AND(#REF!,"AAAAAHuuv6k=")</f>
        <v>#REF!</v>
      </c>
      <c r="FO72" t="e">
        <f>AND(#REF!,"AAAAAHuuv6o=")</f>
        <v>#REF!</v>
      </c>
      <c r="FP72" t="e">
        <f>AND(#REF!,"AAAAAHuuv6s=")</f>
        <v>#REF!</v>
      </c>
      <c r="FQ72" t="e">
        <f>AND(#REF!,"AAAAAHuuv6w=")</f>
        <v>#REF!</v>
      </c>
      <c r="FR72" t="e">
        <f>AND(#REF!,"AAAAAHuuv60=")</f>
        <v>#REF!</v>
      </c>
      <c r="FS72" t="e">
        <f>AND(#REF!,"AAAAAHuuv64=")</f>
        <v>#REF!</v>
      </c>
      <c r="FT72" t="e">
        <f>AND(#REF!,"AAAAAHuuv68=")</f>
        <v>#REF!</v>
      </c>
      <c r="FU72" t="e">
        <f>AND(#REF!,"AAAAAHuuv7A=")</f>
        <v>#REF!</v>
      </c>
      <c r="FV72" t="e">
        <f>IF(#REF!,"AAAAAHuuv7E=",0)</f>
        <v>#REF!</v>
      </c>
      <c r="FW72" t="e">
        <f>AND(#REF!,"AAAAAHuuv7I=")</f>
        <v>#REF!</v>
      </c>
      <c r="FX72" t="e">
        <f>AND(#REF!,"AAAAAHuuv7M=")</f>
        <v>#REF!</v>
      </c>
      <c r="FY72" t="e">
        <f>AND(#REF!,"AAAAAHuuv7Q=")</f>
        <v>#REF!</v>
      </c>
      <c r="FZ72" t="e">
        <f>AND(#REF!,"AAAAAHuuv7U=")</f>
        <v>#REF!</v>
      </c>
      <c r="GA72" t="e">
        <f>AND(#REF!,"AAAAAHuuv7Y=")</f>
        <v>#REF!</v>
      </c>
      <c r="GB72" t="e">
        <f>AND(#REF!,"AAAAAHuuv7c=")</f>
        <v>#REF!</v>
      </c>
      <c r="GC72" t="e">
        <f>AND(#REF!,"AAAAAHuuv7g=")</f>
        <v>#REF!</v>
      </c>
      <c r="GD72" t="e">
        <f>AND(#REF!,"AAAAAHuuv7k=")</f>
        <v>#REF!</v>
      </c>
      <c r="GE72" t="e">
        <f>AND(#REF!,"AAAAAHuuv7o=")</f>
        <v>#REF!</v>
      </c>
      <c r="GF72" t="e">
        <f>AND(#REF!,"AAAAAHuuv7s=")</f>
        <v>#REF!</v>
      </c>
      <c r="GG72" t="e">
        <f>IF(#REF!,"AAAAAHuuv7w=",0)</f>
        <v>#REF!</v>
      </c>
      <c r="GH72" t="e">
        <f>AND(#REF!,"AAAAAHuuv70=")</f>
        <v>#REF!</v>
      </c>
      <c r="GI72" t="e">
        <f>AND(#REF!,"AAAAAHuuv74=")</f>
        <v>#REF!</v>
      </c>
      <c r="GJ72" t="e">
        <f>AND(#REF!,"AAAAAHuuv78=")</f>
        <v>#REF!</v>
      </c>
      <c r="GK72" t="e">
        <f>AND(#REF!,"AAAAAHuuv8A=")</f>
        <v>#REF!</v>
      </c>
      <c r="GL72" t="e">
        <f>AND(#REF!,"AAAAAHuuv8E=")</f>
        <v>#REF!</v>
      </c>
      <c r="GM72" t="e">
        <f>AND(#REF!,"AAAAAHuuv8I=")</f>
        <v>#REF!</v>
      </c>
      <c r="GN72" t="e">
        <f>AND(#REF!,"AAAAAHuuv8M=")</f>
        <v>#REF!</v>
      </c>
      <c r="GO72" t="e">
        <f>AND(#REF!,"AAAAAHuuv8Q=")</f>
        <v>#REF!</v>
      </c>
      <c r="GP72" t="e">
        <f>AND(#REF!,"AAAAAHuuv8U=")</f>
        <v>#REF!</v>
      </c>
      <c r="GQ72" t="e">
        <f>AND(#REF!,"AAAAAHuuv8Y=")</f>
        <v>#REF!</v>
      </c>
      <c r="GR72" t="e">
        <f>IF(#REF!,"AAAAAHuuv8c=",0)</f>
        <v>#REF!</v>
      </c>
      <c r="GS72" t="e">
        <f>AND(#REF!,"AAAAAHuuv8g=")</f>
        <v>#REF!</v>
      </c>
      <c r="GT72" t="e">
        <f>AND(#REF!,"AAAAAHuuv8k=")</f>
        <v>#REF!</v>
      </c>
      <c r="GU72" t="e">
        <f>AND(#REF!,"AAAAAHuuv8o=")</f>
        <v>#REF!</v>
      </c>
      <c r="GV72" t="e">
        <f>AND(#REF!,"AAAAAHuuv8s=")</f>
        <v>#REF!</v>
      </c>
      <c r="GW72" t="e">
        <f>AND(#REF!,"AAAAAHuuv8w=")</f>
        <v>#REF!</v>
      </c>
      <c r="GX72" t="e">
        <f>AND(#REF!,"AAAAAHuuv80=")</f>
        <v>#REF!</v>
      </c>
      <c r="GY72" t="e">
        <f>AND(#REF!,"AAAAAHuuv84=")</f>
        <v>#REF!</v>
      </c>
      <c r="GZ72" t="e">
        <f>AND(#REF!,"AAAAAHuuv88=")</f>
        <v>#REF!</v>
      </c>
      <c r="HA72" t="e">
        <f>AND(#REF!,"AAAAAHuuv9A=")</f>
        <v>#REF!</v>
      </c>
      <c r="HB72" t="e">
        <f>AND(#REF!,"AAAAAHuuv9E=")</f>
        <v>#REF!</v>
      </c>
      <c r="HC72" t="e">
        <f>IF(#REF!,"AAAAAHuuv9I=",0)</f>
        <v>#REF!</v>
      </c>
      <c r="HD72" t="e">
        <f>AND(#REF!,"AAAAAHuuv9M=")</f>
        <v>#REF!</v>
      </c>
      <c r="HE72" t="e">
        <f>AND(#REF!,"AAAAAHuuv9Q=")</f>
        <v>#REF!</v>
      </c>
      <c r="HF72" t="e">
        <f>AND(#REF!,"AAAAAHuuv9U=")</f>
        <v>#REF!</v>
      </c>
      <c r="HG72" t="e">
        <f>AND(#REF!,"AAAAAHuuv9Y=")</f>
        <v>#REF!</v>
      </c>
      <c r="HH72" t="e">
        <f>AND(#REF!,"AAAAAHuuv9c=")</f>
        <v>#REF!</v>
      </c>
      <c r="HI72" t="e">
        <f>AND(#REF!,"AAAAAHuuv9g=")</f>
        <v>#REF!</v>
      </c>
      <c r="HJ72" t="e">
        <f>AND(#REF!,"AAAAAHuuv9k=")</f>
        <v>#REF!</v>
      </c>
      <c r="HK72" t="e">
        <f>AND(#REF!,"AAAAAHuuv9o=")</f>
        <v>#REF!</v>
      </c>
      <c r="HL72" t="e">
        <f>AND(#REF!,"AAAAAHuuv9s=")</f>
        <v>#REF!</v>
      </c>
      <c r="HM72" t="e">
        <f>AND(#REF!,"AAAAAHuuv9w=")</f>
        <v>#REF!</v>
      </c>
      <c r="HN72" t="e">
        <f>IF(#REF!,"AAAAAHuuv90=",0)</f>
        <v>#REF!</v>
      </c>
      <c r="HO72" t="e">
        <f>AND(#REF!,"AAAAAHuuv94=")</f>
        <v>#REF!</v>
      </c>
      <c r="HP72" t="e">
        <f>AND(#REF!,"AAAAAHuuv98=")</f>
        <v>#REF!</v>
      </c>
      <c r="HQ72" t="e">
        <f>AND(#REF!,"AAAAAHuuv+A=")</f>
        <v>#REF!</v>
      </c>
      <c r="HR72" t="e">
        <f>AND(#REF!,"AAAAAHuuv+E=")</f>
        <v>#REF!</v>
      </c>
      <c r="HS72" t="e">
        <f>AND(#REF!,"AAAAAHuuv+I=")</f>
        <v>#REF!</v>
      </c>
      <c r="HT72" t="e">
        <f>AND(#REF!,"AAAAAHuuv+M=")</f>
        <v>#REF!</v>
      </c>
      <c r="HU72" t="e">
        <f>AND(#REF!,"AAAAAHuuv+Q=")</f>
        <v>#REF!</v>
      </c>
      <c r="HV72" t="e">
        <f>AND(#REF!,"AAAAAHuuv+U=")</f>
        <v>#REF!</v>
      </c>
      <c r="HW72" t="e">
        <f>AND(#REF!,"AAAAAHuuv+Y=")</f>
        <v>#REF!</v>
      </c>
      <c r="HX72" t="e">
        <f>AND(#REF!,"AAAAAHuuv+c=")</f>
        <v>#REF!</v>
      </c>
      <c r="HY72" t="e">
        <f>IF(#REF!,"AAAAAHuuv+g=",0)</f>
        <v>#REF!</v>
      </c>
      <c r="HZ72" t="e">
        <f>AND(#REF!,"AAAAAHuuv+k=")</f>
        <v>#REF!</v>
      </c>
      <c r="IA72" t="e">
        <f>AND(#REF!,"AAAAAHuuv+o=")</f>
        <v>#REF!</v>
      </c>
      <c r="IB72" t="e">
        <f>AND(#REF!,"AAAAAHuuv+s=")</f>
        <v>#REF!</v>
      </c>
      <c r="IC72" t="e">
        <f>AND(#REF!,"AAAAAHuuv+w=")</f>
        <v>#REF!</v>
      </c>
      <c r="ID72" t="e">
        <f>AND(#REF!,"AAAAAHuuv+0=")</f>
        <v>#REF!</v>
      </c>
      <c r="IE72" t="e">
        <f>AND(#REF!,"AAAAAHuuv+4=")</f>
        <v>#REF!</v>
      </c>
      <c r="IF72" t="e">
        <f>AND(#REF!,"AAAAAHuuv+8=")</f>
        <v>#REF!</v>
      </c>
      <c r="IG72" t="e">
        <f>AND(#REF!,"AAAAAHuuv/A=")</f>
        <v>#REF!</v>
      </c>
      <c r="IH72" t="e">
        <f>AND(#REF!,"AAAAAHuuv/E=")</f>
        <v>#REF!</v>
      </c>
      <c r="II72" t="e">
        <f>AND(#REF!,"AAAAAHuuv/I=")</f>
        <v>#REF!</v>
      </c>
      <c r="IJ72" t="e">
        <f>IF(#REF!,"AAAAAHuuv/M=",0)</f>
        <v>#REF!</v>
      </c>
      <c r="IK72" t="e">
        <f>AND(#REF!,"AAAAAHuuv/Q=")</f>
        <v>#REF!</v>
      </c>
      <c r="IL72" t="e">
        <f>AND(#REF!,"AAAAAHuuv/U=")</f>
        <v>#REF!</v>
      </c>
      <c r="IM72" t="e">
        <f>AND(#REF!,"AAAAAHuuv/Y=")</f>
        <v>#REF!</v>
      </c>
      <c r="IN72" t="e">
        <f>AND(#REF!,"AAAAAHuuv/c=")</f>
        <v>#REF!</v>
      </c>
      <c r="IO72" t="e">
        <f>AND(#REF!,"AAAAAHuuv/g=")</f>
        <v>#REF!</v>
      </c>
      <c r="IP72" t="e">
        <f>AND(#REF!,"AAAAAHuuv/k=")</f>
        <v>#REF!</v>
      </c>
      <c r="IQ72" t="e">
        <f>AND(#REF!,"AAAAAHuuv/o=")</f>
        <v>#REF!</v>
      </c>
      <c r="IR72" t="e">
        <f>AND(#REF!,"AAAAAHuuv/s=")</f>
        <v>#REF!</v>
      </c>
      <c r="IS72" t="e">
        <f>AND(#REF!,"AAAAAHuuv/w=")</f>
        <v>#REF!</v>
      </c>
      <c r="IT72" t="e">
        <f>AND(#REF!,"AAAAAHuuv/0=")</f>
        <v>#REF!</v>
      </c>
      <c r="IU72" t="e">
        <f>IF(#REF!,"AAAAAHuuv/4=",0)</f>
        <v>#REF!</v>
      </c>
      <c r="IV72" t="e">
        <f>AND(#REF!,"AAAAAHuuv/8=")</f>
        <v>#REF!</v>
      </c>
    </row>
    <row r="73" spans="1:256" x14ac:dyDescent="0.25">
      <c r="A73" t="e">
        <f>AND(#REF!,"AAAAAHX92QA=")</f>
        <v>#REF!</v>
      </c>
      <c r="B73" t="e">
        <f>AND(#REF!,"AAAAAHX92QE=")</f>
        <v>#REF!</v>
      </c>
      <c r="C73" t="e">
        <f>AND(#REF!,"AAAAAHX92QI=")</f>
        <v>#REF!</v>
      </c>
      <c r="D73" t="e">
        <f>AND(#REF!,"AAAAAHX92QM=")</f>
        <v>#REF!</v>
      </c>
      <c r="E73" t="e">
        <f>AND(#REF!,"AAAAAHX92QQ=")</f>
        <v>#REF!</v>
      </c>
      <c r="F73" t="e">
        <f>AND(#REF!,"AAAAAHX92QU=")</f>
        <v>#REF!</v>
      </c>
      <c r="G73" t="e">
        <f>AND(#REF!,"AAAAAHX92QY=")</f>
        <v>#REF!</v>
      </c>
      <c r="H73" t="e">
        <f>AND(#REF!,"AAAAAHX92Qc=")</f>
        <v>#REF!</v>
      </c>
      <c r="I73" t="e">
        <f>AND(#REF!,"AAAAAHX92Qg=")</f>
        <v>#REF!</v>
      </c>
      <c r="J73" t="e">
        <f>IF(#REF!,"AAAAAHX92Qk=",0)</f>
        <v>#REF!</v>
      </c>
      <c r="K73" t="e">
        <f>AND(#REF!,"AAAAAHX92Qo=")</f>
        <v>#REF!</v>
      </c>
      <c r="L73" t="e">
        <f>AND(#REF!,"AAAAAHX92Qs=")</f>
        <v>#REF!</v>
      </c>
      <c r="M73" t="e">
        <f>AND(#REF!,"AAAAAHX92Qw=")</f>
        <v>#REF!</v>
      </c>
      <c r="N73" t="e">
        <f>AND(#REF!,"AAAAAHX92Q0=")</f>
        <v>#REF!</v>
      </c>
      <c r="O73" t="e">
        <f>AND(#REF!,"AAAAAHX92Q4=")</f>
        <v>#REF!</v>
      </c>
      <c r="P73" t="e">
        <f>AND(#REF!,"AAAAAHX92Q8=")</f>
        <v>#REF!</v>
      </c>
      <c r="Q73" t="e">
        <f>AND(#REF!,"AAAAAHX92RA=")</f>
        <v>#REF!</v>
      </c>
      <c r="R73" t="e">
        <f>AND(#REF!,"AAAAAHX92RE=")</f>
        <v>#REF!</v>
      </c>
      <c r="S73" t="e">
        <f>AND(#REF!,"AAAAAHX92RI=")</f>
        <v>#REF!</v>
      </c>
      <c r="T73" t="e">
        <f>AND(#REF!,"AAAAAHX92RM=")</f>
        <v>#REF!</v>
      </c>
      <c r="U73" t="e">
        <f>IF(#REF!,"AAAAAHX92RQ=",0)</f>
        <v>#REF!</v>
      </c>
      <c r="V73" t="e">
        <f>AND(#REF!,"AAAAAHX92RU=")</f>
        <v>#REF!</v>
      </c>
      <c r="W73" t="e">
        <f>AND(#REF!,"AAAAAHX92RY=")</f>
        <v>#REF!</v>
      </c>
      <c r="X73" t="e">
        <f>AND(#REF!,"AAAAAHX92Rc=")</f>
        <v>#REF!</v>
      </c>
      <c r="Y73" t="e">
        <f>AND(#REF!,"AAAAAHX92Rg=")</f>
        <v>#REF!</v>
      </c>
      <c r="Z73" t="e">
        <f>AND(#REF!,"AAAAAHX92Rk=")</f>
        <v>#REF!</v>
      </c>
      <c r="AA73" t="e">
        <f>AND(#REF!,"AAAAAHX92Ro=")</f>
        <v>#REF!</v>
      </c>
      <c r="AB73" t="e">
        <f>AND(#REF!,"AAAAAHX92Rs=")</f>
        <v>#REF!</v>
      </c>
      <c r="AC73" t="e">
        <f>AND(#REF!,"AAAAAHX92Rw=")</f>
        <v>#REF!</v>
      </c>
      <c r="AD73" t="e">
        <f>AND(#REF!,"AAAAAHX92R0=")</f>
        <v>#REF!</v>
      </c>
      <c r="AE73" t="e">
        <f>AND(#REF!,"AAAAAHX92R4=")</f>
        <v>#REF!</v>
      </c>
      <c r="AF73" t="e">
        <f>IF(#REF!,"AAAAAHX92R8=",0)</f>
        <v>#REF!</v>
      </c>
      <c r="AG73" t="e">
        <f>AND(#REF!,"AAAAAHX92SA=")</f>
        <v>#REF!</v>
      </c>
      <c r="AH73" t="e">
        <f>AND(#REF!,"AAAAAHX92SE=")</f>
        <v>#REF!</v>
      </c>
      <c r="AI73" t="e">
        <f>AND(#REF!,"AAAAAHX92SI=")</f>
        <v>#REF!</v>
      </c>
      <c r="AJ73" t="e">
        <f>AND(#REF!,"AAAAAHX92SM=")</f>
        <v>#REF!</v>
      </c>
      <c r="AK73" t="e">
        <f>AND(#REF!,"AAAAAHX92SQ=")</f>
        <v>#REF!</v>
      </c>
      <c r="AL73" t="e">
        <f>AND(#REF!,"AAAAAHX92SU=")</f>
        <v>#REF!</v>
      </c>
      <c r="AM73" t="e">
        <f>AND(#REF!,"AAAAAHX92SY=")</f>
        <v>#REF!</v>
      </c>
      <c r="AN73" t="e">
        <f>AND(#REF!,"AAAAAHX92Sc=")</f>
        <v>#REF!</v>
      </c>
      <c r="AO73" t="e">
        <f>AND(#REF!,"AAAAAHX92Sg=")</f>
        <v>#REF!</v>
      </c>
      <c r="AP73" t="e">
        <f>AND(#REF!,"AAAAAHX92Sk=")</f>
        <v>#REF!</v>
      </c>
      <c r="AQ73" t="e">
        <f>IF(#REF!,"AAAAAHX92So=",0)</f>
        <v>#REF!</v>
      </c>
      <c r="AR73" t="e">
        <f>AND(#REF!,"AAAAAHX92Ss=")</f>
        <v>#REF!</v>
      </c>
      <c r="AS73" t="e">
        <f>AND(#REF!,"AAAAAHX92Sw=")</f>
        <v>#REF!</v>
      </c>
      <c r="AT73" t="e">
        <f>AND(#REF!,"AAAAAHX92S0=")</f>
        <v>#REF!</v>
      </c>
      <c r="AU73" t="e">
        <f>AND(#REF!,"AAAAAHX92S4=")</f>
        <v>#REF!</v>
      </c>
      <c r="AV73" t="e">
        <f>AND(#REF!,"AAAAAHX92S8=")</f>
        <v>#REF!</v>
      </c>
      <c r="AW73" t="e">
        <f>AND(#REF!,"AAAAAHX92TA=")</f>
        <v>#REF!</v>
      </c>
      <c r="AX73" t="e">
        <f>AND(#REF!,"AAAAAHX92TE=")</f>
        <v>#REF!</v>
      </c>
      <c r="AY73" t="e">
        <f>AND(#REF!,"AAAAAHX92TI=")</f>
        <v>#REF!</v>
      </c>
      <c r="AZ73" t="e">
        <f>AND(#REF!,"AAAAAHX92TM=")</f>
        <v>#REF!</v>
      </c>
      <c r="BA73" t="e">
        <f>AND(#REF!,"AAAAAHX92TQ=")</f>
        <v>#REF!</v>
      </c>
      <c r="BB73" t="e">
        <f>IF(#REF!,"AAAAAHX92TU=",0)</f>
        <v>#REF!</v>
      </c>
      <c r="BC73" t="e">
        <f>AND(#REF!,"AAAAAHX92TY=")</f>
        <v>#REF!</v>
      </c>
      <c r="BD73" t="e">
        <f>AND(#REF!,"AAAAAHX92Tc=")</f>
        <v>#REF!</v>
      </c>
      <c r="BE73" t="e">
        <f>AND(#REF!,"AAAAAHX92Tg=")</f>
        <v>#REF!</v>
      </c>
      <c r="BF73" t="e">
        <f>AND(#REF!,"AAAAAHX92Tk=")</f>
        <v>#REF!</v>
      </c>
      <c r="BG73" t="e">
        <f>AND(#REF!,"AAAAAHX92To=")</f>
        <v>#REF!</v>
      </c>
      <c r="BH73" t="e">
        <f>AND(#REF!,"AAAAAHX92Ts=")</f>
        <v>#REF!</v>
      </c>
      <c r="BI73" t="e">
        <f>AND(#REF!,"AAAAAHX92Tw=")</f>
        <v>#REF!</v>
      </c>
      <c r="BJ73" t="e">
        <f>AND(#REF!,"AAAAAHX92T0=")</f>
        <v>#REF!</v>
      </c>
      <c r="BK73" t="e">
        <f>AND(#REF!,"AAAAAHX92T4=")</f>
        <v>#REF!</v>
      </c>
      <c r="BL73" t="e">
        <f>AND(#REF!,"AAAAAHX92T8=")</f>
        <v>#REF!</v>
      </c>
      <c r="BM73" t="e">
        <f>IF(#REF!,"AAAAAHX92UA=",0)</f>
        <v>#REF!</v>
      </c>
      <c r="BN73" t="e">
        <f>AND(#REF!,"AAAAAHX92UE=")</f>
        <v>#REF!</v>
      </c>
      <c r="BO73" t="e">
        <f>AND(#REF!,"AAAAAHX92UI=")</f>
        <v>#REF!</v>
      </c>
      <c r="BP73" t="e">
        <f>AND(#REF!,"AAAAAHX92UM=")</f>
        <v>#REF!</v>
      </c>
      <c r="BQ73" t="e">
        <f>AND(#REF!,"AAAAAHX92UQ=")</f>
        <v>#REF!</v>
      </c>
      <c r="BR73" t="e">
        <f>AND(#REF!,"AAAAAHX92UU=")</f>
        <v>#REF!</v>
      </c>
      <c r="BS73" t="e">
        <f>AND(#REF!,"AAAAAHX92UY=")</f>
        <v>#REF!</v>
      </c>
      <c r="BT73" t="e">
        <f>AND(#REF!,"AAAAAHX92Uc=")</f>
        <v>#REF!</v>
      </c>
      <c r="BU73" t="e">
        <f>AND(#REF!,"AAAAAHX92Ug=")</f>
        <v>#REF!</v>
      </c>
      <c r="BV73" t="e">
        <f>AND(#REF!,"AAAAAHX92Uk=")</f>
        <v>#REF!</v>
      </c>
      <c r="BW73" t="e">
        <f>AND(#REF!,"AAAAAHX92Uo=")</f>
        <v>#REF!</v>
      </c>
      <c r="BX73" t="e">
        <f>IF(#REF!,"AAAAAHX92Us=",0)</f>
        <v>#REF!</v>
      </c>
      <c r="BY73" t="e">
        <f>AND(#REF!,"AAAAAHX92Uw=")</f>
        <v>#REF!</v>
      </c>
      <c r="BZ73" t="e">
        <f>AND(#REF!,"AAAAAHX92U0=")</f>
        <v>#REF!</v>
      </c>
      <c r="CA73" t="e">
        <f>AND(#REF!,"AAAAAHX92U4=")</f>
        <v>#REF!</v>
      </c>
      <c r="CB73" t="e">
        <f>AND(#REF!,"AAAAAHX92U8=")</f>
        <v>#REF!</v>
      </c>
      <c r="CC73" t="e">
        <f>AND(#REF!,"AAAAAHX92VA=")</f>
        <v>#REF!</v>
      </c>
      <c r="CD73" t="e">
        <f>AND(#REF!,"AAAAAHX92VE=")</f>
        <v>#REF!</v>
      </c>
      <c r="CE73" t="e">
        <f>AND(#REF!,"AAAAAHX92VI=")</f>
        <v>#REF!</v>
      </c>
      <c r="CF73" t="e">
        <f>AND(#REF!,"AAAAAHX92VM=")</f>
        <v>#REF!</v>
      </c>
      <c r="CG73" t="e">
        <f>AND(#REF!,"AAAAAHX92VQ=")</f>
        <v>#REF!</v>
      </c>
      <c r="CH73" t="e">
        <f>AND(#REF!,"AAAAAHX92VU=")</f>
        <v>#REF!</v>
      </c>
      <c r="CI73" t="e">
        <f>IF(#REF!,"AAAAAHX92VY=",0)</f>
        <v>#REF!</v>
      </c>
      <c r="CJ73" t="e">
        <f>AND(#REF!,"AAAAAHX92Vc=")</f>
        <v>#REF!</v>
      </c>
      <c r="CK73" t="e">
        <f>AND(#REF!,"AAAAAHX92Vg=")</f>
        <v>#REF!</v>
      </c>
      <c r="CL73" t="e">
        <f>AND(#REF!,"AAAAAHX92Vk=")</f>
        <v>#REF!</v>
      </c>
      <c r="CM73" t="e">
        <f>AND(#REF!,"AAAAAHX92Vo=")</f>
        <v>#REF!</v>
      </c>
      <c r="CN73" t="e">
        <f>AND(#REF!,"AAAAAHX92Vs=")</f>
        <v>#REF!</v>
      </c>
      <c r="CO73" t="e">
        <f>AND(#REF!,"AAAAAHX92Vw=")</f>
        <v>#REF!</v>
      </c>
      <c r="CP73" t="e">
        <f>AND(#REF!,"AAAAAHX92V0=")</f>
        <v>#REF!</v>
      </c>
      <c r="CQ73" t="e">
        <f>AND(#REF!,"AAAAAHX92V4=")</f>
        <v>#REF!</v>
      </c>
      <c r="CR73" t="e">
        <f>AND(#REF!,"AAAAAHX92V8=")</f>
        <v>#REF!</v>
      </c>
      <c r="CS73" t="e">
        <f>AND(#REF!,"AAAAAHX92WA=")</f>
        <v>#REF!</v>
      </c>
      <c r="CT73" t="e">
        <f>IF(#REF!,"AAAAAHX92WE=",0)</f>
        <v>#REF!</v>
      </c>
      <c r="CU73" t="e">
        <f>AND(#REF!,"AAAAAHX92WI=")</f>
        <v>#REF!</v>
      </c>
      <c r="CV73" t="e">
        <f>AND(#REF!,"AAAAAHX92WM=")</f>
        <v>#REF!</v>
      </c>
      <c r="CW73" t="e">
        <f>AND(#REF!,"AAAAAHX92WQ=")</f>
        <v>#REF!</v>
      </c>
      <c r="CX73" t="e">
        <f>AND(#REF!,"AAAAAHX92WU=")</f>
        <v>#REF!</v>
      </c>
      <c r="CY73" t="e">
        <f>AND(#REF!,"AAAAAHX92WY=")</f>
        <v>#REF!</v>
      </c>
      <c r="CZ73" t="e">
        <f>AND(#REF!,"AAAAAHX92Wc=")</f>
        <v>#REF!</v>
      </c>
      <c r="DA73" t="e">
        <f>AND(#REF!,"AAAAAHX92Wg=")</f>
        <v>#REF!</v>
      </c>
      <c r="DB73" t="e">
        <f>AND(#REF!,"AAAAAHX92Wk=")</f>
        <v>#REF!</v>
      </c>
      <c r="DC73" t="e">
        <f>AND(#REF!,"AAAAAHX92Wo=")</f>
        <v>#REF!</v>
      </c>
      <c r="DD73" t="e">
        <f>AND(#REF!,"AAAAAHX92Ws=")</f>
        <v>#REF!</v>
      </c>
      <c r="DE73" t="e">
        <f>IF(#REF!,"AAAAAHX92Ww=",0)</f>
        <v>#REF!</v>
      </c>
      <c r="DF73" t="e">
        <f>AND(#REF!,"AAAAAHX92W0=")</f>
        <v>#REF!</v>
      </c>
      <c r="DG73" t="e">
        <f>AND(#REF!,"AAAAAHX92W4=")</f>
        <v>#REF!</v>
      </c>
      <c r="DH73" t="e">
        <f>AND(#REF!,"AAAAAHX92W8=")</f>
        <v>#REF!</v>
      </c>
      <c r="DI73" t="e">
        <f>AND(#REF!,"AAAAAHX92XA=")</f>
        <v>#REF!</v>
      </c>
      <c r="DJ73" t="e">
        <f>AND(#REF!,"AAAAAHX92XE=")</f>
        <v>#REF!</v>
      </c>
      <c r="DK73" t="e">
        <f>AND(#REF!,"AAAAAHX92XI=")</f>
        <v>#REF!</v>
      </c>
      <c r="DL73" t="e">
        <f>AND(#REF!,"AAAAAHX92XM=")</f>
        <v>#REF!</v>
      </c>
      <c r="DM73" t="e">
        <f>AND(#REF!,"AAAAAHX92XQ=")</f>
        <v>#REF!</v>
      </c>
      <c r="DN73" t="e">
        <f>AND(#REF!,"AAAAAHX92XU=")</f>
        <v>#REF!</v>
      </c>
      <c r="DO73" t="e">
        <f>AND(#REF!,"AAAAAHX92XY=")</f>
        <v>#REF!</v>
      </c>
      <c r="DP73" t="e">
        <f>IF(#REF!,"AAAAAHX92Xc=",0)</f>
        <v>#REF!</v>
      </c>
      <c r="DQ73" t="e">
        <f>AND(#REF!,"AAAAAHX92Xg=")</f>
        <v>#REF!</v>
      </c>
      <c r="DR73" t="e">
        <f>AND(#REF!,"AAAAAHX92Xk=")</f>
        <v>#REF!</v>
      </c>
      <c r="DS73" t="e">
        <f>AND(#REF!,"AAAAAHX92Xo=")</f>
        <v>#REF!</v>
      </c>
      <c r="DT73" t="e">
        <f>AND(#REF!,"AAAAAHX92Xs=")</f>
        <v>#REF!</v>
      </c>
      <c r="DU73" t="e">
        <f>AND(#REF!,"AAAAAHX92Xw=")</f>
        <v>#REF!</v>
      </c>
      <c r="DV73" t="e">
        <f>AND(#REF!,"AAAAAHX92X0=")</f>
        <v>#REF!</v>
      </c>
      <c r="DW73" t="e">
        <f>AND(#REF!,"AAAAAHX92X4=")</f>
        <v>#REF!</v>
      </c>
      <c r="DX73" t="e">
        <f>AND(#REF!,"AAAAAHX92X8=")</f>
        <v>#REF!</v>
      </c>
      <c r="DY73" t="e">
        <f>AND(#REF!,"AAAAAHX92YA=")</f>
        <v>#REF!</v>
      </c>
      <c r="DZ73" t="e">
        <f>AND(#REF!,"AAAAAHX92YE=")</f>
        <v>#REF!</v>
      </c>
      <c r="EA73" t="e">
        <f>IF(#REF!,"AAAAAHX92YI=",0)</f>
        <v>#REF!</v>
      </c>
      <c r="EB73" t="e">
        <f>AND(#REF!,"AAAAAHX92YM=")</f>
        <v>#REF!</v>
      </c>
      <c r="EC73" t="e">
        <f>AND(#REF!,"AAAAAHX92YQ=")</f>
        <v>#REF!</v>
      </c>
      <c r="ED73" t="e">
        <f>AND(#REF!,"AAAAAHX92YU=")</f>
        <v>#REF!</v>
      </c>
      <c r="EE73" t="e">
        <f>AND(#REF!,"AAAAAHX92YY=")</f>
        <v>#REF!</v>
      </c>
      <c r="EF73" t="e">
        <f>AND(#REF!,"AAAAAHX92Yc=")</f>
        <v>#REF!</v>
      </c>
      <c r="EG73" t="e">
        <f>AND(#REF!,"AAAAAHX92Yg=")</f>
        <v>#REF!</v>
      </c>
      <c r="EH73" t="e">
        <f>AND(#REF!,"AAAAAHX92Yk=")</f>
        <v>#REF!</v>
      </c>
      <c r="EI73" t="e">
        <f>AND(#REF!,"AAAAAHX92Yo=")</f>
        <v>#REF!</v>
      </c>
      <c r="EJ73" t="e">
        <f>AND(#REF!,"AAAAAHX92Ys=")</f>
        <v>#REF!</v>
      </c>
      <c r="EK73" t="e">
        <f>AND(#REF!,"AAAAAHX92Yw=")</f>
        <v>#REF!</v>
      </c>
      <c r="EL73" t="e">
        <f>IF(#REF!,"AAAAAHX92Y0=",0)</f>
        <v>#REF!</v>
      </c>
      <c r="EM73" t="e">
        <f>AND(#REF!,"AAAAAHX92Y4=")</f>
        <v>#REF!</v>
      </c>
      <c r="EN73" t="e">
        <f>AND(#REF!,"AAAAAHX92Y8=")</f>
        <v>#REF!</v>
      </c>
      <c r="EO73" t="e">
        <f>AND(#REF!,"AAAAAHX92ZA=")</f>
        <v>#REF!</v>
      </c>
      <c r="EP73" t="e">
        <f>AND(#REF!,"AAAAAHX92ZE=")</f>
        <v>#REF!</v>
      </c>
      <c r="EQ73" t="e">
        <f>AND(#REF!,"AAAAAHX92ZI=")</f>
        <v>#REF!</v>
      </c>
      <c r="ER73" t="e">
        <f>AND(#REF!,"AAAAAHX92ZM=")</f>
        <v>#REF!</v>
      </c>
      <c r="ES73" t="e">
        <f>AND(#REF!,"AAAAAHX92ZQ=")</f>
        <v>#REF!</v>
      </c>
      <c r="ET73" t="e">
        <f>AND(#REF!,"AAAAAHX92ZU=")</f>
        <v>#REF!</v>
      </c>
      <c r="EU73" t="e">
        <f>AND(#REF!,"AAAAAHX92ZY=")</f>
        <v>#REF!</v>
      </c>
      <c r="EV73" t="e">
        <f>AND(#REF!,"AAAAAHX92Zc=")</f>
        <v>#REF!</v>
      </c>
      <c r="EW73" t="e">
        <f>IF(#REF!,"AAAAAHX92Zg=",0)</f>
        <v>#REF!</v>
      </c>
      <c r="EX73" t="e">
        <f>AND(#REF!,"AAAAAHX92Zk=")</f>
        <v>#REF!</v>
      </c>
      <c r="EY73" t="e">
        <f>AND(#REF!,"AAAAAHX92Zo=")</f>
        <v>#REF!</v>
      </c>
      <c r="EZ73" t="e">
        <f>AND(#REF!,"AAAAAHX92Zs=")</f>
        <v>#REF!</v>
      </c>
      <c r="FA73" t="e">
        <f>AND(#REF!,"AAAAAHX92Zw=")</f>
        <v>#REF!</v>
      </c>
      <c r="FB73" t="e">
        <f>AND(#REF!,"AAAAAHX92Z0=")</f>
        <v>#REF!</v>
      </c>
      <c r="FC73" t="e">
        <f>AND(#REF!,"AAAAAHX92Z4=")</f>
        <v>#REF!</v>
      </c>
      <c r="FD73" t="e">
        <f>AND(#REF!,"AAAAAHX92Z8=")</f>
        <v>#REF!</v>
      </c>
      <c r="FE73" t="e">
        <f>AND(#REF!,"AAAAAHX92aA=")</f>
        <v>#REF!</v>
      </c>
      <c r="FF73" t="e">
        <f>AND(#REF!,"AAAAAHX92aE=")</f>
        <v>#REF!</v>
      </c>
      <c r="FG73" t="e">
        <f>AND(#REF!,"AAAAAHX92aI=")</f>
        <v>#REF!</v>
      </c>
      <c r="FH73" t="e">
        <f>IF(#REF!,"AAAAAHX92aM=",0)</f>
        <v>#REF!</v>
      </c>
      <c r="FI73" t="e">
        <f>AND(#REF!,"AAAAAHX92aQ=")</f>
        <v>#REF!</v>
      </c>
      <c r="FJ73" t="e">
        <f>AND(#REF!,"AAAAAHX92aU=")</f>
        <v>#REF!</v>
      </c>
      <c r="FK73" t="e">
        <f>AND(#REF!,"AAAAAHX92aY=")</f>
        <v>#REF!</v>
      </c>
      <c r="FL73" t="e">
        <f>AND(#REF!,"AAAAAHX92ac=")</f>
        <v>#REF!</v>
      </c>
      <c r="FM73" t="e">
        <f>AND(#REF!,"AAAAAHX92ag=")</f>
        <v>#REF!</v>
      </c>
      <c r="FN73" t="e">
        <f>AND(#REF!,"AAAAAHX92ak=")</f>
        <v>#REF!</v>
      </c>
      <c r="FO73" t="e">
        <f>AND(#REF!,"AAAAAHX92ao=")</f>
        <v>#REF!</v>
      </c>
      <c r="FP73" t="e">
        <f>AND(#REF!,"AAAAAHX92as=")</f>
        <v>#REF!</v>
      </c>
      <c r="FQ73" t="e">
        <f>AND(#REF!,"AAAAAHX92aw=")</f>
        <v>#REF!</v>
      </c>
      <c r="FR73" t="e">
        <f>AND(#REF!,"AAAAAHX92a0=")</f>
        <v>#REF!</v>
      </c>
      <c r="FS73" t="e">
        <f>IF(#REF!,"AAAAAHX92a4=",0)</f>
        <v>#REF!</v>
      </c>
      <c r="FT73" t="e">
        <f>AND(#REF!,"AAAAAHX92a8=")</f>
        <v>#REF!</v>
      </c>
      <c r="FU73" t="e">
        <f>AND(#REF!,"AAAAAHX92bA=")</f>
        <v>#REF!</v>
      </c>
      <c r="FV73" t="e">
        <f>AND(#REF!,"AAAAAHX92bE=")</f>
        <v>#REF!</v>
      </c>
      <c r="FW73" t="e">
        <f>AND(#REF!,"AAAAAHX92bI=")</f>
        <v>#REF!</v>
      </c>
      <c r="FX73" t="e">
        <f>AND(#REF!,"AAAAAHX92bM=")</f>
        <v>#REF!</v>
      </c>
      <c r="FY73" t="e">
        <f>AND(#REF!,"AAAAAHX92bQ=")</f>
        <v>#REF!</v>
      </c>
      <c r="FZ73" t="e">
        <f>AND(#REF!,"AAAAAHX92bU=")</f>
        <v>#REF!</v>
      </c>
      <c r="GA73" t="e">
        <f>AND(#REF!,"AAAAAHX92bY=")</f>
        <v>#REF!</v>
      </c>
      <c r="GB73" t="e">
        <f>AND(#REF!,"AAAAAHX92bc=")</f>
        <v>#REF!</v>
      </c>
      <c r="GC73" t="e">
        <f>AND(#REF!,"AAAAAHX92bg=")</f>
        <v>#REF!</v>
      </c>
      <c r="GD73" t="e">
        <f>IF(#REF!,"AAAAAHX92bk=",0)</f>
        <v>#REF!</v>
      </c>
      <c r="GE73" t="e">
        <f>AND(#REF!,"AAAAAHX92bo=")</f>
        <v>#REF!</v>
      </c>
      <c r="GF73" t="e">
        <f>AND(#REF!,"AAAAAHX92bs=")</f>
        <v>#REF!</v>
      </c>
      <c r="GG73" t="e">
        <f>AND(#REF!,"AAAAAHX92bw=")</f>
        <v>#REF!</v>
      </c>
      <c r="GH73" t="e">
        <f>AND(#REF!,"AAAAAHX92b0=")</f>
        <v>#REF!</v>
      </c>
      <c r="GI73" t="e">
        <f>AND(#REF!,"AAAAAHX92b4=")</f>
        <v>#REF!</v>
      </c>
      <c r="GJ73" t="e">
        <f>AND(#REF!,"AAAAAHX92b8=")</f>
        <v>#REF!</v>
      </c>
      <c r="GK73" t="e">
        <f>AND(#REF!,"AAAAAHX92cA=")</f>
        <v>#REF!</v>
      </c>
      <c r="GL73" t="e">
        <f>AND(#REF!,"AAAAAHX92cE=")</f>
        <v>#REF!</v>
      </c>
      <c r="GM73" t="e">
        <f>AND(#REF!,"AAAAAHX92cI=")</f>
        <v>#REF!</v>
      </c>
      <c r="GN73" t="e">
        <f>AND(#REF!,"AAAAAHX92cM=")</f>
        <v>#REF!</v>
      </c>
      <c r="GO73" t="e">
        <f>IF(#REF!,"AAAAAHX92cQ=",0)</f>
        <v>#REF!</v>
      </c>
      <c r="GP73" t="e">
        <f>AND(#REF!,"AAAAAHX92cU=")</f>
        <v>#REF!</v>
      </c>
      <c r="GQ73" t="e">
        <f>AND(#REF!,"AAAAAHX92cY=")</f>
        <v>#REF!</v>
      </c>
      <c r="GR73" t="e">
        <f>AND(#REF!,"AAAAAHX92cc=")</f>
        <v>#REF!</v>
      </c>
      <c r="GS73" t="e">
        <f>AND(#REF!,"AAAAAHX92cg=")</f>
        <v>#REF!</v>
      </c>
      <c r="GT73" t="e">
        <f>AND(#REF!,"AAAAAHX92ck=")</f>
        <v>#REF!</v>
      </c>
      <c r="GU73" t="e">
        <f>AND(#REF!,"AAAAAHX92co=")</f>
        <v>#REF!</v>
      </c>
      <c r="GV73" t="e">
        <f>AND(#REF!,"AAAAAHX92cs=")</f>
        <v>#REF!</v>
      </c>
      <c r="GW73" t="e">
        <f>AND(#REF!,"AAAAAHX92cw=")</f>
        <v>#REF!</v>
      </c>
      <c r="GX73" t="e">
        <f>AND(#REF!,"AAAAAHX92c0=")</f>
        <v>#REF!</v>
      </c>
      <c r="GY73" t="e">
        <f>AND(#REF!,"AAAAAHX92c4=")</f>
        <v>#REF!</v>
      </c>
      <c r="GZ73" t="e">
        <f>IF(#REF!,"AAAAAHX92c8=",0)</f>
        <v>#REF!</v>
      </c>
      <c r="HA73" t="e">
        <f>AND(#REF!,"AAAAAHX92dA=")</f>
        <v>#REF!</v>
      </c>
      <c r="HB73" t="e">
        <f>AND(#REF!,"AAAAAHX92dE=")</f>
        <v>#REF!</v>
      </c>
      <c r="HC73" t="e">
        <f>AND(#REF!,"AAAAAHX92dI=")</f>
        <v>#REF!</v>
      </c>
      <c r="HD73" t="e">
        <f>AND(#REF!,"AAAAAHX92dM=")</f>
        <v>#REF!</v>
      </c>
      <c r="HE73" t="e">
        <f>AND(#REF!,"AAAAAHX92dQ=")</f>
        <v>#REF!</v>
      </c>
      <c r="HF73" t="e">
        <f>AND(#REF!,"AAAAAHX92dU=")</f>
        <v>#REF!</v>
      </c>
      <c r="HG73" t="e">
        <f>AND(#REF!,"AAAAAHX92dY=")</f>
        <v>#REF!</v>
      </c>
      <c r="HH73" t="e">
        <f>AND(#REF!,"AAAAAHX92dc=")</f>
        <v>#REF!</v>
      </c>
      <c r="HI73" t="e">
        <f>AND(#REF!,"AAAAAHX92dg=")</f>
        <v>#REF!</v>
      </c>
      <c r="HJ73" t="e">
        <f>AND(#REF!,"AAAAAHX92dk=")</f>
        <v>#REF!</v>
      </c>
      <c r="HK73" t="e">
        <f>IF(#REF!,"AAAAAHX92do=",0)</f>
        <v>#REF!</v>
      </c>
      <c r="HL73" t="e">
        <f>AND(#REF!,"AAAAAHX92ds=")</f>
        <v>#REF!</v>
      </c>
      <c r="HM73" t="e">
        <f>AND(#REF!,"AAAAAHX92dw=")</f>
        <v>#REF!</v>
      </c>
      <c r="HN73" t="e">
        <f>AND(#REF!,"AAAAAHX92d0=")</f>
        <v>#REF!</v>
      </c>
      <c r="HO73" t="e">
        <f>AND(#REF!,"AAAAAHX92d4=")</f>
        <v>#REF!</v>
      </c>
      <c r="HP73" t="e">
        <f>AND(#REF!,"AAAAAHX92d8=")</f>
        <v>#REF!</v>
      </c>
      <c r="HQ73" t="e">
        <f>AND(#REF!,"AAAAAHX92eA=")</f>
        <v>#REF!</v>
      </c>
      <c r="HR73" t="e">
        <f>AND(#REF!,"AAAAAHX92eE=")</f>
        <v>#REF!</v>
      </c>
      <c r="HS73" t="e">
        <f>AND(#REF!,"AAAAAHX92eI=")</f>
        <v>#REF!</v>
      </c>
      <c r="HT73" t="e">
        <f>AND(#REF!,"AAAAAHX92eM=")</f>
        <v>#REF!</v>
      </c>
      <c r="HU73" t="e">
        <f>AND(#REF!,"AAAAAHX92eQ=")</f>
        <v>#REF!</v>
      </c>
      <c r="HV73" t="e">
        <f>IF(#REF!,"AAAAAHX92eU=",0)</f>
        <v>#REF!</v>
      </c>
      <c r="HW73" t="e">
        <f>AND(#REF!,"AAAAAHX92eY=")</f>
        <v>#REF!</v>
      </c>
      <c r="HX73" t="e">
        <f>AND(#REF!,"AAAAAHX92ec=")</f>
        <v>#REF!</v>
      </c>
      <c r="HY73" t="e">
        <f>AND(#REF!,"AAAAAHX92eg=")</f>
        <v>#REF!</v>
      </c>
      <c r="HZ73" t="e">
        <f>AND(#REF!,"AAAAAHX92ek=")</f>
        <v>#REF!</v>
      </c>
      <c r="IA73" t="e">
        <f>AND(#REF!,"AAAAAHX92eo=")</f>
        <v>#REF!</v>
      </c>
      <c r="IB73" t="e">
        <f>AND(#REF!,"AAAAAHX92es=")</f>
        <v>#REF!</v>
      </c>
      <c r="IC73" t="e">
        <f>AND(#REF!,"AAAAAHX92ew=")</f>
        <v>#REF!</v>
      </c>
      <c r="ID73" t="e">
        <f>AND(#REF!,"AAAAAHX92e0=")</f>
        <v>#REF!</v>
      </c>
      <c r="IE73" t="e">
        <f>AND(#REF!,"AAAAAHX92e4=")</f>
        <v>#REF!</v>
      </c>
      <c r="IF73" t="e">
        <f>AND(#REF!,"AAAAAHX92e8=")</f>
        <v>#REF!</v>
      </c>
      <c r="IG73" t="e">
        <f>IF(#REF!,"AAAAAHX92fA=",0)</f>
        <v>#REF!</v>
      </c>
      <c r="IH73" t="e">
        <f>AND(#REF!,"AAAAAHX92fE=")</f>
        <v>#REF!</v>
      </c>
      <c r="II73" t="e">
        <f>AND(#REF!,"AAAAAHX92fI=")</f>
        <v>#REF!</v>
      </c>
      <c r="IJ73" t="e">
        <f>AND(#REF!,"AAAAAHX92fM=")</f>
        <v>#REF!</v>
      </c>
      <c r="IK73" t="e">
        <f>AND(#REF!,"AAAAAHX92fQ=")</f>
        <v>#REF!</v>
      </c>
      <c r="IL73" t="e">
        <f>AND(#REF!,"AAAAAHX92fU=")</f>
        <v>#REF!</v>
      </c>
      <c r="IM73" t="e">
        <f>AND(#REF!,"AAAAAHX92fY=")</f>
        <v>#REF!</v>
      </c>
      <c r="IN73" t="e">
        <f>AND(#REF!,"AAAAAHX92fc=")</f>
        <v>#REF!</v>
      </c>
      <c r="IO73" t="e">
        <f>AND(#REF!,"AAAAAHX92fg=")</f>
        <v>#REF!</v>
      </c>
      <c r="IP73" t="e">
        <f>AND(#REF!,"AAAAAHX92fk=")</f>
        <v>#REF!</v>
      </c>
      <c r="IQ73" t="e">
        <f>AND(#REF!,"AAAAAHX92fo=")</f>
        <v>#REF!</v>
      </c>
      <c r="IR73" t="e">
        <f>IF(#REF!,"AAAAAHX92fs=",0)</f>
        <v>#REF!</v>
      </c>
      <c r="IS73" t="e">
        <f>AND(#REF!,"AAAAAHX92fw=")</f>
        <v>#REF!</v>
      </c>
      <c r="IT73" t="e">
        <f>AND(#REF!,"AAAAAHX92f0=")</f>
        <v>#REF!</v>
      </c>
      <c r="IU73" t="e">
        <f>AND(#REF!,"AAAAAHX92f4=")</f>
        <v>#REF!</v>
      </c>
      <c r="IV73" t="e">
        <f>AND(#REF!,"AAAAAHX92f8=")</f>
        <v>#REF!</v>
      </c>
    </row>
    <row r="74" spans="1:256" x14ac:dyDescent="0.25">
      <c r="A74" t="e">
        <f>AND(#REF!,"AAAAAH9/ygA=")</f>
        <v>#REF!</v>
      </c>
      <c r="B74" t="e">
        <f>AND(#REF!,"AAAAAH9/ygE=")</f>
        <v>#REF!</v>
      </c>
      <c r="C74" t="e">
        <f>AND(#REF!,"AAAAAH9/ygI=")</f>
        <v>#REF!</v>
      </c>
      <c r="D74" t="e">
        <f>AND(#REF!,"AAAAAH9/ygM=")</f>
        <v>#REF!</v>
      </c>
      <c r="E74" t="e">
        <f>AND(#REF!,"AAAAAH9/ygQ=")</f>
        <v>#REF!</v>
      </c>
      <c r="F74" t="e">
        <f>AND(#REF!,"AAAAAH9/ygU=")</f>
        <v>#REF!</v>
      </c>
      <c r="G74" t="e">
        <f>IF(#REF!,"AAAAAH9/ygY=",0)</f>
        <v>#REF!</v>
      </c>
      <c r="H74" t="e">
        <f>AND(#REF!,"AAAAAH9/ygc=")</f>
        <v>#REF!</v>
      </c>
      <c r="I74" t="e">
        <f>AND(#REF!,"AAAAAH9/ygg=")</f>
        <v>#REF!</v>
      </c>
      <c r="J74" t="e">
        <f>AND(#REF!,"AAAAAH9/ygk=")</f>
        <v>#REF!</v>
      </c>
      <c r="K74" t="e">
        <f>AND(#REF!,"AAAAAH9/ygo=")</f>
        <v>#REF!</v>
      </c>
      <c r="L74" t="e">
        <f>AND(#REF!,"AAAAAH9/ygs=")</f>
        <v>#REF!</v>
      </c>
      <c r="M74" t="e">
        <f>AND(#REF!,"AAAAAH9/ygw=")</f>
        <v>#REF!</v>
      </c>
      <c r="N74" t="e">
        <f>AND(#REF!,"AAAAAH9/yg0=")</f>
        <v>#REF!</v>
      </c>
      <c r="O74" t="e">
        <f>AND(#REF!,"AAAAAH9/yg4=")</f>
        <v>#REF!</v>
      </c>
      <c r="P74" t="e">
        <f>AND(#REF!,"AAAAAH9/yg8=")</f>
        <v>#REF!</v>
      </c>
      <c r="Q74" t="e">
        <f>AND(#REF!,"AAAAAH9/yhA=")</f>
        <v>#REF!</v>
      </c>
      <c r="R74" t="e">
        <f>IF(#REF!,"AAAAAH9/yhE=",0)</f>
        <v>#REF!</v>
      </c>
      <c r="S74" t="e">
        <f>AND(#REF!,"AAAAAH9/yhI=")</f>
        <v>#REF!</v>
      </c>
      <c r="T74" t="e">
        <f>AND(#REF!,"AAAAAH9/yhM=")</f>
        <v>#REF!</v>
      </c>
      <c r="U74" t="e">
        <f>AND(#REF!,"AAAAAH9/yhQ=")</f>
        <v>#REF!</v>
      </c>
      <c r="V74" t="e">
        <f>AND(#REF!,"AAAAAH9/yhU=")</f>
        <v>#REF!</v>
      </c>
      <c r="W74" t="e">
        <f>AND(#REF!,"AAAAAH9/yhY=")</f>
        <v>#REF!</v>
      </c>
      <c r="X74" t="e">
        <f>AND(#REF!,"AAAAAH9/yhc=")</f>
        <v>#REF!</v>
      </c>
      <c r="Y74" t="e">
        <f>AND(#REF!,"AAAAAH9/yhg=")</f>
        <v>#REF!</v>
      </c>
      <c r="Z74" t="e">
        <f>AND(#REF!,"AAAAAH9/yhk=")</f>
        <v>#REF!</v>
      </c>
      <c r="AA74" t="e">
        <f>AND(#REF!,"AAAAAH9/yho=")</f>
        <v>#REF!</v>
      </c>
      <c r="AB74" t="e">
        <f>AND(#REF!,"AAAAAH9/yhs=")</f>
        <v>#REF!</v>
      </c>
      <c r="AC74" t="e">
        <f>IF(#REF!,"AAAAAH9/yhw=",0)</f>
        <v>#REF!</v>
      </c>
      <c r="AD74" t="e">
        <f>AND(#REF!,"AAAAAH9/yh0=")</f>
        <v>#REF!</v>
      </c>
      <c r="AE74" t="e">
        <f>AND(#REF!,"AAAAAH9/yh4=")</f>
        <v>#REF!</v>
      </c>
      <c r="AF74" t="e">
        <f>AND(#REF!,"AAAAAH9/yh8=")</f>
        <v>#REF!</v>
      </c>
      <c r="AG74" t="e">
        <f>AND(#REF!,"AAAAAH9/yiA=")</f>
        <v>#REF!</v>
      </c>
      <c r="AH74" t="e">
        <f>AND(#REF!,"AAAAAH9/yiE=")</f>
        <v>#REF!</v>
      </c>
      <c r="AI74" t="e">
        <f>AND(#REF!,"AAAAAH9/yiI=")</f>
        <v>#REF!</v>
      </c>
      <c r="AJ74" t="e">
        <f>AND(#REF!,"AAAAAH9/yiM=")</f>
        <v>#REF!</v>
      </c>
      <c r="AK74" t="e">
        <f>AND(#REF!,"AAAAAH9/yiQ=")</f>
        <v>#REF!</v>
      </c>
      <c r="AL74" t="e">
        <f>AND(#REF!,"AAAAAH9/yiU=")</f>
        <v>#REF!</v>
      </c>
      <c r="AM74" t="e">
        <f>AND(#REF!,"AAAAAH9/yiY=")</f>
        <v>#REF!</v>
      </c>
      <c r="AN74" t="e">
        <f>IF(#REF!,"AAAAAH9/yic=",0)</f>
        <v>#REF!</v>
      </c>
      <c r="AO74" t="e">
        <f>AND(#REF!,"AAAAAH9/yig=")</f>
        <v>#REF!</v>
      </c>
      <c r="AP74" t="e">
        <f>AND(#REF!,"AAAAAH9/yik=")</f>
        <v>#REF!</v>
      </c>
      <c r="AQ74" t="e">
        <f>AND(#REF!,"AAAAAH9/yio=")</f>
        <v>#REF!</v>
      </c>
      <c r="AR74" t="e">
        <f>AND(#REF!,"AAAAAH9/yis=")</f>
        <v>#REF!</v>
      </c>
      <c r="AS74" t="e">
        <f>AND(#REF!,"AAAAAH9/yiw=")</f>
        <v>#REF!</v>
      </c>
      <c r="AT74" t="e">
        <f>AND(#REF!,"AAAAAH9/yi0=")</f>
        <v>#REF!</v>
      </c>
      <c r="AU74" t="e">
        <f>AND(#REF!,"AAAAAH9/yi4=")</f>
        <v>#REF!</v>
      </c>
      <c r="AV74" t="e">
        <f>AND(#REF!,"AAAAAH9/yi8=")</f>
        <v>#REF!</v>
      </c>
      <c r="AW74" t="e">
        <f>AND(#REF!,"AAAAAH9/yjA=")</f>
        <v>#REF!</v>
      </c>
      <c r="AX74" t="e">
        <f>AND(#REF!,"AAAAAH9/yjE=")</f>
        <v>#REF!</v>
      </c>
      <c r="AY74" t="e">
        <f>IF(#REF!,"AAAAAH9/yjI=",0)</f>
        <v>#REF!</v>
      </c>
      <c r="AZ74" t="e">
        <f>AND(#REF!,"AAAAAH9/yjM=")</f>
        <v>#REF!</v>
      </c>
      <c r="BA74" t="e">
        <f>AND(#REF!,"AAAAAH9/yjQ=")</f>
        <v>#REF!</v>
      </c>
      <c r="BB74" t="e">
        <f>AND(#REF!,"AAAAAH9/yjU=")</f>
        <v>#REF!</v>
      </c>
      <c r="BC74" t="e">
        <f>AND(#REF!,"AAAAAH9/yjY=")</f>
        <v>#REF!</v>
      </c>
      <c r="BD74" t="e">
        <f>AND(#REF!,"AAAAAH9/yjc=")</f>
        <v>#REF!</v>
      </c>
      <c r="BE74" t="e">
        <f>AND(#REF!,"AAAAAH9/yjg=")</f>
        <v>#REF!</v>
      </c>
      <c r="BF74" t="e">
        <f>AND(#REF!,"AAAAAH9/yjk=")</f>
        <v>#REF!</v>
      </c>
      <c r="BG74" t="e">
        <f>AND(#REF!,"AAAAAH9/yjo=")</f>
        <v>#REF!</v>
      </c>
      <c r="BH74" t="e">
        <f>AND(#REF!,"AAAAAH9/yjs=")</f>
        <v>#REF!</v>
      </c>
      <c r="BI74" t="e">
        <f>AND(#REF!,"AAAAAH9/yjw=")</f>
        <v>#REF!</v>
      </c>
      <c r="BJ74" t="e">
        <f>IF(#REF!,"AAAAAH9/yj0=",0)</f>
        <v>#REF!</v>
      </c>
      <c r="BK74" t="e">
        <f>AND(#REF!,"AAAAAH9/yj4=")</f>
        <v>#REF!</v>
      </c>
      <c r="BL74" t="e">
        <f>AND(#REF!,"AAAAAH9/yj8=")</f>
        <v>#REF!</v>
      </c>
      <c r="BM74" t="e">
        <f>AND(#REF!,"AAAAAH9/ykA=")</f>
        <v>#REF!</v>
      </c>
      <c r="BN74" t="e">
        <f>AND(#REF!,"AAAAAH9/ykE=")</f>
        <v>#REF!</v>
      </c>
      <c r="BO74" t="e">
        <f>AND(#REF!,"AAAAAH9/ykI=")</f>
        <v>#REF!</v>
      </c>
      <c r="BP74" t="e">
        <f>AND(#REF!,"AAAAAH9/ykM=")</f>
        <v>#REF!</v>
      </c>
      <c r="BQ74" t="e">
        <f>AND(#REF!,"AAAAAH9/ykQ=")</f>
        <v>#REF!</v>
      </c>
      <c r="BR74" t="e">
        <f>AND(#REF!,"AAAAAH9/ykU=")</f>
        <v>#REF!</v>
      </c>
      <c r="BS74" t="e">
        <f>AND(#REF!,"AAAAAH9/ykY=")</f>
        <v>#REF!</v>
      </c>
      <c r="BT74" t="e">
        <f>AND(#REF!,"AAAAAH9/ykc=")</f>
        <v>#REF!</v>
      </c>
      <c r="BU74" t="e">
        <f>IF(#REF!,"AAAAAH9/ykg=",0)</f>
        <v>#REF!</v>
      </c>
      <c r="BV74" t="e">
        <f>AND(#REF!,"AAAAAH9/ykk=")</f>
        <v>#REF!</v>
      </c>
      <c r="BW74" t="e">
        <f>AND(#REF!,"AAAAAH9/yko=")</f>
        <v>#REF!</v>
      </c>
      <c r="BX74" t="e">
        <f>AND(#REF!,"AAAAAH9/yks=")</f>
        <v>#REF!</v>
      </c>
      <c r="BY74" t="e">
        <f>AND(#REF!,"AAAAAH9/ykw=")</f>
        <v>#REF!</v>
      </c>
      <c r="BZ74" t="e">
        <f>AND(#REF!,"AAAAAH9/yk0=")</f>
        <v>#REF!</v>
      </c>
      <c r="CA74" t="e">
        <f>AND(#REF!,"AAAAAH9/yk4=")</f>
        <v>#REF!</v>
      </c>
      <c r="CB74" t="e">
        <f>AND(#REF!,"AAAAAH9/yk8=")</f>
        <v>#REF!</v>
      </c>
      <c r="CC74" t="e">
        <f>AND(#REF!,"AAAAAH9/ylA=")</f>
        <v>#REF!</v>
      </c>
      <c r="CD74" t="e">
        <f>AND(#REF!,"AAAAAH9/ylE=")</f>
        <v>#REF!</v>
      </c>
      <c r="CE74" t="e">
        <f>AND(#REF!,"AAAAAH9/ylI=")</f>
        <v>#REF!</v>
      </c>
      <c r="CF74" t="e">
        <f>IF(#REF!,"AAAAAH9/ylM=",0)</f>
        <v>#REF!</v>
      </c>
      <c r="CG74" t="e">
        <f>AND(#REF!,"AAAAAH9/ylQ=")</f>
        <v>#REF!</v>
      </c>
      <c r="CH74" t="e">
        <f>AND(#REF!,"AAAAAH9/ylU=")</f>
        <v>#REF!</v>
      </c>
      <c r="CI74" t="e">
        <f>AND(#REF!,"AAAAAH9/ylY=")</f>
        <v>#REF!</v>
      </c>
      <c r="CJ74" t="e">
        <f>AND(#REF!,"AAAAAH9/ylc=")</f>
        <v>#REF!</v>
      </c>
      <c r="CK74" t="e">
        <f>AND(#REF!,"AAAAAH9/ylg=")</f>
        <v>#REF!</v>
      </c>
      <c r="CL74" t="e">
        <f>AND(#REF!,"AAAAAH9/ylk=")</f>
        <v>#REF!</v>
      </c>
      <c r="CM74" t="e">
        <f>AND(#REF!,"AAAAAH9/ylo=")</f>
        <v>#REF!</v>
      </c>
      <c r="CN74" t="e">
        <f>AND(#REF!,"AAAAAH9/yls=")</f>
        <v>#REF!</v>
      </c>
      <c r="CO74" t="e">
        <f>AND(#REF!,"AAAAAH9/ylw=")</f>
        <v>#REF!</v>
      </c>
      <c r="CP74" t="e">
        <f>AND(#REF!,"AAAAAH9/yl0=")</f>
        <v>#REF!</v>
      </c>
      <c r="CQ74" t="e">
        <f>IF(#REF!,"AAAAAH9/yl4=",0)</f>
        <v>#REF!</v>
      </c>
      <c r="CR74" t="e">
        <f>AND(#REF!,"AAAAAH9/yl8=")</f>
        <v>#REF!</v>
      </c>
      <c r="CS74" t="e">
        <f>AND(#REF!,"AAAAAH9/ymA=")</f>
        <v>#REF!</v>
      </c>
      <c r="CT74" t="e">
        <f>AND(#REF!,"AAAAAH9/ymE=")</f>
        <v>#REF!</v>
      </c>
      <c r="CU74" t="e">
        <f>AND(#REF!,"AAAAAH9/ymI=")</f>
        <v>#REF!</v>
      </c>
      <c r="CV74" t="e">
        <f>AND(#REF!,"AAAAAH9/ymM=")</f>
        <v>#REF!</v>
      </c>
      <c r="CW74" t="e">
        <f>AND(#REF!,"AAAAAH9/ymQ=")</f>
        <v>#REF!</v>
      </c>
      <c r="CX74" t="e">
        <f>AND(#REF!,"AAAAAH9/ymU=")</f>
        <v>#REF!</v>
      </c>
      <c r="CY74" t="e">
        <f>AND(#REF!,"AAAAAH9/ymY=")</f>
        <v>#REF!</v>
      </c>
      <c r="CZ74" t="e">
        <f>AND(#REF!,"AAAAAH9/ymc=")</f>
        <v>#REF!</v>
      </c>
      <c r="DA74" t="e">
        <f>AND(#REF!,"AAAAAH9/ymg=")</f>
        <v>#REF!</v>
      </c>
      <c r="DB74" t="e">
        <f>IF(#REF!,"AAAAAH9/ymk=",0)</f>
        <v>#REF!</v>
      </c>
      <c r="DC74" t="e">
        <f>AND(#REF!,"AAAAAH9/ymo=")</f>
        <v>#REF!</v>
      </c>
      <c r="DD74" t="e">
        <f>AND(#REF!,"AAAAAH9/yms=")</f>
        <v>#REF!</v>
      </c>
      <c r="DE74" t="e">
        <f>AND(#REF!,"AAAAAH9/ymw=")</f>
        <v>#REF!</v>
      </c>
      <c r="DF74" t="e">
        <f>AND(#REF!,"AAAAAH9/ym0=")</f>
        <v>#REF!</v>
      </c>
      <c r="DG74" t="e">
        <f>AND(#REF!,"AAAAAH9/ym4=")</f>
        <v>#REF!</v>
      </c>
      <c r="DH74" t="e">
        <f>AND(#REF!,"AAAAAH9/ym8=")</f>
        <v>#REF!</v>
      </c>
      <c r="DI74" t="e">
        <f>AND(#REF!,"AAAAAH9/ynA=")</f>
        <v>#REF!</v>
      </c>
      <c r="DJ74" t="e">
        <f>AND(#REF!,"AAAAAH9/ynE=")</f>
        <v>#REF!</v>
      </c>
      <c r="DK74" t="e">
        <f>AND(#REF!,"AAAAAH9/ynI=")</f>
        <v>#REF!</v>
      </c>
      <c r="DL74" t="e">
        <f>AND(#REF!,"AAAAAH9/ynM=")</f>
        <v>#REF!</v>
      </c>
      <c r="DM74" t="e">
        <f>IF(#REF!,"AAAAAH9/ynQ=",0)</f>
        <v>#REF!</v>
      </c>
      <c r="DN74" t="e">
        <f>AND(#REF!,"AAAAAH9/ynU=")</f>
        <v>#REF!</v>
      </c>
      <c r="DO74" t="e">
        <f>AND(#REF!,"AAAAAH9/ynY=")</f>
        <v>#REF!</v>
      </c>
      <c r="DP74" t="e">
        <f>AND(#REF!,"AAAAAH9/ync=")</f>
        <v>#REF!</v>
      </c>
      <c r="DQ74" t="e">
        <f>AND(#REF!,"AAAAAH9/yng=")</f>
        <v>#REF!</v>
      </c>
      <c r="DR74" t="e">
        <f>AND(#REF!,"AAAAAH9/ynk=")</f>
        <v>#REF!</v>
      </c>
      <c r="DS74" t="e">
        <f>AND(#REF!,"AAAAAH9/yno=")</f>
        <v>#REF!</v>
      </c>
      <c r="DT74" t="e">
        <f>AND(#REF!,"AAAAAH9/yns=")</f>
        <v>#REF!</v>
      </c>
      <c r="DU74" t="e">
        <f>AND(#REF!,"AAAAAH9/ynw=")</f>
        <v>#REF!</v>
      </c>
      <c r="DV74" t="e">
        <f>AND(#REF!,"AAAAAH9/yn0=")</f>
        <v>#REF!</v>
      </c>
      <c r="DW74" t="e">
        <f>AND(#REF!,"AAAAAH9/yn4=")</f>
        <v>#REF!</v>
      </c>
      <c r="DX74" t="e">
        <f>IF(#REF!,"AAAAAH9/yn8=",0)</f>
        <v>#REF!</v>
      </c>
      <c r="DY74" t="e">
        <f>AND(#REF!,"AAAAAH9/yoA=")</f>
        <v>#REF!</v>
      </c>
      <c r="DZ74" t="e">
        <f>AND(#REF!,"AAAAAH9/yoE=")</f>
        <v>#REF!</v>
      </c>
      <c r="EA74" t="e">
        <f>AND(#REF!,"AAAAAH9/yoI=")</f>
        <v>#REF!</v>
      </c>
      <c r="EB74" t="e">
        <f>AND(#REF!,"AAAAAH9/yoM=")</f>
        <v>#REF!</v>
      </c>
      <c r="EC74" t="e">
        <f>AND(#REF!,"AAAAAH9/yoQ=")</f>
        <v>#REF!</v>
      </c>
      <c r="ED74" t="e">
        <f>AND(#REF!,"AAAAAH9/yoU=")</f>
        <v>#REF!</v>
      </c>
      <c r="EE74" t="e">
        <f>AND(#REF!,"AAAAAH9/yoY=")</f>
        <v>#REF!</v>
      </c>
      <c r="EF74" t="e">
        <f>AND(#REF!,"AAAAAH9/yoc=")</f>
        <v>#REF!</v>
      </c>
      <c r="EG74" t="e">
        <f>AND(#REF!,"AAAAAH9/yog=")</f>
        <v>#REF!</v>
      </c>
      <c r="EH74" t="e">
        <f>AND(#REF!,"AAAAAH9/yok=")</f>
        <v>#REF!</v>
      </c>
      <c r="EI74" t="e">
        <f>IF(#REF!,"AAAAAH9/yoo=",0)</f>
        <v>#REF!</v>
      </c>
      <c r="EJ74" t="e">
        <f>AND(#REF!,"AAAAAH9/yos=")</f>
        <v>#REF!</v>
      </c>
      <c r="EK74" t="e">
        <f>AND(#REF!,"AAAAAH9/yow=")</f>
        <v>#REF!</v>
      </c>
      <c r="EL74" t="e">
        <f>AND(#REF!,"AAAAAH9/yo0=")</f>
        <v>#REF!</v>
      </c>
      <c r="EM74" t="e">
        <f>AND(#REF!,"AAAAAH9/yo4=")</f>
        <v>#REF!</v>
      </c>
      <c r="EN74" t="e">
        <f>AND(#REF!,"AAAAAH9/yo8=")</f>
        <v>#REF!</v>
      </c>
      <c r="EO74" t="e">
        <f>AND(#REF!,"AAAAAH9/ypA=")</f>
        <v>#REF!</v>
      </c>
      <c r="EP74" t="e">
        <f>AND(#REF!,"AAAAAH9/ypE=")</f>
        <v>#REF!</v>
      </c>
      <c r="EQ74" t="e">
        <f>AND(#REF!,"AAAAAH9/ypI=")</f>
        <v>#REF!</v>
      </c>
      <c r="ER74" t="e">
        <f>AND(#REF!,"AAAAAH9/ypM=")</f>
        <v>#REF!</v>
      </c>
      <c r="ES74" t="e">
        <f>AND(#REF!,"AAAAAH9/ypQ=")</f>
        <v>#REF!</v>
      </c>
      <c r="ET74" t="e">
        <f>IF(#REF!,"AAAAAH9/ypU=",0)</f>
        <v>#REF!</v>
      </c>
      <c r="EU74" t="e">
        <f>AND(#REF!,"AAAAAH9/ypY=")</f>
        <v>#REF!</v>
      </c>
      <c r="EV74" t="e">
        <f>AND(#REF!,"AAAAAH9/ypc=")</f>
        <v>#REF!</v>
      </c>
      <c r="EW74" t="e">
        <f>AND(#REF!,"AAAAAH9/ypg=")</f>
        <v>#REF!</v>
      </c>
      <c r="EX74" t="e">
        <f>AND(#REF!,"AAAAAH9/ypk=")</f>
        <v>#REF!</v>
      </c>
      <c r="EY74" t="e">
        <f>AND(#REF!,"AAAAAH9/ypo=")</f>
        <v>#REF!</v>
      </c>
      <c r="EZ74" t="e">
        <f>AND(#REF!,"AAAAAH9/yps=")</f>
        <v>#REF!</v>
      </c>
      <c r="FA74" t="e">
        <f>AND(#REF!,"AAAAAH9/ypw=")</f>
        <v>#REF!</v>
      </c>
      <c r="FB74" t="e">
        <f>AND(#REF!,"AAAAAH9/yp0=")</f>
        <v>#REF!</v>
      </c>
      <c r="FC74" t="e">
        <f>AND(#REF!,"AAAAAH9/yp4=")</f>
        <v>#REF!</v>
      </c>
      <c r="FD74" t="e">
        <f>AND(#REF!,"AAAAAH9/yp8=")</f>
        <v>#REF!</v>
      </c>
      <c r="FE74" t="e">
        <f>IF(#REF!,"AAAAAH9/yqA=",0)</f>
        <v>#REF!</v>
      </c>
      <c r="FF74" t="e">
        <f>AND(#REF!,"AAAAAH9/yqE=")</f>
        <v>#REF!</v>
      </c>
      <c r="FG74" t="e">
        <f>AND(#REF!,"AAAAAH9/yqI=")</f>
        <v>#REF!</v>
      </c>
      <c r="FH74" t="e">
        <f>AND(#REF!,"AAAAAH9/yqM=")</f>
        <v>#REF!</v>
      </c>
      <c r="FI74" t="e">
        <f>AND(#REF!,"AAAAAH9/yqQ=")</f>
        <v>#REF!</v>
      </c>
      <c r="FJ74" t="e">
        <f>AND(#REF!,"AAAAAH9/yqU=")</f>
        <v>#REF!</v>
      </c>
      <c r="FK74" t="e">
        <f>AND(#REF!,"AAAAAH9/yqY=")</f>
        <v>#REF!</v>
      </c>
      <c r="FL74" t="e">
        <f>AND(#REF!,"AAAAAH9/yqc=")</f>
        <v>#REF!</v>
      </c>
      <c r="FM74" t="e">
        <f>AND(#REF!,"AAAAAH9/yqg=")</f>
        <v>#REF!</v>
      </c>
      <c r="FN74" t="e">
        <f>AND(#REF!,"AAAAAH9/yqk=")</f>
        <v>#REF!</v>
      </c>
      <c r="FO74" t="e">
        <f>AND(#REF!,"AAAAAH9/yqo=")</f>
        <v>#REF!</v>
      </c>
      <c r="FP74" t="e">
        <f>IF(#REF!,"AAAAAH9/yqs=",0)</f>
        <v>#REF!</v>
      </c>
      <c r="FQ74" t="e">
        <f>AND(#REF!,"AAAAAH9/yqw=")</f>
        <v>#REF!</v>
      </c>
      <c r="FR74" t="e">
        <f>AND(#REF!,"AAAAAH9/yq0=")</f>
        <v>#REF!</v>
      </c>
      <c r="FS74" t="e">
        <f>AND(#REF!,"AAAAAH9/yq4=")</f>
        <v>#REF!</v>
      </c>
      <c r="FT74" t="e">
        <f>AND(#REF!,"AAAAAH9/yq8=")</f>
        <v>#REF!</v>
      </c>
      <c r="FU74" t="e">
        <f>AND(#REF!,"AAAAAH9/yrA=")</f>
        <v>#REF!</v>
      </c>
      <c r="FV74" t="e">
        <f>AND(#REF!,"AAAAAH9/yrE=")</f>
        <v>#REF!</v>
      </c>
      <c r="FW74" t="e">
        <f>AND(#REF!,"AAAAAH9/yrI=")</f>
        <v>#REF!</v>
      </c>
      <c r="FX74" t="e">
        <f>AND(#REF!,"AAAAAH9/yrM=")</f>
        <v>#REF!</v>
      </c>
      <c r="FY74" t="e">
        <f>AND(#REF!,"AAAAAH9/yrQ=")</f>
        <v>#REF!</v>
      </c>
      <c r="FZ74" t="e">
        <f>AND(#REF!,"AAAAAH9/yrU=")</f>
        <v>#REF!</v>
      </c>
      <c r="GA74" t="e">
        <f>IF(#REF!,"AAAAAH9/yrY=",0)</f>
        <v>#REF!</v>
      </c>
      <c r="GB74" t="e">
        <f>AND(#REF!,"AAAAAH9/yrc=")</f>
        <v>#REF!</v>
      </c>
      <c r="GC74" t="e">
        <f>AND(#REF!,"AAAAAH9/yrg=")</f>
        <v>#REF!</v>
      </c>
      <c r="GD74" t="e">
        <f>AND(#REF!,"AAAAAH9/yrk=")</f>
        <v>#REF!</v>
      </c>
      <c r="GE74" t="e">
        <f>AND(#REF!,"AAAAAH9/yro=")</f>
        <v>#REF!</v>
      </c>
      <c r="GF74" t="e">
        <f>AND(#REF!,"AAAAAH9/yrs=")</f>
        <v>#REF!</v>
      </c>
      <c r="GG74" t="e">
        <f>AND(#REF!,"AAAAAH9/yrw=")</f>
        <v>#REF!</v>
      </c>
      <c r="GH74" t="e">
        <f>AND(#REF!,"AAAAAH9/yr0=")</f>
        <v>#REF!</v>
      </c>
      <c r="GI74" t="e">
        <f>AND(#REF!,"AAAAAH9/yr4=")</f>
        <v>#REF!</v>
      </c>
      <c r="GJ74" t="e">
        <f>AND(#REF!,"AAAAAH9/yr8=")</f>
        <v>#REF!</v>
      </c>
      <c r="GK74" t="e">
        <f>AND(#REF!,"AAAAAH9/ysA=")</f>
        <v>#REF!</v>
      </c>
      <c r="GL74" t="e">
        <f>IF(#REF!,"AAAAAH9/ysE=",0)</f>
        <v>#REF!</v>
      </c>
      <c r="GM74" t="e">
        <f>AND(#REF!,"AAAAAH9/ysI=")</f>
        <v>#REF!</v>
      </c>
      <c r="GN74" t="e">
        <f>AND(#REF!,"AAAAAH9/ysM=")</f>
        <v>#REF!</v>
      </c>
      <c r="GO74" t="e">
        <f>AND(#REF!,"AAAAAH9/ysQ=")</f>
        <v>#REF!</v>
      </c>
      <c r="GP74" t="e">
        <f>AND(#REF!,"AAAAAH9/ysU=")</f>
        <v>#REF!</v>
      </c>
      <c r="GQ74" t="e">
        <f>AND(#REF!,"AAAAAH9/ysY=")</f>
        <v>#REF!</v>
      </c>
      <c r="GR74" t="e">
        <f>AND(#REF!,"AAAAAH9/ysc=")</f>
        <v>#REF!</v>
      </c>
      <c r="GS74" t="e">
        <f>AND(#REF!,"AAAAAH9/ysg=")</f>
        <v>#REF!</v>
      </c>
      <c r="GT74" t="e">
        <f>AND(#REF!,"AAAAAH9/ysk=")</f>
        <v>#REF!</v>
      </c>
      <c r="GU74" t="e">
        <f>AND(#REF!,"AAAAAH9/yso=")</f>
        <v>#REF!</v>
      </c>
      <c r="GV74" t="e">
        <f>AND(#REF!,"AAAAAH9/yss=")</f>
        <v>#REF!</v>
      </c>
      <c r="GW74" t="e">
        <f>IF(#REF!,"AAAAAH9/ysw=",0)</f>
        <v>#REF!</v>
      </c>
      <c r="GX74" t="e">
        <f>AND(#REF!,"AAAAAH9/ys0=")</f>
        <v>#REF!</v>
      </c>
      <c r="GY74" t="e">
        <f>AND(#REF!,"AAAAAH9/ys4=")</f>
        <v>#REF!</v>
      </c>
      <c r="GZ74" t="e">
        <f>AND(#REF!,"AAAAAH9/ys8=")</f>
        <v>#REF!</v>
      </c>
      <c r="HA74" t="e">
        <f>AND(#REF!,"AAAAAH9/ytA=")</f>
        <v>#REF!</v>
      </c>
      <c r="HB74" t="e">
        <f>AND(#REF!,"AAAAAH9/ytE=")</f>
        <v>#REF!</v>
      </c>
      <c r="HC74" t="e">
        <f>AND(#REF!,"AAAAAH9/ytI=")</f>
        <v>#REF!</v>
      </c>
      <c r="HD74" t="e">
        <f>AND(#REF!,"AAAAAH9/ytM=")</f>
        <v>#REF!</v>
      </c>
      <c r="HE74" t="e">
        <f>AND(#REF!,"AAAAAH9/ytQ=")</f>
        <v>#REF!</v>
      </c>
      <c r="HF74" t="e">
        <f>AND(#REF!,"AAAAAH9/ytU=")</f>
        <v>#REF!</v>
      </c>
      <c r="HG74" t="e">
        <f>AND(#REF!,"AAAAAH9/ytY=")</f>
        <v>#REF!</v>
      </c>
      <c r="HH74" t="e">
        <f>IF(#REF!,"AAAAAH9/ytc=",0)</f>
        <v>#REF!</v>
      </c>
      <c r="HI74" t="e">
        <f>AND(#REF!,"AAAAAH9/ytg=")</f>
        <v>#REF!</v>
      </c>
      <c r="HJ74" t="e">
        <f>AND(#REF!,"AAAAAH9/ytk=")</f>
        <v>#REF!</v>
      </c>
      <c r="HK74" t="e">
        <f>AND(#REF!,"AAAAAH9/yto=")</f>
        <v>#REF!</v>
      </c>
      <c r="HL74" t="e">
        <f>AND(#REF!,"AAAAAH9/yts=")</f>
        <v>#REF!</v>
      </c>
      <c r="HM74" t="e">
        <f>AND(#REF!,"AAAAAH9/ytw=")</f>
        <v>#REF!</v>
      </c>
      <c r="HN74" t="e">
        <f>AND(#REF!,"AAAAAH9/yt0=")</f>
        <v>#REF!</v>
      </c>
      <c r="HO74" t="e">
        <f>AND(#REF!,"AAAAAH9/yt4=")</f>
        <v>#REF!</v>
      </c>
      <c r="HP74" t="e">
        <f>AND(#REF!,"AAAAAH9/yt8=")</f>
        <v>#REF!</v>
      </c>
      <c r="HQ74" t="e">
        <f>AND(#REF!,"AAAAAH9/yuA=")</f>
        <v>#REF!</v>
      </c>
      <c r="HR74" t="e">
        <f>AND(#REF!,"AAAAAH9/yuE=")</f>
        <v>#REF!</v>
      </c>
      <c r="HS74" t="e">
        <f>IF(#REF!,"AAAAAH9/yuI=",0)</f>
        <v>#REF!</v>
      </c>
      <c r="HT74" t="e">
        <f>AND(#REF!,"AAAAAH9/yuM=")</f>
        <v>#REF!</v>
      </c>
      <c r="HU74" t="e">
        <f>AND(#REF!,"AAAAAH9/yuQ=")</f>
        <v>#REF!</v>
      </c>
      <c r="HV74" t="e">
        <f>AND(#REF!,"AAAAAH9/yuU=")</f>
        <v>#REF!</v>
      </c>
      <c r="HW74" t="e">
        <f>AND(#REF!,"AAAAAH9/yuY=")</f>
        <v>#REF!</v>
      </c>
      <c r="HX74" t="e">
        <f>AND(#REF!,"AAAAAH9/yuc=")</f>
        <v>#REF!</v>
      </c>
      <c r="HY74" t="e">
        <f>AND(#REF!,"AAAAAH9/yug=")</f>
        <v>#REF!</v>
      </c>
      <c r="HZ74" t="e">
        <f>AND(#REF!,"AAAAAH9/yuk=")</f>
        <v>#REF!</v>
      </c>
      <c r="IA74" t="e">
        <f>AND(#REF!,"AAAAAH9/yuo=")</f>
        <v>#REF!</v>
      </c>
      <c r="IB74" t="e">
        <f>AND(#REF!,"AAAAAH9/yus=")</f>
        <v>#REF!</v>
      </c>
      <c r="IC74" t="e">
        <f>AND(#REF!,"AAAAAH9/yuw=")</f>
        <v>#REF!</v>
      </c>
      <c r="ID74" t="e">
        <f>IF(#REF!,"AAAAAH9/yu0=",0)</f>
        <v>#REF!</v>
      </c>
      <c r="IE74" t="e">
        <f>AND(#REF!,"AAAAAH9/yu4=")</f>
        <v>#REF!</v>
      </c>
      <c r="IF74" t="e">
        <f>AND(#REF!,"AAAAAH9/yu8=")</f>
        <v>#REF!</v>
      </c>
      <c r="IG74" t="e">
        <f>AND(#REF!,"AAAAAH9/yvA=")</f>
        <v>#REF!</v>
      </c>
      <c r="IH74" t="e">
        <f>AND(#REF!,"AAAAAH9/yvE=")</f>
        <v>#REF!</v>
      </c>
      <c r="II74" t="e">
        <f>AND(#REF!,"AAAAAH9/yvI=")</f>
        <v>#REF!</v>
      </c>
      <c r="IJ74" t="e">
        <f>AND(#REF!,"AAAAAH9/yvM=")</f>
        <v>#REF!</v>
      </c>
      <c r="IK74" t="e">
        <f>AND(#REF!,"AAAAAH9/yvQ=")</f>
        <v>#REF!</v>
      </c>
      <c r="IL74" t="e">
        <f>AND(#REF!,"AAAAAH9/yvU=")</f>
        <v>#REF!</v>
      </c>
      <c r="IM74" t="e">
        <f>AND(#REF!,"AAAAAH9/yvY=")</f>
        <v>#REF!</v>
      </c>
      <c r="IN74" t="e">
        <f>AND(#REF!,"AAAAAH9/yvc=")</f>
        <v>#REF!</v>
      </c>
      <c r="IO74" t="e">
        <f>IF(#REF!,"AAAAAH9/yvg=",0)</f>
        <v>#REF!</v>
      </c>
      <c r="IP74" t="e">
        <f>AND(#REF!,"AAAAAH9/yvk=")</f>
        <v>#REF!</v>
      </c>
      <c r="IQ74" t="e">
        <f>AND(#REF!,"AAAAAH9/yvo=")</f>
        <v>#REF!</v>
      </c>
      <c r="IR74" t="e">
        <f>AND(#REF!,"AAAAAH9/yvs=")</f>
        <v>#REF!</v>
      </c>
      <c r="IS74" t="e">
        <f>AND(#REF!,"AAAAAH9/yvw=")</f>
        <v>#REF!</v>
      </c>
      <c r="IT74" t="e">
        <f>AND(#REF!,"AAAAAH9/yv0=")</f>
        <v>#REF!</v>
      </c>
      <c r="IU74" t="e">
        <f>AND(#REF!,"AAAAAH9/yv4=")</f>
        <v>#REF!</v>
      </c>
      <c r="IV74" t="e">
        <f>AND(#REF!,"AAAAAH9/yv8=")</f>
        <v>#REF!</v>
      </c>
    </row>
    <row r="75" spans="1:256" x14ac:dyDescent="0.25">
      <c r="A75" t="e">
        <f>AND(#REF!,"AAAAAF9+rAA=")</f>
        <v>#REF!</v>
      </c>
      <c r="B75" t="e">
        <f>AND(#REF!,"AAAAAF9+rAE=")</f>
        <v>#REF!</v>
      </c>
      <c r="C75" t="e">
        <f>AND(#REF!,"AAAAAF9+rAI=")</f>
        <v>#REF!</v>
      </c>
      <c r="D75" t="e">
        <f>IF(#REF!,"AAAAAF9+rAM=",0)</f>
        <v>#REF!</v>
      </c>
      <c r="E75" t="e">
        <f>AND(#REF!,"AAAAAF9+rAQ=")</f>
        <v>#REF!</v>
      </c>
      <c r="F75" t="e">
        <f>AND(#REF!,"AAAAAF9+rAU=")</f>
        <v>#REF!</v>
      </c>
      <c r="G75" t="e">
        <f>AND(#REF!,"AAAAAF9+rAY=")</f>
        <v>#REF!</v>
      </c>
      <c r="H75" t="e">
        <f>AND(#REF!,"AAAAAF9+rAc=")</f>
        <v>#REF!</v>
      </c>
      <c r="I75" t="e">
        <f>AND(#REF!,"AAAAAF9+rAg=")</f>
        <v>#REF!</v>
      </c>
      <c r="J75" t="e">
        <f>AND(#REF!,"AAAAAF9+rAk=")</f>
        <v>#REF!</v>
      </c>
      <c r="K75" t="e">
        <f>AND(#REF!,"AAAAAF9+rAo=")</f>
        <v>#REF!</v>
      </c>
      <c r="L75" t="e">
        <f>AND(#REF!,"AAAAAF9+rAs=")</f>
        <v>#REF!</v>
      </c>
      <c r="M75" t="e">
        <f>AND(#REF!,"AAAAAF9+rAw=")</f>
        <v>#REF!</v>
      </c>
      <c r="N75" t="e">
        <f>AND(#REF!,"AAAAAF9+rA0=")</f>
        <v>#REF!</v>
      </c>
      <c r="O75" t="e">
        <f>IF(#REF!,"AAAAAF9+rA4=",0)</f>
        <v>#REF!</v>
      </c>
      <c r="P75" t="e">
        <f>AND(#REF!,"AAAAAF9+rA8=")</f>
        <v>#REF!</v>
      </c>
      <c r="Q75" t="e">
        <f>AND(#REF!,"AAAAAF9+rBA=")</f>
        <v>#REF!</v>
      </c>
      <c r="R75" t="e">
        <f>AND(#REF!,"AAAAAF9+rBE=")</f>
        <v>#REF!</v>
      </c>
      <c r="S75" t="e">
        <f>AND(#REF!,"AAAAAF9+rBI=")</f>
        <v>#REF!</v>
      </c>
      <c r="T75" t="e">
        <f>AND(#REF!,"AAAAAF9+rBM=")</f>
        <v>#REF!</v>
      </c>
      <c r="U75" t="e">
        <f>AND(#REF!,"AAAAAF9+rBQ=")</f>
        <v>#REF!</v>
      </c>
      <c r="V75" t="e">
        <f>AND(#REF!,"AAAAAF9+rBU=")</f>
        <v>#REF!</v>
      </c>
      <c r="W75" t="e">
        <f>AND(#REF!,"AAAAAF9+rBY=")</f>
        <v>#REF!</v>
      </c>
      <c r="X75" t="e">
        <f>AND(#REF!,"AAAAAF9+rBc=")</f>
        <v>#REF!</v>
      </c>
      <c r="Y75" t="e">
        <f>AND(#REF!,"AAAAAF9+rBg=")</f>
        <v>#REF!</v>
      </c>
      <c r="Z75" t="e">
        <f>IF(#REF!,"AAAAAF9+rBk=",0)</f>
        <v>#REF!</v>
      </c>
      <c r="AA75" t="e">
        <f>AND(#REF!,"AAAAAF9+rBo=")</f>
        <v>#REF!</v>
      </c>
      <c r="AB75" t="e">
        <f>AND(#REF!,"AAAAAF9+rBs=")</f>
        <v>#REF!</v>
      </c>
      <c r="AC75" t="e">
        <f>AND(#REF!,"AAAAAF9+rBw=")</f>
        <v>#REF!</v>
      </c>
      <c r="AD75" t="e">
        <f>AND(#REF!,"AAAAAF9+rB0=")</f>
        <v>#REF!</v>
      </c>
      <c r="AE75" t="e">
        <f>AND(#REF!,"AAAAAF9+rB4=")</f>
        <v>#REF!</v>
      </c>
      <c r="AF75" t="e">
        <f>AND(#REF!,"AAAAAF9+rB8=")</f>
        <v>#REF!</v>
      </c>
      <c r="AG75" t="e">
        <f>AND(#REF!,"AAAAAF9+rCA=")</f>
        <v>#REF!</v>
      </c>
      <c r="AH75" t="e">
        <f>AND(#REF!,"AAAAAF9+rCE=")</f>
        <v>#REF!</v>
      </c>
      <c r="AI75" t="e">
        <f>AND(#REF!,"AAAAAF9+rCI=")</f>
        <v>#REF!</v>
      </c>
      <c r="AJ75" t="e">
        <f>AND(#REF!,"AAAAAF9+rCM=")</f>
        <v>#REF!</v>
      </c>
      <c r="AK75" t="e">
        <f>IF(#REF!,"AAAAAF9+rCQ=",0)</f>
        <v>#REF!</v>
      </c>
      <c r="AL75" t="e">
        <f>AND(#REF!,"AAAAAF9+rCU=")</f>
        <v>#REF!</v>
      </c>
      <c r="AM75" t="e">
        <f>AND(#REF!,"AAAAAF9+rCY=")</f>
        <v>#REF!</v>
      </c>
      <c r="AN75" t="e">
        <f>AND(#REF!,"AAAAAF9+rCc=")</f>
        <v>#REF!</v>
      </c>
      <c r="AO75" t="e">
        <f>AND(#REF!,"AAAAAF9+rCg=")</f>
        <v>#REF!</v>
      </c>
      <c r="AP75" t="e">
        <f>AND(#REF!,"AAAAAF9+rCk=")</f>
        <v>#REF!</v>
      </c>
      <c r="AQ75" t="e">
        <f>AND(#REF!,"AAAAAF9+rCo=")</f>
        <v>#REF!</v>
      </c>
      <c r="AR75" t="e">
        <f>AND(#REF!,"AAAAAF9+rCs=")</f>
        <v>#REF!</v>
      </c>
      <c r="AS75" t="e">
        <f>AND(#REF!,"AAAAAF9+rCw=")</f>
        <v>#REF!</v>
      </c>
      <c r="AT75" t="e">
        <f>AND(#REF!,"AAAAAF9+rC0=")</f>
        <v>#REF!</v>
      </c>
      <c r="AU75" t="e">
        <f>AND(#REF!,"AAAAAF9+rC4=")</f>
        <v>#REF!</v>
      </c>
      <c r="AV75" t="e">
        <f>IF(#REF!,"AAAAAF9+rC8=",0)</f>
        <v>#REF!</v>
      </c>
      <c r="AW75" t="e">
        <f>AND(#REF!,"AAAAAF9+rDA=")</f>
        <v>#REF!</v>
      </c>
      <c r="AX75" t="e">
        <f>AND(#REF!,"AAAAAF9+rDE=")</f>
        <v>#REF!</v>
      </c>
      <c r="AY75" t="e">
        <f>AND(#REF!,"AAAAAF9+rDI=")</f>
        <v>#REF!</v>
      </c>
      <c r="AZ75" t="e">
        <f>AND(#REF!,"AAAAAF9+rDM=")</f>
        <v>#REF!</v>
      </c>
      <c r="BA75" t="e">
        <f>AND(#REF!,"AAAAAF9+rDQ=")</f>
        <v>#REF!</v>
      </c>
      <c r="BB75" t="e">
        <f>AND(#REF!,"AAAAAF9+rDU=")</f>
        <v>#REF!</v>
      </c>
      <c r="BC75" t="e">
        <f>AND(#REF!,"AAAAAF9+rDY=")</f>
        <v>#REF!</v>
      </c>
      <c r="BD75" t="e">
        <f>AND(#REF!,"AAAAAF9+rDc=")</f>
        <v>#REF!</v>
      </c>
      <c r="BE75" t="e">
        <f>AND(#REF!,"AAAAAF9+rDg=")</f>
        <v>#REF!</v>
      </c>
      <c r="BF75" t="e">
        <f>AND(#REF!,"AAAAAF9+rDk=")</f>
        <v>#REF!</v>
      </c>
      <c r="BG75" t="e">
        <f>IF(#REF!,"AAAAAF9+rDo=",0)</f>
        <v>#REF!</v>
      </c>
      <c r="BH75" t="e">
        <f>AND(#REF!,"AAAAAF9+rDs=")</f>
        <v>#REF!</v>
      </c>
      <c r="BI75" t="e">
        <f>AND(#REF!,"AAAAAF9+rDw=")</f>
        <v>#REF!</v>
      </c>
      <c r="BJ75" t="e">
        <f>AND(#REF!,"AAAAAF9+rD0=")</f>
        <v>#REF!</v>
      </c>
      <c r="BK75" t="e">
        <f>AND(#REF!,"AAAAAF9+rD4=")</f>
        <v>#REF!</v>
      </c>
      <c r="BL75" t="e">
        <f>AND(#REF!,"AAAAAF9+rD8=")</f>
        <v>#REF!</v>
      </c>
      <c r="BM75" t="e">
        <f>AND(#REF!,"AAAAAF9+rEA=")</f>
        <v>#REF!</v>
      </c>
      <c r="BN75" t="e">
        <f>AND(#REF!,"AAAAAF9+rEE=")</f>
        <v>#REF!</v>
      </c>
      <c r="BO75" t="e">
        <f>AND(#REF!,"AAAAAF9+rEI=")</f>
        <v>#REF!</v>
      </c>
      <c r="BP75" t="e">
        <f>AND(#REF!,"AAAAAF9+rEM=")</f>
        <v>#REF!</v>
      </c>
      <c r="BQ75" t="e">
        <f>AND(#REF!,"AAAAAF9+rEQ=")</f>
        <v>#REF!</v>
      </c>
      <c r="BR75" t="e">
        <f>IF(#REF!,"AAAAAF9+rEU=",0)</f>
        <v>#REF!</v>
      </c>
      <c r="BS75" t="e">
        <f>AND(#REF!,"AAAAAF9+rEY=")</f>
        <v>#REF!</v>
      </c>
      <c r="BT75" t="e">
        <f>AND(#REF!,"AAAAAF9+rEc=")</f>
        <v>#REF!</v>
      </c>
      <c r="BU75" t="e">
        <f>AND(#REF!,"AAAAAF9+rEg=")</f>
        <v>#REF!</v>
      </c>
      <c r="BV75" t="e">
        <f>AND(#REF!,"AAAAAF9+rEk=")</f>
        <v>#REF!</v>
      </c>
      <c r="BW75" t="e">
        <f>AND(#REF!,"AAAAAF9+rEo=")</f>
        <v>#REF!</v>
      </c>
      <c r="BX75" t="e">
        <f>AND(#REF!,"AAAAAF9+rEs=")</f>
        <v>#REF!</v>
      </c>
      <c r="BY75" t="e">
        <f>AND(#REF!,"AAAAAF9+rEw=")</f>
        <v>#REF!</v>
      </c>
      <c r="BZ75" t="e">
        <f>AND(#REF!,"AAAAAF9+rE0=")</f>
        <v>#REF!</v>
      </c>
      <c r="CA75" t="e">
        <f>AND(#REF!,"AAAAAF9+rE4=")</f>
        <v>#REF!</v>
      </c>
      <c r="CB75" t="e">
        <f>AND(#REF!,"AAAAAF9+rE8=")</f>
        <v>#REF!</v>
      </c>
      <c r="CC75" t="e">
        <f>IF(#REF!,"AAAAAF9+rFA=",0)</f>
        <v>#REF!</v>
      </c>
      <c r="CD75" t="e">
        <f>AND(#REF!,"AAAAAF9+rFE=")</f>
        <v>#REF!</v>
      </c>
      <c r="CE75" t="e">
        <f>AND(#REF!,"AAAAAF9+rFI=")</f>
        <v>#REF!</v>
      </c>
      <c r="CF75" t="e">
        <f>AND(#REF!,"AAAAAF9+rFM=")</f>
        <v>#REF!</v>
      </c>
      <c r="CG75" t="e">
        <f>AND(#REF!,"AAAAAF9+rFQ=")</f>
        <v>#REF!</v>
      </c>
      <c r="CH75" t="e">
        <f>AND(#REF!,"AAAAAF9+rFU=")</f>
        <v>#REF!</v>
      </c>
      <c r="CI75" t="e">
        <f>AND(#REF!,"AAAAAF9+rFY=")</f>
        <v>#REF!</v>
      </c>
      <c r="CJ75" t="e">
        <f>AND(#REF!,"AAAAAF9+rFc=")</f>
        <v>#REF!</v>
      </c>
      <c r="CK75" t="e">
        <f>AND(#REF!,"AAAAAF9+rFg=")</f>
        <v>#REF!</v>
      </c>
      <c r="CL75" t="e">
        <f>AND(#REF!,"AAAAAF9+rFk=")</f>
        <v>#REF!</v>
      </c>
      <c r="CM75" t="e">
        <f>AND(#REF!,"AAAAAF9+rFo=")</f>
        <v>#REF!</v>
      </c>
      <c r="CN75" t="e">
        <f>IF(#REF!,"AAAAAF9+rFs=",0)</f>
        <v>#REF!</v>
      </c>
      <c r="CO75" t="e">
        <f>AND(#REF!,"AAAAAF9+rFw=")</f>
        <v>#REF!</v>
      </c>
      <c r="CP75" t="e">
        <f>AND(#REF!,"AAAAAF9+rF0=")</f>
        <v>#REF!</v>
      </c>
      <c r="CQ75" t="e">
        <f>AND(#REF!,"AAAAAF9+rF4=")</f>
        <v>#REF!</v>
      </c>
      <c r="CR75" t="e">
        <f>AND(#REF!,"AAAAAF9+rF8=")</f>
        <v>#REF!</v>
      </c>
      <c r="CS75" t="e">
        <f>AND(#REF!,"AAAAAF9+rGA=")</f>
        <v>#REF!</v>
      </c>
      <c r="CT75" t="e">
        <f>AND(#REF!,"AAAAAF9+rGE=")</f>
        <v>#REF!</v>
      </c>
      <c r="CU75" t="e">
        <f>AND(#REF!,"AAAAAF9+rGI=")</f>
        <v>#REF!</v>
      </c>
      <c r="CV75" t="e">
        <f>AND(#REF!,"AAAAAF9+rGM=")</f>
        <v>#REF!</v>
      </c>
      <c r="CW75" t="e">
        <f>AND(#REF!,"AAAAAF9+rGQ=")</f>
        <v>#REF!</v>
      </c>
      <c r="CX75" t="e">
        <f>AND(#REF!,"AAAAAF9+rGU=")</f>
        <v>#REF!</v>
      </c>
      <c r="CY75" t="e">
        <f>IF(#REF!,"AAAAAF9+rGY=",0)</f>
        <v>#REF!</v>
      </c>
      <c r="CZ75" t="e">
        <f>AND(#REF!,"AAAAAF9+rGc=")</f>
        <v>#REF!</v>
      </c>
      <c r="DA75" t="e">
        <f>AND(#REF!,"AAAAAF9+rGg=")</f>
        <v>#REF!</v>
      </c>
      <c r="DB75" t="e">
        <f>AND(#REF!,"AAAAAF9+rGk=")</f>
        <v>#REF!</v>
      </c>
      <c r="DC75" t="e">
        <f>AND(#REF!,"AAAAAF9+rGo=")</f>
        <v>#REF!</v>
      </c>
      <c r="DD75" t="e">
        <f>AND(#REF!,"AAAAAF9+rGs=")</f>
        <v>#REF!</v>
      </c>
      <c r="DE75" t="e">
        <f>AND(#REF!,"AAAAAF9+rGw=")</f>
        <v>#REF!</v>
      </c>
      <c r="DF75" t="e">
        <f>AND(#REF!,"AAAAAF9+rG0=")</f>
        <v>#REF!</v>
      </c>
      <c r="DG75" t="e">
        <f>AND(#REF!,"AAAAAF9+rG4=")</f>
        <v>#REF!</v>
      </c>
      <c r="DH75" t="e">
        <f>AND(#REF!,"AAAAAF9+rG8=")</f>
        <v>#REF!</v>
      </c>
      <c r="DI75" t="e">
        <f>AND(#REF!,"AAAAAF9+rHA=")</f>
        <v>#REF!</v>
      </c>
      <c r="DJ75" t="e">
        <f>IF(#REF!,"AAAAAF9+rHE=",0)</f>
        <v>#REF!</v>
      </c>
      <c r="DK75" t="e">
        <f>AND(#REF!,"AAAAAF9+rHI=")</f>
        <v>#REF!</v>
      </c>
      <c r="DL75" t="e">
        <f>AND(#REF!,"AAAAAF9+rHM=")</f>
        <v>#REF!</v>
      </c>
      <c r="DM75" t="e">
        <f>AND(#REF!,"AAAAAF9+rHQ=")</f>
        <v>#REF!</v>
      </c>
      <c r="DN75" t="e">
        <f>AND(#REF!,"AAAAAF9+rHU=")</f>
        <v>#REF!</v>
      </c>
      <c r="DO75" t="e">
        <f>AND(#REF!,"AAAAAF9+rHY=")</f>
        <v>#REF!</v>
      </c>
      <c r="DP75" t="e">
        <f>AND(#REF!,"AAAAAF9+rHc=")</f>
        <v>#REF!</v>
      </c>
      <c r="DQ75" t="e">
        <f>AND(#REF!,"AAAAAF9+rHg=")</f>
        <v>#REF!</v>
      </c>
      <c r="DR75" t="e">
        <f>AND(#REF!,"AAAAAF9+rHk=")</f>
        <v>#REF!</v>
      </c>
      <c r="DS75" t="e">
        <f>AND(#REF!,"AAAAAF9+rHo=")</f>
        <v>#REF!</v>
      </c>
      <c r="DT75" t="e">
        <f>AND(#REF!,"AAAAAF9+rHs=")</f>
        <v>#REF!</v>
      </c>
      <c r="DU75" t="e">
        <f>IF(#REF!,"AAAAAF9+rHw=",0)</f>
        <v>#REF!</v>
      </c>
      <c r="DV75" t="e">
        <f>AND(#REF!,"AAAAAF9+rH0=")</f>
        <v>#REF!</v>
      </c>
      <c r="DW75" t="e">
        <f>AND(#REF!,"AAAAAF9+rH4=")</f>
        <v>#REF!</v>
      </c>
      <c r="DX75" t="e">
        <f>AND(#REF!,"AAAAAF9+rH8=")</f>
        <v>#REF!</v>
      </c>
      <c r="DY75" t="e">
        <f>AND(#REF!,"AAAAAF9+rIA=")</f>
        <v>#REF!</v>
      </c>
      <c r="DZ75" t="e">
        <f>AND(#REF!,"AAAAAF9+rIE=")</f>
        <v>#REF!</v>
      </c>
      <c r="EA75" t="e">
        <f>AND(#REF!,"AAAAAF9+rII=")</f>
        <v>#REF!</v>
      </c>
      <c r="EB75" t="e">
        <f>AND(#REF!,"AAAAAF9+rIM=")</f>
        <v>#REF!</v>
      </c>
      <c r="EC75" t="e">
        <f>AND(#REF!,"AAAAAF9+rIQ=")</f>
        <v>#REF!</v>
      </c>
      <c r="ED75" t="e">
        <f>AND(#REF!,"AAAAAF9+rIU=")</f>
        <v>#REF!</v>
      </c>
      <c r="EE75" t="e">
        <f>AND(#REF!,"AAAAAF9+rIY=")</f>
        <v>#REF!</v>
      </c>
      <c r="EF75" t="e">
        <f>IF(#REF!,"AAAAAF9+rIc=",0)</f>
        <v>#REF!</v>
      </c>
      <c r="EG75" t="e">
        <f>AND(#REF!,"AAAAAF9+rIg=")</f>
        <v>#REF!</v>
      </c>
      <c r="EH75" t="e">
        <f>AND(#REF!,"AAAAAF9+rIk=")</f>
        <v>#REF!</v>
      </c>
      <c r="EI75" t="e">
        <f>AND(#REF!,"AAAAAF9+rIo=")</f>
        <v>#REF!</v>
      </c>
      <c r="EJ75" t="e">
        <f>AND(#REF!,"AAAAAF9+rIs=")</f>
        <v>#REF!</v>
      </c>
      <c r="EK75" t="e">
        <f>AND(#REF!,"AAAAAF9+rIw=")</f>
        <v>#REF!</v>
      </c>
      <c r="EL75" t="e">
        <f>AND(#REF!,"AAAAAF9+rI0=")</f>
        <v>#REF!</v>
      </c>
      <c r="EM75" t="e">
        <f>AND(#REF!,"AAAAAF9+rI4=")</f>
        <v>#REF!</v>
      </c>
      <c r="EN75" t="e">
        <f>AND(#REF!,"AAAAAF9+rI8=")</f>
        <v>#REF!</v>
      </c>
      <c r="EO75" t="e">
        <f>AND(#REF!,"AAAAAF9+rJA=")</f>
        <v>#REF!</v>
      </c>
      <c r="EP75" t="e">
        <f>AND(#REF!,"AAAAAF9+rJE=")</f>
        <v>#REF!</v>
      </c>
      <c r="EQ75" t="e">
        <f>IF(#REF!,"AAAAAF9+rJI=",0)</f>
        <v>#REF!</v>
      </c>
      <c r="ER75" t="e">
        <f>AND(#REF!,"AAAAAF9+rJM=")</f>
        <v>#REF!</v>
      </c>
      <c r="ES75" t="e">
        <f>AND(#REF!,"AAAAAF9+rJQ=")</f>
        <v>#REF!</v>
      </c>
      <c r="ET75" t="e">
        <f>AND(#REF!,"AAAAAF9+rJU=")</f>
        <v>#REF!</v>
      </c>
      <c r="EU75" t="e">
        <f>AND(#REF!,"AAAAAF9+rJY=")</f>
        <v>#REF!</v>
      </c>
      <c r="EV75" t="e">
        <f>AND(#REF!,"AAAAAF9+rJc=")</f>
        <v>#REF!</v>
      </c>
      <c r="EW75" t="e">
        <f>AND(#REF!,"AAAAAF9+rJg=")</f>
        <v>#REF!</v>
      </c>
      <c r="EX75" t="e">
        <f>AND(#REF!,"AAAAAF9+rJk=")</f>
        <v>#REF!</v>
      </c>
      <c r="EY75" t="e">
        <f>AND(#REF!,"AAAAAF9+rJo=")</f>
        <v>#REF!</v>
      </c>
      <c r="EZ75" t="e">
        <f>AND(#REF!,"AAAAAF9+rJs=")</f>
        <v>#REF!</v>
      </c>
      <c r="FA75" t="e">
        <f>AND(#REF!,"AAAAAF9+rJw=")</f>
        <v>#REF!</v>
      </c>
      <c r="FB75" t="e">
        <f>IF(#REF!,"AAAAAF9+rJ0=",0)</f>
        <v>#REF!</v>
      </c>
      <c r="FC75" t="e">
        <f>AND(#REF!,"AAAAAF9+rJ4=")</f>
        <v>#REF!</v>
      </c>
      <c r="FD75" t="e">
        <f>AND(#REF!,"AAAAAF9+rJ8=")</f>
        <v>#REF!</v>
      </c>
      <c r="FE75" t="e">
        <f>AND(#REF!,"AAAAAF9+rKA=")</f>
        <v>#REF!</v>
      </c>
      <c r="FF75" t="e">
        <f>AND(#REF!,"AAAAAF9+rKE=")</f>
        <v>#REF!</v>
      </c>
      <c r="FG75" t="e">
        <f>AND(#REF!,"AAAAAF9+rKI=")</f>
        <v>#REF!</v>
      </c>
      <c r="FH75" t="e">
        <f>AND(#REF!,"AAAAAF9+rKM=")</f>
        <v>#REF!</v>
      </c>
      <c r="FI75" t="e">
        <f>AND(#REF!,"AAAAAF9+rKQ=")</f>
        <v>#REF!</v>
      </c>
      <c r="FJ75" t="e">
        <f>AND(#REF!,"AAAAAF9+rKU=")</f>
        <v>#REF!</v>
      </c>
      <c r="FK75" t="e">
        <f>AND(#REF!,"AAAAAF9+rKY=")</f>
        <v>#REF!</v>
      </c>
      <c r="FL75" t="e">
        <f>AND(#REF!,"AAAAAF9+rKc=")</f>
        <v>#REF!</v>
      </c>
      <c r="FM75" t="e">
        <f>IF(#REF!,"AAAAAF9+rKg=",0)</f>
        <v>#REF!</v>
      </c>
      <c r="FN75" t="e">
        <f>AND(#REF!,"AAAAAF9+rKk=")</f>
        <v>#REF!</v>
      </c>
      <c r="FO75" t="e">
        <f>AND(#REF!,"AAAAAF9+rKo=")</f>
        <v>#REF!</v>
      </c>
      <c r="FP75" t="e">
        <f>AND(#REF!,"AAAAAF9+rKs=")</f>
        <v>#REF!</v>
      </c>
      <c r="FQ75" t="e">
        <f>AND(#REF!,"AAAAAF9+rKw=")</f>
        <v>#REF!</v>
      </c>
      <c r="FR75" t="e">
        <f>AND(#REF!,"AAAAAF9+rK0=")</f>
        <v>#REF!</v>
      </c>
      <c r="FS75" t="e">
        <f>AND(#REF!,"AAAAAF9+rK4=")</f>
        <v>#REF!</v>
      </c>
      <c r="FT75" t="e">
        <f>AND(#REF!,"AAAAAF9+rK8=")</f>
        <v>#REF!</v>
      </c>
      <c r="FU75" t="e">
        <f>AND(#REF!,"AAAAAF9+rLA=")</f>
        <v>#REF!</v>
      </c>
      <c r="FV75" t="e">
        <f>AND(#REF!,"AAAAAF9+rLE=")</f>
        <v>#REF!</v>
      </c>
      <c r="FW75" t="e">
        <f>AND(#REF!,"AAAAAF9+rLI=")</f>
        <v>#REF!</v>
      </c>
      <c r="FX75" t="e">
        <f>IF(#REF!,"AAAAAF9+rLM=",0)</f>
        <v>#REF!</v>
      </c>
      <c r="FY75" t="e">
        <f>AND(#REF!,"AAAAAF9+rLQ=")</f>
        <v>#REF!</v>
      </c>
      <c r="FZ75" t="e">
        <f>AND(#REF!,"AAAAAF9+rLU=")</f>
        <v>#REF!</v>
      </c>
      <c r="GA75" t="e">
        <f>AND(#REF!,"AAAAAF9+rLY=")</f>
        <v>#REF!</v>
      </c>
      <c r="GB75" t="e">
        <f>AND(#REF!,"AAAAAF9+rLc=")</f>
        <v>#REF!</v>
      </c>
      <c r="GC75" t="e">
        <f>AND(#REF!,"AAAAAF9+rLg=")</f>
        <v>#REF!</v>
      </c>
      <c r="GD75" t="e">
        <f>AND(#REF!,"AAAAAF9+rLk=")</f>
        <v>#REF!</v>
      </c>
      <c r="GE75" t="e">
        <f>AND(#REF!,"AAAAAF9+rLo=")</f>
        <v>#REF!</v>
      </c>
      <c r="GF75" t="e">
        <f>AND(#REF!,"AAAAAF9+rLs=")</f>
        <v>#REF!</v>
      </c>
      <c r="GG75" t="e">
        <f>AND(#REF!,"AAAAAF9+rLw=")</f>
        <v>#REF!</v>
      </c>
      <c r="GH75" t="e">
        <f>AND(#REF!,"AAAAAF9+rL0=")</f>
        <v>#REF!</v>
      </c>
      <c r="GI75" t="e">
        <f>IF(#REF!,"AAAAAF9+rL4=",0)</f>
        <v>#REF!</v>
      </c>
      <c r="GJ75" t="e">
        <f>AND(#REF!,"AAAAAF9+rL8=")</f>
        <v>#REF!</v>
      </c>
      <c r="GK75" t="e">
        <f>AND(#REF!,"AAAAAF9+rMA=")</f>
        <v>#REF!</v>
      </c>
      <c r="GL75" t="e">
        <f>AND(#REF!,"AAAAAF9+rME=")</f>
        <v>#REF!</v>
      </c>
      <c r="GM75" t="e">
        <f>AND(#REF!,"AAAAAF9+rMI=")</f>
        <v>#REF!</v>
      </c>
      <c r="GN75" t="e">
        <f>AND(#REF!,"AAAAAF9+rMM=")</f>
        <v>#REF!</v>
      </c>
      <c r="GO75" t="e">
        <f>AND(#REF!,"AAAAAF9+rMQ=")</f>
        <v>#REF!</v>
      </c>
      <c r="GP75" t="e">
        <f>AND(#REF!,"AAAAAF9+rMU=")</f>
        <v>#REF!</v>
      </c>
      <c r="GQ75" t="e">
        <f>AND(#REF!,"AAAAAF9+rMY=")</f>
        <v>#REF!</v>
      </c>
      <c r="GR75" t="e">
        <f>AND(#REF!,"AAAAAF9+rMc=")</f>
        <v>#REF!</v>
      </c>
      <c r="GS75" t="e">
        <f>AND(#REF!,"AAAAAF9+rMg=")</f>
        <v>#REF!</v>
      </c>
      <c r="GT75" t="e">
        <f>IF(#REF!,"AAAAAF9+rMk=",0)</f>
        <v>#REF!</v>
      </c>
      <c r="GU75" t="e">
        <f>AND(#REF!,"AAAAAF9+rMo=")</f>
        <v>#REF!</v>
      </c>
      <c r="GV75" t="e">
        <f>AND(#REF!,"AAAAAF9+rMs=")</f>
        <v>#REF!</v>
      </c>
      <c r="GW75" t="e">
        <f>AND(#REF!,"AAAAAF9+rMw=")</f>
        <v>#REF!</v>
      </c>
      <c r="GX75" t="e">
        <f>AND(#REF!,"AAAAAF9+rM0=")</f>
        <v>#REF!</v>
      </c>
      <c r="GY75" t="e">
        <f>AND(#REF!,"AAAAAF9+rM4=")</f>
        <v>#REF!</v>
      </c>
      <c r="GZ75" t="e">
        <f>AND(#REF!,"AAAAAF9+rM8=")</f>
        <v>#REF!</v>
      </c>
      <c r="HA75" t="e">
        <f>AND(#REF!,"AAAAAF9+rNA=")</f>
        <v>#REF!</v>
      </c>
      <c r="HB75" t="e">
        <f>AND(#REF!,"AAAAAF9+rNE=")</f>
        <v>#REF!</v>
      </c>
      <c r="HC75" t="e">
        <f>AND(#REF!,"AAAAAF9+rNI=")</f>
        <v>#REF!</v>
      </c>
      <c r="HD75" t="e">
        <f>AND(#REF!,"AAAAAF9+rNM=")</f>
        <v>#REF!</v>
      </c>
      <c r="HE75" t="e">
        <f>IF(#REF!,"AAAAAF9+rNQ=",0)</f>
        <v>#REF!</v>
      </c>
      <c r="HF75" t="e">
        <f>AND(#REF!,"AAAAAF9+rNU=")</f>
        <v>#REF!</v>
      </c>
      <c r="HG75" t="e">
        <f>AND(#REF!,"AAAAAF9+rNY=")</f>
        <v>#REF!</v>
      </c>
      <c r="HH75" t="e">
        <f>AND(#REF!,"AAAAAF9+rNc=")</f>
        <v>#REF!</v>
      </c>
      <c r="HI75" t="e">
        <f>AND(#REF!,"AAAAAF9+rNg=")</f>
        <v>#REF!</v>
      </c>
      <c r="HJ75" t="e">
        <f>AND(#REF!,"AAAAAF9+rNk=")</f>
        <v>#REF!</v>
      </c>
      <c r="HK75" t="e">
        <f>AND(#REF!,"AAAAAF9+rNo=")</f>
        <v>#REF!</v>
      </c>
      <c r="HL75" t="e">
        <f>AND(#REF!,"AAAAAF9+rNs=")</f>
        <v>#REF!</v>
      </c>
      <c r="HM75" t="e">
        <f>AND(#REF!,"AAAAAF9+rNw=")</f>
        <v>#REF!</v>
      </c>
      <c r="HN75" t="e">
        <f>AND(#REF!,"AAAAAF9+rN0=")</f>
        <v>#REF!</v>
      </c>
      <c r="HO75" t="e">
        <f>AND(#REF!,"AAAAAF9+rN4=")</f>
        <v>#REF!</v>
      </c>
      <c r="HP75" t="e">
        <f>IF(#REF!,"AAAAAF9+rN8=",0)</f>
        <v>#REF!</v>
      </c>
      <c r="HQ75" t="e">
        <f>AND(#REF!,"AAAAAF9+rOA=")</f>
        <v>#REF!</v>
      </c>
      <c r="HR75" t="e">
        <f>AND(#REF!,"AAAAAF9+rOE=")</f>
        <v>#REF!</v>
      </c>
      <c r="HS75" t="e">
        <f>AND(#REF!,"AAAAAF9+rOI=")</f>
        <v>#REF!</v>
      </c>
      <c r="HT75" t="e">
        <f>AND(#REF!,"AAAAAF9+rOM=")</f>
        <v>#REF!</v>
      </c>
      <c r="HU75" t="e">
        <f>AND(#REF!,"AAAAAF9+rOQ=")</f>
        <v>#REF!</v>
      </c>
      <c r="HV75" t="e">
        <f>AND(#REF!,"AAAAAF9+rOU=")</f>
        <v>#REF!</v>
      </c>
      <c r="HW75" t="e">
        <f>AND(#REF!,"AAAAAF9+rOY=")</f>
        <v>#REF!</v>
      </c>
      <c r="HX75" t="e">
        <f>AND(#REF!,"AAAAAF9+rOc=")</f>
        <v>#REF!</v>
      </c>
      <c r="HY75" t="e">
        <f>AND(#REF!,"AAAAAF9+rOg=")</f>
        <v>#REF!</v>
      </c>
      <c r="HZ75" t="e">
        <f>AND(#REF!,"AAAAAF9+rOk=")</f>
        <v>#REF!</v>
      </c>
      <c r="IA75" t="e">
        <f>IF(#REF!,"AAAAAF9+rOo=",0)</f>
        <v>#REF!</v>
      </c>
      <c r="IB75" t="e">
        <f>AND(#REF!,"AAAAAF9+rOs=")</f>
        <v>#REF!</v>
      </c>
      <c r="IC75" t="e">
        <f>AND(#REF!,"AAAAAF9+rOw=")</f>
        <v>#REF!</v>
      </c>
      <c r="ID75" t="e">
        <f>AND(#REF!,"AAAAAF9+rO0=")</f>
        <v>#REF!</v>
      </c>
      <c r="IE75" t="e">
        <f>AND(#REF!,"AAAAAF9+rO4=")</f>
        <v>#REF!</v>
      </c>
      <c r="IF75" t="e">
        <f>AND(#REF!,"AAAAAF9+rO8=")</f>
        <v>#REF!</v>
      </c>
      <c r="IG75" t="e">
        <f>AND(#REF!,"AAAAAF9+rPA=")</f>
        <v>#REF!</v>
      </c>
      <c r="IH75" t="e">
        <f>AND(#REF!,"AAAAAF9+rPE=")</f>
        <v>#REF!</v>
      </c>
      <c r="II75" t="e">
        <f>AND(#REF!,"AAAAAF9+rPI=")</f>
        <v>#REF!</v>
      </c>
      <c r="IJ75" t="e">
        <f>AND(#REF!,"AAAAAF9+rPM=")</f>
        <v>#REF!</v>
      </c>
      <c r="IK75" t="e">
        <f>AND(#REF!,"AAAAAF9+rPQ=")</f>
        <v>#REF!</v>
      </c>
      <c r="IL75" t="e">
        <f>IF(#REF!,"AAAAAF9+rPU=",0)</f>
        <v>#REF!</v>
      </c>
      <c r="IM75" t="e">
        <f>AND(#REF!,"AAAAAF9+rPY=")</f>
        <v>#REF!</v>
      </c>
      <c r="IN75" t="e">
        <f>AND(#REF!,"AAAAAF9+rPc=")</f>
        <v>#REF!</v>
      </c>
      <c r="IO75" t="e">
        <f>AND(#REF!,"AAAAAF9+rPg=")</f>
        <v>#REF!</v>
      </c>
      <c r="IP75" t="e">
        <f>AND(#REF!,"AAAAAF9+rPk=")</f>
        <v>#REF!</v>
      </c>
      <c r="IQ75" t="e">
        <f>AND(#REF!,"AAAAAF9+rPo=")</f>
        <v>#REF!</v>
      </c>
      <c r="IR75" t="e">
        <f>AND(#REF!,"AAAAAF9+rPs=")</f>
        <v>#REF!</v>
      </c>
      <c r="IS75" t="e">
        <f>AND(#REF!,"AAAAAF9+rPw=")</f>
        <v>#REF!</v>
      </c>
      <c r="IT75" t="e">
        <f>AND(#REF!,"AAAAAF9+rP0=")</f>
        <v>#REF!</v>
      </c>
      <c r="IU75" t="e">
        <f>AND(#REF!,"AAAAAF9+rP4=")</f>
        <v>#REF!</v>
      </c>
      <c r="IV75" t="e">
        <f>AND(#REF!,"AAAAAF9+rP8=")</f>
        <v>#REF!</v>
      </c>
    </row>
    <row r="76" spans="1:256" x14ac:dyDescent="0.25">
      <c r="A76" t="e">
        <f>IF(#REF!,"AAAAAF/9nQA=",0)</f>
        <v>#REF!</v>
      </c>
      <c r="B76" t="e">
        <f>AND(#REF!,"AAAAAF/9nQE=")</f>
        <v>#REF!</v>
      </c>
      <c r="C76" t="e">
        <f>AND(#REF!,"AAAAAF/9nQI=")</f>
        <v>#REF!</v>
      </c>
      <c r="D76" t="e">
        <f>AND(#REF!,"AAAAAF/9nQM=")</f>
        <v>#REF!</v>
      </c>
      <c r="E76" t="e">
        <f>AND(#REF!,"AAAAAF/9nQQ=")</f>
        <v>#REF!</v>
      </c>
      <c r="F76" t="e">
        <f>AND(#REF!,"AAAAAF/9nQU=")</f>
        <v>#REF!</v>
      </c>
      <c r="G76" t="e">
        <f>AND(#REF!,"AAAAAF/9nQY=")</f>
        <v>#REF!</v>
      </c>
      <c r="H76" t="e">
        <f>AND(#REF!,"AAAAAF/9nQc=")</f>
        <v>#REF!</v>
      </c>
      <c r="I76" t="e">
        <f>AND(#REF!,"AAAAAF/9nQg=")</f>
        <v>#REF!</v>
      </c>
      <c r="J76" t="e">
        <f>AND(#REF!,"AAAAAF/9nQk=")</f>
        <v>#REF!</v>
      </c>
      <c r="K76" t="e">
        <f>AND(#REF!,"AAAAAF/9nQo=")</f>
        <v>#REF!</v>
      </c>
      <c r="L76" t="e">
        <f>IF(#REF!,"AAAAAF/9nQs=",0)</f>
        <v>#REF!</v>
      </c>
      <c r="M76" t="e">
        <f>AND(#REF!,"AAAAAF/9nQw=")</f>
        <v>#REF!</v>
      </c>
      <c r="N76" t="e">
        <f>AND(#REF!,"AAAAAF/9nQ0=")</f>
        <v>#REF!</v>
      </c>
      <c r="O76" t="e">
        <f>AND(#REF!,"AAAAAF/9nQ4=")</f>
        <v>#REF!</v>
      </c>
      <c r="P76" t="e">
        <f>AND(#REF!,"AAAAAF/9nQ8=")</f>
        <v>#REF!</v>
      </c>
      <c r="Q76" t="e">
        <f>AND(#REF!,"AAAAAF/9nRA=")</f>
        <v>#REF!</v>
      </c>
      <c r="R76" t="e">
        <f>AND(#REF!,"AAAAAF/9nRE=")</f>
        <v>#REF!</v>
      </c>
      <c r="S76" t="e">
        <f>AND(#REF!,"AAAAAF/9nRI=")</f>
        <v>#REF!</v>
      </c>
      <c r="T76" t="e">
        <f>AND(#REF!,"AAAAAF/9nRM=")</f>
        <v>#REF!</v>
      </c>
      <c r="U76" t="e">
        <f>AND(#REF!,"AAAAAF/9nRQ=")</f>
        <v>#REF!</v>
      </c>
      <c r="V76" t="e">
        <f>AND(#REF!,"AAAAAF/9nRU=")</f>
        <v>#REF!</v>
      </c>
      <c r="W76" t="e">
        <f>IF(#REF!,"AAAAAF/9nRY=",0)</f>
        <v>#REF!</v>
      </c>
      <c r="X76" t="e">
        <f>AND(#REF!,"AAAAAF/9nRc=")</f>
        <v>#REF!</v>
      </c>
      <c r="Y76" t="e">
        <f>AND(#REF!,"AAAAAF/9nRg=")</f>
        <v>#REF!</v>
      </c>
      <c r="Z76" t="e">
        <f>AND(#REF!,"AAAAAF/9nRk=")</f>
        <v>#REF!</v>
      </c>
      <c r="AA76" t="e">
        <f>AND(#REF!,"AAAAAF/9nRo=")</f>
        <v>#REF!</v>
      </c>
      <c r="AB76" t="e">
        <f>AND(#REF!,"AAAAAF/9nRs=")</f>
        <v>#REF!</v>
      </c>
      <c r="AC76" t="e">
        <f>AND(#REF!,"AAAAAF/9nRw=")</f>
        <v>#REF!</v>
      </c>
      <c r="AD76" t="e">
        <f>AND(#REF!,"AAAAAF/9nR0=")</f>
        <v>#REF!</v>
      </c>
      <c r="AE76" t="e">
        <f>AND(#REF!,"AAAAAF/9nR4=")</f>
        <v>#REF!</v>
      </c>
      <c r="AF76" t="e">
        <f>AND(#REF!,"AAAAAF/9nR8=")</f>
        <v>#REF!</v>
      </c>
      <c r="AG76" t="e">
        <f>AND(#REF!,"AAAAAF/9nSA=")</f>
        <v>#REF!</v>
      </c>
      <c r="AH76" t="e">
        <f>IF(#REF!,"AAAAAF/9nSE=",0)</f>
        <v>#REF!</v>
      </c>
      <c r="AI76" t="e">
        <f>AND(#REF!,"AAAAAF/9nSI=")</f>
        <v>#REF!</v>
      </c>
      <c r="AJ76" t="e">
        <f>AND(#REF!,"AAAAAF/9nSM=")</f>
        <v>#REF!</v>
      </c>
      <c r="AK76" t="e">
        <f>AND(#REF!,"AAAAAF/9nSQ=")</f>
        <v>#REF!</v>
      </c>
      <c r="AL76" t="e">
        <f>AND(#REF!,"AAAAAF/9nSU=")</f>
        <v>#REF!</v>
      </c>
      <c r="AM76" t="e">
        <f>AND(#REF!,"AAAAAF/9nSY=")</f>
        <v>#REF!</v>
      </c>
      <c r="AN76" t="e">
        <f>AND(#REF!,"AAAAAF/9nSc=")</f>
        <v>#REF!</v>
      </c>
      <c r="AO76" t="e">
        <f>AND(#REF!,"AAAAAF/9nSg=")</f>
        <v>#REF!</v>
      </c>
      <c r="AP76" t="e">
        <f>AND(#REF!,"AAAAAF/9nSk=")</f>
        <v>#REF!</v>
      </c>
      <c r="AQ76" t="e">
        <f>AND(#REF!,"AAAAAF/9nSo=")</f>
        <v>#REF!</v>
      </c>
      <c r="AR76" t="e">
        <f>AND(#REF!,"AAAAAF/9nSs=")</f>
        <v>#REF!</v>
      </c>
      <c r="AS76" t="e">
        <f>IF(#REF!,"AAAAAF/9nSw=",0)</f>
        <v>#REF!</v>
      </c>
      <c r="AT76" t="e">
        <f>AND(#REF!,"AAAAAF/9nS0=")</f>
        <v>#REF!</v>
      </c>
      <c r="AU76" t="e">
        <f>AND(#REF!,"AAAAAF/9nS4=")</f>
        <v>#REF!</v>
      </c>
      <c r="AV76" t="e">
        <f>AND(#REF!,"AAAAAF/9nS8=")</f>
        <v>#REF!</v>
      </c>
      <c r="AW76" t="e">
        <f>AND(#REF!,"AAAAAF/9nTA=")</f>
        <v>#REF!</v>
      </c>
      <c r="AX76" t="e">
        <f>AND(#REF!,"AAAAAF/9nTE=")</f>
        <v>#REF!</v>
      </c>
      <c r="AY76" t="e">
        <f>AND(#REF!,"AAAAAF/9nTI=")</f>
        <v>#REF!</v>
      </c>
      <c r="AZ76" t="e">
        <f>AND(#REF!,"AAAAAF/9nTM=")</f>
        <v>#REF!</v>
      </c>
      <c r="BA76" t="e">
        <f>AND(#REF!,"AAAAAF/9nTQ=")</f>
        <v>#REF!</v>
      </c>
      <c r="BB76" t="e">
        <f>AND(#REF!,"AAAAAF/9nTU=")</f>
        <v>#REF!</v>
      </c>
      <c r="BC76" t="e">
        <f>AND(#REF!,"AAAAAF/9nTY=")</f>
        <v>#REF!</v>
      </c>
      <c r="BD76" t="e">
        <f>IF(#REF!,"AAAAAF/9nTc=",0)</f>
        <v>#REF!</v>
      </c>
      <c r="BE76" t="e">
        <f>AND(#REF!,"AAAAAF/9nTg=")</f>
        <v>#REF!</v>
      </c>
      <c r="BF76" t="e">
        <f>AND(#REF!,"AAAAAF/9nTk=")</f>
        <v>#REF!</v>
      </c>
      <c r="BG76" t="e">
        <f>AND(#REF!,"AAAAAF/9nTo=")</f>
        <v>#REF!</v>
      </c>
      <c r="BH76" t="e">
        <f>AND(#REF!,"AAAAAF/9nTs=")</f>
        <v>#REF!</v>
      </c>
      <c r="BI76" t="e">
        <f>AND(#REF!,"AAAAAF/9nTw=")</f>
        <v>#REF!</v>
      </c>
      <c r="BJ76" t="e">
        <f>AND(#REF!,"AAAAAF/9nT0=")</f>
        <v>#REF!</v>
      </c>
      <c r="BK76" t="e">
        <f>AND(#REF!,"AAAAAF/9nT4=")</f>
        <v>#REF!</v>
      </c>
      <c r="BL76" t="e">
        <f>AND(#REF!,"AAAAAF/9nT8=")</f>
        <v>#REF!</v>
      </c>
      <c r="BM76" t="e">
        <f>AND(#REF!,"AAAAAF/9nUA=")</f>
        <v>#REF!</v>
      </c>
      <c r="BN76" t="e">
        <f>AND(#REF!,"AAAAAF/9nUE=")</f>
        <v>#REF!</v>
      </c>
      <c r="BO76" t="e">
        <f>IF(#REF!,"AAAAAF/9nUI=",0)</f>
        <v>#REF!</v>
      </c>
      <c r="BP76" t="e">
        <f>AND(#REF!,"AAAAAF/9nUM=")</f>
        <v>#REF!</v>
      </c>
      <c r="BQ76" t="e">
        <f>AND(#REF!,"AAAAAF/9nUQ=")</f>
        <v>#REF!</v>
      </c>
      <c r="BR76" t="e">
        <f>AND(#REF!,"AAAAAF/9nUU=")</f>
        <v>#REF!</v>
      </c>
      <c r="BS76" t="e">
        <f>AND(#REF!,"AAAAAF/9nUY=")</f>
        <v>#REF!</v>
      </c>
      <c r="BT76" t="e">
        <f>AND(#REF!,"AAAAAF/9nUc=")</f>
        <v>#REF!</v>
      </c>
      <c r="BU76" t="e">
        <f>AND(#REF!,"AAAAAF/9nUg=")</f>
        <v>#REF!</v>
      </c>
      <c r="BV76" t="e">
        <f>AND(#REF!,"AAAAAF/9nUk=")</f>
        <v>#REF!</v>
      </c>
      <c r="BW76" t="e">
        <f>AND(#REF!,"AAAAAF/9nUo=")</f>
        <v>#REF!</v>
      </c>
      <c r="BX76" t="e">
        <f>AND(#REF!,"AAAAAF/9nUs=")</f>
        <v>#REF!</v>
      </c>
      <c r="BY76" t="e">
        <f>AND(#REF!,"AAAAAF/9nUw=")</f>
        <v>#REF!</v>
      </c>
      <c r="BZ76" t="e">
        <f>IF(#REF!,"AAAAAF/9nU0=",0)</f>
        <v>#REF!</v>
      </c>
      <c r="CA76" t="e">
        <f>AND(#REF!,"AAAAAF/9nU4=")</f>
        <v>#REF!</v>
      </c>
      <c r="CB76" t="e">
        <f>AND(#REF!,"AAAAAF/9nU8=")</f>
        <v>#REF!</v>
      </c>
      <c r="CC76" t="e">
        <f>AND(#REF!,"AAAAAF/9nVA=")</f>
        <v>#REF!</v>
      </c>
      <c r="CD76" t="e">
        <f>AND(#REF!,"AAAAAF/9nVE=")</f>
        <v>#REF!</v>
      </c>
      <c r="CE76" t="e">
        <f>AND(#REF!,"AAAAAF/9nVI=")</f>
        <v>#REF!</v>
      </c>
      <c r="CF76" t="e">
        <f>AND(#REF!,"AAAAAF/9nVM=")</f>
        <v>#REF!</v>
      </c>
      <c r="CG76" t="e">
        <f>AND(#REF!,"AAAAAF/9nVQ=")</f>
        <v>#REF!</v>
      </c>
      <c r="CH76" t="e">
        <f>AND(#REF!,"AAAAAF/9nVU=")</f>
        <v>#REF!</v>
      </c>
      <c r="CI76" t="e">
        <f>AND(#REF!,"AAAAAF/9nVY=")</f>
        <v>#REF!</v>
      </c>
      <c r="CJ76" t="e">
        <f>AND(#REF!,"AAAAAF/9nVc=")</f>
        <v>#REF!</v>
      </c>
      <c r="CK76" t="e">
        <f>IF(#REF!,"AAAAAF/9nVg=",0)</f>
        <v>#REF!</v>
      </c>
      <c r="CL76" t="e">
        <f>AND(#REF!,"AAAAAF/9nVk=")</f>
        <v>#REF!</v>
      </c>
      <c r="CM76" t="e">
        <f>AND(#REF!,"AAAAAF/9nVo=")</f>
        <v>#REF!</v>
      </c>
      <c r="CN76" t="e">
        <f>AND(#REF!,"AAAAAF/9nVs=")</f>
        <v>#REF!</v>
      </c>
      <c r="CO76" t="e">
        <f>AND(#REF!,"AAAAAF/9nVw=")</f>
        <v>#REF!</v>
      </c>
      <c r="CP76" t="e">
        <f>AND(#REF!,"AAAAAF/9nV0=")</f>
        <v>#REF!</v>
      </c>
      <c r="CQ76" t="e">
        <f>AND(#REF!,"AAAAAF/9nV4=")</f>
        <v>#REF!</v>
      </c>
      <c r="CR76" t="e">
        <f>AND(#REF!,"AAAAAF/9nV8=")</f>
        <v>#REF!</v>
      </c>
      <c r="CS76" t="e">
        <f>AND(#REF!,"AAAAAF/9nWA=")</f>
        <v>#REF!</v>
      </c>
      <c r="CT76" t="e">
        <f>AND(#REF!,"AAAAAF/9nWE=")</f>
        <v>#REF!</v>
      </c>
      <c r="CU76" t="e">
        <f>AND(#REF!,"AAAAAF/9nWI=")</f>
        <v>#REF!</v>
      </c>
      <c r="CV76" t="e">
        <f>IF(#REF!,"AAAAAF/9nWM=",0)</f>
        <v>#REF!</v>
      </c>
      <c r="CW76" t="e">
        <f>AND(#REF!,"AAAAAF/9nWQ=")</f>
        <v>#REF!</v>
      </c>
      <c r="CX76" t="e">
        <f>AND(#REF!,"AAAAAF/9nWU=")</f>
        <v>#REF!</v>
      </c>
      <c r="CY76" t="e">
        <f>AND(#REF!,"AAAAAF/9nWY=")</f>
        <v>#REF!</v>
      </c>
      <c r="CZ76" t="e">
        <f>AND(#REF!,"AAAAAF/9nWc=")</f>
        <v>#REF!</v>
      </c>
      <c r="DA76" t="e">
        <f>AND(#REF!,"AAAAAF/9nWg=")</f>
        <v>#REF!</v>
      </c>
      <c r="DB76" t="e">
        <f>AND(#REF!,"AAAAAF/9nWk=")</f>
        <v>#REF!</v>
      </c>
      <c r="DC76" t="e">
        <f>AND(#REF!,"AAAAAF/9nWo=")</f>
        <v>#REF!</v>
      </c>
      <c r="DD76" t="e">
        <f>AND(#REF!,"AAAAAF/9nWs=")</f>
        <v>#REF!</v>
      </c>
      <c r="DE76" t="e">
        <f>AND(#REF!,"AAAAAF/9nWw=")</f>
        <v>#REF!</v>
      </c>
      <c r="DF76" t="e">
        <f>AND(#REF!,"AAAAAF/9nW0=")</f>
        <v>#REF!</v>
      </c>
      <c r="DG76" t="e">
        <f>IF(#REF!,"AAAAAF/9nW4=",0)</f>
        <v>#REF!</v>
      </c>
      <c r="DH76" t="e">
        <f>AND(#REF!,"AAAAAF/9nW8=")</f>
        <v>#REF!</v>
      </c>
      <c r="DI76" t="e">
        <f>AND(#REF!,"AAAAAF/9nXA=")</f>
        <v>#REF!</v>
      </c>
      <c r="DJ76" t="e">
        <f>AND(#REF!,"AAAAAF/9nXE=")</f>
        <v>#REF!</v>
      </c>
      <c r="DK76" t="e">
        <f>AND(#REF!,"AAAAAF/9nXI=")</f>
        <v>#REF!</v>
      </c>
      <c r="DL76" t="e">
        <f>AND(#REF!,"AAAAAF/9nXM=")</f>
        <v>#REF!</v>
      </c>
      <c r="DM76" t="e">
        <f>AND(#REF!,"AAAAAF/9nXQ=")</f>
        <v>#REF!</v>
      </c>
      <c r="DN76" t="e">
        <f>AND(#REF!,"AAAAAF/9nXU=")</f>
        <v>#REF!</v>
      </c>
      <c r="DO76" t="e">
        <f>AND(#REF!,"AAAAAF/9nXY=")</f>
        <v>#REF!</v>
      </c>
      <c r="DP76" t="e">
        <f>AND(#REF!,"AAAAAF/9nXc=")</f>
        <v>#REF!</v>
      </c>
      <c r="DQ76" t="e">
        <f>AND(#REF!,"AAAAAF/9nXg=")</f>
        <v>#REF!</v>
      </c>
      <c r="DR76" t="e">
        <f>IF(#REF!,"AAAAAF/9nXk=",0)</f>
        <v>#REF!</v>
      </c>
      <c r="DS76" t="e">
        <f>AND(#REF!,"AAAAAF/9nXo=")</f>
        <v>#REF!</v>
      </c>
      <c r="DT76" t="e">
        <f>AND(#REF!,"AAAAAF/9nXs=")</f>
        <v>#REF!</v>
      </c>
      <c r="DU76" t="e">
        <f>AND(#REF!,"AAAAAF/9nXw=")</f>
        <v>#REF!</v>
      </c>
      <c r="DV76" t="e">
        <f>AND(#REF!,"AAAAAF/9nX0=")</f>
        <v>#REF!</v>
      </c>
      <c r="DW76" t="e">
        <f>AND(#REF!,"AAAAAF/9nX4=")</f>
        <v>#REF!</v>
      </c>
      <c r="DX76" t="e">
        <f>AND(#REF!,"AAAAAF/9nX8=")</f>
        <v>#REF!</v>
      </c>
      <c r="DY76" t="e">
        <f>AND(#REF!,"AAAAAF/9nYA=")</f>
        <v>#REF!</v>
      </c>
      <c r="DZ76" t="e">
        <f>AND(#REF!,"AAAAAF/9nYE=")</f>
        <v>#REF!</v>
      </c>
      <c r="EA76" t="e">
        <f>AND(#REF!,"AAAAAF/9nYI=")</f>
        <v>#REF!</v>
      </c>
      <c r="EB76" t="e">
        <f>AND(#REF!,"AAAAAF/9nYM=")</f>
        <v>#REF!</v>
      </c>
      <c r="EC76" t="e">
        <f>IF(#REF!,"AAAAAF/9nYQ=",0)</f>
        <v>#REF!</v>
      </c>
      <c r="ED76" t="e">
        <f>AND(#REF!,"AAAAAF/9nYU=")</f>
        <v>#REF!</v>
      </c>
      <c r="EE76" t="e">
        <f>AND(#REF!,"AAAAAF/9nYY=")</f>
        <v>#REF!</v>
      </c>
      <c r="EF76" t="e">
        <f>AND(#REF!,"AAAAAF/9nYc=")</f>
        <v>#REF!</v>
      </c>
      <c r="EG76" t="e">
        <f>AND(#REF!,"AAAAAF/9nYg=")</f>
        <v>#REF!</v>
      </c>
      <c r="EH76" t="e">
        <f>AND(#REF!,"AAAAAF/9nYk=")</f>
        <v>#REF!</v>
      </c>
      <c r="EI76" t="e">
        <f>AND(#REF!,"AAAAAF/9nYo=")</f>
        <v>#REF!</v>
      </c>
      <c r="EJ76" t="e">
        <f>AND(#REF!,"AAAAAF/9nYs=")</f>
        <v>#REF!</v>
      </c>
      <c r="EK76" t="e">
        <f>AND(#REF!,"AAAAAF/9nYw=")</f>
        <v>#REF!</v>
      </c>
      <c r="EL76" t="e">
        <f>AND(#REF!,"AAAAAF/9nY0=")</f>
        <v>#REF!</v>
      </c>
      <c r="EM76" t="e">
        <f>AND(#REF!,"AAAAAF/9nY4=")</f>
        <v>#REF!</v>
      </c>
      <c r="EN76" t="e">
        <f>IF(#REF!,"AAAAAF/9nY8=",0)</f>
        <v>#REF!</v>
      </c>
      <c r="EO76" t="e">
        <f>AND(#REF!,"AAAAAF/9nZA=")</f>
        <v>#REF!</v>
      </c>
      <c r="EP76" t="e">
        <f>AND(#REF!,"AAAAAF/9nZE=")</f>
        <v>#REF!</v>
      </c>
      <c r="EQ76" t="e">
        <f>AND(#REF!,"AAAAAF/9nZI=")</f>
        <v>#REF!</v>
      </c>
      <c r="ER76" t="e">
        <f>AND(#REF!,"AAAAAF/9nZM=")</f>
        <v>#REF!</v>
      </c>
      <c r="ES76" t="e">
        <f>AND(#REF!,"AAAAAF/9nZQ=")</f>
        <v>#REF!</v>
      </c>
      <c r="ET76" t="e">
        <f>AND(#REF!,"AAAAAF/9nZU=")</f>
        <v>#REF!</v>
      </c>
      <c r="EU76" t="e">
        <f>AND(#REF!,"AAAAAF/9nZY=")</f>
        <v>#REF!</v>
      </c>
      <c r="EV76" t="e">
        <f>AND(#REF!,"AAAAAF/9nZc=")</f>
        <v>#REF!</v>
      </c>
      <c r="EW76" t="e">
        <f>AND(#REF!,"AAAAAF/9nZg=")</f>
        <v>#REF!</v>
      </c>
      <c r="EX76" t="e">
        <f>AND(#REF!,"AAAAAF/9nZk=")</f>
        <v>#REF!</v>
      </c>
      <c r="EY76" t="e">
        <f>IF(#REF!,"AAAAAF/9nZo=",0)</f>
        <v>#REF!</v>
      </c>
      <c r="EZ76" t="e">
        <f>AND(#REF!,"AAAAAF/9nZs=")</f>
        <v>#REF!</v>
      </c>
      <c r="FA76" t="e">
        <f>AND(#REF!,"AAAAAF/9nZw=")</f>
        <v>#REF!</v>
      </c>
      <c r="FB76" t="e">
        <f>AND(#REF!,"AAAAAF/9nZ0=")</f>
        <v>#REF!</v>
      </c>
      <c r="FC76" t="e">
        <f>AND(#REF!,"AAAAAF/9nZ4=")</f>
        <v>#REF!</v>
      </c>
      <c r="FD76" t="e">
        <f>AND(#REF!,"AAAAAF/9nZ8=")</f>
        <v>#REF!</v>
      </c>
      <c r="FE76" t="e">
        <f>AND(#REF!,"AAAAAF/9naA=")</f>
        <v>#REF!</v>
      </c>
      <c r="FF76" t="e">
        <f>AND(#REF!,"AAAAAF/9naE=")</f>
        <v>#REF!</v>
      </c>
      <c r="FG76" t="e">
        <f>AND(#REF!,"AAAAAF/9naI=")</f>
        <v>#REF!</v>
      </c>
      <c r="FH76" t="e">
        <f>AND(#REF!,"AAAAAF/9naM=")</f>
        <v>#REF!</v>
      </c>
      <c r="FI76" t="e">
        <f>AND(#REF!,"AAAAAF/9naQ=")</f>
        <v>#REF!</v>
      </c>
      <c r="FJ76" t="e">
        <f>IF(#REF!,"AAAAAF/9naU=",0)</f>
        <v>#REF!</v>
      </c>
      <c r="FK76" t="e">
        <f>AND(#REF!,"AAAAAF/9naY=")</f>
        <v>#REF!</v>
      </c>
      <c r="FL76" t="e">
        <f>AND(#REF!,"AAAAAF/9nac=")</f>
        <v>#REF!</v>
      </c>
      <c r="FM76" t="e">
        <f>AND(#REF!,"AAAAAF/9nag=")</f>
        <v>#REF!</v>
      </c>
      <c r="FN76" t="e">
        <f>AND(#REF!,"AAAAAF/9nak=")</f>
        <v>#REF!</v>
      </c>
      <c r="FO76" t="e">
        <f>AND(#REF!,"AAAAAF/9nao=")</f>
        <v>#REF!</v>
      </c>
      <c r="FP76" t="e">
        <f>AND(#REF!,"AAAAAF/9nas=")</f>
        <v>#REF!</v>
      </c>
      <c r="FQ76" t="e">
        <f>AND(#REF!,"AAAAAF/9naw=")</f>
        <v>#REF!</v>
      </c>
      <c r="FR76" t="e">
        <f>AND(#REF!,"AAAAAF/9na0=")</f>
        <v>#REF!</v>
      </c>
      <c r="FS76" t="e">
        <f>AND(#REF!,"AAAAAF/9na4=")</f>
        <v>#REF!</v>
      </c>
      <c r="FT76" t="e">
        <f>AND(#REF!,"AAAAAF/9na8=")</f>
        <v>#REF!</v>
      </c>
      <c r="FU76" t="e">
        <f>IF(#REF!,"AAAAAF/9nbA=",0)</f>
        <v>#REF!</v>
      </c>
      <c r="FV76" t="e">
        <f>AND(#REF!,"AAAAAF/9nbE=")</f>
        <v>#REF!</v>
      </c>
      <c r="FW76" t="e">
        <f>AND(#REF!,"AAAAAF/9nbI=")</f>
        <v>#REF!</v>
      </c>
      <c r="FX76" t="e">
        <f>AND(#REF!,"AAAAAF/9nbM=")</f>
        <v>#REF!</v>
      </c>
      <c r="FY76" t="e">
        <f>AND(#REF!,"AAAAAF/9nbQ=")</f>
        <v>#REF!</v>
      </c>
      <c r="FZ76" t="e">
        <f>AND(#REF!,"AAAAAF/9nbU=")</f>
        <v>#REF!</v>
      </c>
      <c r="GA76" t="e">
        <f>AND(#REF!,"AAAAAF/9nbY=")</f>
        <v>#REF!</v>
      </c>
      <c r="GB76" t="e">
        <f>AND(#REF!,"AAAAAF/9nbc=")</f>
        <v>#REF!</v>
      </c>
      <c r="GC76" t="e">
        <f>AND(#REF!,"AAAAAF/9nbg=")</f>
        <v>#REF!</v>
      </c>
      <c r="GD76" t="e">
        <f>AND(#REF!,"AAAAAF/9nbk=")</f>
        <v>#REF!</v>
      </c>
      <c r="GE76" t="e">
        <f>AND(#REF!,"AAAAAF/9nbo=")</f>
        <v>#REF!</v>
      </c>
      <c r="GF76" t="e">
        <f>IF(#REF!,"AAAAAF/9nbs=",0)</f>
        <v>#REF!</v>
      </c>
      <c r="GG76" t="e">
        <f>AND(#REF!,"AAAAAF/9nbw=")</f>
        <v>#REF!</v>
      </c>
      <c r="GH76" t="e">
        <f>AND(#REF!,"AAAAAF/9nb0=")</f>
        <v>#REF!</v>
      </c>
      <c r="GI76" t="e">
        <f>AND(#REF!,"AAAAAF/9nb4=")</f>
        <v>#REF!</v>
      </c>
      <c r="GJ76" t="e">
        <f>AND(#REF!,"AAAAAF/9nb8=")</f>
        <v>#REF!</v>
      </c>
      <c r="GK76" t="e">
        <f>AND(#REF!,"AAAAAF/9ncA=")</f>
        <v>#REF!</v>
      </c>
      <c r="GL76" t="e">
        <f>AND(#REF!,"AAAAAF/9ncE=")</f>
        <v>#REF!</v>
      </c>
      <c r="GM76" t="e">
        <f>AND(#REF!,"AAAAAF/9ncI=")</f>
        <v>#REF!</v>
      </c>
      <c r="GN76" t="e">
        <f>AND(#REF!,"AAAAAF/9ncM=")</f>
        <v>#REF!</v>
      </c>
      <c r="GO76" t="e">
        <f>AND(#REF!,"AAAAAF/9ncQ=")</f>
        <v>#REF!</v>
      </c>
      <c r="GP76" t="e">
        <f>AND(#REF!,"AAAAAF/9ncU=")</f>
        <v>#REF!</v>
      </c>
      <c r="GQ76" t="e">
        <f>IF(#REF!,"AAAAAF/9ncY=",0)</f>
        <v>#REF!</v>
      </c>
      <c r="GR76" t="e">
        <f>AND(#REF!,"AAAAAF/9ncc=")</f>
        <v>#REF!</v>
      </c>
      <c r="GS76" t="e">
        <f>AND(#REF!,"AAAAAF/9ncg=")</f>
        <v>#REF!</v>
      </c>
      <c r="GT76" t="e">
        <f>AND(#REF!,"AAAAAF/9nck=")</f>
        <v>#REF!</v>
      </c>
      <c r="GU76" t="e">
        <f>AND(#REF!,"AAAAAF/9nco=")</f>
        <v>#REF!</v>
      </c>
      <c r="GV76" t="e">
        <f>AND(#REF!,"AAAAAF/9ncs=")</f>
        <v>#REF!</v>
      </c>
      <c r="GW76" t="e">
        <f>AND(#REF!,"AAAAAF/9ncw=")</f>
        <v>#REF!</v>
      </c>
      <c r="GX76" t="e">
        <f>AND(#REF!,"AAAAAF/9nc0=")</f>
        <v>#REF!</v>
      </c>
      <c r="GY76" t="e">
        <f>AND(#REF!,"AAAAAF/9nc4=")</f>
        <v>#REF!</v>
      </c>
      <c r="GZ76" t="e">
        <f>AND(#REF!,"AAAAAF/9nc8=")</f>
        <v>#REF!</v>
      </c>
      <c r="HA76" t="e">
        <f>AND(#REF!,"AAAAAF/9ndA=")</f>
        <v>#REF!</v>
      </c>
      <c r="HB76" t="e">
        <f>IF(#REF!,"AAAAAF/9ndE=",0)</f>
        <v>#REF!</v>
      </c>
      <c r="HC76" t="e">
        <f>AND(#REF!,"AAAAAF/9ndI=")</f>
        <v>#REF!</v>
      </c>
      <c r="HD76" t="e">
        <f>AND(#REF!,"AAAAAF/9ndM=")</f>
        <v>#REF!</v>
      </c>
      <c r="HE76" t="e">
        <f>AND(#REF!,"AAAAAF/9ndQ=")</f>
        <v>#REF!</v>
      </c>
      <c r="HF76" t="e">
        <f>AND(#REF!,"AAAAAF/9ndU=")</f>
        <v>#REF!</v>
      </c>
      <c r="HG76" t="e">
        <f>AND(#REF!,"AAAAAF/9ndY=")</f>
        <v>#REF!</v>
      </c>
      <c r="HH76" t="e">
        <f>AND(#REF!,"AAAAAF/9ndc=")</f>
        <v>#REF!</v>
      </c>
      <c r="HI76" t="e">
        <f>AND(#REF!,"AAAAAF/9ndg=")</f>
        <v>#REF!</v>
      </c>
      <c r="HJ76" t="e">
        <f>AND(#REF!,"AAAAAF/9ndk=")</f>
        <v>#REF!</v>
      </c>
      <c r="HK76" t="e">
        <f>AND(#REF!,"AAAAAF/9ndo=")</f>
        <v>#REF!</v>
      </c>
      <c r="HL76" t="e">
        <f>AND(#REF!,"AAAAAF/9nds=")</f>
        <v>#REF!</v>
      </c>
      <c r="HM76" t="e">
        <f>IF(#REF!,"AAAAAF/9ndw=",0)</f>
        <v>#REF!</v>
      </c>
      <c r="HN76" t="e">
        <f>AND(#REF!,"AAAAAF/9nd0=")</f>
        <v>#REF!</v>
      </c>
      <c r="HO76" t="e">
        <f>AND(#REF!,"AAAAAF/9nd4=")</f>
        <v>#REF!</v>
      </c>
      <c r="HP76" t="e">
        <f>AND(#REF!,"AAAAAF/9nd8=")</f>
        <v>#REF!</v>
      </c>
      <c r="HQ76" t="e">
        <f>AND(#REF!,"AAAAAF/9neA=")</f>
        <v>#REF!</v>
      </c>
      <c r="HR76" t="e">
        <f>AND(#REF!,"AAAAAF/9neE=")</f>
        <v>#REF!</v>
      </c>
      <c r="HS76" t="e">
        <f>AND(#REF!,"AAAAAF/9neI=")</f>
        <v>#REF!</v>
      </c>
      <c r="HT76" t="e">
        <f>AND(#REF!,"AAAAAF/9neM=")</f>
        <v>#REF!</v>
      </c>
      <c r="HU76" t="e">
        <f>AND(#REF!,"AAAAAF/9neQ=")</f>
        <v>#REF!</v>
      </c>
      <c r="HV76" t="e">
        <f>AND(#REF!,"AAAAAF/9neU=")</f>
        <v>#REF!</v>
      </c>
      <c r="HW76" t="e">
        <f>AND(#REF!,"AAAAAF/9neY=")</f>
        <v>#REF!</v>
      </c>
      <c r="HX76" t="e">
        <f>IF(#REF!,"AAAAAF/9nec=",0)</f>
        <v>#REF!</v>
      </c>
      <c r="HY76" t="e">
        <f>AND(#REF!,"AAAAAF/9neg=")</f>
        <v>#REF!</v>
      </c>
      <c r="HZ76" t="e">
        <f>AND(#REF!,"AAAAAF/9nek=")</f>
        <v>#REF!</v>
      </c>
      <c r="IA76" t="e">
        <f>AND(#REF!,"AAAAAF/9neo=")</f>
        <v>#REF!</v>
      </c>
      <c r="IB76" t="e">
        <f>AND(#REF!,"AAAAAF/9nes=")</f>
        <v>#REF!</v>
      </c>
      <c r="IC76" t="e">
        <f>AND(#REF!,"AAAAAF/9new=")</f>
        <v>#REF!</v>
      </c>
      <c r="ID76" t="e">
        <f>AND(#REF!,"AAAAAF/9ne0=")</f>
        <v>#REF!</v>
      </c>
      <c r="IE76" t="e">
        <f>AND(#REF!,"AAAAAF/9ne4=")</f>
        <v>#REF!</v>
      </c>
      <c r="IF76" t="e">
        <f>AND(#REF!,"AAAAAF/9ne8=")</f>
        <v>#REF!</v>
      </c>
      <c r="IG76" t="e">
        <f>AND(#REF!,"AAAAAF/9nfA=")</f>
        <v>#REF!</v>
      </c>
      <c r="IH76" t="e">
        <f>AND(#REF!,"AAAAAF/9nfE=")</f>
        <v>#REF!</v>
      </c>
      <c r="II76" t="e">
        <f>IF(#REF!,"AAAAAF/9nfI=",0)</f>
        <v>#REF!</v>
      </c>
      <c r="IJ76" t="e">
        <f>AND(#REF!,"AAAAAF/9nfM=")</f>
        <v>#REF!</v>
      </c>
      <c r="IK76" t="e">
        <f>AND(#REF!,"AAAAAF/9nfQ=")</f>
        <v>#REF!</v>
      </c>
      <c r="IL76" t="e">
        <f>AND(#REF!,"AAAAAF/9nfU=")</f>
        <v>#REF!</v>
      </c>
      <c r="IM76" t="e">
        <f>AND(#REF!,"AAAAAF/9nfY=")</f>
        <v>#REF!</v>
      </c>
      <c r="IN76" t="e">
        <f>AND(#REF!,"AAAAAF/9nfc=")</f>
        <v>#REF!</v>
      </c>
      <c r="IO76" t="e">
        <f>AND(#REF!,"AAAAAF/9nfg=")</f>
        <v>#REF!</v>
      </c>
      <c r="IP76" t="e">
        <f>AND(#REF!,"AAAAAF/9nfk=")</f>
        <v>#REF!</v>
      </c>
      <c r="IQ76" t="e">
        <f>AND(#REF!,"AAAAAF/9nfo=")</f>
        <v>#REF!</v>
      </c>
      <c r="IR76" t="e">
        <f>AND(#REF!,"AAAAAF/9nfs=")</f>
        <v>#REF!</v>
      </c>
      <c r="IS76" t="e">
        <f>AND(#REF!,"AAAAAF/9nfw=")</f>
        <v>#REF!</v>
      </c>
      <c r="IT76" t="e">
        <f>IF(#REF!,"AAAAAF/9nf0=",0)</f>
        <v>#REF!</v>
      </c>
      <c r="IU76" t="e">
        <f>AND(#REF!,"AAAAAF/9nf4=")</f>
        <v>#REF!</v>
      </c>
      <c r="IV76" t="e">
        <f>AND(#REF!,"AAAAAF/9nf8=")</f>
        <v>#REF!</v>
      </c>
    </row>
    <row r="77" spans="1:256" x14ac:dyDescent="0.25">
      <c r="A77" t="e">
        <f>AND(#REF!,"AAAAAGgvtgA=")</f>
        <v>#REF!</v>
      </c>
      <c r="B77" t="e">
        <f>AND(#REF!,"AAAAAGgvtgE=")</f>
        <v>#REF!</v>
      </c>
      <c r="C77" t="e">
        <f>AND(#REF!,"AAAAAGgvtgI=")</f>
        <v>#REF!</v>
      </c>
      <c r="D77" t="e">
        <f>AND(#REF!,"AAAAAGgvtgM=")</f>
        <v>#REF!</v>
      </c>
      <c r="E77" t="e">
        <f>AND(#REF!,"AAAAAGgvtgQ=")</f>
        <v>#REF!</v>
      </c>
      <c r="F77" t="e">
        <f>AND(#REF!,"AAAAAGgvtgU=")</f>
        <v>#REF!</v>
      </c>
      <c r="G77" t="e">
        <f>AND(#REF!,"AAAAAGgvtgY=")</f>
        <v>#REF!</v>
      </c>
      <c r="H77" t="e">
        <f>AND(#REF!,"AAAAAGgvtgc=")</f>
        <v>#REF!</v>
      </c>
      <c r="I77" t="e">
        <f>IF(#REF!,"AAAAAGgvtgg=",0)</f>
        <v>#REF!</v>
      </c>
      <c r="J77" t="e">
        <f>AND(#REF!,"AAAAAGgvtgk=")</f>
        <v>#REF!</v>
      </c>
      <c r="K77" t="e">
        <f>AND(#REF!,"AAAAAGgvtgo=")</f>
        <v>#REF!</v>
      </c>
      <c r="L77" t="e">
        <f>AND(#REF!,"AAAAAGgvtgs=")</f>
        <v>#REF!</v>
      </c>
      <c r="M77" t="e">
        <f>AND(#REF!,"AAAAAGgvtgw=")</f>
        <v>#REF!</v>
      </c>
      <c r="N77" t="e">
        <f>AND(#REF!,"AAAAAGgvtg0=")</f>
        <v>#REF!</v>
      </c>
      <c r="O77" t="e">
        <f>AND(#REF!,"AAAAAGgvtg4=")</f>
        <v>#REF!</v>
      </c>
      <c r="P77" t="e">
        <f>AND(#REF!,"AAAAAGgvtg8=")</f>
        <v>#REF!</v>
      </c>
      <c r="Q77" t="e">
        <f>AND(#REF!,"AAAAAGgvthA=")</f>
        <v>#REF!</v>
      </c>
      <c r="R77" t="e">
        <f>AND(#REF!,"AAAAAGgvthE=")</f>
        <v>#REF!</v>
      </c>
      <c r="S77" t="e">
        <f>AND(#REF!,"AAAAAGgvthI=")</f>
        <v>#REF!</v>
      </c>
      <c r="T77" t="e">
        <f>IF(#REF!,"AAAAAGgvthM=",0)</f>
        <v>#REF!</v>
      </c>
      <c r="U77" t="e">
        <f>AND(#REF!,"AAAAAGgvthQ=")</f>
        <v>#REF!</v>
      </c>
      <c r="V77" t="e">
        <f>AND(#REF!,"AAAAAGgvthU=")</f>
        <v>#REF!</v>
      </c>
      <c r="W77" t="e">
        <f>AND(#REF!,"AAAAAGgvthY=")</f>
        <v>#REF!</v>
      </c>
      <c r="X77" t="e">
        <f>AND(#REF!,"AAAAAGgvthc=")</f>
        <v>#REF!</v>
      </c>
      <c r="Y77" t="e">
        <f>AND(#REF!,"AAAAAGgvthg=")</f>
        <v>#REF!</v>
      </c>
      <c r="Z77" t="e">
        <f>AND(#REF!,"AAAAAGgvthk=")</f>
        <v>#REF!</v>
      </c>
      <c r="AA77" t="e">
        <f>AND(#REF!,"AAAAAGgvtho=")</f>
        <v>#REF!</v>
      </c>
      <c r="AB77" t="e">
        <f>AND(#REF!,"AAAAAGgvths=")</f>
        <v>#REF!</v>
      </c>
      <c r="AC77" t="e">
        <f>AND(#REF!,"AAAAAGgvthw=")</f>
        <v>#REF!</v>
      </c>
      <c r="AD77" t="e">
        <f>AND(#REF!,"AAAAAGgvth0=")</f>
        <v>#REF!</v>
      </c>
      <c r="AE77" t="e">
        <f>IF(#REF!,"AAAAAGgvth4=",0)</f>
        <v>#REF!</v>
      </c>
      <c r="AF77" t="e">
        <f>AND(#REF!,"AAAAAGgvth8=")</f>
        <v>#REF!</v>
      </c>
      <c r="AG77" t="e">
        <f>AND(#REF!,"AAAAAGgvtiA=")</f>
        <v>#REF!</v>
      </c>
      <c r="AH77" t="e">
        <f>AND(#REF!,"AAAAAGgvtiE=")</f>
        <v>#REF!</v>
      </c>
      <c r="AI77" t="e">
        <f>AND(#REF!,"AAAAAGgvtiI=")</f>
        <v>#REF!</v>
      </c>
      <c r="AJ77" t="e">
        <f>AND(#REF!,"AAAAAGgvtiM=")</f>
        <v>#REF!</v>
      </c>
      <c r="AK77" t="e">
        <f>AND(#REF!,"AAAAAGgvtiQ=")</f>
        <v>#REF!</v>
      </c>
      <c r="AL77" t="e">
        <f>AND(#REF!,"AAAAAGgvtiU=")</f>
        <v>#REF!</v>
      </c>
      <c r="AM77" t="e">
        <f>AND(#REF!,"AAAAAGgvtiY=")</f>
        <v>#REF!</v>
      </c>
      <c r="AN77" t="e">
        <f>AND(#REF!,"AAAAAGgvtic=")</f>
        <v>#REF!</v>
      </c>
      <c r="AO77" t="e">
        <f>AND(#REF!,"AAAAAGgvtig=")</f>
        <v>#REF!</v>
      </c>
      <c r="AP77" t="e">
        <f>IF(#REF!,"AAAAAGgvtik=",0)</f>
        <v>#REF!</v>
      </c>
      <c r="AQ77" t="e">
        <f>AND(#REF!,"AAAAAGgvtio=")</f>
        <v>#REF!</v>
      </c>
      <c r="AR77" t="e">
        <f>AND(#REF!,"AAAAAGgvtis=")</f>
        <v>#REF!</v>
      </c>
      <c r="AS77" t="e">
        <f>AND(#REF!,"AAAAAGgvtiw=")</f>
        <v>#REF!</v>
      </c>
      <c r="AT77" t="e">
        <f>AND(#REF!,"AAAAAGgvti0=")</f>
        <v>#REF!</v>
      </c>
      <c r="AU77" t="e">
        <f>AND(#REF!,"AAAAAGgvti4=")</f>
        <v>#REF!</v>
      </c>
      <c r="AV77" t="e">
        <f>AND(#REF!,"AAAAAGgvti8=")</f>
        <v>#REF!</v>
      </c>
      <c r="AW77" t="e">
        <f>AND(#REF!,"AAAAAGgvtjA=")</f>
        <v>#REF!</v>
      </c>
      <c r="AX77" t="e">
        <f>AND(#REF!,"AAAAAGgvtjE=")</f>
        <v>#REF!</v>
      </c>
      <c r="AY77" t="e">
        <f>AND(#REF!,"AAAAAGgvtjI=")</f>
        <v>#REF!</v>
      </c>
      <c r="AZ77" t="e">
        <f>AND(#REF!,"AAAAAGgvtjM=")</f>
        <v>#REF!</v>
      </c>
      <c r="BA77" t="e">
        <f>IF(#REF!,"AAAAAGgvtjQ=",0)</f>
        <v>#REF!</v>
      </c>
      <c r="BB77" t="e">
        <f>AND(#REF!,"AAAAAGgvtjU=")</f>
        <v>#REF!</v>
      </c>
      <c r="BC77" t="e">
        <f>AND(#REF!,"AAAAAGgvtjY=")</f>
        <v>#REF!</v>
      </c>
      <c r="BD77" t="e">
        <f>AND(#REF!,"AAAAAGgvtjc=")</f>
        <v>#REF!</v>
      </c>
      <c r="BE77" t="e">
        <f>AND(#REF!,"AAAAAGgvtjg=")</f>
        <v>#REF!</v>
      </c>
      <c r="BF77" t="e">
        <f>AND(#REF!,"AAAAAGgvtjk=")</f>
        <v>#REF!</v>
      </c>
      <c r="BG77" t="e">
        <f>AND(#REF!,"AAAAAGgvtjo=")</f>
        <v>#REF!</v>
      </c>
      <c r="BH77" t="e">
        <f>AND(#REF!,"AAAAAGgvtjs=")</f>
        <v>#REF!</v>
      </c>
      <c r="BI77" t="e">
        <f>AND(#REF!,"AAAAAGgvtjw=")</f>
        <v>#REF!</v>
      </c>
      <c r="BJ77" t="e">
        <f>AND(#REF!,"AAAAAGgvtj0=")</f>
        <v>#REF!</v>
      </c>
      <c r="BK77" t="e">
        <f>AND(#REF!,"AAAAAGgvtj4=")</f>
        <v>#REF!</v>
      </c>
      <c r="BL77" t="e">
        <f>IF(#REF!,"AAAAAGgvtj8=",0)</f>
        <v>#REF!</v>
      </c>
      <c r="BM77" t="e">
        <f>AND(#REF!,"AAAAAGgvtkA=")</f>
        <v>#REF!</v>
      </c>
      <c r="BN77" t="e">
        <f>AND(#REF!,"AAAAAGgvtkE=")</f>
        <v>#REF!</v>
      </c>
      <c r="BO77" t="e">
        <f>AND(#REF!,"AAAAAGgvtkI=")</f>
        <v>#REF!</v>
      </c>
      <c r="BP77" t="e">
        <f>AND(#REF!,"AAAAAGgvtkM=")</f>
        <v>#REF!</v>
      </c>
      <c r="BQ77" t="e">
        <f>AND(#REF!,"AAAAAGgvtkQ=")</f>
        <v>#REF!</v>
      </c>
      <c r="BR77" t="e">
        <f>AND(#REF!,"AAAAAGgvtkU=")</f>
        <v>#REF!</v>
      </c>
      <c r="BS77" t="e">
        <f>AND(#REF!,"AAAAAGgvtkY=")</f>
        <v>#REF!</v>
      </c>
      <c r="BT77" t="e">
        <f>AND(#REF!,"AAAAAGgvtkc=")</f>
        <v>#REF!</v>
      </c>
      <c r="BU77" t="e">
        <f>AND(#REF!,"AAAAAGgvtkg=")</f>
        <v>#REF!</v>
      </c>
      <c r="BV77" t="e">
        <f>AND(#REF!,"AAAAAGgvtkk=")</f>
        <v>#REF!</v>
      </c>
      <c r="BW77" t="e">
        <f>IF(#REF!,"AAAAAGgvtko=",0)</f>
        <v>#REF!</v>
      </c>
      <c r="BX77" t="e">
        <f>AND(#REF!,"AAAAAGgvtks=")</f>
        <v>#REF!</v>
      </c>
      <c r="BY77" t="e">
        <f>AND(#REF!,"AAAAAGgvtkw=")</f>
        <v>#REF!</v>
      </c>
      <c r="BZ77" t="e">
        <f>AND(#REF!,"AAAAAGgvtk0=")</f>
        <v>#REF!</v>
      </c>
      <c r="CA77" t="e">
        <f>AND(#REF!,"AAAAAGgvtk4=")</f>
        <v>#REF!</v>
      </c>
      <c r="CB77" t="e">
        <f>AND(#REF!,"AAAAAGgvtk8=")</f>
        <v>#REF!</v>
      </c>
      <c r="CC77" t="e">
        <f>AND(#REF!,"AAAAAGgvtlA=")</f>
        <v>#REF!</v>
      </c>
      <c r="CD77" t="e">
        <f>AND(#REF!,"AAAAAGgvtlE=")</f>
        <v>#REF!</v>
      </c>
      <c r="CE77" t="e">
        <f>AND(#REF!,"AAAAAGgvtlI=")</f>
        <v>#REF!</v>
      </c>
      <c r="CF77" t="e">
        <f>AND(#REF!,"AAAAAGgvtlM=")</f>
        <v>#REF!</v>
      </c>
      <c r="CG77" t="e">
        <f>AND(#REF!,"AAAAAGgvtlQ=")</f>
        <v>#REF!</v>
      </c>
      <c r="CH77" t="e">
        <f>IF(#REF!,"AAAAAGgvtlU=",0)</f>
        <v>#REF!</v>
      </c>
      <c r="CI77" t="e">
        <f>AND(#REF!,"AAAAAGgvtlY=")</f>
        <v>#REF!</v>
      </c>
      <c r="CJ77" t="e">
        <f>AND(#REF!,"AAAAAGgvtlc=")</f>
        <v>#REF!</v>
      </c>
      <c r="CK77" t="e">
        <f>AND(#REF!,"AAAAAGgvtlg=")</f>
        <v>#REF!</v>
      </c>
      <c r="CL77" t="e">
        <f>AND(#REF!,"AAAAAGgvtlk=")</f>
        <v>#REF!</v>
      </c>
      <c r="CM77" t="e">
        <f>AND(#REF!,"AAAAAGgvtlo=")</f>
        <v>#REF!</v>
      </c>
      <c r="CN77" t="e">
        <f>AND(#REF!,"AAAAAGgvtls=")</f>
        <v>#REF!</v>
      </c>
      <c r="CO77" t="e">
        <f>AND(#REF!,"AAAAAGgvtlw=")</f>
        <v>#REF!</v>
      </c>
      <c r="CP77" t="e">
        <f>AND(#REF!,"AAAAAGgvtl0=")</f>
        <v>#REF!</v>
      </c>
      <c r="CQ77" t="e">
        <f>AND(#REF!,"AAAAAGgvtl4=")</f>
        <v>#REF!</v>
      </c>
      <c r="CR77" t="e">
        <f>AND(#REF!,"AAAAAGgvtl8=")</f>
        <v>#REF!</v>
      </c>
      <c r="CS77" t="e">
        <f>IF(#REF!,"AAAAAGgvtmA=",0)</f>
        <v>#REF!</v>
      </c>
      <c r="CT77" t="e">
        <f>AND(#REF!,"AAAAAGgvtmE=")</f>
        <v>#REF!</v>
      </c>
      <c r="CU77" t="e">
        <f>AND(#REF!,"AAAAAGgvtmI=")</f>
        <v>#REF!</v>
      </c>
      <c r="CV77" t="e">
        <f>AND(#REF!,"AAAAAGgvtmM=")</f>
        <v>#REF!</v>
      </c>
      <c r="CW77" t="e">
        <f>AND(#REF!,"AAAAAGgvtmQ=")</f>
        <v>#REF!</v>
      </c>
      <c r="CX77" t="e">
        <f>AND(#REF!,"AAAAAGgvtmU=")</f>
        <v>#REF!</v>
      </c>
      <c r="CY77" t="e">
        <f>AND(#REF!,"AAAAAGgvtmY=")</f>
        <v>#REF!</v>
      </c>
      <c r="CZ77" t="e">
        <f>AND(#REF!,"AAAAAGgvtmc=")</f>
        <v>#REF!</v>
      </c>
      <c r="DA77" t="e">
        <f>AND(#REF!,"AAAAAGgvtmg=")</f>
        <v>#REF!</v>
      </c>
      <c r="DB77" t="e">
        <f>AND(#REF!,"AAAAAGgvtmk=")</f>
        <v>#REF!</v>
      </c>
      <c r="DC77" t="e">
        <f>AND(#REF!,"AAAAAGgvtmo=")</f>
        <v>#REF!</v>
      </c>
      <c r="DD77" t="e">
        <f>IF(#REF!,"AAAAAGgvtms=",0)</f>
        <v>#REF!</v>
      </c>
      <c r="DE77" t="e">
        <f>AND(#REF!,"AAAAAGgvtmw=")</f>
        <v>#REF!</v>
      </c>
      <c r="DF77" t="e">
        <f>AND(#REF!,"AAAAAGgvtm0=")</f>
        <v>#REF!</v>
      </c>
      <c r="DG77" t="e">
        <f>AND(#REF!,"AAAAAGgvtm4=")</f>
        <v>#REF!</v>
      </c>
      <c r="DH77" t="e">
        <f>AND(#REF!,"AAAAAGgvtm8=")</f>
        <v>#REF!</v>
      </c>
      <c r="DI77" t="e">
        <f>AND(#REF!,"AAAAAGgvtnA=")</f>
        <v>#REF!</v>
      </c>
      <c r="DJ77" t="e">
        <f>AND(#REF!,"AAAAAGgvtnE=")</f>
        <v>#REF!</v>
      </c>
      <c r="DK77" t="e">
        <f>AND(#REF!,"AAAAAGgvtnI=")</f>
        <v>#REF!</v>
      </c>
      <c r="DL77" t="e">
        <f>AND(#REF!,"AAAAAGgvtnM=")</f>
        <v>#REF!</v>
      </c>
      <c r="DM77" t="e">
        <f>AND(#REF!,"AAAAAGgvtnQ=")</f>
        <v>#REF!</v>
      </c>
      <c r="DN77" t="e">
        <f>AND(#REF!,"AAAAAGgvtnU=")</f>
        <v>#REF!</v>
      </c>
      <c r="DO77" t="e">
        <f>IF(#REF!,"AAAAAGgvtnY=",0)</f>
        <v>#REF!</v>
      </c>
      <c r="DP77" t="e">
        <f>AND(#REF!,"AAAAAGgvtnc=")</f>
        <v>#REF!</v>
      </c>
      <c r="DQ77" t="e">
        <f>AND(#REF!,"AAAAAGgvtng=")</f>
        <v>#REF!</v>
      </c>
      <c r="DR77" t="e">
        <f>AND(#REF!,"AAAAAGgvtnk=")</f>
        <v>#REF!</v>
      </c>
      <c r="DS77" t="e">
        <f>AND(#REF!,"AAAAAGgvtno=")</f>
        <v>#REF!</v>
      </c>
      <c r="DT77" t="e">
        <f>AND(#REF!,"AAAAAGgvtns=")</f>
        <v>#REF!</v>
      </c>
      <c r="DU77" t="e">
        <f>AND(#REF!,"AAAAAGgvtnw=")</f>
        <v>#REF!</v>
      </c>
      <c r="DV77" t="e">
        <f>AND(#REF!,"AAAAAGgvtn0=")</f>
        <v>#REF!</v>
      </c>
      <c r="DW77" t="e">
        <f>AND(#REF!,"AAAAAGgvtn4=")</f>
        <v>#REF!</v>
      </c>
      <c r="DX77" t="e">
        <f>AND(#REF!,"AAAAAGgvtn8=")</f>
        <v>#REF!</v>
      </c>
      <c r="DY77" t="e">
        <f>AND(#REF!,"AAAAAGgvtoA=")</f>
        <v>#REF!</v>
      </c>
      <c r="DZ77" t="e">
        <f>IF(#REF!,"AAAAAGgvtoE=",0)</f>
        <v>#REF!</v>
      </c>
      <c r="EA77" t="e">
        <f>AND(#REF!,"AAAAAGgvtoI=")</f>
        <v>#REF!</v>
      </c>
      <c r="EB77" t="e">
        <f>AND(#REF!,"AAAAAGgvtoM=")</f>
        <v>#REF!</v>
      </c>
      <c r="EC77" t="e">
        <f>AND(#REF!,"AAAAAGgvtoQ=")</f>
        <v>#REF!</v>
      </c>
      <c r="ED77" t="e">
        <f>AND(#REF!,"AAAAAGgvtoU=")</f>
        <v>#REF!</v>
      </c>
      <c r="EE77" t="e">
        <f>AND(#REF!,"AAAAAGgvtoY=")</f>
        <v>#REF!</v>
      </c>
      <c r="EF77" t="e">
        <f>AND(#REF!,"AAAAAGgvtoc=")</f>
        <v>#REF!</v>
      </c>
      <c r="EG77" t="e">
        <f>AND(#REF!,"AAAAAGgvtog=")</f>
        <v>#REF!</v>
      </c>
      <c r="EH77" t="e">
        <f>AND(#REF!,"AAAAAGgvtok=")</f>
        <v>#REF!</v>
      </c>
      <c r="EI77" t="e">
        <f>AND(#REF!,"AAAAAGgvtoo=")</f>
        <v>#REF!</v>
      </c>
      <c r="EJ77" t="e">
        <f>AND(#REF!,"AAAAAGgvtos=")</f>
        <v>#REF!</v>
      </c>
      <c r="EK77" t="e">
        <f>IF(#REF!,"AAAAAGgvtow=",0)</f>
        <v>#REF!</v>
      </c>
      <c r="EL77" t="e">
        <f>AND(#REF!,"AAAAAGgvto0=")</f>
        <v>#REF!</v>
      </c>
      <c r="EM77" t="e">
        <f>AND(#REF!,"AAAAAGgvto4=")</f>
        <v>#REF!</v>
      </c>
      <c r="EN77" t="e">
        <f>AND(#REF!,"AAAAAGgvto8=")</f>
        <v>#REF!</v>
      </c>
      <c r="EO77" t="e">
        <f>AND(#REF!,"AAAAAGgvtpA=")</f>
        <v>#REF!</v>
      </c>
      <c r="EP77" t="e">
        <f>AND(#REF!,"AAAAAGgvtpE=")</f>
        <v>#REF!</v>
      </c>
      <c r="EQ77" t="e">
        <f>AND(#REF!,"AAAAAGgvtpI=")</f>
        <v>#REF!</v>
      </c>
      <c r="ER77" t="e">
        <f>AND(#REF!,"AAAAAGgvtpM=")</f>
        <v>#REF!</v>
      </c>
      <c r="ES77" t="e">
        <f>AND(#REF!,"AAAAAGgvtpQ=")</f>
        <v>#REF!</v>
      </c>
      <c r="ET77" t="e">
        <f>AND(#REF!,"AAAAAGgvtpU=")</f>
        <v>#REF!</v>
      </c>
      <c r="EU77" t="e">
        <f>AND(#REF!,"AAAAAGgvtpY=")</f>
        <v>#REF!</v>
      </c>
      <c r="EV77" t="e">
        <f>IF(#REF!,"AAAAAGgvtpc=",0)</f>
        <v>#REF!</v>
      </c>
      <c r="EW77" t="e">
        <f>AND(#REF!,"AAAAAGgvtpg=")</f>
        <v>#REF!</v>
      </c>
      <c r="EX77" t="e">
        <f>AND(#REF!,"AAAAAGgvtpk=")</f>
        <v>#REF!</v>
      </c>
      <c r="EY77" t="e">
        <f>AND(#REF!,"AAAAAGgvtpo=")</f>
        <v>#REF!</v>
      </c>
      <c r="EZ77" t="e">
        <f>AND(#REF!,"AAAAAGgvtps=")</f>
        <v>#REF!</v>
      </c>
      <c r="FA77" t="e">
        <f>AND(#REF!,"AAAAAGgvtpw=")</f>
        <v>#REF!</v>
      </c>
      <c r="FB77" t="e">
        <f>AND(#REF!,"AAAAAGgvtp0=")</f>
        <v>#REF!</v>
      </c>
      <c r="FC77" t="e">
        <f>AND(#REF!,"AAAAAGgvtp4=")</f>
        <v>#REF!</v>
      </c>
      <c r="FD77" t="e">
        <f>AND(#REF!,"AAAAAGgvtp8=")</f>
        <v>#REF!</v>
      </c>
      <c r="FE77" t="e">
        <f>AND(#REF!,"AAAAAGgvtqA=")</f>
        <v>#REF!</v>
      </c>
      <c r="FF77" t="e">
        <f>AND(#REF!,"AAAAAGgvtqE=")</f>
        <v>#REF!</v>
      </c>
      <c r="FG77" t="e">
        <f>IF(#REF!,"AAAAAGgvtqI=",0)</f>
        <v>#REF!</v>
      </c>
      <c r="FH77" t="e">
        <f>AND(#REF!,"AAAAAGgvtqM=")</f>
        <v>#REF!</v>
      </c>
      <c r="FI77" t="e">
        <f>AND(#REF!,"AAAAAGgvtqQ=")</f>
        <v>#REF!</v>
      </c>
      <c r="FJ77" t="e">
        <f>AND(#REF!,"AAAAAGgvtqU=")</f>
        <v>#REF!</v>
      </c>
      <c r="FK77" t="e">
        <f>AND(#REF!,"AAAAAGgvtqY=")</f>
        <v>#REF!</v>
      </c>
      <c r="FL77" t="e">
        <f>AND(#REF!,"AAAAAGgvtqc=")</f>
        <v>#REF!</v>
      </c>
      <c r="FM77" t="e">
        <f>AND(#REF!,"AAAAAGgvtqg=")</f>
        <v>#REF!</v>
      </c>
      <c r="FN77" t="e">
        <f>AND(#REF!,"AAAAAGgvtqk=")</f>
        <v>#REF!</v>
      </c>
      <c r="FO77" t="e">
        <f>AND(#REF!,"AAAAAGgvtqo=")</f>
        <v>#REF!</v>
      </c>
      <c r="FP77" t="e">
        <f>AND(#REF!,"AAAAAGgvtqs=")</f>
        <v>#REF!</v>
      </c>
      <c r="FQ77" t="e">
        <f>AND(#REF!,"AAAAAGgvtqw=")</f>
        <v>#REF!</v>
      </c>
      <c r="FR77" t="e">
        <f>IF(#REF!,"AAAAAGgvtq0=",0)</f>
        <v>#REF!</v>
      </c>
      <c r="FS77" t="e">
        <f>AND(#REF!,"AAAAAGgvtq4=")</f>
        <v>#REF!</v>
      </c>
      <c r="FT77" t="e">
        <f>AND(#REF!,"AAAAAGgvtq8=")</f>
        <v>#REF!</v>
      </c>
      <c r="FU77" t="e">
        <f>AND(#REF!,"AAAAAGgvtrA=")</f>
        <v>#REF!</v>
      </c>
      <c r="FV77" t="e">
        <f>AND(#REF!,"AAAAAGgvtrE=")</f>
        <v>#REF!</v>
      </c>
      <c r="FW77" t="e">
        <f>AND(#REF!,"AAAAAGgvtrI=")</f>
        <v>#REF!</v>
      </c>
      <c r="FX77" t="e">
        <f>AND(#REF!,"AAAAAGgvtrM=")</f>
        <v>#REF!</v>
      </c>
      <c r="FY77" t="e">
        <f>AND(#REF!,"AAAAAGgvtrQ=")</f>
        <v>#REF!</v>
      </c>
      <c r="FZ77" t="e">
        <f>AND(#REF!,"AAAAAGgvtrU=")</f>
        <v>#REF!</v>
      </c>
      <c r="GA77" t="e">
        <f>AND(#REF!,"AAAAAGgvtrY=")</f>
        <v>#REF!</v>
      </c>
      <c r="GB77" t="e">
        <f>AND(#REF!,"AAAAAGgvtrc=")</f>
        <v>#REF!</v>
      </c>
      <c r="GC77" t="e">
        <f>IF(#REF!,"AAAAAGgvtrg=",0)</f>
        <v>#REF!</v>
      </c>
      <c r="GD77" t="e">
        <f>AND(#REF!,"AAAAAGgvtrk=")</f>
        <v>#REF!</v>
      </c>
      <c r="GE77" t="e">
        <f>AND(#REF!,"AAAAAGgvtro=")</f>
        <v>#REF!</v>
      </c>
      <c r="GF77" t="e">
        <f>AND(#REF!,"AAAAAGgvtrs=")</f>
        <v>#REF!</v>
      </c>
      <c r="GG77" t="e">
        <f>AND(#REF!,"AAAAAGgvtrw=")</f>
        <v>#REF!</v>
      </c>
      <c r="GH77" t="e">
        <f>AND(#REF!,"AAAAAGgvtr0=")</f>
        <v>#REF!</v>
      </c>
      <c r="GI77" t="e">
        <f>AND(#REF!,"AAAAAGgvtr4=")</f>
        <v>#REF!</v>
      </c>
      <c r="GJ77" t="e">
        <f>AND(#REF!,"AAAAAGgvtr8=")</f>
        <v>#REF!</v>
      </c>
      <c r="GK77" t="e">
        <f>AND(#REF!,"AAAAAGgvtsA=")</f>
        <v>#REF!</v>
      </c>
      <c r="GL77" t="e">
        <f>AND(#REF!,"AAAAAGgvtsE=")</f>
        <v>#REF!</v>
      </c>
      <c r="GM77" t="e">
        <f>AND(#REF!,"AAAAAGgvtsI=")</f>
        <v>#REF!</v>
      </c>
      <c r="GN77" t="e">
        <f>IF(#REF!,"AAAAAGgvtsM=",0)</f>
        <v>#REF!</v>
      </c>
      <c r="GO77" t="e">
        <f>AND(#REF!,"AAAAAGgvtsQ=")</f>
        <v>#REF!</v>
      </c>
      <c r="GP77" t="e">
        <f>AND(#REF!,"AAAAAGgvtsU=")</f>
        <v>#REF!</v>
      </c>
      <c r="GQ77" t="e">
        <f>AND(#REF!,"AAAAAGgvtsY=")</f>
        <v>#REF!</v>
      </c>
      <c r="GR77" t="e">
        <f>AND(#REF!,"AAAAAGgvtsc=")</f>
        <v>#REF!</v>
      </c>
      <c r="GS77" t="e">
        <f>AND(#REF!,"AAAAAGgvtsg=")</f>
        <v>#REF!</v>
      </c>
      <c r="GT77" t="e">
        <f>AND(#REF!,"AAAAAGgvtsk=")</f>
        <v>#REF!</v>
      </c>
      <c r="GU77" t="e">
        <f>AND(#REF!,"AAAAAGgvtso=")</f>
        <v>#REF!</v>
      </c>
      <c r="GV77" t="e">
        <f>AND(#REF!,"AAAAAGgvtss=")</f>
        <v>#REF!</v>
      </c>
      <c r="GW77" t="e">
        <f>AND(#REF!,"AAAAAGgvtsw=")</f>
        <v>#REF!</v>
      </c>
      <c r="GX77" t="e">
        <f>AND(#REF!,"AAAAAGgvts0=")</f>
        <v>#REF!</v>
      </c>
      <c r="GY77" t="e">
        <f>IF(#REF!,"AAAAAGgvts4=",0)</f>
        <v>#REF!</v>
      </c>
      <c r="GZ77" t="e">
        <f>AND(#REF!,"AAAAAGgvts8=")</f>
        <v>#REF!</v>
      </c>
      <c r="HA77" t="e">
        <f>AND(#REF!,"AAAAAGgvttA=")</f>
        <v>#REF!</v>
      </c>
      <c r="HB77" t="e">
        <f>AND(#REF!,"AAAAAGgvttE=")</f>
        <v>#REF!</v>
      </c>
      <c r="HC77" t="e">
        <f>AND(#REF!,"AAAAAGgvttI=")</f>
        <v>#REF!</v>
      </c>
      <c r="HD77" t="e">
        <f>AND(#REF!,"AAAAAGgvttM=")</f>
        <v>#REF!</v>
      </c>
      <c r="HE77" t="e">
        <f>AND(#REF!,"AAAAAGgvttQ=")</f>
        <v>#REF!</v>
      </c>
      <c r="HF77" t="e">
        <f>AND(#REF!,"AAAAAGgvttU=")</f>
        <v>#REF!</v>
      </c>
      <c r="HG77" t="e">
        <f>AND(#REF!,"AAAAAGgvttY=")</f>
        <v>#REF!</v>
      </c>
      <c r="HH77" t="e">
        <f>AND(#REF!,"AAAAAGgvttc=")</f>
        <v>#REF!</v>
      </c>
      <c r="HI77" t="e">
        <f>AND(#REF!,"AAAAAGgvttg=")</f>
        <v>#REF!</v>
      </c>
      <c r="HJ77" t="e">
        <f>IF(#REF!,"AAAAAGgvttk=",0)</f>
        <v>#REF!</v>
      </c>
      <c r="HK77" t="e">
        <f>AND(#REF!,"AAAAAGgvtto=")</f>
        <v>#REF!</v>
      </c>
      <c r="HL77" t="e">
        <f>AND(#REF!,"AAAAAGgvtts=")</f>
        <v>#REF!</v>
      </c>
      <c r="HM77" t="e">
        <f>AND(#REF!,"AAAAAGgvttw=")</f>
        <v>#REF!</v>
      </c>
      <c r="HN77" t="e">
        <f>AND(#REF!,"AAAAAGgvtt0=")</f>
        <v>#REF!</v>
      </c>
      <c r="HO77" t="e">
        <f>AND(#REF!,"AAAAAGgvtt4=")</f>
        <v>#REF!</v>
      </c>
      <c r="HP77" t="e">
        <f>AND(#REF!,"AAAAAGgvtt8=")</f>
        <v>#REF!</v>
      </c>
      <c r="HQ77" t="e">
        <f>AND(#REF!,"AAAAAGgvtuA=")</f>
        <v>#REF!</v>
      </c>
      <c r="HR77" t="e">
        <f>AND(#REF!,"AAAAAGgvtuE=")</f>
        <v>#REF!</v>
      </c>
      <c r="HS77" t="e">
        <f>AND(#REF!,"AAAAAGgvtuI=")</f>
        <v>#REF!</v>
      </c>
      <c r="HT77" t="e">
        <f>AND(#REF!,"AAAAAGgvtuM=")</f>
        <v>#REF!</v>
      </c>
      <c r="HU77" t="e">
        <f>IF(#REF!,"AAAAAGgvtuQ=",0)</f>
        <v>#REF!</v>
      </c>
      <c r="HV77" t="e">
        <f>AND(#REF!,"AAAAAGgvtuU=")</f>
        <v>#REF!</v>
      </c>
      <c r="HW77" t="e">
        <f>AND(#REF!,"AAAAAGgvtuY=")</f>
        <v>#REF!</v>
      </c>
      <c r="HX77" t="e">
        <f>AND(#REF!,"AAAAAGgvtuc=")</f>
        <v>#REF!</v>
      </c>
      <c r="HY77" t="e">
        <f>AND(#REF!,"AAAAAGgvtug=")</f>
        <v>#REF!</v>
      </c>
      <c r="HZ77" t="e">
        <f>AND(#REF!,"AAAAAGgvtuk=")</f>
        <v>#REF!</v>
      </c>
      <c r="IA77" t="e">
        <f>AND(#REF!,"AAAAAGgvtuo=")</f>
        <v>#REF!</v>
      </c>
      <c r="IB77" t="e">
        <f>AND(#REF!,"AAAAAGgvtus=")</f>
        <v>#REF!</v>
      </c>
      <c r="IC77" t="e">
        <f>AND(#REF!,"AAAAAGgvtuw=")</f>
        <v>#REF!</v>
      </c>
      <c r="ID77" t="e">
        <f>AND(#REF!,"AAAAAGgvtu0=")</f>
        <v>#REF!</v>
      </c>
      <c r="IE77" t="e">
        <f>AND(#REF!,"AAAAAGgvtu4=")</f>
        <v>#REF!</v>
      </c>
      <c r="IF77" t="e">
        <f>IF(#REF!,"AAAAAGgvtu8=",0)</f>
        <v>#REF!</v>
      </c>
      <c r="IG77" t="e">
        <f>AND(#REF!,"AAAAAGgvtvA=")</f>
        <v>#REF!</v>
      </c>
      <c r="IH77" t="e">
        <f>AND(#REF!,"AAAAAGgvtvE=")</f>
        <v>#REF!</v>
      </c>
      <c r="II77" t="e">
        <f>AND(#REF!,"AAAAAGgvtvI=")</f>
        <v>#REF!</v>
      </c>
      <c r="IJ77" t="e">
        <f>AND(#REF!,"AAAAAGgvtvM=")</f>
        <v>#REF!</v>
      </c>
      <c r="IK77" t="e">
        <f>AND(#REF!,"AAAAAGgvtvQ=")</f>
        <v>#REF!</v>
      </c>
      <c r="IL77" t="e">
        <f>AND(#REF!,"AAAAAGgvtvU=")</f>
        <v>#REF!</v>
      </c>
      <c r="IM77" t="e">
        <f>AND(#REF!,"AAAAAGgvtvY=")</f>
        <v>#REF!</v>
      </c>
      <c r="IN77" t="e">
        <f>AND(#REF!,"AAAAAGgvtvc=")</f>
        <v>#REF!</v>
      </c>
      <c r="IO77" t="e">
        <f>AND(#REF!,"AAAAAGgvtvg=")</f>
        <v>#REF!</v>
      </c>
      <c r="IP77" t="e">
        <f>AND(#REF!,"AAAAAGgvtvk=")</f>
        <v>#REF!</v>
      </c>
      <c r="IQ77" t="e">
        <f>IF(#REF!,"AAAAAGgvtvo=",0)</f>
        <v>#REF!</v>
      </c>
      <c r="IR77" t="e">
        <f>AND(#REF!,"AAAAAGgvtvs=")</f>
        <v>#REF!</v>
      </c>
      <c r="IS77" t="e">
        <f>AND(#REF!,"AAAAAGgvtvw=")</f>
        <v>#REF!</v>
      </c>
      <c r="IT77" t="e">
        <f>AND(#REF!,"AAAAAGgvtv0=")</f>
        <v>#REF!</v>
      </c>
      <c r="IU77" t="e">
        <f>AND(#REF!,"AAAAAGgvtv4=")</f>
        <v>#REF!</v>
      </c>
      <c r="IV77" t="e">
        <f>AND(#REF!,"AAAAAGgvtv8=")</f>
        <v>#REF!</v>
      </c>
    </row>
    <row r="78" spans="1:256" x14ac:dyDescent="0.25">
      <c r="A78" t="e">
        <f>AND(#REF!,"AAAAAEyV5gA=")</f>
        <v>#REF!</v>
      </c>
      <c r="B78" t="e">
        <f>AND(#REF!,"AAAAAEyV5gE=")</f>
        <v>#REF!</v>
      </c>
      <c r="C78" t="e">
        <f>AND(#REF!,"AAAAAEyV5gI=")</f>
        <v>#REF!</v>
      </c>
      <c r="D78" t="e">
        <f>AND(#REF!,"AAAAAEyV5gM=")</f>
        <v>#REF!</v>
      </c>
      <c r="E78" t="e">
        <f>AND(#REF!,"AAAAAEyV5gQ=")</f>
        <v>#REF!</v>
      </c>
      <c r="F78" t="e">
        <f>IF(#REF!,"AAAAAEyV5gU=",0)</f>
        <v>#REF!</v>
      </c>
      <c r="G78" t="e">
        <f>AND(#REF!,"AAAAAEyV5gY=")</f>
        <v>#REF!</v>
      </c>
      <c r="H78" t="e">
        <f>AND(#REF!,"AAAAAEyV5gc=")</f>
        <v>#REF!</v>
      </c>
      <c r="I78" t="e">
        <f>AND(#REF!,"AAAAAEyV5gg=")</f>
        <v>#REF!</v>
      </c>
      <c r="J78" t="e">
        <f>AND(#REF!,"AAAAAEyV5gk=")</f>
        <v>#REF!</v>
      </c>
      <c r="K78" t="e">
        <f>AND(#REF!,"AAAAAEyV5go=")</f>
        <v>#REF!</v>
      </c>
      <c r="L78" t="e">
        <f>AND(#REF!,"AAAAAEyV5gs=")</f>
        <v>#REF!</v>
      </c>
      <c r="M78" t="e">
        <f>AND(#REF!,"AAAAAEyV5gw=")</f>
        <v>#REF!</v>
      </c>
      <c r="N78" t="e">
        <f>AND(#REF!,"AAAAAEyV5g0=")</f>
        <v>#REF!</v>
      </c>
      <c r="O78" t="e">
        <f>AND(#REF!,"AAAAAEyV5g4=")</f>
        <v>#REF!</v>
      </c>
      <c r="P78" t="e">
        <f>AND(#REF!,"AAAAAEyV5g8=")</f>
        <v>#REF!</v>
      </c>
      <c r="Q78" t="e">
        <f>IF(#REF!,"AAAAAEyV5hA=",0)</f>
        <v>#REF!</v>
      </c>
      <c r="R78" t="e">
        <f>AND(#REF!,"AAAAAEyV5hE=")</f>
        <v>#REF!</v>
      </c>
      <c r="S78" t="e">
        <f>AND(#REF!,"AAAAAEyV5hI=")</f>
        <v>#REF!</v>
      </c>
      <c r="T78" t="e">
        <f>AND(#REF!,"AAAAAEyV5hM=")</f>
        <v>#REF!</v>
      </c>
      <c r="U78" t="e">
        <f>AND(#REF!,"AAAAAEyV5hQ=")</f>
        <v>#REF!</v>
      </c>
      <c r="V78" t="e">
        <f>AND(#REF!,"AAAAAEyV5hU=")</f>
        <v>#REF!</v>
      </c>
      <c r="W78" t="e">
        <f>AND(#REF!,"AAAAAEyV5hY=")</f>
        <v>#REF!</v>
      </c>
      <c r="X78" t="e">
        <f>AND(#REF!,"AAAAAEyV5hc=")</f>
        <v>#REF!</v>
      </c>
      <c r="Y78" t="e">
        <f>AND(#REF!,"AAAAAEyV5hg=")</f>
        <v>#REF!</v>
      </c>
      <c r="Z78" t="e">
        <f>AND(#REF!,"AAAAAEyV5hk=")</f>
        <v>#REF!</v>
      </c>
      <c r="AA78" t="e">
        <f>AND(#REF!,"AAAAAEyV5ho=")</f>
        <v>#REF!</v>
      </c>
      <c r="AB78" t="e">
        <f>IF(#REF!,"AAAAAEyV5hs=",0)</f>
        <v>#REF!</v>
      </c>
      <c r="AC78" t="e">
        <f>AND(#REF!,"AAAAAEyV5hw=")</f>
        <v>#REF!</v>
      </c>
      <c r="AD78" t="e">
        <f>AND(#REF!,"AAAAAEyV5h0=")</f>
        <v>#REF!</v>
      </c>
      <c r="AE78" t="e">
        <f>AND(#REF!,"AAAAAEyV5h4=")</f>
        <v>#REF!</v>
      </c>
      <c r="AF78" t="e">
        <f>AND(#REF!,"AAAAAEyV5h8=")</f>
        <v>#REF!</v>
      </c>
      <c r="AG78" t="e">
        <f>AND(#REF!,"AAAAAEyV5iA=")</f>
        <v>#REF!</v>
      </c>
      <c r="AH78" t="e">
        <f>AND(#REF!,"AAAAAEyV5iE=")</f>
        <v>#REF!</v>
      </c>
      <c r="AI78" t="e">
        <f>AND(#REF!,"AAAAAEyV5iI=")</f>
        <v>#REF!</v>
      </c>
      <c r="AJ78" t="e">
        <f>AND(#REF!,"AAAAAEyV5iM=")</f>
        <v>#REF!</v>
      </c>
      <c r="AK78" t="e">
        <f>AND(#REF!,"AAAAAEyV5iQ=")</f>
        <v>#REF!</v>
      </c>
      <c r="AL78" t="e">
        <f>AND(#REF!,"AAAAAEyV5iU=")</f>
        <v>#REF!</v>
      </c>
      <c r="AM78" t="e">
        <f>IF(#REF!,"AAAAAEyV5iY=",0)</f>
        <v>#REF!</v>
      </c>
      <c r="AN78" t="e">
        <f>AND(#REF!,"AAAAAEyV5ic=")</f>
        <v>#REF!</v>
      </c>
      <c r="AO78" t="e">
        <f>AND(#REF!,"AAAAAEyV5ig=")</f>
        <v>#REF!</v>
      </c>
      <c r="AP78" t="e">
        <f>AND(#REF!,"AAAAAEyV5ik=")</f>
        <v>#REF!</v>
      </c>
      <c r="AQ78" t="e">
        <f>AND(#REF!,"AAAAAEyV5io=")</f>
        <v>#REF!</v>
      </c>
      <c r="AR78" t="e">
        <f>AND(#REF!,"AAAAAEyV5is=")</f>
        <v>#REF!</v>
      </c>
      <c r="AS78" t="e">
        <f>AND(#REF!,"AAAAAEyV5iw=")</f>
        <v>#REF!</v>
      </c>
      <c r="AT78" t="e">
        <f>AND(#REF!,"AAAAAEyV5i0=")</f>
        <v>#REF!</v>
      </c>
      <c r="AU78" t="e">
        <f>AND(#REF!,"AAAAAEyV5i4=")</f>
        <v>#REF!</v>
      </c>
      <c r="AV78" t="e">
        <f>AND(#REF!,"AAAAAEyV5i8=")</f>
        <v>#REF!</v>
      </c>
      <c r="AW78" t="e">
        <f>AND(#REF!,"AAAAAEyV5jA=")</f>
        <v>#REF!</v>
      </c>
      <c r="AX78" t="e">
        <f>IF(#REF!,"AAAAAEyV5jE=",0)</f>
        <v>#REF!</v>
      </c>
      <c r="AY78" t="e">
        <f>AND(#REF!,"AAAAAEyV5jI=")</f>
        <v>#REF!</v>
      </c>
      <c r="AZ78" t="e">
        <f>AND(#REF!,"AAAAAEyV5jM=")</f>
        <v>#REF!</v>
      </c>
      <c r="BA78" t="e">
        <f>AND(#REF!,"AAAAAEyV5jQ=")</f>
        <v>#REF!</v>
      </c>
      <c r="BB78" t="e">
        <f>AND(#REF!,"AAAAAEyV5jU=")</f>
        <v>#REF!</v>
      </c>
      <c r="BC78" t="e">
        <f>AND(#REF!,"AAAAAEyV5jY=")</f>
        <v>#REF!</v>
      </c>
      <c r="BD78" t="e">
        <f>AND(#REF!,"AAAAAEyV5jc=")</f>
        <v>#REF!</v>
      </c>
      <c r="BE78" t="e">
        <f>AND(#REF!,"AAAAAEyV5jg=")</f>
        <v>#REF!</v>
      </c>
      <c r="BF78" t="e">
        <f>AND(#REF!,"AAAAAEyV5jk=")</f>
        <v>#REF!</v>
      </c>
      <c r="BG78" t="e">
        <f>AND(#REF!,"AAAAAEyV5jo=")</f>
        <v>#REF!</v>
      </c>
      <c r="BH78" t="e">
        <f>AND(#REF!,"AAAAAEyV5js=")</f>
        <v>#REF!</v>
      </c>
      <c r="BI78" t="e">
        <f>IF(#REF!,"AAAAAEyV5jw=",0)</f>
        <v>#REF!</v>
      </c>
      <c r="BJ78" t="e">
        <f>AND(#REF!,"AAAAAEyV5j0=")</f>
        <v>#REF!</v>
      </c>
      <c r="BK78" t="e">
        <f>AND(#REF!,"AAAAAEyV5j4=")</f>
        <v>#REF!</v>
      </c>
      <c r="BL78" t="e">
        <f>AND(#REF!,"AAAAAEyV5j8=")</f>
        <v>#REF!</v>
      </c>
      <c r="BM78" t="e">
        <f>AND(#REF!,"AAAAAEyV5kA=")</f>
        <v>#REF!</v>
      </c>
      <c r="BN78" t="e">
        <f>AND(#REF!,"AAAAAEyV5kE=")</f>
        <v>#REF!</v>
      </c>
      <c r="BO78" t="e">
        <f>AND(#REF!,"AAAAAEyV5kI=")</f>
        <v>#REF!</v>
      </c>
      <c r="BP78" t="e">
        <f>AND(#REF!,"AAAAAEyV5kM=")</f>
        <v>#REF!</v>
      </c>
      <c r="BQ78" t="e">
        <f>AND(#REF!,"AAAAAEyV5kQ=")</f>
        <v>#REF!</v>
      </c>
      <c r="BR78" t="e">
        <f>AND(#REF!,"AAAAAEyV5kU=")</f>
        <v>#REF!</v>
      </c>
      <c r="BS78" t="e">
        <f>AND(#REF!,"AAAAAEyV5kY=")</f>
        <v>#REF!</v>
      </c>
      <c r="BT78" t="e">
        <f>IF(#REF!,"AAAAAEyV5kc=",0)</f>
        <v>#REF!</v>
      </c>
      <c r="BU78" t="e">
        <f>AND(#REF!,"AAAAAEyV5kg=")</f>
        <v>#REF!</v>
      </c>
      <c r="BV78" t="e">
        <f>AND(#REF!,"AAAAAEyV5kk=")</f>
        <v>#REF!</v>
      </c>
      <c r="BW78" t="e">
        <f>AND(#REF!,"AAAAAEyV5ko=")</f>
        <v>#REF!</v>
      </c>
      <c r="BX78" t="e">
        <f>AND(#REF!,"AAAAAEyV5ks=")</f>
        <v>#REF!</v>
      </c>
      <c r="BY78" t="e">
        <f>AND(#REF!,"AAAAAEyV5kw=")</f>
        <v>#REF!</v>
      </c>
      <c r="BZ78" t="e">
        <f>AND(#REF!,"AAAAAEyV5k0=")</f>
        <v>#REF!</v>
      </c>
      <c r="CA78" t="e">
        <f>AND(#REF!,"AAAAAEyV5k4=")</f>
        <v>#REF!</v>
      </c>
      <c r="CB78" t="e">
        <f>AND(#REF!,"AAAAAEyV5k8=")</f>
        <v>#REF!</v>
      </c>
      <c r="CC78" t="e">
        <f>AND(#REF!,"AAAAAEyV5lA=")</f>
        <v>#REF!</v>
      </c>
      <c r="CD78" t="e">
        <f>AND(#REF!,"AAAAAEyV5lE=")</f>
        <v>#REF!</v>
      </c>
      <c r="CE78" t="e">
        <f>IF(#REF!,"AAAAAEyV5lI=",0)</f>
        <v>#REF!</v>
      </c>
      <c r="CF78" t="e">
        <f>AND(#REF!,"AAAAAEyV5lM=")</f>
        <v>#REF!</v>
      </c>
      <c r="CG78" t="e">
        <f>AND(#REF!,"AAAAAEyV5lQ=")</f>
        <v>#REF!</v>
      </c>
      <c r="CH78" t="e">
        <f>AND(#REF!,"AAAAAEyV5lU=")</f>
        <v>#REF!</v>
      </c>
      <c r="CI78" t="e">
        <f>AND(#REF!,"AAAAAEyV5lY=")</f>
        <v>#REF!</v>
      </c>
      <c r="CJ78" t="e">
        <f>AND(#REF!,"AAAAAEyV5lc=")</f>
        <v>#REF!</v>
      </c>
      <c r="CK78" t="e">
        <f>AND(#REF!,"AAAAAEyV5lg=")</f>
        <v>#REF!</v>
      </c>
      <c r="CL78" t="e">
        <f>AND(#REF!,"AAAAAEyV5lk=")</f>
        <v>#REF!</v>
      </c>
      <c r="CM78" t="e">
        <f>AND(#REF!,"AAAAAEyV5lo=")</f>
        <v>#REF!</v>
      </c>
      <c r="CN78" t="e">
        <f>AND(#REF!,"AAAAAEyV5ls=")</f>
        <v>#REF!</v>
      </c>
      <c r="CO78" t="e">
        <f>AND(#REF!,"AAAAAEyV5lw=")</f>
        <v>#REF!</v>
      </c>
      <c r="CP78" t="e">
        <f>IF(#REF!,"AAAAAEyV5l0=",0)</f>
        <v>#REF!</v>
      </c>
      <c r="CQ78" t="e">
        <f>AND(#REF!,"AAAAAEyV5l4=")</f>
        <v>#REF!</v>
      </c>
      <c r="CR78" t="e">
        <f>AND(#REF!,"AAAAAEyV5l8=")</f>
        <v>#REF!</v>
      </c>
      <c r="CS78" t="e">
        <f>AND(#REF!,"AAAAAEyV5mA=")</f>
        <v>#REF!</v>
      </c>
      <c r="CT78" t="e">
        <f>AND(#REF!,"AAAAAEyV5mE=")</f>
        <v>#REF!</v>
      </c>
      <c r="CU78" t="e">
        <f>AND(#REF!,"AAAAAEyV5mI=")</f>
        <v>#REF!</v>
      </c>
      <c r="CV78" t="e">
        <f>AND(#REF!,"AAAAAEyV5mM=")</f>
        <v>#REF!</v>
      </c>
      <c r="CW78" t="e">
        <f>AND(#REF!,"AAAAAEyV5mQ=")</f>
        <v>#REF!</v>
      </c>
      <c r="CX78" t="e">
        <f>AND(#REF!,"AAAAAEyV5mU=")</f>
        <v>#REF!</v>
      </c>
      <c r="CY78" t="e">
        <f>AND(#REF!,"AAAAAEyV5mY=")</f>
        <v>#REF!</v>
      </c>
      <c r="CZ78" t="e">
        <f>AND(#REF!,"AAAAAEyV5mc=")</f>
        <v>#REF!</v>
      </c>
      <c r="DA78" t="e">
        <f>IF(#REF!,"AAAAAEyV5mg=",0)</f>
        <v>#REF!</v>
      </c>
      <c r="DB78" t="e">
        <f>AND(#REF!,"AAAAAEyV5mk=")</f>
        <v>#REF!</v>
      </c>
      <c r="DC78" t="e">
        <f>AND(#REF!,"AAAAAEyV5mo=")</f>
        <v>#REF!</v>
      </c>
      <c r="DD78" t="e">
        <f>AND(#REF!,"AAAAAEyV5ms=")</f>
        <v>#REF!</v>
      </c>
      <c r="DE78" t="e">
        <f>AND(#REF!,"AAAAAEyV5mw=")</f>
        <v>#REF!</v>
      </c>
      <c r="DF78" t="e">
        <f>AND(#REF!,"AAAAAEyV5m0=")</f>
        <v>#REF!</v>
      </c>
      <c r="DG78" t="e">
        <f>AND(#REF!,"AAAAAEyV5m4=")</f>
        <v>#REF!</v>
      </c>
      <c r="DH78" t="e">
        <f>AND(#REF!,"AAAAAEyV5m8=")</f>
        <v>#REF!</v>
      </c>
      <c r="DI78" t="e">
        <f>AND(#REF!,"AAAAAEyV5nA=")</f>
        <v>#REF!</v>
      </c>
      <c r="DJ78" t="e">
        <f>AND(#REF!,"AAAAAEyV5nE=")</f>
        <v>#REF!</v>
      </c>
      <c r="DK78" t="e">
        <f>AND(#REF!,"AAAAAEyV5nI=")</f>
        <v>#REF!</v>
      </c>
      <c r="DL78" t="e">
        <f>IF(#REF!,"AAAAAEyV5nM=",0)</f>
        <v>#REF!</v>
      </c>
      <c r="DM78" t="e">
        <f>AND(#REF!,"AAAAAEyV5nQ=")</f>
        <v>#REF!</v>
      </c>
      <c r="DN78" t="e">
        <f>AND(#REF!,"AAAAAEyV5nU=")</f>
        <v>#REF!</v>
      </c>
      <c r="DO78" t="e">
        <f>AND(#REF!,"AAAAAEyV5nY=")</f>
        <v>#REF!</v>
      </c>
      <c r="DP78" t="e">
        <f>AND(#REF!,"AAAAAEyV5nc=")</f>
        <v>#REF!</v>
      </c>
      <c r="DQ78" t="e">
        <f>AND(#REF!,"AAAAAEyV5ng=")</f>
        <v>#REF!</v>
      </c>
      <c r="DR78" t="e">
        <f>AND(#REF!,"AAAAAEyV5nk=")</f>
        <v>#REF!</v>
      </c>
      <c r="DS78" t="e">
        <f>AND(#REF!,"AAAAAEyV5no=")</f>
        <v>#REF!</v>
      </c>
      <c r="DT78" t="e">
        <f>AND(#REF!,"AAAAAEyV5ns=")</f>
        <v>#REF!</v>
      </c>
      <c r="DU78" t="e">
        <f>AND(#REF!,"AAAAAEyV5nw=")</f>
        <v>#REF!</v>
      </c>
      <c r="DV78" t="e">
        <f>AND(#REF!,"AAAAAEyV5n0=")</f>
        <v>#REF!</v>
      </c>
      <c r="DW78" t="e">
        <f>IF(#REF!,"AAAAAEyV5n4=",0)</f>
        <v>#REF!</v>
      </c>
      <c r="DX78" t="e">
        <f>AND(#REF!,"AAAAAEyV5n8=")</f>
        <v>#REF!</v>
      </c>
      <c r="DY78" t="e">
        <f>AND(#REF!,"AAAAAEyV5oA=")</f>
        <v>#REF!</v>
      </c>
      <c r="DZ78" t="e">
        <f>AND(#REF!,"AAAAAEyV5oE=")</f>
        <v>#REF!</v>
      </c>
      <c r="EA78" t="e">
        <f>AND(#REF!,"AAAAAEyV5oI=")</f>
        <v>#REF!</v>
      </c>
      <c r="EB78" t="e">
        <f>AND(#REF!,"AAAAAEyV5oM=")</f>
        <v>#REF!</v>
      </c>
      <c r="EC78" t="e">
        <f>AND(#REF!,"AAAAAEyV5oQ=")</f>
        <v>#REF!</v>
      </c>
      <c r="ED78" t="e">
        <f>AND(#REF!,"AAAAAEyV5oU=")</f>
        <v>#REF!</v>
      </c>
      <c r="EE78" t="e">
        <f>AND(#REF!,"AAAAAEyV5oY=")</f>
        <v>#REF!</v>
      </c>
      <c r="EF78" t="e">
        <f>AND(#REF!,"AAAAAEyV5oc=")</f>
        <v>#REF!</v>
      </c>
      <c r="EG78" t="e">
        <f>AND(#REF!,"AAAAAEyV5og=")</f>
        <v>#REF!</v>
      </c>
      <c r="EH78" t="e">
        <f>IF(#REF!,"AAAAAEyV5ok=",0)</f>
        <v>#REF!</v>
      </c>
      <c r="EI78" t="e">
        <f>AND(#REF!,"AAAAAEyV5oo=")</f>
        <v>#REF!</v>
      </c>
      <c r="EJ78" t="e">
        <f>AND(#REF!,"AAAAAEyV5os=")</f>
        <v>#REF!</v>
      </c>
      <c r="EK78" t="e">
        <f>AND(#REF!,"AAAAAEyV5ow=")</f>
        <v>#REF!</v>
      </c>
      <c r="EL78" t="e">
        <f>AND(#REF!,"AAAAAEyV5o0=")</f>
        <v>#REF!</v>
      </c>
      <c r="EM78" t="e">
        <f>AND(#REF!,"AAAAAEyV5o4=")</f>
        <v>#REF!</v>
      </c>
      <c r="EN78" t="e">
        <f>AND(#REF!,"AAAAAEyV5o8=")</f>
        <v>#REF!</v>
      </c>
      <c r="EO78" t="e">
        <f>AND(#REF!,"AAAAAEyV5pA=")</f>
        <v>#REF!</v>
      </c>
      <c r="EP78" t="e">
        <f>AND(#REF!,"AAAAAEyV5pE=")</f>
        <v>#REF!</v>
      </c>
      <c r="EQ78" t="e">
        <f>AND(#REF!,"AAAAAEyV5pI=")</f>
        <v>#REF!</v>
      </c>
      <c r="ER78" t="e">
        <f>AND(#REF!,"AAAAAEyV5pM=")</f>
        <v>#REF!</v>
      </c>
      <c r="ES78" t="e">
        <f>IF(#REF!,"AAAAAEyV5pQ=",0)</f>
        <v>#REF!</v>
      </c>
      <c r="ET78" t="e">
        <f>AND(#REF!,"AAAAAEyV5pU=")</f>
        <v>#REF!</v>
      </c>
      <c r="EU78" t="e">
        <f>AND(#REF!,"AAAAAEyV5pY=")</f>
        <v>#REF!</v>
      </c>
      <c r="EV78" t="e">
        <f>AND(#REF!,"AAAAAEyV5pc=")</f>
        <v>#REF!</v>
      </c>
      <c r="EW78" t="e">
        <f>AND(#REF!,"AAAAAEyV5pg=")</f>
        <v>#REF!</v>
      </c>
      <c r="EX78" t="e">
        <f>AND(#REF!,"AAAAAEyV5pk=")</f>
        <v>#REF!</v>
      </c>
      <c r="EY78" t="e">
        <f>AND(#REF!,"AAAAAEyV5po=")</f>
        <v>#REF!</v>
      </c>
      <c r="EZ78" t="e">
        <f>AND(#REF!,"AAAAAEyV5ps=")</f>
        <v>#REF!</v>
      </c>
      <c r="FA78" t="e">
        <f>AND(#REF!,"AAAAAEyV5pw=")</f>
        <v>#REF!</v>
      </c>
      <c r="FB78" t="e">
        <f>AND(#REF!,"AAAAAEyV5p0=")</f>
        <v>#REF!</v>
      </c>
      <c r="FC78" t="e">
        <f>AND(#REF!,"AAAAAEyV5p4=")</f>
        <v>#REF!</v>
      </c>
      <c r="FD78" t="e">
        <f>IF(#REF!,"AAAAAEyV5p8=",0)</f>
        <v>#REF!</v>
      </c>
      <c r="FE78" t="e">
        <f>AND(#REF!,"AAAAAEyV5qA=")</f>
        <v>#REF!</v>
      </c>
      <c r="FF78" t="e">
        <f>AND(#REF!,"AAAAAEyV5qE=")</f>
        <v>#REF!</v>
      </c>
      <c r="FG78" t="e">
        <f>AND(#REF!,"AAAAAEyV5qI=")</f>
        <v>#REF!</v>
      </c>
      <c r="FH78" t="e">
        <f>AND(#REF!,"AAAAAEyV5qM=")</f>
        <v>#REF!</v>
      </c>
      <c r="FI78" t="e">
        <f>AND(#REF!,"AAAAAEyV5qQ=")</f>
        <v>#REF!</v>
      </c>
      <c r="FJ78" t="e">
        <f>AND(#REF!,"AAAAAEyV5qU=")</f>
        <v>#REF!</v>
      </c>
      <c r="FK78" t="e">
        <f>AND(#REF!,"AAAAAEyV5qY=")</f>
        <v>#REF!</v>
      </c>
      <c r="FL78" t="e">
        <f>AND(#REF!,"AAAAAEyV5qc=")</f>
        <v>#REF!</v>
      </c>
      <c r="FM78" t="e">
        <f>AND(#REF!,"AAAAAEyV5qg=")</f>
        <v>#REF!</v>
      </c>
      <c r="FN78" t="e">
        <f>AND(#REF!,"AAAAAEyV5qk=")</f>
        <v>#REF!</v>
      </c>
      <c r="FO78" t="e">
        <f>IF(#REF!,"AAAAAEyV5qo=",0)</f>
        <v>#REF!</v>
      </c>
      <c r="FP78" t="e">
        <f>AND(#REF!,"AAAAAEyV5qs=")</f>
        <v>#REF!</v>
      </c>
      <c r="FQ78" t="e">
        <f>AND(#REF!,"AAAAAEyV5qw=")</f>
        <v>#REF!</v>
      </c>
      <c r="FR78" t="e">
        <f>AND(#REF!,"AAAAAEyV5q0=")</f>
        <v>#REF!</v>
      </c>
      <c r="FS78" t="e">
        <f>AND(#REF!,"AAAAAEyV5q4=")</f>
        <v>#REF!</v>
      </c>
      <c r="FT78" t="e">
        <f>AND(#REF!,"AAAAAEyV5q8=")</f>
        <v>#REF!</v>
      </c>
      <c r="FU78" t="e">
        <f>AND(#REF!,"AAAAAEyV5rA=")</f>
        <v>#REF!</v>
      </c>
      <c r="FV78" t="e">
        <f>AND(#REF!,"AAAAAEyV5rE=")</f>
        <v>#REF!</v>
      </c>
      <c r="FW78" t="e">
        <f>AND(#REF!,"AAAAAEyV5rI=")</f>
        <v>#REF!</v>
      </c>
      <c r="FX78" t="e">
        <f>AND(#REF!,"AAAAAEyV5rM=")</f>
        <v>#REF!</v>
      </c>
      <c r="FY78" t="e">
        <f>AND(#REF!,"AAAAAEyV5rQ=")</f>
        <v>#REF!</v>
      </c>
      <c r="FZ78" t="e">
        <f>IF(#REF!,"AAAAAEyV5rU=",0)</f>
        <v>#REF!</v>
      </c>
      <c r="GA78" t="e">
        <f>AND(#REF!,"AAAAAEyV5rY=")</f>
        <v>#REF!</v>
      </c>
      <c r="GB78" t="e">
        <f>AND(#REF!,"AAAAAEyV5rc=")</f>
        <v>#REF!</v>
      </c>
      <c r="GC78" t="e">
        <f>AND(#REF!,"AAAAAEyV5rg=")</f>
        <v>#REF!</v>
      </c>
      <c r="GD78" t="e">
        <f>AND(#REF!,"AAAAAEyV5rk=")</f>
        <v>#REF!</v>
      </c>
      <c r="GE78" t="e">
        <f>AND(#REF!,"AAAAAEyV5ro=")</f>
        <v>#REF!</v>
      </c>
      <c r="GF78" t="e">
        <f>AND(#REF!,"AAAAAEyV5rs=")</f>
        <v>#REF!</v>
      </c>
      <c r="GG78" t="e">
        <f>AND(#REF!,"AAAAAEyV5rw=")</f>
        <v>#REF!</v>
      </c>
      <c r="GH78" t="e">
        <f>AND(#REF!,"AAAAAEyV5r0=")</f>
        <v>#REF!</v>
      </c>
      <c r="GI78" t="e">
        <f>AND(#REF!,"AAAAAEyV5r4=")</f>
        <v>#REF!</v>
      </c>
      <c r="GJ78" t="e">
        <f>AND(#REF!,"AAAAAEyV5r8=")</f>
        <v>#REF!</v>
      </c>
      <c r="GK78" t="e">
        <f>IF(#REF!,"AAAAAEyV5sA=",0)</f>
        <v>#REF!</v>
      </c>
      <c r="GL78" t="e">
        <f>AND(#REF!,"AAAAAEyV5sE=")</f>
        <v>#REF!</v>
      </c>
      <c r="GM78" t="e">
        <f>AND(#REF!,"AAAAAEyV5sI=")</f>
        <v>#REF!</v>
      </c>
      <c r="GN78" t="e">
        <f>AND(#REF!,"AAAAAEyV5sM=")</f>
        <v>#REF!</v>
      </c>
      <c r="GO78" t="e">
        <f>AND(#REF!,"AAAAAEyV5sQ=")</f>
        <v>#REF!</v>
      </c>
      <c r="GP78" t="e">
        <f>AND(#REF!,"AAAAAEyV5sU=")</f>
        <v>#REF!</v>
      </c>
      <c r="GQ78" t="e">
        <f>AND(#REF!,"AAAAAEyV5sY=")</f>
        <v>#REF!</v>
      </c>
      <c r="GR78" t="e">
        <f>AND(#REF!,"AAAAAEyV5sc=")</f>
        <v>#REF!</v>
      </c>
      <c r="GS78" t="e">
        <f>AND(#REF!,"AAAAAEyV5sg=")</f>
        <v>#REF!</v>
      </c>
      <c r="GT78" t="e">
        <f>AND(#REF!,"AAAAAEyV5sk=")</f>
        <v>#REF!</v>
      </c>
      <c r="GU78" t="e">
        <f>AND(#REF!,"AAAAAEyV5so=")</f>
        <v>#REF!</v>
      </c>
      <c r="GV78" t="e">
        <f>IF(#REF!,"AAAAAEyV5ss=",0)</f>
        <v>#REF!</v>
      </c>
      <c r="GW78" t="e">
        <f>AND(#REF!,"AAAAAEyV5sw=")</f>
        <v>#REF!</v>
      </c>
      <c r="GX78" t="e">
        <f>AND(#REF!,"AAAAAEyV5s0=")</f>
        <v>#REF!</v>
      </c>
      <c r="GY78" t="e">
        <f>AND(#REF!,"AAAAAEyV5s4=")</f>
        <v>#REF!</v>
      </c>
      <c r="GZ78" t="e">
        <f>AND(#REF!,"AAAAAEyV5s8=")</f>
        <v>#REF!</v>
      </c>
      <c r="HA78" t="e">
        <f>AND(#REF!,"AAAAAEyV5tA=")</f>
        <v>#REF!</v>
      </c>
      <c r="HB78" t="e">
        <f>AND(#REF!,"AAAAAEyV5tE=")</f>
        <v>#REF!</v>
      </c>
      <c r="HC78" t="e">
        <f>AND(#REF!,"AAAAAEyV5tI=")</f>
        <v>#REF!</v>
      </c>
      <c r="HD78" t="e">
        <f>AND(#REF!,"AAAAAEyV5tM=")</f>
        <v>#REF!</v>
      </c>
      <c r="HE78" t="e">
        <f>AND(#REF!,"AAAAAEyV5tQ=")</f>
        <v>#REF!</v>
      </c>
      <c r="HF78" t="e">
        <f>AND(#REF!,"AAAAAEyV5tU=")</f>
        <v>#REF!</v>
      </c>
      <c r="HG78" t="e">
        <f>IF(#REF!,"AAAAAEyV5tY=",0)</f>
        <v>#REF!</v>
      </c>
      <c r="HH78" t="e">
        <f>AND(#REF!,"AAAAAEyV5tc=")</f>
        <v>#REF!</v>
      </c>
      <c r="HI78" t="e">
        <f>AND(#REF!,"AAAAAEyV5tg=")</f>
        <v>#REF!</v>
      </c>
      <c r="HJ78" t="e">
        <f>AND(#REF!,"AAAAAEyV5tk=")</f>
        <v>#REF!</v>
      </c>
      <c r="HK78" t="e">
        <f>AND(#REF!,"AAAAAEyV5to=")</f>
        <v>#REF!</v>
      </c>
      <c r="HL78" t="e">
        <f>AND(#REF!,"AAAAAEyV5ts=")</f>
        <v>#REF!</v>
      </c>
      <c r="HM78" t="e">
        <f>AND(#REF!,"AAAAAEyV5tw=")</f>
        <v>#REF!</v>
      </c>
      <c r="HN78" t="e">
        <f>AND(#REF!,"AAAAAEyV5t0=")</f>
        <v>#REF!</v>
      </c>
      <c r="HO78" t="e">
        <f>AND(#REF!,"AAAAAEyV5t4=")</f>
        <v>#REF!</v>
      </c>
      <c r="HP78" t="e">
        <f>AND(#REF!,"AAAAAEyV5t8=")</f>
        <v>#REF!</v>
      </c>
      <c r="HQ78" t="e">
        <f>AND(#REF!,"AAAAAEyV5uA=")</f>
        <v>#REF!</v>
      </c>
      <c r="HR78" t="e">
        <f>IF(#REF!,"AAAAAEyV5uE=",0)</f>
        <v>#REF!</v>
      </c>
      <c r="HS78" t="e">
        <f>AND(#REF!,"AAAAAEyV5uI=")</f>
        <v>#REF!</v>
      </c>
      <c r="HT78" t="e">
        <f>AND(#REF!,"AAAAAEyV5uM=")</f>
        <v>#REF!</v>
      </c>
      <c r="HU78" t="e">
        <f>AND(#REF!,"AAAAAEyV5uQ=")</f>
        <v>#REF!</v>
      </c>
      <c r="HV78" t="e">
        <f>AND(#REF!,"AAAAAEyV5uU=")</f>
        <v>#REF!</v>
      </c>
      <c r="HW78" t="e">
        <f>AND(#REF!,"AAAAAEyV5uY=")</f>
        <v>#REF!</v>
      </c>
      <c r="HX78" t="e">
        <f>AND(#REF!,"AAAAAEyV5uc=")</f>
        <v>#REF!</v>
      </c>
      <c r="HY78" t="e">
        <f>AND(#REF!,"AAAAAEyV5ug=")</f>
        <v>#REF!</v>
      </c>
      <c r="HZ78" t="e">
        <f>AND(#REF!,"AAAAAEyV5uk=")</f>
        <v>#REF!</v>
      </c>
      <c r="IA78" t="e">
        <f>AND(#REF!,"AAAAAEyV5uo=")</f>
        <v>#REF!</v>
      </c>
      <c r="IB78" t="e">
        <f>AND(#REF!,"AAAAAEyV5us=")</f>
        <v>#REF!</v>
      </c>
      <c r="IC78" t="e">
        <f>IF(#REF!,"AAAAAEyV5uw=",0)</f>
        <v>#REF!</v>
      </c>
      <c r="ID78" t="e">
        <f>AND(#REF!,"AAAAAEyV5u0=")</f>
        <v>#REF!</v>
      </c>
      <c r="IE78" t="e">
        <f>AND(#REF!,"AAAAAEyV5u4=")</f>
        <v>#REF!</v>
      </c>
      <c r="IF78" t="e">
        <f>AND(#REF!,"AAAAAEyV5u8=")</f>
        <v>#REF!</v>
      </c>
      <c r="IG78" t="e">
        <f>AND(#REF!,"AAAAAEyV5vA=")</f>
        <v>#REF!</v>
      </c>
      <c r="IH78" t="e">
        <f>AND(#REF!,"AAAAAEyV5vE=")</f>
        <v>#REF!</v>
      </c>
      <c r="II78" t="e">
        <f>AND(#REF!,"AAAAAEyV5vI=")</f>
        <v>#REF!</v>
      </c>
      <c r="IJ78" t="e">
        <f>AND(#REF!,"AAAAAEyV5vM=")</f>
        <v>#REF!</v>
      </c>
      <c r="IK78" t="e">
        <f>AND(#REF!,"AAAAAEyV5vQ=")</f>
        <v>#REF!</v>
      </c>
      <c r="IL78" t="e">
        <f>AND(#REF!,"AAAAAEyV5vU=")</f>
        <v>#REF!</v>
      </c>
      <c r="IM78" t="e">
        <f>AND(#REF!,"AAAAAEyV5vY=")</f>
        <v>#REF!</v>
      </c>
      <c r="IN78" t="e">
        <f>IF(#REF!,"AAAAAEyV5vc=",0)</f>
        <v>#REF!</v>
      </c>
      <c r="IO78" t="e">
        <f>AND(#REF!,"AAAAAEyV5vg=")</f>
        <v>#REF!</v>
      </c>
      <c r="IP78" t="e">
        <f>AND(#REF!,"AAAAAEyV5vk=")</f>
        <v>#REF!</v>
      </c>
      <c r="IQ78" t="e">
        <f>AND(#REF!,"AAAAAEyV5vo=")</f>
        <v>#REF!</v>
      </c>
      <c r="IR78" t="e">
        <f>AND(#REF!,"AAAAAEyV5vs=")</f>
        <v>#REF!</v>
      </c>
      <c r="IS78" t="e">
        <f>AND(#REF!,"AAAAAEyV5vw=")</f>
        <v>#REF!</v>
      </c>
      <c r="IT78" t="e">
        <f>AND(#REF!,"AAAAAEyV5v0=")</f>
        <v>#REF!</v>
      </c>
      <c r="IU78" t="e">
        <f>AND(#REF!,"AAAAAEyV5v4=")</f>
        <v>#REF!</v>
      </c>
      <c r="IV78" t="e">
        <f>AND(#REF!,"AAAAAEyV5v8=")</f>
        <v>#REF!</v>
      </c>
    </row>
    <row r="79" spans="1:256" x14ac:dyDescent="0.25">
      <c r="A79" t="e">
        <f>AND(#REF!,"AAAAAHbvUQA=")</f>
        <v>#REF!</v>
      </c>
      <c r="B79" t="e">
        <f>AND(#REF!,"AAAAAHbvUQE=")</f>
        <v>#REF!</v>
      </c>
      <c r="C79" t="e">
        <f>IF(#REF!,"AAAAAHbvUQI=",0)</f>
        <v>#REF!</v>
      </c>
      <c r="D79" t="e">
        <f>AND(#REF!,"AAAAAHbvUQM=")</f>
        <v>#REF!</v>
      </c>
      <c r="E79" t="e">
        <f>AND(#REF!,"AAAAAHbvUQQ=")</f>
        <v>#REF!</v>
      </c>
      <c r="F79" t="e">
        <f>AND(#REF!,"AAAAAHbvUQU=")</f>
        <v>#REF!</v>
      </c>
      <c r="G79" t="e">
        <f>AND(#REF!,"AAAAAHbvUQY=")</f>
        <v>#REF!</v>
      </c>
      <c r="H79" t="e">
        <f>AND(#REF!,"AAAAAHbvUQc=")</f>
        <v>#REF!</v>
      </c>
      <c r="I79" t="e">
        <f>AND(#REF!,"AAAAAHbvUQg=")</f>
        <v>#REF!</v>
      </c>
      <c r="J79" t="e">
        <f>AND(#REF!,"AAAAAHbvUQk=")</f>
        <v>#REF!</v>
      </c>
      <c r="K79" t="e">
        <f>AND(#REF!,"AAAAAHbvUQo=")</f>
        <v>#REF!</v>
      </c>
      <c r="L79" t="e">
        <f>AND(#REF!,"AAAAAHbvUQs=")</f>
        <v>#REF!</v>
      </c>
      <c r="M79" t="e">
        <f>AND(#REF!,"AAAAAHbvUQw=")</f>
        <v>#REF!</v>
      </c>
      <c r="N79" t="e">
        <f>IF(#REF!,"AAAAAHbvUQ0=",0)</f>
        <v>#REF!</v>
      </c>
      <c r="O79" t="e">
        <f>AND(#REF!,"AAAAAHbvUQ4=")</f>
        <v>#REF!</v>
      </c>
      <c r="P79" t="e">
        <f>AND(#REF!,"AAAAAHbvUQ8=")</f>
        <v>#REF!</v>
      </c>
      <c r="Q79" t="e">
        <f>AND(#REF!,"AAAAAHbvURA=")</f>
        <v>#REF!</v>
      </c>
      <c r="R79" t="e">
        <f>AND(#REF!,"AAAAAHbvURE=")</f>
        <v>#REF!</v>
      </c>
      <c r="S79" t="e">
        <f>AND(#REF!,"AAAAAHbvURI=")</f>
        <v>#REF!</v>
      </c>
      <c r="T79" t="e">
        <f>AND(#REF!,"AAAAAHbvURM=")</f>
        <v>#REF!</v>
      </c>
      <c r="U79" t="e">
        <f>AND(#REF!,"AAAAAHbvURQ=")</f>
        <v>#REF!</v>
      </c>
      <c r="V79" t="e">
        <f>AND(#REF!,"AAAAAHbvURU=")</f>
        <v>#REF!</v>
      </c>
      <c r="W79" t="e">
        <f>AND(#REF!,"AAAAAHbvURY=")</f>
        <v>#REF!</v>
      </c>
      <c r="X79" t="e">
        <f>AND(#REF!,"AAAAAHbvURc=")</f>
        <v>#REF!</v>
      </c>
      <c r="Y79" t="e">
        <f>IF(#REF!,"AAAAAHbvURg=",0)</f>
        <v>#REF!</v>
      </c>
      <c r="Z79" t="e">
        <f>AND(#REF!,"AAAAAHbvURk=")</f>
        <v>#REF!</v>
      </c>
      <c r="AA79" t="e">
        <f>AND(#REF!,"AAAAAHbvURo=")</f>
        <v>#REF!</v>
      </c>
      <c r="AB79" t="e">
        <f>AND(#REF!,"AAAAAHbvURs=")</f>
        <v>#REF!</v>
      </c>
      <c r="AC79" t="e">
        <f>AND(#REF!,"AAAAAHbvURw=")</f>
        <v>#REF!</v>
      </c>
      <c r="AD79" t="e">
        <f>AND(#REF!,"AAAAAHbvUR0=")</f>
        <v>#REF!</v>
      </c>
      <c r="AE79" t="e">
        <f>AND(#REF!,"AAAAAHbvUR4=")</f>
        <v>#REF!</v>
      </c>
      <c r="AF79" t="e">
        <f>AND(#REF!,"AAAAAHbvUR8=")</f>
        <v>#REF!</v>
      </c>
      <c r="AG79" t="e">
        <f>AND(#REF!,"AAAAAHbvUSA=")</f>
        <v>#REF!</v>
      </c>
      <c r="AH79" t="e">
        <f>AND(#REF!,"AAAAAHbvUSE=")</f>
        <v>#REF!</v>
      </c>
      <c r="AI79" t="e">
        <f>AND(#REF!,"AAAAAHbvUSI=")</f>
        <v>#REF!</v>
      </c>
      <c r="AJ79" t="e">
        <f>IF(#REF!,"AAAAAHbvUSM=",0)</f>
        <v>#REF!</v>
      </c>
      <c r="AK79" t="e">
        <f>AND(#REF!,"AAAAAHbvUSQ=")</f>
        <v>#REF!</v>
      </c>
      <c r="AL79" t="e">
        <f>AND(#REF!,"AAAAAHbvUSU=")</f>
        <v>#REF!</v>
      </c>
      <c r="AM79" t="e">
        <f>AND(#REF!,"AAAAAHbvUSY=")</f>
        <v>#REF!</v>
      </c>
      <c r="AN79" t="e">
        <f>AND(#REF!,"AAAAAHbvUSc=")</f>
        <v>#REF!</v>
      </c>
      <c r="AO79" t="e">
        <f>AND(#REF!,"AAAAAHbvUSg=")</f>
        <v>#REF!</v>
      </c>
      <c r="AP79" t="e">
        <f>AND(#REF!,"AAAAAHbvUSk=")</f>
        <v>#REF!</v>
      </c>
      <c r="AQ79" t="e">
        <f>AND(#REF!,"AAAAAHbvUSo=")</f>
        <v>#REF!</v>
      </c>
      <c r="AR79" t="e">
        <f>AND(#REF!,"AAAAAHbvUSs=")</f>
        <v>#REF!</v>
      </c>
      <c r="AS79" t="e">
        <f>AND(#REF!,"AAAAAHbvUSw=")</f>
        <v>#REF!</v>
      </c>
      <c r="AT79" t="e">
        <f>AND(#REF!,"AAAAAHbvUS0=")</f>
        <v>#REF!</v>
      </c>
      <c r="AU79" t="e">
        <f>IF(#REF!,"AAAAAHbvUS4=",0)</f>
        <v>#REF!</v>
      </c>
      <c r="AV79" t="e">
        <f>AND(#REF!,"AAAAAHbvUS8=")</f>
        <v>#REF!</v>
      </c>
      <c r="AW79" t="e">
        <f>AND(#REF!,"AAAAAHbvUTA=")</f>
        <v>#REF!</v>
      </c>
      <c r="AX79" t="e">
        <f>AND(#REF!,"AAAAAHbvUTE=")</f>
        <v>#REF!</v>
      </c>
      <c r="AY79" t="e">
        <f>AND(#REF!,"AAAAAHbvUTI=")</f>
        <v>#REF!</v>
      </c>
      <c r="AZ79" t="e">
        <f>AND(#REF!,"AAAAAHbvUTM=")</f>
        <v>#REF!</v>
      </c>
      <c r="BA79" t="e">
        <f>AND(#REF!,"AAAAAHbvUTQ=")</f>
        <v>#REF!</v>
      </c>
      <c r="BB79" t="e">
        <f>AND(#REF!,"AAAAAHbvUTU=")</f>
        <v>#REF!</v>
      </c>
      <c r="BC79" t="e">
        <f>AND(#REF!,"AAAAAHbvUTY=")</f>
        <v>#REF!</v>
      </c>
      <c r="BD79" t="e">
        <f>AND(#REF!,"AAAAAHbvUTc=")</f>
        <v>#REF!</v>
      </c>
      <c r="BE79" t="e">
        <f>AND(#REF!,"AAAAAHbvUTg=")</f>
        <v>#REF!</v>
      </c>
      <c r="BF79" t="e">
        <f>IF(#REF!,"AAAAAHbvUTk=",0)</f>
        <v>#REF!</v>
      </c>
      <c r="BG79" t="e">
        <f>AND(#REF!,"AAAAAHbvUTo=")</f>
        <v>#REF!</v>
      </c>
      <c r="BH79" t="e">
        <f>AND(#REF!,"AAAAAHbvUTs=")</f>
        <v>#REF!</v>
      </c>
      <c r="BI79" t="e">
        <f>AND(#REF!,"AAAAAHbvUTw=")</f>
        <v>#REF!</v>
      </c>
      <c r="BJ79" t="e">
        <f>AND(#REF!,"AAAAAHbvUT0=")</f>
        <v>#REF!</v>
      </c>
      <c r="BK79" t="e">
        <f>AND(#REF!,"AAAAAHbvUT4=")</f>
        <v>#REF!</v>
      </c>
      <c r="BL79" t="e">
        <f>AND(#REF!,"AAAAAHbvUT8=")</f>
        <v>#REF!</v>
      </c>
      <c r="BM79" t="e">
        <f>AND(#REF!,"AAAAAHbvUUA=")</f>
        <v>#REF!</v>
      </c>
      <c r="BN79" t="e">
        <f>AND(#REF!,"AAAAAHbvUUE=")</f>
        <v>#REF!</v>
      </c>
      <c r="BO79" t="e">
        <f>AND(#REF!,"AAAAAHbvUUI=")</f>
        <v>#REF!</v>
      </c>
      <c r="BP79" t="e">
        <f>AND(#REF!,"AAAAAHbvUUM=")</f>
        <v>#REF!</v>
      </c>
      <c r="BQ79" t="e">
        <f>IF(#REF!,"AAAAAHbvUUQ=",0)</f>
        <v>#REF!</v>
      </c>
      <c r="BR79" t="e">
        <f>AND(#REF!,"AAAAAHbvUUU=")</f>
        <v>#REF!</v>
      </c>
      <c r="BS79" t="e">
        <f>AND(#REF!,"AAAAAHbvUUY=")</f>
        <v>#REF!</v>
      </c>
      <c r="BT79" t="e">
        <f>AND(#REF!,"AAAAAHbvUUc=")</f>
        <v>#REF!</v>
      </c>
      <c r="BU79" t="e">
        <f>AND(#REF!,"AAAAAHbvUUg=")</f>
        <v>#REF!</v>
      </c>
      <c r="BV79" t="e">
        <f>AND(#REF!,"AAAAAHbvUUk=")</f>
        <v>#REF!</v>
      </c>
      <c r="BW79" t="e">
        <f>AND(#REF!,"AAAAAHbvUUo=")</f>
        <v>#REF!</v>
      </c>
      <c r="BX79" t="e">
        <f>AND(#REF!,"AAAAAHbvUUs=")</f>
        <v>#REF!</v>
      </c>
      <c r="BY79" t="e">
        <f>AND(#REF!,"AAAAAHbvUUw=")</f>
        <v>#REF!</v>
      </c>
      <c r="BZ79" t="e">
        <f>AND(#REF!,"AAAAAHbvUU0=")</f>
        <v>#REF!</v>
      </c>
      <c r="CA79" t="e">
        <f>AND(#REF!,"AAAAAHbvUU4=")</f>
        <v>#REF!</v>
      </c>
      <c r="CB79" t="e">
        <f>IF(#REF!,"AAAAAHbvUU8=",0)</f>
        <v>#REF!</v>
      </c>
      <c r="CC79" t="e">
        <f>AND(#REF!,"AAAAAHbvUVA=")</f>
        <v>#REF!</v>
      </c>
      <c r="CD79" t="e">
        <f>AND(#REF!,"AAAAAHbvUVE=")</f>
        <v>#REF!</v>
      </c>
      <c r="CE79" t="e">
        <f>AND(#REF!,"AAAAAHbvUVI=")</f>
        <v>#REF!</v>
      </c>
      <c r="CF79" t="e">
        <f>AND(#REF!,"AAAAAHbvUVM=")</f>
        <v>#REF!</v>
      </c>
      <c r="CG79" t="e">
        <f>AND(#REF!,"AAAAAHbvUVQ=")</f>
        <v>#REF!</v>
      </c>
      <c r="CH79" t="e">
        <f>AND(#REF!,"AAAAAHbvUVU=")</f>
        <v>#REF!</v>
      </c>
      <c r="CI79" t="e">
        <f>AND(#REF!,"AAAAAHbvUVY=")</f>
        <v>#REF!</v>
      </c>
      <c r="CJ79" t="e">
        <f>AND(#REF!,"AAAAAHbvUVc=")</f>
        <v>#REF!</v>
      </c>
      <c r="CK79" t="e">
        <f>AND(#REF!,"AAAAAHbvUVg=")</f>
        <v>#REF!</v>
      </c>
      <c r="CL79" t="e">
        <f>AND(#REF!,"AAAAAHbvUVk=")</f>
        <v>#REF!</v>
      </c>
      <c r="CM79" t="e">
        <f>IF(#REF!,"AAAAAHbvUVo=",0)</f>
        <v>#REF!</v>
      </c>
      <c r="CN79" t="e">
        <f>AND(#REF!,"AAAAAHbvUVs=")</f>
        <v>#REF!</v>
      </c>
      <c r="CO79" t="e">
        <f>AND(#REF!,"AAAAAHbvUVw=")</f>
        <v>#REF!</v>
      </c>
      <c r="CP79" t="e">
        <f>AND(#REF!,"AAAAAHbvUV0=")</f>
        <v>#REF!</v>
      </c>
      <c r="CQ79" t="e">
        <f>AND(#REF!,"AAAAAHbvUV4=")</f>
        <v>#REF!</v>
      </c>
      <c r="CR79" t="e">
        <f>AND(#REF!,"AAAAAHbvUV8=")</f>
        <v>#REF!</v>
      </c>
      <c r="CS79" t="e">
        <f>AND(#REF!,"AAAAAHbvUWA=")</f>
        <v>#REF!</v>
      </c>
      <c r="CT79" t="e">
        <f>AND(#REF!,"AAAAAHbvUWE=")</f>
        <v>#REF!</v>
      </c>
      <c r="CU79" t="e">
        <f>AND(#REF!,"AAAAAHbvUWI=")</f>
        <v>#REF!</v>
      </c>
      <c r="CV79" t="e">
        <f>AND(#REF!,"AAAAAHbvUWM=")</f>
        <v>#REF!</v>
      </c>
      <c r="CW79" t="e">
        <f>AND(#REF!,"AAAAAHbvUWQ=")</f>
        <v>#REF!</v>
      </c>
      <c r="CX79" t="e">
        <f>IF(#REF!,"AAAAAHbvUWU=",0)</f>
        <v>#REF!</v>
      </c>
      <c r="CY79" t="e">
        <f>AND(#REF!,"AAAAAHbvUWY=")</f>
        <v>#REF!</v>
      </c>
      <c r="CZ79" t="e">
        <f>AND(#REF!,"AAAAAHbvUWc=")</f>
        <v>#REF!</v>
      </c>
      <c r="DA79" t="e">
        <f>AND(#REF!,"AAAAAHbvUWg=")</f>
        <v>#REF!</v>
      </c>
      <c r="DB79" t="e">
        <f>AND(#REF!,"AAAAAHbvUWk=")</f>
        <v>#REF!</v>
      </c>
      <c r="DC79" t="e">
        <f>AND(#REF!,"AAAAAHbvUWo=")</f>
        <v>#REF!</v>
      </c>
      <c r="DD79" t="e">
        <f>AND(#REF!,"AAAAAHbvUWs=")</f>
        <v>#REF!</v>
      </c>
      <c r="DE79" t="e">
        <f>AND(#REF!,"AAAAAHbvUWw=")</f>
        <v>#REF!</v>
      </c>
      <c r="DF79" t="e">
        <f>AND(#REF!,"AAAAAHbvUW0=")</f>
        <v>#REF!</v>
      </c>
      <c r="DG79" t="e">
        <f>AND(#REF!,"AAAAAHbvUW4=")</f>
        <v>#REF!</v>
      </c>
      <c r="DH79" t="e">
        <f>AND(#REF!,"AAAAAHbvUW8=")</f>
        <v>#REF!</v>
      </c>
      <c r="DI79" t="e">
        <f>IF(#REF!,"AAAAAHbvUXA=",0)</f>
        <v>#REF!</v>
      </c>
      <c r="DJ79" t="e">
        <f>AND(#REF!,"AAAAAHbvUXE=")</f>
        <v>#REF!</v>
      </c>
      <c r="DK79" t="e">
        <f>AND(#REF!,"AAAAAHbvUXI=")</f>
        <v>#REF!</v>
      </c>
      <c r="DL79" t="e">
        <f>AND(#REF!,"AAAAAHbvUXM=")</f>
        <v>#REF!</v>
      </c>
      <c r="DM79" t="e">
        <f>AND(#REF!,"AAAAAHbvUXQ=")</f>
        <v>#REF!</v>
      </c>
      <c r="DN79" t="e">
        <f>AND(#REF!,"AAAAAHbvUXU=")</f>
        <v>#REF!</v>
      </c>
      <c r="DO79" t="e">
        <f>AND(#REF!,"AAAAAHbvUXY=")</f>
        <v>#REF!</v>
      </c>
      <c r="DP79" t="e">
        <f>AND(#REF!,"AAAAAHbvUXc=")</f>
        <v>#REF!</v>
      </c>
      <c r="DQ79" t="e">
        <f>AND(#REF!,"AAAAAHbvUXg=")</f>
        <v>#REF!</v>
      </c>
      <c r="DR79" t="e">
        <f>AND(#REF!,"AAAAAHbvUXk=")</f>
        <v>#REF!</v>
      </c>
      <c r="DS79" t="e">
        <f>AND(#REF!,"AAAAAHbvUXo=")</f>
        <v>#REF!</v>
      </c>
      <c r="DT79" t="e">
        <f>IF(#REF!,"AAAAAHbvUXs=",0)</f>
        <v>#REF!</v>
      </c>
      <c r="DU79" t="e">
        <f>AND(#REF!,"AAAAAHbvUXw=")</f>
        <v>#REF!</v>
      </c>
      <c r="DV79" t="e">
        <f>AND(#REF!,"AAAAAHbvUX0=")</f>
        <v>#REF!</v>
      </c>
      <c r="DW79" t="e">
        <f>AND(#REF!,"AAAAAHbvUX4=")</f>
        <v>#REF!</v>
      </c>
      <c r="DX79" t="e">
        <f>AND(#REF!,"AAAAAHbvUX8=")</f>
        <v>#REF!</v>
      </c>
      <c r="DY79" t="e">
        <f>AND(#REF!,"AAAAAHbvUYA=")</f>
        <v>#REF!</v>
      </c>
      <c r="DZ79" t="e">
        <f>AND(#REF!,"AAAAAHbvUYE=")</f>
        <v>#REF!</v>
      </c>
      <c r="EA79" t="e">
        <f>AND(#REF!,"AAAAAHbvUYI=")</f>
        <v>#REF!</v>
      </c>
      <c r="EB79" t="e">
        <f>AND(#REF!,"AAAAAHbvUYM=")</f>
        <v>#REF!</v>
      </c>
      <c r="EC79" t="e">
        <f>AND(#REF!,"AAAAAHbvUYQ=")</f>
        <v>#REF!</v>
      </c>
      <c r="ED79" t="e">
        <f>AND(#REF!,"AAAAAHbvUYU=")</f>
        <v>#REF!</v>
      </c>
      <c r="EE79" t="e">
        <f>IF(#REF!,"AAAAAHbvUYY=",0)</f>
        <v>#REF!</v>
      </c>
      <c r="EF79" t="e">
        <f>AND(#REF!,"AAAAAHbvUYc=")</f>
        <v>#REF!</v>
      </c>
      <c r="EG79" t="e">
        <f>AND(#REF!,"AAAAAHbvUYg=")</f>
        <v>#REF!</v>
      </c>
      <c r="EH79" t="e">
        <f>AND(#REF!,"AAAAAHbvUYk=")</f>
        <v>#REF!</v>
      </c>
      <c r="EI79" t="e">
        <f>AND(#REF!,"AAAAAHbvUYo=")</f>
        <v>#REF!</v>
      </c>
      <c r="EJ79" t="e">
        <f>AND(#REF!,"AAAAAHbvUYs=")</f>
        <v>#REF!</v>
      </c>
      <c r="EK79" t="e">
        <f>AND(#REF!,"AAAAAHbvUYw=")</f>
        <v>#REF!</v>
      </c>
      <c r="EL79" t="e">
        <f>AND(#REF!,"AAAAAHbvUY0=")</f>
        <v>#REF!</v>
      </c>
      <c r="EM79" t="e">
        <f>AND(#REF!,"AAAAAHbvUY4=")</f>
        <v>#REF!</v>
      </c>
      <c r="EN79" t="e">
        <f>AND(#REF!,"AAAAAHbvUY8=")</f>
        <v>#REF!</v>
      </c>
      <c r="EO79" t="e">
        <f>AND(#REF!,"AAAAAHbvUZA=")</f>
        <v>#REF!</v>
      </c>
      <c r="EP79" t="e">
        <f>IF(#REF!,"AAAAAHbvUZE=",0)</f>
        <v>#REF!</v>
      </c>
      <c r="EQ79" t="e">
        <f>AND(#REF!,"AAAAAHbvUZI=")</f>
        <v>#REF!</v>
      </c>
      <c r="ER79" t="e">
        <f>AND(#REF!,"AAAAAHbvUZM=")</f>
        <v>#REF!</v>
      </c>
      <c r="ES79" t="e">
        <f>AND(#REF!,"AAAAAHbvUZQ=")</f>
        <v>#REF!</v>
      </c>
      <c r="ET79" t="e">
        <f>AND(#REF!,"AAAAAHbvUZU=")</f>
        <v>#REF!</v>
      </c>
      <c r="EU79" t="e">
        <f>AND(#REF!,"AAAAAHbvUZY=")</f>
        <v>#REF!</v>
      </c>
      <c r="EV79" t="e">
        <f>AND(#REF!,"AAAAAHbvUZc=")</f>
        <v>#REF!</v>
      </c>
      <c r="EW79" t="e">
        <f>AND(#REF!,"AAAAAHbvUZg=")</f>
        <v>#REF!</v>
      </c>
      <c r="EX79" t="e">
        <f>AND(#REF!,"AAAAAHbvUZk=")</f>
        <v>#REF!</v>
      </c>
      <c r="EY79" t="e">
        <f>AND(#REF!,"AAAAAHbvUZo=")</f>
        <v>#REF!</v>
      </c>
      <c r="EZ79" t="e">
        <f>AND(#REF!,"AAAAAHbvUZs=")</f>
        <v>#REF!</v>
      </c>
      <c r="FA79" t="e">
        <f>IF(#REF!,"AAAAAHbvUZw=",0)</f>
        <v>#REF!</v>
      </c>
      <c r="FB79" t="e">
        <f>AND(#REF!,"AAAAAHbvUZ0=")</f>
        <v>#REF!</v>
      </c>
      <c r="FC79" t="e">
        <f>AND(#REF!,"AAAAAHbvUZ4=")</f>
        <v>#REF!</v>
      </c>
      <c r="FD79" t="e">
        <f>AND(#REF!,"AAAAAHbvUZ8=")</f>
        <v>#REF!</v>
      </c>
      <c r="FE79" t="e">
        <f>AND(#REF!,"AAAAAHbvUaA=")</f>
        <v>#REF!</v>
      </c>
      <c r="FF79" t="e">
        <f>AND(#REF!,"AAAAAHbvUaE=")</f>
        <v>#REF!</v>
      </c>
      <c r="FG79" t="e">
        <f>AND(#REF!,"AAAAAHbvUaI=")</f>
        <v>#REF!</v>
      </c>
      <c r="FH79" t="e">
        <f>AND(#REF!,"AAAAAHbvUaM=")</f>
        <v>#REF!</v>
      </c>
      <c r="FI79" t="e">
        <f>AND(#REF!,"AAAAAHbvUaQ=")</f>
        <v>#REF!</v>
      </c>
      <c r="FJ79" t="e">
        <f>AND(#REF!,"AAAAAHbvUaU=")</f>
        <v>#REF!</v>
      </c>
      <c r="FK79" t="e">
        <f>AND(#REF!,"AAAAAHbvUaY=")</f>
        <v>#REF!</v>
      </c>
      <c r="FL79" t="e">
        <f>IF(#REF!,"AAAAAHbvUac=",0)</f>
        <v>#REF!</v>
      </c>
      <c r="FM79" t="e">
        <f>AND(#REF!,"AAAAAHbvUag=")</f>
        <v>#REF!</v>
      </c>
      <c r="FN79" t="e">
        <f>AND(#REF!,"AAAAAHbvUak=")</f>
        <v>#REF!</v>
      </c>
      <c r="FO79" t="e">
        <f>AND(#REF!,"AAAAAHbvUao=")</f>
        <v>#REF!</v>
      </c>
      <c r="FP79" t="e">
        <f>AND(#REF!,"AAAAAHbvUas=")</f>
        <v>#REF!</v>
      </c>
      <c r="FQ79" t="e">
        <f>AND(#REF!,"AAAAAHbvUaw=")</f>
        <v>#REF!</v>
      </c>
      <c r="FR79" t="e">
        <f>AND(#REF!,"AAAAAHbvUa0=")</f>
        <v>#REF!</v>
      </c>
      <c r="FS79" t="e">
        <f>AND(#REF!,"AAAAAHbvUa4=")</f>
        <v>#REF!</v>
      </c>
      <c r="FT79" t="e">
        <f>AND(#REF!,"AAAAAHbvUa8=")</f>
        <v>#REF!</v>
      </c>
      <c r="FU79" t="e">
        <f>AND(#REF!,"AAAAAHbvUbA=")</f>
        <v>#REF!</v>
      </c>
      <c r="FV79" t="e">
        <f>AND(#REF!,"AAAAAHbvUbE=")</f>
        <v>#REF!</v>
      </c>
      <c r="FW79" t="e">
        <f>IF(#REF!,"AAAAAHbvUbI=",0)</f>
        <v>#REF!</v>
      </c>
      <c r="FX79" t="e">
        <f>AND(#REF!,"AAAAAHbvUbM=")</f>
        <v>#REF!</v>
      </c>
      <c r="FY79" t="e">
        <f>AND(#REF!,"AAAAAHbvUbQ=")</f>
        <v>#REF!</v>
      </c>
      <c r="FZ79" t="e">
        <f>AND(#REF!,"AAAAAHbvUbU=")</f>
        <v>#REF!</v>
      </c>
      <c r="GA79" t="e">
        <f>AND(#REF!,"AAAAAHbvUbY=")</f>
        <v>#REF!</v>
      </c>
      <c r="GB79" t="e">
        <f>AND(#REF!,"AAAAAHbvUbc=")</f>
        <v>#REF!</v>
      </c>
      <c r="GC79" t="e">
        <f>AND(#REF!,"AAAAAHbvUbg=")</f>
        <v>#REF!</v>
      </c>
      <c r="GD79" t="e">
        <f>AND(#REF!,"AAAAAHbvUbk=")</f>
        <v>#REF!</v>
      </c>
      <c r="GE79" t="e">
        <f>AND(#REF!,"AAAAAHbvUbo=")</f>
        <v>#REF!</v>
      </c>
      <c r="GF79" t="e">
        <f>AND(#REF!,"AAAAAHbvUbs=")</f>
        <v>#REF!</v>
      </c>
      <c r="GG79" t="e">
        <f>AND(#REF!,"AAAAAHbvUbw=")</f>
        <v>#REF!</v>
      </c>
      <c r="GH79" t="e">
        <f>IF(#REF!,"AAAAAHbvUb0=",0)</f>
        <v>#REF!</v>
      </c>
      <c r="GI79" t="e">
        <f>AND(#REF!,"AAAAAHbvUb4=")</f>
        <v>#REF!</v>
      </c>
      <c r="GJ79" t="e">
        <f>AND(#REF!,"AAAAAHbvUb8=")</f>
        <v>#REF!</v>
      </c>
      <c r="GK79" t="e">
        <f>AND(#REF!,"AAAAAHbvUcA=")</f>
        <v>#REF!</v>
      </c>
      <c r="GL79" t="e">
        <f>AND(#REF!,"AAAAAHbvUcE=")</f>
        <v>#REF!</v>
      </c>
      <c r="GM79" t="e">
        <f>AND(#REF!,"AAAAAHbvUcI=")</f>
        <v>#REF!</v>
      </c>
      <c r="GN79" t="e">
        <f>AND(#REF!,"AAAAAHbvUcM=")</f>
        <v>#REF!</v>
      </c>
      <c r="GO79" t="e">
        <f>AND(#REF!,"AAAAAHbvUcQ=")</f>
        <v>#REF!</v>
      </c>
      <c r="GP79" t="e">
        <f>AND(#REF!,"AAAAAHbvUcU=")</f>
        <v>#REF!</v>
      </c>
      <c r="GQ79" t="e">
        <f>AND(#REF!,"AAAAAHbvUcY=")</f>
        <v>#REF!</v>
      </c>
      <c r="GR79" t="e">
        <f>AND(#REF!,"AAAAAHbvUcc=")</f>
        <v>#REF!</v>
      </c>
      <c r="GS79" t="e">
        <f>IF(#REF!,"AAAAAHbvUcg=",0)</f>
        <v>#REF!</v>
      </c>
      <c r="GT79" t="e">
        <f>AND(#REF!,"AAAAAHbvUck=")</f>
        <v>#REF!</v>
      </c>
      <c r="GU79" t="e">
        <f>AND(#REF!,"AAAAAHbvUco=")</f>
        <v>#REF!</v>
      </c>
      <c r="GV79" t="e">
        <f>AND(#REF!,"AAAAAHbvUcs=")</f>
        <v>#REF!</v>
      </c>
      <c r="GW79" t="e">
        <f>AND(#REF!,"AAAAAHbvUcw=")</f>
        <v>#REF!</v>
      </c>
      <c r="GX79" t="e">
        <f>AND(#REF!,"AAAAAHbvUc0=")</f>
        <v>#REF!</v>
      </c>
      <c r="GY79" t="e">
        <f>AND(#REF!,"AAAAAHbvUc4=")</f>
        <v>#REF!</v>
      </c>
      <c r="GZ79" t="e">
        <f>AND(#REF!,"AAAAAHbvUc8=")</f>
        <v>#REF!</v>
      </c>
      <c r="HA79" t="e">
        <f>AND(#REF!,"AAAAAHbvUdA=")</f>
        <v>#REF!</v>
      </c>
      <c r="HB79" t="e">
        <f>AND(#REF!,"AAAAAHbvUdE=")</f>
        <v>#REF!</v>
      </c>
      <c r="HC79" t="e">
        <f>AND(#REF!,"AAAAAHbvUdI=")</f>
        <v>#REF!</v>
      </c>
      <c r="HD79" t="e">
        <f>IF(#REF!,"AAAAAHbvUdM=",0)</f>
        <v>#REF!</v>
      </c>
      <c r="HE79" t="e">
        <f>AND(#REF!,"AAAAAHbvUdQ=")</f>
        <v>#REF!</v>
      </c>
      <c r="HF79" t="e">
        <f>AND(#REF!,"AAAAAHbvUdU=")</f>
        <v>#REF!</v>
      </c>
      <c r="HG79" t="e">
        <f>AND(#REF!,"AAAAAHbvUdY=")</f>
        <v>#REF!</v>
      </c>
      <c r="HH79" t="e">
        <f>AND(#REF!,"AAAAAHbvUdc=")</f>
        <v>#REF!</v>
      </c>
      <c r="HI79" t="e">
        <f>AND(#REF!,"AAAAAHbvUdg=")</f>
        <v>#REF!</v>
      </c>
      <c r="HJ79" t="e">
        <f>AND(#REF!,"AAAAAHbvUdk=")</f>
        <v>#REF!</v>
      </c>
      <c r="HK79" t="e">
        <f>AND(#REF!,"AAAAAHbvUdo=")</f>
        <v>#REF!</v>
      </c>
      <c r="HL79" t="e">
        <f>AND(#REF!,"AAAAAHbvUds=")</f>
        <v>#REF!</v>
      </c>
      <c r="HM79" t="e">
        <f>AND(#REF!,"AAAAAHbvUdw=")</f>
        <v>#REF!</v>
      </c>
      <c r="HN79" t="e">
        <f>AND(#REF!,"AAAAAHbvUd0=")</f>
        <v>#REF!</v>
      </c>
      <c r="HO79" t="e">
        <f>IF(#REF!,"AAAAAHbvUd4=",0)</f>
        <v>#REF!</v>
      </c>
      <c r="HP79" t="e">
        <f>AND(#REF!,"AAAAAHbvUd8=")</f>
        <v>#REF!</v>
      </c>
      <c r="HQ79" t="e">
        <f>AND(#REF!,"AAAAAHbvUeA=")</f>
        <v>#REF!</v>
      </c>
      <c r="HR79" t="e">
        <f>AND(#REF!,"AAAAAHbvUeE=")</f>
        <v>#REF!</v>
      </c>
      <c r="HS79" t="e">
        <f>AND(#REF!,"AAAAAHbvUeI=")</f>
        <v>#REF!</v>
      </c>
      <c r="HT79" t="e">
        <f>AND(#REF!,"AAAAAHbvUeM=")</f>
        <v>#REF!</v>
      </c>
      <c r="HU79" t="e">
        <f>AND(#REF!,"AAAAAHbvUeQ=")</f>
        <v>#REF!</v>
      </c>
      <c r="HV79" t="e">
        <f>AND(#REF!,"AAAAAHbvUeU=")</f>
        <v>#REF!</v>
      </c>
      <c r="HW79" t="e">
        <f>AND(#REF!,"AAAAAHbvUeY=")</f>
        <v>#REF!</v>
      </c>
      <c r="HX79" t="e">
        <f>AND(#REF!,"AAAAAHbvUec=")</f>
        <v>#REF!</v>
      </c>
      <c r="HY79" t="e">
        <f>AND(#REF!,"AAAAAHbvUeg=")</f>
        <v>#REF!</v>
      </c>
      <c r="HZ79" t="e">
        <f>IF(#REF!,"AAAAAHbvUek=",0)</f>
        <v>#REF!</v>
      </c>
      <c r="IA79" t="e">
        <f>AND(#REF!,"AAAAAHbvUeo=")</f>
        <v>#REF!</v>
      </c>
      <c r="IB79" t="e">
        <f>AND(#REF!,"AAAAAHbvUes=")</f>
        <v>#REF!</v>
      </c>
      <c r="IC79" t="e">
        <f>AND(#REF!,"AAAAAHbvUew=")</f>
        <v>#REF!</v>
      </c>
      <c r="ID79" t="e">
        <f>AND(#REF!,"AAAAAHbvUe0=")</f>
        <v>#REF!</v>
      </c>
      <c r="IE79" t="e">
        <f>AND(#REF!,"AAAAAHbvUe4=")</f>
        <v>#REF!</v>
      </c>
      <c r="IF79" t="e">
        <f>AND(#REF!,"AAAAAHbvUe8=")</f>
        <v>#REF!</v>
      </c>
      <c r="IG79" t="e">
        <f>AND(#REF!,"AAAAAHbvUfA=")</f>
        <v>#REF!</v>
      </c>
      <c r="IH79" t="e">
        <f>AND(#REF!,"AAAAAHbvUfE=")</f>
        <v>#REF!</v>
      </c>
      <c r="II79" t="e">
        <f>AND(#REF!,"AAAAAHbvUfI=")</f>
        <v>#REF!</v>
      </c>
      <c r="IJ79" t="e">
        <f>AND(#REF!,"AAAAAHbvUfM=")</f>
        <v>#REF!</v>
      </c>
      <c r="IK79" t="e">
        <f>IF(#REF!,"AAAAAHbvUfQ=",0)</f>
        <v>#REF!</v>
      </c>
      <c r="IL79" t="e">
        <f>AND(#REF!,"AAAAAHbvUfU=")</f>
        <v>#REF!</v>
      </c>
      <c r="IM79" t="e">
        <f>AND(#REF!,"AAAAAHbvUfY=")</f>
        <v>#REF!</v>
      </c>
      <c r="IN79" t="e">
        <f>AND(#REF!,"AAAAAHbvUfc=")</f>
        <v>#REF!</v>
      </c>
      <c r="IO79" t="e">
        <f>AND(#REF!,"AAAAAHbvUfg=")</f>
        <v>#REF!</v>
      </c>
      <c r="IP79" t="e">
        <f>AND(#REF!,"AAAAAHbvUfk=")</f>
        <v>#REF!</v>
      </c>
      <c r="IQ79" t="e">
        <f>AND(#REF!,"AAAAAHbvUfo=")</f>
        <v>#REF!</v>
      </c>
      <c r="IR79" t="e">
        <f>AND(#REF!,"AAAAAHbvUfs=")</f>
        <v>#REF!</v>
      </c>
      <c r="IS79" t="e">
        <f>AND(#REF!,"AAAAAHbvUfw=")</f>
        <v>#REF!</v>
      </c>
      <c r="IT79" t="e">
        <f>AND(#REF!,"AAAAAHbvUf0=")</f>
        <v>#REF!</v>
      </c>
      <c r="IU79" t="e">
        <f>AND(#REF!,"AAAAAHbvUf4=")</f>
        <v>#REF!</v>
      </c>
      <c r="IV79" t="e">
        <f>IF(#REF!,"AAAAAHbvUf8=",0)</f>
        <v>#REF!</v>
      </c>
    </row>
    <row r="80" spans="1:256" x14ac:dyDescent="0.25">
      <c r="A80" t="e">
        <f>AND(#REF!,"AAAAAGa6sQA=")</f>
        <v>#REF!</v>
      </c>
      <c r="B80" t="e">
        <f>AND(#REF!,"AAAAAGa6sQE=")</f>
        <v>#REF!</v>
      </c>
      <c r="C80" t="e">
        <f>AND(#REF!,"AAAAAGa6sQI=")</f>
        <v>#REF!</v>
      </c>
      <c r="D80" t="e">
        <f>AND(#REF!,"AAAAAGa6sQM=")</f>
        <v>#REF!</v>
      </c>
      <c r="E80" t="e">
        <f>AND(#REF!,"AAAAAGa6sQQ=")</f>
        <v>#REF!</v>
      </c>
      <c r="F80" t="e">
        <f>AND(#REF!,"AAAAAGa6sQU=")</f>
        <v>#REF!</v>
      </c>
      <c r="G80" t="e">
        <f>AND(#REF!,"AAAAAGa6sQY=")</f>
        <v>#REF!</v>
      </c>
      <c r="H80" t="e">
        <f>AND(#REF!,"AAAAAGa6sQc=")</f>
        <v>#REF!</v>
      </c>
      <c r="I80" t="e">
        <f>AND(#REF!,"AAAAAGa6sQg=")</f>
        <v>#REF!</v>
      </c>
      <c r="J80" t="e">
        <f>AND(#REF!,"AAAAAGa6sQk=")</f>
        <v>#REF!</v>
      </c>
      <c r="K80" t="e">
        <f>IF(#REF!,"AAAAAGa6sQo=",0)</f>
        <v>#REF!</v>
      </c>
      <c r="L80" t="e">
        <f>AND(#REF!,"AAAAAGa6sQs=")</f>
        <v>#REF!</v>
      </c>
      <c r="M80" t="e">
        <f>AND(#REF!,"AAAAAGa6sQw=")</f>
        <v>#REF!</v>
      </c>
      <c r="N80" t="e">
        <f>AND(#REF!,"AAAAAGa6sQ0=")</f>
        <v>#REF!</v>
      </c>
      <c r="O80" t="e">
        <f>AND(#REF!,"AAAAAGa6sQ4=")</f>
        <v>#REF!</v>
      </c>
      <c r="P80" t="e">
        <f>AND(#REF!,"AAAAAGa6sQ8=")</f>
        <v>#REF!</v>
      </c>
      <c r="Q80" t="e">
        <f>AND(#REF!,"AAAAAGa6sRA=")</f>
        <v>#REF!</v>
      </c>
      <c r="R80" t="e">
        <f>AND(#REF!,"AAAAAGa6sRE=")</f>
        <v>#REF!</v>
      </c>
      <c r="S80" t="e">
        <f>AND(#REF!,"AAAAAGa6sRI=")</f>
        <v>#REF!</v>
      </c>
      <c r="T80" t="e">
        <f>AND(#REF!,"AAAAAGa6sRM=")</f>
        <v>#REF!</v>
      </c>
      <c r="U80" t="e">
        <f>AND(#REF!,"AAAAAGa6sRQ=")</f>
        <v>#REF!</v>
      </c>
      <c r="V80" t="e">
        <f>IF(#REF!,"AAAAAGa6sRU=",0)</f>
        <v>#REF!</v>
      </c>
      <c r="W80" t="e">
        <f>AND(#REF!,"AAAAAGa6sRY=")</f>
        <v>#REF!</v>
      </c>
      <c r="X80" t="e">
        <f>AND(#REF!,"AAAAAGa6sRc=")</f>
        <v>#REF!</v>
      </c>
      <c r="Y80" t="e">
        <f>AND(#REF!,"AAAAAGa6sRg=")</f>
        <v>#REF!</v>
      </c>
      <c r="Z80" t="e">
        <f>AND(#REF!,"AAAAAGa6sRk=")</f>
        <v>#REF!</v>
      </c>
      <c r="AA80" t="e">
        <f>AND(#REF!,"AAAAAGa6sRo=")</f>
        <v>#REF!</v>
      </c>
      <c r="AB80" t="e">
        <f>AND(#REF!,"AAAAAGa6sRs=")</f>
        <v>#REF!</v>
      </c>
      <c r="AC80" t="e">
        <f>AND(#REF!,"AAAAAGa6sRw=")</f>
        <v>#REF!</v>
      </c>
      <c r="AD80" t="e">
        <f>AND(#REF!,"AAAAAGa6sR0=")</f>
        <v>#REF!</v>
      </c>
      <c r="AE80" t="e">
        <f>AND(#REF!,"AAAAAGa6sR4=")</f>
        <v>#REF!</v>
      </c>
      <c r="AF80" t="e">
        <f>AND(#REF!,"AAAAAGa6sR8=")</f>
        <v>#REF!</v>
      </c>
      <c r="AG80" t="e">
        <f>IF(#REF!,"AAAAAGa6sSA=",0)</f>
        <v>#REF!</v>
      </c>
      <c r="AH80" t="e">
        <f>AND(#REF!,"AAAAAGa6sSE=")</f>
        <v>#REF!</v>
      </c>
      <c r="AI80" t="e">
        <f>AND(#REF!,"AAAAAGa6sSI=")</f>
        <v>#REF!</v>
      </c>
      <c r="AJ80" t="e">
        <f>AND(#REF!,"AAAAAGa6sSM=")</f>
        <v>#REF!</v>
      </c>
      <c r="AK80" t="e">
        <f>AND(#REF!,"AAAAAGa6sSQ=")</f>
        <v>#REF!</v>
      </c>
      <c r="AL80" t="e">
        <f>AND(#REF!,"AAAAAGa6sSU=")</f>
        <v>#REF!</v>
      </c>
      <c r="AM80" t="e">
        <f>AND(#REF!,"AAAAAGa6sSY=")</f>
        <v>#REF!</v>
      </c>
      <c r="AN80" t="e">
        <f>AND(#REF!,"AAAAAGa6sSc=")</f>
        <v>#REF!</v>
      </c>
      <c r="AO80" t="e">
        <f>AND(#REF!,"AAAAAGa6sSg=")</f>
        <v>#REF!</v>
      </c>
      <c r="AP80" t="e">
        <f>AND(#REF!,"AAAAAGa6sSk=")</f>
        <v>#REF!</v>
      </c>
      <c r="AQ80" t="e">
        <f>AND(#REF!,"AAAAAGa6sSo=")</f>
        <v>#REF!</v>
      </c>
      <c r="AR80" t="e">
        <f>IF(#REF!,"AAAAAGa6sSs=",0)</f>
        <v>#REF!</v>
      </c>
      <c r="AS80" t="e">
        <f>AND(#REF!,"AAAAAGa6sSw=")</f>
        <v>#REF!</v>
      </c>
      <c r="AT80" t="e">
        <f>AND(#REF!,"AAAAAGa6sS0=")</f>
        <v>#REF!</v>
      </c>
      <c r="AU80" t="e">
        <f>AND(#REF!,"AAAAAGa6sS4=")</f>
        <v>#REF!</v>
      </c>
      <c r="AV80" t="e">
        <f>AND(#REF!,"AAAAAGa6sS8=")</f>
        <v>#REF!</v>
      </c>
      <c r="AW80" t="e">
        <f>AND(#REF!,"AAAAAGa6sTA=")</f>
        <v>#REF!</v>
      </c>
      <c r="AX80" t="e">
        <f>AND(#REF!,"AAAAAGa6sTE=")</f>
        <v>#REF!</v>
      </c>
      <c r="AY80" t="e">
        <f>AND(#REF!,"AAAAAGa6sTI=")</f>
        <v>#REF!</v>
      </c>
      <c r="AZ80" t="e">
        <f>AND(#REF!,"AAAAAGa6sTM=")</f>
        <v>#REF!</v>
      </c>
      <c r="BA80" t="e">
        <f>AND(#REF!,"AAAAAGa6sTQ=")</f>
        <v>#REF!</v>
      </c>
      <c r="BB80" t="e">
        <f>AND(#REF!,"AAAAAGa6sTU=")</f>
        <v>#REF!</v>
      </c>
      <c r="BC80" t="e">
        <f>IF(#REF!,"AAAAAGa6sTY=",0)</f>
        <v>#REF!</v>
      </c>
      <c r="BD80" t="e">
        <f>AND(#REF!,"AAAAAGa6sTc=")</f>
        <v>#REF!</v>
      </c>
      <c r="BE80" t="e">
        <f>AND(#REF!,"AAAAAGa6sTg=")</f>
        <v>#REF!</v>
      </c>
      <c r="BF80" t="e">
        <f>AND(#REF!,"AAAAAGa6sTk=")</f>
        <v>#REF!</v>
      </c>
      <c r="BG80" t="e">
        <f>AND(#REF!,"AAAAAGa6sTo=")</f>
        <v>#REF!</v>
      </c>
      <c r="BH80" t="e">
        <f>AND(#REF!,"AAAAAGa6sTs=")</f>
        <v>#REF!</v>
      </c>
      <c r="BI80" t="e">
        <f>AND(#REF!,"AAAAAGa6sTw=")</f>
        <v>#REF!</v>
      </c>
      <c r="BJ80" t="e">
        <f>AND(#REF!,"AAAAAGa6sT0=")</f>
        <v>#REF!</v>
      </c>
      <c r="BK80" t="e">
        <f>AND(#REF!,"AAAAAGa6sT4=")</f>
        <v>#REF!</v>
      </c>
      <c r="BL80" t="e">
        <f>AND(#REF!,"AAAAAGa6sT8=")</f>
        <v>#REF!</v>
      </c>
      <c r="BM80" t="e">
        <f>AND(#REF!,"AAAAAGa6sUA=")</f>
        <v>#REF!</v>
      </c>
      <c r="BN80" t="e">
        <f>IF(#REF!,"AAAAAGa6sUE=",0)</f>
        <v>#REF!</v>
      </c>
      <c r="BO80" t="e">
        <f>AND(#REF!,"AAAAAGa6sUI=")</f>
        <v>#REF!</v>
      </c>
      <c r="BP80" t="e">
        <f>AND(#REF!,"AAAAAGa6sUM=")</f>
        <v>#REF!</v>
      </c>
      <c r="BQ80" t="e">
        <f>AND(#REF!,"AAAAAGa6sUQ=")</f>
        <v>#REF!</v>
      </c>
      <c r="BR80" t="e">
        <f>AND(#REF!,"AAAAAGa6sUU=")</f>
        <v>#REF!</v>
      </c>
      <c r="BS80" t="e">
        <f>AND(#REF!,"AAAAAGa6sUY=")</f>
        <v>#REF!</v>
      </c>
      <c r="BT80" t="e">
        <f>AND(#REF!,"AAAAAGa6sUc=")</f>
        <v>#REF!</v>
      </c>
      <c r="BU80" t="e">
        <f>AND(#REF!,"AAAAAGa6sUg=")</f>
        <v>#REF!</v>
      </c>
      <c r="BV80" t="e">
        <f>AND(#REF!,"AAAAAGa6sUk=")</f>
        <v>#REF!</v>
      </c>
      <c r="BW80" t="e">
        <f>AND(#REF!,"AAAAAGa6sUo=")</f>
        <v>#REF!</v>
      </c>
      <c r="BX80" t="e">
        <f>AND(#REF!,"AAAAAGa6sUs=")</f>
        <v>#REF!</v>
      </c>
      <c r="BY80" t="e">
        <f>IF(#REF!,"AAAAAGa6sUw=",0)</f>
        <v>#REF!</v>
      </c>
      <c r="BZ80" t="e">
        <f>AND(#REF!,"AAAAAGa6sU0=")</f>
        <v>#REF!</v>
      </c>
      <c r="CA80" t="e">
        <f>AND(#REF!,"AAAAAGa6sU4=")</f>
        <v>#REF!</v>
      </c>
      <c r="CB80" t="e">
        <f>AND(#REF!,"AAAAAGa6sU8=")</f>
        <v>#REF!</v>
      </c>
      <c r="CC80" t="e">
        <f>AND(#REF!,"AAAAAGa6sVA=")</f>
        <v>#REF!</v>
      </c>
      <c r="CD80" t="e">
        <f>AND(#REF!,"AAAAAGa6sVE=")</f>
        <v>#REF!</v>
      </c>
      <c r="CE80" t="e">
        <f>AND(#REF!,"AAAAAGa6sVI=")</f>
        <v>#REF!</v>
      </c>
      <c r="CF80" t="e">
        <f>AND(#REF!,"AAAAAGa6sVM=")</f>
        <v>#REF!</v>
      </c>
      <c r="CG80" t="e">
        <f>AND(#REF!,"AAAAAGa6sVQ=")</f>
        <v>#REF!</v>
      </c>
      <c r="CH80" t="e">
        <f>AND(#REF!,"AAAAAGa6sVU=")</f>
        <v>#REF!</v>
      </c>
      <c r="CI80" t="e">
        <f>AND(#REF!,"AAAAAGa6sVY=")</f>
        <v>#REF!</v>
      </c>
      <c r="CJ80" t="e">
        <f>IF(#REF!,"AAAAAGa6sVc=",0)</f>
        <v>#REF!</v>
      </c>
      <c r="CK80" t="e">
        <f>AND(#REF!,"AAAAAGa6sVg=")</f>
        <v>#REF!</v>
      </c>
      <c r="CL80" t="e">
        <f>AND(#REF!,"AAAAAGa6sVk=")</f>
        <v>#REF!</v>
      </c>
      <c r="CM80" t="e">
        <f>AND(#REF!,"AAAAAGa6sVo=")</f>
        <v>#REF!</v>
      </c>
      <c r="CN80" t="e">
        <f>AND(#REF!,"AAAAAGa6sVs=")</f>
        <v>#REF!</v>
      </c>
      <c r="CO80" t="e">
        <f>AND(#REF!,"AAAAAGa6sVw=")</f>
        <v>#REF!</v>
      </c>
      <c r="CP80" t="e">
        <f>AND(#REF!,"AAAAAGa6sV0=")</f>
        <v>#REF!</v>
      </c>
      <c r="CQ80" t="e">
        <f>AND(#REF!,"AAAAAGa6sV4=")</f>
        <v>#REF!</v>
      </c>
      <c r="CR80" t="e">
        <f>AND(#REF!,"AAAAAGa6sV8=")</f>
        <v>#REF!</v>
      </c>
      <c r="CS80" t="e">
        <f>AND(#REF!,"AAAAAGa6sWA=")</f>
        <v>#REF!</v>
      </c>
      <c r="CT80" t="e">
        <f>AND(#REF!,"AAAAAGa6sWE=")</f>
        <v>#REF!</v>
      </c>
      <c r="CU80" t="e">
        <f>IF(#REF!,"AAAAAGa6sWI=",0)</f>
        <v>#REF!</v>
      </c>
      <c r="CV80" t="e">
        <f>AND(#REF!,"AAAAAGa6sWM=")</f>
        <v>#REF!</v>
      </c>
      <c r="CW80" t="e">
        <f>AND(#REF!,"AAAAAGa6sWQ=")</f>
        <v>#REF!</v>
      </c>
      <c r="CX80" t="e">
        <f>AND(#REF!,"AAAAAGa6sWU=")</f>
        <v>#REF!</v>
      </c>
      <c r="CY80" t="e">
        <f>AND(#REF!,"AAAAAGa6sWY=")</f>
        <v>#REF!</v>
      </c>
      <c r="CZ80" t="e">
        <f>AND(#REF!,"AAAAAGa6sWc=")</f>
        <v>#REF!</v>
      </c>
      <c r="DA80" t="e">
        <f>AND(#REF!,"AAAAAGa6sWg=")</f>
        <v>#REF!</v>
      </c>
      <c r="DB80" t="e">
        <f>AND(#REF!,"AAAAAGa6sWk=")</f>
        <v>#REF!</v>
      </c>
      <c r="DC80" t="e">
        <f>AND(#REF!,"AAAAAGa6sWo=")</f>
        <v>#REF!</v>
      </c>
      <c r="DD80" t="e">
        <f>AND(#REF!,"AAAAAGa6sWs=")</f>
        <v>#REF!</v>
      </c>
      <c r="DE80" t="e">
        <f>AND(#REF!,"AAAAAGa6sWw=")</f>
        <v>#REF!</v>
      </c>
      <c r="DF80" t="e">
        <f>IF(#REF!,"AAAAAGa6sW0=",0)</f>
        <v>#REF!</v>
      </c>
      <c r="DG80" t="e">
        <f>AND(#REF!,"AAAAAGa6sW4=")</f>
        <v>#REF!</v>
      </c>
      <c r="DH80" t="e">
        <f>AND(#REF!,"AAAAAGa6sW8=")</f>
        <v>#REF!</v>
      </c>
      <c r="DI80" t="e">
        <f>AND(#REF!,"AAAAAGa6sXA=")</f>
        <v>#REF!</v>
      </c>
      <c r="DJ80" t="e">
        <f>AND(#REF!,"AAAAAGa6sXE=")</f>
        <v>#REF!</v>
      </c>
      <c r="DK80" t="e">
        <f>AND(#REF!,"AAAAAGa6sXI=")</f>
        <v>#REF!</v>
      </c>
      <c r="DL80" t="e">
        <f>AND(#REF!,"AAAAAGa6sXM=")</f>
        <v>#REF!</v>
      </c>
      <c r="DM80" t="e">
        <f>AND(#REF!,"AAAAAGa6sXQ=")</f>
        <v>#REF!</v>
      </c>
      <c r="DN80" t="e">
        <f>AND(#REF!,"AAAAAGa6sXU=")</f>
        <v>#REF!</v>
      </c>
      <c r="DO80" t="e">
        <f>AND(#REF!,"AAAAAGa6sXY=")</f>
        <v>#REF!</v>
      </c>
      <c r="DP80" t="e">
        <f>AND(#REF!,"AAAAAGa6sXc=")</f>
        <v>#REF!</v>
      </c>
      <c r="DQ80" t="e">
        <f>IF(#REF!,"AAAAAGa6sXg=",0)</f>
        <v>#REF!</v>
      </c>
      <c r="DR80" t="e">
        <f>AND(#REF!,"AAAAAGa6sXk=")</f>
        <v>#REF!</v>
      </c>
      <c r="DS80" t="e">
        <f>AND(#REF!,"AAAAAGa6sXo=")</f>
        <v>#REF!</v>
      </c>
      <c r="DT80" t="e">
        <f>AND(#REF!,"AAAAAGa6sXs=")</f>
        <v>#REF!</v>
      </c>
      <c r="DU80" t="e">
        <f>AND(#REF!,"AAAAAGa6sXw=")</f>
        <v>#REF!</v>
      </c>
      <c r="DV80" t="e">
        <f>AND(#REF!,"AAAAAGa6sX0=")</f>
        <v>#REF!</v>
      </c>
      <c r="DW80" t="e">
        <f>AND(#REF!,"AAAAAGa6sX4=")</f>
        <v>#REF!</v>
      </c>
      <c r="DX80" t="e">
        <f>AND(#REF!,"AAAAAGa6sX8=")</f>
        <v>#REF!</v>
      </c>
      <c r="DY80" t="e">
        <f>AND(#REF!,"AAAAAGa6sYA=")</f>
        <v>#REF!</v>
      </c>
      <c r="DZ80" t="e">
        <f>AND(#REF!,"AAAAAGa6sYE=")</f>
        <v>#REF!</v>
      </c>
      <c r="EA80" t="e">
        <f>AND(#REF!,"AAAAAGa6sYI=")</f>
        <v>#REF!</v>
      </c>
      <c r="EB80" t="e">
        <f>IF(#REF!,"AAAAAGa6sYM=",0)</f>
        <v>#REF!</v>
      </c>
      <c r="EC80" t="e">
        <f>AND(#REF!,"AAAAAGa6sYQ=")</f>
        <v>#REF!</v>
      </c>
      <c r="ED80" t="e">
        <f>AND(#REF!,"AAAAAGa6sYU=")</f>
        <v>#REF!</v>
      </c>
      <c r="EE80" t="e">
        <f>AND(#REF!,"AAAAAGa6sYY=")</f>
        <v>#REF!</v>
      </c>
      <c r="EF80" t="e">
        <f>AND(#REF!,"AAAAAGa6sYc=")</f>
        <v>#REF!</v>
      </c>
      <c r="EG80" t="e">
        <f>AND(#REF!,"AAAAAGa6sYg=")</f>
        <v>#REF!</v>
      </c>
      <c r="EH80" t="e">
        <f>AND(#REF!,"AAAAAGa6sYk=")</f>
        <v>#REF!</v>
      </c>
      <c r="EI80" t="e">
        <f>AND(#REF!,"AAAAAGa6sYo=")</f>
        <v>#REF!</v>
      </c>
      <c r="EJ80" t="e">
        <f>AND(#REF!,"AAAAAGa6sYs=")</f>
        <v>#REF!</v>
      </c>
      <c r="EK80" t="e">
        <f>AND(#REF!,"AAAAAGa6sYw=")</f>
        <v>#REF!</v>
      </c>
      <c r="EL80" t="e">
        <f>AND(#REF!,"AAAAAGa6sY0=")</f>
        <v>#REF!</v>
      </c>
      <c r="EM80" t="e">
        <f>IF(#REF!,"AAAAAGa6sY4=",0)</f>
        <v>#REF!</v>
      </c>
      <c r="EN80" t="e">
        <f>AND(#REF!,"AAAAAGa6sY8=")</f>
        <v>#REF!</v>
      </c>
      <c r="EO80" t="e">
        <f>AND(#REF!,"AAAAAGa6sZA=")</f>
        <v>#REF!</v>
      </c>
      <c r="EP80" t="e">
        <f>AND(#REF!,"AAAAAGa6sZE=")</f>
        <v>#REF!</v>
      </c>
      <c r="EQ80" t="e">
        <f>AND(#REF!,"AAAAAGa6sZI=")</f>
        <v>#REF!</v>
      </c>
      <c r="ER80" t="e">
        <f>AND(#REF!,"AAAAAGa6sZM=")</f>
        <v>#REF!</v>
      </c>
      <c r="ES80" t="e">
        <f>AND(#REF!,"AAAAAGa6sZQ=")</f>
        <v>#REF!</v>
      </c>
      <c r="ET80" t="e">
        <f>AND(#REF!,"AAAAAGa6sZU=")</f>
        <v>#REF!</v>
      </c>
      <c r="EU80" t="e">
        <f>AND(#REF!,"AAAAAGa6sZY=")</f>
        <v>#REF!</v>
      </c>
      <c r="EV80" t="e">
        <f>AND(#REF!,"AAAAAGa6sZc=")</f>
        <v>#REF!</v>
      </c>
      <c r="EW80" t="e">
        <f>AND(#REF!,"AAAAAGa6sZg=")</f>
        <v>#REF!</v>
      </c>
      <c r="EX80" t="e">
        <f>IF(#REF!,"AAAAAGa6sZk=",0)</f>
        <v>#REF!</v>
      </c>
      <c r="EY80" t="e">
        <f>AND(#REF!,"AAAAAGa6sZo=")</f>
        <v>#REF!</v>
      </c>
      <c r="EZ80" t="e">
        <f>AND(#REF!,"AAAAAGa6sZs=")</f>
        <v>#REF!</v>
      </c>
      <c r="FA80" t="e">
        <f>AND(#REF!,"AAAAAGa6sZw=")</f>
        <v>#REF!</v>
      </c>
      <c r="FB80" t="e">
        <f>AND(#REF!,"AAAAAGa6sZ0=")</f>
        <v>#REF!</v>
      </c>
      <c r="FC80" t="e">
        <f>AND(#REF!,"AAAAAGa6sZ4=")</f>
        <v>#REF!</v>
      </c>
      <c r="FD80" t="e">
        <f>AND(#REF!,"AAAAAGa6sZ8=")</f>
        <v>#REF!</v>
      </c>
      <c r="FE80" t="e">
        <f>AND(#REF!,"AAAAAGa6saA=")</f>
        <v>#REF!</v>
      </c>
      <c r="FF80" t="e">
        <f>AND(#REF!,"AAAAAGa6saE=")</f>
        <v>#REF!</v>
      </c>
      <c r="FG80" t="e">
        <f>AND(#REF!,"AAAAAGa6saI=")</f>
        <v>#REF!</v>
      </c>
      <c r="FH80" t="e">
        <f>AND(#REF!,"AAAAAGa6saM=")</f>
        <v>#REF!</v>
      </c>
      <c r="FI80" t="e">
        <f>IF(#REF!,"AAAAAGa6saQ=",0)</f>
        <v>#REF!</v>
      </c>
      <c r="FJ80" t="e">
        <f>AND(#REF!,"AAAAAGa6saU=")</f>
        <v>#REF!</v>
      </c>
      <c r="FK80" t="e">
        <f>AND(#REF!,"AAAAAGa6saY=")</f>
        <v>#REF!</v>
      </c>
      <c r="FL80" t="e">
        <f>AND(#REF!,"AAAAAGa6sac=")</f>
        <v>#REF!</v>
      </c>
      <c r="FM80" t="e">
        <f>AND(#REF!,"AAAAAGa6sag=")</f>
        <v>#REF!</v>
      </c>
      <c r="FN80" t="e">
        <f>AND(#REF!,"AAAAAGa6sak=")</f>
        <v>#REF!</v>
      </c>
      <c r="FO80" t="e">
        <f>AND(#REF!,"AAAAAGa6sao=")</f>
        <v>#REF!</v>
      </c>
      <c r="FP80" t="e">
        <f>AND(#REF!,"AAAAAGa6sas=")</f>
        <v>#REF!</v>
      </c>
      <c r="FQ80" t="e">
        <f>AND(#REF!,"AAAAAGa6saw=")</f>
        <v>#REF!</v>
      </c>
      <c r="FR80" t="e">
        <f>AND(#REF!,"AAAAAGa6sa0=")</f>
        <v>#REF!</v>
      </c>
      <c r="FS80" t="e">
        <f>AND(#REF!,"AAAAAGa6sa4=")</f>
        <v>#REF!</v>
      </c>
      <c r="FT80" t="e">
        <f>IF(#REF!,"AAAAAGa6sa8=",0)</f>
        <v>#REF!</v>
      </c>
      <c r="FU80" t="e">
        <f>AND(#REF!,"AAAAAGa6sbA=")</f>
        <v>#REF!</v>
      </c>
      <c r="FV80" t="e">
        <f>AND(#REF!,"AAAAAGa6sbE=")</f>
        <v>#REF!</v>
      </c>
      <c r="FW80" t="e">
        <f>AND(#REF!,"AAAAAGa6sbI=")</f>
        <v>#REF!</v>
      </c>
      <c r="FX80" t="e">
        <f>AND(#REF!,"AAAAAGa6sbM=")</f>
        <v>#REF!</v>
      </c>
      <c r="FY80" t="e">
        <f>AND(#REF!,"AAAAAGa6sbQ=")</f>
        <v>#REF!</v>
      </c>
      <c r="FZ80" t="e">
        <f>AND(#REF!,"AAAAAGa6sbU=")</f>
        <v>#REF!</v>
      </c>
      <c r="GA80" t="e">
        <f>AND(#REF!,"AAAAAGa6sbY=")</f>
        <v>#REF!</v>
      </c>
      <c r="GB80" t="e">
        <f>AND(#REF!,"AAAAAGa6sbc=")</f>
        <v>#REF!</v>
      </c>
      <c r="GC80" t="e">
        <f>AND(#REF!,"AAAAAGa6sbg=")</f>
        <v>#REF!</v>
      </c>
      <c r="GD80" t="e">
        <f>AND(#REF!,"AAAAAGa6sbk=")</f>
        <v>#REF!</v>
      </c>
      <c r="GE80" t="e">
        <f>IF(#REF!,"AAAAAGa6sbo=",0)</f>
        <v>#REF!</v>
      </c>
      <c r="GF80" t="e">
        <f>AND(#REF!,"AAAAAGa6sbs=")</f>
        <v>#REF!</v>
      </c>
      <c r="GG80" t="e">
        <f>AND(#REF!,"AAAAAGa6sbw=")</f>
        <v>#REF!</v>
      </c>
      <c r="GH80" t="e">
        <f>AND(#REF!,"AAAAAGa6sb0=")</f>
        <v>#REF!</v>
      </c>
      <c r="GI80" t="e">
        <f>AND(#REF!,"AAAAAGa6sb4=")</f>
        <v>#REF!</v>
      </c>
      <c r="GJ80" t="e">
        <f>AND(#REF!,"AAAAAGa6sb8=")</f>
        <v>#REF!</v>
      </c>
      <c r="GK80" t="e">
        <f>AND(#REF!,"AAAAAGa6scA=")</f>
        <v>#REF!</v>
      </c>
      <c r="GL80" t="e">
        <f>AND(#REF!,"AAAAAGa6scE=")</f>
        <v>#REF!</v>
      </c>
      <c r="GM80" t="e">
        <f>AND(#REF!,"AAAAAGa6scI=")</f>
        <v>#REF!</v>
      </c>
      <c r="GN80" t="e">
        <f>AND(#REF!,"AAAAAGa6scM=")</f>
        <v>#REF!</v>
      </c>
      <c r="GO80" t="e">
        <f>AND(#REF!,"AAAAAGa6scQ=")</f>
        <v>#REF!</v>
      </c>
      <c r="GP80" t="e">
        <f>IF(#REF!,"AAAAAGa6scU=",0)</f>
        <v>#REF!</v>
      </c>
      <c r="GQ80" t="e">
        <f>AND(#REF!,"AAAAAGa6scY=")</f>
        <v>#REF!</v>
      </c>
      <c r="GR80" t="e">
        <f>AND(#REF!,"AAAAAGa6scc=")</f>
        <v>#REF!</v>
      </c>
      <c r="GS80" t="e">
        <f>AND(#REF!,"AAAAAGa6scg=")</f>
        <v>#REF!</v>
      </c>
      <c r="GT80" t="e">
        <f>AND(#REF!,"AAAAAGa6sck=")</f>
        <v>#REF!</v>
      </c>
      <c r="GU80" t="e">
        <f>AND(#REF!,"AAAAAGa6sco=")</f>
        <v>#REF!</v>
      </c>
      <c r="GV80" t="e">
        <f>AND(#REF!,"AAAAAGa6scs=")</f>
        <v>#REF!</v>
      </c>
      <c r="GW80" t="e">
        <f>AND(#REF!,"AAAAAGa6scw=")</f>
        <v>#REF!</v>
      </c>
      <c r="GX80" t="e">
        <f>AND(#REF!,"AAAAAGa6sc0=")</f>
        <v>#REF!</v>
      </c>
      <c r="GY80" t="e">
        <f>AND(#REF!,"AAAAAGa6sc4=")</f>
        <v>#REF!</v>
      </c>
      <c r="GZ80" t="e">
        <f>AND(#REF!,"AAAAAGa6sc8=")</f>
        <v>#REF!</v>
      </c>
      <c r="HA80" t="e">
        <f>IF(#REF!,"AAAAAGa6sdA=",0)</f>
        <v>#REF!</v>
      </c>
      <c r="HB80" t="e">
        <f>AND(#REF!,"AAAAAGa6sdE=")</f>
        <v>#REF!</v>
      </c>
      <c r="HC80" t="e">
        <f>AND(#REF!,"AAAAAGa6sdI=")</f>
        <v>#REF!</v>
      </c>
      <c r="HD80" t="e">
        <f>AND(#REF!,"AAAAAGa6sdM=")</f>
        <v>#REF!</v>
      </c>
      <c r="HE80" t="e">
        <f>AND(#REF!,"AAAAAGa6sdQ=")</f>
        <v>#REF!</v>
      </c>
      <c r="HF80" t="e">
        <f>AND(#REF!,"AAAAAGa6sdU=")</f>
        <v>#REF!</v>
      </c>
      <c r="HG80" t="e">
        <f>AND(#REF!,"AAAAAGa6sdY=")</f>
        <v>#REF!</v>
      </c>
      <c r="HH80" t="e">
        <f>AND(#REF!,"AAAAAGa6sdc=")</f>
        <v>#REF!</v>
      </c>
      <c r="HI80" t="e">
        <f>AND(#REF!,"AAAAAGa6sdg=")</f>
        <v>#REF!</v>
      </c>
      <c r="HJ80" t="e">
        <f>AND(#REF!,"AAAAAGa6sdk=")</f>
        <v>#REF!</v>
      </c>
      <c r="HK80" t="e">
        <f>AND(#REF!,"AAAAAGa6sdo=")</f>
        <v>#REF!</v>
      </c>
      <c r="HL80" t="e">
        <f>IF(#REF!,"AAAAAGa6sds=",0)</f>
        <v>#REF!</v>
      </c>
      <c r="HM80" t="e">
        <f>AND(#REF!,"AAAAAGa6sdw=")</f>
        <v>#REF!</v>
      </c>
      <c r="HN80" t="e">
        <f>AND(#REF!,"AAAAAGa6sd0=")</f>
        <v>#REF!</v>
      </c>
      <c r="HO80" t="e">
        <f>AND(#REF!,"AAAAAGa6sd4=")</f>
        <v>#REF!</v>
      </c>
      <c r="HP80" t="e">
        <f>AND(#REF!,"AAAAAGa6sd8=")</f>
        <v>#REF!</v>
      </c>
      <c r="HQ80" t="e">
        <f>AND(#REF!,"AAAAAGa6seA=")</f>
        <v>#REF!</v>
      </c>
      <c r="HR80" t="e">
        <f>AND(#REF!,"AAAAAGa6seE=")</f>
        <v>#REF!</v>
      </c>
      <c r="HS80" t="e">
        <f>AND(#REF!,"AAAAAGa6seI=")</f>
        <v>#REF!</v>
      </c>
      <c r="HT80" t="e">
        <f>AND(#REF!,"AAAAAGa6seM=")</f>
        <v>#REF!</v>
      </c>
      <c r="HU80" t="e">
        <f>AND(#REF!,"AAAAAGa6seQ=")</f>
        <v>#REF!</v>
      </c>
      <c r="HV80" t="e">
        <f>AND(#REF!,"AAAAAGa6seU=")</f>
        <v>#REF!</v>
      </c>
      <c r="HW80" t="e">
        <f>IF(#REF!,"AAAAAGa6seY=",0)</f>
        <v>#REF!</v>
      </c>
      <c r="HX80" t="e">
        <f>AND(#REF!,"AAAAAGa6sec=")</f>
        <v>#REF!</v>
      </c>
      <c r="HY80" t="e">
        <f>AND(#REF!,"AAAAAGa6seg=")</f>
        <v>#REF!</v>
      </c>
      <c r="HZ80" t="e">
        <f>AND(#REF!,"AAAAAGa6sek=")</f>
        <v>#REF!</v>
      </c>
      <c r="IA80" t="e">
        <f>AND(#REF!,"AAAAAGa6seo=")</f>
        <v>#REF!</v>
      </c>
      <c r="IB80" t="e">
        <f>AND(#REF!,"AAAAAGa6ses=")</f>
        <v>#REF!</v>
      </c>
      <c r="IC80" t="e">
        <f>AND(#REF!,"AAAAAGa6sew=")</f>
        <v>#REF!</v>
      </c>
      <c r="ID80" t="e">
        <f>AND(#REF!,"AAAAAGa6se0=")</f>
        <v>#REF!</v>
      </c>
      <c r="IE80" t="e">
        <f>AND(#REF!,"AAAAAGa6se4=")</f>
        <v>#REF!</v>
      </c>
      <c r="IF80" t="e">
        <f>AND(#REF!,"AAAAAGa6se8=")</f>
        <v>#REF!</v>
      </c>
      <c r="IG80" t="e">
        <f>AND(#REF!,"AAAAAGa6sfA=")</f>
        <v>#REF!</v>
      </c>
      <c r="IH80" t="e">
        <f>IF(#REF!,"AAAAAGa6sfE=",0)</f>
        <v>#REF!</v>
      </c>
      <c r="II80" t="e">
        <f>AND(#REF!,"AAAAAGa6sfI=")</f>
        <v>#REF!</v>
      </c>
      <c r="IJ80" t="e">
        <f>AND(#REF!,"AAAAAGa6sfM=")</f>
        <v>#REF!</v>
      </c>
      <c r="IK80" t="e">
        <f>AND(#REF!,"AAAAAGa6sfQ=")</f>
        <v>#REF!</v>
      </c>
      <c r="IL80" t="e">
        <f>AND(#REF!,"AAAAAGa6sfU=")</f>
        <v>#REF!</v>
      </c>
      <c r="IM80" t="e">
        <f>AND(#REF!,"AAAAAGa6sfY=")</f>
        <v>#REF!</v>
      </c>
      <c r="IN80" t="e">
        <f>AND(#REF!,"AAAAAGa6sfc=")</f>
        <v>#REF!</v>
      </c>
      <c r="IO80" t="e">
        <f>AND(#REF!,"AAAAAGa6sfg=")</f>
        <v>#REF!</v>
      </c>
      <c r="IP80" t="e">
        <f>AND(#REF!,"AAAAAGa6sfk=")</f>
        <v>#REF!</v>
      </c>
      <c r="IQ80" t="e">
        <f>AND(#REF!,"AAAAAGa6sfo=")</f>
        <v>#REF!</v>
      </c>
      <c r="IR80" t="e">
        <f>AND(#REF!,"AAAAAGa6sfs=")</f>
        <v>#REF!</v>
      </c>
      <c r="IS80" t="e">
        <f>IF(#REF!,"AAAAAGa6sfw=",0)</f>
        <v>#REF!</v>
      </c>
      <c r="IT80" t="e">
        <f>AND(#REF!,"AAAAAGa6sf0=")</f>
        <v>#REF!</v>
      </c>
      <c r="IU80" t="e">
        <f>AND(#REF!,"AAAAAGa6sf4=")</f>
        <v>#REF!</v>
      </c>
      <c r="IV80" t="e">
        <f>AND(#REF!,"AAAAAGa6sf8=")</f>
        <v>#REF!</v>
      </c>
    </row>
    <row r="81" spans="1:256" x14ac:dyDescent="0.25">
      <c r="A81" t="e">
        <f>AND(#REF!,"AAAAAHu2+wA=")</f>
        <v>#REF!</v>
      </c>
      <c r="B81" t="e">
        <f>AND(#REF!,"AAAAAHu2+wE=")</f>
        <v>#REF!</v>
      </c>
      <c r="C81" t="e">
        <f>AND(#REF!,"AAAAAHu2+wI=")</f>
        <v>#REF!</v>
      </c>
      <c r="D81" t="e">
        <f>AND(#REF!,"AAAAAHu2+wM=")</f>
        <v>#REF!</v>
      </c>
      <c r="E81" t="e">
        <f>AND(#REF!,"AAAAAHu2+wQ=")</f>
        <v>#REF!</v>
      </c>
      <c r="F81" t="e">
        <f>AND(#REF!,"AAAAAHu2+wU=")</f>
        <v>#REF!</v>
      </c>
      <c r="G81" t="e">
        <f>AND(#REF!,"AAAAAHu2+wY=")</f>
        <v>#REF!</v>
      </c>
      <c r="H81" t="e">
        <f>IF(#REF!,"AAAAAHu2+wc=",0)</f>
        <v>#REF!</v>
      </c>
      <c r="I81" t="e">
        <f>AND(#REF!,"AAAAAHu2+wg=")</f>
        <v>#REF!</v>
      </c>
      <c r="J81" t="e">
        <f>AND(#REF!,"AAAAAHu2+wk=")</f>
        <v>#REF!</v>
      </c>
      <c r="K81" t="e">
        <f>AND(#REF!,"AAAAAHu2+wo=")</f>
        <v>#REF!</v>
      </c>
      <c r="L81" t="e">
        <f>AND(#REF!,"AAAAAHu2+ws=")</f>
        <v>#REF!</v>
      </c>
      <c r="M81" t="e">
        <f>AND(#REF!,"AAAAAHu2+ww=")</f>
        <v>#REF!</v>
      </c>
      <c r="N81" t="e">
        <f>AND(#REF!,"AAAAAHu2+w0=")</f>
        <v>#REF!</v>
      </c>
      <c r="O81" t="e">
        <f>AND(#REF!,"AAAAAHu2+w4=")</f>
        <v>#REF!</v>
      </c>
      <c r="P81" t="e">
        <f>AND(#REF!,"AAAAAHu2+w8=")</f>
        <v>#REF!</v>
      </c>
      <c r="Q81" t="e">
        <f>AND(#REF!,"AAAAAHu2+xA=")</f>
        <v>#REF!</v>
      </c>
      <c r="R81" t="e">
        <f>AND(#REF!,"AAAAAHu2+xE=")</f>
        <v>#REF!</v>
      </c>
      <c r="S81" t="e">
        <f>IF(#REF!,"AAAAAHu2+xI=",0)</f>
        <v>#REF!</v>
      </c>
      <c r="T81" t="e">
        <f>AND(#REF!,"AAAAAHu2+xM=")</f>
        <v>#REF!</v>
      </c>
      <c r="U81" t="e">
        <f>AND(#REF!,"AAAAAHu2+xQ=")</f>
        <v>#REF!</v>
      </c>
      <c r="V81" t="e">
        <f>AND(#REF!,"AAAAAHu2+xU=")</f>
        <v>#REF!</v>
      </c>
      <c r="W81" t="e">
        <f>AND(#REF!,"AAAAAHu2+xY=")</f>
        <v>#REF!</v>
      </c>
      <c r="X81" t="e">
        <f>AND(#REF!,"AAAAAHu2+xc=")</f>
        <v>#REF!</v>
      </c>
      <c r="Y81" t="e">
        <f>AND(#REF!,"AAAAAHu2+xg=")</f>
        <v>#REF!</v>
      </c>
      <c r="Z81" t="e">
        <f>AND(#REF!,"AAAAAHu2+xk=")</f>
        <v>#REF!</v>
      </c>
      <c r="AA81" t="e">
        <f>AND(#REF!,"AAAAAHu2+xo=")</f>
        <v>#REF!</v>
      </c>
      <c r="AB81" t="e">
        <f>AND(#REF!,"AAAAAHu2+xs=")</f>
        <v>#REF!</v>
      </c>
      <c r="AC81" t="e">
        <f>AND(#REF!,"AAAAAHu2+xw=")</f>
        <v>#REF!</v>
      </c>
      <c r="AD81" t="e">
        <f>IF(#REF!,"AAAAAHu2+x0=",0)</f>
        <v>#REF!</v>
      </c>
      <c r="AE81" t="e">
        <f>AND(#REF!,"AAAAAHu2+x4=")</f>
        <v>#REF!</v>
      </c>
      <c r="AF81" t="e">
        <f>AND(#REF!,"AAAAAHu2+x8=")</f>
        <v>#REF!</v>
      </c>
      <c r="AG81" t="e">
        <f>AND(#REF!,"AAAAAHu2+yA=")</f>
        <v>#REF!</v>
      </c>
      <c r="AH81" t="e">
        <f>AND(#REF!,"AAAAAHu2+yE=")</f>
        <v>#REF!</v>
      </c>
      <c r="AI81" t="e">
        <f>AND(#REF!,"AAAAAHu2+yI=")</f>
        <v>#REF!</v>
      </c>
      <c r="AJ81" t="e">
        <f>AND(#REF!,"AAAAAHu2+yM=")</f>
        <v>#REF!</v>
      </c>
      <c r="AK81" t="e">
        <f>AND(#REF!,"AAAAAHu2+yQ=")</f>
        <v>#REF!</v>
      </c>
      <c r="AL81" t="e">
        <f>AND(#REF!,"AAAAAHu2+yU=")</f>
        <v>#REF!</v>
      </c>
      <c r="AM81" t="e">
        <f>AND(#REF!,"AAAAAHu2+yY=")</f>
        <v>#REF!</v>
      </c>
      <c r="AN81" t="e">
        <f>AND(#REF!,"AAAAAHu2+yc=")</f>
        <v>#REF!</v>
      </c>
      <c r="AO81" t="e">
        <f>IF(#REF!,"AAAAAHu2+yg=",0)</f>
        <v>#REF!</v>
      </c>
      <c r="AP81" t="e">
        <f>AND(#REF!,"AAAAAHu2+yk=")</f>
        <v>#REF!</v>
      </c>
      <c r="AQ81" t="e">
        <f>AND(#REF!,"AAAAAHu2+yo=")</f>
        <v>#REF!</v>
      </c>
      <c r="AR81" t="e">
        <f>AND(#REF!,"AAAAAHu2+ys=")</f>
        <v>#REF!</v>
      </c>
      <c r="AS81" t="e">
        <f>AND(#REF!,"AAAAAHu2+yw=")</f>
        <v>#REF!</v>
      </c>
      <c r="AT81" t="e">
        <f>AND(#REF!,"AAAAAHu2+y0=")</f>
        <v>#REF!</v>
      </c>
      <c r="AU81" t="e">
        <f>AND(#REF!,"AAAAAHu2+y4=")</f>
        <v>#REF!</v>
      </c>
      <c r="AV81" t="e">
        <f>AND(#REF!,"AAAAAHu2+y8=")</f>
        <v>#REF!</v>
      </c>
      <c r="AW81" t="e">
        <f>AND(#REF!,"AAAAAHu2+zA=")</f>
        <v>#REF!</v>
      </c>
      <c r="AX81" t="e">
        <f>AND(#REF!,"AAAAAHu2+zE=")</f>
        <v>#REF!</v>
      </c>
      <c r="AY81" t="e">
        <f>AND(#REF!,"AAAAAHu2+zI=")</f>
        <v>#REF!</v>
      </c>
      <c r="AZ81" t="e">
        <f>IF(#REF!,"AAAAAHu2+zM=",0)</f>
        <v>#REF!</v>
      </c>
      <c r="BA81" t="e">
        <f>AND(#REF!,"AAAAAHu2+zQ=")</f>
        <v>#REF!</v>
      </c>
      <c r="BB81" t="e">
        <f>AND(#REF!,"AAAAAHu2+zU=")</f>
        <v>#REF!</v>
      </c>
      <c r="BC81" t="e">
        <f>AND(#REF!,"AAAAAHu2+zY=")</f>
        <v>#REF!</v>
      </c>
      <c r="BD81" t="e">
        <f>AND(#REF!,"AAAAAHu2+zc=")</f>
        <v>#REF!</v>
      </c>
      <c r="BE81" t="e">
        <f>AND(#REF!,"AAAAAHu2+zg=")</f>
        <v>#REF!</v>
      </c>
      <c r="BF81" t="e">
        <f>AND(#REF!,"AAAAAHu2+zk=")</f>
        <v>#REF!</v>
      </c>
      <c r="BG81" t="e">
        <f>AND(#REF!,"AAAAAHu2+zo=")</f>
        <v>#REF!</v>
      </c>
      <c r="BH81" t="e">
        <f>AND(#REF!,"AAAAAHu2+zs=")</f>
        <v>#REF!</v>
      </c>
      <c r="BI81" t="e">
        <f>AND(#REF!,"AAAAAHu2+zw=")</f>
        <v>#REF!</v>
      </c>
      <c r="BJ81" t="e">
        <f>AND(#REF!,"AAAAAHu2+z0=")</f>
        <v>#REF!</v>
      </c>
      <c r="BK81" t="e">
        <f>IF(#REF!,"AAAAAHu2+z4=",0)</f>
        <v>#REF!</v>
      </c>
      <c r="BL81" t="e">
        <f>AND(#REF!,"AAAAAHu2+z8=")</f>
        <v>#REF!</v>
      </c>
      <c r="BM81" t="e">
        <f>AND(#REF!,"AAAAAHu2+0A=")</f>
        <v>#REF!</v>
      </c>
      <c r="BN81" t="e">
        <f>AND(#REF!,"AAAAAHu2+0E=")</f>
        <v>#REF!</v>
      </c>
      <c r="BO81" t="e">
        <f>AND(#REF!,"AAAAAHu2+0I=")</f>
        <v>#REF!</v>
      </c>
      <c r="BP81" t="e">
        <f>AND(#REF!,"AAAAAHu2+0M=")</f>
        <v>#REF!</v>
      </c>
      <c r="BQ81" t="e">
        <f>AND(#REF!,"AAAAAHu2+0Q=")</f>
        <v>#REF!</v>
      </c>
      <c r="BR81" t="e">
        <f>AND(#REF!,"AAAAAHu2+0U=")</f>
        <v>#REF!</v>
      </c>
      <c r="BS81" t="e">
        <f>AND(#REF!,"AAAAAHu2+0Y=")</f>
        <v>#REF!</v>
      </c>
      <c r="BT81" t="e">
        <f>AND(#REF!,"AAAAAHu2+0c=")</f>
        <v>#REF!</v>
      </c>
      <c r="BU81" t="e">
        <f>AND(#REF!,"AAAAAHu2+0g=")</f>
        <v>#REF!</v>
      </c>
      <c r="BV81" t="e">
        <f>IF(#REF!,"AAAAAHu2+0k=",0)</f>
        <v>#REF!</v>
      </c>
      <c r="BW81" t="e">
        <f>AND(#REF!,"AAAAAHu2+0o=")</f>
        <v>#REF!</v>
      </c>
      <c r="BX81" t="e">
        <f>AND(#REF!,"AAAAAHu2+0s=")</f>
        <v>#REF!</v>
      </c>
      <c r="BY81" t="e">
        <f>AND(#REF!,"AAAAAHu2+0w=")</f>
        <v>#REF!</v>
      </c>
      <c r="BZ81" t="e">
        <f>AND(#REF!,"AAAAAHu2+00=")</f>
        <v>#REF!</v>
      </c>
      <c r="CA81" t="e">
        <f>AND(#REF!,"AAAAAHu2+04=")</f>
        <v>#REF!</v>
      </c>
      <c r="CB81" t="e">
        <f>AND(#REF!,"AAAAAHu2+08=")</f>
        <v>#REF!</v>
      </c>
      <c r="CC81" t="e">
        <f>AND(#REF!,"AAAAAHu2+1A=")</f>
        <v>#REF!</v>
      </c>
      <c r="CD81" t="e">
        <f>AND(#REF!,"AAAAAHu2+1E=")</f>
        <v>#REF!</v>
      </c>
      <c r="CE81" t="e">
        <f>AND(#REF!,"AAAAAHu2+1I=")</f>
        <v>#REF!</v>
      </c>
      <c r="CF81" t="e">
        <f>AND(#REF!,"AAAAAHu2+1M=")</f>
        <v>#REF!</v>
      </c>
      <c r="CG81" t="e">
        <f>IF(#REF!,"AAAAAHu2+1Q=",0)</f>
        <v>#REF!</v>
      </c>
      <c r="CH81" t="e">
        <f>AND(#REF!,"AAAAAHu2+1U=")</f>
        <v>#REF!</v>
      </c>
      <c r="CI81" t="e">
        <f>AND(#REF!,"AAAAAHu2+1Y=")</f>
        <v>#REF!</v>
      </c>
      <c r="CJ81" t="e">
        <f>AND(#REF!,"AAAAAHu2+1c=")</f>
        <v>#REF!</v>
      </c>
      <c r="CK81" t="e">
        <f>AND(#REF!,"AAAAAHu2+1g=")</f>
        <v>#REF!</v>
      </c>
      <c r="CL81" t="e">
        <f>AND(#REF!,"AAAAAHu2+1k=")</f>
        <v>#REF!</v>
      </c>
      <c r="CM81" t="e">
        <f>AND(#REF!,"AAAAAHu2+1o=")</f>
        <v>#REF!</v>
      </c>
      <c r="CN81" t="e">
        <f>AND(#REF!,"AAAAAHu2+1s=")</f>
        <v>#REF!</v>
      </c>
      <c r="CO81" t="e">
        <f>AND(#REF!,"AAAAAHu2+1w=")</f>
        <v>#REF!</v>
      </c>
      <c r="CP81" t="e">
        <f>AND(#REF!,"AAAAAHu2+10=")</f>
        <v>#REF!</v>
      </c>
      <c r="CQ81" t="e">
        <f>AND(#REF!,"AAAAAHu2+14=")</f>
        <v>#REF!</v>
      </c>
      <c r="CR81" t="e">
        <f>IF(#REF!,"AAAAAHu2+18=",0)</f>
        <v>#REF!</v>
      </c>
      <c r="CS81" t="e">
        <f>AND(#REF!,"AAAAAHu2+2A=")</f>
        <v>#REF!</v>
      </c>
      <c r="CT81" t="e">
        <f>AND(#REF!,"AAAAAHu2+2E=")</f>
        <v>#REF!</v>
      </c>
      <c r="CU81" t="e">
        <f>AND(#REF!,"AAAAAHu2+2I=")</f>
        <v>#REF!</v>
      </c>
      <c r="CV81" t="e">
        <f>AND(#REF!,"AAAAAHu2+2M=")</f>
        <v>#REF!</v>
      </c>
      <c r="CW81" t="e">
        <f>AND(#REF!,"AAAAAHu2+2Q=")</f>
        <v>#REF!</v>
      </c>
      <c r="CX81" t="e">
        <f>AND(#REF!,"AAAAAHu2+2U=")</f>
        <v>#REF!</v>
      </c>
      <c r="CY81" t="e">
        <f>AND(#REF!,"AAAAAHu2+2Y=")</f>
        <v>#REF!</v>
      </c>
      <c r="CZ81" t="e">
        <f>AND(#REF!,"AAAAAHu2+2c=")</f>
        <v>#REF!</v>
      </c>
      <c r="DA81" t="e">
        <f>AND(#REF!,"AAAAAHu2+2g=")</f>
        <v>#REF!</v>
      </c>
      <c r="DB81" t="e">
        <f>AND(#REF!,"AAAAAHu2+2k=")</f>
        <v>#REF!</v>
      </c>
      <c r="DC81" t="e">
        <f>IF(#REF!,"AAAAAHu2+2o=",0)</f>
        <v>#REF!</v>
      </c>
      <c r="DD81" t="e">
        <f>AND(#REF!,"AAAAAHu2+2s=")</f>
        <v>#REF!</v>
      </c>
      <c r="DE81" t="e">
        <f>AND(#REF!,"AAAAAHu2+2w=")</f>
        <v>#REF!</v>
      </c>
      <c r="DF81" t="e">
        <f>AND(#REF!,"AAAAAHu2+20=")</f>
        <v>#REF!</v>
      </c>
      <c r="DG81" t="e">
        <f>AND(#REF!,"AAAAAHu2+24=")</f>
        <v>#REF!</v>
      </c>
      <c r="DH81" t="e">
        <f>AND(#REF!,"AAAAAHu2+28=")</f>
        <v>#REF!</v>
      </c>
      <c r="DI81" t="e">
        <f>AND(#REF!,"AAAAAHu2+3A=")</f>
        <v>#REF!</v>
      </c>
      <c r="DJ81" t="e">
        <f>AND(#REF!,"AAAAAHu2+3E=")</f>
        <v>#REF!</v>
      </c>
      <c r="DK81" t="e">
        <f>AND(#REF!,"AAAAAHu2+3I=")</f>
        <v>#REF!</v>
      </c>
      <c r="DL81" t="e">
        <f>AND(#REF!,"AAAAAHu2+3M=")</f>
        <v>#REF!</v>
      </c>
      <c r="DM81" t="e">
        <f>AND(#REF!,"AAAAAHu2+3Q=")</f>
        <v>#REF!</v>
      </c>
      <c r="DN81" t="e">
        <f>IF(#REF!,"AAAAAHu2+3U=",0)</f>
        <v>#REF!</v>
      </c>
      <c r="DO81" t="e">
        <f>AND(#REF!,"AAAAAHu2+3Y=")</f>
        <v>#REF!</v>
      </c>
      <c r="DP81" t="e">
        <f>AND(#REF!,"AAAAAHu2+3c=")</f>
        <v>#REF!</v>
      </c>
      <c r="DQ81" t="e">
        <f>AND(#REF!,"AAAAAHu2+3g=")</f>
        <v>#REF!</v>
      </c>
      <c r="DR81" t="e">
        <f>AND(#REF!,"AAAAAHu2+3k=")</f>
        <v>#REF!</v>
      </c>
      <c r="DS81" t="e">
        <f>AND(#REF!,"AAAAAHu2+3o=")</f>
        <v>#REF!</v>
      </c>
      <c r="DT81" t="e">
        <f>AND(#REF!,"AAAAAHu2+3s=")</f>
        <v>#REF!</v>
      </c>
      <c r="DU81" t="e">
        <f>AND(#REF!,"AAAAAHu2+3w=")</f>
        <v>#REF!</v>
      </c>
      <c r="DV81" t="e">
        <f>AND(#REF!,"AAAAAHu2+30=")</f>
        <v>#REF!</v>
      </c>
      <c r="DW81" t="e">
        <f>AND(#REF!,"AAAAAHu2+34=")</f>
        <v>#REF!</v>
      </c>
      <c r="DX81" t="e">
        <f>AND(#REF!,"AAAAAHu2+38=")</f>
        <v>#REF!</v>
      </c>
      <c r="DY81" t="e">
        <f>IF(#REF!,"AAAAAHu2+4A=",0)</f>
        <v>#REF!</v>
      </c>
      <c r="DZ81" t="e">
        <f>AND(#REF!,"AAAAAHu2+4E=")</f>
        <v>#REF!</v>
      </c>
      <c r="EA81" t="e">
        <f>AND(#REF!,"AAAAAHu2+4I=")</f>
        <v>#REF!</v>
      </c>
      <c r="EB81" t="e">
        <f>AND(#REF!,"AAAAAHu2+4M=")</f>
        <v>#REF!</v>
      </c>
      <c r="EC81" t="e">
        <f>AND(#REF!,"AAAAAHu2+4Q=")</f>
        <v>#REF!</v>
      </c>
      <c r="ED81" t="e">
        <f>AND(#REF!,"AAAAAHu2+4U=")</f>
        <v>#REF!</v>
      </c>
      <c r="EE81" t="e">
        <f>AND(#REF!,"AAAAAHu2+4Y=")</f>
        <v>#REF!</v>
      </c>
      <c r="EF81" t="e">
        <f>AND(#REF!,"AAAAAHu2+4c=")</f>
        <v>#REF!</v>
      </c>
      <c r="EG81" t="e">
        <f>AND(#REF!,"AAAAAHu2+4g=")</f>
        <v>#REF!</v>
      </c>
      <c r="EH81" t="e">
        <f>AND(#REF!,"AAAAAHu2+4k=")</f>
        <v>#REF!</v>
      </c>
      <c r="EI81" t="e">
        <f>AND(#REF!,"AAAAAHu2+4o=")</f>
        <v>#REF!</v>
      </c>
      <c r="EJ81" t="e">
        <f>IF(#REF!,"AAAAAHu2+4s=",0)</f>
        <v>#REF!</v>
      </c>
      <c r="EK81" t="e">
        <f>AND(#REF!,"AAAAAHu2+4w=")</f>
        <v>#REF!</v>
      </c>
      <c r="EL81" t="e">
        <f>AND(#REF!,"AAAAAHu2+40=")</f>
        <v>#REF!</v>
      </c>
      <c r="EM81" t="e">
        <f>AND(#REF!,"AAAAAHu2+44=")</f>
        <v>#REF!</v>
      </c>
      <c r="EN81" t="e">
        <f>AND(#REF!,"AAAAAHu2+48=")</f>
        <v>#REF!</v>
      </c>
      <c r="EO81" t="e">
        <f>AND(#REF!,"AAAAAHu2+5A=")</f>
        <v>#REF!</v>
      </c>
      <c r="EP81" t="e">
        <f>AND(#REF!,"AAAAAHu2+5E=")</f>
        <v>#REF!</v>
      </c>
      <c r="EQ81" t="e">
        <f>AND(#REF!,"AAAAAHu2+5I=")</f>
        <v>#REF!</v>
      </c>
      <c r="ER81" t="e">
        <f>AND(#REF!,"AAAAAHu2+5M=")</f>
        <v>#REF!</v>
      </c>
      <c r="ES81" t="e">
        <f>AND(#REF!,"AAAAAHu2+5Q=")</f>
        <v>#REF!</v>
      </c>
      <c r="ET81" t="e">
        <f>AND(#REF!,"AAAAAHu2+5U=")</f>
        <v>#REF!</v>
      </c>
      <c r="EU81" t="e">
        <f>IF(#REF!,"AAAAAHu2+5Y=",0)</f>
        <v>#REF!</v>
      </c>
      <c r="EV81" t="e">
        <f>AND(#REF!,"AAAAAHu2+5c=")</f>
        <v>#REF!</v>
      </c>
      <c r="EW81" t="e">
        <f>AND(#REF!,"AAAAAHu2+5g=")</f>
        <v>#REF!</v>
      </c>
      <c r="EX81" t="e">
        <f>AND(#REF!,"AAAAAHu2+5k=")</f>
        <v>#REF!</v>
      </c>
      <c r="EY81" t="e">
        <f>AND(#REF!,"AAAAAHu2+5o=")</f>
        <v>#REF!</v>
      </c>
      <c r="EZ81" t="e">
        <f>AND(#REF!,"AAAAAHu2+5s=")</f>
        <v>#REF!</v>
      </c>
      <c r="FA81" t="e">
        <f>AND(#REF!,"AAAAAHu2+5w=")</f>
        <v>#REF!</v>
      </c>
      <c r="FB81" t="e">
        <f>AND(#REF!,"AAAAAHu2+50=")</f>
        <v>#REF!</v>
      </c>
      <c r="FC81" t="e">
        <f>AND(#REF!,"AAAAAHu2+54=")</f>
        <v>#REF!</v>
      </c>
      <c r="FD81" t="e">
        <f>AND(#REF!,"AAAAAHu2+58=")</f>
        <v>#REF!</v>
      </c>
      <c r="FE81" t="e">
        <f>AND(#REF!,"AAAAAHu2+6A=")</f>
        <v>#REF!</v>
      </c>
      <c r="FF81" t="e">
        <f>IF(#REF!,"AAAAAHu2+6E=",0)</f>
        <v>#REF!</v>
      </c>
      <c r="FG81" t="e">
        <f>AND(#REF!,"AAAAAHu2+6I=")</f>
        <v>#REF!</v>
      </c>
      <c r="FH81" t="e">
        <f>AND(#REF!,"AAAAAHu2+6M=")</f>
        <v>#REF!</v>
      </c>
      <c r="FI81" t="e">
        <f>AND(#REF!,"AAAAAHu2+6Q=")</f>
        <v>#REF!</v>
      </c>
      <c r="FJ81" t="e">
        <f>AND(#REF!,"AAAAAHu2+6U=")</f>
        <v>#REF!</v>
      </c>
      <c r="FK81" t="e">
        <f>AND(#REF!,"AAAAAHu2+6Y=")</f>
        <v>#REF!</v>
      </c>
      <c r="FL81" t="e">
        <f>AND(#REF!,"AAAAAHu2+6c=")</f>
        <v>#REF!</v>
      </c>
      <c r="FM81" t="e">
        <f>AND(#REF!,"AAAAAHu2+6g=")</f>
        <v>#REF!</v>
      </c>
      <c r="FN81" t="e">
        <f>AND(#REF!,"AAAAAHu2+6k=")</f>
        <v>#REF!</v>
      </c>
      <c r="FO81" t="e">
        <f>AND(#REF!,"AAAAAHu2+6o=")</f>
        <v>#REF!</v>
      </c>
      <c r="FP81" t="e">
        <f>AND(#REF!,"AAAAAHu2+6s=")</f>
        <v>#REF!</v>
      </c>
      <c r="FQ81" t="e">
        <f>IF(#REF!,"AAAAAHu2+6w=",0)</f>
        <v>#REF!</v>
      </c>
      <c r="FR81" t="e">
        <f>AND(#REF!,"AAAAAHu2+60=")</f>
        <v>#REF!</v>
      </c>
      <c r="FS81" t="e">
        <f>AND(#REF!,"AAAAAHu2+64=")</f>
        <v>#REF!</v>
      </c>
      <c r="FT81" t="e">
        <f>AND(#REF!,"AAAAAHu2+68=")</f>
        <v>#REF!</v>
      </c>
      <c r="FU81" t="e">
        <f>AND(#REF!,"AAAAAHu2+7A=")</f>
        <v>#REF!</v>
      </c>
      <c r="FV81" t="e">
        <f>AND(#REF!,"AAAAAHu2+7E=")</f>
        <v>#REF!</v>
      </c>
      <c r="FW81" t="e">
        <f>AND(#REF!,"AAAAAHu2+7I=")</f>
        <v>#REF!</v>
      </c>
      <c r="FX81" t="e">
        <f>AND(#REF!,"AAAAAHu2+7M=")</f>
        <v>#REF!</v>
      </c>
      <c r="FY81" t="e">
        <f>AND(#REF!,"AAAAAHu2+7Q=")</f>
        <v>#REF!</v>
      </c>
      <c r="FZ81" t="e">
        <f>AND(#REF!,"AAAAAHu2+7U=")</f>
        <v>#REF!</v>
      </c>
      <c r="GA81" t="e">
        <f>AND(#REF!,"AAAAAHu2+7Y=")</f>
        <v>#REF!</v>
      </c>
      <c r="GB81" t="e">
        <f>IF(#REF!,"AAAAAHu2+7c=",0)</f>
        <v>#REF!</v>
      </c>
      <c r="GC81" t="e">
        <f>AND(#REF!,"AAAAAHu2+7g=")</f>
        <v>#REF!</v>
      </c>
      <c r="GD81" t="e">
        <f>AND(#REF!,"AAAAAHu2+7k=")</f>
        <v>#REF!</v>
      </c>
      <c r="GE81" t="e">
        <f>AND(#REF!,"AAAAAHu2+7o=")</f>
        <v>#REF!</v>
      </c>
      <c r="GF81" t="e">
        <f>AND(#REF!,"AAAAAHu2+7s=")</f>
        <v>#REF!</v>
      </c>
      <c r="GG81" t="e">
        <f>AND(#REF!,"AAAAAHu2+7w=")</f>
        <v>#REF!</v>
      </c>
      <c r="GH81" t="e">
        <f>AND(#REF!,"AAAAAHu2+70=")</f>
        <v>#REF!</v>
      </c>
      <c r="GI81" t="e">
        <f>AND(#REF!,"AAAAAHu2+74=")</f>
        <v>#REF!</v>
      </c>
      <c r="GJ81" t="e">
        <f>AND(#REF!,"AAAAAHu2+78=")</f>
        <v>#REF!</v>
      </c>
      <c r="GK81" t="e">
        <f>AND(#REF!,"AAAAAHu2+8A=")</f>
        <v>#REF!</v>
      </c>
      <c r="GL81" t="e">
        <f>AND(#REF!,"AAAAAHu2+8E=")</f>
        <v>#REF!</v>
      </c>
      <c r="GM81" t="e">
        <f>IF(#REF!,"AAAAAHu2+8I=",0)</f>
        <v>#REF!</v>
      </c>
      <c r="GN81" t="e">
        <f>AND(#REF!,"AAAAAHu2+8M=")</f>
        <v>#REF!</v>
      </c>
      <c r="GO81" t="e">
        <f>AND(#REF!,"AAAAAHu2+8Q=")</f>
        <v>#REF!</v>
      </c>
      <c r="GP81" t="e">
        <f>AND(#REF!,"AAAAAHu2+8U=")</f>
        <v>#REF!</v>
      </c>
      <c r="GQ81" t="e">
        <f>AND(#REF!,"AAAAAHu2+8Y=")</f>
        <v>#REF!</v>
      </c>
      <c r="GR81" t="e">
        <f>AND(#REF!,"AAAAAHu2+8c=")</f>
        <v>#REF!</v>
      </c>
      <c r="GS81" t="e">
        <f>AND(#REF!,"AAAAAHu2+8g=")</f>
        <v>#REF!</v>
      </c>
      <c r="GT81" t="e">
        <f>AND(#REF!,"AAAAAHu2+8k=")</f>
        <v>#REF!</v>
      </c>
      <c r="GU81" t="e">
        <f>AND(#REF!,"AAAAAHu2+8o=")</f>
        <v>#REF!</v>
      </c>
      <c r="GV81" t="e">
        <f>AND(#REF!,"AAAAAHu2+8s=")</f>
        <v>#REF!</v>
      </c>
      <c r="GW81" t="e">
        <f>AND(#REF!,"AAAAAHu2+8w=")</f>
        <v>#REF!</v>
      </c>
      <c r="GX81" t="e">
        <f>IF(#REF!,"AAAAAHu2+80=",0)</f>
        <v>#REF!</v>
      </c>
      <c r="GY81" t="e">
        <f>AND(#REF!,"AAAAAHu2+84=")</f>
        <v>#REF!</v>
      </c>
      <c r="GZ81" t="e">
        <f>AND(#REF!,"AAAAAHu2+88=")</f>
        <v>#REF!</v>
      </c>
      <c r="HA81" t="e">
        <f>AND(#REF!,"AAAAAHu2+9A=")</f>
        <v>#REF!</v>
      </c>
      <c r="HB81" t="e">
        <f>AND(#REF!,"AAAAAHu2+9E=")</f>
        <v>#REF!</v>
      </c>
      <c r="HC81" t="e">
        <f>AND(#REF!,"AAAAAHu2+9I=")</f>
        <v>#REF!</v>
      </c>
      <c r="HD81" t="e">
        <f>AND(#REF!,"AAAAAHu2+9M=")</f>
        <v>#REF!</v>
      </c>
      <c r="HE81" t="e">
        <f>AND(#REF!,"AAAAAHu2+9Q=")</f>
        <v>#REF!</v>
      </c>
      <c r="HF81" t="e">
        <f>AND(#REF!,"AAAAAHu2+9U=")</f>
        <v>#REF!</v>
      </c>
      <c r="HG81" t="e">
        <f>AND(#REF!,"AAAAAHu2+9Y=")</f>
        <v>#REF!</v>
      </c>
      <c r="HH81" t="e">
        <f>AND(#REF!,"AAAAAHu2+9c=")</f>
        <v>#REF!</v>
      </c>
      <c r="HI81" t="e">
        <f>IF(#REF!,"AAAAAHu2+9g=",0)</f>
        <v>#REF!</v>
      </c>
      <c r="HJ81" t="e">
        <f>AND(#REF!,"AAAAAHu2+9k=")</f>
        <v>#REF!</v>
      </c>
      <c r="HK81" t="e">
        <f>AND(#REF!,"AAAAAHu2+9o=")</f>
        <v>#REF!</v>
      </c>
      <c r="HL81" t="e">
        <f>AND(#REF!,"AAAAAHu2+9s=")</f>
        <v>#REF!</v>
      </c>
      <c r="HM81" t="e">
        <f>AND(#REF!,"AAAAAHu2+9w=")</f>
        <v>#REF!</v>
      </c>
      <c r="HN81" t="e">
        <f>AND(#REF!,"AAAAAHu2+90=")</f>
        <v>#REF!</v>
      </c>
      <c r="HO81" t="e">
        <f>AND(#REF!,"AAAAAHu2+94=")</f>
        <v>#REF!</v>
      </c>
      <c r="HP81" t="e">
        <f>AND(#REF!,"AAAAAHu2+98=")</f>
        <v>#REF!</v>
      </c>
      <c r="HQ81" t="e">
        <f>AND(#REF!,"AAAAAHu2++A=")</f>
        <v>#REF!</v>
      </c>
      <c r="HR81" t="e">
        <f>AND(#REF!,"AAAAAHu2++E=")</f>
        <v>#REF!</v>
      </c>
      <c r="HS81" t="e">
        <f>AND(#REF!,"AAAAAHu2++I=")</f>
        <v>#REF!</v>
      </c>
      <c r="HT81" t="e">
        <f>IF(#REF!,"AAAAAHu2++M=",0)</f>
        <v>#REF!</v>
      </c>
      <c r="HU81" t="e">
        <f>AND(#REF!,"AAAAAHu2++Q=")</f>
        <v>#REF!</v>
      </c>
      <c r="HV81" t="e">
        <f>AND(#REF!,"AAAAAHu2++U=")</f>
        <v>#REF!</v>
      </c>
      <c r="HW81" t="e">
        <f>AND(#REF!,"AAAAAHu2++Y=")</f>
        <v>#REF!</v>
      </c>
      <c r="HX81" t="e">
        <f>AND(#REF!,"AAAAAHu2++c=")</f>
        <v>#REF!</v>
      </c>
      <c r="HY81" t="e">
        <f>AND(#REF!,"AAAAAHu2++g=")</f>
        <v>#REF!</v>
      </c>
      <c r="HZ81" t="e">
        <f>AND(#REF!,"AAAAAHu2++k=")</f>
        <v>#REF!</v>
      </c>
      <c r="IA81" t="e">
        <f>AND(#REF!,"AAAAAHu2++o=")</f>
        <v>#REF!</v>
      </c>
      <c r="IB81" t="e">
        <f>AND(#REF!,"AAAAAHu2++s=")</f>
        <v>#REF!</v>
      </c>
      <c r="IC81" t="e">
        <f>AND(#REF!,"AAAAAHu2++w=")</f>
        <v>#REF!</v>
      </c>
      <c r="ID81" t="e">
        <f>AND(#REF!,"AAAAAHu2++0=")</f>
        <v>#REF!</v>
      </c>
      <c r="IE81" t="e">
        <f>IF(#REF!,"AAAAAHu2++4=",0)</f>
        <v>#REF!</v>
      </c>
      <c r="IF81" t="e">
        <f>AND(#REF!,"AAAAAHu2++8=")</f>
        <v>#REF!</v>
      </c>
      <c r="IG81" t="e">
        <f>AND(#REF!,"AAAAAHu2+/A=")</f>
        <v>#REF!</v>
      </c>
      <c r="IH81" t="e">
        <f>AND(#REF!,"AAAAAHu2+/E=")</f>
        <v>#REF!</v>
      </c>
      <c r="II81" t="e">
        <f>AND(#REF!,"AAAAAHu2+/I=")</f>
        <v>#REF!</v>
      </c>
      <c r="IJ81" t="e">
        <f>AND(#REF!,"AAAAAHu2+/M=")</f>
        <v>#REF!</v>
      </c>
      <c r="IK81" t="e">
        <f>AND(#REF!,"AAAAAHu2+/Q=")</f>
        <v>#REF!</v>
      </c>
      <c r="IL81" t="e">
        <f>AND(#REF!,"AAAAAHu2+/U=")</f>
        <v>#REF!</v>
      </c>
      <c r="IM81" t="e">
        <f>AND(#REF!,"AAAAAHu2+/Y=")</f>
        <v>#REF!</v>
      </c>
      <c r="IN81" t="e">
        <f>AND(#REF!,"AAAAAHu2+/c=")</f>
        <v>#REF!</v>
      </c>
      <c r="IO81" t="e">
        <f>AND(#REF!,"AAAAAHu2+/g=")</f>
        <v>#REF!</v>
      </c>
      <c r="IP81" t="e">
        <f>IF(#REF!,"AAAAAHu2+/k=",0)</f>
        <v>#REF!</v>
      </c>
      <c r="IQ81" t="e">
        <f>AND(#REF!,"AAAAAHu2+/o=")</f>
        <v>#REF!</v>
      </c>
      <c r="IR81" t="e">
        <f>AND(#REF!,"AAAAAHu2+/s=")</f>
        <v>#REF!</v>
      </c>
      <c r="IS81" t="e">
        <f>AND(#REF!,"AAAAAHu2+/w=")</f>
        <v>#REF!</v>
      </c>
      <c r="IT81" t="e">
        <f>AND(#REF!,"AAAAAHu2+/0=")</f>
        <v>#REF!</v>
      </c>
      <c r="IU81" t="e">
        <f>AND(#REF!,"AAAAAHu2+/4=")</f>
        <v>#REF!</v>
      </c>
      <c r="IV81" t="e">
        <f>AND(#REF!,"AAAAAHu2+/8=")</f>
        <v>#REF!</v>
      </c>
    </row>
    <row r="82" spans="1:256" x14ac:dyDescent="0.25">
      <c r="A82" t="e">
        <f>AND(#REF!,"AAAAAHfrdgA=")</f>
        <v>#REF!</v>
      </c>
      <c r="B82" t="e">
        <f>AND(#REF!,"AAAAAHfrdgE=")</f>
        <v>#REF!</v>
      </c>
      <c r="C82" t="e">
        <f>AND(#REF!,"AAAAAHfrdgI=")</f>
        <v>#REF!</v>
      </c>
      <c r="D82" t="e">
        <f>AND(#REF!,"AAAAAHfrdgM=")</f>
        <v>#REF!</v>
      </c>
      <c r="E82" t="e">
        <f>IF(#REF!,"AAAAAHfrdgQ=",0)</f>
        <v>#REF!</v>
      </c>
      <c r="F82" t="e">
        <f>AND(#REF!,"AAAAAHfrdgU=")</f>
        <v>#REF!</v>
      </c>
      <c r="G82" t="e">
        <f>AND(#REF!,"AAAAAHfrdgY=")</f>
        <v>#REF!</v>
      </c>
      <c r="H82" t="e">
        <f>AND(#REF!,"AAAAAHfrdgc=")</f>
        <v>#REF!</v>
      </c>
      <c r="I82" t="e">
        <f>AND(#REF!,"AAAAAHfrdgg=")</f>
        <v>#REF!</v>
      </c>
      <c r="J82" t="e">
        <f>AND(#REF!,"AAAAAHfrdgk=")</f>
        <v>#REF!</v>
      </c>
      <c r="K82" t="e">
        <f>AND(#REF!,"AAAAAHfrdgo=")</f>
        <v>#REF!</v>
      </c>
      <c r="L82" t="e">
        <f>AND(#REF!,"AAAAAHfrdgs=")</f>
        <v>#REF!</v>
      </c>
      <c r="M82" t="e">
        <f>AND(#REF!,"AAAAAHfrdgw=")</f>
        <v>#REF!</v>
      </c>
      <c r="N82" t="e">
        <f>AND(#REF!,"AAAAAHfrdg0=")</f>
        <v>#REF!</v>
      </c>
      <c r="O82" t="e">
        <f>AND(#REF!,"AAAAAHfrdg4=")</f>
        <v>#REF!</v>
      </c>
      <c r="P82" t="e">
        <f>IF(#REF!,"AAAAAHfrdg8=",0)</f>
        <v>#REF!</v>
      </c>
      <c r="Q82" t="e">
        <f>AND(#REF!,"AAAAAHfrdhA=")</f>
        <v>#REF!</v>
      </c>
      <c r="R82" t="e">
        <f>AND(#REF!,"AAAAAHfrdhE=")</f>
        <v>#REF!</v>
      </c>
      <c r="S82" t="e">
        <f>AND(#REF!,"AAAAAHfrdhI=")</f>
        <v>#REF!</v>
      </c>
      <c r="T82" t="e">
        <f>AND(#REF!,"AAAAAHfrdhM=")</f>
        <v>#REF!</v>
      </c>
      <c r="U82" t="e">
        <f>AND(#REF!,"AAAAAHfrdhQ=")</f>
        <v>#REF!</v>
      </c>
      <c r="V82" t="e">
        <f>AND(#REF!,"AAAAAHfrdhU=")</f>
        <v>#REF!</v>
      </c>
      <c r="W82" t="e">
        <f>AND(#REF!,"AAAAAHfrdhY=")</f>
        <v>#REF!</v>
      </c>
      <c r="X82" t="e">
        <f>AND(#REF!,"AAAAAHfrdhc=")</f>
        <v>#REF!</v>
      </c>
      <c r="Y82" t="e">
        <f>AND(#REF!,"AAAAAHfrdhg=")</f>
        <v>#REF!</v>
      </c>
      <c r="Z82" t="e">
        <f>AND(#REF!,"AAAAAHfrdhk=")</f>
        <v>#REF!</v>
      </c>
      <c r="AA82" t="e">
        <f>IF(#REF!,"AAAAAHfrdho=",0)</f>
        <v>#REF!</v>
      </c>
      <c r="AB82" t="e">
        <f>AND(#REF!,"AAAAAHfrdhs=")</f>
        <v>#REF!</v>
      </c>
      <c r="AC82" t="e">
        <f>AND(#REF!,"AAAAAHfrdhw=")</f>
        <v>#REF!</v>
      </c>
      <c r="AD82" t="e">
        <f>AND(#REF!,"AAAAAHfrdh0=")</f>
        <v>#REF!</v>
      </c>
      <c r="AE82" t="e">
        <f>AND(#REF!,"AAAAAHfrdh4=")</f>
        <v>#REF!</v>
      </c>
      <c r="AF82" t="e">
        <f>AND(#REF!,"AAAAAHfrdh8=")</f>
        <v>#REF!</v>
      </c>
      <c r="AG82" t="e">
        <f>AND(#REF!,"AAAAAHfrdiA=")</f>
        <v>#REF!</v>
      </c>
      <c r="AH82" t="e">
        <f>AND(#REF!,"AAAAAHfrdiE=")</f>
        <v>#REF!</v>
      </c>
      <c r="AI82" t="e">
        <f>AND(#REF!,"AAAAAHfrdiI=")</f>
        <v>#REF!</v>
      </c>
      <c r="AJ82" t="e">
        <f>AND(#REF!,"AAAAAHfrdiM=")</f>
        <v>#REF!</v>
      </c>
      <c r="AK82" t="e">
        <f>AND(#REF!,"AAAAAHfrdiQ=")</f>
        <v>#REF!</v>
      </c>
      <c r="AL82" t="e">
        <f>IF(#REF!,"AAAAAHfrdiU=",0)</f>
        <v>#REF!</v>
      </c>
      <c r="AM82" t="e">
        <f>AND(#REF!,"AAAAAHfrdiY=")</f>
        <v>#REF!</v>
      </c>
      <c r="AN82" t="e">
        <f>AND(#REF!,"AAAAAHfrdic=")</f>
        <v>#REF!</v>
      </c>
      <c r="AO82" t="e">
        <f>AND(#REF!,"AAAAAHfrdig=")</f>
        <v>#REF!</v>
      </c>
      <c r="AP82" t="e">
        <f>AND(#REF!,"AAAAAHfrdik=")</f>
        <v>#REF!</v>
      </c>
      <c r="AQ82" t="e">
        <f>AND(#REF!,"AAAAAHfrdio=")</f>
        <v>#REF!</v>
      </c>
      <c r="AR82" t="e">
        <f>AND(#REF!,"AAAAAHfrdis=")</f>
        <v>#REF!</v>
      </c>
      <c r="AS82" t="e">
        <f>AND(#REF!,"AAAAAHfrdiw=")</f>
        <v>#REF!</v>
      </c>
      <c r="AT82" t="e">
        <f>AND(#REF!,"AAAAAHfrdi0=")</f>
        <v>#REF!</v>
      </c>
      <c r="AU82" t="e">
        <f>AND(#REF!,"AAAAAHfrdi4=")</f>
        <v>#REF!</v>
      </c>
      <c r="AV82" t="e">
        <f>AND(#REF!,"AAAAAHfrdi8=")</f>
        <v>#REF!</v>
      </c>
      <c r="AW82" t="e">
        <f>IF(#REF!,"AAAAAHfrdjA=",0)</f>
        <v>#REF!</v>
      </c>
      <c r="AX82" t="e">
        <f>AND(#REF!,"AAAAAHfrdjE=")</f>
        <v>#REF!</v>
      </c>
      <c r="AY82" t="e">
        <f>AND(#REF!,"AAAAAHfrdjI=")</f>
        <v>#REF!</v>
      </c>
      <c r="AZ82" t="e">
        <f>AND(#REF!,"AAAAAHfrdjM=")</f>
        <v>#REF!</v>
      </c>
      <c r="BA82" t="e">
        <f>AND(#REF!,"AAAAAHfrdjQ=")</f>
        <v>#REF!</v>
      </c>
      <c r="BB82" t="e">
        <f>AND(#REF!,"AAAAAHfrdjU=")</f>
        <v>#REF!</v>
      </c>
      <c r="BC82" t="e">
        <f>AND(#REF!,"AAAAAHfrdjY=")</f>
        <v>#REF!</v>
      </c>
      <c r="BD82" t="e">
        <f>AND(#REF!,"AAAAAHfrdjc=")</f>
        <v>#REF!</v>
      </c>
      <c r="BE82" t="e">
        <f>AND(#REF!,"AAAAAHfrdjg=")</f>
        <v>#REF!</v>
      </c>
      <c r="BF82" t="e">
        <f>AND(#REF!,"AAAAAHfrdjk=")</f>
        <v>#REF!</v>
      </c>
      <c r="BG82" t="e">
        <f>AND(#REF!,"AAAAAHfrdjo=")</f>
        <v>#REF!</v>
      </c>
      <c r="BH82" t="e">
        <f>IF(#REF!,"AAAAAHfrdjs=",0)</f>
        <v>#REF!</v>
      </c>
      <c r="BI82" t="e">
        <f>AND(#REF!,"AAAAAHfrdjw=")</f>
        <v>#REF!</v>
      </c>
      <c r="BJ82" t="e">
        <f>AND(#REF!,"AAAAAHfrdj0=")</f>
        <v>#REF!</v>
      </c>
      <c r="BK82" t="e">
        <f>AND(#REF!,"AAAAAHfrdj4=")</f>
        <v>#REF!</v>
      </c>
      <c r="BL82" t="e">
        <f>AND(#REF!,"AAAAAHfrdj8=")</f>
        <v>#REF!</v>
      </c>
      <c r="BM82" t="e">
        <f>AND(#REF!,"AAAAAHfrdkA=")</f>
        <v>#REF!</v>
      </c>
      <c r="BN82" t="e">
        <f>AND(#REF!,"AAAAAHfrdkE=")</f>
        <v>#REF!</v>
      </c>
      <c r="BO82" t="e">
        <f>AND(#REF!,"AAAAAHfrdkI=")</f>
        <v>#REF!</v>
      </c>
      <c r="BP82" t="e">
        <f>AND(#REF!,"AAAAAHfrdkM=")</f>
        <v>#REF!</v>
      </c>
      <c r="BQ82" t="e">
        <f>AND(#REF!,"AAAAAHfrdkQ=")</f>
        <v>#REF!</v>
      </c>
      <c r="BR82" t="e">
        <f>AND(#REF!,"AAAAAHfrdkU=")</f>
        <v>#REF!</v>
      </c>
      <c r="BS82" t="e">
        <f>IF(#REF!,"AAAAAHfrdkY=",0)</f>
        <v>#REF!</v>
      </c>
      <c r="BT82" t="e">
        <f>AND(#REF!,"AAAAAHfrdkc=")</f>
        <v>#REF!</v>
      </c>
      <c r="BU82" t="e">
        <f>AND(#REF!,"AAAAAHfrdkg=")</f>
        <v>#REF!</v>
      </c>
      <c r="BV82" t="e">
        <f>AND(#REF!,"AAAAAHfrdkk=")</f>
        <v>#REF!</v>
      </c>
      <c r="BW82" t="e">
        <f>AND(#REF!,"AAAAAHfrdko=")</f>
        <v>#REF!</v>
      </c>
      <c r="BX82" t="e">
        <f>AND(#REF!,"AAAAAHfrdks=")</f>
        <v>#REF!</v>
      </c>
      <c r="BY82" t="e">
        <f>AND(#REF!,"AAAAAHfrdkw=")</f>
        <v>#REF!</v>
      </c>
      <c r="BZ82" t="e">
        <f>AND(#REF!,"AAAAAHfrdk0=")</f>
        <v>#REF!</v>
      </c>
      <c r="CA82" t="e">
        <f>AND(#REF!,"AAAAAHfrdk4=")</f>
        <v>#REF!</v>
      </c>
      <c r="CB82" t="e">
        <f>AND(#REF!,"AAAAAHfrdk8=")</f>
        <v>#REF!</v>
      </c>
      <c r="CC82" t="e">
        <f>AND(#REF!,"AAAAAHfrdlA=")</f>
        <v>#REF!</v>
      </c>
      <c r="CD82" t="e">
        <f>IF(#REF!,"AAAAAHfrdlE=",0)</f>
        <v>#REF!</v>
      </c>
      <c r="CE82" t="e">
        <f>AND(#REF!,"AAAAAHfrdlI=")</f>
        <v>#REF!</v>
      </c>
      <c r="CF82" t="e">
        <f>AND(#REF!,"AAAAAHfrdlM=")</f>
        <v>#REF!</v>
      </c>
      <c r="CG82" t="e">
        <f>AND(#REF!,"AAAAAHfrdlQ=")</f>
        <v>#REF!</v>
      </c>
      <c r="CH82" t="e">
        <f>AND(#REF!,"AAAAAHfrdlU=")</f>
        <v>#REF!</v>
      </c>
      <c r="CI82" t="e">
        <f>AND(#REF!,"AAAAAHfrdlY=")</f>
        <v>#REF!</v>
      </c>
      <c r="CJ82" t="e">
        <f>AND(#REF!,"AAAAAHfrdlc=")</f>
        <v>#REF!</v>
      </c>
      <c r="CK82" t="e">
        <f>AND(#REF!,"AAAAAHfrdlg=")</f>
        <v>#REF!</v>
      </c>
      <c r="CL82" t="e">
        <f>AND(#REF!,"AAAAAHfrdlk=")</f>
        <v>#REF!</v>
      </c>
      <c r="CM82" t="e">
        <f>AND(#REF!,"AAAAAHfrdlo=")</f>
        <v>#REF!</v>
      </c>
      <c r="CN82" t="e">
        <f>AND(#REF!,"AAAAAHfrdls=")</f>
        <v>#REF!</v>
      </c>
      <c r="CO82" t="e">
        <f>IF(#REF!,"AAAAAHfrdlw=",0)</f>
        <v>#REF!</v>
      </c>
      <c r="CP82" t="e">
        <f>AND(#REF!,"AAAAAHfrdl0=")</f>
        <v>#REF!</v>
      </c>
      <c r="CQ82" t="e">
        <f>AND(#REF!,"AAAAAHfrdl4=")</f>
        <v>#REF!</v>
      </c>
      <c r="CR82" t="e">
        <f>AND(#REF!,"AAAAAHfrdl8=")</f>
        <v>#REF!</v>
      </c>
      <c r="CS82" t="e">
        <f>AND(#REF!,"AAAAAHfrdmA=")</f>
        <v>#REF!</v>
      </c>
      <c r="CT82" t="e">
        <f>AND(#REF!,"AAAAAHfrdmE=")</f>
        <v>#REF!</v>
      </c>
      <c r="CU82" t="e">
        <f>AND(#REF!,"AAAAAHfrdmI=")</f>
        <v>#REF!</v>
      </c>
      <c r="CV82" t="e">
        <f>AND(#REF!,"AAAAAHfrdmM=")</f>
        <v>#REF!</v>
      </c>
      <c r="CW82" t="e">
        <f>AND(#REF!,"AAAAAHfrdmQ=")</f>
        <v>#REF!</v>
      </c>
      <c r="CX82" t="e">
        <f>AND(#REF!,"AAAAAHfrdmU=")</f>
        <v>#REF!</v>
      </c>
      <c r="CY82" t="e">
        <f>AND(#REF!,"AAAAAHfrdmY=")</f>
        <v>#REF!</v>
      </c>
      <c r="CZ82" t="e">
        <f>IF(#REF!,"AAAAAHfrdmc=",0)</f>
        <v>#REF!</v>
      </c>
      <c r="DA82" t="e">
        <f>AND(#REF!,"AAAAAHfrdmg=")</f>
        <v>#REF!</v>
      </c>
      <c r="DB82" t="e">
        <f>AND(#REF!,"AAAAAHfrdmk=")</f>
        <v>#REF!</v>
      </c>
      <c r="DC82" t="e">
        <f>AND(#REF!,"AAAAAHfrdmo=")</f>
        <v>#REF!</v>
      </c>
      <c r="DD82" t="e">
        <f>AND(#REF!,"AAAAAHfrdms=")</f>
        <v>#REF!</v>
      </c>
      <c r="DE82" t="e">
        <f>AND(#REF!,"AAAAAHfrdmw=")</f>
        <v>#REF!</v>
      </c>
      <c r="DF82" t="e">
        <f>AND(#REF!,"AAAAAHfrdm0=")</f>
        <v>#REF!</v>
      </c>
      <c r="DG82" t="e">
        <f>AND(#REF!,"AAAAAHfrdm4=")</f>
        <v>#REF!</v>
      </c>
      <c r="DH82" t="e">
        <f>AND(#REF!,"AAAAAHfrdm8=")</f>
        <v>#REF!</v>
      </c>
      <c r="DI82" t="e">
        <f>AND(#REF!,"AAAAAHfrdnA=")</f>
        <v>#REF!</v>
      </c>
      <c r="DJ82" t="e">
        <f>AND(#REF!,"AAAAAHfrdnE=")</f>
        <v>#REF!</v>
      </c>
      <c r="DK82" t="e">
        <f>IF(#REF!,"AAAAAHfrdnI=",0)</f>
        <v>#REF!</v>
      </c>
      <c r="DL82" t="e">
        <f>AND(#REF!,"AAAAAHfrdnM=")</f>
        <v>#REF!</v>
      </c>
      <c r="DM82" t="e">
        <f>AND(#REF!,"AAAAAHfrdnQ=")</f>
        <v>#REF!</v>
      </c>
      <c r="DN82" t="e">
        <f>AND(#REF!,"AAAAAHfrdnU=")</f>
        <v>#REF!</v>
      </c>
      <c r="DO82" t="e">
        <f>AND(#REF!,"AAAAAHfrdnY=")</f>
        <v>#REF!</v>
      </c>
      <c r="DP82" t="e">
        <f>AND(#REF!,"AAAAAHfrdnc=")</f>
        <v>#REF!</v>
      </c>
      <c r="DQ82" t="e">
        <f>AND(#REF!,"AAAAAHfrdng=")</f>
        <v>#REF!</v>
      </c>
      <c r="DR82" t="e">
        <f>AND(#REF!,"AAAAAHfrdnk=")</f>
        <v>#REF!</v>
      </c>
      <c r="DS82" t="e">
        <f>AND(#REF!,"AAAAAHfrdno=")</f>
        <v>#REF!</v>
      </c>
      <c r="DT82" t="e">
        <f>AND(#REF!,"AAAAAHfrdns=")</f>
        <v>#REF!</v>
      </c>
      <c r="DU82" t="e">
        <f>AND(#REF!,"AAAAAHfrdnw=")</f>
        <v>#REF!</v>
      </c>
      <c r="DV82" t="e">
        <f>IF(#REF!,"AAAAAHfrdn0=",0)</f>
        <v>#REF!</v>
      </c>
      <c r="DW82" t="e">
        <f>AND(#REF!,"AAAAAHfrdn4=")</f>
        <v>#REF!</v>
      </c>
      <c r="DX82" t="e">
        <f>AND(#REF!,"AAAAAHfrdn8=")</f>
        <v>#REF!</v>
      </c>
      <c r="DY82" t="e">
        <f>AND(#REF!,"AAAAAHfrdoA=")</f>
        <v>#REF!</v>
      </c>
      <c r="DZ82" t="e">
        <f>AND(#REF!,"AAAAAHfrdoE=")</f>
        <v>#REF!</v>
      </c>
      <c r="EA82" t="e">
        <f>AND(#REF!,"AAAAAHfrdoI=")</f>
        <v>#REF!</v>
      </c>
      <c r="EB82" t="e">
        <f>AND(#REF!,"AAAAAHfrdoM=")</f>
        <v>#REF!</v>
      </c>
      <c r="EC82" t="e">
        <f>AND(#REF!,"AAAAAHfrdoQ=")</f>
        <v>#REF!</v>
      </c>
      <c r="ED82" t="e">
        <f>AND(#REF!,"AAAAAHfrdoU=")</f>
        <v>#REF!</v>
      </c>
      <c r="EE82" t="e">
        <f>AND(#REF!,"AAAAAHfrdoY=")</f>
        <v>#REF!</v>
      </c>
      <c r="EF82" t="e">
        <f>AND(#REF!,"AAAAAHfrdoc=")</f>
        <v>#REF!</v>
      </c>
      <c r="EG82" t="e">
        <f>IF(#REF!,"AAAAAHfrdog=",0)</f>
        <v>#REF!</v>
      </c>
      <c r="EH82" t="e">
        <f>AND(#REF!,"AAAAAHfrdok=")</f>
        <v>#REF!</v>
      </c>
      <c r="EI82" t="e">
        <f>AND(#REF!,"AAAAAHfrdoo=")</f>
        <v>#REF!</v>
      </c>
      <c r="EJ82" t="e">
        <f>AND(#REF!,"AAAAAHfrdos=")</f>
        <v>#REF!</v>
      </c>
      <c r="EK82" t="e">
        <f>AND(#REF!,"AAAAAHfrdow=")</f>
        <v>#REF!</v>
      </c>
      <c r="EL82" t="e">
        <f>AND(#REF!,"AAAAAHfrdo0=")</f>
        <v>#REF!</v>
      </c>
      <c r="EM82" t="e">
        <f>AND(#REF!,"AAAAAHfrdo4=")</f>
        <v>#REF!</v>
      </c>
      <c r="EN82" t="e">
        <f>AND(#REF!,"AAAAAHfrdo8=")</f>
        <v>#REF!</v>
      </c>
      <c r="EO82" t="e">
        <f>AND(#REF!,"AAAAAHfrdpA=")</f>
        <v>#REF!</v>
      </c>
      <c r="EP82" t="e">
        <f>AND(#REF!,"AAAAAHfrdpE=")</f>
        <v>#REF!</v>
      </c>
      <c r="EQ82" t="e">
        <f>AND(#REF!,"AAAAAHfrdpI=")</f>
        <v>#REF!</v>
      </c>
      <c r="ER82" t="e">
        <f>IF(#REF!,"AAAAAHfrdpM=",0)</f>
        <v>#REF!</v>
      </c>
      <c r="ES82" t="e">
        <f>AND(#REF!,"AAAAAHfrdpQ=")</f>
        <v>#REF!</v>
      </c>
      <c r="ET82" t="e">
        <f>AND(#REF!,"AAAAAHfrdpU=")</f>
        <v>#REF!</v>
      </c>
      <c r="EU82" t="e">
        <f>AND(#REF!,"AAAAAHfrdpY=")</f>
        <v>#REF!</v>
      </c>
      <c r="EV82" t="e">
        <f>AND(#REF!,"AAAAAHfrdpc=")</f>
        <v>#REF!</v>
      </c>
      <c r="EW82" t="e">
        <f>AND(#REF!,"AAAAAHfrdpg=")</f>
        <v>#REF!</v>
      </c>
      <c r="EX82" t="e">
        <f>AND(#REF!,"AAAAAHfrdpk=")</f>
        <v>#REF!</v>
      </c>
      <c r="EY82" t="e">
        <f>AND(#REF!,"AAAAAHfrdpo=")</f>
        <v>#REF!</v>
      </c>
      <c r="EZ82" t="e">
        <f>AND(#REF!,"AAAAAHfrdps=")</f>
        <v>#REF!</v>
      </c>
      <c r="FA82" t="e">
        <f>AND(#REF!,"AAAAAHfrdpw=")</f>
        <v>#REF!</v>
      </c>
      <c r="FB82" t="e">
        <f>AND(#REF!,"AAAAAHfrdp0=")</f>
        <v>#REF!</v>
      </c>
      <c r="FC82" t="e">
        <f>IF(#REF!,"AAAAAHfrdp4=",0)</f>
        <v>#REF!</v>
      </c>
      <c r="FD82" t="e">
        <f>AND(#REF!,"AAAAAHfrdp8=")</f>
        <v>#REF!</v>
      </c>
      <c r="FE82" t="e">
        <f>AND(#REF!,"AAAAAHfrdqA=")</f>
        <v>#REF!</v>
      </c>
      <c r="FF82" t="e">
        <f>AND(#REF!,"AAAAAHfrdqE=")</f>
        <v>#REF!</v>
      </c>
      <c r="FG82" t="e">
        <f>AND(#REF!,"AAAAAHfrdqI=")</f>
        <v>#REF!</v>
      </c>
      <c r="FH82" t="e">
        <f>AND(#REF!,"AAAAAHfrdqM=")</f>
        <v>#REF!</v>
      </c>
      <c r="FI82" t="e">
        <f>AND(#REF!,"AAAAAHfrdqQ=")</f>
        <v>#REF!</v>
      </c>
      <c r="FJ82" t="e">
        <f>AND(#REF!,"AAAAAHfrdqU=")</f>
        <v>#REF!</v>
      </c>
      <c r="FK82" t="e">
        <f>AND(#REF!,"AAAAAHfrdqY=")</f>
        <v>#REF!</v>
      </c>
      <c r="FL82" t="e">
        <f>AND(#REF!,"AAAAAHfrdqc=")</f>
        <v>#REF!</v>
      </c>
      <c r="FM82" t="e">
        <f>AND(#REF!,"AAAAAHfrdqg=")</f>
        <v>#REF!</v>
      </c>
      <c r="FN82" t="e">
        <f>IF(#REF!,"AAAAAHfrdqk=",0)</f>
        <v>#REF!</v>
      </c>
      <c r="FO82" t="e">
        <f>AND(#REF!,"AAAAAHfrdqo=")</f>
        <v>#REF!</v>
      </c>
      <c r="FP82" t="e">
        <f>AND(#REF!,"AAAAAHfrdqs=")</f>
        <v>#REF!</v>
      </c>
      <c r="FQ82" t="e">
        <f>AND(#REF!,"AAAAAHfrdqw=")</f>
        <v>#REF!</v>
      </c>
      <c r="FR82" t="e">
        <f>AND(#REF!,"AAAAAHfrdq0=")</f>
        <v>#REF!</v>
      </c>
      <c r="FS82" t="e">
        <f>AND(#REF!,"AAAAAHfrdq4=")</f>
        <v>#REF!</v>
      </c>
      <c r="FT82" t="e">
        <f>AND(#REF!,"AAAAAHfrdq8=")</f>
        <v>#REF!</v>
      </c>
      <c r="FU82" t="e">
        <f>AND(#REF!,"AAAAAHfrdrA=")</f>
        <v>#REF!</v>
      </c>
      <c r="FV82" t="e">
        <f>AND(#REF!,"AAAAAHfrdrE=")</f>
        <v>#REF!</v>
      </c>
      <c r="FW82" t="e">
        <f>AND(#REF!,"AAAAAHfrdrI=")</f>
        <v>#REF!</v>
      </c>
      <c r="FX82" t="e">
        <f>AND(#REF!,"AAAAAHfrdrM=")</f>
        <v>#REF!</v>
      </c>
      <c r="FY82" t="e">
        <f>IF(#REF!,"AAAAAHfrdrQ=",0)</f>
        <v>#REF!</v>
      </c>
      <c r="FZ82" t="e">
        <f>AND(#REF!,"AAAAAHfrdrU=")</f>
        <v>#REF!</v>
      </c>
      <c r="GA82" t="e">
        <f>AND(#REF!,"AAAAAHfrdrY=")</f>
        <v>#REF!</v>
      </c>
      <c r="GB82" t="e">
        <f>AND(#REF!,"AAAAAHfrdrc=")</f>
        <v>#REF!</v>
      </c>
      <c r="GC82" t="e">
        <f>AND(#REF!,"AAAAAHfrdrg=")</f>
        <v>#REF!</v>
      </c>
      <c r="GD82" t="e">
        <f>AND(#REF!,"AAAAAHfrdrk=")</f>
        <v>#REF!</v>
      </c>
      <c r="GE82" t="e">
        <f>AND(#REF!,"AAAAAHfrdro=")</f>
        <v>#REF!</v>
      </c>
      <c r="GF82" t="e">
        <f>AND(#REF!,"AAAAAHfrdrs=")</f>
        <v>#REF!</v>
      </c>
      <c r="GG82" t="e">
        <f>AND(#REF!,"AAAAAHfrdrw=")</f>
        <v>#REF!</v>
      </c>
      <c r="GH82" t="e">
        <f>AND(#REF!,"AAAAAHfrdr0=")</f>
        <v>#REF!</v>
      </c>
      <c r="GI82" t="e">
        <f>AND(#REF!,"AAAAAHfrdr4=")</f>
        <v>#REF!</v>
      </c>
      <c r="GJ82" t="e">
        <f>IF(#REF!,"AAAAAHfrdr8=",0)</f>
        <v>#REF!</v>
      </c>
      <c r="GK82" t="e">
        <f>AND(#REF!,"AAAAAHfrdsA=")</f>
        <v>#REF!</v>
      </c>
      <c r="GL82" t="e">
        <f>AND(#REF!,"AAAAAHfrdsE=")</f>
        <v>#REF!</v>
      </c>
      <c r="GM82" t="e">
        <f>AND(#REF!,"AAAAAHfrdsI=")</f>
        <v>#REF!</v>
      </c>
      <c r="GN82" t="e">
        <f>AND(#REF!,"AAAAAHfrdsM=")</f>
        <v>#REF!</v>
      </c>
      <c r="GO82" t="e">
        <f>AND(#REF!,"AAAAAHfrdsQ=")</f>
        <v>#REF!</v>
      </c>
      <c r="GP82" t="e">
        <f>AND(#REF!,"AAAAAHfrdsU=")</f>
        <v>#REF!</v>
      </c>
      <c r="GQ82" t="e">
        <f>AND(#REF!,"AAAAAHfrdsY=")</f>
        <v>#REF!</v>
      </c>
      <c r="GR82" t="e">
        <f>AND(#REF!,"AAAAAHfrdsc=")</f>
        <v>#REF!</v>
      </c>
      <c r="GS82" t="e">
        <f>AND(#REF!,"AAAAAHfrdsg=")</f>
        <v>#REF!</v>
      </c>
      <c r="GT82" t="e">
        <f>AND(#REF!,"AAAAAHfrdsk=")</f>
        <v>#REF!</v>
      </c>
      <c r="GU82" t="e">
        <f>IF(#REF!,"AAAAAHfrdso=",0)</f>
        <v>#REF!</v>
      </c>
      <c r="GV82" t="e">
        <f>AND(#REF!,"AAAAAHfrdss=")</f>
        <v>#REF!</v>
      </c>
      <c r="GW82" t="e">
        <f>AND(#REF!,"AAAAAHfrdsw=")</f>
        <v>#REF!</v>
      </c>
      <c r="GX82" t="e">
        <f>AND(#REF!,"AAAAAHfrds0=")</f>
        <v>#REF!</v>
      </c>
      <c r="GY82" t="e">
        <f>AND(#REF!,"AAAAAHfrds4=")</f>
        <v>#REF!</v>
      </c>
      <c r="GZ82" t="e">
        <f>AND(#REF!,"AAAAAHfrds8=")</f>
        <v>#REF!</v>
      </c>
      <c r="HA82" t="e">
        <f>AND(#REF!,"AAAAAHfrdtA=")</f>
        <v>#REF!</v>
      </c>
      <c r="HB82" t="e">
        <f>AND(#REF!,"AAAAAHfrdtE=")</f>
        <v>#REF!</v>
      </c>
      <c r="HC82" t="e">
        <f>AND(#REF!,"AAAAAHfrdtI=")</f>
        <v>#REF!</v>
      </c>
      <c r="HD82" t="e">
        <f>AND(#REF!,"AAAAAHfrdtM=")</f>
        <v>#REF!</v>
      </c>
      <c r="HE82" t="e">
        <f>AND(#REF!,"AAAAAHfrdtQ=")</f>
        <v>#REF!</v>
      </c>
      <c r="HF82" t="e">
        <f>IF(#REF!,"AAAAAHfrdtU=",0)</f>
        <v>#REF!</v>
      </c>
      <c r="HG82" t="e">
        <f>AND(#REF!,"AAAAAHfrdtY=")</f>
        <v>#REF!</v>
      </c>
      <c r="HH82" t="e">
        <f>AND(#REF!,"AAAAAHfrdtc=")</f>
        <v>#REF!</v>
      </c>
      <c r="HI82" t="e">
        <f>AND(#REF!,"AAAAAHfrdtg=")</f>
        <v>#REF!</v>
      </c>
      <c r="HJ82" t="e">
        <f>AND(#REF!,"AAAAAHfrdtk=")</f>
        <v>#REF!</v>
      </c>
      <c r="HK82" t="e">
        <f>AND(#REF!,"AAAAAHfrdto=")</f>
        <v>#REF!</v>
      </c>
      <c r="HL82" t="e">
        <f>AND(#REF!,"AAAAAHfrdts=")</f>
        <v>#REF!</v>
      </c>
      <c r="HM82" t="e">
        <f>AND(#REF!,"AAAAAHfrdtw=")</f>
        <v>#REF!</v>
      </c>
      <c r="HN82" t="e">
        <f>AND(#REF!,"AAAAAHfrdt0=")</f>
        <v>#REF!</v>
      </c>
      <c r="HO82" t="e">
        <f>AND(#REF!,"AAAAAHfrdt4=")</f>
        <v>#REF!</v>
      </c>
      <c r="HP82" t="e">
        <f>AND(#REF!,"AAAAAHfrdt8=")</f>
        <v>#REF!</v>
      </c>
      <c r="HQ82" t="e">
        <f>IF(#REF!,"AAAAAHfrduA=",0)</f>
        <v>#REF!</v>
      </c>
      <c r="HR82" t="e">
        <f>AND(#REF!,"AAAAAHfrduE=")</f>
        <v>#REF!</v>
      </c>
      <c r="HS82" t="e">
        <f>AND(#REF!,"AAAAAHfrduI=")</f>
        <v>#REF!</v>
      </c>
      <c r="HT82" t="e">
        <f>AND(#REF!,"AAAAAHfrduM=")</f>
        <v>#REF!</v>
      </c>
      <c r="HU82" t="e">
        <f>AND(#REF!,"AAAAAHfrduQ=")</f>
        <v>#REF!</v>
      </c>
      <c r="HV82" t="e">
        <f>AND(#REF!,"AAAAAHfrduU=")</f>
        <v>#REF!</v>
      </c>
      <c r="HW82" t="e">
        <f>AND(#REF!,"AAAAAHfrduY=")</f>
        <v>#REF!</v>
      </c>
      <c r="HX82" t="e">
        <f>AND(#REF!,"AAAAAHfrduc=")</f>
        <v>#REF!</v>
      </c>
      <c r="HY82" t="e">
        <f>AND(#REF!,"AAAAAHfrdug=")</f>
        <v>#REF!</v>
      </c>
      <c r="HZ82" t="e">
        <f>AND(#REF!,"AAAAAHfrduk=")</f>
        <v>#REF!</v>
      </c>
      <c r="IA82" t="e">
        <f>AND(#REF!,"AAAAAHfrduo=")</f>
        <v>#REF!</v>
      </c>
      <c r="IB82" t="e">
        <f>IF(#REF!,"AAAAAHfrdus=",0)</f>
        <v>#REF!</v>
      </c>
      <c r="IC82" t="e">
        <f>AND(#REF!,"AAAAAHfrduw=")</f>
        <v>#REF!</v>
      </c>
      <c r="ID82" t="e">
        <f>AND(#REF!,"AAAAAHfrdu0=")</f>
        <v>#REF!</v>
      </c>
      <c r="IE82" t="e">
        <f>AND(#REF!,"AAAAAHfrdu4=")</f>
        <v>#REF!</v>
      </c>
      <c r="IF82" t="e">
        <f>AND(#REF!,"AAAAAHfrdu8=")</f>
        <v>#REF!</v>
      </c>
      <c r="IG82" t="e">
        <f>AND(#REF!,"AAAAAHfrdvA=")</f>
        <v>#REF!</v>
      </c>
      <c r="IH82" t="e">
        <f>AND(#REF!,"AAAAAHfrdvE=")</f>
        <v>#REF!</v>
      </c>
      <c r="II82" t="e">
        <f>AND(#REF!,"AAAAAHfrdvI=")</f>
        <v>#REF!</v>
      </c>
      <c r="IJ82" t="e">
        <f>AND(#REF!,"AAAAAHfrdvM=")</f>
        <v>#REF!</v>
      </c>
      <c r="IK82" t="e">
        <f>AND(#REF!,"AAAAAHfrdvQ=")</f>
        <v>#REF!</v>
      </c>
      <c r="IL82" t="e">
        <f>AND(#REF!,"AAAAAHfrdvU=")</f>
        <v>#REF!</v>
      </c>
      <c r="IM82" t="e">
        <f>IF(#REF!,"AAAAAHfrdvY=",0)</f>
        <v>#REF!</v>
      </c>
      <c r="IN82" t="e">
        <f>AND(#REF!,"AAAAAHfrdvc=")</f>
        <v>#REF!</v>
      </c>
      <c r="IO82" t="e">
        <f>AND(#REF!,"AAAAAHfrdvg=")</f>
        <v>#REF!</v>
      </c>
      <c r="IP82" t="e">
        <f>AND(#REF!,"AAAAAHfrdvk=")</f>
        <v>#REF!</v>
      </c>
      <c r="IQ82" t="e">
        <f>AND(#REF!,"AAAAAHfrdvo=")</f>
        <v>#REF!</v>
      </c>
      <c r="IR82" t="e">
        <f>AND(#REF!,"AAAAAHfrdvs=")</f>
        <v>#REF!</v>
      </c>
      <c r="IS82" t="e">
        <f>AND(#REF!,"AAAAAHfrdvw=")</f>
        <v>#REF!</v>
      </c>
      <c r="IT82" t="e">
        <f>AND(#REF!,"AAAAAHfrdv0=")</f>
        <v>#REF!</v>
      </c>
      <c r="IU82" t="e">
        <f>AND(#REF!,"AAAAAHfrdv4=")</f>
        <v>#REF!</v>
      </c>
      <c r="IV82" t="e">
        <f>AND(#REF!,"AAAAAHfrdv8=")</f>
        <v>#REF!</v>
      </c>
    </row>
    <row r="83" spans="1:256" x14ac:dyDescent="0.25">
      <c r="A83" t="e">
        <f>AND(#REF!,"AAAAAFu3/wA=")</f>
        <v>#REF!</v>
      </c>
      <c r="B83" t="e">
        <f>IF(#REF!,"AAAAAFu3/wE=",0)</f>
        <v>#REF!</v>
      </c>
      <c r="C83" t="e">
        <f>AND(#REF!,"AAAAAFu3/wI=")</f>
        <v>#REF!</v>
      </c>
      <c r="D83" t="e">
        <f>AND(#REF!,"AAAAAFu3/wM=")</f>
        <v>#REF!</v>
      </c>
      <c r="E83" t="e">
        <f>AND(#REF!,"AAAAAFu3/wQ=")</f>
        <v>#REF!</v>
      </c>
      <c r="F83" t="e">
        <f>AND(#REF!,"AAAAAFu3/wU=")</f>
        <v>#REF!</v>
      </c>
      <c r="G83" t="e">
        <f>AND(#REF!,"AAAAAFu3/wY=")</f>
        <v>#REF!</v>
      </c>
      <c r="H83" t="e">
        <f>AND(#REF!,"AAAAAFu3/wc=")</f>
        <v>#REF!</v>
      </c>
      <c r="I83" t="e">
        <f>AND(#REF!,"AAAAAFu3/wg=")</f>
        <v>#REF!</v>
      </c>
      <c r="J83" t="e">
        <f>AND(#REF!,"AAAAAFu3/wk=")</f>
        <v>#REF!</v>
      </c>
      <c r="K83" t="e">
        <f>AND(#REF!,"AAAAAFu3/wo=")</f>
        <v>#REF!</v>
      </c>
      <c r="L83" t="e">
        <f>AND(#REF!,"AAAAAFu3/ws=")</f>
        <v>#REF!</v>
      </c>
      <c r="M83" t="e">
        <f>IF(#REF!,"AAAAAFu3/ww=",0)</f>
        <v>#REF!</v>
      </c>
      <c r="N83" t="e">
        <f>AND(#REF!,"AAAAAFu3/w0=")</f>
        <v>#REF!</v>
      </c>
      <c r="O83" t="e">
        <f>AND(#REF!,"AAAAAFu3/w4=")</f>
        <v>#REF!</v>
      </c>
      <c r="P83" t="e">
        <f>AND(#REF!,"AAAAAFu3/w8=")</f>
        <v>#REF!</v>
      </c>
      <c r="Q83" t="e">
        <f>AND(#REF!,"AAAAAFu3/xA=")</f>
        <v>#REF!</v>
      </c>
      <c r="R83" t="e">
        <f>AND(#REF!,"AAAAAFu3/xE=")</f>
        <v>#REF!</v>
      </c>
      <c r="S83" t="e">
        <f>AND(#REF!,"AAAAAFu3/xI=")</f>
        <v>#REF!</v>
      </c>
      <c r="T83" t="e">
        <f>AND(#REF!,"AAAAAFu3/xM=")</f>
        <v>#REF!</v>
      </c>
      <c r="U83" t="e">
        <f>AND(#REF!,"AAAAAFu3/xQ=")</f>
        <v>#REF!</v>
      </c>
      <c r="V83" t="e">
        <f>AND(#REF!,"AAAAAFu3/xU=")</f>
        <v>#REF!</v>
      </c>
      <c r="W83" t="e">
        <f>AND(#REF!,"AAAAAFu3/xY=")</f>
        <v>#REF!</v>
      </c>
      <c r="X83" t="e">
        <f>IF(#REF!,"AAAAAFu3/xc=",0)</f>
        <v>#REF!</v>
      </c>
      <c r="Y83" t="e">
        <f>AND(#REF!,"AAAAAFu3/xg=")</f>
        <v>#REF!</v>
      </c>
      <c r="Z83" t="e">
        <f>AND(#REF!,"AAAAAFu3/xk=")</f>
        <v>#REF!</v>
      </c>
      <c r="AA83" t="e">
        <f>AND(#REF!,"AAAAAFu3/xo=")</f>
        <v>#REF!</v>
      </c>
      <c r="AB83" t="e">
        <f>AND(#REF!,"AAAAAFu3/xs=")</f>
        <v>#REF!</v>
      </c>
      <c r="AC83" t="e">
        <f>AND(#REF!,"AAAAAFu3/xw=")</f>
        <v>#REF!</v>
      </c>
      <c r="AD83" t="e">
        <f>AND(#REF!,"AAAAAFu3/x0=")</f>
        <v>#REF!</v>
      </c>
      <c r="AE83" t="e">
        <f>AND(#REF!,"AAAAAFu3/x4=")</f>
        <v>#REF!</v>
      </c>
      <c r="AF83" t="e">
        <f>AND(#REF!,"AAAAAFu3/x8=")</f>
        <v>#REF!</v>
      </c>
      <c r="AG83" t="e">
        <f>AND(#REF!,"AAAAAFu3/yA=")</f>
        <v>#REF!</v>
      </c>
      <c r="AH83" t="e">
        <f>AND(#REF!,"AAAAAFu3/yE=")</f>
        <v>#REF!</v>
      </c>
      <c r="AI83" t="e">
        <f>IF(#REF!,"AAAAAFu3/yI=",0)</f>
        <v>#REF!</v>
      </c>
      <c r="AJ83" t="e">
        <f>AND(#REF!,"AAAAAFu3/yM=")</f>
        <v>#REF!</v>
      </c>
      <c r="AK83" t="e">
        <f>AND(#REF!,"AAAAAFu3/yQ=")</f>
        <v>#REF!</v>
      </c>
      <c r="AL83" t="e">
        <f>AND(#REF!,"AAAAAFu3/yU=")</f>
        <v>#REF!</v>
      </c>
      <c r="AM83" t="e">
        <f>AND(#REF!,"AAAAAFu3/yY=")</f>
        <v>#REF!</v>
      </c>
      <c r="AN83" t="e">
        <f>AND(#REF!,"AAAAAFu3/yc=")</f>
        <v>#REF!</v>
      </c>
      <c r="AO83" t="e">
        <f>AND(#REF!,"AAAAAFu3/yg=")</f>
        <v>#REF!</v>
      </c>
      <c r="AP83" t="e">
        <f>AND(#REF!,"AAAAAFu3/yk=")</f>
        <v>#REF!</v>
      </c>
      <c r="AQ83" t="e">
        <f>AND(#REF!,"AAAAAFu3/yo=")</f>
        <v>#REF!</v>
      </c>
      <c r="AR83" t="e">
        <f>AND(#REF!,"AAAAAFu3/ys=")</f>
        <v>#REF!</v>
      </c>
      <c r="AS83" t="e">
        <f>AND(#REF!,"AAAAAFu3/yw=")</f>
        <v>#REF!</v>
      </c>
      <c r="AT83" t="e">
        <f>IF(#REF!,"AAAAAFu3/y0=",0)</f>
        <v>#REF!</v>
      </c>
      <c r="AU83" t="e">
        <f>AND(#REF!,"AAAAAFu3/y4=")</f>
        <v>#REF!</v>
      </c>
      <c r="AV83" t="e">
        <f>AND(#REF!,"AAAAAFu3/y8=")</f>
        <v>#REF!</v>
      </c>
      <c r="AW83" t="e">
        <f>AND(#REF!,"AAAAAFu3/zA=")</f>
        <v>#REF!</v>
      </c>
      <c r="AX83" t="e">
        <f>AND(#REF!,"AAAAAFu3/zE=")</f>
        <v>#REF!</v>
      </c>
      <c r="AY83" t="e">
        <f>AND(#REF!,"AAAAAFu3/zI=")</f>
        <v>#REF!</v>
      </c>
      <c r="AZ83" t="e">
        <f>AND(#REF!,"AAAAAFu3/zM=")</f>
        <v>#REF!</v>
      </c>
      <c r="BA83" t="e">
        <f>AND(#REF!,"AAAAAFu3/zQ=")</f>
        <v>#REF!</v>
      </c>
      <c r="BB83" t="e">
        <f>AND(#REF!,"AAAAAFu3/zU=")</f>
        <v>#REF!</v>
      </c>
      <c r="BC83" t="e">
        <f>AND(#REF!,"AAAAAFu3/zY=")</f>
        <v>#REF!</v>
      </c>
      <c r="BD83" t="e">
        <f>AND(#REF!,"AAAAAFu3/zc=")</f>
        <v>#REF!</v>
      </c>
      <c r="BE83" t="e">
        <f>IF(#REF!,"AAAAAFu3/zg=",0)</f>
        <v>#REF!</v>
      </c>
      <c r="BF83" t="e">
        <f>AND(#REF!,"AAAAAFu3/zk=")</f>
        <v>#REF!</v>
      </c>
      <c r="BG83" t="e">
        <f>AND(#REF!,"AAAAAFu3/zo=")</f>
        <v>#REF!</v>
      </c>
      <c r="BH83" t="e">
        <f>AND(#REF!,"AAAAAFu3/zs=")</f>
        <v>#REF!</v>
      </c>
      <c r="BI83" t="e">
        <f>AND(#REF!,"AAAAAFu3/zw=")</f>
        <v>#REF!</v>
      </c>
      <c r="BJ83" t="e">
        <f>AND(#REF!,"AAAAAFu3/z0=")</f>
        <v>#REF!</v>
      </c>
      <c r="BK83" t="e">
        <f>AND(#REF!,"AAAAAFu3/z4=")</f>
        <v>#REF!</v>
      </c>
      <c r="BL83" t="e">
        <f>AND(#REF!,"AAAAAFu3/z8=")</f>
        <v>#REF!</v>
      </c>
      <c r="BM83" t="e">
        <f>AND(#REF!,"AAAAAFu3/0A=")</f>
        <v>#REF!</v>
      </c>
      <c r="BN83" t="e">
        <f>AND(#REF!,"AAAAAFu3/0E=")</f>
        <v>#REF!</v>
      </c>
      <c r="BO83" t="e">
        <f>AND(#REF!,"AAAAAFu3/0I=")</f>
        <v>#REF!</v>
      </c>
      <c r="BP83" t="e">
        <f>IF(#REF!,"AAAAAFu3/0M=",0)</f>
        <v>#REF!</v>
      </c>
      <c r="BQ83" t="e">
        <f>AND(#REF!,"AAAAAFu3/0Q=")</f>
        <v>#REF!</v>
      </c>
      <c r="BR83" t="e">
        <f>AND(#REF!,"AAAAAFu3/0U=")</f>
        <v>#REF!</v>
      </c>
      <c r="BS83" t="e">
        <f>AND(#REF!,"AAAAAFu3/0Y=")</f>
        <v>#REF!</v>
      </c>
      <c r="BT83" t="e">
        <f>AND(#REF!,"AAAAAFu3/0c=")</f>
        <v>#REF!</v>
      </c>
      <c r="BU83" t="e">
        <f>AND(#REF!,"AAAAAFu3/0g=")</f>
        <v>#REF!</v>
      </c>
      <c r="BV83" t="e">
        <f>AND(#REF!,"AAAAAFu3/0k=")</f>
        <v>#REF!</v>
      </c>
      <c r="BW83" t="e">
        <f>AND(#REF!,"AAAAAFu3/0o=")</f>
        <v>#REF!</v>
      </c>
      <c r="BX83" t="e">
        <f>AND(#REF!,"AAAAAFu3/0s=")</f>
        <v>#REF!</v>
      </c>
      <c r="BY83" t="e">
        <f>AND(#REF!,"AAAAAFu3/0w=")</f>
        <v>#REF!</v>
      </c>
      <c r="BZ83" t="e">
        <f>AND(#REF!,"AAAAAFu3/00=")</f>
        <v>#REF!</v>
      </c>
      <c r="CA83" t="e">
        <f>IF(#REF!,"AAAAAFu3/04=",0)</f>
        <v>#REF!</v>
      </c>
      <c r="CB83" t="e">
        <f>AND(#REF!,"AAAAAFu3/08=")</f>
        <v>#REF!</v>
      </c>
      <c r="CC83" t="e">
        <f>AND(#REF!,"AAAAAFu3/1A=")</f>
        <v>#REF!</v>
      </c>
      <c r="CD83" t="e">
        <f>AND(#REF!,"AAAAAFu3/1E=")</f>
        <v>#REF!</v>
      </c>
      <c r="CE83" t="e">
        <f>AND(#REF!,"AAAAAFu3/1I=")</f>
        <v>#REF!</v>
      </c>
      <c r="CF83" t="e">
        <f>AND(#REF!,"AAAAAFu3/1M=")</f>
        <v>#REF!</v>
      </c>
      <c r="CG83" t="e">
        <f>AND(#REF!,"AAAAAFu3/1Q=")</f>
        <v>#REF!</v>
      </c>
      <c r="CH83" t="e">
        <f>AND(#REF!,"AAAAAFu3/1U=")</f>
        <v>#REF!</v>
      </c>
      <c r="CI83" t="e">
        <f>AND(#REF!,"AAAAAFu3/1Y=")</f>
        <v>#REF!</v>
      </c>
      <c r="CJ83" t="e">
        <f>AND(#REF!,"AAAAAFu3/1c=")</f>
        <v>#REF!</v>
      </c>
      <c r="CK83" t="e">
        <f>AND(#REF!,"AAAAAFu3/1g=")</f>
        <v>#REF!</v>
      </c>
      <c r="CL83" t="e">
        <f>IF(#REF!,"AAAAAFu3/1k=",0)</f>
        <v>#REF!</v>
      </c>
      <c r="CM83" t="e">
        <f>AND(#REF!,"AAAAAFu3/1o=")</f>
        <v>#REF!</v>
      </c>
      <c r="CN83" t="e">
        <f>AND(#REF!,"AAAAAFu3/1s=")</f>
        <v>#REF!</v>
      </c>
      <c r="CO83" t="e">
        <f>AND(#REF!,"AAAAAFu3/1w=")</f>
        <v>#REF!</v>
      </c>
      <c r="CP83" t="e">
        <f>AND(#REF!,"AAAAAFu3/10=")</f>
        <v>#REF!</v>
      </c>
      <c r="CQ83" t="e">
        <f>AND(#REF!,"AAAAAFu3/14=")</f>
        <v>#REF!</v>
      </c>
      <c r="CR83" t="e">
        <f>AND(#REF!,"AAAAAFu3/18=")</f>
        <v>#REF!</v>
      </c>
      <c r="CS83" t="e">
        <f>AND(#REF!,"AAAAAFu3/2A=")</f>
        <v>#REF!</v>
      </c>
      <c r="CT83" t="e">
        <f>AND(#REF!,"AAAAAFu3/2E=")</f>
        <v>#REF!</v>
      </c>
      <c r="CU83" t="e">
        <f>AND(#REF!,"AAAAAFu3/2I=")</f>
        <v>#REF!</v>
      </c>
      <c r="CV83" t="e">
        <f>AND(#REF!,"AAAAAFu3/2M=")</f>
        <v>#REF!</v>
      </c>
      <c r="CW83" t="e">
        <f>IF(#REF!,"AAAAAFu3/2Q=",0)</f>
        <v>#REF!</v>
      </c>
      <c r="CX83" t="e">
        <f>AND(#REF!,"AAAAAFu3/2U=")</f>
        <v>#REF!</v>
      </c>
      <c r="CY83" t="e">
        <f>AND(#REF!,"AAAAAFu3/2Y=")</f>
        <v>#REF!</v>
      </c>
      <c r="CZ83" t="e">
        <f>AND(#REF!,"AAAAAFu3/2c=")</f>
        <v>#REF!</v>
      </c>
      <c r="DA83" t="e">
        <f>AND(#REF!,"AAAAAFu3/2g=")</f>
        <v>#REF!</v>
      </c>
      <c r="DB83" t="e">
        <f>AND(#REF!,"AAAAAFu3/2k=")</f>
        <v>#REF!</v>
      </c>
      <c r="DC83" t="e">
        <f>AND(#REF!,"AAAAAFu3/2o=")</f>
        <v>#REF!</v>
      </c>
      <c r="DD83" t="e">
        <f>AND(#REF!,"AAAAAFu3/2s=")</f>
        <v>#REF!</v>
      </c>
      <c r="DE83" t="e">
        <f>AND(#REF!,"AAAAAFu3/2w=")</f>
        <v>#REF!</v>
      </c>
      <c r="DF83" t="e">
        <f>AND(#REF!,"AAAAAFu3/20=")</f>
        <v>#REF!</v>
      </c>
      <c r="DG83" t="e">
        <f>AND(#REF!,"AAAAAFu3/24=")</f>
        <v>#REF!</v>
      </c>
      <c r="DH83" t="e">
        <f>IF(#REF!,"AAAAAFu3/28=",0)</f>
        <v>#REF!</v>
      </c>
      <c r="DI83" t="e">
        <f>AND(#REF!,"AAAAAFu3/3A=")</f>
        <v>#REF!</v>
      </c>
      <c r="DJ83" t="e">
        <f>AND(#REF!,"AAAAAFu3/3E=")</f>
        <v>#REF!</v>
      </c>
      <c r="DK83" t="e">
        <f>AND(#REF!,"AAAAAFu3/3I=")</f>
        <v>#REF!</v>
      </c>
      <c r="DL83" t="e">
        <f>AND(#REF!,"AAAAAFu3/3M=")</f>
        <v>#REF!</v>
      </c>
      <c r="DM83" t="e">
        <f>AND(#REF!,"AAAAAFu3/3Q=")</f>
        <v>#REF!</v>
      </c>
      <c r="DN83" t="e">
        <f>AND(#REF!,"AAAAAFu3/3U=")</f>
        <v>#REF!</v>
      </c>
      <c r="DO83" t="e">
        <f>AND(#REF!,"AAAAAFu3/3Y=")</f>
        <v>#REF!</v>
      </c>
      <c r="DP83" t="e">
        <f>AND(#REF!,"AAAAAFu3/3c=")</f>
        <v>#REF!</v>
      </c>
      <c r="DQ83" t="e">
        <f>AND(#REF!,"AAAAAFu3/3g=")</f>
        <v>#REF!</v>
      </c>
      <c r="DR83" t="e">
        <f>AND(#REF!,"AAAAAFu3/3k=")</f>
        <v>#REF!</v>
      </c>
      <c r="DS83" t="e">
        <f>IF(#REF!,"AAAAAFu3/3o=",0)</f>
        <v>#REF!</v>
      </c>
      <c r="DT83" t="e">
        <f>AND(#REF!,"AAAAAFu3/3s=")</f>
        <v>#REF!</v>
      </c>
      <c r="DU83" t="e">
        <f>AND(#REF!,"AAAAAFu3/3w=")</f>
        <v>#REF!</v>
      </c>
      <c r="DV83" t="e">
        <f>AND(#REF!,"AAAAAFu3/30=")</f>
        <v>#REF!</v>
      </c>
      <c r="DW83" t="e">
        <f>AND(#REF!,"AAAAAFu3/34=")</f>
        <v>#REF!</v>
      </c>
      <c r="DX83" t="e">
        <f>AND(#REF!,"AAAAAFu3/38=")</f>
        <v>#REF!</v>
      </c>
      <c r="DY83" t="e">
        <f>AND(#REF!,"AAAAAFu3/4A=")</f>
        <v>#REF!</v>
      </c>
      <c r="DZ83" t="e">
        <f>AND(#REF!,"AAAAAFu3/4E=")</f>
        <v>#REF!</v>
      </c>
      <c r="EA83" t="e">
        <f>AND(#REF!,"AAAAAFu3/4I=")</f>
        <v>#REF!</v>
      </c>
      <c r="EB83" t="e">
        <f>AND(#REF!,"AAAAAFu3/4M=")</f>
        <v>#REF!</v>
      </c>
      <c r="EC83" t="e">
        <f>AND(#REF!,"AAAAAFu3/4Q=")</f>
        <v>#REF!</v>
      </c>
      <c r="ED83" t="e">
        <f>IF(#REF!,"AAAAAFu3/4U=",0)</f>
        <v>#REF!</v>
      </c>
      <c r="EE83" t="e">
        <f>AND(#REF!,"AAAAAFu3/4Y=")</f>
        <v>#REF!</v>
      </c>
      <c r="EF83" t="e">
        <f>AND(#REF!,"AAAAAFu3/4c=")</f>
        <v>#REF!</v>
      </c>
      <c r="EG83" t="e">
        <f>AND(#REF!,"AAAAAFu3/4g=")</f>
        <v>#REF!</v>
      </c>
      <c r="EH83" t="e">
        <f>AND(#REF!,"AAAAAFu3/4k=")</f>
        <v>#REF!</v>
      </c>
      <c r="EI83" t="e">
        <f>AND(#REF!,"AAAAAFu3/4o=")</f>
        <v>#REF!</v>
      </c>
      <c r="EJ83" t="e">
        <f>AND(#REF!,"AAAAAFu3/4s=")</f>
        <v>#REF!</v>
      </c>
      <c r="EK83" t="e">
        <f>AND(#REF!,"AAAAAFu3/4w=")</f>
        <v>#REF!</v>
      </c>
      <c r="EL83" t="e">
        <f>AND(#REF!,"AAAAAFu3/40=")</f>
        <v>#REF!</v>
      </c>
      <c r="EM83" t="e">
        <f>AND(#REF!,"AAAAAFu3/44=")</f>
        <v>#REF!</v>
      </c>
      <c r="EN83" t="e">
        <f>AND(#REF!,"AAAAAFu3/48=")</f>
        <v>#REF!</v>
      </c>
      <c r="EO83" t="e">
        <f>IF(#REF!,"AAAAAFu3/5A=",0)</f>
        <v>#REF!</v>
      </c>
      <c r="EP83" t="e">
        <f>AND(#REF!,"AAAAAFu3/5E=")</f>
        <v>#REF!</v>
      </c>
      <c r="EQ83" t="e">
        <f>AND(#REF!,"AAAAAFu3/5I=")</f>
        <v>#REF!</v>
      </c>
      <c r="ER83" t="e">
        <f>AND(#REF!,"AAAAAFu3/5M=")</f>
        <v>#REF!</v>
      </c>
      <c r="ES83" t="e">
        <f>AND(#REF!,"AAAAAFu3/5Q=")</f>
        <v>#REF!</v>
      </c>
      <c r="ET83" t="e">
        <f>AND(#REF!,"AAAAAFu3/5U=")</f>
        <v>#REF!</v>
      </c>
      <c r="EU83" t="e">
        <f>AND(#REF!,"AAAAAFu3/5Y=")</f>
        <v>#REF!</v>
      </c>
      <c r="EV83" t="e">
        <f>AND(#REF!,"AAAAAFu3/5c=")</f>
        <v>#REF!</v>
      </c>
      <c r="EW83" t="e">
        <f>AND(#REF!,"AAAAAFu3/5g=")</f>
        <v>#REF!</v>
      </c>
      <c r="EX83" t="e">
        <f>AND(#REF!,"AAAAAFu3/5k=")</f>
        <v>#REF!</v>
      </c>
      <c r="EY83" t="e">
        <f>AND(#REF!,"AAAAAFu3/5o=")</f>
        <v>#REF!</v>
      </c>
      <c r="EZ83" t="e">
        <f>IF(#REF!,"AAAAAFu3/5s=",0)</f>
        <v>#REF!</v>
      </c>
      <c r="FA83" t="e">
        <f>AND(#REF!,"AAAAAFu3/5w=")</f>
        <v>#REF!</v>
      </c>
      <c r="FB83" t="e">
        <f>AND(#REF!,"AAAAAFu3/50=")</f>
        <v>#REF!</v>
      </c>
      <c r="FC83" t="e">
        <f>AND(#REF!,"AAAAAFu3/54=")</f>
        <v>#REF!</v>
      </c>
      <c r="FD83" t="e">
        <f>AND(#REF!,"AAAAAFu3/58=")</f>
        <v>#REF!</v>
      </c>
      <c r="FE83" t="e">
        <f>AND(#REF!,"AAAAAFu3/6A=")</f>
        <v>#REF!</v>
      </c>
      <c r="FF83" t="e">
        <f>AND(#REF!,"AAAAAFu3/6E=")</f>
        <v>#REF!</v>
      </c>
      <c r="FG83" t="e">
        <f>AND(#REF!,"AAAAAFu3/6I=")</f>
        <v>#REF!</v>
      </c>
      <c r="FH83" t="e">
        <f>AND(#REF!,"AAAAAFu3/6M=")</f>
        <v>#REF!</v>
      </c>
      <c r="FI83" t="e">
        <f>AND(#REF!,"AAAAAFu3/6Q=")</f>
        <v>#REF!</v>
      </c>
      <c r="FJ83" t="e">
        <f>AND(#REF!,"AAAAAFu3/6U=")</f>
        <v>#REF!</v>
      </c>
      <c r="FK83" t="e">
        <f>IF(#REF!,"AAAAAFu3/6Y=",0)</f>
        <v>#REF!</v>
      </c>
      <c r="FL83" t="e">
        <f>AND(#REF!,"AAAAAFu3/6c=")</f>
        <v>#REF!</v>
      </c>
      <c r="FM83" t="e">
        <f>AND(#REF!,"AAAAAFu3/6g=")</f>
        <v>#REF!</v>
      </c>
      <c r="FN83" t="e">
        <f>AND(#REF!,"AAAAAFu3/6k=")</f>
        <v>#REF!</v>
      </c>
      <c r="FO83" t="e">
        <f>AND(#REF!,"AAAAAFu3/6o=")</f>
        <v>#REF!</v>
      </c>
      <c r="FP83" t="e">
        <f>AND(#REF!,"AAAAAFu3/6s=")</f>
        <v>#REF!</v>
      </c>
      <c r="FQ83" t="e">
        <f>AND(#REF!,"AAAAAFu3/6w=")</f>
        <v>#REF!</v>
      </c>
      <c r="FR83" t="e">
        <f>AND(#REF!,"AAAAAFu3/60=")</f>
        <v>#REF!</v>
      </c>
      <c r="FS83" t="e">
        <f>AND(#REF!,"AAAAAFu3/64=")</f>
        <v>#REF!</v>
      </c>
      <c r="FT83" t="e">
        <f>AND(#REF!,"AAAAAFu3/68=")</f>
        <v>#REF!</v>
      </c>
      <c r="FU83" t="e">
        <f>AND(#REF!,"AAAAAFu3/7A=")</f>
        <v>#REF!</v>
      </c>
      <c r="FV83" t="e">
        <f>IF(#REF!,"AAAAAFu3/7E=",0)</f>
        <v>#REF!</v>
      </c>
      <c r="FW83" t="e">
        <f>AND(#REF!,"AAAAAFu3/7I=")</f>
        <v>#REF!</v>
      </c>
      <c r="FX83" t="e">
        <f>AND(#REF!,"AAAAAFu3/7M=")</f>
        <v>#REF!</v>
      </c>
      <c r="FY83" t="e">
        <f>AND(#REF!,"AAAAAFu3/7Q=")</f>
        <v>#REF!</v>
      </c>
      <c r="FZ83" t="e">
        <f>AND(#REF!,"AAAAAFu3/7U=")</f>
        <v>#REF!</v>
      </c>
      <c r="GA83" t="e">
        <f>AND(#REF!,"AAAAAFu3/7Y=")</f>
        <v>#REF!</v>
      </c>
      <c r="GB83" t="e">
        <f>AND(#REF!,"AAAAAFu3/7c=")</f>
        <v>#REF!</v>
      </c>
      <c r="GC83" t="e">
        <f>AND(#REF!,"AAAAAFu3/7g=")</f>
        <v>#REF!</v>
      </c>
      <c r="GD83" t="e">
        <f>AND(#REF!,"AAAAAFu3/7k=")</f>
        <v>#REF!</v>
      </c>
      <c r="GE83" t="e">
        <f>AND(#REF!,"AAAAAFu3/7o=")</f>
        <v>#REF!</v>
      </c>
      <c r="GF83" t="e">
        <f>AND(#REF!,"AAAAAFu3/7s=")</f>
        <v>#REF!</v>
      </c>
      <c r="GG83" t="e">
        <f>IF(#REF!,"AAAAAFu3/7w=",0)</f>
        <v>#REF!</v>
      </c>
      <c r="GH83" t="e">
        <f>AND(#REF!,"AAAAAFu3/70=")</f>
        <v>#REF!</v>
      </c>
      <c r="GI83" t="e">
        <f>AND(#REF!,"AAAAAFu3/74=")</f>
        <v>#REF!</v>
      </c>
      <c r="GJ83" t="e">
        <f>AND(#REF!,"AAAAAFu3/78=")</f>
        <v>#REF!</v>
      </c>
      <c r="GK83" t="e">
        <f>AND(#REF!,"AAAAAFu3/8A=")</f>
        <v>#REF!</v>
      </c>
      <c r="GL83" t="e">
        <f>AND(#REF!,"AAAAAFu3/8E=")</f>
        <v>#REF!</v>
      </c>
      <c r="GM83" t="e">
        <f>AND(#REF!,"AAAAAFu3/8I=")</f>
        <v>#REF!</v>
      </c>
      <c r="GN83" t="e">
        <f>AND(#REF!,"AAAAAFu3/8M=")</f>
        <v>#REF!</v>
      </c>
      <c r="GO83" t="e">
        <f>AND(#REF!,"AAAAAFu3/8Q=")</f>
        <v>#REF!</v>
      </c>
      <c r="GP83" t="e">
        <f>AND(#REF!,"AAAAAFu3/8U=")</f>
        <v>#REF!</v>
      </c>
      <c r="GQ83" t="e">
        <f>AND(#REF!,"AAAAAFu3/8Y=")</f>
        <v>#REF!</v>
      </c>
      <c r="GR83" t="e">
        <f>IF(#REF!,"AAAAAFu3/8c=",0)</f>
        <v>#REF!</v>
      </c>
      <c r="GS83" t="e">
        <f>AND(#REF!,"AAAAAFu3/8g=")</f>
        <v>#REF!</v>
      </c>
      <c r="GT83" t="e">
        <f>AND(#REF!,"AAAAAFu3/8k=")</f>
        <v>#REF!</v>
      </c>
      <c r="GU83" t="e">
        <f>AND(#REF!,"AAAAAFu3/8o=")</f>
        <v>#REF!</v>
      </c>
      <c r="GV83" t="e">
        <f>AND(#REF!,"AAAAAFu3/8s=")</f>
        <v>#REF!</v>
      </c>
      <c r="GW83" t="e">
        <f>AND(#REF!,"AAAAAFu3/8w=")</f>
        <v>#REF!</v>
      </c>
      <c r="GX83" t="e">
        <f>AND(#REF!,"AAAAAFu3/80=")</f>
        <v>#REF!</v>
      </c>
      <c r="GY83" t="e">
        <f>AND(#REF!,"AAAAAFu3/84=")</f>
        <v>#REF!</v>
      </c>
      <c r="GZ83" t="e">
        <f>AND(#REF!,"AAAAAFu3/88=")</f>
        <v>#REF!</v>
      </c>
      <c r="HA83" t="e">
        <f>AND(#REF!,"AAAAAFu3/9A=")</f>
        <v>#REF!</v>
      </c>
      <c r="HB83" t="e">
        <f>AND(#REF!,"AAAAAFu3/9E=")</f>
        <v>#REF!</v>
      </c>
      <c r="HC83" t="e">
        <f>IF(#REF!,"AAAAAFu3/9I=",0)</f>
        <v>#REF!</v>
      </c>
      <c r="HD83" t="e">
        <f>AND(#REF!,"AAAAAFu3/9M=")</f>
        <v>#REF!</v>
      </c>
      <c r="HE83" t="e">
        <f>AND(#REF!,"AAAAAFu3/9Q=")</f>
        <v>#REF!</v>
      </c>
      <c r="HF83" t="e">
        <f>AND(#REF!,"AAAAAFu3/9U=")</f>
        <v>#REF!</v>
      </c>
      <c r="HG83" t="e">
        <f>AND(#REF!,"AAAAAFu3/9Y=")</f>
        <v>#REF!</v>
      </c>
      <c r="HH83" t="e">
        <f>AND(#REF!,"AAAAAFu3/9c=")</f>
        <v>#REF!</v>
      </c>
      <c r="HI83" t="e">
        <f>AND(#REF!,"AAAAAFu3/9g=")</f>
        <v>#REF!</v>
      </c>
      <c r="HJ83" t="e">
        <f>AND(#REF!,"AAAAAFu3/9k=")</f>
        <v>#REF!</v>
      </c>
      <c r="HK83" t="e">
        <f>AND(#REF!,"AAAAAFu3/9o=")</f>
        <v>#REF!</v>
      </c>
      <c r="HL83" t="e">
        <f>AND(#REF!,"AAAAAFu3/9s=")</f>
        <v>#REF!</v>
      </c>
      <c r="HM83" t="e">
        <f>AND(#REF!,"AAAAAFu3/9w=")</f>
        <v>#REF!</v>
      </c>
      <c r="HN83" t="e">
        <f>IF(#REF!,"AAAAAFu3/90=",0)</f>
        <v>#REF!</v>
      </c>
      <c r="HO83" t="e">
        <f>AND(#REF!,"AAAAAFu3/94=")</f>
        <v>#REF!</v>
      </c>
      <c r="HP83" t="e">
        <f>AND(#REF!,"AAAAAFu3/98=")</f>
        <v>#REF!</v>
      </c>
      <c r="HQ83" t="e">
        <f>AND(#REF!,"AAAAAFu3/+A=")</f>
        <v>#REF!</v>
      </c>
      <c r="HR83" t="e">
        <f>AND(#REF!,"AAAAAFu3/+E=")</f>
        <v>#REF!</v>
      </c>
      <c r="HS83" t="e">
        <f>AND(#REF!,"AAAAAFu3/+I=")</f>
        <v>#REF!</v>
      </c>
      <c r="HT83" t="e">
        <f>AND(#REF!,"AAAAAFu3/+M=")</f>
        <v>#REF!</v>
      </c>
      <c r="HU83" t="e">
        <f>AND(#REF!,"AAAAAFu3/+Q=")</f>
        <v>#REF!</v>
      </c>
      <c r="HV83" t="e">
        <f>AND(#REF!,"AAAAAFu3/+U=")</f>
        <v>#REF!</v>
      </c>
      <c r="HW83" t="e">
        <f>AND(#REF!,"AAAAAFu3/+Y=")</f>
        <v>#REF!</v>
      </c>
      <c r="HX83" t="e">
        <f>AND(#REF!,"AAAAAFu3/+c=")</f>
        <v>#REF!</v>
      </c>
      <c r="HY83" t="e">
        <f>IF(#REF!,"AAAAAFu3/+g=",0)</f>
        <v>#REF!</v>
      </c>
      <c r="HZ83" t="e">
        <f>AND(#REF!,"AAAAAFu3/+k=")</f>
        <v>#REF!</v>
      </c>
      <c r="IA83" t="e">
        <f>AND(#REF!,"AAAAAFu3/+o=")</f>
        <v>#REF!</v>
      </c>
      <c r="IB83" t="e">
        <f>AND(#REF!,"AAAAAFu3/+s=")</f>
        <v>#REF!</v>
      </c>
      <c r="IC83" t="e">
        <f>AND(#REF!,"AAAAAFu3/+w=")</f>
        <v>#REF!</v>
      </c>
      <c r="ID83" t="e">
        <f>AND(#REF!,"AAAAAFu3/+0=")</f>
        <v>#REF!</v>
      </c>
      <c r="IE83" t="e">
        <f>AND(#REF!,"AAAAAFu3/+4=")</f>
        <v>#REF!</v>
      </c>
      <c r="IF83" t="e">
        <f>AND(#REF!,"AAAAAFu3/+8=")</f>
        <v>#REF!</v>
      </c>
      <c r="IG83" t="e">
        <f>AND(#REF!,"AAAAAFu3//A=")</f>
        <v>#REF!</v>
      </c>
      <c r="IH83" t="e">
        <f>AND(#REF!,"AAAAAFu3//E=")</f>
        <v>#REF!</v>
      </c>
      <c r="II83" t="e">
        <f>AND(#REF!,"AAAAAFu3//I=")</f>
        <v>#REF!</v>
      </c>
      <c r="IJ83" t="e">
        <f>IF(#REF!,"AAAAAFu3//M=",0)</f>
        <v>#REF!</v>
      </c>
      <c r="IK83" t="e">
        <f>AND(#REF!,"AAAAAFu3//Q=")</f>
        <v>#REF!</v>
      </c>
      <c r="IL83" t="e">
        <f>AND(#REF!,"AAAAAFu3//U=")</f>
        <v>#REF!</v>
      </c>
      <c r="IM83" t="e">
        <f>AND(#REF!,"AAAAAFu3//Y=")</f>
        <v>#REF!</v>
      </c>
      <c r="IN83" t="e">
        <f>AND(#REF!,"AAAAAFu3//c=")</f>
        <v>#REF!</v>
      </c>
      <c r="IO83" t="e">
        <f>AND(#REF!,"AAAAAFu3//g=")</f>
        <v>#REF!</v>
      </c>
      <c r="IP83" t="e">
        <f>AND(#REF!,"AAAAAFu3//k=")</f>
        <v>#REF!</v>
      </c>
      <c r="IQ83" t="e">
        <f>AND(#REF!,"AAAAAFu3//o=")</f>
        <v>#REF!</v>
      </c>
      <c r="IR83" t="e">
        <f>AND(#REF!,"AAAAAFu3//s=")</f>
        <v>#REF!</v>
      </c>
      <c r="IS83" t="e">
        <f>AND(#REF!,"AAAAAFu3//w=")</f>
        <v>#REF!</v>
      </c>
      <c r="IT83" t="e">
        <f>AND(#REF!,"AAAAAFu3//0=")</f>
        <v>#REF!</v>
      </c>
      <c r="IU83" t="e">
        <f>IF(#REF!,"AAAAAFu3//4=",0)</f>
        <v>#REF!</v>
      </c>
      <c r="IV83" t="e">
        <f>AND(#REF!,"AAAAAFu3//8=")</f>
        <v>#REF!</v>
      </c>
    </row>
    <row r="84" spans="1:256" x14ac:dyDescent="0.25">
      <c r="A84" t="e">
        <f>AND(#REF!,"AAAAAGuLZwA=")</f>
        <v>#REF!</v>
      </c>
      <c r="B84" t="e">
        <f>AND(#REF!,"AAAAAGuLZwE=")</f>
        <v>#REF!</v>
      </c>
      <c r="C84" t="e">
        <f>AND(#REF!,"AAAAAGuLZwI=")</f>
        <v>#REF!</v>
      </c>
      <c r="D84" t="e">
        <f>AND(#REF!,"AAAAAGuLZwM=")</f>
        <v>#REF!</v>
      </c>
      <c r="E84" t="e">
        <f>AND(#REF!,"AAAAAGuLZwQ=")</f>
        <v>#REF!</v>
      </c>
      <c r="F84" t="e">
        <f>AND(#REF!,"AAAAAGuLZwU=")</f>
        <v>#REF!</v>
      </c>
      <c r="G84" t="e">
        <f>AND(#REF!,"AAAAAGuLZwY=")</f>
        <v>#REF!</v>
      </c>
      <c r="H84" t="e">
        <f>AND(#REF!,"AAAAAGuLZwc=")</f>
        <v>#REF!</v>
      </c>
      <c r="I84" t="e">
        <f>AND(#REF!,"AAAAAGuLZwg=")</f>
        <v>#REF!</v>
      </c>
      <c r="J84" t="e">
        <f>IF(#REF!,"AAAAAGuLZwk=",0)</f>
        <v>#REF!</v>
      </c>
      <c r="K84" t="e">
        <f>AND(#REF!,"AAAAAGuLZwo=")</f>
        <v>#REF!</v>
      </c>
      <c r="L84" t="e">
        <f>AND(#REF!,"AAAAAGuLZws=")</f>
        <v>#REF!</v>
      </c>
      <c r="M84" t="e">
        <f>AND(#REF!,"AAAAAGuLZww=")</f>
        <v>#REF!</v>
      </c>
      <c r="N84" t="e">
        <f>AND(#REF!,"AAAAAGuLZw0=")</f>
        <v>#REF!</v>
      </c>
      <c r="O84" t="e">
        <f>AND(#REF!,"AAAAAGuLZw4=")</f>
        <v>#REF!</v>
      </c>
      <c r="P84" t="e">
        <f>AND(#REF!,"AAAAAGuLZw8=")</f>
        <v>#REF!</v>
      </c>
      <c r="Q84" t="e">
        <f>AND(#REF!,"AAAAAGuLZxA=")</f>
        <v>#REF!</v>
      </c>
      <c r="R84" t="e">
        <f>AND(#REF!,"AAAAAGuLZxE=")</f>
        <v>#REF!</v>
      </c>
      <c r="S84" t="e">
        <f>AND(#REF!,"AAAAAGuLZxI=")</f>
        <v>#REF!</v>
      </c>
      <c r="T84" t="e">
        <f>AND(#REF!,"AAAAAGuLZxM=")</f>
        <v>#REF!</v>
      </c>
      <c r="U84" t="e">
        <f>IF(#REF!,"AAAAAGuLZxQ=",0)</f>
        <v>#REF!</v>
      </c>
      <c r="V84" t="e">
        <f>AND(#REF!,"AAAAAGuLZxU=")</f>
        <v>#REF!</v>
      </c>
      <c r="W84" t="e">
        <f>AND(#REF!,"AAAAAGuLZxY=")</f>
        <v>#REF!</v>
      </c>
      <c r="X84" t="e">
        <f>AND(#REF!,"AAAAAGuLZxc=")</f>
        <v>#REF!</v>
      </c>
      <c r="Y84" t="e">
        <f>AND(#REF!,"AAAAAGuLZxg=")</f>
        <v>#REF!</v>
      </c>
      <c r="Z84" t="e">
        <f>AND(#REF!,"AAAAAGuLZxk=")</f>
        <v>#REF!</v>
      </c>
      <c r="AA84" t="e">
        <f>AND(#REF!,"AAAAAGuLZxo=")</f>
        <v>#REF!</v>
      </c>
      <c r="AB84" t="e">
        <f>AND(#REF!,"AAAAAGuLZxs=")</f>
        <v>#REF!</v>
      </c>
      <c r="AC84" t="e">
        <f>AND(#REF!,"AAAAAGuLZxw=")</f>
        <v>#REF!</v>
      </c>
      <c r="AD84" t="e">
        <f>AND(#REF!,"AAAAAGuLZx0=")</f>
        <v>#REF!</v>
      </c>
      <c r="AE84" t="e">
        <f>AND(#REF!,"AAAAAGuLZx4=")</f>
        <v>#REF!</v>
      </c>
      <c r="AF84" t="e">
        <f>IF(#REF!,"AAAAAGuLZx8=",0)</f>
        <v>#REF!</v>
      </c>
      <c r="AG84" t="e">
        <f>AND(#REF!,"AAAAAGuLZyA=")</f>
        <v>#REF!</v>
      </c>
      <c r="AH84" t="e">
        <f>AND(#REF!,"AAAAAGuLZyE=")</f>
        <v>#REF!</v>
      </c>
      <c r="AI84" t="e">
        <f>AND(#REF!,"AAAAAGuLZyI=")</f>
        <v>#REF!</v>
      </c>
      <c r="AJ84" t="e">
        <f>AND(#REF!,"AAAAAGuLZyM=")</f>
        <v>#REF!</v>
      </c>
      <c r="AK84" t="e">
        <f>AND(#REF!,"AAAAAGuLZyQ=")</f>
        <v>#REF!</v>
      </c>
      <c r="AL84" t="e">
        <f>AND(#REF!,"AAAAAGuLZyU=")</f>
        <v>#REF!</v>
      </c>
      <c r="AM84" t="e">
        <f>AND(#REF!,"AAAAAGuLZyY=")</f>
        <v>#REF!</v>
      </c>
      <c r="AN84" t="e">
        <f>AND(#REF!,"AAAAAGuLZyc=")</f>
        <v>#REF!</v>
      </c>
      <c r="AO84" t="e">
        <f>AND(#REF!,"AAAAAGuLZyg=")</f>
        <v>#REF!</v>
      </c>
      <c r="AP84" t="e">
        <f>AND(#REF!,"AAAAAGuLZyk=")</f>
        <v>#REF!</v>
      </c>
      <c r="AQ84" t="e">
        <f>IF(#REF!,"AAAAAGuLZyo=",0)</f>
        <v>#REF!</v>
      </c>
      <c r="AR84" t="e">
        <f>AND(#REF!,"AAAAAGuLZys=")</f>
        <v>#REF!</v>
      </c>
      <c r="AS84" t="e">
        <f>AND(#REF!,"AAAAAGuLZyw=")</f>
        <v>#REF!</v>
      </c>
      <c r="AT84" t="e">
        <f>AND(#REF!,"AAAAAGuLZy0=")</f>
        <v>#REF!</v>
      </c>
      <c r="AU84" t="e">
        <f>AND(#REF!,"AAAAAGuLZy4=")</f>
        <v>#REF!</v>
      </c>
      <c r="AV84" t="e">
        <f>AND(#REF!,"AAAAAGuLZy8=")</f>
        <v>#REF!</v>
      </c>
      <c r="AW84" t="e">
        <f>AND(#REF!,"AAAAAGuLZzA=")</f>
        <v>#REF!</v>
      </c>
      <c r="AX84" t="e">
        <f>AND(#REF!,"AAAAAGuLZzE=")</f>
        <v>#REF!</v>
      </c>
      <c r="AY84" t="e">
        <f>AND(#REF!,"AAAAAGuLZzI=")</f>
        <v>#REF!</v>
      </c>
      <c r="AZ84" t="e">
        <f>AND(#REF!,"AAAAAGuLZzM=")</f>
        <v>#REF!</v>
      </c>
      <c r="BA84" t="e">
        <f>AND(#REF!,"AAAAAGuLZzQ=")</f>
        <v>#REF!</v>
      </c>
      <c r="BB84" t="e">
        <f>IF(#REF!,"AAAAAGuLZzU=",0)</f>
        <v>#REF!</v>
      </c>
      <c r="BC84" t="e">
        <f>AND(#REF!,"AAAAAGuLZzY=")</f>
        <v>#REF!</v>
      </c>
      <c r="BD84" t="e">
        <f>AND(#REF!,"AAAAAGuLZzc=")</f>
        <v>#REF!</v>
      </c>
      <c r="BE84" t="e">
        <f>AND(#REF!,"AAAAAGuLZzg=")</f>
        <v>#REF!</v>
      </c>
      <c r="BF84" t="e">
        <f>AND(#REF!,"AAAAAGuLZzk=")</f>
        <v>#REF!</v>
      </c>
      <c r="BG84" t="e">
        <f>AND(#REF!,"AAAAAGuLZzo=")</f>
        <v>#REF!</v>
      </c>
      <c r="BH84" t="e">
        <f>AND(#REF!,"AAAAAGuLZzs=")</f>
        <v>#REF!</v>
      </c>
      <c r="BI84" t="e">
        <f>AND(#REF!,"AAAAAGuLZzw=")</f>
        <v>#REF!</v>
      </c>
      <c r="BJ84" t="e">
        <f>AND(#REF!,"AAAAAGuLZz0=")</f>
        <v>#REF!</v>
      </c>
      <c r="BK84" t="e">
        <f>AND(#REF!,"AAAAAGuLZz4=")</f>
        <v>#REF!</v>
      </c>
      <c r="BL84" t="e">
        <f>AND(#REF!,"AAAAAGuLZz8=")</f>
        <v>#REF!</v>
      </c>
      <c r="BM84" t="e">
        <f>IF(#REF!,"AAAAAGuLZ0A=",0)</f>
        <v>#REF!</v>
      </c>
      <c r="BN84" t="e">
        <f>AND(#REF!,"AAAAAGuLZ0E=")</f>
        <v>#REF!</v>
      </c>
      <c r="BO84" t="e">
        <f>AND(#REF!,"AAAAAGuLZ0I=")</f>
        <v>#REF!</v>
      </c>
      <c r="BP84" t="e">
        <f>AND(#REF!,"AAAAAGuLZ0M=")</f>
        <v>#REF!</v>
      </c>
      <c r="BQ84" t="e">
        <f>AND(#REF!,"AAAAAGuLZ0Q=")</f>
        <v>#REF!</v>
      </c>
      <c r="BR84" t="e">
        <f>AND(#REF!,"AAAAAGuLZ0U=")</f>
        <v>#REF!</v>
      </c>
      <c r="BS84" t="e">
        <f>AND(#REF!,"AAAAAGuLZ0Y=")</f>
        <v>#REF!</v>
      </c>
      <c r="BT84" t="e">
        <f>AND(#REF!,"AAAAAGuLZ0c=")</f>
        <v>#REF!</v>
      </c>
      <c r="BU84" t="e">
        <f>AND(#REF!,"AAAAAGuLZ0g=")</f>
        <v>#REF!</v>
      </c>
      <c r="BV84" t="e">
        <f>AND(#REF!,"AAAAAGuLZ0k=")</f>
        <v>#REF!</v>
      </c>
      <c r="BW84" t="e">
        <f>AND(#REF!,"AAAAAGuLZ0o=")</f>
        <v>#REF!</v>
      </c>
      <c r="BX84" t="e">
        <f>IF(#REF!,"AAAAAGuLZ0s=",0)</f>
        <v>#REF!</v>
      </c>
      <c r="BY84" t="e">
        <f>AND(#REF!,"AAAAAGuLZ0w=")</f>
        <v>#REF!</v>
      </c>
      <c r="BZ84" t="e">
        <f>AND(#REF!,"AAAAAGuLZ00=")</f>
        <v>#REF!</v>
      </c>
      <c r="CA84" t="e">
        <f>AND(#REF!,"AAAAAGuLZ04=")</f>
        <v>#REF!</v>
      </c>
      <c r="CB84" t="e">
        <f>AND(#REF!,"AAAAAGuLZ08=")</f>
        <v>#REF!</v>
      </c>
      <c r="CC84" t="e">
        <f>AND(#REF!,"AAAAAGuLZ1A=")</f>
        <v>#REF!</v>
      </c>
      <c r="CD84" t="e">
        <f>AND(#REF!,"AAAAAGuLZ1E=")</f>
        <v>#REF!</v>
      </c>
      <c r="CE84" t="e">
        <f>AND(#REF!,"AAAAAGuLZ1I=")</f>
        <v>#REF!</v>
      </c>
      <c r="CF84" t="e">
        <f>AND(#REF!,"AAAAAGuLZ1M=")</f>
        <v>#REF!</v>
      </c>
      <c r="CG84" t="e">
        <f>AND(#REF!,"AAAAAGuLZ1Q=")</f>
        <v>#REF!</v>
      </c>
      <c r="CH84" t="e">
        <f>AND(#REF!,"AAAAAGuLZ1U=")</f>
        <v>#REF!</v>
      </c>
      <c r="CI84" t="e">
        <f>IF(#REF!,"AAAAAGuLZ1Y=",0)</f>
        <v>#REF!</v>
      </c>
      <c r="CJ84" t="e">
        <f>AND(#REF!,"AAAAAGuLZ1c=")</f>
        <v>#REF!</v>
      </c>
      <c r="CK84" t="e">
        <f>AND(#REF!,"AAAAAGuLZ1g=")</f>
        <v>#REF!</v>
      </c>
      <c r="CL84" t="e">
        <f>AND(#REF!,"AAAAAGuLZ1k=")</f>
        <v>#REF!</v>
      </c>
      <c r="CM84" t="e">
        <f>AND(#REF!,"AAAAAGuLZ1o=")</f>
        <v>#REF!</v>
      </c>
      <c r="CN84" t="e">
        <f>AND(#REF!,"AAAAAGuLZ1s=")</f>
        <v>#REF!</v>
      </c>
      <c r="CO84" t="e">
        <f>AND(#REF!,"AAAAAGuLZ1w=")</f>
        <v>#REF!</v>
      </c>
      <c r="CP84" t="e">
        <f>AND(#REF!,"AAAAAGuLZ10=")</f>
        <v>#REF!</v>
      </c>
      <c r="CQ84" t="e">
        <f>AND(#REF!,"AAAAAGuLZ14=")</f>
        <v>#REF!</v>
      </c>
      <c r="CR84" t="e">
        <f>AND(#REF!,"AAAAAGuLZ18=")</f>
        <v>#REF!</v>
      </c>
      <c r="CS84" t="e">
        <f>AND(#REF!,"AAAAAGuLZ2A=")</f>
        <v>#REF!</v>
      </c>
      <c r="CT84" t="e">
        <f>IF(#REF!,"AAAAAGuLZ2E=",0)</f>
        <v>#REF!</v>
      </c>
      <c r="CU84" t="e">
        <f>AND(#REF!,"AAAAAGuLZ2I=")</f>
        <v>#REF!</v>
      </c>
      <c r="CV84" t="e">
        <f>AND(#REF!,"AAAAAGuLZ2M=")</f>
        <v>#REF!</v>
      </c>
      <c r="CW84" t="e">
        <f>AND(#REF!,"AAAAAGuLZ2Q=")</f>
        <v>#REF!</v>
      </c>
      <c r="CX84" t="e">
        <f>AND(#REF!,"AAAAAGuLZ2U=")</f>
        <v>#REF!</v>
      </c>
      <c r="CY84" t="e">
        <f>AND(#REF!,"AAAAAGuLZ2Y=")</f>
        <v>#REF!</v>
      </c>
      <c r="CZ84" t="e">
        <f>AND(#REF!,"AAAAAGuLZ2c=")</f>
        <v>#REF!</v>
      </c>
      <c r="DA84" t="e">
        <f>AND(#REF!,"AAAAAGuLZ2g=")</f>
        <v>#REF!</v>
      </c>
      <c r="DB84" t="e">
        <f>AND(#REF!,"AAAAAGuLZ2k=")</f>
        <v>#REF!</v>
      </c>
      <c r="DC84" t="e">
        <f>AND(#REF!,"AAAAAGuLZ2o=")</f>
        <v>#REF!</v>
      </c>
      <c r="DD84" t="e">
        <f>AND(#REF!,"AAAAAGuLZ2s=")</f>
        <v>#REF!</v>
      </c>
      <c r="DE84" t="e">
        <f>IF(#REF!,"AAAAAGuLZ2w=",0)</f>
        <v>#REF!</v>
      </c>
      <c r="DF84" t="e">
        <f>AND(#REF!,"AAAAAGuLZ20=")</f>
        <v>#REF!</v>
      </c>
      <c r="DG84" t="e">
        <f>AND(#REF!,"AAAAAGuLZ24=")</f>
        <v>#REF!</v>
      </c>
      <c r="DH84" t="e">
        <f>AND(#REF!,"AAAAAGuLZ28=")</f>
        <v>#REF!</v>
      </c>
      <c r="DI84" t="e">
        <f>AND(#REF!,"AAAAAGuLZ3A=")</f>
        <v>#REF!</v>
      </c>
      <c r="DJ84" t="e">
        <f>AND(#REF!,"AAAAAGuLZ3E=")</f>
        <v>#REF!</v>
      </c>
      <c r="DK84" t="e">
        <f>AND(#REF!,"AAAAAGuLZ3I=")</f>
        <v>#REF!</v>
      </c>
      <c r="DL84" t="e">
        <f>AND(#REF!,"AAAAAGuLZ3M=")</f>
        <v>#REF!</v>
      </c>
      <c r="DM84" t="e">
        <f>AND(#REF!,"AAAAAGuLZ3Q=")</f>
        <v>#REF!</v>
      </c>
      <c r="DN84" t="e">
        <f>AND(#REF!,"AAAAAGuLZ3U=")</f>
        <v>#REF!</v>
      </c>
      <c r="DO84" t="e">
        <f>AND(#REF!,"AAAAAGuLZ3Y=")</f>
        <v>#REF!</v>
      </c>
      <c r="DP84" t="e">
        <f>IF(#REF!,"AAAAAGuLZ3c=",0)</f>
        <v>#REF!</v>
      </c>
      <c r="DQ84" t="e">
        <f>AND(#REF!,"AAAAAGuLZ3g=")</f>
        <v>#REF!</v>
      </c>
      <c r="DR84" t="e">
        <f>AND(#REF!,"AAAAAGuLZ3k=")</f>
        <v>#REF!</v>
      </c>
      <c r="DS84" t="e">
        <f>AND(#REF!,"AAAAAGuLZ3o=")</f>
        <v>#REF!</v>
      </c>
      <c r="DT84" t="e">
        <f>AND(#REF!,"AAAAAGuLZ3s=")</f>
        <v>#REF!</v>
      </c>
      <c r="DU84" t="e">
        <f>AND(#REF!,"AAAAAGuLZ3w=")</f>
        <v>#REF!</v>
      </c>
      <c r="DV84" t="e">
        <f>AND(#REF!,"AAAAAGuLZ30=")</f>
        <v>#REF!</v>
      </c>
      <c r="DW84" t="e">
        <f>AND(#REF!,"AAAAAGuLZ34=")</f>
        <v>#REF!</v>
      </c>
      <c r="DX84" t="e">
        <f>AND(#REF!,"AAAAAGuLZ38=")</f>
        <v>#REF!</v>
      </c>
      <c r="DY84" t="e">
        <f>AND(#REF!,"AAAAAGuLZ4A=")</f>
        <v>#REF!</v>
      </c>
      <c r="DZ84" t="e">
        <f>AND(#REF!,"AAAAAGuLZ4E=")</f>
        <v>#REF!</v>
      </c>
      <c r="EA84" t="e">
        <f>IF(#REF!,"AAAAAGuLZ4I=",0)</f>
        <v>#REF!</v>
      </c>
      <c r="EB84" t="e">
        <f>AND(#REF!,"AAAAAGuLZ4M=")</f>
        <v>#REF!</v>
      </c>
      <c r="EC84" t="e">
        <f>AND(#REF!,"AAAAAGuLZ4Q=")</f>
        <v>#REF!</v>
      </c>
      <c r="ED84" t="e">
        <f>AND(#REF!,"AAAAAGuLZ4U=")</f>
        <v>#REF!</v>
      </c>
      <c r="EE84" t="e">
        <f>AND(#REF!,"AAAAAGuLZ4Y=")</f>
        <v>#REF!</v>
      </c>
      <c r="EF84" t="e">
        <f>AND(#REF!,"AAAAAGuLZ4c=")</f>
        <v>#REF!</v>
      </c>
      <c r="EG84" t="e">
        <f>AND(#REF!,"AAAAAGuLZ4g=")</f>
        <v>#REF!</v>
      </c>
      <c r="EH84" t="e">
        <f>AND(#REF!,"AAAAAGuLZ4k=")</f>
        <v>#REF!</v>
      </c>
      <c r="EI84" t="e">
        <f>AND(#REF!,"AAAAAGuLZ4o=")</f>
        <v>#REF!</v>
      </c>
      <c r="EJ84" t="e">
        <f>AND(#REF!,"AAAAAGuLZ4s=")</f>
        <v>#REF!</v>
      </c>
      <c r="EK84" t="e">
        <f>AND(#REF!,"AAAAAGuLZ4w=")</f>
        <v>#REF!</v>
      </c>
      <c r="EL84" t="e">
        <f>IF(#REF!,"AAAAAGuLZ40=",0)</f>
        <v>#REF!</v>
      </c>
      <c r="EM84" t="e">
        <f>AND(#REF!,"AAAAAGuLZ44=")</f>
        <v>#REF!</v>
      </c>
      <c r="EN84" t="e">
        <f>AND(#REF!,"AAAAAGuLZ48=")</f>
        <v>#REF!</v>
      </c>
      <c r="EO84" t="e">
        <f>AND(#REF!,"AAAAAGuLZ5A=")</f>
        <v>#REF!</v>
      </c>
      <c r="EP84" t="e">
        <f>AND(#REF!,"AAAAAGuLZ5E=")</f>
        <v>#REF!</v>
      </c>
      <c r="EQ84" t="e">
        <f>AND(#REF!,"AAAAAGuLZ5I=")</f>
        <v>#REF!</v>
      </c>
      <c r="ER84" t="e">
        <f>AND(#REF!,"AAAAAGuLZ5M=")</f>
        <v>#REF!</v>
      </c>
      <c r="ES84" t="e">
        <f>AND(#REF!,"AAAAAGuLZ5Q=")</f>
        <v>#REF!</v>
      </c>
      <c r="ET84" t="e">
        <f>AND(#REF!,"AAAAAGuLZ5U=")</f>
        <v>#REF!</v>
      </c>
      <c r="EU84" t="e">
        <f>AND(#REF!,"AAAAAGuLZ5Y=")</f>
        <v>#REF!</v>
      </c>
      <c r="EV84" t="e">
        <f>AND(#REF!,"AAAAAGuLZ5c=")</f>
        <v>#REF!</v>
      </c>
      <c r="EW84" t="e">
        <f>IF(#REF!,"AAAAAGuLZ5g=",0)</f>
        <v>#REF!</v>
      </c>
      <c r="EX84" t="e">
        <f>AND(#REF!,"AAAAAGuLZ5k=")</f>
        <v>#REF!</v>
      </c>
      <c r="EY84" t="e">
        <f>AND(#REF!,"AAAAAGuLZ5o=")</f>
        <v>#REF!</v>
      </c>
      <c r="EZ84" t="e">
        <f>AND(#REF!,"AAAAAGuLZ5s=")</f>
        <v>#REF!</v>
      </c>
      <c r="FA84" t="e">
        <f>AND(#REF!,"AAAAAGuLZ5w=")</f>
        <v>#REF!</v>
      </c>
      <c r="FB84" t="e">
        <f>AND(#REF!,"AAAAAGuLZ50=")</f>
        <v>#REF!</v>
      </c>
      <c r="FC84" t="e">
        <f>AND(#REF!,"AAAAAGuLZ54=")</f>
        <v>#REF!</v>
      </c>
      <c r="FD84" t="e">
        <f>AND(#REF!,"AAAAAGuLZ58=")</f>
        <v>#REF!</v>
      </c>
      <c r="FE84" t="e">
        <f>AND(#REF!,"AAAAAGuLZ6A=")</f>
        <v>#REF!</v>
      </c>
      <c r="FF84" t="e">
        <f>AND(#REF!,"AAAAAGuLZ6E=")</f>
        <v>#REF!</v>
      </c>
      <c r="FG84" t="e">
        <f>AND(#REF!,"AAAAAGuLZ6I=")</f>
        <v>#REF!</v>
      </c>
      <c r="FH84" t="e">
        <f>IF(#REF!,"AAAAAGuLZ6M=",0)</f>
        <v>#REF!</v>
      </c>
      <c r="FI84" t="e">
        <f>AND(#REF!,"AAAAAGuLZ6Q=")</f>
        <v>#REF!</v>
      </c>
      <c r="FJ84" t="e">
        <f>AND(#REF!,"AAAAAGuLZ6U=")</f>
        <v>#REF!</v>
      </c>
      <c r="FK84" t="e">
        <f>AND(#REF!,"AAAAAGuLZ6Y=")</f>
        <v>#REF!</v>
      </c>
      <c r="FL84" t="e">
        <f>AND(#REF!,"AAAAAGuLZ6c=")</f>
        <v>#REF!</v>
      </c>
      <c r="FM84" t="e">
        <f>AND(#REF!,"AAAAAGuLZ6g=")</f>
        <v>#REF!</v>
      </c>
      <c r="FN84" t="e">
        <f>AND(#REF!,"AAAAAGuLZ6k=")</f>
        <v>#REF!</v>
      </c>
      <c r="FO84" t="e">
        <f>AND(#REF!,"AAAAAGuLZ6o=")</f>
        <v>#REF!</v>
      </c>
      <c r="FP84" t="e">
        <f>AND(#REF!,"AAAAAGuLZ6s=")</f>
        <v>#REF!</v>
      </c>
      <c r="FQ84" t="e">
        <f>AND(#REF!,"AAAAAGuLZ6w=")</f>
        <v>#REF!</v>
      </c>
      <c r="FR84" t="e">
        <f>AND(#REF!,"AAAAAGuLZ60=")</f>
        <v>#REF!</v>
      </c>
      <c r="FS84" t="e">
        <f>IF(#REF!,"AAAAAGuLZ64=",0)</f>
        <v>#REF!</v>
      </c>
      <c r="FT84" t="e">
        <f>AND(#REF!,"AAAAAGuLZ68=")</f>
        <v>#REF!</v>
      </c>
      <c r="FU84" t="e">
        <f>AND(#REF!,"AAAAAGuLZ7A=")</f>
        <v>#REF!</v>
      </c>
      <c r="FV84" t="e">
        <f>AND(#REF!,"AAAAAGuLZ7E=")</f>
        <v>#REF!</v>
      </c>
      <c r="FW84" t="e">
        <f>AND(#REF!,"AAAAAGuLZ7I=")</f>
        <v>#REF!</v>
      </c>
      <c r="FX84" t="e">
        <f>AND(#REF!,"AAAAAGuLZ7M=")</f>
        <v>#REF!</v>
      </c>
      <c r="FY84" t="e">
        <f>AND(#REF!,"AAAAAGuLZ7Q=")</f>
        <v>#REF!</v>
      </c>
      <c r="FZ84" t="e">
        <f>AND(#REF!,"AAAAAGuLZ7U=")</f>
        <v>#REF!</v>
      </c>
      <c r="GA84" t="e">
        <f>AND(#REF!,"AAAAAGuLZ7Y=")</f>
        <v>#REF!</v>
      </c>
      <c r="GB84" t="e">
        <f>AND(#REF!,"AAAAAGuLZ7c=")</f>
        <v>#REF!</v>
      </c>
      <c r="GC84" t="e">
        <f>AND(#REF!,"AAAAAGuLZ7g=")</f>
        <v>#REF!</v>
      </c>
      <c r="GD84" t="e">
        <f>IF(#REF!,"AAAAAGuLZ7k=",0)</f>
        <v>#REF!</v>
      </c>
      <c r="GE84" t="e">
        <f>AND(#REF!,"AAAAAGuLZ7o=")</f>
        <v>#REF!</v>
      </c>
      <c r="GF84" t="e">
        <f>AND(#REF!,"AAAAAGuLZ7s=")</f>
        <v>#REF!</v>
      </c>
      <c r="GG84" t="e">
        <f>AND(#REF!,"AAAAAGuLZ7w=")</f>
        <v>#REF!</v>
      </c>
      <c r="GH84" t="e">
        <f>AND(#REF!,"AAAAAGuLZ70=")</f>
        <v>#REF!</v>
      </c>
      <c r="GI84" t="e">
        <f>AND(#REF!,"AAAAAGuLZ74=")</f>
        <v>#REF!</v>
      </c>
      <c r="GJ84" t="e">
        <f>AND(#REF!,"AAAAAGuLZ78=")</f>
        <v>#REF!</v>
      </c>
      <c r="GK84" t="e">
        <f>AND(#REF!,"AAAAAGuLZ8A=")</f>
        <v>#REF!</v>
      </c>
      <c r="GL84" t="e">
        <f>AND(#REF!,"AAAAAGuLZ8E=")</f>
        <v>#REF!</v>
      </c>
      <c r="GM84" t="e">
        <f>AND(#REF!,"AAAAAGuLZ8I=")</f>
        <v>#REF!</v>
      </c>
      <c r="GN84" t="e">
        <f>AND(#REF!,"AAAAAGuLZ8M=")</f>
        <v>#REF!</v>
      </c>
      <c r="GO84" t="e">
        <f>IF(#REF!,"AAAAAGuLZ8Q=",0)</f>
        <v>#REF!</v>
      </c>
      <c r="GP84" t="e">
        <f>AND(#REF!,"AAAAAGuLZ8U=")</f>
        <v>#REF!</v>
      </c>
      <c r="GQ84" t="e">
        <f>AND(#REF!,"AAAAAGuLZ8Y=")</f>
        <v>#REF!</v>
      </c>
      <c r="GR84" t="e">
        <f>AND(#REF!,"AAAAAGuLZ8c=")</f>
        <v>#REF!</v>
      </c>
      <c r="GS84" t="e">
        <f>AND(#REF!,"AAAAAGuLZ8g=")</f>
        <v>#REF!</v>
      </c>
      <c r="GT84" t="e">
        <f>AND(#REF!,"AAAAAGuLZ8k=")</f>
        <v>#REF!</v>
      </c>
      <c r="GU84" t="e">
        <f>AND(#REF!,"AAAAAGuLZ8o=")</f>
        <v>#REF!</v>
      </c>
      <c r="GV84" t="e">
        <f>AND(#REF!,"AAAAAGuLZ8s=")</f>
        <v>#REF!</v>
      </c>
      <c r="GW84" t="e">
        <f>AND(#REF!,"AAAAAGuLZ8w=")</f>
        <v>#REF!</v>
      </c>
      <c r="GX84" t="e">
        <f>AND(#REF!,"AAAAAGuLZ80=")</f>
        <v>#REF!</v>
      </c>
      <c r="GY84" t="e">
        <f>AND(#REF!,"AAAAAGuLZ84=")</f>
        <v>#REF!</v>
      </c>
      <c r="GZ84" t="e">
        <f>IF(#REF!,"AAAAAGuLZ88=",0)</f>
        <v>#REF!</v>
      </c>
      <c r="HA84" t="e">
        <f>AND(#REF!,"AAAAAGuLZ9A=")</f>
        <v>#REF!</v>
      </c>
      <c r="HB84" t="e">
        <f>AND(#REF!,"AAAAAGuLZ9E=")</f>
        <v>#REF!</v>
      </c>
      <c r="HC84" t="e">
        <f>AND(#REF!,"AAAAAGuLZ9I=")</f>
        <v>#REF!</v>
      </c>
      <c r="HD84" t="e">
        <f>AND(#REF!,"AAAAAGuLZ9M=")</f>
        <v>#REF!</v>
      </c>
      <c r="HE84" t="e">
        <f>AND(#REF!,"AAAAAGuLZ9Q=")</f>
        <v>#REF!</v>
      </c>
      <c r="HF84" t="e">
        <f>AND(#REF!,"AAAAAGuLZ9U=")</f>
        <v>#REF!</v>
      </c>
      <c r="HG84" t="e">
        <f>AND(#REF!,"AAAAAGuLZ9Y=")</f>
        <v>#REF!</v>
      </c>
      <c r="HH84" t="e">
        <f>AND(#REF!,"AAAAAGuLZ9c=")</f>
        <v>#REF!</v>
      </c>
      <c r="HI84" t="e">
        <f>AND(#REF!,"AAAAAGuLZ9g=")</f>
        <v>#REF!</v>
      </c>
      <c r="HJ84" t="e">
        <f>AND(#REF!,"AAAAAGuLZ9k=")</f>
        <v>#REF!</v>
      </c>
      <c r="HK84" t="e">
        <f>IF(#REF!,"AAAAAGuLZ9o=",0)</f>
        <v>#REF!</v>
      </c>
      <c r="HL84" t="e">
        <f>AND(#REF!,"AAAAAGuLZ9s=")</f>
        <v>#REF!</v>
      </c>
      <c r="HM84" t="e">
        <f>AND(#REF!,"AAAAAGuLZ9w=")</f>
        <v>#REF!</v>
      </c>
      <c r="HN84" t="e">
        <f>AND(#REF!,"AAAAAGuLZ90=")</f>
        <v>#REF!</v>
      </c>
      <c r="HO84" t="e">
        <f>AND(#REF!,"AAAAAGuLZ94=")</f>
        <v>#REF!</v>
      </c>
      <c r="HP84" t="e">
        <f>AND(#REF!,"AAAAAGuLZ98=")</f>
        <v>#REF!</v>
      </c>
      <c r="HQ84" t="e">
        <f>AND(#REF!,"AAAAAGuLZ+A=")</f>
        <v>#REF!</v>
      </c>
      <c r="HR84" t="e">
        <f>AND(#REF!,"AAAAAGuLZ+E=")</f>
        <v>#REF!</v>
      </c>
      <c r="HS84" t="e">
        <f>AND(#REF!,"AAAAAGuLZ+I=")</f>
        <v>#REF!</v>
      </c>
      <c r="HT84" t="e">
        <f>AND(#REF!,"AAAAAGuLZ+M=")</f>
        <v>#REF!</v>
      </c>
      <c r="HU84" t="e">
        <f>AND(#REF!,"AAAAAGuLZ+Q=")</f>
        <v>#REF!</v>
      </c>
      <c r="HV84" t="e">
        <f>IF(#REF!,"AAAAAGuLZ+U=",0)</f>
        <v>#REF!</v>
      </c>
      <c r="HW84" t="e">
        <f>AND(#REF!,"AAAAAGuLZ+Y=")</f>
        <v>#REF!</v>
      </c>
      <c r="HX84" t="e">
        <f>AND(#REF!,"AAAAAGuLZ+c=")</f>
        <v>#REF!</v>
      </c>
      <c r="HY84" t="e">
        <f>AND(#REF!,"AAAAAGuLZ+g=")</f>
        <v>#REF!</v>
      </c>
      <c r="HZ84" t="e">
        <f>AND(#REF!,"AAAAAGuLZ+k=")</f>
        <v>#REF!</v>
      </c>
      <c r="IA84" t="e">
        <f>AND(#REF!,"AAAAAGuLZ+o=")</f>
        <v>#REF!</v>
      </c>
      <c r="IB84" t="e">
        <f>AND(#REF!,"AAAAAGuLZ+s=")</f>
        <v>#REF!</v>
      </c>
      <c r="IC84" t="e">
        <f>AND(#REF!,"AAAAAGuLZ+w=")</f>
        <v>#REF!</v>
      </c>
      <c r="ID84" t="e">
        <f>AND(#REF!,"AAAAAGuLZ+0=")</f>
        <v>#REF!</v>
      </c>
      <c r="IE84" t="e">
        <f>AND(#REF!,"AAAAAGuLZ+4=")</f>
        <v>#REF!</v>
      </c>
      <c r="IF84" t="e">
        <f>AND(#REF!,"AAAAAGuLZ+8=")</f>
        <v>#REF!</v>
      </c>
      <c r="IG84" t="e">
        <f>IF(#REF!,"AAAAAGuLZ/A=",0)</f>
        <v>#REF!</v>
      </c>
      <c r="IH84" t="e">
        <f>AND(#REF!,"AAAAAGuLZ/E=")</f>
        <v>#REF!</v>
      </c>
      <c r="II84" t="e">
        <f>AND(#REF!,"AAAAAGuLZ/I=")</f>
        <v>#REF!</v>
      </c>
      <c r="IJ84" t="e">
        <f>AND(#REF!,"AAAAAGuLZ/M=")</f>
        <v>#REF!</v>
      </c>
      <c r="IK84" t="e">
        <f>AND(#REF!,"AAAAAGuLZ/Q=")</f>
        <v>#REF!</v>
      </c>
      <c r="IL84" t="e">
        <f>AND(#REF!,"AAAAAGuLZ/U=")</f>
        <v>#REF!</v>
      </c>
      <c r="IM84" t="e">
        <f>AND(#REF!,"AAAAAGuLZ/Y=")</f>
        <v>#REF!</v>
      </c>
      <c r="IN84" t="e">
        <f>AND(#REF!,"AAAAAGuLZ/c=")</f>
        <v>#REF!</v>
      </c>
      <c r="IO84" t="e">
        <f>AND(#REF!,"AAAAAGuLZ/g=")</f>
        <v>#REF!</v>
      </c>
      <c r="IP84" t="e">
        <f>AND(#REF!,"AAAAAGuLZ/k=")</f>
        <v>#REF!</v>
      </c>
      <c r="IQ84" t="e">
        <f>AND(#REF!,"AAAAAGuLZ/o=")</f>
        <v>#REF!</v>
      </c>
      <c r="IR84" t="e">
        <f>IF(#REF!,"AAAAAGuLZ/s=",0)</f>
        <v>#REF!</v>
      </c>
      <c r="IS84" t="e">
        <f>AND(#REF!,"AAAAAGuLZ/w=")</f>
        <v>#REF!</v>
      </c>
      <c r="IT84" t="e">
        <f>AND(#REF!,"AAAAAGuLZ/0=")</f>
        <v>#REF!</v>
      </c>
      <c r="IU84" t="e">
        <f>AND(#REF!,"AAAAAGuLZ/4=")</f>
        <v>#REF!</v>
      </c>
      <c r="IV84" t="e">
        <f>AND(#REF!,"AAAAAGuLZ/8=")</f>
        <v>#REF!</v>
      </c>
    </row>
    <row r="85" spans="1:256" x14ac:dyDescent="0.25">
      <c r="A85" t="e">
        <f>AND(#REF!,"AAAAAGtk/wA=")</f>
        <v>#REF!</v>
      </c>
      <c r="B85" t="e">
        <f>AND(#REF!,"AAAAAGtk/wE=")</f>
        <v>#REF!</v>
      </c>
      <c r="C85" t="e">
        <f>AND(#REF!,"AAAAAGtk/wI=")</f>
        <v>#REF!</v>
      </c>
      <c r="D85" t="e">
        <f>AND(#REF!,"AAAAAGtk/wM=")</f>
        <v>#REF!</v>
      </c>
      <c r="E85" t="e">
        <f>AND(#REF!,"AAAAAGtk/wQ=")</f>
        <v>#REF!</v>
      </c>
      <c r="F85" t="e">
        <f>AND(#REF!,"AAAAAGtk/wU=")</f>
        <v>#REF!</v>
      </c>
      <c r="G85" t="e">
        <f>IF(#REF!,"AAAAAGtk/wY=",0)</f>
        <v>#REF!</v>
      </c>
      <c r="H85" t="e">
        <f>AND(#REF!,"AAAAAGtk/wc=")</f>
        <v>#REF!</v>
      </c>
      <c r="I85" t="e">
        <f>AND(#REF!,"AAAAAGtk/wg=")</f>
        <v>#REF!</v>
      </c>
      <c r="J85" t="e">
        <f>AND(#REF!,"AAAAAGtk/wk=")</f>
        <v>#REF!</v>
      </c>
      <c r="K85" t="e">
        <f>AND(#REF!,"AAAAAGtk/wo=")</f>
        <v>#REF!</v>
      </c>
      <c r="L85" t="e">
        <f>AND(#REF!,"AAAAAGtk/ws=")</f>
        <v>#REF!</v>
      </c>
      <c r="M85" t="e">
        <f>AND(#REF!,"AAAAAGtk/ww=")</f>
        <v>#REF!</v>
      </c>
      <c r="N85" t="e">
        <f>AND(#REF!,"AAAAAGtk/w0=")</f>
        <v>#REF!</v>
      </c>
      <c r="O85" t="e">
        <f>AND(#REF!,"AAAAAGtk/w4=")</f>
        <v>#REF!</v>
      </c>
      <c r="P85" t="e">
        <f>AND(#REF!,"AAAAAGtk/w8=")</f>
        <v>#REF!</v>
      </c>
      <c r="Q85" t="e">
        <f>AND(#REF!,"AAAAAGtk/xA=")</f>
        <v>#REF!</v>
      </c>
      <c r="R85" t="e">
        <f>IF(#REF!,"AAAAAGtk/xE=",0)</f>
        <v>#REF!</v>
      </c>
      <c r="S85" t="e">
        <f>AND(#REF!,"AAAAAGtk/xI=")</f>
        <v>#REF!</v>
      </c>
      <c r="T85" t="e">
        <f>AND(#REF!,"AAAAAGtk/xM=")</f>
        <v>#REF!</v>
      </c>
      <c r="U85" t="e">
        <f>AND(#REF!,"AAAAAGtk/xQ=")</f>
        <v>#REF!</v>
      </c>
      <c r="V85" t="e">
        <f>AND(#REF!,"AAAAAGtk/xU=")</f>
        <v>#REF!</v>
      </c>
      <c r="W85" t="e">
        <f>AND(#REF!,"AAAAAGtk/xY=")</f>
        <v>#REF!</v>
      </c>
      <c r="X85" t="e">
        <f>AND(#REF!,"AAAAAGtk/xc=")</f>
        <v>#REF!</v>
      </c>
      <c r="Y85" t="e">
        <f>AND(#REF!,"AAAAAGtk/xg=")</f>
        <v>#REF!</v>
      </c>
      <c r="Z85" t="e">
        <f>AND(#REF!,"AAAAAGtk/xk=")</f>
        <v>#REF!</v>
      </c>
      <c r="AA85" t="e">
        <f>AND(#REF!,"AAAAAGtk/xo=")</f>
        <v>#REF!</v>
      </c>
      <c r="AB85" t="e">
        <f>AND(#REF!,"AAAAAGtk/xs=")</f>
        <v>#REF!</v>
      </c>
      <c r="AC85" t="e">
        <f>IF(#REF!,"AAAAAGtk/xw=",0)</f>
        <v>#REF!</v>
      </c>
      <c r="AD85" t="e">
        <f>AND(#REF!,"AAAAAGtk/x0=")</f>
        <v>#REF!</v>
      </c>
      <c r="AE85" t="e">
        <f>AND(#REF!,"AAAAAGtk/x4=")</f>
        <v>#REF!</v>
      </c>
      <c r="AF85" t="e">
        <f>AND(#REF!,"AAAAAGtk/x8=")</f>
        <v>#REF!</v>
      </c>
      <c r="AG85" t="e">
        <f>AND(#REF!,"AAAAAGtk/yA=")</f>
        <v>#REF!</v>
      </c>
      <c r="AH85" t="e">
        <f>AND(#REF!,"AAAAAGtk/yE=")</f>
        <v>#REF!</v>
      </c>
      <c r="AI85" t="e">
        <f>AND(#REF!,"AAAAAGtk/yI=")</f>
        <v>#REF!</v>
      </c>
      <c r="AJ85" t="e">
        <f>AND(#REF!,"AAAAAGtk/yM=")</f>
        <v>#REF!</v>
      </c>
      <c r="AK85" t="e">
        <f>AND(#REF!,"AAAAAGtk/yQ=")</f>
        <v>#REF!</v>
      </c>
      <c r="AL85" t="e">
        <f>AND(#REF!,"AAAAAGtk/yU=")</f>
        <v>#REF!</v>
      </c>
      <c r="AM85" t="e">
        <f>AND(#REF!,"AAAAAGtk/yY=")</f>
        <v>#REF!</v>
      </c>
      <c r="AN85" t="e">
        <f>IF(#REF!,"AAAAAGtk/yc=",0)</f>
        <v>#REF!</v>
      </c>
      <c r="AO85" t="e">
        <f>AND(#REF!,"AAAAAGtk/yg=")</f>
        <v>#REF!</v>
      </c>
      <c r="AP85" t="e">
        <f>AND(#REF!,"AAAAAGtk/yk=")</f>
        <v>#REF!</v>
      </c>
      <c r="AQ85" t="e">
        <f>AND(#REF!,"AAAAAGtk/yo=")</f>
        <v>#REF!</v>
      </c>
      <c r="AR85" t="e">
        <f>AND(#REF!,"AAAAAGtk/ys=")</f>
        <v>#REF!</v>
      </c>
      <c r="AS85" t="e">
        <f>AND(#REF!,"AAAAAGtk/yw=")</f>
        <v>#REF!</v>
      </c>
      <c r="AT85" t="e">
        <f>AND(#REF!,"AAAAAGtk/y0=")</f>
        <v>#REF!</v>
      </c>
      <c r="AU85" t="e">
        <f>AND(#REF!,"AAAAAGtk/y4=")</f>
        <v>#REF!</v>
      </c>
      <c r="AV85" t="e">
        <f>AND(#REF!,"AAAAAGtk/y8=")</f>
        <v>#REF!</v>
      </c>
      <c r="AW85" t="e">
        <f>AND(#REF!,"AAAAAGtk/zA=")</f>
        <v>#REF!</v>
      </c>
      <c r="AX85" t="e">
        <f>AND(#REF!,"AAAAAGtk/zE=")</f>
        <v>#REF!</v>
      </c>
      <c r="AY85" t="e">
        <f>IF(#REF!,"AAAAAGtk/zI=",0)</f>
        <v>#REF!</v>
      </c>
      <c r="AZ85" t="e">
        <f>AND(#REF!,"AAAAAGtk/zM=")</f>
        <v>#REF!</v>
      </c>
      <c r="BA85" t="e">
        <f>AND(#REF!,"AAAAAGtk/zQ=")</f>
        <v>#REF!</v>
      </c>
      <c r="BB85" t="e">
        <f>AND(#REF!,"AAAAAGtk/zU=")</f>
        <v>#REF!</v>
      </c>
      <c r="BC85" t="e">
        <f>AND(#REF!,"AAAAAGtk/zY=")</f>
        <v>#REF!</v>
      </c>
      <c r="BD85" t="e">
        <f>AND(#REF!,"AAAAAGtk/zc=")</f>
        <v>#REF!</v>
      </c>
      <c r="BE85" t="e">
        <f>AND(#REF!,"AAAAAGtk/zg=")</f>
        <v>#REF!</v>
      </c>
      <c r="BF85" t="e">
        <f>AND(#REF!,"AAAAAGtk/zk=")</f>
        <v>#REF!</v>
      </c>
      <c r="BG85" t="e">
        <f>AND(#REF!,"AAAAAGtk/zo=")</f>
        <v>#REF!</v>
      </c>
      <c r="BH85" t="e">
        <f>AND(#REF!,"AAAAAGtk/zs=")</f>
        <v>#REF!</v>
      </c>
      <c r="BI85" t="e">
        <f>AND(#REF!,"AAAAAGtk/zw=")</f>
        <v>#REF!</v>
      </c>
      <c r="BJ85" t="e">
        <f>IF(#REF!,"AAAAAGtk/z0=",0)</f>
        <v>#REF!</v>
      </c>
      <c r="BK85" t="e">
        <f>AND(#REF!,"AAAAAGtk/z4=")</f>
        <v>#REF!</v>
      </c>
      <c r="BL85" t="e">
        <f>AND(#REF!,"AAAAAGtk/z8=")</f>
        <v>#REF!</v>
      </c>
      <c r="BM85" t="e">
        <f>AND(#REF!,"AAAAAGtk/0A=")</f>
        <v>#REF!</v>
      </c>
      <c r="BN85" t="e">
        <f>AND(#REF!,"AAAAAGtk/0E=")</f>
        <v>#REF!</v>
      </c>
      <c r="BO85" t="e">
        <f>AND(#REF!,"AAAAAGtk/0I=")</f>
        <v>#REF!</v>
      </c>
      <c r="BP85" t="e">
        <f>AND(#REF!,"AAAAAGtk/0M=")</f>
        <v>#REF!</v>
      </c>
      <c r="BQ85" t="e">
        <f>AND(#REF!,"AAAAAGtk/0Q=")</f>
        <v>#REF!</v>
      </c>
      <c r="BR85" t="e">
        <f>AND(#REF!,"AAAAAGtk/0U=")</f>
        <v>#REF!</v>
      </c>
      <c r="BS85" t="e">
        <f>AND(#REF!,"AAAAAGtk/0Y=")</f>
        <v>#REF!</v>
      </c>
      <c r="BT85" t="e">
        <f>AND(#REF!,"AAAAAGtk/0c=")</f>
        <v>#REF!</v>
      </c>
      <c r="BU85" t="e">
        <f>IF(#REF!,"AAAAAGtk/0g=",0)</f>
        <v>#REF!</v>
      </c>
      <c r="BV85" t="e">
        <f>AND(#REF!,"AAAAAGtk/0k=")</f>
        <v>#REF!</v>
      </c>
      <c r="BW85" t="e">
        <f>AND(#REF!,"AAAAAGtk/0o=")</f>
        <v>#REF!</v>
      </c>
      <c r="BX85" t="e">
        <f>AND(#REF!,"AAAAAGtk/0s=")</f>
        <v>#REF!</v>
      </c>
      <c r="BY85" t="e">
        <f>AND(#REF!,"AAAAAGtk/0w=")</f>
        <v>#REF!</v>
      </c>
      <c r="BZ85" t="e">
        <f>AND(#REF!,"AAAAAGtk/00=")</f>
        <v>#REF!</v>
      </c>
      <c r="CA85" t="e">
        <f>AND(#REF!,"AAAAAGtk/04=")</f>
        <v>#REF!</v>
      </c>
      <c r="CB85" t="e">
        <f>AND(#REF!,"AAAAAGtk/08=")</f>
        <v>#REF!</v>
      </c>
      <c r="CC85" t="e">
        <f>AND(#REF!,"AAAAAGtk/1A=")</f>
        <v>#REF!</v>
      </c>
      <c r="CD85" t="e">
        <f>AND(#REF!,"AAAAAGtk/1E=")</f>
        <v>#REF!</v>
      </c>
      <c r="CE85" t="e">
        <f>AND(#REF!,"AAAAAGtk/1I=")</f>
        <v>#REF!</v>
      </c>
      <c r="CF85" t="e">
        <f>IF(#REF!,"AAAAAGtk/1M=",0)</f>
        <v>#REF!</v>
      </c>
      <c r="CG85" t="e">
        <f>AND(#REF!,"AAAAAGtk/1Q=")</f>
        <v>#REF!</v>
      </c>
      <c r="CH85" t="e">
        <f>AND(#REF!,"AAAAAGtk/1U=")</f>
        <v>#REF!</v>
      </c>
      <c r="CI85" t="e">
        <f>AND(#REF!,"AAAAAGtk/1Y=")</f>
        <v>#REF!</v>
      </c>
      <c r="CJ85" t="e">
        <f>AND(#REF!,"AAAAAGtk/1c=")</f>
        <v>#REF!</v>
      </c>
      <c r="CK85" t="e">
        <f>AND(#REF!,"AAAAAGtk/1g=")</f>
        <v>#REF!</v>
      </c>
      <c r="CL85" t="e">
        <f>AND(#REF!,"AAAAAGtk/1k=")</f>
        <v>#REF!</v>
      </c>
      <c r="CM85" t="e">
        <f>AND(#REF!,"AAAAAGtk/1o=")</f>
        <v>#REF!</v>
      </c>
      <c r="CN85" t="e">
        <f>AND(#REF!,"AAAAAGtk/1s=")</f>
        <v>#REF!</v>
      </c>
      <c r="CO85" t="e">
        <f>AND(#REF!,"AAAAAGtk/1w=")</f>
        <v>#REF!</v>
      </c>
      <c r="CP85" t="e">
        <f>AND(#REF!,"AAAAAGtk/10=")</f>
        <v>#REF!</v>
      </c>
      <c r="CQ85" t="e">
        <f>IF(#REF!,"AAAAAGtk/14=",0)</f>
        <v>#REF!</v>
      </c>
      <c r="CR85" t="e">
        <f>AND(#REF!,"AAAAAGtk/18=")</f>
        <v>#REF!</v>
      </c>
      <c r="CS85" t="e">
        <f>AND(#REF!,"AAAAAGtk/2A=")</f>
        <v>#REF!</v>
      </c>
      <c r="CT85" t="e">
        <f>AND(#REF!,"AAAAAGtk/2E=")</f>
        <v>#REF!</v>
      </c>
      <c r="CU85" t="e">
        <f>AND(#REF!,"AAAAAGtk/2I=")</f>
        <v>#REF!</v>
      </c>
      <c r="CV85" t="e">
        <f>AND(#REF!,"AAAAAGtk/2M=")</f>
        <v>#REF!</v>
      </c>
      <c r="CW85" t="e">
        <f>AND(#REF!,"AAAAAGtk/2Q=")</f>
        <v>#REF!</v>
      </c>
      <c r="CX85" t="e">
        <f>AND(#REF!,"AAAAAGtk/2U=")</f>
        <v>#REF!</v>
      </c>
      <c r="CY85" t="e">
        <f>AND(#REF!,"AAAAAGtk/2Y=")</f>
        <v>#REF!</v>
      </c>
      <c r="CZ85" t="e">
        <f>AND(#REF!,"AAAAAGtk/2c=")</f>
        <v>#REF!</v>
      </c>
      <c r="DA85" t="e">
        <f>AND(#REF!,"AAAAAGtk/2g=")</f>
        <v>#REF!</v>
      </c>
      <c r="DB85" t="e">
        <f>IF(#REF!,"AAAAAGtk/2k=",0)</f>
        <v>#REF!</v>
      </c>
      <c r="DC85" t="e">
        <f>AND(#REF!,"AAAAAGtk/2o=")</f>
        <v>#REF!</v>
      </c>
      <c r="DD85" t="e">
        <f>AND(#REF!,"AAAAAGtk/2s=")</f>
        <v>#REF!</v>
      </c>
      <c r="DE85" t="e">
        <f>AND(#REF!,"AAAAAGtk/2w=")</f>
        <v>#REF!</v>
      </c>
      <c r="DF85" t="e">
        <f>AND(#REF!,"AAAAAGtk/20=")</f>
        <v>#REF!</v>
      </c>
      <c r="DG85" t="e">
        <f>AND(#REF!,"AAAAAGtk/24=")</f>
        <v>#REF!</v>
      </c>
      <c r="DH85" t="e">
        <f>AND(#REF!,"AAAAAGtk/28=")</f>
        <v>#REF!</v>
      </c>
      <c r="DI85" t="e">
        <f>AND(#REF!,"AAAAAGtk/3A=")</f>
        <v>#REF!</v>
      </c>
      <c r="DJ85" t="e">
        <f>AND(#REF!,"AAAAAGtk/3E=")</f>
        <v>#REF!</v>
      </c>
      <c r="DK85" t="e">
        <f>AND(#REF!,"AAAAAGtk/3I=")</f>
        <v>#REF!</v>
      </c>
      <c r="DL85" t="e">
        <f>AND(#REF!,"AAAAAGtk/3M=")</f>
        <v>#REF!</v>
      </c>
      <c r="DM85" t="e">
        <f>IF(#REF!,"AAAAAGtk/3Q=",0)</f>
        <v>#REF!</v>
      </c>
      <c r="DN85" t="e">
        <f>AND(#REF!,"AAAAAGtk/3U=")</f>
        <v>#REF!</v>
      </c>
      <c r="DO85" t="e">
        <f>AND(#REF!,"AAAAAGtk/3Y=")</f>
        <v>#REF!</v>
      </c>
      <c r="DP85" t="e">
        <f>AND(#REF!,"AAAAAGtk/3c=")</f>
        <v>#REF!</v>
      </c>
      <c r="DQ85" t="e">
        <f>AND(#REF!,"AAAAAGtk/3g=")</f>
        <v>#REF!</v>
      </c>
      <c r="DR85" t="e">
        <f>AND(#REF!,"AAAAAGtk/3k=")</f>
        <v>#REF!</v>
      </c>
      <c r="DS85" t="e">
        <f>AND(#REF!,"AAAAAGtk/3o=")</f>
        <v>#REF!</v>
      </c>
      <c r="DT85" t="e">
        <f>AND(#REF!,"AAAAAGtk/3s=")</f>
        <v>#REF!</v>
      </c>
      <c r="DU85" t="e">
        <f>AND(#REF!,"AAAAAGtk/3w=")</f>
        <v>#REF!</v>
      </c>
      <c r="DV85" t="e">
        <f>AND(#REF!,"AAAAAGtk/30=")</f>
        <v>#REF!</v>
      </c>
      <c r="DW85" t="e">
        <f>AND(#REF!,"AAAAAGtk/34=")</f>
        <v>#REF!</v>
      </c>
      <c r="DX85" t="e">
        <f>IF(#REF!,"AAAAAGtk/38=",0)</f>
        <v>#REF!</v>
      </c>
      <c r="DY85" t="e">
        <f>AND(#REF!,"AAAAAGtk/4A=")</f>
        <v>#REF!</v>
      </c>
      <c r="DZ85" t="e">
        <f>AND(#REF!,"AAAAAGtk/4E=")</f>
        <v>#REF!</v>
      </c>
      <c r="EA85" t="e">
        <f>AND(#REF!,"AAAAAGtk/4I=")</f>
        <v>#REF!</v>
      </c>
      <c r="EB85" t="e">
        <f>AND(#REF!,"AAAAAGtk/4M=")</f>
        <v>#REF!</v>
      </c>
      <c r="EC85" t="e">
        <f>AND(#REF!,"AAAAAGtk/4Q=")</f>
        <v>#REF!</v>
      </c>
      <c r="ED85" t="e">
        <f>AND(#REF!,"AAAAAGtk/4U=")</f>
        <v>#REF!</v>
      </c>
      <c r="EE85" t="e">
        <f>AND(#REF!,"AAAAAGtk/4Y=")</f>
        <v>#REF!</v>
      </c>
      <c r="EF85" t="e">
        <f>AND(#REF!,"AAAAAGtk/4c=")</f>
        <v>#REF!</v>
      </c>
      <c r="EG85" t="e">
        <f>AND(#REF!,"AAAAAGtk/4g=")</f>
        <v>#REF!</v>
      </c>
      <c r="EH85" t="e">
        <f>AND(#REF!,"AAAAAGtk/4k=")</f>
        <v>#REF!</v>
      </c>
      <c r="EI85" t="e">
        <f>IF(#REF!,"AAAAAGtk/4o=",0)</f>
        <v>#REF!</v>
      </c>
      <c r="EJ85" t="e">
        <f>AND(#REF!,"AAAAAGtk/4s=")</f>
        <v>#REF!</v>
      </c>
      <c r="EK85" t="e">
        <f>AND(#REF!,"AAAAAGtk/4w=")</f>
        <v>#REF!</v>
      </c>
      <c r="EL85" t="e">
        <f>AND(#REF!,"AAAAAGtk/40=")</f>
        <v>#REF!</v>
      </c>
      <c r="EM85" t="e">
        <f>AND(#REF!,"AAAAAGtk/44=")</f>
        <v>#REF!</v>
      </c>
      <c r="EN85" t="e">
        <f>AND(#REF!,"AAAAAGtk/48=")</f>
        <v>#REF!</v>
      </c>
      <c r="EO85" t="e">
        <f>AND(#REF!,"AAAAAGtk/5A=")</f>
        <v>#REF!</v>
      </c>
      <c r="EP85" t="e">
        <f>AND(#REF!,"AAAAAGtk/5E=")</f>
        <v>#REF!</v>
      </c>
      <c r="EQ85" t="e">
        <f>AND(#REF!,"AAAAAGtk/5I=")</f>
        <v>#REF!</v>
      </c>
      <c r="ER85" t="e">
        <f>AND(#REF!,"AAAAAGtk/5M=")</f>
        <v>#REF!</v>
      </c>
      <c r="ES85" t="e">
        <f>AND(#REF!,"AAAAAGtk/5Q=")</f>
        <v>#REF!</v>
      </c>
      <c r="ET85" t="e">
        <f>IF(#REF!,"AAAAAGtk/5U=",0)</f>
        <v>#REF!</v>
      </c>
      <c r="EU85" t="e">
        <f>AND(#REF!,"AAAAAGtk/5Y=")</f>
        <v>#REF!</v>
      </c>
      <c r="EV85" t="e">
        <f>AND(#REF!,"AAAAAGtk/5c=")</f>
        <v>#REF!</v>
      </c>
      <c r="EW85" t="e">
        <f>AND(#REF!,"AAAAAGtk/5g=")</f>
        <v>#REF!</v>
      </c>
      <c r="EX85" t="e">
        <f>AND(#REF!,"AAAAAGtk/5k=")</f>
        <v>#REF!</v>
      </c>
      <c r="EY85" t="e">
        <f>AND(#REF!,"AAAAAGtk/5o=")</f>
        <v>#REF!</v>
      </c>
      <c r="EZ85" t="e">
        <f>AND(#REF!,"AAAAAGtk/5s=")</f>
        <v>#REF!</v>
      </c>
      <c r="FA85" t="e">
        <f>AND(#REF!,"AAAAAGtk/5w=")</f>
        <v>#REF!</v>
      </c>
      <c r="FB85" t="e">
        <f>AND(#REF!,"AAAAAGtk/50=")</f>
        <v>#REF!</v>
      </c>
      <c r="FC85" t="e">
        <f>AND(#REF!,"AAAAAGtk/54=")</f>
        <v>#REF!</v>
      </c>
      <c r="FD85" t="e">
        <f>AND(#REF!,"AAAAAGtk/58=")</f>
        <v>#REF!</v>
      </c>
      <c r="FE85" t="e">
        <f>IF(#REF!,"AAAAAGtk/6A=",0)</f>
        <v>#REF!</v>
      </c>
      <c r="FF85" t="e">
        <f>AND(#REF!,"AAAAAGtk/6E=")</f>
        <v>#REF!</v>
      </c>
      <c r="FG85" t="e">
        <f>AND(#REF!,"AAAAAGtk/6I=")</f>
        <v>#REF!</v>
      </c>
      <c r="FH85" t="e">
        <f>AND(#REF!,"AAAAAGtk/6M=")</f>
        <v>#REF!</v>
      </c>
      <c r="FI85" t="e">
        <f>AND(#REF!,"AAAAAGtk/6Q=")</f>
        <v>#REF!</v>
      </c>
      <c r="FJ85" t="e">
        <f>AND(#REF!,"AAAAAGtk/6U=")</f>
        <v>#REF!</v>
      </c>
      <c r="FK85" t="e">
        <f>AND(#REF!,"AAAAAGtk/6Y=")</f>
        <v>#REF!</v>
      </c>
      <c r="FL85" t="e">
        <f>AND(#REF!,"AAAAAGtk/6c=")</f>
        <v>#REF!</v>
      </c>
      <c r="FM85" t="e">
        <f>AND(#REF!,"AAAAAGtk/6g=")</f>
        <v>#REF!</v>
      </c>
      <c r="FN85" t="e">
        <f>AND(#REF!,"AAAAAGtk/6k=")</f>
        <v>#REF!</v>
      </c>
      <c r="FO85" t="e">
        <f>AND(#REF!,"AAAAAGtk/6o=")</f>
        <v>#REF!</v>
      </c>
      <c r="FP85" t="e">
        <f>IF(#REF!,"AAAAAGtk/6s=",0)</f>
        <v>#REF!</v>
      </c>
      <c r="FQ85" t="e">
        <f>AND(#REF!,"AAAAAGtk/6w=")</f>
        <v>#REF!</v>
      </c>
      <c r="FR85" t="e">
        <f>AND(#REF!,"AAAAAGtk/60=")</f>
        <v>#REF!</v>
      </c>
      <c r="FS85" t="e">
        <f>AND(#REF!,"AAAAAGtk/64=")</f>
        <v>#REF!</v>
      </c>
      <c r="FT85" t="e">
        <f>AND(#REF!,"AAAAAGtk/68=")</f>
        <v>#REF!</v>
      </c>
      <c r="FU85" t="e">
        <f>AND(#REF!,"AAAAAGtk/7A=")</f>
        <v>#REF!</v>
      </c>
      <c r="FV85" t="e">
        <f>AND(#REF!,"AAAAAGtk/7E=")</f>
        <v>#REF!</v>
      </c>
      <c r="FW85" t="e">
        <f>AND(#REF!,"AAAAAGtk/7I=")</f>
        <v>#REF!</v>
      </c>
      <c r="FX85" t="e">
        <f>AND(#REF!,"AAAAAGtk/7M=")</f>
        <v>#REF!</v>
      </c>
      <c r="FY85" t="e">
        <f>AND(#REF!,"AAAAAGtk/7Q=")</f>
        <v>#REF!</v>
      </c>
      <c r="FZ85" t="e">
        <f>AND(#REF!,"AAAAAGtk/7U=")</f>
        <v>#REF!</v>
      </c>
      <c r="GA85" t="e">
        <f>IF(#REF!,"AAAAAGtk/7Y=",0)</f>
        <v>#REF!</v>
      </c>
      <c r="GB85" t="e">
        <f>AND(#REF!,"AAAAAGtk/7c=")</f>
        <v>#REF!</v>
      </c>
      <c r="GC85" t="e">
        <f>AND(#REF!,"AAAAAGtk/7g=")</f>
        <v>#REF!</v>
      </c>
      <c r="GD85" t="e">
        <f>AND(#REF!,"AAAAAGtk/7k=")</f>
        <v>#REF!</v>
      </c>
      <c r="GE85" t="e">
        <f>AND(#REF!,"AAAAAGtk/7o=")</f>
        <v>#REF!</v>
      </c>
      <c r="GF85" t="e">
        <f>AND(#REF!,"AAAAAGtk/7s=")</f>
        <v>#REF!</v>
      </c>
      <c r="GG85" t="e">
        <f>AND(#REF!,"AAAAAGtk/7w=")</f>
        <v>#REF!</v>
      </c>
      <c r="GH85" t="e">
        <f>AND(#REF!,"AAAAAGtk/70=")</f>
        <v>#REF!</v>
      </c>
      <c r="GI85" t="e">
        <f>AND(#REF!,"AAAAAGtk/74=")</f>
        <v>#REF!</v>
      </c>
      <c r="GJ85" t="e">
        <f>AND(#REF!,"AAAAAGtk/78=")</f>
        <v>#REF!</v>
      </c>
      <c r="GK85" t="e">
        <f>AND(#REF!,"AAAAAGtk/8A=")</f>
        <v>#REF!</v>
      </c>
      <c r="GL85" t="e">
        <f>IF(#REF!,"AAAAAGtk/8E=",0)</f>
        <v>#REF!</v>
      </c>
      <c r="GM85" t="e">
        <f>AND(#REF!,"AAAAAGtk/8I=")</f>
        <v>#REF!</v>
      </c>
      <c r="GN85" t="e">
        <f>AND(#REF!,"AAAAAGtk/8M=")</f>
        <v>#REF!</v>
      </c>
      <c r="GO85" t="e">
        <f>AND(#REF!,"AAAAAGtk/8Q=")</f>
        <v>#REF!</v>
      </c>
      <c r="GP85" t="e">
        <f>AND(#REF!,"AAAAAGtk/8U=")</f>
        <v>#REF!</v>
      </c>
      <c r="GQ85" t="e">
        <f>AND(#REF!,"AAAAAGtk/8Y=")</f>
        <v>#REF!</v>
      </c>
      <c r="GR85" t="e">
        <f>AND(#REF!,"AAAAAGtk/8c=")</f>
        <v>#REF!</v>
      </c>
      <c r="GS85" t="e">
        <f>AND(#REF!,"AAAAAGtk/8g=")</f>
        <v>#REF!</v>
      </c>
      <c r="GT85" t="e">
        <f>AND(#REF!,"AAAAAGtk/8k=")</f>
        <v>#REF!</v>
      </c>
      <c r="GU85" t="e">
        <f>AND(#REF!,"AAAAAGtk/8o=")</f>
        <v>#REF!</v>
      </c>
      <c r="GV85" t="e">
        <f>AND(#REF!,"AAAAAGtk/8s=")</f>
        <v>#REF!</v>
      </c>
      <c r="GW85" t="e">
        <f>IF(#REF!,"AAAAAGtk/8w=",0)</f>
        <v>#REF!</v>
      </c>
      <c r="GX85" t="e">
        <f>AND(#REF!,"AAAAAGtk/80=")</f>
        <v>#REF!</v>
      </c>
      <c r="GY85" t="e">
        <f>AND(#REF!,"AAAAAGtk/84=")</f>
        <v>#REF!</v>
      </c>
      <c r="GZ85" t="e">
        <f>AND(#REF!,"AAAAAGtk/88=")</f>
        <v>#REF!</v>
      </c>
      <c r="HA85" t="e">
        <f>AND(#REF!,"AAAAAGtk/9A=")</f>
        <v>#REF!</v>
      </c>
      <c r="HB85" t="e">
        <f>AND(#REF!,"AAAAAGtk/9E=")</f>
        <v>#REF!</v>
      </c>
      <c r="HC85" t="e">
        <f>AND(#REF!,"AAAAAGtk/9I=")</f>
        <v>#REF!</v>
      </c>
      <c r="HD85" t="e">
        <f>AND(#REF!,"AAAAAGtk/9M=")</f>
        <v>#REF!</v>
      </c>
      <c r="HE85" t="e">
        <f>AND(#REF!,"AAAAAGtk/9Q=")</f>
        <v>#REF!</v>
      </c>
      <c r="HF85" t="e">
        <f>AND(#REF!,"AAAAAGtk/9U=")</f>
        <v>#REF!</v>
      </c>
      <c r="HG85" t="e">
        <f>AND(#REF!,"AAAAAGtk/9Y=")</f>
        <v>#REF!</v>
      </c>
      <c r="HH85" t="e">
        <f>IF(#REF!,"AAAAAGtk/9c=",0)</f>
        <v>#REF!</v>
      </c>
      <c r="HI85" t="e">
        <f>AND(#REF!,"AAAAAGtk/9g=")</f>
        <v>#REF!</v>
      </c>
      <c r="HJ85" t="e">
        <f>AND(#REF!,"AAAAAGtk/9k=")</f>
        <v>#REF!</v>
      </c>
      <c r="HK85" t="e">
        <f>AND(#REF!,"AAAAAGtk/9o=")</f>
        <v>#REF!</v>
      </c>
      <c r="HL85" t="e">
        <f>AND(#REF!,"AAAAAGtk/9s=")</f>
        <v>#REF!</v>
      </c>
      <c r="HM85" t="e">
        <f>AND(#REF!,"AAAAAGtk/9w=")</f>
        <v>#REF!</v>
      </c>
      <c r="HN85" t="e">
        <f>AND(#REF!,"AAAAAGtk/90=")</f>
        <v>#REF!</v>
      </c>
      <c r="HO85" t="e">
        <f>AND(#REF!,"AAAAAGtk/94=")</f>
        <v>#REF!</v>
      </c>
      <c r="HP85" t="e">
        <f>AND(#REF!,"AAAAAGtk/98=")</f>
        <v>#REF!</v>
      </c>
      <c r="HQ85" t="e">
        <f>AND(#REF!,"AAAAAGtk/+A=")</f>
        <v>#REF!</v>
      </c>
      <c r="HR85" t="e">
        <f>AND(#REF!,"AAAAAGtk/+E=")</f>
        <v>#REF!</v>
      </c>
      <c r="HS85" t="e">
        <f>IF(#REF!,"AAAAAGtk/+I=",0)</f>
        <v>#REF!</v>
      </c>
      <c r="HT85" t="e">
        <f>AND(#REF!,"AAAAAGtk/+M=")</f>
        <v>#REF!</v>
      </c>
      <c r="HU85" t="e">
        <f>AND(#REF!,"AAAAAGtk/+Q=")</f>
        <v>#REF!</v>
      </c>
      <c r="HV85" t="e">
        <f>AND(#REF!,"AAAAAGtk/+U=")</f>
        <v>#REF!</v>
      </c>
      <c r="HW85" t="e">
        <f>AND(#REF!,"AAAAAGtk/+Y=")</f>
        <v>#REF!</v>
      </c>
      <c r="HX85" t="e">
        <f>AND(#REF!,"AAAAAGtk/+c=")</f>
        <v>#REF!</v>
      </c>
      <c r="HY85" t="e">
        <f>AND(#REF!,"AAAAAGtk/+g=")</f>
        <v>#REF!</v>
      </c>
      <c r="HZ85" t="e">
        <f>AND(#REF!,"AAAAAGtk/+k=")</f>
        <v>#REF!</v>
      </c>
      <c r="IA85" t="e">
        <f>AND(#REF!,"AAAAAGtk/+o=")</f>
        <v>#REF!</v>
      </c>
      <c r="IB85" t="e">
        <f>AND(#REF!,"AAAAAGtk/+s=")</f>
        <v>#REF!</v>
      </c>
      <c r="IC85" t="e">
        <f>AND(#REF!,"AAAAAGtk/+w=")</f>
        <v>#REF!</v>
      </c>
      <c r="ID85" t="e">
        <f>IF(#REF!,"AAAAAGtk/+0=",0)</f>
        <v>#REF!</v>
      </c>
      <c r="IE85" t="e">
        <f>AND(#REF!,"AAAAAGtk/+4=")</f>
        <v>#REF!</v>
      </c>
      <c r="IF85" t="e">
        <f>AND(#REF!,"AAAAAGtk/+8=")</f>
        <v>#REF!</v>
      </c>
      <c r="IG85" t="e">
        <f>AND(#REF!,"AAAAAGtk//A=")</f>
        <v>#REF!</v>
      </c>
      <c r="IH85" t="e">
        <f>AND(#REF!,"AAAAAGtk//E=")</f>
        <v>#REF!</v>
      </c>
      <c r="II85" t="e">
        <f>AND(#REF!,"AAAAAGtk//I=")</f>
        <v>#REF!</v>
      </c>
      <c r="IJ85" t="e">
        <f>AND(#REF!,"AAAAAGtk//M=")</f>
        <v>#REF!</v>
      </c>
      <c r="IK85" t="e">
        <f>AND(#REF!,"AAAAAGtk//Q=")</f>
        <v>#REF!</v>
      </c>
      <c r="IL85" t="e">
        <f>AND(#REF!,"AAAAAGtk//U=")</f>
        <v>#REF!</v>
      </c>
      <c r="IM85" t="e">
        <f>AND(#REF!,"AAAAAGtk//Y=")</f>
        <v>#REF!</v>
      </c>
      <c r="IN85" t="e">
        <f>AND(#REF!,"AAAAAGtk//c=")</f>
        <v>#REF!</v>
      </c>
      <c r="IO85" t="e">
        <f>IF(#REF!,"AAAAAGtk//g=",0)</f>
        <v>#REF!</v>
      </c>
      <c r="IP85" t="e">
        <f>AND(#REF!,"AAAAAGtk//k=")</f>
        <v>#REF!</v>
      </c>
      <c r="IQ85" t="e">
        <f>AND(#REF!,"AAAAAGtk//o=")</f>
        <v>#REF!</v>
      </c>
      <c r="IR85" t="e">
        <f>AND(#REF!,"AAAAAGtk//s=")</f>
        <v>#REF!</v>
      </c>
      <c r="IS85" t="e">
        <f>AND(#REF!,"AAAAAGtk//w=")</f>
        <v>#REF!</v>
      </c>
      <c r="IT85" t="e">
        <f>AND(#REF!,"AAAAAGtk//0=")</f>
        <v>#REF!</v>
      </c>
      <c r="IU85" t="e">
        <f>AND(#REF!,"AAAAAGtk//4=")</f>
        <v>#REF!</v>
      </c>
      <c r="IV85" t="e">
        <f>AND(#REF!,"AAAAAGtk//8=")</f>
        <v>#REF!</v>
      </c>
    </row>
    <row r="86" spans="1:256" x14ac:dyDescent="0.25">
      <c r="A86" t="e">
        <f>AND(#REF!,"AAAAAHv3DwA=")</f>
        <v>#REF!</v>
      </c>
      <c r="B86" t="e">
        <f>AND(#REF!,"AAAAAHv3DwE=")</f>
        <v>#REF!</v>
      </c>
      <c r="C86" t="e">
        <f>AND(#REF!,"AAAAAHv3DwI=")</f>
        <v>#REF!</v>
      </c>
      <c r="D86" t="e">
        <f>IF(#REF!,"AAAAAHv3DwM=",0)</f>
        <v>#REF!</v>
      </c>
      <c r="E86" t="e">
        <f>AND(#REF!,"AAAAAHv3DwQ=")</f>
        <v>#REF!</v>
      </c>
      <c r="F86" t="e">
        <f>AND(#REF!,"AAAAAHv3DwU=")</f>
        <v>#REF!</v>
      </c>
      <c r="G86" t="e">
        <f>AND(#REF!,"AAAAAHv3DwY=")</f>
        <v>#REF!</v>
      </c>
      <c r="H86" t="e">
        <f>AND(#REF!,"AAAAAHv3Dwc=")</f>
        <v>#REF!</v>
      </c>
      <c r="I86" t="e">
        <f>AND(#REF!,"AAAAAHv3Dwg=")</f>
        <v>#REF!</v>
      </c>
      <c r="J86" t="e">
        <f>AND(#REF!,"AAAAAHv3Dwk=")</f>
        <v>#REF!</v>
      </c>
      <c r="K86" t="e">
        <f>AND(#REF!,"AAAAAHv3Dwo=")</f>
        <v>#REF!</v>
      </c>
      <c r="L86" t="e">
        <f>AND(#REF!,"AAAAAHv3Dws=")</f>
        <v>#REF!</v>
      </c>
      <c r="M86" t="e">
        <f>AND(#REF!,"AAAAAHv3Dww=")</f>
        <v>#REF!</v>
      </c>
      <c r="N86" t="e">
        <f>AND(#REF!,"AAAAAHv3Dw0=")</f>
        <v>#REF!</v>
      </c>
      <c r="O86" t="e">
        <f>IF(#REF!,"AAAAAHv3Dw4=",0)</f>
        <v>#REF!</v>
      </c>
      <c r="P86" t="e">
        <f>AND(#REF!,"AAAAAHv3Dw8=")</f>
        <v>#REF!</v>
      </c>
      <c r="Q86" t="e">
        <f>AND(#REF!,"AAAAAHv3DxA=")</f>
        <v>#REF!</v>
      </c>
      <c r="R86" t="e">
        <f>AND(#REF!,"AAAAAHv3DxE=")</f>
        <v>#REF!</v>
      </c>
      <c r="S86" t="e">
        <f>AND(#REF!,"AAAAAHv3DxI=")</f>
        <v>#REF!</v>
      </c>
      <c r="T86" t="e">
        <f>AND(#REF!,"AAAAAHv3DxM=")</f>
        <v>#REF!</v>
      </c>
      <c r="U86" t="e">
        <f>AND(#REF!,"AAAAAHv3DxQ=")</f>
        <v>#REF!</v>
      </c>
      <c r="V86" t="e">
        <f>AND(#REF!,"AAAAAHv3DxU=")</f>
        <v>#REF!</v>
      </c>
      <c r="W86" t="e">
        <f>AND(#REF!,"AAAAAHv3DxY=")</f>
        <v>#REF!</v>
      </c>
      <c r="X86" t="e">
        <f>AND(#REF!,"AAAAAHv3Dxc=")</f>
        <v>#REF!</v>
      </c>
      <c r="Y86" t="e">
        <f>AND(#REF!,"AAAAAHv3Dxg=")</f>
        <v>#REF!</v>
      </c>
      <c r="Z86" t="e">
        <f>IF(#REF!,"AAAAAHv3Dxk=",0)</f>
        <v>#REF!</v>
      </c>
      <c r="AA86" t="e">
        <f>AND(#REF!,"AAAAAHv3Dxo=")</f>
        <v>#REF!</v>
      </c>
      <c r="AB86" t="e">
        <f>AND(#REF!,"AAAAAHv3Dxs=")</f>
        <v>#REF!</v>
      </c>
      <c r="AC86" t="e">
        <f>AND(#REF!,"AAAAAHv3Dxw=")</f>
        <v>#REF!</v>
      </c>
      <c r="AD86" t="e">
        <f>AND(#REF!,"AAAAAHv3Dx0=")</f>
        <v>#REF!</v>
      </c>
      <c r="AE86" t="e">
        <f>AND(#REF!,"AAAAAHv3Dx4=")</f>
        <v>#REF!</v>
      </c>
      <c r="AF86" t="e">
        <f>AND(#REF!,"AAAAAHv3Dx8=")</f>
        <v>#REF!</v>
      </c>
      <c r="AG86" t="e">
        <f>AND(#REF!,"AAAAAHv3DyA=")</f>
        <v>#REF!</v>
      </c>
      <c r="AH86" t="e">
        <f>AND(#REF!,"AAAAAHv3DyE=")</f>
        <v>#REF!</v>
      </c>
      <c r="AI86" t="e">
        <f>AND(#REF!,"AAAAAHv3DyI=")</f>
        <v>#REF!</v>
      </c>
      <c r="AJ86" t="e">
        <f>AND(#REF!,"AAAAAHv3DyM=")</f>
        <v>#REF!</v>
      </c>
      <c r="AK86" t="e">
        <f>IF(#REF!,"AAAAAHv3DyQ=",0)</f>
        <v>#REF!</v>
      </c>
      <c r="AL86" t="e">
        <f>AND(#REF!,"AAAAAHv3DyU=")</f>
        <v>#REF!</v>
      </c>
      <c r="AM86" t="e">
        <f>AND(#REF!,"AAAAAHv3DyY=")</f>
        <v>#REF!</v>
      </c>
      <c r="AN86" t="e">
        <f>AND(#REF!,"AAAAAHv3Dyc=")</f>
        <v>#REF!</v>
      </c>
      <c r="AO86" t="e">
        <f>AND(#REF!,"AAAAAHv3Dyg=")</f>
        <v>#REF!</v>
      </c>
      <c r="AP86" t="e">
        <f>AND(#REF!,"AAAAAHv3Dyk=")</f>
        <v>#REF!</v>
      </c>
      <c r="AQ86" t="e">
        <f>AND(#REF!,"AAAAAHv3Dyo=")</f>
        <v>#REF!</v>
      </c>
      <c r="AR86" t="e">
        <f>AND(#REF!,"AAAAAHv3Dys=")</f>
        <v>#REF!</v>
      </c>
      <c r="AS86" t="e">
        <f>AND(#REF!,"AAAAAHv3Dyw=")</f>
        <v>#REF!</v>
      </c>
      <c r="AT86" t="e">
        <f>AND(#REF!,"AAAAAHv3Dy0=")</f>
        <v>#REF!</v>
      </c>
      <c r="AU86" t="e">
        <f>AND(#REF!,"AAAAAHv3Dy4=")</f>
        <v>#REF!</v>
      </c>
      <c r="AV86" t="e">
        <f>IF(#REF!,"AAAAAHv3Dy8=",0)</f>
        <v>#REF!</v>
      </c>
      <c r="AW86" t="e">
        <f>AND(#REF!,"AAAAAHv3DzA=")</f>
        <v>#REF!</v>
      </c>
      <c r="AX86" t="e">
        <f>AND(#REF!,"AAAAAHv3DzE=")</f>
        <v>#REF!</v>
      </c>
      <c r="AY86" t="e">
        <f>AND(#REF!,"AAAAAHv3DzI=")</f>
        <v>#REF!</v>
      </c>
      <c r="AZ86" t="e">
        <f>AND(#REF!,"AAAAAHv3DzM=")</f>
        <v>#REF!</v>
      </c>
      <c r="BA86" t="e">
        <f>AND(#REF!,"AAAAAHv3DzQ=")</f>
        <v>#REF!</v>
      </c>
      <c r="BB86" t="e">
        <f>AND(#REF!,"AAAAAHv3DzU=")</f>
        <v>#REF!</v>
      </c>
      <c r="BC86" t="e">
        <f>AND(#REF!,"AAAAAHv3DzY=")</f>
        <v>#REF!</v>
      </c>
      <c r="BD86" t="e">
        <f>AND(#REF!,"AAAAAHv3Dzc=")</f>
        <v>#REF!</v>
      </c>
      <c r="BE86" t="e">
        <f>AND(#REF!,"AAAAAHv3Dzg=")</f>
        <v>#REF!</v>
      </c>
      <c r="BF86" t="e">
        <f>AND(#REF!,"AAAAAHv3Dzk=")</f>
        <v>#REF!</v>
      </c>
      <c r="BG86" t="e">
        <f>IF(#REF!,"AAAAAHv3Dzo=",0)</f>
        <v>#REF!</v>
      </c>
      <c r="BH86" t="e">
        <f>AND(#REF!,"AAAAAHv3Dzs=")</f>
        <v>#REF!</v>
      </c>
      <c r="BI86" t="e">
        <f>AND(#REF!,"AAAAAHv3Dzw=")</f>
        <v>#REF!</v>
      </c>
      <c r="BJ86" t="e">
        <f>AND(#REF!,"AAAAAHv3Dz0=")</f>
        <v>#REF!</v>
      </c>
      <c r="BK86" t="e">
        <f>AND(#REF!,"AAAAAHv3Dz4=")</f>
        <v>#REF!</v>
      </c>
      <c r="BL86" t="e">
        <f>AND(#REF!,"AAAAAHv3Dz8=")</f>
        <v>#REF!</v>
      </c>
      <c r="BM86" t="e">
        <f>AND(#REF!,"AAAAAHv3D0A=")</f>
        <v>#REF!</v>
      </c>
      <c r="BN86" t="e">
        <f>AND(#REF!,"AAAAAHv3D0E=")</f>
        <v>#REF!</v>
      </c>
      <c r="BO86" t="e">
        <f>AND(#REF!,"AAAAAHv3D0I=")</f>
        <v>#REF!</v>
      </c>
      <c r="BP86" t="e">
        <f>AND(#REF!,"AAAAAHv3D0M=")</f>
        <v>#REF!</v>
      </c>
      <c r="BQ86" t="e">
        <f>AND(#REF!,"AAAAAHv3D0Q=")</f>
        <v>#REF!</v>
      </c>
      <c r="BR86" t="e">
        <f>IF(#REF!,"AAAAAHv3D0U=",0)</f>
        <v>#REF!</v>
      </c>
      <c r="BS86" t="e">
        <f>AND(#REF!,"AAAAAHv3D0Y=")</f>
        <v>#REF!</v>
      </c>
      <c r="BT86" t="e">
        <f>AND(#REF!,"AAAAAHv3D0c=")</f>
        <v>#REF!</v>
      </c>
      <c r="BU86" t="e">
        <f>AND(#REF!,"AAAAAHv3D0g=")</f>
        <v>#REF!</v>
      </c>
      <c r="BV86" t="e">
        <f>AND(#REF!,"AAAAAHv3D0k=")</f>
        <v>#REF!</v>
      </c>
      <c r="BW86" t="e">
        <f>AND(#REF!,"AAAAAHv3D0o=")</f>
        <v>#REF!</v>
      </c>
      <c r="BX86" t="e">
        <f>AND(#REF!,"AAAAAHv3D0s=")</f>
        <v>#REF!</v>
      </c>
      <c r="BY86" t="e">
        <f>AND(#REF!,"AAAAAHv3D0w=")</f>
        <v>#REF!</v>
      </c>
      <c r="BZ86" t="e">
        <f>AND(#REF!,"AAAAAHv3D00=")</f>
        <v>#REF!</v>
      </c>
      <c r="CA86" t="e">
        <f>AND(#REF!,"AAAAAHv3D04=")</f>
        <v>#REF!</v>
      </c>
      <c r="CB86" t="e">
        <f>AND(#REF!,"AAAAAHv3D08=")</f>
        <v>#REF!</v>
      </c>
      <c r="CC86" t="e">
        <f>IF(#REF!,"AAAAAHv3D1A=",0)</f>
        <v>#REF!</v>
      </c>
      <c r="CD86" t="e">
        <f>AND(#REF!,"AAAAAHv3D1E=")</f>
        <v>#REF!</v>
      </c>
      <c r="CE86" t="e">
        <f>AND(#REF!,"AAAAAHv3D1I=")</f>
        <v>#REF!</v>
      </c>
      <c r="CF86" t="e">
        <f>AND(#REF!,"AAAAAHv3D1M=")</f>
        <v>#REF!</v>
      </c>
      <c r="CG86" t="e">
        <f>AND(#REF!,"AAAAAHv3D1Q=")</f>
        <v>#REF!</v>
      </c>
      <c r="CH86" t="e">
        <f>AND(#REF!,"AAAAAHv3D1U=")</f>
        <v>#REF!</v>
      </c>
      <c r="CI86" t="e">
        <f>AND(#REF!,"AAAAAHv3D1Y=")</f>
        <v>#REF!</v>
      </c>
      <c r="CJ86" t="e">
        <f>AND(#REF!,"AAAAAHv3D1c=")</f>
        <v>#REF!</v>
      </c>
      <c r="CK86" t="e">
        <f>AND(#REF!,"AAAAAHv3D1g=")</f>
        <v>#REF!</v>
      </c>
      <c r="CL86" t="e">
        <f>AND(#REF!,"AAAAAHv3D1k=")</f>
        <v>#REF!</v>
      </c>
      <c r="CM86" t="e">
        <f>AND(#REF!,"AAAAAHv3D1o=")</f>
        <v>#REF!</v>
      </c>
      <c r="CN86" t="e">
        <f>IF(#REF!,"AAAAAHv3D1s=",0)</f>
        <v>#REF!</v>
      </c>
      <c r="CO86" t="e">
        <f>AND(#REF!,"AAAAAHv3D1w=")</f>
        <v>#REF!</v>
      </c>
      <c r="CP86" t="e">
        <f>AND(#REF!,"AAAAAHv3D10=")</f>
        <v>#REF!</v>
      </c>
      <c r="CQ86" t="e">
        <f>AND(#REF!,"AAAAAHv3D14=")</f>
        <v>#REF!</v>
      </c>
      <c r="CR86" t="e">
        <f>AND(#REF!,"AAAAAHv3D18=")</f>
        <v>#REF!</v>
      </c>
      <c r="CS86" t="e">
        <f>AND(#REF!,"AAAAAHv3D2A=")</f>
        <v>#REF!</v>
      </c>
      <c r="CT86" t="e">
        <f>AND(#REF!,"AAAAAHv3D2E=")</f>
        <v>#REF!</v>
      </c>
      <c r="CU86" t="e">
        <f>AND(#REF!,"AAAAAHv3D2I=")</f>
        <v>#REF!</v>
      </c>
      <c r="CV86" t="e">
        <f>AND(#REF!,"AAAAAHv3D2M=")</f>
        <v>#REF!</v>
      </c>
      <c r="CW86" t="e">
        <f>AND(#REF!,"AAAAAHv3D2Q=")</f>
        <v>#REF!</v>
      </c>
      <c r="CX86" t="e">
        <f>AND(#REF!,"AAAAAHv3D2U=")</f>
        <v>#REF!</v>
      </c>
      <c r="CY86" t="e">
        <f>IF(#REF!,"AAAAAHv3D2Y=",0)</f>
        <v>#REF!</v>
      </c>
      <c r="CZ86" t="e">
        <f>AND(#REF!,"AAAAAHv3D2c=")</f>
        <v>#REF!</v>
      </c>
      <c r="DA86" t="e">
        <f>AND(#REF!,"AAAAAHv3D2g=")</f>
        <v>#REF!</v>
      </c>
      <c r="DB86" t="e">
        <f>AND(#REF!,"AAAAAHv3D2k=")</f>
        <v>#REF!</v>
      </c>
      <c r="DC86" t="e">
        <f>AND(#REF!,"AAAAAHv3D2o=")</f>
        <v>#REF!</v>
      </c>
      <c r="DD86" t="e">
        <f>AND(#REF!,"AAAAAHv3D2s=")</f>
        <v>#REF!</v>
      </c>
      <c r="DE86" t="e">
        <f>AND(#REF!,"AAAAAHv3D2w=")</f>
        <v>#REF!</v>
      </c>
      <c r="DF86" t="e">
        <f>AND(#REF!,"AAAAAHv3D20=")</f>
        <v>#REF!</v>
      </c>
      <c r="DG86" t="e">
        <f>AND(#REF!,"AAAAAHv3D24=")</f>
        <v>#REF!</v>
      </c>
      <c r="DH86" t="e">
        <f>AND(#REF!,"AAAAAHv3D28=")</f>
        <v>#REF!</v>
      </c>
      <c r="DI86" t="e">
        <f>AND(#REF!,"AAAAAHv3D3A=")</f>
        <v>#REF!</v>
      </c>
      <c r="DJ86" t="e">
        <f>IF(#REF!,"AAAAAHv3D3E=",0)</f>
        <v>#REF!</v>
      </c>
      <c r="DK86" t="e">
        <f>AND(#REF!,"AAAAAHv3D3I=")</f>
        <v>#REF!</v>
      </c>
      <c r="DL86" t="e">
        <f>AND(#REF!,"AAAAAHv3D3M=")</f>
        <v>#REF!</v>
      </c>
      <c r="DM86" t="e">
        <f>AND(#REF!,"AAAAAHv3D3Q=")</f>
        <v>#REF!</v>
      </c>
      <c r="DN86" t="e">
        <f>AND(#REF!,"AAAAAHv3D3U=")</f>
        <v>#REF!</v>
      </c>
      <c r="DO86" t="e">
        <f>AND(#REF!,"AAAAAHv3D3Y=")</f>
        <v>#REF!</v>
      </c>
      <c r="DP86" t="e">
        <f>AND(#REF!,"AAAAAHv3D3c=")</f>
        <v>#REF!</v>
      </c>
      <c r="DQ86" t="e">
        <f>AND(#REF!,"AAAAAHv3D3g=")</f>
        <v>#REF!</v>
      </c>
      <c r="DR86" t="e">
        <f>AND(#REF!,"AAAAAHv3D3k=")</f>
        <v>#REF!</v>
      </c>
      <c r="DS86" t="e">
        <f>AND(#REF!,"AAAAAHv3D3o=")</f>
        <v>#REF!</v>
      </c>
      <c r="DT86" t="e">
        <f>AND(#REF!,"AAAAAHv3D3s=")</f>
        <v>#REF!</v>
      </c>
      <c r="DU86" t="e">
        <f>IF(#REF!,"AAAAAHv3D3w=",0)</f>
        <v>#REF!</v>
      </c>
      <c r="DV86" t="e">
        <f>AND(#REF!,"AAAAAHv3D30=")</f>
        <v>#REF!</v>
      </c>
      <c r="DW86" t="e">
        <f>AND(#REF!,"AAAAAHv3D34=")</f>
        <v>#REF!</v>
      </c>
      <c r="DX86" t="e">
        <f>AND(#REF!,"AAAAAHv3D38=")</f>
        <v>#REF!</v>
      </c>
      <c r="DY86" t="e">
        <f>AND(#REF!,"AAAAAHv3D4A=")</f>
        <v>#REF!</v>
      </c>
      <c r="DZ86" t="e">
        <f>AND(#REF!,"AAAAAHv3D4E=")</f>
        <v>#REF!</v>
      </c>
      <c r="EA86" t="e">
        <f>AND(#REF!,"AAAAAHv3D4I=")</f>
        <v>#REF!</v>
      </c>
      <c r="EB86" t="e">
        <f>AND(#REF!,"AAAAAHv3D4M=")</f>
        <v>#REF!</v>
      </c>
      <c r="EC86" t="e">
        <f>AND(#REF!,"AAAAAHv3D4Q=")</f>
        <v>#REF!</v>
      </c>
      <c r="ED86" t="e">
        <f>AND(#REF!,"AAAAAHv3D4U=")</f>
        <v>#REF!</v>
      </c>
      <c r="EE86" t="e">
        <f>AND(#REF!,"AAAAAHv3D4Y=")</f>
        <v>#REF!</v>
      </c>
      <c r="EF86" t="e">
        <f>IF(#REF!,"AAAAAHv3D4c=",0)</f>
        <v>#REF!</v>
      </c>
      <c r="EG86" t="e">
        <f>AND(#REF!,"AAAAAHv3D4g=")</f>
        <v>#REF!</v>
      </c>
      <c r="EH86" t="e">
        <f>AND(#REF!,"AAAAAHv3D4k=")</f>
        <v>#REF!</v>
      </c>
      <c r="EI86" t="e">
        <f>AND(#REF!,"AAAAAHv3D4o=")</f>
        <v>#REF!</v>
      </c>
      <c r="EJ86" t="e">
        <f>AND(#REF!,"AAAAAHv3D4s=")</f>
        <v>#REF!</v>
      </c>
      <c r="EK86" t="e">
        <f>AND(#REF!,"AAAAAHv3D4w=")</f>
        <v>#REF!</v>
      </c>
      <c r="EL86" t="e">
        <f>AND(#REF!,"AAAAAHv3D40=")</f>
        <v>#REF!</v>
      </c>
      <c r="EM86" t="e">
        <f>AND(#REF!,"AAAAAHv3D44=")</f>
        <v>#REF!</v>
      </c>
      <c r="EN86" t="e">
        <f>AND(#REF!,"AAAAAHv3D48=")</f>
        <v>#REF!</v>
      </c>
      <c r="EO86" t="e">
        <f>AND(#REF!,"AAAAAHv3D5A=")</f>
        <v>#REF!</v>
      </c>
      <c r="EP86" t="e">
        <f>AND(#REF!,"AAAAAHv3D5E=")</f>
        <v>#REF!</v>
      </c>
      <c r="EQ86" t="e">
        <f>IF(#REF!,"AAAAAHv3D5I=",0)</f>
        <v>#REF!</v>
      </c>
      <c r="ER86" t="e">
        <f>AND(#REF!,"AAAAAHv3D5M=")</f>
        <v>#REF!</v>
      </c>
      <c r="ES86" t="e">
        <f>AND(#REF!,"AAAAAHv3D5Q=")</f>
        <v>#REF!</v>
      </c>
      <c r="ET86" t="e">
        <f>AND(#REF!,"AAAAAHv3D5U=")</f>
        <v>#REF!</v>
      </c>
      <c r="EU86" t="e">
        <f>AND(#REF!,"AAAAAHv3D5Y=")</f>
        <v>#REF!</v>
      </c>
      <c r="EV86" t="e">
        <f>AND(#REF!,"AAAAAHv3D5c=")</f>
        <v>#REF!</v>
      </c>
      <c r="EW86" t="e">
        <f>AND(#REF!,"AAAAAHv3D5g=")</f>
        <v>#REF!</v>
      </c>
      <c r="EX86" t="e">
        <f>AND(#REF!,"AAAAAHv3D5k=")</f>
        <v>#REF!</v>
      </c>
      <c r="EY86" t="e">
        <f>AND(#REF!,"AAAAAHv3D5o=")</f>
        <v>#REF!</v>
      </c>
      <c r="EZ86" t="e">
        <f>AND(#REF!,"AAAAAHv3D5s=")</f>
        <v>#REF!</v>
      </c>
      <c r="FA86" t="e">
        <f>AND(#REF!,"AAAAAHv3D5w=")</f>
        <v>#REF!</v>
      </c>
      <c r="FB86" t="e">
        <f>IF(#REF!,"AAAAAHv3D50=",0)</f>
        <v>#REF!</v>
      </c>
      <c r="FC86" t="e">
        <f>AND(#REF!,"AAAAAHv3D54=")</f>
        <v>#REF!</v>
      </c>
      <c r="FD86" t="e">
        <f>AND(#REF!,"AAAAAHv3D58=")</f>
        <v>#REF!</v>
      </c>
      <c r="FE86" t="e">
        <f>AND(#REF!,"AAAAAHv3D6A=")</f>
        <v>#REF!</v>
      </c>
      <c r="FF86" t="e">
        <f>AND(#REF!,"AAAAAHv3D6E=")</f>
        <v>#REF!</v>
      </c>
      <c r="FG86" t="e">
        <f>AND(#REF!,"AAAAAHv3D6I=")</f>
        <v>#REF!</v>
      </c>
      <c r="FH86" t="e">
        <f>AND(#REF!,"AAAAAHv3D6M=")</f>
        <v>#REF!</v>
      </c>
      <c r="FI86" t="e">
        <f>AND(#REF!,"AAAAAHv3D6Q=")</f>
        <v>#REF!</v>
      </c>
      <c r="FJ86" t="e">
        <f>AND(#REF!,"AAAAAHv3D6U=")</f>
        <v>#REF!</v>
      </c>
      <c r="FK86" t="e">
        <f>AND(#REF!,"AAAAAHv3D6Y=")</f>
        <v>#REF!</v>
      </c>
      <c r="FL86" t="e">
        <f>AND(#REF!,"AAAAAHv3D6c=")</f>
        <v>#REF!</v>
      </c>
      <c r="FM86" t="e">
        <f>IF(#REF!,"AAAAAHv3D6g=",0)</f>
        <v>#REF!</v>
      </c>
      <c r="FN86" t="e">
        <f>AND(#REF!,"AAAAAHv3D6k=")</f>
        <v>#REF!</v>
      </c>
      <c r="FO86" t="e">
        <f>AND(#REF!,"AAAAAHv3D6o=")</f>
        <v>#REF!</v>
      </c>
      <c r="FP86" t="e">
        <f>AND(#REF!,"AAAAAHv3D6s=")</f>
        <v>#REF!</v>
      </c>
      <c r="FQ86" t="e">
        <f>AND(#REF!,"AAAAAHv3D6w=")</f>
        <v>#REF!</v>
      </c>
      <c r="FR86" t="e">
        <f>AND(#REF!,"AAAAAHv3D60=")</f>
        <v>#REF!</v>
      </c>
      <c r="FS86" t="e">
        <f>AND(#REF!,"AAAAAHv3D64=")</f>
        <v>#REF!</v>
      </c>
      <c r="FT86" t="e">
        <f>AND(#REF!,"AAAAAHv3D68=")</f>
        <v>#REF!</v>
      </c>
      <c r="FU86" t="e">
        <f>AND(#REF!,"AAAAAHv3D7A=")</f>
        <v>#REF!</v>
      </c>
      <c r="FV86" t="e">
        <f>AND(#REF!,"AAAAAHv3D7E=")</f>
        <v>#REF!</v>
      </c>
      <c r="FW86" t="e">
        <f>AND(#REF!,"AAAAAHv3D7I=")</f>
        <v>#REF!</v>
      </c>
      <c r="FX86" t="e">
        <f>IF(#REF!,"AAAAAHv3D7M=",0)</f>
        <v>#REF!</v>
      </c>
      <c r="FY86" t="e">
        <f>AND(#REF!,"AAAAAHv3D7Q=")</f>
        <v>#REF!</v>
      </c>
      <c r="FZ86" t="e">
        <f>AND(#REF!,"AAAAAHv3D7U=")</f>
        <v>#REF!</v>
      </c>
      <c r="GA86" t="e">
        <f>AND(#REF!,"AAAAAHv3D7Y=")</f>
        <v>#REF!</v>
      </c>
      <c r="GB86" t="e">
        <f>AND(#REF!,"AAAAAHv3D7c=")</f>
        <v>#REF!</v>
      </c>
      <c r="GC86" t="e">
        <f>AND(#REF!,"AAAAAHv3D7g=")</f>
        <v>#REF!</v>
      </c>
      <c r="GD86" t="e">
        <f>AND(#REF!,"AAAAAHv3D7k=")</f>
        <v>#REF!</v>
      </c>
      <c r="GE86" t="e">
        <f>AND(#REF!,"AAAAAHv3D7o=")</f>
        <v>#REF!</v>
      </c>
      <c r="GF86" t="e">
        <f>AND(#REF!,"AAAAAHv3D7s=")</f>
        <v>#REF!</v>
      </c>
      <c r="GG86" t="e">
        <f>AND(#REF!,"AAAAAHv3D7w=")</f>
        <v>#REF!</v>
      </c>
      <c r="GH86" t="e">
        <f>AND(#REF!,"AAAAAHv3D70=")</f>
        <v>#REF!</v>
      </c>
      <c r="GI86" t="e">
        <f>IF(#REF!,"AAAAAHv3D74=",0)</f>
        <v>#REF!</v>
      </c>
      <c r="GJ86" t="e">
        <f>AND(#REF!,"AAAAAHv3D78=")</f>
        <v>#REF!</v>
      </c>
      <c r="GK86" t="e">
        <f>AND(#REF!,"AAAAAHv3D8A=")</f>
        <v>#REF!</v>
      </c>
      <c r="GL86" t="e">
        <f>AND(#REF!,"AAAAAHv3D8E=")</f>
        <v>#REF!</v>
      </c>
      <c r="GM86" t="e">
        <f>AND(#REF!,"AAAAAHv3D8I=")</f>
        <v>#REF!</v>
      </c>
      <c r="GN86" t="e">
        <f>AND(#REF!,"AAAAAHv3D8M=")</f>
        <v>#REF!</v>
      </c>
      <c r="GO86" t="e">
        <f>AND(#REF!,"AAAAAHv3D8Q=")</f>
        <v>#REF!</v>
      </c>
      <c r="GP86" t="e">
        <f>AND(#REF!,"AAAAAHv3D8U=")</f>
        <v>#REF!</v>
      </c>
      <c r="GQ86" t="e">
        <f>AND(#REF!,"AAAAAHv3D8Y=")</f>
        <v>#REF!</v>
      </c>
      <c r="GR86" t="e">
        <f>AND(#REF!,"AAAAAHv3D8c=")</f>
        <v>#REF!</v>
      </c>
      <c r="GS86" t="e">
        <f>AND(#REF!,"AAAAAHv3D8g=")</f>
        <v>#REF!</v>
      </c>
      <c r="GT86" t="e">
        <f>IF(#REF!,"AAAAAHv3D8k=",0)</f>
        <v>#REF!</v>
      </c>
      <c r="GU86" t="e">
        <f>AND(#REF!,"AAAAAHv3D8o=")</f>
        <v>#REF!</v>
      </c>
      <c r="GV86" t="e">
        <f>AND(#REF!,"AAAAAHv3D8s=")</f>
        <v>#REF!</v>
      </c>
      <c r="GW86" t="e">
        <f>AND(#REF!,"AAAAAHv3D8w=")</f>
        <v>#REF!</v>
      </c>
      <c r="GX86" t="e">
        <f>AND(#REF!,"AAAAAHv3D80=")</f>
        <v>#REF!</v>
      </c>
      <c r="GY86" t="e">
        <f>AND(#REF!,"AAAAAHv3D84=")</f>
        <v>#REF!</v>
      </c>
      <c r="GZ86" t="e">
        <f>AND(#REF!,"AAAAAHv3D88=")</f>
        <v>#REF!</v>
      </c>
      <c r="HA86" t="e">
        <f>AND(#REF!,"AAAAAHv3D9A=")</f>
        <v>#REF!</v>
      </c>
      <c r="HB86" t="e">
        <f>AND(#REF!,"AAAAAHv3D9E=")</f>
        <v>#REF!</v>
      </c>
      <c r="HC86" t="e">
        <f>AND(#REF!,"AAAAAHv3D9I=")</f>
        <v>#REF!</v>
      </c>
      <c r="HD86" t="e">
        <f>AND(#REF!,"AAAAAHv3D9M=")</f>
        <v>#REF!</v>
      </c>
      <c r="HE86" t="e">
        <f>IF(#REF!,"AAAAAHv3D9Q=",0)</f>
        <v>#REF!</v>
      </c>
      <c r="HF86" t="e">
        <f>AND(#REF!,"AAAAAHv3D9U=")</f>
        <v>#REF!</v>
      </c>
      <c r="HG86" t="e">
        <f>AND(#REF!,"AAAAAHv3D9Y=")</f>
        <v>#REF!</v>
      </c>
      <c r="HH86" t="e">
        <f>AND(#REF!,"AAAAAHv3D9c=")</f>
        <v>#REF!</v>
      </c>
      <c r="HI86" t="e">
        <f>AND(#REF!,"AAAAAHv3D9g=")</f>
        <v>#REF!</v>
      </c>
      <c r="HJ86" t="e">
        <f>AND(#REF!,"AAAAAHv3D9k=")</f>
        <v>#REF!</v>
      </c>
      <c r="HK86" t="e">
        <f>AND(#REF!,"AAAAAHv3D9o=")</f>
        <v>#REF!</v>
      </c>
      <c r="HL86" t="e">
        <f>AND(#REF!,"AAAAAHv3D9s=")</f>
        <v>#REF!</v>
      </c>
      <c r="HM86" t="e">
        <f>AND(#REF!,"AAAAAHv3D9w=")</f>
        <v>#REF!</v>
      </c>
      <c r="HN86" t="e">
        <f>AND(#REF!,"AAAAAHv3D90=")</f>
        <v>#REF!</v>
      </c>
      <c r="HO86" t="e">
        <f>AND(#REF!,"AAAAAHv3D94=")</f>
        <v>#REF!</v>
      </c>
      <c r="HP86" t="e">
        <f>IF(#REF!,"AAAAAHv3D98=",0)</f>
        <v>#REF!</v>
      </c>
      <c r="HQ86" t="e">
        <f>AND(#REF!,"AAAAAHv3D+A=")</f>
        <v>#REF!</v>
      </c>
      <c r="HR86" t="e">
        <f>AND(#REF!,"AAAAAHv3D+E=")</f>
        <v>#REF!</v>
      </c>
      <c r="HS86" t="e">
        <f>AND(#REF!,"AAAAAHv3D+I=")</f>
        <v>#REF!</v>
      </c>
      <c r="HT86" t="e">
        <f>AND(#REF!,"AAAAAHv3D+M=")</f>
        <v>#REF!</v>
      </c>
      <c r="HU86" t="e">
        <f>AND(#REF!,"AAAAAHv3D+Q=")</f>
        <v>#REF!</v>
      </c>
      <c r="HV86" t="e">
        <f>AND(#REF!,"AAAAAHv3D+U=")</f>
        <v>#REF!</v>
      </c>
      <c r="HW86" t="e">
        <f>AND(#REF!,"AAAAAHv3D+Y=")</f>
        <v>#REF!</v>
      </c>
      <c r="HX86" t="e">
        <f>AND(#REF!,"AAAAAHv3D+c=")</f>
        <v>#REF!</v>
      </c>
      <c r="HY86" t="e">
        <f>AND(#REF!,"AAAAAHv3D+g=")</f>
        <v>#REF!</v>
      </c>
      <c r="HZ86" t="e">
        <f>AND(#REF!,"AAAAAHv3D+k=")</f>
        <v>#REF!</v>
      </c>
      <c r="IA86" t="e">
        <f>IF(#REF!,"AAAAAHv3D+o=",0)</f>
        <v>#REF!</v>
      </c>
      <c r="IB86" t="e">
        <f>AND(#REF!,"AAAAAHv3D+s=")</f>
        <v>#REF!</v>
      </c>
      <c r="IC86" t="e">
        <f>AND(#REF!,"AAAAAHv3D+w=")</f>
        <v>#REF!</v>
      </c>
      <c r="ID86" t="e">
        <f>AND(#REF!,"AAAAAHv3D+0=")</f>
        <v>#REF!</v>
      </c>
      <c r="IE86" t="e">
        <f>AND(#REF!,"AAAAAHv3D+4=")</f>
        <v>#REF!</v>
      </c>
      <c r="IF86" t="e">
        <f>AND(#REF!,"AAAAAHv3D+8=")</f>
        <v>#REF!</v>
      </c>
      <c r="IG86" t="e">
        <f>AND(#REF!,"AAAAAHv3D/A=")</f>
        <v>#REF!</v>
      </c>
      <c r="IH86" t="e">
        <f>AND(#REF!,"AAAAAHv3D/E=")</f>
        <v>#REF!</v>
      </c>
      <c r="II86" t="e">
        <f>AND(#REF!,"AAAAAHv3D/I=")</f>
        <v>#REF!</v>
      </c>
      <c r="IJ86" t="e">
        <f>AND(#REF!,"AAAAAHv3D/M=")</f>
        <v>#REF!</v>
      </c>
      <c r="IK86" t="e">
        <f>AND(#REF!,"AAAAAHv3D/Q=")</f>
        <v>#REF!</v>
      </c>
      <c r="IL86" t="e">
        <f>IF(#REF!,"AAAAAHv3D/U=",0)</f>
        <v>#REF!</v>
      </c>
      <c r="IM86" t="e">
        <f>AND(#REF!,"AAAAAHv3D/Y=")</f>
        <v>#REF!</v>
      </c>
      <c r="IN86" t="e">
        <f>AND(#REF!,"AAAAAHv3D/c=")</f>
        <v>#REF!</v>
      </c>
      <c r="IO86" t="e">
        <f>AND(#REF!,"AAAAAHv3D/g=")</f>
        <v>#REF!</v>
      </c>
      <c r="IP86" t="e">
        <f>AND(#REF!,"AAAAAHv3D/k=")</f>
        <v>#REF!</v>
      </c>
      <c r="IQ86" t="e">
        <f>AND(#REF!,"AAAAAHv3D/o=")</f>
        <v>#REF!</v>
      </c>
      <c r="IR86" t="e">
        <f>AND(#REF!,"AAAAAHv3D/s=")</f>
        <v>#REF!</v>
      </c>
      <c r="IS86" t="e">
        <f>AND(#REF!,"AAAAAHv3D/w=")</f>
        <v>#REF!</v>
      </c>
      <c r="IT86" t="e">
        <f>AND(#REF!,"AAAAAHv3D/0=")</f>
        <v>#REF!</v>
      </c>
      <c r="IU86" t="e">
        <f>AND(#REF!,"AAAAAHv3D/4=")</f>
        <v>#REF!</v>
      </c>
      <c r="IV86" t="e">
        <f>AND(#REF!,"AAAAAHv3D/8=")</f>
        <v>#REF!</v>
      </c>
    </row>
    <row r="87" spans="1:256" x14ac:dyDescent="0.25">
      <c r="A87" t="e">
        <f>IF(#REF!,"AAAAAH3q9QA=",0)</f>
        <v>#REF!</v>
      </c>
      <c r="B87" t="e">
        <f>AND(#REF!,"AAAAAH3q9QE=")</f>
        <v>#REF!</v>
      </c>
      <c r="C87" t="e">
        <f>AND(#REF!,"AAAAAH3q9QI=")</f>
        <v>#REF!</v>
      </c>
      <c r="D87" t="e">
        <f>AND(#REF!,"AAAAAH3q9QM=")</f>
        <v>#REF!</v>
      </c>
      <c r="E87" t="e">
        <f>AND(#REF!,"AAAAAH3q9QQ=")</f>
        <v>#REF!</v>
      </c>
      <c r="F87" t="e">
        <f>AND(#REF!,"AAAAAH3q9QU=")</f>
        <v>#REF!</v>
      </c>
      <c r="G87" t="e">
        <f>AND(#REF!,"AAAAAH3q9QY=")</f>
        <v>#REF!</v>
      </c>
      <c r="H87" t="e">
        <f>AND(#REF!,"AAAAAH3q9Qc=")</f>
        <v>#REF!</v>
      </c>
      <c r="I87" t="e">
        <f>AND(#REF!,"AAAAAH3q9Qg=")</f>
        <v>#REF!</v>
      </c>
      <c r="J87" t="e">
        <f>AND(#REF!,"AAAAAH3q9Qk=")</f>
        <v>#REF!</v>
      </c>
      <c r="K87" t="e">
        <f>AND(#REF!,"AAAAAH3q9Qo=")</f>
        <v>#REF!</v>
      </c>
      <c r="L87" t="e">
        <f>IF(#REF!,"AAAAAH3q9Qs=",0)</f>
        <v>#REF!</v>
      </c>
      <c r="M87" t="e">
        <f>AND(#REF!,"AAAAAH3q9Qw=")</f>
        <v>#REF!</v>
      </c>
      <c r="N87" t="e">
        <f>AND(#REF!,"AAAAAH3q9Q0=")</f>
        <v>#REF!</v>
      </c>
      <c r="O87" t="e">
        <f>AND(#REF!,"AAAAAH3q9Q4=")</f>
        <v>#REF!</v>
      </c>
      <c r="P87" t="e">
        <f>AND(#REF!,"AAAAAH3q9Q8=")</f>
        <v>#REF!</v>
      </c>
      <c r="Q87" t="e">
        <f>AND(#REF!,"AAAAAH3q9RA=")</f>
        <v>#REF!</v>
      </c>
      <c r="R87" t="e">
        <f>AND(#REF!,"AAAAAH3q9RE=")</f>
        <v>#REF!</v>
      </c>
      <c r="S87" t="e">
        <f>AND(#REF!,"AAAAAH3q9RI=")</f>
        <v>#REF!</v>
      </c>
      <c r="T87" t="e">
        <f>AND(#REF!,"AAAAAH3q9RM=")</f>
        <v>#REF!</v>
      </c>
      <c r="U87" t="e">
        <f>AND(#REF!,"AAAAAH3q9RQ=")</f>
        <v>#REF!</v>
      </c>
      <c r="V87" t="e">
        <f>AND(#REF!,"AAAAAH3q9RU=")</f>
        <v>#REF!</v>
      </c>
      <c r="W87" t="e">
        <f>IF(#REF!,"AAAAAH3q9RY=",0)</f>
        <v>#REF!</v>
      </c>
      <c r="X87" t="e">
        <f>AND(#REF!,"AAAAAH3q9Rc=")</f>
        <v>#REF!</v>
      </c>
      <c r="Y87" t="e">
        <f>AND(#REF!,"AAAAAH3q9Rg=")</f>
        <v>#REF!</v>
      </c>
      <c r="Z87" t="e">
        <f>AND(#REF!,"AAAAAH3q9Rk=")</f>
        <v>#REF!</v>
      </c>
      <c r="AA87" t="e">
        <f>AND(#REF!,"AAAAAH3q9Ro=")</f>
        <v>#REF!</v>
      </c>
      <c r="AB87" t="e">
        <f>AND(#REF!,"AAAAAH3q9Rs=")</f>
        <v>#REF!</v>
      </c>
      <c r="AC87" t="e">
        <f>AND(#REF!,"AAAAAH3q9Rw=")</f>
        <v>#REF!</v>
      </c>
      <c r="AD87" t="e">
        <f>AND(#REF!,"AAAAAH3q9R0=")</f>
        <v>#REF!</v>
      </c>
      <c r="AE87" t="e">
        <f>AND(#REF!,"AAAAAH3q9R4=")</f>
        <v>#REF!</v>
      </c>
      <c r="AF87" t="e">
        <f>AND(#REF!,"AAAAAH3q9R8=")</f>
        <v>#REF!</v>
      </c>
      <c r="AG87" t="e">
        <f>AND(#REF!,"AAAAAH3q9SA=")</f>
        <v>#REF!</v>
      </c>
      <c r="AH87" t="e">
        <f>IF(#REF!,"AAAAAH3q9SE=",0)</f>
        <v>#REF!</v>
      </c>
      <c r="AI87" t="e">
        <f>AND(#REF!,"AAAAAH3q9SI=")</f>
        <v>#REF!</v>
      </c>
      <c r="AJ87" t="e">
        <f>AND(#REF!,"AAAAAH3q9SM=")</f>
        <v>#REF!</v>
      </c>
      <c r="AK87" t="e">
        <f>AND(#REF!,"AAAAAH3q9SQ=")</f>
        <v>#REF!</v>
      </c>
      <c r="AL87" t="e">
        <f>AND(#REF!,"AAAAAH3q9SU=")</f>
        <v>#REF!</v>
      </c>
      <c r="AM87" t="e">
        <f>AND(#REF!,"AAAAAH3q9SY=")</f>
        <v>#REF!</v>
      </c>
      <c r="AN87" t="e">
        <f>AND(#REF!,"AAAAAH3q9Sc=")</f>
        <v>#REF!</v>
      </c>
      <c r="AO87" t="e">
        <f>AND(#REF!,"AAAAAH3q9Sg=")</f>
        <v>#REF!</v>
      </c>
      <c r="AP87" t="e">
        <f>AND(#REF!,"AAAAAH3q9Sk=")</f>
        <v>#REF!</v>
      </c>
      <c r="AQ87" t="e">
        <f>AND(#REF!,"AAAAAH3q9So=")</f>
        <v>#REF!</v>
      </c>
      <c r="AR87" t="e">
        <f>AND(#REF!,"AAAAAH3q9Ss=")</f>
        <v>#REF!</v>
      </c>
      <c r="AS87" t="e">
        <f>IF(#REF!,"AAAAAH3q9Sw=",0)</f>
        <v>#REF!</v>
      </c>
      <c r="AT87" t="e">
        <f>AND(#REF!,"AAAAAH3q9S0=")</f>
        <v>#REF!</v>
      </c>
      <c r="AU87" t="e">
        <f>AND(#REF!,"AAAAAH3q9S4=")</f>
        <v>#REF!</v>
      </c>
      <c r="AV87" t="e">
        <f>AND(#REF!,"AAAAAH3q9S8=")</f>
        <v>#REF!</v>
      </c>
      <c r="AW87" t="e">
        <f>AND(#REF!,"AAAAAH3q9TA=")</f>
        <v>#REF!</v>
      </c>
      <c r="AX87" t="e">
        <f>AND(#REF!,"AAAAAH3q9TE=")</f>
        <v>#REF!</v>
      </c>
      <c r="AY87" t="e">
        <f>AND(#REF!,"AAAAAH3q9TI=")</f>
        <v>#REF!</v>
      </c>
      <c r="AZ87" t="e">
        <f>AND(#REF!,"AAAAAH3q9TM=")</f>
        <v>#REF!</v>
      </c>
      <c r="BA87" t="e">
        <f>AND(#REF!,"AAAAAH3q9TQ=")</f>
        <v>#REF!</v>
      </c>
      <c r="BB87" t="e">
        <f>AND(#REF!,"AAAAAH3q9TU=")</f>
        <v>#REF!</v>
      </c>
      <c r="BC87" t="e">
        <f>AND(#REF!,"AAAAAH3q9TY=")</f>
        <v>#REF!</v>
      </c>
      <c r="BD87" t="e">
        <f>IF(#REF!,"AAAAAH3q9Tc=",0)</f>
        <v>#REF!</v>
      </c>
      <c r="BE87" t="e">
        <f>AND(#REF!,"AAAAAH3q9Tg=")</f>
        <v>#REF!</v>
      </c>
      <c r="BF87" t="e">
        <f>AND(#REF!,"AAAAAH3q9Tk=")</f>
        <v>#REF!</v>
      </c>
      <c r="BG87" t="e">
        <f>AND(#REF!,"AAAAAH3q9To=")</f>
        <v>#REF!</v>
      </c>
      <c r="BH87" t="e">
        <f>AND(#REF!,"AAAAAH3q9Ts=")</f>
        <v>#REF!</v>
      </c>
      <c r="BI87" t="e">
        <f>AND(#REF!,"AAAAAH3q9Tw=")</f>
        <v>#REF!</v>
      </c>
      <c r="BJ87" t="e">
        <f>AND(#REF!,"AAAAAH3q9T0=")</f>
        <v>#REF!</v>
      </c>
      <c r="BK87" t="e">
        <f>AND(#REF!,"AAAAAH3q9T4=")</f>
        <v>#REF!</v>
      </c>
      <c r="BL87" t="e">
        <f>AND(#REF!,"AAAAAH3q9T8=")</f>
        <v>#REF!</v>
      </c>
      <c r="BM87" t="e">
        <f>AND(#REF!,"AAAAAH3q9UA=")</f>
        <v>#REF!</v>
      </c>
      <c r="BN87" t="e">
        <f>AND(#REF!,"AAAAAH3q9UE=")</f>
        <v>#REF!</v>
      </c>
      <c r="BO87" t="e">
        <f>IF(#REF!,"AAAAAH3q9UI=",0)</f>
        <v>#REF!</v>
      </c>
      <c r="BP87" t="e">
        <f>AND(#REF!,"AAAAAH3q9UM=")</f>
        <v>#REF!</v>
      </c>
      <c r="BQ87" t="e">
        <f>AND(#REF!,"AAAAAH3q9UQ=")</f>
        <v>#REF!</v>
      </c>
      <c r="BR87" t="e">
        <f>AND(#REF!,"AAAAAH3q9UU=")</f>
        <v>#REF!</v>
      </c>
      <c r="BS87" t="e">
        <f>AND(#REF!,"AAAAAH3q9UY=")</f>
        <v>#REF!</v>
      </c>
      <c r="BT87" t="e">
        <f>AND(#REF!,"AAAAAH3q9Uc=")</f>
        <v>#REF!</v>
      </c>
      <c r="BU87" t="e">
        <f>AND(#REF!,"AAAAAH3q9Ug=")</f>
        <v>#REF!</v>
      </c>
      <c r="BV87" t="e">
        <f>AND(#REF!,"AAAAAH3q9Uk=")</f>
        <v>#REF!</v>
      </c>
      <c r="BW87" t="e">
        <f>AND(#REF!,"AAAAAH3q9Uo=")</f>
        <v>#REF!</v>
      </c>
      <c r="BX87" t="e">
        <f>AND(#REF!,"AAAAAH3q9Us=")</f>
        <v>#REF!</v>
      </c>
      <c r="BY87" t="e">
        <f>AND(#REF!,"AAAAAH3q9Uw=")</f>
        <v>#REF!</v>
      </c>
      <c r="BZ87" t="e">
        <f>IF(#REF!,"AAAAAH3q9U0=",0)</f>
        <v>#REF!</v>
      </c>
      <c r="CA87" t="e">
        <f>AND(#REF!,"AAAAAH3q9U4=")</f>
        <v>#REF!</v>
      </c>
      <c r="CB87" t="e">
        <f>AND(#REF!,"AAAAAH3q9U8=")</f>
        <v>#REF!</v>
      </c>
      <c r="CC87" t="e">
        <f>AND(#REF!,"AAAAAH3q9VA=")</f>
        <v>#REF!</v>
      </c>
      <c r="CD87" t="e">
        <f>AND(#REF!,"AAAAAH3q9VE=")</f>
        <v>#REF!</v>
      </c>
      <c r="CE87" t="e">
        <f>AND(#REF!,"AAAAAH3q9VI=")</f>
        <v>#REF!</v>
      </c>
      <c r="CF87" t="e">
        <f>AND(#REF!,"AAAAAH3q9VM=")</f>
        <v>#REF!</v>
      </c>
      <c r="CG87" t="e">
        <f>AND(#REF!,"AAAAAH3q9VQ=")</f>
        <v>#REF!</v>
      </c>
      <c r="CH87" t="e">
        <f>AND(#REF!,"AAAAAH3q9VU=")</f>
        <v>#REF!</v>
      </c>
      <c r="CI87" t="e">
        <f>AND(#REF!,"AAAAAH3q9VY=")</f>
        <v>#REF!</v>
      </c>
      <c r="CJ87" t="e">
        <f>AND(#REF!,"AAAAAH3q9Vc=")</f>
        <v>#REF!</v>
      </c>
      <c r="CK87" t="e">
        <f>IF(#REF!,"AAAAAH3q9Vg=",0)</f>
        <v>#REF!</v>
      </c>
      <c r="CL87" t="e">
        <f>AND(#REF!,"AAAAAH3q9Vk=")</f>
        <v>#REF!</v>
      </c>
      <c r="CM87" t="e">
        <f>AND(#REF!,"AAAAAH3q9Vo=")</f>
        <v>#REF!</v>
      </c>
      <c r="CN87" t="e">
        <f>AND(#REF!,"AAAAAH3q9Vs=")</f>
        <v>#REF!</v>
      </c>
      <c r="CO87" t="e">
        <f>AND(#REF!,"AAAAAH3q9Vw=")</f>
        <v>#REF!</v>
      </c>
      <c r="CP87" t="e">
        <f>AND(#REF!,"AAAAAH3q9V0=")</f>
        <v>#REF!</v>
      </c>
      <c r="CQ87" t="e">
        <f>AND(#REF!,"AAAAAH3q9V4=")</f>
        <v>#REF!</v>
      </c>
      <c r="CR87" t="e">
        <f>AND(#REF!,"AAAAAH3q9V8=")</f>
        <v>#REF!</v>
      </c>
      <c r="CS87" t="e">
        <f>AND(#REF!,"AAAAAH3q9WA=")</f>
        <v>#REF!</v>
      </c>
      <c r="CT87" t="e">
        <f>AND(#REF!,"AAAAAH3q9WE=")</f>
        <v>#REF!</v>
      </c>
      <c r="CU87" t="e">
        <f>AND(#REF!,"AAAAAH3q9WI=")</f>
        <v>#REF!</v>
      </c>
      <c r="CV87" t="e">
        <f>IF(#REF!,"AAAAAH3q9WM=",0)</f>
        <v>#REF!</v>
      </c>
      <c r="CW87" t="e">
        <f>AND(#REF!,"AAAAAH3q9WQ=")</f>
        <v>#REF!</v>
      </c>
      <c r="CX87" t="e">
        <f>AND(#REF!,"AAAAAH3q9WU=")</f>
        <v>#REF!</v>
      </c>
      <c r="CY87" t="e">
        <f>AND(#REF!,"AAAAAH3q9WY=")</f>
        <v>#REF!</v>
      </c>
      <c r="CZ87" t="e">
        <f>AND(#REF!,"AAAAAH3q9Wc=")</f>
        <v>#REF!</v>
      </c>
      <c r="DA87" t="e">
        <f>AND(#REF!,"AAAAAH3q9Wg=")</f>
        <v>#REF!</v>
      </c>
      <c r="DB87" t="e">
        <f>AND(#REF!,"AAAAAH3q9Wk=")</f>
        <v>#REF!</v>
      </c>
      <c r="DC87" t="e">
        <f>AND(#REF!,"AAAAAH3q9Wo=")</f>
        <v>#REF!</v>
      </c>
      <c r="DD87" t="e">
        <f>AND(#REF!,"AAAAAH3q9Ws=")</f>
        <v>#REF!</v>
      </c>
      <c r="DE87" t="e">
        <f>AND(#REF!,"AAAAAH3q9Ww=")</f>
        <v>#REF!</v>
      </c>
      <c r="DF87" t="e">
        <f>AND(#REF!,"AAAAAH3q9W0=")</f>
        <v>#REF!</v>
      </c>
      <c r="DG87" t="e">
        <f>IF(#REF!,"AAAAAH3q9W4=",0)</f>
        <v>#REF!</v>
      </c>
      <c r="DH87" t="e">
        <f>AND(#REF!,"AAAAAH3q9W8=")</f>
        <v>#REF!</v>
      </c>
      <c r="DI87" t="e">
        <f>AND(#REF!,"AAAAAH3q9XA=")</f>
        <v>#REF!</v>
      </c>
      <c r="DJ87" t="e">
        <f>AND(#REF!,"AAAAAH3q9XE=")</f>
        <v>#REF!</v>
      </c>
      <c r="DK87" t="e">
        <f>AND(#REF!,"AAAAAH3q9XI=")</f>
        <v>#REF!</v>
      </c>
      <c r="DL87" t="e">
        <f>AND(#REF!,"AAAAAH3q9XM=")</f>
        <v>#REF!</v>
      </c>
      <c r="DM87" t="e">
        <f>AND(#REF!,"AAAAAH3q9XQ=")</f>
        <v>#REF!</v>
      </c>
      <c r="DN87" t="e">
        <f>AND(#REF!,"AAAAAH3q9XU=")</f>
        <v>#REF!</v>
      </c>
      <c r="DO87" t="e">
        <f>AND(#REF!,"AAAAAH3q9XY=")</f>
        <v>#REF!</v>
      </c>
      <c r="DP87" t="e">
        <f>AND(#REF!,"AAAAAH3q9Xc=")</f>
        <v>#REF!</v>
      </c>
      <c r="DQ87" t="e">
        <f>AND(#REF!,"AAAAAH3q9Xg=")</f>
        <v>#REF!</v>
      </c>
      <c r="DR87" t="e">
        <f>IF(#REF!,"AAAAAH3q9Xk=",0)</f>
        <v>#REF!</v>
      </c>
      <c r="DS87" t="e">
        <f>AND(#REF!,"AAAAAH3q9Xo=")</f>
        <v>#REF!</v>
      </c>
      <c r="DT87" t="e">
        <f>AND(#REF!,"AAAAAH3q9Xs=")</f>
        <v>#REF!</v>
      </c>
      <c r="DU87" t="e">
        <f>AND(#REF!,"AAAAAH3q9Xw=")</f>
        <v>#REF!</v>
      </c>
      <c r="DV87" t="e">
        <f>AND(#REF!,"AAAAAH3q9X0=")</f>
        <v>#REF!</v>
      </c>
      <c r="DW87" t="e">
        <f>AND(#REF!,"AAAAAH3q9X4=")</f>
        <v>#REF!</v>
      </c>
      <c r="DX87" t="e">
        <f>AND(#REF!,"AAAAAH3q9X8=")</f>
        <v>#REF!</v>
      </c>
      <c r="DY87" t="e">
        <f>AND(#REF!,"AAAAAH3q9YA=")</f>
        <v>#REF!</v>
      </c>
      <c r="DZ87" t="e">
        <f>AND(#REF!,"AAAAAH3q9YE=")</f>
        <v>#REF!</v>
      </c>
      <c r="EA87" t="e">
        <f>AND(#REF!,"AAAAAH3q9YI=")</f>
        <v>#REF!</v>
      </c>
      <c r="EB87" t="e">
        <f>AND(#REF!,"AAAAAH3q9YM=")</f>
        <v>#REF!</v>
      </c>
      <c r="EC87" t="e">
        <f>IF(#REF!,"AAAAAH3q9YQ=",0)</f>
        <v>#REF!</v>
      </c>
      <c r="ED87" t="e">
        <f>AND(#REF!,"AAAAAH3q9YU=")</f>
        <v>#REF!</v>
      </c>
      <c r="EE87" t="e">
        <f>AND(#REF!,"AAAAAH3q9YY=")</f>
        <v>#REF!</v>
      </c>
      <c r="EF87" t="e">
        <f>AND(#REF!,"AAAAAH3q9Yc=")</f>
        <v>#REF!</v>
      </c>
      <c r="EG87" t="e">
        <f>AND(#REF!,"AAAAAH3q9Yg=")</f>
        <v>#REF!</v>
      </c>
      <c r="EH87" t="e">
        <f>AND(#REF!,"AAAAAH3q9Yk=")</f>
        <v>#REF!</v>
      </c>
      <c r="EI87" t="e">
        <f>AND(#REF!,"AAAAAH3q9Yo=")</f>
        <v>#REF!</v>
      </c>
      <c r="EJ87" t="e">
        <f>AND(#REF!,"AAAAAH3q9Ys=")</f>
        <v>#REF!</v>
      </c>
      <c r="EK87" t="e">
        <f>AND(#REF!,"AAAAAH3q9Yw=")</f>
        <v>#REF!</v>
      </c>
      <c r="EL87" t="e">
        <f>AND(#REF!,"AAAAAH3q9Y0=")</f>
        <v>#REF!</v>
      </c>
      <c r="EM87" t="e">
        <f>AND(#REF!,"AAAAAH3q9Y4=")</f>
        <v>#REF!</v>
      </c>
      <c r="EN87" t="e">
        <f>IF(#REF!,"AAAAAH3q9Y8=",0)</f>
        <v>#REF!</v>
      </c>
      <c r="EO87" t="e">
        <f>AND(#REF!,"AAAAAH3q9ZA=")</f>
        <v>#REF!</v>
      </c>
      <c r="EP87" t="e">
        <f>AND(#REF!,"AAAAAH3q9ZE=")</f>
        <v>#REF!</v>
      </c>
      <c r="EQ87" t="e">
        <f>AND(#REF!,"AAAAAH3q9ZI=")</f>
        <v>#REF!</v>
      </c>
      <c r="ER87" t="e">
        <f>AND(#REF!,"AAAAAH3q9ZM=")</f>
        <v>#REF!</v>
      </c>
      <c r="ES87" t="e">
        <f>AND(#REF!,"AAAAAH3q9ZQ=")</f>
        <v>#REF!</v>
      </c>
      <c r="ET87" t="e">
        <f>AND(#REF!,"AAAAAH3q9ZU=")</f>
        <v>#REF!</v>
      </c>
      <c r="EU87" t="e">
        <f>AND(#REF!,"AAAAAH3q9ZY=")</f>
        <v>#REF!</v>
      </c>
      <c r="EV87" t="e">
        <f>AND(#REF!,"AAAAAH3q9Zc=")</f>
        <v>#REF!</v>
      </c>
      <c r="EW87" t="e">
        <f>AND(#REF!,"AAAAAH3q9Zg=")</f>
        <v>#REF!</v>
      </c>
      <c r="EX87" t="e">
        <f>AND(#REF!,"AAAAAH3q9Zk=")</f>
        <v>#REF!</v>
      </c>
      <c r="EY87" t="e">
        <f>IF(#REF!,"AAAAAH3q9Zo=",0)</f>
        <v>#REF!</v>
      </c>
      <c r="EZ87" t="e">
        <f>AND(#REF!,"AAAAAH3q9Zs=")</f>
        <v>#REF!</v>
      </c>
      <c r="FA87" t="e">
        <f>AND(#REF!,"AAAAAH3q9Zw=")</f>
        <v>#REF!</v>
      </c>
      <c r="FB87" t="e">
        <f>AND(#REF!,"AAAAAH3q9Z0=")</f>
        <v>#REF!</v>
      </c>
      <c r="FC87" t="e">
        <f>AND(#REF!,"AAAAAH3q9Z4=")</f>
        <v>#REF!</v>
      </c>
      <c r="FD87" t="e">
        <f>AND(#REF!,"AAAAAH3q9Z8=")</f>
        <v>#REF!</v>
      </c>
      <c r="FE87" t="e">
        <f>AND(#REF!,"AAAAAH3q9aA=")</f>
        <v>#REF!</v>
      </c>
      <c r="FF87" t="e">
        <f>AND(#REF!,"AAAAAH3q9aE=")</f>
        <v>#REF!</v>
      </c>
      <c r="FG87" t="e">
        <f>AND(#REF!,"AAAAAH3q9aI=")</f>
        <v>#REF!</v>
      </c>
      <c r="FH87" t="e">
        <f>AND(#REF!,"AAAAAH3q9aM=")</f>
        <v>#REF!</v>
      </c>
      <c r="FI87" t="e">
        <f>AND(#REF!,"AAAAAH3q9aQ=")</f>
        <v>#REF!</v>
      </c>
      <c r="FJ87" t="e">
        <f>IF(#REF!,"AAAAAH3q9aU=",0)</f>
        <v>#REF!</v>
      </c>
      <c r="FK87" t="e">
        <f>AND(#REF!,"AAAAAH3q9aY=")</f>
        <v>#REF!</v>
      </c>
      <c r="FL87" t="e">
        <f>AND(#REF!,"AAAAAH3q9ac=")</f>
        <v>#REF!</v>
      </c>
      <c r="FM87" t="e">
        <f>AND(#REF!,"AAAAAH3q9ag=")</f>
        <v>#REF!</v>
      </c>
      <c r="FN87" t="e">
        <f>AND(#REF!,"AAAAAH3q9ak=")</f>
        <v>#REF!</v>
      </c>
      <c r="FO87" t="e">
        <f>AND(#REF!,"AAAAAH3q9ao=")</f>
        <v>#REF!</v>
      </c>
      <c r="FP87" t="e">
        <f>AND(#REF!,"AAAAAH3q9as=")</f>
        <v>#REF!</v>
      </c>
      <c r="FQ87" t="e">
        <f>AND(#REF!,"AAAAAH3q9aw=")</f>
        <v>#REF!</v>
      </c>
      <c r="FR87" t="e">
        <f>AND(#REF!,"AAAAAH3q9a0=")</f>
        <v>#REF!</v>
      </c>
      <c r="FS87" t="e">
        <f>AND(#REF!,"AAAAAH3q9a4=")</f>
        <v>#REF!</v>
      </c>
      <c r="FT87" t="e">
        <f>AND(#REF!,"AAAAAH3q9a8=")</f>
        <v>#REF!</v>
      </c>
      <c r="FU87" t="e">
        <f>IF(#REF!,"AAAAAH3q9bA=",0)</f>
        <v>#REF!</v>
      </c>
      <c r="FV87" t="e">
        <f>AND(#REF!,"AAAAAH3q9bE=")</f>
        <v>#REF!</v>
      </c>
      <c r="FW87" t="e">
        <f>AND(#REF!,"AAAAAH3q9bI=")</f>
        <v>#REF!</v>
      </c>
      <c r="FX87" t="e">
        <f>AND(#REF!,"AAAAAH3q9bM=")</f>
        <v>#REF!</v>
      </c>
      <c r="FY87" t="e">
        <f>AND(#REF!,"AAAAAH3q9bQ=")</f>
        <v>#REF!</v>
      </c>
      <c r="FZ87" t="e">
        <f>AND(#REF!,"AAAAAH3q9bU=")</f>
        <v>#REF!</v>
      </c>
      <c r="GA87" t="e">
        <f>AND(#REF!,"AAAAAH3q9bY=")</f>
        <v>#REF!</v>
      </c>
      <c r="GB87" t="e">
        <f>AND(#REF!,"AAAAAH3q9bc=")</f>
        <v>#REF!</v>
      </c>
      <c r="GC87" t="e">
        <f>AND(#REF!,"AAAAAH3q9bg=")</f>
        <v>#REF!</v>
      </c>
      <c r="GD87" t="e">
        <f>AND(#REF!,"AAAAAH3q9bk=")</f>
        <v>#REF!</v>
      </c>
      <c r="GE87" t="e">
        <f>AND(#REF!,"AAAAAH3q9bo=")</f>
        <v>#REF!</v>
      </c>
      <c r="GF87" t="e">
        <f>IF(#REF!,"AAAAAH3q9bs=",0)</f>
        <v>#REF!</v>
      </c>
      <c r="GG87" t="e">
        <f>AND(#REF!,"AAAAAH3q9bw=")</f>
        <v>#REF!</v>
      </c>
      <c r="GH87" t="e">
        <f>AND(#REF!,"AAAAAH3q9b0=")</f>
        <v>#REF!</v>
      </c>
      <c r="GI87" t="e">
        <f>AND(#REF!,"AAAAAH3q9b4=")</f>
        <v>#REF!</v>
      </c>
      <c r="GJ87" t="e">
        <f>AND(#REF!,"AAAAAH3q9b8=")</f>
        <v>#REF!</v>
      </c>
      <c r="GK87" t="e">
        <f>AND(#REF!,"AAAAAH3q9cA=")</f>
        <v>#REF!</v>
      </c>
      <c r="GL87" t="e">
        <f>AND(#REF!,"AAAAAH3q9cE=")</f>
        <v>#REF!</v>
      </c>
      <c r="GM87" t="e">
        <f>AND(#REF!,"AAAAAH3q9cI=")</f>
        <v>#REF!</v>
      </c>
      <c r="GN87" t="e">
        <f>AND(#REF!,"AAAAAH3q9cM=")</f>
        <v>#REF!</v>
      </c>
      <c r="GO87" t="e">
        <f>AND(#REF!,"AAAAAH3q9cQ=")</f>
        <v>#REF!</v>
      </c>
      <c r="GP87" t="e">
        <f>AND(#REF!,"AAAAAH3q9cU=")</f>
        <v>#REF!</v>
      </c>
      <c r="GQ87" t="e">
        <f>IF(#REF!,"AAAAAH3q9cY=",0)</f>
        <v>#REF!</v>
      </c>
      <c r="GR87" t="e">
        <f>AND(#REF!,"AAAAAH3q9cc=")</f>
        <v>#REF!</v>
      </c>
      <c r="GS87" t="e">
        <f>AND(#REF!,"AAAAAH3q9cg=")</f>
        <v>#REF!</v>
      </c>
      <c r="GT87" t="e">
        <f>AND(#REF!,"AAAAAH3q9ck=")</f>
        <v>#REF!</v>
      </c>
      <c r="GU87" t="e">
        <f>AND(#REF!,"AAAAAH3q9co=")</f>
        <v>#REF!</v>
      </c>
      <c r="GV87" t="e">
        <f>AND(#REF!,"AAAAAH3q9cs=")</f>
        <v>#REF!</v>
      </c>
      <c r="GW87" t="e">
        <f>AND(#REF!,"AAAAAH3q9cw=")</f>
        <v>#REF!</v>
      </c>
      <c r="GX87" t="e">
        <f>AND(#REF!,"AAAAAH3q9c0=")</f>
        <v>#REF!</v>
      </c>
      <c r="GY87" t="e">
        <f>AND(#REF!,"AAAAAH3q9c4=")</f>
        <v>#REF!</v>
      </c>
      <c r="GZ87" t="e">
        <f>AND(#REF!,"AAAAAH3q9c8=")</f>
        <v>#REF!</v>
      </c>
      <c r="HA87" t="e">
        <f>AND(#REF!,"AAAAAH3q9dA=")</f>
        <v>#REF!</v>
      </c>
      <c r="HB87" t="e">
        <f>IF(#REF!,"AAAAAH3q9dE=",0)</f>
        <v>#REF!</v>
      </c>
      <c r="HC87" t="e">
        <f>AND(#REF!,"AAAAAH3q9dI=")</f>
        <v>#REF!</v>
      </c>
      <c r="HD87" t="e">
        <f>AND(#REF!,"AAAAAH3q9dM=")</f>
        <v>#REF!</v>
      </c>
      <c r="HE87" t="e">
        <f>AND(#REF!,"AAAAAH3q9dQ=")</f>
        <v>#REF!</v>
      </c>
      <c r="HF87" t="e">
        <f>AND(#REF!,"AAAAAH3q9dU=")</f>
        <v>#REF!</v>
      </c>
      <c r="HG87" t="e">
        <f>AND(#REF!,"AAAAAH3q9dY=")</f>
        <v>#REF!</v>
      </c>
      <c r="HH87" t="e">
        <f>AND(#REF!,"AAAAAH3q9dc=")</f>
        <v>#REF!</v>
      </c>
      <c r="HI87" t="e">
        <f>AND(#REF!,"AAAAAH3q9dg=")</f>
        <v>#REF!</v>
      </c>
      <c r="HJ87" t="e">
        <f>AND(#REF!,"AAAAAH3q9dk=")</f>
        <v>#REF!</v>
      </c>
      <c r="HK87" t="e">
        <f>AND(#REF!,"AAAAAH3q9do=")</f>
        <v>#REF!</v>
      </c>
      <c r="HL87" t="e">
        <f>AND(#REF!,"AAAAAH3q9ds=")</f>
        <v>#REF!</v>
      </c>
      <c r="HM87" t="e">
        <f>IF(#REF!,"AAAAAH3q9dw=",0)</f>
        <v>#REF!</v>
      </c>
      <c r="HN87" t="e">
        <f>AND(#REF!,"AAAAAH3q9d0=")</f>
        <v>#REF!</v>
      </c>
      <c r="HO87" t="e">
        <f>AND(#REF!,"AAAAAH3q9d4=")</f>
        <v>#REF!</v>
      </c>
      <c r="HP87" t="e">
        <f>AND(#REF!,"AAAAAH3q9d8=")</f>
        <v>#REF!</v>
      </c>
      <c r="HQ87" t="e">
        <f>AND(#REF!,"AAAAAH3q9eA=")</f>
        <v>#REF!</v>
      </c>
      <c r="HR87" t="e">
        <f>AND(#REF!,"AAAAAH3q9eE=")</f>
        <v>#REF!</v>
      </c>
      <c r="HS87" t="e">
        <f>AND(#REF!,"AAAAAH3q9eI=")</f>
        <v>#REF!</v>
      </c>
      <c r="HT87" t="e">
        <f>AND(#REF!,"AAAAAH3q9eM=")</f>
        <v>#REF!</v>
      </c>
      <c r="HU87" t="e">
        <f>AND(#REF!,"AAAAAH3q9eQ=")</f>
        <v>#REF!</v>
      </c>
      <c r="HV87" t="e">
        <f>AND(#REF!,"AAAAAH3q9eU=")</f>
        <v>#REF!</v>
      </c>
      <c r="HW87" t="e">
        <f>AND(#REF!,"AAAAAH3q9eY=")</f>
        <v>#REF!</v>
      </c>
      <c r="HX87" t="e">
        <f>IF(#REF!,"AAAAAH3q9ec=",0)</f>
        <v>#REF!</v>
      </c>
      <c r="HY87" t="e">
        <f>AND(#REF!,"AAAAAH3q9eg=")</f>
        <v>#REF!</v>
      </c>
      <c r="HZ87" t="e">
        <f>AND(#REF!,"AAAAAH3q9ek=")</f>
        <v>#REF!</v>
      </c>
      <c r="IA87" t="e">
        <f>AND(#REF!,"AAAAAH3q9eo=")</f>
        <v>#REF!</v>
      </c>
      <c r="IB87" t="e">
        <f>AND(#REF!,"AAAAAH3q9es=")</f>
        <v>#REF!</v>
      </c>
      <c r="IC87" t="e">
        <f>AND(#REF!,"AAAAAH3q9ew=")</f>
        <v>#REF!</v>
      </c>
      <c r="ID87" t="e">
        <f>AND(#REF!,"AAAAAH3q9e0=")</f>
        <v>#REF!</v>
      </c>
      <c r="IE87" t="e">
        <f>AND(#REF!,"AAAAAH3q9e4=")</f>
        <v>#REF!</v>
      </c>
      <c r="IF87" t="e">
        <f>AND(#REF!,"AAAAAH3q9e8=")</f>
        <v>#REF!</v>
      </c>
      <c r="IG87" t="e">
        <f>AND(#REF!,"AAAAAH3q9fA=")</f>
        <v>#REF!</v>
      </c>
      <c r="IH87" t="e">
        <f>AND(#REF!,"AAAAAH3q9fE=")</f>
        <v>#REF!</v>
      </c>
      <c r="II87" t="e">
        <f>IF(#REF!,"AAAAAH3q9fI=",0)</f>
        <v>#REF!</v>
      </c>
      <c r="IJ87" t="e">
        <f>AND(#REF!,"AAAAAH3q9fM=")</f>
        <v>#REF!</v>
      </c>
      <c r="IK87" t="e">
        <f>AND(#REF!,"AAAAAH3q9fQ=")</f>
        <v>#REF!</v>
      </c>
      <c r="IL87" t="e">
        <f>AND(#REF!,"AAAAAH3q9fU=")</f>
        <v>#REF!</v>
      </c>
      <c r="IM87" t="e">
        <f>AND(#REF!,"AAAAAH3q9fY=")</f>
        <v>#REF!</v>
      </c>
      <c r="IN87" t="e">
        <f>AND(#REF!,"AAAAAH3q9fc=")</f>
        <v>#REF!</v>
      </c>
      <c r="IO87" t="e">
        <f>AND(#REF!,"AAAAAH3q9fg=")</f>
        <v>#REF!</v>
      </c>
      <c r="IP87" t="e">
        <f>AND(#REF!,"AAAAAH3q9fk=")</f>
        <v>#REF!</v>
      </c>
      <c r="IQ87" t="e">
        <f>AND(#REF!,"AAAAAH3q9fo=")</f>
        <v>#REF!</v>
      </c>
      <c r="IR87" t="e">
        <f>AND(#REF!,"AAAAAH3q9fs=")</f>
        <v>#REF!</v>
      </c>
      <c r="IS87" t="e">
        <f>AND(#REF!,"AAAAAH3q9fw=")</f>
        <v>#REF!</v>
      </c>
      <c r="IT87" t="e">
        <f>IF(#REF!,"AAAAAH3q9f0=",0)</f>
        <v>#REF!</v>
      </c>
      <c r="IU87" t="e">
        <f>AND(#REF!,"AAAAAH3q9f4=")</f>
        <v>#REF!</v>
      </c>
      <c r="IV87" t="e">
        <f>AND(#REF!,"AAAAAH3q9f8=")</f>
        <v>#REF!</v>
      </c>
    </row>
    <row r="88" spans="1:256" x14ac:dyDescent="0.25">
      <c r="A88" t="e">
        <f>AND(#REF!,"AAAAAD5V/wA=")</f>
        <v>#REF!</v>
      </c>
      <c r="B88" t="e">
        <f>AND(#REF!,"AAAAAD5V/wE=")</f>
        <v>#REF!</v>
      </c>
      <c r="C88" t="e">
        <f>AND(#REF!,"AAAAAD5V/wI=")</f>
        <v>#REF!</v>
      </c>
      <c r="D88" t="e">
        <f>AND(#REF!,"AAAAAD5V/wM=")</f>
        <v>#REF!</v>
      </c>
      <c r="E88" t="e">
        <f>AND(#REF!,"AAAAAD5V/wQ=")</f>
        <v>#REF!</v>
      </c>
      <c r="F88" t="e">
        <f>AND(#REF!,"AAAAAD5V/wU=")</f>
        <v>#REF!</v>
      </c>
      <c r="G88" t="e">
        <f>AND(#REF!,"AAAAAD5V/wY=")</f>
        <v>#REF!</v>
      </c>
      <c r="H88" t="e">
        <f>AND(#REF!,"AAAAAD5V/wc=")</f>
        <v>#REF!</v>
      </c>
      <c r="I88" t="e">
        <f>IF(#REF!,"AAAAAD5V/wg=",0)</f>
        <v>#REF!</v>
      </c>
      <c r="J88" t="e">
        <f>AND(#REF!,"AAAAAD5V/wk=")</f>
        <v>#REF!</v>
      </c>
      <c r="K88" t="e">
        <f>AND(#REF!,"AAAAAD5V/wo=")</f>
        <v>#REF!</v>
      </c>
      <c r="L88" t="e">
        <f>AND(#REF!,"AAAAAD5V/ws=")</f>
        <v>#REF!</v>
      </c>
      <c r="M88" t="e">
        <f>AND(#REF!,"AAAAAD5V/ww=")</f>
        <v>#REF!</v>
      </c>
      <c r="N88" t="e">
        <f>AND(#REF!,"AAAAAD5V/w0=")</f>
        <v>#REF!</v>
      </c>
      <c r="O88" t="e">
        <f>AND(#REF!,"AAAAAD5V/w4=")</f>
        <v>#REF!</v>
      </c>
      <c r="P88" t="e">
        <f>AND(#REF!,"AAAAAD5V/w8=")</f>
        <v>#REF!</v>
      </c>
      <c r="Q88" t="e">
        <f>AND(#REF!,"AAAAAD5V/xA=")</f>
        <v>#REF!</v>
      </c>
      <c r="R88" t="e">
        <f>AND(#REF!,"AAAAAD5V/xE=")</f>
        <v>#REF!</v>
      </c>
      <c r="S88" t="e">
        <f>AND(#REF!,"AAAAAD5V/xI=")</f>
        <v>#REF!</v>
      </c>
      <c r="T88" t="e">
        <f>IF(#REF!,"AAAAAD5V/xM=",0)</f>
        <v>#REF!</v>
      </c>
      <c r="U88" t="e">
        <f>AND(#REF!,"AAAAAD5V/xQ=")</f>
        <v>#REF!</v>
      </c>
      <c r="V88" t="e">
        <f>AND(#REF!,"AAAAAD5V/xU=")</f>
        <v>#REF!</v>
      </c>
      <c r="W88" t="e">
        <f>AND(#REF!,"AAAAAD5V/xY=")</f>
        <v>#REF!</v>
      </c>
      <c r="X88" t="e">
        <f>AND(#REF!,"AAAAAD5V/xc=")</f>
        <v>#REF!</v>
      </c>
      <c r="Y88" t="e">
        <f>AND(#REF!,"AAAAAD5V/xg=")</f>
        <v>#REF!</v>
      </c>
      <c r="Z88" t="e">
        <f>AND(#REF!,"AAAAAD5V/xk=")</f>
        <v>#REF!</v>
      </c>
      <c r="AA88" t="e">
        <f>AND(#REF!,"AAAAAD5V/xo=")</f>
        <v>#REF!</v>
      </c>
      <c r="AB88" t="e">
        <f>AND(#REF!,"AAAAAD5V/xs=")</f>
        <v>#REF!</v>
      </c>
      <c r="AC88" t="e">
        <f>AND(#REF!,"AAAAAD5V/xw=")</f>
        <v>#REF!</v>
      </c>
      <c r="AD88" t="e">
        <f>AND(#REF!,"AAAAAD5V/x0=")</f>
        <v>#REF!</v>
      </c>
      <c r="AE88" t="e">
        <f>IF(#REF!,"AAAAAD5V/x4=",0)</f>
        <v>#REF!</v>
      </c>
      <c r="AF88" t="e">
        <f>AND(#REF!,"AAAAAD5V/x8=")</f>
        <v>#REF!</v>
      </c>
      <c r="AG88" t="e">
        <f>AND(#REF!,"AAAAAD5V/yA=")</f>
        <v>#REF!</v>
      </c>
      <c r="AH88" t="e">
        <f>AND(#REF!,"AAAAAD5V/yE=")</f>
        <v>#REF!</v>
      </c>
      <c r="AI88" t="e">
        <f>AND(#REF!,"AAAAAD5V/yI=")</f>
        <v>#REF!</v>
      </c>
      <c r="AJ88" t="e">
        <f>AND(#REF!,"AAAAAD5V/yM=")</f>
        <v>#REF!</v>
      </c>
      <c r="AK88" t="e">
        <f>AND(#REF!,"AAAAAD5V/yQ=")</f>
        <v>#REF!</v>
      </c>
      <c r="AL88" t="e">
        <f>AND(#REF!,"AAAAAD5V/yU=")</f>
        <v>#REF!</v>
      </c>
      <c r="AM88" t="e">
        <f>AND(#REF!,"AAAAAD5V/yY=")</f>
        <v>#REF!</v>
      </c>
      <c r="AN88" t="e">
        <f>AND(#REF!,"AAAAAD5V/yc=")</f>
        <v>#REF!</v>
      </c>
      <c r="AO88" t="e">
        <f>AND(#REF!,"AAAAAD5V/yg=")</f>
        <v>#REF!</v>
      </c>
      <c r="AP88" t="e">
        <f>IF(#REF!,"AAAAAD5V/yk=",0)</f>
        <v>#REF!</v>
      </c>
      <c r="AQ88" t="e">
        <f>AND(#REF!,"AAAAAD5V/yo=")</f>
        <v>#REF!</v>
      </c>
      <c r="AR88" t="e">
        <f>AND(#REF!,"AAAAAD5V/ys=")</f>
        <v>#REF!</v>
      </c>
      <c r="AS88" t="e">
        <f>AND(#REF!,"AAAAAD5V/yw=")</f>
        <v>#REF!</v>
      </c>
      <c r="AT88" t="e">
        <f>AND(#REF!,"AAAAAD5V/y0=")</f>
        <v>#REF!</v>
      </c>
      <c r="AU88" t="e">
        <f>AND(#REF!,"AAAAAD5V/y4=")</f>
        <v>#REF!</v>
      </c>
      <c r="AV88" t="e">
        <f>AND(#REF!,"AAAAAD5V/y8=")</f>
        <v>#REF!</v>
      </c>
      <c r="AW88" t="e">
        <f>AND(#REF!,"AAAAAD5V/zA=")</f>
        <v>#REF!</v>
      </c>
      <c r="AX88" t="e">
        <f>AND(#REF!,"AAAAAD5V/zE=")</f>
        <v>#REF!</v>
      </c>
      <c r="AY88" t="e">
        <f>AND(#REF!,"AAAAAD5V/zI=")</f>
        <v>#REF!</v>
      </c>
      <c r="AZ88" t="e">
        <f>AND(#REF!,"AAAAAD5V/zM=")</f>
        <v>#REF!</v>
      </c>
      <c r="BA88" t="e">
        <f>IF(#REF!,"AAAAAD5V/zQ=",0)</f>
        <v>#REF!</v>
      </c>
      <c r="BB88" t="e">
        <f>AND(#REF!,"AAAAAD5V/zU=")</f>
        <v>#REF!</v>
      </c>
      <c r="BC88" t="e">
        <f>AND(#REF!,"AAAAAD5V/zY=")</f>
        <v>#REF!</v>
      </c>
      <c r="BD88" t="e">
        <f>AND(#REF!,"AAAAAD5V/zc=")</f>
        <v>#REF!</v>
      </c>
      <c r="BE88" t="e">
        <f>AND(#REF!,"AAAAAD5V/zg=")</f>
        <v>#REF!</v>
      </c>
      <c r="BF88" t="e">
        <f>AND(#REF!,"AAAAAD5V/zk=")</f>
        <v>#REF!</v>
      </c>
      <c r="BG88" t="e">
        <f>AND(#REF!,"AAAAAD5V/zo=")</f>
        <v>#REF!</v>
      </c>
      <c r="BH88" t="e">
        <f>AND(#REF!,"AAAAAD5V/zs=")</f>
        <v>#REF!</v>
      </c>
      <c r="BI88" t="e">
        <f>AND(#REF!,"AAAAAD5V/zw=")</f>
        <v>#REF!</v>
      </c>
      <c r="BJ88" t="e">
        <f>AND(#REF!,"AAAAAD5V/z0=")</f>
        <v>#REF!</v>
      </c>
      <c r="BK88" t="e">
        <f>AND(#REF!,"AAAAAD5V/z4=")</f>
        <v>#REF!</v>
      </c>
      <c r="BL88" t="e">
        <f>IF(#REF!,"AAAAAD5V/z8=",0)</f>
        <v>#REF!</v>
      </c>
      <c r="BM88" t="e">
        <f>AND(#REF!,"AAAAAD5V/0A=")</f>
        <v>#REF!</v>
      </c>
      <c r="BN88" t="e">
        <f>AND(#REF!,"AAAAAD5V/0E=")</f>
        <v>#REF!</v>
      </c>
      <c r="BO88" t="e">
        <f>AND(#REF!,"AAAAAD5V/0I=")</f>
        <v>#REF!</v>
      </c>
      <c r="BP88" t="e">
        <f>AND(#REF!,"AAAAAD5V/0M=")</f>
        <v>#REF!</v>
      </c>
      <c r="BQ88" t="e">
        <f>AND(#REF!,"AAAAAD5V/0Q=")</f>
        <v>#REF!</v>
      </c>
      <c r="BR88" t="e">
        <f>AND(#REF!,"AAAAAD5V/0U=")</f>
        <v>#REF!</v>
      </c>
      <c r="BS88" t="e">
        <f>AND(#REF!,"AAAAAD5V/0Y=")</f>
        <v>#REF!</v>
      </c>
      <c r="BT88" t="e">
        <f>AND(#REF!,"AAAAAD5V/0c=")</f>
        <v>#REF!</v>
      </c>
      <c r="BU88" t="e">
        <f>AND(#REF!,"AAAAAD5V/0g=")</f>
        <v>#REF!</v>
      </c>
      <c r="BV88" t="e">
        <f>AND(#REF!,"AAAAAD5V/0k=")</f>
        <v>#REF!</v>
      </c>
      <c r="BW88" t="e">
        <f>IF(#REF!,"AAAAAD5V/0o=",0)</f>
        <v>#REF!</v>
      </c>
      <c r="BX88" t="e">
        <f>AND(#REF!,"AAAAAD5V/0s=")</f>
        <v>#REF!</v>
      </c>
      <c r="BY88" t="e">
        <f>AND(#REF!,"AAAAAD5V/0w=")</f>
        <v>#REF!</v>
      </c>
      <c r="BZ88" t="e">
        <f>AND(#REF!,"AAAAAD5V/00=")</f>
        <v>#REF!</v>
      </c>
      <c r="CA88" t="e">
        <f>AND(#REF!,"AAAAAD5V/04=")</f>
        <v>#REF!</v>
      </c>
      <c r="CB88" t="e">
        <f>AND(#REF!,"AAAAAD5V/08=")</f>
        <v>#REF!</v>
      </c>
      <c r="CC88" t="e">
        <f>AND(#REF!,"AAAAAD5V/1A=")</f>
        <v>#REF!</v>
      </c>
      <c r="CD88" t="e">
        <f>AND(#REF!,"AAAAAD5V/1E=")</f>
        <v>#REF!</v>
      </c>
      <c r="CE88" t="e">
        <f>AND(#REF!,"AAAAAD5V/1I=")</f>
        <v>#REF!</v>
      </c>
      <c r="CF88" t="e">
        <f>AND(#REF!,"AAAAAD5V/1M=")</f>
        <v>#REF!</v>
      </c>
      <c r="CG88" t="e">
        <f>AND(#REF!,"AAAAAD5V/1Q=")</f>
        <v>#REF!</v>
      </c>
      <c r="CH88" t="e">
        <f>IF(#REF!,"AAAAAD5V/1U=",0)</f>
        <v>#REF!</v>
      </c>
      <c r="CI88" t="e">
        <f>AND(#REF!,"AAAAAD5V/1Y=")</f>
        <v>#REF!</v>
      </c>
      <c r="CJ88" t="e">
        <f>AND(#REF!,"AAAAAD5V/1c=")</f>
        <v>#REF!</v>
      </c>
      <c r="CK88" t="e">
        <f>AND(#REF!,"AAAAAD5V/1g=")</f>
        <v>#REF!</v>
      </c>
      <c r="CL88" t="e">
        <f>AND(#REF!,"AAAAAD5V/1k=")</f>
        <v>#REF!</v>
      </c>
      <c r="CM88" t="e">
        <f>AND(#REF!,"AAAAAD5V/1o=")</f>
        <v>#REF!</v>
      </c>
      <c r="CN88" t="e">
        <f>AND(#REF!,"AAAAAD5V/1s=")</f>
        <v>#REF!</v>
      </c>
      <c r="CO88" t="e">
        <f>AND(#REF!,"AAAAAD5V/1w=")</f>
        <v>#REF!</v>
      </c>
      <c r="CP88" t="e">
        <f>AND(#REF!,"AAAAAD5V/10=")</f>
        <v>#REF!</v>
      </c>
      <c r="CQ88" t="e">
        <f>AND(#REF!,"AAAAAD5V/14=")</f>
        <v>#REF!</v>
      </c>
      <c r="CR88" t="e">
        <f>AND(#REF!,"AAAAAD5V/18=")</f>
        <v>#REF!</v>
      </c>
      <c r="CS88" t="e">
        <f>IF(#REF!,"AAAAAD5V/2A=",0)</f>
        <v>#REF!</v>
      </c>
      <c r="CT88" t="e">
        <f>AND(#REF!,"AAAAAD5V/2E=")</f>
        <v>#REF!</v>
      </c>
      <c r="CU88" t="e">
        <f>AND(#REF!,"AAAAAD5V/2I=")</f>
        <v>#REF!</v>
      </c>
      <c r="CV88" t="e">
        <f>AND(#REF!,"AAAAAD5V/2M=")</f>
        <v>#REF!</v>
      </c>
      <c r="CW88" t="e">
        <f>AND(#REF!,"AAAAAD5V/2Q=")</f>
        <v>#REF!</v>
      </c>
      <c r="CX88" t="e">
        <f>AND(#REF!,"AAAAAD5V/2U=")</f>
        <v>#REF!</v>
      </c>
      <c r="CY88" t="e">
        <f>AND(#REF!,"AAAAAD5V/2Y=")</f>
        <v>#REF!</v>
      </c>
      <c r="CZ88" t="e">
        <f>AND(#REF!,"AAAAAD5V/2c=")</f>
        <v>#REF!</v>
      </c>
      <c r="DA88" t="e">
        <f>AND(#REF!,"AAAAAD5V/2g=")</f>
        <v>#REF!</v>
      </c>
      <c r="DB88" t="e">
        <f>AND(#REF!,"AAAAAD5V/2k=")</f>
        <v>#REF!</v>
      </c>
      <c r="DC88" t="e">
        <f>AND(#REF!,"AAAAAD5V/2o=")</f>
        <v>#REF!</v>
      </c>
      <c r="DD88" t="e">
        <f>IF(#REF!,"AAAAAD5V/2s=",0)</f>
        <v>#REF!</v>
      </c>
      <c r="DE88" t="e">
        <f>AND(#REF!,"AAAAAD5V/2w=")</f>
        <v>#REF!</v>
      </c>
      <c r="DF88" t="e">
        <f>AND(#REF!,"AAAAAD5V/20=")</f>
        <v>#REF!</v>
      </c>
      <c r="DG88" t="e">
        <f>AND(#REF!,"AAAAAD5V/24=")</f>
        <v>#REF!</v>
      </c>
      <c r="DH88" t="e">
        <f>AND(#REF!,"AAAAAD5V/28=")</f>
        <v>#REF!</v>
      </c>
      <c r="DI88" t="e">
        <f>AND(#REF!,"AAAAAD5V/3A=")</f>
        <v>#REF!</v>
      </c>
      <c r="DJ88" t="e">
        <f>AND(#REF!,"AAAAAD5V/3E=")</f>
        <v>#REF!</v>
      </c>
      <c r="DK88" t="e">
        <f>AND(#REF!,"AAAAAD5V/3I=")</f>
        <v>#REF!</v>
      </c>
      <c r="DL88" t="e">
        <f>AND(#REF!,"AAAAAD5V/3M=")</f>
        <v>#REF!</v>
      </c>
      <c r="DM88" t="e">
        <f>AND(#REF!,"AAAAAD5V/3Q=")</f>
        <v>#REF!</v>
      </c>
      <c r="DN88" t="e">
        <f>AND(#REF!,"AAAAAD5V/3U=")</f>
        <v>#REF!</v>
      </c>
      <c r="DO88" t="e">
        <f>IF(#REF!,"AAAAAD5V/3Y=",0)</f>
        <v>#REF!</v>
      </c>
      <c r="DP88" t="e">
        <f>AND(#REF!,"AAAAAD5V/3c=")</f>
        <v>#REF!</v>
      </c>
      <c r="DQ88" t="e">
        <f>AND(#REF!,"AAAAAD5V/3g=")</f>
        <v>#REF!</v>
      </c>
      <c r="DR88" t="e">
        <f>AND(#REF!,"AAAAAD5V/3k=")</f>
        <v>#REF!</v>
      </c>
      <c r="DS88" t="e">
        <f>AND(#REF!,"AAAAAD5V/3o=")</f>
        <v>#REF!</v>
      </c>
      <c r="DT88" t="e">
        <f>AND(#REF!,"AAAAAD5V/3s=")</f>
        <v>#REF!</v>
      </c>
      <c r="DU88" t="e">
        <f>AND(#REF!,"AAAAAD5V/3w=")</f>
        <v>#REF!</v>
      </c>
      <c r="DV88" t="e">
        <f>AND(#REF!,"AAAAAD5V/30=")</f>
        <v>#REF!</v>
      </c>
      <c r="DW88" t="e">
        <f>AND(#REF!,"AAAAAD5V/34=")</f>
        <v>#REF!</v>
      </c>
      <c r="DX88" t="e">
        <f>AND(#REF!,"AAAAAD5V/38=")</f>
        <v>#REF!</v>
      </c>
      <c r="DY88" t="e">
        <f>AND(#REF!,"AAAAAD5V/4A=")</f>
        <v>#REF!</v>
      </c>
      <c r="DZ88" t="e">
        <f>IF(#REF!,"AAAAAD5V/4E=",0)</f>
        <v>#REF!</v>
      </c>
      <c r="EA88" t="e">
        <f>AND(#REF!,"AAAAAD5V/4I=")</f>
        <v>#REF!</v>
      </c>
      <c r="EB88" t="e">
        <f>AND(#REF!,"AAAAAD5V/4M=")</f>
        <v>#REF!</v>
      </c>
      <c r="EC88" t="e">
        <f>AND(#REF!,"AAAAAD5V/4Q=")</f>
        <v>#REF!</v>
      </c>
      <c r="ED88" t="e">
        <f>AND(#REF!,"AAAAAD5V/4U=")</f>
        <v>#REF!</v>
      </c>
      <c r="EE88" t="e">
        <f>AND(#REF!,"AAAAAD5V/4Y=")</f>
        <v>#REF!</v>
      </c>
      <c r="EF88" t="e">
        <f>AND(#REF!,"AAAAAD5V/4c=")</f>
        <v>#REF!</v>
      </c>
      <c r="EG88" t="e">
        <f>AND(#REF!,"AAAAAD5V/4g=")</f>
        <v>#REF!</v>
      </c>
      <c r="EH88" t="e">
        <f>AND(#REF!,"AAAAAD5V/4k=")</f>
        <v>#REF!</v>
      </c>
      <c r="EI88" t="e">
        <f>AND(#REF!,"AAAAAD5V/4o=")</f>
        <v>#REF!</v>
      </c>
      <c r="EJ88" t="e">
        <f>AND(#REF!,"AAAAAD5V/4s=")</f>
        <v>#REF!</v>
      </c>
      <c r="EK88" t="e">
        <f>IF(#REF!,"AAAAAD5V/4w=",0)</f>
        <v>#REF!</v>
      </c>
      <c r="EL88" t="e">
        <f>AND(#REF!,"AAAAAD5V/40=")</f>
        <v>#REF!</v>
      </c>
      <c r="EM88" t="e">
        <f>AND(#REF!,"AAAAAD5V/44=")</f>
        <v>#REF!</v>
      </c>
      <c r="EN88" t="e">
        <f>AND(#REF!,"AAAAAD5V/48=")</f>
        <v>#REF!</v>
      </c>
      <c r="EO88" t="e">
        <f>AND(#REF!,"AAAAAD5V/5A=")</f>
        <v>#REF!</v>
      </c>
      <c r="EP88" t="e">
        <f>AND(#REF!,"AAAAAD5V/5E=")</f>
        <v>#REF!</v>
      </c>
      <c r="EQ88" t="e">
        <f>AND(#REF!,"AAAAAD5V/5I=")</f>
        <v>#REF!</v>
      </c>
      <c r="ER88" t="e">
        <f>AND(#REF!,"AAAAAD5V/5M=")</f>
        <v>#REF!</v>
      </c>
      <c r="ES88" t="e">
        <f>AND(#REF!,"AAAAAD5V/5Q=")</f>
        <v>#REF!</v>
      </c>
      <c r="ET88" t="e">
        <f>AND(#REF!,"AAAAAD5V/5U=")</f>
        <v>#REF!</v>
      </c>
      <c r="EU88" t="e">
        <f>AND(#REF!,"AAAAAD5V/5Y=")</f>
        <v>#REF!</v>
      </c>
      <c r="EV88" t="e">
        <f>IF(#REF!,"AAAAAD5V/5c=",0)</f>
        <v>#REF!</v>
      </c>
      <c r="EW88" t="e">
        <f>AND(#REF!,"AAAAAD5V/5g=")</f>
        <v>#REF!</v>
      </c>
      <c r="EX88" t="e">
        <f>AND(#REF!,"AAAAAD5V/5k=")</f>
        <v>#REF!</v>
      </c>
      <c r="EY88" t="e">
        <f>AND(#REF!,"AAAAAD5V/5o=")</f>
        <v>#REF!</v>
      </c>
      <c r="EZ88" t="e">
        <f>AND(#REF!,"AAAAAD5V/5s=")</f>
        <v>#REF!</v>
      </c>
      <c r="FA88" t="e">
        <f>AND(#REF!,"AAAAAD5V/5w=")</f>
        <v>#REF!</v>
      </c>
      <c r="FB88" t="e">
        <f>AND(#REF!,"AAAAAD5V/50=")</f>
        <v>#REF!</v>
      </c>
      <c r="FC88" t="e">
        <f>AND(#REF!,"AAAAAD5V/54=")</f>
        <v>#REF!</v>
      </c>
      <c r="FD88" t="e">
        <f>AND(#REF!,"AAAAAD5V/58=")</f>
        <v>#REF!</v>
      </c>
      <c r="FE88" t="e">
        <f>AND(#REF!,"AAAAAD5V/6A=")</f>
        <v>#REF!</v>
      </c>
      <c r="FF88" t="e">
        <f>AND(#REF!,"AAAAAD5V/6E=")</f>
        <v>#REF!</v>
      </c>
      <c r="FG88" t="e">
        <f>IF(#REF!,"AAAAAD5V/6I=",0)</f>
        <v>#REF!</v>
      </c>
      <c r="FH88" t="e">
        <f>AND(#REF!,"AAAAAD5V/6M=")</f>
        <v>#REF!</v>
      </c>
      <c r="FI88" t="e">
        <f>AND(#REF!,"AAAAAD5V/6Q=")</f>
        <v>#REF!</v>
      </c>
      <c r="FJ88" t="e">
        <f>AND(#REF!,"AAAAAD5V/6U=")</f>
        <v>#REF!</v>
      </c>
      <c r="FK88" t="e">
        <f>AND(#REF!,"AAAAAD5V/6Y=")</f>
        <v>#REF!</v>
      </c>
      <c r="FL88" t="e">
        <f>AND(#REF!,"AAAAAD5V/6c=")</f>
        <v>#REF!</v>
      </c>
      <c r="FM88" t="e">
        <f>AND(#REF!,"AAAAAD5V/6g=")</f>
        <v>#REF!</v>
      </c>
      <c r="FN88" t="e">
        <f>AND(#REF!,"AAAAAD5V/6k=")</f>
        <v>#REF!</v>
      </c>
      <c r="FO88" t="e">
        <f>AND(#REF!,"AAAAAD5V/6o=")</f>
        <v>#REF!</v>
      </c>
      <c r="FP88" t="e">
        <f>AND(#REF!,"AAAAAD5V/6s=")</f>
        <v>#REF!</v>
      </c>
      <c r="FQ88" t="e">
        <f>AND(#REF!,"AAAAAD5V/6w=")</f>
        <v>#REF!</v>
      </c>
      <c r="FR88" t="e">
        <f>IF(#REF!,"AAAAAD5V/60=",0)</f>
        <v>#REF!</v>
      </c>
      <c r="FS88" t="e">
        <f>AND(#REF!,"AAAAAD5V/64=")</f>
        <v>#REF!</v>
      </c>
      <c r="FT88" t="e">
        <f>AND(#REF!,"AAAAAD5V/68=")</f>
        <v>#REF!</v>
      </c>
      <c r="FU88" t="e">
        <f>AND(#REF!,"AAAAAD5V/7A=")</f>
        <v>#REF!</v>
      </c>
      <c r="FV88" t="e">
        <f>AND(#REF!,"AAAAAD5V/7E=")</f>
        <v>#REF!</v>
      </c>
      <c r="FW88" t="e">
        <f>AND(#REF!,"AAAAAD5V/7I=")</f>
        <v>#REF!</v>
      </c>
      <c r="FX88" t="e">
        <f>AND(#REF!,"AAAAAD5V/7M=")</f>
        <v>#REF!</v>
      </c>
      <c r="FY88" t="e">
        <f>AND(#REF!,"AAAAAD5V/7Q=")</f>
        <v>#REF!</v>
      </c>
      <c r="FZ88" t="e">
        <f>AND(#REF!,"AAAAAD5V/7U=")</f>
        <v>#REF!</v>
      </c>
      <c r="GA88" t="e">
        <f>AND(#REF!,"AAAAAD5V/7Y=")</f>
        <v>#REF!</v>
      </c>
      <c r="GB88" t="e">
        <f>AND(#REF!,"AAAAAD5V/7c=")</f>
        <v>#REF!</v>
      </c>
      <c r="GC88" t="e">
        <f>IF(#REF!,"AAAAAD5V/7g=",0)</f>
        <v>#REF!</v>
      </c>
      <c r="GD88" t="e">
        <f>AND(#REF!,"AAAAAD5V/7k=")</f>
        <v>#REF!</v>
      </c>
      <c r="GE88" t="e">
        <f>AND(#REF!,"AAAAAD5V/7o=")</f>
        <v>#REF!</v>
      </c>
      <c r="GF88" t="e">
        <f>AND(#REF!,"AAAAAD5V/7s=")</f>
        <v>#REF!</v>
      </c>
      <c r="GG88" t="e">
        <f>AND(#REF!,"AAAAAD5V/7w=")</f>
        <v>#REF!</v>
      </c>
      <c r="GH88" t="e">
        <f>AND(#REF!,"AAAAAD5V/70=")</f>
        <v>#REF!</v>
      </c>
      <c r="GI88" t="e">
        <f>AND(#REF!,"AAAAAD5V/74=")</f>
        <v>#REF!</v>
      </c>
      <c r="GJ88" t="e">
        <f>AND(#REF!,"AAAAAD5V/78=")</f>
        <v>#REF!</v>
      </c>
      <c r="GK88" t="e">
        <f>AND(#REF!,"AAAAAD5V/8A=")</f>
        <v>#REF!</v>
      </c>
      <c r="GL88" t="e">
        <f>AND(#REF!,"AAAAAD5V/8E=")</f>
        <v>#REF!</v>
      </c>
      <c r="GM88" t="e">
        <f>AND(#REF!,"AAAAAD5V/8I=")</f>
        <v>#REF!</v>
      </c>
      <c r="GN88" t="e">
        <f>IF(#REF!,"AAAAAD5V/8M=",0)</f>
        <v>#REF!</v>
      </c>
      <c r="GO88" t="e">
        <f>AND(#REF!,"AAAAAD5V/8Q=")</f>
        <v>#REF!</v>
      </c>
      <c r="GP88" t="e">
        <f>AND(#REF!,"AAAAAD5V/8U=")</f>
        <v>#REF!</v>
      </c>
      <c r="GQ88" t="e">
        <f>AND(#REF!,"AAAAAD5V/8Y=")</f>
        <v>#REF!</v>
      </c>
      <c r="GR88" t="e">
        <f>AND(#REF!,"AAAAAD5V/8c=")</f>
        <v>#REF!</v>
      </c>
      <c r="GS88" t="e">
        <f>AND(#REF!,"AAAAAD5V/8g=")</f>
        <v>#REF!</v>
      </c>
      <c r="GT88" t="e">
        <f>AND(#REF!,"AAAAAD5V/8k=")</f>
        <v>#REF!</v>
      </c>
      <c r="GU88" t="e">
        <f>AND(#REF!,"AAAAAD5V/8o=")</f>
        <v>#REF!</v>
      </c>
      <c r="GV88" t="e">
        <f>AND(#REF!,"AAAAAD5V/8s=")</f>
        <v>#REF!</v>
      </c>
      <c r="GW88" t="e">
        <f>AND(#REF!,"AAAAAD5V/8w=")</f>
        <v>#REF!</v>
      </c>
      <c r="GX88" t="e">
        <f>AND(#REF!,"AAAAAD5V/80=")</f>
        <v>#REF!</v>
      </c>
      <c r="GY88" t="e">
        <f>IF(#REF!,"AAAAAD5V/84=",0)</f>
        <v>#REF!</v>
      </c>
      <c r="GZ88" t="e">
        <f>AND(#REF!,"AAAAAD5V/88=")</f>
        <v>#REF!</v>
      </c>
      <c r="HA88" t="e">
        <f>AND(#REF!,"AAAAAD5V/9A=")</f>
        <v>#REF!</v>
      </c>
      <c r="HB88" t="e">
        <f>AND(#REF!,"AAAAAD5V/9E=")</f>
        <v>#REF!</v>
      </c>
      <c r="HC88" t="e">
        <f>AND(#REF!,"AAAAAD5V/9I=")</f>
        <v>#REF!</v>
      </c>
      <c r="HD88" t="e">
        <f>AND(#REF!,"AAAAAD5V/9M=")</f>
        <v>#REF!</v>
      </c>
      <c r="HE88" t="e">
        <f>AND(#REF!,"AAAAAD5V/9Q=")</f>
        <v>#REF!</v>
      </c>
      <c r="HF88" t="e">
        <f>AND(#REF!,"AAAAAD5V/9U=")</f>
        <v>#REF!</v>
      </c>
      <c r="HG88" t="e">
        <f>AND(#REF!,"AAAAAD5V/9Y=")</f>
        <v>#REF!</v>
      </c>
      <c r="HH88" t="e">
        <f>AND(#REF!,"AAAAAD5V/9c=")</f>
        <v>#REF!</v>
      </c>
      <c r="HI88" t="e">
        <f>AND(#REF!,"AAAAAD5V/9g=")</f>
        <v>#REF!</v>
      </c>
      <c r="HJ88" t="e">
        <f>IF(#REF!,"AAAAAD5V/9k=",0)</f>
        <v>#REF!</v>
      </c>
      <c r="HK88" t="e">
        <f>AND(#REF!,"AAAAAD5V/9o=")</f>
        <v>#REF!</v>
      </c>
      <c r="HL88" t="e">
        <f>AND(#REF!,"AAAAAD5V/9s=")</f>
        <v>#REF!</v>
      </c>
      <c r="HM88" t="e">
        <f>AND(#REF!,"AAAAAD5V/9w=")</f>
        <v>#REF!</v>
      </c>
      <c r="HN88" t="e">
        <f>AND(#REF!,"AAAAAD5V/90=")</f>
        <v>#REF!</v>
      </c>
      <c r="HO88" t="e">
        <f>AND(#REF!,"AAAAAD5V/94=")</f>
        <v>#REF!</v>
      </c>
      <c r="HP88" t="e">
        <f>AND(#REF!,"AAAAAD5V/98=")</f>
        <v>#REF!</v>
      </c>
      <c r="HQ88" t="e">
        <f>AND(#REF!,"AAAAAD5V/+A=")</f>
        <v>#REF!</v>
      </c>
      <c r="HR88" t="e">
        <f>AND(#REF!,"AAAAAD5V/+E=")</f>
        <v>#REF!</v>
      </c>
      <c r="HS88" t="e">
        <f>AND(#REF!,"AAAAAD5V/+I=")</f>
        <v>#REF!</v>
      </c>
      <c r="HT88" t="e">
        <f>AND(#REF!,"AAAAAD5V/+M=")</f>
        <v>#REF!</v>
      </c>
      <c r="HU88" t="e">
        <f>IF(#REF!,"AAAAAD5V/+Q=",0)</f>
        <v>#REF!</v>
      </c>
      <c r="HV88" t="e">
        <f>AND(#REF!,"AAAAAD5V/+U=")</f>
        <v>#REF!</v>
      </c>
      <c r="HW88" t="e">
        <f>AND(#REF!,"AAAAAD5V/+Y=")</f>
        <v>#REF!</v>
      </c>
      <c r="HX88" t="e">
        <f>AND(#REF!,"AAAAAD5V/+c=")</f>
        <v>#REF!</v>
      </c>
      <c r="HY88" t="e">
        <f>AND(#REF!,"AAAAAD5V/+g=")</f>
        <v>#REF!</v>
      </c>
      <c r="HZ88" t="e">
        <f>AND(#REF!,"AAAAAD5V/+k=")</f>
        <v>#REF!</v>
      </c>
      <c r="IA88" t="e">
        <f>AND(#REF!,"AAAAAD5V/+o=")</f>
        <v>#REF!</v>
      </c>
      <c r="IB88" t="e">
        <f>AND(#REF!,"AAAAAD5V/+s=")</f>
        <v>#REF!</v>
      </c>
      <c r="IC88" t="e">
        <f>AND(#REF!,"AAAAAD5V/+w=")</f>
        <v>#REF!</v>
      </c>
      <c r="ID88" t="e">
        <f>AND(#REF!,"AAAAAD5V/+0=")</f>
        <v>#REF!</v>
      </c>
      <c r="IE88" t="e">
        <f>AND(#REF!,"AAAAAD5V/+4=")</f>
        <v>#REF!</v>
      </c>
      <c r="IF88" t="e">
        <f>IF(#REF!,"AAAAAD5V/+8=",0)</f>
        <v>#REF!</v>
      </c>
      <c r="IG88" t="e">
        <f>AND(#REF!,"AAAAAD5V//A=")</f>
        <v>#REF!</v>
      </c>
      <c r="IH88" t="e">
        <f>AND(#REF!,"AAAAAD5V//E=")</f>
        <v>#REF!</v>
      </c>
      <c r="II88" t="e">
        <f>AND(#REF!,"AAAAAD5V//I=")</f>
        <v>#REF!</v>
      </c>
      <c r="IJ88" t="e">
        <f>AND(#REF!,"AAAAAD5V//M=")</f>
        <v>#REF!</v>
      </c>
      <c r="IK88" t="e">
        <f>AND(#REF!,"AAAAAD5V//Q=")</f>
        <v>#REF!</v>
      </c>
      <c r="IL88" t="e">
        <f>AND(#REF!,"AAAAAD5V//U=")</f>
        <v>#REF!</v>
      </c>
      <c r="IM88" t="e">
        <f>AND(#REF!,"AAAAAD5V//Y=")</f>
        <v>#REF!</v>
      </c>
      <c r="IN88" t="e">
        <f>AND(#REF!,"AAAAAD5V//c=")</f>
        <v>#REF!</v>
      </c>
      <c r="IO88" t="e">
        <f>AND(#REF!,"AAAAAD5V//g=")</f>
        <v>#REF!</v>
      </c>
      <c r="IP88" t="e">
        <f>AND(#REF!,"AAAAAD5V//k=")</f>
        <v>#REF!</v>
      </c>
      <c r="IQ88" t="e">
        <f>IF(#REF!,"AAAAAD5V//o=",0)</f>
        <v>#REF!</v>
      </c>
      <c r="IR88" t="e">
        <f>AND(#REF!,"AAAAAD5V//s=")</f>
        <v>#REF!</v>
      </c>
      <c r="IS88" t="e">
        <f>AND(#REF!,"AAAAAD5V//w=")</f>
        <v>#REF!</v>
      </c>
      <c r="IT88" t="e">
        <f>AND(#REF!,"AAAAAD5V//0=")</f>
        <v>#REF!</v>
      </c>
      <c r="IU88" t="e">
        <f>AND(#REF!,"AAAAAD5V//4=")</f>
        <v>#REF!</v>
      </c>
      <c r="IV88" t="e">
        <f>AND(#REF!,"AAAAAD5V//8=")</f>
        <v>#REF!</v>
      </c>
    </row>
    <row r="89" spans="1:256" x14ac:dyDescent="0.25">
      <c r="A89" t="e">
        <f>AND(#REF!,"AAAAAGb/NgA=")</f>
        <v>#REF!</v>
      </c>
      <c r="B89" t="e">
        <f>AND(#REF!,"AAAAAGb/NgE=")</f>
        <v>#REF!</v>
      </c>
      <c r="C89" t="e">
        <f>AND(#REF!,"AAAAAGb/NgI=")</f>
        <v>#REF!</v>
      </c>
      <c r="D89" t="e">
        <f>AND(#REF!,"AAAAAGb/NgM=")</f>
        <v>#REF!</v>
      </c>
      <c r="E89" t="e">
        <f>AND(#REF!,"AAAAAGb/NgQ=")</f>
        <v>#REF!</v>
      </c>
      <c r="F89" t="e">
        <f>IF(#REF!,"AAAAAGb/NgU=",0)</f>
        <v>#REF!</v>
      </c>
      <c r="G89" t="e">
        <f>AND(#REF!,"AAAAAGb/NgY=")</f>
        <v>#REF!</v>
      </c>
      <c r="H89" t="e">
        <f>AND(#REF!,"AAAAAGb/Ngc=")</f>
        <v>#REF!</v>
      </c>
      <c r="I89" t="e">
        <f>AND(#REF!,"AAAAAGb/Ngg=")</f>
        <v>#REF!</v>
      </c>
      <c r="J89" t="e">
        <f>AND(#REF!,"AAAAAGb/Ngk=")</f>
        <v>#REF!</v>
      </c>
      <c r="K89" t="e">
        <f>AND(#REF!,"AAAAAGb/Ngo=")</f>
        <v>#REF!</v>
      </c>
      <c r="L89" t="e">
        <f>AND(#REF!,"AAAAAGb/Ngs=")</f>
        <v>#REF!</v>
      </c>
      <c r="M89" t="e">
        <f>AND(#REF!,"AAAAAGb/Ngw=")</f>
        <v>#REF!</v>
      </c>
      <c r="N89" t="e">
        <f>AND(#REF!,"AAAAAGb/Ng0=")</f>
        <v>#REF!</v>
      </c>
      <c r="O89" t="e">
        <f>AND(#REF!,"AAAAAGb/Ng4=")</f>
        <v>#REF!</v>
      </c>
      <c r="P89" t="e">
        <f>AND(#REF!,"AAAAAGb/Ng8=")</f>
        <v>#REF!</v>
      </c>
      <c r="Q89" t="e">
        <f>IF(#REF!,"AAAAAGb/NhA=",0)</f>
        <v>#REF!</v>
      </c>
      <c r="R89" t="e">
        <f>AND(#REF!,"AAAAAGb/NhE=")</f>
        <v>#REF!</v>
      </c>
      <c r="S89" t="e">
        <f>AND(#REF!,"AAAAAGb/NhI=")</f>
        <v>#REF!</v>
      </c>
      <c r="T89" t="e">
        <f>AND(#REF!,"AAAAAGb/NhM=")</f>
        <v>#REF!</v>
      </c>
      <c r="U89" t="e">
        <f>AND(#REF!,"AAAAAGb/NhQ=")</f>
        <v>#REF!</v>
      </c>
      <c r="V89" t="e">
        <f>AND(#REF!,"AAAAAGb/NhU=")</f>
        <v>#REF!</v>
      </c>
      <c r="W89" t="e">
        <f>AND(#REF!,"AAAAAGb/NhY=")</f>
        <v>#REF!</v>
      </c>
      <c r="X89" t="e">
        <f>AND(#REF!,"AAAAAGb/Nhc=")</f>
        <v>#REF!</v>
      </c>
      <c r="Y89" t="e">
        <f>AND(#REF!,"AAAAAGb/Nhg=")</f>
        <v>#REF!</v>
      </c>
      <c r="Z89" t="e">
        <f>AND(#REF!,"AAAAAGb/Nhk=")</f>
        <v>#REF!</v>
      </c>
      <c r="AA89" t="e">
        <f>AND(#REF!,"AAAAAGb/Nho=")</f>
        <v>#REF!</v>
      </c>
      <c r="AB89" t="e">
        <f>IF(#REF!,"AAAAAGb/Nhs=",0)</f>
        <v>#REF!</v>
      </c>
      <c r="AC89" t="e">
        <f>AND(#REF!,"AAAAAGb/Nhw=")</f>
        <v>#REF!</v>
      </c>
      <c r="AD89" t="e">
        <f>AND(#REF!,"AAAAAGb/Nh0=")</f>
        <v>#REF!</v>
      </c>
      <c r="AE89" t="e">
        <f>AND(#REF!,"AAAAAGb/Nh4=")</f>
        <v>#REF!</v>
      </c>
      <c r="AF89" t="e">
        <f>AND(#REF!,"AAAAAGb/Nh8=")</f>
        <v>#REF!</v>
      </c>
      <c r="AG89" t="e">
        <f>AND(#REF!,"AAAAAGb/NiA=")</f>
        <v>#REF!</v>
      </c>
      <c r="AH89" t="e">
        <f>AND(#REF!,"AAAAAGb/NiE=")</f>
        <v>#REF!</v>
      </c>
      <c r="AI89" t="e">
        <f>AND(#REF!,"AAAAAGb/NiI=")</f>
        <v>#REF!</v>
      </c>
      <c r="AJ89" t="e">
        <f>AND(#REF!,"AAAAAGb/NiM=")</f>
        <v>#REF!</v>
      </c>
      <c r="AK89" t="e">
        <f>AND(#REF!,"AAAAAGb/NiQ=")</f>
        <v>#REF!</v>
      </c>
      <c r="AL89" t="e">
        <f>AND(#REF!,"AAAAAGb/NiU=")</f>
        <v>#REF!</v>
      </c>
      <c r="AM89" t="e">
        <f>IF(#REF!,"AAAAAGb/NiY=",0)</f>
        <v>#REF!</v>
      </c>
      <c r="AN89" t="e">
        <f>AND(#REF!,"AAAAAGb/Nic=")</f>
        <v>#REF!</v>
      </c>
      <c r="AO89" t="e">
        <f>AND(#REF!,"AAAAAGb/Nig=")</f>
        <v>#REF!</v>
      </c>
      <c r="AP89" t="e">
        <f>AND(#REF!,"AAAAAGb/Nik=")</f>
        <v>#REF!</v>
      </c>
      <c r="AQ89" t="e">
        <f>AND(#REF!,"AAAAAGb/Nio=")</f>
        <v>#REF!</v>
      </c>
      <c r="AR89" t="e">
        <f>AND(#REF!,"AAAAAGb/Nis=")</f>
        <v>#REF!</v>
      </c>
      <c r="AS89" t="e">
        <f>AND(#REF!,"AAAAAGb/Niw=")</f>
        <v>#REF!</v>
      </c>
      <c r="AT89" t="e">
        <f>AND(#REF!,"AAAAAGb/Ni0=")</f>
        <v>#REF!</v>
      </c>
      <c r="AU89" t="e">
        <f>AND(#REF!,"AAAAAGb/Ni4=")</f>
        <v>#REF!</v>
      </c>
      <c r="AV89" t="e">
        <f>AND(#REF!,"AAAAAGb/Ni8=")</f>
        <v>#REF!</v>
      </c>
      <c r="AW89" t="e">
        <f>AND(#REF!,"AAAAAGb/NjA=")</f>
        <v>#REF!</v>
      </c>
      <c r="AX89" t="e">
        <f>IF(#REF!,"AAAAAGb/NjE=",0)</f>
        <v>#REF!</v>
      </c>
      <c r="AY89" t="e">
        <f>AND(#REF!,"AAAAAGb/NjI=")</f>
        <v>#REF!</v>
      </c>
      <c r="AZ89" t="e">
        <f>AND(#REF!,"AAAAAGb/NjM=")</f>
        <v>#REF!</v>
      </c>
      <c r="BA89" t="e">
        <f>AND(#REF!,"AAAAAGb/NjQ=")</f>
        <v>#REF!</v>
      </c>
      <c r="BB89" t="e">
        <f>AND(#REF!,"AAAAAGb/NjU=")</f>
        <v>#REF!</v>
      </c>
      <c r="BC89" t="e">
        <f>AND(#REF!,"AAAAAGb/NjY=")</f>
        <v>#REF!</v>
      </c>
      <c r="BD89" t="e">
        <f>AND(#REF!,"AAAAAGb/Njc=")</f>
        <v>#REF!</v>
      </c>
      <c r="BE89" t="e">
        <f>AND(#REF!,"AAAAAGb/Njg=")</f>
        <v>#REF!</v>
      </c>
      <c r="BF89" t="e">
        <f>AND(#REF!,"AAAAAGb/Njk=")</f>
        <v>#REF!</v>
      </c>
      <c r="BG89" t="e">
        <f>AND(#REF!,"AAAAAGb/Njo=")</f>
        <v>#REF!</v>
      </c>
      <c r="BH89" t="e">
        <f>AND(#REF!,"AAAAAGb/Njs=")</f>
        <v>#REF!</v>
      </c>
      <c r="BI89" t="e">
        <f>IF(#REF!,"AAAAAGb/Njw=",0)</f>
        <v>#REF!</v>
      </c>
      <c r="BJ89" t="e">
        <f>AND(#REF!,"AAAAAGb/Nj0=")</f>
        <v>#REF!</v>
      </c>
      <c r="BK89" t="e">
        <f>AND(#REF!,"AAAAAGb/Nj4=")</f>
        <v>#REF!</v>
      </c>
      <c r="BL89" t="e">
        <f>AND(#REF!,"AAAAAGb/Nj8=")</f>
        <v>#REF!</v>
      </c>
      <c r="BM89" t="e">
        <f>AND(#REF!,"AAAAAGb/NkA=")</f>
        <v>#REF!</v>
      </c>
      <c r="BN89" t="e">
        <f>AND(#REF!,"AAAAAGb/NkE=")</f>
        <v>#REF!</v>
      </c>
      <c r="BO89" t="e">
        <f>AND(#REF!,"AAAAAGb/NkI=")</f>
        <v>#REF!</v>
      </c>
      <c r="BP89" t="e">
        <f>AND(#REF!,"AAAAAGb/NkM=")</f>
        <v>#REF!</v>
      </c>
      <c r="BQ89" t="e">
        <f>AND(#REF!,"AAAAAGb/NkQ=")</f>
        <v>#REF!</v>
      </c>
      <c r="BR89" t="e">
        <f>AND(#REF!,"AAAAAGb/NkU=")</f>
        <v>#REF!</v>
      </c>
      <c r="BS89" t="e">
        <f>AND(#REF!,"AAAAAGb/NkY=")</f>
        <v>#REF!</v>
      </c>
      <c r="BT89" t="e">
        <f>IF(#REF!,"AAAAAGb/Nkc=",0)</f>
        <v>#REF!</v>
      </c>
      <c r="BU89" t="e">
        <f>AND(#REF!,"AAAAAGb/Nkg=")</f>
        <v>#REF!</v>
      </c>
      <c r="BV89" t="e">
        <f>AND(#REF!,"AAAAAGb/Nkk=")</f>
        <v>#REF!</v>
      </c>
      <c r="BW89" t="e">
        <f>AND(#REF!,"AAAAAGb/Nko=")</f>
        <v>#REF!</v>
      </c>
      <c r="BX89" t="e">
        <f>AND(#REF!,"AAAAAGb/Nks=")</f>
        <v>#REF!</v>
      </c>
      <c r="BY89" t="e">
        <f>AND(#REF!,"AAAAAGb/Nkw=")</f>
        <v>#REF!</v>
      </c>
      <c r="BZ89" t="e">
        <f>AND(#REF!,"AAAAAGb/Nk0=")</f>
        <v>#REF!</v>
      </c>
      <c r="CA89" t="e">
        <f>AND(#REF!,"AAAAAGb/Nk4=")</f>
        <v>#REF!</v>
      </c>
      <c r="CB89" t="e">
        <f>AND(#REF!,"AAAAAGb/Nk8=")</f>
        <v>#REF!</v>
      </c>
      <c r="CC89" t="e">
        <f>AND(#REF!,"AAAAAGb/NlA=")</f>
        <v>#REF!</v>
      </c>
      <c r="CD89" t="e">
        <f>AND(#REF!,"AAAAAGb/NlE=")</f>
        <v>#REF!</v>
      </c>
      <c r="CE89" t="e">
        <f>IF(#REF!,"AAAAAGb/NlI=",0)</f>
        <v>#REF!</v>
      </c>
      <c r="CF89" t="e">
        <f>AND(#REF!,"AAAAAGb/NlM=")</f>
        <v>#REF!</v>
      </c>
      <c r="CG89" t="e">
        <f>AND(#REF!,"AAAAAGb/NlQ=")</f>
        <v>#REF!</v>
      </c>
      <c r="CH89" t="e">
        <f>AND(#REF!,"AAAAAGb/NlU=")</f>
        <v>#REF!</v>
      </c>
      <c r="CI89" t="e">
        <f>AND(#REF!,"AAAAAGb/NlY=")</f>
        <v>#REF!</v>
      </c>
      <c r="CJ89" t="e">
        <f>AND(#REF!,"AAAAAGb/Nlc=")</f>
        <v>#REF!</v>
      </c>
      <c r="CK89" t="e">
        <f>AND(#REF!,"AAAAAGb/Nlg=")</f>
        <v>#REF!</v>
      </c>
      <c r="CL89" t="e">
        <f>AND(#REF!,"AAAAAGb/Nlk=")</f>
        <v>#REF!</v>
      </c>
      <c r="CM89" t="e">
        <f>AND(#REF!,"AAAAAGb/Nlo=")</f>
        <v>#REF!</v>
      </c>
      <c r="CN89" t="e">
        <f>AND(#REF!,"AAAAAGb/Nls=")</f>
        <v>#REF!</v>
      </c>
      <c r="CO89" t="e">
        <f>AND(#REF!,"AAAAAGb/Nlw=")</f>
        <v>#REF!</v>
      </c>
      <c r="CP89" t="e">
        <f>IF(#REF!,"AAAAAGb/Nl0=",0)</f>
        <v>#REF!</v>
      </c>
      <c r="CQ89" t="e">
        <f>AND(#REF!,"AAAAAGb/Nl4=")</f>
        <v>#REF!</v>
      </c>
      <c r="CR89" t="e">
        <f>AND(#REF!,"AAAAAGb/Nl8=")</f>
        <v>#REF!</v>
      </c>
      <c r="CS89" t="e">
        <f>AND(#REF!,"AAAAAGb/NmA=")</f>
        <v>#REF!</v>
      </c>
      <c r="CT89" t="e">
        <f>AND(#REF!,"AAAAAGb/NmE=")</f>
        <v>#REF!</v>
      </c>
      <c r="CU89" t="e">
        <f>AND(#REF!,"AAAAAGb/NmI=")</f>
        <v>#REF!</v>
      </c>
      <c r="CV89" t="e">
        <f>AND(#REF!,"AAAAAGb/NmM=")</f>
        <v>#REF!</v>
      </c>
      <c r="CW89" t="e">
        <f>AND(#REF!,"AAAAAGb/NmQ=")</f>
        <v>#REF!</v>
      </c>
      <c r="CX89" t="e">
        <f>AND(#REF!,"AAAAAGb/NmU=")</f>
        <v>#REF!</v>
      </c>
      <c r="CY89" t="e">
        <f>AND(#REF!,"AAAAAGb/NmY=")</f>
        <v>#REF!</v>
      </c>
      <c r="CZ89" t="e">
        <f>AND(#REF!,"AAAAAGb/Nmc=")</f>
        <v>#REF!</v>
      </c>
      <c r="DA89" t="e">
        <f>IF(#REF!,"AAAAAGb/Nmg=",0)</f>
        <v>#REF!</v>
      </c>
      <c r="DB89" t="e">
        <f>AND(#REF!,"AAAAAGb/Nmk=")</f>
        <v>#REF!</v>
      </c>
      <c r="DC89" t="e">
        <f>AND(#REF!,"AAAAAGb/Nmo=")</f>
        <v>#REF!</v>
      </c>
      <c r="DD89" t="e">
        <f>AND(#REF!,"AAAAAGb/Nms=")</f>
        <v>#REF!</v>
      </c>
      <c r="DE89" t="e">
        <f>AND(#REF!,"AAAAAGb/Nmw=")</f>
        <v>#REF!</v>
      </c>
      <c r="DF89" t="e">
        <f>AND(#REF!,"AAAAAGb/Nm0=")</f>
        <v>#REF!</v>
      </c>
      <c r="DG89" t="e">
        <f>AND(#REF!,"AAAAAGb/Nm4=")</f>
        <v>#REF!</v>
      </c>
      <c r="DH89" t="e">
        <f>AND(#REF!,"AAAAAGb/Nm8=")</f>
        <v>#REF!</v>
      </c>
      <c r="DI89" t="e">
        <f>AND(#REF!,"AAAAAGb/NnA=")</f>
        <v>#REF!</v>
      </c>
      <c r="DJ89" t="e">
        <f>AND(#REF!,"AAAAAGb/NnE=")</f>
        <v>#REF!</v>
      </c>
      <c r="DK89" t="e">
        <f>AND(#REF!,"AAAAAGb/NnI=")</f>
        <v>#REF!</v>
      </c>
      <c r="DL89" t="e">
        <f>IF(#REF!,"AAAAAGb/NnM=",0)</f>
        <v>#REF!</v>
      </c>
      <c r="DM89" t="e">
        <f>AND(#REF!,"AAAAAGb/NnQ=")</f>
        <v>#REF!</v>
      </c>
      <c r="DN89" t="e">
        <f>AND(#REF!,"AAAAAGb/NnU=")</f>
        <v>#REF!</v>
      </c>
      <c r="DO89" t="e">
        <f>AND(#REF!,"AAAAAGb/NnY=")</f>
        <v>#REF!</v>
      </c>
      <c r="DP89" t="e">
        <f>AND(#REF!,"AAAAAGb/Nnc=")</f>
        <v>#REF!</v>
      </c>
      <c r="DQ89" t="e">
        <f>AND(#REF!,"AAAAAGb/Nng=")</f>
        <v>#REF!</v>
      </c>
      <c r="DR89" t="e">
        <f>AND(#REF!,"AAAAAGb/Nnk=")</f>
        <v>#REF!</v>
      </c>
      <c r="DS89" t="e">
        <f>AND(#REF!,"AAAAAGb/Nno=")</f>
        <v>#REF!</v>
      </c>
      <c r="DT89" t="e">
        <f>AND(#REF!,"AAAAAGb/Nns=")</f>
        <v>#REF!</v>
      </c>
      <c r="DU89" t="e">
        <f>AND(#REF!,"AAAAAGb/Nnw=")</f>
        <v>#REF!</v>
      </c>
      <c r="DV89" t="e">
        <f>AND(#REF!,"AAAAAGb/Nn0=")</f>
        <v>#REF!</v>
      </c>
      <c r="DW89" t="e">
        <f>IF(#REF!,"AAAAAGb/Nn4=",0)</f>
        <v>#REF!</v>
      </c>
      <c r="DX89" t="e">
        <f>AND(#REF!,"AAAAAGb/Nn8=")</f>
        <v>#REF!</v>
      </c>
      <c r="DY89" t="e">
        <f>AND(#REF!,"AAAAAGb/NoA=")</f>
        <v>#REF!</v>
      </c>
      <c r="DZ89" t="e">
        <f>AND(#REF!,"AAAAAGb/NoE=")</f>
        <v>#REF!</v>
      </c>
      <c r="EA89" t="e">
        <f>AND(#REF!,"AAAAAGb/NoI=")</f>
        <v>#REF!</v>
      </c>
      <c r="EB89" t="e">
        <f>AND(#REF!,"AAAAAGb/NoM=")</f>
        <v>#REF!</v>
      </c>
      <c r="EC89" t="e">
        <f>AND(#REF!,"AAAAAGb/NoQ=")</f>
        <v>#REF!</v>
      </c>
      <c r="ED89" t="e">
        <f>AND(#REF!,"AAAAAGb/NoU=")</f>
        <v>#REF!</v>
      </c>
      <c r="EE89" t="e">
        <f>AND(#REF!,"AAAAAGb/NoY=")</f>
        <v>#REF!</v>
      </c>
      <c r="EF89" t="e">
        <f>AND(#REF!,"AAAAAGb/Noc=")</f>
        <v>#REF!</v>
      </c>
      <c r="EG89" t="e">
        <f>AND(#REF!,"AAAAAGb/Nog=")</f>
        <v>#REF!</v>
      </c>
      <c r="EH89" t="e">
        <f>IF(#REF!,"AAAAAGb/Nok=",0)</f>
        <v>#REF!</v>
      </c>
      <c r="EI89" t="e">
        <f>AND(#REF!,"AAAAAGb/Noo=")</f>
        <v>#REF!</v>
      </c>
      <c r="EJ89" t="e">
        <f>AND(#REF!,"AAAAAGb/Nos=")</f>
        <v>#REF!</v>
      </c>
      <c r="EK89" t="e">
        <f>AND(#REF!,"AAAAAGb/Now=")</f>
        <v>#REF!</v>
      </c>
      <c r="EL89" t="e">
        <f>AND(#REF!,"AAAAAGb/No0=")</f>
        <v>#REF!</v>
      </c>
      <c r="EM89" t="e">
        <f>AND(#REF!,"AAAAAGb/No4=")</f>
        <v>#REF!</v>
      </c>
      <c r="EN89" t="e">
        <f>AND(#REF!,"AAAAAGb/No8=")</f>
        <v>#REF!</v>
      </c>
      <c r="EO89" t="e">
        <f>AND(#REF!,"AAAAAGb/NpA=")</f>
        <v>#REF!</v>
      </c>
      <c r="EP89" t="e">
        <f>AND(#REF!,"AAAAAGb/NpE=")</f>
        <v>#REF!</v>
      </c>
      <c r="EQ89" t="e">
        <f>AND(#REF!,"AAAAAGb/NpI=")</f>
        <v>#REF!</v>
      </c>
      <c r="ER89" t="e">
        <f>AND(#REF!,"AAAAAGb/NpM=")</f>
        <v>#REF!</v>
      </c>
      <c r="ES89" t="e">
        <f>IF(#REF!,"AAAAAGb/NpQ=",0)</f>
        <v>#REF!</v>
      </c>
      <c r="ET89" t="e">
        <f>AND(#REF!,"AAAAAGb/NpU=")</f>
        <v>#REF!</v>
      </c>
      <c r="EU89" t="e">
        <f>AND(#REF!,"AAAAAGb/NpY=")</f>
        <v>#REF!</v>
      </c>
      <c r="EV89" t="e">
        <f>AND(#REF!,"AAAAAGb/Npc=")</f>
        <v>#REF!</v>
      </c>
      <c r="EW89" t="e">
        <f>AND(#REF!,"AAAAAGb/Npg=")</f>
        <v>#REF!</v>
      </c>
      <c r="EX89" t="e">
        <f>AND(#REF!,"AAAAAGb/Npk=")</f>
        <v>#REF!</v>
      </c>
      <c r="EY89" t="e">
        <f>AND(#REF!,"AAAAAGb/Npo=")</f>
        <v>#REF!</v>
      </c>
      <c r="EZ89" t="e">
        <f>AND(#REF!,"AAAAAGb/Nps=")</f>
        <v>#REF!</v>
      </c>
      <c r="FA89" t="e">
        <f>AND(#REF!,"AAAAAGb/Npw=")</f>
        <v>#REF!</v>
      </c>
      <c r="FB89" t="e">
        <f>AND(#REF!,"AAAAAGb/Np0=")</f>
        <v>#REF!</v>
      </c>
      <c r="FC89" t="e">
        <f>AND(#REF!,"AAAAAGb/Np4=")</f>
        <v>#REF!</v>
      </c>
      <c r="FD89" t="e">
        <f>IF(#REF!,"AAAAAGb/Np8=",0)</f>
        <v>#REF!</v>
      </c>
      <c r="FE89" t="e">
        <f>AND(#REF!,"AAAAAGb/NqA=")</f>
        <v>#REF!</v>
      </c>
      <c r="FF89" t="e">
        <f>AND(#REF!,"AAAAAGb/NqE=")</f>
        <v>#REF!</v>
      </c>
      <c r="FG89" t="e">
        <f>AND(#REF!,"AAAAAGb/NqI=")</f>
        <v>#REF!</v>
      </c>
      <c r="FH89" t="e">
        <f>AND(#REF!,"AAAAAGb/NqM=")</f>
        <v>#REF!</v>
      </c>
      <c r="FI89" t="e">
        <f>AND(#REF!,"AAAAAGb/NqQ=")</f>
        <v>#REF!</v>
      </c>
      <c r="FJ89" t="e">
        <f>AND(#REF!,"AAAAAGb/NqU=")</f>
        <v>#REF!</v>
      </c>
      <c r="FK89" t="e">
        <f>AND(#REF!,"AAAAAGb/NqY=")</f>
        <v>#REF!</v>
      </c>
      <c r="FL89" t="e">
        <f>AND(#REF!,"AAAAAGb/Nqc=")</f>
        <v>#REF!</v>
      </c>
      <c r="FM89" t="e">
        <f>AND(#REF!,"AAAAAGb/Nqg=")</f>
        <v>#REF!</v>
      </c>
      <c r="FN89" t="e">
        <f>AND(#REF!,"AAAAAGb/Nqk=")</f>
        <v>#REF!</v>
      </c>
      <c r="FO89" t="e">
        <f>IF(#REF!,"AAAAAGb/Nqo=",0)</f>
        <v>#REF!</v>
      </c>
      <c r="FP89" t="e">
        <f>AND(#REF!,"AAAAAGb/Nqs=")</f>
        <v>#REF!</v>
      </c>
      <c r="FQ89" t="e">
        <f>AND(#REF!,"AAAAAGb/Nqw=")</f>
        <v>#REF!</v>
      </c>
      <c r="FR89" t="e">
        <f>AND(#REF!,"AAAAAGb/Nq0=")</f>
        <v>#REF!</v>
      </c>
      <c r="FS89" t="e">
        <f>AND(#REF!,"AAAAAGb/Nq4=")</f>
        <v>#REF!</v>
      </c>
      <c r="FT89" t="e">
        <f>AND(#REF!,"AAAAAGb/Nq8=")</f>
        <v>#REF!</v>
      </c>
      <c r="FU89" t="e">
        <f>AND(#REF!,"AAAAAGb/NrA=")</f>
        <v>#REF!</v>
      </c>
      <c r="FV89" t="e">
        <f>AND(#REF!,"AAAAAGb/NrE=")</f>
        <v>#REF!</v>
      </c>
      <c r="FW89" t="e">
        <f>AND(#REF!,"AAAAAGb/NrI=")</f>
        <v>#REF!</v>
      </c>
      <c r="FX89" t="e">
        <f>AND(#REF!,"AAAAAGb/NrM=")</f>
        <v>#REF!</v>
      </c>
      <c r="FY89" t="e">
        <f>AND(#REF!,"AAAAAGb/NrQ=")</f>
        <v>#REF!</v>
      </c>
      <c r="FZ89" t="e">
        <f>IF(#REF!,"AAAAAGb/NrU=",0)</f>
        <v>#REF!</v>
      </c>
      <c r="GA89" t="e">
        <f>AND(#REF!,"AAAAAGb/NrY=")</f>
        <v>#REF!</v>
      </c>
      <c r="GB89" t="e">
        <f>AND(#REF!,"AAAAAGb/Nrc=")</f>
        <v>#REF!</v>
      </c>
      <c r="GC89" t="e">
        <f>AND(#REF!,"AAAAAGb/Nrg=")</f>
        <v>#REF!</v>
      </c>
      <c r="GD89" t="e">
        <f>AND(#REF!,"AAAAAGb/Nrk=")</f>
        <v>#REF!</v>
      </c>
      <c r="GE89" t="e">
        <f>AND(#REF!,"AAAAAGb/Nro=")</f>
        <v>#REF!</v>
      </c>
      <c r="GF89" t="e">
        <f>AND(#REF!,"AAAAAGb/Nrs=")</f>
        <v>#REF!</v>
      </c>
      <c r="GG89" t="e">
        <f>AND(#REF!,"AAAAAGb/Nrw=")</f>
        <v>#REF!</v>
      </c>
      <c r="GH89" t="e">
        <f>AND(#REF!,"AAAAAGb/Nr0=")</f>
        <v>#REF!</v>
      </c>
      <c r="GI89" t="e">
        <f>AND(#REF!,"AAAAAGb/Nr4=")</f>
        <v>#REF!</v>
      </c>
      <c r="GJ89" t="e">
        <f>AND(#REF!,"AAAAAGb/Nr8=")</f>
        <v>#REF!</v>
      </c>
      <c r="GK89" t="e">
        <f>IF(#REF!,"AAAAAGb/NsA=",0)</f>
        <v>#REF!</v>
      </c>
      <c r="GL89" t="e">
        <f>AND(#REF!,"AAAAAGb/NsE=")</f>
        <v>#REF!</v>
      </c>
      <c r="GM89" t="e">
        <f>AND(#REF!,"AAAAAGb/NsI=")</f>
        <v>#REF!</v>
      </c>
      <c r="GN89" t="e">
        <f>AND(#REF!,"AAAAAGb/NsM=")</f>
        <v>#REF!</v>
      </c>
      <c r="GO89" t="e">
        <f>AND(#REF!,"AAAAAGb/NsQ=")</f>
        <v>#REF!</v>
      </c>
      <c r="GP89" t="e">
        <f>AND(#REF!,"AAAAAGb/NsU=")</f>
        <v>#REF!</v>
      </c>
      <c r="GQ89" t="e">
        <f>AND(#REF!,"AAAAAGb/NsY=")</f>
        <v>#REF!</v>
      </c>
      <c r="GR89" t="e">
        <f>AND(#REF!,"AAAAAGb/Nsc=")</f>
        <v>#REF!</v>
      </c>
      <c r="GS89" t="e">
        <f>AND(#REF!,"AAAAAGb/Nsg=")</f>
        <v>#REF!</v>
      </c>
      <c r="GT89" t="e">
        <f>AND(#REF!,"AAAAAGb/Nsk=")</f>
        <v>#REF!</v>
      </c>
      <c r="GU89" t="e">
        <f>AND(#REF!,"AAAAAGb/Nso=")</f>
        <v>#REF!</v>
      </c>
      <c r="GV89" t="e">
        <f>IF(#REF!,"AAAAAGb/Nss=",0)</f>
        <v>#REF!</v>
      </c>
      <c r="GW89" t="e">
        <f>AND(#REF!,"AAAAAGb/Nsw=")</f>
        <v>#REF!</v>
      </c>
      <c r="GX89" t="e">
        <f>AND(#REF!,"AAAAAGb/Ns0=")</f>
        <v>#REF!</v>
      </c>
      <c r="GY89" t="e">
        <f>AND(#REF!,"AAAAAGb/Ns4=")</f>
        <v>#REF!</v>
      </c>
      <c r="GZ89" t="e">
        <f>AND(#REF!,"AAAAAGb/Ns8=")</f>
        <v>#REF!</v>
      </c>
      <c r="HA89" t="e">
        <f>AND(#REF!,"AAAAAGb/NtA=")</f>
        <v>#REF!</v>
      </c>
      <c r="HB89" t="e">
        <f>AND(#REF!,"AAAAAGb/NtE=")</f>
        <v>#REF!</v>
      </c>
      <c r="HC89" t="e">
        <f>AND(#REF!,"AAAAAGb/NtI=")</f>
        <v>#REF!</v>
      </c>
      <c r="HD89" t="e">
        <f>AND(#REF!,"AAAAAGb/NtM=")</f>
        <v>#REF!</v>
      </c>
      <c r="HE89" t="e">
        <f>AND(#REF!,"AAAAAGb/NtQ=")</f>
        <v>#REF!</v>
      </c>
      <c r="HF89" t="e">
        <f>AND(#REF!,"AAAAAGb/NtU=")</f>
        <v>#REF!</v>
      </c>
      <c r="HG89" t="e">
        <f>IF(#REF!,"AAAAAGb/NtY=",0)</f>
        <v>#REF!</v>
      </c>
      <c r="HH89" t="e">
        <f>AND(#REF!,"AAAAAGb/Ntc=")</f>
        <v>#REF!</v>
      </c>
      <c r="HI89" t="e">
        <f>AND(#REF!,"AAAAAGb/Ntg=")</f>
        <v>#REF!</v>
      </c>
      <c r="HJ89" t="e">
        <f>AND(#REF!,"AAAAAGb/Ntk=")</f>
        <v>#REF!</v>
      </c>
      <c r="HK89" t="e">
        <f>AND(#REF!,"AAAAAGb/Nto=")</f>
        <v>#REF!</v>
      </c>
      <c r="HL89" t="e">
        <f>AND(#REF!,"AAAAAGb/Nts=")</f>
        <v>#REF!</v>
      </c>
      <c r="HM89" t="e">
        <f>AND(#REF!,"AAAAAGb/Ntw=")</f>
        <v>#REF!</v>
      </c>
      <c r="HN89" t="e">
        <f>AND(#REF!,"AAAAAGb/Nt0=")</f>
        <v>#REF!</v>
      </c>
      <c r="HO89" t="e">
        <f>AND(#REF!,"AAAAAGb/Nt4=")</f>
        <v>#REF!</v>
      </c>
      <c r="HP89" t="e">
        <f>AND(#REF!,"AAAAAGb/Nt8=")</f>
        <v>#REF!</v>
      </c>
      <c r="HQ89" t="e">
        <f>AND(#REF!,"AAAAAGb/NuA=")</f>
        <v>#REF!</v>
      </c>
      <c r="HR89" t="e">
        <f>IF(#REF!,"AAAAAGb/NuE=",0)</f>
        <v>#REF!</v>
      </c>
      <c r="HS89" t="e">
        <f>AND(#REF!,"AAAAAGb/NuI=")</f>
        <v>#REF!</v>
      </c>
      <c r="HT89" t="e">
        <f>AND(#REF!,"AAAAAGb/NuM=")</f>
        <v>#REF!</v>
      </c>
      <c r="HU89" t="e">
        <f>AND(#REF!,"AAAAAGb/NuQ=")</f>
        <v>#REF!</v>
      </c>
      <c r="HV89" t="e">
        <f>AND(#REF!,"AAAAAGb/NuU=")</f>
        <v>#REF!</v>
      </c>
      <c r="HW89" t="e">
        <f>AND(#REF!,"AAAAAGb/NuY=")</f>
        <v>#REF!</v>
      </c>
      <c r="HX89" t="e">
        <f>AND(#REF!,"AAAAAGb/Nuc=")</f>
        <v>#REF!</v>
      </c>
      <c r="HY89" t="e">
        <f>AND(#REF!,"AAAAAGb/Nug=")</f>
        <v>#REF!</v>
      </c>
      <c r="HZ89" t="e">
        <f>AND(#REF!,"AAAAAGb/Nuk=")</f>
        <v>#REF!</v>
      </c>
      <c r="IA89" t="e">
        <f>AND(#REF!,"AAAAAGb/Nuo=")</f>
        <v>#REF!</v>
      </c>
      <c r="IB89" t="e">
        <f>AND(#REF!,"AAAAAGb/Nus=")</f>
        <v>#REF!</v>
      </c>
      <c r="IC89" t="e">
        <f>IF(#REF!,"AAAAAGb/Nuw=",0)</f>
        <v>#REF!</v>
      </c>
      <c r="ID89" t="e">
        <f>AND(#REF!,"AAAAAGb/Nu0=")</f>
        <v>#REF!</v>
      </c>
      <c r="IE89" t="e">
        <f>AND(#REF!,"AAAAAGb/Nu4=")</f>
        <v>#REF!</v>
      </c>
      <c r="IF89" t="e">
        <f>AND(#REF!,"AAAAAGb/Nu8=")</f>
        <v>#REF!</v>
      </c>
      <c r="IG89" t="e">
        <f>AND(#REF!,"AAAAAGb/NvA=")</f>
        <v>#REF!</v>
      </c>
      <c r="IH89" t="e">
        <f>AND(#REF!,"AAAAAGb/NvE=")</f>
        <v>#REF!</v>
      </c>
      <c r="II89" t="e">
        <f>AND(#REF!,"AAAAAGb/NvI=")</f>
        <v>#REF!</v>
      </c>
      <c r="IJ89" t="e">
        <f>AND(#REF!,"AAAAAGb/NvM=")</f>
        <v>#REF!</v>
      </c>
      <c r="IK89" t="e">
        <f>AND(#REF!,"AAAAAGb/NvQ=")</f>
        <v>#REF!</v>
      </c>
      <c r="IL89" t="e">
        <f>AND(#REF!,"AAAAAGb/NvU=")</f>
        <v>#REF!</v>
      </c>
      <c r="IM89" t="e">
        <f>AND(#REF!,"AAAAAGb/NvY=")</f>
        <v>#REF!</v>
      </c>
      <c r="IN89" t="e">
        <f>IF(#REF!,"AAAAAGb/Nvc=",0)</f>
        <v>#REF!</v>
      </c>
      <c r="IO89" t="e">
        <f>AND(#REF!,"AAAAAGb/Nvg=")</f>
        <v>#REF!</v>
      </c>
      <c r="IP89" t="e">
        <f>AND(#REF!,"AAAAAGb/Nvk=")</f>
        <v>#REF!</v>
      </c>
      <c r="IQ89" t="e">
        <f>AND(#REF!,"AAAAAGb/Nvo=")</f>
        <v>#REF!</v>
      </c>
      <c r="IR89" t="e">
        <f>AND(#REF!,"AAAAAGb/Nvs=")</f>
        <v>#REF!</v>
      </c>
      <c r="IS89" t="e">
        <f>AND(#REF!,"AAAAAGb/Nvw=")</f>
        <v>#REF!</v>
      </c>
      <c r="IT89" t="e">
        <f>AND(#REF!,"AAAAAGb/Nv0=")</f>
        <v>#REF!</v>
      </c>
      <c r="IU89" t="e">
        <f>AND(#REF!,"AAAAAGb/Nv4=")</f>
        <v>#REF!</v>
      </c>
      <c r="IV89" t="e">
        <f>AND(#REF!,"AAAAAGb/Nv8=")</f>
        <v>#REF!</v>
      </c>
    </row>
    <row r="90" spans="1:256" x14ac:dyDescent="0.25">
      <c r="A90" t="e">
        <f>AND(#REF!,"AAAAAB+/+AA=")</f>
        <v>#REF!</v>
      </c>
      <c r="B90" t="e">
        <f>AND(#REF!,"AAAAAB+/+AE=")</f>
        <v>#REF!</v>
      </c>
      <c r="C90" t="e">
        <f>IF(#REF!,"AAAAAB+/+AI=",0)</f>
        <v>#REF!</v>
      </c>
      <c r="D90" t="e">
        <f>AND(#REF!,"AAAAAB+/+AM=")</f>
        <v>#REF!</v>
      </c>
      <c r="E90" t="e">
        <f>AND(#REF!,"AAAAAB+/+AQ=")</f>
        <v>#REF!</v>
      </c>
      <c r="F90" t="e">
        <f>AND(#REF!,"AAAAAB+/+AU=")</f>
        <v>#REF!</v>
      </c>
      <c r="G90" t="e">
        <f>AND(#REF!,"AAAAAB+/+AY=")</f>
        <v>#REF!</v>
      </c>
      <c r="H90" t="e">
        <f>AND(#REF!,"AAAAAB+/+Ac=")</f>
        <v>#REF!</v>
      </c>
      <c r="I90" t="e">
        <f>AND(#REF!,"AAAAAB+/+Ag=")</f>
        <v>#REF!</v>
      </c>
      <c r="J90" t="e">
        <f>AND(#REF!,"AAAAAB+/+Ak=")</f>
        <v>#REF!</v>
      </c>
      <c r="K90" t="e">
        <f>AND(#REF!,"AAAAAB+/+Ao=")</f>
        <v>#REF!</v>
      </c>
      <c r="L90" t="e">
        <f>AND(#REF!,"AAAAAB+/+As=")</f>
        <v>#REF!</v>
      </c>
      <c r="M90" t="e">
        <f>AND(#REF!,"AAAAAB+/+Aw=")</f>
        <v>#REF!</v>
      </c>
      <c r="N90" t="e">
        <f>IF(#REF!,"AAAAAB+/+A0=",0)</f>
        <v>#REF!</v>
      </c>
      <c r="O90" t="e">
        <f>AND(#REF!,"AAAAAB+/+A4=")</f>
        <v>#REF!</v>
      </c>
      <c r="P90" t="e">
        <f>AND(#REF!,"AAAAAB+/+A8=")</f>
        <v>#REF!</v>
      </c>
      <c r="Q90" t="e">
        <f>AND(#REF!,"AAAAAB+/+BA=")</f>
        <v>#REF!</v>
      </c>
      <c r="R90" t="e">
        <f>AND(#REF!,"AAAAAB+/+BE=")</f>
        <v>#REF!</v>
      </c>
      <c r="S90" t="e">
        <f>AND(#REF!,"AAAAAB+/+BI=")</f>
        <v>#REF!</v>
      </c>
      <c r="T90" t="e">
        <f>AND(#REF!,"AAAAAB+/+BM=")</f>
        <v>#REF!</v>
      </c>
      <c r="U90" t="e">
        <f>AND(#REF!,"AAAAAB+/+BQ=")</f>
        <v>#REF!</v>
      </c>
      <c r="V90" t="e">
        <f>AND(#REF!,"AAAAAB+/+BU=")</f>
        <v>#REF!</v>
      </c>
      <c r="W90" t="e">
        <f>AND(#REF!,"AAAAAB+/+BY=")</f>
        <v>#REF!</v>
      </c>
      <c r="X90" t="e">
        <f>AND(#REF!,"AAAAAB+/+Bc=")</f>
        <v>#REF!</v>
      </c>
      <c r="Y90" t="e">
        <f>IF(#REF!,"AAAAAB+/+Bg=",0)</f>
        <v>#REF!</v>
      </c>
      <c r="Z90" t="e">
        <f>AND(#REF!,"AAAAAB+/+Bk=")</f>
        <v>#REF!</v>
      </c>
      <c r="AA90" t="e">
        <f>AND(#REF!,"AAAAAB+/+Bo=")</f>
        <v>#REF!</v>
      </c>
      <c r="AB90" t="e">
        <f>AND(#REF!,"AAAAAB+/+Bs=")</f>
        <v>#REF!</v>
      </c>
      <c r="AC90" t="e">
        <f>AND(#REF!,"AAAAAB+/+Bw=")</f>
        <v>#REF!</v>
      </c>
      <c r="AD90" t="e">
        <f>AND(#REF!,"AAAAAB+/+B0=")</f>
        <v>#REF!</v>
      </c>
      <c r="AE90" t="e">
        <f>AND(#REF!,"AAAAAB+/+B4=")</f>
        <v>#REF!</v>
      </c>
      <c r="AF90" t="e">
        <f>AND(#REF!,"AAAAAB+/+B8=")</f>
        <v>#REF!</v>
      </c>
      <c r="AG90" t="e">
        <f>AND(#REF!,"AAAAAB+/+CA=")</f>
        <v>#REF!</v>
      </c>
      <c r="AH90" t="e">
        <f>AND(#REF!,"AAAAAB+/+CE=")</f>
        <v>#REF!</v>
      </c>
      <c r="AI90" t="e">
        <f>AND(#REF!,"AAAAAB+/+CI=")</f>
        <v>#REF!</v>
      </c>
      <c r="AJ90" t="e">
        <f>IF(#REF!,"AAAAAB+/+CM=",0)</f>
        <v>#REF!</v>
      </c>
      <c r="AK90" t="e">
        <f>AND(#REF!,"AAAAAB+/+CQ=")</f>
        <v>#REF!</v>
      </c>
      <c r="AL90" t="e">
        <f>AND(#REF!,"AAAAAB+/+CU=")</f>
        <v>#REF!</v>
      </c>
      <c r="AM90" t="e">
        <f>AND(#REF!,"AAAAAB+/+CY=")</f>
        <v>#REF!</v>
      </c>
      <c r="AN90" t="e">
        <f>AND(#REF!,"AAAAAB+/+Cc=")</f>
        <v>#REF!</v>
      </c>
      <c r="AO90" t="e">
        <f>AND(#REF!,"AAAAAB+/+Cg=")</f>
        <v>#REF!</v>
      </c>
      <c r="AP90" t="e">
        <f>AND(#REF!,"AAAAAB+/+Ck=")</f>
        <v>#REF!</v>
      </c>
      <c r="AQ90" t="e">
        <f>AND(#REF!,"AAAAAB+/+Co=")</f>
        <v>#REF!</v>
      </c>
      <c r="AR90" t="e">
        <f>AND(#REF!,"AAAAAB+/+Cs=")</f>
        <v>#REF!</v>
      </c>
      <c r="AS90" t="e">
        <f>AND(#REF!,"AAAAAB+/+Cw=")</f>
        <v>#REF!</v>
      </c>
      <c r="AT90" t="e">
        <f>AND(#REF!,"AAAAAB+/+C0=")</f>
        <v>#REF!</v>
      </c>
      <c r="AU90" t="e">
        <f>IF(#REF!,"AAAAAB+/+C4=",0)</f>
        <v>#REF!</v>
      </c>
      <c r="AV90" t="e">
        <f>AND(#REF!,"AAAAAB+/+C8=")</f>
        <v>#REF!</v>
      </c>
      <c r="AW90" t="e">
        <f>AND(#REF!,"AAAAAB+/+DA=")</f>
        <v>#REF!</v>
      </c>
      <c r="AX90" t="e">
        <f>AND(#REF!,"AAAAAB+/+DE=")</f>
        <v>#REF!</v>
      </c>
      <c r="AY90" t="e">
        <f>AND(#REF!,"AAAAAB+/+DI=")</f>
        <v>#REF!</v>
      </c>
      <c r="AZ90" t="e">
        <f>AND(#REF!,"AAAAAB+/+DM=")</f>
        <v>#REF!</v>
      </c>
      <c r="BA90" t="e">
        <f>AND(#REF!,"AAAAAB+/+DQ=")</f>
        <v>#REF!</v>
      </c>
      <c r="BB90" t="e">
        <f>AND(#REF!,"AAAAAB+/+DU=")</f>
        <v>#REF!</v>
      </c>
      <c r="BC90" t="e">
        <f>AND(#REF!,"AAAAAB+/+DY=")</f>
        <v>#REF!</v>
      </c>
      <c r="BD90" t="e">
        <f>AND(#REF!,"AAAAAB+/+Dc=")</f>
        <v>#REF!</v>
      </c>
      <c r="BE90" t="e">
        <f>AND(#REF!,"AAAAAB+/+Dg=")</f>
        <v>#REF!</v>
      </c>
      <c r="BF90" t="e">
        <f>IF(#REF!,"AAAAAB+/+Dk=",0)</f>
        <v>#REF!</v>
      </c>
      <c r="BG90" t="e">
        <f>AND(#REF!,"AAAAAB+/+Do=")</f>
        <v>#REF!</v>
      </c>
      <c r="BH90" t="e">
        <f>AND(#REF!,"AAAAAB+/+Ds=")</f>
        <v>#REF!</v>
      </c>
      <c r="BI90" t="e">
        <f>AND(#REF!,"AAAAAB+/+Dw=")</f>
        <v>#REF!</v>
      </c>
      <c r="BJ90" t="e">
        <f>AND(#REF!,"AAAAAB+/+D0=")</f>
        <v>#REF!</v>
      </c>
      <c r="BK90" t="e">
        <f>AND(#REF!,"AAAAAB+/+D4=")</f>
        <v>#REF!</v>
      </c>
      <c r="BL90" t="e">
        <f>AND(#REF!,"AAAAAB+/+D8=")</f>
        <v>#REF!</v>
      </c>
      <c r="BM90" t="e">
        <f>AND(#REF!,"AAAAAB+/+EA=")</f>
        <v>#REF!</v>
      </c>
      <c r="BN90" t="e">
        <f>AND(#REF!,"AAAAAB+/+EE=")</f>
        <v>#REF!</v>
      </c>
      <c r="BO90" t="e">
        <f>AND(#REF!,"AAAAAB+/+EI=")</f>
        <v>#REF!</v>
      </c>
      <c r="BP90" t="e">
        <f>AND(#REF!,"AAAAAB+/+EM=")</f>
        <v>#REF!</v>
      </c>
      <c r="BQ90" t="e">
        <f>IF(#REF!,"AAAAAB+/+EQ=",0)</f>
        <v>#REF!</v>
      </c>
      <c r="BR90" t="e">
        <f>AND(#REF!,"AAAAAB+/+EU=")</f>
        <v>#REF!</v>
      </c>
      <c r="BS90" t="e">
        <f>AND(#REF!,"AAAAAB+/+EY=")</f>
        <v>#REF!</v>
      </c>
      <c r="BT90" t="e">
        <f>AND(#REF!,"AAAAAB+/+Ec=")</f>
        <v>#REF!</v>
      </c>
      <c r="BU90" t="e">
        <f>AND(#REF!,"AAAAAB+/+Eg=")</f>
        <v>#REF!</v>
      </c>
      <c r="BV90" t="e">
        <f>AND(#REF!,"AAAAAB+/+Ek=")</f>
        <v>#REF!</v>
      </c>
      <c r="BW90" t="e">
        <f>AND(#REF!,"AAAAAB+/+Eo=")</f>
        <v>#REF!</v>
      </c>
      <c r="BX90" t="e">
        <f>AND(#REF!,"AAAAAB+/+Es=")</f>
        <v>#REF!</v>
      </c>
      <c r="BY90" t="e">
        <f>AND(#REF!,"AAAAAB+/+Ew=")</f>
        <v>#REF!</v>
      </c>
      <c r="BZ90" t="e">
        <f>AND(#REF!,"AAAAAB+/+E0=")</f>
        <v>#REF!</v>
      </c>
      <c r="CA90" t="e">
        <f>AND(#REF!,"AAAAAB+/+E4=")</f>
        <v>#REF!</v>
      </c>
      <c r="CB90" t="e">
        <f>IF(#REF!,"AAAAAB+/+E8=",0)</f>
        <v>#REF!</v>
      </c>
      <c r="CC90" t="e">
        <f>AND(#REF!,"AAAAAB+/+FA=")</f>
        <v>#REF!</v>
      </c>
      <c r="CD90" t="e">
        <f>AND(#REF!,"AAAAAB+/+FE=")</f>
        <v>#REF!</v>
      </c>
      <c r="CE90" t="e">
        <f>AND(#REF!,"AAAAAB+/+FI=")</f>
        <v>#REF!</v>
      </c>
      <c r="CF90" t="e">
        <f>AND(#REF!,"AAAAAB+/+FM=")</f>
        <v>#REF!</v>
      </c>
      <c r="CG90" t="e">
        <f>AND(#REF!,"AAAAAB+/+FQ=")</f>
        <v>#REF!</v>
      </c>
      <c r="CH90" t="e">
        <f>AND(#REF!,"AAAAAB+/+FU=")</f>
        <v>#REF!</v>
      </c>
      <c r="CI90" t="e">
        <f>AND(#REF!,"AAAAAB+/+FY=")</f>
        <v>#REF!</v>
      </c>
      <c r="CJ90" t="e">
        <f>AND(#REF!,"AAAAAB+/+Fc=")</f>
        <v>#REF!</v>
      </c>
      <c r="CK90" t="e">
        <f>AND(#REF!,"AAAAAB+/+Fg=")</f>
        <v>#REF!</v>
      </c>
      <c r="CL90" t="e">
        <f>AND(#REF!,"AAAAAB+/+Fk=")</f>
        <v>#REF!</v>
      </c>
      <c r="CM90" t="e">
        <f>IF(#REF!,"AAAAAB+/+Fo=",0)</f>
        <v>#REF!</v>
      </c>
      <c r="CN90" t="e">
        <f>AND(#REF!,"AAAAAB+/+Fs=")</f>
        <v>#REF!</v>
      </c>
      <c r="CO90" t="e">
        <f>AND(#REF!,"AAAAAB+/+Fw=")</f>
        <v>#REF!</v>
      </c>
      <c r="CP90" t="e">
        <f>AND(#REF!,"AAAAAB+/+F0=")</f>
        <v>#REF!</v>
      </c>
      <c r="CQ90" t="e">
        <f>AND(#REF!,"AAAAAB+/+F4=")</f>
        <v>#REF!</v>
      </c>
      <c r="CR90" t="e">
        <f>AND(#REF!,"AAAAAB+/+F8=")</f>
        <v>#REF!</v>
      </c>
      <c r="CS90" t="e">
        <f>AND(#REF!,"AAAAAB+/+GA=")</f>
        <v>#REF!</v>
      </c>
      <c r="CT90" t="e">
        <f>AND(#REF!,"AAAAAB+/+GE=")</f>
        <v>#REF!</v>
      </c>
      <c r="CU90" t="e">
        <f>AND(#REF!,"AAAAAB+/+GI=")</f>
        <v>#REF!</v>
      </c>
      <c r="CV90" t="e">
        <f>AND(#REF!,"AAAAAB+/+GM=")</f>
        <v>#REF!</v>
      </c>
      <c r="CW90" t="e">
        <f>AND(#REF!,"AAAAAB+/+GQ=")</f>
        <v>#REF!</v>
      </c>
      <c r="CX90" t="e">
        <f>IF(#REF!,"AAAAAB+/+GU=",0)</f>
        <v>#REF!</v>
      </c>
      <c r="CY90" t="e">
        <f>AND(#REF!,"AAAAAB+/+GY=")</f>
        <v>#REF!</v>
      </c>
      <c r="CZ90" t="e">
        <f>AND(#REF!,"AAAAAB+/+Gc=")</f>
        <v>#REF!</v>
      </c>
      <c r="DA90" t="e">
        <f>AND(#REF!,"AAAAAB+/+Gg=")</f>
        <v>#REF!</v>
      </c>
      <c r="DB90" t="e">
        <f>AND(#REF!,"AAAAAB+/+Gk=")</f>
        <v>#REF!</v>
      </c>
      <c r="DC90" t="e">
        <f>AND(#REF!,"AAAAAB+/+Go=")</f>
        <v>#REF!</v>
      </c>
      <c r="DD90" t="e">
        <f>AND(#REF!,"AAAAAB+/+Gs=")</f>
        <v>#REF!</v>
      </c>
      <c r="DE90" t="e">
        <f>AND(#REF!,"AAAAAB+/+Gw=")</f>
        <v>#REF!</v>
      </c>
      <c r="DF90" t="e">
        <f>AND(#REF!,"AAAAAB+/+G0=")</f>
        <v>#REF!</v>
      </c>
      <c r="DG90" t="e">
        <f>AND(#REF!,"AAAAAB+/+G4=")</f>
        <v>#REF!</v>
      </c>
      <c r="DH90" t="e">
        <f>AND(#REF!,"AAAAAB+/+G8=")</f>
        <v>#REF!</v>
      </c>
      <c r="DI90" t="e">
        <f>IF(#REF!,"AAAAAB+/+HA=",0)</f>
        <v>#REF!</v>
      </c>
      <c r="DJ90" t="e">
        <f>AND(#REF!,"AAAAAB+/+HE=")</f>
        <v>#REF!</v>
      </c>
      <c r="DK90" t="e">
        <f>AND(#REF!,"AAAAAB+/+HI=")</f>
        <v>#REF!</v>
      </c>
      <c r="DL90" t="e">
        <f>AND(#REF!,"AAAAAB+/+HM=")</f>
        <v>#REF!</v>
      </c>
      <c r="DM90" t="e">
        <f>AND(#REF!,"AAAAAB+/+HQ=")</f>
        <v>#REF!</v>
      </c>
      <c r="DN90" t="e">
        <f>AND(#REF!,"AAAAAB+/+HU=")</f>
        <v>#REF!</v>
      </c>
      <c r="DO90" t="e">
        <f>AND(#REF!,"AAAAAB+/+HY=")</f>
        <v>#REF!</v>
      </c>
      <c r="DP90" t="e">
        <f>AND(#REF!,"AAAAAB+/+Hc=")</f>
        <v>#REF!</v>
      </c>
      <c r="DQ90" t="e">
        <f>AND(#REF!,"AAAAAB+/+Hg=")</f>
        <v>#REF!</v>
      </c>
      <c r="DR90" t="e">
        <f>AND(#REF!,"AAAAAB+/+Hk=")</f>
        <v>#REF!</v>
      </c>
      <c r="DS90" t="e">
        <f>AND(#REF!,"AAAAAB+/+Ho=")</f>
        <v>#REF!</v>
      </c>
      <c r="DT90" t="e">
        <f>IF(#REF!,"AAAAAB+/+Hs=",0)</f>
        <v>#REF!</v>
      </c>
      <c r="DU90" t="e">
        <f>AND(#REF!,"AAAAAB+/+Hw=")</f>
        <v>#REF!</v>
      </c>
      <c r="DV90" t="e">
        <f>AND(#REF!,"AAAAAB+/+H0=")</f>
        <v>#REF!</v>
      </c>
      <c r="DW90" t="e">
        <f>AND(#REF!,"AAAAAB+/+H4=")</f>
        <v>#REF!</v>
      </c>
      <c r="DX90" t="e">
        <f>AND(#REF!,"AAAAAB+/+H8=")</f>
        <v>#REF!</v>
      </c>
      <c r="DY90" t="e">
        <f>AND(#REF!,"AAAAAB+/+IA=")</f>
        <v>#REF!</v>
      </c>
      <c r="DZ90" t="e">
        <f>AND(#REF!,"AAAAAB+/+IE=")</f>
        <v>#REF!</v>
      </c>
      <c r="EA90" t="e">
        <f>AND(#REF!,"AAAAAB+/+II=")</f>
        <v>#REF!</v>
      </c>
      <c r="EB90" t="e">
        <f>AND(#REF!,"AAAAAB+/+IM=")</f>
        <v>#REF!</v>
      </c>
      <c r="EC90" t="e">
        <f>AND(#REF!,"AAAAAB+/+IQ=")</f>
        <v>#REF!</v>
      </c>
      <c r="ED90" t="e">
        <f>AND(#REF!,"AAAAAB+/+IU=")</f>
        <v>#REF!</v>
      </c>
      <c r="EE90" t="e">
        <f>IF(#REF!,"AAAAAB+/+IY=",0)</f>
        <v>#REF!</v>
      </c>
      <c r="EF90" t="e">
        <f>AND(#REF!,"AAAAAB+/+Ic=")</f>
        <v>#REF!</v>
      </c>
      <c r="EG90" t="e">
        <f>AND(#REF!,"AAAAAB+/+Ig=")</f>
        <v>#REF!</v>
      </c>
      <c r="EH90" t="e">
        <f>AND(#REF!,"AAAAAB+/+Ik=")</f>
        <v>#REF!</v>
      </c>
      <c r="EI90" t="e">
        <f>AND(#REF!,"AAAAAB+/+Io=")</f>
        <v>#REF!</v>
      </c>
      <c r="EJ90" t="e">
        <f>AND(#REF!,"AAAAAB+/+Is=")</f>
        <v>#REF!</v>
      </c>
      <c r="EK90" t="e">
        <f>AND(#REF!,"AAAAAB+/+Iw=")</f>
        <v>#REF!</v>
      </c>
      <c r="EL90" t="e">
        <f>AND(#REF!,"AAAAAB+/+I0=")</f>
        <v>#REF!</v>
      </c>
      <c r="EM90" t="e">
        <f>AND(#REF!,"AAAAAB+/+I4=")</f>
        <v>#REF!</v>
      </c>
      <c r="EN90" t="e">
        <f>AND(#REF!,"AAAAAB+/+I8=")</f>
        <v>#REF!</v>
      </c>
      <c r="EO90" t="e">
        <f>AND(#REF!,"AAAAAB+/+JA=")</f>
        <v>#REF!</v>
      </c>
      <c r="EP90" t="e">
        <f>IF(#REF!,"AAAAAB+/+JE=",0)</f>
        <v>#REF!</v>
      </c>
      <c r="EQ90" t="e">
        <f>AND(#REF!,"AAAAAB+/+JI=")</f>
        <v>#REF!</v>
      </c>
      <c r="ER90" t="e">
        <f>AND(#REF!,"AAAAAB+/+JM=")</f>
        <v>#REF!</v>
      </c>
      <c r="ES90" t="e">
        <f>AND(#REF!,"AAAAAB+/+JQ=")</f>
        <v>#REF!</v>
      </c>
      <c r="ET90" t="e">
        <f>AND(#REF!,"AAAAAB+/+JU=")</f>
        <v>#REF!</v>
      </c>
      <c r="EU90" t="e">
        <f>AND(#REF!,"AAAAAB+/+JY=")</f>
        <v>#REF!</v>
      </c>
      <c r="EV90" t="e">
        <f>AND(#REF!,"AAAAAB+/+Jc=")</f>
        <v>#REF!</v>
      </c>
      <c r="EW90" t="e">
        <f>AND(#REF!,"AAAAAB+/+Jg=")</f>
        <v>#REF!</v>
      </c>
      <c r="EX90" t="e">
        <f>AND(#REF!,"AAAAAB+/+Jk=")</f>
        <v>#REF!</v>
      </c>
      <c r="EY90" t="e">
        <f>AND(#REF!,"AAAAAB+/+Jo=")</f>
        <v>#REF!</v>
      </c>
      <c r="EZ90" t="e">
        <f>AND(#REF!,"AAAAAB+/+Js=")</f>
        <v>#REF!</v>
      </c>
      <c r="FA90" t="e">
        <f>IF(#REF!,"AAAAAB+/+Jw=",0)</f>
        <v>#REF!</v>
      </c>
      <c r="FB90" t="e">
        <f>AND(#REF!,"AAAAAB+/+J0=")</f>
        <v>#REF!</v>
      </c>
      <c r="FC90" t="e">
        <f>AND(#REF!,"AAAAAB+/+J4=")</f>
        <v>#REF!</v>
      </c>
      <c r="FD90" t="e">
        <f>AND(#REF!,"AAAAAB+/+J8=")</f>
        <v>#REF!</v>
      </c>
      <c r="FE90" t="e">
        <f>AND(#REF!,"AAAAAB+/+KA=")</f>
        <v>#REF!</v>
      </c>
      <c r="FF90" t="e">
        <f>AND(#REF!,"AAAAAB+/+KE=")</f>
        <v>#REF!</v>
      </c>
      <c r="FG90" t="e">
        <f>AND(#REF!,"AAAAAB+/+KI=")</f>
        <v>#REF!</v>
      </c>
      <c r="FH90" t="e">
        <f>AND(#REF!,"AAAAAB+/+KM=")</f>
        <v>#REF!</v>
      </c>
      <c r="FI90" t="e">
        <f>AND(#REF!,"AAAAAB+/+KQ=")</f>
        <v>#REF!</v>
      </c>
      <c r="FJ90" t="e">
        <f>AND(#REF!,"AAAAAB+/+KU=")</f>
        <v>#REF!</v>
      </c>
      <c r="FK90" t="e">
        <f>AND(#REF!,"AAAAAB+/+KY=")</f>
        <v>#REF!</v>
      </c>
      <c r="FL90" t="e">
        <f>IF(#REF!,"AAAAAB+/+Kc=",0)</f>
        <v>#REF!</v>
      </c>
      <c r="FM90" t="e">
        <f>AND(#REF!,"AAAAAB+/+Kg=")</f>
        <v>#REF!</v>
      </c>
      <c r="FN90" t="e">
        <f>AND(#REF!,"AAAAAB+/+Kk=")</f>
        <v>#REF!</v>
      </c>
      <c r="FO90" t="e">
        <f>AND(#REF!,"AAAAAB+/+Ko=")</f>
        <v>#REF!</v>
      </c>
      <c r="FP90" t="e">
        <f>AND(#REF!,"AAAAAB+/+Ks=")</f>
        <v>#REF!</v>
      </c>
      <c r="FQ90" t="e">
        <f>AND(#REF!,"AAAAAB+/+Kw=")</f>
        <v>#REF!</v>
      </c>
      <c r="FR90" t="e">
        <f>AND(#REF!,"AAAAAB+/+K0=")</f>
        <v>#REF!</v>
      </c>
      <c r="FS90" t="e">
        <f>AND(#REF!,"AAAAAB+/+K4=")</f>
        <v>#REF!</v>
      </c>
      <c r="FT90" t="e">
        <f>AND(#REF!,"AAAAAB+/+K8=")</f>
        <v>#REF!</v>
      </c>
      <c r="FU90" t="e">
        <f>AND(#REF!,"AAAAAB+/+LA=")</f>
        <v>#REF!</v>
      </c>
      <c r="FV90" t="e">
        <f>AND(#REF!,"AAAAAB+/+LE=")</f>
        <v>#REF!</v>
      </c>
      <c r="FW90" t="e">
        <f>IF(#REF!,"AAAAAB+/+LI=",0)</f>
        <v>#REF!</v>
      </c>
      <c r="FX90" t="e">
        <f>AND(#REF!,"AAAAAB+/+LM=")</f>
        <v>#REF!</v>
      </c>
      <c r="FY90" t="e">
        <f>AND(#REF!,"AAAAAB+/+LQ=")</f>
        <v>#REF!</v>
      </c>
      <c r="FZ90" t="e">
        <f>AND(#REF!,"AAAAAB+/+LU=")</f>
        <v>#REF!</v>
      </c>
      <c r="GA90" t="e">
        <f>AND(#REF!,"AAAAAB+/+LY=")</f>
        <v>#REF!</v>
      </c>
      <c r="GB90" t="e">
        <f>AND(#REF!,"AAAAAB+/+Lc=")</f>
        <v>#REF!</v>
      </c>
      <c r="GC90" t="e">
        <f>AND(#REF!,"AAAAAB+/+Lg=")</f>
        <v>#REF!</v>
      </c>
      <c r="GD90" t="e">
        <f>AND(#REF!,"AAAAAB+/+Lk=")</f>
        <v>#REF!</v>
      </c>
      <c r="GE90" t="e">
        <f>AND(#REF!,"AAAAAB+/+Lo=")</f>
        <v>#REF!</v>
      </c>
      <c r="GF90" t="e">
        <f>AND(#REF!,"AAAAAB+/+Ls=")</f>
        <v>#REF!</v>
      </c>
      <c r="GG90" t="e">
        <f>AND(#REF!,"AAAAAB+/+Lw=")</f>
        <v>#REF!</v>
      </c>
      <c r="GH90" t="e">
        <f>IF(#REF!,"AAAAAB+/+L0=",0)</f>
        <v>#REF!</v>
      </c>
      <c r="GI90" t="e">
        <f>AND(#REF!,"AAAAAB+/+L4=")</f>
        <v>#REF!</v>
      </c>
      <c r="GJ90" t="e">
        <f>AND(#REF!,"AAAAAB+/+L8=")</f>
        <v>#REF!</v>
      </c>
      <c r="GK90" t="e">
        <f>AND(#REF!,"AAAAAB+/+MA=")</f>
        <v>#REF!</v>
      </c>
      <c r="GL90" t="e">
        <f>AND(#REF!,"AAAAAB+/+ME=")</f>
        <v>#REF!</v>
      </c>
      <c r="GM90" t="e">
        <f>AND(#REF!,"AAAAAB+/+MI=")</f>
        <v>#REF!</v>
      </c>
      <c r="GN90" t="e">
        <f>AND(#REF!,"AAAAAB+/+MM=")</f>
        <v>#REF!</v>
      </c>
      <c r="GO90" t="e">
        <f>AND(#REF!,"AAAAAB+/+MQ=")</f>
        <v>#REF!</v>
      </c>
      <c r="GP90" t="e">
        <f>AND(#REF!,"AAAAAB+/+MU=")</f>
        <v>#REF!</v>
      </c>
      <c r="GQ90" t="e">
        <f>AND(#REF!,"AAAAAB+/+MY=")</f>
        <v>#REF!</v>
      </c>
      <c r="GR90" t="e">
        <f>AND(#REF!,"AAAAAB+/+Mc=")</f>
        <v>#REF!</v>
      </c>
      <c r="GS90" t="e">
        <f>IF(#REF!,"AAAAAB+/+Mg=",0)</f>
        <v>#REF!</v>
      </c>
      <c r="GT90" t="e">
        <f>AND(#REF!,"AAAAAB+/+Mk=")</f>
        <v>#REF!</v>
      </c>
      <c r="GU90" t="e">
        <f>AND(#REF!,"AAAAAB+/+Mo=")</f>
        <v>#REF!</v>
      </c>
      <c r="GV90" t="e">
        <f>AND(#REF!,"AAAAAB+/+Ms=")</f>
        <v>#REF!</v>
      </c>
      <c r="GW90" t="e">
        <f>AND(#REF!,"AAAAAB+/+Mw=")</f>
        <v>#REF!</v>
      </c>
      <c r="GX90" t="e">
        <f>AND(#REF!,"AAAAAB+/+M0=")</f>
        <v>#REF!</v>
      </c>
      <c r="GY90" t="e">
        <f>AND(#REF!,"AAAAAB+/+M4=")</f>
        <v>#REF!</v>
      </c>
      <c r="GZ90" t="e">
        <f>AND(#REF!,"AAAAAB+/+M8=")</f>
        <v>#REF!</v>
      </c>
      <c r="HA90" t="e">
        <f>AND(#REF!,"AAAAAB+/+NA=")</f>
        <v>#REF!</v>
      </c>
      <c r="HB90" t="e">
        <f>AND(#REF!,"AAAAAB+/+NE=")</f>
        <v>#REF!</v>
      </c>
      <c r="HC90" t="e">
        <f>AND(#REF!,"AAAAAB+/+NI=")</f>
        <v>#REF!</v>
      </c>
      <c r="HD90" t="e">
        <f>IF(#REF!,"AAAAAB+/+NM=",0)</f>
        <v>#REF!</v>
      </c>
      <c r="HE90" t="e">
        <f>AND(#REF!,"AAAAAB+/+NQ=")</f>
        <v>#REF!</v>
      </c>
      <c r="HF90" t="e">
        <f>AND(#REF!,"AAAAAB+/+NU=")</f>
        <v>#REF!</v>
      </c>
      <c r="HG90" t="e">
        <f>AND(#REF!,"AAAAAB+/+NY=")</f>
        <v>#REF!</v>
      </c>
      <c r="HH90" t="e">
        <f>AND(#REF!,"AAAAAB+/+Nc=")</f>
        <v>#REF!</v>
      </c>
      <c r="HI90" t="e">
        <f>AND(#REF!,"AAAAAB+/+Ng=")</f>
        <v>#REF!</v>
      </c>
      <c r="HJ90" t="e">
        <f>AND(#REF!,"AAAAAB+/+Nk=")</f>
        <v>#REF!</v>
      </c>
      <c r="HK90" t="e">
        <f>AND(#REF!,"AAAAAB+/+No=")</f>
        <v>#REF!</v>
      </c>
      <c r="HL90" t="e">
        <f>AND(#REF!,"AAAAAB+/+Ns=")</f>
        <v>#REF!</v>
      </c>
      <c r="HM90" t="e">
        <f>AND(#REF!,"AAAAAB+/+Nw=")</f>
        <v>#REF!</v>
      </c>
      <c r="HN90" t="e">
        <f>AND(#REF!,"AAAAAB+/+N0=")</f>
        <v>#REF!</v>
      </c>
      <c r="HO90" t="e">
        <f>IF(#REF!,"AAAAAB+/+N4=",0)</f>
        <v>#REF!</v>
      </c>
      <c r="HP90" t="e">
        <f>AND(#REF!,"AAAAAB+/+N8=")</f>
        <v>#REF!</v>
      </c>
      <c r="HQ90" t="e">
        <f>AND(#REF!,"AAAAAB+/+OA=")</f>
        <v>#REF!</v>
      </c>
      <c r="HR90" t="e">
        <f>AND(#REF!,"AAAAAB+/+OE=")</f>
        <v>#REF!</v>
      </c>
      <c r="HS90" t="e">
        <f>AND(#REF!,"AAAAAB+/+OI=")</f>
        <v>#REF!</v>
      </c>
      <c r="HT90" t="e">
        <f>AND(#REF!,"AAAAAB+/+OM=")</f>
        <v>#REF!</v>
      </c>
      <c r="HU90" t="e">
        <f>AND(#REF!,"AAAAAB+/+OQ=")</f>
        <v>#REF!</v>
      </c>
      <c r="HV90" t="e">
        <f>AND(#REF!,"AAAAAB+/+OU=")</f>
        <v>#REF!</v>
      </c>
      <c r="HW90" t="e">
        <f>AND(#REF!,"AAAAAB+/+OY=")</f>
        <v>#REF!</v>
      </c>
      <c r="HX90" t="e">
        <f>AND(#REF!,"AAAAAB+/+Oc=")</f>
        <v>#REF!</v>
      </c>
      <c r="HY90" t="e">
        <f>AND(#REF!,"AAAAAB+/+Og=")</f>
        <v>#REF!</v>
      </c>
      <c r="HZ90" t="e">
        <f>IF(#REF!,"AAAAAB+/+Ok=",0)</f>
        <v>#REF!</v>
      </c>
      <c r="IA90" t="e">
        <f>AND(#REF!,"AAAAAB+/+Oo=")</f>
        <v>#REF!</v>
      </c>
      <c r="IB90" t="e">
        <f>AND(#REF!,"AAAAAB+/+Os=")</f>
        <v>#REF!</v>
      </c>
      <c r="IC90" t="e">
        <f>AND(#REF!,"AAAAAB+/+Ow=")</f>
        <v>#REF!</v>
      </c>
      <c r="ID90" t="e">
        <f>AND(#REF!,"AAAAAB+/+O0=")</f>
        <v>#REF!</v>
      </c>
      <c r="IE90" t="e">
        <f>AND(#REF!,"AAAAAB+/+O4=")</f>
        <v>#REF!</v>
      </c>
      <c r="IF90" t="e">
        <f>AND(#REF!,"AAAAAB+/+O8=")</f>
        <v>#REF!</v>
      </c>
      <c r="IG90" t="e">
        <f>AND(#REF!,"AAAAAB+/+PA=")</f>
        <v>#REF!</v>
      </c>
      <c r="IH90" t="e">
        <f>AND(#REF!,"AAAAAB+/+PE=")</f>
        <v>#REF!</v>
      </c>
      <c r="II90" t="e">
        <f>AND(#REF!,"AAAAAB+/+PI=")</f>
        <v>#REF!</v>
      </c>
      <c r="IJ90" t="e">
        <f>AND(#REF!,"AAAAAB+/+PM=")</f>
        <v>#REF!</v>
      </c>
      <c r="IK90" t="e">
        <f>IF(#REF!,"AAAAAB+/+PQ=",0)</f>
        <v>#REF!</v>
      </c>
      <c r="IL90" t="e">
        <f>AND(#REF!,"AAAAAB+/+PU=")</f>
        <v>#REF!</v>
      </c>
      <c r="IM90" t="e">
        <f>AND(#REF!,"AAAAAB+/+PY=")</f>
        <v>#REF!</v>
      </c>
      <c r="IN90" t="e">
        <f>AND(#REF!,"AAAAAB+/+Pc=")</f>
        <v>#REF!</v>
      </c>
      <c r="IO90" t="e">
        <f>AND(#REF!,"AAAAAB+/+Pg=")</f>
        <v>#REF!</v>
      </c>
      <c r="IP90" t="e">
        <f>AND(#REF!,"AAAAAB+/+Pk=")</f>
        <v>#REF!</v>
      </c>
      <c r="IQ90" t="e">
        <f>AND(#REF!,"AAAAAB+/+Po=")</f>
        <v>#REF!</v>
      </c>
      <c r="IR90" t="e">
        <f>AND(#REF!,"AAAAAB+/+Ps=")</f>
        <v>#REF!</v>
      </c>
      <c r="IS90" t="e">
        <f>AND(#REF!,"AAAAAB+/+Pw=")</f>
        <v>#REF!</v>
      </c>
      <c r="IT90" t="e">
        <f>AND(#REF!,"AAAAAB+/+P0=")</f>
        <v>#REF!</v>
      </c>
      <c r="IU90" t="e">
        <f>AND(#REF!,"AAAAAB+/+P4=")</f>
        <v>#REF!</v>
      </c>
      <c r="IV90" t="e">
        <f>IF(#REF!,"AAAAAB+/+P8=",0)</f>
        <v>#REF!</v>
      </c>
    </row>
    <row r="91" spans="1:256" x14ac:dyDescent="0.25">
      <c r="A91" t="e">
        <f>AND(#REF!,"AAAAADnM1QA=")</f>
        <v>#REF!</v>
      </c>
      <c r="B91" t="e">
        <f>AND(#REF!,"AAAAADnM1QE=")</f>
        <v>#REF!</v>
      </c>
      <c r="C91" t="e">
        <f>AND(#REF!,"AAAAADnM1QI=")</f>
        <v>#REF!</v>
      </c>
      <c r="D91" t="e">
        <f>AND(#REF!,"AAAAADnM1QM=")</f>
        <v>#REF!</v>
      </c>
      <c r="E91" t="e">
        <f>AND(#REF!,"AAAAADnM1QQ=")</f>
        <v>#REF!</v>
      </c>
      <c r="F91" t="e">
        <f>AND(#REF!,"AAAAADnM1QU=")</f>
        <v>#REF!</v>
      </c>
      <c r="G91" t="e">
        <f>AND(#REF!,"AAAAADnM1QY=")</f>
        <v>#REF!</v>
      </c>
      <c r="H91" t="e">
        <f>AND(#REF!,"AAAAADnM1Qc=")</f>
        <v>#REF!</v>
      </c>
      <c r="I91" t="e">
        <f>AND(#REF!,"AAAAADnM1Qg=")</f>
        <v>#REF!</v>
      </c>
      <c r="J91" t="e">
        <f>AND(#REF!,"AAAAADnM1Qk=")</f>
        <v>#REF!</v>
      </c>
      <c r="K91" t="e">
        <f>IF(#REF!,"AAAAADnM1Qo=",0)</f>
        <v>#REF!</v>
      </c>
      <c r="L91" t="e">
        <f>AND(#REF!,"AAAAADnM1Qs=")</f>
        <v>#REF!</v>
      </c>
      <c r="M91" t="e">
        <f>AND(#REF!,"AAAAADnM1Qw=")</f>
        <v>#REF!</v>
      </c>
      <c r="N91" t="e">
        <f>AND(#REF!,"AAAAADnM1Q0=")</f>
        <v>#REF!</v>
      </c>
      <c r="O91" t="e">
        <f>AND(#REF!,"AAAAADnM1Q4=")</f>
        <v>#REF!</v>
      </c>
      <c r="P91" t="e">
        <f>AND(#REF!,"AAAAADnM1Q8=")</f>
        <v>#REF!</v>
      </c>
      <c r="Q91" t="e">
        <f>AND(#REF!,"AAAAADnM1RA=")</f>
        <v>#REF!</v>
      </c>
      <c r="R91" t="e">
        <f>AND(#REF!,"AAAAADnM1RE=")</f>
        <v>#REF!</v>
      </c>
      <c r="S91" t="e">
        <f>AND(#REF!,"AAAAADnM1RI=")</f>
        <v>#REF!</v>
      </c>
      <c r="T91" t="e">
        <f>AND(#REF!,"AAAAADnM1RM=")</f>
        <v>#REF!</v>
      </c>
      <c r="U91" t="e">
        <f>AND(#REF!,"AAAAADnM1RQ=")</f>
        <v>#REF!</v>
      </c>
      <c r="V91" t="e">
        <f>IF(#REF!,"AAAAADnM1RU=",0)</f>
        <v>#REF!</v>
      </c>
      <c r="W91" t="e">
        <f>AND(#REF!,"AAAAADnM1RY=")</f>
        <v>#REF!</v>
      </c>
      <c r="X91" t="e">
        <f>AND(#REF!,"AAAAADnM1Rc=")</f>
        <v>#REF!</v>
      </c>
      <c r="Y91" t="e">
        <f>AND(#REF!,"AAAAADnM1Rg=")</f>
        <v>#REF!</v>
      </c>
      <c r="Z91" t="e">
        <f>AND(#REF!,"AAAAADnM1Rk=")</f>
        <v>#REF!</v>
      </c>
      <c r="AA91" t="e">
        <f>AND(#REF!,"AAAAADnM1Ro=")</f>
        <v>#REF!</v>
      </c>
      <c r="AB91" t="e">
        <f>AND(#REF!,"AAAAADnM1Rs=")</f>
        <v>#REF!</v>
      </c>
      <c r="AC91" t="e">
        <f>AND(#REF!,"AAAAADnM1Rw=")</f>
        <v>#REF!</v>
      </c>
      <c r="AD91" t="e">
        <f>AND(#REF!,"AAAAADnM1R0=")</f>
        <v>#REF!</v>
      </c>
      <c r="AE91" t="e">
        <f>AND(#REF!,"AAAAADnM1R4=")</f>
        <v>#REF!</v>
      </c>
      <c r="AF91" t="e">
        <f>AND(#REF!,"AAAAADnM1R8=")</f>
        <v>#REF!</v>
      </c>
      <c r="AG91" t="e">
        <f>IF(#REF!,"AAAAADnM1SA=",0)</f>
        <v>#REF!</v>
      </c>
      <c r="AH91" t="e">
        <f>AND(#REF!,"AAAAADnM1SE=")</f>
        <v>#REF!</v>
      </c>
      <c r="AI91" t="e">
        <f>AND(#REF!,"AAAAADnM1SI=")</f>
        <v>#REF!</v>
      </c>
      <c r="AJ91" t="e">
        <f>AND(#REF!,"AAAAADnM1SM=")</f>
        <v>#REF!</v>
      </c>
      <c r="AK91" t="e">
        <f>AND(#REF!,"AAAAADnM1SQ=")</f>
        <v>#REF!</v>
      </c>
      <c r="AL91" t="e">
        <f>AND(#REF!,"AAAAADnM1SU=")</f>
        <v>#REF!</v>
      </c>
      <c r="AM91" t="e">
        <f>AND(#REF!,"AAAAADnM1SY=")</f>
        <v>#REF!</v>
      </c>
      <c r="AN91" t="e">
        <f>AND(#REF!,"AAAAADnM1Sc=")</f>
        <v>#REF!</v>
      </c>
      <c r="AO91" t="e">
        <f>AND(#REF!,"AAAAADnM1Sg=")</f>
        <v>#REF!</v>
      </c>
      <c r="AP91" t="e">
        <f>AND(#REF!,"AAAAADnM1Sk=")</f>
        <v>#REF!</v>
      </c>
      <c r="AQ91" t="e">
        <f>AND(#REF!,"AAAAADnM1So=")</f>
        <v>#REF!</v>
      </c>
      <c r="AR91" t="e">
        <f>IF(#REF!,"AAAAADnM1Ss=",0)</f>
        <v>#REF!</v>
      </c>
      <c r="AS91" t="e">
        <f>AND(#REF!,"AAAAADnM1Sw=")</f>
        <v>#REF!</v>
      </c>
      <c r="AT91" t="e">
        <f>AND(#REF!,"AAAAADnM1S0=")</f>
        <v>#REF!</v>
      </c>
      <c r="AU91" t="e">
        <f>AND(#REF!,"AAAAADnM1S4=")</f>
        <v>#REF!</v>
      </c>
      <c r="AV91" t="e">
        <f>AND(#REF!,"AAAAADnM1S8=")</f>
        <v>#REF!</v>
      </c>
      <c r="AW91" t="e">
        <f>AND(#REF!,"AAAAADnM1TA=")</f>
        <v>#REF!</v>
      </c>
      <c r="AX91" t="e">
        <f>AND(#REF!,"AAAAADnM1TE=")</f>
        <v>#REF!</v>
      </c>
      <c r="AY91" t="e">
        <f>AND(#REF!,"AAAAADnM1TI=")</f>
        <v>#REF!</v>
      </c>
      <c r="AZ91" t="e">
        <f>AND(#REF!,"AAAAADnM1TM=")</f>
        <v>#REF!</v>
      </c>
      <c r="BA91" t="e">
        <f>AND(#REF!,"AAAAADnM1TQ=")</f>
        <v>#REF!</v>
      </c>
      <c r="BB91" t="e">
        <f>AND(#REF!,"AAAAADnM1TU=")</f>
        <v>#REF!</v>
      </c>
      <c r="BC91" t="e">
        <f>IF(#REF!,"AAAAADnM1TY=",0)</f>
        <v>#REF!</v>
      </c>
      <c r="BD91" t="e">
        <f>AND(#REF!,"AAAAADnM1Tc=")</f>
        <v>#REF!</v>
      </c>
      <c r="BE91" t="e">
        <f>AND(#REF!,"AAAAADnM1Tg=")</f>
        <v>#REF!</v>
      </c>
      <c r="BF91" t="e">
        <f>AND(#REF!,"AAAAADnM1Tk=")</f>
        <v>#REF!</v>
      </c>
      <c r="BG91" t="e">
        <f>AND(#REF!,"AAAAADnM1To=")</f>
        <v>#REF!</v>
      </c>
      <c r="BH91" t="e">
        <f>AND(#REF!,"AAAAADnM1Ts=")</f>
        <v>#REF!</v>
      </c>
      <c r="BI91" t="e">
        <f>AND(#REF!,"AAAAADnM1Tw=")</f>
        <v>#REF!</v>
      </c>
      <c r="BJ91" t="e">
        <f>AND(#REF!,"AAAAADnM1T0=")</f>
        <v>#REF!</v>
      </c>
      <c r="BK91" t="e">
        <f>AND(#REF!,"AAAAADnM1T4=")</f>
        <v>#REF!</v>
      </c>
      <c r="BL91" t="e">
        <f>AND(#REF!,"AAAAADnM1T8=")</f>
        <v>#REF!</v>
      </c>
      <c r="BM91" t="e">
        <f>AND(#REF!,"AAAAADnM1UA=")</f>
        <v>#REF!</v>
      </c>
      <c r="BN91" t="e">
        <f>IF(#REF!,"AAAAADnM1UE=",0)</f>
        <v>#REF!</v>
      </c>
      <c r="BO91" t="e">
        <f>AND(#REF!,"AAAAADnM1UI=")</f>
        <v>#REF!</v>
      </c>
      <c r="BP91" t="e">
        <f>AND(#REF!,"AAAAADnM1UM=")</f>
        <v>#REF!</v>
      </c>
      <c r="BQ91" t="e">
        <f>AND(#REF!,"AAAAADnM1UQ=")</f>
        <v>#REF!</v>
      </c>
      <c r="BR91" t="e">
        <f>AND(#REF!,"AAAAADnM1UU=")</f>
        <v>#REF!</v>
      </c>
      <c r="BS91" t="e">
        <f>AND(#REF!,"AAAAADnM1UY=")</f>
        <v>#REF!</v>
      </c>
      <c r="BT91" t="e">
        <f>AND(#REF!,"AAAAADnM1Uc=")</f>
        <v>#REF!</v>
      </c>
      <c r="BU91" t="e">
        <f>AND(#REF!,"AAAAADnM1Ug=")</f>
        <v>#REF!</v>
      </c>
      <c r="BV91" t="e">
        <f>AND(#REF!,"AAAAADnM1Uk=")</f>
        <v>#REF!</v>
      </c>
      <c r="BW91" t="e">
        <f>AND(#REF!,"AAAAADnM1Uo=")</f>
        <v>#REF!</v>
      </c>
      <c r="BX91" t="e">
        <f>AND(#REF!,"AAAAADnM1Us=")</f>
        <v>#REF!</v>
      </c>
      <c r="BY91" t="e">
        <f>IF(#REF!,"AAAAADnM1Uw=",0)</f>
        <v>#REF!</v>
      </c>
      <c r="BZ91" t="e">
        <f>AND(#REF!,"AAAAADnM1U0=")</f>
        <v>#REF!</v>
      </c>
      <c r="CA91" t="e">
        <f>AND(#REF!,"AAAAADnM1U4=")</f>
        <v>#REF!</v>
      </c>
      <c r="CB91" t="e">
        <f>AND(#REF!,"AAAAADnM1U8=")</f>
        <v>#REF!</v>
      </c>
      <c r="CC91" t="e">
        <f>AND(#REF!,"AAAAADnM1VA=")</f>
        <v>#REF!</v>
      </c>
      <c r="CD91" t="e">
        <f>AND(#REF!,"AAAAADnM1VE=")</f>
        <v>#REF!</v>
      </c>
      <c r="CE91" t="e">
        <f>AND(#REF!,"AAAAADnM1VI=")</f>
        <v>#REF!</v>
      </c>
      <c r="CF91" t="e">
        <f>AND(#REF!,"AAAAADnM1VM=")</f>
        <v>#REF!</v>
      </c>
      <c r="CG91" t="e">
        <f>AND(#REF!,"AAAAADnM1VQ=")</f>
        <v>#REF!</v>
      </c>
      <c r="CH91" t="e">
        <f>AND(#REF!,"AAAAADnM1VU=")</f>
        <v>#REF!</v>
      </c>
      <c r="CI91" t="e">
        <f>AND(#REF!,"AAAAADnM1VY=")</f>
        <v>#REF!</v>
      </c>
      <c r="CJ91" t="e">
        <f>IF(#REF!,"AAAAADnM1Vc=",0)</f>
        <v>#REF!</v>
      </c>
      <c r="CK91" t="e">
        <f>AND(#REF!,"AAAAADnM1Vg=")</f>
        <v>#REF!</v>
      </c>
      <c r="CL91" t="e">
        <f>AND(#REF!,"AAAAADnM1Vk=")</f>
        <v>#REF!</v>
      </c>
      <c r="CM91" t="e">
        <f>AND(#REF!,"AAAAADnM1Vo=")</f>
        <v>#REF!</v>
      </c>
      <c r="CN91" t="e">
        <f>AND(#REF!,"AAAAADnM1Vs=")</f>
        <v>#REF!</v>
      </c>
      <c r="CO91" t="e">
        <f>AND(#REF!,"AAAAADnM1Vw=")</f>
        <v>#REF!</v>
      </c>
      <c r="CP91" t="e">
        <f>AND(#REF!,"AAAAADnM1V0=")</f>
        <v>#REF!</v>
      </c>
      <c r="CQ91" t="e">
        <f>AND(#REF!,"AAAAADnM1V4=")</f>
        <v>#REF!</v>
      </c>
      <c r="CR91" t="e">
        <f>AND(#REF!,"AAAAADnM1V8=")</f>
        <v>#REF!</v>
      </c>
      <c r="CS91" t="e">
        <f>AND(#REF!,"AAAAADnM1WA=")</f>
        <v>#REF!</v>
      </c>
      <c r="CT91" t="e">
        <f>AND(#REF!,"AAAAADnM1WE=")</f>
        <v>#REF!</v>
      </c>
      <c r="CU91" t="e">
        <f>IF(#REF!,"AAAAADnM1WI=",0)</f>
        <v>#REF!</v>
      </c>
      <c r="CV91" t="e">
        <f>AND(#REF!,"AAAAADnM1WM=")</f>
        <v>#REF!</v>
      </c>
      <c r="CW91" t="e">
        <f>AND(#REF!,"AAAAADnM1WQ=")</f>
        <v>#REF!</v>
      </c>
      <c r="CX91" t="e">
        <f>AND(#REF!,"AAAAADnM1WU=")</f>
        <v>#REF!</v>
      </c>
      <c r="CY91" t="e">
        <f>AND(#REF!,"AAAAADnM1WY=")</f>
        <v>#REF!</v>
      </c>
      <c r="CZ91" t="e">
        <f>AND(#REF!,"AAAAADnM1Wc=")</f>
        <v>#REF!</v>
      </c>
      <c r="DA91" t="e">
        <f>AND(#REF!,"AAAAADnM1Wg=")</f>
        <v>#REF!</v>
      </c>
      <c r="DB91" t="e">
        <f>AND(#REF!,"AAAAADnM1Wk=")</f>
        <v>#REF!</v>
      </c>
      <c r="DC91" t="e">
        <f>AND(#REF!,"AAAAADnM1Wo=")</f>
        <v>#REF!</v>
      </c>
      <c r="DD91" t="e">
        <f>AND(#REF!,"AAAAADnM1Ws=")</f>
        <v>#REF!</v>
      </c>
      <c r="DE91" t="e">
        <f>AND(#REF!,"AAAAADnM1Ww=")</f>
        <v>#REF!</v>
      </c>
      <c r="DF91" t="e">
        <f>IF(#REF!,"AAAAADnM1W0=",0)</f>
        <v>#REF!</v>
      </c>
      <c r="DG91" t="e">
        <f>AND(#REF!,"AAAAADnM1W4=")</f>
        <v>#REF!</v>
      </c>
      <c r="DH91" t="e">
        <f>AND(#REF!,"AAAAADnM1W8=")</f>
        <v>#REF!</v>
      </c>
      <c r="DI91" t="e">
        <f>AND(#REF!,"AAAAADnM1XA=")</f>
        <v>#REF!</v>
      </c>
      <c r="DJ91" t="e">
        <f>AND(#REF!,"AAAAADnM1XE=")</f>
        <v>#REF!</v>
      </c>
      <c r="DK91" t="e">
        <f>AND(#REF!,"AAAAADnM1XI=")</f>
        <v>#REF!</v>
      </c>
      <c r="DL91" t="e">
        <f>AND(#REF!,"AAAAADnM1XM=")</f>
        <v>#REF!</v>
      </c>
      <c r="DM91" t="e">
        <f>AND(#REF!,"AAAAADnM1XQ=")</f>
        <v>#REF!</v>
      </c>
      <c r="DN91" t="e">
        <f>AND(#REF!,"AAAAADnM1XU=")</f>
        <v>#REF!</v>
      </c>
      <c r="DO91" t="e">
        <f>AND(#REF!,"AAAAADnM1XY=")</f>
        <v>#REF!</v>
      </c>
      <c r="DP91" t="e">
        <f>AND(#REF!,"AAAAADnM1Xc=")</f>
        <v>#REF!</v>
      </c>
      <c r="DQ91" t="e">
        <f>IF(#REF!,"AAAAADnM1Xg=",0)</f>
        <v>#REF!</v>
      </c>
      <c r="DR91" t="e">
        <f>AND(#REF!,"AAAAADnM1Xk=")</f>
        <v>#REF!</v>
      </c>
      <c r="DS91" t="e">
        <f>AND(#REF!,"AAAAADnM1Xo=")</f>
        <v>#REF!</v>
      </c>
      <c r="DT91" t="e">
        <f>AND(#REF!,"AAAAADnM1Xs=")</f>
        <v>#REF!</v>
      </c>
      <c r="DU91" t="e">
        <f>AND(#REF!,"AAAAADnM1Xw=")</f>
        <v>#REF!</v>
      </c>
      <c r="DV91" t="e">
        <f>AND(#REF!,"AAAAADnM1X0=")</f>
        <v>#REF!</v>
      </c>
      <c r="DW91" t="e">
        <f>AND(#REF!,"AAAAADnM1X4=")</f>
        <v>#REF!</v>
      </c>
      <c r="DX91" t="e">
        <f>AND(#REF!,"AAAAADnM1X8=")</f>
        <v>#REF!</v>
      </c>
      <c r="DY91" t="e">
        <f>AND(#REF!,"AAAAADnM1YA=")</f>
        <v>#REF!</v>
      </c>
      <c r="DZ91" t="e">
        <f>AND(#REF!,"AAAAADnM1YE=")</f>
        <v>#REF!</v>
      </c>
      <c r="EA91" t="e">
        <f>AND(#REF!,"AAAAADnM1YI=")</f>
        <v>#REF!</v>
      </c>
      <c r="EB91" t="e">
        <f>IF(#REF!,"AAAAADnM1YM=",0)</f>
        <v>#REF!</v>
      </c>
      <c r="EC91" t="e">
        <f>AND(#REF!,"AAAAADnM1YQ=")</f>
        <v>#REF!</v>
      </c>
      <c r="ED91" t="e">
        <f>AND(#REF!,"AAAAADnM1YU=")</f>
        <v>#REF!</v>
      </c>
      <c r="EE91" t="e">
        <f>AND(#REF!,"AAAAADnM1YY=")</f>
        <v>#REF!</v>
      </c>
      <c r="EF91" t="e">
        <f>AND(#REF!,"AAAAADnM1Yc=")</f>
        <v>#REF!</v>
      </c>
      <c r="EG91" t="e">
        <f>AND(#REF!,"AAAAADnM1Yg=")</f>
        <v>#REF!</v>
      </c>
      <c r="EH91" t="e">
        <f>AND(#REF!,"AAAAADnM1Yk=")</f>
        <v>#REF!</v>
      </c>
      <c r="EI91" t="e">
        <f>AND(#REF!,"AAAAADnM1Yo=")</f>
        <v>#REF!</v>
      </c>
      <c r="EJ91" t="e">
        <f>AND(#REF!,"AAAAADnM1Ys=")</f>
        <v>#REF!</v>
      </c>
      <c r="EK91" t="e">
        <f>AND(#REF!,"AAAAADnM1Yw=")</f>
        <v>#REF!</v>
      </c>
      <c r="EL91" t="e">
        <f>AND(#REF!,"AAAAADnM1Y0=")</f>
        <v>#REF!</v>
      </c>
      <c r="EM91" t="e">
        <f>IF(#REF!,"AAAAADnM1Y4=",0)</f>
        <v>#REF!</v>
      </c>
      <c r="EN91" t="e">
        <f>AND(#REF!,"AAAAADnM1Y8=")</f>
        <v>#REF!</v>
      </c>
      <c r="EO91" t="e">
        <f>AND(#REF!,"AAAAADnM1ZA=")</f>
        <v>#REF!</v>
      </c>
      <c r="EP91" t="e">
        <f>AND(#REF!,"AAAAADnM1ZE=")</f>
        <v>#REF!</v>
      </c>
      <c r="EQ91" t="e">
        <f>AND(#REF!,"AAAAADnM1ZI=")</f>
        <v>#REF!</v>
      </c>
      <c r="ER91" t="e">
        <f>AND(#REF!,"AAAAADnM1ZM=")</f>
        <v>#REF!</v>
      </c>
      <c r="ES91" t="e">
        <f>AND(#REF!,"AAAAADnM1ZQ=")</f>
        <v>#REF!</v>
      </c>
      <c r="ET91" t="e">
        <f>AND(#REF!,"AAAAADnM1ZU=")</f>
        <v>#REF!</v>
      </c>
      <c r="EU91" t="e">
        <f>AND(#REF!,"AAAAADnM1ZY=")</f>
        <v>#REF!</v>
      </c>
      <c r="EV91" t="e">
        <f>AND(#REF!,"AAAAADnM1Zc=")</f>
        <v>#REF!</v>
      </c>
      <c r="EW91" t="e">
        <f>AND(#REF!,"AAAAADnM1Zg=")</f>
        <v>#REF!</v>
      </c>
      <c r="EX91" t="e">
        <f>IF(#REF!,"AAAAADnM1Zk=",0)</f>
        <v>#REF!</v>
      </c>
      <c r="EY91" t="e">
        <f>AND(#REF!,"AAAAADnM1Zo=")</f>
        <v>#REF!</v>
      </c>
      <c r="EZ91" t="e">
        <f>AND(#REF!,"AAAAADnM1Zs=")</f>
        <v>#REF!</v>
      </c>
      <c r="FA91" t="e">
        <f>AND(#REF!,"AAAAADnM1Zw=")</f>
        <v>#REF!</v>
      </c>
      <c r="FB91" t="e">
        <f>AND(#REF!,"AAAAADnM1Z0=")</f>
        <v>#REF!</v>
      </c>
      <c r="FC91" t="e">
        <f>AND(#REF!,"AAAAADnM1Z4=")</f>
        <v>#REF!</v>
      </c>
      <c r="FD91" t="e">
        <f>AND(#REF!,"AAAAADnM1Z8=")</f>
        <v>#REF!</v>
      </c>
      <c r="FE91" t="e">
        <f>AND(#REF!,"AAAAADnM1aA=")</f>
        <v>#REF!</v>
      </c>
      <c r="FF91" t="e">
        <f>AND(#REF!,"AAAAADnM1aE=")</f>
        <v>#REF!</v>
      </c>
      <c r="FG91" t="e">
        <f>AND(#REF!,"AAAAADnM1aI=")</f>
        <v>#REF!</v>
      </c>
      <c r="FH91" t="e">
        <f>AND(#REF!,"AAAAADnM1aM=")</f>
        <v>#REF!</v>
      </c>
      <c r="FI91" t="e">
        <f>IF(#REF!,"AAAAADnM1aQ=",0)</f>
        <v>#REF!</v>
      </c>
      <c r="FJ91" t="e">
        <f>AND(#REF!,"AAAAADnM1aU=")</f>
        <v>#REF!</v>
      </c>
      <c r="FK91" t="e">
        <f>AND(#REF!,"AAAAADnM1aY=")</f>
        <v>#REF!</v>
      </c>
      <c r="FL91" t="e">
        <f>AND(#REF!,"AAAAADnM1ac=")</f>
        <v>#REF!</v>
      </c>
      <c r="FM91" t="e">
        <f>AND(#REF!,"AAAAADnM1ag=")</f>
        <v>#REF!</v>
      </c>
      <c r="FN91" t="e">
        <f>AND(#REF!,"AAAAADnM1ak=")</f>
        <v>#REF!</v>
      </c>
      <c r="FO91" t="e">
        <f>AND(#REF!,"AAAAADnM1ao=")</f>
        <v>#REF!</v>
      </c>
      <c r="FP91" t="e">
        <f>AND(#REF!,"AAAAADnM1as=")</f>
        <v>#REF!</v>
      </c>
      <c r="FQ91" t="e">
        <f>AND(#REF!,"AAAAADnM1aw=")</f>
        <v>#REF!</v>
      </c>
      <c r="FR91" t="e">
        <f>AND(#REF!,"AAAAADnM1a0=")</f>
        <v>#REF!</v>
      </c>
      <c r="FS91" t="e">
        <f>AND(#REF!,"AAAAADnM1a4=")</f>
        <v>#REF!</v>
      </c>
      <c r="FT91" t="e">
        <f>IF(#REF!,"AAAAADnM1a8=",0)</f>
        <v>#REF!</v>
      </c>
      <c r="FU91" t="e">
        <f>AND(#REF!,"AAAAADnM1bA=")</f>
        <v>#REF!</v>
      </c>
      <c r="FV91" t="e">
        <f>AND(#REF!,"AAAAADnM1bE=")</f>
        <v>#REF!</v>
      </c>
      <c r="FW91" t="e">
        <f>AND(#REF!,"AAAAADnM1bI=")</f>
        <v>#REF!</v>
      </c>
      <c r="FX91" t="e">
        <f>AND(#REF!,"AAAAADnM1bM=")</f>
        <v>#REF!</v>
      </c>
      <c r="FY91" t="e">
        <f>AND(#REF!,"AAAAADnM1bQ=")</f>
        <v>#REF!</v>
      </c>
      <c r="FZ91" t="e">
        <f>AND(#REF!,"AAAAADnM1bU=")</f>
        <v>#REF!</v>
      </c>
      <c r="GA91" t="e">
        <f>AND(#REF!,"AAAAADnM1bY=")</f>
        <v>#REF!</v>
      </c>
      <c r="GB91" t="e">
        <f>AND(#REF!,"AAAAADnM1bc=")</f>
        <v>#REF!</v>
      </c>
      <c r="GC91" t="e">
        <f>AND(#REF!,"AAAAADnM1bg=")</f>
        <v>#REF!</v>
      </c>
      <c r="GD91" t="e">
        <f>AND(#REF!,"AAAAADnM1bk=")</f>
        <v>#REF!</v>
      </c>
      <c r="GE91" t="e">
        <f>IF(#REF!,"AAAAADnM1bo=",0)</f>
        <v>#REF!</v>
      </c>
      <c r="GF91" t="e">
        <f>AND(#REF!,"AAAAADnM1bs=")</f>
        <v>#REF!</v>
      </c>
      <c r="GG91" t="e">
        <f>AND(#REF!,"AAAAADnM1bw=")</f>
        <v>#REF!</v>
      </c>
      <c r="GH91" t="e">
        <f>AND(#REF!,"AAAAADnM1b0=")</f>
        <v>#REF!</v>
      </c>
      <c r="GI91" t="e">
        <f>AND(#REF!,"AAAAADnM1b4=")</f>
        <v>#REF!</v>
      </c>
      <c r="GJ91" t="e">
        <f>AND(#REF!,"AAAAADnM1b8=")</f>
        <v>#REF!</v>
      </c>
      <c r="GK91" t="e">
        <f>AND(#REF!,"AAAAADnM1cA=")</f>
        <v>#REF!</v>
      </c>
      <c r="GL91" t="e">
        <f>AND(#REF!,"AAAAADnM1cE=")</f>
        <v>#REF!</v>
      </c>
      <c r="GM91" t="e">
        <f>AND(#REF!,"AAAAADnM1cI=")</f>
        <v>#REF!</v>
      </c>
      <c r="GN91" t="e">
        <f>AND(#REF!,"AAAAADnM1cM=")</f>
        <v>#REF!</v>
      </c>
      <c r="GO91" t="e">
        <f>AND(#REF!,"AAAAADnM1cQ=")</f>
        <v>#REF!</v>
      </c>
      <c r="GP91" t="e">
        <f>IF(#REF!,"AAAAADnM1cU=",0)</f>
        <v>#REF!</v>
      </c>
      <c r="GQ91" t="e">
        <f>AND(#REF!,"AAAAADnM1cY=")</f>
        <v>#REF!</v>
      </c>
      <c r="GR91" t="e">
        <f>AND(#REF!,"AAAAADnM1cc=")</f>
        <v>#REF!</v>
      </c>
      <c r="GS91" t="e">
        <f>AND(#REF!,"AAAAADnM1cg=")</f>
        <v>#REF!</v>
      </c>
      <c r="GT91" t="e">
        <f>AND(#REF!,"AAAAADnM1ck=")</f>
        <v>#REF!</v>
      </c>
      <c r="GU91" t="e">
        <f>AND(#REF!,"AAAAADnM1co=")</f>
        <v>#REF!</v>
      </c>
      <c r="GV91" t="e">
        <f>AND(#REF!,"AAAAADnM1cs=")</f>
        <v>#REF!</v>
      </c>
      <c r="GW91" t="e">
        <f>AND(#REF!,"AAAAADnM1cw=")</f>
        <v>#REF!</v>
      </c>
      <c r="GX91" t="e">
        <f>AND(#REF!,"AAAAADnM1c0=")</f>
        <v>#REF!</v>
      </c>
      <c r="GY91" t="e">
        <f>AND(#REF!,"AAAAADnM1c4=")</f>
        <v>#REF!</v>
      </c>
      <c r="GZ91" t="e">
        <f>AND(#REF!,"AAAAADnM1c8=")</f>
        <v>#REF!</v>
      </c>
      <c r="HA91" t="e">
        <f>IF(#REF!,"AAAAADnM1dA=",0)</f>
        <v>#REF!</v>
      </c>
      <c r="HB91" t="e">
        <f>AND(#REF!,"AAAAADnM1dE=")</f>
        <v>#REF!</v>
      </c>
      <c r="HC91" t="e">
        <f>AND(#REF!,"AAAAADnM1dI=")</f>
        <v>#REF!</v>
      </c>
      <c r="HD91" t="e">
        <f>AND(#REF!,"AAAAADnM1dM=")</f>
        <v>#REF!</v>
      </c>
      <c r="HE91" t="e">
        <f>AND(#REF!,"AAAAADnM1dQ=")</f>
        <v>#REF!</v>
      </c>
      <c r="HF91" t="e">
        <f>AND(#REF!,"AAAAADnM1dU=")</f>
        <v>#REF!</v>
      </c>
      <c r="HG91" t="e">
        <f>AND(#REF!,"AAAAADnM1dY=")</f>
        <v>#REF!</v>
      </c>
      <c r="HH91" t="e">
        <f>AND(#REF!,"AAAAADnM1dc=")</f>
        <v>#REF!</v>
      </c>
      <c r="HI91" t="e">
        <f>AND(#REF!,"AAAAADnM1dg=")</f>
        <v>#REF!</v>
      </c>
      <c r="HJ91" t="e">
        <f>AND(#REF!,"AAAAADnM1dk=")</f>
        <v>#REF!</v>
      </c>
      <c r="HK91" t="e">
        <f>AND(#REF!,"AAAAADnM1do=")</f>
        <v>#REF!</v>
      </c>
      <c r="HL91" t="e">
        <f>IF(#REF!,"AAAAADnM1ds=",0)</f>
        <v>#REF!</v>
      </c>
      <c r="HM91" t="e">
        <f>AND(#REF!,"AAAAADnM1dw=")</f>
        <v>#REF!</v>
      </c>
      <c r="HN91" t="e">
        <f>AND(#REF!,"AAAAADnM1d0=")</f>
        <v>#REF!</v>
      </c>
      <c r="HO91" t="e">
        <f>AND(#REF!,"AAAAADnM1d4=")</f>
        <v>#REF!</v>
      </c>
      <c r="HP91" t="e">
        <f>AND(#REF!,"AAAAADnM1d8=")</f>
        <v>#REF!</v>
      </c>
      <c r="HQ91" t="e">
        <f>AND(#REF!,"AAAAADnM1eA=")</f>
        <v>#REF!</v>
      </c>
      <c r="HR91" t="e">
        <f>AND(#REF!,"AAAAADnM1eE=")</f>
        <v>#REF!</v>
      </c>
      <c r="HS91" t="e">
        <f>AND(#REF!,"AAAAADnM1eI=")</f>
        <v>#REF!</v>
      </c>
      <c r="HT91" t="e">
        <f>AND(#REF!,"AAAAADnM1eM=")</f>
        <v>#REF!</v>
      </c>
      <c r="HU91" t="e">
        <f>AND(#REF!,"AAAAADnM1eQ=")</f>
        <v>#REF!</v>
      </c>
      <c r="HV91" t="e">
        <f>AND(#REF!,"AAAAADnM1eU=")</f>
        <v>#REF!</v>
      </c>
      <c r="HW91" t="e">
        <f>IF(#REF!,"AAAAADnM1eY=",0)</f>
        <v>#REF!</v>
      </c>
      <c r="HX91" t="e">
        <f>AND(#REF!,"AAAAADnM1ec=")</f>
        <v>#REF!</v>
      </c>
      <c r="HY91" t="e">
        <f>AND(#REF!,"AAAAADnM1eg=")</f>
        <v>#REF!</v>
      </c>
      <c r="HZ91" t="e">
        <f>AND(#REF!,"AAAAADnM1ek=")</f>
        <v>#REF!</v>
      </c>
      <c r="IA91" t="e">
        <f>AND(#REF!,"AAAAADnM1eo=")</f>
        <v>#REF!</v>
      </c>
      <c r="IB91" t="e">
        <f>AND(#REF!,"AAAAADnM1es=")</f>
        <v>#REF!</v>
      </c>
      <c r="IC91" t="e">
        <f>AND(#REF!,"AAAAADnM1ew=")</f>
        <v>#REF!</v>
      </c>
      <c r="ID91" t="e">
        <f>AND(#REF!,"AAAAADnM1e0=")</f>
        <v>#REF!</v>
      </c>
      <c r="IE91" t="e">
        <f>AND(#REF!,"AAAAADnM1e4=")</f>
        <v>#REF!</v>
      </c>
      <c r="IF91" t="e">
        <f>AND(#REF!,"AAAAADnM1e8=")</f>
        <v>#REF!</v>
      </c>
      <c r="IG91" t="e">
        <f>AND(#REF!,"AAAAADnM1fA=")</f>
        <v>#REF!</v>
      </c>
      <c r="IH91" t="e">
        <f>IF(#REF!,"AAAAADnM1fE=",0)</f>
        <v>#REF!</v>
      </c>
      <c r="II91" t="e">
        <f>AND(#REF!,"AAAAADnM1fI=")</f>
        <v>#REF!</v>
      </c>
      <c r="IJ91" t="e">
        <f>AND(#REF!,"AAAAADnM1fM=")</f>
        <v>#REF!</v>
      </c>
      <c r="IK91" t="e">
        <f>AND(#REF!,"AAAAADnM1fQ=")</f>
        <v>#REF!</v>
      </c>
      <c r="IL91" t="e">
        <f>AND(#REF!,"AAAAADnM1fU=")</f>
        <v>#REF!</v>
      </c>
      <c r="IM91" t="e">
        <f>AND(#REF!,"AAAAADnM1fY=")</f>
        <v>#REF!</v>
      </c>
      <c r="IN91" t="e">
        <f>AND(#REF!,"AAAAADnM1fc=")</f>
        <v>#REF!</v>
      </c>
      <c r="IO91" t="e">
        <f>AND(#REF!,"AAAAADnM1fg=")</f>
        <v>#REF!</v>
      </c>
      <c r="IP91" t="e">
        <f>AND(#REF!,"AAAAADnM1fk=")</f>
        <v>#REF!</v>
      </c>
      <c r="IQ91" t="e">
        <f>AND(#REF!,"AAAAADnM1fo=")</f>
        <v>#REF!</v>
      </c>
      <c r="IR91" t="e">
        <f>AND(#REF!,"AAAAADnM1fs=")</f>
        <v>#REF!</v>
      </c>
      <c r="IS91" t="e">
        <f>IF(#REF!,"AAAAADnM1fw=",0)</f>
        <v>#REF!</v>
      </c>
      <c r="IT91" t="e">
        <f>AND(#REF!,"AAAAADnM1f0=")</f>
        <v>#REF!</v>
      </c>
      <c r="IU91" t="e">
        <f>AND(#REF!,"AAAAADnM1f4=")</f>
        <v>#REF!</v>
      </c>
      <c r="IV91" t="e">
        <f>AND(#REF!,"AAAAADnM1f8=")</f>
        <v>#REF!</v>
      </c>
    </row>
    <row r="92" spans="1:256" x14ac:dyDescent="0.25">
      <c r="A92" t="e">
        <f>AND(#REF!,"AAAAAHf3swA=")</f>
        <v>#REF!</v>
      </c>
      <c r="B92" t="e">
        <f>AND(#REF!,"AAAAAHf3swE=")</f>
        <v>#REF!</v>
      </c>
      <c r="C92" t="e">
        <f>AND(#REF!,"AAAAAHf3swI=")</f>
        <v>#REF!</v>
      </c>
      <c r="D92" t="e">
        <f>AND(#REF!,"AAAAAHf3swM=")</f>
        <v>#REF!</v>
      </c>
      <c r="E92" t="e">
        <f>AND(#REF!,"AAAAAHf3swQ=")</f>
        <v>#REF!</v>
      </c>
      <c r="F92" t="e">
        <f>AND(#REF!,"AAAAAHf3swU=")</f>
        <v>#REF!</v>
      </c>
      <c r="G92" t="e">
        <f>AND(#REF!,"AAAAAHf3swY=")</f>
        <v>#REF!</v>
      </c>
      <c r="H92" t="e">
        <f>IF(#REF!,"AAAAAHf3swc=",0)</f>
        <v>#REF!</v>
      </c>
      <c r="I92" t="e">
        <f>AND(#REF!,"AAAAAHf3swg=")</f>
        <v>#REF!</v>
      </c>
      <c r="J92" t="e">
        <f>AND(#REF!,"AAAAAHf3swk=")</f>
        <v>#REF!</v>
      </c>
      <c r="K92" t="e">
        <f>AND(#REF!,"AAAAAHf3swo=")</f>
        <v>#REF!</v>
      </c>
      <c r="L92" t="e">
        <f>AND(#REF!,"AAAAAHf3sws=")</f>
        <v>#REF!</v>
      </c>
      <c r="M92" t="e">
        <f>AND(#REF!,"AAAAAHf3sww=")</f>
        <v>#REF!</v>
      </c>
      <c r="N92" t="e">
        <f>AND(#REF!,"AAAAAHf3sw0=")</f>
        <v>#REF!</v>
      </c>
      <c r="O92" t="e">
        <f>AND(#REF!,"AAAAAHf3sw4=")</f>
        <v>#REF!</v>
      </c>
      <c r="P92" t="e">
        <f>AND(#REF!,"AAAAAHf3sw8=")</f>
        <v>#REF!</v>
      </c>
      <c r="Q92" t="e">
        <f>AND(#REF!,"AAAAAHf3sxA=")</f>
        <v>#REF!</v>
      </c>
      <c r="R92" t="e">
        <f>AND(#REF!,"AAAAAHf3sxE=")</f>
        <v>#REF!</v>
      </c>
      <c r="S92" t="e">
        <f>IF(#REF!,"AAAAAHf3sxI=",0)</f>
        <v>#REF!</v>
      </c>
      <c r="T92" t="e">
        <f>AND(#REF!,"AAAAAHf3sxM=")</f>
        <v>#REF!</v>
      </c>
      <c r="U92" t="e">
        <f>AND(#REF!,"AAAAAHf3sxQ=")</f>
        <v>#REF!</v>
      </c>
      <c r="V92" t="e">
        <f>AND(#REF!,"AAAAAHf3sxU=")</f>
        <v>#REF!</v>
      </c>
      <c r="W92" t="e">
        <f>AND(#REF!,"AAAAAHf3sxY=")</f>
        <v>#REF!</v>
      </c>
      <c r="X92" t="e">
        <f>AND(#REF!,"AAAAAHf3sxc=")</f>
        <v>#REF!</v>
      </c>
      <c r="Y92" t="e">
        <f>AND(#REF!,"AAAAAHf3sxg=")</f>
        <v>#REF!</v>
      </c>
      <c r="Z92" t="e">
        <f>AND(#REF!,"AAAAAHf3sxk=")</f>
        <v>#REF!</v>
      </c>
      <c r="AA92" t="e">
        <f>AND(#REF!,"AAAAAHf3sxo=")</f>
        <v>#REF!</v>
      </c>
      <c r="AB92" t="e">
        <f>AND(#REF!,"AAAAAHf3sxs=")</f>
        <v>#REF!</v>
      </c>
      <c r="AC92" t="e">
        <f>AND(#REF!,"AAAAAHf3sxw=")</f>
        <v>#REF!</v>
      </c>
      <c r="AD92" t="e">
        <f>IF(#REF!,"AAAAAHf3sx0=",0)</f>
        <v>#REF!</v>
      </c>
      <c r="AE92" t="e">
        <f>AND(#REF!,"AAAAAHf3sx4=")</f>
        <v>#REF!</v>
      </c>
      <c r="AF92" t="e">
        <f>AND(#REF!,"AAAAAHf3sx8=")</f>
        <v>#REF!</v>
      </c>
      <c r="AG92" t="e">
        <f>AND(#REF!,"AAAAAHf3syA=")</f>
        <v>#REF!</v>
      </c>
      <c r="AH92" t="e">
        <f>AND(#REF!,"AAAAAHf3syE=")</f>
        <v>#REF!</v>
      </c>
      <c r="AI92" t="e">
        <f>AND(#REF!,"AAAAAHf3syI=")</f>
        <v>#REF!</v>
      </c>
      <c r="AJ92" t="e">
        <f>AND(#REF!,"AAAAAHf3syM=")</f>
        <v>#REF!</v>
      </c>
      <c r="AK92" t="e">
        <f>AND(#REF!,"AAAAAHf3syQ=")</f>
        <v>#REF!</v>
      </c>
      <c r="AL92" t="e">
        <f>AND(#REF!,"AAAAAHf3syU=")</f>
        <v>#REF!</v>
      </c>
      <c r="AM92" t="e">
        <f>AND(#REF!,"AAAAAHf3syY=")</f>
        <v>#REF!</v>
      </c>
      <c r="AN92" t="e">
        <f>AND(#REF!,"AAAAAHf3syc=")</f>
        <v>#REF!</v>
      </c>
      <c r="AO92" t="e">
        <f>IF(#REF!,"AAAAAHf3syg=",0)</f>
        <v>#REF!</v>
      </c>
      <c r="AP92" t="e">
        <f>AND(#REF!,"AAAAAHf3syk=")</f>
        <v>#REF!</v>
      </c>
      <c r="AQ92" t="e">
        <f>AND(#REF!,"AAAAAHf3syo=")</f>
        <v>#REF!</v>
      </c>
      <c r="AR92" t="e">
        <f>AND(#REF!,"AAAAAHf3sys=")</f>
        <v>#REF!</v>
      </c>
      <c r="AS92" t="e">
        <f>AND(#REF!,"AAAAAHf3syw=")</f>
        <v>#REF!</v>
      </c>
      <c r="AT92" t="e">
        <f>AND(#REF!,"AAAAAHf3sy0=")</f>
        <v>#REF!</v>
      </c>
      <c r="AU92" t="e">
        <f>AND(#REF!,"AAAAAHf3sy4=")</f>
        <v>#REF!</v>
      </c>
      <c r="AV92" t="e">
        <f>AND(#REF!,"AAAAAHf3sy8=")</f>
        <v>#REF!</v>
      </c>
      <c r="AW92" t="e">
        <f>AND(#REF!,"AAAAAHf3szA=")</f>
        <v>#REF!</v>
      </c>
      <c r="AX92" t="e">
        <f>AND(#REF!,"AAAAAHf3szE=")</f>
        <v>#REF!</v>
      </c>
      <c r="AY92" t="e">
        <f>AND(#REF!,"AAAAAHf3szI=")</f>
        <v>#REF!</v>
      </c>
      <c r="AZ92" t="e">
        <f>IF(#REF!,"AAAAAHf3szM=",0)</f>
        <v>#REF!</v>
      </c>
      <c r="BA92" t="e">
        <f>AND(#REF!,"AAAAAHf3szQ=")</f>
        <v>#REF!</v>
      </c>
      <c r="BB92" t="e">
        <f>AND(#REF!,"AAAAAHf3szU=")</f>
        <v>#REF!</v>
      </c>
      <c r="BC92" t="e">
        <f>AND(#REF!,"AAAAAHf3szY=")</f>
        <v>#REF!</v>
      </c>
      <c r="BD92" t="e">
        <f>AND(#REF!,"AAAAAHf3szc=")</f>
        <v>#REF!</v>
      </c>
      <c r="BE92" t="e">
        <f>AND(#REF!,"AAAAAHf3szg=")</f>
        <v>#REF!</v>
      </c>
      <c r="BF92" t="e">
        <f>AND(#REF!,"AAAAAHf3szk=")</f>
        <v>#REF!</v>
      </c>
      <c r="BG92" t="e">
        <f>AND(#REF!,"AAAAAHf3szo=")</f>
        <v>#REF!</v>
      </c>
      <c r="BH92" t="e">
        <f>AND(#REF!,"AAAAAHf3szs=")</f>
        <v>#REF!</v>
      </c>
      <c r="BI92" t="e">
        <f>AND(#REF!,"AAAAAHf3szw=")</f>
        <v>#REF!</v>
      </c>
      <c r="BJ92" t="e">
        <f>AND(#REF!,"AAAAAHf3sz0=")</f>
        <v>#REF!</v>
      </c>
      <c r="BK92" t="e">
        <f>IF(#REF!,"AAAAAHf3sz4=",0)</f>
        <v>#REF!</v>
      </c>
      <c r="BL92" t="e">
        <f>AND(#REF!,"AAAAAHf3sz8=")</f>
        <v>#REF!</v>
      </c>
      <c r="BM92" t="e">
        <f>AND(#REF!,"AAAAAHf3s0A=")</f>
        <v>#REF!</v>
      </c>
      <c r="BN92" t="e">
        <f>AND(#REF!,"AAAAAHf3s0E=")</f>
        <v>#REF!</v>
      </c>
      <c r="BO92" t="e">
        <f>AND(#REF!,"AAAAAHf3s0I=")</f>
        <v>#REF!</v>
      </c>
      <c r="BP92" t="e">
        <f>AND(#REF!,"AAAAAHf3s0M=")</f>
        <v>#REF!</v>
      </c>
      <c r="BQ92" t="e">
        <f>AND(#REF!,"AAAAAHf3s0Q=")</f>
        <v>#REF!</v>
      </c>
      <c r="BR92" t="e">
        <f>AND(#REF!,"AAAAAHf3s0U=")</f>
        <v>#REF!</v>
      </c>
      <c r="BS92" t="e">
        <f>AND(#REF!,"AAAAAHf3s0Y=")</f>
        <v>#REF!</v>
      </c>
      <c r="BT92" t="e">
        <f>AND(#REF!,"AAAAAHf3s0c=")</f>
        <v>#REF!</v>
      </c>
      <c r="BU92" t="e">
        <f>AND(#REF!,"AAAAAHf3s0g=")</f>
        <v>#REF!</v>
      </c>
      <c r="BV92" t="e">
        <f>IF(#REF!,"AAAAAHf3s0k=",0)</f>
        <v>#REF!</v>
      </c>
      <c r="BW92" t="e">
        <f>AND(#REF!,"AAAAAHf3s0o=")</f>
        <v>#REF!</v>
      </c>
      <c r="BX92" t="e">
        <f>AND(#REF!,"AAAAAHf3s0s=")</f>
        <v>#REF!</v>
      </c>
      <c r="BY92" t="e">
        <f>AND(#REF!,"AAAAAHf3s0w=")</f>
        <v>#REF!</v>
      </c>
      <c r="BZ92" t="e">
        <f>AND(#REF!,"AAAAAHf3s00=")</f>
        <v>#REF!</v>
      </c>
      <c r="CA92" t="e">
        <f>AND(#REF!,"AAAAAHf3s04=")</f>
        <v>#REF!</v>
      </c>
      <c r="CB92" t="e">
        <f>AND(#REF!,"AAAAAHf3s08=")</f>
        <v>#REF!</v>
      </c>
      <c r="CC92" t="e">
        <f>AND(#REF!,"AAAAAHf3s1A=")</f>
        <v>#REF!</v>
      </c>
      <c r="CD92" t="e">
        <f>AND(#REF!,"AAAAAHf3s1E=")</f>
        <v>#REF!</v>
      </c>
      <c r="CE92" t="e">
        <f>AND(#REF!,"AAAAAHf3s1I=")</f>
        <v>#REF!</v>
      </c>
      <c r="CF92" t="e">
        <f>AND(#REF!,"AAAAAHf3s1M=")</f>
        <v>#REF!</v>
      </c>
      <c r="CG92" t="e">
        <f>IF(#REF!,"AAAAAHf3s1Q=",0)</f>
        <v>#REF!</v>
      </c>
      <c r="CH92" t="e">
        <f>AND(#REF!,"AAAAAHf3s1U=")</f>
        <v>#REF!</v>
      </c>
      <c r="CI92" t="e">
        <f>AND(#REF!,"AAAAAHf3s1Y=")</f>
        <v>#REF!</v>
      </c>
      <c r="CJ92" t="e">
        <f>AND(#REF!,"AAAAAHf3s1c=")</f>
        <v>#REF!</v>
      </c>
      <c r="CK92" t="e">
        <f>AND(#REF!,"AAAAAHf3s1g=")</f>
        <v>#REF!</v>
      </c>
      <c r="CL92" t="e">
        <f>AND(#REF!,"AAAAAHf3s1k=")</f>
        <v>#REF!</v>
      </c>
      <c r="CM92" t="e">
        <f>AND(#REF!,"AAAAAHf3s1o=")</f>
        <v>#REF!</v>
      </c>
      <c r="CN92" t="e">
        <f>AND(#REF!,"AAAAAHf3s1s=")</f>
        <v>#REF!</v>
      </c>
      <c r="CO92" t="e">
        <f>AND(#REF!,"AAAAAHf3s1w=")</f>
        <v>#REF!</v>
      </c>
      <c r="CP92" t="e">
        <f>AND(#REF!,"AAAAAHf3s10=")</f>
        <v>#REF!</v>
      </c>
      <c r="CQ92" t="e">
        <f>AND(#REF!,"AAAAAHf3s14=")</f>
        <v>#REF!</v>
      </c>
      <c r="CR92" t="e">
        <f>IF(#REF!,"AAAAAHf3s18=",0)</f>
        <v>#REF!</v>
      </c>
      <c r="CS92" t="e">
        <f>AND(#REF!,"AAAAAHf3s2A=")</f>
        <v>#REF!</v>
      </c>
      <c r="CT92" t="e">
        <f>AND(#REF!,"AAAAAHf3s2E=")</f>
        <v>#REF!</v>
      </c>
      <c r="CU92" t="e">
        <f>AND(#REF!,"AAAAAHf3s2I=")</f>
        <v>#REF!</v>
      </c>
      <c r="CV92" t="e">
        <f>AND(#REF!,"AAAAAHf3s2M=")</f>
        <v>#REF!</v>
      </c>
      <c r="CW92" t="e">
        <f>AND(#REF!,"AAAAAHf3s2Q=")</f>
        <v>#REF!</v>
      </c>
      <c r="CX92" t="e">
        <f>AND(#REF!,"AAAAAHf3s2U=")</f>
        <v>#REF!</v>
      </c>
      <c r="CY92" t="e">
        <f>AND(#REF!,"AAAAAHf3s2Y=")</f>
        <v>#REF!</v>
      </c>
      <c r="CZ92" t="e">
        <f>AND(#REF!,"AAAAAHf3s2c=")</f>
        <v>#REF!</v>
      </c>
      <c r="DA92" t="e">
        <f>AND(#REF!,"AAAAAHf3s2g=")</f>
        <v>#REF!</v>
      </c>
      <c r="DB92" t="e">
        <f>AND(#REF!,"AAAAAHf3s2k=")</f>
        <v>#REF!</v>
      </c>
      <c r="DC92" t="e">
        <f>IF(#REF!,"AAAAAHf3s2o=",0)</f>
        <v>#REF!</v>
      </c>
      <c r="DD92" t="e">
        <f>AND(#REF!,"AAAAAHf3s2s=")</f>
        <v>#REF!</v>
      </c>
      <c r="DE92" t="e">
        <f>AND(#REF!,"AAAAAHf3s2w=")</f>
        <v>#REF!</v>
      </c>
      <c r="DF92" t="e">
        <f>AND(#REF!,"AAAAAHf3s20=")</f>
        <v>#REF!</v>
      </c>
      <c r="DG92" t="e">
        <f>AND(#REF!,"AAAAAHf3s24=")</f>
        <v>#REF!</v>
      </c>
      <c r="DH92" t="e">
        <f>AND(#REF!,"AAAAAHf3s28=")</f>
        <v>#REF!</v>
      </c>
      <c r="DI92" t="e">
        <f>AND(#REF!,"AAAAAHf3s3A=")</f>
        <v>#REF!</v>
      </c>
      <c r="DJ92" t="e">
        <f>AND(#REF!,"AAAAAHf3s3E=")</f>
        <v>#REF!</v>
      </c>
      <c r="DK92" t="e">
        <f>AND(#REF!,"AAAAAHf3s3I=")</f>
        <v>#REF!</v>
      </c>
      <c r="DL92" t="e">
        <f>AND(#REF!,"AAAAAHf3s3M=")</f>
        <v>#REF!</v>
      </c>
      <c r="DM92" t="e">
        <f>AND(#REF!,"AAAAAHf3s3Q=")</f>
        <v>#REF!</v>
      </c>
      <c r="DN92" t="e">
        <f>IF(#REF!,"AAAAAHf3s3U=",0)</f>
        <v>#REF!</v>
      </c>
      <c r="DO92" t="e">
        <f>AND(#REF!,"AAAAAHf3s3Y=")</f>
        <v>#REF!</v>
      </c>
      <c r="DP92" t="e">
        <f>AND(#REF!,"AAAAAHf3s3c=")</f>
        <v>#REF!</v>
      </c>
      <c r="DQ92" t="e">
        <f>AND(#REF!,"AAAAAHf3s3g=")</f>
        <v>#REF!</v>
      </c>
      <c r="DR92" t="e">
        <f>AND(#REF!,"AAAAAHf3s3k=")</f>
        <v>#REF!</v>
      </c>
      <c r="DS92" t="e">
        <f>AND(#REF!,"AAAAAHf3s3o=")</f>
        <v>#REF!</v>
      </c>
      <c r="DT92" t="e">
        <f>AND(#REF!,"AAAAAHf3s3s=")</f>
        <v>#REF!</v>
      </c>
      <c r="DU92" t="e">
        <f>AND(#REF!,"AAAAAHf3s3w=")</f>
        <v>#REF!</v>
      </c>
      <c r="DV92" t="e">
        <f>AND(#REF!,"AAAAAHf3s30=")</f>
        <v>#REF!</v>
      </c>
      <c r="DW92" t="e">
        <f>AND(#REF!,"AAAAAHf3s34=")</f>
        <v>#REF!</v>
      </c>
      <c r="DX92" t="e">
        <f>AND(#REF!,"AAAAAHf3s38=")</f>
        <v>#REF!</v>
      </c>
      <c r="DY92" t="e">
        <f>IF(#REF!,"AAAAAHf3s4A=",0)</f>
        <v>#REF!</v>
      </c>
      <c r="DZ92" t="e">
        <f>AND(#REF!,"AAAAAHf3s4E=")</f>
        <v>#REF!</v>
      </c>
      <c r="EA92" t="e">
        <f>AND(#REF!,"AAAAAHf3s4I=")</f>
        <v>#REF!</v>
      </c>
      <c r="EB92" t="e">
        <f>AND(#REF!,"AAAAAHf3s4M=")</f>
        <v>#REF!</v>
      </c>
      <c r="EC92" t="e">
        <f>AND(#REF!,"AAAAAHf3s4Q=")</f>
        <v>#REF!</v>
      </c>
      <c r="ED92" t="e">
        <f>AND(#REF!,"AAAAAHf3s4U=")</f>
        <v>#REF!</v>
      </c>
      <c r="EE92" t="e">
        <f>AND(#REF!,"AAAAAHf3s4Y=")</f>
        <v>#REF!</v>
      </c>
      <c r="EF92" t="e">
        <f>AND(#REF!,"AAAAAHf3s4c=")</f>
        <v>#REF!</v>
      </c>
      <c r="EG92" t="e">
        <f>AND(#REF!,"AAAAAHf3s4g=")</f>
        <v>#REF!</v>
      </c>
      <c r="EH92" t="e">
        <f>AND(#REF!,"AAAAAHf3s4k=")</f>
        <v>#REF!</v>
      </c>
      <c r="EI92" t="e">
        <f>AND(#REF!,"AAAAAHf3s4o=")</f>
        <v>#REF!</v>
      </c>
      <c r="EJ92" t="e">
        <f>IF(#REF!,"AAAAAHf3s4s=",0)</f>
        <v>#REF!</v>
      </c>
      <c r="EK92" t="e">
        <f>AND(#REF!,"AAAAAHf3s4w=")</f>
        <v>#REF!</v>
      </c>
      <c r="EL92" t="e">
        <f>AND(#REF!,"AAAAAHf3s40=")</f>
        <v>#REF!</v>
      </c>
      <c r="EM92" t="e">
        <f>AND(#REF!,"AAAAAHf3s44=")</f>
        <v>#REF!</v>
      </c>
      <c r="EN92" t="e">
        <f>AND(#REF!,"AAAAAHf3s48=")</f>
        <v>#REF!</v>
      </c>
      <c r="EO92" t="e">
        <f>AND(#REF!,"AAAAAHf3s5A=")</f>
        <v>#REF!</v>
      </c>
      <c r="EP92" t="e">
        <f>AND(#REF!,"AAAAAHf3s5E=")</f>
        <v>#REF!</v>
      </c>
      <c r="EQ92" t="e">
        <f>AND(#REF!,"AAAAAHf3s5I=")</f>
        <v>#REF!</v>
      </c>
      <c r="ER92" t="e">
        <f>AND(#REF!,"AAAAAHf3s5M=")</f>
        <v>#REF!</v>
      </c>
      <c r="ES92" t="e">
        <f>AND(#REF!,"AAAAAHf3s5Q=")</f>
        <v>#REF!</v>
      </c>
      <c r="ET92" t="e">
        <f>AND(#REF!,"AAAAAHf3s5U=")</f>
        <v>#REF!</v>
      </c>
      <c r="EU92" t="e">
        <f>IF(#REF!,"AAAAAHf3s5Y=",0)</f>
        <v>#REF!</v>
      </c>
      <c r="EV92" t="e">
        <f>AND(#REF!,"AAAAAHf3s5c=")</f>
        <v>#REF!</v>
      </c>
      <c r="EW92" t="e">
        <f>AND(#REF!,"AAAAAHf3s5g=")</f>
        <v>#REF!</v>
      </c>
      <c r="EX92" t="e">
        <f>AND(#REF!,"AAAAAHf3s5k=")</f>
        <v>#REF!</v>
      </c>
      <c r="EY92" t="e">
        <f>AND(#REF!,"AAAAAHf3s5o=")</f>
        <v>#REF!</v>
      </c>
      <c r="EZ92" t="e">
        <f>AND(#REF!,"AAAAAHf3s5s=")</f>
        <v>#REF!</v>
      </c>
      <c r="FA92" t="e">
        <f>AND(#REF!,"AAAAAHf3s5w=")</f>
        <v>#REF!</v>
      </c>
      <c r="FB92" t="e">
        <f>AND(#REF!,"AAAAAHf3s50=")</f>
        <v>#REF!</v>
      </c>
      <c r="FC92" t="e">
        <f>AND(#REF!,"AAAAAHf3s54=")</f>
        <v>#REF!</v>
      </c>
      <c r="FD92" t="e">
        <f>AND(#REF!,"AAAAAHf3s58=")</f>
        <v>#REF!</v>
      </c>
      <c r="FE92" t="e">
        <f>AND(#REF!,"AAAAAHf3s6A=")</f>
        <v>#REF!</v>
      </c>
      <c r="FF92" t="e">
        <f>IF(#REF!,"AAAAAHf3s6E=",0)</f>
        <v>#REF!</v>
      </c>
      <c r="FG92" t="e">
        <f>AND(#REF!,"AAAAAHf3s6I=")</f>
        <v>#REF!</v>
      </c>
      <c r="FH92" t="e">
        <f>AND(#REF!,"AAAAAHf3s6M=")</f>
        <v>#REF!</v>
      </c>
      <c r="FI92" t="e">
        <f>AND(#REF!,"AAAAAHf3s6Q=")</f>
        <v>#REF!</v>
      </c>
      <c r="FJ92" t="e">
        <f>AND(#REF!,"AAAAAHf3s6U=")</f>
        <v>#REF!</v>
      </c>
      <c r="FK92" t="e">
        <f>AND(#REF!,"AAAAAHf3s6Y=")</f>
        <v>#REF!</v>
      </c>
      <c r="FL92" t="e">
        <f>AND(#REF!,"AAAAAHf3s6c=")</f>
        <v>#REF!</v>
      </c>
      <c r="FM92" t="e">
        <f>AND(#REF!,"AAAAAHf3s6g=")</f>
        <v>#REF!</v>
      </c>
      <c r="FN92" t="e">
        <f>AND(#REF!,"AAAAAHf3s6k=")</f>
        <v>#REF!</v>
      </c>
      <c r="FO92" t="e">
        <f>AND(#REF!,"AAAAAHf3s6o=")</f>
        <v>#REF!</v>
      </c>
      <c r="FP92" t="e">
        <f>AND(#REF!,"AAAAAHf3s6s=")</f>
        <v>#REF!</v>
      </c>
      <c r="FQ92" t="e">
        <f>IF(#REF!,"AAAAAHf3s6w=",0)</f>
        <v>#REF!</v>
      </c>
      <c r="FR92" t="e">
        <f>AND(#REF!,"AAAAAHf3s60=")</f>
        <v>#REF!</v>
      </c>
      <c r="FS92" t="e">
        <f>AND(#REF!,"AAAAAHf3s64=")</f>
        <v>#REF!</v>
      </c>
      <c r="FT92" t="e">
        <f>AND(#REF!,"AAAAAHf3s68=")</f>
        <v>#REF!</v>
      </c>
      <c r="FU92" t="e">
        <f>AND(#REF!,"AAAAAHf3s7A=")</f>
        <v>#REF!</v>
      </c>
      <c r="FV92" t="e">
        <f>AND(#REF!,"AAAAAHf3s7E=")</f>
        <v>#REF!</v>
      </c>
      <c r="FW92" t="e">
        <f>AND(#REF!,"AAAAAHf3s7I=")</f>
        <v>#REF!</v>
      </c>
      <c r="FX92" t="e">
        <f>AND(#REF!,"AAAAAHf3s7M=")</f>
        <v>#REF!</v>
      </c>
      <c r="FY92" t="e">
        <f>AND(#REF!,"AAAAAHf3s7Q=")</f>
        <v>#REF!</v>
      </c>
      <c r="FZ92" t="e">
        <f>AND(#REF!,"AAAAAHf3s7U=")</f>
        <v>#REF!</v>
      </c>
      <c r="GA92" t="e">
        <f>AND(#REF!,"AAAAAHf3s7Y=")</f>
        <v>#REF!</v>
      </c>
      <c r="GB92" t="e">
        <f>IF(#REF!,"AAAAAHf3s7c=",0)</f>
        <v>#REF!</v>
      </c>
      <c r="GC92" t="e">
        <f>AND(#REF!,"AAAAAHf3s7g=")</f>
        <v>#REF!</v>
      </c>
      <c r="GD92" t="e">
        <f>AND(#REF!,"AAAAAHf3s7k=")</f>
        <v>#REF!</v>
      </c>
      <c r="GE92" t="e">
        <f>AND(#REF!,"AAAAAHf3s7o=")</f>
        <v>#REF!</v>
      </c>
      <c r="GF92" t="e">
        <f>AND(#REF!,"AAAAAHf3s7s=")</f>
        <v>#REF!</v>
      </c>
      <c r="GG92" t="e">
        <f>AND(#REF!,"AAAAAHf3s7w=")</f>
        <v>#REF!</v>
      </c>
      <c r="GH92" t="e">
        <f>AND(#REF!,"AAAAAHf3s70=")</f>
        <v>#REF!</v>
      </c>
      <c r="GI92" t="e">
        <f>AND(#REF!,"AAAAAHf3s74=")</f>
        <v>#REF!</v>
      </c>
      <c r="GJ92" t="e">
        <f>AND(#REF!,"AAAAAHf3s78=")</f>
        <v>#REF!</v>
      </c>
      <c r="GK92" t="e">
        <f>AND(#REF!,"AAAAAHf3s8A=")</f>
        <v>#REF!</v>
      </c>
      <c r="GL92" t="e">
        <f>AND(#REF!,"AAAAAHf3s8E=")</f>
        <v>#REF!</v>
      </c>
      <c r="GM92" t="e">
        <f>IF(#REF!,"AAAAAHf3s8I=",0)</f>
        <v>#REF!</v>
      </c>
      <c r="GN92" t="e">
        <f>AND(#REF!,"AAAAAHf3s8M=")</f>
        <v>#REF!</v>
      </c>
      <c r="GO92" t="e">
        <f>AND(#REF!,"AAAAAHf3s8Q=")</f>
        <v>#REF!</v>
      </c>
      <c r="GP92" t="e">
        <f>AND(#REF!,"AAAAAHf3s8U=")</f>
        <v>#REF!</v>
      </c>
      <c r="GQ92" t="e">
        <f>AND(#REF!,"AAAAAHf3s8Y=")</f>
        <v>#REF!</v>
      </c>
      <c r="GR92" t="e">
        <f>AND(#REF!,"AAAAAHf3s8c=")</f>
        <v>#REF!</v>
      </c>
      <c r="GS92" t="e">
        <f>AND(#REF!,"AAAAAHf3s8g=")</f>
        <v>#REF!</v>
      </c>
      <c r="GT92" t="e">
        <f>AND(#REF!,"AAAAAHf3s8k=")</f>
        <v>#REF!</v>
      </c>
      <c r="GU92" t="e">
        <f>AND(#REF!,"AAAAAHf3s8o=")</f>
        <v>#REF!</v>
      </c>
      <c r="GV92" t="e">
        <f>AND(#REF!,"AAAAAHf3s8s=")</f>
        <v>#REF!</v>
      </c>
      <c r="GW92" t="e">
        <f>AND(#REF!,"AAAAAHf3s8w=")</f>
        <v>#REF!</v>
      </c>
      <c r="GX92" t="e">
        <f>IF(#REF!,"AAAAAHf3s80=",0)</f>
        <v>#REF!</v>
      </c>
      <c r="GY92" t="e">
        <f>AND(#REF!,"AAAAAHf3s84=")</f>
        <v>#REF!</v>
      </c>
      <c r="GZ92" t="e">
        <f>AND(#REF!,"AAAAAHf3s88=")</f>
        <v>#REF!</v>
      </c>
      <c r="HA92" t="e">
        <f>AND(#REF!,"AAAAAHf3s9A=")</f>
        <v>#REF!</v>
      </c>
      <c r="HB92" t="e">
        <f>AND(#REF!,"AAAAAHf3s9E=")</f>
        <v>#REF!</v>
      </c>
      <c r="HC92" t="e">
        <f>AND(#REF!,"AAAAAHf3s9I=")</f>
        <v>#REF!</v>
      </c>
      <c r="HD92" t="e">
        <f>AND(#REF!,"AAAAAHf3s9M=")</f>
        <v>#REF!</v>
      </c>
      <c r="HE92" t="e">
        <f>AND(#REF!,"AAAAAHf3s9Q=")</f>
        <v>#REF!</v>
      </c>
      <c r="HF92" t="e">
        <f>AND(#REF!,"AAAAAHf3s9U=")</f>
        <v>#REF!</v>
      </c>
      <c r="HG92" t="e">
        <f>AND(#REF!,"AAAAAHf3s9Y=")</f>
        <v>#REF!</v>
      </c>
      <c r="HH92" t="e">
        <f>AND(#REF!,"AAAAAHf3s9c=")</f>
        <v>#REF!</v>
      </c>
      <c r="HI92" t="e">
        <f>IF(#REF!,"AAAAAHf3s9g=",0)</f>
        <v>#REF!</v>
      </c>
      <c r="HJ92" t="e">
        <f>AND(#REF!,"AAAAAHf3s9k=")</f>
        <v>#REF!</v>
      </c>
      <c r="HK92" t="e">
        <f>AND(#REF!,"AAAAAHf3s9o=")</f>
        <v>#REF!</v>
      </c>
      <c r="HL92" t="e">
        <f>AND(#REF!,"AAAAAHf3s9s=")</f>
        <v>#REF!</v>
      </c>
      <c r="HM92" t="e">
        <f>AND(#REF!,"AAAAAHf3s9w=")</f>
        <v>#REF!</v>
      </c>
      <c r="HN92" t="e">
        <f>AND(#REF!,"AAAAAHf3s90=")</f>
        <v>#REF!</v>
      </c>
      <c r="HO92" t="e">
        <f>AND(#REF!,"AAAAAHf3s94=")</f>
        <v>#REF!</v>
      </c>
      <c r="HP92" t="e">
        <f>AND(#REF!,"AAAAAHf3s98=")</f>
        <v>#REF!</v>
      </c>
      <c r="HQ92" t="e">
        <f>AND(#REF!,"AAAAAHf3s+A=")</f>
        <v>#REF!</v>
      </c>
      <c r="HR92" t="e">
        <f>AND(#REF!,"AAAAAHf3s+E=")</f>
        <v>#REF!</v>
      </c>
      <c r="HS92" t="e">
        <f>AND(#REF!,"AAAAAHf3s+I=")</f>
        <v>#REF!</v>
      </c>
      <c r="HT92" t="e">
        <f>IF(#REF!,"AAAAAHf3s+M=",0)</f>
        <v>#REF!</v>
      </c>
      <c r="HU92" t="e">
        <f>AND(#REF!,"AAAAAHf3s+Q=")</f>
        <v>#REF!</v>
      </c>
      <c r="HV92" t="e">
        <f>AND(#REF!,"AAAAAHf3s+U=")</f>
        <v>#REF!</v>
      </c>
      <c r="HW92" t="e">
        <f>AND(#REF!,"AAAAAHf3s+Y=")</f>
        <v>#REF!</v>
      </c>
      <c r="HX92" t="e">
        <f>AND(#REF!,"AAAAAHf3s+c=")</f>
        <v>#REF!</v>
      </c>
      <c r="HY92" t="e">
        <f>AND(#REF!,"AAAAAHf3s+g=")</f>
        <v>#REF!</v>
      </c>
      <c r="HZ92" t="e">
        <f>AND(#REF!,"AAAAAHf3s+k=")</f>
        <v>#REF!</v>
      </c>
      <c r="IA92" t="e">
        <f>AND(#REF!,"AAAAAHf3s+o=")</f>
        <v>#REF!</v>
      </c>
      <c r="IB92" t="e">
        <f>AND(#REF!,"AAAAAHf3s+s=")</f>
        <v>#REF!</v>
      </c>
      <c r="IC92" t="e">
        <f>AND(#REF!,"AAAAAHf3s+w=")</f>
        <v>#REF!</v>
      </c>
      <c r="ID92" t="e">
        <f>AND(#REF!,"AAAAAHf3s+0=")</f>
        <v>#REF!</v>
      </c>
      <c r="IE92" t="e">
        <f>IF(#REF!,"AAAAAHf3s+4=",0)</f>
        <v>#REF!</v>
      </c>
      <c r="IF92" t="e">
        <f>AND(#REF!,"AAAAAHf3s+8=")</f>
        <v>#REF!</v>
      </c>
      <c r="IG92" t="e">
        <f>AND(#REF!,"AAAAAHf3s/A=")</f>
        <v>#REF!</v>
      </c>
      <c r="IH92" t="e">
        <f>AND(#REF!,"AAAAAHf3s/E=")</f>
        <v>#REF!</v>
      </c>
      <c r="II92" t="e">
        <f>AND(#REF!,"AAAAAHf3s/I=")</f>
        <v>#REF!</v>
      </c>
      <c r="IJ92" t="e">
        <f>AND(#REF!,"AAAAAHf3s/M=")</f>
        <v>#REF!</v>
      </c>
      <c r="IK92" t="e">
        <f>AND(#REF!,"AAAAAHf3s/Q=")</f>
        <v>#REF!</v>
      </c>
      <c r="IL92" t="e">
        <f>AND(#REF!,"AAAAAHf3s/U=")</f>
        <v>#REF!</v>
      </c>
      <c r="IM92" t="e">
        <f>AND(#REF!,"AAAAAHf3s/Y=")</f>
        <v>#REF!</v>
      </c>
      <c r="IN92" t="e">
        <f>AND(#REF!,"AAAAAHf3s/c=")</f>
        <v>#REF!</v>
      </c>
      <c r="IO92" t="e">
        <f>AND(#REF!,"AAAAAHf3s/g=")</f>
        <v>#REF!</v>
      </c>
      <c r="IP92" t="e">
        <f>IF(#REF!,"AAAAAHf3s/k=",0)</f>
        <v>#REF!</v>
      </c>
      <c r="IQ92" t="e">
        <f>AND(#REF!,"AAAAAHf3s/o=")</f>
        <v>#REF!</v>
      </c>
      <c r="IR92" t="e">
        <f>AND(#REF!,"AAAAAHf3s/s=")</f>
        <v>#REF!</v>
      </c>
      <c r="IS92" t="e">
        <f>AND(#REF!,"AAAAAHf3s/w=")</f>
        <v>#REF!</v>
      </c>
      <c r="IT92" t="e">
        <f>AND(#REF!,"AAAAAHf3s/0=")</f>
        <v>#REF!</v>
      </c>
      <c r="IU92" t="e">
        <f>AND(#REF!,"AAAAAHf3s/4=")</f>
        <v>#REF!</v>
      </c>
      <c r="IV92" t="e">
        <f>AND(#REF!,"AAAAAHf3s/8=")</f>
        <v>#REF!</v>
      </c>
    </row>
    <row r="93" spans="1:256" x14ac:dyDescent="0.25">
      <c r="A93" t="e">
        <f>AND(#REF!,"AAAAAG/6xgA=")</f>
        <v>#REF!</v>
      </c>
      <c r="B93" t="e">
        <f>AND(#REF!,"AAAAAG/6xgE=")</f>
        <v>#REF!</v>
      </c>
      <c r="C93" t="e">
        <f>AND(#REF!,"AAAAAG/6xgI=")</f>
        <v>#REF!</v>
      </c>
      <c r="D93" t="e">
        <f>AND(#REF!,"AAAAAG/6xgM=")</f>
        <v>#REF!</v>
      </c>
      <c r="E93" t="e">
        <f>IF(#REF!,"AAAAAG/6xgQ=",0)</f>
        <v>#REF!</v>
      </c>
      <c r="F93" t="e">
        <f>AND(#REF!,"AAAAAG/6xgU=")</f>
        <v>#REF!</v>
      </c>
      <c r="G93" t="e">
        <f>AND(#REF!,"AAAAAG/6xgY=")</f>
        <v>#REF!</v>
      </c>
      <c r="H93" t="e">
        <f>AND(#REF!,"AAAAAG/6xgc=")</f>
        <v>#REF!</v>
      </c>
      <c r="I93" t="e">
        <f>AND(#REF!,"AAAAAG/6xgg=")</f>
        <v>#REF!</v>
      </c>
      <c r="J93" t="e">
        <f>AND(#REF!,"AAAAAG/6xgk=")</f>
        <v>#REF!</v>
      </c>
      <c r="K93" t="e">
        <f>AND(#REF!,"AAAAAG/6xgo=")</f>
        <v>#REF!</v>
      </c>
      <c r="L93" t="e">
        <f>AND(#REF!,"AAAAAG/6xgs=")</f>
        <v>#REF!</v>
      </c>
      <c r="M93" t="e">
        <f>AND(#REF!,"AAAAAG/6xgw=")</f>
        <v>#REF!</v>
      </c>
      <c r="N93" t="e">
        <f>AND(#REF!,"AAAAAG/6xg0=")</f>
        <v>#REF!</v>
      </c>
      <c r="O93" t="e">
        <f>AND(#REF!,"AAAAAG/6xg4=")</f>
        <v>#REF!</v>
      </c>
      <c r="P93" t="e">
        <f>IF(#REF!,"AAAAAG/6xg8=",0)</f>
        <v>#REF!</v>
      </c>
      <c r="Q93" t="e">
        <f>AND(#REF!,"AAAAAG/6xhA=")</f>
        <v>#REF!</v>
      </c>
      <c r="R93" t="e">
        <f>AND(#REF!,"AAAAAG/6xhE=")</f>
        <v>#REF!</v>
      </c>
      <c r="S93" t="e">
        <f>AND(#REF!,"AAAAAG/6xhI=")</f>
        <v>#REF!</v>
      </c>
      <c r="T93" t="e">
        <f>AND(#REF!,"AAAAAG/6xhM=")</f>
        <v>#REF!</v>
      </c>
      <c r="U93" t="e">
        <f>AND(#REF!,"AAAAAG/6xhQ=")</f>
        <v>#REF!</v>
      </c>
      <c r="V93" t="e">
        <f>AND(#REF!,"AAAAAG/6xhU=")</f>
        <v>#REF!</v>
      </c>
      <c r="W93" t="e">
        <f>AND(#REF!,"AAAAAG/6xhY=")</f>
        <v>#REF!</v>
      </c>
      <c r="X93" t="e">
        <f>AND(#REF!,"AAAAAG/6xhc=")</f>
        <v>#REF!</v>
      </c>
      <c r="Y93" t="e">
        <f>AND(#REF!,"AAAAAG/6xhg=")</f>
        <v>#REF!</v>
      </c>
      <c r="Z93" t="e">
        <f>AND(#REF!,"AAAAAG/6xhk=")</f>
        <v>#REF!</v>
      </c>
      <c r="AA93" t="e">
        <f>IF(#REF!,"AAAAAG/6xho=",0)</f>
        <v>#REF!</v>
      </c>
      <c r="AB93" t="e">
        <f>AND(#REF!,"AAAAAG/6xhs=")</f>
        <v>#REF!</v>
      </c>
      <c r="AC93" t="e">
        <f>AND(#REF!,"AAAAAG/6xhw=")</f>
        <v>#REF!</v>
      </c>
      <c r="AD93" t="e">
        <f>AND(#REF!,"AAAAAG/6xh0=")</f>
        <v>#REF!</v>
      </c>
      <c r="AE93" t="e">
        <f>AND(#REF!,"AAAAAG/6xh4=")</f>
        <v>#REF!</v>
      </c>
      <c r="AF93" t="e">
        <f>AND(#REF!,"AAAAAG/6xh8=")</f>
        <v>#REF!</v>
      </c>
      <c r="AG93" t="e">
        <f>AND(#REF!,"AAAAAG/6xiA=")</f>
        <v>#REF!</v>
      </c>
      <c r="AH93" t="e">
        <f>AND(#REF!,"AAAAAG/6xiE=")</f>
        <v>#REF!</v>
      </c>
      <c r="AI93" t="e">
        <f>AND(#REF!,"AAAAAG/6xiI=")</f>
        <v>#REF!</v>
      </c>
      <c r="AJ93" t="e">
        <f>AND(#REF!,"AAAAAG/6xiM=")</f>
        <v>#REF!</v>
      </c>
      <c r="AK93" t="e">
        <f>AND(#REF!,"AAAAAG/6xiQ=")</f>
        <v>#REF!</v>
      </c>
      <c r="AL93" t="e">
        <f>IF(#REF!,"AAAAAG/6xiU=",0)</f>
        <v>#REF!</v>
      </c>
      <c r="AM93" t="e">
        <f>AND(#REF!,"AAAAAG/6xiY=")</f>
        <v>#REF!</v>
      </c>
      <c r="AN93" t="e">
        <f>AND(#REF!,"AAAAAG/6xic=")</f>
        <v>#REF!</v>
      </c>
      <c r="AO93" t="e">
        <f>AND(#REF!,"AAAAAG/6xig=")</f>
        <v>#REF!</v>
      </c>
      <c r="AP93" t="e">
        <f>AND(#REF!,"AAAAAG/6xik=")</f>
        <v>#REF!</v>
      </c>
      <c r="AQ93" t="e">
        <f>AND(#REF!,"AAAAAG/6xio=")</f>
        <v>#REF!</v>
      </c>
      <c r="AR93" t="e">
        <f>AND(#REF!,"AAAAAG/6xis=")</f>
        <v>#REF!</v>
      </c>
      <c r="AS93" t="e">
        <f>AND(#REF!,"AAAAAG/6xiw=")</f>
        <v>#REF!</v>
      </c>
      <c r="AT93" t="e">
        <f>AND(#REF!,"AAAAAG/6xi0=")</f>
        <v>#REF!</v>
      </c>
      <c r="AU93" t="e">
        <f>AND(#REF!,"AAAAAG/6xi4=")</f>
        <v>#REF!</v>
      </c>
      <c r="AV93" t="e">
        <f>AND(#REF!,"AAAAAG/6xi8=")</f>
        <v>#REF!</v>
      </c>
      <c r="AW93" t="e">
        <f>IF(#REF!,"AAAAAG/6xjA=",0)</f>
        <v>#REF!</v>
      </c>
      <c r="AX93" t="e">
        <f>AND(#REF!,"AAAAAG/6xjE=")</f>
        <v>#REF!</v>
      </c>
      <c r="AY93" t="e">
        <f>AND(#REF!,"AAAAAG/6xjI=")</f>
        <v>#REF!</v>
      </c>
      <c r="AZ93" t="e">
        <f>AND(#REF!,"AAAAAG/6xjM=")</f>
        <v>#REF!</v>
      </c>
      <c r="BA93" t="e">
        <f>AND(#REF!,"AAAAAG/6xjQ=")</f>
        <v>#REF!</v>
      </c>
      <c r="BB93" t="e">
        <f>AND(#REF!,"AAAAAG/6xjU=")</f>
        <v>#REF!</v>
      </c>
      <c r="BC93" t="e">
        <f>AND(#REF!,"AAAAAG/6xjY=")</f>
        <v>#REF!</v>
      </c>
      <c r="BD93" t="e">
        <f>AND(#REF!,"AAAAAG/6xjc=")</f>
        <v>#REF!</v>
      </c>
      <c r="BE93" t="e">
        <f>AND(#REF!,"AAAAAG/6xjg=")</f>
        <v>#REF!</v>
      </c>
      <c r="BF93" t="e">
        <f>AND(#REF!,"AAAAAG/6xjk=")</f>
        <v>#REF!</v>
      </c>
      <c r="BG93" t="e">
        <f>AND(#REF!,"AAAAAG/6xjo=")</f>
        <v>#REF!</v>
      </c>
      <c r="BH93" t="e">
        <f>IF(#REF!,"AAAAAG/6xjs=",0)</f>
        <v>#REF!</v>
      </c>
      <c r="BI93" t="e">
        <f>AND(#REF!,"AAAAAG/6xjw=")</f>
        <v>#REF!</v>
      </c>
      <c r="BJ93" t="e">
        <f>AND(#REF!,"AAAAAG/6xj0=")</f>
        <v>#REF!</v>
      </c>
      <c r="BK93" t="e">
        <f>AND(#REF!,"AAAAAG/6xj4=")</f>
        <v>#REF!</v>
      </c>
      <c r="BL93" t="e">
        <f>AND(#REF!,"AAAAAG/6xj8=")</f>
        <v>#REF!</v>
      </c>
      <c r="BM93" t="e">
        <f>AND(#REF!,"AAAAAG/6xkA=")</f>
        <v>#REF!</v>
      </c>
      <c r="BN93" t="e">
        <f>AND(#REF!,"AAAAAG/6xkE=")</f>
        <v>#REF!</v>
      </c>
      <c r="BO93" t="e">
        <f>AND(#REF!,"AAAAAG/6xkI=")</f>
        <v>#REF!</v>
      </c>
      <c r="BP93" t="e">
        <f>AND(#REF!,"AAAAAG/6xkM=")</f>
        <v>#REF!</v>
      </c>
      <c r="BQ93" t="e">
        <f>AND(#REF!,"AAAAAG/6xkQ=")</f>
        <v>#REF!</v>
      </c>
      <c r="BR93" t="e">
        <f>AND(#REF!,"AAAAAG/6xkU=")</f>
        <v>#REF!</v>
      </c>
      <c r="BS93" t="e">
        <f>IF(#REF!,"AAAAAG/6xkY=",0)</f>
        <v>#REF!</v>
      </c>
      <c r="BT93" t="e">
        <f>AND(#REF!,"AAAAAG/6xkc=")</f>
        <v>#REF!</v>
      </c>
      <c r="BU93" t="e">
        <f>AND(#REF!,"AAAAAG/6xkg=")</f>
        <v>#REF!</v>
      </c>
      <c r="BV93" t="e">
        <f>AND(#REF!,"AAAAAG/6xkk=")</f>
        <v>#REF!</v>
      </c>
      <c r="BW93" t="e">
        <f>AND(#REF!,"AAAAAG/6xko=")</f>
        <v>#REF!</v>
      </c>
      <c r="BX93" t="e">
        <f>AND(#REF!,"AAAAAG/6xks=")</f>
        <v>#REF!</v>
      </c>
      <c r="BY93" t="e">
        <f>AND(#REF!,"AAAAAG/6xkw=")</f>
        <v>#REF!</v>
      </c>
      <c r="BZ93" t="e">
        <f>AND(#REF!,"AAAAAG/6xk0=")</f>
        <v>#REF!</v>
      </c>
      <c r="CA93" t="e">
        <f>AND(#REF!,"AAAAAG/6xk4=")</f>
        <v>#REF!</v>
      </c>
      <c r="CB93" t="e">
        <f>AND(#REF!,"AAAAAG/6xk8=")</f>
        <v>#REF!</v>
      </c>
      <c r="CC93" t="e">
        <f>AND(#REF!,"AAAAAG/6xlA=")</f>
        <v>#REF!</v>
      </c>
      <c r="CD93" t="e">
        <f>IF(#REF!,"AAAAAG/6xlE=",0)</f>
        <v>#REF!</v>
      </c>
      <c r="CE93" t="e">
        <f>AND(#REF!,"AAAAAG/6xlI=")</f>
        <v>#REF!</v>
      </c>
      <c r="CF93" t="e">
        <f>AND(#REF!,"AAAAAG/6xlM=")</f>
        <v>#REF!</v>
      </c>
      <c r="CG93" t="e">
        <f>AND(#REF!,"AAAAAG/6xlQ=")</f>
        <v>#REF!</v>
      </c>
      <c r="CH93" t="e">
        <f>AND(#REF!,"AAAAAG/6xlU=")</f>
        <v>#REF!</v>
      </c>
      <c r="CI93" t="e">
        <f>AND(#REF!,"AAAAAG/6xlY=")</f>
        <v>#REF!</v>
      </c>
      <c r="CJ93" t="e">
        <f>AND(#REF!,"AAAAAG/6xlc=")</f>
        <v>#REF!</v>
      </c>
      <c r="CK93" t="e">
        <f>AND(#REF!,"AAAAAG/6xlg=")</f>
        <v>#REF!</v>
      </c>
      <c r="CL93" t="e">
        <f>AND(#REF!,"AAAAAG/6xlk=")</f>
        <v>#REF!</v>
      </c>
      <c r="CM93" t="e">
        <f>AND(#REF!,"AAAAAG/6xlo=")</f>
        <v>#REF!</v>
      </c>
      <c r="CN93" t="e">
        <f>AND(#REF!,"AAAAAG/6xls=")</f>
        <v>#REF!</v>
      </c>
      <c r="CO93" t="e">
        <f>IF(#REF!,"AAAAAG/6xlw=",0)</f>
        <v>#REF!</v>
      </c>
      <c r="CP93" t="e">
        <f>AND(#REF!,"AAAAAG/6xl0=")</f>
        <v>#REF!</v>
      </c>
      <c r="CQ93" t="e">
        <f>AND(#REF!,"AAAAAG/6xl4=")</f>
        <v>#REF!</v>
      </c>
      <c r="CR93" t="e">
        <f>AND(#REF!,"AAAAAG/6xl8=")</f>
        <v>#REF!</v>
      </c>
      <c r="CS93" t="e">
        <f>AND(#REF!,"AAAAAG/6xmA=")</f>
        <v>#REF!</v>
      </c>
      <c r="CT93" t="e">
        <f>AND(#REF!,"AAAAAG/6xmE=")</f>
        <v>#REF!</v>
      </c>
      <c r="CU93" t="e">
        <f>AND(#REF!,"AAAAAG/6xmI=")</f>
        <v>#REF!</v>
      </c>
      <c r="CV93" t="e">
        <f>AND(#REF!,"AAAAAG/6xmM=")</f>
        <v>#REF!</v>
      </c>
      <c r="CW93" t="e">
        <f>AND(#REF!,"AAAAAG/6xmQ=")</f>
        <v>#REF!</v>
      </c>
      <c r="CX93" t="e">
        <f>AND(#REF!,"AAAAAG/6xmU=")</f>
        <v>#REF!</v>
      </c>
      <c r="CY93" t="e">
        <f>AND(#REF!,"AAAAAG/6xmY=")</f>
        <v>#REF!</v>
      </c>
      <c r="CZ93" t="e">
        <f>IF(#REF!,"AAAAAG/6xmc=",0)</f>
        <v>#REF!</v>
      </c>
      <c r="DA93" t="e">
        <f>AND(#REF!,"AAAAAG/6xmg=")</f>
        <v>#REF!</v>
      </c>
      <c r="DB93" t="e">
        <f>AND(#REF!,"AAAAAG/6xmk=")</f>
        <v>#REF!</v>
      </c>
      <c r="DC93" t="e">
        <f>AND(#REF!,"AAAAAG/6xmo=")</f>
        <v>#REF!</v>
      </c>
      <c r="DD93" t="e">
        <f>AND(#REF!,"AAAAAG/6xms=")</f>
        <v>#REF!</v>
      </c>
      <c r="DE93" t="e">
        <f>AND(#REF!,"AAAAAG/6xmw=")</f>
        <v>#REF!</v>
      </c>
      <c r="DF93" t="e">
        <f>AND(#REF!,"AAAAAG/6xm0=")</f>
        <v>#REF!</v>
      </c>
      <c r="DG93" t="e">
        <f>AND(#REF!,"AAAAAG/6xm4=")</f>
        <v>#REF!</v>
      </c>
      <c r="DH93" t="e">
        <f>AND(#REF!,"AAAAAG/6xm8=")</f>
        <v>#REF!</v>
      </c>
      <c r="DI93" t="e">
        <f>AND(#REF!,"AAAAAG/6xnA=")</f>
        <v>#REF!</v>
      </c>
      <c r="DJ93" t="e">
        <f>AND(#REF!,"AAAAAG/6xnE=")</f>
        <v>#REF!</v>
      </c>
      <c r="DK93" t="e">
        <f>IF(#REF!,"AAAAAG/6xnI=",0)</f>
        <v>#REF!</v>
      </c>
      <c r="DL93" t="e">
        <f>AND(#REF!,"AAAAAG/6xnM=")</f>
        <v>#REF!</v>
      </c>
      <c r="DM93" t="e">
        <f>AND(#REF!,"AAAAAG/6xnQ=")</f>
        <v>#REF!</v>
      </c>
      <c r="DN93" t="e">
        <f>AND(#REF!,"AAAAAG/6xnU=")</f>
        <v>#REF!</v>
      </c>
      <c r="DO93" t="e">
        <f>AND(#REF!,"AAAAAG/6xnY=")</f>
        <v>#REF!</v>
      </c>
      <c r="DP93" t="e">
        <f>AND(#REF!,"AAAAAG/6xnc=")</f>
        <v>#REF!</v>
      </c>
      <c r="DQ93" t="e">
        <f>AND(#REF!,"AAAAAG/6xng=")</f>
        <v>#REF!</v>
      </c>
      <c r="DR93" t="e">
        <f>AND(#REF!,"AAAAAG/6xnk=")</f>
        <v>#REF!</v>
      </c>
      <c r="DS93" t="e">
        <f>AND(#REF!,"AAAAAG/6xno=")</f>
        <v>#REF!</v>
      </c>
      <c r="DT93" t="e">
        <f>AND(#REF!,"AAAAAG/6xns=")</f>
        <v>#REF!</v>
      </c>
      <c r="DU93" t="e">
        <f>AND(#REF!,"AAAAAG/6xnw=")</f>
        <v>#REF!</v>
      </c>
      <c r="DV93" t="e">
        <f>IF(#REF!,"AAAAAG/6xn0=",0)</f>
        <v>#REF!</v>
      </c>
      <c r="DW93" t="e">
        <f>AND(#REF!,"AAAAAG/6xn4=")</f>
        <v>#REF!</v>
      </c>
      <c r="DX93" t="e">
        <f>AND(#REF!,"AAAAAG/6xn8=")</f>
        <v>#REF!</v>
      </c>
      <c r="DY93" t="e">
        <f>AND(#REF!,"AAAAAG/6xoA=")</f>
        <v>#REF!</v>
      </c>
      <c r="DZ93" t="e">
        <f>AND(#REF!,"AAAAAG/6xoE=")</f>
        <v>#REF!</v>
      </c>
      <c r="EA93" t="e">
        <f>AND(#REF!,"AAAAAG/6xoI=")</f>
        <v>#REF!</v>
      </c>
      <c r="EB93" t="e">
        <f>AND(#REF!,"AAAAAG/6xoM=")</f>
        <v>#REF!</v>
      </c>
      <c r="EC93" t="e">
        <f>AND(#REF!,"AAAAAG/6xoQ=")</f>
        <v>#REF!</v>
      </c>
      <c r="ED93" t="e">
        <f>AND(#REF!,"AAAAAG/6xoU=")</f>
        <v>#REF!</v>
      </c>
      <c r="EE93" t="e">
        <f>AND(#REF!,"AAAAAG/6xoY=")</f>
        <v>#REF!</v>
      </c>
      <c r="EF93" t="e">
        <f>AND(#REF!,"AAAAAG/6xoc=")</f>
        <v>#REF!</v>
      </c>
      <c r="EG93" t="e">
        <f>IF(#REF!,"AAAAAG/6xog=",0)</f>
        <v>#REF!</v>
      </c>
      <c r="EH93" t="e">
        <f>AND(#REF!,"AAAAAG/6xok=")</f>
        <v>#REF!</v>
      </c>
      <c r="EI93" t="e">
        <f>AND(#REF!,"AAAAAG/6xoo=")</f>
        <v>#REF!</v>
      </c>
      <c r="EJ93" t="e">
        <f>AND(#REF!,"AAAAAG/6xos=")</f>
        <v>#REF!</v>
      </c>
      <c r="EK93" t="e">
        <f>AND(#REF!,"AAAAAG/6xow=")</f>
        <v>#REF!</v>
      </c>
      <c r="EL93" t="e">
        <f>AND(#REF!,"AAAAAG/6xo0=")</f>
        <v>#REF!</v>
      </c>
      <c r="EM93" t="e">
        <f>AND(#REF!,"AAAAAG/6xo4=")</f>
        <v>#REF!</v>
      </c>
      <c r="EN93" t="e">
        <f>AND(#REF!,"AAAAAG/6xo8=")</f>
        <v>#REF!</v>
      </c>
      <c r="EO93" t="e">
        <f>AND(#REF!,"AAAAAG/6xpA=")</f>
        <v>#REF!</v>
      </c>
      <c r="EP93" t="e">
        <f>AND(#REF!,"AAAAAG/6xpE=")</f>
        <v>#REF!</v>
      </c>
      <c r="EQ93" t="e">
        <f>AND(#REF!,"AAAAAG/6xpI=")</f>
        <v>#REF!</v>
      </c>
      <c r="ER93" t="e">
        <f>IF(#REF!,"AAAAAG/6xpM=",0)</f>
        <v>#REF!</v>
      </c>
      <c r="ES93" t="e">
        <f>AND(#REF!,"AAAAAG/6xpQ=")</f>
        <v>#REF!</v>
      </c>
      <c r="ET93" t="e">
        <f>AND(#REF!,"AAAAAG/6xpU=")</f>
        <v>#REF!</v>
      </c>
      <c r="EU93" t="e">
        <f>AND(#REF!,"AAAAAG/6xpY=")</f>
        <v>#REF!</v>
      </c>
      <c r="EV93" t="e">
        <f>AND(#REF!,"AAAAAG/6xpc=")</f>
        <v>#REF!</v>
      </c>
      <c r="EW93" t="e">
        <f>AND(#REF!,"AAAAAG/6xpg=")</f>
        <v>#REF!</v>
      </c>
      <c r="EX93" t="e">
        <f>AND(#REF!,"AAAAAG/6xpk=")</f>
        <v>#REF!</v>
      </c>
      <c r="EY93" t="e">
        <f>AND(#REF!,"AAAAAG/6xpo=")</f>
        <v>#REF!</v>
      </c>
      <c r="EZ93" t="e">
        <f>AND(#REF!,"AAAAAG/6xps=")</f>
        <v>#REF!</v>
      </c>
      <c r="FA93" t="e">
        <f>AND(#REF!,"AAAAAG/6xpw=")</f>
        <v>#REF!</v>
      </c>
      <c r="FB93" t="e">
        <f>AND(#REF!,"AAAAAG/6xp0=")</f>
        <v>#REF!</v>
      </c>
      <c r="FC93" t="e">
        <f>IF(#REF!,"AAAAAG/6xp4=",0)</f>
        <v>#REF!</v>
      </c>
      <c r="FD93" t="e">
        <f>AND(#REF!,"AAAAAG/6xp8=")</f>
        <v>#REF!</v>
      </c>
      <c r="FE93" t="e">
        <f>AND(#REF!,"AAAAAG/6xqA=")</f>
        <v>#REF!</v>
      </c>
      <c r="FF93" t="e">
        <f>AND(#REF!,"AAAAAG/6xqE=")</f>
        <v>#REF!</v>
      </c>
      <c r="FG93" t="e">
        <f>AND(#REF!,"AAAAAG/6xqI=")</f>
        <v>#REF!</v>
      </c>
      <c r="FH93" t="e">
        <f>AND(#REF!,"AAAAAG/6xqM=")</f>
        <v>#REF!</v>
      </c>
      <c r="FI93" t="e">
        <f>AND(#REF!,"AAAAAG/6xqQ=")</f>
        <v>#REF!</v>
      </c>
      <c r="FJ93" t="e">
        <f>AND(#REF!,"AAAAAG/6xqU=")</f>
        <v>#REF!</v>
      </c>
      <c r="FK93" t="e">
        <f>AND(#REF!,"AAAAAG/6xqY=")</f>
        <v>#REF!</v>
      </c>
      <c r="FL93" t="e">
        <f>AND(#REF!,"AAAAAG/6xqc=")</f>
        <v>#REF!</v>
      </c>
      <c r="FM93" t="e">
        <f>AND(#REF!,"AAAAAG/6xqg=")</f>
        <v>#REF!</v>
      </c>
      <c r="FN93" t="e">
        <f>IF(#REF!,"AAAAAG/6xqk=",0)</f>
        <v>#REF!</v>
      </c>
      <c r="FO93" t="e">
        <f>AND(#REF!,"AAAAAG/6xqo=")</f>
        <v>#REF!</v>
      </c>
      <c r="FP93" t="e">
        <f>AND(#REF!,"AAAAAG/6xqs=")</f>
        <v>#REF!</v>
      </c>
      <c r="FQ93" t="e">
        <f>AND(#REF!,"AAAAAG/6xqw=")</f>
        <v>#REF!</v>
      </c>
      <c r="FR93" t="e">
        <f>AND(#REF!,"AAAAAG/6xq0=")</f>
        <v>#REF!</v>
      </c>
      <c r="FS93" t="e">
        <f>AND(#REF!,"AAAAAG/6xq4=")</f>
        <v>#REF!</v>
      </c>
      <c r="FT93" t="e">
        <f>AND(#REF!,"AAAAAG/6xq8=")</f>
        <v>#REF!</v>
      </c>
      <c r="FU93" t="e">
        <f>AND(#REF!,"AAAAAG/6xrA=")</f>
        <v>#REF!</v>
      </c>
      <c r="FV93" t="e">
        <f>AND(#REF!,"AAAAAG/6xrE=")</f>
        <v>#REF!</v>
      </c>
      <c r="FW93" t="e">
        <f>AND(#REF!,"AAAAAG/6xrI=")</f>
        <v>#REF!</v>
      </c>
      <c r="FX93" t="e">
        <f>AND(#REF!,"AAAAAG/6xrM=")</f>
        <v>#REF!</v>
      </c>
      <c r="FY93" t="e">
        <f>IF(#REF!,"AAAAAG/6xrQ=",0)</f>
        <v>#REF!</v>
      </c>
      <c r="FZ93" t="e">
        <f>AND(#REF!,"AAAAAG/6xrU=")</f>
        <v>#REF!</v>
      </c>
      <c r="GA93" t="e">
        <f>AND(#REF!,"AAAAAG/6xrY=")</f>
        <v>#REF!</v>
      </c>
      <c r="GB93" t="e">
        <f>AND(#REF!,"AAAAAG/6xrc=")</f>
        <v>#REF!</v>
      </c>
      <c r="GC93" t="e">
        <f>AND(#REF!,"AAAAAG/6xrg=")</f>
        <v>#REF!</v>
      </c>
      <c r="GD93" t="e">
        <f>AND(#REF!,"AAAAAG/6xrk=")</f>
        <v>#REF!</v>
      </c>
      <c r="GE93" t="e">
        <f>AND(#REF!,"AAAAAG/6xro=")</f>
        <v>#REF!</v>
      </c>
      <c r="GF93" t="e">
        <f>AND(#REF!,"AAAAAG/6xrs=")</f>
        <v>#REF!</v>
      </c>
      <c r="GG93" t="e">
        <f>AND(#REF!,"AAAAAG/6xrw=")</f>
        <v>#REF!</v>
      </c>
      <c r="GH93" t="e">
        <f>AND(#REF!,"AAAAAG/6xr0=")</f>
        <v>#REF!</v>
      </c>
      <c r="GI93" t="e">
        <f>AND(#REF!,"AAAAAG/6xr4=")</f>
        <v>#REF!</v>
      </c>
      <c r="GJ93" t="e">
        <f>IF(#REF!,"AAAAAG/6xr8=",0)</f>
        <v>#REF!</v>
      </c>
      <c r="GK93" t="e">
        <f>AND(#REF!,"AAAAAG/6xsA=")</f>
        <v>#REF!</v>
      </c>
      <c r="GL93" t="e">
        <f>AND(#REF!,"AAAAAG/6xsE=")</f>
        <v>#REF!</v>
      </c>
      <c r="GM93" t="e">
        <f>AND(#REF!,"AAAAAG/6xsI=")</f>
        <v>#REF!</v>
      </c>
      <c r="GN93" t="e">
        <f>AND(#REF!,"AAAAAG/6xsM=")</f>
        <v>#REF!</v>
      </c>
      <c r="GO93" t="e">
        <f>AND(#REF!,"AAAAAG/6xsQ=")</f>
        <v>#REF!</v>
      </c>
      <c r="GP93" t="e">
        <f>AND(#REF!,"AAAAAG/6xsU=")</f>
        <v>#REF!</v>
      </c>
      <c r="GQ93" t="e">
        <f>AND(#REF!,"AAAAAG/6xsY=")</f>
        <v>#REF!</v>
      </c>
      <c r="GR93" t="e">
        <f>AND(#REF!,"AAAAAG/6xsc=")</f>
        <v>#REF!</v>
      </c>
      <c r="GS93" t="e">
        <f>AND(#REF!,"AAAAAG/6xsg=")</f>
        <v>#REF!</v>
      </c>
      <c r="GT93" t="e">
        <f>AND(#REF!,"AAAAAG/6xsk=")</f>
        <v>#REF!</v>
      </c>
      <c r="GU93" t="e">
        <f>IF(#REF!,"AAAAAG/6xso=",0)</f>
        <v>#REF!</v>
      </c>
      <c r="GV93" t="e">
        <f>AND(#REF!,"AAAAAG/6xss=")</f>
        <v>#REF!</v>
      </c>
      <c r="GW93" t="e">
        <f>AND(#REF!,"AAAAAG/6xsw=")</f>
        <v>#REF!</v>
      </c>
      <c r="GX93" t="e">
        <f>AND(#REF!,"AAAAAG/6xs0=")</f>
        <v>#REF!</v>
      </c>
      <c r="GY93" t="e">
        <f>AND(#REF!,"AAAAAG/6xs4=")</f>
        <v>#REF!</v>
      </c>
      <c r="GZ93" t="e">
        <f>AND(#REF!,"AAAAAG/6xs8=")</f>
        <v>#REF!</v>
      </c>
      <c r="HA93" t="e">
        <f>AND(#REF!,"AAAAAG/6xtA=")</f>
        <v>#REF!</v>
      </c>
      <c r="HB93" t="e">
        <f>AND(#REF!,"AAAAAG/6xtE=")</f>
        <v>#REF!</v>
      </c>
      <c r="HC93" t="e">
        <f>AND(#REF!,"AAAAAG/6xtI=")</f>
        <v>#REF!</v>
      </c>
      <c r="HD93" t="e">
        <f>AND(#REF!,"AAAAAG/6xtM=")</f>
        <v>#REF!</v>
      </c>
      <c r="HE93" t="e">
        <f>AND(#REF!,"AAAAAG/6xtQ=")</f>
        <v>#REF!</v>
      </c>
      <c r="HF93" t="e">
        <f>IF(#REF!,"AAAAAG/6xtU=",0)</f>
        <v>#REF!</v>
      </c>
      <c r="HG93" t="e">
        <f>AND(#REF!,"AAAAAG/6xtY=")</f>
        <v>#REF!</v>
      </c>
      <c r="HH93" t="e">
        <f>AND(#REF!,"AAAAAG/6xtc=")</f>
        <v>#REF!</v>
      </c>
      <c r="HI93" t="e">
        <f>AND(#REF!,"AAAAAG/6xtg=")</f>
        <v>#REF!</v>
      </c>
      <c r="HJ93" t="e">
        <f>AND(#REF!,"AAAAAG/6xtk=")</f>
        <v>#REF!</v>
      </c>
      <c r="HK93" t="e">
        <f>AND(#REF!,"AAAAAG/6xto=")</f>
        <v>#REF!</v>
      </c>
      <c r="HL93" t="e">
        <f>AND(#REF!,"AAAAAG/6xts=")</f>
        <v>#REF!</v>
      </c>
      <c r="HM93" t="e">
        <f>AND(#REF!,"AAAAAG/6xtw=")</f>
        <v>#REF!</v>
      </c>
      <c r="HN93" t="e">
        <f>AND(#REF!,"AAAAAG/6xt0=")</f>
        <v>#REF!</v>
      </c>
      <c r="HO93" t="e">
        <f>AND(#REF!,"AAAAAG/6xt4=")</f>
        <v>#REF!</v>
      </c>
      <c r="HP93" t="e">
        <f>AND(#REF!,"AAAAAG/6xt8=")</f>
        <v>#REF!</v>
      </c>
      <c r="HQ93" t="e">
        <f>IF(#REF!,"AAAAAG/6xuA=",0)</f>
        <v>#REF!</v>
      </c>
      <c r="HR93" t="e">
        <f>AND(#REF!,"AAAAAG/6xuE=")</f>
        <v>#REF!</v>
      </c>
      <c r="HS93" t="e">
        <f>AND(#REF!,"AAAAAG/6xuI=")</f>
        <v>#REF!</v>
      </c>
      <c r="HT93" t="e">
        <f>AND(#REF!,"AAAAAG/6xuM=")</f>
        <v>#REF!</v>
      </c>
      <c r="HU93" t="e">
        <f>AND(#REF!,"AAAAAG/6xuQ=")</f>
        <v>#REF!</v>
      </c>
      <c r="HV93" t="e">
        <f>AND(#REF!,"AAAAAG/6xuU=")</f>
        <v>#REF!</v>
      </c>
      <c r="HW93" t="e">
        <f>AND(#REF!,"AAAAAG/6xuY=")</f>
        <v>#REF!</v>
      </c>
      <c r="HX93" t="e">
        <f>AND(#REF!,"AAAAAG/6xuc=")</f>
        <v>#REF!</v>
      </c>
      <c r="HY93" t="e">
        <f>AND(#REF!,"AAAAAG/6xug=")</f>
        <v>#REF!</v>
      </c>
      <c r="HZ93" t="e">
        <f>AND(#REF!,"AAAAAG/6xuk=")</f>
        <v>#REF!</v>
      </c>
      <c r="IA93" t="e">
        <f>AND(#REF!,"AAAAAG/6xuo=")</f>
        <v>#REF!</v>
      </c>
      <c r="IB93" t="e">
        <f>IF(#REF!,"AAAAAG/6xus=",0)</f>
        <v>#REF!</v>
      </c>
      <c r="IC93" t="e">
        <f>AND(#REF!,"AAAAAG/6xuw=")</f>
        <v>#REF!</v>
      </c>
      <c r="ID93" t="e">
        <f>AND(#REF!,"AAAAAG/6xu0=")</f>
        <v>#REF!</v>
      </c>
      <c r="IE93" t="e">
        <f>AND(#REF!,"AAAAAG/6xu4=")</f>
        <v>#REF!</v>
      </c>
      <c r="IF93" t="e">
        <f>AND(#REF!,"AAAAAG/6xu8=")</f>
        <v>#REF!</v>
      </c>
      <c r="IG93" t="e">
        <f>AND(#REF!,"AAAAAG/6xvA=")</f>
        <v>#REF!</v>
      </c>
      <c r="IH93" t="e">
        <f>AND(#REF!,"AAAAAG/6xvE=")</f>
        <v>#REF!</v>
      </c>
      <c r="II93" t="e">
        <f>AND(#REF!,"AAAAAG/6xvI=")</f>
        <v>#REF!</v>
      </c>
      <c r="IJ93" t="e">
        <f>AND(#REF!,"AAAAAG/6xvM=")</f>
        <v>#REF!</v>
      </c>
      <c r="IK93" t="e">
        <f>AND(#REF!,"AAAAAG/6xvQ=")</f>
        <v>#REF!</v>
      </c>
      <c r="IL93" t="e">
        <f>AND(#REF!,"AAAAAG/6xvU=")</f>
        <v>#REF!</v>
      </c>
      <c r="IM93" t="e">
        <f>IF(#REF!,"AAAAAG/6xvY=",0)</f>
        <v>#REF!</v>
      </c>
      <c r="IN93" t="e">
        <f>AND(#REF!,"AAAAAG/6xvc=")</f>
        <v>#REF!</v>
      </c>
      <c r="IO93" t="e">
        <f>AND(#REF!,"AAAAAG/6xvg=")</f>
        <v>#REF!</v>
      </c>
      <c r="IP93" t="e">
        <f>AND(#REF!,"AAAAAG/6xvk=")</f>
        <v>#REF!</v>
      </c>
      <c r="IQ93" t="e">
        <f>AND(#REF!,"AAAAAG/6xvo=")</f>
        <v>#REF!</v>
      </c>
      <c r="IR93" t="e">
        <f>AND(#REF!,"AAAAAG/6xvs=")</f>
        <v>#REF!</v>
      </c>
      <c r="IS93" t="e">
        <f>AND(#REF!,"AAAAAG/6xvw=")</f>
        <v>#REF!</v>
      </c>
      <c r="IT93" t="e">
        <f>AND(#REF!,"AAAAAG/6xv0=")</f>
        <v>#REF!</v>
      </c>
      <c r="IU93" t="e">
        <f>AND(#REF!,"AAAAAG/6xv4=")</f>
        <v>#REF!</v>
      </c>
      <c r="IV93" t="e">
        <f>AND(#REF!,"AAAAAG/6xv8=")</f>
        <v>#REF!</v>
      </c>
    </row>
    <row r="94" spans="1:256" x14ac:dyDescent="0.25">
      <c r="A94" t="e">
        <f>AND(#REF!,"AAAAAG7fdgA=")</f>
        <v>#REF!</v>
      </c>
      <c r="B94" t="e">
        <f>IF(#REF!,"AAAAAG7fdgE=",0)</f>
        <v>#REF!</v>
      </c>
      <c r="C94" t="e">
        <f>AND(#REF!,"AAAAAG7fdgI=")</f>
        <v>#REF!</v>
      </c>
      <c r="D94" t="e">
        <f>AND(#REF!,"AAAAAG7fdgM=")</f>
        <v>#REF!</v>
      </c>
      <c r="E94" t="e">
        <f>AND(#REF!,"AAAAAG7fdgQ=")</f>
        <v>#REF!</v>
      </c>
      <c r="F94" t="e">
        <f>AND(#REF!,"AAAAAG7fdgU=")</f>
        <v>#REF!</v>
      </c>
      <c r="G94" t="e">
        <f>AND(#REF!,"AAAAAG7fdgY=")</f>
        <v>#REF!</v>
      </c>
      <c r="H94" t="e">
        <f>AND(#REF!,"AAAAAG7fdgc=")</f>
        <v>#REF!</v>
      </c>
      <c r="I94" t="e">
        <f>AND(#REF!,"AAAAAG7fdgg=")</f>
        <v>#REF!</v>
      </c>
      <c r="J94" t="e">
        <f>AND(#REF!,"AAAAAG7fdgk=")</f>
        <v>#REF!</v>
      </c>
      <c r="K94" t="e">
        <f>AND(#REF!,"AAAAAG7fdgo=")</f>
        <v>#REF!</v>
      </c>
      <c r="L94" t="e">
        <f>AND(#REF!,"AAAAAG7fdgs=")</f>
        <v>#REF!</v>
      </c>
      <c r="M94" t="e">
        <f>IF(#REF!,"AAAAAG7fdgw=",0)</f>
        <v>#REF!</v>
      </c>
      <c r="N94" t="e">
        <f>AND(#REF!,"AAAAAG7fdg0=")</f>
        <v>#REF!</v>
      </c>
      <c r="O94" t="e">
        <f>AND(#REF!,"AAAAAG7fdg4=")</f>
        <v>#REF!</v>
      </c>
      <c r="P94" t="e">
        <f>AND(#REF!,"AAAAAG7fdg8=")</f>
        <v>#REF!</v>
      </c>
      <c r="Q94" t="e">
        <f>AND(#REF!,"AAAAAG7fdhA=")</f>
        <v>#REF!</v>
      </c>
      <c r="R94" t="e">
        <f>AND(#REF!,"AAAAAG7fdhE=")</f>
        <v>#REF!</v>
      </c>
      <c r="S94" t="e">
        <f>AND(#REF!,"AAAAAG7fdhI=")</f>
        <v>#REF!</v>
      </c>
      <c r="T94" t="e">
        <f>AND(#REF!,"AAAAAG7fdhM=")</f>
        <v>#REF!</v>
      </c>
      <c r="U94" t="e">
        <f>AND(#REF!,"AAAAAG7fdhQ=")</f>
        <v>#REF!</v>
      </c>
      <c r="V94" t="e">
        <f>AND(#REF!,"AAAAAG7fdhU=")</f>
        <v>#REF!</v>
      </c>
      <c r="W94" t="e">
        <f>AND(#REF!,"AAAAAG7fdhY=")</f>
        <v>#REF!</v>
      </c>
      <c r="X94" t="e">
        <f>IF(#REF!,"AAAAAG7fdhc=",0)</f>
        <v>#REF!</v>
      </c>
      <c r="Y94" t="e">
        <f>AND(#REF!,"AAAAAG7fdhg=")</f>
        <v>#REF!</v>
      </c>
      <c r="Z94" t="e">
        <f>AND(#REF!,"AAAAAG7fdhk=")</f>
        <v>#REF!</v>
      </c>
      <c r="AA94" t="e">
        <f>AND(#REF!,"AAAAAG7fdho=")</f>
        <v>#REF!</v>
      </c>
      <c r="AB94" t="e">
        <f>AND(#REF!,"AAAAAG7fdhs=")</f>
        <v>#REF!</v>
      </c>
      <c r="AC94" t="e">
        <f>AND(#REF!,"AAAAAG7fdhw=")</f>
        <v>#REF!</v>
      </c>
      <c r="AD94" t="e">
        <f>AND(#REF!,"AAAAAG7fdh0=")</f>
        <v>#REF!</v>
      </c>
      <c r="AE94" t="e">
        <f>AND(#REF!,"AAAAAG7fdh4=")</f>
        <v>#REF!</v>
      </c>
      <c r="AF94" t="e">
        <f>AND(#REF!,"AAAAAG7fdh8=")</f>
        <v>#REF!</v>
      </c>
      <c r="AG94" t="e">
        <f>AND(#REF!,"AAAAAG7fdiA=")</f>
        <v>#REF!</v>
      </c>
      <c r="AH94" t="e">
        <f>AND(#REF!,"AAAAAG7fdiE=")</f>
        <v>#REF!</v>
      </c>
      <c r="AI94" t="e">
        <f>IF(#REF!,"AAAAAG7fdiI=",0)</f>
        <v>#REF!</v>
      </c>
      <c r="AJ94" t="e">
        <f>AND(#REF!,"AAAAAG7fdiM=")</f>
        <v>#REF!</v>
      </c>
      <c r="AK94" t="e">
        <f>AND(#REF!,"AAAAAG7fdiQ=")</f>
        <v>#REF!</v>
      </c>
      <c r="AL94" t="e">
        <f>AND(#REF!,"AAAAAG7fdiU=")</f>
        <v>#REF!</v>
      </c>
      <c r="AM94" t="e">
        <f>AND(#REF!,"AAAAAG7fdiY=")</f>
        <v>#REF!</v>
      </c>
      <c r="AN94" t="e">
        <f>AND(#REF!,"AAAAAG7fdic=")</f>
        <v>#REF!</v>
      </c>
      <c r="AO94" t="e">
        <f>AND(#REF!,"AAAAAG7fdig=")</f>
        <v>#REF!</v>
      </c>
      <c r="AP94" t="e">
        <f>AND(#REF!,"AAAAAG7fdik=")</f>
        <v>#REF!</v>
      </c>
      <c r="AQ94" t="e">
        <f>AND(#REF!,"AAAAAG7fdio=")</f>
        <v>#REF!</v>
      </c>
      <c r="AR94" t="e">
        <f>AND(#REF!,"AAAAAG7fdis=")</f>
        <v>#REF!</v>
      </c>
      <c r="AS94" t="e">
        <f>AND(#REF!,"AAAAAG7fdiw=")</f>
        <v>#REF!</v>
      </c>
      <c r="AT94" t="e">
        <f>IF(#REF!,"AAAAAG7fdi0=",0)</f>
        <v>#REF!</v>
      </c>
      <c r="AU94" t="e">
        <f>AND(#REF!,"AAAAAG7fdi4=")</f>
        <v>#REF!</v>
      </c>
      <c r="AV94" t="e">
        <f>AND(#REF!,"AAAAAG7fdi8=")</f>
        <v>#REF!</v>
      </c>
      <c r="AW94" t="e">
        <f>AND(#REF!,"AAAAAG7fdjA=")</f>
        <v>#REF!</v>
      </c>
      <c r="AX94" t="e">
        <f>AND(#REF!,"AAAAAG7fdjE=")</f>
        <v>#REF!</v>
      </c>
      <c r="AY94" t="e">
        <f>AND(#REF!,"AAAAAG7fdjI=")</f>
        <v>#REF!</v>
      </c>
      <c r="AZ94" t="e">
        <f>AND(#REF!,"AAAAAG7fdjM=")</f>
        <v>#REF!</v>
      </c>
      <c r="BA94" t="e">
        <f>AND(#REF!,"AAAAAG7fdjQ=")</f>
        <v>#REF!</v>
      </c>
      <c r="BB94" t="e">
        <f>AND(#REF!,"AAAAAG7fdjU=")</f>
        <v>#REF!</v>
      </c>
      <c r="BC94" t="e">
        <f>AND(#REF!,"AAAAAG7fdjY=")</f>
        <v>#REF!</v>
      </c>
      <c r="BD94" t="e">
        <f>AND(#REF!,"AAAAAG7fdjc=")</f>
        <v>#REF!</v>
      </c>
      <c r="BE94" t="e">
        <f>IF(#REF!,"AAAAAG7fdjg=",0)</f>
        <v>#REF!</v>
      </c>
      <c r="BF94" t="e">
        <f>AND(#REF!,"AAAAAG7fdjk=")</f>
        <v>#REF!</v>
      </c>
      <c r="BG94" t="e">
        <f>AND(#REF!,"AAAAAG7fdjo=")</f>
        <v>#REF!</v>
      </c>
      <c r="BH94" t="e">
        <f>AND(#REF!,"AAAAAG7fdjs=")</f>
        <v>#REF!</v>
      </c>
      <c r="BI94" t="e">
        <f>AND(#REF!,"AAAAAG7fdjw=")</f>
        <v>#REF!</v>
      </c>
      <c r="BJ94" t="e">
        <f>AND(#REF!,"AAAAAG7fdj0=")</f>
        <v>#REF!</v>
      </c>
      <c r="BK94" t="e">
        <f>AND(#REF!,"AAAAAG7fdj4=")</f>
        <v>#REF!</v>
      </c>
      <c r="BL94" t="e">
        <f>AND(#REF!,"AAAAAG7fdj8=")</f>
        <v>#REF!</v>
      </c>
      <c r="BM94" t="e">
        <f>AND(#REF!,"AAAAAG7fdkA=")</f>
        <v>#REF!</v>
      </c>
      <c r="BN94" t="e">
        <f>AND(#REF!,"AAAAAG7fdkE=")</f>
        <v>#REF!</v>
      </c>
      <c r="BO94" t="e">
        <f>AND(#REF!,"AAAAAG7fdkI=")</f>
        <v>#REF!</v>
      </c>
      <c r="BP94" t="e">
        <f>IF(#REF!,"AAAAAG7fdkM=",0)</f>
        <v>#REF!</v>
      </c>
      <c r="BQ94" t="e">
        <f>AND(#REF!,"AAAAAG7fdkQ=")</f>
        <v>#REF!</v>
      </c>
      <c r="BR94" t="e">
        <f>AND(#REF!,"AAAAAG7fdkU=")</f>
        <v>#REF!</v>
      </c>
      <c r="BS94" t="e">
        <f>AND(#REF!,"AAAAAG7fdkY=")</f>
        <v>#REF!</v>
      </c>
      <c r="BT94" t="e">
        <f>AND(#REF!,"AAAAAG7fdkc=")</f>
        <v>#REF!</v>
      </c>
      <c r="BU94" t="e">
        <f>AND(#REF!,"AAAAAG7fdkg=")</f>
        <v>#REF!</v>
      </c>
      <c r="BV94" t="e">
        <f>AND(#REF!,"AAAAAG7fdkk=")</f>
        <v>#REF!</v>
      </c>
      <c r="BW94" t="e">
        <f>AND(#REF!,"AAAAAG7fdko=")</f>
        <v>#REF!</v>
      </c>
      <c r="BX94" t="e">
        <f>AND(#REF!,"AAAAAG7fdks=")</f>
        <v>#REF!</v>
      </c>
      <c r="BY94" t="e">
        <f>AND(#REF!,"AAAAAG7fdkw=")</f>
        <v>#REF!</v>
      </c>
      <c r="BZ94" t="e">
        <f>AND(#REF!,"AAAAAG7fdk0=")</f>
        <v>#REF!</v>
      </c>
      <c r="CA94" t="e">
        <f>IF(#REF!,"AAAAAG7fdk4=",0)</f>
        <v>#REF!</v>
      </c>
      <c r="CB94" t="e">
        <f>AND(#REF!,"AAAAAG7fdk8=")</f>
        <v>#REF!</v>
      </c>
      <c r="CC94" t="e">
        <f>AND(#REF!,"AAAAAG7fdlA=")</f>
        <v>#REF!</v>
      </c>
      <c r="CD94" t="e">
        <f>AND(#REF!,"AAAAAG7fdlE=")</f>
        <v>#REF!</v>
      </c>
      <c r="CE94" t="e">
        <f>AND(#REF!,"AAAAAG7fdlI=")</f>
        <v>#REF!</v>
      </c>
      <c r="CF94" t="e">
        <f>AND(#REF!,"AAAAAG7fdlM=")</f>
        <v>#REF!</v>
      </c>
      <c r="CG94" t="e">
        <f>AND(#REF!,"AAAAAG7fdlQ=")</f>
        <v>#REF!</v>
      </c>
      <c r="CH94" t="e">
        <f>AND(#REF!,"AAAAAG7fdlU=")</f>
        <v>#REF!</v>
      </c>
      <c r="CI94" t="e">
        <f>AND(#REF!,"AAAAAG7fdlY=")</f>
        <v>#REF!</v>
      </c>
      <c r="CJ94" t="e">
        <f>AND(#REF!,"AAAAAG7fdlc=")</f>
        <v>#REF!</v>
      </c>
      <c r="CK94" t="e">
        <f>AND(#REF!,"AAAAAG7fdlg=")</f>
        <v>#REF!</v>
      </c>
      <c r="CL94" t="e">
        <f>IF(#REF!,"AAAAAG7fdlk=",0)</f>
        <v>#REF!</v>
      </c>
      <c r="CM94" t="e">
        <f>AND(#REF!,"AAAAAG7fdlo=")</f>
        <v>#REF!</v>
      </c>
      <c r="CN94" t="e">
        <f>AND(#REF!,"AAAAAG7fdls=")</f>
        <v>#REF!</v>
      </c>
      <c r="CO94" t="e">
        <f>AND(#REF!,"AAAAAG7fdlw=")</f>
        <v>#REF!</v>
      </c>
      <c r="CP94" t="e">
        <f>AND(#REF!,"AAAAAG7fdl0=")</f>
        <v>#REF!</v>
      </c>
      <c r="CQ94" t="e">
        <f>AND(#REF!,"AAAAAG7fdl4=")</f>
        <v>#REF!</v>
      </c>
      <c r="CR94" t="e">
        <f>AND(#REF!,"AAAAAG7fdl8=")</f>
        <v>#REF!</v>
      </c>
      <c r="CS94" t="e">
        <f>AND(#REF!,"AAAAAG7fdmA=")</f>
        <v>#REF!</v>
      </c>
      <c r="CT94" t="e">
        <f>AND(#REF!,"AAAAAG7fdmE=")</f>
        <v>#REF!</v>
      </c>
      <c r="CU94" t="e">
        <f>AND(#REF!,"AAAAAG7fdmI=")</f>
        <v>#REF!</v>
      </c>
      <c r="CV94" t="e">
        <f>AND(#REF!,"AAAAAG7fdmM=")</f>
        <v>#REF!</v>
      </c>
      <c r="CW94" t="e">
        <f>IF(#REF!,"AAAAAG7fdmQ=",0)</f>
        <v>#REF!</v>
      </c>
      <c r="CX94" t="e">
        <f>AND(#REF!,"AAAAAG7fdmU=")</f>
        <v>#REF!</v>
      </c>
      <c r="CY94" t="e">
        <f>AND(#REF!,"AAAAAG7fdmY=")</f>
        <v>#REF!</v>
      </c>
      <c r="CZ94" t="e">
        <f>AND(#REF!,"AAAAAG7fdmc=")</f>
        <v>#REF!</v>
      </c>
      <c r="DA94" t="e">
        <f>AND(#REF!,"AAAAAG7fdmg=")</f>
        <v>#REF!</v>
      </c>
      <c r="DB94" t="e">
        <f>AND(#REF!,"AAAAAG7fdmk=")</f>
        <v>#REF!</v>
      </c>
      <c r="DC94" t="e">
        <f>AND(#REF!,"AAAAAG7fdmo=")</f>
        <v>#REF!</v>
      </c>
      <c r="DD94" t="e">
        <f>AND(#REF!,"AAAAAG7fdms=")</f>
        <v>#REF!</v>
      </c>
      <c r="DE94" t="e">
        <f>AND(#REF!,"AAAAAG7fdmw=")</f>
        <v>#REF!</v>
      </c>
      <c r="DF94" t="e">
        <f>AND(#REF!,"AAAAAG7fdm0=")</f>
        <v>#REF!</v>
      </c>
      <c r="DG94" t="e">
        <f>AND(#REF!,"AAAAAG7fdm4=")</f>
        <v>#REF!</v>
      </c>
      <c r="DH94" t="e">
        <f>IF(#REF!,"AAAAAG7fdm8=",0)</f>
        <v>#REF!</v>
      </c>
      <c r="DI94" t="e">
        <f>AND(#REF!,"AAAAAG7fdnA=")</f>
        <v>#REF!</v>
      </c>
      <c r="DJ94" t="e">
        <f>AND(#REF!,"AAAAAG7fdnE=")</f>
        <v>#REF!</v>
      </c>
      <c r="DK94" t="e">
        <f>AND(#REF!,"AAAAAG7fdnI=")</f>
        <v>#REF!</v>
      </c>
      <c r="DL94" t="e">
        <f>AND(#REF!,"AAAAAG7fdnM=")</f>
        <v>#REF!</v>
      </c>
      <c r="DM94" t="e">
        <f>AND(#REF!,"AAAAAG7fdnQ=")</f>
        <v>#REF!</v>
      </c>
      <c r="DN94" t="e">
        <f>AND(#REF!,"AAAAAG7fdnU=")</f>
        <v>#REF!</v>
      </c>
      <c r="DO94" t="e">
        <f>AND(#REF!,"AAAAAG7fdnY=")</f>
        <v>#REF!</v>
      </c>
      <c r="DP94" t="e">
        <f>AND(#REF!,"AAAAAG7fdnc=")</f>
        <v>#REF!</v>
      </c>
      <c r="DQ94" t="e">
        <f>AND(#REF!,"AAAAAG7fdng=")</f>
        <v>#REF!</v>
      </c>
      <c r="DR94" t="e">
        <f>AND(#REF!,"AAAAAG7fdnk=")</f>
        <v>#REF!</v>
      </c>
      <c r="DS94" t="e">
        <f>IF(#REF!,"AAAAAG7fdno=",0)</f>
        <v>#REF!</v>
      </c>
      <c r="DT94" t="e">
        <f>AND(#REF!,"AAAAAG7fdns=")</f>
        <v>#REF!</v>
      </c>
      <c r="DU94" t="e">
        <f>AND(#REF!,"AAAAAG7fdnw=")</f>
        <v>#REF!</v>
      </c>
      <c r="DV94" t="e">
        <f>AND(#REF!,"AAAAAG7fdn0=")</f>
        <v>#REF!</v>
      </c>
      <c r="DW94" t="e">
        <f>AND(#REF!,"AAAAAG7fdn4=")</f>
        <v>#REF!</v>
      </c>
      <c r="DX94" t="e">
        <f>AND(#REF!,"AAAAAG7fdn8=")</f>
        <v>#REF!</v>
      </c>
      <c r="DY94" t="e">
        <f>AND(#REF!,"AAAAAG7fdoA=")</f>
        <v>#REF!</v>
      </c>
      <c r="DZ94" t="e">
        <f>AND(#REF!,"AAAAAG7fdoE=")</f>
        <v>#REF!</v>
      </c>
      <c r="EA94" t="e">
        <f>AND(#REF!,"AAAAAG7fdoI=")</f>
        <v>#REF!</v>
      </c>
      <c r="EB94" t="e">
        <f>AND(#REF!,"AAAAAG7fdoM=")</f>
        <v>#REF!</v>
      </c>
      <c r="EC94" t="e">
        <f>AND(#REF!,"AAAAAG7fdoQ=")</f>
        <v>#REF!</v>
      </c>
      <c r="ED94" t="e">
        <f>IF(#REF!,"AAAAAG7fdoU=",0)</f>
        <v>#REF!</v>
      </c>
      <c r="EE94" t="e">
        <f>AND(#REF!,"AAAAAG7fdoY=")</f>
        <v>#REF!</v>
      </c>
      <c r="EF94" t="e">
        <f>AND(#REF!,"AAAAAG7fdoc=")</f>
        <v>#REF!</v>
      </c>
      <c r="EG94" t="e">
        <f>AND(#REF!,"AAAAAG7fdog=")</f>
        <v>#REF!</v>
      </c>
      <c r="EH94" t="e">
        <f>AND(#REF!,"AAAAAG7fdok=")</f>
        <v>#REF!</v>
      </c>
      <c r="EI94" t="e">
        <f>AND(#REF!,"AAAAAG7fdoo=")</f>
        <v>#REF!</v>
      </c>
      <c r="EJ94" t="e">
        <f>AND(#REF!,"AAAAAG7fdos=")</f>
        <v>#REF!</v>
      </c>
      <c r="EK94" t="e">
        <f>AND(#REF!,"AAAAAG7fdow=")</f>
        <v>#REF!</v>
      </c>
      <c r="EL94" t="e">
        <f>AND(#REF!,"AAAAAG7fdo0=")</f>
        <v>#REF!</v>
      </c>
      <c r="EM94" t="e">
        <f>AND(#REF!,"AAAAAG7fdo4=")</f>
        <v>#REF!</v>
      </c>
      <c r="EN94" t="e">
        <f>AND(#REF!,"AAAAAG7fdo8=")</f>
        <v>#REF!</v>
      </c>
      <c r="EO94" t="e">
        <f>IF(#REF!,"AAAAAG7fdpA=",0)</f>
        <v>#REF!</v>
      </c>
      <c r="EP94" t="e">
        <f>AND(#REF!,"AAAAAG7fdpE=")</f>
        <v>#REF!</v>
      </c>
      <c r="EQ94" t="e">
        <f>AND(#REF!,"AAAAAG7fdpI=")</f>
        <v>#REF!</v>
      </c>
      <c r="ER94" t="e">
        <f>AND(#REF!,"AAAAAG7fdpM=")</f>
        <v>#REF!</v>
      </c>
      <c r="ES94" t="e">
        <f>AND(#REF!,"AAAAAG7fdpQ=")</f>
        <v>#REF!</v>
      </c>
      <c r="ET94" t="e">
        <f>AND(#REF!,"AAAAAG7fdpU=")</f>
        <v>#REF!</v>
      </c>
      <c r="EU94" t="e">
        <f>AND(#REF!,"AAAAAG7fdpY=")</f>
        <v>#REF!</v>
      </c>
      <c r="EV94" t="e">
        <f>AND(#REF!,"AAAAAG7fdpc=")</f>
        <v>#REF!</v>
      </c>
      <c r="EW94" t="e">
        <f>AND(#REF!,"AAAAAG7fdpg=")</f>
        <v>#REF!</v>
      </c>
      <c r="EX94" t="e">
        <f>AND(#REF!,"AAAAAG7fdpk=")</f>
        <v>#REF!</v>
      </c>
      <c r="EY94" t="e">
        <f>AND(#REF!,"AAAAAG7fdpo=")</f>
        <v>#REF!</v>
      </c>
      <c r="EZ94" t="e">
        <f>IF(#REF!,"AAAAAG7fdps=",0)</f>
        <v>#REF!</v>
      </c>
      <c r="FA94" t="e">
        <f>AND(#REF!,"AAAAAG7fdpw=")</f>
        <v>#REF!</v>
      </c>
      <c r="FB94" t="e">
        <f>AND(#REF!,"AAAAAG7fdp0=")</f>
        <v>#REF!</v>
      </c>
      <c r="FC94" t="e">
        <f>AND(#REF!,"AAAAAG7fdp4=")</f>
        <v>#REF!</v>
      </c>
      <c r="FD94" t="e">
        <f>AND(#REF!,"AAAAAG7fdp8=")</f>
        <v>#REF!</v>
      </c>
      <c r="FE94" t="e">
        <f>AND(#REF!,"AAAAAG7fdqA=")</f>
        <v>#REF!</v>
      </c>
      <c r="FF94" t="e">
        <f>AND(#REF!,"AAAAAG7fdqE=")</f>
        <v>#REF!</v>
      </c>
      <c r="FG94" t="e">
        <f>AND(#REF!,"AAAAAG7fdqI=")</f>
        <v>#REF!</v>
      </c>
      <c r="FH94" t="e">
        <f>AND(#REF!,"AAAAAG7fdqM=")</f>
        <v>#REF!</v>
      </c>
      <c r="FI94" t="e">
        <f>AND(#REF!,"AAAAAG7fdqQ=")</f>
        <v>#REF!</v>
      </c>
      <c r="FJ94" t="e">
        <f>AND(#REF!,"AAAAAG7fdqU=")</f>
        <v>#REF!</v>
      </c>
      <c r="FK94" t="e">
        <f>IF(#REF!,"AAAAAG7fdqY=",0)</f>
        <v>#REF!</v>
      </c>
      <c r="FL94" t="e">
        <f>AND(#REF!,"AAAAAG7fdqc=")</f>
        <v>#REF!</v>
      </c>
      <c r="FM94" t="e">
        <f>AND(#REF!,"AAAAAG7fdqg=")</f>
        <v>#REF!</v>
      </c>
      <c r="FN94" t="e">
        <f>AND(#REF!,"AAAAAG7fdqk=")</f>
        <v>#REF!</v>
      </c>
      <c r="FO94" t="e">
        <f>AND(#REF!,"AAAAAG7fdqo=")</f>
        <v>#REF!</v>
      </c>
      <c r="FP94" t="e">
        <f>AND(#REF!,"AAAAAG7fdqs=")</f>
        <v>#REF!</v>
      </c>
      <c r="FQ94" t="e">
        <f>AND(#REF!,"AAAAAG7fdqw=")</f>
        <v>#REF!</v>
      </c>
      <c r="FR94" t="e">
        <f>AND(#REF!,"AAAAAG7fdq0=")</f>
        <v>#REF!</v>
      </c>
      <c r="FS94" t="e">
        <f>AND(#REF!,"AAAAAG7fdq4=")</f>
        <v>#REF!</v>
      </c>
      <c r="FT94" t="e">
        <f>AND(#REF!,"AAAAAG7fdq8=")</f>
        <v>#REF!</v>
      </c>
      <c r="FU94" t="e">
        <f>AND(#REF!,"AAAAAG7fdrA=")</f>
        <v>#REF!</v>
      </c>
      <c r="FV94" t="e">
        <f>IF(#REF!,"AAAAAG7fdrE=",0)</f>
        <v>#REF!</v>
      </c>
      <c r="FW94" t="e">
        <f>AND(#REF!,"AAAAAG7fdrI=")</f>
        <v>#REF!</v>
      </c>
      <c r="FX94" t="e">
        <f>AND(#REF!,"AAAAAG7fdrM=")</f>
        <v>#REF!</v>
      </c>
      <c r="FY94" t="e">
        <f>AND(#REF!,"AAAAAG7fdrQ=")</f>
        <v>#REF!</v>
      </c>
      <c r="FZ94" t="e">
        <f>AND(#REF!,"AAAAAG7fdrU=")</f>
        <v>#REF!</v>
      </c>
      <c r="GA94" t="e">
        <f>AND(#REF!,"AAAAAG7fdrY=")</f>
        <v>#REF!</v>
      </c>
      <c r="GB94" t="e">
        <f>AND(#REF!,"AAAAAG7fdrc=")</f>
        <v>#REF!</v>
      </c>
      <c r="GC94" t="e">
        <f>AND(#REF!,"AAAAAG7fdrg=")</f>
        <v>#REF!</v>
      </c>
      <c r="GD94" t="e">
        <f>AND(#REF!,"AAAAAG7fdrk=")</f>
        <v>#REF!</v>
      </c>
      <c r="GE94" t="e">
        <f>AND(#REF!,"AAAAAG7fdro=")</f>
        <v>#REF!</v>
      </c>
      <c r="GF94" t="e">
        <f>AND(#REF!,"AAAAAG7fdrs=")</f>
        <v>#REF!</v>
      </c>
      <c r="GG94" t="e">
        <f>IF(#REF!,"AAAAAG7fdrw=",0)</f>
        <v>#REF!</v>
      </c>
      <c r="GH94" t="e">
        <f>AND(#REF!,"AAAAAG7fdr0=")</f>
        <v>#REF!</v>
      </c>
      <c r="GI94" t="e">
        <f>AND(#REF!,"AAAAAG7fdr4=")</f>
        <v>#REF!</v>
      </c>
      <c r="GJ94" t="e">
        <f>AND(#REF!,"AAAAAG7fdr8=")</f>
        <v>#REF!</v>
      </c>
      <c r="GK94" t="e">
        <f>AND(#REF!,"AAAAAG7fdsA=")</f>
        <v>#REF!</v>
      </c>
      <c r="GL94" t="e">
        <f>AND(#REF!,"AAAAAG7fdsE=")</f>
        <v>#REF!</v>
      </c>
      <c r="GM94" t="e">
        <f>AND(#REF!,"AAAAAG7fdsI=")</f>
        <v>#REF!</v>
      </c>
      <c r="GN94" t="e">
        <f>AND(#REF!,"AAAAAG7fdsM=")</f>
        <v>#REF!</v>
      </c>
      <c r="GO94" t="e">
        <f>AND(#REF!,"AAAAAG7fdsQ=")</f>
        <v>#REF!</v>
      </c>
      <c r="GP94" t="e">
        <f>AND(#REF!,"AAAAAG7fdsU=")</f>
        <v>#REF!</v>
      </c>
      <c r="GQ94" t="e">
        <f>AND(#REF!,"AAAAAG7fdsY=")</f>
        <v>#REF!</v>
      </c>
      <c r="GR94" t="e">
        <f>IF(#REF!,"AAAAAG7fdsc=",0)</f>
        <v>#REF!</v>
      </c>
      <c r="GS94" t="e">
        <f>AND(#REF!,"AAAAAG7fdsg=")</f>
        <v>#REF!</v>
      </c>
      <c r="GT94" t="e">
        <f>AND(#REF!,"AAAAAG7fdsk=")</f>
        <v>#REF!</v>
      </c>
      <c r="GU94" t="e">
        <f>AND(#REF!,"AAAAAG7fdso=")</f>
        <v>#REF!</v>
      </c>
      <c r="GV94" t="e">
        <f>AND(#REF!,"AAAAAG7fdss=")</f>
        <v>#REF!</v>
      </c>
      <c r="GW94" t="e">
        <f>AND(#REF!,"AAAAAG7fdsw=")</f>
        <v>#REF!</v>
      </c>
      <c r="GX94" t="e">
        <f>AND(#REF!,"AAAAAG7fds0=")</f>
        <v>#REF!</v>
      </c>
      <c r="GY94" t="e">
        <f>AND(#REF!,"AAAAAG7fds4=")</f>
        <v>#REF!</v>
      </c>
      <c r="GZ94" t="e">
        <f>AND(#REF!,"AAAAAG7fds8=")</f>
        <v>#REF!</v>
      </c>
      <c r="HA94" t="e">
        <f>AND(#REF!,"AAAAAG7fdtA=")</f>
        <v>#REF!</v>
      </c>
      <c r="HB94" t="e">
        <f>AND(#REF!,"AAAAAG7fdtE=")</f>
        <v>#REF!</v>
      </c>
      <c r="HC94" t="e">
        <f>IF(#REF!,"AAAAAG7fdtI=",0)</f>
        <v>#REF!</v>
      </c>
      <c r="HD94" t="e">
        <f>AND(#REF!,"AAAAAG7fdtM=")</f>
        <v>#REF!</v>
      </c>
      <c r="HE94" t="e">
        <f>AND(#REF!,"AAAAAG7fdtQ=")</f>
        <v>#REF!</v>
      </c>
      <c r="HF94" t="e">
        <f>AND(#REF!,"AAAAAG7fdtU=")</f>
        <v>#REF!</v>
      </c>
      <c r="HG94" t="e">
        <f>AND(#REF!,"AAAAAG7fdtY=")</f>
        <v>#REF!</v>
      </c>
      <c r="HH94" t="e">
        <f>AND(#REF!,"AAAAAG7fdtc=")</f>
        <v>#REF!</v>
      </c>
      <c r="HI94" t="e">
        <f>AND(#REF!,"AAAAAG7fdtg=")</f>
        <v>#REF!</v>
      </c>
      <c r="HJ94" t="e">
        <f>AND(#REF!,"AAAAAG7fdtk=")</f>
        <v>#REF!</v>
      </c>
      <c r="HK94" t="e">
        <f>AND(#REF!,"AAAAAG7fdto=")</f>
        <v>#REF!</v>
      </c>
      <c r="HL94" t="e">
        <f>AND(#REF!,"AAAAAG7fdts=")</f>
        <v>#REF!</v>
      </c>
      <c r="HM94" t="e">
        <f>AND(#REF!,"AAAAAG7fdtw=")</f>
        <v>#REF!</v>
      </c>
      <c r="HN94" t="e">
        <f>IF(#REF!,"AAAAAG7fdt0=",0)</f>
        <v>#REF!</v>
      </c>
      <c r="HO94" t="e">
        <f>AND(#REF!,"AAAAAG7fdt4=")</f>
        <v>#REF!</v>
      </c>
      <c r="HP94" t="e">
        <f>AND(#REF!,"AAAAAG7fdt8=")</f>
        <v>#REF!</v>
      </c>
      <c r="HQ94" t="e">
        <f>AND(#REF!,"AAAAAG7fduA=")</f>
        <v>#REF!</v>
      </c>
      <c r="HR94" t="e">
        <f>AND(#REF!,"AAAAAG7fduE=")</f>
        <v>#REF!</v>
      </c>
      <c r="HS94" t="e">
        <f>AND(#REF!,"AAAAAG7fduI=")</f>
        <v>#REF!</v>
      </c>
      <c r="HT94" t="e">
        <f>AND(#REF!,"AAAAAG7fduM=")</f>
        <v>#REF!</v>
      </c>
      <c r="HU94" t="e">
        <f>AND(#REF!,"AAAAAG7fduQ=")</f>
        <v>#REF!</v>
      </c>
      <c r="HV94" t="e">
        <f>AND(#REF!,"AAAAAG7fduU=")</f>
        <v>#REF!</v>
      </c>
      <c r="HW94" t="e">
        <f>AND(#REF!,"AAAAAG7fduY=")</f>
        <v>#REF!</v>
      </c>
      <c r="HX94" t="e">
        <f>AND(#REF!,"AAAAAG7fduc=")</f>
        <v>#REF!</v>
      </c>
      <c r="HY94" t="e">
        <f>IF(#REF!,"AAAAAG7fdug=",0)</f>
        <v>#REF!</v>
      </c>
      <c r="HZ94" t="e">
        <f>AND(#REF!,"AAAAAG7fduk=")</f>
        <v>#REF!</v>
      </c>
      <c r="IA94" t="e">
        <f>AND(#REF!,"AAAAAG7fduo=")</f>
        <v>#REF!</v>
      </c>
      <c r="IB94" t="e">
        <f>AND(#REF!,"AAAAAG7fdus=")</f>
        <v>#REF!</v>
      </c>
      <c r="IC94" t="e">
        <f>AND(#REF!,"AAAAAG7fduw=")</f>
        <v>#REF!</v>
      </c>
      <c r="ID94" t="e">
        <f>AND(#REF!,"AAAAAG7fdu0=")</f>
        <v>#REF!</v>
      </c>
      <c r="IE94" t="e">
        <f>AND(#REF!,"AAAAAG7fdu4=")</f>
        <v>#REF!</v>
      </c>
      <c r="IF94" t="e">
        <f>AND(#REF!,"AAAAAG7fdu8=")</f>
        <v>#REF!</v>
      </c>
      <c r="IG94" t="e">
        <f>AND(#REF!,"AAAAAG7fdvA=")</f>
        <v>#REF!</v>
      </c>
      <c r="IH94" t="e">
        <f>AND(#REF!,"AAAAAG7fdvE=")</f>
        <v>#REF!</v>
      </c>
      <c r="II94" t="e">
        <f>AND(#REF!,"AAAAAG7fdvI=")</f>
        <v>#REF!</v>
      </c>
      <c r="IJ94" t="e">
        <f>IF(#REF!,"AAAAAG7fdvM=",0)</f>
        <v>#REF!</v>
      </c>
      <c r="IK94" t="e">
        <f>AND(#REF!,"AAAAAG7fdvQ=")</f>
        <v>#REF!</v>
      </c>
      <c r="IL94" t="e">
        <f>AND(#REF!,"AAAAAG7fdvU=")</f>
        <v>#REF!</v>
      </c>
      <c r="IM94" t="e">
        <f>AND(#REF!,"AAAAAG7fdvY=")</f>
        <v>#REF!</v>
      </c>
      <c r="IN94" t="e">
        <f>AND(#REF!,"AAAAAG7fdvc=")</f>
        <v>#REF!</v>
      </c>
      <c r="IO94" t="e">
        <f>AND(#REF!,"AAAAAG7fdvg=")</f>
        <v>#REF!</v>
      </c>
      <c r="IP94" t="e">
        <f>AND(#REF!,"AAAAAG7fdvk=")</f>
        <v>#REF!</v>
      </c>
      <c r="IQ94" t="e">
        <f>AND(#REF!,"AAAAAG7fdvo=")</f>
        <v>#REF!</v>
      </c>
      <c r="IR94" t="e">
        <f>AND(#REF!,"AAAAAG7fdvs=")</f>
        <v>#REF!</v>
      </c>
      <c r="IS94" t="e">
        <f>AND(#REF!,"AAAAAG7fdvw=")</f>
        <v>#REF!</v>
      </c>
      <c r="IT94" t="e">
        <f>AND(#REF!,"AAAAAG7fdv0=")</f>
        <v>#REF!</v>
      </c>
      <c r="IU94" t="e">
        <f>IF(#REF!,"AAAAAG7fdv4=",0)</f>
        <v>#REF!</v>
      </c>
      <c r="IV94" t="e">
        <f>AND(#REF!,"AAAAAG7fdv8=")</f>
        <v>#REF!</v>
      </c>
    </row>
    <row r="95" spans="1:256" x14ac:dyDescent="0.25">
      <c r="A95" t="e">
        <f>AND(#REF!,"AAAAAHz++wA=")</f>
        <v>#REF!</v>
      </c>
      <c r="B95" t="e">
        <f>AND(#REF!,"AAAAAHz++wE=")</f>
        <v>#REF!</v>
      </c>
      <c r="C95" t="e">
        <f>AND(#REF!,"AAAAAHz++wI=")</f>
        <v>#REF!</v>
      </c>
      <c r="D95" t="e">
        <f>AND(#REF!,"AAAAAHz++wM=")</f>
        <v>#REF!</v>
      </c>
      <c r="E95" t="e">
        <f>AND(#REF!,"AAAAAHz++wQ=")</f>
        <v>#REF!</v>
      </c>
      <c r="F95" t="e">
        <f>AND(#REF!,"AAAAAHz++wU=")</f>
        <v>#REF!</v>
      </c>
      <c r="G95" t="e">
        <f>AND(#REF!,"AAAAAHz++wY=")</f>
        <v>#REF!</v>
      </c>
      <c r="H95" t="e">
        <f>AND(#REF!,"AAAAAHz++wc=")</f>
        <v>#REF!</v>
      </c>
      <c r="I95" t="e">
        <f>AND(#REF!,"AAAAAHz++wg=")</f>
        <v>#REF!</v>
      </c>
      <c r="J95" t="e">
        <f>IF(#REF!,"AAAAAHz++wk=",0)</f>
        <v>#REF!</v>
      </c>
      <c r="K95" t="e">
        <f>AND(#REF!,"AAAAAHz++wo=")</f>
        <v>#REF!</v>
      </c>
      <c r="L95" t="e">
        <f>AND(#REF!,"AAAAAHz++ws=")</f>
        <v>#REF!</v>
      </c>
      <c r="M95" t="e">
        <f>AND(#REF!,"AAAAAHz++ww=")</f>
        <v>#REF!</v>
      </c>
      <c r="N95" t="e">
        <f>AND(#REF!,"AAAAAHz++w0=")</f>
        <v>#REF!</v>
      </c>
      <c r="O95" t="e">
        <f>AND(#REF!,"AAAAAHz++w4=")</f>
        <v>#REF!</v>
      </c>
      <c r="P95" t="e">
        <f>AND(#REF!,"AAAAAHz++w8=")</f>
        <v>#REF!</v>
      </c>
      <c r="Q95" t="e">
        <f>AND(#REF!,"AAAAAHz++xA=")</f>
        <v>#REF!</v>
      </c>
      <c r="R95" t="e">
        <f>AND(#REF!,"AAAAAHz++xE=")</f>
        <v>#REF!</v>
      </c>
      <c r="S95" t="e">
        <f>AND(#REF!,"AAAAAHz++xI=")</f>
        <v>#REF!</v>
      </c>
      <c r="T95" t="e">
        <f>AND(#REF!,"AAAAAHz++xM=")</f>
        <v>#REF!</v>
      </c>
      <c r="U95" t="e">
        <f>IF(#REF!,"AAAAAHz++xQ=",0)</f>
        <v>#REF!</v>
      </c>
      <c r="V95" t="e">
        <f>AND(#REF!,"AAAAAHz++xU=")</f>
        <v>#REF!</v>
      </c>
      <c r="W95" t="e">
        <f>AND(#REF!,"AAAAAHz++xY=")</f>
        <v>#REF!</v>
      </c>
      <c r="X95" t="e">
        <f>AND(#REF!,"AAAAAHz++xc=")</f>
        <v>#REF!</v>
      </c>
      <c r="Y95" t="e">
        <f>AND(#REF!,"AAAAAHz++xg=")</f>
        <v>#REF!</v>
      </c>
      <c r="Z95" t="e">
        <f>AND(#REF!,"AAAAAHz++xk=")</f>
        <v>#REF!</v>
      </c>
      <c r="AA95" t="e">
        <f>AND(#REF!,"AAAAAHz++xo=")</f>
        <v>#REF!</v>
      </c>
      <c r="AB95" t="e">
        <f>AND(#REF!,"AAAAAHz++xs=")</f>
        <v>#REF!</v>
      </c>
      <c r="AC95" t="e">
        <f>AND(#REF!,"AAAAAHz++xw=")</f>
        <v>#REF!</v>
      </c>
      <c r="AD95" t="e">
        <f>AND(#REF!,"AAAAAHz++x0=")</f>
        <v>#REF!</v>
      </c>
      <c r="AE95" t="e">
        <f>AND(#REF!,"AAAAAHz++x4=")</f>
        <v>#REF!</v>
      </c>
      <c r="AF95" t="e">
        <f>IF(#REF!,"AAAAAHz++x8=",0)</f>
        <v>#REF!</v>
      </c>
      <c r="AG95" t="e">
        <f>AND(#REF!,"AAAAAHz++yA=")</f>
        <v>#REF!</v>
      </c>
      <c r="AH95" t="e">
        <f>AND(#REF!,"AAAAAHz++yE=")</f>
        <v>#REF!</v>
      </c>
      <c r="AI95" t="e">
        <f>AND(#REF!,"AAAAAHz++yI=")</f>
        <v>#REF!</v>
      </c>
      <c r="AJ95" t="e">
        <f>AND(#REF!,"AAAAAHz++yM=")</f>
        <v>#REF!</v>
      </c>
      <c r="AK95" t="e">
        <f>AND(#REF!,"AAAAAHz++yQ=")</f>
        <v>#REF!</v>
      </c>
      <c r="AL95" t="e">
        <f>AND(#REF!,"AAAAAHz++yU=")</f>
        <v>#REF!</v>
      </c>
      <c r="AM95" t="e">
        <f>AND(#REF!,"AAAAAHz++yY=")</f>
        <v>#REF!</v>
      </c>
      <c r="AN95" t="e">
        <f>AND(#REF!,"AAAAAHz++yc=")</f>
        <v>#REF!</v>
      </c>
      <c r="AO95" t="e">
        <f>AND(#REF!,"AAAAAHz++yg=")</f>
        <v>#REF!</v>
      </c>
      <c r="AP95" t="e">
        <f>AND(#REF!,"AAAAAHz++yk=")</f>
        <v>#REF!</v>
      </c>
      <c r="AQ95" t="e">
        <f>IF(#REF!,"AAAAAHz++yo=",0)</f>
        <v>#REF!</v>
      </c>
      <c r="AR95" t="e">
        <f>AND(#REF!,"AAAAAHz++ys=")</f>
        <v>#REF!</v>
      </c>
      <c r="AS95" t="e">
        <f>AND(#REF!,"AAAAAHz++yw=")</f>
        <v>#REF!</v>
      </c>
      <c r="AT95" t="e">
        <f>AND(#REF!,"AAAAAHz++y0=")</f>
        <v>#REF!</v>
      </c>
      <c r="AU95" t="e">
        <f>AND(#REF!,"AAAAAHz++y4=")</f>
        <v>#REF!</v>
      </c>
      <c r="AV95" t="e">
        <f>AND(#REF!,"AAAAAHz++y8=")</f>
        <v>#REF!</v>
      </c>
      <c r="AW95" t="e">
        <f>AND(#REF!,"AAAAAHz++zA=")</f>
        <v>#REF!</v>
      </c>
      <c r="AX95" t="e">
        <f>AND(#REF!,"AAAAAHz++zE=")</f>
        <v>#REF!</v>
      </c>
      <c r="AY95" t="e">
        <f>AND(#REF!,"AAAAAHz++zI=")</f>
        <v>#REF!</v>
      </c>
      <c r="AZ95" t="e">
        <f>AND(#REF!,"AAAAAHz++zM=")</f>
        <v>#REF!</v>
      </c>
      <c r="BA95" t="e">
        <f>AND(#REF!,"AAAAAHz++zQ=")</f>
        <v>#REF!</v>
      </c>
      <c r="BB95" t="e">
        <f>IF(#REF!,"AAAAAHz++zU=",0)</f>
        <v>#REF!</v>
      </c>
      <c r="BC95" t="e">
        <f>AND(#REF!,"AAAAAHz++zY=")</f>
        <v>#REF!</v>
      </c>
      <c r="BD95" t="e">
        <f>AND(#REF!,"AAAAAHz++zc=")</f>
        <v>#REF!</v>
      </c>
      <c r="BE95" t="e">
        <f>AND(#REF!,"AAAAAHz++zg=")</f>
        <v>#REF!</v>
      </c>
      <c r="BF95" t="e">
        <f>AND(#REF!,"AAAAAHz++zk=")</f>
        <v>#REF!</v>
      </c>
      <c r="BG95" t="e">
        <f>AND(#REF!,"AAAAAHz++zo=")</f>
        <v>#REF!</v>
      </c>
      <c r="BH95" t="e">
        <f>AND(#REF!,"AAAAAHz++zs=")</f>
        <v>#REF!</v>
      </c>
      <c r="BI95" t="e">
        <f>AND(#REF!,"AAAAAHz++zw=")</f>
        <v>#REF!</v>
      </c>
      <c r="BJ95" t="e">
        <f>AND(#REF!,"AAAAAHz++z0=")</f>
        <v>#REF!</v>
      </c>
      <c r="BK95" t="e">
        <f>AND(#REF!,"AAAAAHz++z4=")</f>
        <v>#REF!</v>
      </c>
      <c r="BL95" t="e">
        <f>AND(#REF!,"AAAAAHz++z8=")</f>
        <v>#REF!</v>
      </c>
      <c r="BM95" t="e">
        <f>IF(#REF!,"AAAAAHz++0A=",0)</f>
        <v>#REF!</v>
      </c>
      <c r="BN95" t="e">
        <f>AND(#REF!,"AAAAAHz++0E=")</f>
        <v>#REF!</v>
      </c>
      <c r="BO95" t="e">
        <f>AND(#REF!,"AAAAAHz++0I=")</f>
        <v>#REF!</v>
      </c>
      <c r="BP95" t="e">
        <f>AND(#REF!,"AAAAAHz++0M=")</f>
        <v>#REF!</v>
      </c>
      <c r="BQ95" t="e">
        <f>AND(#REF!,"AAAAAHz++0Q=")</f>
        <v>#REF!</v>
      </c>
      <c r="BR95" t="e">
        <f>AND(#REF!,"AAAAAHz++0U=")</f>
        <v>#REF!</v>
      </c>
      <c r="BS95" t="e">
        <f>AND(#REF!,"AAAAAHz++0Y=")</f>
        <v>#REF!</v>
      </c>
      <c r="BT95" t="e">
        <f>AND(#REF!,"AAAAAHz++0c=")</f>
        <v>#REF!</v>
      </c>
      <c r="BU95" t="e">
        <f>AND(#REF!,"AAAAAHz++0g=")</f>
        <v>#REF!</v>
      </c>
      <c r="BV95" t="e">
        <f>AND(#REF!,"AAAAAHz++0k=")</f>
        <v>#REF!</v>
      </c>
      <c r="BW95" t="e">
        <f>AND(#REF!,"AAAAAHz++0o=")</f>
        <v>#REF!</v>
      </c>
      <c r="BX95" t="e">
        <f>IF(#REF!,"AAAAAHz++0s=",0)</f>
        <v>#REF!</v>
      </c>
      <c r="BY95" t="e">
        <f>AND(#REF!,"AAAAAHz++0w=")</f>
        <v>#REF!</v>
      </c>
      <c r="BZ95" t="e">
        <f>AND(#REF!,"AAAAAHz++00=")</f>
        <v>#REF!</v>
      </c>
      <c r="CA95" t="e">
        <f>AND(#REF!,"AAAAAHz++04=")</f>
        <v>#REF!</v>
      </c>
      <c r="CB95" t="e">
        <f>AND(#REF!,"AAAAAHz++08=")</f>
        <v>#REF!</v>
      </c>
      <c r="CC95" t="e">
        <f>AND(#REF!,"AAAAAHz++1A=")</f>
        <v>#REF!</v>
      </c>
      <c r="CD95" t="e">
        <f>AND(#REF!,"AAAAAHz++1E=")</f>
        <v>#REF!</v>
      </c>
      <c r="CE95" t="e">
        <f>AND(#REF!,"AAAAAHz++1I=")</f>
        <v>#REF!</v>
      </c>
      <c r="CF95" t="e">
        <f>AND(#REF!,"AAAAAHz++1M=")</f>
        <v>#REF!</v>
      </c>
      <c r="CG95" t="e">
        <f>AND(#REF!,"AAAAAHz++1Q=")</f>
        <v>#REF!</v>
      </c>
      <c r="CH95" t="e">
        <f>AND(#REF!,"AAAAAHz++1U=")</f>
        <v>#REF!</v>
      </c>
      <c r="CI95" t="e">
        <f>IF(#REF!,"AAAAAHz++1Y=",0)</f>
        <v>#REF!</v>
      </c>
      <c r="CJ95" t="e">
        <f>AND(#REF!,"AAAAAHz++1c=")</f>
        <v>#REF!</v>
      </c>
      <c r="CK95" t="e">
        <f>AND(#REF!,"AAAAAHz++1g=")</f>
        <v>#REF!</v>
      </c>
      <c r="CL95" t="e">
        <f>AND(#REF!,"AAAAAHz++1k=")</f>
        <v>#REF!</v>
      </c>
      <c r="CM95" t="e">
        <f>AND(#REF!,"AAAAAHz++1o=")</f>
        <v>#REF!</v>
      </c>
      <c r="CN95" t="e">
        <f>AND(#REF!,"AAAAAHz++1s=")</f>
        <v>#REF!</v>
      </c>
      <c r="CO95" t="e">
        <f>AND(#REF!,"AAAAAHz++1w=")</f>
        <v>#REF!</v>
      </c>
      <c r="CP95" t="e">
        <f>AND(#REF!,"AAAAAHz++10=")</f>
        <v>#REF!</v>
      </c>
      <c r="CQ95" t="e">
        <f>AND(#REF!,"AAAAAHz++14=")</f>
        <v>#REF!</v>
      </c>
      <c r="CR95" t="e">
        <f>AND(#REF!,"AAAAAHz++18=")</f>
        <v>#REF!</v>
      </c>
      <c r="CS95" t="e">
        <f>AND(#REF!,"AAAAAHz++2A=")</f>
        <v>#REF!</v>
      </c>
      <c r="CT95" t="e">
        <f>IF(#REF!,"AAAAAHz++2E=",0)</f>
        <v>#REF!</v>
      </c>
      <c r="CU95" t="e">
        <f>AND(#REF!,"AAAAAHz++2I=")</f>
        <v>#REF!</v>
      </c>
      <c r="CV95" t="e">
        <f>AND(#REF!,"AAAAAHz++2M=")</f>
        <v>#REF!</v>
      </c>
      <c r="CW95" t="e">
        <f>AND(#REF!,"AAAAAHz++2Q=")</f>
        <v>#REF!</v>
      </c>
      <c r="CX95" t="e">
        <f>AND(#REF!,"AAAAAHz++2U=")</f>
        <v>#REF!</v>
      </c>
      <c r="CY95" t="e">
        <f>AND(#REF!,"AAAAAHz++2Y=")</f>
        <v>#REF!</v>
      </c>
      <c r="CZ95" t="e">
        <f>AND(#REF!,"AAAAAHz++2c=")</f>
        <v>#REF!</v>
      </c>
      <c r="DA95" t="e">
        <f>AND(#REF!,"AAAAAHz++2g=")</f>
        <v>#REF!</v>
      </c>
      <c r="DB95" t="e">
        <f>AND(#REF!,"AAAAAHz++2k=")</f>
        <v>#REF!</v>
      </c>
      <c r="DC95" t="e">
        <f>AND(#REF!,"AAAAAHz++2o=")</f>
        <v>#REF!</v>
      </c>
      <c r="DD95" t="e">
        <f>AND(#REF!,"AAAAAHz++2s=")</f>
        <v>#REF!</v>
      </c>
      <c r="DE95" t="e">
        <f>IF(#REF!,"AAAAAHz++2w=",0)</f>
        <v>#REF!</v>
      </c>
      <c r="DF95" t="e">
        <f>AND(#REF!,"AAAAAHz++20=")</f>
        <v>#REF!</v>
      </c>
      <c r="DG95" t="e">
        <f>AND(#REF!,"AAAAAHz++24=")</f>
        <v>#REF!</v>
      </c>
      <c r="DH95" t="e">
        <f>AND(#REF!,"AAAAAHz++28=")</f>
        <v>#REF!</v>
      </c>
      <c r="DI95" t="e">
        <f>AND(#REF!,"AAAAAHz++3A=")</f>
        <v>#REF!</v>
      </c>
      <c r="DJ95" t="e">
        <f>AND(#REF!,"AAAAAHz++3E=")</f>
        <v>#REF!</v>
      </c>
      <c r="DK95" t="e">
        <f>AND(#REF!,"AAAAAHz++3I=")</f>
        <v>#REF!</v>
      </c>
      <c r="DL95" t="e">
        <f>AND(#REF!,"AAAAAHz++3M=")</f>
        <v>#REF!</v>
      </c>
      <c r="DM95" t="e">
        <f>AND(#REF!,"AAAAAHz++3Q=")</f>
        <v>#REF!</v>
      </c>
      <c r="DN95" t="e">
        <f>AND(#REF!,"AAAAAHz++3U=")</f>
        <v>#REF!</v>
      </c>
      <c r="DO95" t="e">
        <f>AND(#REF!,"AAAAAHz++3Y=")</f>
        <v>#REF!</v>
      </c>
      <c r="DP95" t="e">
        <f>IF(#REF!,"AAAAAHz++3c=",0)</f>
        <v>#REF!</v>
      </c>
      <c r="DQ95" t="e">
        <f>AND(#REF!,"AAAAAHz++3g=")</f>
        <v>#REF!</v>
      </c>
      <c r="DR95" t="e">
        <f>AND(#REF!,"AAAAAHz++3k=")</f>
        <v>#REF!</v>
      </c>
      <c r="DS95" t="e">
        <f>AND(#REF!,"AAAAAHz++3o=")</f>
        <v>#REF!</v>
      </c>
      <c r="DT95" t="e">
        <f>AND(#REF!,"AAAAAHz++3s=")</f>
        <v>#REF!</v>
      </c>
      <c r="DU95" t="e">
        <f>AND(#REF!,"AAAAAHz++3w=")</f>
        <v>#REF!</v>
      </c>
      <c r="DV95" t="e">
        <f>AND(#REF!,"AAAAAHz++30=")</f>
        <v>#REF!</v>
      </c>
      <c r="DW95" t="e">
        <f>AND(#REF!,"AAAAAHz++34=")</f>
        <v>#REF!</v>
      </c>
      <c r="DX95" t="e">
        <f>AND(#REF!,"AAAAAHz++38=")</f>
        <v>#REF!</v>
      </c>
      <c r="DY95" t="e">
        <f>AND(#REF!,"AAAAAHz++4A=")</f>
        <v>#REF!</v>
      </c>
      <c r="DZ95" t="e">
        <f>AND(#REF!,"AAAAAHz++4E=")</f>
        <v>#REF!</v>
      </c>
      <c r="EA95" t="e">
        <f>IF(#REF!,"AAAAAHz++4I=",0)</f>
        <v>#REF!</v>
      </c>
      <c r="EB95" t="e">
        <f>AND(#REF!,"AAAAAHz++4M=")</f>
        <v>#REF!</v>
      </c>
      <c r="EC95" t="e">
        <f>AND(#REF!,"AAAAAHz++4Q=")</f>
        <v>#REF!</v>
      </c>
      <c r="ED95" t="e">
        <f>AND(#REF!,"AAAAAHz++4U=")</f>
        <v>#REF!</v>
      </c>
      <c r="EE95" t="e">
        <f>AND(#REF!,"AAAAAHz++4Y=")</f>
        <v>#REF!</v>
      </c>
      <c r="EF95" t="e">
        <f>AND(#REF!,"AAAAAHz++4c=")</f>
        <v>#REF!</v>
      </c>
      <c r="EG95" t="e">
        <f>AND(#REF!,"AAAAAHz++4g=")</f>
        <v>#REF!</v>
      </c>
      <c r="EH95" t="e">
        <f>AND(#REF!,"AAAAAHz++4k=")</f>
        <v>#REF!</v>
      </c>
      <c r="EI95" t="e">
        <f>AND(#REF!,"AAAAAHz++4o=")</f>
        <v>#REF!</v>
      </c>
      <c r="EJ95" t="e">
        <f>AND(#REF!,"AAAAAHz++4s=")</f>
        <v>#REF!</v>
      </c>
      <c r="EK95" t="e">
        <f>AND(#REF!,"AAAAAHz++4w=")</f>
        <v>#REF!</v>
      </c>
      <c r="EL95" t="e">
        <f>IF(#REF!,"AAAAAHz++40=",0)</f>
        <v>#REF!</v>
      </c>
      <c r="EM95" t="e">
        <f>AND(#REF!,"AAAAAHz++44=")</f>
        <v>#REF!</v>
      </c>
      <c r="EN95" t="e">
        <f>AND(#REF!,"AAAAAHz++48=")</f>
        <v>#REF!</v>
      </c>
      <c r="EO95" t="e">
        <f>AND(#REF!,"AAAAAHz++5A=")</f>
        <v>#REF!</v>
      </c>
      <c r="EP95" t="e">
        <f>AND(#REF!,"AAAAAHz++5E=")</f>
        <v>#REF!</v>
      </c>
      <c r="EQ95" t="e">
        <f>AND(#REF!,"AAAAAHz++5I=")</f>
        <v>#REF!</v>
      </c>
      <c r="ER95" t="e">
        <f>AND(#REF!,"AAAAAHz++5M=")</f>
        <v>#REF!</v>
      </c>
      <c r="ES95" t="e">
        <f>AND(#REF!,"AAAAAHz++5Q=")</f>
        <v>#REF!</v>
      </c>
      <c r="ET95" t="e">
        <f>AND(#REF!,"AAAAAHz++5U=")</f>
        <v>#REF!</v>
      </c>
      <c r="EU95" t="e">
        <f>AND(#REF!,"AAAAAHz++5Y=")</f>
        <v>#REF!</v>
      </c>
      <c r="EV95" t="e">
        <f>AND(#REF!,"AAAAAHz++5c=")</f>
        <v>#REF!</v>
      </c>
      <c r="EW95" t="e">
        <f>IF(#REF!,"AAAAAHz++5g=",0)</f>
        <v>#REF!</v>
      </c>
      <c r="EX95" t="e">
        <f>AND(#REF!,"AAAAAHz++5k=")</f>
        <v>#REF!</v>
      </c>
      <c r="EY95" t="e">
        <f>AND(#REF!,"AAAAAHz++5o=")</f>
        <v>#REF!</v>
      </c>
      <c r="EZ95" t="e">
        <f>AND(#REF!,"AAAAAHz++5s=")</f>
        <v>#REF!</v>
      </c>
      <c r="FA95" t="e">
        <f>AND(#REF!,"AAAAAHz++5w=")</f>
        <v>#REF!</v>
      </c>
      <c r="FB95" t="e">
        <f>AND(#REF!,"AAAAAHz++50=")</f>
        <v>#REF!</v>
      </c>
      <c r="FC95" t="e">
        <f>AND(#REF!,"AAAAAHz++54=")</f>
        <v>#REF!</v>
      </c>
      <c r="FD95" t="e">
        <f>AND(#REF!,"AAAAAHz++58=")</f>
        <v>#REF!</v>
      </c>
      <c r="FE95" t="e">
        <f>AND(#REF!,"AAAAAHz++6A=")</f>
        <v>#REF!</v>
      </c>
      <c r="FF95" t="e">
        <f>AND(#REF!,"AAAAAHz++6E=")</f>
        <v>#REF!</v>
      </c>
      <c r="FG95" t="e">
        <f>AND(#REF!,"AAAAAHz++6I=")</f>
        <v>#REF!</v>
      </c>
      <c r="FH95" t="e">
        <f>IF(#REF!,"AAAAAHz++6M=",0)</f>
        <v>#REF!</v>
      </c>
      <c r="FI95" t="e">
        <f>AND(#REF!,"AAAAAHz++6Q=")</f>
        <v>#REF!</v>
      </c>
      <c r="FJ95" t="e">
        <f>AND(#REF!,"AAAAAHz++6U=")</f>
        <v>#REF!</v>
      </c>
      <c r="FK95" t="e">
        <f>AND(#REF!,"AAAAAHz++6Y=")</f>
        <v>#REF!</v>
      </c>
      <c r="FL95" t="e">
        <f>AND(#REF!,"AAAAAHz++6c=")</f>
        <v>#REF!</v>
      </c>
      <c r="FM95" t="e">
        <f>AND(#REF!,"AAAAAHz++6g=")</f>
        <v>#REF!</v>
      </c>
      <c r="FN95" t="e">
        <f>AND(#REF!,"AAAAAHz++6k=")</f>
        <v>#REF!</v>
      </c>
      <c r="FO95" t="e">
        <f>AND(#REF!,"AAAAAHz++6o=")</f>
        <v>#REF!</v>
      </c>
      <c r="FP95" t="e">
        <f>AND(#REF!,"AAAAAHz++6s=")</f>
        <v>#REF!</v>
      </c>
      <c r="FQ95" t="e">
        <f>AND(#REF!,"AAAAAHz++6w=")</f>
        <v>#REF!</v>
      </c>
      <c r="FR95" t="e">
        <f>AND(#REF!,"AAAAAHz++60=")</f>
        <v>#REF!</v>
      </c>
      <c r="FS95" t="e">
        <f>IF(#REF!,"AAAAAHz++64=",0)</f>
        <v>#REF!</v>
      </c>
      <c r="FT95" t="e">
        <f>AND(#REF!,"AAAAAHz++68=")</f>
        <v>#REF!</v>
      </c>
      <c r="FU95" t="e">
        <f>AND(#REF!,"AAAAAHz++7A=")</f>
        <v>#REF!</v>
      </c>
      <c r="FV95" t="e">
        <f>AND(#REF!,"AAAAAHz++7E=")</f>
        <v>#REF!</v>
      </c>
      <c r="FW95" t="e">
        <f>AND(#REF!,"AAAAAHz++7I=")</f>
        <v>#REF!</v>
      </c>
      <c r="FX95" t="e">
        <f>AND(#REF!,"AAAAAHz++7M=")</f>
        <v>#REF!</v>
      </c>
      <c r="FY95" t="e">
        <f>AND(#REF!,"AAAAAHz++7Q=")</f>
        <v>#REF!</v>
      </c>
      <c r="FZ95" t="e">
        <f>AND(#REF!,"AAAAAHz++7U=")</f>
        <v>#REF!</v>
      </c>
      <c r="GA95" t="e">
        <f>AND(#REF!,"AAAAAHz++7Y=")</f>
        <v>#REF!</v>
      </c>
      <c r="GB95" t="e">
        <f>AND(#REF!,"AAAAAHz++7c=")</f>
        <v>#REF!</v>
      </c>
      <c r="GC95" t="e">
        <f>AND(#REF!,"AAAAAHz++7g=")</f>
        <v>#REF!</v>
      </c>
      <c r="GD95" t="e">
        <f>IF(#REF!,"AAAAAHz++7k=",0)</f>
        <v>#REF!</v>
      </c>
      <c r="GE95" t="e">
        <f>AND(#REF!,"AAAAAHz++7o=")</f>
        <v>#REF!</v>
      </c>
      <c r="GF95" t="e">
        <f>AND(#REF!,"AAAAAHz++7s=")</f>
        <v>#REF!</v>
      </c>
      <c r="GG95" t="e">
        <f>AND(#REF!,"AAAAAHz++7w=")</f>
        <v>#REF!</v>
      </c>
      <c r="GH95" t="e">
        <f>AND(#REF!,"AAAAAHz++70=")</f>
        <v>#REF!</v>
      </c>
      <c r="GI95" t="e">
        <f>AND(#REF!,"AAAAAHz++74=")</f>
        <v>#REF!</v>
      </c>
      <c r="GJ95" t="e">
        <f>AND(#REF!,"AAAAAHz++78=")</f>
        <v>#REF!</v>
      </c>
      <c r="GK95" t="e">
        <f>AND(#REF!,"AAAAAHz++8A=")</f>
        <v>#REF!</v>
      </c>
      <c r="GL95" t="e">
        <f>AND(#REF!,"AAAAAHz++8E=")</f>
        <v>#REF!</v>
      </c>
      <c r="GM95" t="e">
        <f>AND(#REF!,"AAAAAHz++8I=")</f>
        <v>#REF!</v>
      </c>
      <c r="GN95" t="e">
        <f>AND(#REF!,"AAAAAHz++8M=")</f>
        <v>#REF!</v>
      </c>
      <c r="GO95" t="e">
        <f>IF(#REF!,"AAAAAHz++8Q=",0)</f>
        <v>#REF!</v>
      </c>
      <c r="GP95" t="e">
        <f>AND(#REF!,"AAAAAHz++8U=")</f>
        <v>#REF!</v>
      </c>
      <c r="GQ95" t="e">
        <f>AND(#REF!,"AAAAAHz++8Y=")</f>
        <v>#REF!</v>
      </c>
      <c r="GR95" t="e">
        <f>AND(#REF!,"AAAAAHz++8c=")</f>
        <v>#REF!</v>
      </c>
      <c r="GS95" t="e">
        <f>AND(#REF!,"AAAAAHz++8g=")</f>
        <v>#REF!</v>
      </c>
      <c r="GT95" t="e">
        <f>AND(#REF!,"AAAAAHz++8k=")</f>
        <v>#REF!</v>
      </c>
      <c r="GU95" t="e">
        <f>AND(#REF!,"AAAAAHz++8o=")</f>
        <v>#REF!</v>
      </c>
      <c r="GV95" t="e">
        <f>AND(#REF!,"AAAAAHz++8s=")</f>
        <v>#REF!</v>
      </c>
      <c r="GW95" t="e">
        <f>AND(#REF!,"AAAAAHz++8w=")</f>
        <v>#REF!</v>
      </c>
      <c r="GX95" t="e">
        <f>AND(#REF!,"AAAAAHz++80=")</f>
        <v>#REF!</v>
      </c>
      <c r="GY95" t="e">
        <f>AND(#REF!,"AAAAAHz++84=")</f>
        <v>#REF!</v>
      </c>
      <c r="GZ95" t="e">
        <f>IF(#REF!,"AAAAAHz++88=",0)</f>
        <v>#REF!</v>
      </c>
      <c r="HA95" t="e">
        <f>AND(#REF!,"AAAAAHz++9A=")</f>
        <v>#REF!</v>
      </c>
      <c r="HB95" t="e">
        <f>AND(#REF!,"AAAAAHz++9E=")</f>
        <v>#REF!</v>
      </c>
      <c r="HC95" t="e">
        <f>AND(#REF!,"AAAAAHz++9I=")</f>
        <v>#REF!</v>
      </c>
      <c r="HD95" t="e">
        <f>AND(#REF!,"AAAAAHz++9M=")</f>
        <v>#REF!</v>
      </c>
      <c r="HE95" t="e">
        <f>AND(#REF!,"AAAAAHz++9Q=")</f>
        <v>#REF!</v>
      </c>
      <c r="HF95" t="e">
        <f>AND(#REF!,"AAAAAHz++9U=")</f>
        <v>#REF!</v>
      </c>
      <c r="HG95" t="e">
        <f>AND(#REF!,"AAAAAHz++9Y=")</f>
        <v>#REF!</v>
      </c>
      <c r="HH95" t="e">
        <f>AND(#REF!,"AAAAAHz++9c=")</f>
        <v>#REF!</v>
      </c>
      <c r="HI95" t="e">
        <f>AND(#REF!,"AAAAAHz++9g=")</f>
        <v>#REF!</v>
      </c>
      <c r="HJ95" t="e">
        <f>AND(#REF!,"AAAAAHz++9k=")</f>
        <v>#REF!</v>
      </c>
      <c r="HK95" t="e">
        <f>IF(#REF!,"AAAAAHz++9o=",0)</f>
        <v>#REF!</v>
      </c>
      <c r="HL95" t="e">
        <f>AND(#REF!,"AAAAAHz++9s=")</f>
        <v>#REF!</v>
      </c>
      <c r="HM95" t="e">
        <f>AND(#REF!,"AAAAAHz++9w=")</f>
        <v>#REF!</v>
      </c>
      <c r="HN95" t="e">
        <f>AND(#REF!,"AAAAAHz++90=")</f>
        <v>#REF!</v>
      </c>
      <c r="HO95" t="e">
        <f>AND(#REF!,"AAAAAHz++94=")</f>
        <v>#REF!</v>
      </c>
      <c r="HP95" t="e">
        <f>AND(#REF!,"AAAAAHz++98=")</f>
        <v>#REF!</v>
      </c>
      <c r="HQ95" t="e">
        <f>AND(#REF!,"AAAAAHz+++A=")</f>
        <v>#REF!</v>
      </c>
      <c r="HR95" t="e">
        <f>AND(#REF!,"AAAAAHz+++E=")</f>
        <v>#REF!</v>
      </c>
      <c r="HS95" t="e">
        <f>AND(#REF!,"AAAAAHz+++I=")</f>
        <v>#REF!</v>
      </c>
      <c r="HT95" t="e">
        <f>AND(#REF!,"AAAAAHz+++M=")</f>
        <v>#REF!</v>
      </c>
      <c r="HU95" t="e">
        <f>AND(#REF!,"AAAAAHz+++Q=")</f>
        <v>#REF!</v>
      </c>
      <c r="HV95" t="e">
        <f>IF(#REF!,"AAAAAHz+++U=",0)</f>
        <v>#REF!</v>
      </c>
      <c r="HW95" t="e">
        <f>AND(#REF!,"AAAAAHz+++Y=")</f>
        <v>#REF!</v>
      </c>
      <c r="HX95" t="e">
        <f>AND(#REF!,"AAAAAHz+++c=")</f>
        <v>#REF!</v>
      </c>
      <c r="HY95" t="e">
        <f>AND(#REF!,"AAAAAHz+++g=")</f>
        <v>#REF!</v>
      </c>
      <c r="HZ95" t="e">
        <f>AND(#REF!,"AAAAAHz+++k=")</f>
        <v>#REF!</v>
      </c>
      <c r="IA95" t="e">
        <f>AND(#REF!,"AAAAAHz+++o=")</f>
        <v>#REF!</v>
      </c>
      <c r="IB95" t="e">
        <f>AND(#REF!,"AAAAAHz+++s=")</f>
        <v>#REF!</v>
      </c>
      <c r="IC95" t="e">
        <f>AND(#REF!,"AAAAAHz+++w=")</f>
        <v>#REF!</v>
      </c>
      <c r="ID95" t="e">
        <f>AND(#REF!,"AAAAAHz+++0=")</f>
        <v>#REF!</v>
      </c>
      <c r="IE95" t="e">
        <f>AND(#REF!,"AAAAAHz+++4=")</f>
        <v>#REF!</v>
      </c>
      <c r="IF95" t="e">
        <f>AND(#REF!,"AAAAAHz+++8=")</f>
        <v>#REF!</v>
      </c>
      <c r="IG95" t="e">
        <f>IF(#REF!,"AAAAAHz++/A=",0)</f>
        <v>#REF!</v>
      </c>
      <c r="IH95" t="e">
        <f>AND(#REF!,"AAAAAHz++/E=")</f>
        <v>#REF!</v>
      </c>
      <c r="II95" t="e">
        <f>AND(#REF!,"AAAAAHz++/I=")</f>
        <v>#REF!</v>
      </c>
      <c r="IJ95" t="e">
        <f>AND(#REF!,"AAAAAHz++/M=")</f>
        <v>#REF!</v>
      </c>
      <c r="IK95" t="e">
        <f>AND(#REF!,"AAAAAHz++/Q=")</f>
        <v>#REF!</v>
      </c>
      <c r="IL95" t="e">
        <f>AND(#REF!,"AAAAAHz++/U=")</f>
        <v>#REF!</v>
      </c>
      <c r="IM95" t="e">
        <f>AND(#REF!,"AAAAAHz++/Y=")</f>
        <v>#REF!</v>
      </c>
      <c r="IN95" t="e">
        <f>AND(#REF!,"AAAAAHz++/c=")</f>
        <v>#REF!</v>
      </c>
      <c r="IO95" t="e">
        <f>AND(#REF!,"AAAAAHz++/g=")</f>
        <v>#REF!</v>
      </c>
      <c r="IP95" t="e">
        <f>AND(#REF!,"AAAAAHz++/k=")</f>
        <v>#REF!</v>
      </c>
      <c r="IQ95" t="e">
        <f>AND(#REF!,"AAAAAHz++/o=")</f>
        <v>#REF!</v>
      </c>
      <c r="IR95" t="e">
        <f>IF(#REF!,"AAAAAHz++/s=",0)</f>
        <v>#REF!</v>
      </c>
      <c r="IS95" t="e">
        <f>AND(#REF!,"AAAAAHz++/w=")</f>
        <v>#REF!</v>
      </c>
      <c r="IT95" t="e">
        <f>AND(#REF!,"AAAAAHz++/0=")</f>
        <v>#REF!</v>
      </c>
      <c r="IU95" t="e">
        <f>AND(#REF!,"AAAAAHz++/4=")</f>
        <v>#REF!</v>
      </c>
      <c r="IV95" t="e">
        <f>AND(#REF!,"AAAAAHz++/8=")</f>
        <v>#REF!</v>
      </c>
    </row>
    <row r="96" spans="1:256" x14ac:dyDescent="0.25">
      <c r="A96" t="e">
        <f>AND(#REF!,"AAAAAHu21AA=")</f>
        <v>#REF!</v>
      </c>
      <c r="B96" t="e">
        <f>AND(#REF!,"AAAAAHu21AE=")</f>
        <v>#REF!</v>
      </c>
      <c r="C96" t="e">
        <f>AND(#REF!,"AAAAAHu21AI=")</f>
        <v>#REF!</v>
      </c>
      <c r="D96" t="e">
        <f>AND(#REF!,"AAAAAHu21AM=")</f>
        <v>#REF!</v>
      </c>
      <c r="E96" t="e">
        <f>AND(#REF!,"AAAAAHu21AQ=")</f>
        <v>#REF!</v>
      </c>
      <c r="F96" t="e">
        <f>AND(#REF!,"AAAAAHu21AU=")</f>
        <v>#REF!</v>
      </c>
      <c r="G96" t="e">
        <f>IF(#REF!,"AAAAAHu21AY=",0)</f>
        <v>#REF!</v>
      </c>
      <c r="H96" t="e">
        <f>AND(#REF!,"AAAAAHu21Ac=")</f>
        <v>#REF!</v>
      </c>
      <c r="I96" t="e">
        <f>AND(#REF!,"AAAAAHu21Ag=")</f>
        <v>#REF!</v>
      </c>
      <c r="J96" t="e">
        <f>AND(#REF!,"AAAAAHu21Ak=")</f>
        <v>#REF!</v>
      </c>
      <c r="K96" t="e">
        <f>AND(#REF!,"AAAAAHu21Ao=")</f>
        <v>#REF!</v>
      </c>
      <c r="L96" t="e">
        <f>AND(#REF!,"AAAAAHu21As=")</f>
        <v>#REF!</v>
      </c>
      <c r="M96" t="e">
        <f>AND(#REF!,"AAAAAHu21Aw=")</f>
        <v>#REF!</v>
      </c>
      <c r="N96" t="e">
        <f>AND(#REF!,"AAAAAHu21A0=")</f>
        <v>#REF!</v>
      </c>
      <c r="O96" t="e">
        <f>AND(#REF!,"AAAAAHu21A4=")</f>
        <v>#REF!</v>
      </c>
      <c r="P96" t="e">
        <f>AND(#REF!,"AAAAAHu21A8=")</f>
        <v>#REF!</v>
      </c>
      <c r="Q96" t="e">
        <f>AND(#REF!,"AAAAAHu21BA=")</f>
        <v>#REF!</v>
      </c>
      <c r="R96" t="e">
        <f>IF(#REF!,"AAAAAHu21BE=",0)</f>
        <v>#REF!</v>
      </c>
      <c r="S96" t="e">
        <f>AND(#REF!,"AAAAAHu21BI=")</f>
        <v>#REF!</v>
      </c>
      <c r="T96" t="e">
        <f>AND(#REF!,"AAAAAHu21BM=")</f>
        <v>#REF!</v>
      </c>
      <c r="U96" t="e">
        <f>AND(#REF!,"AAAAAHu21BQ=")</f>
        <v>#REF!</v>
      </c>
      <c r="V96" t="e">
        <f>AND(#REF!,"AAAAAHu21BU=")</f>
        <v>#REF!</v>
      </c>
      <c r="W96" t="e">
        <f>AND(#REF!,"AAAAAHu21BY=")</f>
        <v>#REF!</v>
      </c>
      <c r="X96" t="e">
        <f>AND(#REF!,"AAAAAHu21Bc=")</f>
        <v>#REF!</v>
      </c>
      <c r="Y96" t="e">
        <f>AND(#REF!,"AAAAAHu21Bg=")</f>
        <v>#REF!</v>
      </c>
      <c r="Z96" t="e">
        <f>AND(#REF!,"AAAAAHu21Bk=")</f>
        <v>#REF!</v>
      </c>
      <c r="AA96" t="e">
        <f>AND(#REF!,"AAAAAHu21Bo=")</f>
        <v>#REF!</v>
      </c>
      <c r="AB96" t="e">
        <f>AND(#REF!,"AAAAAHu21Bs=")</f>
        <v>#REF!</v>
      </c>
      <c r="AC96" t="e">
        <f>IF(#REF!,"AAAAAHu21Bw=",0)</f>
        <v>#REF!</v>
      </c>
      <c r="AD96" t="e">
        <f>AND(#REF!,"AAAAAHu21B0=")</f>
        <v>#REF!</v>
      </c>
      <c r="AE96" t="e">
        <f>AND(#REF!,"AAAAAHu21B4=")</f>
        <v>#REF!</v>
      </c>
      <c r="AF96" t="e">
        <f>AND(#REF!,"AAAAAHu21B8=")</f>
        <v>#REF!</v>
      </c>
      <c r="AG96" t="e">
        <f>AND(#REF!,"AAAAAHu21CA=")</f>
        <v>#REF!</v>
      </c>
      <c r="AH96" t="e">
        <f>AND(#REF!,"AAAAAHu21CE=")</f>
        <v>#REF!</v>
      </c>
      <c r="AI96" t="e">
        <f>AND(#REF!,"AAAAAHu21CI=")</f>
        <v>#REF!</v>
      </c>
      <c r="AJ96" t="e">
        <f>AND(#REF!,"AAAAAHu21CM=")</f>
        <v>#REF!</v>
      </c>
      <c r="AK96" t="e">
        <f>AND(#REF!,"AAAAAHu21CQ=")</f>
        <v>#REF!</v>
      </c>
      <c r="AL96" t="e">
        <f>AND(#REF!,"AAAAAHu21CU=")</f>
        <v>#REF!</v>
      </c>
      <c r="AM96" t="e">
        <f>AND(#REF!,"AAAAAHu21CY=")</f>
        <v>#REF!</v>
      </c>
      <c r="AN96" t="e">
        <f>IF(#REF!,"AAAAAHu21Cc=",0)</f>
        <v>#REF!</v>
      </c>
      <c r="AO96" t="e">
        <f>AND(#REF!,"AAAAAHu21Cg=")</f>
        <v>#REF!</v>
      </c>
      <c r="AP96" t="e">
        <f>AND(#REF!,"AAAAAHu21Ck=")</f>
        <v>#REF!</v>
      </c>
      <c r="AQ96" t="e">
        <f>AND(#REF!,"AAAAAHu21Co=")</f>
        <v>#REF!</v>
      </c>
      <c r="AR96" t="e">
        <f>AND(#REF!,"AAAAAHu21Cs=")</f>
        <v>#REF!</v>
      </c>
      <c r="AS96" t="e">
        <f>AND(#REF!,"AAAAAHu21Cw=")</f>
        <v>#REF!</v>
      </c>
      <c r="AT96" t="e">
        <f>AND(#REF!,"AAAAAHu21C0=")</f>
        <v>#REF!</v>
      </c>
      <c r="AU96" t="e">
        <f>AND(#REF!,"AAAAAHu21C4=")</f>
        <v>#REF!</v>
      </c>
      <c r="AV96" t="e">
        <f>AND(#REF!,"AAAAAHu21C8=")</f>
        <v>#REF!</v>
      </c>
      <c r="AW96" t="e">
        <f>AND(#REF!,"AAAAAHu21DA=")</f>
        <v>#REF!</v>
      </c>
      <c r="AX96" t="e">
        <f>AND(#REF!,"AAAAAHu21DE=")</f>
        <v>#REF!</v>
      </c>
      <c r="AY96" t="e">
        <f>IF(#REF!,"AAAAAHu21DI=",0)</f>
        <v>#REF!</v>
      </c>
      <c r="AZ96" t="e">
        <f>AND(#REF!,"AAAAAHu21DM=")</f>
        <v>#REF!</v>
      </c>
      <c r="BA96" t="e">
        <f>AND(#REF!,"AAAAAHu21DQ=")</f>
        <v>#REF!</v>
      </c>
      <c r="BB96" t="e">
        <f>AND(#REF!,"AAAAAHu21DU=")</f>
        <v>#REF!</v>
      </c>
      <c r="BC96" t="e">
        <f>AND(#REF!,"AAAAAHu21DY=")</f>
        <v>#REF!</v>
      </c>
      <c r="BD96" t="e">
        <f>AND(#REF!,"AAAAAHu21Dc=")</f>
        <v>#REF!</v>
      </c>
      <c r="BE96" t="e">
        <f>AND(#REF!,"AAAAAHu21Dg=")</f>
        <v>#REF!</v>
      </c>
      <c r="BF96" t="e">
        <f>AND(#REF!,"AAAAAHu21Dk=")</f>
        <v>#REF!</v>
      </c>
      <c r="BG96" t="e">
        <f>AND(#REF!,"AAAAAHu21Do=")</f>
        <v>#REF!</v>
      </c>
      <c r="BH96" t="e">
        <f>AND(#REF!,"AAAAAHu21Ds=")</f>
        <v>#REF!</v>
      </c>
      <c r="BI96" t="e">
        <f>AND(#REF!,"AAAAAHu21Dw=")</f>
        <v>#REF!</v>
      </c>
      <c r="BJ96" t="e">
        <f>IF(#REF!,"AAAAAHu21D0=",0)</f>
        <v>#REF!</v>
      </c>
      <c r="BK96" t="e">
        <f>AND(#REF!,"AAAAAHu21D4=")</f>
        <v>#REF!</v>
      </c>
      <c r="BL96" t="e">
        <f>AND(#REF!,"AAAAAHu21D8=")</f>
        <v>#REF!</v>
      </c>
      <c r="BM96" t="e">
        <f>AND(#REF!,"AAAAAHu21EA=")</f>
        <v>#REF!</v>
      </c>
      <c r="BN96" t="e">
        <f>AND(#REF!,"AAAAAHu21EE=")</f>
        <v>#REF!</v>
      </c>
      <c r="BO96" t="e">
        <f>AND(#REF!,"AAAAAHu21EI=")</f>
        <v>#REF!</v>
      </c>
      <c r="BP96" t="e">
        <f>AND(#REF!,"AAAAAHu21EM=")</f>
        <v>#REF!</v>
      </c>
      <c r="BQ96" t="e">
        <f>AND(#REF!,"AAAAAHu21EQ=")</f>
        <v>#REF!</v>
      </c>
      <c r="BR96" t="e">
        <f>AND(#REF!,"AAAAAHu21EU=")</f>
        <v>#REF!</v>
      </c>
      <c r="BS96" t="e">
        <f>AND(#REF!,"AAAAAHu21EY=")</f>
        <v>#REF!</v>
      </c>
      <c r="BT96" t="e">
        <f>AND(#REF!,"AAAAAHu21Ec=")</f>
        <v>#REF!</v>
      </c>
      <c r="BU96" t="e">
        <f>IF(#REF!,"AAAAAHu21Eg=",0)</f>
        <v>#REF!</v>
      </c>
      <c r="BV96" t="e">
        <f>AND(#REF!,"AAAAAHu21Ek=")</f>
        <v>#REF!</v>
      </c>
      <c r="BW96" t="e">
        <f>AND(#REF!,"AAAAAHu21Eo=")</f>
        <v>#REF!</v>
      </c>
      <c r="BX96" t="e">
        <f>AND(#REF!,"AAAAAHu21Es=")</f>
        <v>#REF!</v>
      </c>
      <c r="BY96" t="e">
        <f>AND(#REF!,"AAAAAHu21Ew=")</f>
        <v>#REF!</v>
      </c>
      <c r="BZ96" t="e">
        <f>AND(#REF!,"AAAAAHu21E0=")</f>
        <v>#REF!</v>
      </c>
      <c r="CA96" t="e">
        <f>AND(#REF!,"AAAAAHu21E4=")</f>
        <v>#REF!</v>
      </c>
      <c r="CB96" t="e">
        <f>AND(#REF!,"AAAAAHu21E8=")</f>
        <v>#REF!</v>
      </c>
      <c r="CC96" t="e">
        <f>AND(#REF!,"AAAAAHu21FA=")</f>
        <v>#REF!</v>
      </c>
      <c r="CD96" t="e">
        <f>AND(#REF!,"AAAAAHu21FE=")</f>
        <v>#REF!</v>
      </c>
      <c r="CE96" t="e">
        <f>AND(#REF!,"AAAAAHu21FI=")</f>
        <v>#REF!</v>
      </c>
      <c r="CF96" t="e">
        <f>IF(#REF!,"AAAAAHu21FM=",0)</f>
        <v>#REF!</v>
      </c>
      <c r="CG96" t="e">
        <f>AND(#REF!,"AAAAAHu21FQ=")</f>
        <v>#REF!</v>
      </c>
      <c r="CH96" t="e">
        <f>AND(#REF!,"AAAAAHu21FU=")</f>
        <v>#REF!</v>
      </c>
      <c r="CI96" t="e">
        <f>AND(#REF!,"AAAAAHu21FY=")</f>
        <v>#REF!</v>
      </c>
      <c r="CJ96" t="e">
        <f>AND(#REF!,"AAAAAHu21Fc=")</f>
        <v>#REF!</v>
      </c>
      <c r="CK96" t="e">
        <f>AND(#REF!,"AAAAAHu21Fg=")</f>
        <v>#REF!</v>
      </c>
      <c r="CL96" t="e">
        <f>AND(#REF!,"AAAAAHu21Fk=")</f>
        <v>#REF!</v>
      </c>
      <c r="CM96" t="e">
        <f>AND(#REF!,"AAAAAHu21Fo=")</f>
        <v>#REF!</v>
      </c>
      <c r="CN96" t="e">
        <f>AND(#REF!,"AAAAAHu21Fs=")</f>
        <v>#REF!</v>
      </c>
      <c r="CO96" t="e">
        <f>AND(#REF!,"AAAAAHu21Fw=")</f>
        <v>#REF!</v>
      </c>
      <c r="CP96" t="e">
        <f>AND(#REF!,"AAAAAHu21F0=")</f>
        <v>#REF!</v>
      </c>
      <c r="CQ96" t="e">
        <f>IF(#REF!,"AAAAAHu21F4=",0)</f>
        <v>#REF!</v>
      </c>
      <c r="CR96" t="e">
        <f>AND(#REF!,"AAAAAHu21F8=")</f>
        <v>#REF!</v>
      </c>
      <c r="CS96" t="e">
        <f>AND(#REF!,"AAAAAHu21GA=")</f>
        <v>#REF!</v>
      </c>
      <c r="CT96" t="e">
        <f>AND(#REF!,"AAAAAHu21GE=")</f>
        <v>#REF!</v>
      </c>
      <c r="CU96" t="e">
        <f>AND(#REF!,"AAAAAHu21GI=")</f>
        <v>#REF!</v>
      </c>
      <c r="CV96" t="e">
        <f>AND(#REF!,"AAAAAHu21GM=")</f>
        <v>#REF!</v>
      </c>
      <c r="CW96" t="e">
        <f>AND(#REF!,"AAAAAHu21GQ=")</f>
        <v>#REF!</v>
      </c>
      <c r="CX96" t="e">
        <f>AND(#REF!,"AAAAAHu21GU=")</f>
        <v>#REF!</v>
      </c>
      <c r="CY96" t="e">
        <f>AND(#REF!,"AAAAAHu21GY=")</f>
        <v>#REF!</v>
      </c>
      <c r="CZ96" t="e">
        <f>AND(#REF!,"AAAAAHu21Gc=")</f>
        <v>#REF!</v>
      </c>
      <c r="DA96" t="e">
        <f>AND(#REF!,"AAAAAHu21Gg=")</f>
        <v>#REF!</v>
      </c>
      <c r="DB96" t="e">
        <f>IF(#REF!,"AAAAAHu21Gk=",0)</f>
        <v>#REF!</v>
      </c>
      <c r="DC96" t="e">
        <f>AND(#REF!,"AAAAAHu21Go=")</f>
        <v>#REF!</v>
      </c>
      <c r="DD96" t="e">
        <f>AND(#REF!,"AAAAAHu21Gs=")</f>
        <v>#REF!</v>
      </c>
      <c r="DE96" t="e">
        <f>AND(#REF!,"AAAAAHu21Gw=")</f>
        <v>#REF!</v>
      </c>
      <c r="DF96" t="e">
        <f>AND(#REF!,"AAAAAHu21G0=")</f>
        <v>#REF!</v>
      </c>
      <c r="DG96" t="e">
        <f>AND(#REF!,"AAAAAHu21G4=")</f>
        <v>#REF!</v>
      </c>
      <c r="DH96" t="e">
        <f>AND(#REF!,"AAAAAHu21G8=")</f>
        <v>#REF!</v>
      </c>
      <c r="DI96" t="e">
        <f>AND(#REF!,"AAAAAHu21HA=")</f>
        <v>#REF!</v>
      </c>
      <c r="DJ96" t="e">
        <f>AND(#REF!,"AAAAAHu21HE=")</f>
        <v>#REF!</v>
      </c>
      <c r="DK96" t="e">
        <f>AND(#REF!,"AAAAAHu21HI=")</f>
        <v>#REF!</v>
      </c>
      <c r="DL96" t="e">
        <f>AND(#REF!,"AAAAAHu21HM=")</f>
        <v>#REF!</v>
      </c>
      <c r="DM96" t="e">
        <f>IF(#REF!,"AAAAAHu21HQ=",0)</f>
        <v>#REF!</v>
      </c>
      <c r="DN96" t="e">
        <f>AND(#REF!,"AAAAAHu21HU=")</f>
        <v>#REF!</v>
      </c>
      <c r="DO96" t="e">
        <f>AND(#REF!,"AAAAAHu21HY=")</f>
        <v>#REF!</v>
      </c>
      <c r="DP96" t="e">
        <f>AND(#REF!,"AAAAAHu21Hc=")</f>
        <v>#REF!</v>
      </c>
      <c r="DQ96" t="e">
        <f>AND(#REF!,"AAAAAHu21Hg=")</f>
        <v>#REF!</v>
      </c>
      <c r="DR96" t="e">
        <f>AND(#REF!,"AAAAAHu21Hk=")</f>
        <v>#REF!</v>
      </c>
      <c r="DS96" t="e">
        <f>AND(#REF!,"AAAAAHu21Ho=")</f>
        <v>#REF!</v>
      </c>
      <c r="DT96" t="e">
        <f>AND(#REF!,"AAAAAHu21Hs=")</f>
        <v>#REF!</v>
      </c>
      <c r="DU96" t="e">
        <f>AND(#REF!,"AAAAAHu21Hw=")</f>
        <v>#REF!</v>
      </c>
      <c r="DV96" t="e">
        <f>AND(#REF!,"AAAAAHu21H0=")</f>
        <v>#REF!</v>
      </c>
      <c r="DW96" t="e">
        <f>AND(#REF!,"AAAAAHu21H4=")</f>
        <v>#REF!</v>
      </c>
      <c r="DX96" t="e">
        <f>IF(#REF!,"AAAAAHu21H8=",0)</f>
        <v>#REF!</v>
      </c>
      <c r="DY96" t="e">
        <f>AND(#REF!,"AAAAAHu21IA=")</f>
        <v>#REF!</v>
      </c>
      <c r="DZ96" t="e">
        <f>AND(#REF!,"AAAAAHu21IE=")</f>
        <v>#REF!</v>
      </c>
      <c r="EA96" t="e">
        <f>AND(#REF!,"AAAAAHu21II=")</f>
        <v>#REF!</v>
      </c>
      <c r="EB96" t="e">
        <f>AND(#REF!,"AAAAAHu21IM=")</f>
        <v>#REF!</v>
      </c>
      <c r="EC96" t="e">
        <f>AND(#REF!,"AAAAAHu21IQ=")</f>
        <v>#REF!</v>
      </c>
      <c r="ED96" t="e">
        <f>AND(#REF!,"AAAAAHu21IU=")</f>
        <v>#REF!</v>
      </c>
      <c r="EE96" t="e">
        <f>AND(#REF!,"AAAAAHu21IY=")</f>
        <v>#REF!</v>
      </c>
      <c r="EF96" t="e">
        <f>AND(#REF!,"AAAAAHu21Ic=")</f>
        <v>#REF!</v>
      </c>
      <c r="EG96" t="e">
        <f>AND(#REF!,"AAAAAHu21Ig=")</f>
        <v>#REF!</v>
      </c>
      <c r="EH96" t="e">
        <f>AND(#REF!,"AAAAAHu21Ik=")</f>
        <v>#REF!</v>
      </c>
      <c r="EI96" t="e">
        <f>IF(#REF!,"AAAAAHu21Io=",0)</f>
        <v>#REF!</v>
      </c>
      <c r="EJ96" t="e">
        <f>AND(#REF!,"AAAAAHu21Is=")</f>
        <v>#REF!</v>
      </c>
      <c r="EK96" t="e">
        <f>AND(#REF!,"AAAAAHu21Iw=")</f>
        <v>#REF!</v>
      </c>
      <c r="EL96" t="e">
        <f>AND(#REF!,"AAAAAHu21I0=")</f>
        <v>#REF!</v>
      </c>
      <c r="EM96" t="e">
        <f>AND(#REF!,"AAAAAHu21I4=")</f>
        <v>#REF!</v>
      </c>
      <c r="EN96" t="e">
        <f>AND(#REF!,"AAAAAHu21I8=")</f>
        <v>#REF!</v>
      </c>
      <c r="EO96" t="e">
        <f>AND(#REF!,"AAAAAHu21JA=")</f>
        <v>#REF!</v>
      </c>
      <c r="EP96" t="e">
        <f>AND(#REF!,"AAAAAHu21JE=")</f>
        <v>#REF!</v>
      </c>
      <c r="EQ96" t="e">
        <f>AND(#REF!,"AAAAAHu21JI=")</f>
        <v>#REF!</v>
      </c>
      <c r="ER96" t="e">
        <f>AND(#REF!,"AAAAAHu21JM=")</f>
        <v>#REF!</v>
      </c>
      <c r="ES96" t="e">
        <f>AND(#REF!,"AAAAAHu21JQ=")</f>
        <v>#REF!</v>
      </c>
      <c r="ET96" t="e">
        <f>IF(#REF!,"AAAAAHu21JU=",0)</f>
        <v>#REF!</v>
      </c>
      <c r="EU96" t="e">
        <f>AND(#REF!,"AAAAAHu21JY=")</f>
        <v>#REF!</v>
      </c>
      <c r="EV96" t="e">
        <f>AND(#REF!,"AAAAAHu21Jc=")</f>
        <v>#REF!</v>
      </c>
      <c r="EW96" t="e">
        <f>AND(#REF!,"AAAAAHu21Jg=")</f>
        <v>#REF!</v>
      </c>
      <c r="EX96" t="e">
        <f>AND(#REF!,"AAAAAHu21Jk=")</f>
        <v>#REF!</v>
      </c>
      <c r="EY96" t="e">
        <f>AND(#REF!,"AAAAAHu21Jo=")</f>
        <v>#REF!</v>
      </c>
      <c r="EZ96" t="e">
        <f>AND(#REF!,"AAAAAHu21Js=")</f>
        <v>#REF!</v>
      </c>
      <c r="FA96" t="e">
        <f>AND(#REF!,"AAAAAHu21Jw=")</f>
        <v>#REF!</v>
      </c>
      <c r="FB96" t="e">
        <f>AND(#REF!,"AAAAAHu21J0=")</f>
        <v>#REF!</v>
      </c>
      <c r="FC96" t="e">
        <f>AND(#REF!,"AAAAAHu21J4=")</f>
        <v>#REF!</v>
      </c>
      <c r="FD96" t="e">
        <f>AND(#REF!,"AAAAAHu21J8=")</f>
        <v>#REF!</v>
      </c>
      <c r="FE96" t="e">
        <f>IF(#REF!,"AAAAAHu21KA=",0)</f>
        <v>#REF!</v>
      </c>
      <c r="FF96" t="e">
        <f>AND(#REF!,"AAAAAHu21KE=")</f>
        <v>#REF!</v>
      </c>
      <c r="FG96" t="e">
        <f>AND(#REF!,"AAAAAHu21KI=")</f>
        <v>#REF!</v>
      </c>
      <c r="FH96" t="e">
        <f>AND(#REF!,"AAAAAHu21KM=")</f>
        <v>#REF!</v>
      </c>
      <c r="FI96" t="e">
        <f>AND(#REF!,"AAAAAHu21KQ=")</f>
        <v>#REF!</v>
      </c>
      <c r="FJ96" t="e">
        <f>AND(#REF!,"AAAAAHu21KU=")</f>
        <v>#REF!</v>
      </c>
      <c r="FK96" t="e">
        <f>AND(#REF!,"AAAAAHu21KY=")</f>
        <v>#REF!</v>
      </c>
      <c r="FL96" t="e">
        <f>AND(#REF!,"AAAAAHu21Kc=")</f>
        <v>#REF!</v>
      </c>
      <c r="FM96" t="e">
        <f>AND(#REF!,"AAAAAHu21Kg=")</f>
        <v>#REF!</v>
      </c>
      <c r="FN96" t="e">
        <f>AND(#REF!,"AAAAAHu21Kk=")</f>
        <v>#REF!</v>
      </c>
      <c r="FO96" t="e">
        <f>AND(#REF!,"AAAAAHu21Ko=")</f>
        <v>#REF!</v>
      </c>
      <c r="FP96" t="e">
        <f>IF(#REF!,"AAAAAHu21Ks=",0)</f>
        <v>#REF!</v>
      </c>
      <c r="FQ96" t="e">
        <f>AND(#REF!,"AAAAAHu21Kw=")</f>
        <v>#REF!</v>
      </c>
      <c r="FR96" t="e">
        <f>AND(#REF!,"AAAAAHu21K0=")</f>
        <v>#REF!</v>
      </c>
      <c r="FS96" t="e">
        <f>AND(#REF!,"AAAAAHu21K4=")</f>
        <v>#REF!</v>
      </c>
      <c r="FT96" t="e">
        <f>AND(#REF!,"AAAAAHu21K8=")</f>
        <v>#REF!</v>
      </c>
      <c r="FU96" t="e">
        <f>AND(#REF!,"AAAAAHu21LA=")</f>
        <v>#REF!</v>
      </c>
      <c r="FV96" t="e">
        <f>AND(#REF!,"AAAAAHu21LE=")</f>
        <v>#REF!</v>
      </c>
      <c r="FW96" t="e">
        <f>AND(#REF!,"AAAAAHu21LI=")</f>
        <v>#REF!</v>
      </c>
      <c r="FX96" t="e">
        <f>AND(#REF!,"AAAAAHu21LM=")</f>
        <v>#REF!</v>
      </c>
      <c r="FY96" t="e">
        <f>AND(#REF!,"AAAAAHu21LQ=")</f>
        <v>#REF!</v>
      </c>
      <c r="FZ96" t="e">
        <f>AND(#REF!,"AAAAAHu21LU=")</f>
        <v>#REF!</v>
      </c>
      <c r="GA96" t="e">
        <f>IF(#REF!,"AAAAAHu21LY=",0)</f>
        <v>#REF!</v>
      </c>
      <c r="GB96" t="e">
        <f>AND(#REF!,"AAAAAHu21Lc=")</f>
        <v>#REF!</v>
      </c>
      <c r="GC96" t="e">
        <f>AND(#REF!,"AAAAAHu21Lg=")</f>
        <v>#REF!</v>
      </c>
      <c r="GD96" t="e">
        <f>AND(#REF!,"AAAAAHu21Lk=")</f>
        <v>#REF!</v>
      </c>
      <c r="GE96" t="e">
        <f>AND(#REF!,"AAAAAHu21Lo=")</f>
        <v>#REF!</v>
      </c>
      <c r="GF96" t="e">
        <f>AND(#REF!,"AAAAAHu21Ls=")</f>
        <v>#REF!</v>
      </c>
      <c r="GG96" t="e">
        <f>AND(#REF!,"AAAAAHu21Lw=")</f>
        <v>#REF!</v>
      </c>
      <c r="GH96" t="e">
        <f>AND(#REF!,"AAAAAHu21L0=")</f>
        <v>#REF!</v>
      </c>
      <c r="GI96" t="e">
        <f>AND(#REF!,"AAAAAHu21L4=")</f>
        <v>#REF!</v>
      </c>
      <c r="GJ96" t="e">
        <f>AND(#REF!,"AAAAAHu21L8=")</f>
        <v>#REF!</v>
      </c>
      <c r="GK96" t="e">
        <f>AND(#REF!,"AAAAAHu21MA=")</f>
        <v>#REF!</v>
      </c>
      <c r="GL96" t="e">
        <f>IF(#REF!,"AAAAAHu21ME=",0)</f>
        <v>#REF!</v>
      </c>
      <c r="GM96" t="e">
        <f>AND(#REF!,"AAAAAHu21MI=")</f>
        <v>#REF!</v>
      </c>
      <c r="GN96" t="e">
        <f>AND(#REF!,"AAAAAHu21MM=")</f>
        <v>#REF!</v>
      </c>
      <c r="GO96" t="e">
        <f>AND(#REF!,"AAAAAHu21MQ=")</f>
        <v>#REF!</v>
      </c>
      <c r="GP96" t="e">
        <f>AND(#REF!,"AAAAAHu21MU=")</f>
        <v>#REF!</v>
      </c>
      <c r="GQ96" t="e">
        <f>AND(#REF!,"AAAAAHu21MY=")</f>
        <v>#REF!</v>
      </c>
      <c r="GR96" t="e">
        <f>AND(#REF!,"AAAAAHu21Mc=")</f>
        <v>#REF!</v>
      </c>
      <c r="GS96" t="e">
        <f>AND(#REF!,"AAAAAHu21Mg=")</f>
        <v>#REF!</v>
      </c>
      <c r="GT96" t="e">
        <f>AND(#REF!,"AAAAAHu21Mk=")</f>
        <v>#REF!</v>
      </c>
      <c r="GU96" t="e">
        <f>AND(#REF!,"AAAAAHu21Mo=")</f>
        <v>#REF!</v>
      </c>
      <c r="GV96" t="e">
        <f>AND(#REF!,"AAAAAHu21Ms=")</f>
        <v>#REF!</v>
      </c>
      <c r="GW96" t="e">
        <f>IF(#REF!,"AAAAAHu21Mw=",0)</f>
        <v>#REF!</v>
      </c>
      <c r="GX96" t="e">
        <f>AND(#REF!,"AAAAAHu21M0=")</f>
        <v>#REF!</v>
      </c>
      <c r="GY96" t="e">
        <f>AND(#REF!,"AAAAAHu21M4=")</f>
        <v>#REF!</v>
      </c>
      <c r="GZ96" t="e">
        <f>AND(#REF!,"AAAAAHu21M8=")</f>
        <v>#REF!</v>
      </c>
      <c r="HA96" t="e">
        <f>AND(#REF!,"AAAAAHu21NA=")</f>
        <v>#REF!</v>
      </c>
      <c r="HB96" t="e">
        <f>AND(#REF!,"AAAAAHu21NE=")</f>
        <v>#REF!</v>
      </c>
      <c r="HC96" t="e">
        <f>AND(#REF!,"AAAAAHu21NI=")</f>
        <v>#REF!</v>
      </c>
      <c r="HD96" t="e">
        <f>AND(#REF!,"AAAAAHu21NM=")</f>
        <v>#REF!</v>
      </c>
      <c r="HE96" t="e">
        <f>AND(#REF!,"AAAAAHu21NQ=")</f>
        <v>#REF!</v>
      </c>
      <c r="HF96" t="e">
        <f>AND(#REF!,"AAAAAHu21NU=")</f>
        <v>#REF!</v>
      </c>
      <c r="HG96" t="e">
        <f>AND(#REF!,"AAAAAHu21NY=")</f>
        <v>#REF!</v>
      </c>
      <c r="HH96" t="e">
        <f>IF(#REF!,"AAAAAHu21Nc=",0)</f>
        <v>#REF!</v>
      </c>
      <c r="HI96" t="e">
        <f>AND(#REF!,"AAAAAHu21Ng=")</f>
        <v>#REF!</v>
      </c>
      <c r="HJ96" t="e">
        <f>AND(#REF!,"AAAAAHu21Nk=")</f>
        <v>#REF!</v>
      </c>
      <c r="HK96" t="e">
        <f>AND(#REF!,"AAAAAHu21No=")</f>
        <v>#REF!</v>
      </c>
      <c r="HL96" t="e">
        <f>AND(#REF!,"AAAAAHu21Ns=")</f>
        <v>#REF!</v>
      </c>
      <c r="HM96" t="e">
        <f>AND(#REF!,"AAAAAHu21Nw=")</f>
        <v>#REF!</v>
      </c>
      <c r="HN96" t="e">
        <f>AND(#REF!,"AAAAAHu21N0=")</f>
        <v>#REF!</v>
      </c>
      <c r="HO96" t="e">
        <f>AND(#REF!,"AAAAAHu21N4=")</f>
        <v>#REF!</v>
      </c>
      <c r="HP96" t="e">
        <f>AND(#REF!,"AAAAAHu21N8=")</f>
        <v>#REF!</v>
      </c>
      <c r="HQ96" t="e">
        <f>AND(#REF!,"AAAAAHu21OA=")</f>
        <v>#REF!</v>
      </c>
      <c r="HR96" t="e">
        <f>AND(#REF!,"AAAAAHu21OE=")</f>
        <v>#REF!</v>
      </c>
      <c r="HS96" t="e">
        <f>IF(#REF!,"AAAAAHu21OI=",0)</f>
        <v>#REF!</v>
      </c>
      <c r="HT96" t="e">
        <f>AND(#REF!,"AAAAAHu21OM=")</f>
        <v>#REF!</v>
      </c>
      <c r="HU96" t="e">
        <f>AND(#REF!,"AAAAAHu21OQ=")</f>
        <v>#REF!</v>
      </c>
      <c r="HV96" t="e">
        <f>AND(#REF!,"AAAAAHu21OU=")</f>
        <v>#REF!</v>
      </c>
      <c r="HW96" t="e">
        <f>AND(#REF!,"AAAAAHu21OY=")</f>
        <v>#REF!</v>
      </c>
      <c r="HX96" t="e">
        <f>AND(#REF!,"AAAAAHu21Oc=")</f>
        <v>#REF!</v>
      </c>
      <c r="HY96" t="e">
        <f>AND(#REF!,"AAAAAHu21Og=")</f>
        <v>#REF!</v>
      </c>
      <c r="HZ96" t="e">
        <f>AND(#REF!,"AAAAAHu21Ok=")</f>
        <v>#REF!</v>
      </c>
      <c r="IA96" t="e">
        <f>AND(#REF!,"AAAAAHu21Oo=")</f>
        <v>#REF!</v>
      </c>
      <c r="IB96" t="e">
        <f>AND(#REF!,"AAAAAHu21Os=")</f>
        <v>#REF!</v>
      </c>
      <c r="IC96" t="e">
        <f>AND(#REF!,"AAAAAHu21Ow=")</f>
        <v>#REF!</v>
      </c>
      <c r="ID96" t="e">
        <f>IF(#REF!,"AAAAAHu21O0=",0)</f>
        <v>#REF!</v>
      </c>
      <c r="IE96" t="e">
        <f>AND(#REF!,"AAAAAHu21O4=")</f>
        <v>#REF!</v>
      </c>
      <c r="IF96" t="e">
        <f>AND(#REF!,"AAAAAHu21O8=")</f>
        <v>#REF!</v>
      </c>
      <c r="IG96" t="e">
        <f>AND(#REF!,"AAAAAHu21PA=")</f>
        <v>#REF!</v>
      </c>
      <c r="IH96" t="e">
        <f>AND(#REF!,"AAAAAHu21PE=")</f>
        <v>#REF!</v>
      </c>
      <c r="II96" t="e">
        <f>AND(#REF!,"AAAAAHu21PI=")</f>
        <v>#REF!</v>
      </c>
      <c r="IJ96" t="e">
        <f>AND(#REF!,"AAAAAHu21PM=")</f>
        <v>#REF!</v>
      </c>
      <c r="IK96" t="e">
        <f>AND(#REF!,"AAAAAHu21PQ=")</f>
        <v>#REF!</v>
      </c>
      <c r="IL96" t="e">
        <f>AND(#REF!,"AAAAAHu21PU=")</f>
        <v>#REF!</v>
      </c>
      <c r="IM96" t="e">
        <f>AND(#REF!,"AAAAAHu21PY=")</f>
        <v>#REF!</v>
      </c>
      <c r="IN96" t="e">
        <f>AND(#REF!,"AAAAAHu21Pc=")</f>
        <v>#REF!</v>
      </c>
      <c r="IO96" t="e">
        <f>IF(#REF!,"AAAAAHu21Pg=",0)</f>
        <v>#REF!</v>
      </c>
      <c r="IP96" t="e">
        <f>AND(#REF!,"AAAAAHu21Pk=")</f>
        <v>#REF!</v>
      </c>
      <c r="IQ96" t="e">
        <f>AND(#REF!,"AAAAAHu21Po=")</f>
        <v>#REF!</v>
      </c>
      <c r="IR96" t="e">
        <f>AND(#REF!,"AAAAAHu21Ps=")</f>
        <v>#REF!</v>
      </c>
      <c r="IS96" t="e">
        <f>AND(#REF!,"AAAAAHu21Pw=")</f>
        <v>#REF!</v>
      </c>
      <c r="IT96" t="e">
        <f>AND(#REF!,"AAAAAHu21P0=")</f>
        <v>#REF!</v>
      </c>
      <c r="IU96" t="e">
        <f>AND(#REF!,"AAAAAHu21P4=")</f>
        <v>#REF!</v>
      </c>
      <c r="IV96" t="e">
        <f>AND(#REF!,"AAAAAHu21P8=")</f>
        <v>#REF!</v>
      </c>
    </row>
    <row r="97" spans="1:256" x14ac:dyDescent="0.25">
      <c r="A97" t="e">
        <f>AND(#REF!,"AAAAACTr/QA=")</f>
        <v>#REF!</v>
      </c>
      <c r="B97" t="e">
        <f>AND(#REF!,"AAAAACTr/QE=")</f>
        <v>#REF!</v>
      </c>
      <c r="C97" t="e">
        <f>AND(#REF!,"AAAAACTr/QI=")</f>
        <v>#REF!</v>
      </c>
      <c r="D97" t="e">
        <f>IF(#REF!,"AAAAACTr/QM=",0)</f>
        <v>#REF!</v>
      </c>
      <c r="E97" t="e">
        <f>AND(#REF!,"AAAAACTr/QQ=")</f>
        <v>#REF!</v>
      </c>
      <c r="F97" t="e">
        <f>AND(#REF!,"AAAAACTr/QU=")</f>
        <v>#REF!</v>
      </c>
      <c r="G97" t="e">
        <f>AND(#REF!,"AAAAACTr/QY=")</f>
        <v>#REF!</v>
      </c>
      <c r="H97" t="e">
        <f>AND(#REF!,"AAAAACTr/Qc=")</f>
        <v>#REF!</v>
      </c>
      <c r="I97" t="e">
        <f>AND(#REF!,"AAAAACTr/Qg=")</f>
        <v>#REF!</v>
      </c>
      <c r="J97" t="e">
        <f>AND(#REF!,"AAAAACTr/Qk=")</f>
        <v>#REF!</v>
      </c>
      <c r="K97" t="e">
        <f>AND(#REF!,"AAAAACTr/Qo=")</f>
        <v>#REF!</v>
      </c>
      <c r="L97" t="e">
        <f>AND(#REF!,"AAAAACTr/Qs=")</f>
        <v>#REF!</v>
      </c>
      <c r="M97" t="e">
        <f>AND(#REF!,"AAAAACTr/Qw=")</f>
        <v>#REF!</v>
      </c>
      <c r="N97" t="e">
        <f>AND(#REF!,"AAAAACTr/Q0=")</f>
        <v>#REF!</v>
      </c>
      <c r="O97" t="e">
        <f>IF(#REF!,"AAAAACTr/Q4=",0)</f>
        <v>#REF!</v>
      </c>
      <c r="P97" t="e">
        <f>AND(#REF!,"AAAAACTr/Q8=")</f>
        <v>#REF!</v>
      </c>
      <c r="Q97" t="e">
        <f>AND(#REF!,"AAAAACTr/RA=")</f>
        <v>#REF!</v>
      </c>
      <c r="R97" t="e">
        <f>AND(#REF!,"AAAAACTr/RE=")</f>
        <v>#REF!</v>
      </c>
      <c r="S97" t="e">
        <f>AND(#REF!,"AAAAACTr/RI=")</f>
        <v>#REF!</v>
      </c>
      <c r="T97" t="e">
        <f>AND(#REF!,"AAAAACTr/RM=")</f>
        <v>#REF!</v>
      </c>
      <c r="U97" t="e">
        <f>AND(#REF!,"AAAAACTr/RQ=")</f>
        <v>#REF!</v>
      </c>
      <c r="V97" t="e">
        <f>AND(#REF!,"AAAAACTr/RU=")</f>
        <v>#REF!</v>
      </c>
      <c r="W97" t="e">
        <f>AND(#REF!,"AAAAACTr/RY=")</f>
        <v>#REF!</v>
      </c>
      <c r="X97" t="e">
        <f>AND(#REF!,"AAAAACTr/Rc=")</f>
        <v>#REF!</v>
      </c>
      <c r="Y97" t="e">
        <f>AND(#REF!,"AAAAACTr/Rg=")</f>
        <v>#REF!</v>
      </c>
      <c r="Z97" t="e">
        <f>IF(#REF!,"AAAAACTr/Rk=",0)</f>
        <v>#REF!</v>
      </c>
      <c r="AA97" t="e">
        <f>AND(#REF!,"AAAAACTr/Ro=")</f>
        <v>#REF!</v>
      </c>
      <c r="AB97" t="e">
        <f>AND(#REF!,"AAAAACTr/Rs=")</f>
        <v>#REF!</v>
      </c>
      <c r="AC97" t="e">
        <f>AND(#REF!,"AAAAACTr/Rw=")</f>
        <v>#REF!</v>
      </c>
      <c r="AD97" t="e">
        <f>AND(#REF!,"AAAAACTr/R0=")</f>
        <v>#REF!</v>
      </c>
      <c r="AE97" t="e">
        <f>AND(#REF!,"AAAAACTr/R4=")</f>
        <v>#REF!</v>
      </c>
      <c r="AF97" t="e">
        <f>AND(#REF!,"AAAAACTr/R8=")</f>
        <v>#REF!</v>
      </c>
      <c r="AG97" t="e">
        <f>AND(#REF!,"AAAAACTr/SA=")</f>
        <v>#REF!</v>
      </c>
      <c r="AH97" t="e">
        <f>AND(#REF!,"AAAAACTr/SE=")</f>
        <v>#REF!</v>
      </c>
      <c r="AI97" t="e">
        <f>AND(#REF!,"AAAAACTr/SI=")</f>
        <v>#REF!</v>
      </c>
      <c r="AJ97" t="e">
        <f>AND(#REF!,"AAAAACTr/SM=")</f>
        <v>#REF!</v>
      </c>
      <c r="AK97" t="e">
        <f>IF(#REF!,"AAAAACTr/SQ=",0)</f>
        <v>#REF!</v>
      </c>
      <c r="AL97" t="e">
        <f>AND(#REF!,"AAAAACTr/SU=")</f>
        <v>#REF!</v>
      </c>
      <c r="AM97" t="e">
        <f>AND(#REF!,"AAAAACTr/SY=")</f>
        <v>#REF!</v>
      </c>
      <c r="AN97" t="e">
        <f>AND(#REF!,"AAAAACTr/Sc=")</f>
        <v>#REF!</v>
      </c>
      <c r="AO97" t="e">
        <f>AND(#REF!,"AAAAACTr/Sg=")</f>
        <v>#REF!</v>
      </c>
      <c r="AP97" t="e">
        <f>AND(#REF!,"AAAAACTr/Sk=")</f>
        <v>#REF!</v>
      </c>
      <c r="AQ97" t="e">
        <f>AND(#REF!,"AAAAACTr/So=")</f>
        <v>#REF!</v>
      </c>
      <c r="AR97" t="e">
        <f>AND(#REF!,"AAAAACTr/Ss=")</f>
        <v>#REF!</v>
      </c>
      <c r="AS97" t="e">
        <f>AND(#REF!,"AAAAACTr/Sw=")</f>
        <v>#REF!</v>
      </c>
      <c r="AT97" t="e">
        <f>AND(#REF!,"AAAAACTr/S0=")</f>
        <v>#REF!</v>
      </c>
      <c r="AU97" t="e">
        <f>AND(#REF!,"AAAAACTr/S4=")</f>
        <v>#REF!</v>
      </c>
      <c r="AV97" t="e">
        <f>IF(#REF!,"AAAAACTr/S8=",0)</f>
        <v>#REF!</v>
      </c>
      <c r="AW97" t="e">
        <f>AND(#REF!,"AAAAACTr/TA=")</f>
        <v>#REF!</v>
      </c>
      <c r="AX97" t="e">
        <f>AND(#REF!,"AAAAACTr/TE=")</f>
        <v>#REF!</v>
      </c>
      <c r="AY97" t="e">
        <f>AND(#REF!,"AAAAACTr/TI=")</f>
        <v>#REF!</v>
      </c>
      <c r="AZ97" t="e">
        <f>AND(#REF!,"AAAAACTr/TM=")</f>
        <v>#REF!</v>
      </c>
      <c r="BA97" t="e">
        <f>AND(#REF!,"AAAAACTr/TQ=")</f>
        <v>#REF!</v>
      </c>
      <c r="BB97" t="e">
        <f>AND(#REF!,"AAAAACTr/TU=")</f>
        <v>#REF!</v>
      </c>
      <c r="BC97" t="e">
        <f>AND(#REF!,"AAAAACTr/TY=")</f>
        <v>#REF!</v>
      </c>
      <c r="BD97" t="e">
        <f>AND(#REF!,"AAAAACTr/Tc=")</f>
        <v>#REF!</v>
      </c>
      <c r="BE97" t="e">
        <f>AND(#REF!,"AAAAACTr/Tg=")</f>
        <v>#REF!</v>
      </c>
      <c r="BF97" t="e">
        <f>AND(#REF!,"AAAAACTr/Tk=")</f>
        <v>#REF!</v>
      </c>
      <c r="BG97" t="e">
        <f>IF(#REF!,"AAAAACTr/To=",0)</f>
        <v>#REF!</v>
      </c>
      <c r="BH97" t="e">
        <f>AND(#REF!,"AAAAACTr/Ts=")</f>
        <v>#REF!</v>
      </c>
      <c r="BI97" t="e">
        <f>AND(#REF!,"AAAAACTr/Tw=")</f>
        <v>#REF!</v>
      </c>
      <c r="BJ97" t="e">
        <f>AND(#REF!,"AAAAACTr/T0=")</f>
        <v>#REF!</v>
      </c>
      <c r="BK97" t="e">
        <f>AND(#REF!,"AAAAACTr/T4=")</f>
        <v>#REF!</v>
      </c>
      <c r="BL97" t="e">
        <f>AND(#REF!,"AAAAACTr/T8=")</f>
        <v>#REF!</v>
      </c>
      <c r="BM97" t="e">
        <f>AND(#REF!,"AAAAACTr/UA=")</f>
        <v>#REF!</v>
      </c>
      <c r="BN97" t="e">
        <f>AND(#REF!,"AAAAACTr/UE=")</f>
        <v>#REF!</v>
      </c>
      <c r="BO97" t="e">
        <f>AND(#REF!,"AAAAACTr/UI=")</f>
        <v>#REF!</v>
      </c>
      <c r="BP97" t="e">
        <f>AND(#REF!,"AAAAACTr/UM=")</f>
        <v>#REF!</v>
      </c>
      <c r="BQ97" t="e">
        <f>AND(#REF!,"AAAAACTr/UQ=")</f>
        <v>#REF!</v>
      </c>
      <c r="BR97" t="e">
        <f>IF(#REF!,"AAAAACTr/UU=",0)</f>
        <v>#REF!</v>
      </c>
      <c r="BS97" t="e">
        <f>AND(#REF!,"AAAAACTr/UY=")</f>
        <v>#REF!</v>
      </c>
      <c r="BT97" t="e">
        <f>AND(#REF!,"AAAAACTr/Uc=")</f>
        <v>#REF!</v>
      </c>
      <c r="BU97" t="e">
        <f>AND(#REF!,"AAAAACTr/Ug=")</f>
        <v>#REF!</v>
      </c>
      <c r="BV97" t="e">
        <f>AND(#REF!,"AAAAACTr/Uk=")</f>
        <v>#REF!</v>
      </c>
      <c r="BW97" t="e">
        <f>AND(#REF!,"AAAAACTr/Uo=")</f>
        <v>#REF!</v>
      </c>
      <c r="BX97" t="e">
        <f>AND(#REF!,"AAAAACTr/Us=")</f>
        <v>#REF!</v>
      </c>
      <c r="BY97" t="e">
        <f>AND(#REF!,"AAAAACTr/Uw=")</f>
        <v>#REF!</v>
      </c>
      <c r="BZ97" t="e">
        <f>AND(#REF!,"AAAAACTr/U0=")</f>
        <v>#REF!</v>
      </c>
      <c r="CA97" t="e">
        <f>AND(#REF!,"AAAAACTr/U4=")</f>
        <v>#REF!</v>
      </c>
      <c r="CB97" t="e">
        <f>AND(#REF!,"AAAAACTr/U8=")</f>
        <v>#REF!</v>
      </c>
      <c r="CC97" t="e">
        <f>IF(#REF!,"AAAAACTr/VA=",0)</f>
        <v>#REF!</v>
      </c>
      <c r="CD97" t="e">
        <f>AND(#REF!,"AAAAACTr/VE=")</f>
        <v>#REF!</v>
      </c>
      <c r="CE97" t="e">
        <f>AND(#REF!,"AAAAACTr/VI=")</f>
        <v>#REF!</v>
      </c>
      <c r="CF97" t="e">
        <f>AND(#REF!,"AAAAACTr/VM=")</f>
        <v>#REF!</v>
      </c>
      <c r="CG97" t="e">
        <f>AND(#REF!,"AAAAACTr/VQ=")</f>
        <v>#REF!</v>
      </c>
      <c r="CH97" t="e">
        <f>AND(#REF!,"AAAAACTr/VU=")</f>
        <v>#REF!</v>
      </c>
      <c r="CI97" t="e">
        <f>AND(#REF!,"AAAAACTr/VY=")</f>
        <v>#REF!</v>
      </c>
      <c r="CJ97" t="e">
        <f>AND(#REF!,"AAAAACTr/Vc=")</f>
        <v>#REF!</v>
      </c>
      <c r="CK97" t="e">
        <f>AND(#REF!,"AAAAACTr/Vg=")</f>
        <v>#REF!</v>
      </c>
      <c r="CL97" t="e">
        <f>AND(#REF!,"AAAAACTr/Vk=")</f>
        <v>#REF!</v>
      </c>
      <c r="CM97" t="e">
        <f>AND(#REF!,"AAAAACTr/Vo=")</f>
        <v>#REF!</v>
      </c>
      <c r="CN97" t="e">
        <f>IF(#REF!,"AAAAACTr/Vs=",0)</f>
        <v>#REF!</v>
      </c>
      <c r="CO97" t="e">
        <f>AND(#REF!,"AAAAACTr/Vw=")</f>
        <v>#REF!</v>
      </c>
      <c r="CP97" t="e">
        <f>AND(#REF!,"AAAAACTr/V0=")</f>
        <v>#REF!</v>
      </c>
      <c r="CQ97" t="e">
        <f>AND(#REF!,"AAAAACTr/V4=")</f>
        <v>#REF!</v>
      </c>
      <c r="CR97" t="e">
        <f>AND(#REF!,"AAAAACTr/V8=")</f>
        <v>#REF!</v>
      </c>
      <c r="CS97" t="e">
        <f>AND(#REF!,"AAAAACTr/WA=")</f>
        <v>#REF!</v>
      </c>
      <c r="CT97" t="e">
        <f>AND(#REF!,"AAAAACTr/WE=")</f>
        <v>#REF!</v>
      </c>
      <c r="CU97" t="e">
        <f>AND(#REF!,"AAAAACTr/WI=")</f>
        <v>#REF!</v>
      </c>
      <c r="CV97" t="e">
        <f>AND(#REF!,"AAAAACTr/WM=")</f>
        <v>#REF!</v>
      </c>
      <c r="CW97" t="e">
        <f>AND(#REF!,"AAAAACTr/WQ=")</f>
        <v>#REF!</v>
      </c>
      <c r="CX97" t="e">
        <f>AND(#REF!,"AAAAACTr/WU=")</f>
        <v>#REF!</v>
      </c>
      <c r="CY97" t="e">
        <f>IF(#REF!,"AAAAACTr/WY=",0)</f>
        <v>#REF!</v>
      </c>
      <c r="CZ97" t="e">
        <f>AND(#REF!,"AAAAACTr/Wc=")</f>
        <v>#REF!</v>
      </c>
      <c r="DA97" t="e">
        <f>AND(#REF!,"AAAAACTr/Wg=")</f>
        <v>#REF!</v>
      </c>
      <c r="DB97" t="e">
        <f>AND(#REF!,"AAAAACTr/Wk=")</f>
        <v>#REF!</v>
      </c>
      <c r="DC97" t="e">
        <f>AND(#REF!,"AAAAACTr/Wo=")</f>
        <v>#REF!</v>
      </c>
      <c r="DD97" t="e">
        <f>AND(#REF!,"AAAAACTr/Ws=")</f>
        <v>#REF!</v>
      </c>
      <c r="DE97" t="e">
        <f>AND(#REF!,"AAAAACTr/Ww=")</f>
        <v>#REF!</v>
      </c>
      <c r="DF97" t="e">
        <f>AND(#REF!,"AAAAACTr/W0=")</f>
        <v>#REF!</v>
      </c>
      <c r="DG97" t="e">
        <f>AND(#REF!,"AAAAACTr/W4=")</f>
        <v>#REF!</v>
      </c>
      <c r="DH97" t="e">
        <f>AND(#REF!,"AAAAACTr/W8=")</f>
        <v>#REF!</v>
      </c>
      <c r="DI97" t="e">
        <f>AND(#REF!,"AAAAACTr/XA=")</f>
        <v>#REF!</v>
      </c>
      <c r="DJ97" t="e">
        <f>IF(#REF!,"AAAAACTr/XE=",0)</f>
        <v>#REF!</v>
      </c>
      <c r="DK97" t="e">
        <f>AND(#REF!,"AAAAACTr/XI=")</f>
        <v>#REF!</v>
      </c>
      <c r="DL97" t="e">
        <f>AND(#REF!,"AAAAACTr/XM=")</f>
        <v>#REF!</v>
      </c>
      <c r="DM97" t="e">
        <f>AND(#REF!,"AAAAACTr/XQ=")</f>
        <v>#REF!</v>
      </c>
      <c r="DN97" t="e">
        <f>AND(#REF!,"AAAAACTr/XU=")</f>
        <v>#REF!</v>
      </c>
      <c r="DO97" t="e">
        <f>AND(#REF!,"AAAAACTr/XY=")</f>
        <v>#REF!</v>
      </c>
      <c r="DP97" t="e">
        <f>AND(#REF!,"AAAAACTr/Xc=")</f>
        <v>#REF!</v>
      </c>
      <c r="DQ97" t="e">
        <f>AND(#REF!,"AAAAACTr/Xg=")</f>
        <v>#REF!</v>
      </c>
      <c r="DR97" t="e">
        <f>AND(#REF!,"AAAAACTr/Xk=")</f>
        <v>#REF!</v>
      </c>
      <c r="DS97" t="e">
        <f>AND(#REF!,"AAAAACTr/Xo=")</f>
        <v>#REF!</v>
      </c>
      <c r="DT97" t="e">
        <f>AND(#REF!,"AAAAACTr/Xs=")</f>
        <v>#REF!</v>
      </c>
      <c r="DU97" t="e">
        <f>IF(#REF!,"AAAAACTr/Xw=",0)</f>
        <v>#REF!</v>
      </c>
      <c r="DV97" t="e">
        <f>AND(#REF!,"AAAAACTr/X0=")</f>
        <v>#REF!</v>
      </c>
      <c r="DW97" t="e">
        <f>AND(#REF!,"AAAAACTr/X4=")</f>
        <v>#REF!</v>
      </c>
      <c r="DX97" t="e">
        <f>AND(#REF!,"AAAAACTr/X8=")</f>
        <v>#REF!</v>
      </c>
      <c r="DY97" t="e">
        <f>AND(#REF!,"AAAAACTr/YA=")</f>
        <v>#REF!</v>
      </c>
      <c r="DZ97" t="e">
        <f>AND(#REF!,"AAAAACTr/YE=")</f>
        <v>#REF!</v>
      </c>
      <c r="EA97" t="e">
        <f>AND(#REF!,"AAAAACTr/YI=")</f>
        <v>#REF!</v>
      </c>
      <c r="EB97" t="e">
        <f>AND(#REF!,"AAAAACTr/YM=")</f>
        <v>#REF!</v>
      </c>
      <c r="EC97" t="e">
        <f>AND(#REF!,"AAAAACTr/YQ=")</f>
        <v>#REF!</v>
      </c>
      <c r="ED97" t="e">
        <f>AND(#REF!,"AAAAACTr/YU=")</f>
        <v>#REF!</v>
      </c>
      <c r="EE97" t="e">
        <f>AND(#REF!,"AAAAACTr/YY=")</f>
        <v>#REF!</v>
      </c>
      <c r="EF97" t="e">
        <f>IF(#REF!,"AAAAACTr/Yc=",0)</f>
        <v>#REF!</v>
      </c>
      <c r="EG97" t="e">
        <f>AND(#REF!,"AAAAACTr/Yg=")</f>
        <v>#REF!</v>
      </c>
      <c r="EH97" t="e">
        <f>AND(#REF!,"AAAAACTr/Yk=")</f>
        <v>#REF!</v>
      </c>
      <c r="EI97" t="e">
        <f>AND(#REF!,"AAAAACTr/Yo=")</f>
        <v>#REF!</v>
      </c>
      <c r="EJ97" t="e">
        <f>AND(#REF!,"AAAAACTr/Ys=")</f>
        <v>#REF!</v>
      </c>
      <c r="EK97" t="e">
        <f>AND(#REF!,"AAAAACTr/Yw=")</f>
        <v>#REF!</v>
      </c>
      <c r="EL97" t="e">
        <f>AND(#REF!,"AAAAACTr/Y0=")</f>
        <v>#REF!</v>
      </c>
      <c r="EM97" t="e">
        <f>AND(#REF!,"AAAAACTr/Y4=")</f>
        <v>#REF!</v>
      </c>
      <c r="EN97" t="e">
        <f>AND(#REF!,"AAAAACTr/Y8=")</f>
        <v>#REF!</v>
      </c>
      <c r="EO97" t="e">
        <f>AND(#REF!,"AAAAACTr/ZA=")</f>
        <v>#REF!</v>
      </c>
      <c r="EP97" t="e">
        <f>AND(#REF!,"AAAAACTr/ZE=")</f>
        <v>#REF!</v>
      </c>
      <c r="EQ97" t="e">
        <f>IF(#REF!,"AAAAACTr/ZI=",0)</f>
        <v>#REF!</v>
      </c>
      <c r="ER97" t="e">
        <f>AND(#REF!,"AAAAACTr/ZM=")</f>
        <v>#REF!</v>
      </c>
      <c r="ES97" t="e">
        <f>AND(#REF!,"AAAAACTr/ZQ=")</f>
        <v>#REF!</v>
      </c>
      <c r="ET97" t="e">
        <f>AND(#REF!,"AAAAACTr/ZU=")</f>
        <v>#REF!</v>
      </c>
      <c r="EU97" t="e">
        <f>AND(#REF!,"AAAAACTr/ZY=")</f>
        <v>#REF!</v>
      </c>
      <c r="EV97" t="e">
        <f>AND(#REF!,"AAAAACTr/Zc=")</f>
        <v>#REF!</v>
      </c>
      <c r="EW97" t="e">
        <f>AND(#REF!,"AAAAACTr/Zg=")</f>
        <v>#REF!</v>
      </c>
      <c r="EX97" t="e">
        <f>AND(#REF!,"AAAAACTr/Zk=")</f>
        <v>#REF!</v>
      </c>
      <c r="EY97" t="e">
        <f>AND(#REF!,"AAAAACTr/Zo=")</f>
        <v>#REF!</v>
      </c>
      <c r="EZ97" t="e">
        <f>AND(#REF!,"AAAAACTr/Zs=")</f>
        <v>#REF!</v>
      </c>
      <c r="FA97" t="e">
        <f>AND(#REF!,"AAAAACTr/Zw=")</f>
        <v>#REF!</v>
      </c>
      <c r="FB97" t="e">
        <f>IF(#REF!,"AAAAACTr/Z0=",0)</f>
        <v>#REF!</v>
      </c>
      <c r="FC97" t="e">
        <f>AND(#REF!,"AAAAACTr/Z4=")</f>
        <v>#REF!</v>
      </c>
      <c r="FD97" t="e">
        <f>AND(#REF!,"AAAAACTr/Z8=")</f>
        <v>#REF!</v>
      </c>
      <c r="FE97" t="e">
        <f>AND(#REF!,"AAAAACTr/aA=")</f>
        <v>#REF!</v>
      </c>
      <c r="FF97" t="e">
        <f>AND(#REF!,"AAAAACTr/aE=")</f>
        <v>#REF!</v>
      </c>
      <c r="FG97" t="e">
        <f>AND(#REF!,"AAAAACTr/aI=")</f>
        <v>#REF!</v>
      </c>
      <c r="FH97" t="e">
        <f>AND(#REF!,"AAAAACTr/aM=")</f>
        <v>#REF!</v>
      </c>
      <c r="FI97" t="e">
        <f>AND(#REF!,"AAAAACTr/aQ=")</f>
        <v>#REF!</v>
      </c>
      <c r="FJ97" t="e">
        <f>AND(#REF!,"AAAAACTr/aU=")</f>
        <v>#REF!</v>
      </c>
      <c r="FK97" t="e">
        <f>AND(#REF!,"AAAAACTr/aY=")</f>
        <v>#REF!</v>
      </c>
      <c r="FL97" t="e">
        <f>AND(#REF!,"AAAAACTr/ac=")</f>
        <v>#REF!</v>
      </c>
      <c r="FM97" t="e">
        <f>IF(#REF!,"AAAAACTr/ag=",0)</f>
        <v>#REF!</v>
      </c>
      <c r="FN97" t="e">
        <f>AND(#REF!,"AAAAACTr/ak=")</f>
        <v>#REF!</v>
      </c>
      <c r="FO97" t="e">
        <f>AND(#REF!,"AAAAACTr/ao=")</f>
        <v>#REF!</v>
      </c>
      <c r="FP97" t="e">
        <f>AND(#REF!,"AAAAACTr/as=")</f>
        <v>#REF!</v>
      </c>
      <c r="FQ97" t="e">
        <f>AND(#REF!,"AAAAACTr/aw=")</f>
        <v>#REF!</v>
      </c>
      <c r="FR97" t="e">
        <f>AND(#REF!,"AAAAACTr/a0=")</f>
        <v>#REF!</v>
      </c>
      <c r="FS97" t="e">
        <f>AND(#REF!,"AAAAACTr/a4=")</f>
        <v>#REF!</v>
      </c>
      <c r="FT97" t="e">
        <f>AND(#REF!,"AAAAACTr/a8=")</f>
        <v>#REF!</v>
      </c>
      <c r="FU97" t="e">
        <f>AND(#REF!,"AAAAACTr/bA=")</f>
        <v>#REF!</v>
      </c>
      <c r="FV97" t="e">
        <f>AND(#REF!,"AAAAACTr/bE=")</f>
        <v>#REF!</v>
      </c>
      <c r="FW97" t="e">
        <f>AND(#REF!,"AAAAACTr/bI=")</f>
        <v>#REF!</v>
      </c>
      <c r="FX97" t="e">
        <f>IF(#REF!,"AAAAACTr/bM=",0)</f>
        <v>#REF!</v>
      </c>
      <c r="FY97" t="e">
        <f>AND(#REF!,"AAAAACTr/bQ=")</f>
        <v>#REF!</v>
      </c>
      <c r="FZ97" t="e">
        <f>AND(#REF!,"AAAAACTr/bU=")</f>
        <v>#REF!</v>
      </c>
      <c r="GA97" t="e">
        <f>AND(#REF!,"AAAAACTr/bY=")</f>
        <v>#REF!</v>
      </c>
      <c r="GB97" t="e">
        <f>AND(#REF!,"AAAAACTr/bc=")</f>
        <v>#REF!</v>
      </c>
      <c r="GC97" t="e">
        <f>AND(#REF!,"AAAAACTr/bg=")</f>
        <v>#REF!</v>
      </c>
      <c r="GD97" t="e">
        <f>AND(#REF!,"AAAAACTr/bk=")</f>
        <v>#REF!</v>
      </c>
      <c r="GE97" t="e">
        <f>AND(#REF!,"AAAAACTr/bo=")</f>
        <v>#REF!</v>
      </c>
      <c r="GF97" t="e">
        <f>AND(#REF!,"AAAAACTr/bs=")</f>
        <v>#REF!</v>
      </c>
      <c r="GG97" t="e">
        <f>AND(#REF!,"AAAAACTr/bw=")</f>
        <v>#REF!</v>
      </c>
      <c r="GH97" t="e">
        <f>AND(#REF!,"AAAAACTr/b0=")</f>
        <v>#REF!</v>
      </c>
      <c r="GI97" t="e">
        <f>IF(#REF!,"AAAAACTr/b4=",0)</f>
        <v>#REF!</v>
      </c>
      <c r="GJ97" t="e">
        <f>AND(#REF!,"AAAAACTr/b8=")</f>
        <v>#REF!</v>
      </c>
      <c r="GK97" t="e">
        <f>AND(#REF!,"AAAAACTr/cA=")</f>
        <v>#REF!</v>
      </c>
      <c r="GL97" t="e">
        <f>AND(#REF!,"AAAAACTr/cE=")</f>
        <v>#REF!</v>
      </c>
      <c r="GM97" t="e">
        <f>AND(#REF!,"AAAAACTr/cI=")</f>
        <v>#REF!</v>
      </c>
      <c r="GN97" t="e">
        <f>AND(#REF!,"AAAAACTr/cM=")</f>
        <v>#REF!</v>
      </c>
      <c r="GO97" t="e">
        <f>AND(#REF!,"AAAAACTr/cQ=")</f>
        <v>#REF!</v>
      </c>
      <c r="GP97" t="e">
        <f>AND(#REF!,"AAAAACTr/cU=")</f>
        <v>#REF!</v>
      </c>
      <c r="GQ97" t="e">
        <f>AND(#REF!,"AAAAACTr/cY=")</f>
        <v>#REF!</v>
      </c>
      <c r="GR97" t="e">
        <f>AND(#REF!,"AAAAACTr/cc=")</f>
        <v>#REF!</v>
      </c>
      <c r="GS97" t="e">
        <f>AND(#REF!,"AAAAACTr/cg=")</f>
        <v>#REF!</v>
      </c>
      <c r="GT97" t="e">
        <f>IF(#REF!,"AAAAACTr/ck=",0)</f>
        <v>#REF!</v>
      </c>
      <c r="GU97" t="e">
        <f>AND(#REF!,"AAAAACTr/co=")</f>
        <v>#REF!</v>
      </c>
      <c r="GV97" t="e">
        <f>AND(#REF!,"AAAAACTr/cs=")</f>
        <v>#REF!</v>
      </c>
      <c r="GW97" t="e">
        <f>AND(#REF!,"AAAAACTr/cw=")</f>
        <v>#REF!</v>
      </c>
      <c r="GX97" t="e">
        <f>AND(#REF!,"AAAAACTr/c0=")</f>
        <v>#REF!</v>
      </c>
      <c r="GY97" t="e">
        <f>AND(#REF!,"AAAAACTr/c4=")</f>
        <v>#REF!</v>
      </c>
      <c r="GZ97" t="e">
        <f>AND(#REF!,"AAAAACTr/c8=")</f>
        <v>#REF!</v>
      </c>
      <c r="HA97" t="e">
        <f>AND(#REF!,"AAAAACTr/dA=")</f>
        <v>#REF!</v>
      </c>
      <c r="HB97" t="e">
        <f>AND(#REF!,"AAAAACTr/dE=")</f>
        <v>#REF!</v>
      </c>
      <c r="HC97" t="e">
        <f>AND(#REF!,"AAAAACTr/dI=")</f>
        <v>#REF!</v>
      </c>
      <c r="HD97" t="e">
        <f>AND(#REF!,"AAAAACTr/dM=")</f>
        <v>#REF!</v>
      </c>
      <c r="HE97" t="e">
        <f>IF(#REF!,"AAAAACTr/dQ=",0)</f>
        <v>#REF!</v>
      </c>
      <c r="HF97" t="e">
        <f>AND(#REF!,"AAAAACTr/dU=")</f>
        <v>#REF!</v>
      </c>
      <c r="HG97" t="e">
        <f>AND(#REF!,"AAAAACTr/dY=")</f>
        <v>#REF!</v>
      </c>
      <c r="HH97" t="e">
        <f>AND(#REF!,"AAAAACTr/dc=")</f>
        <v>#REF!</v>
      </c>
      <c r="HI97" t="e">
        <f>AND(#REF!,"AAAAACTr/dg=")</f>
        <v>#REF!</v>
      </c>
      <c r="HJ97" t="e">
        <f>AND(#REF!,"AAAAACTr/dk=")</f>
        <v>#REF!</v>
      </c>
      <c r="HK97" t="e">
        <f>AND(#REF!,"AAAAACTr/do=")</f>
        <v>#REF!</v>
      </c>
      <c r="HL97" t="e">
        <f>AND(#REF!,"AAAAACTr/ds=")</f>
        <v>#REF!</v>
      </c>
      <c r="HM97" t="e">
        <f>AND(#REF!,"AAAAACTr/dw=")</f>
        <v>#REF!</v>
      </c>
      <c r="HN97" t="e">
        <f>AND(#REF!,"AAAAACTr/d0=")</f>
        <v>#REF!</v>
      </c>
      <c r="HO97" t="e">
        <f>AND(#REF!,"AAAAACTr/d4=")</f>
        <v>#REF!</v>
      </c>
      <c r="HP97" t="e">
        <f>IF(#REF!,"AAAAACTr/d8=",0)</f>
        <v>#REF!</v>
      </c>
      <c r="HQ97" t="e">
        <f>AND(#REF!,"AAAAACTr/eA=")</f>
        <v>#REF!</v>
      </c>
      <c r="HR97" t="e">
        <f>AND(#REF!,"AAAAACTr/eE=")</f>
        <v>#REF!</v>
      </c>
      <c r="HS97" t="e">
        <f>AND(#REF!,"AAAAACTr/eI=")</f>
        <v>#REF!</v>
      </c>
      <c r="HT97" t="e">
        <f>AND(#REF!,"AAAAACTr/eM=")</f>
        <v>#REF!</v>
      </c>
      <c r="HU97" t="e">
        <f>AND(#REF!,"AAAAACTr/eQ=")</f>
        <v>#REF!</v>
      </c>
      <c r="HV97" t="e">
        <f>AND(#REF!,"AAAAACTr/eU=")</f>
        <v>#REF!</v>
      </c>
      <c r="HW97" t="e">
        <f>AND(#REF!,"AAAAACTr/eY=")</f>
        <v>#REF!</v>
      </c>
      <c r="HX97" t="e">
        <f>AND(#REF!,"AAAAACTr/ec=")</f>
        <v>#REF!</v>
      </c>
      <c r="HY97" t="e">
        <f>AND(#REF!,"AAAAACTr/eg=")</f>
        <v>#REF!</v>
      </c>
      <c r="HZ97" t="e">
        <f>AND(#REF!,"AAAAACTr/ek=")</f>
        <v>#REF!</v>
      </c>
      <c r="IA97" t="e">
        <f>IF(#REF!,"AAAAACTr/eo=",0)</f>
        <v>#REF!</v>
      </c>
      <c r="IB97" t="e">
        <f>AND(#REF!,"AAAAACTr/es=")</f>
        <v>#REF!</v>
      </c>
      <c r="IC97" t="e">
        <f>AND(#REF!,"AAAAACTr/ew=")</f>
        <v>#REF!</v>
      </c>
      <c r="ID97" t="e">
        <f>AND(#REF!,"AAAAACTr/e0=")</f>
        <v>#REF!</v>
      </c>
      <c r="IE97" t="e">
        <f>AND(#REF!,"AAAAACTr/e4=")</f>
        <v>#REF!</v>
      </c>
      <c r="IF97" t="e">
        <f>AND(#REF!,"AAAAACTr/e8=")</f>
        <v>#REF!</v>
      </c>
      <c r="IG97" t="e">
        <f>AND(#REF!,"AAAAACTr/fA=")</f>
        <v>#REF!</v>
      </c>
      <c r="IH97" t="e">
        <f>AND(#REF!,"AAAAACTr/fE=")</f>
        <v>#REF!</v>
      </c>
      <c r="II97" t="e">
        <f>AND(#REF!,"AAAAACTr/fI=")</f>
        <v>#REF!</v>
      </c>
      <c r="IJ97" t="e">
        <f>AND(#REF!,"AAAAACTr/fM=")</f>
        <v>#REF!</v>
      </c>
      <c r="IK97" t="e">
        <f>AND(#REF!,"AAAAACTr/fQ=")</f>
        <v>#REF!</v>
      </c>
      <c r="IL97" t="e">
        <f>IF(#REF!,"AAAAACTr/fU=",0)</f>
        <v>#REF!</v>
      </c>
      <c r="IM97" t="e">
        <f>AND(#REF!,"AAAAACTr/fY=")</f>
        <v>#REF!</v>
      </c>
      <c r="IN97" t="e">
        <f>AND(#REF!,"AAAAACTr/fc=")</f>
        <v>#REF!</v>
      </c>
      <c r="IO97" t="e">
        <f>AND(#REF!,"AAAAACTr/fg=")</f>
        <v>#REF!</v>
      </c>
      <c r="IP97" t="e">
        <f>AND(#REF!,"AAAAACTr/fk=")</f>
        <v>#REF!</v>
      </c>
      <c r="IQ97" t="e">
        <f>AND(#REF!,"AAAAACTr/fo=")</f>
        <v>#REF!</v>
      </c>
      <c r="IR97" t="e">
        <f>AND(#REF!,"AAAAACTr/fs=")</f>
        <v>#REF!</v>
      </c>
      <c r="IS97" t="e">
        <f>AND(#REF!,"AAAAACTr/fw=")</f>
        <v>#REF!</v>
      </c>
      <c r="IT97" t="e">
        <f>AND(#REF!,"AAAAACTr/f0=")</f>
        <v>#REF!</v>
      </c>
      <c r="IU97" t="e">
        <f>AND(#REF!,"AAAAACTr/f4=")</f>
        <v>#REF!</v>
      </c>
      <c r="IV97" t="e">
        <f>AND(#REF!,"AAAAACTr/f8=")</f>
        <v>#REF!</v>
      </c>
    </row>
    <row r="98" spans="1:256" x14ac:dyDescent="0.25">
      <c r="A98" t="e">
        <f>IF(#REF!,"AAAAAHf7uwA=",0)</f>
        <v>#REF!</v>
      </c>
      <c r="B98" t="e">
        <f>AND(#REF!,"AAAAAHf7uwE=")</f>
        <v>#REF!</v>
      </c>
      <c r="C98" t="e">
        <f>AND(#REF!,"AAAAAHf7uwI=")</f>
        <v>#REF!</v>
      </c>
      <c r="D98" t="e">
        <f>AND(#REF!,"AAAAAHf7uwM=")</f>
        <v>#REF!</v>
      </c>
      <c r="E98" t="e">
        <f>AND(#REF!,"AAAAAHf7uwQ=")</f>
        <v>#REF!</v>
      </c>
      <c r="F98" t="e">
        <f>AND(#REF!,"AAAAAHf7uwU=")</f>
        <v>#REF!</v>
      </c>
      <c r="G98" t="e">
        <f>AND(#REF!,"AAAAAHf7uwY=")</f>
        <v>#REF!</v>
      </c>
      <c r="H98" t="e">
        <f>AND(#REF!,"AAAAAHf7uwc=")</f>
        <v>#REF!</v>
      </c>
      <c r="I98" t="e">
        <f>AND(#REF!,"AAAAAHf7uwg=")</f>
        <v>#REF!</v>
      </c>
      <c r="J98" t="e">
        <f>AND(#REF!,"AAAAAHf7uwk=")</f>
        <v>#REF!</v>
      </c>
      <c r="K98" t="e">
        <f>AND(#REF!,"AAAAAHf7uwo=")</f>
        <v>#REF!</v>
      </c>
      <c r="L98" t="e">
        <f>IF(#REF!,"AAAAAHf7uws=",0)</f>
        <v>#REF!</v>
      </c>
      <c r="M98" t="e">
        <f>AND(#REF!,"AAAAAHf7uww=")</f>
        <v>#REF!</v>
      </c>
      <c r="N98" t="e">
        <f>AND(#REF!,"AAAAAHf7uw0=")</f>
        <v>#REF!</v>
      </c>
      <c r="O98" t="e">
        <f>AND(#REF!,"AAAAAHf7uw4=")</f>
        <v>#REF!</v>
      </c>
      <c r="P98" t="e">
        <f>AND(#REF!,"AAAAAHf7uw8=")</f>
        <v>#REF!</v>
      </c>
      <c r="Q98" t="e">
        <f>AND(#REF!,"AAAAAHf7uxA=")</f>
        <v>#REF!</v>
      </c>
      <c r="R98" t="e">
        <f>AND(#REF!,"AAAAAHf7uxE=")</f>
        <v>#REF!</v>
      </c>
      <c r="S98" t="e">
        <f>AND(#REF!,"AAAAAHf7uxI=")</f>
        <v>#REF!</v>
      </c>
      <c r="T98" t="e">
        <f>AND(#REF!,"AAAAAHf7uxM=")</f>
        <v>#REF!</v>
      </c>
      <c r="U98" t="e">
        <f>AND(#REF!,"AAAAAHf7uxQ=")</f>
        <v>#REF!</v>
      </c>
      <c r="V98" t="e">
        <f>AND(#REF!,"AAAAAHf7uxU=")</f>
        <v>#REF!</v>
      </c>
      <c r="W98" t="e">
        <f>IF(#REF!,"AAAAAHf7uxY=",0)</f>
        <v>#REF!</v>
      </c>
      <c r="X98" t="e">
        <f>AND(#REF!,"AAAAAHf7uxc=")</f>
        <v>#REF!</v>
      </c>
      <c r="Y98" t="e">
        <f>AND(#REF!,"AAAAAHf7uxg=")</f>
        <v>#REF!</v>
      </c>
      <c r="Z98" t="e">
        <f>AND(#REF!,"AAAAAHf7uxk=")</f>
        <v>#REF!</v>
      </c>
      <c r="AA98" t="e">
        <f>AND(#REF!,"AAAAAHf7uxo=")</f>
        <v>#REF!</v>
      </c>
      <c r="AB98" t="e">
        <f>AND(#REF!,"AAAAAHf7uxs=")</f>
        <v>#REF!</v>
      </c>
      <c r="AC98" t="e">
        <f>AND(#REF!,"AAAAAHf7uxw=")</f>
        <v>#REF!</v>
      </c>
      <c r="AD98" t="e">
        <f>AND(#REF!,"AAAAAHf7ux0=")</f>
        <v>#REF!</v>
      </c>
      <c r="AE98" t="e">
        <f>AND(#REF!,"AAAAAHf7ux4=")</f>
        <v>#REF!</v>
      </c>
      <c r="AF98" t="e">
        <f>AND(#REF!,"AAAAAHf7ux8=")</f>
        <v>#REF!</v>
      </c>
      <c r="AG98" t="e">
        <f>AND(#REF!,"AAAAAHf7uyA=")</f>
        <v>#REF!</v>
      </c>
      <c r="AH98" t="e">
        <f>IF(#REF!,"AAAAAHf7uyE=",0)</f>
        <v>#REF!</v>
      </c>
      <c r="AI98" t="e">
        <f>AND(#REF!,"AAAAAHf7uyI=")</f>
        <v>#REF!</v>
      </c>
      <c r="AJ98" t="e">
        <f>AND(#REF!,"AAAAAHf7uyM=")</f>
        <v>#REF!</v>
      </c>
      <c r="AK98" t="e">
        <f>AND(#REF!,"AAAAAHf7uyQ=")</f>
        <v>#REF!</v>
      </c>
      <c r="AL98" t="e">
        <f>AND(#REF!,"AAAAAHf7uyU=")</f>
        <v>#REF!</v>
      </c>
      <c r="AM98" t="e">
        <f>AND(#REF!,"AAAAAHf7uyY=")</f>
        <v>#REF!</v>
      </c>
      <c r="AN98" t="e">
        <f>AND(#REF!,"AAAAAHf7uyc=")</f>
        <v>#REF!</v>
      </c>
      <c r="AO98" t="e">
        <f>AND(#REF!,"AAAAAHf7uyg=")</f>
        <v>#REF!</v>
      </c>
      <c r="AP98" t="e">
        <f>AND(#REF!,"AAAAAHf7uyk=")</f>
        <v>#REF!</v>
      </c>
      <c r="AQ98" t="e">
        <f>AND(#REF!,"AAAAAHf7uyo=")</f>
        <v>#REF!</v>
      </c>
      <c r="AR98" t="e">
        <f>AND(#REF!,"AAAAAHf7uys=")</f>
        <v>#REF!</v>
      </c>
      <c r="AS98" t="e">
        <f>IF(#REF!,"AAAAAHf7uyw=",0)</f>
        <v>#REF!</v>
      </c>
      <c r="AT98" t="e">
        <f>AND(#REF!,"AAAAAHf7uy0=")</f>
        <v>#REF!</v>
      </c>
      <c r="AU98" t="e">
        <f>AND(#REF!,"AAAAAHf7uy4=")</f>
        <v>#REF!</v>
      </c>
      <c r="AV98" t="e">
        <f>AND(#REF!,"AAAAAHf7uy8=")</f>
        <v>#REF!</v>
      </c>
      <c r="AW98" t="e">
        <f>AND(#REF!,"AAAAAHf7uzA=")</f>
        <v>#REF!</v>
      </c>
      <c r="AX98" t="e">
        <f>AND(#REF!,"AAAAAHf7uzE=")</f>
        <v>#REF!</v>
      </c>
      <c r="AY98" t="e">
        <f>AND(#REF!,"AAAAAHf7uzI=")</f>
        <v>#REF!</v>
      </c>
      <c r="AZ98" t="e">
        <f>AND(#REF!,"AAAAAHf7uzM=")</f>
        <v>#REF!</v>
      </c>
      <c r="BA98" t="e">
        <f>AND(#REF!,"AAAAAHf7uzQ=")</f>
        <v>#REF!</v>
      </c>
      <c r="BB98" t="e">
        <f>AND(#REF!,"AAAAAHf7uzU=")</f>
        <v>#REF!</v>
      </c>
      <c r="BC98" t="e">
        <f>AND(#REF!,"AAAAAHf7uzY=")</f>
        <v>#REF!</v>
      </c>
      <c r="BD98" t="e">
        <f>IF(#REF!,"AAAAAHf7uzc=",0)</f>
        <v>#REF!</v>
      </c>
      <c r="BE98" t="e">
        <f>AND(#REF!,"AAAAAHf7uzg=")</f>
        <v>#REF!</v>
      </c>
      <c r="BF98" t="e">
        <f>AND(#REF!,"AAAAAHf7uzk=")</f>
        <v>#REF!</v>
      </c>
      <c r="BG98" t="e">
        <f>AND(#REF!,"AAAAAHf7uzo=")</f>
        <v>#REF!</v>
      </c>
      <c r="BH98" t="e">
        <f>AND(#REF!,"AAAAAHf7uzs=")</f>
        <v>#REF!</v>
      </c>
      <c r="BI98" t="e">
        <f>AND(#REF!,"AAAAAHf7uzw=")</f>
        <v>#REF!</v>
      </c>
      <c r="BJ98" t="e">
        <f>AND(#REF!,"AAAAAHf7uz0=")</f>
        <v>#REF!</v>
      </c>
      <c r="BK98" t="e">
        <f>AND(#REF!,"AAAAAHf7uz4=")</f>
        <v>#REF!</v>
      </c>
      <c r="BL98" t="e">
        <f>AND(#REF!,"AAAAAHf7uz8=")</f>
        <v>#REF!</v>
      </c>
      <c r="BM98" t="e">
        <f>AND(#REF!,"AAAAAHf7u0A=")</f>
        <v>#REF!</v>
      </c>
      <c r="BN98" t="e">
        <f>AND(#REF!,"AAAAAHf7u0E=")</f>
        <v>#REF!</v>
      </c>
      <c r="BO98" t="e">
        <f>IF(#REF!,"AAAAAHf7u0I=",0)</f>
        <v>#REF!</v>
      </c>
      <c r="BP98" t="e">
        <f>AND(#REF!,"AAAAAHf7u0M=")</f>
        <v>#REF!</v>
      </c>
      <c r="BQ98" t="e">
        <f>AND(#REF!,"AAAAAHf7u0Q=")</f>
        <v>#REF!</v>
      </c>
      <c r="BR98" t="e">
        <f>AND(#REF!,"AAAAAHf7u0U=")</f>
        <v>#REF!</v>
      </c>
      <c r="BS98" t="e">
        <f>AND(#REF!,"AAAAAHf7u0Y=")</f>
        <v>#REF!</v>
      </c>
      <c r="BT98" t="e">
        <f>AND(#REF!,"AAAAAHf7u0c=")</f>
        <v>#REF!</v>
      </c>
      <c r="BU98" t="e">
        <f>AND(#REF!,"AAAAAHf7u0g=")</f>
        <v>#REF!</v>
      </c>
      <c r="BV98" t="e">
        <f>AND(#REF!,"AAAAAHf7u0k=")</f>
        <v>#REF!</v>
      </c>
      <c r="BW98" t="e">
        <f>AND(#REF!,"AAAAAHf7u0o=")</f>
        <v>#REF!</v>
      </c>
      <c r="BX98" t="e">
        <f>AND(#REF!,"AAAAAHf7u0s=")</f>
        <v>#REF!</v>
      </c>
      <c r="BY98" t="e">
        <f>AND(#REF!,"AAAAAHf7u0w=")</f>
        <v>#REF!</v>
      </c>
      <c r="BZ98" t="e">
        <f>IF(#REF!,"AAAAAHf7u00=",0)</f>
        <v>#REF!</v>
      </c>
      <c r="CA98" t="e">
        <f>AND(#REF!,"AAAAAHf7u04=")</f>
        <v>#REF!</v>
      </c>
      <c r="CB98" t="e">
        <f>AND(#REF!,"AAAAAHf7u08=")</f>
        <v>#REF!</v>
      </c>
      <c r="CC98" t="e">
        <f>AND(#REF!,"AAAAAHf7u1A=")</f>
        <v>#REF!</v>
      </c>
      <c r="CD98" t="e">
        <f>AND(#REF!,"AAAAAHf7u1E=")</f>
        <v>#REF!</v>
      </c>
      <c r="CE98" t="e">
        <f>AND(#REF!,"AAAAAHf7u1I=")</f>
        <v>#REF!</v>
      </c>
      <c r="CF98" t="e">
        <f>AND(#REF!,"AAAAAHf7u1M=")</f>
        <v>#REF!</v>
      </c>
      <c r="CG98" t="e">
        <f>AND(#REF!,"AAAAAHf7u1Q=")</f>
        <v>#REF!</v>
      </c>
      <c r="CH98" t="e">
        <f>AND(#REF!,"AAAAAHf7u1U=")</f>
        <v>#REF!</v>
      </c>
      <c r="CI98" t="e">
        <f>AND(#REF!,"AAAAAHf7u1Y=")</f>
        <v>#REF!</v>
      </c>
      <c r="CJ98" t="e">
        <f>AND(#REF!,"AAAAAHf7u1c=")</f>
        <v>#REF!</v>
      </c>
      <c r="CK98" t="e">
        <f>IF(#REF!,"AAAAAHf7u1g=",0)</f>
        <v>#REF!</v>
      </c>
      <c r="CL98" t="e">
        <f>AND(#REF!,"AAAAAHf7u1k=")</f>
        <v>#REF!</v>
      </c>
      <c r="CM98" t="e">
        <f>AND(#REF!,"AAAAAHf7u1o=")</f>
        <v>#REF!</v>
      </c>
      <c r="CN98" t="e">
        <f>AND(#REF!,"AAAAAHf7u1s=")</f>
        <v>#REF!</v>
      </c>
      <c r="CO98" t="e">
        <f>AND(#REF!,"AAAAAHf7u1w=")</f>
        <v>#REF!</v>
      </c>
      <c r="CP98" t="e">
        <f>AND(#REF!,"AAAAAHf7u10=")</f>
        <v>#REF!</v>
      </c>
      <c r="CQ98" t="e">
        <f>AND(#REF!,"AAAAAHf7u14=")</f>
        <v>#REF!</v>
      </c>
      <c r="CR98" t="e">
        <f>AND(#REF!,"AAAAAHf7u18=")</f>
        <v>#REF!</v>
      </c>
      <c r="CS98" t="e">
        <f>AND(#REF!,"AAAAAHf7u2A=")</f>
        <v>#REF!</v>
      </c>
      <c r="CT98" t="e">
        <f>AND(#REF!,"AAAAAHf7u2E=")</f>
        <v>#REF!</v>
      </c>
      <c r="CU98" t="e">
        <f>AND(#REF!,"AAAAAHf7u2I=")</f>
        <v>#REF!</v>
      </c>
      <c r="CV98" t="e">
        <f>IF(#REF!,"AAAAAHf7u2M=",0)</f>
        <v>#REF!</v>
      </c>
      <c r="CW98" t="e">
        <f>AND(#REF!,"AAAAAHf7u2Q=")</f>
        <v>#REF!</v>
      </c>
      <c r="CX98" t="e">
        <f>AND(#REF!,"AAAAAHf7u2U=")</f>
        <v>#REF!</v>
      </c>
      <c r="CY98" t="e">
        <f>AND(#REF!,"AAAAAHf7u2Y=")</f>
        <v>#REF!</v>
      </c>
      <c r="CZ98" t="e">
        <f>AND(#REF!,"AAAAAHf7u2c=")</f>
        <v>#REF!</v>
      </c>
      <c r="DA98" t="e">
        <f>AND(#REF!,"AAAAAHf7u2g=")</f>
        <v>#REF!</v>
      </c>
      <c r="DB98" t="e">
        <f>AND(#REF!,"AAAAAHf7u2k=")</f>
        <v>#REF!</v>
      </c>
      <c r="DC98" t="e">
        <f>AND(#REF!,"AAAAAHf7u2o=")</f>
        <v>#REF!</v>
      </c>
      <c r="DD98" t="e">
        <f>AND(#REF!,"AAAAAHf7u2s=")</f>
        <v>#REF!</v>
      </c>
      <c r="DE98" t="e">
        <f>AND(#REF!,"AAAAAHf7u2w=")</f>
        <v>#REF!</v>
      </c>
      <c r="DF98" t="e">
        <f>AND(#REF!,"AAAAAHf7u20=")</f>
        <v>#REF!</v>
      </c>
      <c r="DG98" t="e">
        <f>IF(#REF!,"AAAAAHf7u24=",0)</f>
        <v>#REF!</v>
      </c>
      <c r="DH98" t="e">
        <f>AND(#REF!,"AAAAAHf7u28=")</f>
        <v>#REF!</v>
      </c>
      <c r="DI98" t="e">
        <f>AND(#REF!,"AAAAAHf7u3A=")</f>
        <v>#REF!</v>
      </c>
      <c r="DJ98" t="e">
        <f>AND(#REF!,"AAAAAHf7u3E=")</f>
        <v>#REF!</v>
      </c>
      <c r="DK98" t="e">
        <f>AND(#REF!,"AAAAAHf7u3I=")</f>
        <v>#REF!</v>
      </c>
      <c r="DL98" t="e">
        <f>AND(#REF!,"AAAAAHf7u3M=")</f>
        <v>#REF!</v>
      </c>
      <c r="DM98" t="e">
        <f>AND(#REF!,"AAAAAHf7u3Q=")</f>
        <v>#REF!</v>
      </c>
      <c r="DN98" t="e">
        <f>AND(#REF!,"AAAAAHf7u3U=")</f>
        <v>#REF!</v>
      </c>
      <c r="DO98" t="e">
        <f>AND(#REF!,"AAAAAHf7u3Y=")</f>
        <v>#REF!</v>
      </c>
      <c r="DP98" t="e">
        <f>AND(#REF!,"AAAAAHf7u3c=")</f>
        <v>#REF!</v>
      </c>
      <c r="DQ98" t="e">
        <f>AND(#REF!,"AAAAAHf7u3g=")</f>
        <v>#REF!</v>
      </c>
      <c r="DR98" t="e">
        <f>IF(#REF!,"AAAAAHf7u3k=",0)</f>
        <v>#REF!</v>
      </c>
      <c r="DS98" t="e">
        <f>AND(#REF!,"AAAAAHf7u3o=")</f>
        <v>#REF!</v>
      </c>
      <c r="DT98" t="e">
        <f>AND(#REF!,"AAAAAHf7u3s=")</f>
        <v>#REF!</v>
      </c>
      <c r="DU98" t="e">
        <f>AND(#REF!,"AAAAAHf7u3w=")</f>
        <v>#REF!</v>
      </c>
      <c r="DV98" t="e">
        <f>AND(#REF!,"AAAAAHf7u30=")</f>
        <v>#REF!</v>
      </c>
      <c r="DW98" t="e">
        <f>AND(#REF!,"AAAAAHf7u34=")</f>
        <v>#REF!</v>
      </c>
      <c r="DX98" t="e">
        <f>AND(#REF!,"AAAAAHf7u38=")</f>
        <v>#REF!</v>
      </c>
      <c r="DY98" t="e">
        <f>AND(#REF!,"AAAAAHf7u4A=")</f>
        <v>#REF!</v>
      </c>
      <c r="DZ98" t="e">
        <f>AND(#REF!,"AAAAAHf7u4E=")</f>
        <v>#REF!</v>
      </c>
      <c r="EA98" t="e">
        <f>AND(#REF!,"AAAAAHf7u4I=")</f>
        <v>#REF!</v>
      </c>
      <c r="EB98" t="e">
        <f>AND(#REF!,"AAAAAHf7u4M=")</f>
        <v>#REF!</v>
      </c>
      <c r="EC98" t="e">
        <f>IF(#REF!,"AAAAAHf7u4Q=",0)</f>
        <v>#REF!</v>
      </c>
      <c r="ED98" t="e">
        <f>AND(#REF!,"AAAAAHf7u4U=")</f>
        <v>#REF!</v>
      </c>
      <c r="EE98" t="e">
        <f>AND(#REF!,"AAAAAHf7u4Y=")</f>
        <v>#REF!</v>
      </c>
      <c r="EF98" t="e">
        <f>AND(#REF!,"AAAAAHf7u4c=")</f>
        <v>#REF!</v>
      </c>
      <c r="EG98" t="e">
        <f>AND(#REF!,"AAAAAHf7u4g=")</f>
        <v>#REF!</v>
      </c>
      <c r="EH98" t="e">
        <f>AND(#REF!,"AAAAAHf7u4k=")</f>
        <v>#REF!</v>
      </c>
      <c r="EI98" t="e">
        <f>AND(#REF!,"AAAAAHf7u4o=")</f>
        <v>#REF!</v>
      </c>
      <c r="EJ98" t="e">
        <f>AND(#REF!,"AAAAAHf7u4s=")</f>
        <v>#REF!</v>
      </c>
      <c r="EK98" t="e">
        <f>AND(#REF!,"AAAAAHf7u4w=")</f>
        <v>#REF!</v>
      </c>
      <c r="EL98" t="e">
        <f>AND(#REF!,"AAAAAHf7u40=")</f>
        <v>#REF!</v>
      </c>
      <c r="EM98" t="e">
        <f>AND(#REF!,"AAAAAHf7u44=")</f>
        <v>#REF!</v>
      </c>
      <c r="EN98" t="e">
        <f>IF(#REF!,"AAAAAHf7u48=",0)</f>
        <v>#REF!</v>
      </c>
      <c r="EO98" t="e">
        <f>AND(#REF!,"AAAAAHf7u5A=")</f>
        <v>#REF!</v>
      </c>
      <c r="EP98" t="e">
        <f>AND(#REF!,"AAAAAHf7u5E=")</f>
        <v>#REF!</v>
      </c>
      <c r="EQ98" t="e">
        <f>AND(#REF!,"AAAAAHf7u5I=")</f>
        <v>#REF!</v>
      </c>
      <c r="ER98" t="e">
        <f>AND(#REF!,"AAAAAHf7u5M=")</f>
        <v>#REF!</v>
      </c>
      <c r="ES98" t="e">
        <f>AND(#REF!,"AAAAAHf7u5Q=")</f>
        <v>#REF!</v>
      </c>
      <c r="ET98" t="e">
        <f>AND(#REF!,"AAAAAHf7u5U=")</f>
        <v>#REF!</v>
      </c>
      <c r="EU98" t="e">
        <f>AND(#REF!,"AAAAAHf7u5Y=")</f>
        <v>#REF!</v>
      </c>
      <c r="EV98" t="e">
        <f>AND(#REF!,"AAAAAHf7u5c=")</f>
        <v>#REF!</v>
      </c>
      <c r="EW98" t="e">
        <f>AND(#REF!,"AAAAAHf7u5g=")</f>
        <v>#REF!</v>
      </c>
      <c r="EX98" t="e">
        <f>AND(#REF!,"AAAAAHf7u5k=")</f>
        <v>#REF!</v>
      </c>
      <c r="EY98" t="e">
        <f>IF(#REF!,"AAAAAHf7u5o=",0)</f>
        <v>#REF!</v>
      </c>
      <c r="EZ98" t="e">
        <f>AND(#REF!,"AAAAAHf7u5s=")</f>
        <v>#REF!</v>
      </c>
      <c r="FA98" t="e">
        <f>AND(#REF!,"AAAAAHf7u5w=")</f>
        <v>#REF!</v>
      </c>
      <c r="FB98" t="e">
        <f>AND(#REF!,"AAAAAHf7u50=")</f>
        <v>#REF!</v>
      </c>
      <c r="FC98" t="e">
        <f>AND(#REF!,"AAAAAHf7u54=")</f>
        <v>#REF!</v>
      </c>
      <c r="FD98" t="e">
        <f>AND(#REF!,"AAAAAHf7u58=")</f>
        <v>#REF!</v>
      </c>
      <c r="FE98" t="e">
        <f>AND(#REF!,"AAAAAHf7u6A=")</f>
        <v>#REF!</v>
      </c>
      <c r="FF98" t="e">
        <f>AND(#REF!,"AAAAAHf7u6E=")</f>
        <v>#REF!</v>
      </c>
      <c r="FG98" t="e">
        <f>AND(#REF!,"AAAAAHf7u6I=")</f>
        <v>#REF!</v>
      </c>
      <c r="FH98" t="e">
        <f>AND(#REF!,"AAAAAHf7u6M=")</f>
        <v>#REF!</v>
      </c>
      <c r="FI98" t="e">
        <f>AND(#REF!,"AAAAAHf7u6Q=")</f>
        <v>#REF!</v>
      </c>
      <c r="FJ98" t="e">
        <f>IF(#REF!,"AAAAAHf7u6U=",0)</f>
        <v>#REF!</v>
      </c>
      <c r="FK98" t="e">
        <f>AND(#REF!,"AAAAAHf7u6Y=")</f>
        <v>#REF!</v>
      </c>
      <c r="FL98" t="e">
        <f>AND(#REF!,"AAAAAHf7u6c=")</f>
        <v>#REF!</v>
      </c>
      <c r="FM98" t="e">
        <f>AND(#REF!,"AAAAAHf7u6g=")</f>
        <v>#REF!</v>
      </c>
      <c r="FN98" t="e">
        <f>AND(#REF!,"AAAAAHf7u6k=")</f>
        <v>#REF!</v>
      </c>
      <c r="FO98" t="e">
        <f>AND(#REF!,"AAAAAHf7u6o=")</f>
        <v>#REF!</v>
      </c>
      <c r="FP98" t="e">
        <f>AND(#REF!,"AAAAAHf7u6s=")</f>
        <v>#REF!</v>
      </c>
      <c r="FQ98" t="e">
        <f>AND(#REF!,"AAAAAHf7u6w=")</f>
        <v>#REF!</v>
      </c>
      <c r="FR98" t="e">
        <f>AND(#REF!,"AAAAAHf7u60=")</f>
        <v>#REF!</v>
      </c>
      <c r="FS98" t="e">
        <f>AND(#REF!,"AAAAAHf7u64=")</f>
        <v>#REF!</v>
      </c>
      <c r="FT98" t="e">
        <f>AND(#REF!,"AAAAAHf7u68=")</f>
        <v>#REF!</v>
      </c>
      <c r="FU98" t="e">
        <f>IF(#REF!,"AAAAAHf7u7A=",0)</f>
        <v>#REF!</v>
      </c>
      <c r="FV98" t="e">
        <f>AND(#REF!,"AAAAAHf7u7E=")</f>
        <v>#REF!</v>
      </c>
      <c r="FW98" t="e">
        <f>AND(#REF!,"AAAAAHf7u7I=")</f>
        <v>#REF!</v>
      </c>
      <c r="FX98" t="e">
        <f>AND(#REF!,"AAAAAHf7u7M=")</f>
        <v>#REF!</v>
      </c>
      <c r="FY98" t="e">
        <f>AND(#REF!,"AAAAAHf7u7Q=")</f>
        <v>#REF!</v>
      </c>
      <c r="FZ98" t="e">
        <f>AND(#REF!,"AAAAAHf7u7U=")</f>
        <v>#REF!</v>
      </c>
      <c r="GA98" t="e">
        <f>AND(#REF!,"AAAAAHf7u7Y=")</f>
        <v>#REF!</v>
      </c>
      <c r="GB98" t="e">
        <f>AND(#REF!,"AAAAAHf7u7c=")</f>
        <v>#REF!</v>
      </c>
      <c r="GC98" t="e">
        <f>AND(#REF!,"AAAAAHf7u7g=")</f>
        <v>#REF!</v>
      </c>
      <c r="GD98" t="e">
        <f>AND(#REF!,"AAAAAHf7u7k=")</f>
        <v>#REF!</v>
      </c>
      <c r="GE98" t="e">
        <f>AND(#REF!,"AAAAAHf7u7o=")</f>
        <v>#REF!</v>
      </c>
      <c r="GF98" t="e">
        <f>IF(#REF!,"AAAAAHf7u7s=",0)</f>
        <v>#REF!</v>
      </c>
      <c r="GG98" t="e">
        <f>AND(#REF!,"AAAAAHf7u7w=")</f>
        <v>#REF!</v>
      </c>
      <c r="GH98" t="e">
        <f>AND(#REF!,"AAAAAHf7u70=")</f>
        <v>#REF!</v>
      </c>
      <c r="GI98" t="e">
        <f>AND(#REF!,"AAAAAHf7u74=")</f>
        <v>#REF!</v>
      </c>
      <c r="GJ98" t="e">
        <f>AND(#REF!,"AAAAAHf7u78=")</f>
        <v>#REF!</v>
      </c>
      <c r="GK98" t="e">
        <f>AND(#REF!,"AAAAAHf7u8A=")</f>
        <v>#REF!</v>
      </c>
      <c r="GL98" t="e">
        <f>AND(#REF!,"AAAAAHf7u8E=")</f>
        <v>#REF!</v>
      </c>
      <c r="GM98" t="e">
        <f>AND(#REF!,"AAAAAHf7u8I=")</f>
        <v>#REF!</v>
      </c>
      <c r="GN98" t="e">
        <f>AND(#REF!,"AAAAAHf7u8M=")</f>
        <v>#REF!</v>
      </c>
      <c r="GO98" t="e">
        <f>AND(#REF!,"AAAAAHf7u8Q=")</f>
        <v>#REF!</v>
      </c>
      <c r="GP98" t="e">
        <f>AND(#REF!,"AAAAAHf7u8U=")</f>
        <v>#REF!</v>
      </c>
      <c r="GQ98" t="e">
        <f>IF(#REF!,"AAAAAHf7u8Y=",0)</f>
        <v>#REF!</v>
      </c>
      <c r="GR98" t="e">
        <f>AND(#REF!,"AAAAAHf7u8c=")</f>
        <v>#REF!</v>
      </c>
      <c r="GS98" t="e">
        <f>AND(#REF!,"AAAAAHf7u8g=")</f>
        <v>#REF!</v>
      </c>
      <c r="GT98" t="e">
        <f>AND(#REF!,"AAAAAHf7u8k=")</f>
        <v>#REF!</v>
      </c>
      <c r="GU98" t="e">
        <f>AND(#REF!,"AAAAAHf7u8o=")</f>
        <v>#REF!</v>
      </c>
      <c r="GV98" t="e">
        <f>AND(#REF!,"AAAAAHf7u8s=")</f>
        <v>#REF!</v>
      </c>
      <c r="GW98" t="e">
        <f>AND(#REF!,"AAAAAHf7u8w=")</f>
        <v>#REF!</v>
      </c>
      <c r="GX98" t="e">
        <f>AND(#REF!,"AAAAAHf7u80=")</f>
        <v>#REF!</v>
      </c>
      <c r="GY98" t="e">
        <f>AND(#REF!,"AAAAAHf7u84=")</f>
        <v>#REF!</v>
      </c>
      <c r="GZ98" t="e">
        <f>AND(#REF!,"AAAAAHf7u88=")</f>
        <v>#REF!</v>
      </c>
      <c r="HA98" t="e">
        <f>AND(#REF!,"AAAAAHf7u9A=")</f>
        <v>#REF!</v>
      </c>
      <c r="HB98" t="e">
        <f>IF(#REF!,"AAAAAHf7u9E=",0)</f>
        <v>#REF!</v>
      </c>
      <c r="HC98" t="e">
        <f>AND(#REF!,"AAAAAHf7u9I=")</f>
        <v>#REF!</v>
      </c>
      <c r="HD98" t="e">
        <f>AND(#REF!,"AAAAAHf7u9M=")</f>
        <v>#REF!</v>
      </c>
      <c r="HE98" t="e">
        <f>AND(#REF!,"AAAAAHf7u9Q=")</f>
        <v>#REF!</v>
      </c>
      <c r="HF98" t="e">
        <f>AND(#REF!,"AAAAAHf7u9U=")</f>
        <v>#REF!</v>
      </c>
      <c r="HG98" t="e">
        <f>AND(#REF!,"AAAAAHf7u9Y=")</f>
        <v>#REF!</v>
      </c>
      <c r="HH98" t="e">
        <f>AND(#REF!,"AAAAAHf7u9c=")</f>
        <v>#REF!</v>
      </c>
      <c r="HI98" t="e">
        <f>AND(#REF!,"AAAAAHf7u9g=")</f>
        <v>#REF!</v>
      </c>
      <c r="HJ98" t="e">
        <f>AND(#REF!,"AAAAAHf7u9k=")</f>
        <v>#REF!</v>
      </c>
      <c r="HK98" t="e">
        <f>AND(#REF!,"AAAAAHf7u9o=")</f>
        <v>#REF!</v>
      </c>
      <c r="HL98" t="e">
        <f>AND(#REF!,"AAAAAHf7u9s=")</f>
        <v>#REF!</v>
      </c>
      <c r="HM98" t="e">
        <f>IF(#REF!,"AAAAAHf7u9w=",0)</f>
        <v>#REF!</v>
      </c>
      <c r="HN98" t="e">
        <f>AND(#REF!,"AAAAAHf7u90=")</f>
        <v>#REF!</v>
      </c>
      <c r="HO98" t="e">
        <f>AND(#REF!,"AAAAAHf7u94=")</f>
        <v>#REF!</v>
      </c>
      <c r="HP98" t="e">
        <f>AND(#REF!,"AAAAAHf7u98=")</f>
        <v>#REF!</v>
      </c>
      <c r="HQ98" t="e">
        <f>AND(#REF!,"AAAAAHf7u+A=")</f>
        <v>#REF!</v>
      </c>
      <c r="HR98" t="e">
        <f>AND(#REF!,"AAAAAHf7u+E=")</f>
        <v>#REF!</v>
      </c>
      <c r="HS98" t="e">
        <f>AND(#REF!,"AAAAAHf7u+I=")</f>
        <v>#REF!</v>
      </c>
      <c r="HT98" t="e">
        <f>AND(#REF!,"AAAAAHf7u+M=")</f>
        <v>#REF!</v>
      </c>
      <c r="HU98" t="e">
        <f>AND(#REF!,"AAAAAHf7u+Q=")</f>
        <v>#REF!</v>
      </c>
      <c r="HV98" t="e">
        <f>AND(#REF!,"AAAAAHf7u+U=")</f>
        <v>#REF!</v>
      </c>
      <c r="HW98" t="e">
        <f>AND(#REF!,"AAAAAHf7u+Y=")</f>
        <v>#REF!</v>
      </c>
      <c r="HX98" t="e">
        <f>IF(#REF!,"AAAAAHf7u+c=",0)</f>
        <v>#REF!</v>
      </c>
      <c r="HY98" t="e">
        <f>AND(#REF!,"AAAAAHf7u+g=")</f>
        <v>#REF!</v>
      </c>
      <c r="HZ98" t="e">
        <f>AND(#REF!,"AAAAAHf7u+k=")</f>
        <v>#REF!</v>
      </c>
      <c r="IA98" t="e">
        <f>AND(#REF!,"AAAAAHf7u+o=")</f>
        <v>#REF!</v>
      </c>
      <c r="IB98" t="e">
        <f>AND(#REF!,"AAAAAHf7u+s=")</f>
        <v>#REF!</v>
      </c>
      <c r="IC98" t="e">
        <f>AND(#REF!,"AAAAAHf7u+w=")</f>
        <v>#REF!</v>
      </c>
      <c r="ID98" t="e">
        <f>AND(#REF!,"AAAAAHf7u+0=")</f>
        <v>#REF!</v>
      </c>
      <c r="IE98" t="e">
        <f>AND(#REF!,"AAAAAHf7u+4=")</f>
        <v>#REF!</v>
      </c>
      <c r="IF98" t="e">
        <f>AND(#REF!,"AAAAAHf7u+8=")</f>
        <v>#REF!</v>
      </c>
      <c r="IG98" t="e">
        <f>AND(#REF!,"AAAAAHf7u/A=")</f>
        <v>#REF!</v>
      </c>
      <c r="IH98" t="e">
        <f>AND(#REF!,"AAAAAHf7u/E=")</f>
        <v>#REF!</v>
      </c>
      <c r="II98" t="e">
        <f>IF(#REF!,"AAAAAHf7u/I=",0)</f>
        <v>#REF!</v>
      </c>
      <c r="IJ98" t="e">
        <f>AND(#REF!,"AAAAAHf7u/M=")</f>
        <v>#REF!</v>
      </c>
      <c r="IK98" t="e">
        <f>AND(#REF!,"AAAAAHf7u/Q=")</f>
        <v>#REF!</v>
      </c>
      <c r="IL98" t="e">
        <f>AND(#REF!,"AAAAAHf7u/U=")</f>
        <v>#REF!</v>
      </c>
      <c r="IM98" t="e">
        <f>AND(#REF!,"AAAAAHf7u/Y=")</f>
        <v>#REF!</v>
      </c>
      <c r="IN98" t="e">
        <f>AND(#REF!,"AAAAAHf7u/c=")</f>
        <v>#REF!</v>
      </c>
      <c r="IO98" t="e">
        <f>AND(#REF!,"AAAAAHf7u/g=")</f>
        <v>#REF!</v>
      </c>
      <c r="IP98" t="e">
        <f>AND(#REF!,"AAAAAHf7u/k=")</f>
        <v>#REF!</v>
      </c>
      <c r="IQ98" t="e">
        <f>AND(#REF!,"AAAAAHf7u/o=")</f>
        <v>#REF!</v>
      </c>
      <c r="IR98" t="e">
        <f>AND(#REF!,"AAAAAHf7u/s=")</f>
        <v>#REF!</v>
      </c>
      <c r="IS98" t="e">
        <f>AND(#REF!,"AAAAAHf7u/w=")</f>
        <v>#REF!</v>
      </c>
      <c r="IT98" t="e">
        <f>IF(#REF!,"AAAAAHf7u/0=",0)</f>
        <v>#REF!</v>
      </c>
      <c r="IU98" t="e">
        <f>AND(#REF!,"AAAAAHf7u/4=")</f>
        <v>#REF!</v>
      </c>
      <c r="IV98" t="e">
        <f>AND(#REF!,"AAAAAHf7u/8=")</f>
        <v>#REF!</v>
      </c>
    </row>
    <row r="99" spans="1:256" x14ac:dyDescent="0.25">
      <c r="A99" t="e">
        <f>AND(#REF!,"AAAAAF+1ewA=")</f>
        <v>#REF!</v>
      </c>
      <c r="B99" t="e">
        <f>AND(#REF!,"AAAAAF+1ewE=")</f>
        <v>#REF!</v>
      </c>
      <c r="C99" t="e">
        <f>AND(#REF!,"AAAAAF+1ewI=")</f>
        <v>#REF!</v>
      </c>
      <c r="D99" t="e">
        <f>AND(#REF!,"AAAAAF+1ewM=")</f>
        <v>#REF!</v>
      </c>
      <c r="E99" t="e">
        <f>AND(#REF!,"AAAAAF+1ewQ=")</f>
        <v>#REF!</v>
      </c>
      <c r="F99" t="e">
        <f>AND(#REF!,"AAAAAF+1ewU=")</f>
        <v>#REF!</v>
      </c>
      <c r="G99" t="e">
        <f>AND(#REF!,"AAAAAF+1ewY=")</f>
        <v>#REF!</v>
      </c>
      <c r="H99" t="e">
        <f>AND(#REF!,"AAAAAF+1ewc=")</f>
        <v>#REF!</v>
      </c>
      <c r="I99" t="e">
        <f>IF(#REF!,"AAAAAF+1ewg=",0)</f>
        <v>#REF!</v>
      </c>
      <c r="J99" t="e">
        <f>AND(#REF!,"AAAAAF+1ewk=")</f>
        <v>#REF!</v>
      </c>
      <c r="K99" t="e">
        <f>AND(#REF!,"AAAAAF+1ewo=")</f>
        <v>#REF!</v>
      </c>
      <c r="L99" t="e">
        <f>AND(#REF!,"AAAAAF+1ews=")</f>
        <v>#REF!</v>
      </c>
      <c r="M99" t="e">
        <f>AND(#REF!,"AAAAAF+1eww=")</f>
        <v>#REF!</v>
      </c>
      <c r="N99" t="e">
        <f>AND(#REF!,"AAAAAF+1ew0=")</f>
        <v>#REF!</v>
      </c>
      <c r="O99" t="e">
        <f>AND(#REF!,"AAAAAF+1ew4=")</f>
        <v>#REF!</v>
      </c>
      <c r="P99" t="e">
        <f>AND(#REF!,"AAAAAF+1ew8=")</f>
        <v>#REF!</v>
      </c>
      <c r="Q99" t="e">
        <f>AND(#REF!,"AAAAAF+1exA=")</f>
        <v>#REF!</v>
      </c>
      <c r="R99" t="e">
        <f>AND(#REF!,"AAAAAF+1exE=")</f>
        <v>#REF!</v>
      </c>
      <c r="S99" t="e">
        <f>AND(#REF!,"AAAAAF+1exI=")</f>
        <v>#REF!</v>
      </c>
      <c r="T99" t="e">
        <f>IF(#REF!,"AAAAAF+1exM=",0)</f>
        <v>#REF!</v>
      </c>
      <c r="U99" t="e">
        <f>AND(#REF!,"AAAAAF+1exQ=")</f>
        <v>#REF!</v>
      </c>
      <c r="V99" t="e">
        <f>AND(#REF!,"AAAAAF+1exU=")</f>
        <v>#REF!</v>
      </c>
      <c r="W99" t="e">
        <f>AND(#REF!,"AAAAAF+1exY=")</f>
        <v>#REF!</v>
      </c>
      <c r="X99" t="e">
        <f>AND(#REF!,"AAAAAF+1exc=")</f>
        <v>#REF!</v>
      </c>
      <c r="Y99" t="e">
        <f>AND(#REF!,"AAAAAF+1exg=")</f>
        <v>#REF!</v>
      </c>
      <c r="Z99" t="e">
        <f>AND(#REF!,"AAAAAF+1exk=")</f>
        <v>#REF!</v>
      </c>
      <c r="AA99" t="e">
        <f>AND(#REF!,"AAAAAF+1exo=")</f>
        <v>#REF!</v>
      </c>
      <c r="AB99" t="e">
        <f>AND(#REF!,"AAAAAF+1exs=")</f>
        <v>#REF!</v>
      </c>
      <c r="AC99" t="e">
        <f>AND(#REF!,"AAAAAF+1exw=")</f>
        <v>#REF!</v>
      </c>
      <c r="AD99" t="e">
        <f>AND(#REF!,"AAAAAF+1ex0=")</f>
        <v>#REF!</v>
      </c>
      <c r="AE99" t="e">
        <f>IF(#REF!,"AAAAAF+1ex4=",0)</f>
        <v>#REF!</v>
      </c>
      <c r="AF99" t="e">
        <f>AND(#REF!,"AAAAAF+1ex8=")</f>
        <v>#REF!</v>
      </c>
      <c r="AG99" t="e">
        <f>AND(#REF!,"AAAAAF+1eyA=")</f>
        <v>#REF!</v>
      </c>
      <c r="AH99" t="e">
        <f>AND(#REF!,"AAAAAF+1eyE=")</f>
        <v>#REF!</v>
      </c>
      <c r="AI99" t="e">
        <f>AND(#REF!,"AAAAAF+1eyI=")</f>
        <v>#REF!</v>
      </c>
      <c r="AJ99" t="e">
        <f>AND(#REF!,"AAAAAF+1eyM=")</f>
        <v>#REF!</v>
      </c>
      <c r="AK99" t="e">
        <f>AND(#REF!,"AAAAAF+1eyQ=")</f>
        <v>#REF!</v>
      </c>
      <c r="AL99" t="e">
        <f>AND(#REF!,"AAAAAF+1eyU=")</f>
        <v>#REF!</v>
      </c>
      <c r="AM99" t="e">
        <f>AND(#REF!,"AAAAAF+1eyY=")</f>
        <v>#REF!</v>
      </c>
      <c r="AN99" t="e">
        <f>AND(#REF!,"AAAAAF+1eyc=")</f>
        <v>#REF!</v>
      </c>
      <c r="AO99" t="e">
        <f>AND(#REF!,"AAAAAF+1eyg=")</f>
        <v>#REF!</v>
      </c>
      <c r="AP99" t="e">
        <f>IF(#REF!,"AAAAAF+1eyk=",0)</f>
        <v>#REF!</v>
      </c>
      <c r="AQ99" t="e">
        <f>AND(#REF!,"AAAAAF+1eyo=")</f>
        <v>#REF!</v>
      </c>
      <c r="AR99" t="e">
        <f>AND(#REF!,"AAAAAF+1eys=")</f>
        <v>#REF!</v>
      </c>
      <c r="AS99" t="e">
        <f>AND(#REF!,"AAAAAF+1eyw=")</f>
        <v>#REF!</v>
      </c>
      <c r="AT99" t="e">
        <f>AND(#REF!,"AAAAAF+1ey0=")</f>
        <v>#REF!</v>
      </c>
      <c r="AU99" t="e">
        <f>AND(#REF!,"AAAAAF+1ey4=")</f>
        <v>#REF!</v>
      </c>
      <c r="AV99" t="e">
        <f>AND(#REF!,"AAAAAF+1ey8=")</f>
        <v>#REF!</v>
      </c>
      <c r="AW99" t="e">
        <f>AND(#REF!,"AAAAAF+1ezA=")</f>
        <v>#REF!</v>
      </c>
      <c r="AX99" t="e">
        <f>AND(#REF!,"AAAAAF+1ezE=")</f>
        <v>#REF!</v>
      </c>
      <c r="AY99" t="e">
        <f>AND(#REF!,"AAAAAF+1ezI=")</f>
        <v>#REF!</v>
      </c>
      <c r="AZ99" t="e">
        <f>AND(#REF!,"AAAAAF+1ezM=")</f>
        <v>#REF!</v>
      </c>
      <c r="BA99" t="e">
        <f>IF(#REF!,"AAAAAF+1ezQ=",0)</f>
        <v>#REF!</v>
      </c>
      <c r="BB99" t="e">
        <f>AND(#REF!,"AAAAAF+1ezU=")</f>
        <v>#REF!</v>
      </c>
      <c r="BC99" t="e">
        <f>AND(#REF!,"AAAAAF+1ezY=")</f>
        <v>#REF!</v>
      </c>
      <c r="BD99" t="e">
        <f>AND(#REF!,"AAAAAF+1ezc=")</f>
        <v>#REF!</v>
      </c>
      <c r="BE99" t="e">
        <f>AND(#REF!,"AAAAAF+1ezg=")</f>
        <v>#REF!</v>
      </c>
      <c r="BF99" t="e">
        <f>AND(#REF!,"AAAAAF+1ezk=")</f>
        <v>#REF!</v>
      </c>
      <c r="BG99" t="e">
        <f>AND(#REF!,"AAAAAF+1ezo=")</f>
        <v>#REF!</v>
      </c>
      <c r="BH99" t="e">
        <f>AND(#REF!,"AAAAAF+1ezs=")</f>
        <v>#REF!</v>
      </c>
      <c r="BI99" t="e">
        <f>AND(#REF!,"AAAAAF+1ezw=")</f>
        <v>#REF!</v>
      </c>
      <c r="BJ99" t="e">
        <f>AND(#REF!,"AAAAAF+1ez0=")</f>
        <v>#REF!</v>
      </c>
      <c r="BK99" t="e">
        <f>AND(#REF!,"AAAAAF+1ez4=")</f>
        <v>#REF!</v>
      </c>
      <c r="BL99" t="e">
        <f>IF(#REF!,"AAAAAF+1ez8=",0)</f>
        <v>#REF!</v>
      </c>
      <c r="BM99" t="e">
        <f>AND(#REF!,"AAAAAF+1e0A=")</f>
        <v>#REF!</v>
      </c>
      <c r="BN99" t="e">
        <f>AND(#REF!,"AAAAAF+1e0E=")</f>
        <v>#REF!</v>
      </c>
      <c r="BO99" t="e">
        <f>AND(#REF!,"AAAAAF+1e0I=")</f>
        <v>#REF!</v>
      </c>
      <c r="BP99" t="e">
        <f>AND(#REF!,"AAAAAF+1e0M=")</f>
        <v>#REF!</v>
      </c>
      <c r="BQ99" t="e">
        <f>AND(#REF!,"AAAAAF+1e0Q=")</f>
        <v>#REF!</v>
      </c>
      <c r="BR99" t="e">
        <f>AND(#REF!,"AAAAAF+1e0U=")</f>
        <v>#REF!</v>
      </c>
      <c r="BS99" t="e">
        <f>AND(#REF!,"AAAAAF+1e0Y=")</f>
        <v>#REF!</v>
      </c>
      <c r="BT99" t="e">
        <f>AND(#REF!,"AAAAAF+1e0c=")</f>
        <v>#REF!</v>
      </c>
      <c r="BU99" t="e">
        <f>AND(#REF!,"AAAAAF+1e0g=")</f>
        <v>#REF!</v>
      </c>
      <c r="BV99" t="e">
        <f>AND(#REF!,"AAAAAF+1e0k=")</f>
        <v>#REF!</v>
      </c>
      <c r="BW99" t="e">
        <f>IF(#REF!,"AAAAAF+1e0o=",0)</f>
        <v>#REF!</v>
      </c>
      <c r="BX99" t="e">
        <f>AND(#REF!,"AAAAAF+1e0s=")</f>
        <v>#REF!</v>
      </c>
      <c r="BY99" t="e">
        <f>AND(#REF!,"AAAAAF+1e0w=")</f>
        <v>#REF!</v>
      </c>
      <c r="BZ99" t="e">
        <f>AND(#REF!,"AAAAAF+1e00=")</f>
        <v>#REF!</v>
      </c>
      <c r="CA99" t="e">
        <f>AND(#REF!,"AAAAAF+1e04=")</f>
        <v>#REF!</v>
      </c>
      <c r="CB99" t="e">
        <f>AND(#REF!,"AAAAAF+1e08=")</f>
        <v>#REF!</v>
      </c>
      <c r="CC99" t="e">
        <f>AND(#REF!,"AAAAAF+1e1A=")</f>
        <v>#REF!</v>
      </c>
      <c r="CD99" t="e">
        <f>AND(#REF!,"AAAAAF+1e1E=")</f>
        <v>#REF!</v>
      </c>
      <c r="CE99" t="e">
        <f>AND(#REF!,"AAAAAF+1e1I=")</f>
        <v>#REF!</v>
      </c>
      <c r="CF99" t="e">
        <f>AND(#REF!,"AAAAAF+1e1M=")</f>
        <v>#REF!</v>
      </c>
      <c r="CG99" t="e">
        <f>AND(#REF!,"AAAAAF+1e1Q=")</f>
        <v>#REF!</v>
      </c>
      <c r="CH99" t="e">
        <f>IF(#REF!,"AAAAAF+1e1U=",0)</f>
        <v>#REF!</v>
      </c>
      <c r="CI99" t="e">
        <f>AND(#REF!,"AAAAAF+1e1Y=")</f>
        <v>#REF!</v>
      </c>
      <c r="CJ99" t="e">
        <f>AND(#REF!,"AAAAAF+1e1c=")</f>
        <v>#REF!</v>
      </c>
      <c r="CK99" t="e">
        <f>AND(#REF!,"AAAAAF+1e1g=")</f>
        <v>#REF!</v>
      </c>
      <c r="CL99" t="e">
        <f>AND(#REF!,"AAAAAF+1e1k=")</f>
        <v>#REF!</v>
      </c>
      <c r="CM99" t="e">
        <f>AND(#REF!,"AAAAAF+1e1o=")</f>
        <v>#REF!</v>
      </c>
      <c r="CN99" t="e">
        <f>AND(#REF!,"AAAAAF+1e1s=")</f>
        <v>#REF!</v>
      </c>
      <c r="CO99" t="e">
        <f>AND(#REF!,"AAAAAF+1e1w=")</f>
        <v>#REF!</v>
      </c>
      <c r="CP99" t="e">
        <f>AND(#REF!,"AAAAAF+1e10=")</f>
        <v>#REF!</v>
      </c>
      <c r="CQ99" t="e">
        <f>AND(#REF!,"AAAAAF+1e14=")</f>
        <v>#REF!</v>
      </c>
      <c r="CR99" t="e">
        <f>AND(#REF!,"AAAAAF+1e18=")</f>
        <v>#REF!</v>
      </c>
      <c r="CS99" t="e">
        <f>IF(#REF!,"AAAAAF+1e2A=",0)</f>
        <v>#REF!</v>
      </c>
      <c r="CT99" t="e">
        <f>AND(#REF!,"AAAAAF+1e2E=")</f>
        <v>#REF!</v>
      </c>
      <c r="CU99" t="e">
        <f>AND(#REF!,"AAAAAF+1e2I=")</f>
        <v>#REF!</v>
      </c>
      <c r="CV99" t="e">
        <f>AND(#REF!,"AAAAAF+1e2M=")</f>
        <v>#REF!</v>
      </c>
      <c r="CW99" t="e">
        <f>AND(#REF!,"AAAAAF+1e2Q=")</f>
        <v>#REF!</v>
      </c>
      <c r="CX99" t="e">
        <f>AND(#REF!,"AAAAAF+1e2U=")</f>
        <v>#REF!</v>
      </c>
      <c r="CY99" t="e">
        <f>AND(#REF!,"AAAAAF+1e2Y=")</f>
        <v>#REF!</v>
      </c>
      <c r="CZ99" t="e">
        <f>AND(#REF!,"AAAAAF+1e2c=")</f>
        <v>#REF!</v>
      </c>
      <c r="DA99" t="e">
        <f>AND(#REF!,"AAAAAF+1e2g=")</f>
        <v>#REF!</v>
      </c>
      <c r="DB99" t="e">
        <f>AND(#REF!,"AAAAAF+1e2k=")</f>
        <v>#REF!</v>
      </c>
      <c r="DC99" t="e">
        <f>AND(#REF!,"AAAAAF+1e2o=")</f>
        <v>#REF!</v>
      </c>
      <c r="DD99" t="e">
        <f>IF(#REF!,"AAAAAF+1e2s=",0)</f>
        <v>#REF!</v>
      </c>
      <c r="DE99" t="e">
        <f>AND(#REF!,"AAAAAF+1e2w=")</f>
        <v>#REF!</v>
      </c>
      <c r="DF99" t="e">
        <f>AND(#REF!,"AAAAAF+1e20=")</f>
        <v>#REF!</v>
      </c>
      <c r="DG99" t="e">
        <f>AND(#REF!,"AAAAAF+1e24=")</f>
        <v>#REF!</v>
      </c>
      <c r="DH99" t="e">
        <f>AND(#REF!,"AAAAAF+1e28=")</f>
        <v>#REF!</v>
      </c>
      <c r="DI99" t="e">
        <f>AND(#REF!,"AAAAAF+1e3A=")</f>
        <v>#REF!</v>
      </c>
      <c r="DJ99" t="e">
        <f>AND(#REF!,"AAAAAF+1e3E=")</f>
        <v>#REF!</v>
      </c>
      <c r="DK99" t="e">
        <f>AND(#REF!,"AAAAAF+1e3I=")</f>
        <v>#REF!</v>
      </c>
      <c r="DL99" t="e">
        <f>AND(#REF!,"AAAAAF+1e3M=")</f>
        <v>#REF!</v>
      </c>
      <c r="DM99" t="e">
        <f>AND(#REF!,"AAAAAF+1e3Q=")</f>
        <v>#REF!</v>
      </c>
      <c r="DN99" t="e">
        <f>AND(#REF!,"AAAAAF+1e3U=")</f>
        <v>#REF!</v>
      </c>
      <c r="DO99" t="e">
        <f>IF(#REF!,"AAAAAF+1e3Y=",0)</f>
        <v>#REF!</v>
      </c>
      <c r="DP99" t="e">
        <f>AND(#REF!,"AAAAAF+1e3c=")</f>
        <v>#REF!</v>
      </c>
      <c r="DQ99" t="e">
        <f>AND(#REF!,"AAAAAF+1e3g=")</f>
        <v>#REF!</v>
      </c>
      <c r="DR99" t="e">
        <f>AND(#REF!,"AAAAAF+1e3k=")</f>
        <v>#REF!</v>
      </c>
      <c r="DS99" t="e">
        <f>AND(#REF!,"AAAAAF+1e3o=")</f>
        <v>#REF!</v>
      </c>
      <c r="DT99" t="e">
        <f>AND(#REF!,"AAAAAF+1e3s=")</f>
        <v>#REF!</v>
      </c>
      <c r="DU99" t="e">
        <f>AND(#REF!,"AAAAAF+1e3w=")</f>
        <v>#REF!</v>
      </c>
      <c r="DV99" t="e">
        <f>AND(#REF!,"AAAAAF+1e30=")</f>
        <v>#REF!</v>
      </c>
      <c r="DW99" t="e">
        <f>AND(#REF!,"AAAAAF+1e34=")</f>
        <v>#REF!</v>
      </c>
      <c r="DX99" t="e">
        <f>AND(#REF!,"AAAAAF+1e38=")</f>
        <v>#REF!</v>
      </c>
      <c r="DY99" t="e">
        <f>AND(#REF!,"AAAAAF+1e4A=")</f>
        <v>#REF!</v>
      </c>
      <c r="DZ99" t="e">
        <f>IF(#REF!,"AAAAAF+1e4E=",0)</f>
        <v>#REF!</v>
      </c>
      <c r="EA99" t="e">
        <f>AND(#REF!,"AAAAAF+1e4I=")</f>
        <v>#REF!</v>
      </c>
      <c r="EB99" t="e">
        <f>AND(#REF!,"AAAAAF+1e4M=")</f>
        <v>#REF!</v>
      </c>
      <c r="EC99" t="e">
        <f>AND(#REF!,"AAAAAF+1e4Q=")</f>
        <v>#REF!</v>
      </c>
      <c r="ED99" t="e">
        <f>AND(#REF!,"AAAAAF+1e4U=")</f>
        <v>#REF!</v>
      </c>
      <c r="EE99" t="e">
        <f>AND(#REF!,"AAAAAF+1e4Y=")</f>
        <v>#REF!</v>
      </c>
      <c r="EF99" t="e">
        <f>AND(#REF!,"AAAAAF+1e4c=")</f>
        <v>#REF!</v>
      </c>
      <c r="EG99" t="e">
        <f>AND(#REF!,"AAAAAF+1e4g=")</f>
        <v>#REF!</v>
      </c>
      <c r="EH99" t="e">
        <f>AND(#REF!,"AAAAAF+1e4k=")</f>
        <v>#REF!</v>
      </c>
      <c r="EI99" t="e">
        <f>AND(#REF!,"AAAAAF+1e4o=")</f>
        <v>#REF!</v>
      </c>
      <c r="EJ99" t="e">
        <f>AND(#REF!,"AAAAAF+1e4s=")</f>
        <v>#REF!</v>
      </c>
      <c r="EK99" t="e">
        <f>IF(#REF!,"AAAAAF+1e4w=",0)</f>
        <v>#REF!</v>
      </c>
      <c r="EL99" t="e">
        <f>AND(#REF!,"AAAAAF+1e40=")</f>
        <v>#REF!</v>
      </c>
      <c r="EM99" t="e">
        <f>AND(#REF!,"AAAAAF+1e44=")</f>
        <v>#REF!</v>
      </c>
      <c r="EN99" t="e">
        <f>AND(#REF!,"AAAAAF+1e48=")</f>
        <v>#REF!</v>
      </c>
      <c r="EO99" t="e">
        <f>AND(#REF!,"AAAAAF+1e5A=")</f>
        <v>#REF!</v>
      </c>
      <c r="EP99" t="e">
        <f>AND(#REF!,"AAAAAF+1e5E=")</f>
        <v>#REF!</v>
      </c>
      <c r="EQ99" t="e">
        <f>AND(#REF!,"AAAAAF+1e5I=")</f>
        <v>#REF!</v>
      </c>
      <c r="ER99" t="e">
        <f>AND(#REF!,"AAAAAF+1e5M=")</f>
        <v>#REF!</v>
      </c>
      <c r="ES99" t="e">
        <f>AND(#REF!,"AAAAAF+1e5Q=")</f>
        <v>#REF!</v>
      </c>
      <c r="ET99" t="e">
        <f>AND(#REF!,"AAAAAF+1e5U=")</f>
        <v>#REF!</v>
      </c>
      <c r="EU99" t="e">
        <f>AND(#REF!,"AAAAAF+1e5Y=")</f>
        <v>#REF!</v>
      </c>
      <c r="EV99" t="e">
        <f>IF(#REF!,"AAAAAF+1e5c=",0)</f>
        <v>#REF!</v>
      </c>
      <c r="EW99" t="e">
        <f>AND(#REF!,"AAAAAF+1e5g=")</f>
        <v>#REF!</v>
      </c>
      <c r="EX99" t="e">
        <f>AND(#REF!,"AAAAAF+1e5k=")</f>
        <v>#REF!</v>
      </c>
      <c r="EY99" t="e">
        <f>AND(#REF!,"AAAAAF+1e5o=")</f>
        <v>#REF!</v>
      </c>
      <c r="EZ99" t="e">
        <f>AND(#REF!,"AAAAAF+1e5s=")</f>
        <v>#REF!</v>
      </c>
      <c r="FA99" t="e">
        <f>AND(#REF!,"AAAAAF+1e5w=")</f>
        <v>#REF!</v>
      </c>
      <c r="FB99" t="e">
        <f>AND(#REF!,"AAAAAF+1e50=")</f>
        <v>#REF!</v>
      </c>
      <c r="FC99" t="e">
        <f>AND(#REF!,"AAAAAF+1e54=")</f>
        <v>#REF!</v>
      </c>
      <c r="FD99" t="e">
        <f>AND(#REF!,"AAAAAF+1e58=")</f>
        <v>#REF!</v>
      </c>
      <c r="FE99" t="e">
        <f>AND(#REF!,"AAAAAF+1e6A=")</f>
        <v>#REF!</v>
      </c>
      <c r="FF99" t="e">
        <f>AND(#REF!,"AAAAAF+1e6E=")</f>
        <v>#REF!</v>
      </c>
      <c r="FG99" t="e">
        <f>IF(#REF!,"AAAAAF+1e6I=",0)</f>
        <v>#REF!</v>
      </c>
      <c r="FH99" t="e">
        <f>AND(#REF!,"AAAAAF+1e6M=")</f>
        <v>#REF!</v>
      </c>
      <c r="FI99" t="e">
        <f>AND(#REF!,"AAAAAF+1e6Q=")</f>
        <v>#REF!</v>
      </c>
      <c r="FJ99" t="e">
        <f>AND(#REF!,"AAAAAF+1e6U=")</f>
        <v>#REF!</v>
      </c>
      <c r="FK99" t="e">
        <f>AND(#REF!,"AAAAAF+1e6Y=")</f>
        <v>#REF!</v>
      </c>
      <c r="FL99" t="e">
        <f>AND(#REF!,"AAAAAF+1e6c=")</f>
        <v>#REF!</v>
      </c>
      <c r="FM99" t="e">
        <f>AND(#REF!,"AAAAAF+1e6g=")</f>
        <v>#REF!</v>
      </c>
      <c r="FN99" t="e">
        <f>AND(#REF!,"AAAAAF+1e6k=")</f>
        <v>#REF!</v>
      </c>
      <c r="FO99" t="e">
        <f>AND(#REF!,"AAAAAF+1e6o=")</f>
        <v>#REF!</v>
      </c>
      <c r="FP99" t="e">
        <f>AND(#REF!,"AAAAAF+1e6s=")</f>
        <v>#REF!</v>
      </c>
      <c r="FQ99" t="e">
        <f>AND(#REF!,"AAAAAF+1e6w=")</f>
        <v>#REF!</v>
      </c>
      <c r="FR99" t="e">
        <f>IF(#REF!,"AAAAAF+1e60=",0)</f>
        <v>#REF!</v>
      </c>
      <c r="FS99" t="e">
        <f>AND(#REF!,"AAAAAF+1e64=")</f>
        <v>#REF!</v>
      </c>
      <c r="FT99" t="e">
        <f>AND(#REF!,"AAAAAF+1e68=")</f>
        <v>#REF!</v>
      </c>
      <c r="FU99" t="e">
        <f>AND(#REF!,"AAAAAF+1e7A=")</f>
        <v>#REF!</v>
      </c>
      <c r="FV99" t="e">
        <f>AND(#REF!,"AAAAAF+1e7E=")</f>
        <v>#REF!</v>
      </c>
      <c r="FW99" t="e">
        <f>AND(#REF!,"AAAAAF+1e7I=")</f>
        <v>#REF!</v>
      </c>
      <c r="FX99" t="e">
        <f>AND(#REF!,"AAAAAF+1e7M=")</f>
        <v>#REF!</v>
      </c>
      <c r="FY99" t="e">
        <f>AND(#REF!,"AAAAAF+1e7Q=")</f>
        <v>#REF!</v>
      </c>
      <c r="FZ99" t="e">
        <f>AND(#REF!,"AAAAAF+1e7U=")</f>
        <v>#REF!</v>
      </c>
      <c r="GA99" t="e">
        <f>AND(#REF!,"AAAAAF+1e7Y=")</f>
        <v>#REF!</v>
      </c>
      <c r="GB99" t="e">
        <f>AND(#REF!,"AAAAAF+1e7c=")</f>
        <v>#REF!</v>
      </c>
      <c r="GC99" t="e">
        <f>IF(#REF!,"AAAAAF+1e7g=",0)</f>
        <v>#REF!</v>
      </c>
      <c r="GD99" t="e">
        <f>AND(#REF!,"AAAAAF+1e7k=")</f>
        <v>#REF!</v>
      </c>
      <c r="GE99" t="e">
        <f>AND(#REF!,"AAAAAF+1e7o=")</f>
        <v>#REF!</v>
      </c>
      <c r="GF99" t="e">
        <f>AND(#REF!,"AAAAAF+1e7s=")</f>
        <v>#REF!</v>
      </c>
      <c r="GG99" t="e">
        <f>AND(#REF!,"AAAAAF+1e7w=")</f>
        <v>#REF!</v>
      </c>
      <c r="GH99" t="e">
        <f>AND(#REF!,"AAAAAF+1e70=")</f>
        <v>#REF!</v>
      </c>
      <c r="GI99" t="e">
        <f>AND(#REF!,"AAAAAF+1e74=")</f>
        <v>#REF!</v>
      </c>
      <c r="GJ99" t="e">
        <f>AND(#REF!,"AAAAAF+1e78=")</f>
        <v>#REF!</v>
      </c>
      <c r="GK99" t="e">
        <f>AND(#REF!,"AAAAAF+1e8A=")</f>
        <v>#REF!</v>
      </c>
      <c r="GL99" t="e">
        <f>AND(#REF!,"AAAAAF+1e8E=")</f>
        <v>#REF!</v>
      </c>
      <c r="GM99" t="e">
        <f>AND(#REF!,"AAAAAF+1e8I=")</f>
        <v>#REF!</v>
      </c>
      <c r="GN99" t="e">
        <f>IF(#REF!,"AAAAAF+1e8M=",0)</f>
        <v>#REF!</v>
      </c>
      <c r="GO99" t="e">
        <f>AND(#REF!,"AAAAAF+1e8Q=")</f>
        <v>#REF!</v>
      </c>
      <c r="GP99" t="e">
        <f>AND(#REF!,"AAAAAF+1e8U=")</f>
        <v>#REF!</v>
      </c>
      <c r="GQ99" t="e">
        <f>AND(#REF!,"AAAAAF+1e8Y=")</f>
        <v>#REF!</v>
      </c>
      <c r="GR99" t="e">
        <f>AND(#REF!,"AAAAAF+1e8c=")</f>
        <v>#REF!</v>
      </c>
      <c r="GS99" t="e">
        <f>AND(#REF!,"AAAAAF+1e8g=")</f>
        <v>#REF!</v>
      </c>
      <c r="GT99" t="e">
        <f>AND(#REF!,"AAAAAF+1e8k=")</f>
        <v>#REF!</v>
      </c>
      <c r="GU99" t="e">
        <f>AND(#REF!,"AAAAAF+1e8o=")</f>
        <v>#REF!</v>
      </c>
      <c r="GV99" t="e">
        <f>AND(#REF!,"AAAAAF+1e8s=")</f>
        <v>#REF!</v>
      </c>
      <c r="GW99" t="e">
        <f>AND(#REF!,"AAAAAF+1e8w=")</f>
        <v>#REF!</v>
      </c>
      <c r="GX99" t="e">
        <f>AND(#REF!,"AAAAAF+1e80=")</f>
        <v>#REF!</v>
      </c>
      <c r="GY99" t="e">
        <f>IF(#REF!,"AAAAAF+1e84=",0)</f>
        <v>#REF!</v>
      </c>
      <c r="GZ99" t="e">
        <f>AND(#REF!,"AAAAAF+1e88=")</f>
        <v>#REF!</v>
      </c>
      <c r="HA99" t="e">
        <f>AND(#REF!,"AAAAAF+1e9A=")</f>
        <v>#REF!</v>
      </c>
      <c r="HB99" t="e">
        <f>AND(#REF!,"AAAAAF+1e9E=")</f>
        <v>#REF!</v>
      </c>
      <c r="HC99" t="e">
        <f>AND(#REF!,"AAAAAF+1e9I=")</f>
        <v>#REF!</v>
      </c>
      <c r="HD99" t="e">
        <f>AND(#REF!,"AAAAAF+1e9M=")</f>
        <v>#REF!</v>
      </c>
      <c r="HE99" t="e">
        <f>AND(#REF!,"AAAAAF+1e9Q=")</f>
        <v>#REF!</v>
      </c>
      <c r="HF99" t="e">
        <f>AND(#REF!,"AAAAAF+1e9U=")</f>
        <v>#REF!</v>
      </c>
      <c r="HG99" t="e">
        <f>AND(#REF!,"AAAAAF+1e9Y=")</f>
        <v>#REF!</v>
      </c>
      <c r="HH99" t="e">
        <f>AND(#REF!,"AAAAAF+1e9c=")</f>
        <v>#REF!</v>
      </c>
      <c r="HI99" t="e">
        <f>AND(#REF!,"AAAAAF+1e9g=")</f>
        <v>#REF!</v>
      </c>
      <c r="HJ99" t="e">
        <f>IF(#REF!,"AAAAAF+1e9k=",0)</f>
        <v>#REF!</v>
      </c>
      <c r="HK99" t="e">
        <f>AND(#REF!,"AAAAAF+1e9o=")</f>
        <v>#REF!</v>
      </c>
      <c r="HL99" t="e">
        <f>AND(#REF!,"AAAAAF+1e9s=")</f>
        <v>#REF!</v>
      </c>
      <c r="HM99" t="e">
        <f>AND(#REF!,"AAAAAF+1e9w=")</f>
        <v>#REF!</v>
      </c>
      <c r="HN99" t="e">
        <f>AND(#REF!,"AAAAAF+1e90=")</f>
        <v>#REF!</v>
      </c>
      <c r="HO99" t="e">
        <f>AND(#REF!,"AAAAAF+1e94=")</f>
        <v>#REF!</v>
      </c>
      <c r="HP99" t="e">
        <f>AND(#REF!,"AAAAAF+1e98=")</f>
        <v>#REF!</v>
      </c>
      <c r="HQ99" t="e">
        <f>AND(#REF!,"AAAAAF+1e+A=")</f>
        <v>#REF!</v>
      </c>
      <c r="HR99" t="e">
        <f>AND(#REF!,"AAAAAF+1e+E=")</f>
        <v>#REF!</v>
      </c>
      <c r="HS99" t="e">
        <f>AND(#REF!,"AAAAAF+1e+I=")</f>
        <v>#REF!</v>
      </c>
      <c r="HT99" t="e">
        <f>AND(#REF!,"AAAAAF+1e+M=")</f>
        <v>#REF!</v>
      </c>
      <c r="HU99" t="e">
        <f>IF(#REF!,"AAAAAF+1e+Q=",0)</f>
        <v>#REF!</v>
      </c>
      <c r="HV99" t="e">
        <f>AND(#REF!,"AAAAAF+1e+U=")</f>
        <v>#REF!</v>
      </c>
      <c r="HW99" t="e">
        <f>AND(#REF!,"AAAAAF+1e+Y=")</f>
        <v>#REF!</v>
      </c>
      <c r="HX99" t="e">
        <f>AND(#REF!,"AAAAAF+1e+c=")</f>
        <v>#REF!</v>
      </c>
      <c r="HY99" t="e">
        <f>AND(#REF!,"AAAAAF+1e+g=")</f>
        <v>#REF!</v>
      </c>
      <c r="HZ99" t="e">
        <f>AND(#REF!,"AAAAAF+1e+k=")</f>
        <v>#REF!</v>
      </c>
      <c r="IA99" t="e">
        <f>AND(#REF!,"AAAAAF+1e+o=")</f>
        <v>#REF!</v>
      </c>
      <c r="IB99" t="e">
        <f>AND(#REF!,"AAAAAF+1e+s=")</f>
        <v>#REF!</v>
      </c>
      <c r="IC99" t="e">
        <f>AND(#REF!,"AAAAAF+1e+w=")</f>
        <v>#REF!</v>
      </c>
      <c r="ID99" t="e">
        <f>AND(#REF!,"AAAAAF+1e+0=")</f>
        <v>#REF!</v>
      </c>
      <c r="IE99" t="e">
        <f>AND(#REF!,"AAAAAF+1e+4=")</f>
        <v>#REF!</v>
      </c>
      <c r="IF99" t="e">
        <f>IF(#REF!,"AAAAAF+1e+8=",0)</f>
        <v>#REF!</v>
      </c>
      <c r="IG99" t="e">
        <f>AND(#REF!,"AAAAAF+1e/A=")</f>
        <v>#REF!</v>
      </c>
      <c r="IH99" t="e">
        <f>AND(#REF!,"AAAAAF+1e/E=")</f>
        <v>#REF!</v>
      </c>
      <c r="II99" t="e">
        <f>AND(#REF!,"AAAAAF+1e/I=")</f>
        <v>#REF!</v>
      </c>
      <c r="IJ99" t="e">
        <f>AND(#REF!,"AAAAAF+1e/M=")</f>
        <v>#REF!</v>
      </c>
      <c r="IK99" t="e">
        <f>AND(#REF!,"AAAAAF+1e/Q=")</f>
        <v>#REF!</v>
      </c>
      <c r="IL99" t="e">
        <f>AND(#REF!,"AAAAAF+1e/U=")</f>
        <v>#REF!</v>
      </c>
      <c r="IM99" t="e">
        <f>AND(#REF!,"AAAAAF+1e/Y=")</f>
        <v>#REF!</v>
      </c>
      <c r="IN99" t="e">
        <f>AND(#REF!,"AAAAAF+1e/c=")</f>
        <v>#REF!</v>
      </c>
      <c r="IO99" t="e">
        <f>AND(#REF!,"AAAAAF+1e/g=")</f>
        <v>#REF!</v>
      </c>
      <c r="IP99" t="e">
        <f>AND(#REF!,"AAAAAF+1e/k=")</f>
        <v>#REF!</v>
      </c>
      <c r="IQ99" t="e">
        <f>IF(#REF!,"AAAAAF+1e/o=",0)</f>
        <v>#REF!</v>
      </c>
      <c r="IR99" t="e">
        <f>AND(#REF!,"AAAAAF+1e/s=")</f>
        <v>#REF!</v>
      </c>
      <c r="IS99" t="e">
        <f>AND(#REF!,"AAAAAF+1e/w=")</f>
        <v>#REF!</v>
      </c>
      <c r="IT99" t="e">
        <f>AND(#REF!,"AAAAAF+1e/0=")</f>
        <v>#REF!</v>
      </c>
      <c r="IU99" t="e">
        <f>AND(#REF!,"AAAAAF+1e/4=")</f>
        <v>#REF!</v>
      </c>
      <c r="IV99" t="e">
        <f>AND(#REF!,"AAAAAF+1e/8=")</f>
        <v>#REF!</v>
      </c>
    </row>
    <row r="100" spans="1:256" x14ac:dyDescent="0.25">
      <c r="A100" t="e">
        <f>AND(#REF!,"AAAAAH7vfwA=")</f>
        <v>#REF!</v>
      </c>
      <c r="B100" t="e">
        <f>AND(#REF!,"AAAAAH7vfwE=")</f>
        <v>#REF!</v>
      </c>
      <c r="C100" t="e">
        <f>AND(#REF!,"AAAAAH7vfwI=")</f>
        <v>#REF!</v>
      </c>
      <c r="D100" t="e">
        <f>AND(#REF!,"AAAAAH7vfwM=")</f>
        <v>#REF!</v>
      </c>
      <c r="E100" t="e">
        <f>AND(#REF!,"AAAAAH7vfwQ=")</f>
        <v>#REF!</v>
      </c>
      <c r="F100" t="e">
        <f>IF(#REF!,"AAAAAH7vfwU=",0)</f>
        <v>#REF!</v>
      </c>
      <c r="G100" t="e">
        <f>AND(#REF!,"AAAAAH7vfwY=")</f>
        <v>#REF!</v>
      </c>
      <c r="H100" t="e">
        <f>AND(#REF!,"AAAAAH7vfwc=")</f>
        <v>#REF!</v>
      </c>
      <c r="I100" t="e">
        <f>AND(#REF!,"AAAAAH7vfwg=")</f>
        <v>#REF!</v>
      </c>
      <c r="J100" t="e">
        <f>AND(#REF!,"AAAAAH7vfwk=")</f>
        <v>#REF!</v>
      </c>
      <c r="K100" t="e">
        <f>AND(#REF!,"AAAAAH7vfwo=")</f>
        <v>#REF!</v>
      </c>
      <c r="L100" t="e">
        <f>AND(#REF!,"AAAAAH7vfws=")</f>
        <v>#REF!</v>
      </c>
      <c r="M100" t="e">
        <f>AND(#REF!,"AAAAAH7vfww=")</f>
        <v>#REF!</v>
      </c>
      <c r="N100" t="e">
        <f>AND(#REF!,"AAAAAH7vfw0=")</f>
        <v>#REF!</v>
      </c>
      <c r="O100" t="e">
        <f>AND(#REF!,"AAAAAH7vfw4=")</f>
        <v>#REF!</v>
      </c>
      <c r="P100" t="e">
        <f>AND(#REF!,"AAAAAH7vfw8=")</f>
        <v>#REF!</v>
      </c>
      <c r="Q100" t="e">
        <f>IF(#REF!,"AAAAAH7vfxA=",0)</f>
        <v>#REF!</v>
      </c>
      <c r="R100" t="e">
        <f>AND(#REF!,"AAAAAH7vfxE=")</f>
        <v>#REF!</v>
      </c>
      <c r="S100" t="e">
        <f>AND(#REF!,"AAAAAH7vfxI=")</f>
        <v>#REF!</v>
      </c>
      <c r="T100" t="e">
        <f>AND(#REF!,"AAAAAH7vfxM=")</f>
        <v>#REF!</v>
      </c>
      <c r="U100" t="e">
        <f>AND(#REF!,"AAAAAH7vfxQ=")</f>
        <v>#REF!</v>
      </c>
      <c r="V100" t="e">
        <f>AND(#REF!,"AAAAAH7vfxU=")</f>
        <v>#REF!</v>
      </c>
      <c r="W100" t="e">
        <f>AND(#REF!,"AAAAAH7vfxY=")</f>
        <v>#REF!</v>
      </c>
      <c r="X100" t="e">
        <f>AND(#REF!,"AAAAAH7vfxc=")</f>
        <v>#REF!</v>
      </c>
      <c r="Y100" t="e">
        <f>AND(#REF!,"AAAAAH7vfxg=")</f>
        <v>#REF!</v>
      </c>
      <c r="Z100" t="e">
        <f>AND(#REF!,"AAAAAH7vfxk=")</f>
        <v>#REF!</v>
      </c>
      <c r="AA100" t="e">
        <f>AND(#REF!,"AAAAAH7vfxo=")</f>
        <v>#REF!</v>
      </c>
      <c r="AB100" t="e">
        <f>IF(#REF!,"AAAAAH7vfxs=",0)</f>
        <v>#REF!</v>
      </c>
      <c r="AC100" t="e">
        <f>AND(#REF!,"AAAAAH7vfxw=")</f>
        <v>#REF!</v>
      </c>
      <c r="AD100" t="e">
        <f>AND(#REF!,"AAAAAH7vfx0=")</f>
        <v>#REF!</v>
      </c>
      <c r="AE100" t="e">
        <f>AND(#REF!,"AAAAAH7vfx4=")</f>
        <v>#REF!</v>
      </c>
      <c r="AF100" t="e">
        <f>AND(#REF!,"AAAAAH7vfx8=")</f>
        <v>#REF!</v>
      </c>
      <c r="AG100" t="e">
        <f>AND(#REF!,"AAAAAH7vfyA=")</f>
        <v>#REF!</v>
      </c>
      <c r="AH100" t="e">
        <f>AND(#REF!,"AAAAAH7vfyE=")</f>
        <v>#REF!</v>
      </c>
      <c r="AI100" t="e">
        <f>AND(#REF!,"AAAAAH7vfyI=")</f>
        <v>#REF!</v>
      </c>
      <c r="AJ100" t="e">
        <f>AND(#REF!,"AAAAAH7vfyM=")</f>
        <v>#REF!</v>
      </c>
      <c r="AK100" t="e">
        <f>AND(#REF!,"AAAAAH7vfyQ=")</f>
        <v>#REF!</v>
      </c>
      <c r="AL100" t="e">
        <f>AND(#REF!,"AAAAAH7vfyU=")</f>
        <v>#REF!</v>
      </c>
      <c r="AM100" t="e">
        <f>IF(#REF!,"AAAAAH7vfyY=",0)</f>
        <v>#REF!</v>
      </c>
      <c r="AN100" t="e">
        <f>AND(#REF!,"AAAAAH7vfyc=")</f>
        <v>#REF!</v>
      </c>
      <c r="AO100" t="e">
        <f>AND(#REF!,"AAAAAH7vfyg=")</f>
        <v>#REF!</v>
      </c>
      <c r="AP100" t="e">
        <f>AND(#REF!,"AAAAAH7vfyk=")</f>
        <v>#REF!</v>
      </c>
      <c r="AQ100" t="e">
        <f>AND(#REF!,"AAAAAH7vfyo=")</f>
        <v>#REF!</v>
      </c>
      <c r="AR100" t="e">
        <f>AND(#REF!,"AAAAAH7vfys=")</f>
        <v>#REF!</v>
      </c>
      <c r="AS100" t="e">
        <f>AND(#REF!,"AAAAAH7vfyw=")</f>
        <v>#REF!</v>
      </c>
      <c r="AT100" t="e">
        <f>AND(#REF!,"AAAAAH7vfy0=")</f>
        <v>#REF!</v>
      </c>
      <c r="AU100" t="e">
        <f>AND(#REF!,"AAAAAH7vfy4=")</f>
        <v>#REF!</v>
      </c>
      <c r="AV100" t="e">
        <f>AND(#REF!,"AAAAAH7vfy8=")</f>
        <v>#REF!</v>
      </c>
      <c r="AW100" t="e">
        <f>AND(#REF!,"AAAAAH7vfzA=")</f>
        <v>#REF!</v>
      </c>
      <c r="AX100" t="e">
        <f>IF(#REF!,"AAAAAH7vfzE=",0)</f>
        <v>#REF!</v>
      </c>
      <c r="AY100" t="e">
        <f>AND(#REF!,"AAAAAH7vfzI=")</f>
        <v>#REF!</v>
      </c>
      <c r="AZ100" t="e">
        <f>AND(#REF!,"AAAAAH7vfzM=")</f>
        <v>#REF!</v>
      </c>
      <c r="BA100" t="e">
        <f>AND(#REF!,"AAAAAH7vfzQ=")</f>
        <v>#REF!</v>
      </c>
      <c r="BB100" t="e">
        <f>AND(#REF!,"AAAAAH7vfzU=")</f>
        <v>#REF!</v>
      </c>
      <c r="BC100" t="e">
        <f>AND(#REF!,"AAAAAH7vfzY=")</f>
        <v>#REF!</v>
      </c>
      <c r="BD100" t="e">
        <f>AND(#REF!,"AAAAAH7vfzc=")</f>
        <v>#REF!</v>
      </c>
      <c r="BE100" t="e">
        <f>AND(#REF!,"AAAAAH7vfzg=")</f>
        <v>#REF!</v>
      </c>
      <c r="BF100" t="e">
        <f>AND(#REF!,"AAAAAH7vfzk=")</f>
        <v>#REF!</v>
      </c>
      <c r="BG100" t="e">
        <f>AND(#REF!,"AAAAAH7vfzo=")</f>
        <v>#REF!</v>
      </c>
      <c r="BH100" t="e">
        <f>AND(#REF!,"AAAAAH7vfzs=")</f>
        <v>#REF!</v>
      </c>
      <c r="BI100" t="e">
        <f>IF(#REF!,"AAAAAH7vfzw=",0)</f>
        <v>#REF!</v>
      </c>
      <c r="BJ100" t="e">
        <f>AND(#REF!,"AAAAAH7vfz0=")</f>
        <v>#REF!</v>
      </c>
      <c r="BK100" t="e">
        <f>AND(#REF!,"AAAAAH7vfz4=")</f>
        <v>#REF!</v>
      </c>
      <c r="BL100" t="e">
        <f>AND(#REF!,"AAAAAH7vfz8=")</f>
        <v>#REF!</v>
      </c>
      <c r="BM100" t="e">
        <f>AND(#REF!,"AAAAAH7vf0A=")</f>
        <v>#REF!</v>
      </c>
      <c r="BN100" t="e">
        <f>AND(#REF!,"AAAAAH7vf0E=")</f>
        <v>#REF!</v>
      </c>
      <c r="BO100" t="e">
        <f>AND(#REF!,"AAAAAH7vf0I=")</f>
        <v>#REF!</v>
      </c>
      <c r="BP100" t="e">
        <f>AND(#REF!,"AAAAAH7vf0M=")</f>
        <v>#REF!</v>
      </c>
      <c r="BQ100" t="e">
        <f>AND(#REF!,"AAAAAH7vf0Q=")</f>
        <v>#REF!</v>
      </c>
      <c r="BR100" t="e">
        <f>AND(#REF!,"AAAAAH7vf0U=")</f>
        <v>#REF!</v>
      </c>
      <c r="BS100" t="e">
        <f>AND(#REF!,"AAAAAH7vf0Y=")</f>
        <v>#REF!</v>
      </c>
      <c r="BT100" t="e">
        <f>IF(#REF!,"AAAAAH7vf0c=",0)</f>
        <v>#REF!</v>
      </c>
      <c r="BU100" t="e">
        <f>AND(#REF!,"AAAAAH7vf0g=")</f>
        <v>#REF!</v>
      </c>
      <c r="BV100" t="e">
        <f>AND(#REF!,"AAAAAH7vf0k=")</f>
        <v>#REF!</v>
      </c>
      <c r="BW100" t="e">
        <f>AND(#REF!,"AAAAAH7vf0o=")</f>
        <v>#REF!</v>
      </c>
      <c r="BX100" t="e">
        <f>AND(#REF!,"AAAAAH7vf0s=")</f>
        <v>#REF!</v>
      </c>
      <c r="BY100" t="e">
        <f>AND(#REF!,"AAAAAH7vf0w=")</f>
        <v>#REF!</v>
      </c>
      <c r="BZ100" t="e">
        <f>AND(#REF!,"AAAAAH7vf00=")</f>
        <v>#REF!</v>
      </c>
      <c r="CA100" t="e">
        <f>AND(#REF!,"AAAAAH7vf04=")</f>
        <v>#REF!</v>
      </c>
      <c r="CB100" t="e">
        <f>AND(#REF!,"AAAAAH7vf08=")</f>
        <v>#REF!</v>
      </c>
      <c r="CC100" t="e">
        <f>AND(#REF!,"AAAAAH7vf1A=")</f>
        <v>#REF!</v>
      </c>
      <c r="CD100" t="e">
        <f>AND(#REF!,"AAAAAH7vf1E=")</f>
        <v>#REF!</v>
      </c>
      <c r="CE100" t="e">
        <f>IF(#REF!,"AAAAAH7vf1I=",0)</f>
        <v>#REF!</v>
      </c>
      <c r="CF100" t="e">
        <f>AND(#REF!,"AAAAAH7vf1M=")</f>
        <v>#REF!</v>
      </c>
      <c r="CG100" t="e">
        <f>AND(#REF!,"AAAAAH7vf1Q=")</f>
        <v>#REF!</v>
      </c>
      <c r="CH100" t="e">
        <f>AND(#REF!,"AAAAAH7vf1U=")</f>
        <v>#REF!</v>
      </c>
      <c r="CI100" t="e">
        <f>AND(#REF!,"AAAAAH7vf1Y=")</f>
        <v>#REF!</v>
      </c>
      <c r="CJ100" t="e">
        <f>AND(#REF!,"AAAAAH7vf1c=")</f>
        <v>#REF!</v>
      </c>
      <c r="CK100" t="e">
        <f>AND(#REF!,"AAAAAH7vf1g=")</f>
        <v>#REF!</v>
      </c>
      <c r="CL100" t="e">
        <f>AND(#REF!,"AAAAAH7vf1k=")</f>
        <v>#REF!</v>
      </c>
      <c r="CM100" t="e">
        <f>AND(#REF!,"AAAAAH7vf1o=")</f>
        <v>#REF!</v>
      </c>
      <c r="CN100" t="e">
        <f>AND(#REF!,"AAAAAH7vf1s=")</f>
        <v>#REF!</v>
      </c>
      <c r="CO100" t="e">
        <f>AND(#REF!,"AAAAAH7vf1w=")</f>
        <v>#REF!</v>
      </c>
      <c r="CP100" t="e">
        <f>IF(#REF!,"AAAAAH7vf10=",0)</f>
        <v>#REF!</v>
      </c>
      <c r="CQ100" t="e">
        <f>AND(#REF!,"AAAAAH7vf14=")</f>
        <v>#REF!</v>
      </c>
      <c r="CR100" t="e">
        <f>AND(#REF!,"AAAAAH7vf18=")</f>
        <v>#REF!</v>
      </c>
      <c r="CS100" t="e">
        <f>AND(#REF!,"AAAAAH7vf2A=")</f>
        <v>#REF!</v>
      </c>
      <c r="CT100" t="e">
        <f>AND(#REF!,"AAAAAH7vf2E=")</f>
        <v>#REF!</v>
      </c>
      <c r="CU100" t="e">
        <f>AND(#REF!,"AAAAAH7vf2I=")</f>
        <v>#REF!</v>
      </c>
      <c r="CV100" t="e">
        <f>AND(#REF!,"AAAAAH7vf2M=")</f>
        <v>#REF!</v>
      </c>
      <c r="CW100" t="e">
        <f>AND(#REF!,"AAAAAH7vf2Q=")</f>
        <v>#REF!</v>
      </c>
      <c r="CX100" t="e">
        <f>AND(#REF!,"AAAAAH7vf2U=")</f>
        <v>#REF!</v>
      </c>
      <c r="CY100" t="e">
        <f>AND(#REF!,"AAAAAH7vf2Y=")</f>
        <v>#REF!</v>
      </c>
      <c r="CZ100" t="e">
        <f>AND(#REF!,"AAAAAH7vf2c=")</f>
        <v>#REF!</v>
      </c>
      <c r="DA100" t="e">
        <f>IF(#REF!,"AAAAAH7vf2g=",0)</f>
        <v>#REF!</v>
      </c>
      <c r="DB100" t="e">
        <f>AND(#REF!,"AAAAAH7vf2k=")</f>
        <v>#REF!</v>
      </c>
      <c r="DC100" t="e">
        <f>AND(#REF!,"AAAAAH7vf2o=")</f>
        <v>#REF!</v>
      </c>
      <c r="DD100" t="e">
        <f>AND(#REF!,"AAAAAH7vf2s=")</f>
        <v>#REF!</v>
      </c>
      <c r="DE100" t="e">
        <f>AND(#REF!,"AAAAAH7vf2w=")</f>
        <v>#REF!</v>
      </c>
      <c r="DF100" t="e">
        <f>AND(#REF!,"AAAAAH7vf20=")</f>
        <v>#REF!</v>
      </c>
      <c r="DG100" t="e">
        <f>AND(#REF!,"AAAAAH7vf24=")</f>
        <v>#REF!</v>
      </c>
      <c r="DH100" t="e">
        <f>AND(#REF!,"AAAAAH7vf28=")</f>
        <v>#REF!</v>
      </c>
      <c r="DI100" t="e">
        <f>AND(#REF!,"AAAAAH7vf3A=")</f>
        <v>#REF!</v>
      </c>
      <c r="DJ100" t="e">
        <f>AND(#REF!,"AAAAAH7vf3E=")</f>
        <v>#REF!</v>
      </c>
      <c r="DK100" t="e">
        <f>AND(#REF!,"AAAAAH7vf3I=")</f>
        <v>#REF!</v>
      </c>
      <c r="DL100" t="e">
        <f>IF(#REF!,"AAAAAH7vf3M=",0)</f>
        <v>#REF!</v>
      </c>
      <c r="DM100" t="e">
        <f>AND(#REF!,"AAAAAH7vf3Q=")</f>
        <v>#REF!</v>
      </c>
      <c r="DN100" t="e">
        <f>AND(#REF!,"AAAAAH7vf3U=")</f>
        <v>#REF!</v>
      </c>
      <c r="DO100" t="e">
        <f>AND(#REF!,"AAAAAH7vf3Y=")</f>
        <v>#REF!</v>
      </c>
      <c r="DP100" t="e">
        <f>AND(#REF!,"AAAAAH7vf3c=")</f>
        <v>#REF!</v>
      </c>
      <c r="DQ100" t="e">
        <f>AND(#REF!,"AAAAAH7vf3g=")</f>
        <v>#REF!</v>
      </c>
      <c r="DR100" t="e">
        <f>AND(#REF!,"AAAAAH7vf3k=")</f>
        <v>#REF!</v>
      </c>
      <c r="DS100" t="e">
        <f>AND(#REF!,"AAAAAH7vf3o=")</f>
        <v>#REF!</v>
      </c>
      <c r="DT100" t="e">
        <f>AND(#REF!,"AAAAAH7vf3s=")</f>
        <v>#REF!</v>
      </c>
      <c r="DU100" t="e">
        <f>AND(#REF!,"AAAAAH7vf3w=")</f>
        <v>#REF!</v>
      </c>
      <c r="DV100" t="e">
        <f>AND(#REF!,"AAAAAH7vf30=")</f>
        <v>#REF!</v>
      </c>
      <c r="DW100" t="e">
        <f>IF(#REF!,"AAAAAH7vf34=",0)</f>
        <v>#REF!</v>
      </c>
      <c r="DX100" t="e">
        <f>AND(#REF!,"AAAAAH7vf38=")</f>
        <v>#REF!</v>
      </c>
      <c r="DY100" t="e">
        <f>AND(#REF!,"AAAAAH7vf4A=")</f>
        <v>#REF!</v>
      </c>
      <c r="DZ100" t="e">
        <f>AND(#REF!,"AAAAAH7vf4E=")</f>
        <v>#REF!</v>
      </c>
      <c r="EA100" t="e">
        <f>AND(#REF!,"AAAAAH7vf4I=")</f>
        <v>#REF!</v>
      </c>
      <c r="EB100" t="e">
        <f>AND(#REF!,"AAAAAH7vf4M=")</f>
        <v>#REF!</v>
      </c>
      <c r="EC100" t="e">
        <f>AND(#REF!,"AAAAAH7vf4Q=")</f>
        <v>#REF!</v>
      </c>
      <c r="ED100" t="e">
        <f>AND(#REF!,"AAAAAH7vf4U=")</f>
        <v>#REF!</v>
      </c>
      <c r="EE100" t="e">
        <f>AND(#REF!,"AAAAAH7vf4Y=")</f>
        <v>#REF!</v>
      </c>
      <c r="EF100" t="e">
        <f>AND(#REF!,"AAAAAH7vf4c=")</f>
        <v>#REF!</v>
      </c>
      <c r="EG100" t="e">
        <f>AND(#REF!,"AAAAAH7vf4g=")</f>
        <v>#REF!</v>
      </c>
      <c r="EH100" t="e">
        <f>IF(#REF!,"AAAAAH7vf4k=",0)</f>
        <v>#REF!</v>
      </c>
      <c r="EI100" t="e">
        <f>AND(#REF!,"AAAAAH7vf4o=")</f>
        <v>#REF!</v>
      </c>
      <c r="EJ100" t="e">
        <f>AND(#REF!,"AAAAAH7vf4s=")</f>
        <v>#REF!</v>
      </c>
      <c r="EK100" t="e">
        <f>AND(#REF!,"AAAAAH7vf4w=")</f>
        <v>#REF!</v>
      </c>
      <c r="EL100" t="e">
        <f>AND(#REF!,"AAAAAH7vf40=")</f>
        <v>#REF!</v>
      </c>
      <c r="EM100" t="e">
        <f>AND(#REF!,"AAAAAH7vf44=")</f>
        <v>#REF!</v>
      </c>
      <c r="EN100" t="e">
        <f>AND(#REF!,"AAAAAH7vf48=")</f>
        <v>#REF!</v>
      </c>
      <c r="EO100" t="e">
        <f>AND(#REF!,"AAAAAH7vf5A=")</f>
        <v>#REF!</v>
      </c>
      <c r="EP100" t="e">
        <f>AND(#REF!,"AAAAAH7vf5E=")</f>
        <v>#REF!</v>
      </c>
      <c r="EQ100" t="e">
        <f>AND(#REF!,"AAAAAH7vf5I=")</f>
        <v>#REF!</v>
      </c>
      <c r="ER100" t="e">
        <f>AND(#REF!,"AAAAAH7vf5M=")</f>
        <v>#REF!</v>
      </c>
      <c r="ES100" t="e">
        <f>IF(#REF!,"AAAAAH7vf5Q=",0)</f>
        <v>#REF!</v>
      </c>
      <c r="ET100" t="e">
        <f>AND(#REF!,"AAAAAH7vf5U=")</f>
        <v>#REF!</v>
      </c>
      <c r="EU100" t="e">
        <f>AND(#REF!,"AAAAAH7vf5Y=")</f>
        <v>#REF!</v>
      </c>
      <c r="EV100" t="e">
        <f>AND(#REF!,"AAAAAH7vf5c=")</f>
        <v>#REF!</v>
      </c>
      <c r="EW100" t="e">
        <f>AND(#REF!,"AAAAAH7vf5g=")</f>
        <v>#REF!</v>
      </c>
      <c r="EX100" t="e">
        <f>AND(#REF!,"AAAAAH7vf5k=")</f>
        <v>#REF!</v>
      </c>
      <c r="EY100" t="e">
        <f>AND(#REF!,"AAAAAH7vf5o=")</f>
        <v>#REF!</v>
      </c>
      <c r="EZ100" t="e">
        <f>AND(#REF!,"AAAAAH7vf5s=")</f>
        <v>#REF!</v>
      </c>
      <c r="FA100" t="e">
        <f>AND(#REF!,"AAAAAH7vf5w=")</f>
        <v>#REF!</v>
      </c>
      <c r="FB100" t="e">
        <f>AND(#REF!,"AAAAAH7vf50=")</f>
        <v>#REF!</v>
      </c>
      <c r="FC100" t="e">
        <f>AND(#REF!,"AAAAAH7vf54=")</f>
        <v>#REF!</v>
      </c>
      <c r="FD100" t="e">
        <f>IF(#REF!,"AAAAAH7vf58=",0)</f>
        <v>#REF!</v>
      </c>
      <c r="FE100" t="e">
        <f>AND(#REF!,"AAAAAH7vf6A=")</f>
        <v>#REF!</v>
      </c>
      <c r="FF100" t="e">
        <f>AND(#REF!,"AAAAAH7vf6E=")</f>
        <v>#REF!</v>
      </c>
      <c r="FG100" t="e">
        <f>AND(#REF!,"AAAAAH7vf6I=")</f>
        <v>#REF!</v>
      </c>
      <c r="FH100" t="e">
        <f>AND(#REF!,"AAAAAH7vf6M=")</f>
        <v>#REF!</v>
      </c>
      <c r="FI100" t="e">
        <f>AND(#REF!,"AAAAAH7vf6Q=")</f>
        <v>#REF!</v>
      </c>
      <c r="FJ100" t="e">
        <f>AND(#REF!,"AAAAAH7vf6U=")</f>
        <v>#REF!</v>
      </c>
      <c r="FK100" t="e">
        <f>AND(#REF!,"AAAAAH7vf6Y=")</f>
        <v>#REF!</v>
      </c>
      <c r="FL100" t="e">
        <f>AND(#REF!,"AAAAAH7vf6c=")</f>
        <v>#REF!</v>
      </c>
      <c r="FM100" t="e">
        <f>AND(#REF!,"AAAAAH7vf6g=")</f>
        <v>#REF!</v>
      </c>
      <c r="FN100" t="e">
        <f>AND(#REF!,"AAAAAH7vf6k=")</f>
        <v>#REF!</v>
      </c>
      <c r="FO100" t="e">
        <f>IF(#REF!,"AAAAAH7vf6o=",0)</f>
        <v>#REF!</v>
      </c>
      <c r="FP100" t="e">
        <f>AND(#REF!,"AAAAAH7vf6s=")</f>
        <v>#REF!</v>
      </c>
      <c r="FQ100" t="e">
        <f>AND(#REF!,"AAAAAH7vf6w=")</f>
        <v>#REF!</v>
      </c>
      <c r="FR100" t="e">
        <f>AND(#REF!,"AAAAAH7vf60=")</f>
        <v>#REF!</v>
      </c>
      <c r="FS100" t="e">
        <f>AND(#REF!,"AAAAAH7vf64=")</f>
        <v>#REF!</v>
      </c>
      <c r="FT100" t="e">
        <f>AND(#REF!,"AAAAAH7vf68=")</f>
        <v>#REF!</v>
      </c>
      <c r="FU100" t="e">
        <f>AND(#REF!,"AAAAAH7vf7A=")</f>
        <v>#REF!</v>
      </c>
      <c r="FV100" t="e">
        <f>AND(#REF!,"AAAAAH7vf7E=")</f>
        <v>#REF!</v>
      </c>
      <c r="FW100" t="e">
        <f>AND(#REF!,"AAAAAH7vf7I=")</f>
        <v>#REF!</v>
      </c>
      <c r="FX100" t="e">
        <f>AND(#REF!,"AAAAAH7vf7M=")</f>
        <v>#REF!</v>
      </c>
      <c r="FY100" t="e">
        <f>AND(#REF!,"AAAAAH7vf7Q=")</f>
        <v>#REF!</v>
      </c>
      <c r="FZ100" t="e">
        <f>IF(#REF!,"AAAAAH7vf7U=",0)</f>
        <v>#REF!</v>
      </c>
      <c r="GA100" t="e">
        <f>AND(#REF!,"AAAAAH7vf7Y=")</f>
        <v>#REF!</v>
      </c>
      <c r="GB100" t="e">
        <f>AND(#REF!,"AAAAAH7vf7c=")</f>
        <v>#REF!</v>
      </c>
      <c r="GC100" t="e">
        <f>AND(#REF!,"AAAAAH7vf7g=")</f>
        <v>#REF!</v>
      </c>
      <c r="GD100" t="e">
        <f>AND(#REF!,"AAAAAH7vf7k=")</f>
        <v>#REF!</v>
      </c>
      <c r="GE100" t="e">
        <f>AND(#REF!,"AAAAAH7vf7o=")</f>
        <v>#REF!</v>
      </c>
      <c r="GF100" t="e">
        <f>AND(#REF!,"AAAAAH7vf7s=")</f>
        <v>#REF!</v>
      </c>
      <c r="GG100" t="e">
        <f>AND(#REF!,"AAAAAH7vf7w=")</f>
        <v>#REF!</v>
      </c>
      <c r="GH100" t="e">
        <f>AND(#REF!,"AAAAAH7vf70=")</f>
        <v>#REF!</v>
      </c>
      <c r="GI100" t="e">
        <f>AND(#REF!,"AAAAAH7vf74=")</f>
        <v>#REF!</v>
      </c>
      <c r="GJ100" t="e">
        <f>AND(#REF!,"AAAAAH7vf78=")</f>
        <v>#REF!</v>
      </c>
      <c r="GK100" t="e">
        <f>IF(#REF!,"AAAAAH7vf8A=",0)</f>
        <v>#REF!</v>
      </c>
      <c r="GL100" t="e">
        <f>AND(#REF!,"AAAAAH7vf8E=")</f>
        <v>#REF!</v>
      </c>
      <c r="GM100" t="e">
        <f>AND(#REF!,"AAAAAH7vf8I=")</f>
        <v>#REF!</v>
      </c>
      <c r="GN100" t="e">
        <f>AND(#REF!,"AAAAAH7vf8M=")</f>
        <v>#REF!</v>
      </c>
      <c r="GO100" t="e">
        <f>AND(#REF!,"AAAAAH7vf8Q=")</f>
        <v>#REF!</v>
      </c>
      <c r="GP100" t="e">
        <f>AND(#REF!,"AAAAAH7vf8U=")</f>
        <v>#REF!</v>
      </c>
      <c r="GQ100" t="e">
        <f>AND(#REF!,"AAAAAH7vf8Y=")</f>
        <v>#REF!</v>
      </c>
      <c r="GR100" t="e">
        <f>AND(#REF!,"AAAAAH7vf8c=")</f>
        <v>#REF!</v>
      </c>
      <c r="GS100" t="e">
        <f>AND(#REF!,"AAAAAH7vf8g=")</f>
        <v>#REF!</v>
      </c>
      <c r="GT100" t="e">
        <f>AND(#REF!,"AAAAAH7vf8k=")</f>
        <v>#REF!</v>
      </c>
      <c r="GU100" t="e">
        <f>AND(#REF!,"AAAAAH7vf8o=")</f>
        <v>#REF!</v>
      </c>
      <c r="GV100" t="e">
        <f>IF(#REF!,"AAAAAH7vf8s=",0)</f>
        <v>#REF!</v>
      </c>
      <c r="GW100" t="e">
        <f>AND(#REF!,"AAAAAH7vf8w=")</f>
        <v>#REF!</v>
      </c>
      <c r="GX100" t="e">
        <f>AND(#REF!,"AAAAAH7vf80=")</f>
        <v>#REF!</v>
      </c>
      <c r="GY100" t="e">
        <f>AND(#REF!,"AAAAAH7vf84=")</f>
        <v>#REF!</v>
      </c>
      <c r="GZ100" t="e">
        <f>AND(#REF!,"AAAAAH7vf88=")</f>
        <v>#REF!</v>
      </c>
      <c r="HA100" t="e">
        <f>AND(#REF!,"AAAAAH7vf9A=")</f>
        <v>#REF!</v>
      </c>
      <c r="HB100" t="e">
        <f>AND(#REF!,"AAAAAH7vf9E=")</f>
        <v>#REF!</v>
      </c>
      <c r="HC100" t="e">
        <f>AND(#REF!,"AAAAAH7vf9I=")</f>
        <v>#REF!</v>
      </c>
      <c r="HD100" t="e">
        <f>AND(#REF!,"AAAAAH7vf9M=")</f>
        <v>#REF!</v>
      </c>
      <c r="HE100" t="e">
        <f>AND(#REF!,"AAAAAH7vf9Q=")</f>
        <v>#REF!</v>
      </c>
      <c r="HF100" t="e">
        <f>AND(#REF!,"AAAAAH7vf9U=")</f>
        <v>#REF!</v>
      </c>
      <c r="HG100" t="e">
        <f>IF(#REF!,"AAAAAH7vf9Y=",0)</f>
        <v>#REF!</v>
      </c>
      <c r="HH100" t="e">
        <f>AND(#REF!,"AAAAAH7vf9c=")</f>
        <v>#REF!</v>
      </c>
      <c r="HI100" t="e">
        <f>AND(#REF!,"AAAAAH7vf9g=")</f>
        <v>#REF!</v>
      </c>
      <c r="HJ100" t="e">
        <f>AND(#REF!,"AAAAAH7vf9k=")</f>
        <v>#REF!</v>
      </c>
      <c r="HK100" t="e">
        <f>AND(#REF!,"AAAAAH7vf9o=")</f>
        <v>#REF!</v>
      </c>
      <c r="HL100" t="e">
        <f>AND(#REF!,"AAAAAH7vf9s=")</f>
        <v>#REF!</v>
      </c>
      <c r="HM100" t="e">
        <f>AND(#REF!,"AAAAAH7vf9w=")</f>
        <v>#REF!</v>
      </c>
      <c r="HN100" t="e">
        <f>AND(#REF!,"AAAAAH7vf90=")</f>
        <v>#REF!</v>
      </c>
      <c r="HO100" t="e">
        <f>AND(#REF!,"AAAAAH7vf94=")</f>
        <v>#REF!</v>
      </c>
      <c r="HP100" t="e">
        <f>AND(#REF!,"AAAAAH7vf98=")</f>
        <v>#REF!</v>
      </c>
      <c r="HQ100" t="e">
        <f>AND(#REF!,"AAAAAH7vf+A=")</f>
        <v>#REF!</v>
      </c>
      <c r="HR100" t="e">
        <f>IF(#REF!,"AAAAAH7vf+E=",0)</f>
        <v>#REF!</v>
      </c>
      <c r="HS100" t="e">
        <f>AND(#REF!,"AAAAAH7vf+I=")</f>
        <v>#REF!</v>
      </c>
      <c r="HT100" t="e">
        <f>AND(#REF!,"AAAAAH7vf+M=")</f>
        <v>#REF!</v>
      </c>
      <c r="HU100" t="e">
        <f>AND(#REF!,"AAAAAH7vf+Q=")</f>
        <v>#REF!</v>
      </c>
      <c r="HV100" t="e">
        <f>AND(#REF!,"AAAAAH7vf+U=")</f>
        <v>#REF!</v>
      </c>
      <c r="HW100" t="e">
        <f>AND(#REF!,"AAAAAH7vf+Y=")</f>
        <v>#REF!</v>
      </c>
      <c r="HX100" t="e">
        <f>AND(#REF!,"AAAAAH7vf+c=")</f>
        <v>#REF!</v>
      </c>
      <c r="HY100" t="e">
        <f>AND(#REF!,"AAAAAH7vf+g=")</f>
        <v>#REF!</v>
      </c>
      <c r="HZ100" t="e">
        <f>AND(#REF!,"AAAAAH7vf+k=")</f>
        <v>#REF!</v>
      </c>
      <c r="IA100" t="e">
        <f>AND(#REF!,"AAAAAH7vf+o=")</f>
        <v>#REF!</v>
      </c>
      <c r="IB100" t="e">
        <f>AND(#REF!,"AAAAAH7vf+s=")</f>
        <v>#REF!</v>
      </c>
      <c r="IC100" t="e">
        <f>IF(#REF!,"AAAAAH7vf+w=",0)</f>
        <v>#REF!</v>
      </c>
      <c r="ID100" t="e">
        <f>AND(#REF!,"AAAAAH7vf+0=")</f>
        <v>#REF!</v>
      </c>
      <c r="IE100" t="e">
        <f>AND(#REF!,"AAAAAH7vf+4=")</f>
        <v>#REF!</v>
      </c>
      <c r="IF100" t="e">
        <f>AND(#REF!,"AAAAAH7vf+8=")</f>
        <v>#REF!</v>
      </c>
      <c r="IG100" t="e">
        <f>AND(#REF!,"AAAAAH7vf/A=")</f>
        <v>#REF!</v>
      </c>
      <c r="IH100" t="e">
        <f>AND(#REF!,"AAAAAH7vf/E=")</f>
        <v>#REF!</v>
      </c>
      <c r="II100" t="e">
        <f>AND(#REF!,"AAAAAH7vf/I=")</f>
        <v>#REF!</v>
      </c>
      <c r="IJ100" t="e">
        <f>AND(#REF!,"AAAAAH7vf/M=")</f>
        <v>#REF!</v>
      </c>
      <c r="IK100" t="e">
        <f>AND(#REF!,"AAAAAH7vf/Q=")</f>
        <v>#REF!</v>
      </c>
      <c r="IL100" t="e">
        <f>AND(#REF!,"AAAAAH7vf/U=")</f>
        <v>#REF!</v>
      </c>
      <c r="IM100" t="e">
        <f>AND(#REF!,"AAAAAH7vf/Y=")</f>
        <v>#REF!</v>
      </c>
      <c r="IN100" t="e">
        <f>IF(#REF!,"AAAAAH7vf/c=",0)</f>
        <v>#REF!</v>
      </c>
      <c r="IO100" t="e">
        <f>AND(#REF!,"AAAAAH7vf/g=")</f>
        <v>#REF!</v>
      </c>
      <c r="IP100" t="e">
        <f>AND(#REF!,"AAAAAH7vf/k=")</f>
        <v>#REF!</v>
      </c>
      <c r="IQ100" t="e">
        <f>AND(#REF!,"AAAAAH7vf/o=")</f>
        <v>#REF!</v>
      </c>
      <c r="IR100" t="e">
        <f>AND(#REF!,"AAAAAH7vf/s=")</f>
        <v>#REF!</v>
      </c>
      <c r="IS100" t="e">
        <f>AND(#REF!,"AAAAAH7vf/w=")</f>
        <v>#REF!</v>
      </c>
      <c r="IT100" t="e">
        <f>AND(#REF!,"AAAAAH7vf/0=")</f>
        <v>#REF!</v>
      </c>
      <c r="IU100" t="e">
        <f>AND(#REF!,"AAAAAH7vf/4=")</f>
        <v>#REF!</v>
      </c>
      <c r="IV100" t="e">
        <f>AND(#REF!,"AAAAAH7vf/8=")</f>
        <v>#REF!</v>
      </c>
    </row>
    <row r="101" spans="1:256" x14ac:dyDescent="0.25">
      <c r="A101" t="e">
        <f>AND(#REF!,"AAAAAH3z5wA=")</f>
        <v>#REF!</v>
      </c>
      <c r="B101" t="e">
        <f>AND(#REF!,"AAAAAH3z5wE=")</f>
        <v>#REF!</v>
      </c>
      <c r="C101" t="e">
        <f>IF(#REF!,"AAAAAH3z5wI=",0)</f>
        <v>#REF!</v>
      </c>
      <c r="D101" t="e">
        <f>AND(#REF!,"AAAAAH3z5wM=")</f>
        <v>#REF!</v>
      </c>
      <c r="E101" t="e">
        <f>AND(#REF!,"AAAAAH3z5wQ=")</f>
        <v>#REF!</v>
      </c>
      <c r="F101" t="e">
        <f>AND(#REF!,"AAAAAH3z5wU=")</f>
        <v>#REF!</v>
      </c>
      <c r="G101" t="e">
        <f>AND(#REF!,"AAAAAH3z5wY=")</f>
        <v>#REF!</v>
      </c>
      <c r="H101" t="e">
        <f>AND(#REF!,"AAAAAH3z5wc=")</f>
        <v>#REF!</v>
      </c>
      <c r="I101" t="e">
        <f>AND(#REF!,"AAAAAH3z5wg=")</f>
        <v>#REF!</v>
      </c>
      <c r="J101" t="e">
        <f>AND(#REF!,"AAAAAH3z5wk=")</f>
        <v>#REF!</v>
      </c>
      <c r="K101" t="e">
        <f>AND(#REF!,"AAAAAH3z5wo=")</f>
        <v>#REF!</v>
      </c>
      <c r="L101" t="e">
        <f>AND(#REF!,"AAAAAH3z5ws=")</f>
        <v>#REF!</v>
      </c>
      <c r="M101" t="e">
        <f>AND(#REF!,"AAAAAH3z5ww=")</f>
        <v>#REF!</v>
      </c>
      <c r="N101" t="e">
        <f>IF(#REF!,"AAAAAH3z5w0=",0)</f>
        <v>#REF!</v>
      </c>
      <c r="O101" t="e">
        <f>AND(#REF!,"AAAAAH3z5w4=")</f>
        <v>#REF!</v>
      </c>
      <c r="P101" t="e">
        <f>AND(#REF!,"AAAAAH3z5w8=")</f>
        <v>#REF!</v>
      </c>
      <c r="Q101" t="e">
        <f>AND(#REF!,"AAAAAH3z5xA=")</f>
        <v>#REF!</v>
      </c>
      <c r="R101" t="e">
        <f>AND(#REF!,"AAAAAH3z5xE=")</f>
        <v>#REF!</v>
      </c>
      <c r="S101" t="e">
        <f>AND(#REF!,"AAAAAH3z5xI=")</f>
        <v>#REF!</v>
      </c>
      <c r="T101" t="e">
        <f>AND(#REF!,"AAAAAH3z5xM=")</f>
        <v>#REF!</v>
      </c>
      <c r="U101" t="e">
        <f>AND(#REF!,"AAAAAH3z5xQ=")</f>
        <v>#REF!</v>
      </c>
      <c r="V101" t="e">
        <f>AND(#REF!,"AAAAAH3z5xU=")</f>
        <v>#REF!</v>
      </c>
      <c r="W101" t="e">
        <f>AND(#REF!,"AAAAAH3z5xY=")</f>
        <v>#REF!</v>
      </c>
      <c r="X101" t="e">
        <f>AND(#REF!,"AAAAAH3z5xc=")</f>
        <v>#REF!</v>
      </c>
      <c r="Y101" t="e">
        <f>IF(#REF!,"AAAAAH3z5xg=",0)</f>
        <v>#REF!</v>
      </c>
      <c r="Z101" t="e">
        <f>AND(#REF!,"AAAAAH3z5xk=")</f>
        <v>#REF!</v>
      </c>
      <c r="AA101" t="e">
        <f>AND(#REF!,"AAAAAH3z5xo=")</f>
        <v>#REF!</v>
      </c>
      <c r="AB101" t="e">
        <f>AND(#REF!,"AAAAAH3z5xs=")</f>
        <v>#REF!</v>
      </c>
      <c r="AC101" t="e">
        <f>AND(#REF!,"AAAAAH3z5xw=")</f>
        <v>#REF!</v>
      </c>
      <c r="AD101" t="e">
        <f>AND(#REF!,"AAAAAH3z5x0=")</f>
        <v>#REF!</v>
      </c>
      <c r="AE101" t="e">
        <f>AND(#REF!,"AAAAAH3z5x4=")</f>
        <v>#REF!</v>
      </c>
      <c r="AF101" t="e">
        <f>AND(#REF!,"AAAAAH3z5x8=")</f>
        <v>#REF!</v>
      </c>
      <c r="AG101" t="e">
        <f>AND(#REF!,"AAAAAH3z5yA=")</f>
        <v>#REF!</v>
      </c>
      <c r="AH101" t="e">
        <f>AND(#REF!,"AAAAAH3z5yE=")</f>
        <v>#REF!</v>
      </c>
      <c r="AI101" t="e">
        <f>AND(#REF!,"AAAAAH3z5yI=")</f>
        <v>#REF!</v>
      </c>
      <c r="AJ101" t="e">
        <f>IF(#REF!,"AAAAAH3z5yM=",0)</f>
        <v>#REF!</v>
      </c>
      <c r="AK101" t="e">
        <f>AND(#REF!,"AAAAAH3z5yQ=")</f>
        <v>#REF!</v>
      </c>
      <c r="AL101" t="e">
        <f>AND(#REF!,"AAAAAH3z5yU=")</f>
        <v>#REF!</v>
      </c>
      <c r="AM101" t="e">
        <f>AND(#REF!,"AAAAAH3z5yY=")</f>
        <v>#REF!</v>
      </c>
      <c r="AN101" t="e">
        <f>AND(#REF!,"AAAAAH3z5yc=")</f>
        <v>#REF!</v>
      </c>
      <c r="AO101" t="e">
        <f>AND(#REF!,"AAAAAH3z5yg=")</f>
        <v>#REF!</v>
      </c>
      <c r="AP101" t="e">
        <f>AND(#REF!,"AAAAAH3z5yk=")</f>
        <v>#REF!</v>
      </c>
      <c r="AQ101" t="e">
        <f>AND(#REF!,"AAAAAH3z5yo=")</f>
        <v>#REF!</v>
      </c>
      <c r="AR101" t="e">
        <f>AND(#REF!,"AAAAAH3z5ys=")</f>
        <v>#REF!</v>
      </c>
      <c r="AS101" t="e">
        <f>AND(#REF!,"AAAAAH3z5yw=")</f>
        <v>#REF!</v>
      </c>
      <c r="AT101" t="e">
        <f>AND(#REF!,"AAAAAH3z5y0=")</f>
        <v>#REF!</v>
      </c>
      <c r="AU101" t="e">
        <f>IF(#REF!,"AAAAAH3z5y4=",0)</f>
        <v>#REF!</v>
      </c>
      <c r="AV101" t="e">
        <f>AND(#REF!,"AAAAAH3z5y8=")</f>
        <v>#REF!</v>
      </c>
      <c r="AW101" t="e">
        <f>AND(#REF!,"AAAAAH3z5zA=")</f>
        <v>#REF!</v>
      </c>
      <c r="AX101" t="e">
        <f>AND(#REF!,"AAAAAH3z5zE=")</f>
        <v>#REF!</v>
      </c>
      <c r="AY101" t="e">
        <f>AND(#REF!,"AAAAAH3z5zI=")</f>
        <v>#REF!</v>
      </c>
      <c r="AZ101" t="e">
        <f>AND(#REF!,"AAAAAH3z5zM=")</f>
        <v>#REF!</v>
      </c>
      <c r="BA101" t="e">
        <f>AND(#REF!,"AAAAAH3z5zQ=")</f>
        <v>#REF!</v>
      </c>
      <c r="BB101" t="e">
        <f>AND(#REF!,"AAAAAH3z5zU=")</f>
        <v>#REF!</v>
      </c>
      <c r="BC101" t="e">
        <f>AND(#REF!,"AAAAAH3z5zY=")</f>
        <v>#REF!</v>
      </c>
      <c r="BD101" t="e">
        <f>AND(#REF!,"AAAAAH3z5zc=")</f>
        <v>#REF!</v>
      </c>
      <c r="BE101" t="e">
        <f>AND(#REF!,"AAAAAH3z5zg=")</f>
        <v>#REF!</v>
      </c>
      <c r="BF101" t="e">
        <f>IF(#REF!,"AAAAAH3z5zk=",0)</f>
        <v>#REF!</v>
      </c>
      <c r="BG101" t="e">
        <f>AND(#REF!,"AAAAAH3z5zo=")</f>
        <v>#REF!</v>
      </c>
      <c r="BH101" t="e">
        <f>AND(#REF!,"AAAAAH3z5zs=")</f>
        <v>#REF!</v>
      </c>
      <c r="BI101" t="e">
        <f>AND(#REF!,"AAAAAH3z5zw=")</f>
        <v>#REF!</v>
      </c>
      <c r="BJ101" t="e">
        <f>AND(#REF!,"AAAAAH3z5z0=")</f>
        <v>#REF!</v>
      </c>
      <c r="BK101" t="e">
        <f>AND(#REF!,"AAAAAH3z5z4=")</f>
        <v>#REF!</v>
      </c>
      <c r="BL101" t="e">
        <f>AND(#REF!,"AAAAAH3z5z8=")</f>
        <v>#REF!</v>
      </c>
      <c r="BM101" t="e">
        <f>AND(#REF!,"AAAAAH3z50A=")</f>
        <v>#REF!</v>
      </c>
      <c r="BN101" t="e">
        <f>AND(#REF!,"AAAAAH3z50E=")</f>
        <v>#REF!</v>
      </c>
      <c r="BO101" t="e">
        <f>AND(#REF!,"AAAAAH3z50I=")</f>
        <v>#REF!</v>
      </c>
      <c r="BP101" t="e">
        <f>AND(#REF!,"AAAAAH3z50M=")</f>
        <v>#REF!</v>
      </c>
      <c r="BQ101" t="e">
        <f>IF(#REF!,"AAAAAH3z50Q=",0)</f>
        <v>#REF!</v>
      </c>
      <c r="BR101" t="e">
        <f>AND(#REF!,"AAAAAH3z50U=")</f>
        <v>#REF!</v>
      </c>
      <c r="BS101" t="e">
        <f>AND(#REF!,"AAAAAH3z50Y=")</f>
        <v>#REF!</v>
      </c>
      <c r="BT101" t="e">
        <f>AND(#REF!,"AAAAAH3z50c=")</f>
        <v>#REF!</v>
      </c>
      <c r="BU101" t="e">
        <f>AND(#REF!,"AAAAAH3z50g=")</f>
        <v>#REF!</v>
      </c>
      <c r="BV101" t="e">
        <f>AND(#REF!,"AAAAAH3z50k=")</f>
        <v>#REF!</v>
      </c>
      <c r="BW101" t="e">
        <f>AND(#REF!,"AAAAAH3z50o=")</f>
        <v>#REF!</v>
      </c>
      <c r="BX101" t="e">
        <f>AND(#REF!,"AAAAAH3z50s=")</f>
        <v>#REF!</v>
      </c>
      <c r="BY101" t="e">
        <f>AND(#REF!,"AAAAAH3z50w=")</f>
        <v>#REF!</v>
      </c>
      <c r="BZ101" t="e">
        <f>AND(#REF!,"AAAAAH3z500=")</f>
        <v>#REF!</v>
      </c>
      <c r="CA101" t="e">
        <f>AND(#REF!,"AAAAAH3z504=")</f>
        <v>#REF!</v>
      </c>
      <c r="CB101" t="e">
        <f>IF(#REF!,"AAAAAH3z508=",0)</f>
        <v>#REF!</v>
      </c>
      <c r="CC101" t="e">
        <f>AND(#REF!,"AAAAAH3z51A=")</f>
        <v>#REF!</v>
      </c>
      <c r="CD101" t="e">
        <f>AND(#REF!,"AAAAAH3z51E=")</f>
        <v>#REF!</v>
      </c>
      <c r="CE101" t="e">
        <f>AND(#REF!,"AAAAAH3z51I=")</f>
        <v>#REF!</v>
      </c>
      <c r="CF101" t="e">
        <f>AND(#REF!,"AAAAAH3z51M=")</f>
        <v>#REF!</v>
      </c>
      <c r="CG101" t="e">
        <f>AND(#REF!,"AAAAAH3z51Q=")</f>
        <v>#REF!</v>
      </c>
      <c r="CH101" t="e">
        <f>AND(#REF!,"AAAAAH3z51U=")</f>
        <v>#REF!</v>
      </c>
      <c r="CI101" t="e">
        <f>AND(#REF!,"AAAAAH3z51Y=")</f>
        <v>#REF!</v>
      </c>
      <c r="CJ101" t="e">
        <f>AND(#REF!,"AAAAAH3z51c=")</f>
        <v>#REF!</v>
      </c>
      <c r="CK101" t="e">
        <f>AND(#REF!,"AAAAAH3z51g=")</f>
        <v>#REF!</v>
      </c>
      <c r="CL101" t="e">
        <f>AND(#REF!,"AAAAAH3z51k=")</f>
        <v>#REF!</v>
      </c>
      <c r="CM101" t="e">
        <f>IF(#REF!,"AAAAAH3z51o=",0)</f>
        <v>#REF!</v>
      </c>
      <c r="CN101" t="e">
        <f>AND(#REF!,"AAAAAH3z51s=")</f>
        <v>#REF!</v>
      </c>
      <c r="CO101" t="e">
        <f>AND(#REF!,"AAAAAH3z51w=")</f>
        <v>#REF!</v>
      </c>
      <c r="CP101" t="e">
        <f>AND(#REF!,"AAAAAH3z510=")</f>
        <v>#REF!</v>
      </c>
      <c r="CQ101" t="e">
        <f>AND(#REF!,"AAAAAH3z514=")</f>
        <v>#REF!</v>
      </c>
      <c r="CR101" t="e">
        <f>AND(#REF!,"AAAAAH3z518=")</f>
        <v>#REF!</v>
      </c>
      <c r="CS101" t="e">
        <f>AND(#REF!,"AAAAAH3z52A=")</f>
        <v>#REF!</v>
      </c>
      <c r="CT101" t="e">
        <f>AND(#REF!,"AAAAAH3z52E=")</f>
        <v>#REF!</v>
      </c>
      <c r="CU101" t="e">
        <f>AND(#REF!,"AAAAAH3z52I=")</f>
        <v>#REF!</v>
      </c>
      <c r="CV101" t="e">
        <f>AND(#REF!,"AAAAAH3z52M=")</f>
        <v>#REF!</v>
      </c>
      <c r="CW101" t="e">
        <f>AND(#REF!,"AAAAAH3z52Q=")</f>
        <v>#REF!</v>
      </c>
      <c r="CX101" t="e">
        <f>IF(#REF!,"AAAAAH3z52U=",0)</f>
        <v>#REF!</v>
      </c>
      <c r="CY101" t="e">
        <f>AND(#REF!,"AAAAAH3z52Y=")</f>
        <v>#REF!</v>
      </c>
      <c r="CZ101" t="e">
        <f>AND(#REF!,"AAAAAH3z52c=")</f>
        <v>#REF!</v>
      </c>
      <c r="DA101" t="e">
        <f>AND(#REF!,"AAAAAH3z52g=")</f>
        <v>#REF!</v>
      </c>
      <c r="DB101" t="e">
        <f>AND(#REF!,"AAAAAH3z52k=")</f>
        <v>#REF!</v>
      </c>
      <c r="DC101" t="e">
        <f>AND(#REF!,"AAAAAH3z52o=")</f>
        <v>#REF!</v>
      </c>
      <c r="DD101" t="e">
        <f>AND(#REF!,"AAAAAH3z52s=")</f>
        <v>#REF!</v>
      </c>
      <c r="DE101" t="e">
        <f>AND(#REF!,"AAAAAH3z52w=")</f>
        <v>#REF!</v>
      </c>
      <c r="DF101" t="e">
        <f>AND(#REF!,"AAAAAH3z520=")</f>
        <v>#REF!</v>
      </c>
      <c r="DG101" t="e">
        <f>AND(#REF!,"AAAAAH3z524=")</f>
        <v>#REF!</v>
      </c>
      <c r="DH101" t="e">
        <f>AND(#REF!,"AAAAAH3z528=")</f>
        <v>#REF!</v>
      </c>
      <c r="DI101" t="e">
        <f>IF(#REF!,"AAAAAH3z53A=",0)</f>
        <v>#REF!</v>
      </c>
      <c r="DJ101" t="e">
        <f>AND(#REF!,"AAAAAH3z53E=")</f>
        <v>#REF!</v>
      </c>
      <c r="DK101" t="e">
        <f>AND(#REF!,"AAAAAH3z53I=")</f>
        <v>#REF!</v>
      </c>
      <c r="DL101" t="e">
        <f>AND(#REF!,"AAAAAH3z53M=")</f>
        <v>#REF!</v>
      </c>
      <c r="DM101" t="e">
        <f>AND(#REF!,"AAAAAH3z53Q=")</f>
        <v>#REF!</v>
      </c>
      <c r="DN101" t="e">
        <f>AND(#REF!,"AAAAAH3z53U=")</f>
        <v>#REF!</v>
      </c>
      <c r="DO101" t="e">
        <f>AND(#REF!,"AAAAAH3z53Y=")</f>
        <v>#REF!</v>
      </c>
      <c r="DP101" t="e">
        <f>AND(#REF!,"AAAAAH3z53c=")</f>
        <v>#REF!</v>
      </c>
      <c r="DQ101" t="e">
        <f>AND(#REF!,"AAAAAH3z53g=")</f>
        <v>#REF!</v>
      </c>
      <c r="DR101" t="e">
        <f>AND(#REF!,"AAAAAH3z53k=")</f>
        <v>#REF!</v>
      </c>
      <c r="DS101" t="e">
        <f>AND(#REF!,"AAAAAH3z53o=")</f>
        <v>#REF!</v>
      </c>
      <c r="DT101" t="e">
        <f>IF(#REF!,"AAAAAH3z53s=",0)</f>
        <v>#REF!</v>
      </c>
      <c r="DU101" t="e">
        <f>AND(#REF!,"AAAAAH3z53w=")</f>
        <v>#REF!</v>
      </c>
      <c r="DV101" t="e">
        <f>AND(#REF!,"AAAAAH3z530=")</f>
        <v>#REF!</v>
      </c>
      <c r="DW101" t="e">
        <f>AND(#REF!,"AAAAAH3z534=")</f>
        <v>#REF!</v>
      </c>
      <c r="DX101" t="e">
        <f>AND(#REF!,"AAAAAH3z538=")</f>
        <v>#REF!</v>
      </c>
      <c r="DY101" t="e">
        <f>AND(#REF!,"AAAAAH3z54A=")</f>
        <v>#REF!</v>
      </c>
      <c r="DZ101" t="e">
        <f>AND(#REF!,"AAAAAH3z54E=")</f>
        <v>#REF!</v>
      </c>
      <c r="EA101" t="e">
        <f>AND(#REF!,"AAAAAH3z54I=")</f>
        <v>#REF!</v>
      </c>
      <c r="EB101" t="e">
        <f>AND(#REF!,"AAAAAH3z54M=")</f>
        <v>#REF!</v>
      </c>
      <c r="EC101" t="e">
        <f>AND(#REF!,"AAAAAH3z54Q=")</f>
        <v>#REF!</v>
      </c>
      <c r="ED101" t="e">
        <f>AND(#REF!,"AAAAAH3z54U=")</f>
        <v>#REF!</v>
      </c>
      <c r="EE101" t="e">
        <f>IF(#REF!,"AAAAAH3z54Y=",0)</f>
        <v>#REF!</v>
      </c>
      <c r="EF101" t="e">
        <f>AND(#REF!,"AAAAAH3z54c=")</f>
        <v>#REF!</v>
      </c>
      <c r="EG101" t="e">
        <f>AND(#REF!,"AAAAAH3z54g=")</f>
        <v>#REF!</v>
      </c>
      <c r="EH101" t="e">
        <f>AND(#REF!,"AAAAAH3z54k=")</f>
        <v>#REF!</v>
      </c>
      <c r="EI101" t="e">
        <f>AND(#REF!,"AAAAAH3z54o=")</f>
        <v>#REF!</v>
      </c>
      <c r="EJ101" t="e">
        <f>AND(#REF!,"AAAAAH3z54s=")</f>
        <v>#REF!</v>
      </c>
      <c r="EK101" t="e">
        <f>AND(#REF!,"AAAAAH3z54w=")</f>
        <v>#REF!</v>
      </c>
      <c r="EL101" t="e">
        <f>AND(#REF!,"AAAAAH3z540=")</f>
        <v>#REF!</v>
      </c>
      <c r="EM101" t="e">
        <f>AND(#REF!,"AAAAAH3z544=")</f>
        <v>#REF!</v>
      </c>
      <c r="EN101" t="e">
        <f>AND(#REF!,"AAAAAH3z548=")</f>
        <v>#REF!</v>
      </c>
      <c r="EO101" t="e">
        <f>AND(#REF!,"AAAAAH3z55A=")</f>
        <v>#REF!</v>
      </c>
      <c r="EP101" t="e">
        <f>IF(#REF!,"AAAAAH3z55E=",0)</f>
        <v>#REF!</v>
      </c>
      <c r="EQ101" t="e">
        <f>AND(#REF!,"AAAAAH3z55I=")</f>
        <v>#REF!</v>
      </c>
      <c r="ER101" t="e">
        <f>AND(#REF!,"AAAAAH3z55M=")</f>
        <v>#REF!</v>
      </c>
      <c r="ES101" t="e">
        <f>AND(#REF!,"AAAAAH3z55Q=")</f>
        <v>#REF!</v>
      </c>
      <c r="ET101" t="e">
        <f>AND(#REF!,"AAAAAH3z55U=")</f>
        <v>#REF!</v>
      </c>
      <c r="EU101" t="e">
        <f>AND(#REF!,"AAAAAH3z55Y=")</f>
        <v>#REF!</v>
      </c>
      <c r="EV101" t="e">
        <f>AND(#REF!,"AAAAAH3z55c=")</f>
        <v>#REF!</v>
      </c>
      <c r="EW101" t="e">
        <f>AND(#REF!,"AAAAAH3z55g=")</f>
        <v>#REF!</v>
      </c>
      <c r="EX101" t="e">
        <f>AND(#REF!,"AAAAAH3z55k=")</f>
        <v>#REF!</v>
      </c>
      <c r="EY101" t="e">
        <f>AND(#REF!,"AAAAAH3z55o=")</f>
        <v>#REF!</v>
      </c>
      <c r="EZ101" t="e">
        <f>AND(#REF!,"AAAAAH3z55s=")</f>
        <v>#REF!</v>
      </c>
      <c r="FA101" t="e">
        <f>IF(#REF!,"AAAAAH3z55w=",0)</f>
        <v>#REF!</v>
      </c>
      <c r="FB101" t="e">
        <f>AND(#REF!,"AAAAAH3z550=")</f>
        <v>#REF!</v>
      </c>
      <c r="FC101" t="e">
        <f>AND(#REF!,"AAAAAH3z554=")</f>
        <v>#REF!</v>
      </c>
      <c r="FD101" t="e">
        <f>AND(#REF!,"AAAAAH3z558=")</f>
        <v>#REF!</v>
      </c>
      <c r="FE101" t="e">
        <f>AND(#REF!,"AAAAAH3z56A=")</f>
        <v>#REF!</v>
      </c>
      <c r="FF101" t="e">
        <f>AND(#REF!,"AAAAAH3z56E=")</f>
        <v>#REF!</v>
      </c>
      <c r="FG101" t="e">
        <f>AND(#REF!,"AAAAAH3z56I=")</f>
        <v>#REF!</v>
      </c>
      <c r="FH101" t="e">
        <f>AND(#REF!,"AAAAAH3z56M=")</f>
        <v>#REF!</v>
      </c>
      <c r="FI101" t="e">
        <f>AND(#REF!,"AAAAAH3z56Q=")</f>
        <v>#REF!</v>
      </c>
      <c r="FJ101" t="e">
        <f>AND(#REF!,"AAAAAH3z56U=")</f>
        <v>#REF!</v>
      </c>
      <c r="FK101" t="e">
        <f>AND(#REF!,"AAAAAH3z56Y=")</f>
        <v>#REF!</v>
      </c>
      <c r="FL101" t="e">
        <f>IF(#REF!,"AAAAAH3z56c=",0)</f>
        <v>#REF!</v>
      </c>
      <c r="FM101" t="e">
        <f>AND(#REF!,"AAAAAH3z56g=")</f>
        <v>#REF!</v>
      </c>
      <c r="FN101" t="e">
        <f>AND(#REF!,"AAAAAH3z56k=")</f>
        <v>#REF!</v>
      </c>
      <c r="FO101" t="e">
        <f>AND(#REF!,"AAAAAH3z56o=")</f>
        <v>#REF!</v>
      </c>
      <c r="FP101" t="e">
        <f>AND(#REF!,"AAAAAH3z56s=")</f>
        <v>#REF!</v>
      </c>
      <c r="FQ101" t="e">
        <f>AND(#REF!,"AAAAAH3z56w=")</f>
        <v>#REF!</v>
      </c>
      <c r="FR101" t="e">
        <f>AND(#REF!,"AAAAAH3z560=")</f>
        <v>#REF!</v>
      </c>
      <c r="FS101" t="e">
        <f>AND(#REF!,"AAAAAH3z564=")</f>
        <v>#REF!</v>
      </c>
      <c r="FT101" t="e">
        <f>AND(#REF!,"AAAAAH3z568=")</f>
        <v>#REF!</v>
      </c>
      <c r="FU101" t="e">
        <f>AND(#REF!,"AAAAAH3z57A=")</f>
        <v>#REF!</v>
      </c>
      <c r="FV101" t="e">
        <f>AND(#REF!,"AAAAAH3z57E=")</f>
        <v>#REF!</v>
      </c>
      <c r="FW101" t="e">
        <f>IF(#REF!,"AAAAAH3z57I=",0)</f>
        <v>#REF!</v>
      </c>
      <c r="FX101" t="e">
        <f>AND(#REF!,"AAAAAH3z57M=")</f>
        <v>#REF!</v>
      </c>
      <c r="FY101" t="e">
        <f>AND(#REF!,"AAAAAH3z57Q=")</f>
        <v>#REF!</v>
      </c>
      <c r="FZ101" t="e">
        <f>AND(#REF!,"AAAAAH3z57U=")</f>
        <v>#REF!</v>
      </c>
      <c r="GA101" t="e">
        <f>AND(#REF!,"AAAAAH3z57Y=")</f>
        <v>#REF!</v>
      </c>
      <c r="GB101" t="e">
        <f>AND(#REF!,"AAAAAH3z57c=")</f>
        <v>#REF!</v>
      </c>
      <c r="GC101" t="e">
        <f>AND(#REF!,"AAAAAH3z57g=")</f>
        <v>#REF!</v>
      </c>
      <c r="GD101" t="e">
        <f>AND(#REF!,"AAAAAH3z57k=")</f>
        <v>#REF!</v>
      </c>
      <c r="GE101" t="e">
        <f>AND(#REF!,"AAAAAH3z57o=")</f>
        <v>#REF!</v>
      </c>
      <c r="GF101" t="e">
        <f>AND(#REF!,"AAAAAH3z57s=")</f>
        <v>#REF!</v>
      </c>
      <c r="GG101" t="e">
        <f>AND(#REF!,"AAAAAH3z57w=")</f>
        <v>#REF!</v>
      </c>
      <c r="GH101" t="e">
        <f>IF(#REF!,"AAAAAH3z570=",0)</f>
        <v>#REF!</v>
      </c>
      <c r="GI101" t="e">
        <f>AND(#REF!,"AAAAAH3z574=")</f>
        <v>#REF!</v>
      </c>
      <c r="GJ101" t="e">
        <f>AND(#REF!,"AAAAAH3z578=")</f>
        <v>#REF!</v>
      </c>
      <c r="GK101" t="e">
        <f>AND(#REF!,"AAAAAH3z58A=")</f>
        <v>#REF!</v>
      </c>
      <c r="GL101" t="e">
        <f>AND(#REF!,"AAAAAH3z58E=")</f>
        <v>#REF!</v>
      </c>
      <c r="GM101" t="e">
        <f>AND(#REF!,"AAAAAH3z58I=")</f>
        <v>#REF!</v>
      </c>
      <c r="GN101" t="e">
        <f>AND(#REF!,"AAAAAH3z58M=")</f>
        <v>#REF!</v>
      </c>
      <c r="GO101" t="e">
        <f>AND(#REF!,"AAAAAH3z58Q=")</f>
        <v>#REF!</v>
      </c>
      <c r="GP101" t="e">
        <f>AND(#REF!,"AAAAAH3z58U=")</f>
        <v>#REF!</v>
      </c>
      <c r="GQ101" t="e">
        <f>AND(#REF!,"AAAAAH3z58Y=")</f>
        <v>#REF!</v>
      </c>
      <c r="GR101" t="e">
        <f>AND(#REF!,"AAAAAH3z58c=")</f>
        <v>#REF!</v>
      </c>
      <c r="GS101" t="e">
        <f>IF(#REF!,"AAAAAH3z58g=",0)</f>
        <v>#REF!</v>
      </c>
      <c r="GT101" t="e">
        <f>AND(#REF!,"AAAAAH3z58k=")</f>
        <v>#REF!</v>
      </c>
      <c r="GU101" t="e">
        <f>AND(#REF!,"AAAAAH3z58o=")</f>
        <v>#REF!</v>
      </c>
      <c r="GV101" t="e">
        <f>AND(#REF!,"AAAAAH3z58s=")</f>
        <v>#REF!</v>
      </c>
      <c r="GW101" t="e">
        <f>AND(#REF!,"AAAAAH3z58w=")</f>
        <v>#REF!</v>
      </c>
      <c r="GX101" t="e">
        <f>AND(#REF!,"AAAAAH3z580=")</f>
        <v>#REF!</v>
      </c>
      <c r="GY101" t="e">
        <f>AND(#REF!,"AAAAAH3z584=")</f>
        <v>#REF!</v>
      </c>
      <c r="GZ101" t="e">
        <f>AND(#REF!,"AAAAAH3z588=")</f>
        <v>#REF!</v>
      </c>
      <c r="HA101" t="e">
        <f>AND(#REF!,"AAAAAH3z59A=")</f>
        <v>#REF!</v>
      </c>
      <c r="HB101" t="e">
        <f>AND(#REF!,"AAAAAH3z59E=")</f>
        <v>#REF!</v>
      </c>
      <c r="HC101" t="e">
        <f>AND(#REF!,"AAAAAH3z59I=")</f>
        <v>#REF!</v>
      </c>
      <c r="HD101" t="e">
        <f>IF(#REF!,"AAAAAH3z59M=",0)</f>
        <v>#REF!</v>
      </c>
      <c r="HE101" t="e">
        <f>AND(#REF!,"AAAAAH3z59Q=")</f>
        <v>#REF!</v>
      </c>
      <c r="HF101" t="e">
        <f>AND(#REF!,"AAAAAH3z59U=")</f>
        <v>#REF!</v>
      </c>
      <c r="HG101" t="e">
        <f>AND(#REF!,"AAAAAH3z59Y=")</f>
        <v>#REF!</v>
      </c>
      <c r="HH101" t="e">
        <f>AND(#REF!,"AAAAAH3z59c=")</f>
        <v>#REF!</v>
      </c>
      <c r="HI101" t="e">
        <f>AND(#REF!,"AAAAAH3z59g=")</f>
        <v>#REF!</v>
      </c>
      <c r="HJ101" t="e">
        <f>AND(#REF!,"AAAAAH3z59k=")</f>
        <v>#REF!</v>
      </c>
      <c r="HK101" t="e">
        <f>AND(#REF!,"AAAAAH3z59o=")</f>
        <v>#REF!</v>
      </c>
      <c r="HL101" t="e">
        <f>AND(#REF!,"AAAAAH3z59s=")</f>
        <v>#REF!</v>
      </c>
      <c r="HM101" t="e">
        <f>AND(#REF!,"AAAAAH3z59w=")</f>
        <v>#REF!</v>
      </c>
      <c r="HN101" t="e">
        <f>AND(#REF!,"AAAAAH3z590=")</f>
        <v>#REF!</v>
      </c>
      <c r="HO101" t="e">
        <f>IF(#REF!,"AAAAAH3z594=",0)</f>
        <v>#REF!</v>
      </c>
      <c r="HP101" t="e">
        <f>AND(#REF!,"AAAAAH3z598=")</f>
        <v>#REF!</v>
      </c>
      <c r="HQ101" t="e">
        <f>AND(#REF!,"AAAAAH3z5+A=")</f>
        <v>#REF!</v>
      </c>
      <c r="HR101" t="e">
        <f>AND(#REF!,"AAAAAH3z5+E=")</f>
        <v>#REF!</v>
      </c>
      <c r="HS101" t="e">
        <f>AND(#REF!,"AAAAAH3z5+I=")</f>
        <v>#REF!</v>
      </c>
      <c r="HT101" t="e">
        <f>AND(#REF!,"AAAAAH3z5+M=")</f>
        <v>#REF!</v>
      </c>
      <c r="HU101" t="e">
        <f>AND(#REF!,"AAAAAH3z5+Q=")</f>
        <v>#REF!</v>
      </c>
      <c r="HV101" t="e">
        <f>AND(#REF!,"AAAAAH3z5+U=")</f>
        <v>#REF!</v>
      </c>
      <c r="HW101" t="e">
        <f>AND(#REF!,"AAAAAH3z5+Y=")</f>
        <v>#REF!</v>
      </c>
      <c r="HX101" t="e">
        <f>AND(#REF!,"AAAAAH3z5+c=")</f>
        <v>#REF!</v>
      </c>
      <c r="HY101" t="e">
        <f>AND(#REF!,"AAAAAH3z5+g=")</f>
        <v>#REF!</v>
      </c>
      <c r="HZ101" t="e">
        <f>IF(#REF!,"AAAAAH3z5+k=",0)</f>
        <v>#REF!</v>
      </c>
      <c r="IA101" t="e">
        <f>AND(#REF!,"AAAAAH3z5+o=")</f>
        <v>#REF!</v>
      </c>
      <c r="IB101" t="e">
        <f>AND(#REF!,"AAAAAH3z5+s=")</f>
        <v>#REF!</v>
      </c>
      <c r="IC101" t="e">
        <f>AND(#REF!,"AAAAAH3z5+w=")</f>
        <v>#REF!</v>
      </c>
      <c r="ID101" t="e">
        <f>AND(#REF!,"AAAAAH3z5+0=")</f>
        <v>#REF!</v>
      </c>
      <c r="IE101" t="e">
        <f>AND(#REF!,"AAAAAH3z5+4=")</f>
        <v>#REF!</v>
      </c>
      <c r="IF101" t="e">
        <f>AND(#REF!,"AAAAAH3z5+8=")</f>
        <v>#REF!</v>
      </c>
      <c r="IG101" t="e">
        <f>AND(#REF!,"AAAAAH3z5/A=")</f>
        <v>#REF!</v>
      </c>
      <c r="IH101" t="e">
        <f>AND(#REF!,"AAAAAH3z5/E=")</f>
        <v>#REF!</v>
      </c>
      <c r="II101" t="e">
        <f>AND(#REF!,"AAAAAH3z5/I=")</f>
        <v>#REF!</v>
      </c>
      <c r="IJ101" t="e">
        <f>AND(#REF!,"AAAAAH3z5/M=")</f>
        <v>#REF!</v>
      </c>
      <c r="IK101" t="e">
        <f>IF(#REF!,"AAAAAH3z5/Q=",0)</f>
        <v>#REF!</v>
      </c>
      <c r="IL101" t="e">
        <f>AND(#REF!,"AAAAAH3z5/U=")</f>
        <v>#REF!</v>
      </c>
      <c r="IM101" t="e">
        <f>AND(#REF!,"AAAAAH3z5/Y=")</f>
        <v>#REF!</v>
      </c>
      <c r="IN101" t="e">
        <f>AND(#REF!,"AAAAAH3z5/c=")</f>
        <v>#REF!</v>
      </c>
      <c r="IO101" t="e">
        <f>AND(#REF!,"AAAAAH3z5/g=")</f>
        <v>#REF!</v>
      </c>
      <c r="IP101" t="e">
        <f>AND(#REF!,"AAAAAH3z5/k=")</f>
        <v>#REF!</v>
      </c>
      <c r="IQ101" t="e">
        <f>AND(#REF!,"AAAAAH3z5/o=")</f>
        <v>#REF!</v>
      </c>
      <c r="IR101" t="e">
        <f>AND(#REF!,"AAAAAH3z5/s=")</f>
        <v>#REF!</v>
      </c>
      <c r="IS101" t="e">
        <f>AND(#REF!,"AAAAAH3z5/w=")</f>
        <v>#REF!</v>
      </c>
      <c r="IT101" t="e">
        <f>AND(#REF!,"AAAAAH3z5/0=")</f>
        <v>#REF!</v>
      </c>
      <c r="IU101" t="e">
        <f>AND(#REF!,"AAAAAH3z5/4=")</f>
        <v>#REF!</v>
      </c>
      <c r="IV101" t="e">
        <f>IF(#REF!,"AAAAAH3z5/8=",0)</f>
        <v>#REF!</v>
      </c>
    </row>
    <row r="102" spans="1:256" x14ac:dyDescent="0.25">
      <c r="A102" t="e">
        <f>AND(#REF!,"AAAAACX99wA=")</f>
        <v>#REF!</v>
      </c>
      <c r="B102" t="e">
        <f>AND(#REF!,"AAAAACX99wE=")</f>
        <v>#REF!</v>
      </c>
      <c r="C102" t="e">
        <f>AND(#REF!,"AAAAACX99wI=")</f>
        <v>#REF!</v>
      </c>
      <c r="D102" t="e">
        <f>AND(#REF!,"AAAAACX99wM=")</f>
        <v>#REF!</v>
      </c>
      <c r="E102" t="e">
        <f>AND(#REF!,"AAAAACX99wQ=")</f>
        <v>#REF!</v>
      </c>
      <c r="F102" t="e">
        <f>AND(#REF!,"AAAAACX99wU=")</f>
        <v>#REF!</v>
      </c>
      <c r="G102" t="e">
        <f>AND(#REF!,"AAAAACX99wY=")</f>
        <v>#REF!</v>
      </c>
      <c r="H102" t="e">
        <f>AND(#REF!,"AAAAACX99wc=")</f>
        <v>#REF!</v>
      </c>
      <c r="I102" t="e">
        <f>AND(#REF!,"AAAAACX99wg=")</f>
        <v>#REF!</v>
      </c>
      <c r="J102" t="e">
        <f>AND(#REF!,"AAAAACX99wk=")</f>
        <v>#REF!</v>
      </c>
      <c r="K102" t="e">
        <f>IF(#REF!,"AAAAACX99wo=",0)</f>
        <v>#REF!</v>
      </c>
      <c r="L102" t="e">
        <f>AND(#REF!,"AAAAACX99ws=")</f>
        <v>#REF!</v>
      </c>
      <c r="M102" t="e">
        <f>AND(#REF!,"AAAAACX99ww=")</f>
        <v>#REF!</v>
      </c>
      <c r="N102" t="e">
        <f>AND(#REF!,"AAAAACX99w0=")</f>
        <v>#REF!</v>
      </c>
      <c r="O102" t="e">
        <f>AND(#REF!,"AAAAACX99w4=")</f>
        <v>#REF!</v>
      </c>
      <c r="P102" t="e">
        <f>AND(#REF!,"AAAAACX99w8=")</f>
        <v>#REF!</v>
      </c>
      <c r="Q102" t="e">
        <f>AND(#REF!,"AAAAACX99xA=")</f>
        <v>#REF!</v>
      </c>
      <c r="R102" t="e">
        <f>AND(#REF!,"AAAAACX99xE=")</f>
        <v>#REF!</v>
      </c>
      <c r="S102" t="e">
        <f>AND(#REF!,"AAAAACX99xI=")</f>
        <v>#REF!</v>
      </c>
      <c r="T102" t="e">
        <f>AND(#REF!,"AAAAACX99xM=")</f>
        <v>#REF!</v>
      </c>
      <c r="U102" t="e">
        <f>AND(#REF!,"AAAAACX99xQ=")</f>
        <v>#REF!</v>
      </c>
      <c r="V102" t="e">
        <f>IF(#REF!,"AAAAACX99xU=",0)</f>
        <v>#REF!</v>
      </c>
      <c r="W102" t="e">
        <f>AND(#REF!,"AAAAACX99xY=")</f>
        <v>#REF!</v>
      </c>
      <c r="X102" t="e">
        <f>AND(#REF!,"AAAAACX99xc=")</f>
        <v>#REF!</v>
      </c>
      <c r="Y102" t="e">
        <f>AND(#REF!,"AAAAACX99xg=")</f>
        <v>#REF!</v>
      </c>
      <c r="Z102" t="e">
        <f>AND(#REF!,"AAAAACX99xk=")</f>
        <v>#REF!</v>
      </c>
      <c r="AA102" t="e">
        <f>AND(#REF!,"AAAAACX99xo=")</f>
        <v>#REF!</v>
      </c>
      <c r="AB102" t="e">
        <f>AND(#REF!,"AAAAACX99xs=")</f>
        <v>#REF!</v>
      </c>
      <c r="AC102" t="e">
        <f>AND(#REF!,"AAAAACX99xw=")</f>
        <v>#REF!</v>
      </c>
      <c r="AD102" t="e">
        <f>AND(#REF!,"AAAAACX99x0=")</f>
        <v>#REF!</v>
      </c>
      <c r="AE102" t="e">
        <f>AND(#REF!,"AAAAACX99x4=")</f>
        <v>#REF!</v>
      </c>
      <c r="AF102" t="e">
        <f>AND(#REF!,"AAAAACX99x8=")</f>
        <v>#REF!</v>
      </c>
      <c r="AG102" t="e">
        <f>IF(#REF!,"AAAAACX99yA=",0)</f>
        <v>#REF!</v>
      </c>
      <c r="AH102" t="e">
        <f>AND(#REF!,"AAAAACX99yE=")</f>
        <v>#REF!</v>
      </c>
      <c r="AI102" t="e">
        <f>AND(#REF!,"AAAAACX99yI=")</f>
        <v>#REF!</v>
      </c>
      <c r="AJ102" t="e">
        <f>AND(#REF!,"AAAAACX99yM=")</f>
        <v>#REF!</v>
      </c>
      <c r="AK102" t="e">
        <f>AND(#REF!,"AAAAACX99yQ=")</f>
        <v>#REF!</v>
      </c>
      <c r="AL102" t="e">
        <f>AND(#REF!,"AAAAACX99yU=")</f>
        <v>#REF!</v>
      </c>
      <c r="AM102" t="e">
        <f>AND(#REF!,"AAAAACX99yY=")</f>
        <v>#REF!</v>
      </c>
      <c r="AN102" t="e">
        <f>AND(#REF!,"AAAAACX99yc=")</f>
        <v>#REF!</v>
      </c>
      <c r="AO102" t="e">
        <f>AND(#REF!,"AAAAACX99yg=")</f>
        <v>#REF!</v>
      </c>
      <c r="AP102" t="e">
        <f>AND(#REF!,"AAAAACX99yk=")</f>
        <v>#REF!</v>
      </c>
      <c r="AQ102" t="e">
        <f>AND(#REF!,"AAAAACX99yo=")</f>
        <v>#REF!</v>
      </c>
      <c r="AR102" t="e">
        <f>IF(#REF!,"AAAAACX99ys=",0)</f>
        <v>#REF!</v>
      </c>
      <c r="AS102" t="e">
        <f>AND(#REF!,"AAAAACX99yw=")</f>
        <v>#REF!</v>
      </c>
      <c r="AT102" t="e">
        <f>AND(#REF!,"AAAAACX99y0=")</f>
        <v>#REF!</v>
      </c>
      <c r="AU102" t="e">
        <f>AND(#REF!,"AAAAACX99y4=")</f>
        <v>#REF!</v>
      </c>
      <c r="AV102" t="e">
        <f>AND(#REF!,"AAAAACX99y8=")</f>
        <v>#REF!</v>
      </c>
      <c r="AW102" t="e">
        <f>AND(#REF!,"AAAAACX99zA=")</f>
        <v>#REF!</v>
      </c>
      <c r="AX102" t="e">
        <f>AND(#REF!,"AAAAACX99zE=")</f>
        <v>#REF!</v>
      </c>
      <c r="AY102" t="e">
        <f>AND(#REF!,"AAAAACX99zI=")</f>
        <v>#REF!</v>
      </c>
      <c r="AZ102" t="e">
        <f>AND(#REF!,"AAAAACX99zM=")</f>
        <v>#REF!</v>
      </c>
      <c r="BA102" t="e">
        <f>AND(#REF!,"AAAAACX99zQ=")</f>
        <v>#REF!</v>
      </c>
      <c r="BB102" t="e">
        <f>AND(#REF!,"AAAAACX99zU=")</f>
        <v>#REF!</v>
      </c>
      <c r="BC102" t="e">
        <f>IF(#REF!,"AAAAACX99zY=",0)</f>
        <v>#REF!</v>
      </c>
      <c r="BD102" t="e">
        <f>AND(#REF!,"AAAAACX99zc=")</f>
        <v>#REF!</v>
      </c>
      <c r="BE102" t="e">
        <f>AND(#REF!,"AAAAACX99zg=")</f>
        <v>#REF!</v>
      </c>
      <c r="BF102" t="e">
        <f>AND(#REF!,"AAAAACX99zk=")</f>
        <v>#REF!</v>
      </c>
      <c r="BG102" t="e">
        <f>AND(#REF!,"AAAAACX99zo=")</f>
        <v>#REF!</v>
      </c>
      <c r="BH102" t="e">
        <f>AND(#REF!,"AAAAACX99zs=")</f>
        <v>#REF!</v>
      </c>
      <c r="BI102" t="e">
        <f>AND(#REF!,"AAAAACX99zw=")</f>
        <v>#REF!</v>
      </c>
      <c r="BJ102" t="e">
        <f>AND(#REF!,"AAAAACX99z0=")</f>
        <v>#REF!</v>
      </c>
      <c r="BK102" t="e">
        <f>AND(#REF!,"AAAAACX99z4=")</f>
        <v>#REF!</v>
      </c>
      <c r="BL102" t="e">
        <f>AND(#REF!,"AAAAACX99z8=")</f>
        <v>#REF!</v>
      </c>
      <c r="BM102" t="e">
        <f>AND(#REF!,"AAAAACX990A=")</f>
        <v>#REF!</v>
      </c>
      <c r="BN102" t="e">
        <f>IF(#REF!,"AAAAACX990E=",0)</f>
        <v>#REF!</v>
      </c>
      <c r="BO102" t="e">
        <f>AND(#REF!,"AAAAACX990I=")</f>
        <v>#REF!</v>
      </c>
      <c r="BP102" t="e">
        <f>AND(#REF!,"AAAAACX990M=")</f>
        <v>#REF!</v>
      </c>
      <c r="BQ102" t="e">
        <f>AND(#REF!,"AAAAACX990Q=")</f>
        <v>#REF!</v>
      </c>
      <c r="BR102" t="e">
        <f>AND(#REF!,"AAAAACX990U=")</f>
        <v>#REF!</v>
      </c>
      <c r="BS102" t="e">
        <f>AND(#REF!,"AAAAACX990Y=")</f>
        <v>#REF!</v>
      </c>
      <c r="BT102" t="e">
        <f>AND(#REF!,"AAAAACX990c=")</f>
        <v>#REF!</v>
      </c>
      <c r="BU102" t="e">
        <f>AND(#REF!,"AAAAACX990g=")</f>
        <v>#REF!</v>
      </c>
      <c r="BV102" t="e">
        <f>AND(#REF!,"AAAAACX990k=")</f>
        <v>#REF!</v>
      </c>
      <c r="BW102" t="e">
        <f>AND(#REF!,"AAAAACX990o=")</f>
        <v>#REF!</v>
      </c>
      <c r="BX102" t="e">
        <f>AND(#REF!,"AAAAACX990s=")</f>
        <v>#REF!</v>
      </c>
      <c r="BY102" t="e">
        <f>IF(#REF!,"AAAAACX990w=",0)</f>
        <v>#REF!</v>
      </c>
      <c r="BZ102" t="e">
        <f>AND(#REF!,"AAAAACX9900=")</f>
        <v>#REF!</v>
      </c>
      <c r="CA102" t="e">
        <f>AND(#REF!,"AAAAACX9904=")</f>
        <v>#REF!</v>
      </c>
      <c r="CB102" t="e">
        <f>AND(#REF!,"AAAAACX9908=")</f>
        <v>#REF!</v>
      </c>
      <c r="CC102" t="e">
        <f>AND(#REF!,"AAAAACX991A=")</f>
        <v>#REF!</v>
      </c>
      <c r="CD102" t="e">
        <f>AND(#REF!,"AAAAACX991E=")</f>
        <v>#REF!</v>
      </c>
      <c r="CE102" t="e">
        <f>AND(#REF!,"AAAAACX991I=")</f>
        <v>#REF!</v>
      </c>
      <c r="CF102" t="e">
        <f>AND(#REF!,"AAAAACX991M=")</f>
        <v>#REF!</v>
      </c>
      <c r="CG102" t="e">
        <f>AND(#REF!,"AAAAACX991Q=")</f>
        <v>#REF!</v>
      </c>
      <c r="CH102" t="e">
        <f>AND(#REF!,"AAAAACX991U=")</f>
        <v>#REF!</v>
      </c>
      <c r="CI102" t="e">
        <f>AND(#REF!,"AAAAACX991Y=")</f>
        <v>#REF!</v>
      </c>
      <c r="CJ102" t="e">
        <f>IF(#REF!,"AAAAACX991c=",0)</f>
        <v>#REF!</v>
      </c>
      <c r="CK102" t="e">
        <f>AND(#REF!,"AAAAACX991g=")</f>
        <v>#REF!</v>
      </c>
      <c r="CL102" t="e">
        <f>AND(#REF!,"AAAAACX991k=")</f>
        <v>#REF!</v>
      </c>
      <c r="CM102" t="e">
        <f>AND(#REF!,"AAAAACX991o=")</f>
        <v>#REF!</v>
      </c>
      <c r="CN102" t="e">
        <f>AND(#REF!,"AAAAACX991s=")</f>
        <v>#REF!</v>
      </c>
      <c r="CO102" t="e">
        <f>AND(#REF!,"AAAAACX991w=")</f>
        <v>#REF!</v>
      </c>
      <c r="CP102" t="e">
        <f>AND(#REF!,"AAAAACX9910=")</f>
        <v>#REF!</v>
      </c>
      <c r="CQ102" t="e">
        <f>AND(#REF!,"AAAAACX9914=")</f>
        <v>#REF!</v>
      </c>
      <c r="CR102" t="e">
        <f>AND(#REF!,"AAAAACX9918=")</f>
        <v>#REF!</v>
      </c>
      <c r="CS102" t="e">
        <f>AND(#REF!,"AAAAACX992A=")</f>
        <v>#REF!</v>
      </c>
      <c r="CT102" t="e">
        <f>AND(#REF!,"AAAAACX992E=")</f>
        <v>#REF!</v>
      </c>
      <c r="CU102" t="e">
        <f>IF(#REF!,"AAAAACX992I=",0)</f>
        <v>#REF!</v>
      </c>
      <c r="CV102" t="e">
        <f>AND(#REF!,"AAAAACX992M=")</f>
        <v>#REF!</v>
      </c>
      <c r="CW102" t="e">
        <f>AND(#REF!,"AAAAACX992Q=")</f>
        <v>#REF!</v>
      </c>
      <c r="CX102" t="e">
        <f>AND(#REF!,"AAAAACX992U=")</f>
        <v>#REF!</v>
      </c>
      <c r="CY102" t="e">
        <f>AND(#REF!,"AAAAACX992Y=")</f>
        <v>#REF!</v>
      </c>
      <c r="CZ102" t="e">
        <f>AND(#REF!,"AAAAACX992c=")</f>
        <v>#REF!</v>
      </c>
      <c r="DA102" t="e">
        <f>AND(#REF!,"AAAAACX992g=")</f>
        <v>#REF!</v>
      </c>
      <c r="DB102" t="e">
        <f>AND(#REF!,"AAAAACX992k=")</f>
        <v>#REF!</v>
      </c>
      <c r="DC102" t="e">
        <f>AND(#REF!,"AAAAACX992o=")</f>
        <v>#REF!</v>
      </c>
      <c r="DD102" t="e">
        <f>AND(#REF!,"AAAAACX992s=")</f>
        <v>#REF!</v>
      </c>
      <c r="DE102" t="e">
        <f>AND(#REF!,"AAAAACX992w=")</f>
        <v>#REF!</v>
      </c>
      <c r="DF102" t="e">
        <f>IF(#REF!,"AAAAACX9920=",0)</f>
        <v>#REF!</v>
      </c>
      <c r="DG102" t="e">
        <f>AND(#REF!,"AAAAACX9924=")</f>
        <v>#REF!</v>
      </c>
      <c r="DH102" t="e">
        <f>AND(#REF!,"AAAAACX9928=")</f>
        <v>#REF!</v>
      </c>
      <c r="DI102" t="e">
        <f>AND(#REF!,"AAAAACX993A=")</f>
        <v>#REF!</v>
      </c>
      <c r="DJ102" t="e">
        <f>AND(#REF!,"AAAAACX993E=")</f>
        <v>#REF!</v>
      </c>
      <c r="DK102" t="e">
        <f>AND(#REF!,"AAAAACX993I=")</f>
        <v>#REF!</v>
      </c>
      <c r="DL102" t="e">
        <f>AND(#REF!,"AAAAACX993M=")</f>
        <v>#REF!</v>
      </c>
      <c r="DM102" t="e">
        <f>AND(#REF!,"AAAAACX993Q=")</f>
        <v>#REF!</v>
      </c>
      <c r="DN102" t="e">
        <f>AND(#REF!,"AAAAACX993U=")</f>
        <v>#REF!</v>
      </c>
      <c r="DO102" t="e">
        <f>AND(#REF!,"AAAAACX993Y=")</f>
        <v>#REF!</v>
      </c>
      <c r="DP102" t="e">
        <f>AND(#REF!,"AAAAACX993c=")</f>
        <v>#REF!</v>
      </c>
      <c r="DQ102" t="e">
        <f>IF(#REF!,"AAAAACX993g=",0)</f>
        <v>#REF!</v>
      </c>
      <c r="DR102" t="e">
        <f>AND(#REF!,"AAAAACX993k=")</f>
        <v>#REF!</v>
      </c>
      <c r="DS102" t="e">
        <f>AND(#REF!,"AAAAACX993o=")</f>
        <v>#REF!</v>
      </c>
      <c r="DT102" t="e">
        <f>AND(#REF!,"AAAAACX993s=")</f>
        <v>#REF!</v>
      </c>
      <c r="DU102" t="e">
        <f>AND(#REF!,"AAAAACX993w=")</f>
        <v>#REF!</v>
      </c>
      <c r="DV102" t="e">
        <f>AND(#REF!,"AAAAACX9930=")</f>
        <v>#REF!</v>
      </c>
      <c r="DW102" t="e">
        <f>AND(#REF!,"AAAAACX9934=")</f>
        <v>#REF!</v>
      </c>
      <c r="DX102" t="e">
        <f>AND(#REF!,"AAAAACX9938=")</f>
        <v>#REF!</v>
      </c>
      <c r="DY102" t="e">
        <f>AND(#REF!,"AAAAACX994A=")</f>
        <v>#REF!</v>
      </c>
      <c r="DZ102" t="e">
        <f>AND(#REF!,"AAAAACX994E=")</f>
        <v>#REF!</v>
      </c>
      <c r="EA102" t="e">
        <f>AND(#REF!,"AAAAACX994I=")</f>
        <v>#REF!</v>
      </c>
      <c r="EB102" t="e">
        <f>IF(#REF!,"AAAAACX994M=",0)</f>
        <v>#REF!</v>
      </c>
      <c r="EC102" t="e">
        <f>AND(#REF!,"AAAAACX994Q=")</f>
        <v>#REF!</v>
      </c>
      <c r="ED102" t="e">
        <f>AND(#REF!,"AAAAACX994U=")</f>
        <v>#REF!</v>
      </c>
      <c r="EE102" t="e">
        <f>AND(#REF!,"AAAAACX994Y=")</f>
        <v>#REF!</v>
      </c>
      <c r="EF102" t="e">
        <f>AND(#REF!,"AAAAACX994c=")</f>
        <v>#REF!</v>
      </c>
      <c r="EG102" t="e">
        <f>AND(#REF!,"AAAAACX994g=")</f>
        <v>#REF!</v>
      </c>
      <c r="EH102" t="e">
        <f>AND(#REF!,"AAAAACX994k=")</f>
        <v>#REF!</v>
      </c>
      <c r="EI102" t="e">
        <f>AND(#REF!,"AAAAACX994o=")</f>
        <v>#REF!</v>
      </c>
      <c r="EJ102" t="e">
        <f>AND(#REF!,"AAAAACX994s=")</f>
        <v>#REF!</v>
      </c>
      <c r="EK102" t="e">
        <f>AND(#REF!,"AAAAACX994w=")</f>
        <v>#REF!</v>
      </c>
      <c r="EL102" t="e">
        <f>AND(#REF!,"AAAAACX9940=")</f>
        <v>#REF!</v>
      </c>
      <c r="EM102" t="e">
        <f>IF(#REF!,"AAAAACX9944=",0)</f>
        <v>#REF!</v>
      </c>
      <c r="EN102" t="e">
        <f>AND(#REF!,"AAAAACX9948=")</f>
        <v>#REF!</v>
      </c>
      <c r="EO102" t="e">
        <f>AND(#REF!,"AAAAACX995A=")</f>
        <v>#REF!</v>
      </c>
      <c r="EP102" t="e">
        <f>AND(#REF!,"AAAAACX995E=")</f>
        <v>#REF!</v>
      </c>
      <c r="EQ102" t="e">
        <f>AND(#REF!,"AAAAACX995I=")</f>
        <v>#REF!</v>
      </c>
      <c r="ER102" t="e">
        <f>AND(#REF!,"AAAAACX995M=")</f>
        <v>#REF!</v>
      </c>
      <c r="ES102" t="e">
        <f>AND(#REF!,"AAAAACX995Q=")</f>
        <v>#REF!</v>
      </c>
      <c r="ET102" t="e">
        <f>AND(#REF!,"AAAAACX995U=")</f>
        <v>#REF!</v>
      </c>
      <c r="EU102" t="e">
        <f>AND(#REF!,"AAAAACX995Y=")</f>
        <v>#REF!</v>
      </c>
      <c r="EV102" t="e">
        <f>AND(#REF!,"AAAAACX995c=")</f>
        <v>#REF!</v>
      </c>
      <c r="EW102" t="e">
        <f>AND(#REF!,"AAAAACX995g=")</f>
        <v>#REF!</v>
      </c>
      <c r="EX102" t="e">
        <f>IF(#REF!,"AAAAACX995k=",0)</f>
        <v>#REF!</v>
      </c>
      <c r="EY102" t="e">
        <f>AND(#REF!,"AAAAACX995o=")</f>
        <v>#REF!</v>
      </c>
      <c r="EZ102" t="e">
        <f>AND(#REF!,"AAAAACX995s=")</f>
        <v>#REF!</v>
      </c>
      <c r="FA102" t="e">
        <f>AND(#REF!,"AAAAACX995w=")</f>
        <v>#REF!</v>
      </c>
      <c r="FB102" t="e">
        <f>AND(#REF!,"AAAAACX9950=")</f>
        <v>#REF!</v>
      </c>
      <c r="FC102" t="e">
        <f>AND(#REF!,"AAAAACX9954=")</f>
        <v>#REF!</v>
      </c>
      <c r="FD102" t="e">
        <f>AND(#REF!,"AAAAACX9958=")</f>
        <v>#REF!</v>
      </c>
      <c r="FE102" t="e">
        <f>AND(#REF!,"AAAAACX996A=")</f>
        <v>#REF!</v>
      </c>
      <c r="FF102" t="e">
        <f>AND(#REF!,"AAAAACX996E=")</f>
        <v>#REF!</v>
      </c>
      <c r="FG102" t="e">
        <f>AND(#REF!,"AAAAACX996I=")</f>
        <v>#REF!</v>
      </c>
      <c r="FH102" t="e">
        <f>AND(#REF!,"AAAAACX996M=")</f>
        <v>#REF!</v>
      </c>
      <c r="FI102" t="e">
        <f>IF(#REF!,"AAAAACX996Q=",0)</f>
        <v>#REF!</v>
      </c>
      <c r="FJ102" t="e">
        <f>AND(#REF!,"AAAAACX996U=")</f>
        <v>#REF!</v>
      </c>
      <c r="FK102" t="e">
        <f>AND(#REF!,"AAAAACX996Y=")</f>
        <v>#REF!</v>
      </c>
      <c r="FL102" t="e">
        <f>AND(#REF!,"AAAAACX996c=")</f>
        <v>#REF!</v>
      </c>
      <c r="FM102" t="e">
        <f>AND(#REF!,"AAAAACX996g=")</f>
        <v>#REF!</v>
      </c>
      <c r="FN102" t="e">
        <f>AND(#REF!,"AAAAACX996k=")</f>
        <v>#REF!</v>
      </c>
      <c r="FO102" t="e">
        <f>AND(#REF!,"AAAAACX996o=")</f>
        <v>#REF!</v>
      </c>
      <c r="FP102" t="e">
        <f>AND(#REF!,"AAAAACX996s=")</f>
        <v>#REF!</v>
      </c>
      <c r="FQ102" t="e">
        <f>AND(#REF!,"AAAAACX996w=")</f>
        <v>#REF!</v>
      </c>
      <c r="FR102" t="e">
        <f>AND(#REF!,"AAAAACX9960=")</f>
        <v>#REF!</v>
      </c>
      <c r="FS102" t="e">
        <f>AND(#REF!,"AAAAACX9964=")</f>
        <v>#REF!</v>
      </c>
      <c r="FT102" t="e">
        <f>IF(#REF!,"AAAAACX9968=",0)</f>
        <v>#REF!</v>
      </c>
      <c r="FU102" t="e">
        <f>AND(#REF!,"AAAAACX997A=")</f>
        <v>#REF!</v>
      </c>
      <c r="FV102" t="e">
        <f>AND(#REF!,"AAAAACX997E=")</f>
        <v>#REF!</v>
      </c>
      <c r="FW102" t="e">
        <f>AND(#REF!,"AAAAACX997I=")</f>
        <v>#REF!</v>
      </c>
      <c r="FX102" t="e">
        <f>AND(#REF!,"AAAAACX997M=")</f>
        <v>#REF!</v>
      </c>
      <c r="FY102" t="e">
        <f>AND(#REF!,"AAAAACX997Q=")</f>
        <v>#REF!</v>
      </c>
      <c r="FZ102" t="e">
        <f>AND(#REF!,"AAAAACX997U=")</f>
        <v>#REF!</v>
      </c>
      <c r="GA102" t="e">
        <f>AND(#REF!,"AAAAACX997Y=")</f>
        <v>#REF!</v>
      </c>
      <c r="GB102" t="e">
        <f>AND(#REF!,"AAAAACX997c=")</f>
        <v>#REF!</v>
      </c>
      <c r="GC102" t="e">
        <f>AND(#REF!,"AAAAACX997g=")</f>
        <v>#REF!</v>
      </c>
      <c r="GD102" t="e">
        <f>AND(#REF!,"AAAAACX997k=")</f>
        <v>#REF!</v>
      </c>
      <c r="GE102" t="e">
        <f>IF(#REF!,"AAAAACX997o=",0)</f>
        <v>#REF!</v>
      </c>
      <c r="GF102" t="e">
        <f>AND(#REF!,"AAAAACX997s=")</f>
        <v>#REF!</v>
      </c>
      <c r="GG102" t="e">
        <f>AND(#REF!,"AAAAACX997w=")</f>
        <v>#REF!</v>
      </c>
      <c r="GH102" t="e">
        <f>AND(#REF!,"AAAAACX9970=")</f>
        <v>#REF!</v>
      </c>
      <c r="GI102" t="e">
        <f>AND(#REF!,"AAAAACX9974=")</f>
        <v>#REF!</v>
      </c>
      <c r="GJ102" t="e">
        <f>AND(#REF!,"AAAAACX9978=")</f>
        <v>#REF!</v>
      </c>
      <c r="GK102" t="e">
        <f>AND(#REF!,"AAAAACX998A=")</f>
        <v>#REF!</v>
      </c>
      <c r="GL102" t="e">
        <f>AND(#REF!,"AAAAACX998E=")</f>
        <v>#REF!</v>
      </c>
      <c r="GM102" t="e">
        <f>AND(#REF!,"AAAAACX998I=")</f>
        <v>#REF!</v>
      </c>
      <c r="GN102" t="e">
        <f>AND(#REF!,"AAAAACX998M=")</f>
        <v>#REF!</v>
      </c>
      <c r="GO102" t="e">
        <f>AND(#REF!,"AAAAACX998Q=")</f>
        <v>#REF!</v>
      </c>
      <c r="GP102" t="e">
        <f>IF(#REF!,"AAAAACX998U=",0)</f>
        <v>#REF!</v>
      </c>
      <c r="GQ102" t="e">
        <f>AND(#REF!,"AAAAACX998Y=")</f>
        <v>#REF!</v>
      </c>
      <c r="GR102" t="e">
        <f>AND(#REF!,"AAAAACX998c=")</f>
        <v>#REF!</v>
      </c>
      <c r="GS102" t="e">
        <f>AND(#REF!,"AAAAACX998g=")</f>
        <v>#REF!</v>
      </c>
      <c r="GT102" t="e">
        <f>AND(#REF!,"AAAAACX998k=")</f>
        <v>#REF!</v>
      </c>
      <c r="GU102" t="e">
        <f>AND(#REF!,"AAAAACX998o=")</f>
        <v>#REF!</v>
      </c>
      <c r="GV102" t="e">
        <f>AND(#REF!,"AAAAACX998s=")</f>
        <v>#REF!</v>
      </c>
      <c r="GW102" t="e">
        <f>AND(#REF!,"AAAAACX998w=")</f>
        <v>#REF!</v>
      </c>
      <c r="GX102" t="e">
        <f>AND(#REF!,"AAAAACX9980=")</f>
        <v>#REF!</v>
      </c>
      <c r="GY102" t="e">
        <f>AND(#REF!,"AAAAACX9984=")</f>
        <v>#REF!</v>
      </c>
      <c r="GZ102" t="e">
        <f>AND(#REF!,"AAAAACX9988=")</f>
        <v>#REF!</v>
      </c>
      <c r="HA102" t="e">
        <f>IF(#REF!,"AAAAACX999A=",0)</f>
        <v>#REF!</v>
      </c>
      <c r="HB102" t="e">
        <f>AND(#REF!,"AAAAACX999E=")</f>
        <v>#REF!</v>
      </c>
      <c r="HC102" t="e">
        <f>AND(#REF!,"AAAAACX999I=")</f>
        <v>#REF!</v>
      </c>
      <c r="HD102" t="e">
        <f>AND(#REF!,"AAAAACX999M=")</f>
        <v>#REF!</v>
      </c>
      <c r="HE102" t="e">
        <f>AND(#REF!,"AAAAACX999Q=")</f>
        <v>#REF!</v>
      </c>
      <c r="HF102" t="e">
        <f>AND(#REF!,"AAAAACX999U=")</f>
        <v>#REF!</v>
      </c>
      <c r="HG102" t="e">
        <f>AND(#REF!,"AAAAACX999Y=")</f>
        <v>#REF!</v>
      </c>
      <c r="HH102" t="e">
        <f>AND(#REF!,"AAAAACX999c=")</f>
        <v>#REF!</v>
      </c>
      <c r="HI102" t="e">
        <f>AND(#REF!,"AAAAACX999g=")</f>
        <v>#REF!</v>
      </c>
      <c r="HJ102" t="e">
        <f>AND(#REF!,"AAAAACX999k=")</f>
        <v>#REF!</v>
      </c>
      <c r="HK102" t="e">
        <f>AND(#REF!,"AAAAACX999o=")</f>
        <v>#REF!</v>
      </c>
      <c r="HL102" t="e">
        <f>IF(#REF!,"AAAAACX999s=",0)</f>
        <v>#REF!</v>
      </c>
      <c r="HM102" t="e">
        <f>AND(#REF!,"AAAAACX999w=")</f>
        <v>#REF!</v>
      </c>
      <c r="HN102" t="e">
        <f>AND(#REF!,"AAAAACX9990=")</f>
        <v>#REF!</v>
      </c>
      <c r="HO102" t="e">
        <f>AND(#REF!,"AAAAACX9994=")</f>
        <v>#REF!</v>
      </c>
      <c r="HP102" t="e">
        <f>AND(#REF!,"AAAAACX9998=")</f>
        <v>#REF!</v>
      </c>
      <c r="HQ102" t="e">
        <f>AND(#REF!,"AAAAACX99+A=")</f>
        <v>#REF!</v>
      </c>
      <c r="HR102" t="e">
        <f>AND(#REF!,"AAAAACX99+E=")</f>
        <v>#REF!</v>
      </c>
      <c r="HS102" t="e">
        <f>AND(#REF!,"AAAAACX99+I=")</f>
        <v>#REF!</v>
      </c>
      <c r="HT102" t="e">
        <f>AND(#REF!,"AAAAACX99+M=")</f>
        <v>#REF!</v>
      </c>
      <c r="HU102" t="e">
        <f>AND(#REF!,"AAAAACX99+Q=")</f>
        <v>#REF!</v>
      </c>
      <c r="HV102" t="e">
        <f>AND(#REF!,"AAAAACX99+U=")</f>
        <v>#REF!</v>
      </c>
      <c r="HW102" t="e">
        <f>IF(#REF!,"AAAAACX99+Y=",0)</f>
        <v>#REF!</v>
      </c>
      <c r="HX102" t="e">
        <f>AND(#REF!,"AAAAACX99+c=")</f>
        <v>#REF!</v>
      </c>
      <c r="HY102" t="e">
        <f>AND(#REF!,"AAAAACX99+g=")</f>
        <v>#REF!</v>
      </c>
      <c r="HZ102" t="e">
        <f>AND(#REF!,"AAAAACX99+k=")</f>
        <v>#REF!</v>
      </c>
      <c r="IA102" t="e">
        <f>AND(#REF!,"AAAAACX99+o=")</f>
        <v>#REF!</v>
      </c>
      <c r="IB102" t="e">
        <f>AND(#REF!,"AAAAACX99+s=")</f>
        <v>#REF!</v>
      </c>
      <c r="IC102" t="e">
        <f>AND(#REF!,"AAAAACX99+w=")</f>
        <v>#REF!</v>
      </c>
      <c r="ID102" t="e">
        <f>AND(#REF!,"AAAAACX99+0=")</f>
        <v>#REF!</v>
      </c>
      <c r="IE102" t="e">
        <f>AND(#REF!,"AAAAACX99+4=")</f>
        <v>#REF!</v>
      </c>
      <c r="IF102" t="e">
        <f>AND(#REF!,"AAAAACX99+8=")</f>
        <v>#REF!</v>
      </c>
      <c r="IG102" t="e">
        <f>AND(#REF!,"AAAAACX99/A=")</f>
        <v>#REF!</v>
      </c>
      <c r="IH102" t="e">
        <f>IF(#REF!,"AAAAACX99/E=",0)</f>
        <v>#REF!</v>
      </c>
      <c r="II102" t="e">
        <f>AND(#REF!,"AAAAACX99/I=")</f>
        <v>#REF!</v>
      </c>
      <c r="IJ102" t="e">
        <f>AND(#REF!,"AAAAACX99/M=")</f>
        <v>#REF!</v>
      </c>
      <c r="IK102" t="e">
        <f>AND(#REF!,"AAAAACX99/Q=")</f>
        <v>#REF!</v>
      </c>
      <c r="IL102" t="e">
        <f>AND(#REF!,"AAAAACX99/U=")</f>
        <v>#REF!</v>
      </c>
      <c r="IM102" t="e">
        <f>AND(#REF!,"AAAAACX99/Y=")</f>
        <v>#REF!</v>
      </c>
      <c r="IN102" t="e">
        <f>AND(#REF!,"AAAAACX99/c=")</f>
        <v>#REF!</v>
      </c>
      <c r="IO102" t="e">
        <f>AND(#REF!,"AAAAACX99/g=")</f>
        <v>#REF!</v>
      </c>
      <c r="IP102" t="e">
        <f>AND(#REF!,"AAAAACX99/k=")</f>
        <v>#REF!</v>
      </c>
      <c r="IQ102" t="e">
        <f>AND(#REF!,"AAAAACX99/o=")</f>
        <v>#REF!</v>
      </c>
      <c r="IR102" t="e">
        <f>AND(#REF!,"AAAAACX99/s=")</f>
        <v>#REF!</v>
      </c>
      <c r="IS102" t="e">
        <f>IF(#REF!,"AAAAACX99/w=",0)</f>
        <v>#REF!</v>
      </c>
      <c r="IT102" t="e">
        <f>AND(#REF!,"AAAAACX99/0=")</f>
        <v>#REF!</v>
      </c>
      <c r="IU102" t="e">
        <f>AND(#REF!,"AAAAACX99/4=")</f>
        <v>#REF!</v>
      </c>
      <c r="IV102" t="e">
        <f>AND(#REF!,"AAAAACX99/8=")</f>
        <v>#REF!</v>
      </c>
    </row>
    <row r="103" spans="1:256" x14ac:dyDescent="0.25">
      <c r="A103" t="e">
        <f>AND(#REF!,"AAAAADztkQA=")</f>
        <v>#REF!</v>
      </c>
      <c r="B103" t="e">
        <f>AND(#REF!,"AAAAADztkQE=")</f>
        <v>#REF!</v>
      </c>
      <c r="C103" t="e">
        <f>AND(#REF!,"AAAAADztkQI=")</f>
        <v>#REF!</v>
      </c>
      <c r="D103" t="e">
        <f>AND(#REF!,"AAAAADztkQM=")</f>
        <v>#REF!</v>
      </c>
      <c r="E103" t="e">
        <f>AND(#REF!,"AAAAADztkQQ=")</f>
        <v>#REF!</v>
      </c>
      <c r="F103" t="e">
        <f>AND(#REF!,"AAAAADztkQU=")</f>
        <v>#REF!</v>
      </c>
      <c r="G103" t="e">
        <f>AND(#REF!,"AAAAADztkQY=")</f>
        <v>#REF!</v>
      </c>
      <c r="H103" t="e">
        <f>IF(#REF!,"AAAAADztkQc=",0)</f>
        <v>#REF!</v>
      </c>
      <c r="I103" t="e">
        <f>AND(#REF!,"AAAAADztkQg=")</f>
        <v>#REF!</v>
      </c>
      <c r="J103" t="e">
        <f>AND(#REF!,"AAAAADztkQk=")</f>
        <v>#REF!</v>
      </c>
      <c r="K103" t="e">
        <f>AND(#REF!,"AAAAADztkQo=")</f>
        <v>#REF!</v>
      </c>
      <c r="L103" t="e">
        <f>AND(#REF!,"AAAAADztkQs=")</f>
        <v>#REF!</v>
      </c>
      <c r="M103" t="e">
        <f>AND(#REF!,"AAAAADztkQw=")</f>
        <v>#REF!</v>
      </c>
      <c r="N103" t="e">
        <f>AND(#REF!,"AAAAADztkQ0=")</f>
        <v>#REF!</v>
      </c>
      <c r="O103" t="e">
        <f>AND(#REF!,"AAAAADztkQ4=")</f>
        <v>#REF!</v>
      </c>
      <c r="P103" t="e">
        <f>AND(#REF!,"AAAAADztkQ8=")</f>
        <v>#REF!</v>
      </c>
      <c r="Q103" t="e">
        <f>AND(#REF!,"AAAAADztkRA=")</f>
        <v>#REF!</v>
      </c>
      <c r="R103" t="e">
        <f>AND(#REF!,"AAAAADztkRE=")</f>
        <v>#REF!</v>
      </c>
      <c r="S103" t="e">
        <f>IF(#REF!,"AAAAADztkRI=",0)</f>
        <v>#REF!</v>
      </c>
      <c r="T103" t="e">
        <f>AND(#REF!,"AAAAADztkRM=")</f>
        <v>#REF!</v>
      </c>
      <c r="U103" t="e">
        <f>AND(#REF!,"AAAAADztkRQ=")</f>
        <v>#REF!</v>
      </c>
      <c r="V103" t="e">
        <f>AND(#REF!,"AAAAADztkRU=")</f>
        <v>#REF!</v>
      </c>
      <c r="W103" t="e">
        <f>AND(#REF!,"AAAAADztkRY=")</f>
        <v>#REF!</v>
      </c>
      <c r="X103" t="e">
        <f>AND(#REF!,"AAAAADztkRc=")</f>
        <v>#REF!</v>
      </c>
      <c r="Y103" t="e">
        <f>AND(#REF!,"AAAAADztkRg=")</f>
        <v>#REF!</v>
      </c>
      <c r="Z103" t="e">
        <f>AND(#REF!,"AAAAADztkRk=")</f>
        <v>#REF!</v>
      </c>
      <c r="AA103" t="e">
        <f>AND(#REF!,"AAAAADztkRo=")</f>
        <v>#REF!</v>
      </c>
      <c r="AB103" t="e">
        <f>AND(#REF!,"AAAAADztkRs=")</f>
        <v>#REF!</v>
      </c>
      <c r="AC103" t="e">
        <f>AND(#REF!,"AAAAADztkRw=")</f>
        <v>#REF!</v>
      </c>
      <c r="AD103" t="e">
        <f>IF(#REF!,"AAAAADztkR0=",0)</f>
        <v>#REF!</v>
      </c>
      <c r="AE103" t="e">
        <f>AND(#REF!,"AAAAADztkR4=")</f>
        <v>#REF!</v>
      </c>
      <c r="AF103" t="e">
        <f>AND(#REF!,"AAAAADztkR8=")</f>
        <v>#REF!</v>
      </c>
      <c r="AG103" t="e">
        <f>AND(#REF!,"AAAAADztkSA=")</f>
        <v>#REF!</v>
      </c>
      <c r="AH103" t="e">
        <f>AND(#REF!,"AAAAADztkSE=")</f>
        <v>#REF!</v>
      </c>
      <c r="AI103" t="e">
        <f>AND(#REF!,"AAAAADztkSI=")</f>
        <v>#REF!</v>
      </c>
      <c r="AJ103" t="e">
        <f>AND(#REF!,"AAAAADztkSM=")</f>
        <v>#REF!</v>
      </c>
      <c r="AK103" t="e">
        <f>AND(#REF!,"AAAAADztkSQ=")</f>
        <v>#REF!</v>
      </c>
      <c r="AL103" t="e">
        <f>AND(#REF!,"AAAAADztkSU=")</f>
        <v>#REF!</v>
      </c>
      <c r="AM103" t="e">
        <f>AND(#REF!,"AAAAADztkSY=")</f>
        <v>#REF!</v>
      </c>
      <c r="AN103" t="e">
        <f>AND(#REF!,"AAAAADztkSc=")</f>
        <v>#REF!</v>
      </c>
      <c r="AO103" t="e">
        <f>IF(#REF!,"AAAAADztkSg=",0)</f>
        <v>#REF!</v>
      </c>
      <c r="AP103" t="e">
        <f>AND(#REF!,"AAAAADztkSk=")</f>
        <v>#REF!</v>
      </c>
      <c r="AQ103" t="e">
        <f>AND(#REF!,"AAAAADztkSo=")</f>
        <v>#REF!</v>
      </c>
      <c r="AR103" t="e">
        <f>AND(#REF!,"AAAAADztkSs=")</f>
        <v>#REF!</v>
      </c>
      <c r="AS103" t="e">
        <f>AND(#REF!,"AAAAADztkSw=")</f>
        <v>#REF!</v>
      </c>
      <c r="AT103" t="e">
        <f>AND(#REF!,"AAAAADztkS0=")</f>
        <v>#REF!</v>
      </c>
      <c r="AU103" t="e">
        <f>AND(#REF!,"AAAAADztkS4=")</f>
        <v>#REF!</v>
      </c>
      <c r="AV103" t="e">
        <f>AND(#REF!,"AAAAADztkS8=")</f>
        <v>#REF!</v>
      </c>
      <c r="AW103" t="e">
        <f>AND(#REF!,"AAAAADztkTA=")</f>
        <v>#REF!</v>
      </c>
      <c r="AX103" t="e">
        <f>AND(#REF!,"AAAAADztkTE=")</f>
        <v>#REF!</v>
      </c>
      <c r="AY103" t="e">
        <f>AND(#REF!,"AAAAADztkTI=")</f>
        <v>#REF!</v>
      </c>
      <c r="AZ103" t="e">
        <f>IF(#REF!,"AAAAADztkTM=",0)</f>
        <v>#REF!</v>
      </c>
      <c r="BA103" t="e">
        <f>AND(#REF!,"AAAAADztkTQ=")</f>
        <v>#REF!</v>
      </c>
      <c r="BB103" t="e">
        <f>AND(#REF!,"AAAAADztkTU=")</f>
        <v>#REF!</v>
      </c>
      <c r="BC103" t="e">
        <f>AND(#REF!,"AAAAADztkTY=")</f>
        <v>#REF!</v>
      </c>
      <c r="BD103" t="e">
        <f>AND(#REF!,"AAAAADztkTc=")</f>
        <v>#REF!</v>
      </c>
      <c r="BE103" t="e">
        <f>AND(#REF!,"AAAAADztkTg=")</f>
        <v>#REF!</v>
      </c>
      <c r="BF103" t="e">
        <f>AND(#REF!,"AAAAADztkTk=")</f>
        <v>#REF!</v>
      </c>
      <c r="BG103" t="e">
        <f>AND(#REF!,"AAAAADztkTo=")</f>
        <v>#REF!</v>
      </c>
      <c r="BH103" t="e">
        <f>AND(#REF!,"AAAAADztkTs=")</f>
        <v>#REF!</v>
      </c>
      <c r="BI103" t="e">
        <f>AND(#REF!,"AAAAADztkTw=")</f>
        <v>#REF!</v>
      </c>
      <c r="BJ103" t="e">
        <f>AND(#REF!,"AAAAADztkT0=")</f>
        <v>#REF!</v>
      </c>
      <c r="BK103" t="e">
        <f>IF(#REF!,"AAAAADztkT4=",0)</f>
        <v>#REF!</v>
      </c>
      <c r="BL103" t="e">
        <f>AND(#REF!,"AAAAADztkT8=")</f>
        <v>#REF!</v>
      </c>
      <c r="BM103" t="e">
        <f>AND(#REF!,"AAAAADztkUA=")</f>
        <v>#REF!</v>
      </c>
      <c r="BN103" t="e">
        <f>AND(#REF!,"AAAAADztkUE=")</f>
        <v>#REF!</v>
      </c>
      <c r="BO103" t="e">
        <f>AND(#REF!,"AAAAADztkUI=")</f>
        <v>#REF!</v>
      </c>
      <c r="BP103" t="e">
        <f>AND(#REF!,"AAAAADztkUM=")</f>
        <v>#REF!</v>
      </c>
      <c r="BQ103" t="e">
        <f>AND(#REF!,"AAAAADztkUQ=")</f>
        <v>#REF!</v>
      </c>
      <c r="BR103" t="e">
        <f>AND(#REF!,"AAAAADztkUU=")</f>
        <v>#REF!</v>
      </c>
      <c r="BS103" t="e">
        <f>AND(#REF!,"AAAAADztkUY=")</f>
        <v>#REF!</v>
      </c>
      <c r="BT103" t="e">
        <f>AND(#REF!,"AAAAADztkUc=")</f>
        <v>#REF!</v>
      </c>
      <c r="BU103" t="e">
        <f>AND(#REF!,"AAAAADztkUg=")</f>
        <v>#REF!</v>
      </c>
      <c r="BV103" t="e">
        <f>IF(#REF!,"AAAAADztkUk=",0)</f>
        <v>#REF!</v>
      </c>
      <c r="BW103" t="e">
        <f>AND(#REF!,"AAAAADztkUo=")</f>
        <v>#REF!</v>
      </c>
      <c r="BX103" t="e">
        <f>AND(#REF!,"AAAAADztkUs=")</f>
        <v>#REF!</v>
      </c>
      <c r="BY103" t="e">
        <f>AND(#REF!,"AAAAADztkUw=")</f>
        <v>#REF!</v>
      </c>
      <c r="BZ103" t="e">
        <f>AND(#REF!,"AAAAADztkU0=")</f>
        <v>#REF!</v>
      </c>
      <c r="CA103" t="e">
        <f>AND(#REF!,"AAAAADztkU4=")</f>
        <v>#REF!</v>
      </c>
      <c r="CB103" t="e">
        <f>AND(#REF!,"AAAAADztkU8=")</f>
        <v>#REF!</v>
      </c>
      <c r="CC103" t="e">
        <f>AND(#REF!,"AAAAADztkVA=")</f>
        <v>#REF!</v>
      </c>
      <c r="CD103" t="e">
        <f>AND(#REF!,"AAAAADztkVE=")</f>
        <v>#REF!</v>
      </c>
      <c r="CE103" t="e">
        <f>AND(#REF!,"AAAAADztkVI=")</f>
        <v>#REF!</v>
      </c>
      <c r="CF103" t="e">
        <f>AND(#REF!,"AAAAADztkVM=")</f>
        <v>#REF!</v>
      </c>
      <c r="CG103" t="e">
        <f>IF(#REF!,"AAAAADztkVQ=",0)</f>
        <v>#REF!</v>
      </c>
      <c r="CH103" t="e">
        <f>AND(#REF!,"AAAAADztkVU=")</f>
        <v>#REF!</v>
      </c>
      <c r="CI103" t="e">
        <f>AND(#REF!,"AAAAADztkVY=")</f>
        <v>#REF!</v>
      </c>
      <c r="CJ103" t="e">
        <f>AND(#REF!,"AAAAADztkVc=")</f>
        <v>#REF!</v>
      </c>
      <c r="CK103" t="e">
        <f>AND(#REF!,"AAAAADztkVg=")</f>
        <v>#REF!</v>
      </c>
      <c r="CL103" t="e">
        <f>AND(#REF!,"AAAAADztkVk=")</f>
        <v>#REF!</v>
      </c>
      <c r="CM103" t="e">
        <f>AND(#REF!,"AAAAADztkVo=")</f>
        <v>#REF!</v>
      </c>
      <c r="CN103" t="e">
        <f>AND(#REF!,"AAAAADztkVs=")</f>
        <v>#REF!</v>
      </c>
      <c r="CO103" t="e">
        <f>AND(#REF!,"AAAAADztkVw=")</f>
        <v>#REF!</v>
      </c>
      <c r="CP103" t="e">
        <f>AND(#REF!,"AAAAADztkV0=")</f>
        <v>#REF!</v>
      </c>
      <c r="CQ103" t="e">
        <f>AND(#REF!,"AAAAADztkV4=")</f>
        <v>#REF!</v>
      </c>
      <c r="CR103" t="e">
        <f>IF(#REF!,"AAAAADztkV8=",0)</f>
        <v>#REF!</v>
      </c>
      <c r="CS103" t="e">
        <f>AND(#REF!,"AAAAADztkWA=")</f>
        <v>#REF!</v>
      </c>
      <c r="CT103" t="e">
        <f>AND(#REF!,"AAAAADztkWE=")</f>
        <v>#REF!</v>
      </c>
      <c r="CU103" t="e">
        <f>AND(#REF!,"AAAAADztkWI=")</f>
        <v>#REF!</v>
      </c>
      <c r="CV103" t="e">
        <f>AND(#REF!,"AAAAADztkWM=")</f>
        <v>#REF!</v>
      </c>
      <c r="CW103" t="e">
        <f>AND(#REF!,"AAAAADztkWQ=")</f>
        <v>#REF!</v>
      </c>
      <c r="CX103" t="e">
        <f>AND(#REF!,"AAAAADztkWU=")</f>
        <v>#REF!</v>
      </c>
      <c r="CY103" t="e">
        <f>AND(#REF!,"AAAAADztkWY=")</f>
        <v>#REF!</v>
      </c>
      <c r="CZ103" t="e">
        <f>AND(#REF!,"AAAAADztkWc=")</f>
        <v>#REF!</v>
      </c>
      <c r="DA103" t="e">
        <f>AND(#REF!,"AAAAADztkWg=")</f>
        <v>#REF!</v>
      </c>
      <c r="DB103" t="e">
        <f>AND(#REF!,"AAAAADztkWk=")</f>
        <v>#REF!</v>
      </c>
      <c r="DC103" t="e">
        <f>IF(#REF!,"AAAAADztkWo=",0)</f>
        <v>#REF!</v>
      </c>
      <c r="DD103" t="e">
        <f>AND(#REF!,"AAAAADztkWs=")</f>
        <v>#REF!</v>
      </c>
      <c r="DE103" t="e">
        <f>AND(#REF!,"AAAAADztkWw=")</f>
        <v>#REF!</v>
      </c>
      <c r="DF103" t="e">
        <f>AND(#REF!,"AAAAADztkW0=")</f>
        <v>#REF!</v>
      </c>
      <c r="DG103" t="e">
        <f>AND(#REF!,"AAAAADztkW4=")</f>
        <v>#REF!</v>
      </c>
      <c r="DH103" t="e">
        <f>AND(#REF!,"AAAAADztkW8=")</f>
        <v>#REF!</v>
      </c>
      <c r="DI103" t="e">
        <f>AND(#REF!,"AAAAADztkXA=")</f>
        <v>#REF!</v>
      </c>
      <c r="DJ103" t="e">
        <f>AND(#REF!,"AAAAADztkXE=")</f>
        <v>#REF!</v>
      </c>
      <c r="DK103" t="e">
        <f>AND(#REF!,"AAAAADztkXI=")</f>
        <v>#REF!</v>
      </c>
      <c r="DL103" t="e">
        <f>AND(#REF!,"AAAAADztkXM=")</f>
        <v>#REF!</v>
      </c>
      <c r="DM103" t="e">
        <f>AND(#REF!,"AAAAADztkXQ=")</f>
        <v>#REF!</v>
      </c>
      <c r="DN103" t="e">
        <f>IF(#REF!,"AAAAADztkXU=",0)</f>
        <v>#REF!</v>
      </c>
      <c r="DO103" t="e">
        <f>AND(#REF!,"AAAAADztkXY=")</f>
        <v>#REF!</v>
      </c>
      <c r="DP103" t="e">
        <f>AND(#REF!,"AAAAADztkXc=")</f>
        <v>#REF!</v>
      </c>
      <c r="DQ103" t="e">
        <f>AND(#REF!,"AAAAADztkXg=")</f>
        <v>#REF!</v>
      </c>
      <c r="DR103" t="e">
        <f>AND(#REF!,"AAAAADztkXk=")</f>
        <v>#REF!</v>
      </c>
      <c r="DS103" t="e">
        <f>AND(#REF!,"AAAAADztkXo=")</f>
        <v>#REF!</v>
      </c>
      <c r="DT103" t="e">
        <f>AND(#REF!,"AAAAADztkXs=")</f>
        <v>#REF!</v>
      </c>
      <c r="DU103" t="e">
        <f>AND(#REF!,"AAAAADztkXw=")</f>
        <v>#REF!</v>
      </c>
      <c r="DV103" t="e">
        <f>AND(#REF!,"AAAAADztkX0=")</f>
        <v>#REF!</v>
      </c>
      <c r="DW103" t="e">
        <f>AND(#REF!,"AAAAADztkX4=")</f>
        <v>#REF!</v>
      </c>
      <c r="DX103" t="e">
        <f>AND(#REF!,"AAAAADztkX8=")</f>
        <v>#REF!</v>
      </c>
      <c r="DY103" t="e">
        <f>IF(#REF!,"AAAAADztkYA=",0)</f>
        <v>#REF!</v>
      </c>
      <c r="DZ103" t="e">
        <f>AND(#REF!,"AAAAADztkYE=")</f>
        <v>#REF!</v>
      </c>
      <c r="EA103" t="e">
        <f>AND(#REF!,"AAAAADztkYI=")</f>
        <v>#REF!</v>
      </c>
      <c r="EB103" t="e">
        <f>AND(#REF!,"AAAAADztkYM=")</f>
        <v>#REF!</v>
      </c>
      <c r="EC103" t="e">
        <f>AND(#REF!,"AAAAADztkYQ=")</f>
        <v>#REF!</v>
      </c>
      <c r="ED103" t="e">
        <f>AND(#REF!,"AAAAADztkYU=")</f>
        <v>#REF!</v>
      </c>
      <c r="EE103" t="e">
        <f>AND(#REF!,"AAAAADztkYY=")</f>
        <v>#REF!</v>
      </c>
      <c r="EF103" t="e">
        <f>AND(#REF!,"AAAAADztkYc=")</f>
        <v>#REF!</v>
      </c>
      <c r="EG103" t="e">
        <f>AND(#REF!,"AAAAADztkYg=")</f>
        <v>#REF!</v>
      </c>
      <c r="EH103" t="e">
        <f>AND(#REF!,"AAAAADztkYk=")</f>
        <v>#REF!</v>
      </c>
      <c r="EI103" t="e">
        <f>AND(#REF!,"AAAAADztkYo=")</f>
        <v>#REF!</v>
      </c>
      <c r="EJ103" t="e">
        <f>IF(#REF!,"AAAAADztkYs=",0)</f>
        <v>#REF!</v>
      </c>
      <c r="EK103" t="e">
        <f>AND(#REF!,"AAAAADztkYw=")</f>
        <v>#REF!</v>
      </c>
      <c r="EL103" t="e">
        <f>AND(#REF!,"AAAAADztkY0=")</f>
        <v>#REF!</v>
      </c>
      <c r="EM103" t="e">
        <f>AND(#REF!,"AAAAADztkY4=")</f>
        <v>#REF!</v>
      </c>
      <c r="EN103" t="e">
        <f>AND(#REF!,"AAAAADztkY8=")</f>
        <v>#REF!</v>
      </c>
      <c r="EO103" t="e">
        <f>AND(#REF!,"AAAAADztkZA=")</f>
        <v>#REF!</v>
      </c>
      <c r="EP103" t="e">
        <f>AND(#REF!,"AAAAADztkZE=")</f>
        <v>#REF!</v>
      </c>
      <c r="EQ103" t="e">
        <f>AND(#REF!,"AAAAADztkZI=")</f>
        <v>#REF!</v>
      </c>
      <c r="ER103" t="e">
        <f>AND(#REF!,"AAAAADztkZM=")</f>
        <v>#REF!</v>
      </c>
      <c r="ES103" t="e">
        <f>AND(#REF!,"AAAAADztkZQ=")</f>
        <v>#REF!</v>
      </c>
      <c r="ET103" t="e">
        <f>AND(#REF!,"AAAAADztkZU=")</f>
        <v>#REF!</v>
      </c>
      <c r="EU103" t="e">
        <f>IF(#REF!,"AAAAADztkZY=",0)</f>
        <v>#REF!</v>
      </c>
      <c r="EV103" t="e">
        <f>AND(#REF!,"AAAAADztkZc=")</f>
        <v>#REF!</v>
      </c>
      <c r="EW103" t="e">
        <f>AND(#REF!,"AAAAADztkZg=")</f>
        <v>#REF!</v>
      </c>
      <c r="EX103" t="e">
        <f>AND(#REF!,"AAAAADztkZk=")</f>
        <v>#REF!</v>
      </c>
      <c r="EY103" t="e">
        <f>AND(#REF!,"AAAAADztkZo=")</f>
        <v>#REF!</v>
      </c>
      <c r="EZ103" t="e">
        <f>AND(#REF!,"AAAAADztkZs=")</f>
        <v>#REF!</v>
      </c>
      <c r="FA103" t="e">
        <f>AND(#REF!,"AAAAADztkZw=")</f>
        <v>#REF!</v>
      </c>
      <c r="FB103" t="e">
        <f>AND(#REF!,"AAAAADztkZ0=")</f>
        <v>#REF!</v>
      </c>
      <c r="FC103" t="e">
        <f>AND(#REF!,"AAAAADztkZ4=")</f>
        <v>#REF!</v>
      </c>
      <c r="FD103" t="e">
        <f>AND(#REF!,"AAAAADztkZ8=")</f>
        <v>#REF!</v>
      </c>
      <c r="FE103" t="e">
        <f>AND(#REF!,"AAAAADztkaA=")</f>
        <v>#REF!</v>
      </c>
      <c r="FF103" t="e">
        <f>IF(#REF!,"AAAAADztkaE=",0)</f>
        <v>#REF!</v>
      </c>
      <c r="FG103" t="e">
        <f>AND(#REF!,"AAAAADztkaI=")</f>
        <v>#REF!</v>
      </c>
      <c r="FH103" t="e">
        <f>AND(#REF!,"AAAAADztkaM=")</f>
        <v>#REF!</v>
      </c>
      <c r="FI103" t="e">
        <f>AND(#REF!,"AAAAADztkaQ=")</f>
        <v>#REF!</v>
      </c>
      <c r="FJ103" t="e">
        <f>AND(#REF!,"AAAAADztkaU=")</f>
        <v>#REF!</v>
      </c>
      <c r="FK103" t="e">
        <f>AND(#REF!,"AAAAADztkaY=")</f>
        <v>#REF!</v>
      </c>
      <c r="FL103" t="e">
        <f>AND(#REF!,"AAAAADztkac=")</f>
        <v>#REF!</v>
      </c>
      <c r="FM103" t="e">
        <f>AND(#REF!,"AAAAADztkag=")</f>
        <v>#REF!</v>
      </c>
      <c r="FN103" t="e">
        <f>AND(#REF!,"AAAAADztkak=")</f>
        <v>#REF!</v>
      </c>
      <c r="FO103" t="e">
        <f>AND(#REF!,"AAAAADztkao=")</f>
        <v>#REF!</v>
      </c>
      <c r="FP103" t="e">
        <f>AND(#REF!,"AAAAADztkas=")</f>
        <v>#REF!</v>
      </c>
      <c r="FQ103" t="e">
        <f>IF(#REF!,"AAAAADztkaw=",0)</f>
        <v>#REF!</v>
      </c>
      <c r="FR103" t="e">
        <f>AND(#REF!,"AAAAADztka0=")</f>
        <v>#REF!</v>
      </c>
      <c r="FS103" t="e">
        <f>AND(#REF!,"AAAAADztka4=")</f>
        <v>#REF!</v>
      </c>
      <c r="FT103" t="e">
        <f>AND(#REF!,"AAAAADztka8=")</f>
        <v>#REF!</v>
      </c>
      <c r="FU103" t="e">
        <f>AND(#REF!,"AAAAADztkbA=")</f>
        <v>#REF!</v>
      </c>
      <c r="FV103" t="e">
        <f>AND(#REF!,"AAAAADztkbE=")</f>
        <v>#REF!</v>
      </c>
      <c r="FW103" t="e">
        <f>AND(#REF!,"AAAAADztkbI=")</f>
        <v>#REF!</v>
      </c>
      <c r="FX103" t="e">
        <f>AND(#REF!,"AAAAADztkbM=")</f>
        <v>#REF!</v>
      </c>
      <c r="FY103" t="e">
        <f>AND(#REF!,"AAAAADztkbQ=")</f>
        <v>#REF!</v>
      </c>
      <c r="FZ103" t="e">
        <f>AND(#REF!,"AAAAADztkbU=")</f>
        <v>#REF!</v>
      </c>
      <c r="GA103" t="e">
        <f>AND(#REF!,"AAAAADztkbY=")</f>
        <v>#REF!</v>
      </c>
      <c r="GB103" t="e">
        <f>IF(#REF!,"AAAAADztkbc=",0)</f>
        <v>#REF!</v>
      </c>
      <c r="GC103" t="e">
        <f>AND(#REF!,"AAAAADztkbg=")</f>
        <v>#REF!</v>
      </c>
      <c r="GD103" t="e">
        <f>AND(#REF!,"AAAAADztkbk=")</f>
        <v>#REF!</v>
      </c>
      <c r="GE103" t="e">
        <f>AND(#REF!,"AAAAADztkbo=")</f>
        <v>#REF!</v>
      </c>
      <c r="GF103" t="e">
        <f>AND(#REF!,"AAAAADztkbs=")</f>
        <v>#REF!</v>
      </c>
      <c r="GG103" t="e">
        <f>AND(#REF!,"AAAAADztkbw=")</f>
        <v>#REF!</v>
      </c>
      <c r="GH103" t="e">
        <f>AND(#REF!,"AAAAADztkb0=")</f>
        <v>#REF!</v>
      </c>
      <c r="GI103" t="e">
        <f>AND(#REF!,"AAAAADztkb4=")</f>
        <v>#REF!</v>
      </c>
      <c r="GJ103" t="e">
        <f>AND(#REF!,"AAAAADztkb8=")</f>
        <v>#REF!</v>
      </c>
      <c r="GK103" t="e">
        <f>AND(#REF!,"AAAAADztkcA=")</f>
        <v>#REF!</v>
      </c>
      <c r="GL103" t="e">
        <f>AND(#REF!,"AAAAADztkcE=")</f>
        <v>#REF!</v>
      </c>
      <c r="GM103" t="e">
        <f>IF(#REF!,"AAAAADztkcI=",0)</f>
        <v>#REF!</v>
      </c>
      <c r="GN103" t="e">
        <f>AND(#REF!,"AAAAADztkcM=")</f>
        <v>#REF!</v>
      </c>
      <c r="GO103" t="e">
        <f>AND(#REF!,"AAAAADztkcQ=")</f>
        <v>#REF!</v>
      </c>
      <c r="GP103" t="e">
        <f>AND(#REF!,"AAAAADztkcU=")</f>
        <v>#REF!</v>
      </c>
      <c r="GQ103" t="e">
        <f>AND(#REF!,"AAAAADztkcY=")</f>
        <v>#REF!</v>
      </c>
      <c r="GR103" t="e">
        <f>AND(#REF!,"AAAAADztkcc=")</f>
        <v>#REF!</v>
      </c>
      <c r="GS103" t="e">
        <f>AND(#REF!,"AAAAADztkcg=")</f>
        <v>#REF!</v>
      </c>
      <c r="GT103" t="e">
        <f>AND(#REF!,"AAAAADztkck=")</f>
        <v>#REF!</v>
      </c>
      <c r="GU103" t="e">
        <f>AND(#REF!,"AAAAADztkco=")</f>
        <v>#REF!</v>
      </c>
      <c r="GV103" t="e">
        <f>AND(#REF!,"AAAAADztkcs=")</f>
        <v>#REF!</v>
      </c>
      <c r="GW103" t="e">
        <f>AND(#REF!,"AAAAADztkcw=")</f>
        <v>#REF!</v>
      </c>
      <c r="GX103" t="e">
        <f>IF(#REF!,"AAAAADztkc0=",0)</f>
        <v>#REF!</v>
      </c>
      <c r="GY103" t="e">
        <f>AND(#REF!,"AAAAADztkc4=")</f>
        <v>#REF!</v>
      </c>
      <c r="GZ103" t="e">
        <f>AND(#REF!,"AAAAADztkc8=")</f>
        <v>#REF!</v>
      </c>
      <c r="HA103" t="e">
        <f>AND(#REF!,"AAAAADztkdA=")</f>
        <v>#REF!</v>
      </c>
      <c r="HB103" t="e">
        <f>AND(#REF!,"AAAAADztkdE=")</f>
        <v>#REF!</v>
      </c>
      <c r="HC103" t="e">
        <f>AND(#REF!,"AAAAADztkdI=")</f>
        <v>#REF!</v>
      </c>
      <c r="HD103" t="e">
        <f>AND(#REF!,"AAAAADztkdM=")</f>
        <v>#REF!</v>
      </c>
      <c r="HE103" t="e">
        <f>AND(#REF!,"AAAAADztkdQ=")</f>
        <v>#REF!</v>
      </c>
      <c r="HF103" t="e">
        <f>AND(#REF!,"AAAAADztkdU=")</f>
        <v>#REF!</v>
      </c>
      <c r="HG103" t="e">
        <f>AND(#REF!,"AAAAADztkdY=")</f>
        <v>#REF!</v>
      </c>
      <c r="HH103" t="e">
        <f>AND(#REF!,"AAAAADztkdc=")</f>
        <v>#REF!</v>
      </c>
      <c r="HI103" t="e">
        <f>IF(#REF!,"AAAAADztkdg=",0)</f>
        <v>#REF!</v>
      </c>
      <c r="HJ103" t="e">
        <f>AND(#REF!,"AAAAADztkdk=")</f>
        <v>#REF!</v>
      </c>
      <c r="HK103" t="e">
        <f>AND(#REF!,"AAAAADztkdo=")</f>
        <v>#REF!</v>
      </c>
      <c r="HL103" t="e">
        <f>AND(#REF!,"AAAAADztkds=")</f>
        <v>#REF!</v>
      </c>
      <c r="HM103" t="e">
        <f>AND(#REF!,"AAAAADztkdw=")</f>
        <v>#REF!</v>
      </c>
      <c r="HN103" t="e">
        <f>AND(#REF!,"AAAAADztkd0=")</f>
        <v>#REF!</v>
      </c>
      <c r="HO103" t="e">
        <f>AND(#REF!,"AAAAADztkd4=")</f>
        <v>#REF!</v>
      </c>
      <c r="HP103" t="e">
        <f>AND(#REF!,"AAAAADztkd8=")</f>
        <v>#REF!</v>
      </c>
      <c r="HQ103" t="e">
        <f>AND(#REF!,"AAAAADztkeA=")</f>
        <v>#REF!</v>
      </c>
      <c r="HR103" t="e">
        <f>AND(#REF!,"AAAAADztkeE=")</f>
        <v>#REF!</v>
      </c>
      <c r="HS103" t="e">
        <f>AND(#REF!,"AAAAADztkeI=")</f>
        <v>#REF!</v>
      </c>
      <c r="HT103" t="e">
        <f>IF(#REF!,"AAAAADztkeM=",0)</f>
        <v>#REF!</v>
      </c>
      <c r="HU103" t="e">
        <f>AND(#REF!,"AAAAADztkeQ=")</f>
        <v>#REF!</v>
      </c>
      <c r="HV103" t="e">
        <f>AND(#REF!,"AAAAADztkeU=")</f>
        <v>#REF!</v>
      </c>
      <c r="HW103" t="e">
        <f>AND(#REF!,"AAAAADztkeY=")</f>
        <v>#REF!</v>
      </c>
      <c r="HX103" t="e">
        <f>AND(#REF!,"AAAAADztkec=")</f>
        <v>#REF!</v>
      </c>
      <c r="HY103" t="e">
        <f>AND(#REF!,"AAAAADztkeg=")</f>
        <v>#REF!</v>
      </c>
      <c r="HZ103" t="e">
        <f>AND(#REF!,"AAAAADztkek=")</f>
        <v>#REF!</v>
      </c>
      <c r="IA103" t="e">
        <f>AND(#REF!,"AAAAADztkeo=")</f>
        <v>#REF!</v>
      </c>
      <c r="IB103" t="e">
        <f>AND(#REF!,"AAAAADztkes=")</f>
        <v>#REF!</v>
      </c>
      <c r="IC103" t="e">
        <f>AND(#REF!,"AAAAADztkew=")</f>
        <v>#REF!</v>
      </c>
      <c r="ID103" t="e">
        <f>AND(#REF!,"AAAAADztke0=")</f>
        <v>#REF!</v>
      </c>
      <c r="IE103" t="e">
        <f>IF(#REF!,"AAAAADztke4=",0)</f>
        <v>#REF!</v>
      </c>
      <c r="IF103" t="e">
        <f>AND(#REF!,"AAAAADztke8=")</f>
        <v>#REF!</v>
      </c>
      <c r="IG103" t="e">
        <f>AND(#REF!,"AAAAADztkfA=")</f>
        <v>#REF!</v>
      </c>
      <c r="IH103" t="e">
        <f>AND(#REF!,"AAAAADztkfE=")</f>
        <v>#REF!</v>
      </c>
      <c r="II103" t="e">
        <f>AND(#REF!,"AAAAADztkfI=")</f>
        <v>#REF!</v>
      </c>
      <c r="IJ103" t="e">
        <f>AND(#REF!,"AAAAADztkfM=")</f>
        <v>#REF!</v>
      </c>
      <c r="IK103" t="e">
        <f>AND(#REF!,"AAAAADztkfQ=")</f>
        <v>#REF!</v>
      </c>
      <c r="IL103" t="e">
        <f>AND(#REF!,"AAAAADztkfU=")</f>
        <v>#REF!</v>
      </c>
      <c r="IM103" t="e">
        <f>AND(#REF!,"AAAAADztkfY=")</f>
        <v>#REF!</v>
      </c>
      <c r="IN103" t="e">
        <f>AND(#REF!,"AAAAADztkfc=")</f>
        <v>#REF!</v>
      </c>
      <c r="IO103" t="e">
        <f>AND(#REF!,"AAAAADztkfg=")</f>
        <v>#REF!</v>
      </c>
      <c r="IP103" t="e">
        <f>IF(#REF!,"AAAAADztkfk=",0)</f>
        <v>#REF!</v>
      </c>
      <c r="IQ103" t="e">
        <f>AND(#REF!,"AAAAADztkfo=")</f>
        <v>#REF!</v>
      </c>
      <c r="IR103" t="e">
        <f>AND(#REF!,"AAAAADztkfs=")</f>
        <v>#REF!</v>
      </c>
      <c r="IS103" t="e">
        <f>AND(#REF!,"AAAAADztkfw=")</f>
        <v>#REF!</v>
      </c>
      <c r="IT103" t="e">
        <f>AND(#REF!,"AAAAADztkf0=")</f>
        <v>#REF!</v>
      </c>
      <c r="IU103" t="e">
        <f>AND(#REF!,"AAAAADztkf4=")</f>
        <v>#REF!</v>
      </c>
      <c r="IV103" t="e">
        <f>AND(#REF!,"AAAAADztkf8=")</f>
        <v>#REF!</v>
      </c>
    </row>
    <row r="104" spans="1:256" x14ac:dyDescent="0.25">
      <c r="A104" t="e">
        <f>AND(#REF!,"AAAAAD9G3QA=")</f>
        <v>#REF!</v>
      </c>
      <c r="B104" t="e">
        <f>AND(#REF!,"AAAAAD9G3QE=")</f>
        <v>#REF!</v>
      </c>
      <c r="C104" t="e">
        <f>AND(#REF!,"AAAAAD9G3QI=")</f>
        <v>#REF!</v>
      </c>
      <c r="D104" t="e">
        <f>AND(#REF!,"AAAAAD9G3QM=")</f>
        <v>#REF!</v>
      </c>
      <c r="E104" t="e">
        <f>IF(#REF!,"AAAAAD9G3QQ=",0)</f>
        <v>#REF!</v>
      </c>
      <c r="F104" t="e">
        <f>AND(#REF!,"AAAAAD9G3QU=")</f>
        <v>#REF!</v>
      </c>
      <c r="G104" t="e">
        <f>AND(#REF!,"AAAAAD9G3QY=")</f>
        <v>#REF!</v>
      </c>
      <c r="H104" t="e">
        <f>AND(#REF!,"AAAAAD9G3Qc=")</f>
        <v>#REF!</v>
      </c>
      <c r="I104" t="e">
        <f>AND(#REF!,"AAAAAD9G3Qg=")</f>
        <v>#REF!</v>
      </c>
      <c r="J104" t="e">
        <f>AND(#REF!,"AAAAAD9G3Qk=")</f>
        <v>#REF!</v>
      </c>
      <c r="K104" t="e">
        <f>AND(#REF!,"AAAAAD9G3Qo=")</f>
        <v>#REF!</v>
      </c>
      <c r="L104" t="e">
        <f>AND(#REF!,"AAAAAD9G3Qs=")</f>
        <v>#REF!</v>
      </c>
      <c r="M104" t="e">
        <f>AND(#REF!,"AAAAAD9G3Qw=")</f>
        <v>#REF!</v>
      </c>
      <c r="N104" t="e">
        <f>AND(#REF!,"AAAAAD9G3Q0=")</f>
        <v>#REF!</v>
      </c>
      <c r="O104" t="e">
        <f>AND(#REF!,"AAAAAD9G3Q4=")</f>
        <v>#REF!</v>
      </c>
      <c r="P104" t="e">
        <f>IF(#REF!,"AAAAAD9G3Q8=",0)</f>
        <v>#REF!</v>
      </c>
      <c r="Q104" t="e">
        <f>AND(#REF!,"AAAAAD9G3RA=")</f>
        <v>#REF!</v>
      </c>
      <c r="R104" t="e">
        <f>AND(#REF!,"AAAAAD9G3RE=")</f>
        <v>#REF!</v>
      </c>
      <c r="S104" t="e">
        <f>AND(#REF!,"AAAAAD9G3RI=")</f>
        <v>#REF!</v>
      </c>
      <c r="T104" t="e">
        <f>AND(#REF!,"AAAAAD9G3RM=")</f>
        <v>#REF!</v>
      </c>
      <c r="U104" t="e">
        <f>AND(#REF!,"AAAAAD9G3RQ=")</f>
        <v>#REF!</v>
      </c>
      <c r="V104" t="e">
        <f>AND(#REF!,"AAAAAD9G3RU=")</f>
        <v>#REF!</v>
      </c>
      <c r="W104" t="e">
        <f>AND(#REF!,"AAAAAD9G3RY=")</f>
        <v>#REF!</v>
      </c>
      <c r="X104" t="e">
        <f>AND(#REF!,"AAAAAD9G3Rc=")</f>
        <v>#REF!</v>
      </c>
      <c r="Y104" t="e">
        <f>AND(#REF!,"AAAAAD9G3Rg=")</f>
        <v>#REF!</v>
      </c>
      <c r="Z104" t="e">
        <f>AND(#REF!,"AAAAAD9G3Rk=")</f>
        <v>#REF!</v>
      </c>
      <c r="AA104" t="e">
        <f>IF(#REF!,"AAAAAD9G3Ro=",0)</f>
        <v>#REF!</v>
      </c>
      <c r="AB104" t="e">
        <f>AND(#REF!,"AAAAAD9G3Rs=")</f>
        <v>#REF!</v>
      </c>
      <c r="AC104" t="e">
        <f>AND(#REF!,"AAAAAD9G3Rw=")</f>
        <v>#REF!</v>
      </c>
      <c r="AD104" t="e">
        <f>AND(#REF!,"AAAAAD9G3R0=")</f>
        <v>#REF!</v>
      </c>
      <c r="AE104" t="e">
        <f>AND(#REF!,"AAAAAD9G3R4=")</f>
        <v>#REF!</v>
      </c>
      <c r="AF104" t="e">
        <f>AND(#REF!,"AAAAAD9G3R8=")</f>
        <v>#REF!</v>
      </c>
      <c r="AG104" t="e">
        <f>AND(#REF!,"AAAAAD9G3SA=")</f>
        <v>#REF!</v>
      </c>
      <c r="AH104" t="e">
        <f>AND(#REF!,"AAAAAD9G3SE=")</f>
        <v>#REF!</v>
      </c>
      <c r="AI104" t="e">
        <f>AND(#REF!,"AAAAAD9G3SI=")</f>
        <v>#REF!</v>
      </c>
      <c r="AJ104" t="e">
        <f>AND(#REF!,"AAAAAD9G3SM=")</f>
        <v>#REF!</v>
      </c>
      <c r="AK104" t="e">
        <f>AND(#REF!,"AAAAAD9G3SQ=")</f>
        <v>#REF!</v>
      </c>
      <c r="AL104" t="e">
        <f>IF(#REF!,"AAAAAD9G3SU=",0)</f>
        <v>#REF!</v>
      </c>
      <c r="AM104" t="e">
        <f>AND(#REF!,"AAAAAD9G3SY=")</f>
        <v>#REF!</v>
      </c>
      <c r="AN104" t="e">
        <f>AND(#REF!,"AAAAAD9G3Sc=")</f>
        <v>#REF!</v>
      </c>
      <c r="AO104" t="e">
        <f>AND(#REF!,"AAAAAD9G3Sg=")</f>
        <v>#REF!</v>
      </c>
      <c r="AP104" t="e">
        <f>AND(#REF!,"AAAAAD9G3Sk=")</f>
        <v>#REF!</v>
      </c>
      <c r="AQ104" t="e">
        <f>AND(#REF!,"AAAAAD9G3So=")</f>
        <v>#REF!</v>
      </c>
      <c r="AR104" t="e">
        <f>AND(#REF!,"AAAAAD9G3Ss=")</f>
        <v>#REF!</v>
      </c>
      <c r="AS104" t="e">
        <f>AND(#REF!,"AAAAAD9G3Sw=")</f>
        <v>#REF!</v>
      </c>
      <c r="AT104" t="e">
        <f>AND(#REF!,"AAAAAD9G3S0=")</f>
        <v>#REF!</v>
      </c>
      <c r="AU104" t="e">
        <f>AND(#REF!,"AAAAAD9G3S4=")</f>
        <v>#REF!</v>
      </c>
      <c r="AV104" t="e">
        <f>AND(#REF!,"AAAAAD9G3S8=")</f>
        <v>#REF!</v>
      </c>
      <c r="AW104" t="e">
        <f>IF(#REF!,"AAAAAD9G3TA=",0)</f>
        <v>#REF!</v>
      </c>
      <c r="AX104" t="e">
        <f>AND(#REF!,"AAAAAD9G3TE=")</f>
        <v>#REF!</v>
      </c>
      <c r="AY104" t="e">
        <f>AND(#REF!,"AAAAAD9G3TI=")</f>
        <v>#REF!</v>
      </c>
      <c r="AZ104" t="e">
        <f>AND(#REF!,"AAAAAD9G3TM=")</f>
        <v>#REF!</v>
      </c>
      <c r="BA104" t="e">
        <f>AND(#REF!,"AAAAAD9G3TQ=")</f>
        <v>#REF!</v>
      </c>
      <c r="BB104" t="e">
        <f>AND(#REF!,"AAAAAD9G3TU=")</f>
        <v>#REF!</v>
      </c>
      <c r="BC104" t="e">
        <f>AND(#REF!,"AAAAAD9G3TY=")</f>
        <v>#REF!</v>
      </c>
      <c r="BD104" t="e">
        <f>AND(#REF!,"AAAAAD9G3Tc=")</f>
        <v>#REF!</v>
      </c>
      <c r="BE104" t="e">
        <f>AND(#REF!,"AAAAAD9G3Tg=")</f>
        <v>#REF!</v>
      </c>
      <c r="BF104" t="e">
        <f>AND(#REF!,"AAAAAD9G3Tk=")</f>
        <v>#REF!</v>
      </c>
      <c r="BG104" t="e">
        <f>AND(#REF!,"AAAAAD9G3To=")</f>
        <v>#REF!</v>
      </c>
      <c r="BH104" t="e">
        <f>IF(#REF!,"AAAAAD9G3Ts=",0)</f>
        <v>#REF!</v>
      </c>
      <c r="BI104" t="e">
        <f>AND(#REF!,"AAAAAD9G3Tw=")</f>
        <v>#REF!</v>
      </c>
      <c r="BJ104" t="e">
        <f>AND(#REF!,"AAAAAD9G3T0=")</f>
        <v>#REF!</v>
      </c>
      <c r="BK104" t="e">
        <f>AND(#REF!,"AAAAAD9G3T4=")</f>
        <v>#REF!</v>
      </c>
      <c r="BL104" t="e">
        <f>AND(#REF!,"AAAAAD9G3T8=")</f>
        <v>#REF!</v>
      </c>
      <c r="BM104" t="e">
        <f>AND(#REF!,"AAAAAD9G3UA=")</f>
        <v>#REF!</v>
      </c>
      <c r="BN104" t="e">
        <f>AND(#REF!,"AAAAAD9G3UE=")</f>
        <v>#REF!</v>
      </c>
      <c r="BO104" t="e">
        <f>AND(#REF!,"AAAAAD9G3UI=")</f>
        <v>#REF!</v>
      </c>
      <c r="BP104" t="e">
        <f>AND(#REF!,"AAAAAD9G3UM=")</f>
        <v>#REF!</v>
      </c>
      <c r="BQ104" t="e">
        <f>AND(#REF!,"AAAAAD9G3UQ=")</f>
        <v>#REF!</v>
      </c>
      <c r="BR104" t="e">
        <f>AND(#REF!,"AAAAAD9G3UU=")</f>
        <v>#REF!</v>
      </c>
      <c r="BS104" t="e">
        <f>IF(#REF!,"AAAAAD9G3UY=",0)</f>
        <v>#REF!</v>
      </c>
      <c r="BT104" t="e">
        <f>AND(#REF!,"AAAAAD9G3Uc=")</f>
        <v>#REF!</v>
      </c>
      <c r="BU104" t="e">
        <f>AND(#REF!,"AAAAAD9G3Ug=")</f>
        <v>#REF!</v>
      </c>
      <c r="BV104" t="e">
        <f>AND(#REF!,"AAAAAD9G3Uk=")</f>
        <v>#REF!</v>
      </c>
      <c r="BW104" t="e">
        <f>AND(#REF!,"AAAAAD9G3Uo=")</f>
        <v>#REF!</v>
      </c>
      <c r="BX104" t="e">
        <f>AND(#REF!,"AAAAAD9G3Us=")</f>
        <v>#REF!</v>
      </c>
      <c r="BY104" t="e">
        <f>AND(#REF!,"AAAAAD9G3Uw=")</f>
        <v>#REF!</v>
      </c>
      <c r="BZ104" t="e">
        <f>AND(#REF!,"AAAAAD9G3U0=")</f>
        <v>#REF!</v>
      </c>
      <c r="CA104" t="e">
        <f>AND(#REF!,"AAAAAD9G3U4=")</f>
        <v>#REF!</v>
      </c>
      <c r="CB104" t="e">
        <f>AND(#REF!,"AAAAAD9G3U8=")</f>
        <v>#REF!</v>
      </c>
      <c r="CC104" t="e">
        <f>AND(#REF!,"AAAAAD9G3VA=")</f>
        <v>#REF!</v>
      </c>
      <c r="CD104" t="e">
        <f>IF(#REF!,"AAAAAD9G3VE=",0)</f>
        <v>#REF!</v>
      </c>
      <c r="CE104" t="e">
        <f>AND(#REF!,"AAAAAD9G3VI=")</f>
        <v>#REF!</v>
      </c>
      <c r="CF104" t="e">
        <f>AND(#REF!,"AAAAAD9G3VM=")</f>
        <v>#REF!</v>
      </c>
      <c r="CG104" t="e">
        <f>AND(#REF!,"AAAAAD9G3VQ=")</f>
        <v>#REF!</v>
      </c>
      <c r="CH104" t="e">
        <f>AND(#REF!,"AAAAAD9G3VU=")</f>
        <v>#REF!</v>
      </c>
      <c r="CI104" t="e">
        <f>AND(#REF!,"AAAAAD9G3VY=")</f>
        <v>#REF!</v>
      </c>
      <c r="CJ104" t="e">
        <f>AND(#REF!,"AAAAAD9G3Vc=")</f>
        <v>#REF!</v>
      </c>
      <c r="CK104" t="e">
        <f>AND(#REF!,"AAAAAD9G3Vg=")</f>
        <v>#REF!</v>
      </c>
      <c r="CL104" t="e">
        <f>AND(#REF!,"AAAAAD9G3Vk=")</f>
        <v>#REF!</v>
      </c>
      <c r="CM104" t="e">
        <f>AND(#REF!,"AAAAAD9G3Vo=")</f>
        <v>#REF!</v>
      </c>
      <c r="CN104" t="e">
        <f>AND(#REF!,"AAAAAD9G3Vs=")</f>
        <v>#REF!</v>
      </c>
      <c r="CO104" t="e">
        <f>IF(#REF!,"AAAAAD9G3Vw=",0)</f>
        <v>#REF!</v>
      </c>
      <c r="CP104" t="e">
        <f>AND(#REF!,"AAAAAD9G3V0=")</f>
        <v>#REF!</v>
      </c>
      <c r="CQ104" t="e">
        <f>AND(#REF!,"AAAAAD9G3V4=")</f>
        <v>#REF!</v>
      </c>
      <c r="CR104" t="e">
        <f>AND(#REF!,"AAAAAD9G3V8=")</f>
        <v>#REF!</v>
      </c>
      <c r="CS104" t="e">
        <f>AND(#REF!,"AAAAAD9G3WA=")</f>
        <v>#REF!</v>
      </c>
      <c r="CT104" t="e">
        <f>AND(#REF!,"AAAAAD9G3WE=")</f>
        <v>#REF!</v>
      </c>
      <c r="CU104" t="e">
        <f>AND(#REF!,"AAAAAD9G3WI=")</f>
        <v>#REF!</v>
      </c>
      <c r="CV104" t="e">
        <f>AND(#REF!,"AAAAAD9G3WM=")</f>
        <v>#REF!</v>
      </c>
      <c r="CW104" t="e">
        <f>AND(#REF!,"AAAAAD9G3WQ=")</f>
        <v>#REF!</v>
      </c>
      <c r="CX104" t="e">
        <f>AND(#REF!,"AAAAAD9G3WU=")</f>
        <v>#REF!</v>
      </c>
      <c r="CY104" t="e">
        <f>AND(#REF!,"AAAAAD9G3WY=")</f>
        <v>#REF!</v>
      </c>
      <c r="CZ104" t="e">
        <f>IF(#REF!,"AAAAAD9G3Wc=",0)</f>
        <v>#REF!</v>
      </c>
      <c r="DA104" t="e">
        <f>AND(#REF!,"AAAAAD9G3Wg=")</f>
        <v>#REF!</v>
      </c>
      <c r="DB104" t="e">
        <f>AND(#REF!,"AAAAAD9G3Wk=")</f>
        <v>#REF!</v>
      </c>
      <c r="DC104" t="e">
        <f>AND(#REF!,"AAAAAD9G3Wo=")</f>
        <v>#REF!</v>
      </c>
      <c r="DD104" t="e">
        <f>AND(#REF!,"AAAAAD9G3Ws=")</f>
        <v>#REF!</v>
      </c>
      <c r="DE104" t="e">
        <f>AND(#REF!,"AAAAAD9G3Ww=")</f>
        <v>#REF!</v>
      </c>
      <c r="DF104" t="e">
        <f>AND(#REF!,"AAAAAD9G3W0=")</f>
        <v>#REF!</v>
      </c>
      <c r="DG104" t="e">
        <f>AND(#REF!,"AAAAAD9G3W4=")</f>
        <v>#REF!</v>
      </c>
      <c r="DH104" t="e">
        <f>AND(#REF!,"AAAAAD9G3W8=")</f>
        <v>#REF!</v>
      </c>
      <c r="DI104" t="e">
        <f>AND(#REF!,"AAAAAD9G3XA=")</f>
        <v>#REF!</v>
      </c>
      <c r="DJ104" t="e">
        <f>AND(#REF!,"AAAAAD9G3XE=")</f>
        <v>#REF!</v>
      </c>
      <c r="DK104" t="e">
        <f>IF(#REF!,"AAAAAD9G3XI=",0)</f>
        <v>#REF!</v>
      </c>
      <c r="DL104" t="e">
        <f>AND(#REF!,"AAAAAD9G3XM=")</f>
        <v>#REF!</v>
      </c>
      <c r="DM104" t="e">
        <f>AND(#REF!,"AAAAAD9G3XQ=")</f>
        <v>#REF!</v>
      </c>
      <c r="DN104" t="e">
        <f>AND(#REF!,"AAAAAD9G3XU=")</f>
        <v>#REF!</v>
      </c>
      <c r="DO104" t="e">
        <f>AND(#REF!,"AAAAAD9G3XY=")</f>
        <v>#REF!</v>
      </c>
      <c r="DP104" t="e">
        <f>AND(#REF!,"AAAAAD9G3Xc=")</f>
        <v>#REF!</v>
      </c>
      <c r="DQ104" t="e">
        <f>AND(#REF!,"AAAAAD9G3Xg=")</f>
        <v>#REF!</v>
      </c>
      <c r="DR104" t="e">
        <f>AND(#REF!,"AAAAAD9G3Xk=")</f>
        <v>#REF!</v>
      </c>
      <c r="DS104" t="e">
        <f>AND(#REF!,"AAAAAD9G3Xo=")</f>
        <v>#REF!</v>
      </c>
      <c r="DT104" t="e">
        <f>AND(#REF!,"AAAAAD9G3Xs=")</f>
        <v>#REF!</v>
      </c>
      <c r="DU104" t="e">
        <f>AND(#REF!,"AAAAAD9G3Xw=")</f>
        <v>#REF!</v>
      </c>
      <c r="DV104" t="e">
        <f>IF(#REF!,"AAAAAD9G3X0=",0)</f>
        <v>#REF!</v>
      </c>
      <c r="DW104" t="e">
        <f>AND(#REF!,"AAAAAD9G3X4=")</f>
        <v>#REF!</v>
      </c>
      <c r="DX104" t="e">
        <f>AND(#REF!,"AAAAAD9G3X8=")</f>
        <v>#REF!</v>
      </c>
      <c r="DY104" t="e">
        <f>AND(#REF!,"AAAAAD9G3YA=")</f>
        <v>#REF!</v>
      </c>
      <c r="DZ104" t="e">
        <f>AND(#REF!,"AAAAAD9G3YE=")</f>
        <v>#REF!</v>
      </c>
      <c r="EA104" t="e">
        <f>AND(#REF!,"AAAAAD9G3YI=")</f>
        <v>#REF!</v>
      </c>
      <c r="EB104" t="e">
        <f>AND(#REF!,"AAAAAD9G3YM=")</f>
        <v>#REF!</v>
      </c>
      <c r="EC104" t="e">
        <f>AND(#REF!,"AAAAAD9G3YQ=")</f>
        <v>#REF!</v>
      </c>
      <c r="ED104" t="e">
        <f>AND(#REF!,"AAAAAD9G3YU=")</f>
        <v>#REF!</v>
      </c>
      <c r="EE104" t="e">
        <f>AND(#REF!,"AAAAAD9G3YY=")</f>
        <v>#REF!</v>
      </c>
      <c r="EF104" t="e">
        <f>AND(#REF!,"AAAAAD9G3Yc=")</f>
        <v>#REF!</v>
      </c>
      <c r="EG104" t="e">
        <f>IF(#REF!,"AAAAAD9G3Yg=",0)</f>
        <v>#REF!</v>
      </c>
      <c r="EH104" t="e">
        <f>AND(#REF!,"AAAAAD9G3Yk=")</f>
        <v>#REF!</v>
      </c>
      <c r="EI104" t="e">
        <f>AND(#REF!,"AAAAAD9G3Yo=")</f>
        <v>#REF!</v>
      </c>
      <c r="EJ104" t="e">
        <f>AND(#REF!,"AAAAAD9G3Ys=")</f>
        <v>#REF!</v>
      </c>
      <c r="EK104" t="e">
        <f>AND(#REF!,"AAAAAD9G3Yw=")</f>
        <v>#REF!</v>
      </c>
      <c r="EL104" t="e">
        <f>AND(#REF!,"AAAAAD9G3Y0=")</f>
        <v>#REF!</v>
      </c>
      <c r="EM104" t="e">
        <f>AND(#REF!,"AAAAAD9G3Y4=")</f>
        <v>#REF!</v>
      </c>
      <c r="EN104" t="e">
        <f>AND(#REF!,"AAAAAD9G3Y8=")</f>
        <v>#REF!</v>
      </c>
      <c r="EO104" t="e">
        <f>AND(#REF!,"AAAAAD9G3ZA=")</f>
        <v>#REF!</v>
      </c>
      <c r="EP104" t="e">
        <f>AND(#REF!,"AAAAAD9G3ZE=")</f>
        <v>#REF!</v>
      </c>
      <c r="EQ104" t="e">
        <f>AND(#REF!,"AAAAAD9G3ZI=")</f>
        <v>#REF!</v>
      </c>
      <c r="ER104" t="e">
        <f>IF(#REF!,"AAAAAD9G3ZM=",0)</f>
        <v>#REF!</v>
      </c>
      <c r="ES104" t="e">
        <f>AND(#REF!,"AAAAAD9G3ZQ=")</f>
        <v>#REF!</v>
      </c>
      <c r="ET104" t="e">
        <f>AND(#REF!,"AAAAAD9G3ZU=")</f>
        <v>#REF!</v>
      </c>
      <c r="EU104" t="e">
        <f>AND(#REF!,"AAAAAD9G3ZY=")</f>
        <v>#REF!</v>
      </c>
      <c r="EV104" t="e">
        <f>AND(#REF!,"AAAAAD9G3Zc=")</f>
        <v>#REF!</v>
      </c>
      <c r="EW104" t="e">
        <f>AND(#REF!,"AAAAAD9G3Zg=")</f>
        <v>#REF!</v>
      </c>
      <c r="EX104" t="e">
        <f>AND(#REF!,"AAAAAD9G3Zk=")</f>
        <v>#REF!</v>
      </c>
      <c r="EY104" t="e">
        <f>AND(#REF!,"AAAAAD9G3Zo=")</f>
        <v>#REF!</v>
      </c>
      <c r="EZ104" t="e">
        <f>AND(#REF!,"AAAAAD9G3Zs=")</f>
        <v>#REF!</v>
      </c>
      <c r="FA104" t="e">
        <f>AND(#REF!,"AAAAAD9G3Zw=")</f>
        <v>#REF!</v>
      </c>
      <c r="FB104" t="e">
        <f>AND(#REF!,"AAAAAD9G3Z0=")</f>
        <v>#REF!</v>
      </c>
      <c r="FC104" t="e">
        <f>IF(#REF!,"AAAAAD9G3Z4=",0)</f>
        <v>#REF!</v>
      </c>
      <c r="FD104" t="e">
        <f>AND(#REF!,"AAAAAD9G3Z8=")</f>
        <v>#REF!</v>
      </c>
      <c r="FE104" t="e">
        <f>AND(#REF!,"AAAAAD9G3aA=")</f>
        <v>#REF!</v>
      </c>
      <c r="FF104" t="e">
        <f>AND(#REF!,"AAAAAD9G3aE=")</f>
        <v>#REF!</v>
      </c>
      <c r="FG104" t="e">
        <f>AND(#REF!,"AAAAAD9G3aI=")</f>
        <v>#REF!</v>
      </c>
      <c r="FH104" t="e">
        <f>AND(#REF!,"AAAAAD9G3aM=")</f>
        <v>#REF!</v>
      </c>
      <c r="FI104" t="e">
        <f>AND(#REF!,"AAAAAD9G3aQ=")</f>
        <v>#REF!</v>
      </c>
      <c r="FJ104" t="e">
        <f>AND(#REF!,"AAAAAD9G3aU=")</f>
        <v>#REF!</v>
      </c>
      <c r="FK104" t="e">
        <f>AND(#REF!,"AAAAAD9G3aY=")</f>
        <v>#REF!</v>
      </c>
      <c r="FL104" t="e">
        <f>AND(#REF!,"AAAAAD9G3ac=")</f>
        <v>#REF!</v>
      </c>
      <c r="FM104" t="e">
        <f>AND(#REF!,"AAAAAD9G3ag=")</f>
        <v>#REF!</v>
      </c>
      <c r="FN104" t="e">
        <f>IF(#REF!,"AAAAAD9G3ak=",0)</f>
        <v>#REF!</v>
      </c>
      <c r="FO104" t="e">
        <f>AND(#REF!,"AAAAAD9G3ao=")</f>
        <v>#REF!</v>
      </c>
      <c r="FP104" t="e">
        <f>AND(#REF!,"AAAAAD9G3as=")</f>
        <v>#REF!</v>
      </c>
      <c r="FQ104" t="e">
        <f>AND(#REF!,"AAAAAD9G3aw=")</f>
        <v>#REF!</v>
      </c>
      <c r="FR104" t="e">
        <f>AND(#REF!,"AAAAAD9G3a0=")</f>
        <v>#REF!</v>
      </c>
      <c r="FS104" t="e">
        <f>AND(#REF!,"AAAAAD9G3a4=")</f>
        <v>#REF!</v>
      </c>
      <c r="FT104" t="e">
        <f>AND(#REF!,"AAAAAD9G3a8=")</f>
        <v>#REF!</v>
      </c>
      <c r="FU104" t="e">
        <f>AND(#REF!,"AAAAAD9G3bA=")</f>
        <v>#REF!</v>
      </c>
      <c r="FV104" t="e">
        <f>AND(#REF!,"AAAAAD9G3bE=")</f>
        <v>#REF!</v>
      </c>
      <c r="FW104" t="e">
        <f>AND(#REF!,"AAAAAD9G3bI=")</f>
        <v>#REF!</v>
      </c>
      <c r="FX104" t="e">
        <f>AND(#REF!,"AAAAAD9G3bM=")</f>
        <v>#REF!</v>
      </c>
      <c r="FY104" t="e">
        <f>IF(#REF!,"AAAAAD9G3bQ=",0)</f>
        <v>#REF!</v>
      </c>
      <c r="FZ104" t="e">
        <f>AND(#REF!,"AAAAAD9G3bU=")</f>
        <v>#REF!</v>
      </c>
      <c r="GA104" t="e">
        <f>AND(#REF!,"AAAAAD9G3bY=")</f>
        <v>#REF!</v>
      </c>
      <c r="GB104" t="e">
        <f>AND(#REF!,"AAAAAD9G3bc=")</f>
        <v>#REF!</v>
      </c>
      <c r="GC104" t="e">
        <f>AND(#REF!,"AAAAAD9G3bg=")</f>
        <v>#REF!</v>
      </c>
      <c r="GD104" t="e">
        <f>AND(#REF!,"AAAAAD9G3bk=")</f>
        <v>#REF!</v>
      </c>
      <c r="GE104" t="e">
        <f>AND(#REF!,"AAAAAD9G3bo=")</f>
        <v>#REF!</v>
      </c>
      <c r="GF104" t="e">
        <f>AND(#REF!,"AAAAAD9G3bs=")</f>
        <v>#REF!</v>
      </c>
      <c r="GG104" t="e">
        <f>AND(#REF!,"AAAAAD9G3bw=")</f>
        <v>#REF!</v>
      </c>
      <c r="GH104" t="e">
        <f>AND(#REF!,"AAAAAD9G3b0=")</f>
        <v>#REF!</v>
      </c>
      <c r="GI104" t="e">
        <f>AND(#REF!,"AAAAAD9G3b4=")</f>
        <v>#REF!</v>
      </c>
      <c r="GJ104" t="e">
        <f>IF(#REF!,"AAAAAD9G3b8=",0)</f>
        <v>#REF!</v>
      </c>
      <c r="GK104" t="e">
        <f>AND(#REF!,"AAAAAD9G3cA=")</f>
        <v>#REF!</v>
      </c>
      <c r="GL104" t="e">
        <f>AND(#REF!,"AAAAAD9G3cE=")</f>
        <v>#REF!</v>
      </c>
      <c r="GM104" t="e">
        <f>AND(#REF!,"AAAAAD9G3cI=")</f>
        <v>#REF!</v>
      </c>
      <c r="GN104" t="e">
        <f>AND(#REF!,"AAAAAD9G3cM=")</f>
        <v>#REF!</v>
      </c>
      <c r="GO104" t="e">
        <f>AND(#REF!,"AAAAAD9G3cQ=")</f>
        <v>#REF!</v>
      </c>
      <c r="GP104" t="e">
        <f>AND(#REF!,"AAAAAD9G3cU=")</f>
        <v>#REF!</v>
      </c>
      <c r="GQ104" t="e">
        <f>AND(#REF!,"AAAAAD9G3cY=")</f>
        <v>#REF!</v>
      </c>
      <c r="GR104" t="e">
        <f>AND(#REF!,"AAAAAD9G3cc=")</f>
        <v>#REF!</v>
      </c>
      <c r="GS104" t="e">
        <f>AND(#REF!,"AAAAAD9G3cg=")</f>
        <v>#REF!</v>
      </c>
      <c r="GT104" t="e">
        <f>AND(#REF!,"AAAAAD9G3ck=")</f>
        <v>#REF!</v>
      </c>
      <c r="GU104" t="e">
        <f>IF(#REF!,"AAAAAD9G3co=",0)</f>
        <v>#REF!</v>
      </c>
      <c r="GV104" t="e">
        <f>AND(#REF!,"AAAAAD9G3cs=")</f>
        <v>#REF!</v>
      </c>
      <c r="GW104" t="e">
        <f>AND(#REF!,"AAAAAD9G3cw=")</f>
        <v>#REF!</v>
      </c>
      <c r="GX104" t="e">
        <f>AND(#REF!,"AAAAAD9G3c0=")</f>
        <v>#REF!</v>
      </c>
      <c r="GY104" t="e">
        <f>AND(#REF!,"AAAAAD9G3c4=")</f>
        <v>#REF!</v>
      </c>
      <c r="GZ104" t="e">
        <f>AND(#REF!,"AAAAAD9G3c8=")</f>
        <v>#REF!</v>
      </c>
      <c r="HA104" t="e">
        <f>AND(#REF!,"AAAAAD9G3dA=")</f>
        <v>#REF!</v>
      </c>
      <c r="HB104" t="e">
        <f>AND(#REF!,"AAAAAD9G3dE=")</f>
        <v>#REF!</v>
      </c>
      <c r="HC104" t="e">
        <f>AND(#REF!,"AAAAAD9G3dI=")</f>
        <v>#REF!</v>
      </c>
      <c r="HD104" t="e">
        <f>AND(#REF!,"AAAAAD9G3dM=")</f>
        <v>#REF!</v>
      </c>
      <c r="HE104" t="e">
        <f>AND(#REF!,"AAAAAD9G3dQ=")</f>
        <v>#REF!</v>
      </c>
      <c r="HF104" t="e">
        <f>IF(#REF!,"AAAAAD9G3dU=",0)</f>
        <v>#REF!</v>
      </c>
      <c r="HG104" t="e">
        <f>AND(#REF!,"AAAAAD9G3dY=")</f>
        <v>#REF!</v>
      </c>
      <c r="HH104" t="e">
        <f>AND(#REF!,"AAAAAD9G3dc=")</f>
        <v>#REF!</v>
      </c>
      <c r="HI104" t="e">
        <f>AND(#REF!,"AAAAAD9G3dg=")</f>
        <v>#REF!</v>
      </c>
      <c r="HJ104" t="e">
        <f>AND(#REF!,"AAAAAD9G3dk=")</f>
        <v>#REF!</v>
      </c>
      <c r="HK104" t="e">
        <f>AND(#REF!,"AAAAAD9G3do=")</f>
        <v>#REF!</v>
      </c>
      <c r="HL104" t="e">
        <f>AND(#REF!,"AAAAAD9G3ds=")</f>
        <v>#REF!</v>
      </c>
      <c r="HM104" t="e">
        <f>AND(#REF!,"AAAAAD9G3dw=")</f>
        <v>#REF!</v>
      </c>
      <c r="HN104" t="e">
        <f>AND(#REF!,"AAAAAD9G3d0=")</f>
        <v>#REF!</v>
      </c>
      <c r="HO104" t="e">
        <f>AND(#REF!,"AAAAAD9G3d4=")</f>
        <v>#REF!</v>
      </c>
      <c r="HP104" t="e">
        <f>AND(#REF!,"AAAAAD9G3d8=")</f>
        <v>#REF!</v>
      </c>
      <c r="HQ104" t="e">
        <f>IF(#REF!,"AAAAAD9G3eA=",0)</f>
        <v>#REF!</v>
      </c>
      <c r="HR104" t="e">
        <f>AND(#REF!,"AAAAAD9G3eE=")</f>
        <v>#REF!</v>
      </c>
      <c r="HS104" t="e">
        <f>AND(#REF!,"AAAAAD9G3eI=")</f>
        <v>#REF!</v>
      </c>
      <c r="HT104" t="e">
        <f>AND(#REF!,"AAAAAD9G3eM=")</f>
        <v>#REF!</v>
      </c>
      <c r="HU104" t="e">
        <f>AND(#REF!,"AAAAAD9G3eQ=")</f>
        <v>#REF!</v>
      </c>
      <c r="HV104" t="e">
        <f>AND(#REF!,"AAAAAD9G3eU=")</f>
        <v>#REF!</v>
      </c>
      <c r="HW104" t="e">
        <f>AND(#REF!,"AAAAAD9G3eY=")</f>
        <v>#REF!</v>
      </c>
      <c r="HX104" t="e">
        <f>AND(#REF!,"AAAAAD9G3ec=")</f>
        <v>#REF!</v>
      </c>
      <c r="HY104" t="e">
        <f>AND(#REF!,"AAAAAD9G3eg=")</f>
        <v>#REF!</v>
      </c>
      <c r="HZ104" t="e">
        <f>AND(#REF!,"AAAAAD9G3ek=")</f>
        <v>#REF!</v>
      </c>
      <c r="IA104" t="e">
        <f>AND(#REF!,"AAAAAD9G3eo=")</f>
        <v>#REF!</v>
      </c>
      <c r="IB104" t="e">
        <f>IF(#REF!,"AAAAAD9G3es=",0)</f>
        <v>#REF!</v>
      </c>
      <c r="IC104" t="e">
        <f>AND(#REF!,"AAAAAD9G3ew=")</f>
        <v>#REF!</v>
      </c>
      <c r="ID104" t="e">
        <f>AND(#REF!,"AAAAAD9G3e0=")</f>
        <v>#REF!</v>
      </c>
      <c r="IE104" t="e">
        <f>AND(#REF!,"AAAAAD9G3e4=")</f>
        <v>#REF!</v>
      </c>
      <c r="IF104" t="e">
        <f>AND(#REF!,"AAAAAD9G3e8=")</f>
        <v>#REF!</v>
      </c>
      <c r="IG104" t="e">
        <f>AND(#REF!,"AAAAAD9G3fA=")</f>
        <v>#REF!</v>
      </c>
      <c r="IH104" t="e">
        <f>AND(#REF!,"AAAAAD9G3fE=")</f>
        <v>#REF!</v>
      </c>
      <c r="II104" t="e">
        <f>AND(#REF!,"AAAAAD9G3fI=")</f>
        <v>#REF!</v>
      </c>
      <c r="IJ104" t="e">
        <f>AND(#REF!,"AAAAAD9G3fM=")</f>
        <v>#REF!</v>
      </c>
      <c r="IK104" t="e">
        <f>AND(#REF!,"AAAAAD9G3fQ=")</f>
        <v>#REF!</v>
      </c>
      <c r="IL104" t="e">
        <f>AND(#REF!,"AAAAAD9G3fU=")</f>
        <v>#REF!</v>
      </c>
      <c r="IM104" t="e">
        <f>IF(#REF!,"AAAAAD9G3fY=",0)</f>
        <v>#REF!</v>
      </c>
      <c r="IN104" t="e">
        <f>AND(#REF!,"AAAAAD9G3fc=")</f>
        <v>#REF!</v>
      </c>
      <c r="IO104" t="e">
        <f>AND(#REF!,"AAAAAD9G3fg=")</f>
        <v>#REF!</v>
      </c>
      <c r="IP104" t="e">
        <f>AND(#REF!,"AAAAAD9G3fk=")</f>
        <v>#REF!</v>
      </c>
      <c r="IQ104" t="e">
        <f>AND(#REF!,"AAAAAD9G3fo=")</f>
        <v>#REF!</v>
      </c>
      <c r="IR104" t="e">
        <f>AND(#REF!,"AAAAAD9G3fs=")</f>
        <v>#REF!</v>
      </c>
      <c r="IS104" t="e">
        <f>AND(#REF!,"AAAAAD9G3fw=")</f>
        <v>#REF!</v>
      </c>
      <c r="IT104" t="e">
        <f>AND(#REF!,"AAAAAD9G3f0=")</f>
        <v>#REF!</v>
      </c>
      <c r="IU104" t="e">
        <f>AND(#REF!,"AAAAAD9G3f4=")</f>
        <v>#REF!</v>
      </c>
      <c r="IV104" t="e">
        <f>AND(#REF!,"AAAAAD9G3f8=")</f>
        <v>#REF!</v>
      </c>
    </row>
    <row r="105" spans="1:256" x14ac:dyDescent="0.25">
      <c r="A105" t="e">
        <f>AND(#REF!,"AAAAACfk7wA=")</f>
        <v>#REF!</v>
      </c>
      <c r="B105" t="e">
        <f>IF(#REF!,"AAAAACfk7wE=",0)</f>
        <v>#REF!</v>
      </c>
      <c r="C105" t="e">
        <f>AND(#REF!,"AAAAACfk7wI=")</f>
        <v>#REF!</v>
      </c>
      <c r="D105" t="e">
        <f>AND(#REF!,"AAAAACfk7wM=")</f>
        <v>#REF!</v>
      </c>
      <c r="E105" t="e">
        <f>AND(#REF!,"AAAAACfk7wQ=")</f>
        <v>#REF!</v>
      </c>
      <c r="F105" t="e">
        <f>AND(#REF!,"AAAAACfk7wU=")</f>
        <v>#REF!</v>
      </c>
      <c r="G105" t="e">
        <f>AND(#REF!,"AAAAACfk7wY=")</f>
        <v>#REF!</v>
      </c>
      <c r="H105" t="e">
        <f>AND(#REF!,"AAAAACfk7wc=")</f>
        <v>#REF!</v>
      </c>
      <c r="I105" t="e">
        <f>AND(#REF!,"AAAAACfk7wg=")</f>
        <v>#REF!</v>
      </c>
      <c r="J105" t="e">
        <f>AND(#REF!,"AAAAACfk7wk=")</f>
        <v>#REF!</v>
      </c>
      <c r="K105" t="e">
        <f>AND(#REF!,"AAAAACfk7wo=")</f>
        <v>#REF!</v>
      </c>
      <c r="L105" t="e">
        <f>AND(#REF!,"AAAAACfk7ws=")</f>
        <v>#REF!</v>
      </c>
      <c r="M105" t="e">
        <f>IF(#REF!,"AAAAACfk7ww=",0)</f>
        <v>#REF!</v>
      </c>
      <c r="N105" t="e">
        <f>AND(#REF!,"AAAAACfk7w0=")</f>
        <v>#REF!</v>
      </c>
      <c r="O105" t="e">
        <f>AND(#REF!,"AAAAACfk7w4=")</f>
        <v>#REF!</v>
      </c>
      <c r="P105" t="e">
        <f>AND(#REF!,"AAAAACfk7w8=")</f>
        <v>#REF!</v>
      </c>
      <c r="Q105" t="e">
        <f>AND(#REF!,"AAAAACfk7xA=")</f>
        <v>#REF!</v>
      </c>
      <c r="R105" t="e">
        <f>AND(#REF!,"AAAAACfk7xE=")</f>
        <v>#REF!</v>
      </c>
      <c r="S105" t="e">
        <f>AND(#REF!,"AAAAACfk7xI=")</f>
        <v>#REF!</v>
      </c>
      <c r="T105" t="e">
        <f>AND(#REF!,"AAAAACfk7xM=")</f>
        <v>#REF!</v>
      </c>
      <c r="U105" t="e">
        <f>AND(#REF!,"AAAAACfk7xQ=")</f>
        <v>#REF!</v>
      </c>
      <c r="V105" t="e">
        <f>AND(#REF!,"AAAAACfk7xU=")</f>
        <v>#REF!</v>
      </c>
      <c r="W105" t="e">
        <f>AND(#REF!,"AAAAACfk7xY=")</f>
        <v>#REF!</v>
      </c>
      <c r="X105" t="e">
        <f>IF(#REF!,"AAAAACfk7xc=",0)</f>
        <v>#REF!</v>
      </c>
      <c r="Y105" t="e">
        <f>AND(#REF!,"AAAAACfk7xg=")</f>
        <v>#REF!</v>
      </c>
      <c r="Z105" t="e">
        <f>AND(#REF!,"AAAAACfk7xk=")</f>
        <v>#REF!</v>
      </c>
      <c r="AA105" t="e">
        <f>AND(#REF!,"AAAAACfk7xo=")</f>
        <v>#REF!</v>
      </c>
      <c r="AB105" t="e">
        <f>AND(#REF!,"AAAAACfk7xs=")</f>
        <v>#REF!</v>
      </c>
      <c r="AC105" t="e">
        <f>AND(#REF!,"AAAAACfk7xw=")</f>
        <v>#REF!</v>
      </c>
      <c r="AD105" t="e">
        <f>AND(#REF!,"AAAAACfk7x0=")</f>
        <v>#REF!</v>
      </c>
      <c r="AE105" t="e">
        <f>AND(#REF!,"AAAAACfk7x4=")</f>
        <v>#REF!</v>
      </c>
      <c r="AF105" t="e">
        <f>AND(#REF!,"AAAAACfk7x8=")</f>
        <v>#REF!</v>
      </c>
      <c r="AG105" t="e">
        <f>AND(#REF!,"AAAAACfk7yA=")</f>
        <v>#REF!</v>
      </c>
      <c r="AH105" t="e">
        <f>AND(#REF!,"AAAAACfk7yE=")</f>
        <v>#REF!</v>
      </c>
      <c r="AI105" t="e">
        <f>IF(#REF!,"AAAAACfk7yI=",0)</f>
        <v>#REF!</v>
      </c>
      <c r="AJ105" t="e">
        <f>AND(#REF!,"AAAAACfk7yM=")</f>
        <v>#REF!</v>
      </c>
      <c r="AK105" t="e">
        <f>AND(#REF!,"AAAAACfk7yQ=")</f>
        <v>#REF!</v>
      </c>
      <c r="AL105" t="e">
        <f>AND(#REF!,"AAAAACfk7yU=")</f>
        <v>#REF!</v>
      </c>
      <c r="AM105" t="e">
        <f>AND(#REF!,"AAAAACfk7yY=")</f>
        <v>#REF!</v>
      </c>
      <c r="AN105" t="e">
        <f>AND(#REF!,"AAAAACfk7yc=")</f>
        <v>#REF!</v>
      </c>
      <c r="AO105" t="e">
        <f>AND(#REF!,"AAAAACfk7yg=")</f>
        <v>#REF!</v>
      </c>
      <c r="AP105" t="e">
        <f>AND(#REF!,"AAAAACfk7yk=")</f>
        <v>#REF!</v>
      </c>
      <c r="AQ105" t="e">
        <f>AND(#REF!,"AAAAACfk7yo=")</f>
        <v>#REF!</v>
      </c>
      <c r="AR105" t="e">
        <f>AND(#REF!,"AAAAACfk7ys=")</f>
        <v>#REF!</v>
      </c>
      <c r="AS105" t="e">
        <f>AND(#REF!,"AAAAACfk7yw=")</f>
        <v>#REF!</v>
      </c>
      <c r="AT105" t="e">
        <f>IF(#REF!,"AAAAACfk7y0=",0)</f>
        <v>#REF!</v>
      </c>
      <c r="AU105" t="e">
        <f>AND(#REF!,"AAAAACfk7y4=")</f>
        <v>#REF!</v>
      </c>
      <c r="AV105" t="e">
        <f>AND(#REF!,"AAAAACfk7y8=")</f>
        <v>#REF!</v>
      </c>
      <c r="AW105" t="e">
        <f>AND(#REF!,"AAAAACfk7zA=")</f>
        <v>#REF!</v>
      </c>
      <c r="AX105" t="e">
        <f>AND(#REF!,"AAAAACfk7zE=")</f>
        <v>#REF!</v>
      </c>
      <c r="AY105" t="e">
        <f>AND(#REF!,"AAAAACfk7zI=")</f>
        <v>#REF!</v>
      </c>
      <c r="AZ105" t="e">
        <f>AND(#REF!,"AAAAACfk7zM=")</f>
        <v>#REF!</v>
      </c>
      <c r="BA105" t="e">
        <f>AND(#REF!,"AAAAACfk7zQ=")</f>
        <v>#REF!</v>
      </c>
      <c r="BB105" t="e">
        <f>AND(#REF!,"AAAAACfk7zU=")</f>
        <v>#REF!</v>
      </c>
      <c r="BC105" t="e">
        <f>AND(#REF!,"AAAAACfk7zY=")</f>
        <v>#REF!</v>
      </c>
      <c r="BD105" t="e">
        <f>AND(#REF!,"AAAAACfk7zc=")</f>
        <v>#REF!</v>
      </c>
      <c r="BE105" t="e">
        <f>IF(#REF!,"AAAAACfk7zg=",0)</f>
        <v>#REF!</v>
      </c>
      <c r="BF105" t="e">
        <f>AND(#REF!,"AAAAACfk7zk=")</f>
        <v>#REF!</v>
      </c>
      <c r="BG105" t="e">
        <f>AND(#REF!,"AAAAACfk7zo=")</f>
        <v>#REF!</v>
      </c>
      <c r="BH105" t="e">
        <f>AND(#REF!,"AAAAACfk7zs=")</f>
        <v>#REF!</v>
      </c>
      <c r="BI105" t="e">
        <f>AND(#REF!,"AAAAACfk7zw=")</f>
        <v>#REF!</v>
      </c>
      <c r="BJ105" t="e">
        <f>AND(#REF!,"AAAAACfk7z0=")</f>
        <v>#REF!</v>
      </c>
      <c r="BK105" t="e">
        <f>AND(#REF!,"AAAAACfk7z4=")</f>
        <v>#REF!</v>
      </c>
      <c r="BL105" t="e">
        <f>AND(#REF!,"AAAAACfk7z8=")</f>
        <v>#REF!</v>
      </c>
      <c r="BM105" t="e">
        <f>AND(#REF!,"AAAAACfk70A=")</f>
        <v>#REF!</v>
      </c>
      <c r="BN105" t="e">
        <f>AND(#REF!,"AAAAACfk70E=")</f>
        <v>#REF!</v>
      </c>
      <c r="BO105" t="e">
        <f>AND(#REF!,"AAAAACfk70I=")</f>
        <v>#REF!</v>
      </c>
      <c r="BP105" t="e">
        <f>IF(#REF!,"AAAAACfk70M=",0)</f>
        <v>#REF!</v>
      </c>
      <c r="BQ105" t="e">
        <f>AND(#REF!,"AAAAACfk70Q=")</f>
        <v>#REF!</v>
      </c>
      <c r="BR105" t="e">
        <f>AND(#REF!,"AAAAACfk70U=")</f>
        <v>#REF!</v>
      </c>
      <c r="BS105" t="e">
        <f>AND(#REF!,"AAAAACfk70Y=")</f>
        <v>#REF!</v>
      </c>
      <c r="BT105" t="e">
        <f>AND(#REF!,"AAAAACfk70c=")</f>
        <v>#REF!</v>
      </c>
      <c r="BU105" t="e">
        <f>AND(#REF!,"AAAAACfk70g=")</f>
        <v>#REF!</v>
      </c>
      <c r="BV105" t="e">
        <f>AND(#REF!,"AAAAACfk70k=")</f>
        <v>#REF!</v>
      </c>
      <c r="BW105" t="e">
        <f>AND(#REF!,"AAAAACfk70o=")</f>
        <v>#REF!</v>
      </c>
      <c r="BX105" t="e">
        <f>AND(#REF!,"AAAAACfk70s=")</f>
        <v>#REF!</v>
      </c>
      <c r="BY105" t="e">
        <f>AND(#REF!,"AAAAACfk70w=")</f>
        <v>#REF!</v>
      </c>
      <c r="BZ105" t="e">
        <f>AND(#REF!,"AAAAACfk700=")</f>
        <v>#REF!</v>
      </c>
      <c r="CA105" t="e">
        <f>IF(#REF!,"AAAAACfk704=",0)</f>
        <v>#REF!</v>
      </c>
      <c r="CB105" t="e">
        <f>AND(#REF!,"AAAAACfk708=")</f>
        <v>#REF!</v>
      </c>
      <c r="CC105" t="e">
        <f>AND(#REF!,"AAAAACfk71A=")</f>
        <v>#REF!</v>
      </c>
      <c r="CD105" t="e">
        <f>AND(#REF!,"AAAAACfk71E=")</f>
        <v>#REF!</v>
      </c>
      <c r="CE105" t="e">
        <f>AND(#REF!,"AAAAACfk71I=")</f>
        <v>#REF!</v>
      </c>
      <c r="CF105" t="e">
        <f>AND(#REF!,"AAAAACfk71M=")</f>
        <v>#REF!</v>
      </c>
      <c r="CG105" t="e">
        <f>AND(#REF!,"AAAAACfk71Q=")</f>
        <v>#REF!</v>
      </c>
      <c r="CH105" t="e">
        <f>AND(#REF!,"AAAAACfk71U=")</f>
        <v>#REF!</v>
      </c>
      <c r="CI105" t="e">
        <f>AND(#REF!,"AAAAACfk71Y=")</f>
        <v>#REF!</v>
      </c>
      <c r="CJ105" t="e">
        <f>AND(#REF!,"AAAAACfk71c=")</f>
        <v>#REF!</v>
      </c>
      <c r="CK105" t="e">
        <f>AND(#REF!,"AAAAACfk71g=")</f>
        <v>#REF!</v>
      </c>
      <c r="CL105" t="e">
        <f>IF(#REF!,"AAAAACfk71k=",0)</f>
        <v>#REF!</v>
      </c>
      <c r="CM105" t="e">
        <f>AND(#REF!,"AAAAACfk71o=")</f>
        <v>#REF!</v>
      </c>
      <c r="CN105" t="e">
        <f>AND(#REF!,"AAAAACfk71s=")</f>
        <v>#REF!</v>
      </c>
      <c r="CO105" t="e">
        <f>AND(#REF!,"AAAAACfk71w=")</f>
        <v>#REF!</v>
      </c>
      <c r="CP105" t="e">
        <f>AND(#REF!,"AAAAACfk710=")</f>
        <v>#REF!</v>
      </c>
      <c r="CQ105" t="e">
        <f>AND(#REF!,"AAAAACfk714=")</f>
        <v>#REF!</v>
      </c>
      <c r="CR105" t="e">
        <f>AND(#REF!,"AAAAACfk718=")</f>
        <v>#REF!</v>
      </c>
      <c r="CS105" t="e">
        <f>AND(#REF!,"AAAAACfk72A=")</f>
        <v>#REF!</v>
      </c>
      <c r="CT105" t="e">
        <f>AND(#REF!,"AAAAACfk72E=")</f>
        <v>#REF!</v>
      </c>
      <c r="CU105" t="e">
        <f>AND(#REF!,"AAAAACfk72I=")</f>
        <v>#REF!</v>
      </c>
      <c r="CV105" t="e">
        <f>AND(#REF!,"AAAAACfk72M=")</f>
        <v>#REF!</v>
      </c>
      <c r="CW105" t="e">
        <f>IF(#REF!,"AAAAACfk72Q=",0)</f>
        <v>#REF!</v>
      </c>
      <c r="CX105" t="e">
        <f>AND(#REF!,"AAAAACfk72U=")</f>
        <v>#REF!</v>
      </c>
      <c r="CY105" t="e">
        <f>AND(#REF!,"AAAAACfk72Y=")</f>
        <v>#REF!</v>
      </c>
      <c r="CZ105" t="e">
        <f>AND(#REF!,"AAAAACfk72c=")</f>
        <v>#REF!</v>
      </c>
      <c r="DA105" t="e">
        <f>AND(#REF!,"AAAAACfk72g=")</f>
        <v>#REF!</v>
      </c>
      <c r="DB105" t="e">
        <f>AND(#REF!,"AAAAACfk72k=")</f>
        <v>#REF!</v>
      </c>
      <c r="DC105" t="e">
        <f>AND(#REF!,"AAAAACfk72o=")</f>
        <v>#REF!</v>
      </c>
      <c r="DD105" t="e">
        <f>AND(#REF!,"AAAAACfk72s=")</f>
        <v>#REF!</v>
      </c>
      <c r="DE105" t="e">
        <f>AND(#REF!,"AAAAACfk72w=")</f>
        <v>#REF!</v>
      </c>
      <c r="DF105" t="e">
        <f>AND(#REF!,"AAAAACfk720=")</f>
        <v>#REF!</v>
      </c>
      <c r="DG105" t="e">
        <f>AND(#REF!,"AAAAACfk724=")</f>
        <v>#REF!</v>
      </c>
      <c r="DH105" t="e">
        <f>IF(#REF!,"AAAAACfk728=",0)</f>
        <v>#REF!</v>
      </c>
      <c r="DI105" t="e">
        <f>AND(#REF!,"AAAAACfk73A=")</f>
        <v>#REF!</v>
      </c>
      <c r="DJ105" t="e">
        <f>AND(#REF!,"AAAAACfk73E=")</f>
        <v>#REF!</v>
      </c>
      <c r="DK105" t="e">
        <f>AND(#REF!,"AAAAACfk73I=")</f>
        <v>#REF!</v>
      </c>
      <c r="DL105" t="e">
        <f>AND(#REF!,"AAAAACfk73M=")</f>
        <v>#REF!</v>
      </c>
      <c r="DM105" t="e">
        <f>AND(#REF!,"AAAAACfk73Q=")</f>
        <v>#REF!</v>
      </c>
      <c r="DN105" t="e">
        <f>AND(#REF!,"AAAAACfk73U=")</f>
        <v>#REF!</v>
      </c>
      <c r="DO105" t="e">
        <f>AND(#REF!,"AAAAACfk73Y=")</f>
        <v>#REF!</v>
      </c>
      <c r="DP105" t="e">
        <f>AND(#REF!,"AAAAACfk73c=")</f>
        <v>#REF!</v>
      </c>
      <c r="DQ105" t="e">
        <f>AND(#REF!,"AAAAACfk73g=")</f>
        <v>#REF!</v>
      </c>
      <c r="DR105" t="e">
        <f>AND(#REF!,"AAAAACfk73k=")</f>
        <v>#REF!</v>
      </c>
      <c r="DS105" t="e">
        <f>IF(#REF!,"AAAAACfk73o=",0)</f>
        <v>#REF!</v>
      </c>
      <c r="DT105" t="e">
        <f>AND(#REF!,"AAAAACfk73s=")</f>
        <v>#REF!</v>
      </c>
      <c r="DU105" t="e">
        <f>AND(#REF!,"AAAAACfk73w=")</f>
        <v>#REF!</v>
      </c>
      <c r="DV105" t="e">
        <f>AND(#REF!,"AAAAACfk730=")</f>
        <v>#REF!</v>
      </c>
      <c r="DW105" t="e">
        <f>AND(#REF!,"AAAAACfk734=")</f>
        <v>#REF!</v>
      </c>
      <c r="DX105" t="e">
        <f>AND(#REF!,"AAAAACfk738=")</f>
        <v>#REF!</v>
      </c>
      <c r="DY105" t="e">
        <f>AND(#REF!,"AAAAACfk74A=")</f>
        <v>#REF!</v>
      </c>
      <c r="DZ105" t="e">
        <f>AND(#REF!,"AAAAACfk74E=")</f>
        <v>#REF!</v>
      </c>
      <c r="EA105" t="e">
        <f>AND(#REF!,"AAAAACfk74I=")</f>
        <v>#REF!</v>
      </c>
      <c r="EB105" t="e">
        <f>AND(#REF!,"AAAAACfk74M=")</f>
        <v>#REF!</v>
      </c>
      <c r="EC105" t="e">
        <f>AND(#REF!,"AAAAACfk74Q=")</f>
        <v>#REF!</v>
      </c>
      <c r="ED105" t="e">
        <f>IF(#REF!,"AAAAACfk74U=",0)</f>
        <v>#REF!</v>
      </c>
      <c r="EE105" t="e">
        <f>AND(#REF!,"AAAAACfk74Y=")</f>
        <v>#REF!</v>
      </c>
      <c r="EF105" t="e">
        <f>AND(#REF!,"AAAAACfk74c=")</f>
        <v>#REF!</v>
      </c>
      <c r="EG105" t="e">
        <f>AND(#REF!,"AAAAACfk74g=")</f>
        <v>#REF!</v>
      </c>
      <c r="EH105" t="e">
        <f>AND(#REF!,"AAAAACfk74k=")</f>
        <v>#REF!</v>
      </c>
      <c r="EI105" t="e">
        <f>AND(#REF!,"AAAAACfk74o=")</f>
        <v>#REF!</v>
      </c>
      <c r="EJ105" t="e">
        <f>AND(#REF!,"AAAAACfk74s=")</f>
        <v>#REF!</v>
      </c>
      <c r="EK105" t="e">
        <f>AND(#REF!,"AAAAACfk74w=")</f>
        <v>#REF!</v>
      </c>
      <c r="EL105" t="e">
        <f>AND(#REF!,"AAAAACfk740=")</f>
        <v>#REF!</v>
      </c>
      <c r="EM105" t="e">
        <f>AND(#REF!,"AAAAACfk744=")</f>
        <v>#REF!</v>
      </c>
      <c r="EN105" t="e">
        <f>AND(#REF!,"AAAAACfk748=")</f>
        <v>#REF!</v>
      </c>
      <c r="EO105" t="e">
        <f>IF(#REF!,"AAAAACfk75A=",0)</f>
        <v>#REF!</v>
      </c>
      <c r="EP105" t="e">
        <f>AND(#REF!,"AAAAACfk75E=")</f>
        <v>#REF!</v>
      </c>
      <c r="EQ105" t="e">
        <f>AND(#REF!,"AAAAACfk75I=")</f>
        <v>#REF!</v>
      </c>
      <c r="ER105" t="e">
        <f>AND(#REF!,"AAAAACfk75M=")</f>
        <v>#REF!</v>
      </c>
      <c r="ES105" t="e">
        <f>AND(#REF!,"AAAAACfk75Q=")</f>
        <v>#REF!</v>
      </c>
      <c r="ET105" t="e">
        <f>AND(#REF!,"AAAAACfk75U=")</f>
        <v>#REF!</v>
      </c>
      <c r="EU105" t="e">
        <f>AND(#REF!,"AAAAACfk75Y=")</f>
        <v>#REF!</v>
      </c>
      <c r="EV105" t="e">
        <f>AND(#REF!,"AAAAACfk75c=")</f>
        <v>#REF!</v>
      </c>
      <c r="EW105" t="e">
        <f>AND(#REF!,"AAAAACfk75g=")</f>
        <v>#REF!</v>
      </c>
      <c r="EX105" t="e">
        <f>AND(#REF!,"AAAAACfk75k=")</f>
        <v>#REF!</v>
      </c>
      <c r="EY105" t="e">
        <f>AND(#REF!,"AAAAACfk75o=")</f>
        <v>#REF!</v>
      </c>
      <c r="EZ105" t="e">
        <f>IF(#REF!,"AAAAACfk75s=",0)</f>
        <v>#REF!</v>
      </c>
      <c r="FA105" t="e">
        <f>AND(#REF!,"AAAAACfk75w=")</f>
        <v>#REF!</v>
      </c>
      <c r="FB105" t="e">
        <f>AND(#REF!,"AAAAACfk750=")</f>
        <v>#REF!</v>
      </c>
      <c r="FC105" t="e">
        <f>AND(#REF!,"AAAAACfk754=")</f>
        <v>#REF!</v>
      </c>
      <c r="FD105" t="e">
        <f>AND(#REF!,"AAAAACfk758=")</f>
        <v>#REF!</v>
      </c>
      <c r="FE105" t="e">
        <f>AND(#REF!,"AAAAACfk76A=")</f>
        <v>#REF!</v>
      </c>
      <c r="FF105" t="e">
        <f>AND(#REF!,"AAAAACfk76E=")</f>
        <v>#REF!</v>
      </c>
      <c r="FG105" t="e">
        <f>AND(#REF!,"AAAAACfk76I=")</f>
        <v>#REF!</v>
      </c>
      <c r="FH105" t="e">
        <f>AND(#REF!,"AAAAACfk76M=")</f>
        <v>#REF!</v>
      </c>
      <c r="FI105" t="e">
        <f>AND(#REF!,"AAAAACfk76Q=")</f>
        <v>#REF!</v>
      </c>
      <c r="FJ105" t="e">
        <f>AND(#REF!,"AAAAACfk76U=")</f>
        <v>#REF!</v>
      </c>
      <c r="FK105" t="e">
        <f>IF(#REF!,"AAAAACfk76Y=",0)</f>
        <v>#REF!</v>
      </c>
      <c r="FL105" t="e">
        <f>AND(#REF!,"AAAAACfk76c=")</f>
        <v>#REF!</v>
      </c>
      <c r="FM105" t="e">
        <f>AND(#REF!,"AAAAACfk76g=")</f>
        <v>#REF!</v>
      </c>
      <c r="FN105" t="e">
        <f>AND(#REF!,"AAAAACfk76k=")</f>
        <v>#REF!</v>
      </c>
      <c r="FO105" t="e">
        <f>AND(#REF!,"AAAAACfk76o=")</f>
        <v>#REF!</v>
      </c>
      <c r="FP105" t="e">
        <f>AND(#REF!,"AAAAACfk76s=")</f>
        <v>#REF!</v>
      </c>
      <c r="FQ105" t="e">
        <f>AND(#REF!,"AAAAACfk76w=")</f>
        <v>#REF!</v>
      </c>
      <c r="FR105" t="e">
        <f>AND(#REF!,"AAAAACfk760=")</f>
        <v>#REF!</v>
      </c>
      <c r="FS105" t="e">
        <f>AND(#REF!,"AAAAACfk764=")</f>
        <v>#REF!</v>
      </c>
      <c r="FT105" t="e">
        <f>AND(#REF!,"AAAAACfk768=")</f>
        <v>#REF!</v>
      </c>
      <c r="FU105" t="e">
        <f>AND(#REF!,"AAAAACfk77A=")</f>
        <v>#REF!</v>
      </c>
      <c r="FV105" t="e">
        <f>IF(#REF!,"AAAAACfk77E=",0)</f>
        <v>#REF!</v>
      </c>
      <c r="FW105" t="e">
        <f>AND(#REF!,"AAAAACfk77I=")</f>
        <v>#REF!</v>
      </c>
      <c r="FX105" t="e">
        <f>AND(#REF!,"AAAAACfk77M=")</f>
        <v>#REF!</v>
      </c>
      <c r="FY105" t="e">
        <f>AND(#REF!,"AAAAACfk77Q=")</f>
        <v>#REF!</v>
      </c>
      <c r="FZ105" t="e">
        <f>AND(#REF!,"AAAAACfk77U=")</f>
        <v>#REF!</v>
      </c>
      <c r="GA105" t="e">
        <f>AND(#REF!,"AAAAACfk77Y=")</f>
        <v>#REF!</v>
      </c>
      <c r="GB105" t="e">
        <f>AND(#REF!,"AAAAACfk77c=")</f>
        <v>#REF!</v>
      </c>
      <c r="GC105" t="e">
        <f>AND(#REF!,"AAAAACfk77g=")</f>
        <v>#REF!</v>
      </c>
      <c r="GD105" t="e">
        <f>AND(#REF!,"AAAAACfk77k=")</f>
        <v>#REF!</v>
      </c>
      <c r="GE105" t="e">
        <f>AND(#REF!,"AAAAACfk77o=")</f>
        <v>#REF!</v>
      </c>
      <c r="GF105" t="e">
        <f>AND(#REF!,"AAAAACfk77s=")</f>
        <v>#REF!</v>
      </c>
      <c r="GG105" t="e">
        <f>IF(#REF!,"AAAAACfk77w=",0)</f>
        <v>#REF!</v>
      </c>
      <c r="GH105" t="e">
        <f>AND(#REF!,"AAAAACfk770=")</f>
        <v>#REF!</v>
      </c>
      <c r="GI105" t="e">
        <f>AND(#REF!,"AAAAACfk774=")</f>
        <v>#REF!</v>
      </c>
      <c r="GJ105" t="e">
        <f>AND(#REF!,"AAAAACfk778=")</f>
        <v>#REF!</v>
      </c>
      <c r="GK105" t="e">
        <f>AND(#REF!,"AAAAACfk78A=")</f>
        <v>#REF!</v>
      </c>
      <c r="GL105" t="e">
        <f>AND(#REF!,"AAAAACfk78E=")</f>
        <v>#REF!</v>
      </c>
      <c r="GM105" t="e">
        <f>AND(#REF!,"AAAAACfk78I=")</f>
        <v>#REF!</v>
      </c>
      <c r="GN105" t="e">
        <f>AND(#REF!,"AAAAACfk78M=")</f>
        <v>#REF!</v>
      </c>
      <c r="GO105" t="e">
        <f>AND(#REF!,"AAAAACfk78Q=")</f>
        <v>#REF!</v>
      </c>
      <c r="GP105" t="e">
        <f>AND(#REF!,"AAAAACfk78U=")</f>
        <v>#REF!</v>
      </c>
      <c r="GQ105" t="e">
        <f>AND(#REF!,"AAAAACfk78Y=")</f>
        <v>#REF!</v>
      </c>
      <c r="GR105" t="e">
        <f>IF(#REF!,"AAAAACfk78c=",0)</f>
        <v>#REF!</v>
      </c>
      <c r="GS105" t="e">
        <f>AND(#REF!,"AAAAACfk78g=")</f>
        <v>#REF!</v>
      </c>
      <c r="GT105" t="e">
        <f>AND(#REF!,"AAAAACfk78k=")</f>
        <v>#REF!</v>
      </c>
      <c r="GU105" t="e">
        <f>AND(#REF!,"AAAAACfk78o=")</f>
        <v>#REF!</v>
      </c>
      <c r="GV105" t="e">
        <f>AND(#REF!,"AAAAACfk78s=")</f>
        <v>#REF!</v>
      </c>
      <c r="GW105" t="e">
        <f>AND(#REF!,"AAAAACfk78w=")</f>
        <v>#REF!</v>
      </c>
      <c r="GX105" t="e">
        <f>AND(#REF!,"AAAAACfk780=")</f>
        <v>#REF!</v>
      </c>
      <c r="GY105" t="e">
        <f>AND(#REF!,"AAAAACfk784=")</f>
        <v>#REF!</v>
      </c>
      <c r="GZ105" t="e">
        <f>AND(#REF!,"AAAAACfk788=")</f>
        <v>#REF!</v>
      </c>
      <c r="HA105" t="e">
        <f>AND(#REF!,"AAAAACfk79A=")</f>
        <v>#REF!</v>
      </c>
      <c r="HB105" t="e">
        <f>AND(#REF!,"AAAAACfk79E=")</f>
        <v>#REF!</v>
      </c>
      <c r="HC105" t="e">
        <f>IF(#REF!,"AAAAACfk79I=",0)</f>
        <v>#REF!</v>
      </c>
      <c r="HD105" t="e">
        <f>AND(#REF!,"AAAAACfk79M=")</f>
        <v>#REF!</v>
      </c>
      <c r="HE105" t="e">
        <f>AND(#REF!,"AAAAACfk79Q=")</f>
        <v>#REF!</v>
      </c>
      <c r="HF105" t="e">
        <f>AND(#REF!,"AAAAACfk79U=")</f>
        <v>#REF!</v>
      </c>
      <c r="HG105" t="e">
        <f>AND(#REF!,"AAAAACfk79Y=")</f>
        <v>#REF!</v>
      </c>
      <c r="HH105" t="e">
        <f>AND(#REF!,"AAAAACfk79c=")</f>
        <v>#REF!</v>
      </c>
      <c r="HI105" t="e">
        <f>AND(#REF!,"AAAAACfk79g=")</f>
        <v>#REF!</v>
      </c>
      <c r="HJ105" t="e">
        <f>AND(#REF!,"AAAAACfk79k=")</f>
        <v>#REF!</v>
      </c>
      <c r="HK105" t="e">
        <f>AND(#REF!,"AAAAACfk79o=")</f>
        <v>#REF!</v>
      </c>
      <c r="HL105" t="e">
        <f>AND(#REF!,"AAAAACfk79s=")</f>
        <v>#REF!</v>
      </c>
      <c r="HM105" t="e">
        <f>AND(#REF!,"AAAAACfk79w=")</f>
        <v>#REF!</v>
      </c>
      <c r="HN105" t="e">
        <f>IF(#REF!,"AAAAACfk790=",0)</f>
        <v>#REF!</v>
      </c>
      <c r="HO105" t="e">
        <f>AND(#REF!,"AAAAACfk794=")</f>
        <v>#REF!</v>
      </c>
      <c r="HP105" t="e">
        <f>AND(#REF!,"AAAAACfk798=")</f>
        <v>#REF!</v>
      </c>
      <c r="HQ105" t="e">
        <f>AND(#REF!,"AAAAACfk7+A=")</f>
        <v>#REF!</v>
      </c>
      <c r="HR105" t="e">
        <f>AND(#REF!,"AAAAACfk7+E=")</f>
        <v>#REF!</v>
      </c>
      <c r="HS105" t="e">
        <f>AND(#REF!,"AAAAACfk7+I=")</f>
        <v>#REF!</v>
      </c>
      <c r="HT105" t="e">
        <f>AND(#REF!,"AAAAACfk7+M=")</f>
        <v>#REF!</v>
      </c>
      <c r="HU105" t="e">
        <f>AND(#REF!,"AAAAACfk7+Q=")</f>
        <v>#REF!</v>
      </c>
      <c r="HV105" t="e">
        <f>AND(#REF!,"AAAAACfk7+U=")</f>
        <v>#REF!</v>
      </c>
      <c r="HW105" t="e">
        <f>AND(#REF!,"AAAAACfk7+Y=")</f>
        <v>#REF!</v>
      </c>
      <c r="HX105" t="e">
        <f>AND(#REF!,"AAAAACfk7+c=")</f>
        <v>#REF!</v>
      </c>
      <c r="HY105" t="e">
        <f>IF(#REF!,"AAAAACfk7+g=",0)</f>
        <v>#REF!</v>
      </c>
      <c r="HZ105" t="e">
        <f>AND(#REF!,"AAAAACfk7+k=")</f>
        <v>#REF!</v>
      </c>
      <c r="IA105" t="e">
        <f>AND(#REF!,"AAAAACfk7+o=")</f>
        <v>#REF!</v>
      </c>
      <c r="IB105" t="e">
        <f>AND(#REF!,"AAAAACfk7+s=")</f>
        <v>#REF!</v>
      </c>
      <c r="IC105" t="e">
        <f>AND(#REF!,"AAAAACfk7+w=")</f>
        <v>#REF!</v>
      </c>
      <c r="ID105" t="e">
        <f>AND(#REF!,"AAAAACfk7+0=")</f>
        <v>#REF!</v>
      </c>
      <c r="IE105" t="e">
        <f>AND(#REF!,"AAAAACfk7+4=")</f>
        <v>#REF!</v>
      </c>
      <c r="IF105" t="e">
        <f>AND(#REF!,"AAAAACfk7+8=")</f>
        <v>#REF!</v>
      </c>
      <c r="IG105" t="e">
        <f>AND(#REF!,"AAAAACfk7/A=")</f>
        <v>#REF!</v>
      </c>
      <c r="IH105" t="e">
        <f>AND(#REF!,"AAAAACfk7/E=")</f>
        <v>#REF!</v>
      </c>
      <c r="II105" t="e">
        <f>AND(#REF!,"AAAAACfk7/I=")</f>
        <v>#REF!</v>
      </c>
      <c r="IJ105" t="e">
        <f>IF(#REF!,"AAAAACfk7/M=",0)</f>
        <v>#REF!</v>
      </c>
      <c r="IK105" t="e">
        <f>AND(#REF!,"AAAAACfk7/Q=")</f>
        <v>#REF!</v>
      </c>
      <c r="IL105" t="e">
        <f>AND(#REF!,"AAAAACfk7/U=")</f>
        <v>#REF!</v>
      </c>
      <c r="IM105" t="e">
        <f>AND(#REF!,"AAAAACfk7/Y=")</f>
        <v>#REF!</v>
      </c>
      <c r="IN105" t="e">
        <f>AND(#REF!,"AAAAACfk7/c=")</f>
        <v>#REF!</v>
      </c>
      <c r="IO105" t="e">
        <f>AND(#REF!,"AAAAACfk7/g=")</f>
        <v>#REF!</v>
      </c>
      <c r="IP105" t="e">
        <f>AND(#REF!,"AAAAACfk7/k=")</f>
        <v>#REF!</v>
      </c>
      <c r="IQ105" t="e">
        <f>AND(#REF!,"AAAAACfk7/o=")</f>
        <v>#REF!</v>
      </c>
      <c r="IR105" t="e">
        <f>AND(#REF!,"AAAAACfk7/s=")</f>
        <v>#REF!</v>
      </c>
      <c r="IS105" t="e">
        <f>AND(#REF!,"AAAAACfk7/w=")</f>
        <v>#REF!</v>
      </c>
      <c r="IT105" t="e">
        <f>AND(#REF!,"AAAAACfk7/0=")</f>
        <v>#REF!</v>
      </c>
      <c r="IU105" t="e">
        <f>IF(#REF!,"AAAAACfk7/4=",0)</f>
        <v>#REF!</v>
      </c>
      <c r="IV105" t="e">
        <f>AND(#REF!,"AAAAACfk7/8=")</f>
        <v>#REF!</v>
      </c>
    </row>
    <row r="106" spans="1:256" x14ac:dyDescent="0.25">
      <c r="A106" t="e">
        <f>AND(#REF!,"AAAAAHd/2wA=")</f>
        <v>#REF!</v>
      </c>
      <c r="B106" t="e">
        <f>AND(#REF!,"AAAAAHd/2wE=")</f>
        <v>#REF!</v>
      </c>
      <c r="C106" t="e">
        <f>AND(#REF!,"AAAAAHd/2wI=")</f>
        <v>#REF!</v>
      </c>
      <c r="D106" t="e">
        <f>AND(#REF!,"AAAAAHd/2wM=")</f>
        <v>#REF!</v>
      </c>
      <c r="E106" t="e">
        <f>AND(#REF!,"AAAAAHd/2wQ=")</f>
        <v>#REF!</v>
      </c>
      <c r="F106" t="e">
        <f>AND(#REF!,"AAAAAHd/2wU=")</f>
        <v>#REF!</v>
      </c>
      <c r="G106" t="e">
        <f>AND(#REF!,"AAAAAHd/2wY=")</f>
        <v>#REF!</v>
      </c>
      <c r="H106" t="e">
        <f>AND(#REF!,"AAAAAHd/2wc=")</f>
        <v>#REF!</v>
      </c>
      <c r="I106" t="e">
        <f>AND(#REF!,"AAAAAHd/2wg=")</f>
        <v>#REF!</v>
      </c>
      <c r="J106" t="e">
        <f>IF(#REF!,"AAAAAHd/2wk=",0)</f>
        <v>#REF!</v>
      </c>
      <c r="K106" t="e">
        <f>AND(#REF!,"AAAAAHd/2wo=")</f>
        <v>#REF!</v>
      </c>
      <c r="L106" t="e">
        <f>AND(#REF!,"AAAAAHd/2ws=")</f>
        <v>#REF!</v>
      </c>
      <c r="M106" t="e">
        <f>AND(#REF!,"AAAAAHd/2ww=")</f>
        <v>#REF!</v>
      </c>
      <c r="N106" t="e">
        <f>AND(#REF!,"AAAAAHd/2w0=")</f>
        <v>#REF!</v>
      </c>
      <c r="O106" t="e">
        <f>AND(#REF!,"AAAAAHd/2w4=")</f>
        <v>#REF!</v>
      </c>
      <c r="P106" t="e">
        <f>AND(#REF!,"AAAAAHd/2w8=")</f>
        <v>#REF!</v>
      </c>
      <c r="Q106" t="e">
        <f>AND(#REF!,"AAAAAHd/2xA=")</f>
        <v>#REF!</v>
      </c>
      <c r="R106" t="e">
        <f>AND(#REF!,"AAAAAHd/2xE=")</f>
        <v>#REF!</v>
      </c>
      <c r="S106" t="e">
        <f>AND(#REF!,"AAAAAHd/2xI=")</f>
        <v>#REF!</v>
      </c>
      <c r="T106" t="e">
        <f>AND(#REF!,"AAAAAHd/2xM=")</f>
        <v>#REF!</v>
      </c>
      <c r="U106" t="e">
        <f>IF(#REF!,"AAAAAHd/2xQ=",0)</f>
        <v>#REF!</v>
      </c>
      <c r="V106" t="e">
        <f>AND(#REF!,"AAAAAHd/2xU=")</f>
        <v>#REF!</v>
      </c>
      <c r="W106" t="e">
        <f>AND(#REF!,"AAAAAHd/2xY=")</f>
        <v>#REF!</v>
      </c>
      <c r="X106" t="e">
        <f>AND(#REF!,"AAAAAHd/2xc=")</f>
        <v>#REF!</v>
      </c>
      <c r="Y106" t="e">
        <f>AND(#REF!,"AAAAAHd/2xg=")</f>
        <v>#REF!</v>
      </c>
      <c r="Z106" t="e">
        <f>AND(#REF!,"AAAAAHd/2xk=")</f>
        <v>#REF!</v>
      </c>
      <c r="AA106" t="e">
        <f>AND(#REF!,"AAAAAHd/2xo=")</f>
        <v>#REF!</v>
      </c>
      <c r="AB106" t="e">
        <f>AND(#REF!,"AAAAAHd/2xs=")</f>
        <v>#REF!</v>
      </c>
      <c r="AC106" t="e">
        <f>AND(#REF!,"AAAAAHd/2xw=")</f>
        <v>#REF!</v>
      </c>
      <c r="AD106" t="e">
        <f>AND(#REF!,"AAAAAHd/2x0=")</f>
        <v>#REF!</v>
      </c>
      <c r="AE106" t="e">
        <f>AND(#REF!,"AAAAAHd/2x4=")</f>
        <v>#REF!</v>
      </c>
      <c r="AF106" t="e">
        <f>IF(#REF!,"AAAAAHd/2x8=",0)</f>
        <v>#REF!</v>
      </c>
      <c r="AG106" t="e">
        <f>AND(#REF!,"AAAAAHd/2yA=")</f>
        <v>#REF!</v>
      </c>
      <c r="AH106" t="e">
        <f>AND(#REF!,"AAAAAHd/2yE=")</f>
        <v>#REF!</v>
      </c>
      <c r="AI106" t="e">
        <f>AND(#REF!,"AAAAAHd/2yI=")</f>
        <v>#REF!</v>
      </c>
      <c r="AJ106" t="e">
        <f>AND(#REF!,"AAAAAHd/2yM=")</f>
        <v>#REF!</v>
      </c>
      <c r="AK106" t="e">
        <f>AND(#REF!,"AAAAAHd/2yQ=")</f>
        <v>#REF!</v>
      </c>
      <c r="AL106" t="e">
        <f>AND(#REF!,"AAAAAHd/2yU=")</f>
        <v>#REF!</v>
      </c>
      <c r="AM106" t="e">
        <f>AND(#REF!,"AAAAAHd/2yY=")</f>
        <v>#REF!</v>
      </c>
      <c r="AN106" t="e">
        <f>AND(#REF!,"AAAAAHd/2yc=")</f>
        <v>#REF!</v>
      </c>
      <c r="AO106" t="e">
        <f>AND(#REF!,"AAAAAHd/2yg=")</f>
        <v>#REF!</v>
      </c>
      <c r="AP106" t="e">
        <f>AND(#REF!,"AAAAAHd/2yk=")</f>
        <v>#REF!</v>
      </c>
      <c r="AQ106" t="e">
        <f>IF(#REF!,"AAAAAHd/2yo=",0)</f>
        <v>#REF!</v>
      </c>
      <c r="AR106" t="e">
        <f>AND(#REF!,"AAAAAHd/2ys=")</f>
        <v>#REF!</v>
      </c>
      <c r="AS106" t="e">
        <f>AND(#REF!,"AAAAAHd/2yw=")</f>
        <v>#REF!</v>
      </c>
      <c r="AT106" t="e">
        <f>AND(#REF!,"AAAAAHd/2y0=")</f>
        <v>#REF!</v>
      </c>
      <c r="AU106" t="e">
        <f>AND(#REF!,"AAAAAHd/2y4=")</f>
        <v>#REF!</v>
      </c>
      <c r="AV106" t="e">
        <f>AND(#REF!,"AAAAAHd/2y8=")</f>
        <v>#REF!</v>
      </c>
      <c r="AW106" t="e">
        <f>AND(#REF!,"AAAAAHd/2zA=")</f>
        <v>#REF!</v>
      </c>
      <c r="AX106" t="e">
        <f>AND(#REF!,"AAAAAHd/2zE=")</f>
        <v>#REF!</v>
      </c>
      <c r="AY106" t="e">
        <f>AND(#REF!,"AAAAAHd/2zI=")</f>
        <v>#REF!</v>
      </c>
      <c r="AZ106" t="e">
        <f>AND(#REF!,"AAAAAHd/2zM=")</f>
        <v>#REF!</v>
      </c>
      <c r="BA106" t="e">
        <f>AND(#REF!,"AAAAAHd/2zQ=")</f>
        <v>#REF!</v>
      </c>
      <c r="BB106" t="e">
        <f>IF(#REF!,"AAAAAHd/2zU=",0)</f>
        <v>#REF!</v>
      </c>
      <c r="BC106" t="e">
        <f>AND(#REF!,"AAAAAHd/2zY=")</f>
        <v>#REF!</v>
      </c>
      <c r="BD106" t="e">
        <f>AND(#REF!,"AAAAAHd/2zc=")</f>
        <v>#REF!</v>
      </c>
      <c r="BE106" t="e">
        <f>AND(#REF!,"AAAAAHd/2zg=")</f>
        <v>#REF!</v>
      </c>
      <c r="BF106" t="e">
        <f>AND(#REF!,"AAAAAHd/2zk=")</f>
        <v>#REF!</v>
      </c>
      <c r="BG106" t="e">
        <f>AND(#REF!,"AAAAAHd/2zo=")</f>
        <v>#REF!</v>
      </c>
      <c r="BH106" t="e">
        <f>AND(#REF!,"AAAAAHd/2zs=")</f>
        <v>#REF!</v>
      </c>
      <c r="BI106" t="e">
        <f>AND(#REF!,"AAAAAHd/2zw=")</f>
        <v>#REF!</v>
      </c>
      <c r="BJ106" t="e">
        <f>AND(#REF!,"AAAAAHd/2z0=")</f>
        <v>#REF!</v>
      </c>
      <c r="BK106" t="e">
        <f>AND(#REF!,"AAAAAHd/2z4=")</f>
        <v>#REF!</v>
      </c>
      <c r="BL106" t="e">
        <f>AND(#REF!,"AAAAAHd/2z8=")</f>
        <v>#REF!</v>
      </c>
      <c r="BM106" t="e">
        <f>IF(#REF!,"AAAAAHd/20A=",0)</f>
        <v>#REF!</v>
      </c>
      <c r="BN106" t="e">
        <f>AND(#REF!,"AAAAAHd/20E=")</f>
        <v>#REF!</v>
      </c>
      <c r="BO106" t="e">
        <f>AND(#REF!,"AAAAAHd/20I=")</f>
        <v>#REF!</v>
      </c>
      <c r="BP106" t="e">
        <f>AND(#REF!,"AAAAAHd/20M=")</f>
        <v>#REF!</v>
      </c>
      <c r="BQ106" t="e">
        <f>AND(#REF!,"AAAAAHd/20Q=")</f>
        <v>#REF!</v>
      </c>
      <c r="BR106" t="e">
        <f>AND(#REF!,"AAAAAHd/20U=")</f>
        <v>#REF!</v>
      </c>
      <c r="BS106" t="e">
        <f>AND(#REF!,"AAAAAHd/20Y=")</f>
        <v>#REF!</v>
      </c>
      <c r="BT106" t="e">
        <f>AND(#REF!,"AAAAAHd/20c=")</f>
        <v>#REF!</v>
      </c>
      <c r="BU106" t="e">
        <f>AND(#REF!,"AAAAAHd/20g=")</f>
        <v>#REF!</v>
      </c>
      <c r="BV106" t="e">
        <f>AND(#REF!,"AAAAAHd/20k=")</f>
        <v>#REF!</v>
      </c>
      <c r="BW106" t="e">
        <f>AND(#REF!,"AAAAAHd/20o=")</f>
        <v>#REF!</v>
      </c>
      <c r="BX106" t="e">
        <f>IF(#REF!,"AAAAAHd/20s=",0)</f>
        <v>#REF!</v>
      </c>
      <c r="BY106" t="e">
        <f>AND(#REF!,"AAAAAHd/20w=")</f>
        <v>#REF!</v>
      </c>
      <c r="BZ106" t="e">
        <f>AND(#REF!,"AAAAAHd/200=")</f>
        <v>#REF!</v>
      </c>
      <c r="CA106" t="e">
        <f>AND(#REF!,"AAAAAHd/204=")</f>
        <v>#REF!</v>
      </c>
      <c r="CB106" t="e">
        <f>AND(#REF!,"AAAAAHd/208=")</f>
        <v>#REF!</v>
      </c>
      <c r="CC106" t="e">
        <f>AND(#REF!,"AAAAAHd/21A=")</f>
        <v>#REF!</v>
      </c>
      <c r="CD106" t="e">
        <f>AND(#REF!,"AAAAAHd/21E=")</f>
        <v>#REF!</v>
      </c>
      <c r="CE106" t="e">
        <f>AND(#REF!,"AAAAAHd/21I=")</f>
        <v>#REF!</v>
      </c>
      <c r="CF106" t="e">
        <f>AND(#REF!,"AAAAAHd/21M=")</f>
        <v>#REF!</v>
      </c>
      <c r="CG106" t="e">
        <f>AND(#REF!,"AAAAAHd/21Q=")</f>
        <v>#REF!</v>
      </c>
      <c r="CH106" t="e">
        <f>AND(#REF!,"AAAAAHd/21U=")</f>
        <v>#REF!</v>
      </c>
      <c r="CI106" t="e">
        <f>IF(#REF!,"AAAAAHd/21Y=",0)</f>
        <v>#REF!</v>
      </c>
      <c r="CJ106" t="e">
        <f>AND(#REF!,"AAAAAHd/21c=")</f>
        <v>#REF!</v>
      </c>
      <c r="CK106" t="e">
        <f>AND(#REF!,"AAAAAHd/21g=")</f>
        <v>#REF!</v>
      </c>
      <c r="CL106" t="e">
        <f>AND(#REF!,"AAAAAHd/21k=")</f>
        <v>#REF!</v>
      </c>
      <c r="CM106" t="e">
        <f>AND(#REF!,"AAAAAHd/21o=")</f>
        <v>#REF!</v>
      </c>
      <c r="CN106" t="e">
        <f>AND(#REF!,"AAAAAHd/21s=")</f>
        <v>#REF!</v>
      </c>
      <c r="CO106" t="e">
        <f>AND(#REF!,"AAAAAHd/21w=")</f>
        <v>#REF!</v>
      </c>
      <c r="CP106" t="e">
        <f>AND(#REF!,"AAAAAHd/210=")</f>
        <v>#REF!</v>
      </c>
      <c r="CQ106" t="e">
        <f>AND(#REF!,"AAAAAHd/214=")</f>
        <v>#REF!</v>
      </c>
      <c r="CR106" t="e">
        <f>AND(#REF!,"AAAAAHd/218=")</f>
        <v>#REF!</v>
      </c>
      <c r="CS106" t="e">
        <f>AND(#REF!,"AAAAAHd/22A=")</f>
        <v>#REF!</v>
      </c>
      <c r="CT106" t="e">
        <f>IF(#REF!,"AAAAAHd/22E=",0)</f>
        <v>#REF!</v>
      </c>
      <c r="CU106" t="e">
        <f>AND(#REF!,"AAAAAHd/22I=")</f>
        <v>#REF!</v>
      </c>
      <c r="CV106" t="e">
        <f>AND(#REF!,"AAAAAHd/22M=")</f>
        <v>#REF!</v>
      </c>
      <c r="CW106" t="e">
        <f>AND(#REF!,"AAAAAHd/22Q=")</f>
        <v>#REF!</v>
      </c>
      <c r="CX106" t="e">
        <f>AND(#REF!,"AAAAAHd/22U=")</f>
        <v>#REF!</v>
      </c>
      <c r="CY106" t="e">
        <f>AND(#REF!,"AAAAAHd/22Y=")</f>
        <v>#REF!</v>
      </c>
      <c r="CZ106" t="e">
        <f>AND(#REF!,"AAAAAHd/22c=")</f>
        <v>#REF!</v>
      </c>
      <c r="DA106" t="e">
        <f>AND(#REF!,"AAAAAHd/22g=")</f>
        <v>#REF!</v>
      </c>
      <c r="DB106" t="e">
        <f>AND(#REF!,"AAAAAHd/22k=")</f>
        <v>#REF!</v>
      </c>
      <c r="DC106" t="e">
        <f>AND(#REF!,"AAAAAHd/22o=")</f>
        <v>#REF!</v>
      </c>
      <c r="DD106" t="e">
        <f>AND(#REF!,"AAAAAHd/22s=")</f>
        <v>#REF!</v>
      </c>
      <c r="DE106" t="e">
        <f>IF(#REF!,"AAAAAHd/22w=",0)</f>
        <v>#REF!</v>
      </c>
      <c r="DF106" t="e">
        <f>AND(#REF!,"AAAAAHd/220=")</f>
        <v>#REF!</v>
      </c>
      <c r="DG106" t="e">
        <f>AND(#REF!,"AAAAAHd/224=")</f>
        <v>#REF!</v>
      </c>
      <c r="DH106" t="e">
        <f>AND(#REF!,"AAAAAHd/228=")</f>
        <v>#REF!</v>
      </c>
      <c r="DI106" t="e">
        <f>AND(#REF!,"AAAAAHd/23A=")</f>
        <v>#REF!</v>
      </c>
      <c r="DJ106" t="e">
        <f>AND(#REF!,"AAAAAHd/23E=")</f>
        <v>#REF!</v>
      </c>
      <c r="DK106" t="e">
        <f>AND(#REF!,"AAAAAHd/23I=")</f>
        <v>#REF!</v>
      </c>
      <c r="DL106" t="e">
        <f>AND(#REF!,"AAAAAHd/23M=")</f>
        <v>#REF!</v>
      </c>
      <c r="DM106" t="e">
        <f>AND(#REF!,"AAAAAHd/23Q=")</f>
        <v>#REF!</v>
      </c>
      <c r="DN106" t="e">
        <f>AND(#REF!,"AAAAAHd/23U=")</f>
        <v>#REF!</v>
      </c>
      <c r="DO106" t="e">
        <f>AND(#REF!,"AAAAAHd/23Y=")</f>
        <v>#REF!</v>
      </c>
      <c r="DP106" t="e">
        <f>IF(#REF!,"AAAAAHd/23c=",0)</f>
        <v>#REF!</v>
      </c>
      <c r="DQ106" t="e">
        <f>AND(#REF!,"AAAAAHd/23g=")</f>
        <v>#REF!</v>
      </c>
      <c r="DR106" t="e">
        <f>AND(#REF!,"AAAAAHd/23k=")</f>
        <v>#REF!</v>
      </c>
      <c r="DS106" t="e">
        <f>AND(#REF!,"AAAAAHd/23o=")</f>
        <v>#REF!</v>
      </c>
      <c r="DT106" t="e">
        <f>AND(#REF!,"AAAAAHd/23s=")</f>
        <v>#REF!</v>
      </c>
      <c r="DU106" t="e">
        <f>AND(#REF!,"AAAAAHd/23w=")</f>
        <v>#REF!</v>
      </c>
      <c r="DV106" t="e">
        <f>AND(#REF!,"AAAAAHd/230=")</f>
        <v>#REF!</v>
      </c>
      <c r="DW106" t="e">
        <f>AND(#REF!,"AAAAAHd/234=")</f>
        <v>#REF!</v>
      </c>
      <c r="DX106" t="e">
        <f>AND(#REF!,"AAAAAHd/238=")</f>
        <v>#REF!</v>
      </c>
      <c r="DY106" t="e">
        <f>AND(#REF!,"AAAAAHd/24A=")</f>
        <v>#REF!</v>
      </c>
      <c r="DZ106" t="e">
        <f>AND(#REF!,"AAAAAHd/24E=")</f>
        <v>#REF!</v>
      </c>
      <c r="EA106" t="e">
        <f>IF(#REF!,"AAAAAHd/24I=",0)</f>
        <v>#REF!</v>
      </c>
      <c r="EB106" t="e">
        <f>AND(#REF!,"AAAAAHd/24M=")</f>
        <v>#REF!</v>
      </c>
      <c r="EC106" t="e">
        <f>AND(#REF!,"AAAAAHd/24Q=")</f>
        <v>#REF!</v>
      </c>
      <c r="ED106" t="e">
        <f>AND(#REF!,"AAAAAHd/24U=")</f>
        <v>#REF!</v>
      </c>
      <c r="EE106" t="e">
        <f>AND(#REF!,"AAAAAHd/24Y=")</f>
        <v>#REF!</v>
      </c>
      <c r="EF106" t="e">
        <f>AND(#REF!,"AAAAAHd/24c=")</f>
        <v>#REF!</v>
      </c>
      <c r="EG106" t="e">
        <f>AND(#REF!,"AAAAAHd/24g=")</f>
        <v>#REF!</v>
      </c>
      <c r="EH106" t="e">
        <f>AND(#REF!,"AAAAAHd/24k=")</f>
        <v>#REF!</v>
      </c>
      <c r="EI106" t="e">
        <f>AND(#REF!,"AAAAAHd/24o=")</f>
        <v>#REF!</v>
      </c>
      <c r="EJ106" t="e">
        <f>AND(#REF!,"AAAAAHd/24s=")</f>
        <v>#REF!</v>
      </c>
      <c r="EK106" t="e">
        <f>AND(#REF!,"AAAAAHd/24w=")</f>
        <v>#REF!</v>
      </c>
      <c r="EL106" t="e">
        <f>IF(#REF!,"AAAAAHd/240=",0)</f>
        <v>#REF!</v>
      </c>
      <c r="EM106" t="e">
        <f>AND(#REF!,"AAAAAHd/244=")</f>
        <v>#REF!</v>
      </c>
      <c r="EN106" t="e">
        <f>AND(#REF!,"AAAAAHd/248=")</f>
        <v>#REF!</v>
      </c>
      <c r="EO106" t="e">
        <f>AND(#REF!,"AAAAAHd/25A=")</f>
        <v>#REF!</v>
      </c>
      <c r="EP106" t="e">
        <f>AND(#REF!,"AAAAAHd/25E=")</f>
        <v>#REF!</v>
      </c>
      <c r="EQ106" t="e">
        <f>AND(#REF!,"AAAAAHd/25I=")</f>
        <v>#REF!</v>
      </c>
      <c r="ER106" t="e">
        <f>AND(#REF!,"AAAAAHd/25M=")</f>
        <v>#REF!</v>
      </c>
      <c r="ES106" t="e">
        <f>AND(#REF!,"AAAAAHd/25Q=")</f>
        <v>#REF!</v>
      </c>
      <c r="ET106" t="e">
        <f>AND(#REF!,"AAAAAHd/25U=")</f>
        <v>#REF!</v>
      </c>
      <c r="EU106" t="e">
        <f>AND(#REF!,"AAAAAHd/25Y=")</f>
        <v>#REF!</v>
      </c>
      <c r="EV106" t="e">
        <f>AND(#REF!,"AAAAAHd/25c=")</f>
        <v>#REF!</v>
      </c>
      <c r="EW106" t="e">
        <f>IF(#REF!,"AAAAAHd/25g=",0)</f>
        <v>#REF!</v>
      </c>
      <c r="EX106" t="e">
        <f>AND(#REF!,"AAAAAHd/25k=")</f>
        <v>#REF!</v>
      </c>
      <c r="EY106" t="e">
        <f>AND(#REF!,"AAAAAHd/25o=")</f>
        <v>#REF!</v>
      </c>
      <c r="EZ106" t="e">
        <f>AND(#REF!,"AAAAAHd/25s=")</f>
        <v>#REF!</v>
      </c>
      <c r="FA106" t="e">
        <f>AND(#REF!,"AAAAAHd/25w=")</f>
        <v>#REF!</v>
      </c>
      <c r="FB106" t="e">
        <f>AND(#REF!,"AAAAAHd/250=")</f>
        <v>#REF!</v>
      </c>
      <c r="FC106" t="e">
        <f>AND(#REF!,"AAAAAHd/254=")</f>
        <v>#REF!</v>
      </c>
      <c r="FD106" t="e">
        <f>AND(#REF!,"AAAAAHd/258=")</f>
        <v>#REF!</v>
      </c>
      <c r="FE106" t="e">
        <f>AND(#REF!,"AAAAAHd/26A=")</f>
        <v>#REF!</v>
      </c>
      <c r="FF106" t="e">
        <f>AND(#REF!,"AAAAAHd/26E=")</f>
        <v>#REF!</v>
      </c>
      <c r="FG106" t="e">
        <f>AND(#REF!,"AAAAAHd/26I=")</f>
        <v>#REF!</v>
      </c>
      <c r="FH106" t="e">
        <f>IF(#REF!,"AAAAAHd/26M=",0)</f>
        <v>#REF!</v>
      </c>
      <c r="FI106" t="e">
        <f>AND(#REF!,"AAAAAHd/26Q=")</f>
        <v>#REF!</v>
      </c>
      <c r="FJ106" t="e">
        <f>AND(#REF!,"AAAAAHd/26U=")</f>
        <v>#REF!</v>
      </c>
      <c r="FK106" t="e">
        <f>AND(#REF!,"AAAAAHd/26Y=")</f>
        <v>#REF!</v>
      </c>
      <c r="FL106" t="e">
        <f>AND(#REF!,"AAAAAHd/26c=")</f>
        <v>#REF!</v>
      </c>
      <c r="FM106" t="e">
        <f>AND(#REF!,"AAAAAHd/26g=")</f>
        <v>#REF!</v>
      </c>
      <c r="FN106" t="e">
        <f>AND(#REF!,"AAAAAHd/26k=")</f>
        <v>#REF!</v>
      </c>
      <c r="FO106" t="e">
        <f>AND(#REF!,"AAAAAHd/26o=")</f>
        <v>#REF!</v>
      </c>
      <c r="FP106" t="e">
        <f>AND(#REF!,"AAAAAHd/26s=")</f>
        <v>#REF!</v>
      </c>
      <c r="FQ106" t="e">
        <f>AND(#REF!,"AAAAAHd/26w=")</f>
        <v>#REF!</v>
      </c>
      <c r="FR106" t="e">
        <f>AND(#REF!,"AAAAAHd/260=")</f>
        <v>#REF!</v>
      </c>
      <c r="FS106" t="e">
        <f>IF(#REF!,"AAAAAHd/264=",0)</f>
        <v>#REF!</v>
      </c>
      <c r="FT106" t="e">
        <f>AND(#REF!,"AAAAAHd/268=")</f>
        <v>#REF!</v>
      </c>
      <c r="FU106" t="e">
        <f>AND(#REF!,"AAAAAHd/27A=")</f>
        <v>#REF!</v>
      </c>
      <c r="FV106" t="e">
        <f>AND(#REF!,"AAAAAHd/27E=")</f>
        <v>#REF!</v>
      </c>
      <c r="FW106" t="e">
        <f>AND(#REF!,"AAAAAHd/27I=")</f>
        <v>#REF!</v>
      </c>
      <c r="FX106" t="e">
        <f>AND(#REF!,"AAAAAHd/27M=")</f>
        <v>#REF!</v>
      </c>
      <c r="FY106" t="e">
        <f>AND(#REF!,"AAAAAHd/27Q=")</f>
        <v>#REF!</v>
      </c>
      <c r="FZ106" t="e">
        <f>AND(#REF!,"AAAAAHd/27U=")</f>
        <v>#REF!</v>
      </c>
      <c r="GA106" t="e">
        <f>AND(#REF!,"AAAAAHd/27Y=")</f>
        <v>#REF!</v>
      </c>
      <c r="GB106" t="e">
        <f>AND(#REF!,"AAAAAHd/27c=")</f>
        <v>#REF!</v>
      </c>
      <c r="GC106" t="e">
        <f>AND(#REF!,"AAAAAHd/27g=")</f>
        <v>#REF!</v>
      </c>
      <c r="GD106" t="e">
        <f>IF(#REF!,"AAAAAHd/27k=",0)</f>
        <v>#REF!</v>
      </c>
      <c r="GE106" t="e">
        <f>AND(#REF!,"AAAAAHd/27o=")</f>
        <v>#REF!</v>
      </c>
      <c r="GF106" t="e">
        <f>AND(#REF!,"AAAAAHd/27s=")</f>
        <v>#REF!</v>
      </c>
      <c r="GG106" t="e">
        <f>AND(#REF!,"AAAAAHd/27w=")</f>
        <v>#REF!</v>
      </c>
      <c r="GH106" t="e">
        <f>AND(#REF!,"AAAAAHd/270=")</f>
        <v>#REF!</v>
      </c>
      <c r="GI106" t="e">
        <f>AND(#REF!,"AAAAAHd/274=")</f>
        <v>#REF!</v>
      </c>
      <c r="GJ106" t="e">
        <f>AND(#REF!,"AAAAAHd/278=")</f>
        <v>#REF!</v>
      </c>
      <c r="GK106" t="e">
        <f>AND(#REF!,"AAAAAHd/28A=")</f>
        <v>#REF!</v>
      </c>
      <c r="GL106" t="e">
        <f>AND(#REF!,"AAAAAHd/28E=")</f>
        <v>#REF!</v>
      </c>
      <c r="GM106" t="e">
        <f>AND(#REF!,"AAAAAHd/28I=")</f>
        <v>#REF!</v>
      </c>
      <c r="GN106" t="e">
        <f>AND(#REF!,"AAAAAHd/28M=")</f>
        <v>#REF!</v>
      </c>
      <c r="GO106" t="e">
        <f>IF(#REF!,"AAAAAHd/28Q=",0)</f>
        <v>#REF!</v>
      </c>
      <c r="GP106" t="e">
        <f>AND(#REF!,"AAAAAHd/28U=")</f>
        <v>#REF!</v>
      </c>
      <c r="GQ106" t="e">
        <f>AND(#REF!,"AAAAAHd/28Y=")</f>
        <v>#REF!</v>
      </c>
      <c r="GR106" t="e">
        <f>AND(#REF!,"AAAAAHd/28c=")</f>
        <v>#REF!</v>
      </c>
      <c r="GS106" t="e">
        <f>AND(#REF!,"AAAAAHd/28g=")</f>
        <v>#REF!</v>
      </c>
      <c r="GT106" t="e">
        <f>AND(#REF!,"AAAAAHd/28k=")</f>
        <v>#REF!</v>
      </c>
      <c r="GU106" t="e">
        <f>AND(#REF!,"AAAAAHd/28o=")</f>
        <v>#REF!</v>
      </c>
      <c r="GV106" t="e">
        <f>AND(#REF!,"AAAAAHd/28s=")</f>
        <v>#REF!</v>
      </c>
      <c r="GW106" t="e">
        <f>AND(#REF!,"AAAAAHd/28w=")</f>
        <v>#REF!</v>
      </c>
      <c r="GX106" t="e">
        <f>AND(#REF!,"AAAAAHd/280=")</f>
        <v>#REF!</v>
      </c>
      <c r="GY106" t="e">
        <f>AND(#REF!,"AAAAAHd/284=")</f>
        <v>#REF!</v>
      </c>
      <c r="GZ106" t="e">
        <f>IF(#REF!,"AAAAAHd/288=",0)</f>
        <v>#REF!</v>
      </c>
      <c r="HA106" t="e">
        <f>AND(#REF!,"AAAAAHd/29A=")</f>
        <v>#REF!</v>
      </c>
      <c r="HB106" t="e">
        <f>AND(#REF!,"AAAAAHd/29E=")</f>
        <v>#REF!</v>
      </c>
      <c r="HC106" t="e">
        <f>AND(#REF!,"AAAAAHd/29I=")</f>
        <v>#REF!</v>
      </c>
      <c r="HD106" t="e">
        <f>AND(#REF!,"AAAAAHd/29M=")</f>
        <v>#REF!</v>
      </c>
      <c r="HE106" t="e">
        <f>AND(#REF!,"AAAAAHd/29Q=")</f>
        <v>#REF!</v>
      </c>
      <c r="HF106" t="e">
        <f>AND(#REF!,"AAAAAHd/29U=")</f>
        <v>#REF!</v>
      </c>
      <c r="HG106" t="e">
        <f>AND(#REF!,"AAAAAHd/29Y=")</f>
        <v>#REF!</v>
      </c>
      <c r="HH106" t="e">
        <f>AND(#REF!,"AAAAAHd/29c=")</f>
        <v>#REF!</v>
      </c>
      <c r="HI106" t="e">
        <f>AND(#REF!,"AAAAAHd/29g=")</f>
        <v>#REF!</v>
      </c>
      <c r="HJ106" t="e">
        <f>AND(#REF!,"AAAAAHd/29k=")</f>
        <v>#REF!</v>
      </c>
      <c r="HK106" t="e">
        <f>IF(#REF!,"AAAAAHd/29o=",0)</f>
        <v>#REF!</v>
      </c>
      <c r="HL106" t="e">
        <f>AND(#REF!,"AAAAAHd/29s=")</f>
        <v>#REF!</v>
      </c>
      <c r="HM106" t="e">
        <f>AND(#REF!,"AAAAAHd/29w=")</f>
        <v>#REF!</v>
      </c>
      <c r="HN106" t="e">
        <f>AND(#REF!,"AAAAAHd/290=")</f>
        <v>#REF!</v>
      </c>
      <c r="HO106" t="e">
        <f>AND(#REF!,"AAAAAHd/294=")</f>
        <v>#REF!</v>
      </c>
      <c r="HP106" t="e">
        <f>AND(#REF!,"AAAAAHd/298=")</f>
        <v>#REF!</v>
      </c>
      <c r="HQ106" t="e">
        <f>AND(#REF!,"AAAAAHd/2+A=")</f>
        <v>#REF!</v>
      </c>
      <c r="HR106" t="e">
        <f>AND(#REF!,"AAAAAHd/2+E=")</f>
        <v>#REF!</v>
      </c>
      <c r="HS106" t="e">
        <f>AND(#REF!,"AAAAAHd/2+I=")</f>
        <v>#REF!</v>
      </c>
      <c r="HT106" t="e">
        <f>AND(#REF!,"AAAAAHd/2+M=")</f>
        <v>#REF!</v>
      </c>
      <c r="HU106" t="e">
        <f>AND(#REF!,"AAAAAHd/2+Q=")</f>
        <v>#REF!</v>
      </c>
      <c r="HV106" t="e">
        <f>IF(#REF!,"AAAAAHd/2+U=",0)</f>
        <v>#REF!</v>
      </c>
      <c r="HW106" t="e">
        <f>AND(#REF!,"AAAAAHd/2+Y=")</f>
        <v>#REF!</v>
      </c>
      <c r="HX106" t="e">
        <f>AND(#REF!,"AAAAAHd/2+c=")</f>
        <v>#REF!</v>
      </c>
      <c r="HY106" t="e">
        <f>AND(#REF!,"AAAAAHd/2+g=")</f>
        <v>#REF!</v>
      </c>
      <c r="HZ106" t="e">
        <f>AND(#REF!,"AAAAAHd/2+k=")</f>
        <v>#REF!</v>
      </c>
      <c r="IA106" t="e">
        <f>AND(#REF!,"AAAAAHd/2+o=")</f>
        <v>#REF!</v>
      </c>
      <c r="IB106" t="e">
        <f>AND(#REF!,"AAAAAHd/2+s=")</f>
        <v>#REF!</v>
      </c>
      <c r="IC106" t="e">
        <f>AND(#REF!,"AAAAAHd/2+w=")</f>
        <v>#REF!</v>
      </c>
      <c r="ID106" t="e">
        <f>AND(#REF!,"AAAAAHd/2+0=")</f>
        <v>#REF!</v>
      </c>
      <c r="IE106" t="e">
        <f>AND(#REF!,"AAAAAHd/2+4=")</f>
        <v>#REF!</v>
      </c>
      <c r="IF106" t="e">
        <f>AND(#REF!,"AAAAAHd/2+8=")</f>
        <v>#REF!</v>
      </c>
      <c r="IG106" t="e">
        <f>IF(#REF!,"AAAAAHd/2/A=",0)</f>
        <v>#REF!</v>
      </c>
      <c r="IH106" t="e">
        <f>AND(#REF!,"AAAAAHd/2/E=")</f>
        <v>#REF!</v>
      </c>
      <c r="II106" t="e">
        <f>AND(#REF!,"AAAAAHd/2/I=")</f>
        <v>#REF!</v>
      </c>
      <c r="IJ106" t="e">
        <f>AND(#REF!,"AAAAAHd/2/M=")</f>
        <v>#REF!</v>
      </c>
      <c r="IK106" t="e">
        <f>AND(#REF!,"AAAAAHd/2/Q=")</f>
        <v>#REF!</v>
      </c>
      <c r="IL106" t="e">
        <f>AND(#REF!,"AAAAAHd/2/U=")</f>
        <v>#REF!</v>
      </c>
      <c r="IM106" t="e">
        <f>AND(#REF!,"AAAAAHd/2/Y=")</f>
        <v>#REF!</v>
      </c>
      <c r="IN106" t="e">
        <f>AND(#REF!,"AAAAAHd/2/c=")</f>
        <v>#REF!</v>
      </c>
      <c r="IO106" t="e">
        <f>AND(#REF!,"AAAAAHd/2/g=")</f>
        <v>#REF!</v>
      </c>
      <c r="IP106" t="e">
        <f>AND(#REF!,"AAAAAHd/2/k=")</f>
        <v>#REF!</v>
      </c>
      <c r="IQ106" t="e">
        <f>AND(#REF!,"AAAAAHd/2/o=")</f>
        <v>#REF!</v>
      </c>
      <c r="IR106" t="e">
        <f>IF(#REF!,"AAAAAHd/2/s=",0)</f>
        <v>#REF!</v>
      </c>
      <c r="IS106" t="e">
        <f>AND(#REF!,"AAAAAHd/2/w=")</f>
        <v>#REF!</v>
      </c>
      <c r="IT106" t="e">
        <f>AND(#REF!,"AAAAAHd/2/0=")</f>
        <v>#REF!</v>
      </c>
      <c r="IU106" t="e">
        <f>AND(#REF!,"AAAAAHd/2/4=")</f>
        <v>#REF!</v>
      </c>
      <c r="IV106" t="e">
        <f>AND(#REF!,"AAAAAHd/2/8=")</f>
        <v>#REF!</v>
      </c>
    </row>
    <row r="107" spans="1:256" x14ac:dyDescent="0.25">
      <c r="A107" t="e">
        <f>AND(#REF!,"AAAAAFf/qQA=")</f>
        <v>#REF!</v>
      </c>
      <c r="B107" t="e">
        <f>AND(#REF!,"AAAAAFf/qQE=")</f>
        <v>#REF!</v>
      </c>
      <c r="C107" t="e">
        <f>AND(#REF!,"AAAAAFf/qQI=")</f>
        <v>#REF!</v>
      </c>
      <c r="D107" t="e">
        <f>AND(#REF!,"AAAAAFf/qQM=")</f>
        <v>#REF!</v>
      </c>
      <c r="E107" t="e">
        <f>AND(#REF!,"AAAAAFf/qQQ=")</f>
        <v>#REF!</v>
      </c>
      <c r="F107" t="e">
        <f>AND(#REF!,"AAAAAFf/qQU=")</f>
        <v>#REF!</v>
      </c>
      <c r="G107" t="e">
        <f>IF(#REF!,"AAAAAFf/qQY=",0)</f>
        <v>#REF!</v>
      </c>
      <c r="H107" t="e">
        <f>AND(#REF!,"AAAAAFf/qQc=")</f>
        <v>#REF!</v>
      </c>
      <c r="I107" t="e">
        <f>AND(#REF!,"AAAAAFf/qQg=")</f>
        <v>#REF!</v>
      </c>
      <c r="J107" t="e">
        <f>AND(#REF!,"AAAAAFf/qQk=")</f>
        <v>#REF!</v>
      </c>
      <c r="K107" t="e">
        <f>AND(#REF!,"AAAAAFf/qQo=")</f>
        <v>#REF!</v>
      </c>
      <c r="L107" t="e">
        <f>AND(#REF!,"AAAAAFf/qQs=")</f>
        <v>#REF!</v>
      </c>
      <c r="M107" t="e">
        <f>AND(#REF!,"AAAAAFf/qQw=")</f>
        <v>#REF!</v>
      </c>
      <c r="N107" t="e">
        <f>AND(#REF!,"AAAAAFf/qQ0=")</f>
        <v>#REF!</v>
      </c>
      <c r="O107" t="e">
        <f>AND(#REF!,"AAAAAFf/qQ4=")</f>
        <v>#REF!</v>
      </c>
      <c r="P107" t="e">
        <f>AND(#REF!,"AAAAAFf/qQ8=")</f>
        <v>#REF!</v>
      </c>
      <c r="Q107" t="e">
        <f>AND(#REF!,"AAAAAFf/qRA=")</f>
        <v>#REF!</v>
      </c>
      <c r="R107" t="e">
        <f>IF(#REF!,"AAAAAFf/qRE=",0)</f>
        <v>#REF!</v>
      </c>
      <c r="S107" t="e">
        <f>AND(#REF!,"AAAAAFf/qRI=")</f>
        <v>#REF!</v>
      </c>
      <c r="T107" t="e">
        <f>AND(#REF!,"AAAAAFf/qRM=")</f>
        <v>#REF!</v>
      </c>
      <c r="U107" t="e">
        <f>AND(#REF!,"AAAAAFf/qRQ=")</f>
        <v>#REF!</v>
      </c>
      <c r="V107" t="e">
        <f>AND(#REF!,"AAAAAFf/qRU=")</f>
        <v>#REF!</v>
      </c>
      <c r="W107" t="e">
        <f>AND(#REF!,"AAAAAFf/qRY=")</f>
        <v>#REF!</v>
      </c>
      <c r="X107" t="e">
        <f>AND(#REF!,"AAAAAFf/qRc=")</f>
        <v>#REF!</v>
      </c>
      <c r="Y107" t="e">
        <f>AND(#REF!,"AAAAAFf/qRg=")</f>
        <v>#REF!</v>
      </c>
      <c r="Z107" t="e">
        <f>AND(#REF!,"AAAAAFf/qRk=")</f>
        <v>#REF!</v>
      </c>
      <c r="AA107" t="e">
        <f>AND(#REF!,"AAAAAFf/qRo=")</f>
        <v>#REF!</v>
      </c>
      <c r="AB107" t="e">
        <f>AND(#REF!,"AAAAAFf/qRs=")</f>
        <v>#REF!</v>
      </c>
      <c r="AC107" t="e">
        <f>IF(#REF!,"AAAAAFf/qRw=",0)</f>
        <v>#REF!</v>
      </c>
      <c r="AD107" t="e">
        <f>AND(#REF!,"AAAAAFf/qR0=")</f>
        <v>#REF!</v>
      </c>
      <c r="AE107" t="e">
        <f>AND(#REF!,"AAAAAFf/qR4=")</f>
        <v>#REF!</v>
      </c>
      <c r="AF107" t="e">
        <f>AND(#REF!,"AAAAAFf/qR8=")</f>
        <v>#REF!</v>
      </c>
      <c r="AG107" t="e">
        <f>AND(#REF!,"AAAAAFf/qSA=")</f>
        <v>#REF!</v>
      </c>
      <c r="AH107" t="e">
        <f>AND(#REF!,"AAAAAFf/qSE=")</f>
        <v>#REF!</v>
      </c>
      <c r="AI107" t="e">
        <f>AND(#REF!,"AAAAAFf/qSI=")</f>
        <v>#REF!</v>
      </c>
      <c r="AJ107" t="e">
        <f>AND(#REF!,"AAAAAFf/qSM=")</f>
        <v>#REF!</v>
      </c>
      <c r="AK107" t="e">
        <f>AND(#REF!,"AAAAAFf/qSQ=")</f>
        <v>#REF!</v>
      </c>
      <c r="AL107" t="e">
        <f>AND(#REF!,"AAAAAFf/qSU=")</f>
        <v>#REF!</v>
      </c>
      <c r="AM107" t="e">
        <f>AND(#REF!,"AAAAAFf/qSY=")</f>
        <v>#REF!</v>
      </c>
      <c r="AN107" t="e">
        <f>IF(#REF!,"AAAAAFf/qSc=",0)</f>
        <v>#REF!</v>
      </c>
      <c r="AO107" t="e">
        <f>AND(#REF!,"AAAAAFf/qSg=")</f>
        <v>#REF!</v>
      </c>
      <c r="AP107" t="e">
        <f>AND(#REF!,"AAAAAFf/qSk=")</f>
        <v>#REF!</v>
      </c>
      <c r="AQ107" t="e">
        <f>AND(#REF!,"AAAAAFf/qSo=")</f>
        <v>#REF!</v>
      </c>
      <c r="AR107" t="e">
        <f>AND(#REF!,"AAAAAFf/qSs=")</f>
        <v>#REF!</v>
      </c>
      <c r="AS107" t="e">
        <f>AND(#REF!,"AAAAAFf/qSw=")</f>
        <v>#REF!</v>
      </c>
      <c r="AT107" t="e">
        <f>AND(#REF!,"AAAAAFf/qS0=")</f>
        <v>#REF!</v>
      </c>
      <c r="AU107" t="e">
        <f>AND(#REF!,"AAAAAFf/qS4=")</f>
        <v>#REF!</v>
      </c>
      <c r="AV107" t="e">
        <f>AND(#REF!,"AAAAAFf/qS8=")</f>
        <v>#REF!</v>
      </c>
      <c r="AW107" t="e">
        <f>AND(#REF!,"AAAAAFf/qTA=")</f>
        <v>#REF!</v>
      </c>
      <c r="AX107" t="e">
        <f>AND(#REF!,"AAAAAFf/qTE=")</f>
        <v>#REF!</v>
      </c>
      <c r="AY107" t="e">
        <f>IF(#REF!,"AAAAAFf/qTI=",0)</f>
        <v>#REF!</v>
      </c>
      <c r="AZ107" t="e">
        <f>AND(#REF!,"AAAAAFf/qTM=")</f>
        <v>#REF!</v>
      </c>
      <c r="BA107" t="e">
        <f>AND(#REF!,"AAAAAFf/qTQ=")</f>
        <v>#REF!</v>
      </c>
      <c r="BB107" t="e">
        <f>AND(#REF!,"AAAAAFf/qTU=")</f>
        <v>#REF!</v>
      </c>
      <c r="BC107" t="e">
        <f>AND(#REF!,"AAAAAFf/qTY=")</f>
        <v>#REF!</v>
      </c>
      <c r="BD107" t="e">
        <f>AND(#REF!,"AAAAAFf/qTc=")</f>
        <v>#REF!</v>
      </c>
      <c r="BE107" t="e">
        <f>AND(#REF!,"AAAAAFf/qTg=")</f>
        <v>#REF!</v>
      </c>
      <c r="BF107" t="e">
        <f>AND(#REF!,"AAAAAFf/qTk=")</f>
        <v>#REF!</v>
      </c>
      <c r="BG107" t="e">
        <f>AND(#REF!,"AAAAAFf/qTo=")</f>
        <v>#REF!</v>
      </c>
      <c r="BH107" t="e">
        <f>AND(#REF!,"AAAAAFf/qTs=")</f>
        <v>#REF!</v>
      </c>
      <c r="BI107" t="e">
        <f>AND(#REF!,"AAAAAFf/qTw=")</f>
        <v>#REF!</v>
      </c>
      <c r="BJ107" t="e">
        <f>IF(#REF!,"AAAAAFf/qT0=",0)</f>
        <v>#REF!</v>
      </c>
      <c r="BK107" t="e">
        <f>AND(#REF!,"AAAAAFf/qT4=")</f>
        <v>#REF!</v>
      </c>
      <c r="BL107" t="e">
        <f>AND(#REF!,"AAAAAFf/qT8=")</f>
        <v>#REF!</v>
      </c>
      <c r="BM107" t="e">
        <f>AND(#REF!,"AAAAAFf/qUA=")</f>
        <v>#REF!</v>
      </c>
      <c r="BN107" t="e">
        <f>AND(#REF!,"AAAAAFf/qUE=")</f>
        <v>#REF!</v>
      </c>
      <c r="BO107" t="e">
        <f>AND(#REF!,"AAAAAFf/qUI=")</f>
        <v>#REF!</v>
      </c>
      <c r="BP107" t="e">
        <f>AND(#REF!,"AAAAAFf/qUM=")</f>
        <v>#REF!</v>
      </c>
      <c r="BQ107" t="e">
        <f>AND(#REF!,"AAAAAFf/qUQ=")</f>
        <v>#REF!</v>
      </c>
      <c r="BR107" t="e">
        <f>AND(#REF!,"AAAAAFf/qUU=")</f>
        <v>#REF!</v>
      </c>
      <c r="BS107" t="e">
        <f>AND(#REF!,"AAAAAFf/qUY=")</f>
        <v>#REF!</v>
      </c>
      <c r="BT107" t="e">
        <f>AND(#REF!,"AAAAAFf/qUc=")</f>
        <v>#REF!</v>
      </c>
      <c r="BU107" t="e">
        <f>IF(#REF!,"AAAAAFf/qUg=",0)</f>
        <v>#REF!</v>
      </c>
      <c r="BV107" t="e">
        <f>AND(#REF!,"AAAAAFf/qUk=")</f>
        <v>#REF!</v>
      </c>
      <c r="BW107" t="e">
        <f>AND(#REF!,"AAAAAFf/qUo=")</f>
        <v>#REF!</v>
      </c>
      <c r="BX107" t="e">
        <f>AND(#REF!,"AAAAAFf/qUs=")</f>
        <v>#REF!</v>
      </c>
      <c r="BY107" t="e">
        <f>AND(#REF!,"AAAAAFf/qUw=")</f>
        <v>#REF!</v>
      </c>
      <c r="BZ107" t="e">
        <f>AND(#REF!,"AAAAAFf/qU0=")</f>
        <v>#REF!</v>
      </c>
      <c r="CA107" t="e">
        <f>AND(#REF!,"AAAAAFf/qU4=")</f>
        <v>#REF!</v>
      </c>
      <c r="CB107" t="e">
        <f>AND(#REF!,"AAAAAFf/qU8=")</f>
        <v>#REF!</v>
      </c>
      <c r="CC107" t="e">
        <f>AND(#REF!,"AAAAAFf/qVA=")</f>
        <v>#REF!</v>
      </c>
      <c r="CD107" t="e">
        <f>AND(#REF!,"AAAAAFf/qVE=")</f>
        <v>#REF!</v>
      </c>
      <c r="CE107" t="e">
        <f>AND(#REF!,"AAAAAFf/qVI=")</f>
        <v>#REF!</v>
      </c>
      <c r="CF107" t="e">
        <f>IF(#REF!,"AAAAAFf/qVM=",0)</f>
        <v>#REF!</v>
      </c>
      <c r="CG107" t="e">
        <f>AND(#REF!,"AAAAAFf/qVQ=")</f>
        <v>#REF!</v>
      </c>
      <c r="CH107" t="e">
        <f>AND(#REF!,"AAAAAFf/qVU=")</f>
        <v>#REF!</v>
      </c>
      <c r="CI107" t="e">
        <f>AND(#REF!,"AAAAAFf/qVY=")</f>
        <v>#REF!</v>
      </c>
      <c r="CJ107" t="e">
        <f>AND(#REF!,"AAAAAFf/qVc=")</f>
        <v>#REF!</v>
      </c>
      <c r="CK107" t="e">
        <f>AND(#REF!,"AAAAAFf/qVg=")</f>
        <v>#REF!</v>
      </c>
      <c r="CL107" t="e">
        <f>AND(#REF!,"AAAAAFf/qVk=")</f>
        <v>#REF!</v>
      </c>
      <c r="CM107" t="e">
        <f>AND(#REF!,"AAAAAFf/qVo=")</f>
        <v>#REF!</v>
      </c>
      <c r="CN107" t="e">
        <f>AND(#REF!,"AAAAAFf/qVs=")</f>
        <v>#REF!</v>
      </c>
      <c r="CO107" t="e">
        <f>AND(#REF!,"AAAAAFf/qVw=")</f>
        <v>#REF!</v>
      </c>
      <c r="CP107" t="e">
        <f>AND(#REF!,"AAAAAFf/qV0=")</f>
        <v>#REF!</v>
      </c>
      <c r="CQ107" t="e">
        <f>IF(#REF!,"AAAAAFf/qV4=",0)</f>
        <v>#REF!</v>
      </c>
      <c r="CR107" t="e">
        <f>AND(#REF!,"AAAAAFf/qV8=")</f>
        <v>#REF!</v>
      </c>
      <c r="CS107" t="e">
        <f>AND(#REF!,"AAAAAFf/qWA=")</f>
        <v>#REF!</v>
      </c>
      <c r="CT107" t="e">
        <f>AND(#REF!,"AAAAAFf/qWE=")</f>
        <v>#REF!</v>
      </c>
      <c r="CU107" t="e">
        <f>AND(#REF!,"AAAAAFf/qWI=")</f>
        <v>#REF!</v>
      </c>
      <c r="CV107" t="e">
        <f>AND(#REF!,"AAAAAFf/qWM=")</f>
        <v>#REF!</v>
      </c>
      <c r="CW107" t="e">
        <f>AND(#REF!,"AAAAAFf/qWQ=")</f>
        <v>#REF!</v>
      </c>
      <c r="CX107" t="e">
        <f>AND(#REF!,"AAAAAFf/qWU=")</f>
        <v>#REF!</v>
      </c>
      <c r="CY107" t="e">
        <f>AND(#REF!,"AAAAAFf/qWY=")</f>
        <v>#REF!</v>
      </c>
      <c r="CZ107" t="e">
        <f>AND(#REF!,"AAAAAFf/qWc=")</f>
        <v>#REF!</v>
      </c>
      <c r="DA107" t="e">
        <f>AND(#REF!,"AAAAAFf/qWg=")</f>
        <v>#REF!</v>
      </c>
      <c r="DB107" t="e">
        <f>IF(#REF!,"AAAAAFf/qWk=",0)</f>
        <v>#REF!</v>
      </c>
      <c r="DC107" t="e">
        <f>AND(#REF!,"AAAAAFf/qWo=")</f>
        <v>#REF!</v>
      </c>
      <c r="DD107" t="e">
        <f>AND(#REF!,"AAAAAFf/qWs=")</f>
        <v>#REF!</v>
      </c>
      <c r="DE107" t="e">
        <f>AND(#REF!,"AAAAAFf/qWw=")</f>
        <v>#REF!</v>
      </c>
      <c r="DF107" t="e">
        <f>AND(#REF!,"AAAAAFf/qW0=")</f>
        <v>#REF!</v>
      </c>
      <c r="DG107" t="e">
        <f>AND(#REF!,"AAAAAFf/qW4=")</f>
        <v>#REF!</v>
      </c>
      <c r="DH107" t="e">
        <f>AND(#REF!,"AAAAAFf/qW8=")</f>
        <v>#REF!</v>
      </c>
      <c r="DI107" t="e">
        <f>AND(#REF!,"AAAAAFf/qXA=")</f>
        <v>#REF!</v>
      </c>
      <c r="DJ107" t="e">
        <f>AND(#REF!,"AAAAAFf/qXE=")</f>
        <v>#REF!</v>
      </c>
      <c r="DK107" t="e">
        <f>AND(#REF!,"AAAAAFf/qXI=")</f>
        <v>#REF!</v>
      </c>
      <c r="DL107" t="e">
        <f>AND(#REF!,"AAAAAFf/qXM=")</f>
        <v>#REF!</v>
      </c>
      <c r="DM107" t="e">
        <f>IF(#REF!,"AAAAAFf/qXQ=",0)</f>
        <v>#REF!</v>
      </c>
      <c r="DN107" t="e">
        <f>AND(#REF!,"AAAAAFf/qXU=")</f>
        <v>#REF!</v>
      </c>
      <c r="DO107" t="e">
        <f>AND(#REF!,"AAAAAFf/qXY=")</f>
        <v>#REF!</v>
      </c>
      <c r="DP107" t="e">
        <f>AND(#REF!,"AAAAAFf/qXc=")</f>
        <v>#REF!</v>
      </c>
      <c r="DQ107" t="e">
        <f>AND(#REF!,"AAAAAFf/qXg=")</f>
        <v>#REF!</v>
      </c>
      <c r="DR107" t="e">
        <f>AND(#REF!,"AAAAAFf/qXk=")</f>
        <v>#REF!</v>
      </c>
      <c r="DS107" t="e">
        <f>AND(#REF!,"AAAAAFf/qXo=")</f>
        <v>#REF!</v>
      </c>
      <c r="DT107" t="e">
        <f>AND(#REF!,"AAAAAFf/qXs=")</f>
        <v>#REF!</v>
      </c>
      <c r="DU107" t="e">
        <f>AND(#REF!,"AAAAAFf/qXw=")</f>
        <v>#REF!</v>
      </c>
      <c r="DV107" t="e">
        <f>AND(#REF!,"AAAAAFf/qX0=")</f>
        <v>#REF!</v>
      </c>
      <c r="DW107" t="e">
        <f>AND(#REF!,"AAAAAFf/qX4=")</f>
        <v>#REF!</v>
      </c>
      <c r="DX107" t="e">
        <f>IF(#REF!,"AAAAAFf/qX8=",0)</f>
        <v>#REF!</v>
      </c>
      <c r="DY107" t="e">
        <f>AND(#REF!,"AAAAAFf/qYA=")</f>
        <v>#REF!</v>
      </c>
      <c r="DZ107" t="e">
        <f>AND(#REF!,"AAAAAFf/qYE=")</f>
        <v>#REF!</v>
      </c>
      <c r="EA107" t="e">
        <f>AND(#REF!,"AAAAAFf/qYI=")</f>
        <v>#REF!</v>
      </c>
      <c r="EB107" t="e">
        <f>AND(#REF!,"AAAAAFf/qYM=")</f>
        <v>#REF!</v>
      </c>
      <c r="EC107" t="e">
        <f>AND(#REF!,"AAAAAFf/qYQ=")</f>
        <v>#REF!</v>
      </c>
      <c r="ED107" t="e">
        <f>AND(#REF!,"AAAAAFf/qYU=")</f>
        <v>#REF!</v>
      </c>
      <c r="EE107" t="e">
        <f>AND(#REF!,"AAAAAFf/qYY=")</f>
        <v>#REF!</v>
      </c>
      <c r="EF107" t="e">
        <f>AND(#REF!,"AAAAAFf/qYc=")</f>
        <v>#REF!</v>
      </c>
      <c r="EG107" t="e">
        <f>AND(#REF!,"AAAAAFf/qYg=")</f>
        <v>#REF!</v>
      </c>
      <c r="EH107" t="e">
        <f>AND(#REF!,"AAAAAFf/qYk=")</f>
        <v>#REF!</v>
      </c>
      <c r="EI107" t="e">
        <f>IF(#REF!,"AAAAAFf/qYo=",0)</f>
        <v>#REF!</v>
      </c>
      <c r="EJ107" t="e">
        <f>AND(#REF!,"AAAAAFf/qYs=")</f>
        <v>#REF!</v>
      </c>
      <c r="EK107" t="e">
        <f>AND(#REF!,"AAAAAFf/qYw=")</f>
        <v>#REF!</v>
      </c>
      <c r="EL107" t="e">
        <f>AND(#REF!,"AAAAAFf/qY0=")</f>
        <v>#REF!</v>
      </c>
      <c r="EM107" t="e">
        <f>AND(#REF!,"AAAAAFf/qY4=")</f>
        <v>#REF!</v>
      </c>
      <c r="EN107" t="e">
        <f>AND(#REF!,"AAAAAFf/qY8=")</f>
        <v>#REF!</v>
      </c>
      <c r="EO107" t="e">
        <f>AND(#REF!,"AAAAAFf/qZA=")</f>
        <v>#REF!</v>
      </c>
      <c r="EP107" t="e">
        <f>AND(#REF!,"AAAAAFf/qZE=")</f>
        <v>#REF!</v>
      </c>
      <c r="EQ107" t="e">
        <f>AND(#REF!,"AAAAAFf/qZI=")</f>
        <v>#REF!</v>
      </c>
      <c r="ER107" t="e">
        <f>AND(#REF!,"AAAAAFf/qZM=")</f>
        <v>#REF!</v>
      </c>
      <c r="ES107" t="e">
        <f>AND(#REF!,"AAAAAFf/qZQ=")</f>
        <v>#REF!</v>
      </c>
      <c r="ET107" t="e">
        <f>IF(#REF!,"AAAAAFf/qZU=",0)</f>
        <v>#REF!</v>
      </c>
      <c r="EU107" t="e">
        <f>AND(#REF!,"AAAAAFf/qZY=")</f>
        <v>#REF!</v>
      </c>
      <c r="EV107" t="e">
        <f>AND(#REF!,"AAAAAFf/qZc=")</f>
        <v>#REF!</v>
      </c>
      <c r="EW107" t="e">
        <f>AND(#REF!,"AAAAAFf/qZg=")</f>
        <v>#REF!</v>
      </c>
      <c r="EX107" t="e">
        <f>AND(#REF!,"AAAAAFf/qZk=")</f>
        <v>#REF!</v>
      </c>
      <c r="EY107" t="e">
        <f>AND(#REF!,"AAAAAFf/qZo=")</f>
        <v>#REF!</v>
      </c>
      <c r="EZ107" t="e">
        <f>AND(#REF!,"AAAAAFf/qZs=")</f>
        <v>#REF!</v>
      </c>
      <c r="FA107" t="e">
        <f>AND(#REF!,"AAAAAFf/qZw=")</f>
        <v>#REF!</v>
      </c>
      <c r="FB107" t="e">
        <f>AND(#REF!,"AAAAAFf/qZ0=")</f>
        <v>#REF!</v>
      </c>
      <c r="FC107" t="e">
        <f>AND(#REF!,"AAAAAFf/qZ4=")</f>
        <v>#REF!</v>
      </c>
      <c r="FD107" t="e">
        <f>AND(#REF!,"AAAAAFf/qZ8=")</f>
        <v>#REF!</v>
      </c>
      <c r="FE107" t="e">
        <f>IF(#REF!,"AAAAAFf/qaA=",0)</f>
        <v>#REF!</v>
      </c>
      <c r="FF107" t="e">
        <f>AND(#REF!,"AAAAAFf/qaE=")</f>
        <v>#REF!</v>
      </c>
      <c r="FG107" t="e">
        <f>AND(#REF!,"AAAAAFf/qaI=")</f>
        <v>#REF!</v>
      </c>
      <c r="FH107" t="e">
        <f>AND(#REF!,"AAAAAFf/qaM=")</f>
        <v>#REF!</v>
      </c>
      <c r="FI107" t="e">
        <f>AND(#REF!,"AAAAAFf/qaQ=")</f>
        <v>#REF!</v>
      </c>
      <c r="FJ107" t="e">
        <f>AND(#REF!,"AAAAAFf/qaU=")</f>
        <v>#REF!</v>
      </c>
      <c r="FK107" t="e">
        <f>AND(#REF!,"AAAAAFf/qaY=")</f>
        <v>#REF!</v>
      </c>
      <c r="FL107" t="e">
        <f>AND(#REF!,"AAAAAFf/qac=")</f>
        <v>#REF!</v>
      </c>
      <c r="FM107" t="e">
        <f>AND(#REF!,"AAAAAFf/qag=")</f>
        <v>#REF!</v>
      </c>
      <c r="FN107" t="e">
        <f>AND(#REF!,"AAAAAFf/qak=")</f>
        <v>#REF!</v>
      </c>
      <c r="FO107" t="e">
        <f>AND(#REF!,"AAAAAFf/qao=")</f>
        <v>#REF!</v>
      </c>
      <c r="FP107" t="e">
        <f>IF(#REF!,"AAAAAFf/qas=",0)</f>
        <v>#REF!</v>
      </c>
      <c r="FQ107" t="e">
        <f>AND(#REF!,"AAAAAFf/qaw=")</f>
        <v>#REF!</v>
      </c>
      <c r="FR107" t="e">
        <f>AND(#REF!,"AAAAAFf/qa0=")</f>
        <v>#REF!</v>
      </c>
      <c r="FS107" t="e">
        <f>AND(#REF!,"AAAAAFf/qa4=")</f>
        <v>#REF!</v>
      </c>
      <c r="FT107" t="e">
        <f>AND(#REF!,"AAAAAFf/qa8=")</f>
        <v>#REF!</v>
      </c>
      <c r="FU107" t="e">
        <f>AND(#REF!,"AAAAAFf/qbA=")</f>
        <v>#REF!</v>
      </c>
      <c r="FV107" t="e">
        <f>AND(#REF!,"AAAAAFf/qbE=")</f>
        <v>#REF!</v>
      </c>
      <c r="FW107" t="e">
        <f>AND(#REF!,"AAAAAFf/qbI=")</f>
        <v>#REF!</v>
      </c>
      <c r="FX107" t="e">
        <f>AND(#REF!,"AAAAAFf/qbM=")</f>
        <v>#REF!</v>
      </c>
      <c r="FY107" t="e">
        <f>AND(#REF!,"AAAAAFf/qbQ=")</f>
        <v>#REF!</v>
      </c>
      <c r="FZ107" t="e">
        <f>AND(#REF!,"AAAAAFf/qbU=")</f>
        <v>#REF!</v>
      </c>
      <c r="GA107" t="e">
        <f>IF(#REF!,"AAAAAFf/qbY=",0)</f>
        <v>#REF!</v>
      </c>
      <c r="GB107" t="e">
        <f>AND(#REF!,"AAAAAFf/qbc=")</f>
        <v>#REF!</v>
      </c>
      <c r="GC107" t="e">
        <f>AND(#REF!,"AAAAAFf/qbg=")</f>
        <v>#REF!</v>
      </c>
      <c r="GD107" t="e">
        <f>AND(#REF!,"AAAAAFf/qbk=")</f>
        <v>#REF!</v>
      </c>
      <c r="GE107" t="e">
        <f>AND(#REF!,"AAAAAFf/qbo=")</f>
        <v>#REF!</v>
      </c>
      <c r="GF107" t="e">
        <f>AND(#REF!,"AAAAAFf/qbs=")</f>
        <v>#REF!</v>
      </c>
      <c r="GG107" t="e">
        <f>AND(#REF!,"AAAAAFf/qbw=")</f>
        <v>#REF!</v>
      </c>
      <c r="GH107" t="e">
        <f>AND(#REF!,"AAAAAFf/qb0=")</f>
        <v>#REF!</v>
      </c>
      <c r="GI107" t="e">
        <f>AND(#REF!,"AAAAAFf/qb4=")</f>
        <v>#REF!</v>
      </c>
      <c r="GJ107" t="e">
        <f>AND(#REF!,"AAAAAFf/qb8=")</f>
        <v>#REF!</v>
      </c>
      <c r="GK107" t="e">
        <f>AND(#REF!,"AAAAAFf/qcA=")</f>
        <v>#REF!</v>
      </c>
      <c r="GL107" t="e">
        <f>IF(#REF!,"AAAAAFf/qcE=",0)</f>
        <v>#REF!</v>
      </c>
      <c r="GM107" t="e">
        <f>AND(#REF!,"AAAAAFf/qcI=")</f>
        <v>#REF!</v>
      </c>
      <c r="GN107" t="e">
        <f>AND(#REF!,"AAAAAFf/qcM=")</f>
        <v>#REF!</v>
      </c>
      <c r="GO107" t="e">
        <f>AND(#REF!,"AAAAAFf/qcQ=")</f>
        <v>#REF!</v>
      </c>
      <c r="GP107" t="e">
        <f>AND(#REF!,"AAAAAFf/qcU=")</f>
        <v>#REF!</v>
      </c>
      <c r="GQ107" t="e">
        <f>AND(#REF!,"AAAAAFf/qcY=")</f>
        <v>#REF!</v>
      </c>
      <c r="GR107" t="e">
        <f>AND(#REF!,"AAAAAFf/qcc=")</f>
        <v>#REF!</v>
      </c>
      <c r="GS107" t="e">
        <f>AND(#REF!,"AAAAAFf/qcg=")</f>
        <v>#REF!</v>
      </c>
      <c r="GT107" t="e">
        <f>AND(#REF!,"AAAAAFf/qck=")</f>
        <v>#REF!</v>
      </c>
      <c r="GU107" t="e">
        <f>AND(#REF!,"AAAAAFf/qco=")</f>
        <v>#REF!</v>
      </c>
      <c r="GV107" t="e">
        <f>AND(#REF!,"AAAAAFf/qcs=")</f>
        <v>#REF!</v>
      </c>
      <c r="GW107" t="e">
        <f>IF(#REF!,"AAAAAFf/qcw=",0)</f>
        <v>#REF!</v>
      </c>
      <c r="GX107" t="e">
        <f>AND(#REF!,"AAAAAFf/qc0=")</f>
        <v>#REF!</v>
      </c>
      <c r="GY107" t="e">
        <f>AND(#REF!,"AAAAAFf/qc4=")</f>
        <v>#REF!</v>
      </c>
      <c r="GZ107" t="e">
        <f>AND(#REF!,"AAAAAFf/qc8=")</f>
        <v>#REF!</v>
      </c>
      <c r="HA107" t="e">
        <f>AND(#REF!,"AAAAAFf/qdA=")</f>
        <v>#REF!</v>
      </c>
      <c r="HB107" t="e">
        <f>AND(#REF!,"AAAAAFf/qdE=")</f>
        <v>#REF!</v>
      </c>
      <c r="HC107" t="e">
        <f>AND(#REF!,"AAAAAFf/qdI=")</f>
        <v>#REF!</v>
      </c>
      <c r="HD107" t="e">
        <f>AND(#REF!,"AAAAAFf/qdM=")</f>
        <v>#REF!</v>
      </c>
      <c r="HE107" t="e">
        <f>AND(#REF!,"AAAAAFf/qdQ=")</f>
        <v>#REF!</v>
      </c>
      <c r="HF107" t="e">
        <f>AND(#REF!,"AAAAAFf/qdU=")</f>
        <v>#REF!</v>
      </c>
      <c r="HG107" t="e">
        <f>AND(#REF!,"AAAAAFf/qdY=")</f>
        <v>#REF!</v>
      </c>
      <c r="HH107" t="e">
        <f>IF(#REF!,"AAAAAFf/qdc=",0)</f>
        <v>#REF!</v>
      </c>
      <c r="HI107" t="e">
        <f>AND(#REF!,"AAAAAFf/qdg=")</f>
        <v>#REF!</v>
      </c>
      <c r="HJ107" t="e">
        <f>AND(#REF!,"AAAAAFf/qdk=")</f>
        <v>#REF!</v>
      </c>
      <c r="HK107" t="e">
        <f>AND(#REF!,"AAAAAFf/qdo=")</f>
        <v>#REF!</v>
      </c>
      <c r="HL107" t="e">
        <f>AND(#REF!,"AAAAAFf/qds=")</f>
        <v>#REF!</v>
      </c>
      <c r="HM107" t="e">
        <f>AND(#REF!,"AAAAAFf/qdw=")</f>
        <v>#REF!</v>
      </c>
      <c r="HN107" t="e">
        <f>AND(#REF!,"AAAAAFf/qd0=")</f>
        <v>#REF!</v>
      </c>
      <c r="HO107" t="e">
        <f>AND(#REF!,"AAAAAFf/qd4=")</f>
        <v>#REF!</v>
      </c>
      <c r="HP107" t="e">
        <f>AND(#REF!,"AAAAAFf/qd8=")</f>
        <v>#REF!</v>
      </c>
      <c r="HQ107" t="e">
        <f>AND(#REF!,"AAAAAFf/qeA=")</f>
        <v>#REF!</v>
      </c>
      <c r="HR107" t="e">
        <f>AND(#REF!,"AAAAAFf/qeE=")</f>
        <v>#REF!</v>
      </c>
      <c r="HS107" t="e">
        <f>IF(#REF!,"AAAAAFf/qeI=",0)</f>
        <v>#REF!</v>
      </c>
      <c r="HT107" t="e">
        <f>AND(#REF!,"AAAAAFf/qeM=")</f>
        <v>#REF!</v>
      </c>
      <c r="HU107" t="e">
        <f>AND(#REF!,"AAAAAFf/qeQ=")</f>
        <v>#REF!</v>
      </c>
      <c r="HV107" t="e">
        <f>AND(#REF!,"AAAAAFf/qeU=")</f>
        <v>#REF!</v>
      </c>
      <c r="HW107" t="e">
        <f>AND(#REF!,"AAAAAFf/qeY=")</f>
        <v>#REF!</v>
      </c>
      <c r="HX107" t="e">
        <f>AND(#REF!,"AAAAAFf/qec=")</f>
        <v>#REF!</v>
      </c>
      <c r="HY107" t="e">
        <f>AND(#REF!,"AAAAAFf/qeg=")</f>
        <v>#REF!</v>
      </c>
      <c r="HZ107" t="e">
        <f>AND(#REF!,"AAAAAFf/qek=")</f>
        <v>#REF!</v>
      </c>
      <c r="IA107" t="e">
        <f>AND(#REF!,"AAAAAFf/qeo=")</f>
        <v>#REF!</v>
      </c>
      <c r="IB107" t="e">
        <f>AND(#REF!,"AAAAAFf/qes=")</f>
        <v>#REF!</v>
      </c>
      <c r="IC107" t="e">
        <f>AND(#REF!,"AAAAAFf/qew=")</f>
        <v>#REF!</v>
      </c>
      <c r="ID107" t="e">
        <f>IF(#REF!,"AAAAAFf/qe0=",0)</f>
        <v>#REF!</v>
      </c>
      <c r="IE107" t="e">
        <f>AND(#REF!,"AAAAAFf/qe4=")</f>
        <v>#REF!</v>
      </c>
      <c r="IF107" t="e">
        <f>AND(#REF!,"AAAAAFf/qe8=")</f>
        <v>#REF!</v>
      </c>
      <c r="IG107" t="e">
        <f>AND(#REF!,"AAAAAFf/qfA=")</f>
        <v>#REF!</v>
      </c>
      <c r="IH107" t="e">
        <f>AND(#REF!,"AAAAAFf/qfE=")</f>
        <v>#REF!</v>
      </c>
      <c r="II107" t="e">
        <f>AND(#REF!,"AAAAAFf/qfI=")</f>
        <v>#REF!</v>
      </c>
      <c r="IJ107" t="e">
        <f>AND(#REF!,"AAAAAFf/qfM=")</f>
        <v>#REF!</v>
      </c>
      <c r="IK107" t="e">
        <f>AND(#REF!,"AAAAAFf/qfQ=")</f>
        <v>#REF!</v>
      </c>
      <c r="IL107" t="e">
        <f>AND(#REF!,"AAAAAFf/qfU=")</f>
        <v>#REF!</v>
      </c>
      <c r="IM107" t="e">
        <f>AND(#REF!,"AAAAAFf/qfY=")</f>
        <v>#REF!</v>
      </c>
      <c r="IN107" t="e">
        <f>AND(#REF!,"AAAAAFf/qfc=")</f>
        <v>#REF!</v>
      </c>
      <c r="IO107" t="e">
        <f>IF(#REF!,"AAAAAFf/qfg=",0)</f>
        <v>#REF!</v>
      </c>
      <c r="IP107" t="e">
        <f>AND(#REF!,"AAAAAFf/qfk=")</f>
        <v>#REF!</v>
      </c>
      <c r="IQ107" t="e">
        <f>AND(#REF!,"AAAAAFf/qfo=")</f>
        <v>#REF!</v>
      </c>
      <c r="IR107" t="e">
        <f>AND(#REF!,"AAAAAFf/qfs=")</f>
        <v>#REF!</v>
      </c>
      <c r="IS107" t="e">
        <f>AND(#REF!,"AAAAAFf/qfw=")</f>
        <v>#REF!</v>
      </c>
      <c r="IT107" t="e">
        <f>AND(#REF!,"AAAAAFf/qf0=")</f>
        <v>#REF!</v>
      </c>
      <c r="IU107" t="e">
        <f>AND(#REF!,"AAAAAFf/qf4=")</f>
        <v>#REF!</v>
      </c>
      <c r="IV107" t="e">
        <f>AND(#REF!,"AAAAAFf/qf8=")</f>
        <v>#REF!</v>
      </c>
    </row>
    <row r="108" spans="1:256" x14ac:dyDescent="0.25">
      <c r="A108" t="e">
        <f>AND(#REF!,"AAAAAHH7/wA=")</f>
        <v>#REF!</v>
      </c>
      <c r="B108" t="e">
        <f>AND(#REF!,"AAAAAHH7/wE=")</f>
        <v>#REF!</v>
      </c>
      <c r="C108" t="e">
        <f>AND(#REF!,"AAAAAHH7/wI=")</f>
        <v>#REF!</v>
      </c>
      <c r="D108" t="e">
        <f>IF(#REF!,"AAAAAHH7/wM=",0)</f>
        <v>#REF!</v>
      </c>
      <c r="E108" t="e">
        <f>AND(#REF!,"AAAAAHH7/wQ=")</f>
        <v>#REF!</v>
      </c>
      <c r="F108" t="e">
        <f>AND(#REF!,"AAAAAHH7/wU=")</f>
        <v>#REF!</v>
      </c>
      <c r="G108" t="e">
        <f>AND(#REF!,"AAAAAHH7/wY=")</f>
        <v>#REF!</v>
      </c>
      <c r="H108" t="e">
        <f>AND(#REF!,"AAAAAHH7/wc=")</f>
        <v>#REF!</v>
      </c>
      <c r="I108" t="e">
        <f>AND(#REF!,"AAAAAHH7/wg=")</f>
        <v>#REF!</v>
      </c>
      <c r="J108" t="e">
        <f>AND(#REF!,"AAAAAHH7/wk=")</f>
        <v>#REF!</v>
      </c>
      <c r="K108" t="e">
        <f>AND(#REF!,"AAAAAHH7/wo=")</f>
        <v>#REF!</v>
      </c>
      <c r="L108" t="e">
        <f>AND(#REF!,"AAAAAHH7/ws=")</f>
        <v>#REF!</v>
      </c>
      <c r="M108" t="e">
        <f>AND(#REF!,"AAAAAHH7/ww=")</f>
        <v>#REF!</v>
      </c>
      <c r="N108" t="e">
        <f>AND(#REF!,"AAAAAHH7/w0=")</f>
        <v>#REF!</v>
      </c>
      <c r="O108" t="e">
        <f>IF(#REF!,"AAAAAHH7/w4=",0)</f>
        <v>#REF!</v>
      </c>
      <c r="P108" t="e">
        <f>AND(#REF!,"AAAAAHH7/w8=")</f>
        <v>#REF!</v>
      </c>
      <c r="Q108" t="e">
        <f>AND(#REF!,"AAAAAHH7/xA=")</f>
        <v>#REF!</v>
      </c>
      <c r="R108" t="e">
        <f>AND(#REF!,"AAAAAHH7/xE=")</f>
        <v>#REF!</v>
      </c>
      <c r="S108" t="e">
        <f>AND(#REF!,"AAAAAHH7/xI=")</f>
        <v>#REF!</v>
      </c>
      <c r="T108" t="e">
        <f>AND(#REF!,"AAAAAHH7/xM=")</f>
        <v>#REF!</v>
      </c>
      <c r="U108" t="e">
        <f>AND(#REF!,"AAAAAHH7/xQ=")</f>
        <v>#REF!</v>
      </c>
      <c r="V108" t="e">
        <f>AND(#REF!,"AAAAAHH7/xU=")</f>
        <v>#REF!</v>
      </c>
      <c r="W108" t="e">
        <f>AND(#REF!,"AAAAAHH7/xY=")</f>
        <v>#REF!</v>
      </c>
      <c r="X108" t="e">
        <f>AND(#REF!,"AAAAAHH7/xc=")</f>
        <v>#REF!</v>
      </c>
      <c r="Y108" t="e">
        <f>AND(#REF!,"AAAAAHH7/xg=")</f>
        <v>#REF!</v>
      </c>
      <c r="Z108" t="e">
        <f>IF(#REF!,"AAAAAHH7/xk=",0)</f>
        <v>#REF!</v>
      </c>
      <c r="AA108" t="e">
        <f>AND(#REF!,"AAAAAHH7/xo=")</f>
        <v>#REF!</v>
      </c>
      <c r="AB108" t="e">
        <f>AND(#REF!,"AAAAAHH7/xs=")</f>
        <v>#REF!</v>
      </c>
      <c r="AC108" t="e">
        <f>AND(#REF!,"AAAAAHH7/xw=")</f>
        <v>#REF!</v>
      </c>
      <c r="AD108" t="e">
        <f>AND(#REF!,"AAAAAHH7/x0=")</f>
        <v>#REF!</v>
      </c>
      <c r="AE108" t="e">
        <f>AND(#REF!,"AAAAAHH7/x4=")</f>
        <v>#REF!</v>
      </c>
      <c r="AF108" t="e">
        <f>AND(#REF!,"AAAAAHH7/x8=")</f>
        <v>#REF!</v>
      </c>
      <c r="AG108" t="e">
        <f>AND(#REF!,"AAAAAHH7/yA=")</f>
        <v>#REF!</v>
      </c>
      <c r="AH108" t="e">
        <f>AND(#REF!,"AAAAAHH7/yE=")</f>
        <v>#REF!</v>
      </c>
      <c r="AI108" t="e">
        <f>AND(#REF!,"AAAAAHH7/yI=")</f>
        <v>#REF!</v>
      </c>
      <c r="AJ108" t="e">
        <f>AND(#REF!,"AAAAAHH7/yM=")</f>
        <v>#REF!</v>
      </c>
      <c r="AK108" t="e">
        <f>IF(#REF!,"AAAAAHH7/yQ=",0)</f>
        <v>#REF!</v>
      </c>
      <c r="AL108" t="e">
        <f>AND(#REF!,"AAAAAHH7/yU=")</f>
        <v>#REF!</v>
      </c>
      <c r="AM108" t="e">
        <f>AND(#REF!,"AAAAAHH7/yY=")</f>
        <v>#REF!</v>
      </c>
      <c r="AN108" t="e">
        <f>AND(#REF!,"AAAAAHH7/yc=")</f>
        <v>#REF!</v>
      </c>
      <c r="AO108" t="e">
        <f>AND(#REF!,"AAAAAHH7/yg=")</f>
        <v>#REF!</v>
      </c>
      <c r="AP108" t="e">
        <f>AND(#REF!,"AAAAAHH7/yk=")</f>
        <v>#REF!</v>
      </c>
      <c r="AQ108" t="e">
        <f>AND(#REF!,"AAAAAHH7/yo=")</f>
        <v>#REF!</v>
      </c>
      <c r="AR108" t="e">
        <f>AND(#REF!,"AAAAAHH7/ys=")</f>
        <v>#REF!</v>
      </c>
      <c r="AS108" t="e">
        <f>AND(#REF!,"AAAAAHH7/yw=")</f>
        <v>#REF!</v>
      </c>
      <c r="AT108" t="e">
        <f>AND(#REF!,"AAAAAHH7/y0=")</f>
        <v>#REF!</v>
      </c>
      <c r="AU108" t="e">
        <f>AND(#REF!,"AAAAAHH7/y4=")</f>
        <v>#REF!</v>
      </c>
      <c r="AV108" t="e">
        <f>IF(#REF!,"AAAAAHH7/y8=",0)</f>
        <v>#REF!</v>
      </c>
      <c r="AW108" t="e">
        <f>AND(#REF!,"AAAAAHH7/zA=")</f>
        <v>#REF!</v>
      </c>
      <c r="AX108" t="e">
        <f>AND(#REF!,"AAAAAHH7/zE=")</f>
        <v>#REF!</v>
      </c>
      <c r="AY108" t="e">
        <f>AND(#REF!,"AAAAAHH7/zI=")</f>
        <v>#REF!</v>
      </c>
      <c r="AZ108" t="e">
        <f>AND(#REF!,"AAAAAHH7/zM=")</f>
        <v>#REF!</v>
      </c>
      <c r="BA108" t="e">
        <f>AND(#REF!,"AAAAAHH7/zQ=")</f>
        <v>#REF!</v>
      </c>
      <c r="BB108" t="e">
        <f>AND(#REF!,"AAAAAHH7/zU=")</f>
        <v>#REF!</v>
      </c>
      <c r="BC108" t="e">
        <f>AND(#REF!,"AAAAAHH7/zY=")</f>
        <v>#REF!</v>
      </c>
      <c r="BD108" t="e">
        <f>AND(#REF!,"AAAAAHH7/zc=")</f>
        <v>#REF!</v>
      </c>
      <c r="BE108" t="e">
        <f>AND(#REF!,"AAAAAHH7/zg=")</f>
        <v>#REF!</v>
      </c>
      <c r="BF108" t="e">
        <f>AND(#REF!,"AAAAAHH7/zk=")</f>
        <v>#REF!</v>
      </c>
      <c r="BG108" t="e">
        <f>IF(#REF!,"AAAAAHH7/zo=",0)</f>
        <v>#REF!</v>
      </c>
      <c r="BH108" t="e">
        <f>AND(#REF!,"AAAAAHH7/zs=")</f>
        <v>#REF!</v>
      </c>
      <c r="BI108" t="e">
        <f>AND(#REF!,"AAAAAHH7/zw=")</f>
        <v>#REF!</v>
      </c>
      <c r="BJ108" t="e">
        <f>AND(#REF!,"AAAAAHH7/z0=")</f>
        <v>#REF!</v>
      </c>
      <c r="BK108" t="e">
        <f>AND(#REF!,"AAAAAHH7/z4=")</f>
        <v>#REF!</v>
      </c>
      <c r="BL108" t="e">
        <f>AND(#REF!,"AAAAAHH7/z8=")</f>
        <v>#REF!</v>
      </c>
      <c r="BM108" t="e">
        <f>AND(#REF!,"AAAAAHH7/0A=")</f>
        <v>#REF!</v>
      </c>
      <c r="BN108" t="e">
        <f>AND(#REF!,"AAAAAHH7/0E=")</f>
        <v>#REF!</v>
      </c>
      <c r="BO108" t="e">
        <f>AND(#REF!,"AAAAAHH7/0I=")</f>
        <v>#REF!</v>
      </c>
      <c r="BP108" t="e">
        <f>AND(#REF!,"AAAAAHH7/0M=")</f>
        <v>#REF!</v>
      </c>
      <c r="BQ108" t="e">
        <f>AND(#REF!,"AAAAAHH7/0Q=")</f>
        <v>#REF!</v>
      </c>
      <c r="BR108" t="e">
        <f>IF(#REF!,"AAAAAHH7/0U=",0)</f>
        <v>#REF!</v>
      </c>
      <c r="BS108" t="e">
        <f>AND(#REF!,"AAAAAHH7/0Y=")</f>
        <v>#REF!</v>
      </c>
      <c r="BT108" t="e">
        <f>AND(#REF!,"AAAAAHH7/0c=")</f>
        <v>#REF!</v>
      </c>
      <c r="BU108" t="e">
        <f>AND(#REF!,"AAAAAHH7/0g=")</f>
        <v>#REF!</v>
      </c>
      <c r="BV108" t="e">
        <f>AND(#REF!,"AAAAAHH7/0k=")</f>
        <v>#REF!</v>
      </c>
      <c r="BW108" t="e">
        <f>AND(#REF!,"AAAAAHH7/0o=")</f>
        <v>#REF!</v>
      </c>
      <c r="BX108" t="e">
        <f>AND(#REF!,"AAAAAHH7/0s=")</f>
        <v>#REF!</v>
      </c>
      <c r="BY108" t="e">
        <f>AND(#REF!,"AAAAAHH7/0w=")</f>
        <v>#REF!</v>
      </c>
      <c r="BZ108" t="e">
        <f>AND(#REF!,"AAAAAHH7/00=")</f>
        <v>#REF!</v>
      </c>
      <c r="CA108" t="e">
        <f>AND(#REF!,"AAAAAHH7/04=")</f>
        <v>#REF!</v>
      </c>
      <c r="CB108" t="e">
        <f>AND(#REF!,"AAAAAHH7/08=")</f>
        <v>#REF!</v>
      </c>
      <c r="CC108" t="e">
        <f>IF(#REF!,"AAAAAHH7/1A=",0)</f>
        <v>#REF!</v>
      </c>
      <c r="CD108" t="e">
        <f>AND(#REF!,"AAAAAHH7/1E=")</f>
        <v>#REF!</v>
      </c>
      <c r="CE108" t="e">
        <f>AND(#REF!,"AAAAAHH7/1I=")</f>
        <v>#REF!</v>
      </c>
      <c r="CF108" t="e">
        <f>AND(#REF!,"AAAAAHH7/1M=")</f>
        <v>#REF!</v>
      </c>
      <c r="CG108" t="e">
        <f>AND(#REF!,"AAAAAHH7/1Q=")</f>
        <v>#REF!</v>
      </c>
      <c r="CH108" t="e">
        <f>AND(#REF!,"AAAAAHH7/1U=")</f>
        <v>#REF!</v>
      </c>
      <c r="CI108" t="e">
        <f>AND(#REF!,"AAAAAHH7/1Y=")</f>
        <v>#REF!</v>
      </c>
      <c r="CJ108" t="e">
        <f>AND(#REF!,"AAAAAHH7/1c=")</f>
        <v>#REF!</v>
      </c>
      <c r="CK108" t="e">
        <f>AND(#REF!,"AAAAAHH7/1g=")</f>
        <v>#REF!</v>
      </c>
      <c r="CL108" t="e">
        <f>AND(#REF!,"AAAAAHH7/1k=")</f>
        <v>#REF!</v>
      </c>
      <c r="CM108" t="e">
        <f>AND(#REF!,"AAAAAHH7/1o=")</f>
        <v>#REF!</v>
      </c>
      <c r="CN108" t="e">
        <f>IF(#REF!,"AAAAAHH7/1s=",0)</f>
        <v>#REF!</v>
      </c>
      <c r="CO108" t="e">
        <f>AND(#REF!,"AAAAAHH7/1w=")</f>
        <v>#REF!</v>
      </c>
      <c r="CP108" t="e">
        <f>AND(#REF!,"AAAAAHH7/10=")</f>
        <v>#REF!</v>
      </c>
      <c r="CQ108" t="e">
        <f>AND(#REF!,"AAAAAHH7/14=")</f>
        <v>#REF!</v>
      </c>
      <c r="CR108" t="e">
        <f>AND(#REF!,"AAAAAHH7/18=")</f>
        <v>#REF!</v>
      </c>
      <c r="CS108" t="e">
        <f>AND(#REF!,"AAAAAHH7/2A=")</f>
        <v>#REF!</v>
      </c>
      <c r="CT108" t="e">
        <f>AND(#REF!,"AAAAAHH7/2E=")</f>
        <v>#REF!</v>
      </c>
      <c r="CU108" t="e">
        <f>AND(#REF!,"AAAAAHH7/2I=")</f>
        <v>#REF!</v>
      </c>
      <c r="CV108" t="e">
        <f>AND(#REF!,"AAAAAHH7/2M=")</f>
        <v>#REF!</v>
      </c>
      <c r="CW108" t="e">
        <f>AND(#REF!,"AAAAAHH7/2Q=")</f>
        <v>#REF!</v>
      </c>
      <c r="CX108" t="e">
        <f>AND(#REF!,"AAAAAHH7/2U=")</f>
        <v>#REF!</v>
      </c>
      <c r="CY108" t="e">
        <f>IF(#REF!,"AAAAAHH7/2Y=",0)</f>
        <v>#REF!</v>
      </c>
      <c r="CZ108" t="e">
        <f>AND(#REF!,"AAAAAHH7/2c=")</f>
        <v>#REF!</v>
      </c>
      <c r="DA108" t="e">
        <f>AND(#REF!,"AAAAAHH7/2g=")</f>
        <v>#REF!</v>
      </c>
      <c r="DB108" t="e">
        <f>AND(#REF!,"AAAAAHH7/2k=")</f>
        <v>#REF!</v>
      </c>
      <c r="DC108" t="e">
        <f>AND(#REF!,"AAAAAHH7/2o=")</f>
        <v>#REF!</v>
      </c>
      <c r="DD108" t="e">
        <f>AND(#REF!,"AAAAAHH7/2s=")</f>
        <v>#REF!</v>
      </c>
      <c r="DE108" t="e">
        <f>AND(#REF!,"AAAAAHH7/2w=")</f>
        <v>#REF!</v>
      </c>
      <c r="DF108" t="e">
        <f>AND(#REF!,"AAAAAHH7/20=")</f>
        <v>#REF!</v>
      </c>
      <c r="DG108" t="e">
        <f>AND(#REF!,"AAAAAHH7/24=")</f>
        <v>#REF!</v>
      </c>
      <c r="DH108" t="e">
        <f>AND(#REF!,"AAAAAHH7/28=")</f>
        <v>#REF!</v>
      </c>
      <c r="DI108" t="e">
        <f>AND(#REF!,"AAAAAHH7/3A=")</f>
        <v>#REF!</v>
      </c>
      <c r="DJ108" t="e">
        <f>IF(#REF!,"AAAAAHH7/3E=",0)</f>
        <v>#REF!</v>
      </c>
      <c r="DK108" t="e">
        <f>AND(#REF!,"AAAAAHH7/3I=")</f>
        <v>#REF!</v>
      </c>
      <c r="DL108" t="e">
        <f>AND(#REF!,"AAAAAHH7/3M=")</f>
        <v>#REF!</v>
      </c>
      <c r="DM108" t="e">
        <f>AND(#REF!,"AAAAAHH7/3Q=")</f>
        <v>#REF!</v>
      </c>
      <c r="DN108" t="e">
        <f>AND(#REF!,"AAAAAHH7/3U=")</f>
        <v>#REF!</v>
      </c>
      <c r="DO108" t="e">
        <f>AND(#REF!,"AAAAAHH7/3Y=")</f>
        <v>#REF!</v>
      </c>
      <c r="DP108" t="e">
        <f>AND(#REF!,"AAAAAHH7/3c=")</f>
        <v>#REF!</v>
      </c>
      <c r="DQ108" t="e">
        <f>AND(#REF!,"AAAAAHH7/3g=")</f>
        <v>#REF!</v>
      </c>
      <c r="DR108" t="e">
        <f>AND(#REF!,"AAAAAHH7/3k=")</f>
        <v>#REF!</v>
      </c>
      <c r="DS108" t="e">
        <f>AND(#REF!,"AAAAAHH7/3o=")</f>
        <v>#REF!</v>
      </c>
      <c r="DT108" t="e">
        <f>AND(#REF!,"AAAAAHH7/3s=")</f>
        <v>#REF!</v>
      </c>
      <c r="DU108" t="e">
        <f>IF(#REF!,"AAAAAHH7/3w=",0)</f>
        <v>#REF!</v>
      </c>
      <c r="DV108" t="e">
        <f>AND(#REF!,"AAAAAHH7/30=")</f>
        <v>#REF!</v>
      </c>
      <c r="DW108" t="e">
        <f>AND(#REF!,"AAAAAHH7/34=")</f>
        <v>#REF!</v>
      </c>
      <c r="DX108" t="e">
        <f>AND(#REF!,"AAAAAHH7/38=")</f>
        <v>#REF!</v>
      </c>
      <c r="DY108" t="e">
        <f>AND(#REF!,"AAAAAHH7/4A=")</f>
        <v>#REF!</v>
      </c>
      <c r="DZ108" t="e">
        <f>AND(#REF!,"AAAAAHH7/4E=")</f>
        <v>#REF!</v>
      </c>
      <c r="EA108" t="e">
        <f>AND(#REF!,"AAAAAHH7/4I=")</f>
        <v>#REF!</v>
      </c>
      <c r="EB108" t="e">
        <f>AND(#REF!,"AAAAAHH7/4M=")</f>
        <v>#REF!</v>
      </c>
      <c r="EC108" t="e">
        <f>AND(#REF!,"AAAAAHH7/4Q=")</f>
        <v>#REF!</v>
      </c>
      <c r="ED108" t="e">
        <f>AND(#REF!,"AAAAAHH7/4U=")</f>
        <v>#REF!</v>
      </c>
      <c r="EE108" t="e">
        <f>AND(#REF!,"AAAAAHH7/4Y=")</f>
        <v>#REF!</v>
      </c>
      <c r="EF108" t="e">
        <f>IF(#REF!,"AAAAAHH7/4c=",0)</f>
        <v>#REF!</v>
      </c>
      <c r="EG108" t="e">
        <f>AND(#REF!,"AAAAAHH7/4g=")</f>
        <v>#REF!</v>
      </c>
      <c r="EH108" t="e">
        <f>AND(#REF!,"AAAAAHH7/4k=")</f>
        <v>#REF!</v>
      </c>
      <c r="EI108" t="e">
        <f>AND(#REF!,"AAAAAHH7/4o=")</f>
        <v>#REF!</v>
      </c>
      <c r="EJ108" t="e">
        <f>AND(#REF!,"AAAAAHH7/4s=")</f>
        <v>#REF!</v>
      </c>
      <c r="EK108" t="e">
        <f>AND(#REF!,"AAAAAHH7/4w=")</f>
        <v>#REF!</v>
      </c>
      <c r="EL108" t="e">
        <f>AND(#REF!,"AAAAAHH7/40=")</f>
        <v>#REF!</v>
      </c>
      <c r="EM108" t="e">
        <f>AND(#REF!,"AAAAAHH7/44=")</f>
        <v>#REF!</v>
      </c>
      <c r="EN108" t="e">
        <f>AND(#REF!,"AAAAAHH7/48=")</f>
        <v>#REF!</v>
      </c>
      <c r="EO108" t="e">
        <f>AND(#REF!,"AAAAAHH7/5A=")</f>
        <v>#REF!</v>
      </c>
      <c r="EP108" t="e">
        <f>AND(#REF!,"AAAAAHH7/5E=")</f>
        <v>#REF!</v>
      </c>
      <c r="EQ108" t="e">
        <f>IF(#REF!,"AAAAAHH7/5I=",0)</f>
        <v>#REF!</v>
      </c>
      <c r="ER108" t="e">
        <f>AND(#REF!,"AAAAAHH7/5M=")</f>
        <v>#REF!</v>
      </c>
      <c r="ES108" t="e">
        <f>AND(#REF!,"AAAAAHH7/5Q=")</f>
        <v>#REF!</v>
      </c>
      <c r="ET108" t="e">
        <f>AND(#REF!,"AAAAAHH7/5U=")</f>
        <v>#REF!</v>
      </c>
      <c r="EU108" t="e">
        <f>AND(#REF!,"AAAAAHH7/5Y=")</f>
        <v>#REF!</v>
      </c>
      <c r="EV108" t="e">
        <f>AND(#REF!,"AAAAAHH7/5c=")</f>
        <v>#REF!</v>
      </c>
      <c r="EW108" t="e">
        <f>AND(#REF!,"AAAAAHH7/5g=")</f>
        <v>#REF!</v>
      </c>
      <c r="EX108" t="e">
        <f>AND(#REF!,"AAAAAHH7/5k=")</f>
        <v>#REF!</v>
      </c>
      <c r="EY108" t="e">
        <f>AND(#REF!,"AAAAAHH7/5o=")</f>
        <v>#REF!</v>
      </c>
      <c r="EZ108" t="e">
        <f>AND(#REF!,"AAAAAHH7/5s=")</f>
        <v>#REF!</v>
      </c>
      <c r="FA108" t="e">
        <f>AND(#REF!,"AAAAAHH7/5w=")</f>
        <v>#REF!</v>
      </c>
      <c r="FB108" t="e">
        <f>IF(#REF!,"AAAAAHH7/50=",0)</f>
        <v>#REF!</v>
      </c>
      <c r="FC108" t="e">
        <f>AND(#REF!,"AAAAAHH7/54=")</f>
        <v>#REF!</v>
      </c>
      <c r="FD108" t="e">
        <f>AND(#REF!,"AAAAAHH7/58=")</f>
        <v>#REF!</v>
      </c>
      <c r="FE108" t="e">
        <f>AND(#REF!,"AAAAAHH7/6A=")</f>
        <v>#REF!</v>
      </c>
      <c r="FF108" t="e">
        <f>AND(#REF!,"AAAAAHH7/6E=")</f>
        <v>#REF!</v>
      </c>
      <c r="FG108" t="e">
        <f>AND(#REF!,"AAAAAHH7/6I=")</f>
        <v>#REF!</v>
      </c>
      <c r="FH108" t="e">
        <f>AND(#REF!,"AAAAAHH7/6M=")</f>
        <v>#REF!</v>
      </c>
      <c r="FI108" t="e">
        <f>AND(#REF!,"AAAAAHH7/6Q=")</f>
        <v>#REF!</v>
      </c>
      <c r="FJ108" t="e">
        <f>AND(#REF!,"AAAAAHH7/6U=")</f>
        <v>#REF!</v>
      </c>
      <c r="FK108" t="e">
        <f>AND(#REF!,"AAAAAHH7/6Y=")</f>
        <v>#REF!</v>
      </c>
      <c r="FL108" t="e">
        <f>AND(#REF!,"AAAAAHH7/6c=")</f>
        <v>#REF!</v>
      </c>
      <c r="FM108" t="e">
        <f>IF(#REF!,"AAAAAHH7/6g=",0)</f>
        <v>#REF!</v>
      </c>
      <c r="FN108" t="e">
        <f>AND(#REF!,"AAAAAHH7/6k=")</f>
        <v>#REF!</v>
      </c>
      <c r="FO108" t="e">
        <f>AND(#REF!,"AAAAAHH7/6o=")</f>
        <v>#REF!</v>
      </c>
      <c r="FP108" t="e">
        <f>AND(#REF!,"AAAAAHH7/6s=")</f>
        <v>#REF!</v>
      </c>
      <c r="FQ108" t="e">
        <f>AND(#REF!,"AAAAAHH7/6w=")</f>
        <v>#REF!</v>
      </c>
      <c r="FR108" t="e">
        <f>AND(#REF!,"AAAAAHH7/60=")</f>
        <v>#REF!</v>
      </c>
      <c r="FS108" t="e">
        <f>AND(#REF!,"AAAAAHH7/64=")</f>
        <v>#REF!</v>
      </c>
      <c r="FT108" t="e">
        <f>AND(#REF!,"AAAAAHH7/68=")</f>
        <v>#REF!</v>
      </c>
      <c r="FU108" t="e">
        <f>AND(#REF!,"AAAAAHH7/7A=")</f>
        <v>#REF!</v>
      </c>
      <c r="FV108" t="e">
        <f>AND(#REF!,"AAAAAHH7/7E=")</f>
        <v>#REF!</v>
      </c>
      <c r="FW108" t="e">
        <f>AND(#REF!,"AAAAAHH7/7I=")</f>
        <v>#REF!</v>
      </c>
      <c r="FX108" t="e">
        <f>IF(#REF!,"AAAAAHH7/7M=",0)</f>
        <v>#REF!</v>
      </c>
      <c r="FY108" t="e">
        <f>AND(#REF!,"AAAAAHH7/7Q=")</f>
        <v>#REF!</v>
      </c>
      <c r="FZ108" t="e">
        <f>AND(#REF!,"AAAAAHH7/7U=")</f>
        <v>#REF!</v>
      </c>
      <c r="GA108" t="e">
        <f>AND(#REF!,"AAAAAHH7/7Y=")</f>
        <v>#REF!</v>
      </c>
      <c r="GB108" t="e">
        <f>AND(#REF!,"AAAAAHH7/7c=")</f>
        <v>#REF!</v>
      </c>
      <c r="GC108" t="e">
        <f>AND(#REF!,"AAAAAHH7/7g=")</f>
        <v>#REF!</v>
      </c>
      <c r="GD108" t="e">
        <f>AND(#REF!,"AAAAAHH7/7k=")</f>
        <v>#REF!</v>
      </c>
      <c r="GE108" t="e">
        <f>AND(#REF!,"AAAAAHH7/7o=")</f>
        <v>#REF!</v>
      </c>
      <c r="GF108" t="e">
        <f>AND(#REF!,"AAAAAHH7/7s=")</f>
        <v>#REF!</v>
      </c>
      <c r="GG108" t="e">
        <f>AND(#REF!,"AAAAAHH7/7w=")</f>
        <v>#REF!</v>
      </c>
      <c r="GH108" t="e">
        <f>AND(#REF!,"AAAAAHH7/70=")</f>
        <v>#REF!</v>
      </c>
      <c r="GI108" t="e">
        <f>IF(#REF!,"AAAAAHH7/74=",0)</f>
        <v>#REF!</v>
      </c>
      <c r="GJ108" t="e">
        <f>AND(#REF!,"AAAAAHH7/78=")</f>
        <v>#REF!</v>
      </c>
      <c r="GK108" t="e">
        <f>AND(#REF!,"AAAAAHH7/8A=")</f>
        <v>#REF!</v>
      </c>
      <c r="GL108" t="e">
        <f>AND(#REF!,"AAAAAHH7/8E=")</f>
        <v>#REF!</v>
      </c>
      <c r="GM108" t="e">
        <f>AND(#REF!,"AAAAAHH7/8I=")</f>
        <v>#REF!</v>
      </c>
      <c r="GN108" t="e">
        <f>AND(#REF!,"AAAAAHH7/8M=")</f>
        <v>#REF!</v>
      </c>
      <c r="GO108" t="e">
        <f>AND(#REF!,"AAAAAHH7/8Q=")</f>
        <v>#REF!</v>
      </c>
      <c r="GP108" t="e">
        <f>AND(#REF!,"AAAAAHH7/8U=")</f>
        <v>#REF!</v>
      </c>
      <c r="GQ108" t="e">
        <f>AND(#REF!,"AAAAAHH7/8Y=")</f>
        <v>#REF!</v>
      </c>
      <c r="GR108" t="e">
        <f>AND(#REF!,"AAAAAHH7/8c=")</f>
        <v>#REF!</v>
      </c>
      <c r="GS108" t="e">
        <f>AND(#REF!,"AAAAAHH7/8g=")</f>
        <v>#REF!</v>
      </c>
      <c r="GT108" t="e">
        <f>IF(#REF!,"AAAAAHH7/8k=",0)</f>
        <v>#REF!</v>
      </c>
      <c r="GU108" t="e">
        <f>AND(#REF!,"AAAAAHH7/8o=")</f>
        <v>#REF!</v>
      </c>
      <c r="GV108" t="e">
        <f>AND(#REF!,"AAAAAHH7/8s=")</f>
        <v>#REF!</v>
      </c>
      <c r="GW108" t="e">
        <f>AND(#REF!,"AAAAAHH7/8w=")</f>
        <v>#REF!</v>
      </c>
      <c r="GX108" t="e">
        <f>AND(#REF!,"AAAAAHH7/80=")</f>
        <v>#REF!</v>
      </c>
      <c r="GY108" t="e">
        <f>AND(#REF!,"AAAAAHH7/84=")</f>
        <v>#REF!</v>
      </c>
      <c r="GZ108" t="e">
        <f>AND(#REF!,"AAAAAHH7/88=")</f>
        <v>#REF!</v>
      </c>
      <c r="HA108" t="e">
        <f>AND(#REF!,"AAAAAHH7/9A=")</f>
        <v>#REF!</v>
      </c>
      <c r="HB108" t="e">
        <f>AND(#REF!,"AAAAAHH7/9E=")</f>
        <v>#REF!</v>
      </c>
      <c r="HC108" t="e">
        <f>AND(#REF!,"AAAAAHH7/9I=")</f>
        <v>#REF!</v>
      </c>
      <c r="HD108" t="e">
        <f>AND(#REF!,"AAAAAHH7/9M=")</f>
        <v>#REF!</v>
      </c>
      <c r="HE108" t="e">
        <f>IF(#REF!,"AAAAAHH7/9Q=",0)</f>
        <v>#REF!</v>
      </c>
      <c r="HF108" t="e">
        <f>AND(#REF!,"AAAAAHH7/9U=")</f>
        <v>#REF!</v>
      </c>
      <c r="HG108" t="e">
        <f>AND(#REF!,"AAAAAHH7/9Y=")</f>
        <v>#REF!</v>
      </c>
      <c r="HH108" t="e">
        <f>AND(#REF!,"AAAAAHH7/9c=")</f>
        <v>#REF!</v>
      </c>
      <c r="HI108" t="e">
        <f>AND(#REF!,"AAAAAHH7/9g=")</f>
        <v>#REF!</v>
      </c>
      <c r="HJ108" t="e">
        <f>AND(#REF!,"AAAAAHH7/9k=")</f>
        <v>#REF!</v>
      </c>
      <c r="HK108" t="e">
        <f>AND(#REF!,"AAAAAHH7/9o=")</f>
        <v>#REF!</v>
      </c>
      <c r="HL108" t="e">
        <f>AND(#REF!,"AAAAAHH7/9s=")</f>
        <v>#REF!</v>
      </c>
      <c r="HM108" t="e">
        <f>AND(#REF!,"AAAAAHH7/9w=")</f>
        <v>#REF!</v>
      </c>
      <c r="HN108" t="e">
        <f>AND(#REF!,"AAAAAHH7/90=")</f>
        <v>#REF!</v>
      </c>
      <c r="HO108" t="e">
        <f>AND(#REF!,"AAAAAHH7/94=")</f>
        <v>#REF!</v>
      </c>
      <c r="HP108" t="e">
        <f>IF(#REF!,"AAAAAHH7/98=",0)</f>
        <v>#REF!</v>
      </c>
      <c r="HQ108" t="e">
        <f>AND(#REF!,"AAAAAHH7/+A=")</f>
        <v>#REF!</v>
      </c>
      <c r="HR108" t="e">
        <f>AND(#REF!,"AAAAAHH7/+E=")</f>
        <v>#REF!</v>
      </c>
      <c r="HS108" t="e">
        <f>AND(#REF!,"AAAAAHH7/+I=")</f>
        <v>#REF!</v>
      </c>
      <c r="HT108" t="e">
        <f>AND(#REF!,"AAAAAHH7/+M=")</f>
        <v>#REF!</v>
      </c>
      <c r="HU108" t="e">
        <f>AND(#REF!,"AAAAAHH7/+Q=")</f>
        <v>#REF!</v>
      </c>
      <c r="HV108" t="e">
        <f>AND(#REF!,"AAAAAHH7/+U=")</f>
        <v>#REF!</v>
      </c>
      <c r="HW108" t="e">
        <f>AND(#REF!,"AAAAAHH7/+Y=")</f>
        <v>#REF!</v>
      </c>
      <c r="HX108" t="e">
        <f>AND(#REF!,"AAAAAHH7/+c=")</f>
        <v>#REF!</v>
      </c>
      <c r="HY108" t="e">
        <f>AND(#REF!,"AAAAAHH7/+g=")</f>
        <v>#REF!</v>
      </c>
      <c r="HZ108" t="e">
        <f>AND(#REF!,"AAAAAHH7/+k=")</f>
        <v>#REF!</v>
      </c>
      <c r="IA108" t="e">
        <f>IF(#REF!,"AAAAAHH7/+o=",0)</f>
        <v>#REF!</v>
      </c>
      <c r="IB108" t="e">
        <f>AND(#REF!,"AAAAAHH7/+s=")</f>
        <v>#REF!</v>
      </c>
      <c r="IC108" t="e">
        <f>AND(#REF!,"AAAAAHH7/+w=")</f>
        <v>#REF!</v>
      </c>
      <c r="ID108" t="e">
        <f>AND(#REF!,"AAAAAHH7/+0=")</f>
        <v>#REF!</v>
      </c>
      <c r="IE108" t="e">
        <f>AND(#REF!,"AAAAAHH7/+4=")</f>
        <v>#REF!</v>
      </c>
      <c r="IF108" t="e">
        <f>AND(#REF!,"AAAAAHH7/+8=")</f>
        <v>#REF!</v>
      </c>
      <c r="IG108" t="e">
        <f>AND(#REF!,"AAAAAHH7//A=")</f>
        <v>#REF!</v>
      </c>
      <c r="IH108" t="e">
        <f>AND(#REF!,"AAAAAHH7//E=")</f>
        <v>#REF!</v>
      </c>
      <c r="II108" t="e">
        <f>AND(#REF!,"AAAAAHH7//I=")</f>
        <v>#REF!</v>
      </c>
      <c r="IJ108" t="e">
        <f>AND(#REF!,"AAAAAHH7//M=")</f>
        <v>#REF!</v>
      </c>
      <c r="IK108" t="e">
        <f>AND(#REF!,"AAAAAHH7//Q=")</f>
        <v>#REF!</v>
      </c>
      <c r="IL108" t="e">
        <f>IF(#REF!,"AAAAAHH7//U=",0)</f>
        <v>#REF!</v>
      </c>
      <c r="IM108" t="e">
        <f>AND(#REF!,"AAAAAHH7//Y=")</f>
        <v>#REF!</v>
      </c>
      <c r="IN108" t="e">
        <f>AND(#REF!,"AAAAAHH7//c=")</f>
        <v>#REF!</v>
      </c>
      <c r="IO108" t="e">
        <f>AND(#REF!,"AAAAAHH7//g=")</f>
        <v>#REF!</v>
      </c>
      <c r="IP108" t="e">
        <f>AND(#REF!,"AAAAAHH7//k=")</f>
        <v>#REF!</v>
      </c>
      <c r="IQ108" t="e">
        <f>AND(#REF!,"AAAAAHH7//o=")</f>
        <v>#REF!</v>
      </c>
      <c r="IR108" t="e">
        <f>AND(#REF!,"AAAAAHH7//s=")</f>
        <v>#REF!</v>
      </c>
      <c r="IS108" t="e">
        <f>AND(#REF!,"AAAAAHH7//w=")</f>
        <v>#REF!</v>
      </c>
      <c r="IT108" t="e">
        <f>AND(#REF!,"AAAAAHH7//0=")</f>
        <v>#REF!</v>
      </c>
      <c r="IU108" t="e">
        <f>AND(#REF!,"AAAAAHH7//4=")</f>
        <v>#REF!</v>
      </c>
      <c r="IV108" t="e">
        <f>AND(#REF!,"AAAAAHH7//8=")</f>
        <v>#REF!</v>
      </c>
    </row>
    <row r="109" spans="1:256" x14ac:dyDescent="0.25">
      <c r="A109" t="e">
        <f>IF(#REF!,"AAAAAC6/zwA=",0)</f>
        <v>#REF!</v>
      </c>
      <c r="B109" t="e">
        <f>AND(#REF!,"AAAAAC6/zwE=")</f>
        <v>#REF!</v>
      </c>
      <c r="C109" t="e">
        <f>AND(#REF!,"AAAAAC6/zwI=")</f>
        <v>#REF!</v>
      </c>
      <c r="D109" t="e">
        <f>AND(#REF!,"AAAAAC6/zwM=")</f>
        <v>#REF!</v>
      </c>
      <c r="E109" t="e">
        <f>AND(#REF!,"AAAAAC6/zwQ=")</f>
        <v>#REF!</v>
      </c>
      <c r="F109" t="e">
        <f>AND(#REF!,"AAAAAC6/zwU=")</f>
        <v>#REF!</v>
      </c>
      <c r="G109" t="e">
        <f>AND(#REF!,"AAAAAC6/zwY=")</f>
        <v>#REF!</v>
      </c>
      <c r="H109" t="e">
        <f>AND(#REF!,"AAAAAC6/zwc=")</f>
        <v>#REF!</v>
      </c>
      <c r="I109" t="e">
        <f>AND(#REF!,"AAAAAC6/zwg=")</f>
        <v>#REF!</v>
      </c>
      <c r="J109" t="e">
        <f>AND(#REF!,"AAAAAC6/zwk=")</f>
        <v>#REF!</v>
      </c>
      <c r="K109" t="e">
        <f>AND(#REF!,"AAAAAC6/zwo=")</f>
        <v>#REF!</v>
      </c>
      <c r="L109" t="e">
        <f>IF(#REF!,"AAAAAC6/zws=",0)</f>
        <v>#REF!</v>
      </c>
      <c r="M109" t="e">
        <f>AND(#REF!,"AAAAAC6/zww=")</f>
        <v>#REF!</v>
      </c>
      <c r="N109" t="e">
        <f>AND(#REF!,"AAAAAC6/zw0=")</f>
        <v>#REF!</v>
      </c>
      <c r="O109" t="e">
        <f>AND(#REF!,"AAAAAC6/zw4=")</f>
        <v>#REF!</v>
      </c>
      <c r="P109" t="e">
        <f>AND(#REF!,"AAAAAC6/zw8=")</f>
        <v>#REF!</v>
      </c>
      <c r="Q109" t="e">
        <f>AND(#REF!,"AAAAAC6/zxA=")</f>
        <v>#REF!</v>
      </c>
      <c r="R109" t="e">
        <f>AND(#REF!,"AAAAAC6/zxE=")</f>
        <v>#REF!</v>
      </c>
      <c r="S109" t="e">
        <f>AND(#REF!,"AAAAAC6/zxI=")</f>
        <v>#REF!</v>
      </c>
      <c r="T109" t="e">
        <f>AND(#REF!,"AAAAAC6/zxM=")</f>
        <v>#REF!</v>
      </c>
      <c r="U109" t="e">
        <f>AND(#REF!,"AAAAAC6/zxQ=")</f>
        <v>#REF!</v>
      </c>
      <c r="V109" t="e">
        <f>AND(#REF!,"AAAAAC6/zxU=")</f>
        <v>#REF!</v>
      </c>
      <c r="W109" t="e">
        <f>IF(#REF!,"AAAAAC6/zxY=",0)</f>
        <v>#REF!</v>
      </c>
      <c r="X109" t="e">
        <f>AND(#REF!,"AAAAAC6/zxc=")</f>
        <v>#REF!</v>
      </c>
      <c r="Y109" t="e">
        <f>AND(#REF!,"AAAAAC6/zxg=")</f>
        <v>#REF!</v>
      </c>
      <c r="Z109" t="e">
        <f>AND(#REF!,"AAAAAC6/zxk=")</f>
        <v>#REF!</v>
      </c>
      <c r="AA109" t="e">
        <f>AND(#REF!,"AAAAAC6/zxo=")</f>
        <v>#REF!</v>
      </c>
      <c r="AB109" t="e">
        <f>AND(#REF!,"AAAAAC6/zxs=")</f>
        <v>#REF!</v>
      </c>
      <c r="AC109" t="e">
        <f>AND(#REF!,"AAAAAC6/zxw=")</f>
        <v>#REF!</v>
      </c>
      <c r="AD109" t="e">
        <f>AND(#REF!,"AAAAAC6/zx0=")</f>
        <v>#REF!</v>
      </c>
      <c r="AE109" t="e">
        <f>AND(#REF!,"AAAAAC6/zx4=")</f>
        <v>#REF!</v>
      </c>
      <c r="AF109" t="e">
        <f>AND(#REF!,"AAAAAC6/zx8=")</f>
        <v>#REF!</v>
      </c>
      <c r="AG109" t="e">
        <f>AND(#REF!,"AAAAAC6/zyA=")</f>
        <v>#REF!</v>
      </c>
      <c r="AH109" t="e">
        <f>IF(#REF!,"AAAAAC6/zyE=",0)</f>
        <v>#REF!</v>
      </c>
      <c r="AI109" t="e">
        <f>AND(#REF!,"AAAAAC6/zyI=")</f>
        <v>#REF!</v>
      </c>
      <c r="AJ109" t="e">
        <f>AND(#REF!,"AAAAAC6/zyM=")</f>
        <v>#REF!</v>
      </c>
      <c r="AK109" t="e">
        <f>AND(#REF!,"AAAAAC6/zyQ=")</f>
        <v>#REF!</v>
      </c>
      <c r="AL109" t="e">
        <f>AND(#REF!,"AAAAAC6/zyU=")</f>
        <v>#REF!</v>
      </c>
      <c r="AM109" t="e">
        <f>AND(#REF!,"AAAAAC6/zyY=")</f>
        <v>#REF!</v>
      </c>
      <c r="AN109" t="e">
        <f>AND(#REF!,"AAAAAC6/zyc=")</f>
        <v>#REF!</v>
      </c>
      <c r="AO109" t="e">
        <f>AND(#REF!,"AAAAAC6/zyg=")</f>
        <v>#REF!</v>
      </c>
      <c r="AP109" t="e">
        <f>AND(#REF!,"AAAAAC6/zyk=")</f>
        <v>#REF!</v>
      </c>
      <c r="AQ109" t="e">
        <f>AND(#REF!,"AAAAAC6/zyo=")</f>
        <v>#REF!</v>
      </c>
      <c r="AR109" t="e">
        <f>AND(#REF!,"AAAAAC6/zys=")</f>
        <v>#REF!</v>
      </c>
      <c r="AS109" t="e">
        <f>IF(#REF!,"AAAAAC6/zyw=",0)</f>
        <v>#REF!</v>
      </c>
      <c r="AT109" t="e">
        <f>AND(#REF!,"AAAAAC6/zy0=")</f>
        <v>#REF!</v>
      </c>
      <c r="AU109" t="e">
        <f>AND(#REF!,"AAAAAC6/zy4=")</f>
        <v>#REF!</v>
      </c>
      <c r="AV109" t="e">
        <f>AND(#REF!,"AAAAAC6/zy8=")</f>
        <v>#REF!</v>
      </c>
      <c r="AW109" t="e">
        <f>AND(#REF!,"AAAAAC6/zzA=")</f>
        <v>#REF!</v>
      </c>
      <c r="AX109" t="e">
        <f>AND(#REF!,"AAAAAC6/zzE=")</f>
        <v>#REF!</v>
      </c>
      <c r="AY109" t="e">
        <f>AND(#REF!,"AAAAAC6/zzI=")</f>
        <v>#REF!</v>
      </c>
      <c r="AZ109" t="e">
        <f>AND(#REF!,"AAAAAC6/zzM=")</f>
        <v>#REF!</v>
      </c>
      <c r="BA109" t="e">
        <f>AND(#REF!,"AAAAAC6/zzQ=")</f>
        <v>#REF!</v>
      </c>
      <c r="BB109" t="e">
        <f>AND(#REF!,"AAAAAC6/zzU=")</f>
        <v>#REF!</v>
      </c>
      <c r="BC109" t="e">
        <f>AND(#REF!,"AAAAAC6/zzY=")</f>
        <v>#REF!</v>
      </c>
      <c r="BD109" t="e">
        <f>IF(#REF!,"AAAAAC6/zzc=",0)</f>
        <v>#REF!</v>
      </c>
      <c r="BE109" t="e">
        <f>AND(#REF!,"AAAAAC6/zzg=")</f>
        <v>#REF!</v>
      </c>
      <c r="BF109" t="e">
        <f>AND(#REF!,"AAAAAC6/zzk=")</f>
        <v>#REF!</v>
      </c>
      <c r="BG109" t="e">
        <f>AND(#REF!,"AAAAAC6/zzo=")</f>
        <v>#REF!</v>
      </c>
      <c r="BH109" t="e">
        <f>AND(#REF!,"AAAAAC6/zzs=")</f>
        <v>#REF!</v>
      </c>
      <c r="BI109" t="e">
        <f>AND(#REF!,"AAAAAC6/zzw=")</f>
        <v>#REF!</v>
      </c>
      <c r="BJ109" t="e">
        <f>AND(#REF!,"AAAAAC6/zz0=")</f>
        <v>#REF!</v>
      </c>
      <c r="BK109" t="e">
        <f>AND(#REF!,"AAAAAC6/zz4=")</f>
        <v>#REF!</v>
      </c>
      <c r="BL109" t="e">
        <f>AND(#REF!,"AAAAAC6/zz8=")</f>
        <v>#REF!</v>
      </c>
      <c r="BM109" t="e">
        <f>AND(#REF!,"AAAAAC6/z0A=")</f>
        <v>#REF!</v>
      </c>
      <c r="BN109" t="e">
        <f>AND(#REF!,"AAAAAC6/z0E=")</f>
        <v>#REF!</v>
      </c>
      <c r="BO109" t="e">
        <f>IF(#REF!,"AAAAAC6/z0I=",0)</f>
        <v>#REF!</v>
      </c>
      <c r="BP109" t="e">
        <f>AND(#REF!,"AAAAAC6/z0M=")</f>
        <v>#REF!</v>
      </c>
      <c r="BQ109" t="e">
        <f>AND(#REF!,"AAAAAC6/z0Q=")</f>
        <v>#REF!</v>
      </c>
      <c r="BR109" t="e">
        <f>AND(#REF!,"AAAAAC6/z0U=")</f>
        <v>#REF!</v>
      </c>
      <c r="BS109" t="e">
        <f>AND(#REF!,"AAAAAC6/z0Y=")</f>
        <v>#REF!</v>
      </c>
      <c r="BT109" t="e">
        <f>AND(#REF!,"AAAAAC6/z0c=")</f>
        <v>#REF!</v>
      </c>
      <c r="BU109" t="e">
        <f>AND(#REF!,"AAAAAC6/z0g=")</f>
        <v>#REF!</v>
      </c>
      <c r="BV109" t="e">
        <f>AND(#REF!,"AAAAAC6/z0k=")</f>
        <v>#REF!</v>
      </c>
      <c r="BW109" t="e">
        <f>AND(#REF!,"AAAAAC6/z0o=")</f>
        <v>#REF!</v>
      </c>
      <c r="BX109" t="e">
        <f>AND(#REF!,"AAAAAC6/z0s=")</f>
        <v>#REF!</v>
      </c>
      <c r="BY109" t="e">
        <f>AND(#REF!,"AAAAAC6/z0w=")</f>
        <v>#REF!</v>
      </c>
      <c r="BZ109" t="e">
        <f>IF(#REF!,"AAAAAC6/z00=",0)</f>
        <v>#REF!</v>
      </c>
      <c r="CA109" t="e">
        <f>AND(#REF!,"AAAAAC6/z04=")</f>
        <v>#REF!</v>
      </c>
      <c r="CB109" t="e">
        <f>AND(#REF!,"AAAAAC6/z08=")</f>
        <v>#REF!</v>
      </c>
      <c r="CC109" t="e">
        <f>AND(#REF!,"AAAAAC6/z1A=")</f>
        <v>#REF!</v>
      </c>
      <c r="CD109" t="e">
        <f>AND(#REF!,"AAAAAC6/z1E=")</f>
        <v>#REF!</v>
      </c>
      <c r="CE109" t="e">
        <f>AND(#REF!,"AAAAAC6/z1I=")</f>
        <v>#REF!</v>
      </c>
      <c r="CF109" t="e">
        <f>AND(#REF!,"AAAAAC6/z1M=")</f>
        <v>#REF!</v>
      </c>
      <c r="CG109" t="e">
        <f>AND(#REF!,"AAAAAC6/z1Q=")</f>
        <v>#REF!</v>
      </c>
      <c r="CH109" t="e">
        <f>AND(#REF!,"AAAAAC6/z1U=")</f>
        <v>#REF!</v>
      </c>
      <c r="CI109" t="e">
        <f>AND(#REF!,"AAAAAC6/z1Y=")</f>
        <v>#REF!</v>
      </c>
      <c r="CJ109" t="e">
        <f>AND(#REF!,"AAAAAC6/z1c=")</f>
        <v>#REF!</v>
      </c>
      <c r="CK109" t="e">
        <f>IF(#REF!,"AAAAAC6/z1g=",0)</f>
        <v>#REF!</v>
      </c>
      <c r="CL109" t="e">
        <f>AND(#REF!,"AAAAAC6/z1k=")</f>
        <v>#REF!</v>
      </c>
      <c r="CM109" t="e">
        <f>AND(#REF!,"AAAAAC6/z1o=")</f>
        <v>#REF!</v>
      </c>
      <c r="CN109" t="e">
        <f>AND(#REF!,"AAAAAC6/z1s=")</f>
        <v>#REF!</v>
      </c>
      <c r="CO109" t="e">
        <f>AND(#REF!,"AAAAAC6/z1w=")</f>
        <v>#REF!</v>
      </c>
      <c r="CP109" t="e">
        <f>AND(#REF!,"AAAAAC6/z10=")</f>
        <v>#REF!</v>
      </c>
      <c r="CQ109" t="e">
        <f>AND(#REF!,"AAAAAC6/z14=")</f>
        <v>#REF!</v>
      </c>
      <c r="CR109" t="e">
        <f>AND(#REF!,"AAAAAC6/z18=")</f>
        <v>#REF!</v>
      </c>
      <c r="CS109" t="e">
        <f>AND(#REF!,"AAAAAC6/z2A=")</f>
        <v>#REF!</v>
      </c>
      <c r="CT109" t="e">
        <f>AND(#REF!,"AAAAAC6/z2E=")</f>
        <v>#REF!</v>
      </c>
      <c r="CU109" t="e">
        <f>AND(#REF!,"AAAAAC6/z2I=")</f>
        <v>#REF!</v>
      </c>
      <c r="CV109" t="e">
        <f>IF(#REF!,"AAAAAC6/z2M=",0)</f>
        <v>#REF!</v>
      </c>
      <c r="CW109" t="e">
        <f>AND(#REF!,"AAAAAC6/z2Q=")</f>
        <v>#REF!</v>
      </c>
      <c r="CX109" t="e">
        <f>AND(#REF!,"AAAAAC6/z2U=")</f>
        <v>#REF!</v>
      </c>
      <c r="CY109" t="e">
        <f>AND(#REF!,"AAAAAC6/z2Y=")</f>
        <v>#REF!</v>
      </c>
      <c r="CZ109" t="e">
        <f>AND(#REF!,"AAAAAC6/z2c=")</f>
        <v>#REF!</v>
      </c>
      <c r="DA109" t="e">
        <f>AND(#REF!,"AAAAAC6/z2g=")</f>
        <v>#REF!</v>
      </c>
      <c r="DB109" t="e">
        <f>AND(#REF!,"AAAAAC6/z2k=")</f>
        <v>#REF!</v>
      </c>
      <c r="DC109" t="e">
        <f>AND(#REF!,"AAAAAC6/z2o=")</f>
        <v>#REF!</v>
      </c>
      <c r="DD109" t="e">
        <f>AND(#REF!,"AAAAAC6/z2s=")</f>
        <v>#REF!</v>
      </c>
      <c r="DE109" t="e">
        <f>AND(#REF!,"AAAAAC6/z2w=")</f>
        <v>#REF!</v>
      </c>
      <c r="DF109" t="e">
        <f>AND(#REF!,"AAAAAC6/z20=")</f>
        <v>#REF!</v>
      </c>
      <c r="DG109" t="e">
        <f>IF(#REF!,"AAAAAC6/z24=",0)</f>
        <v>#REF!</v>
      </c>
      <c r="DH109" t="e">
        <f>AND(#REF!,"AAAAAC6/z28=")</f>
        <v>#REF!</v>
      </c>
      <c r="DI109" t="e">
        <f>AND(#REF!,"AAAAAC6/z3A=")</f>
        <v>#REF!</v>
      </c>
      <c r="DJ109" t="e">
        <f>AND(#REF!,"AAAAAC6/z3E=")</f>
        <v>#REF!</v>
      </c>
      <c r="DK109" t="e">
        <f>AND(#REF!,"AAAAAC6/z3I=")</f>
        <v>#REF!</v>
      </c>
      <c r="DL109" t="e">
        <f>AND(#REF!,"AAAAAC6/z3M=")</f>
        <v>#REF!</v>
      </c>
      <c r="DM109" t="e">
        <f>AND(#REF!,"AAAAAC6/z3Q=")</f>
        <v>#REF!</v>
      </c>
      <c r="DN109" t="e">
        <f>AND(#REF!,"AAAAAC6/z3U=")</f>
        <v>#REF!</v>
      </c>
      <c r="DO109" t="e">
        <f>AND(#REF!,"AAAAAC6/z3Y=")</f>
        <v>#REF!</v>
      </c>
      <c r="DP109" t="e">
        <f>AND(#REF!,"AAAAAC6/z3c=")</f>
        <v>#REF!</v>
      </c>
      <c r="DQ109" t="e">
        <f>AND(#REF!,"AAAAAC6/z3g=")</f>
        <v>#REF!</v>
      </c>
      <c r="DR109" t="e">
        <f>IF(#REF!,"AAAAAC6/z3k=",0)</f>
        <v>#REF!</v>
      </c>
      <c r="DS109" t="e">
        <f>AND(#REF!,"AAAAAC6/z3o=")</f>
        <v>#REF!</v>
      </c>
      <c r="DT109" t="e">
        <f>AND(#REF!,"AAAAAC6/z3s=")</f>
        <v>#REF!</v>
      </c>
      <c r="DU109" t="e">
        <f>AND(#REF!,"AAAAAC6/z3w=")</f>
        <v>#REF!</v>
      </c>
      <c r="DV109" t="e">
        <f>AND(#REF!,"AAAAAC6/z30=")</f>
        <v>#REF!</v>
      </c>
      <c r="DW109" t="e">
        <f>AND(#REF!,"AAAAAC6/z34=")</f>
        <v>#REF!</v>
      </c>
      <c r="DX109" t="e">
        <f>AND(#REF!,"AAAAAC6/z38=")</f>
        <v>#REF!</v>
      </c>
      <c r="DY109" t="e">
        <f>AND(#REF!,"AAAAAC6/z4A=")</f>
        <v>#REF!</v>
      </c>
      <c r="DZ109" t="e">
        <f>AND(#REF!,"AAAAAC6/z4E=")</f>
        <v>#REF!</v>
      </c>
      <c r="EA109" t="e">
        <f>AND(#REF!,"AAAAAC6/z4I=")</f>
        <v>#REF!</v>
      </c>
      <c r="EB109" t="e">
        <f>AND(#REF!,"AAAAAC6/z4M=")</f>
        <v>#REF!</v>
      </c>
      <c r="EC109" t="e">
        <f>IF(#REF!,"AAAAAC6/z4Q=",0)</f>
        <v>#REF!</v>
      </c>
      <c r="ED109" t="e">
        <f>AND(#REF!,"AAAAAC6/z4U=")</f>
        <v>#REF!</v>
      </c>
      <c r="EE109" t="e">
        <f>AND(#REF!,"AAAAAC6/z4Y=")</f>
        <v>#REF!</v>
      </c>
      <c r="EF109" t="e">
        <f>AND(#REF!,"AAAAAC6/z4c=")</f>
        <v>#REF!</v>
      </c>
      <c r="EG109" t="e">
        <f>AND(#REF!,"AAAAAC6/z4g=")</f>
        <v>#REF!</v>
      </c>
      <c r="EH109" t="e">
        <f>AND(#REF!,"AAAAAC6/z4k=")</f>
        <v>#REF!</v>
      </c>
      <c r="EI109" t="e">
        <f>AND(#REF!,"AAAAAC6/z4o=")</f>
        <v>#REF!</v>
      </c>
      <c r="EJ109" t="e">
        <f>AND(#REF!,"AAAAAC6/z4s=")</f>
        <v>#REF!</v>
      </c>
      <c r="EK109" t="e">
        <f>AND(#REF!,"AAAAAC6/z4w=")</f>
        <v>#REF!</v>
      </c>
      <c r="EL109" t="e">
        <f>AND(#REF!,"AAAAAC6/z40=")</f>
        <v>#REF!</v>
      </c>
      <c r="EM109" t="e">
        <f>AND(#REF!,"AAAAAC6/z44=")</f>
        <v>#REF!</v>
      </c>
      <c r="EN109" t="e">
        <f>IF(#REF!,"AAAAAC6/z48=",0)</f>
        <v>#REF!</v>
      </c>
      <c r="EO109" t="e">
        <f>AND(#REF!,"AAAAAC6/z5A=")</f>
        <v>#REF!</v>
      </c>
      <c r="EP109" t="e">
        <f>AND(#REF!,"AAAAAC6/z5E=")</f>
        <v>#REF!</v>
      </c>
      <c r="EQ109" t="e">
        <f>AND(#REF!,"AAAAAC6/z5I=")</f>
        <v>#REF!</v>
      </c>
      <c r="ER109" t="e">
        <f>AND(#REF!,"AAAAAC6/z5M=")</f>
        <v>#REF!</v>
      </c>
      <c r="ES109" t="e">
        <f>AND(#REF!,"AAAAAC6/z5Q=")</f>
        <v>#REF!</v>
      </c>
      <c r="ET109" t="e">
        <f>AND(#REF!,"AAAAAC6/z5U=")</f>
        <v>#REF!</v>
      </c>
      <c r="EU109" t="e">
        <f>AND(#REF!,"AAAAAC6/z5Y=")</f>
        <v>#REF!</v>
      </c>
      <c r="EV109" t="e">
        <f>AND(#REF!,"AAAAAC6/z5c=")</f>
        <v>#REF!</v>
      </c>
      <c r="EW109" t="e">
        <f>AND(#REF!,"AAAAAC6/z5g=")</f>
        <v>#REF!</v>
      </c>
      <c r="EX109" t="e">
        <f>AND(#REF!,"AAAAAC6/z5k=")</f>
        <v>#REF!</v>
      </c>
      <c r="EY109" t="e">
        <f>IF(#REF!,"AAAAAC6/z5o=",0)</f>
        <v>#REF!</v>
      </c>
      <c r="EZ109" t="e">
        <f>AND(#REF!,"AAAAAC6/z5s=")</f>
        <v>#REF!</v>
      </c>
      <c r="FA109" t="e">
        <f>AND(#REF!,"AAAAAC6/z5w=")</f>
        <v>#REF!</v>
      </c>
      <c r="FB109" t="e">
        <f>AND(#REF!,"AAAAAC6/z50=")</f>
        <v>#REF!</v>
      </c>
      <c r="FC109" t="e">
        <f>AND(#REF!,"AAAAAC6/z54=")</f>
        <v>#REF!</v>
      </c>
      <c r="FD109" t="e">
        <f>AND(#REF!,"AAAAAC6/z58=")</f>
        <v>#REF!</v>
      </c>
      <c r="FE109" t="e">
        <f>AND(#REF!,"AAAAAC6/z6A=")</f>
        <v>#REF!</v>
      </c>
      <c r="FF109" t="e">
        <f>AND(#REF!,"AAAAAC6/z6E=")</f>
        <v>#REF!</v>
      </c>
      <c r="FG109" t="e">
        <f>AND(#REF!,"AAAAAC6/z6I=")</f>
        <v>#REF!</v>
      </c>
      <c r="FH109" t="e">
        <f>AND(#REF!,"AAAAAC6/z6M=")</f>
        <v>#REF!</v>
      </c>
      <c r="FI109" t="e">
        <f>AND(#REF!,"AAAAAC6/z6Q=")</f>
        <v>#REF!</v>
      </c>
      <c r="FJ109" t="e">
        <f>IF(#REF!,"AAAAAC6/z6U=",0)</f>
        <v>#REF!</v>
      </c>
      <c r="FK109" t="e">
        <f>AND(#REF!,"AAAAAC6/z6Y=")</f>
        <v>#REF!</v>
      </c>
      <c r="FL109" t="e">
        <f>AND(#REF!,"AAAAAC6/z6c=")</f>
        <v>#REF!</v>
      </c>
      <c r="FM109" t="e">
        <f>AND(#REF!,"AAAAAC6/z6g=")</f>
        <v>#REF!</v>
      </c>
      <c r="FN109" t="e">
        <f>AND(#REF!,"AAAAAC6/z6k=")</f>
        <v>#REF!</v>
      </c>
      <c r="FO109" t="e">
        <f>AND(#REF!,"AAAAAC6/z6o=")</f>
        <v>#REF!</v>
      </c>
      <c r="FP109" t="e">
        <f>AND(#REF!,"AAAAAC6/z6s=")</f>
        <v>#REF!</v>
      </c>
      <c r="FQ109" t="e">
        <f>AND(#REF!,"AAAAAC6/z6w=")</f>
        <v>#REF!</v>
      </c>
      <c r="FR109" t="e">
        <f>AND(#REF!,"AAAAAC6/z60=")</f>
        <v>#REF!</v>
      </c>
      <c r="FS109" t="e">
        <f>AND(#REF!,"AAAAAC6/z64=")</f>
        <v>#REF!</v>
      </c>
      <c r="FT109" t="e">
        <f>AND(#REF!,"AAAAAC6/z68=")</f>
        <v>#REF!</v>
      </c>
      <c r="FU109" t="e">
        <f>IF(#REF!,"AAAAAC6/z7A=",0)</f>
        <v>#REF!</v>
      </c>
      <c r="FV109" t="e">
        <f>AND(#REF!,"AAAAAC6/z7E=")</f>
        <v>#REF!</v>
      </c>
      <c r="FW109" t="e">
        <f>AND(#REF!,"AAAAAC6/z7I=")</f>
        <v>#REF!</v>
      </c>
      <c r="FX109" t="e">
        <f>AND(#REF!,"AAAAAC6/z7M=")</f>
        <v>#REF!</v>
      </c>
      <c r="FY109" t="e">
        <f>AND(#REF!,"AAAAAC6/z7Q=")</f>
        <v>#REF!</v>
      </c>
      <c r="FZ109" t="e">
        <f>AND(#REF!,"AAAAAC6/z7U=")</f>
        <v>#REF!</v>
      </c>
      <c r="GA109" t="e">
        <f>AND(#REF!,"AAAAAC6/z7Y=")</f>
        <v>#REF!</v>
      </c>
      <c r="GB109" t="e">
        <f>AND(#REF!,"AAAAAC6/z7c=")</f>
        <v>#REF!</v>
      </c>
      <c r="GC109" t="e">
        <f>AND(#REF!,"AAAAAC6/z7g=")</f>
        <v>#REF!</v>
      </c>
      <c r="GD109" t="e">
        <f>AND(#REF!,"AAAAAC6/z7k=")</f>
        <v>#REF!</v>
      </c>
      <c r="GE109" t="e">
        <f>AND(#REF!,"AAAAAC6/z7o=")</f>
        <v>#REF!</v>
      </c>
      <c r="GF109" t="e">
        <f>IF(#REF!,"AAAAAC6/z7s=",0)</f>
        <v>#REF!</v>
      </c>
      <c r="GG109" t="e">
        <f>AND(#REF!,"AAAAAC6/z7w=")</f>
        <v>#REF!</v>
      </c>
      <c r="GH109" t="e">
        <f>AND(#REF!,"AAAAAC6/z70=")</f>
        <v>#REF!</v>
      </c>
      <c r="GI109" t="e">
        <f>AND(#REF!,"AAAAAC6/z74=")</f>
        <v>#REF!</v>
      </c>
      <c r="GJ109" t="e">
        <f>AND(#REF!,"AAAAAC6/z78=")</f>
        <v>#REF!</v>
      </c>
      <c r="GK109" t="e">
        <f>AND(#REF!,"AAAAAC6/z8A=")</f>
        <v>#REF!</v>
      </c>
      <c r="GL109" t="e">
        <f>AND(#REF!,"AAAAAC6/z8E=")</f>
        <v>#REF!</v>
      </c>
      <c r="GM109" t="e">
        <f>AND(#REF!,"AAAAAC6/z8I=")</f>
        <v>#REF!</v>
      </c>
      <c r="GN109" t="e">
        <f>AND(#REF!,"AAAAAC6/z8M=")</f>
        <v>#REF!</v>
      </c>
      <c r="GO109" t="e">
        <f>AND(#REF!,"AAAAAC6/z8Q=")</f>
        <v>#REF!</v>
      </c>
      <c r="GP109" t="e">
        <f>AND(#REF!,"AAAAAC6/z8U=")</f>
        <v>#REF!</v>
      </c>
      <c r="GQ109" t="e">
        <f>IF(#REF!,"AAAAAC6/z8Y=",0)</f>
        <v>#REF!</v>
      </c>
      <c r="GR109" t="e">
        <f>AND(#REF!,"AAAAAC6/z8c=")</f>
        <v>#REF!</v>
      </c>
      <c r="GS109" t="e">
        <f>AND(#REF!,"AAAAAC6/z8g=")</f>
        <v>#REF!</v>
      </c>
      <c r="GT109" t="e">
        <f>AND(#REF!,"AAAAAC6/z8k=")</f>
        <v>#REF!</v>
      </c>
      <c r="GU109" t="e">
        <f>AND(#REF!,"AAAAAC6/z8o=")</f>
        <v>#REF!</v>
      </c>
      <c r="GV109" t="e">
        <f>AND(#REF!,"AAAAAC6/z8s=")</f>
        <v>#REF!</v>
      </c>
      <c r="GW109" t="e">
        <f>AND(#REF!,"AAAAAC6/z8w=")</f>
        <v>#REF!</v>
      </c>
      <c r="GX109" t="e">
        <f>AND(#REF!,"AAAAAC6/z80=")</f>
        <v>#REF!</v>
      </c>
      <c r="GY109" t="e">
        <f>AND(#REF!,"AAAAAC6/z84=")</f>
        <v>#REF!</v>
      </c>
      <c r="GZ109" t="e">
        <f>AND(#REF!,"AAAAAC6/z88=")</f>
        <v>#REF!</v>
      </c>
      <c r="HA109" t="e">
        <f>AND(#REF!,"AAAAAC6/z9A=")</f>
        <v>#REF!</v>
      </c>
      <c r="HB109" t="e">
        <f>IF(#REF!,"AAAAAC6/z9E=",0)</f>
        <v>#REF!</v>
      </c>
      <c r="HC109" t="e">
        <f>AND(#REF!,"AAAAAC6/z9I=")</f>
        <v>#REF!</v>
      </c>
      <c r="HD109" t="e">
        <f>AND(#REF!,"AAAAAC6/z9M=")</f>
        <v>#REF!</v>
      </c>
      <c r="HE109" t="e">
        <f>AND(#REF!,"AAAAAC6/z9Q=")</f>
        <v>#REF!</v>
      </c>
      <c r="HF109" t="e">
        <f>AND(#REF!,"AAAAAC6/z9U=")</f>
        <v>#REF!</v>
      </c>
      <c r="HG109" t="e">
        <f>AND(#REF!,"AAAAAC6/z9Y=")</f>
        <v>#REF!</v>
      </c>
      <c r="HH109" t="e">
        <f>AND(#REF!,"AAAAAC6/z9c=")</f>
        <v>#REF!</v>
      </c>
      <c r="HI109" t="e">
        <f>AND(#REF!,"AAAAAC6/z9g=")</f>
        <v>#REF!</v>
      </c>
      <c r="HJ109" t="e">
        <f>AND(#REF!,"AAAAAC6/z9k=")</f>
        <v>#REF!</v>
      </c>
      <c r="HK109" t="e">
        <f>AND(#REF!,"AAAAAC6/z9o=")</f>
        <v>#REF!</v>
      </c>
      <c r="HL109" t="e">
        <f>AND(#REF!,"AAAAAC6/z9s=")</f>
        <v>#REF!</v>
      </c>
      <c r="HM109" t="e">
        <f>IF(#REF!,"AAAAAC6/z9w=",0)</f>
        <v>#REF!</v>
      </c>
      <c r="HN109" t="e">
        <f>AND(#REF!,"AAAAAC6/z90=")</f>
        <v>#REF!</v>
      </c>
      <c r="HO109" t="e">
        <f>AND(#REF!,"AAAAAC6/z94=")</f>
        <v>#REF!</v>
      </c>
      <c r="HP109" t="e">
        <f>AND(#REF!,"AAAAAC6/z98=")</f>
        <v>#REF!</v>
      </c>
      <c r="HQ109" t="e">
        <f>AND(#REF!,"AAAAAC6/z+A=")</f>
        <v>#REF!</v>
      </c>
      <c r="HR109" t="e">
        <f>AND(#REF!,"AAAAAC6/z+E=")</f>
        <v>#REF!</v>
      </c>
      <c r="HS109" t="e">
        <f>AND(#REF!,"AAAAAC6/z+I=")</f>
        <v>#REF!</v>
      </c>
      <c r="HT109" t="e">
        <f>AND(#REF!,"AAAAAC6/z+M=")</f>
        <v>#REF!</v>
      </c>
      <c r="HU109" t="e">
        <f>AND(#REF!,"AAAAAC6/z+Q=")</f>
        <v>#REF!</v>
      </c>
      <c r="HV109" t="e">
        <f>AND(#REF!,"AAAAAC6/z+U=")</f>
        <v>#REF!</v>
      </c>
      <c r="HW109" t="e">
        <f>AND(#REF!,"AAAAAC6/z+Y=")</f>
        <v>#REF!</v>
      </c>
      <c r="HX109" t="e">
        <f>IF(#REF!,"AAAAAC6/z+c=",0)</f>
        <v>#REF!</v>
      </c>
      <c r="HY109" t="e">
        <f>AND(#REF!,"AAAAAC6/z+g=")</f>
        <v>#REF!</v>
      </c>
      <c r="HZ109" t="e">
        <f>AND(#REF!,"AAAAAC6/z+k=")</f>
        <v>#REF!</v>
      </c>
      <c r="IA109" t="e">
        <f>AND(#REF!,"AAAAAC6/z+o=")</f>
        <v>#REF!</v>
      </c>
      <c r="IB109" t="e">
        <f>AND(#REF!,"AAAAAC6/z+s=")</f>
        <v>#REF!</v>
      </c>
      <c r="IC109" t="e">
        <f>AND(#REF!,"AAAAAC6/z+w=")</f>
        <v>#REF!</v>
      </c>
      <c r="ID109" t="e">
        <f>AND(#REF!,"AAAAAC6/z+0=")</f>
        <v>#REF!</v>
      </c>
      <c r="IE109" t="e">
        <f>AND(#REF!,"AAAAAC6/z+4=")</f>
        <v>#REF!</v>
      </c>
      <c r="IF109" t="e">
        <f>AND(#REF!,"AAAAAC6/z+8=")</f>
        <v>#REF!</v>
      </c>
      <c r="IG109" t="e">
        <f>AND(#REF!,"AAAAAC6/z/A=")</f>
        <v>#REF!</v>
      </c>
      <c r="IH109" t="e">
        <f>AND(#REF!,"AAAAAC6/z/E=")</f>
        <v>#REF!</v>
      </c>
      <c r="II109" t="e">
        <f>IF(#REF!,"AAAAAC6/z/I=",0)</f>
        <v>#REF!</v>
      </c>
      <c r="IJ109" t="e">
        <f>AND(#REF!,"AAAAAC6/z/M=")</f>
        <v>#REF!</v>
      </c>
      <c r="IK109" t="e">
        <f>AND(#REF!,"AAAAAC6/z/Q=")</f>
        <v>#REF!</v>
      </c>
      <c r="IL109" t="e">
        <f>AND(#REF!,"AAAAAC6/z/U=")</f>
        <v>#REF!</v>
      </c>
      <c r="IM109" t="e">
        <f>AND(#REF!,"AAAAAC6/z/Y=")</f>
        <v>#REF!</v>
      </c>
      <c r="IN109" t="e">
        <f>AND(#REF!,"AAAAAC6/z/c=")</f>
        <v>#REF!</v>
      </c>
      <c r="IO109" t="e">
        <f>AND(#REF!,"AAAAAC6/z/g=")</f>
        <v>#REF!</v>
      </c>
      <c r="IP109" t="e">
        <f>AND(#REF!,"AAAAAC6/z/k=")</f>
        <v>#REF!</v>
      </c>
      <c r="IQ109" t="e">
        <f>AND(#REF!,"AAAAAC6/z/o=")</f>
        <v>#REF!</v>
      </c>
      <c r="IR109" t="e">
        <f>AND(#REF!,"AAAAAC6/z/s=")</f>
        <v>#REF!</v>
      </c>
      <c r="IS109" t="e">
        <f>AND(#REF!,"AAAAAC6/z/w=")</f>
        <v>#REF!</v>
      </c>
      <c r="IT109" t="e">
        <f>IF(#REF!,"AAAAAC6/z/0=",0)</f>
        <v>#REF!</v>
      </c>
      <c r="IU109" t="e">
        <f>AND(#REF!,"AAAAAC6/z/4=")</f>
        <v>#REF!</v>
      </c>
      <c r="IV109" t="e">
        <f>AND(#REF!,"AAAAAC6/z/8=")</f>
        <v>#REF!</v>
      </c>
    </row>
    <row r="110" spans="1:256" x14ac:dyDescent="0.25">
      <c r="A110" t="e">
        <f>AND(#REF!,"AAAAAHNLfQA=")</f>
        <v>#REF!</v>
      </c>
      <c r="B110" t="e">
        <f>AND(#REF!,"AAAAAHNLfQE=")</f>
        <v>#REF!</v>
      </c>
      <c r="C110" t="e">
        <f>AND(#REF!,"AAAAAHNLfQI=")</f>
        <v>#REF!</v>
      </c>
      <c r="D110" t="e">
        <f>AND(#REF!,"AAAAAHNLfQM=")</f>
        <v>#REF!</v>
      </c>
      <c r="E110" t="e">
        <f>AND(#REF!,"AAAAAHNLfQQ=")</f>
        <v>#REF!</v>
      </c>
      <c r="F110" t="e">
        <f>AND(#REF!,"AAAAAHNLfQU=")</f>
        <v>#REF!</v>
      </c>
      <c r="G110" t="e">
        <f>AND(#REF!,"AAAAAHNLfQY=")</f>
        <v>#REF!</v>
      </c>
      <c r="H110" t="e">
        <f>AND(#REF!,"AAAAAHNLfQc=")</f>
        <v>#REF!</v>
      </c>
      <c r="I110" t="e">
        <f>IF(#REF!,"AAAAAHNLfQg=",0)</f>
        <v>#REF!</v>
      </c>
      <c r="J110" t="e">
        <f>AND(#REF!,"AAAAAHNLfQk=")</f>
        <v>#REF!</v>
      </c>
      <c r="K110" t="e">
        <f>AND(#REF!,"AAAAAHNLfQo=")</f>
        <v>#REF!</v>
      </c>
      <c r="L110" t="e">
        <f>AND(#REF!,"AAAAAHNLfQs=")</f>
        <v>#REF!</v>
      </c>
      <c r="M110" t="e">
        <f>AND(#REF!,"AAAAAHNLfQw=")</f>
        <v>#REF!</v>
      </c>
      <c r="N110" t="e">
        <f>AND(#REF!,"AAAAAHNLfQ0=")</f>
        <v>#REF!</v>
      </c>
      <c r="O110" t="e">
        <f>AND(#REF!,"AAAAAHNLfQ4=")</f>
        <v>#REF!</v>
      </c>
      <c r="P110" t="e">
        <f>AND(#REF!,"AAAAAHNLfQ8=")</f>
        <v>#REF!</v>
      </c>
      <c r="Q110" t="e">
        <f>AND(#REF!,"AAAAAHNLfRA=")</f>
        <v>#REF!</v>
      </c>
      <c r="R110" t="e">
        <f>AND(#REF!,"AAAAAHNLfRE=")</f>
        <v>#REF!</v>
      </c>
      <c r="S110" t="e">
        <f>AND(#REF!,"AAAAAHNLfRI=")</f>
        <v>#REF!</v>
      </c>
      <c r="T110" t="e">
        <f>IF(#REF!,"AAAAAHNLfRM=",0)</f>
        <v>#REF!</v>
      </c>
      <c r="U110" t="e">
        <f>AND(#REF!,"AAAAAHNLfRQ=")</f>
        <v>#REF!</v>
      </c>
      <c r="V110" t="e">
        <f>AND(#REF!,"AAAAAHNLfRU=")</f>
        <v>#REF!</v>
      </c>
      <c r="W110" t="e">
        <f>AND(#REF!,"AAAAAHNLfRY=")</f>
        <v>#REF!</v>
      </c>
      <c r="X110" t="e">
        <f>AND(#REF!,"AAAAAHNLfRc=")</f>
        <v>#REF!</v>
      </c>
      <c r="Y110" t="e">
        <f>AND(#REF!,"AAAAAHNLfRg=")</f>
        <v>#REF!</v>
      </c>
      <c r="Z110" t="e">
        <f>AND(#REF!,"AAAAAHNLfRk=")</f>
        <v>#REF!</v>
      </c>
      <c r="AA110" t="e">
        <f>AND(#REF!,"AAAAAHNLfRo=")</f>
        <v>#REF!</v>
      </c>
      <c r="AB110" t="e">
        <f>AND(#REF!,"AAAAAHNLfRs=")</f>
        <v>#REF!</v>
      </c>
      <c r="AC110" t="e">
        <f>AND(#REF!,"AAAAAHNLfRw=")</f>
        <v>#REF!</v>
      </c>
      <c r="AD110" t="e">
        <f>AND(#REF!,"AAAAAHNLfR0=")</f>
        <v>#REF!</v>
      </c>
      <c r="AE110" t="e">
        <f>IF(#REF!,"AAAAAHNLfR4=",0)</f>
        <v>#REF!</v>
      </c>
      <c r="AF110" t="e">
        <f>AND(#REF!,"AAAAAHNLfR8=")</f>
        <v>#REF!</v>
      </c>
      <c r="AG110" t="e">
        <f>AND(#REF!,"AAAAAHNLfSA=")</f>
        <v>#REF!</v>
      </c>
      <c r="AH110" t="e">
        <f>AND(#REF!,"AAAAAHNLfSE=")</f>
        <v>#REF!</v>
      </c>
      <c r="AI110" t="e">
        <f>AND(#REF!,"AAAAAHNLfSI=")</f>
        <v>#REF!</v>
      </c>
      <c r="AJ110" t="e">
        <f>AND(#REF!,"AAAAAHNLfSM=")</f>
        <v>#REF!</v>
      </c>
      <c r="AK110" t="e">
        <f>AND(#REF!,"AAAAAHNLfSQ=")</f>
        <v>#REF!</v>
      </c>
      <c r="AL110" t="e">
        <f>AND(#REF!,"AAAAAHNLfSU=")</f>
        <v>#REF!</v>
      </c>
      <c r="AM110" t="e">
        <f>AND(#REF!,"AAAAAHNLfSY=")</f>
        <v>#REF!</v>
      </c>
      <c r="AN110" t="e">
        <f>AND(#REF!,"AAAAAHNLfSc=")</f>
        <v>#REF!</v>
      </c>
      <c r="AO110" t="e">
        <f>AND(#REF!,"AAAAAHNLfSg=")</f>
        <v>#REF!</v>
      </c>
      <c r="AP110" t="e">
        <f>IF(#REF!,"AAAAAHNLfSk=",0)</f>
        <v>#REF!</v>
      </c>
      <c r="AQ110" t="e">
        <f>AND(#REF!,"AAAAAHNLfSo=")</f>
        <v>#REF!</v>
      </c>
      <c r="AR110" t="e">
        <f>AND(#REF!,"AAAAAHNLfSs=")</f>
        <v>#REF!</v>
      </c>
      <c r="AS110" t="e">
        <f>AND(#REF!,"AAAAAHNLfSw=")</f>
        <v>#REF!</v>
      </c>
      <c r="AT110" t="e">
        <f>AND(#REF!,"AAAAAHNLfS0=")</f>
        <v>#REF!</v>
      </c>
      <c r="AU110" t="e">
        <f>AND(#REF!,"AAAAAHNLfS4=")</f>
        <v>#REF!</v>
      </c>
      <c r="AV110" t="e">
        <f>AND(#REF!,"AAAAAHNLfS8=")</f>
        <v>#REF!</v>
      </c>
      <c r="AW110" t="e">
        <f>AND(#REF!,"AAAAAHNLfTA=")</f>
        <v>#REF!</v>
      </c>
      <c r="AX110" t="e">
        <f>AND(#REF!,"AAAAAHNLfTE=")</f>
        <v>#REF!</v>
      </c>
      <c r="AY110" t="e">
        <f>AND(#REF!,"AAAAAHNLfTI=")</f>
        <v>#REF!</v>
      </c>
      <c r="AZ110" t="e">
        <f>AND(#REF!,"AAAAAHNLfTM=")</f>
        <v>#REF!</v>
      </c>
      <c r="BA110" t="e">
        <f>IF(#REF!,"AAAAAHNLfTQ=",0)</f>
        <v>#REF!</v>
      </c>
      <c r="BB110" t="e">
        <f>AND(#REF!,"AAAAAHNLfTU=")</f>
        <v>#REF!</v>
      </c>
      <c r="BC110" t="e">
        <f>AND(#REF!,"AAAAAHNLfTY=")</f>
        <v>#REF!</v>
      </c>
      <c r="BD110" t="e">
        <f>AND(#REF!,"AAAAAHNLfTc=")</f>
        <v>#REF!</v>
      </c>
      <c r="BE110" t="e">
        <f>AND(#REF!,"AAAAAHNLfTg=")</f>
        <v>#REF!</v>
      </c>
      <c r="BF110" t="e">
        <f>AND(#REF!,"AAAAAHNLfTk=")</f>
        <v>#REF!</v>
      </c>
      <c r="BG110" t="e">
        <f>AND(#REF!,"AAAAAHNLfTo=")</f>
        <v>#REF!</v>
      </c>
      <c r="BH110" t="e">
        <f>AND(#REF!,"AAAAAHNLfTs=")</f>
        <v>#REF!</v>
      </c>
      <c r="BI110" t="e">
        <f>AND(#REF!,"AAAAAHNLfTw=")</f>
        <v>#REF!</v>
      </c>
      <c r="BJ110" t="e">
        <f>AND(#REF!,"AAAAAHNLfT0=")</f>
        <v>#REF!</v>
      </c>
      <c r="BK110" t="e">
        <f>AND(#REF!,"AAAAAHNLfT4=")</f>
        <v>#REF!</v>
      </c>
      <c r="BL110" t="e">
        <f>IF(#REF!,"AAAAAHNLfT8=",0)</f>
        <v>#REF!</v>
      </c>
      <c r="BM110" t="e">
        <f>AND(#REF!,"AAAAAHNLfUA=")</f>
        <v>#REF!</v>
      </c>
      <c r="BN110" t="e">
        <f>AND(#REF!,"AAAAAHNLfUE=")</f>
        <v>#REF!</v>
      </c>
      <c r="BO110" t="e">
        <f>AND(#REF!,"AAAAAHNLfUI=")</f>
        <v>#REF!</v>
      </c>
      <c r="BP110" t="e">
        <f>AND(#REF!,"AAAAAHNLfUM=")</f>
        <v>#REF!</v>
      </c>
      <c r="BQ110" t="e">
        <f>AND(#REF!,"AAAAAHNLfUQ=")</f>
        <v>#REF!</v>
      </c>
      <c r="BR110" t="e">
        <f>AND(#REF!,"AAAAAHNLfUU=")</f>
        <v>#REF!</v>
      </c>
      <c r="BS110" t="e">
        <f>AND(#REF!,"AAAAAHNLfUY=")</f>
        <v>#REF!</v>
      </c>
      <c r="BT110" t="e">
        <f>AND(#REF!,"AAAAAHNLfUc=")</f>
        <v>#REF!</v>
      </c>
      <c r="BU110" t="e">
        <f>AND(#REF!,"AAAAAHNLfUg=")</f>
        <v>#REF!</v>
      </c>
      <c r="BV110" t="e">
        <f>AND(#REF!,"AAAAAHNLfUk=")</f>
        <v>#REF!</v>
      </c>
      <c r="BW110" t="e">
        <f>IF(#REF!,"AAAAAHNLfUo=",0)</f>
        <v>#REF!</v>
      </c>
      <c r="BX110" t="e">
        <f>AND(#REF!,"AAAAAHNLfUs=")</f>
        <v>#REF!</v>
      </c>
      <c r="BY110" t="e">
        <f>AND(#REF!,"AAAAAHNLfUw=")</f>
        <v>#REF!</v>
      </c>
      <c r="BZ110" t="e">
        <f>AND(#REF!,"AAAAAHNLfU0=")</f>
        <v>#REF!</v>
      </c>
      <c r="CA110" t="e">
        <f>AND(#REF!,"AAAAAHNLfU4=")</f>
        <v>#REF!</v>
      </c>
      <c r="CB110" t="e">
        <f>AND(#REF!,"AAAAAHNLfU8=")</f>
        <v>#REF!</v>
      </c>
      <c r="CC110" t="e">
        <f>AND(#REF!,"AAAAAHNLfVA=")</f>
        <v>#REF!</v>
      </c>
      <c r="CD110" t="e">
        <f>AND(#REF!,"AAAAAHNLfVE=")</f>
        <v>#REF!</v>
      </c>
      <c r="CE110" t="e">
        <f>AND(#REF!,"AAAAAHNLfVI=")</f>
        <v>#REF!</v>
      </c>
      <c r="CF110" t="e">
        <f>AND(#REF!,"AAAAAHNLfVM=")</f>
        <v>#REF!</v>
      </c>
      <c r="CG110" t="e">
        <f>AND(#REF!,"AAAAAHNLfVQ=")</f>
        <v>#REF!</v>
      </c>
      <c r="CH110" t="e">
        <f>IF(#REF!,"AAAAAHNLfVU=",0)</f>
        <v>#REF!</v>
      </c>
      <c r="CI110" t="e">
        <f>AND(#REF!,"AAAAAHNLfVY=")</f>
        <v>#REF!</v>
      </c>
      <c r="CJ110" t="e">
        <f>AND(#REF!,"AAAAAHNLfVc=")</f>
        <v>#REF!</v>
      </c>
      <c r="CK110" t="e">
        <f>AND(#REF!,"AAAAAHNLfVg=")</f>
        <v>#REF!</v>
      </c>
      <c r="CL110" t="e">
        <f>AND(#REF!,"AAAAAHNLfVk=")</f>
        <v>#REF!</v>
      </c>
      <c r="CM110" t="e">
        <f>AND(#REF!,"AAAAAHNLfVo=")</f>
        <v>#REF!</v>
      </c>
      <c r="CN110" t="e">
        <f>AND(#REF!,"AAAAAHNLfVs=")</f>
        <v>#REF!</v>
      </c>
      <c r="CO110" t="e">
        <f>AND(#REF!,"AAAAAHNLfVw=")</f>
        <v>#REF!</v>
      </c>
      <c r="CP110" t="e">
        <f>AND(#REF!,"AAAAAHNLfV0=")</f>
        <v>#REF!</v>
      </c>
      <c r="CQ110" t="e">
        <f>AND(#REF!,"AAAAAHNLfV4=")</f>
        <v>#REF!</v>
      </c>
      <c r="CR110" t="e">
        <f>AND(#REF!,"AAAAAHNLfV8=")</f>
        <v>#REF!</v>
      </c>
      <c r="CS110" t="e">
        <f>IF(#REF!,"AAAAAHNLfWA=",0)</f>
        <v>#REF!</v>
      </c>
      <c r="CT110" t="e">
        <f>AND(#REF!,"AAAAAHNLfWE=")</f>
        <v>#REF!</v>
      </c>
      <c r="CU110" t="e">
        <f>AND(#REF!,"AAAAAHNLfWI=")</f>
        <v>#REF!</v>
      </c>
      <c r="CV110" t="e">
        <f>AND(#REF!,"AAAAAHNLfWM=")</f>
        <v>#REF!</v>
      </c>
      <c r="CW110" t="e">
        <f>AND(#REF!,"AAAAAHNLfWQ=")</f>
        <v>#REF!</v>
      </c>
      <c r="CX110" t="e">
        <f>AND(#REF!,"AAAAAHNLfWU=")</f>
        <v>#REF!</v>
      </c>
      <c r="CY110" t="e">
        <f>AND(#REF!,"AAAAAHNLfWY=")</f>
        <v>#REF!</v>
      </c>
      <c r="CZ110" t="e">
        <f>AND(#REF!,"AAAAAHNLfWc=")</f>
        <v>#REF!</v>
      </c>
      <c r="DA110" t="e">
        <f>AND(#REF!,"AAAAAHNLfWg=")</f>
        <v>#REF!</v>
      </c>
      <c r="DB110" t="e">
        <f>AND(#REF!,"AAAAAHNLfWk=")</f>
        <v>#REF!</v>
      </c>
      <c r="DC110" t="e">
        <f>AND(#REF!,"AAAAAHNLfWo=")</f>
        <v>#REF!</v>
      </c>
      <c r="DD110" t="e">
        <f>IF(#REF!,"AAAAAHNLfWs=",0)</f>
        <v>#REF!</v>
      </c>
      <c r="DE110" t="e">
        <f>AND(#REF!,"AAAAAHNLfWw=")</f>
        <v>#REF!</v>
      </c>
      <c r="DF110" t="e">
        <f>AND(#REF!,"AAAAAHNLfW0=")</f>
        <v>#REF!</v>
      </c>
      <c r="DG110" t="e">
        <f>AND(#REF!,"AAAAAHNLfW4=")</f>
        <v>#REF!</v>
      </c>
      <c r="DH110" t="e">
        <f>AND(#REF!,"AAAAAHNLfW8=")</f>
        <v>#REF!</v>
      </c>
      <c r="DI110" t="e">
        <f>AND(#REF!,"AAAAAHNLfXA=")</f>
        <v>#REF!</v>
      </c>
      <c r="DJ110" t="e">
        <f>AND(#REF!,"AAAAAHNLfXE=")</f>
        <v>#REF!</v>
      </c>
      <c r="DK110" t="e">
        <f>AND(#REF!,"AAAAAHNLfXI=")</f>
        <v>#REF!</v>
      </c>
      <c r="DL110" t="e">
        <f>AND(#REF!,"AAAAAHNLfXM=")</f>
        <v>#REF!</v>
      </c>
      <c r="DM110" t="e">
        <f>AND(#REF!,"AAAAAHNLfXQ=")</f>
        <v>#REF!</v>
      </c>
      <c r="DN110" t="e">
        <f>AND(#REF!,"AAAAAHNLfXU=")</f>
        <v>#REF!</v>
      </c>
      <c r="DO110" t="e">
        <f>IF(#REF!,"AAAAAHNLfXY=",0)</f>
        <v>#REF!</v>
      </c>
      <c r="DP110" t="e">
        <f>AND(#REF!,"AAAAAHNLfXc=")</f>
        <v>#REF!</v>
      </c>
      <c r="DQ110" t="e">
        <f>AND(#REF!,"AAAAAHNLfXg=")</f>
        <v>#REF!</v>
      </c>
      <c r="DR110" t="e">
        <f>AND(#REF!,"AAAAAHNLfXk=")</f>
        <v>#REF!</v>
      </c>
      <c r="DS110" t="e">
        <f>AND(#REF!,"AAAAAHNLfXo=")</f>
        <v>#REF!</v>
      </c>
      <c r="DT110" t="e">
        <f>AND(#REF!,"AAAAAHNLfXs=")</f>
        <v>#REF!</v>
      </c>
      <c r="DU110" t="e">
        <f>AND(#REF!,"AAAAAHNLfXw=")</f>
        <v>#REF!</v>
      </c>
      <c r="DV110" t="e">
        <f>AND(#REF!,"AAAAAHNLfX0=")</f>
        <v>#REF!</v>
      </c>
      <c r="DW110" t="e">
        <f>AND(#REF!,"AAAAAHNLfX4=")</f>
        <v>#REF!</v>
      </c>
      <c r="DX110" t="e">
        <f>AND(#REF!,"AAAAAHNLfX8=")</f>
        <v>#REF!</v>
      </c>
      <c r="DY110" t="e">
        <f>AND(#REF!,"AAAAAHNLfYA=")</f>
        <v>#REF!</v>
      </c>
      <c r="DZ110" t="e">
        <f>IF(#REF!,"AAAAAHNLfYE=",0)</f>
        <v>#REF!</v>
      </c>
      <c r="EA110" t="e">
        <f>AND(#REF!,"AAAAAHNLfYI=")</f>
        <v>#REF!</v>
      </c>
      <c r="EB110" t="e">
        <f>AND(#REF!,"AAAAAHNLfYM=")</f>
        <v>#REF!</v>
      </c>
      <c r="EC110" t="e">
        <f>AND(#REF!,"AAAAAHNLfYQ=")</f>
        <v>#REF!</v>
      </c>
      <c r="ED110" t="e">
        <f>AND(#REF!,"AAAAAHNLfYU=")</f>
        <v>#REF!</v>
      </c>
      <c r="EE110" t="e">
        <f>AND(#REF!,"AAAAAHNLfYY=")</f>
        <v>#REF!</v>
      </c>
      <c r="EF110" t="e">
        <f>AND(#REF!,"AAAAAHNLfYc=")</f>
        <v>#REF!</v>
      </c>
      <c r="EG110" t="e">
        <f>AND(#REF!,"AAAAAHNLfYg=")</f>
        <v>#REF!</v>
      </c>
      <c r="EH110" t="e">
        <f>AND(#REF!,"AAAAAHNLfYk=")</f>
        <v>#REF!</v>
      </c>
      <c r="EI110" t="e">
        <f>AND(#REF!,"AAAAAHNLfYo=")</f>
        <v>#REF!</v>
      </c>
      <c r="EJ110" t="e">
        <f>AND(#REF!,"AAAAAHNLfYs=")</f>
        <v>#REF!</v>
      </c>
      <c r="EK110" t="e">
        <f>IF(#REF!,"AAAAAHNLfYw=",0)</f>
        <v>#REF!</v>
      </c>
      <c r="EL110" t="e">
        <f>AND(#REF!,"AAAAAHNLfY0=")</f>
        <v>#REF!</v>
      </c>
      <c r="EM110" t="e">
        <f>AND(#REF!,"AAAAAHNLfY4=")</f>
        <v>#REF!</v>
      </c>
      <c r="EN110" t="e">
        <f>AND(#REF!,"AAAAAHNLfY8=")</f>
        <v>#REF!</v>
      </c>
      <c r="EO110" t="e">
        <f>AND(#REF!,"AAAAAHNLfZA=")</f>
        <v>#REF!</v>
      </c>
      <c r="EP110" t="e">
        <f>AND(#REF!,"AAAAAHNLfZE=")</f>
        <v>#REF!</v>
      </c>
      <c r="EQ110" t="e">
        <f>AND(#REF!,"AAAAAHNLfZI=")</f>
        <v>#REF!</v>
      </c>
      <c r="ER110" t="e">
        <f>AND(#REF!,"AAAAAHNLfZM=")</f>
        <v>#REF!</v>
      </c>
      <c r="ES110" t="e">
        <f>AND(#REF!,"AAAAAHNLfZQ=")</f>
        <v>#REF!</v>
      </c>
      <c r="ET110" t="e">
        <f>AND(#REF!,"AAAAAHNLfZU=")</f>
        <v>#REF!</v>
      </c>
      <c r="EU110" t="e">
        <f>AND(#REF!,"AAAAAHNLfZY=")</f>
        <v>#REF!</v>
      </c>
      <c r="EV110" t="e">
        <f>IF(#REF!,"AAAAAHNLfZc=",0)</f>
        <v>#REF!</v>
      </c>
      <c r="EW110" t="e">
        <f>AND(#REF!,"AAAAAHNLfZg=")</f>
        <v>#REF!</v>
      </c>
      <c r="EX110" t="e">
        <f>AND(#REF!,"AAAAAHNLfZk=")</f>
        <v>#REF!</v>
      </c>
      <c r="EY110" t="e">
        <f>AND(#REF!,"AAAAAHNLfZo=")</f>
        <v>#REF!</v>
      </c>
      <c r="EZ110" t="e">
        <f>AND(#REF!,"AAAAAHNLfZs=")</f>
        <v>#REF!</v>
      </c>
      <c r="FA110" t="e">
        <f>AND(#REF!,"AAAAAHNLfZw=")</f>
        <v>#REF!</v>
      </c>
      <c r="FB110" t="e">
        <f>AND(#REF!,"AAAAAHNLfZ0=")</f>
        <v>#REF!</v>
      </c>
      <c r="FC110" t="e">
        <f>AND(#REF!,"AAAAAHNLfZ4=")</f>
        <v>#REF!</v>
      </c>
      <c r="FD110" t="e">
        <f>AND(#REF!,"AAAAAHNLfZ8=")</f>
        <v>#REF!</v>
      </c>
      <c r="FE110" t="e">
        <f>AND(#REF!,"AAAAAHNLfaA=")</f>
        <v>#REF!</v>
      </c>
      <c r="FF110" t="e">
        <f>AND(#REF!,"AAAAAHNLfaE=")</f>
        <v>#REF!</v>
      </c>
      <c r="FG110" t="e">
        <f>IF(#REF!,"AAAAAHNLfaI=",0)</f>
        <v>#REF!</v>
      </c>
      <c r="FH110" t="e">
        <f>AND(#REF!,"AAAAAHNLfaM=")</f>
        <v>#REF!</v>
      </c>
      <c r="FI110" t="e">
        <f>AND(#REF!,"AAAAAHNLfaQ=")</f>
        <v>#REF!</v>
      </c>
      <c r="FJ110" t="e">
        <f>AND(#REF!,"AAAAAHNLfaU=")</f>
        <v>#REF!</v>
      </c>
      <c r="FK110" t="e">
        <f>AND(#REF!,"AAAAAHNLfaY=")</f>
        <v>#REF!</v>
      </c>
      <c r="FL110" t="e">
        <f>AND(#REF!,"AAAAAHNLfac=")</f>
        <v>#REF!</v>
      </c>
      <c r="FM110" t="e">
        <f>AND(#REF!,"AAAAAHNLfag=")</f>
        <v>#REF!</v>
      </c>
      <c r="FN110" t="e">
        <f>AND(#REF!,"AAAAAHNLfak=")</f>
        <v>#REF!</v>
      </c>
      <c r="FO110" t="e">
        <f>AND(#REF!,"AAAAAHNLfao=")</f>
        <v>#REF!</v>
      </c>
      <c r="FP110" t="e">
        <f>AND(#REF!,"AAAAAHNLfas=")</f>
        <v>#REF!</v>
      </c>
      <c r="FQ110" t="e">
        <f>AND(#REF!,"AAAAAHNLfaw=")</f>
        <v>#REF!</v>
      </c>
      <c r="FR110" t="e">
        <f>IF(#REF!,"AAAAAHNLfa0=",0)</f>
        <v>#REF!</v>
      </c>
      <c r="FS110" t="e">
        <f>AND(#REF!,"AAAAAHNLfa4=")</f>
        <v>#REF!</v>
      </c>
      <c r="FT110" t="e">
        <f>AND(#REF!,"AAAAAHNLfa8=")</f>
        <v>#REF!</v>
      </c>
      <c r="FU110" t="e">
        <f>AND(#REF!,"AAAAAHNLfbA=")</f>
        <v>#REF!</v>
      </c>
      <c r="FV110" t="e">
        <f>AND(#REF!,"AAAAAHNLfbE=")</f>
        <v>#REF!</v>
      </c>
      <c r="FW110" t="e">
        <f>AND(#REF!,"AAAAAHNLfbI=")</f>
        <v>#REF!</v>
      </c>
      <c r="FX110" t="e">
        <f>AND(#REF!,"AAAAAHNLfbM=")</f>
        <v>#REF!</v>
      </c>
      <c r="FY110" t="e">
        <f>AND(#REF!,"AAAAAHNLfbQ=")</f>
        <v>#REF!</v>
      </c>
      <c r="FZ110" t="e">
        <f>AND(#REF!,"AAAAAHNLfbU=")</f>
        <v>#REF!</v>
      </c>
      <c r="GA110" t="e">
        <f>AND(#REF!,"AAAAAHNLfbY=")</f>
        <v>#REF!</v>
      </c>
      <c r="GB110" t="e">
        <f>AND(#REF!,"AAAAAHNLfbc=")</f>
        <v>#REF!</v>
      </c>
      <c r="GC110" t="e">
        <f>IF(#REF!,"AAAAAHNLfbg=",0)</f>
        <v>#REF!</v>
      </c>
      <c r="GD110" t="e">
        <f>AND(#REF!,"AAAAAHNLfbk=")</f>
        <v>#REF!</v>
      </c>
      <c r="GE110" t="e">
        <f>AND(#REF!,"AAAAAHNLfbo=")</f>
        <v>#REF!</v>
      </c>
      <c r="GF110" t="e">
        <f>AND(#REF!,"AAAAAHNLfbs=")</f>
        <v>#REF!</v>
      </c>
      <c r="GG110" t="e">
        <f>AND(#REF!,"AAAAAHNLfbw=")</f>
        <v>#REF!</v>
      </c>
      <c r="GH110" t="e">
        <f>AND(#REF!,"AAAAAHNLfb0=")</f>
        <v>#REF!</v>
      </c>
      <c r="GI110" t="e">
        <f>AND(#REF!,"AAAAAHNLfb4=")</f>
        <v>#REF!</v>
      </c>
      <c r="GJ110" t="e">
        <f>AND(#REF!,"AAAAAHNLfb8=")</f>
        <v>#REF!</v>
      </c>
      <c r="GK110" t="e">
        <f>AND(#REF!,"AAAAAHNLfcA=")</f>
        <v>#REF!</v>
      </c>
      <c r="GL110" t="e">
        <f>AND(#REF!,"AAAAAHNLfcE=")</f>
        <v>#REF!</v>
      </c>
      <c r="GM110" t="e">
        <f>AND(#REF!,"AAAAAHNLfcI=")</f>
        <v>#REF!</v>
      </c>
      <c r="GN110" t="e">
        <f>IF(#REF!,"AAAAAHNLfcM=",0)</f>
        <v>#REF!</v>
      </c>
      <c r="GO110" t="e">
        <f>AND(#REF!,"AAAAAHNLfcQ=")</f>
        <v>#REF!</v>
      </c>
      <c r="GP110" t="e">
        <f>AND(#REF!,"AAAAAHNLfcU=")</f>
        <v>#REF!</v>
      </c>
      <c r="GQ110" t="e">
        <f>AND(#REF!,"AAAAAHNLfcY=")</f>
        <v>#REF!</v>
      </c>
      <c r="GR110" t="e">
        <f>AND(#REF!,"AAAAAHNLfcc=")</f>
        <v>#REF!</v>
      </c>
      <c r="GS110" t="e">
        <f>AND(#REF!,"AAAAAHNLfcg=")</f>
        <v>#REF!</v>
      </c>
      <c r="GT110" t="e">
        <f>AND(#REF!,"AAAAAHNLfck=")</f>
        <v>#REF!</v>
      </c>
      <c r="GU110" t="e">
        <f>AND(#REF!,"AAAAAHNLfco=")</f>
        <v>#REF!</v>
      </c>
      <c r="GV110" t="e">
        <f>AND(#REF!,"AAAAAHNLfcs=")</f>
        <v>#REF!</v>
      </c>
      <c r="GW110" t="e">
        <f>AND(#REF!,"AAAAAHNLfcw=")</f>
        <v>#REF!</v>
      </c>
      <c r="GX110" t="e">
        <f>AND(#REF!,"AAAAAHNLfc0=")</f>
        <v>#REF!</v>
      </c>
      <c r="GY110" t="e">
        <f>IF(#REF!,"AAAAAHNLfc4=",0)</f>
        <v>#REF!</v>
      </c>
      <c r="GZ110" t="e">
        <f>AND(#REF!,"AAAAAHNLfc8=")</f>
        <v>#REF!</v>
      </c>
      <c r="HA110" t="e">
        <f>AND(#REF!,"AAAAAHNLfdA=")</f>
        <v>#REF!</v>
      </c>
      <c r="HB110" t="e">
        <f>AND(#REF!,"AAAAAHNLfdE=")</f>
        <v>#REF!</v>
      </c>
      <c r="HC110" t="e">
        <f>AND(#REF!,"AAAAAHNLfdI=")</f>
        <v>#REF!</v>
      </c>
      <c r="HD110" t="e">
        <f>AND(#REF!,"AAAAAHNLfdM=")</f>
        <v>#REF!</v>
      </c>
      <c r="HE110" t="e">
        <f>AND(#REF!,"AAAAAHNLfdQ=")</f>
        <v>#REF!</v>
      </c>
      <c r="HF110" t="e">
        <f>AND(#REF!,"AAAAAHNLfdU=")</f>
        <v>#REF!</v>
      </c>
      <c r="HG110" t="e">
        <f>AND(#REF!,"AAAAAHNLfdY=")</f>
        <v>#REF!</v>
      </c>
      <c r="HH110" t="e">
        <f>AND(#REF!,"AAAAAHNLfdc=")</f>
        <v>#REF!</v>
      </c>
      <c r="HI110" t="e">
        <f>AND(#REF!,"AAAAAHNLfdg=")</f>
        <v>#REF!</v>
      </c>
      <c r="HJ110" t="e">
        <f>IF(#REF!,"AAAAAHNLfdk=",0)</f>
        <v>#REF!</v>
      </c>
      <c r="HK110" t="e">
        <f>AND(#REF!,"AAAAAHNLfdo=")</f>
        <v>#REF!</v>
      </c>
      <c r="HL110" t="e">
        <f>AND(#REF!,"AAAAAHNLfds=")</f>
        <v>#REF!</v>
      </c>
      <c r="HM110" t="e">
        <f>AND(#REF!,"AAAAAHNLfdw=")</f>
        <v>#REF!</v>
      </c>
      <c r="HN110" t="e">
        <f>AND(#REF!,"AAAAAHNLfd0=")</f>
        <v>#REF!</v>
      </c>
      <c r="HO110" t="e">
        <f>AND(#REF!,"AAAAAHNLfd4=")</f>
        <v>#REF!</v>
      </c>
      <c r="HP110" t="e">
        <f>AND(#REF!,"AAAAAHNLfd8=")</f>
        <v>#REF!</v>
      </c>
      <c r="HQ110" t="e">
        <f>AND(#REF!,"AAAAAHNLfeA=")</f>
        <v>#REF!</v>
      </c>
      <c r="HR110" t="e">
        <f>AND(#REF!,"AAAAAHNLfeE=")</f>
        <v>#REF!</v>
      </c>
      <c r="HS110" t="e">
        <f>AND(#REF!,"AAAAAHNLfeI=")</f>
        <v>#REF!</v>
      </c>
      <c r="HT110" t="e">
        <f>AND(#REF!,"AAAAAHNLfeM=")</f>
        <v>#REF!</v>
      </c>
      <c r="HU110" t="e">
        <f>IF(#REF!,"AAAAAHNLfeQ=",0)</f>
        <v>#REF!</v>
      </c>
      <c r="HV110" t="e">
        <f>AND(#REF!,"AAAAAHNLfeU=")</f>
        <v>#REF!</v>
      </c>
      <c r="HW110" t="e">
        <f>AND(#REF!,"AAAAAHNLfeY=")</f>
        <v>#REF!</v>
      </c>
      <c r="HX110" t="e">
        <f>AND(#REF!,"AAAAAHNLfec=")</f>
        <v>#REF!</v>
      </c>
      <c r="HY110" t="e">
        <f>AND(#REF!,"AAAAAHNLfeg=")</f>
        <v>#REF!</v>
      </c>
      <c r="HZ110" t="e">
        <f>AND(#REF!,"AAAAAHNLfek=")</f>
        <v>#REF!</v>
      </c>
      <c r="IA110" t="e">
        <f>AND(#REF!,"AAAAAHNLfeo=")</f>
        <v>#REF!</v>
      </c>
      <c r="IB110" t="e">
        <f>AND(#REF!,"AAAAAHNLfes=")</f>
        <v>#REF!</v>
      </c>
      <c r="IC110" t="e">
        <f>AND(#REF!,"AAAAAHNLfew=")</f>
        <v>#REF!</v>
      </c>
      <c r="ID110" t="e">
        <f>AND(#REF!,"AAAAAHNLfe0=")</f>
        <v>#REF!</v>
      </c>
      <c r="IE110" t="e">
        <f>AND(#REF!,"AAAAAHNLfe4=")</f>
        <v>#REF!</v>
      </c>
      <c r="IF110" t="e">
        <f>IF(#REF!,"AAAAAHNLfe8=",0)</f>
        <v>#REF!</v>
      </c>
      <c r="IG110" t="e">
        <f>AND(#REF!,"AAAAAHNLffA=")</f>
        <v>#REF!</v>
      </c>
      <c r="IH110" t="e">
        <f>AND(#REF!,"AAAAAHNLffE=")</f>
        <v>#REF!</v>
      </c>
      <c r="II110" t="e">
        <f>AND(#REF!,"AAAAAHNLffI=")</f>
        <v>#REF!</v>
      </c>
      <c r="IJ110" t="e">
        <f>AND(#REF!,"AAAAAHNLffM=")</f>
        <v>#REF!</v>
      </c>
      <c r="IK110" t="e">
        <f>AND(#REF!,"AAAAAHNLffQ=")</f>
        <v>#REF!</v>
      </c>
      <c r="IL110" t="e">
        <f>AND(#REF!,"AAAAAHNLffU=")</f>
        <v>#REF!</v>
      </c>
      <c r="IM110" t="e">
        <f>AND(#REF!,"AAAAAHNLffY=")</f>
        <v>#REF!</v>
      </c>
      <c r="IN110" t="e">
        <f>AND(#REF!,"AAAAAHNLffc=")</f>
        <v>#REF!</v>
      </c>
      <c r="IO110" t="e">
        <f>AND(#REF!,"AAAAAHNLffg=")</f>
        <v>#REF!</v>
      </c>
      <c r="IP110" t="e">
        <f>AND(#REF!,"AAAAAHNLffk=")</f>
        <v>#REF!</v>
      </c>
      <c r="IQ110" t="e">
        <f>IF(#REF!,"AAAAAHNLffo=",0)</f>
        <v>#REF!</v>
      </c>
      <c r="IR110" t="e">
        <f>AND(#REF!,"AAAAAHNLffs=")</f>
        <v>#REF!</v>
      </c>
      <c r="IS110" t="e">
        <f>AND(#REF!,"AAAAAHNLffw=")</f>
        <v>#REF!</v>
      </c>
      <c r="IT110" t="e">
        <f>AND(#REF!,"AAAAAHNLff0=")</f>
        <v>#REF!</v>
      </c>
      <c r="IU110" t="e">
        <f>AND(#REF!,"AAAAAHNLff4=")</f>
        <v>#REF!</v>
      </c>
      <c r="IV110" t="e">
        <f>AND(#REF!,"AAAAAHNLff8=")</f>
        <v>#REF!</v>
      </c>
    </row>
    <row r="111" spans="1:256" x14ac:dyDescent="0.25">
      <c r="A111" t="e">
        <f>AND(#REF!,"AAAAAH7v+QA=")</f>
        <v>#REF!</v>
      </c>
      <c r="B111" t="e">
        <f>AND(#REF!,"AAAAAH7v+QE=")</f>
        <v>#REF!</v>
      </c>
      <c r="C111" t="e">
        <f>AND(#REF!,"AAAAAH7v+QI=")</f>
        <v>#REF!</v>
      </c>
      <c r="D111" t="e">
        <f>AND(#REF!,"AAAAAH7v+QM=")</f>
        <v>#REF!</v>
      </c>
      <c r="E111" t="e">
        <f>AND(#REF!,"AAAAAH7v+QQ=")</f>
        <v>#REF!</v>
      </c>
      <c r="F111" t="e">
        <f>IF(#REF!,"AAAAAH7v+QU=",0)</f>
        <v>#REF!</v>
      </c>
      <c r="G111" t="e">
        <f>AND(#REF!,"AAAAAH7v+QY=")</f>
        <v>#REF!</v>
      </c>
      <c r="H111" t="e">
        <f>AND(#REF!,"AAAAAH7v+Qc=")</f>
        <v>#REF!</v>
      </c>
      <c r="I111" t="e">
        <f>AND(#REF!,"AAAAAH7v+Qg=")</f>
        <v>#REF!</v>
      </c>
      <c r="J111" t="e">
        <f>AND(#REF!,"AAAAAH7v+Qk=")</f>
        <v>#REF!</v>
      </c>
      <c r="K111" t="e">
        <f>AND(#REF!,"AAAAAH7v+Qo=")</f>
        <v>#REF!</v>
      </c>
      <c r="L111" t="e">
        <f>AND(#REF!,"AAAAAH7v+Qs=")</f>
        <v>#REF!</v>
      </c>
      <c r="M111" t="e">
        <f>AND(#REF!,"AAAAAH7v+Qw=")</f>
        <v>#REF!</v>
      </c>
      <c r="N111" t="e">
        <f>AND(#REF!,"AAAAAH7v+Q0=")</f>
        <v>#REF!</v>
      </c>
      <c r="O111" t="e">
        <f>AND(#REF!,"AAAAAH7v+Q4=")</f>
        <v>#REF!</v>
      </c>
      <c r="P111" t="e">
        <f>AND(#REF!,"AAAAAH7v+Q8=")</f>
        <v>#REF!</v>
      </c>
      <c r="Q111" t="e">
        <f>IF(#REF!,"AAAAAH7v+RA=",0)</f>
        <v>#REF!</v>
      </c>
      <c r="R111" t="e">
        <f>AND(#REF!,"AAAAAH7v+RE=")</f>
        <v>#REF!</v>
      </c>
      <c r="S111" t="e">
        <f>AND(#REF!,"AAAAAH7v+RI=")</f>
        <v>#REF!</v>
      </c>
      <c r="T111" t="e">
        <f>AND(#REF!,"AAAAAH7v+RM=")</f>
        <v>#REF!</v>
      </c>
      <c r="U111" t="e">
        <f>AND(#REF!,"AAAAAH7v+RQ=")</f>
        <v>#REF!</v>
      </c>
      <c r="V111" t="e">
        <f>AND(#REF!,"AAAAAH7v+RU=")</f>
        <v>#REF!</v>
      </c>
      <c r="W111" t="e">
        <f>AND(#REF!,"AAAAAH7v+RY=")</f>
        <v>#REF!</v>
      </c>
      <c r="X111" t="e">
        <f>AND(#REF!,"AAAAAH7v+Rc=")</f>
        <v>#REF!</v>
      </c>
      <c r="Y111" t="e">
        <f>AND(#REF!,"AAAAAH7v+Rg=")</f>
        <v>#REF!</v>
      </c>
      <c r="Z111" t="e">
        <f>AND(#REF!,"AAAAAH7v+Rk=")</f>
        <v>#REF!</v>
      </c>
      <c r="AA111" t="e">
        <f>AND(#REF!,"AAAAAH7v+Ro=")</f>
        <v>#REF!</v>
      </c>
      <c r="AB111" t="e">
        <f>IF(#REF!,"AAAAAH7v+Rs=",0)</f>
        <v>#REF!</v>
      </c>
      <c r="AC111" t="e">
        <f>AND(#REF!,"AAAAAH7v+Rw=")</f>
        <v>#REF!</v>
      </c>
      <c r="AD111" t="e">
        <f>AND(#REF!,"AAAAAH7v+R0=")</f>
        <v>#REF!</v>
      </c>
      <c r="AE111" t="e">
        <f>AND(#REF!,"AAAAAH7v+R4=")</f>
        <v>#REF!</v>
      </c>
      <c r="AF111" t="e">
        <f>AND(#REF!,"AAAAAH7v+R8=")</f>
        <v>#REF!</v>
      </c>
      <c r="AG111" t="e">
        <f>AND(#REF!,"AAAAAH7v+SA=")</f>
        <v>#REF!</v>
      </c>
      <c r="AH111" t="e">
        <f>AND(#REF!,"AAAAAH7v+SE=")</f>
        <v>#REF!</v>
      </c>
      <c r="AI111" t="e">
        <f>AND(#REF!,"AAAAAH7v+SI=")</f>
        <v>#REF!</v>
      </c>
      <c r="AJ111" t="e">
        <f>AND(#REF!,"AAAAAH7v+SM=")</f>
        <v>#REF!</v>
      </c>
      <c r="AK111" t="e">
        <f>AND(#REF!,"AAAAAH7v+SQ=")</f>
        <v>#REF!</v>
      </c>
      <c r="AL111" t="e">
        <f>AND(#REF!,"AAAAAH7v+SU=")</f>
        <v>#REF!</v>
      </c>
      <c r="AM111" t="e">
        <f>IF(#REF!,"AAAAAH7v+SY=",0)</f>
        <v>#REF!</v>
      </c>
      <c r="AN111" t="e">
        <f>AND(#REF!,"AAAAAH7v+Sc=")</f>
        <v>#REF!</v>
      </c>
      <c r="AO111" t="e">
        <f>AND(#REF!,"AAAAAH7v+Sg=")</f>
        <v>#REF!</v>
      </c>
      <c r="AP111" t="e">
        <f>AND(#REF!,"AAAAAH7v+Sk=")</f>
        <v>#REF!</v>
      </c>
      <c r="AQ111" t="e">
        <f>AND(#REF!,"AAAAAH7v+So=")</f>
        <v>#REF!</v>
      </c>
      <c r="AR111" t="e">
        <f>AND(#REF!,"AAAAAH7v+Ss=")</f>
        <v>#REF!</v>
      </c>
      <c r="AS111" t="e">
        <f>AND(#REF!,"AAAAAH7v+Sw=")</f>
        <v>#REF!</v>
      </c>
      <c r="AT111" t="e">
        <f>AND(#REF!,"AAAAAH7v+S0=")</f>
        <v>#REF!</v>
      </c>
      <c r="AU111" t="e">
        <f>AND(#REF!,"AAAAAH7v+S4=")</f>
        <v>#REF!</v>
      </c>
      <c r="AV111" t="e">
        <f>AND(#REF!,"AAAAAH7v+S8=")</f>
        <v>#REF!</v>
      </c>
      <c r="AW111" t="e">
        <f>AND(#REF!,"AAAAAH7v+TA=")</f>
        <v>#REF!</v>
      </c>
      <c r="AX111" t="e">
        <f>IF(#REF!,"AAAAAH7v+TE=",0)</f>
        <v>#REF!</v>
      </c>
      <c r="AY111" t="e">
        <f>AND(#REF!,"AAAAAH7v+TI=")</f>
        <v>#REF!</v>
      </c>
      <c r="AZ111" t="e">
        <f>AND(#REF!,"AAAAAH7v+TM=")</f>
        <v>#REF!</v>
      </c>
      <c r="BA111" t="e">
        <f>AND(#REF!,"AAAAAH7v+TQ=")</f>
        <v>#REF!</v>
      </c>
      <c r="BB111" t="e">
        <f>AND(#REF!,"AAAAAH7v+TU=")</f>
        <v>#REF!</v>
      </c>
      <c r="BC111" t="e">
        <f>AND(#REF!,"AAAAAH7v+TY=")</f>
        <v>#REF!</v>
      </c>
      <c r="BD111" t="e">
        <f>AND(#REF!,"AAAAAH7v+Tc=")</f>
        <v>#REF!</v>
      </c>
      <c r="BE111" t="e">
        <f>AND(#REF!,"AAAAAH7v+Tg=")</f>
        <v>#REF!</v>
      </c>
      <c r="BF111" t="e">
        <f>AND(#REF!,"AAAAAH7v+Tk=")</f>
        <v>#REF!</v>
      </c>
      <c r="BG111" t="e">
        <f>AND(#REF!,"AAAAAH7v+To=")</f>
        <v>#REF!</v>
      </c>
      <c r="BH111" t="e">
        <f>AND(#REF!,"AAAAAH7v+Ts=")</f>
        <v>#REF!</v>
      </c>
      <c r="BI111" t="e">
        <f>IF(#REF!,"AAAAAH7v+Tw=",0)</f>
        <v>#REF!</v>
      </c>
      <c r="BJ111" t="e">
        <f>AND(#REF!,"AAAAAH7v+T0=")</f>
        <v>#REF!</v>
      </c>
      <c r="BK111" t="e">
        <f>AND(#REF!,"AAAAAH7v+T4=")</f>
        <v>#REF!</v>
      </c>
      <c r="BL111" t="e">
        <f>AND(#REF!,"AAAAAH7v+T8=")</f>
        <v>#REF!</v>
      </c>
      <c r="BM111" t="e">
        <f>AND(#REF!,"AAAAAH7v+UA=")</f>
        <v>#REF!</v>
      </c>
      <c r="BN111" t="e">
        <f>AND(#REF!,"AAAAAH7v+UE=")</f>
        <v>#REF!</v>
      </c>
      <c r="BO111" t="e">
        <f>AND(#REF!,"AAAAAH7v+UI=")</f>
        <v>#REF!</v>
      </c>
      <c r="BP111" t="e">
        <f>AND(#REF!,"AAAAAH7v+UM=")</f>
        <v>#REF!</v>
      </c>
      <c r="BQ111" t="e">
        <f>AND(#REF!,"AAAAAH7v+UQ=")</f>
        <v>#REF!</v>
      </c>
      <c r="BR111" t="e">
        <f>AND(#REF!,"AAAAAH7v+UU=")</f>
        <v>#REF!</v>
      </c>
      <c r="BS111" t="e">
        <f>AND(#REF!,"AAAAAH7v+UY=")</f>
        <v>#REF!</v>
      </c>
      <c r="BT111" t="e">
        <f>IF(#REF!,"AAAAAH7v+Uc=",0)</f>
        <v>#REF!</v>
      </c>
      <c r="BU111" t="e">
        <f>AND(#REF!,"AAAAAH7v+Ug=")</f>
        <v>#REF!</v>
      </c>
      <c r="BV111" t="e">
        <f>AND(#REF!,"AAAAAH7v+Uk=")</f>
        <v>#REF!</v>
      </c>
      <c r="BW111" t="e">
        <f>AND(#REF!,"AAAAAH7v+Uo=")</f>
        <v>#REF!</v>
      </c>
      <c r="BX111" t="e">
        <f>AND(#REF!,"AAAAAH7v+Us=")</f>
        <v>#REF!</v>
      </c>
      <c r="BY111" t="e">
        <f>AND(#REF!,"AAAAAH7v+Uw=")</f>
        <v>#REF!</v>
      </c>
      <c r="BZ111" t="e">
        <f>AND(#REF!,"AAAAAH7v+U0=")</f>
        <v>#REF!</v>
      </c>
      <c r="CA111" t="e">
        <f>AND(#REF!,"AAAAAH7v+U4=")</f>
        <v>#REF!</v>
      </c>
      <c r="CB111" t="e">
        <f>AND(#REF!,"AAAAAH7v+U8=")</f>
        <v>#REF!</v>
      </c>
      <c r="CC111" t="e">
        <f>AND(#REF!,"AAAAAH7v+VA=")</f>
        <v>#REF!</v>
      </c>
      <c r="CD111" t="e">
        <f>AND(#REF!,"AAAAAH7v+VE=")</f>
        <v>#REF!</v>
      </c>
      <c r="CE111" t="e">
        <f>IF(#REF!,"AAAAAH7v+VI=",0)</f>
        <v>#REF!</v>
      </c>
      <c r="CF111" t="e">
        <f>AND(#REF!,"AAAAAH7v+VM=")</f>
        <v>#REF!</v>
      </c>
      <c r="CG111" t="e">
        <f>AND(#REF!,"AAAAAH7v+VQ=")</f>
        <v>#REF!</v>
      </c>
      <c r="CH111" t="e">
        <f>AND(#REF!,"AAAAAH7v+VU=")</f>
        <v>#REF!</v>
      </c>
      <c r="CI111" t="e">
        <f>AND(#REF!,"AAAAAH7v+VY=")</f>
        <v>#REF!</v>
      </c>
      <c r="CJ111" t="e">
        <f>AND(#REF!,"AAAAAH7v+Vc=")</f>
        <v>#REF!</v>
      </c>
      <c r="CK111" t="e">
        <f>AND(#REF!,"AAAAAH7v+Vg=")</f>
        <v>#REF!</v>
      </c>
      <c r="CL111" t="e">
        <f>AND(#REF!,"AAAAAH7v+Vk=")</f>
        <v>#REF!</v>
      </c>
      <c r="CM111" t="e">
        <f>AND(#REF!,"AAAAAH7v+Vo=")</f>
        <v>#REF!</v>
      </c>
      <c r="CN111" t="e">
        <f>AND(#REF!,"AAAAAH7v+Vs=")</f>
        <v>#REF!</v>
      </c>
      <c r="CO111" t="e">
        <f>AND(#REF!,"AAAAAH7v+Vw=")</f>
        <v>#REF!</v>
      </c>
      <c r="CP111" t="e">
        <f>IF(#REF!,"AAAAAH7v+V0=",0)</f>
        <v>#REF!</v>
      </c>
      <c r="CQ111" t="e">
        <f>AND(#REF!,"AAAAAH7v+V4=")</f>
        <v>#REF!</v>
      </c>
      <c r="CR111" t="e">
        <f>AND(#REF!,"AAAAAH7v+V8=")</f>
        <v>#REF!</v>
      </c>
      <c r="CS111" t="e">
        <f>AND(#REF!,"AAAAAH7v+WA=")</f>
        <v>#REF!</v>
      </c>
      <c r="CT111" t="e">
        <f>AND(#REF!,"AAAAAH7v+WE=")</f>
        <v>#REF!</v>
      </c>
      <c r="CU111" t="e">
        <f>AND(#REF!,"AAAAAH7v+WI=")</f>
        <v>#REF!</v>
      </c>
      <c r="CV111" t="e">
        <f>AND(#REF!,"AAAAAH7v+WM=")</f>
        <v>#REF!</v>
      </c>
      <c r="CW111" t="e">
        <f>AND(#REF!,"AAAAAH7v+WQ=")</f>
        <v>#REF!</v>
      </c>
      <c r="CX111" t="e">
        <f>AND(#REF!,"AAAAAH7v+WU=")</f>
        <v>#REF!</v>
      </c>
      <c r="CY111" t="e">
        <f>AND(#REF!,"AAAAAH7v+WY=")</f>
        <v>#REF!</v>
      </c>
      <c r="CZ111" t="e">
        <f>AND(#REF!,"AAAAAH7v+Wc=")</f>
        <v>#REF!</v>
      </c>
      <c r="DA111" t="e">
        <f>IF(#REF!,"AAAAAH7v+Wg=",0)</f>
        <v>#REF!</v>
      </c>
      <c r="DB111" t="e">
        <f>AND(#REF!,"AAAAAH7v+Wk=")</f>
        <v>#REF!</v>
      </c>
      <c r="DC111" t="e">
        <f>AND(#REF!,"AAAAAH7v+Wo=")</f>
        <v>#REF!</v>
      </c>
      <c r="DD111" t="e">
        <f>AND(#REF!,"AAAAAH7v+Ws=")</f>
        <v>#REF!</v>
      </c>
      <c r="DE111" t="e">
        <f>AND(#REF!,"AAAAAH7v+Ww=")</f>
        <v>#REF!</v>
      </c>
      <c r="DF111" t="e">
        <f>AND(#REF!,"AAAAAH7v+W0=")</f>
        <v>#REF!</v>
      </c>
      <c r="DG111" t="e">
        <f>AND(#REF!,"AAAAAH7v+W4=")</f>
        <v>#REF!</v>
      </c>
      <c r="DH111" t="e">
        <f>AND(#REF!,"AAAAAH7v+W8=")</f>
        <v>#REF!</v>
      </c>
      <c r="DI111" t="e">
        <f>AND(#REF!,"AAAAAH7v+XA=")</f>
        <v>#REF!</v>
      </c>
      <c r="DJ111" t="e">
        <f>AND(#REF!,"AAAAAH7v+XE=")</f>
        <v>#REF!</v>
      </c>
      <c r="DK111" t="e">
        <f>AND(#REF!,"AAAAAH7v+XI=")</f>
        <v>#REF!</v>
      </c>
      <c r="DL111" t="e">
        <f>IF(#REF!,"AAAAAH7v+XM=",0)</f>
        <v>#REF!</v>
      </c>
      <c r="DM111" t="e">
        <f>AND(#REF!,"AAAAAH7v+XQ=")</f>
        <v>#REF!</v>
      </c>
      <c r="DN111" t="e">
        <f>AND(#REF!,"AAAAAH7v+XU=")</f>
        <v>#REF!</v>
      </c>
      <c r="DO111" t="e">
        <f>AND(#REF!,"AAAAAH7v+XY=")</f>
        <v>#REF!</v>
      </c>
      <c r="DP111" t="e">
        <f>AND(#REF!,"AAAAAH7v+Xc=")</f>
        <v>#REF!</v>
      </c>
      <c r="DQ111" t="e">
        <f>AND(#REF!,"AAAAAH7v+Xg=")</f>
        <v>#REF!</v>
      </c>
      <c r="DR111" t="e">
        <f>AND(#REF!,"AAAAAH7v+Xk=")</f>
        <v>#REF!</v>
      </c>
      <c r="DS111" t="e">
        <f>AND(#REF!,"AAAAAH7v+Xo=")</f>
        <v>#REF!</v>
      </c>
      <c r="DT111" t="e">
        <f>AND(#REF!,"AAAAAH7v+Xs=")</f>
        <v>#REF!</v>
      </c>
      <c r="DU111" t="e">
        <f>AND(#REF!,"AAAAAH7v+Xw=")</f>
        <v>#REF!</v>
      </c>
      <c r="DV111" t="e">
        <f>AND(#REF!,"AAAAAH7v+X0=")</f>
        <v>#REF!</v>
      </c>
      <c r="DW111" t="e">
        <f>IF(#REF!,"AAAAAH7v+X4=",0)</f>
        <v>#REF!</v>
      </c>
      <c r="DX111" t="e">
        <f>AND(#REF!,"AAAAAH7v+X8=")</f>
        <v>#REF!</v>
      </c>
      <c r="DY111" t="e">
        <f>AND(#REF!,"AAAAAH7v+YA=")</f>
        <v>#REF!</v>
      </c>
      <c r="DZ111" t="e">
        <f>AND(#REF!,"AAAAAH7v+YE=")</f>
        <v>#REF!</v>
      </c>
      <c r="EA111" t="e">
        <f>AND(#REF!,"AAAAAH7v+YI=")</f>
        <v>#REF!</v>
      </c>
      <c r="EB111" t="e">
        <f>AND(#REF!,"AAAAAH7v+YM=")</f>
        <v>#REF!</v>
      </c>
      <c r="EC111" t="e">
        <f>AND(#REF!,"AAAAAH7v+YQ=")</f>
        <v>#REF!</v>
      </c>
      <c r="ED111" t="e">
        <f>AND(#REF!,"AAAAAH7v+YU=")</f>
        <v>#REF!</v>
      </c>
      <c r="EE111" t="e">
        <f>AND(#REF!,"AAAAAH7v+YY=")</f>
        <v>#REF!</v>
      </c>
      <c r="EF111" t="e">
        <f>AND(#REF!,"AAAAAH7v+Yc=")</f>
        <v>#REF!</v>
      </c>
      <c r="EG111" t="e">
        <f>AND(#REF!,"AAAAAH7v+Yg=")</f>
        <v>#REF!</v>
      </c>
      <c r="EH111" t="e">
        <f>IF(#REF!,"AAAAAH7v+Yk=",0)</f>
        <v>#REF!</v>
      </c>
      <c r="EI111" t="e">
        <f>AND(#REF!,"AAAAAH7v+Yo=")</f>
        <v>#REF!</v>
      </c>
      <c r="EJ111" t="e">
        <f>AND(#REF!,"AAAAAH7v+Ys=")</f>
        <v>#REF!</v>
      </c>
      <c r="EK111" t="e">
        <f>AND(#REF!,"AAAAAH7v+Yw=")</f>
        <v>#REF!</v>
      </c>
      <c r="EL111" t="e">
        <f>AND(#REF!,"AAAAAH7v+Y0=")</f>
        <v>#REF!</v>
      </c>
      <c r="EM111" t="e">
        <f>AND(#REF!,"AAAAAH7v+Y4=")</f>
        <v>#REF!</v>
      </c>
      <c r="EN111" t="e">
        <f>AND(#REF!,"AAAAAH7v+Y8=")</f>
        <v>#REF!</v>
      </c>
      <c r="EO111" t="e">
        <f>AND(#REF!,"AAAAAH7v+ZA=")</f>
        <v>#REF!</v>
      </c>
      <c r="EP111" t="e">
        <f>AND(#REF!,"AAAAAH7v+ZE=")</f>
        <v>#REF!</v>
      </c>
      <c r="EQ111" t="e">
        <f>AND(#REF!,"AAAAAH7v+ZI=")</f>
        <v>#REF!</v>
      </c>
      <c r="ER111" t="e">
        <f>AND(#REF!,"AAAAAH7v+ZM=")</f>
        <v>#REF!</v>
      </c>
      <c r="ES111" t="e">
        <f>IF(#REF!,"AAAAAH7v+ZQ=",0)</f>
        <v>#REF!</v>
      </c>
      <c r="ET111" t="e">
        <f>AND(#REF!,"AAAAAH7v+ZU=")</f>
        <v>#REF!</v>
      </c>
      <c r="EU111" t="e">
        <f>AND(#REF!,"AAAAAH7v+ZY=")</f>
        <v>#REF!</v>
      </c>
      <c r="EV111" t="e">
        <f>AND(#REF!,"AAAAAH7v+Zc=")</f>
        <v>#REF!</v>
      </c>
      <c r="EW111" t="e">
        <f>AND(#REF!,"AAAAAH7v+Zg=")</f>
        <v>#REF!</v>
      </c>
      <c r="EX111" t="e">
        <f>AND(#REF!,"AAAAAH7v+Zk=")</f>
        <v>#REF!</v>
      </c>
      <c r="EY111" t="e">
        <f>AND(#REF!,"AAAAAH7v+Zo=")</f>
        <v>#REF!</v>
      </c>
      <c r="EZ111" t="e">
        <f>AND(#REF!,"AAAAAH7v+Zs=")</f>
        <v>#REF!</v>
      </c>
      <c r="FA111" t="e">
        <f>AND(#REF!,"AAAAAH7v+Zw=")</f>
        <v>#REF!</v>
      </c>
      <c r="FB111" t="e">
        <f>AND(#REF!,"AAAAAH7v+Z0=")</f>
        <v>#REF!</v>
      </c>
      <c r="FC111" t="e">
        <f>AND(#REF!,"AAAAAH7v+Z4=")</f>
        <v>#REF!</v>
      </c>
      <c r="FD111" t="e">
        <f>IF(#REF!,"AAAAAH7v+Z8=",0)</f>
        <v>#REF!</v>
      </c>
      <c r="FE111" t="e">
        <f>AND(#REF!,"AAAAAH7v+aA=")</f>
        <v>#REF!</v>
      </c>
      <c r="FF111" t="e">
        <f>AND(#REF!,"AAAAAH7v+aE=")</f>
        <v>#REF!</v>
      </c>
      <c r="FG111" t="e">
        <f>AND(#REF!,"AAAAAH7v+aI=")</f>
        <v>#REF!</v>
      </c>
      <c r="FH111" t="e">
        <f>AND(#REF!,"AAAAAH7v+aM=")</f>
        <v>#REF!</v>
      </c>
      <c r="FI111" t="e">
        <f>AND(#REF!,"AAAAAH7v+aQ=")</f>
        <v>#REF!</v>
      </c>
      <c r="FJ111" t="e">
        <f>AND(#REF!,"AAAAAH7v+aU=")</f>
        <v>#REF!</v>
      </c>
      <c r="FK111" t="e">
        <f>AND(#REF!,"AAAAAH7v+aY=")</f>
        <v>#REF!</v>
      </c>
      <c r="FL111" t="e">
        <f>AND(#REF!,"AAAAAH7v+ac=")</f>
        <v>#REF!</v>
      </c>
      <c r="FM111" t="e">
        <f>AND(#REF!,"AAAAAH7v+ag=")</f>
        <v>#REF!</v>
      </c>
      <c r="FN111" t="e">
        <f>AND(#REF!,"AAAAAH7v+ak=")</f>
        <v>#REF!</v>
      </c>
      <c r="FO111" t="e">
        <f>IF(#REF!,"AAAAAH7v+ao=",0)</f>
        <v>#REF!</v>
      </c>
      <c r="FP111" t="e">
        <f>AND(#REF!,"AAAAAH7v+as=")</f>
        <v>#REF!</v>
      </c>
      <c r="FQ111" t="e">
        <f>AND(#REF!,"AAAAAH7v+aw=")</f>
        <v>#REF!</v>
      </c>
      <c r="FR111" t="e">
        <f>AND(#REF!,"AAAAAH7v+a0=")</f>
        <v>#REF!</v>
      </c>
      <c r="FS111" t="e">
        <f>AND(#REF!,"AAAAAH7v+a4=")</f>
        <v>#REF!</v>
      </c>
      <c r="FT111" t="e">
        <f>AND(#REF!,"AAAAAH7v+a8=")</f>
        <v>#REF!</v>
      </c>
      <c r="FU111" t="e">
        <f>AND(#REF!,"AAAAAH7v+bA=")</f>
        <v>#REF!</v>
      </c>
      <c r="FV111" t="e">
        <f>AND(#REF!,"AAAAAH7v+bE=")</f>
        <v>#REF!</v>
      </c>
      <c r="FW111" t="e">
        <f>AND(#REF!,"AAAAAH7v+bI=")</f>
        <v>#REF!</v>
      </c>
      <c r="FX111" t="e">
        <f>AND(#REF!,"AAAAAH7v+bM=")</f>
        <v>#REF!</v>
      </c>
      <c r="FY111" t="e">
        <f>AND(#REF!,"AAAAAH7v+bQ=")</f>
        <v>#REF!</v>
      </c>
      <c r="FZ111" t="e">
        <f>IF(#REF!,"AAAAAH7v+bU=",0)</f>
        <v>#REF!</v>
      </c>
      <c r="GA111" t="e">
        <f>AND(#REF!,"AAAAAH7v+bY=")</f>
        <v>#REF!</v>
      </c>
      <c r="GB111" t="e">
        <f>AND(#REF!,"AAAAAH7v+bc=")</f>
        <v>#REF!</v>
      </c>
      <c r="GC111" t="e">
        <f>AND(#REF!,"AAAAAH7v+bg=")</f>
        <v>#REF!</v>
      </c>
      <c r="GD111" t="e">
        <f>AND(#REF!,"AAAAAH7v+bk=")</f>
        <v>#REF!</v>
      </c>
      <c r="GE111" t="e">
        <f>AND(#REF!,"AAAAAH7v+bo=")</f>
        <v>#REF!</v>
      </c>
      <c r="GF111" t="e">
        <f>AND(#REF!,"AAAAAH7v+bs=")</f>
        <v>#REF!</v>
      </c>
      <c r="GG111" t="e">
        <f>AND(#REF!,"AAAAAH7v+bw=")</f>
        <v>#REF!</v>
      </c>
      <c r="GH111" t="e">
        <f>AND(#REF!,"AAAAAH7v+b0=")</f>
        <v>#REF!</v>
      </c>
      <c r="GI111" t="e">
        <f>AND(#REF!,"AAAAAH7v+b4=")</f>
        <v>#REF!</v>
      </c>
      <c r="GJ111" t="e">
        <f>AND(#REF!,"AAAAAH7v+b8=")</f>
        <v>#REF!</v>
      </c>
      <c r="GK111" t="e">
        <f>IF(#REF!,"AAAAAH7v+cA=",0)</f>
        <v>#REF!</v>
      </c>
      <c r="GL111" t="e">
        <f>AND(#REF!,"AAAAAH7v+cE=")</f>
        <v>#REF!</v>
      </c>
      <c r="GM111" t="e">
        <f>AND(#REF!,"AAAAAH7v+cI=")</f>
        <v>#REF!</v>
      </c>
      <c r="GN111" t="e">
        <f>AND(#REF!,"AAAAAH7v+cM=")</f>
        <v>#REF!</v>
      </c>
      <c r="GO111" t="e">
        <f>AND(#REF!,"AAAAAH7v+cQ=")</f>
        <v>#REF!</v>
      </c>
      <c r="GP111" t="e">
        <f>AND(#REF!,"AAAAAH7v+cU=")</f>
        <v>#REF!</v>
      </c>
      <c r="GQ111" t="e">
        <f>AND(#REF!,"AAAAAH7v+cY=")</f>
        <v>#REF!</v>
      </c>
      <c r="GR111" t="e">
        <f>AND(#REF!,"AAAAAH7v+cc=")</f>
        <v>#REF!</v>
      </c>
      <c r="GS111" t="e">
        <f>AND(#REF!,"AAAAAH7v+cg=")</f>
        <v>#REF!</v>
      </c>
      <c r="GT111" t="e">
        <f>AND(#REF!,"AAAAAH7v+ck=")</f>
        <v>#REF!</v>
      </c>
      <c r="GU111" t="e">
        <f>AND(#REF!,"AAAAAH7v+co=")</f>
        <v>#REF!</v>
      </c>
      <c r="GV111" t="e">
        <f>IF(#REF!,"AAAAAH7v+cs=",0)</f>
        <v>#REF!</v>
      </c>
      <c r="GW111" t="e">
        <f>AND(#REF!,"AAAAAH7v+cw=")</f>
        <v>#REF!</v>
      </c>
      <c r="GX111" t="e">
        <f>AND(#REF!,"AAAAAH7v+c0=")</f>
        <v>#REF!</v>
      </c>
      <c r="GY111" t="e">
        <f>AND(#REF!,"AAAAAH7v+c4=")</f>
        <v>#REF!</v>
      </c>
      <c r="GZ111" t="e">
        <f>AND(#REF!,"AAAAAH7v+c8=")</f>
        <v>#REF!</v>
      </c>
      <c r="HA111" t="e">
        <f>AND(#REF!,"AAAAAH7v+dA=")</f>
        <v>#REF!</v>
      </c>
      <c r="HB111" t="e">
        <f>AND(#REF!,"AAAAAH7v+dE=")</f>
        <v>#REF!</v>
      </c>
      <c r="HC111" t="e">
        <f>AND(#REF!,"AAAAAH7v+dI=")</f>
        <v>#REF!</v>
      </c>
      <c r="HD111" t="e">
        <f>AND(#REF!,"AAAAAH7v+dM=")</f>
        <v>#REF!</v>
      </c>
      <c r="HE111" t="e">
        <f>AND(#REF!,"AAAAAH7v+dQ=")</f>
        <v>#REF!</v>
      </c>
      <c r="HF111" t="e">
        <f>AND(#REF!,"AAAAAH7v+dU=")</f>
        <v>#REF!</v>
      </c>
      <c r="HG111" t="e">
        <f>IF(#REF!,"AAAAAH7v+dY=",0)</f>
        <v>#REF!</v>
      </c>
      <c r="HH111" t="e">
        <f>AND(#REF!,"AAAAAH7v+dc=")</f>
        <v>#REF!</v>
      </c>
      <c r="HI111" t="e">
        <f>AND(#REF!,"AAAAAH7v+dg=")</f>
        <v>#REF!</v>
      </c>
      <c r="HJ111" t="e">
        <f>AND(#REF!,"AAAAAH7v+dk=")</f>
        <v>#REF!</v>
      </c>
      <c r="HK111" t="e">
        <f>AND(#REF!,"AAAAAH7v+do=")</f>
        <v>#REF!</v>
      </c>
      <c r="HL111" t="e">
        <f>AND(#REF!,"AAAAAH7v+ds=")</f>
        <v>#REF!</v>
      </c>
      <c r="HM111" t="e">
        <f>AND(#REF!,"AAAAAH7v+dw=")</f>
        <v>#REF!</v>
      </c>
      <c r="HN111" t="e">
        <f>AND(#REF!,"AAAAAH7v+d0=")</f>
        <v>#REF!</v>
      </c>
      <c r="HO111" t="e">
        <f>AND(#REF!,"AAAAAH7v+d4=")</f>
        <v>#REF!</v>
      </c>
      <c r="HP111" t="e">
        <f>AND(#REF!,"AAAAAH7v+d8=")</f>
        <v>#REF!</v>
      </c>
      <c r="HQ111" t="e">
        <f>AND(#REF!,"AAAAAH7v+eA=")</f>
        <v>#REF!</v>
      </c>
      <c r="HR111" t="e">
        <f>IF(#REF!,"AAAAAH7v+eE=",0)</f>
        <v>#REF!</v>
      </c>
      <c r="HS111" t="e">
        <f>AND(#REF!,"AAAAAH7v+eI=")</f>
        <v>#REF!</v>
      </c>
      <c r="HT111" t="e">
        <f>AND(#REF!,"AAAAAH7v+eM=")</f>
        <v>#REF!</v>
      </c>
      <c r="HU111" t="e">
        <f>AND(#REF!,"AAAAAH7v+eQ=")</f>
        <v>#REF!</v>
      </c>
      <c r="HV111" t="e">
        <f>AND(#REF!,"AAAAAH7v+eU=")</f>
        <v>#REF!</v>
      </c>
      <c r="HW111" t="e">
        <f>AND(#REF!,"AAAAAH7v+eY=")</f>
        <v>#REF!</v>
      </c>
      <c r="HX111" t="e">
        <f>AND(#REF!,"AAAAAH7v+ec=")</f>
        <v>#REF!</v>
      </c>
      <c r="HY111" t="e">
        <f>AND(#REF!,"AAAAAH7v+eg=")</f>
        <v>#REF!</v>
      </c>
      <c r="HZ111" t="e">
        <f>AND(#REF!,"AAAAAH7v+ek=")</f>
        <v>#REF!</v>
      </c>
      <c r="IA111" t="e">
        <f>AND(#REF!,"AAAAAH7v+eo=")</f>
        <v>#REF!</v>
      </c>
      <c r="IB111" t="e">
        <f>AND(#REF!,"AAAAAH7v+es=")</f>
        <v>#REF!</v>
      </c>
      <c r="IC111" t="e">
        <f>IF(#REF!,"AAAAAH7v+ew=",0)</f>
        <v>#REF!</v>
      </c>
      <c r="ID111" t="e">
        <f>AND(#REF!,"AAAAAH7v+e0=")</f>
        <v>#REF!</v>
      </c>
      <c r="IE111" t="e">
        <f>AND(#REF!,"AAAAAH7v+e4=")</f>
        <v>#REF!</v>
      </c>
      <c r="IF111" t="e">
        <f>AND(#REF!,"AAAAAH7v+e8=")</f>
        <v>#REF!</v>
      </c>
      <c r="IG111" t="e">
        <f>AND(#REF!,"AAAAAH7v+fA=")</f>
        <v>#REF!</v>
      </c>
      <c r="IH111" t="e">
        <f>AND(#REF!,"AAAAAH7v+fE=")</f>
        <v>#REF!</v>
      </c>
      <c r="II111" t="e">
        <f>AND(#REF!,"AAAAAH7v+fI=")</f>
        <v>#REF!</v>
      </c>
      <c r="IJ111" t="e">
        <f>AND(#REF!,"AAAAAH7v+fM=")</f>
        <v>#REF!</v>
      </c>
      <c r="IK111" t="e">
        <f>AND(#REF!,"AAAAAH7v+fQ=")</f>
        <v>#REF!</v>
      </c>
      <c r="IL111" t="e">
        <f>AND(#REF!,"AAAAAH7v+fU=")</f>
        <v>#REF!</v>
      </c>
      <c r="IM111" t="e">
        <f>AND(#REF!,"AAAAAH7v+fY=")</f>
        <v>#REF!</v>
      </c>
      <c r="IN111" t="e">
        <f>IF(#REF!,"AAAAAH7v+fc=",0)</f>
        <v>#REF!</v>
      </c>
      <c r="IO111" t="e">
        <f>AND(#REF!,"AAAAAH7v+fg=")</f>
        <v>#REF!</v>
      </c>
      <c r="IP111" t="e">
        <f>AND(#REF!,"AAAAAH7v+fk=")</f>
        <v>#REF!</v>
      </c>
      <c r="IQ111" t="e">
        <f>AND(#REF!,"AAAAAH7v+fo=")</f>
        <v>#REF!</v>
      </c>
      <c r="IR111" t="e">
        <f>AND(#REF!,"AAAAAH7v+fs=")</f>
        <v>#REF!</v>
      </c>
      <c r="IS111" t="e">
        <f>AND(#REF!,"AAAAAH7v+fw=")</f>
        <v>#REF!</v>
      </c>
      <c r="IT111" t="e">
        <f>AND(#REF!,"AAAAAH7v+f0=")</f>
        <v>#REF!</v>
      </c>
      <c r="IU111" t="e">
        <f>AND(#REF!,"AAAAAH7v+f4=")</f>
        <v>#REF!</v>
      </c>
      <c r="IV111" t="e">
        <f>AND(#REF!,"AAAAAH7v+f8=")</f>
        <v>#REF!</v>
      </c>
    </row>
    <row r="112" spans="1:256" x14ac:dyDescent="0.25">
      <c r="A112" t="e">
        <f>AND(#REF!,"AAAAAH5vGQA=")</f>
        <v>#REF!</v>
      </c>
      <c r="B112" t="e">
        <f>AND(#REF!,"AAAAAH5vGQE=")</f>
        <v>#REF!</v>
      </c>
      <c r="C112" t="e">
        <f>IF(#REF!,"AAAAAH5vGQI=",0)</f>
        <v>#REF!</v>
      </c>
      <c r="D112" t="e">
        <f>AND(#REF!,"AAAAAH5vGQM=")</f>
        <v>#REF!</v>
      </c>
      <c r="E112" t="e">
        <f>AND(#REF!,"AAAAAH5vGQQ=")</f>
        <v>#REF!</v>
      </c>
      <c r="F112" t="e">
        <f>AND(#REF!,"AAAAAH5vGQU=")</f>
        <v>#REF!</v>
      </c>
      <c r="G112" t="e">
        <f>AND(#REF!,"AAAAAH5vGQY=")</f>
        <v>#REF!</v>
      </c>
      <c r="H112" t="e">
        <f>AND(#REF!,"AAAAAH5vGQc=")</f>
        <v>#REF!</v>
      </c>
      <c r="I112" t="e">
        <f>AND(#REF!,"AAAAAH5vGQg=")</f>
        <v>#REF!</v>
      </c>
      <c r="J112" t="e">
        <f>AND(#REF!,"AAAAAH5vGQk=")</f>
        <v>#REF!</v>
      </c>
      <c r="K112" t="e">
        <f>AND(#REF!,"AAAAAH5vGQo=")</f>
        <v>#REF!</v>
      </c>
      <c r="L112" t="e">
        <f>AND(#REF!,"AAAAAH5vGQs=")</f>
        <v>#REF!</v>
      </c>
      <c r="M112" t="e">
        <f>AND(#REF!,"AAAAAH5vGQw=")</f>
        <v>#REF!</v>
      </c>
      <c r="N112" t="e">
        <f>IF(#REF!,"AAAAAH5vGQ0=",0)</f>
        <v>#REF!</v>
      </c>
      <c r="O112" t="e">
        <f>AND(#REF!,"AAAAAH5vGQ4=")</f>
        <v>#REF!</v>
      </c>
      <c r="P112" t="e">
        <f>AND(#REF!,"AAAAAH5vGQ8=")</f>
        <v>#REF!</v>
      </c>
      <c r="Q112" t="e">
        <f>AND(#REF!,"AAAAAH5vGRA=")</f>
        <v>#REF!</v>
      </c>
      <c r="R112" t="e">
        <f>AND(#REF!,"AAAAAH5vGRE=")</f>
        <v>#REF!</v>
      </c>
      <c r="S112" t="e">
        <f>AND(#REF!,"AAAAAH5vGRI=")</f>
        <v>#REF!</v>
      </c>
      <c r="T112" t="e">
        <f>AND(#REF!,"AAAAAH5vGRM=")</f>
        <v>#REF!</v>
      </c>
      <c r="U112" t="e">
        <f>AND(#REF!,"AAAAAH5vGRQ=")</f>
        <v>#REF!</v>
      </c>
      <c r="V112" t="e">
        <f>AND(#REF!,"AAAAAH5vGRU=")</f>
        <v>#REF!</v>
      </c>
      <c r="W112" t="e">
        <f>AND(#REF!,"AAAAAH5vGRY=")</f>
        <v>#REF!</v>
      </c>
      <c r="X112" t="e">
        <f>AND(#REF!,"AAAAAH5vGRc=")</f>
        <v>#REF!</v>
      </c>
      <c r="Y112" t="e">
        <f>IF(#REF!,"AAAAAH5vGRg=",0)</f>
        <v>#REF!</v>
      </c>
      <c r="Z112" t="e">
        <f>AND(#REF!,"AAAAAH5vGRk=")</f>
        <v>#REF!</v>
      </c>
      <c r="AA112" t="e">
        <f>AND(#REF!,"AAAAAH5vGRo=")</f>
        <v>#REF!</v>
      </c>
      <c r="AB112" t="e">
        <f>AND(#REF!,"AAAAAH5vGRs=")</f>
        <v>#REF!</v>
      </c>
      <c r="AC112" t="e">
        <f>AND(#REF!,"AAAAAH5vGRw=")</f>
        <v>#REF!</v>
      </c>
      <c r="AD112" t="e">
        <f>AND(#REF!,"AAAAAH5vGR0=")</f>
        <v>#REF!</v>
      </c>
      <c r="AE112" t="e">
        <f>AND(#REF!,"AAAAAH5vGR4=")</f>
        <v>#REF!</v>
      </c>
      <c r="AF112" t="e">
        <f>AND(#REF!,"AAAAAH5vGR8=")</f>
        <v>#REF!</v>
      </c>
      <c r="AG112" t="e">
        <f>AND(#REF!,"AAAAAH5vGSA=")</f>
        <v>#REF!</v>
      </c>
      <c r="AH112" t="e">
        <f>AND(#REF!,"AAAAAH5vGSE=")</f>
        <v>#REF!</v>
      </c>
      <c r="AI112" t="e">
        <f>AND(#REF!,"AAAAAH5vGSI=")</f>
        <v>#REF!</v>
      </c>
      <c r="AJ112" t="e">
        <f>IF(#REF!,"AAAAAH5vGSM=",0)</f>
        <v>#REF!</v>
      </c>
      <c r="AK112" t="e">
        <f>AND(#REF!,"AAAAAH5vGSQ=")</f>
        <v>#REF!</v>
      </c>
      <c r="AL112" t="e">
        <f>AND(#REF!,"AAAAAH5vGSU=")</f>
        <v>#REF!</v>
      </c>
      <c r="AM112" t="e">
        <f>AND(#REF!,"AAAAAH5vGSY=")</f>
        <v>#REF!</v>
      </c>
      <c r="AN112" t="e">
        <f>AND(#REF!,"AAAAAH5vGSc=")</f>
        <v>#REF!</v>
      </c>
      <c r="AO112" t="e">
        <f>AND(#REF!,"AAAAAH5vGSg=")</f>
        <v>#REF!</v>
      </c>
      <c r="AP112" t="e">
        <f>AND(#REF!,"AAAAAH5vGSk=")</f>
        <v>#REF!</v>
      </c>
      <c r="AQ112" t="e">
        <f>AND(#REF!,"AAAAAH5vGSo=")</f>
        <v>#REF!</v>
      </c>
      <c r="AR112" t="e">
        <f>AND(#REF!,"AAAAAH5vGSs=")</f>
        <v>#REF!</v>
      </c>
      <c r="AS112" t="e">
        <f>AND(#REF!,"AAAAAH5vGSw=")</f>
        <v>#REF!</v>
      </c>
      <c r="AT112" t="e">
        <f>AND(#REF!,"AAAAAH5vGS0=")</f>
        <v>#REF!</v>
      </c>
      <c r="AU112" t="e">
        <f>IF(#REF!,"AAAAAH5vGS4=",0)</f>
        <v>#REF!</v>
      </c>
      <c r="AV112" t="e">
        <f>AND(#REF!,"AAAAAH5vGS8=")</f>
        <v>#REF!</v>
      </c>
      <c r="AW112" t="e">
        <f>AND(#REF!,"AAAAAH5vGTA=")</f>
        <v>#REF!</v>
      </c>
      <c r="AX112" t="e">
        <f>AND(#REF!,"AAAAAH5vGTE=")</f>
        <v>#REF!</v>
      </c>
      <c r="AY112" t="e">
        <f>AND(#REF!,"AAAAAH5vGTI=")</f>
        <v>#REF!</v>
      </c>
      <c r="AZ112" t="e">
        <f>AND(#REF!,"AAAAAH5vGTM=")</f>
        <v>#REF!</v>
      </c>
      <c r="BA112" t="e">
        <f>AND(#REF!,"AAAAAH5vGTQ=")</f>
        <v>#REF!</v>
      </c>
      <c r="BB112" t="e">
        <f>AND(#REF!,"AAAAAH5vGTU=")</f>
        <v>#REF!</v>
      </c>
      <c r="BC112" t="e">
        <f>AND(#REF!,"AAAAAH5vGTY=")</f>
        <v>#REF!</v>
      </c>
      <c r="BD112" t="e">
        <f>AND(#REF!,"AAAAAH5vGTc=")</f>
        <v>#REF!</v>
      </c>
      <c r="BE112" t="e">
        <f>AND(#REF!,"AAAAAH5vGTg=")</f>
        <v>#REF!</v>
      </c>
      <c r="BF112" t="e">
        <f>IF(#REF!,"AAAAAH5vGTk=",0)</f>
        <v>#REF!</v>
      </c>
      <c r="BG112" t="e">
        <f>AND(#REF!,"AAAAAH5vGTo=")</f>
        <v>#REF!</v>
      </c>
      <c r="BH112" t="e">
        <f>AND(#REF!,"AAAAAH5vGTs=")</f>
        <v>#REF!</v>
      </c>
      <c r="BI112" t="e">
        <f>AND(#REF!,"AAAAAH5vGTw=")</f>
        <v>#REF!</v>
      </c>
      <c r="BJ112" t="e">
        <f>AND(#REF!,"AAAAAH5vGT0=")</f>
        <v>#REF!</v>
      </c>
      <c r="BK112" t="e">
        <f>AND(#REF!,"AAAAAH5vGT4=")</f>
        <v>#REF!</v>
      </c>
      <c r="BL112" t="e">
        <f>AND(#REF!,"AAAAAH5vGT8=")</f>
        <v>#REF!</v>
      </c>
      <c r="BM112" t="e">
        <f>AND(#REF!,"AAAAAH5vGUA=")</f>
        <v>#REF!</v>
      </c>
      <c r="BN112" t="e">
        <f>AND(#REF!,"AAAAAH5vGUE=")</f>
        <v>#REF!</v>
      </c>
      <c r="BO112" t="e">
        <f>AND(#REF!,"AAAAAH5vGUI=")</f>
        <v>#REF!</v>
      </c>
      <c r="BP112" t="e">
        <f>AND(#REF!,"AAAAAH5vGUM=")</f>
        <v>#REF!</v>
      </c>
      <c r="BQ112" t="e">
        <f>IF(#REF!,"AAAAAH5vGUQ=",0)</f>
        <v>#REF!</v>
      </c>
      <c r="BR112" t="e">
        <f>AND(#REF!,"AAAAAH5vGUU=")</f>
        <v>#REF!</v>
      </c>
      <c r="BS112" t="e">
        <f>AND(#REF!,"AAAAAH5vGUY=")</f>
        <v>#REF!</v>
      </c>
      <c r="BT112" t="e">
        <f>AND(#REF!,"AAAAAH5vGUc=")</f>
        <v>#REF!</v>
      </c>
      <c r="BU112" t="e">
        <f>AND(#REF!,"AAAAAH5vGUg=")</f>
        <v>#REF!</v>
      </c>
      <c r="BV112" t="e">
        <f>AND(#REF!,"AAAAAH5vGUk=")</f>
        <v>#REF!</v>
      </c>
      <c r="BW112" t="e">
        <f>AND(#REF!,"AAAAAH5vGUo=")</f>
        <v>#REF!</v>
      </c>
      <c r="BX112" t="e">
        <f>AND(#REF!,"AAAAAH5vGUs=")</f>
        <v>#REF!</v>
      </c>
      <c r="BY112" t="e">
        <f>AND(#REF!,"AAAAAH5vGUw=")</f>
        <v>#REF!</v>
      </c>
      <c r="BZ112" t="e">
        <f>AND(#REF!,"AAAAAH5vGU0=")</f>
        <v>#REF!</v>
      </c>
      <c r="CA112" t="e">
        <f>AND(#REF!,"AAAAAH5vGU4=")</f>
        <v>#REF!</v>
      </c>
      <c r="CB112" t="e">
        <f>IF(#REF!,"AAAAAH5vGU8=",0)</f>
        <v>#REF!</v>
      </c>
      <c r="CC112" t="e">
        <f>AND(#REF!,"AAAAAH5vGVA=")</f>
        <v>#REF!</v>
      </c>
      <c r="CD112" t="e">
        <f>AND(#REF!,"AAAAAH5vGVE=")</f>
        <v>#REF!</v>
      </c>
      <c r="CE112" t="e">
        <f>AND(#REF!,"AAAAAH5vGVI=")</f>
        <v>#REF!</v>
      </c>
      <c r="CF112" t="e">
        <f>AND(#REF!,"AAAAAH5vGVM=")</f>
        <v>#REF!</v>
      </c>
      <c r="CG112" t="e">
        <f>AND(#REF!,"AAAAAH5vGVQ=")</f>
        <v>#REF!</v>
      </c>
      <c r="CH112" t="e">
        <f>AND(#REF!,"AAAAAH5vGVU=")</f>
        <v>#REF!</v>
      </c>
      <c r="CI112" t="e">
        <f>AND(#REF!,"AAAAAH5vGVY=")</f>
        <v>#REF!</v>
      </c>
      <c r="CJ112" t="e">
        <f>AND(#REF!,"AAAAAH5vGVc=")</f>
        <v>#REF!</v>
      </c>
      <c r="CK112" t="e">
        <f>AND(#REF!,"AAAAAH5vGVg=")</f>
        <v>#REF!</v>
      </c>
      <c r="CL112" t="e">
        <f>AND(#REF!,"AAAAAH5vGVk=")</f>
        <v>#REF!</v>
      </c>
      <c r="CM112" t="e">
        <f>IF(#REF!,"AAAAAH5vGVo=",0)</f>
        <v>#REF!</v>
      </c>
      <c r="CN112" t="e">
        <f>AND(#REF!,"AAAAAH5vGVs=")</f>
        <v>#REF!</v>
      </c>
      <c r="CO112" t="e">
        <f>AND(#REF!,"AAAAAH5vGVw=")</f>
        <v>#REF!</v>
      </c>
      <c r="CP112" t="e">
        <f>AND(#REF!,"AAAAAH5vGV0=")</f>
        <v>#REF!</v>
      </c>
      <c r="CQ112" t="e">
        <f>AND(#REF!,"AAAAAH5vGV4=")</f>
        <v>#REF!</v>
      </c>
      <c r="CR112" t="e">
        <f>AND(#REF!,"AAAAAH5vGV8=")</f>
        <v>#REF!</v>
      </c>
      <c r="CS112" t="e">
        <f>AND(#REF!,"AAAAAH5vGWA=")</f>
        <v>#REF!</v>
      </c>
      <c r="CT112" t="e">
        <f>AND(#REF!,"AAAAAH5vGWE=")</f>
        <v>#REF!</v>
      </c>
      <c r="CU112" t="e">
        <f>AND(#REF!,"AAAAAH5vGWI=")</f>
        <v>#REF!</v>
      </c>
      <c r="CV112" t="e">
        <f>AND(#REF!,"AAAAAH5vGWM=")</f>
        <v>#REF!</v>
      </c>
      <c r="CW112" t="e">
        <f>AND(#REF!,"AAAAAH5vGWQ=")</f>
        <v>#REF!</v>
      </c>
      <c r="CX112" t="e">
        <f>IF(#REF!,"AAAAAH5vGWU=",0)</f>
        <v>#REF!</v>
      </c>
      <c r="CY112" t="e">
        <f>AND(#REF!,"AAAAAH5vGWY=")</f>
        <v>#REF!</v>
      </c>
      <c r="CZ112" t="e">
        <f>AND(#REF!,"AAAAAH5vGWc=")</f>
        <v>#REF!</v>
      </c>
      <c r="DA112" t="e">
        <f>AND(#REF!,"AAAAAH5vGWg=")</f>
        <v>#REF!</v>
      </c>
      <c r="DB112" t="e">
        <f>AND(#REF!,"AAAAAH5vGWk=")</f>
        <v>#REF!</v>
      </c>
      <c r="DC112" t="e">
        <f>AND(#REF!,"AAAAAH5vGWo=")</f>
        <v>#REF!</v>
      </c>
      <c r="DD112" t="e">
        <f>AND(#REF!,"AAAAAH5vGWs=")</f>
        <v>#REF!</v>
      </c>
      <c r="DE112" t="e">
        <f>AND(#REF!,"AAAAAH5vGWw=")</f>
        <v>#REF!</v>
      </c>
      <c r="DF112" t="e">
        <f>AND(#REF!,"AAAAAH5vGW0=")</f>
        <v>#REF!</v>
      </c>
      <c r="DG112" t="e">
        <f>AND(#REF!,"AAAAAH5vGW4=")</f>
        <v>#REF!</v>
      </c>
      <c r="DH112" t="e">
        <f>AND(#REF!,"AAAAAH5vGW8=")</f>
        <v>#REF!</v>
      </c>
      <c r="DI112" t="e">
        <f>IF(#REF!,"AAAAAH5vGXA=",0)</f>
        <v>#REF!</v>
      </c>
      <c r="DJ112" t="e">
        <f>AND(#REF!,"AAAAAH5vGXE=")</f>
        <v>#REF!</v>
      </c>
      <c r="DK112" t="e">
        <f>AND(#REF!,"AAAAAH5vGXI=")</f>
        <v>#REF!</v>
      </c>
      <c r="DL112" t="e">
        <f>AND(#REF!,"AAAAAH5vGXM=")</f>
        <v>#REF!</v>
      </c>
      <c r="DM112" t="e">
        <f>AND(#REF!,"AAAAAH5vGXQ=")</f>
        <v>#REF!</v>
      </c>
      <c r="DN112" t="e">
        <f>AND(#REF!,"AAAAAH5vGXU=")</f>
        <v>#REF!</v>
      </c>
      <c r="DO112" t="e">
        <f>AND(#REF!,"AAAAAH5vGXY=")</f>
        <v>#REF!</v>
      </c>
      <c r="DP112" t="e">
        <f>AND(#REF!,"AAAAAH5vGXc=")</f>
        <v>#REF!</v>
      </c>
      <c r="DQ112" t="e">
        <f>AND(#REF!,"AAAAAH5vGXg=")</f>
        <v>#REF!</v>
      </c>
      <c r="DR112" t="e">
        <f>AND(#REF!,"AAAAAH5vGXk=")</f>
        <v>#REF!</v>
      </c>
      <c r="DS112" t="e">
        <f>AND(#REF!,"AAAAAH5vGXo=")</f>
        <v>#REF!</v>
      </c>
      <c r="DT112" t="e">
        <f>IF(#REF!,"AAAAAH5vGXs=",0)</f>
        <v>#REF!</v>
      </c>
      <c r="DU112" t="e">
        <f>AND(#REF!,"AAAAAH5vGXw=")</f>
        <v>#REF!</v>
      </c>
      <c r="DV112" t="e">
        <f>AND(#REF!,"AAAAAH5vGX0=")</f>
        <v>#REF!</v>
      </c>
      <c r="DW112" t="e">
        <f>AND(#REF!,"AAAAAH5vGX4=")</f>
        <v>#REF!</v>
      </c>
      <c r="DX112" t="e">
        <f>AND(#REF!,"AAAAAH5vGX8=")</f>
        <v>#REF!</v>
      </c>
      <c r="DY112" t="e">
        <f>AND(#REF!,"AAAAAH5vGYA=")</f>
        <v>#REF!</v>
      </c>
      <c r="DZ112" t="e">
        <f>AND(#REF!,"AAAAAH5vGYE=")</f>
        <v>#REF!</v>
      </c>
      <c r="EA112" t="e">
        <f>AND(#REF!,"AAAAAH5vGYI=")</f>
        <v>#REF!</v>
      </c>
      <c r="EB112" t="e">
        <f>AND(#REF!,"AAAAAH5vGYM=")</f>
        <v>#REF!</v>
      </c>
      <c r="EC112" t="e">
        <f>AND(#REF!,"AAAAAH5vGYQ=")</f>
        <v>#REF!</v>
      </c>
      <c r="ED112" t="e">
        <f>AND(#REF!,"AAAAAH5vGYU=")</f>
        <v>#REF!</v>
      </c>
      <c r="EE112" t="e">
        <f>IF(#REF!,"AAAAAH5vGYY=",0)</f>
        <v>#REF!</v>
      </c>
      <c r="EF112" t="e">
        <f>AND(#REF!,"AAAAAH5vGYc=")</f>
        <v>#REF!</v>
      </c>
      <c r="EG112" t="e">
        <f>AND(#REF!,"AAAAAH5vGYg=")</f>
        <v>#REF!</v>
      </c>
      <c r="EH112" t="e">
        <f>AND(#REF!,"AAAAAH5vGYk=")</f>
        <v>#REF!</v>
      </c>
      <c r="EI112" t="e">
        <f>AND(#REF!,"AAAAAH5vGYo=")</f>
        <v>#REF!</v>
      </c>
      <c r="EJ112" t="e">
        <f>AND(#REF!,"AAAAAH5vGYs=")</f>
        <v>#REF!</v>
      </c>
      <c r="EK112" t="e">
        <f>AND(#REF!,"AAAAAH5vGYw=")</f>
        <v>#REF!</v>
      </c>
      <c r="EL112" t="e">
        <f>AND(#REF!,"AAAAAH5vGY0=")</f>
        <v>#REF!</v>
      </c>
      <c r="EM112" t="e">
        <f>AND(#REF!,"AAAAAH5vGY4=")</f>
        <v>#REF!</v>
      </c>
      <c r="EN112" t="e">
        <f>AND(#REF!,"AAAAAH5vGY8=")</f>
        <v>#REF!</v>
      </c>
      <c r="EO112" t="e">
        <f>AND(#REF!,"AAAAAH5vGZA=")</f>
        <v>#REF!</v>
      </c>
      <c r="EP112" t="e">
        <f>IF(#REF!,"AAAAAH5vGZE=",0)</f>
        <v>#REF!</v>
      </c>
      <c r="EQ112" t="e">
        <f>AND(#REF!,"AAAAAH5vGZI=")</f>
        <v>#REF!</v>
      </c>
      <c r="ER112" t="e">
        <f>AND(#REF!,"AAAAAH5vGZM=")</f>
        <v>#REF!</v>
      </c>
      <c r="ES112" t="e">
        <f>AND(#REF!,"AAAAAH5vGZQ=")</f>
        <v>#REF!</v>
      </c>
      <c r="ET112" t="e">
        <f>AND(#REF!,"AAAAAH5vGZU=")</f>
        <v>#REF!</v>
      </c>
      <c r="EU112" t="e">
        <f>AND(#REF!,"AAAAAH5vGZY=")</f>
        <v>#REF!</v>
      </c>
      <c r="EV112" t="e">
        <f>AND(#REF!,"AAAAAH5vGZc=")</f>
        <v>#REF!</v>
      </c>
      <c r="EW112" t="e">
        <f>AND(#REF!,"AAAAAH5vGZg=")</f>
        <v>#REF!</v>
      </c>
      <c r="EX112" t="e">
        <f>AND(#REF!,"AAAAAH5vGZk=")</f>
        <v>#REF!</v>
      </c>
      <c r="EY112" t="e">
        <f>AND(#REF!,"AAAAAH5vGZo=")</f>
        <v>#REF!</v>
      </c>
      <c r="EZ112" t="e">
        <f>AND(#REF!,"AAAAAH5vGZs=")</f>
        <v>#REF!</v>
      </c>
      <c r="FA112" t="e">
        <f>IF(#REF!,"AAAAAH5vGZw=",0)</f>
        <v>#REF!</v>
      </c>
      <c r="FB112" t="e">
        <f>AND(#REF!,"AAAAAH5vGZ0=")</f>
        <v>#REF!</v>
      </c>
      <c r="FC112" t="e">
        <f>AND(#REF!,"AAAAAH5vGZ4=")</f>
        <v>#REF!</v>
      </c>
      <c r="FD112" t="e">
        <f>AND(#REF!,"AAAAAH5vGZ8=")</f>
        <v>#REF!</v>
      </c>
      <c r="FE112" t="e">
        <f>AND(#REF!,"AAAAAH5vGaA=")</f>
        <v>#REF!</v>
      </c>
      <c r="FF112" t="e">
        <f>AND(#REF!,"AAAAAH5vGaE=")</f>
        <v>#REF!</v>
      </c>
      <c r="FG112" t="e">
        <f>AND(#REF!,"AAAAAH5vGaI=")</f>
        <v>#REF!</v>
      </c>
      <c r="FH112" t="e">
        <f>AND(#REF!,"AAAAAH5vGaM=")</f>
        <v>#REF!</v>
      </c>
      <c r="FI112" t="e">
        <f>AND(#REF!,"AAAAAH5vGaQ=")</f>
        <v>#REF!</v>
      </c>
      <c r="FJ112" t="e">
        <f>AND(#REF!,"AAAAAH5vGaU=")</f>
        <v>#REF!</v>
      </c>
      <c r="FK112" t="e">
        <f>AND(#REF!,"AAAAAH5vGaY=")</f>
        <v>#REF!</v>
      </c>
      <c r="FL112" t="e">
        <f>IF(#REF!,"AAAAAH5vGac=",0)</f>
        <v>#REF!</v>
      </c>
      <c r="FM112" t="e">
        <f>AND(#REF!,"AAAAAH5vGag=")</f>
        <v>#REF!</v>
      </c>
      <c r="FN112" t="e">
        <f>AND(#REF!,"AAAAAH5vGak=")</f>
        <v>#REF!</v>
      </c>
      <c r="FO112" t="e">
        <f>AND(#REF!,"AAAAAH5vGao=")</f>
        <v>#REF!</v>
      </c>
      <c r="FP112" t="e">
        <f>AND(#REF!,"AAAAAH5vGas=")</f>
        <v>#REF!</v>
      </c>
      <c r="FQ112" t="e">
        <f>AND(#REF!,"AAAAAH5vGaw=")</f>
        <v>#REF!</v>
      </c>
      <c r="FR112" t="e">
        <f>AND(#REF!,"AAAAAH5vGa0=")</f>
        <v>#REF!</v>
      </c>
      <c r="FS112" t="e">
        <f>AND(#REF!,"AAAAAH5vGa4=")</f>
        <v>#REF!</v>
      </c>
      <c r="FT112" t="e">
        <f>AND(#REF!,"AAAAAH5vGa8=")</f>
        <v>#REF!</v>
      </c>
      <c r="FU112" t="e">
        <f>AND(#REF!,"AAAAAH5vGbA=")</f>
        <v>#REF!</v>
      </c>
      <c r="FV112" t="e">
        <f>AND(#REF!,"AAAAAH5vGbE=")</f>
        <v>#REF!</v>
      </c>
      <c r="FW112" t="e">
        <f>IF(#REF!,"AAAAAH5vGbI=",0)</f>
        <v>#REF!</v>
      </c>
      <c r="FX112" t="e">
        <f>AND(#REF!,"AAAAAH5vGbM=")</f>
        <v>#REF!</v>
      </c>
      <c r="FY112" t="e">
        <f>AND(#REF!,"AAAAAH5vGbQ=")</f>
        <v>#REF!</v>
      </c>
      <c r="FZ112" t="e">
        <f>AND(#REF!,"AAAAAH5vGbU=")</f>
        <v>#REF!</v>
      </c>
      <c r="GA112" t="e">
        <f>AND(#REF!,"AAAAAH5vGbY=")</f>
        <v>#REF!</v>
      </c>
      <c r="GB112" t="e">
        <f>AND(#REF!,"AAAAAH5vGbc=")</f>
        <v>#REF!</v>
      </c>
      <c r="GC112" t="e">
        <f>AND(#REF!,"AAAAAH5vGbg=")</f>
        <v>#REF!</v>
      </c>
      <c r="GD112" t="e">
        <f>AND(#REF!,"AAAAAH5vGbk=")</f>
        <v>#REF!</v>
      </c>
      <c r="GE112" t="e">
        <f>AND(#REF!,"AAAAAH5vGbo=")</f>
        <v>#REF!</v>
      </c>
      <c r="GF112" t="e">
        <f>AND(#REF!,"AAAAAH5vGbs=")</f>
        <v>#REF!</v>
      </c>
      <c r="GG112" t="e">
        <f>AND(#REF!,"AAAAAH5vGbw=")</f>
        <v>#REF!</v>
      </c>
      <c r="GH112" t="e">
        <f>IF(#REF!,"AAAAAH5vGb0=",0)</f>
        <v>#REF!</v>
      </c>
      <c r="GI112" t="e">
        <f>AND(#REF!,"AAAAAH5vGb4=")</f>
        <v>#REF!</v>
      </c>
      <c r="GJ112" t="e">
        <f>AND(#REF!,"AAAAAH5vGb8=")</f>
        <v>#REF!</v>
      </c>
      <c r="GK112" t="e">
        <f>AND(#REF!,"AAAAAH5vGcA=")</f>
        <v>#REF!</v>
      </c>
      <c r="GL112" t="e">
        <f>AND(#REF!,"AAAAAH5vGcE=")</f>
        <v>#REF!</v>
      </c>
      <c r="GM112" t="e">
        <f>AND(#REF!,"AAAAAH5vGcI=")</f>
        <v>#REF!</v>
      </c>
      <c r="GN112" t="e">
        <f>AND(#REF!,"AAAAAH5vGcM=")</f>
        <v>#REF!</v>
      </c>
      <c r="GO112" t="e">
        <f>AND(#REF!,"AAAAAH5vGcQ=")</f>
        <v>#REF!</v>
      </c>
      <c r="GP112" t="e">
        <f>AND(#REF!,"AAAAAH5vGcU=")</f>
        <v>#REF!</v>
      </c>
      <c r="GQ112" t="e">
        <f>AND(#REF!,"AAAAAH5vGcY=")</f>
        <v>#REF!</v>
      </c>
      <c r="GR112" t="e">
        <f>AND(#REF!,"AAAAAH5vGcc=")</f>
        <v>#REF!</v>
      </c>
      <c r="GS112" t="e">
        <f>IF(#REF!,"AAAAAH5vGcg=",0)</f>
        <v>#REF!</v>
      </c>
      <c r="GT112" t="e">
        <f>AND(#REF!,"AAAAAH5vGck=")</f>
        <v>#REF!</v>
      </c>
      <c r="GU112" t="e">
        <f>AND(#REF!,"AAAAAH5vGco=")</f>
        <v>#REF!</v>
      </c>
      <c r="GV112" t="e">
        <f>AND(#REF!,"AAAAAH5vGcs=")</f>
        <v>#REF!</v>
      </c>
      <c r="GW112" t="e">
        <f>AND(#REF!,"AAAAAH5vGcw=")</f>
        <v>#REF!</v>
      </c>
      <c r="GX112" t="e">
        <f>AND(#REF!,"AAAAAH5vGc0=")</f>
        <v>#REF!</v>
      </c>
      <c r="GY112" t="e">
        <f>AND(#REF!,"AAAAAH5vGc4=")</f>
        <v>#REF!</v>
      </c>
      <c r="GZ112" t="e">
        <f>AND(#REF!,"AAAAAH5vGc8=")</f>
        <v>#REF!</v>
      </c>
      <c r="HA112" t="e">
        <f>AND(#REF!,"AAAAAH5vGdA=")</f>
        <v>#REF!</v>
      </c>
      <c r="HB112" t="e">
        <f>AND(#REF!,"AAAAAH5vGdE=")</f>
        <v>#REF!</v>
      </c>
      <c r="HC112" t="e">
        <f>AND(#REF!,"AAAAAH5vGdI=")</f>
        <v>#REF!</v>
      </c>
      <c r="HD112" t="e">
        <f>IF(#REF!,"AAAAAH5vGdM=",0)</f>
        <v>#REF!</v>
      </c>
      <c r="HE112" t="e">
        <f>AND(#REF!,"AAAAAH5vGdQ=")</f>
        <v>#REF!</v>
      </c>
      <c r="HF112" t="e">
        <f>AND(#REF!,"AAAAAH5vGdU=")</f>
        <v>#REF!</v>
      </c>
      <c r="HG112" t="e">
        <f>AND(#REF!,"AAAAAH5vGdY=")</f>
        <v>#REF!</v>
      </c>
      <c r="HH112" t="e">
        <f>AND(#REF!,"AAAAAH5vGdc=")</f>
        <v>#REF!</v>
      </c>
      <c r="HI112" t="e">
        <f>AND(#REF!,"AAAAAH5vGdg=")</f>
        <v>#REF!</v>
      </c>
      <c r="HJ112" t="e">
        <f>AND(#REF!,"AAAAAH5vGdk=")</f>
        <v>#REF!</v>
      </c>
      <c r="HK112" t="e">
        <f>AND(#REF!,"AAAAAH5vGdo=")</f>
        <v>#REF!</v>
      </c>
      <c r="HL112" t="e">
        <f>AND(#REF!,"AAAAAH5vGds=")</f>
        <v>#REF!</v>
      </c>
      <c r="HM112" t="e">
        <f>AND(#REF!,"AAAAAH5vGdw=")</f>
        <v>#REF!</v>
      </c>
      <c r="HN112" t="e">
        <f>AND(#REF!,"AAAAAH5vGd0=")</f>
        <v>#REF!</v>
      </c>
      <c r="HO112" t="e">
        <f>IF(#REF!,"AAAAAH5vGd4=",0)</f>
        <v>#REF!</v>
      </c>
      <c r="HP112" t="e">
        <f>AND(#REF!,"AAAAAH5vGd8=")</f>
        <v>#REF!</v>
      </c>
      <c r="HQ112" t="e">
        <f>AND(#REF!,"AAAAAH5vGeA=")</f>
        <v>#REF!</v>
      </c>
      <c r="HR112" t="e">
        <f>AND(#REF!,"AAAAAH5vGeE=")</f>
        <v>#REF!</v>
      </c>
      <c r="HS112" t="e">
        <f>AND(#REF!,"AAAAAH5vGeI=")</f>
        <v>#REF!</v>
      </c>
      <c r="HT112" t="e">
        <f>AND(#REF!,"AAAAAH5vGeM=")</f>
        <v>#REF!</v>
      </c>
      <c r="HU112" t="e">
        <f>AND(#REF!,"AAAAAH5vGeQ=")</f>
        <v>#REF!</v>
      </c>
      <c r="HV112" t="e">
        <f>AND(#REF!,"AAAAAH5vGeU=")</f>
        <v>#REF!</v>
      </c>
      <c r="HW112" t="e">
        <f>AND(#REF!,"AAAAAH5vGeY=")</f>
        <v>#REF!</v>
      </c>
      <c r="HX112" t="e">
        <f>AND(#REF!,"AAAAAH5vGec=")</f>
        <v>#REF!</v>
      </c>
      <c r="HY112" t="e">
        <f>AND(#REF!,"AAAAAH5vGeg=")</f>
        <v>#REF!</v>
      </c>
      <c r="HZ112" t="e">
        <f>IF(#REF!,"AAAAAH5vGek=",0)</f>
        <v>#REF!</v>
      </c>
      <c r="IA112" t="e">
        <f>AND(#REF!,"AAAAAH5vGeo=")</f>
        <v>#REF!</v>
      </c>
      <c r="IB112" t="e">
        <f>AND(#REF!,"AAAAAH5vGes=")</f>
        <v>#REF!</v>
      </c>
      <c r="IC112" t="e">
        <f>AND(#REF!,"AAAAAH5vGew=")</f>
        <v>#REF!</v>
      </c>
      <c r="ID112" t="e">
        <f>AND(#REF!,"AAAAAH5vGe0=")</f>
        <v>#REF!</v>
      </c>
      <c r="IE112" t="e">
        <f>AND(#REF!,"AAAAAH5vGe4=")</f>
        <v>#REF!</v>
      </c>
      <c r="IF112" t="e">
        <f>AND(#REF!,"AAAAAH5vGe8=")</f>
        <v>#REF!</v>
      </c>
      <c r="IG112" t="e">
        <f>AND(#REF!,"AAAAAH5vGfA=")</f>
        <v>#REF!</v>
      </c>
      <c r="IH112" t="e">
        <f>AND(#REF!,"AAAAAH5vGfE=")</f>
        <v>#REF!</v>
      </c>
      <c r="II112" t="e">
        <f>AND(#REF!,"AAAAAH5vGfI=")</f>
        <v>#REF!</v>
      </c>
      <c r="IJ112" t="e">
        <f>AND(#REF!,"AAAAAH5vGfM=")</f>
        <v>#REF!</v>
      </c>
      <c r="IK112" t="e">
        <f>IF(#REF!,"AAAAAH5vGfQ=",0)</f>
        <v>#REF!</v>
      </c>
      <c r="IL112" t="e">
        <f>AND(#REF!,"AAAAAH5vGfU=")</f>
        <v>#REF!</v>
      </c>
      <c r="IM112" t="e">
        <f>AND(#REF!,"AAAAAH5vGfY=")</f>
        <v>#REF!</v>
      </c>
      <c r="IN112" t="e">
        <f>AND(#REF!,"AAAAAH5vGfc=")</f>
        <v>#REF!</v>
      </c>
      <c r="IO112" t="e">
        <f>AND(#REF!,"AAAAAH5vGfg=")</f>
        <v>#REF!</v>
      </c>
      <c r="IP112" t="e">
        <f>AND(#REF!,"AAAAAH5vGfk=")</f>
        <v>#REF!</v>
      </c>
      <c r="IQ112" t="e">
        <f>AND(#REF!,"AAAAAH5vGfo=")</f>
        <v>#REF!</v>
      </c>
      <c r="IR112" t="e">
        <f>AND(#REF!,"AAAAAH5vGfs=")</f>
        <v>#REF!</v>
      </c>
      <c r="IS112" t="e">
        <f>AND(#REF!,"AAAAAH5vGfw=")</f>
        <v>#REF!</v>
      </c>
      <c r="IT112" t="e">
        <f>AND(#REF!,"AAAAAH5vGf0=")</f>
        <v>#REF!</v>
      </c>
      <c r="IU112" t="e">
        <f>AND(#REF!,"AAAAAH5vGf4=")</f>
        <v>#REF!</v>
      </c>
      <c r="IV112" t="e">
        <f>IF(#REF!,"AAAAAH5vGf8=",0)</f>
        <v>#REF!</v>
      </c>
    </row>
    <row r="113" spans="1:256" x14ac:dyDescent="0.25">
      <c r="A113" t="e">
        <f>AND(#REF!,"AAAAAG5zLwA=")</f>
        <v>#REF!</v>
      </c>
      <c r="B113" t="e">
        <f>AND(#REF!,"AAAAAG5zLwE=")</f>
        <v>#REF!</v>
      </c>
      <c r="C113" t="e">
        <f>AND(#REF!,"AAAAAG5zLwI=")</f>
        <v>#REF!</v>
      </c>
      <c r="D113" t="e">
        <f>AND(#REF!,"AAAAAG5zLwM=")</f>
        <v>#REF!</v>
      </c>
      <c r="E113" t="e">
        <f>AND(#REF!,"AAAAAG5zLwQ=")</f>
        <v>#REF!</v>
      </c>
      <c r="F113" t="e">
        <f>AND(#REF!,"AAAAAG5zLwU=")</f>
        <v>#REF!</v>
      </c>
      <c r="G113" t="e">
        <f>AND(#REF!,"AAAAAG5zLwY=")</f>
        <v>#REF!</v>
      </c>
      <c r="H113" t="e">
        <f>AND(#REF!,"AAAAAG5zLwc=")</f>
        <v>#REF!</v>
      </c>
      <c r="I113" t="e">
        <f>AND(#REF!,"AAAAAG5zLwg=")</f>
        <v>#REF!</v>
      </c>
      <c r="J113" t="e">
        <f>AND(#REF!,"AAAAAG5zLwk=")</f>
        <v>#REF!</v>
      </c>
      <c r="K113" t="e">
        <f>IF(#REF!,"AAAAAG5zLwo=",0)</f>
        <v>#REF!</v>
      </c>
      <c r="L113" t="e">
        <f>AND(#REF!,"AAAAAG5zLws=")</f>
        <v>#REF!</v>
      </c>
      <c r="M113" t="e">
        <f>AND(#REF!,"AAAAAG5zLww=")</f>
        <v>#REF!</v>
      </c>
      <c r="N113" t="e">
        <f>AND(#REF!,"AAAAAG5zLw0=")</f>
        <v>#REF!</v>
      </c>
      <c r="O113" t="e">
        <f>AND(#REF!,"AAAAAG5zLw4=")</f>
        <v>#REF!</v>
      </c>
      <c r="P113" t="e">
        <f>AND(#REF!,"AAAAAG5zLw8=")</f>
        <v>#REF!</v>
      </c>
      <c r="Q113" t="e">
        <f>AND(#REF!,"AAAAAG5zLxA=")</f>
        <v>#REF!</v>
      </c>
      <c r="R113" t="e">
        <f>AND(#REF!,"AAAAAG5zLxE=")</f>
        <v>#REF!</v>
      </c>
      <c r="S113" t="e">
        <f>AND(#REF!,"AAAAAG5zLxI=")</f>
        <v>#REF!</v>
      </c>
      <c r="T113" t="e">
        <f>AND(#REF!,"AAAAAG5zLxM=")</f>
        <v>#REF!</v>
      </c>
      <c r="U113" t="e">
        <f>AND(#REF!,"AAAAAG5zLxQ=")</f>
        <v>#REF!</v>
      </c>
      <c r="V113" t="e">
        <f>IF(#REF!,"AAAAAG5zLxU=",0)</f>
        <v>#REF!</v>
      </c>
      <c r="W113" t="e">
        <f>AND(#REF!,"AAAAAG5zLxY=")</f>
        <v>#REF!</v>
      </c>
      <c r="X113" t="e">
        <f>AND(#REF!,"AAAAAG5zLxc=")</f>
        <v>#REF!</v>
      </c>
      <c r="Y113" t="e">
        <f>AND(#REF!,"AAAAAG5zLxg=")</f>
        <v>#REF!</v>
      </c>
      <c r="Z113" t="e">
        <f>AND(#REF!,"AAAAAG5zLxk=")</f>
        <v>#REF!</v>
      </c>
      <c r="AA113" t="e">
        <f>AND(#REF!,"AAAAAG5zLxo=")</f>
        <v>#REF!</v>
      </c>
      <c r="AB113" t="e">
        <f>AND(#REF!,"AAAAAG5zLxs=")</f>
        <v>#REF!</v>
      </c>
      <c r="AC113" t="e">
        <f>AND(#REF!,"AAAAAG5zLxw=")</f>
        <v>#REF!</v>
      </c>
      <c r="AD113" t="e">
        <f>AND(#REF!,"AAAAAG5zLx0=")</f>
        <v>#REF!</v>
      </c>
      <c r="AE113" t="e">
        <f>AND(#REF!,"AAAAAG5zLx4=")</f>
        <v>#REF!</v>
      </c>
      <c r="AF113" t="e">
        <f>AND(#REF!,"AAAAAG5zLx8=")</f>
        <v>#REF!</v>
      </c>
      <c r="AG113" t="e">
        <f>IF(#REF!,"AAAAAG5zLyA=",0)</f>
        <v>#REF!</v>
      </c>
      <c r="AH113" t="e">
        <f>AND(#REF!,"AAAAAG5zLyE=")</f>
        <v>#REF!</v>
      </c>
      <c r="AI113" t="e">
        <f>AND(#REF!,"AAAAAG5zLyI=")</f>
        <v>#REF!</v>
      </c>
      <c r="AJ113" t="e">
        <f>AND(#REF!,"AAAAAG5zLyM=")</f>
        <v>#REF!</v>
      </c>
      <c r="AK113" t="e">
        <f>AND(#REF!,"AAAAAG5zLyQ=")</f>
        <v>#REF!</v>
      </c>
      <c r="AL113" t="e">
        <f>AND(#REF!,"AAAAAG5zLyU=")</f>
        <v>#REF!</v>
      </c>
      <c r="AM113" t="e">
        <f>AND(#REF!,"AAAAAG5zLyY=")</f>
        <v>#REF!</v>
      </c>
      <c r="AN113" t="e">
        <f>AND(#REF!,"AAAAAG5zLyc=")</f>
        <v>#REF!</v>
      </c>
      <c r="AO113" t="e">
        <f>AND(#REF!,"AAAAAG5zLyg=")</f>
        <v>#REF!</v>
      </c>
      <c r="AP113" t="e">
        <f>AND(#REF!,"AAAAAG5zLyk=")</f>
        <v>#REF!</v>
      </c>
      <c r="AQ113" t="e">
        <f>AND(#REF!,"AAAAAG5zLyo=")</f>
        <v>#REF!</v>
      </c>
      <c r="AR113" t="e">
        <f>IF(#REF!,"AAAAAG5zLys=",0)</f>
        <v>#REF!</v>
      </c>
      <c r="AS113" t="e">
        <f>AND(#REF!,"AAAAAG5zLyw=")</f>
        <v>#REF!</v>
      </c>
      <c r="AT113" t="e">
        <f>AND(#REF!,"AAAAAG5zLy0=")</f>
        <v>#REF!</v>
      </c>
      <c r="AU113" t="e">
        <f>AND(#REF!,"AAAAAG5zLy4=")</f>
        <v>#REF!</v>
      </c>
      <c r="AV113" t="e">
        <f>AND(#REF!,"AAAAAG5zLy8=")</f>
        <v>#REF!</v>
      </c>
      <c r="AW113" t="e">
        <f>AND(#REF!,"AAAAAG5zLzA=")</f>
        <v>#REF!</v>
      </c>
      <c r="AX113" t="e">
        <f>AND(#REF!,"AAAAAG5zLzE=")</f>
        <v>#REF!</v>
      </c>
      <c r="AY113" t="e">
        <f>AND(#REF!,"AAAAAG5zLzI=")</f>
        <v>#REF!</v>
      </c>
      <c r="AZ113" t="e">
        <f>AND(#REF!,"AAAAAG5zLzM=")</f>
        <v>#REF!</v>
      </c>
      <c r="BA113" t="e">
        <f>AND(#REF!,"AAAAAG5zLzQ=")</f>
        <v>#REF!</v>
      </c>
      <c r="BB113" t="e">
        <f>AND(#REF!,"AAAAAG5zLzU=")</f>
        <v>#REF!</v>
      </c>
      <c r="BC113" t="e">
        <f>IF(#REF!,"AAAAAG5zLzY=",0)</f>
        <v>#REF!</v>
      </c>
      <c r="BD113" t="e">
        <f>AND(#REF!,"AAAAAG5zLzc=")</f>
        <v>#REF!</v>
      </c>
      <c r="BE113" t="e">
        <f>AND(#REF!,"AAAAAG5zLzg=")</f>
        <v>#REF!</v>
      </c>
      <c r="BF113" t="e">
        <f>AND(#REF!,"AAAAAG5zLzk=")</f>
        <v>#REF!</v>
      </c>
      <c r="BG113" t="e">
        <f>AND(#REF!,"AAAAAG5zLzo=")</f>
        <v>#REF!</v>
      </c>
      <c r="BH113" t="e">
        <f>AND(#REF!,"AAAAAG5zLzs=")</f>
        <v>#REF!</v>
      </c>
      <c r="BI113" t="e">
        <f>AND(#REF!,"AAAAAG5zLzw=")</f>
        <v>#REF!</v>
      </c>
      <c r="BJ113" t="e">
        <f>AND(#REF!,"AAAAAG5zLz0=")</f>
        <v>#REF!</v>
      </c>
      <c r="BK113" t="e">
        <f>AND(#REF!,"AAAAAG5zLz4=")</f>
        <v>#REF!</v>
      </c>
      <c r="BL113" t="e">
        <f>AND(#REF!,"AAAAAG5zLz8=")</f>
        <v>#REF!</v>
      </c>
      <c r="BM113" t="e">
        <f>AND(#REF!,"AAAAAG5zL0A=")</f>
        <v>#REF!</v>
      </c>
      <c r="BN113" t="e">
        <f>IF(#REF!,"AAAAAG5zL0E=",0)</f>
        <v>#REF!</v>
      </c>
      <c r="BO113" t="e">
        <f>AND(#REF!,"AAAAAG5zL0I=")</f>
        <v>#REF!</v>
      </c>
      <c r="BP113" t="e">
        <f>AND(#REF!,"AAAAAG5zL0M=")</f>
        <v>#REF!</v>
      </c>
      <c r="BQ113" t="e">
        <f>AND(#REF!,"AAAAAG5zL0Q=")</f>
        <v>#REF!</v>
      </c>
      <c r="BR113" t="e">
        <f>AND(#REF!,"AAAAAG5zL0U=")</f>
        <v>#REF!</v>
      </c>
      <c r="BS113" t="e">
        <f>AND(#REF!,"AAAAAG5zL0Y=")</f>
        <v>#REF!</v>
      </c>
      <c r="BT113" t="e">
        <f>AND(#REF!,"AAAAAG5zL0c=")</f>
        <v>#REF!</v>
      </c>
      <c r="BU113" t="e">
        <f>AND(#REF!,"AAAAAG5zL0g=")</f>
        <v>#REF!</v>
      </c>
      <c r="BV113" t="e">
        <f>AND(#REF!,"AAAAAG5zL0k=")</f>
        <v>#REF!</v>
      </c>
      <c r="BW113" t="e">
        <f>AND(#REF!,"AAAAAG5zL0o=")</f>
        <v>#REF!</v>
      </c>
      <c r="BX113" t="e">
        <f>AND(#REF!,"AAAAAG5zL0s=")</f>
        <v>#REF!</v>
      </c>
      <c r="BY113" t="e">
        <f>IF(#REF!,"AAAAAG5zL0w=",0)</f>
        <v>#REF!</v>
      </c>
      <c r="BZ113" t="e">
        <f>AND(#REF!,"AAAAAG5zL00=")</f>
        <v>#REF!</v>
      </c>
      <c r="CA113" t="e">
        <f>AND(#REF!,"AAAAAG5zL04=")</f>
        <v>#REF!</v>
      </c>
      <c r="CB113" t="e">
        <f>AND(#REF!,"AAAAAG5zL08=")</f>
        <v>#REF!</v>
      </c>
      <c r="CC113" t="e">
        <f>AND(#REF!,"AAAAAG5zL1A=")</f>
        <v>#REF!</v>
      </c>
      <c r="CD113" t="e">
        <f>AND(#REF!,"AAAAAG5zL1E=")</f>
        <v>#REF!</v>
      </c>
      <c r="CE113" t="e">
        <f>AND(#REF!,"AAAAAG5zL1I=")</f>
        <v>#REF!</v>
      </c>
      <c r="CF113" t="e">
        <f>AND(#REF!,"AAAAAG5zL1M=")</f>
        <v>#REF!</v>
      </c>
      <c r="CG113" t="e">
        <f>AND(#REF!,"AAAAAG5zL1Q=")</f>
        <v>#REF!</v>
      </c>
      <c r="CH113" t="e">
        <f>AND(#REF!,"AAAAAG5zL1U=")</f>
        <v>#REF!</v>
      </c>
      <c r="CI113" t="e">
        <f>AND(#REF!,"AAAAAG5zL1Y=")</f>
        <v>#REF!</v>
      </c>
      <c r="CJ113" t="e">
        <f>IF(#REF!,"AAAAAG5zL1c=",0)</f>
        <v>#REF!</v>
      </c>
      <c r="CK113" t="e">
        <f>AND(#REF!,"AAAAAG5zL1g=")</f>
        <v>#REF!</v>
      </c>
      <c r="CL113" t="e">
        <f>AND(#REF!,"AAAAAG5zL1k=")</f>
        <v>#REF!</v>
      </c>
      <c r="CM113" t="e">
        <f>AND(#REF!,"AAAAAG5zL1o=")</f>
        <v>#REF!</v>
      </c>
      <c r="CN113" t="e">
        <f>AND(#REF!,"AAAAAG5zL1s=")</f>
        <v>#REF!</v>
      </c>
      <c r="CO113" t="e">
        <f>AND(#REF!,"AAAAAG5zL1w=")</f>
        <v>#REF!</v>
      </c>
      <c r="CP113" t="e">
        <f>AND(#REF!,"AAAAAG5zL10=")</f>
        <v>#REF!</v>
      </c>
      <c r="CQ113" t="e">
        <f>AND(#REF!,"AAAAAG5zL14=")</f>
        <v>#REF!</v>
      </c>
      <c r="CR113" t="e">
        <f>AND(#REF!,"AAAAAG5zL18=")</f>
        <v>#REF!</v>
      </c>
      <c r="CS113" t="e">
        <f>AND(#REF!,"AAAAAG5zL2A=")</f>
        <v>#REF!</v>
      </c>
      <c r="CT113" t="e">
        <f>AND(#REF!,"AAAAAG5zL2E=")</f>
        <v>#REF!</v>
      </c>
      <c r="CU113" t="e">
        <f>IF(#REF!,"AAAAAG5zL2I=",0)</f>
        <v>#REF!</v>
      </c>
      <c r="CV113" t="e">
        <f>AND(#REF!,"AAAAAG5zL2M=")</f>
        <v>#REF!</v>
      </c>
      <c r="CW113" t="e">
        <f>AND(#REF!,"AAAAAG5zL2Q=")</f>
        <v>#REF!</v>
      </c>
      <c r="CX113" t="e">
        <f>AND(#REF!,"AAAAAG5zL2U=")</f>
        <v>#REF!</v>
      </c>
      <c r="CY113" t="e">
        <f>AND(#REF!,"AAAAAG5zL2Y=")</f>
        <v>#REF!</v>
      </c>
      <c r="CZ113" t="e">
        <f>AND(#REF!,"AAAAAG5zL2c=")</f>
        <v>#REF!</v>
      </c>
      <c r="DA113" t="e">
        <f>AND(#REF!,"AAAAAG5zL2g=")</f>
        <v>#REF!</v>
      </c>
      <c r="DB113" t="e">
        <f>AND(#REF!,"AAAAAG5zL2k=")</f>
        <v>#REF!</v>
      </c>
      <c r="DC113" t="e">
        <f>AND(#REF!,"AAAAAG5zL2o=")</f>
        <v>#REF!</v>
      </c>
      <c r="DD113" t="e">
        <f>AND(#REF!,"AAAAAG5zL2s=")</f>
        <v>#REF!</v>
      </c>
      <c r="DE113" t="e">
        <f>AND(#REF!,"AAAAAG5zL2w=")</f>
        <v>#REF!</v>
      </c>
      <c r="DF113" t="e">
        <f>IF(#REF!,"AAAAAG5zL20=",0)</f>
        <v>#REF!</v>
      </c>
      <c r="DG113" t="e">
        <f>AND(#REF!,"AAAAAG5zL24=")</f>
        <v>#REF!</v>
      </c>
      <c r="DH113" t="e">
        <f>AND(#REF!,"AAAAAG5zL28=")</f>
        <v>#REF!</v>
      </c>
      <c r="DI113" t="e">
        <f>AND(#REF!,"AAAAAG5zL3A=")</f>
        <v>#REF!</v>
      </c>
      <c r="DJ113" t="e">
        <f>AND(#REF!,"AAAAAG5zL3E=")</f>
        <v>#REF!</v>
      </c>
      <c r="DK113" t="e">
        <f>AND(#REF!,"AAAAAG5zL3I=")</f>
        <v>#REF!</v>
      </c>
      <c r="DL113" t="e">
        <f>AND(#REF!,"AAAAAG5zL3M=")</f>
        <v>#REF!</v>
      </c>
      <c r="DM113" t="e">
        <f>AND(#REF!,"AAAAAG5zL3Q=")</f>
        <v>#REF!</v>
      </c>
      <c r="DN113" t="e">
        <f>AND(#REF!,"AAAAAG5zL3U=")</f>
        <v>#REF!</v>
      </c>
      <c r="DO113" t="e">
        <f>AND(#REF!,"AAAAAG5zL3Y=")</f>
        <v>#REF!</v>
      </c>
      <c r="DP113" t="e">
        <f>AND(#REF!,"AAAAAG5zL3c=")</f>
        <v>#REF!</v>
      </c>
      <c r="DQ113" t="e">
        <f>IF(#REF!,"AAAAAG5zL3g=",0)</f>
        <v>#REF!</v>
      </c>
      <c r="DR113" t="e">
        <f>AND(#REF!,"AAAAAG5zL3k=")</f>
        <v>#REF!</v>
      </c>
      <c r="DS113" t="e">
        <f>AND(#REF!,"AAAAAG5zL3o=")</f>
        <v>#REF!</v>
      </c>
      <c r="DT113" t="e">
        <f>AND(#REF!,"AAAAAG5zL3s=")</f>
        <v>#REF!</v>
      </c>
      <c r="DU113" t="e">
        <f>AND(#REF!,"AAAAAG5zL3w=")</f>
        <v>#REF!</v>
      </c>
      <c r="DV113" t="e">
        <f>AND(#REF!,"AAAAAG5zL30=")</f>
        <v>#REF!</v>
      </c>
      <c r="DW113" t="e">
        <f>AND(#REF!,"AAAAAG5zL34=")</f>
        <v>#REF!</v>
      </c>
      <c r="DX113" t="e">
        <f>AND(#REF!,"AAAAAG5zL38=")</f>
        <v>#REF!</v>
      </c>
      <c r="DY113" t="e">
        <f>AND(#REF!,"AAAAAG5zL4A=")</f>
        <v>#REF!</v>
      </c>
      <c r="DZ113" t="e">
        <f>AND(#REF!,"AAAAAG5zL4E=")</f>
        <v>#REF!</v>
      </c>
      <c r="EA113" t="e">
        <f>AND(#REF!,"AAAAAG5zL4I=")</f>
        <v>#REF!</v>
      </c>
      <c r="EB113" t="e">
        <f>IF(#REF!,"AAAAAG5zL4M=",0)</f>
        <v>#REF!</v>
      </c>
      <c r="EC113" t="e">
        <f>AND(#REF!,"AAAAAG5zL4Q=")</f>
        <v>#REF!</v>
      </c>
      <c r="ED113" t="e">
        <f>AND(#REF!,"AAAAAG5zL4U=")</f>
        <v>#REF!</v>
      </c>
      <c r="EE113" t="e">
        <f>AND(#REF!,"AAAAAG5zL4Y=")</f>
        <v>#REF!</v>
      </c>
      <c r="EF113" t="e">
        <f>AND(#REF!,"AAAAAG5zL4c=")</f>
        <v>#REF!</v>
      </c>
      <c r="EG113" t="e">
        <f>AND(#REF!,"AAAAAG5zL4g=")</f>
        <v>#REF!</v>
      </c>
      <c r="EH113" t="e">
        <f>AND(#REF!,"AAAAAG5zL4k=")</f>
        <v>#REF!</v>
      </c>
      <c r="EI113" t="e">
        <f>AND(#REF!,"AAAAAG5zL4o=")</f>
        <v>#REF!</v>
      </c>
      <c r="EJ113" t="e">
        <f>AND(#REF!,"AAAAAG5zL4s=")</f>
        <v>#REF!</v>
      </c>
      <c r="EK113" t="e">
        <f>AND(#REF!,"AAAAAG5zL4w=")</f>
        <v>#REF!</v>
      </c>
      <c r="EL113" t="e">
        <f>AND(#REF!,"AAAAAG5zL40=")</f>
        <v>#REF!</v>
      </c>
      <c r="EM113" t="e">
        <f>IF(#REF!,"AAAAAG5zL44=",0)</f>
        <v>#REF!</v>
      </c>
      <c r="EN113" t="e">
        <f>AND(#REF!,"AAAAAG5zL48=")</f>
        <v>#REF!</v>
      </c>
      <c r="EO113" t="e">
        <f>AND(#REF!,"AAAAAG5zL5A=")</f>
        <v>#REF!</v>
      </c>
      <c r="EP113" t="e">
        <f>AND(#REF!,"AAAAAG5zL5E=")</f>
        <v>#REF!</v>
      </c>
      <c r="EQ113" t="e">
        <f>AND(#REF!,"AAAAAG5zL5I=")</f>
        <v>#REF!</v>
      </c>
      <c r="ER113" t="e">
        <f>AND(#REF!,"AAAAAG5zL5M=")</f>
        <v>#REF!</v>
      </c>
      <c r="ES113" t="e">
        <f>AND(#REF!,"AAAAAG5zL5Q=")</f>
        <v>#REF!</v>
      </c>
      <c r="ET113" t="e">
        <f>AND(#REF!,"AAAAAG5zL5U=")</f>
        <v>#REF!</v>
      </c>
      <c r="EU113" t="e">
        <f>AND(#REF!,"AAAAAG5zL5Y=")</f>
        <v>#REF!</v>
      </c>
      <c r="EV113" t="e">
        <f>AND(#REF!,"AAAAAG5zL5c=")</f>
        <v>#REF!</v>
      </c>
      <c r="EW113" t="e">
        <f>AND(#REF!,"AAAAAG5zL5g=")</f>
        <v>#REF!</v>
      </c>
      <c r="EX113" t="e">
        <f>IF(#REF!,"AAAAAG5zL5k=",0)</f>
        <v>#REF!</v>
      </c>
      <c r="EY113" t="e">
        <f>AND(#REF!,"AAAAAG5zL5o=")</f>
        <v>#REF!</v>
      </c>
      <c r="EZ113" t="e">
        <f>AND(#REF!,"AAAAAG5zL5s=")</f>
        <v>#REF!</v>
      </c>
      <c r="FA113" t="e">
        <f>AND(#REF!,"AAAAAG5zL5w=")</f>
        <v>#REF!</v>
      </c>
      <c r="FB113" t="e">
        <f>AND(#REF!,"AAAAAG5zL50=")</f>
        <v>#REF!</v>
      </c>
      <c r="FC113" t="e">
        <f>AND(#REF!,"AAAAAG5zL54=")</f>
        <v>#REF!</v>
      </c>
      <c r="FD113" t="e">
        <f>AND(#REF!,"AAAAAG5zL58=")</f>
        <v>#REF!</v>
      </c>
      <c r="FE113" t="e">
        <f>AND(#REF!,"AAAAAG5zL6A=")</f>
        <v>#REF!</v>
      </c>
      <c r="FF113" t="e">
        <f>AND(#REF!,"AAAAAG5zL6E=")</f>
        <v>#REF!</v>
      </c>
      <c r="FG113" t="e">
        <f>AND(#REF!,"AAAAAG5zL6I=")</f>
        <v>#REF!</v>
      </c>
      <c r="FH113" t="e">
        <f>AND(#REF!,"AAAAAG5zL6M=")</f>
        <v>#REF!</v>
      </c>
      <c r="FI113" t="e">
        <f>IF(#REF!,"AAAAAG5zL6Q=",0)</f>
        <v>#REF!</v>
      </c>
      <c r="FJ113" t="e">
        <f>AND(#REF!,"AAAAAG5zL6U=")</f>
        <v>#REF!</v>
      </c>
      <c r="FK113" t="e">
        <f>AND(#REF!,"AAAAAG5zL6Y=")</f>
        <v>#REF!</v>
      </c>
      <c r="FL113" t="e">
        <f>AND(#REF!,"AAAAAG5zL6c=")</f>
        <v>#REF!</v>
      </c>
      <c r="FM113" t="e">
        <f>AND(#REF!,"AAAAAG5zL6g=")</f>
        <v>#REF!</v>
      </c>
      <c r="FN113" t="e">
        <f>AND(#REF!,"AAAAAG5zL6k=")</f>
        <v>#REF!</v>
      </c>
      <c r="FO113" t="e">
        <f>AND(#REF!,"AAAAAG5zL6o=")</f>
        <v>#REF!</v>
      </c>
      <c r="FP113" t="e">
        <f>AND(#REF!,"AAAAAG5zL6s=")</f>
        <v>#REF!</v>
      </c>
      <c r="FQ113" t="e">
        <f>AND(#REF!,"AAAAAG5zL6w=")</f>
        <v>#REF!</v>
      </c>
      <c r="FR113" t="e">
        <f>AND(#REF!,"AAAAAG5zL60=")</f>
        <v>#REF!</v>
      </c>
      <c r="FS113" t="e">
        <f>AND(#REF!,"AAAAAG5zL64=")</f>
        <v>#REF!</v>
      </c>
      <c r="FT113" t="e">
        <f>IF(#REF!,"AAAAAG5zL68=",0)</f>
        <v>#REF!</v>
      </c>
      <c r="FU113" t="e">
        <f>AND(#REF!,"AAAAAG5zL7A=")</f>
        <v>#REF!</v>
      </c>
      <c r="FV113" t="e">
        <f>AND(#REF!,"AAAAAG5zL7E=")</f>
        <v>#REF!</v>
      </c>
      <c r="FW113" t="e">
        <f>AND(#REF!,"AAAAAG5zL7I=")</f>
        <v>#REF!</v>
      </c>
      <c r="FX113" t="e">
        <f>AND(#REF!,"AAAAAG5zL7M=")</f>
        <v>#REF!</v>
      </c>
      <c r="FY113" t="e">
        <f>AND(#REF!,"AAAAAG5zL7Q=")</f>
        <v>#REF!</v>
      </c>
      <c r="FZ113" t="e">
        <f>AND(#REF!,"AAAAAG5zL7U=")</f>
        <v>#REF!</v>
      </c>
      <c r="GA113" t="e">
        <f>AND(#REF!,"AAAAAG5zL7Y=")</f>
        <v>#REF!</v>
      </c>
      <c r="GB113" t="e">
        <f>AND(#REF!,"AAAAAG5zL7c=")</f>
        <v>#REF!</v>
      </c>
      <c r="GC113" t="e">
        <f>AND(#REF!,"AAAAAG5zL7g=")</f>
        <v>#REF!</v>
      </c>
      <c r="GD113" t="e">
        <f>AND(#REF!,"AAAAAG5zL7k=")</f>
        <v>#REF!</v>
      </c>
      <c r="GE113" t="e">
        <f>IF(#REF!,"AAAAAG5zL7o=",0)</f>
        <v>#REF!</v>
      </c>
      <c r="GF113" t="e">
        <f>AND(#REF!,"AAAAAG5zL7s=")</f>
        <v>#REF!</v>
      </c>
      <c r="GG113" t="e">
        <f>AND(#REF!,"AAAAAG5zL7w=")</f>
        <v>#REF!</v>
      </c>
      <c r="GH113" t="e">
        <f>AND(#REF!,"AAAAAG5zL70=")</f>
        <v>#REF!</v>
      </c>
      <c r="GI113" t="e">
        <f>AND(#REF!,"AAAAAG5zL74=")</f>
        <v>#REF!</v>
      </c>
      <c r="GJ113" t="e">
        <f>AND(#REF!,"AAAAAG5zL78=")</f>
        <v>#REF!</v>
      </c>
      <c r="GK113" t="e">
        <f>AND(#REF!,"AAAAAG5zL8A=")</f>
        <v>#REF!</v>
      </c>
      <c r="GL113" t="e">
        <f>AND(#REF!,"AAAAAG5zL8E=")</f>
        <v>#REF!</v>
      </c>
      <c r="GM113" t="e">
        <f>AND(#REF!,"AAAAAG5zL8I=")</f>
        <v>#REF!</v>
      </c>
      <c r="GN113" t="e">
        <f>AND(#REF!,"AAAAAG5zL8M=")</f>
        <v>#REF!</v>
      </c>
      <c r="GO113" t="e">
        <f>AND(#REF!,"AAAAAG5zL8Q=")</f>
        <v>#REF!</v>
      </c>
      <c r="GP113" t="e">
        <f>IF(#REF!,"AAAAAG5zL8U=",0)</f>
        <v>#REF!</v>
      </c>
      <c r="GQ113" t="e">
        <f>AND(#REF!,"AAAAAG5zL8Y=")</f>
        <v>#REF!</v>
      </c>
      <c r="GR113" t="e">
        <f>AND(#REF!,"AAAAAG5zL8c=")</f>
        <v>#REF!</v>
      </c>
      <c r="GS113" t="e">
        <f>AND(#REF!,"AAAAAG5zL8g=")</f>
        <v>#REF!</v>
      </c>
      <c r="GT113" t="e">
        <f>AND(#REF!,"AAAAAG5zL8k=")</f>
        <v>#REF!</v>
      </c>
      <c r="GU113" t="e">
        <f>AND(#REF!,"AAAAAG5zL8o=")</f>
        <v>#REF!</v>
      </c>
      <c r="GV113" t="e">
        <f>AND(#REF!,"AAAAAG5zL8s=")</f>
        <v>#REF!</v>
      </c>
      <c r="GW113" t="e">
        <f>AND(#REF!,"AAAAAG5zL8w=")</f>
        <v>#REF!</v>
      </c>
      <c r="GX113" t="e">
        <f>AND(#REF!,"AAAAAG5zL80=")</f>
        <v>#REF!</v>
      </c>
      <c r="GY113" t="e">
        <f>AND(#REF!,"AAAAAG5zL84=")</f>
        <v>#REF!</v>
      </c>
      <c r="GZ113" t="e">
        <f>AND(#REF!,"AAAAAG5zL88=")</f>
        <v>#REF!</v>
      </c>
      <c r="HA113" t="e">
        <f>IF(#REF!,"AAAAAG5zL9A=",0)</f>
        <v>#REF!</v>
      </c>
      <c r="HB113" t="e">
        <f>AND(#REF!,"AAAAAG5zL9E=")</f>
        <v>#REF!</v>
      </c>
      <c r="HC113" t="e">
        <f>AND(#REF!,"AAAAAG5zL9I=")</f>
        <v>#REF!</v>
      </c>
      <c r="HD113" t="e">
        <f>AND(#REF!,"AAAAAG5zL9M=")</f>
        <v>#REF!</v>
      </c>
      <c r="HE113" t="e">
        <f>AND(#REF!,"AAAAAG5zL9Q=")</f>
        <v>#REF!</v>
      </c>
      <c r="HF113" t="e">
        <f>AND(#REF!,"AAAAAG5zL9U=")</f>
        <v>#REF!</v>
      </c>
      <c r="HG113" t="e">
        <f>AND(#REF!,"AAAAAG5zL9Y=")</f>
        <v>#REF!</v>
      </c>
      <c r="HH113" t="e">
        <f>AND(#REF!,"AAAAAG5zL9c=")</f>
        <v>#REF!</v>
      </c>
      <c r="HI113" t="e">
        <f>AND(#REF!,"AAAAAG5zL9g=")</f>
        <v>#REF!</v>
      </c>
      <c r="HJ113" t="e">
        <f>AND(#REF!,"AAAAAG5zL9k=")</f>
        <v>#REF!</v>
      </c>
      <c r="HK113" t="e">
        <f>AND(#REF!,"AAAAAG5zL9o=")</f>
        <v>#REF!</v>
      </c>
      <c r="HL113" t="e">
        <f>IF(#REF!,"AAAAAG5zL9s=",0)</f>
        <v>#REF!</v>
      </c>
      <c r="HM113" t="e">
        <f>AND(#REF!,"AAAAAG5zL9w=")</f>
        <v>#REF!</v>
      </c>
      <c r="HN113" t="e">
        <f>AND(#REF!,"AAAAAG5zL90=")</f>
        <v>#REF!</v>
      </c>
      <c r="HO113" t="e">
        <f>AND(#REF!,"AAAAAG5zL94=")</f>
        <v>#REF!</v>
      </c>
      <c r="HP113" t="e">
        <f>AND(#REF!,"AAAAAG5zL98=")</f>
        <v>#REF!</v>
      </c>
      <c r="HQ113" t="e">
        <f>AND(#REF!,"AAAAAG5zL+A=")</f>
        <v>#REF!</v>
      </c>
      <c r="HR113" t="e">
        <f>AND(#REF!,"AAAAAG5zL+E=")</f>
        <v>#REF!</v>
      </c>
      <c r="HS113" t="e">
        <f>AND(#REF!,"AAAAAG5zL+I=")</f>
        <v>#REF!</v>
      </c>
      <c r="HT113" t="e">
        <f>AND(#REF!,"AAAAAG5zL+M=")</f>
        <v>#REF!</v>
      </c>
      <c r="HU113" t="e">
        <f>AND(#REF!,"AAAAAG5zL+Q=")</f>
        <v>#REF!</v>
      </c>
      <c r="HV113" t="e">
        <f>AND(#REF!,"AAAAAG5zL+U=")</f>
        <v>#REF!</v>
      </c>
      <c r="HW113" t="e">
        <f>IF(#REF!,"AAAAAG5zL+Y=",0)</f>
        <v>#REF!</v>
      </c>
      <c r="HX113" t="e">
        <f>AND(#REF!,"AAAAAG5zL+c=")</f>
        <v>#REF!</v>
      </c>
      <c r="HY113" t="e">
        <f>AND(#REF!,"AAAAAG5zL+g=")</f>
        <v>#REF!</v>
      </c>
      <c r="HZ113" t="e">
        <f>AND(#REF!,"AAAAAG5zL+k=")</f>
        <v>#REF!</v>
      </c>
      <c r="IA113" t="e">
        <f>AND(#REF!,"AAAAAG5zL+o=")</f>
        <v>#REF!</v>
      </c>
      <c r="IB113" t="e">
        <f>AND(#REF!,"AAAAAG5zL+s=")</f>
        <v>#REF!</v>
      </c>
      <c r="IC113" t="e">
        <f>AND(#REF!,"AAAAAG5zL+w=")</f>
        <v>#REF!</v>
      </c>
      <c r="ID113" t="e">
        <f>AND(#REF!,"AAAAAG5zL+0=")</f>
        <v>#REF!</v>
      </c>
      <c r="IE113" t="e">
        <f>AND(#REF!,"AAAAAG5zL+4=")</f>
        <v>#REF!</v>
      </c>
      <c r="IF113" t="e">
        <f>AND(#REF!,"AAAAAG5zL+8=")</f>
        <v>#REF!</v>
      </c>
      <c r="IG113" t="e">
        <f>AND(#REF!,"AAAAAG5zL/A=")</f>
        <v>#REF!</v>
      </c>
      <c r="IH113" t="e">
        <f>IF(#REF!,"AAAAAG5zL/E=",0)</f>
        <v>#REF!</v>
      </c>
      <c r="II113" t="e">
        <f>AND(#REF!,"AAAAAG5zL/I=")</f>
        <v>#REF!</v>
      </c>
      <c r="IJ113" t="e">
        <f>AND(#REF!,"AAAAAG5zL/M=")</f>
        <v>#REF!</v>
      </c>
      <c r="IK113" t="e">
        <f>AND(#REF!,"AAAAAG5zL/Q=")</f>
        <v>#REF!</v>
      </c>
      <c r="IL113" t="e">
        <f>AND(#REF!,"AAAAAG5zL/U=")</f>
        <v>#REF!</v>
      </c>
      <c r="IM113" t="e">
        <f>AND(#REF!,"AAAAAG5zL/Y=")</f>
        <v>#REF!</v>
      </c>
      <c r="IN113" t="e">
        <f>AND(#REF!,"AAAAAG5zL/c=")</f>
        <v>#REF!</v>
      </c>
      <c r="IO113" t="e">
        <f>AND(#REF!,"AAAAAG5zL/g=")</f>
        <v>#REF!</v>
      </c>
      <c r="IP113" t="e">
        <f>AND(#REF!,"AAAAAG5zL/k=")</f>
        <v>#REF!</v>
      </c>
      <c r="IQ113" t="e">
        <f>AND(#REF!,"AAAAAG5zL/o=")</f>
        <v>#REF!</v>
      </c>
      <c r="IR113" t="e">
        <f>AND(#REF!,"AAAAAG5zL/s=")</f>
        <v>#REF!</v>
      </c>
      <c r="IS113" t="e">
        <f>IF(#REF!,"AAAAAG5zL/w=",0)</f>
        <v>#REF!</v>
      </c>
      <c r="IT113" t="e">
        <f>AND(#REF!,"AAAAAG5zL/0=")</f>
        <v>#REF!</v>
      </c>
      <c r="IU113" t="e">
        <f>AND(#REF!,"AAAAAG5zL/4=")</f>
        <v>#REF!</v>
      </c>
      <c r="IV113" t="e">
        <f>AND(#REF!,"AAAAAG5zL/8=")</f>
        <v>#REF!</v>
      </c>
    </row>
    <row r="114" spans="1:256" x14ac:dyDescent="0.25">
      <c r="A114" t="e">
        <f>AND(#REF!,"AAAAAH7lKwA=")</f>
        <v>#REF!</v>
      </c>
      <c r="B114" t="e">
        <f>AND(#REF!,"AAAAAH7lKwE=")</f>
        <v>#REF!</v>
      </c>
      <c r="C114" t="e">
        <f>AND(#REF!,"AAAAAH7lKwI=")</f>
        <v>#REF!</v>
      </c>
      <c r="D114" t="e">
        <f>AND(#REF!,"AAAAAH7lKwM=")</f>
        <v>#REF!</v>
      </c>
      <c r="E114" t="e">
        <f>AND(#REF!,"AAAAAH7lKwQ=")</f>
        <v>#REF!</v>
      </c>
      <c r="F114" t="e">
        <f>AND(#REF!,"AAAAAH7lKwU=")</f>
        <v>#REF!</v>
      </c>
      <c r="G114" t="e">
        <f>AND(#REF!,"AAAAAH7lKwY=")</f>
        <v>#REF!</v>
      </c>
      <c r="H114" t="e">
        <f>IF(#REF!,"AAAAAH7lKwc=",0)</f>
        <v>#REF!</v>
      </c>
      <c r="I114" t="e">
        <f>AND(#REF!,"AAAAAH7lKwg=")</f>
        <v>#REF!</v>
      </c>
      <c r="J114" t="e">
        <f>AND(#REF!,"AAAAAH7lKwk=")</f>
        <v>#REF!</v>
      </c>
      <c r="K114" t="e">
        <f>AND(#REF!,"AAAAAH7lKwo=")</f>
        <v>#REF!</v>
      </c>
      <c r="L114" t="e">
        <f>AND(#REF!,"AAAAAH7lKws=")</f>
        <v>#REF!</v>
      </c>
      <c r="M114" t="e">
        <f>AND(#REF!,"AAAAAH7lKww=")</f>
        <v>#REF!</v>
      </c>
      <c r="N114" t="e">
        <f>AND(#REF!,"AAAAAH7lKw0=")</f>
        <v>#REF!</v>
      </c>
      <c r="O114" t="e">
        <f>AND(#REF!,"AAAAAH7lKw4=")</f>
        <v>#REF!</v>
      </c>
      <c r="P114" t="e">
        <f>AND(#REF!,"AAAAAH7lKw8=")</f>
        <v>#REF!</v>
      </c>
      <c r="Q114" t="e">
        <f>AND(#REF!,"AAAAAH7lKxA=")</f>
        <v>#REF!</v>
      </c>
      <c r="R114" t="e">
        <f>AND(#REF!,"AAAAAH7lKxE=")</f>
        <v>#REF!</v>
      </c>
      <c r="S114" t="e">
        <f>IF(#REF!,"AAAAAH7lKxI=",0)</f>
        <v>#REF!</v>
      </c>
      <c r="T114" t="e">
        <f>AND(#REF!,"AAAAAH7lKxM=")</f>
        <v>#REF!</v>
      </c>
      <c r="U114" t="e">
        <f>AND(#REF!,"AAAAAH7lKxQ=")</f>
        <v>#REF!</v>
      </c>
      <c r="V114" t="e">
        <f>AND(#REF!,"AAAAAH7lKxU=")</f>
        <v>#REF!</v>
      </c>
      <c r="W114" t="e">
        <f>AND(#REF!,"AAAAAH7lKxY=")</f>
        <v>#REF!</v>
      </c>
      <c r="X114" t="e">
        <f>AND(#REF!,"AAAAAH7lKxc=")</f>
        <v>#REF!</v>
      </c>
      <c r="Y114" t="e">
        <f>AND(#REF!,"AAAAAH7lKxg=")</f>
        <v>#REF!</v>
      </c>
      <c r="Z114" t="e">
        <f>AND(#REF!,"AAAAAH7lKxk=")</f>
        <v>#REF!</v>
      </c>
      <c r="AA114" t="e">
        <f>AND(#REF!,"AAAAAH7lKxo=")</f>
        <v>#REF!</v>
      </c>
      <c r="AB114" t="e">
        <f>AND(#REF!,"AAAAAH7lKxs=")</f>
        <v>#REF!</v>
      </c>
      <c r="AC114" t="e">
        <f>AND(#REF!,"AAAAAH7lKxw=")</f>
        <v>#REF!</v>
      </c>
      <c r="AD114" t="e">
        <f>IF(#REF!,"AAAAAH7lKx0=",0)</f>
        <v>#REF!</v>
      </c>
      <c r="AE114" t="e">
        <f>AND(#REF!,"AAAAAH7lKx4=")</f>
        <v>#REF!</v>
      </c>
      <c r="AF114" t="e">
        <f>AND(#REF!,"AAAAAH7lKx8=")</f>
        <v>#REF!</v>
      </c>
      <c r="AG114" t="e">
        <f>AND(#REF!,"AAAAAH7lKyA=")</f>
        <v>#REF!</v>
      </c>
      <c r="AH114" t="e">
        <f>AND(#REF!,"AAAAAH7lKyE=")</f>
        <v>#REF!</v>
      </c>
      <c r="AI114" t="e">
        <f>AND(#REF!,"AAAAAH7lKyI=")</f>
        <v>#REF!</v>
      </c>
      <c r="AJ114" t="e">
        <f>AND(#REF!,"AAAAAH7lKyM=")</f>
        <v>#REF!</v>
      </c>
      <c r="AK114" t="e">
        <f>AND(#REF!,"AAAAAH7lKyQ=")</f>
        <v>#REF!</v>
      </c>
      <c r="AL114" t="e">
        <f>AND(#REF!,"AAAAAH7lKyU=")</f>
        <v>#REF!</v>
      </c>
      <c r="AM114" t="e">
        <f>AND(#REF!,"AAAAAH7lKyY=")</f>
        <v>#REF!</v>
      </c>
      <c r="AN114" t="e">
        <f>AND(#REF!,"AAAAAH7lKyc=")</f>
        <v>#REF!</v>
      </c>
      <c r="AO114" t="e">
        <f>IF(#REF!,"AAAAAH7lKyg=",0)</f>
        <v>#REF!</v>
      </c>
      <c r="AP114" t="e">
        <f>AND(#REF!,"AAAAAH7lKyk=")</f>
        <v>#REF!</v>
      </c>
      <c r="AQ114" t="e">
        <f>AND(#REF!,"AAAAAH7lKyo=")</f>
        <v>#REF!</v>
      </c>
      <c r="AR114" t="e">
        <f>AND(#REF!,"AAAAAH7lKys=")</f>
        <v>#REF!</v>
      </c>
      <c r="AS114" t="e">
        <f>AND(#REF!,"AAAAAH7lKyw=")</f>
        <v>#REF!</v>
      </c>
      <c r="AT114" t="e">
        <f>AND(#REF!,"AAAAAH7lKy0=")</f>
        <v>#REF!</v>
      </c>
      <c r="AU114" t="e">
        <f>AND(#REF!,"AAAAAH7lKy4=")</f>
        <v>#REF!</v>
      </c>
      <c r="AV114" t="e">
        <f>AND(#REF!,"AAAAAH7lKy8=")</f>
        <v>#REF!</v>
      </c>
      <c r="AW114" t="e">
        <f>AND(#REF!,"AAAAAH7lKzA=")</f>
        <v>#REF!</v>
      </c>
      <c r="AX114" t="e">
        <f>AND(#REF!,"AAAAAH7lKzE=")</f>
        <v>#REF!</v>
      </c>
      <c r="AY114" t="e">
        <f>AND(#REF!,"AAAAAH7lKzI=")</f>
        <v>#REF!</v>
      </c>
      <c r="AZ114" t="e">
        <f>IF(#REF!,"AAAAAH7lKzM=",0)</f>
        <v>#REF!</v>
      </c>
      <c r="BA114" t="e">
        <f>AND(#REF!,"AAAAAH7lKzQ=")</f>
        <v>#REF!</v>
      </c>
      <c r="BB114" t="e">
        <f>AND(#REF!,"AAAAAH7lKzU=")</f>
        <v>#REF!</v>
      </c>
      <c r="BC114" t="e">
        <f>AND(#REF!,"AAAAAH7lKzY=")</f>
        <v>#REF!</v>
      </c>
      <c r="BD114" t="e">
        <f>AND(#REF!,"AAAAAH7lKzc=")</f>
        <v>#REF!</v>
      </c>
      <c r="BE114" t="e">
        <f>AND(#REF!,"AAAAAH7lKzg=")</f>
        <v>#REF!</v>
      </c>
      <c r="BF114" t="e">
        <f>AND(#REF!,"AAAAAH7lKzk=")</f>
        <v>#REF!</v>
      </c>
      <c r="BG114" t="e">
        <f>AND(#REF!,"AAAAAH7lKzo=")</f>
        <v>#REF!</v>
      </c>
      <c r="BH114" t="e">
        <f>AND(#REF!,"AAAAAH7lKzs=")</f>
        <v>#REF!</v>
      </c>
      <c r="BI114" t="e">
        <f>AND(#REF!,"AAAAAH7lKzw=")</f>
        <v>#REF!</v>
      </c>
      <c r="BJ114" t="e">
        <f>AND(#REF!,"AAAAAH7lKz0=")</f>
        <v>#REF!</v>
      </c>
      <c r="BK114" t="e">
        <f>IF(#REF!,"AAAAAH7lKz4=",0)</f>
        <v>#REF!</v>
      </c>
      <c r="BL114" t="e">
        <f>AND(#REF!,"AAAAAH7lKz8=")</f>
        <v>#REF!</v>
      </c>
      <c r="BM114" t="e">
        <f>AND(#REF!,"AAAAAH7lK0A=")</f>
        <v>#REF!</v>
      </c>
      <c r="BN114" t="e">
        <f>AND(#REF!,"AAAAAH7lK0E=")</f>
        <v>#REF!</v>
      </c>
      <c r="BO114" t="e">
        <f>AND(#REF!,"AAAAAH7lK0I=")</f>
        <v>#REF!</v>
      </c>
      <c r="BP114" t="e">
        <f>AND(#REF!,"AAAAAH7lK0M=")</f>
        <v>#REF!</v>
      </c>
      <c r="BQ114" t="e">
        <f>AND(#REF!,"AAAAAH7lK0Q=")</f>
        <v>#REF!</v>
      </c>
      <c r="BR114" t="e">
        <f>AND(#REF!,"AAAAAH7lK0U=")</f>
        <v>#REF!</v>
      </c>
      <c r="BS114" t="e">
        <f>AND(#REF!,"AAAAAH7lK0Y=")</f>
        <v>#REF!</v>
      </c>
      <c r="BT114" t="e">
        <f>AND(#REF!,"AAAAAH7lK0c=")</f>
        <v>#REF!</v>
      </c>
      <c r="BU114" t="e">
        <f>AND(#REF!,"AAAAAH7lK0g=")</f>
        <v>#REF!</v>
      </c>
      <c r="BV114" t="e">
        <f>IF(#REF!,"AAAAAH7lK0k=",0)</f>
        <v>#REF!</v>
      </c>
      <c r="BW114" t="e">
        <f>AND(#REF!,"AAAAAH7lK0o=")</f>
        <v>#REF!</v>
      </c>
      <c r="BX114" t="e">
        <f>AND(#REF!,"AAAAAH7lK0s=")</f>
        <v>#REF!</v>
      </c>
      <c r="BY114" t="e">
        <f>AND(#REF!,"AAAAAH7lK0w=")</f>
        <v>#REF!</v>
      </c>
      <c r="BZ114" t="e">
        <f>AND(#REF!,"AAAAAH7lK00=")</f>
        <v>#REF!</v>
      </c>
      <c r="CA114" t="e">
        <f>AND(#REF!,"AAAAAH7lK04=")</f>
        <v>#REF!</v>
      </c>
      <c r="CB114" t="e">
        <f>AND(#REF!,"AAAAAH7lK08=")</f>
        <v>#REF!</v>
      </c>
      <c r="CC114" t="e">
        <f>AND(#REF!,"AAAAAH7lK1A=")</f>
        <v>#REF!</v>
      </c>
      <c r="CD114" t="e">
        <f>AND(#REF!,"AAAAAH7lK1E=")</f>
        <v>#REF!</v>
      </c>
      <c r="CE114" t="e">
        <f>AND(#REF!,"AAAAAH7lK1I=")</f>
        <v>#REF!</v>
      </c>
      <c r="CF114" t="e">
        <f>AND(#REF!,"AAAAAH7lK1M=")</f>
        <v>#REF!</v>
      </c>
      <c r="CG114" t="e">
        <f>IF(#REF!,"AAAAAH7lK1Q=",0)</f>
        <v>#REF!</v>
      </c>
      <c r="CH114" t="e">
        <f>AND(#REF!,"AAAAAH7lK1U=")</f>
        <v>#REF!</v>
      </c>
      <c r="CI114" t="e">
        <f>AND(#REF!,"AAAAAH7lK1Y=")</f>
        <v>#REF!</v>
      </c>
      <c r="CJ114" t="e">
        <f>AND(#REF!,"AAAAAH7lK1c=")</f>
        <v>#REF!</v>
      </c>
      <c r="CK114" t="e">
        <f>AND(#REF!,"AAAAAH7lK1g=")</f>
        <v>#REF!</v>
      </c>
      <c r="CL114" t="e">
        <f>AND(#REF!,"AAAAAH7lK1k=")</f>
        <v>#REF!</v>
      </c>
      <c r="CM114" t="e">
        <f>AND(#REF!,"AAAAAH7lK1o=")</f>
        <v>#REF!</v>
      </c>
      <c r="CN114" t="e">
        <f>AND(#REF!,"AAAAAH7lK1s=")</f>
        <v>#REF!</v>
      </c>
      <c r="CO114" t="e">
        <f>AND(#REF!,"AAAAAH7lK1w=")</f>
        <v>#REF!</v>
      </c>
      <c r="CP114" t="e">
        <f>AND(#REF!,"AAAAAH7lK10=")</f>
        <v>#REF!</v>
      </c>
      <c r="CQ114" t="e">
        <f>AND(#REF!,"AAAAAH7lK14=")</f>
        <v>#REF!</v>
      </c>
      <c r="CR114" t="e">
        <f>IF(#REF!,"AAAAAH7lK18=",0)</f>
        <v>#REF!</v>
      </c>
      <c r="CS114" t="e">
        <f>AND(#REF!,"AAAAAH7lK2A=")</f>
        <v>#REF!</v>
      </c>
      <c r="CT114" t="e">
        <f>AND(#REF!,"AAAAAH7lK2E=")</f>
        <v>#REF!</v>
      </c>
      <c r="CU114" t="e">
        <f>AND(#REF!,"AAAAAH7lK2I=")</f>
        <v>#REF!</v>
      </c>
      <c r="CV114" t="e">
        <f>AND(#REF!,"AAAAAH7lK2M=")</f>
        <v>#REF!</v>
      </c>
      <c r="CW114" t="e">
        <f>AND(#REF!,"AAAAAH7lK2Q=")</f>
        <v>#REF!</v>
      </c>
      <c r="CX114" t="e">
        <f>AND(#REF!,"AAAAAH7lK2U=")</f>
        <v>#REF!</v>
      </c>
      <c r="CY114" t="e">
        <f>AND(#REF!,"AAAAAH7lK2Y=")</f>
        <v>#REF!</v>
      </c>
      <c r="CZ114" t="e">
        <f>AND(#REF!,"AAAAAH7lK2c=")</f>
        <v>#REF!</v>
      </c>
      <c r="DA114" t="e">
        <f>AND(#REF!,"AAAAAH7lK2g=")</f>
        <v>#REF!</v>
      </c>
      <c r="DB114" t="e">
        <f>AND(#REF!,"AAAAAH7lK2k=")</f>
        <v>#REF!</v>
      </c>
      <c r="DC114" t="e">
        <f>IF(#REF!,"AAAAAH7lK2o=",0)</f>
        <v>#REF!</v>
      </c>
      <c r="DD114" t="e">
        <f>AND(#REF!,"AAAAAH7lK2s=")</f>
        <v>#REF!</v>
      </c>
      <c r="DE114" t="e">
        <f>AND(#REF!,"AAAAAH7lK2w=")</f>
        <v>#REF!</v>
      </c>
      <c r="DF114" t="e">
        <f>AND(#REF!,"AAAAAH7lK20=")</f>
        <v>#REF!</v>
      </c>
      <c r="DG114" t="e">
        <f>AND(#REF!,"AAAAAH7lK24=")</f>
        <v>#REF!</v>
      </c>
      <c r="DH114" t="e">
        <f>AND(#REF!,"AAAAAH7lK28=")</f>
        <v>#REF!</v>
      </c>
      <c r="DI114" t="e">
        <f>AND(#REF!,"AAAAAH7lK3A=")</f>
        <v>#REF!</v>
      </c>
      <c r="DJ114" t="e">
        <f>AND(#REF!,"AAAAAH7lK3E=")</f>
        <v>#REF!</v>
      </c>
      <c r="DK114" t="e">
        <f>AND(#REF!,"AAAAAH7lK3I=")</f>
        <v>#REF!</v>
      </c>
      <c r="DL114" t="e">
        <f>AND(#REF!,"AAAAAH7lK3M=")</f>
        <v>#REF!</v>
      </c>
      <c r="DM114" t="e">
        <f>AND(#REF!,"AAAAAH7lK3Q=")</f>
        <v>#REF!</v>
      </c>
      <c r="DN114" t="e">
        <f>IF(#REF!,"AAAAAH7lK3U=",0)</f>
        <v>#REF!</v>
      </c>
      <c r="DO114" t="e">
        <f>AND(#REF!,"AAAAAH7lK3Y=")</f>
        <v>#REF!</v>
      </c>
      <c r="DP114" t="e">
        <f>AND(#REF!,"AAAAAH7lK3c=")</f>
        <v>#REF!</v>
      </c>
      <c r="DQ114" t="e">
        <f>AND(#REF!,"AAAAAH7lK3g=")</f>
        <v>#REF!</v>
      </c>
      <c r="DR114" t="e">
        <f>AND(#REF!,"AAAAAH7lK3k=")</f>
        <v>#REF!</v>
      </c>
      <c r="DS114" t="e">
        <f>AND(#REF!,"AAAAAH7lK3o=")</f>
        <v>#REF!</v>
      </c>
      <c r="DT114" t="e">
        <f>AND(#REF!,"AAAAAH7lK3s=")</f>
        <v>#REF!</v>
      </c>
      <c r="DU114" t="e">
        <f>AND(#REF!,"AAAAAH7lK3w=")</f>
        <v>#REF!</v>
      </c>
      <c r="DV114" t="e">
        <f>AND(#REF!,"AAAAAH7lK30=")</f>
        <v>#REF!</v>
      </c>
      <c r="DW114" t="e">
        <f>AND(#REF!,"AAAAAH7lK34=")</f>
        <v>#REF!</v>
      </c>
      <c r="DX114" t="e">
        <f>AND(#REF!,"AAAAAH7lK38=")</f>
        <v>#REF!</v>
      </c>
      <c r="DY114" t="e">
        <f>IF(#REF!,"AAAAAH7lK4A=",0)</f>
        <v>#REF!</v>
      </c>
      <c r="DZ114" t="e">
        <f>AND(#REF!,"AAAAAH7lK4E=")</f>
        <v>#REF!</v>
      </c>
      <c r="EA114" t="e">
        <f>AND(#REF!,"AAAAAH7lK4I=")</f>
        <v>#REF!</v>
      </c>
      <c r="EB114" t="e">
        <f>AND(#REF!,"AAAAAH7lK4M=")</f>
        <v>#REF!</v>
      </c>
      <c r="EC114" t="e">
        <f>AND(#REF!,"AAAAAH7lK4Q=")</f>
        <v>#REF!</v>
      </c>
      <c r="ED114" t="e">
        <f>AND(#REF!,"AAAAAH7lK4U=")</f>
        <v>#REF!</v>
      </c>
      <c r="EE114" t="e">
        <f>AND(#REF!,"AAAAAH7lK4Y=")</f>
        <v>#REF!</v>
      </c>
      <c r="EF114" t="e">
        <f>AND(#REF!,"AAAAAH7lK4c=")</f>
        <v>#REF!</v>
      </c>
      <c r="EG114" t="e">
        <f>AND(#REF!,"AAAAAH7lK4g=")</f>
        <v>#REF!</v>
      </c>
      <c r="EH114" t="e">
        <f>AND(#REF!,"AAAAAH7lK4k=")</f>
        <v>#REF!</v>
      </c>
      <c r="EI114" t="e">
        <f>AND(#REF!,"AAAAAH7lK4o=")</f>
        <v>#REF!</v>
      </c>
      <c r="EJ114" t="e">
        <f>IF(#REF!,"AAAAAH7lK4s=",0)</f>
        <v>#REF!</v>
      </c>
      <c r="EK114" t="e">
        <f>AND(#REF!,"AAAAAH7lK4w=")</f>
        <v>#REF!</v>
      </c>
      <c r="EL114" t="e">
        <f>AND(#REF!,"AAAAAH7lK40=")</f>
        <v>#REF!</v>
      </c>
      <c r="EM114" t="e">
        <f>AND(#REF!,"AAAAAH7lK44=")</f>
        <v>#REF!</v>
      </c>
      <c r="EN114" t="e">
        <f>AND(#REF!,"AAAAAH7lK48=")</f>
        <v>#REF!</v>
      </c>
      <c r="EO114" t="e">
        <f>AND(#REF!,"AAAAAH7lK5A=")</f>
        <v>#REF!</v>
      </c>
      <c r="EP114" t="e">
        <f>AND(#REF!,"AAAAAH7lK5E=")</f>
        <v>#REF!</v>
      </c>
      <c r="EQ114" t="e">
        <f>AND(#REF!,"AAAAAH7lK5I=")</f>
        <v>#REF!</v>
      </c>
      <c r="ER114" t="e">
        <f>AND(#REF!,"AAAAAH7lK5M=")</f>
        <v>#REF!</v>
      </c>
      <c r="ES114" t="e">
        <f>AND(#REF!,"AAAAAH7lK5Q=")</f>
        <v>#REF!</v>
      </c>
      <c r="ET114" t="e">
        <f>AND(#REF!,"AAAAAH7lK5U=")</f>
        <v>#REF!</v>
      </c>
      <c r="EU114" t="e">
        <f>IF(#REF!,"AAAAAH7lK5Y=",0)</f>
        <v>#REF!</v>
      </c>
      <c r="EV114" t="e">
        <f>AND(#REF!,"AAAAAH7lK5c=")</f>
        <v>#REF!</v>
      </c>
      <c r="EW114" t="e">
        <f>AND(#REF!,"AAAAAH7lK5g=")</f>
        <v>#REF!</v>
      </c>
      <c r="EX114" t="e">
        <f>AND(#REF!,"AAAAAH7lK5k=")</f>
        <v>#REF!</v>
      </c>
      <c r="EY114" t="e">
        <f>AND(#REF!,"AAAAAH7lK5o=")</f>
        <v>#REF!</v>
      </c>
      <c r="EZ114" t="e">
        <f>AND(#REF!,"AAAAAH7lK5s=")</f>
        <v>#REF!</v>
      </c>
      <c r="FA114" t="e">
        <f>AND(#REF!,"AAAAAH7lK5w=")</f>
        <v>#REF!</v>
      </c>
      <c r="FB114" t="e">
        <f>AND(#REF!,"AAAAAH7lK50=")</f>
        <v>#REF!</v>
      </c>
      <c r="FC114" t="e">
        <f>AND(#REF!,"AAAAAH7lK54=")</f>
        <v>#REF!</v>
      </c>
      <c r="FD114" t="e">
        <f>AND(#REF!,"AAAAAH7lK58=")</f>
        <v>#REF!</v>
      </c>
      <c r="FE114" t="e">
        <f>AND(#REF!,"AAAAAH7lK6A=")</f>
        <v>#REF!</v>
      </c>
      <c r="FF114" t="e">
        <f>IF(#REF!,"AAAAAH7lK6E=",0)</f>
        <v>#REF!</v>
      </c>
      <c r="FG114" t="e">
        <f>AND(#REF!,"AAAAAH7lK6I=")</f>
        <v>#REF!</v>
      </c>
      <c r="FH114" t="e">
        <f>AND(#REF!,"AAAAAH7lK6M=")</f>
        <v>#REF!</v>
      </c>
      <c r="FI114" t="e">
        <f>AND(#REF!,"AAAAAH7lK6Q=")</f>
        <v>#REF!</v>
      </c>
      <c r="FJ114" t="e">
        <f>AND(#REF!,"AAAAAH7lK6U=")</f>
        <v>#REF!</v>
      </c>
      <c r="FK114" t="e">
        <f>AND(#REF!,"AAAAAH7lK6Y=")</f>
        <v>#REF!</v>
      </c>
      <c r="FL114" t="e">
        <f>AND(#REF!,"AAAAAH7lK6c=")</f>
        <v>#REF!</v>
      </c>
      <c r="FM114" t="e">
        <f>AND(#REF!,"AAAAAH7lK6g=")</f>
        <v>#REF!</v>
      </c>
      <c r="FN114" t="e">
        <f>AND(#REF!,"AAAAAH7lK6k=")</f>
        <v>#REF!</v>
      </c>
      <c r="FO114" t="e">
        <f>AND(#REF!,"AAAAAH7lK6o=")</f>
        <v>#REF!</v>
      </c>
      <c r="FP114" t="e">
        <f>AND(#REF!,"AAAAAH7lK6s=")</f>
        <v>#REF!</v>
      </c>
      <c r="FQ114" t="e">
        <f>IF(#REF!,"AAAAAH7lK6w=",0)</f>
        <v>#REF!</v>
      </c>
      <c r="FR114" t="e">
        <f>AND(#REF!,"AAAAAH7lK60=")</f>
        <v>#REF!</v>
      </c>
      <c r="FS114" t="e">
        <f>AND(#REF!,"AAAAAH7lK64=")</f>
        <v>#REF!</v>
      </c>
      <c r="FT114" t="e">
        <f>AND(#REF!,"AAAAAH7lK68=")</f>
        <v>#REF!</v>
      </c>
      <c r="FU114" t="e">
        <f>AND(#REF!,"AAAAAH7lK7A=")</f>
        <v>#REF!</v>
      </c>
      <c r="FV114" t="e">
        <f>AND(#REF!,"AAAAAH7lK7E=")</f>
        <v>#REF!</v>
      </c>
      <c r="FW114" t="e">
        <f>AND(#REF!,"AAAAAH7lK7I=")</f>
        <v>#REF!</v>
      </c>
      <c r="FX114" t="e">
        <f>AND(#REF!,"AAAAAH7lK7M=")</f>
        <v>#REF!</v>
      </c>
      <c r="FY114" t="e">
        <f>AND(#REF!,"AAAAAH7lK7Q=")</f>
        <v>#REF!</v>
      </c>
      <c r="FZ114" t="e">
        <f>AND(#REF!,"AAAAAH7lK7U=")</f>
        <v>#REF!</v>
      </c>
      <c r="GA114" t="e">
        <f>AND(#REF!,"AAAAAH7lK7Y=")</f>
        <v>#REF!</v>
      </c>
      <c r="GB114" t="e">
        <f>IF(#REF!,"AAAAAH7lK7c=",0)</f>
        <v>#REF!</v>
      </c>
      <c r="GC114" t="e">
        <f>AND(#REF!,"AAAAAH7lK7g=")</f>
        <v>#REF!</v>
      </c>
      <c r="GD114" t="e">
        <f>AND(#REF!,"AAAAAH7lK7k=")</f>
        <v>#REF!</v>
      </c>
      <c r="GE114" t="e">
        <f>AND(#REF!,"AAAAAH7lK7o=")</f>
        <v>#REF!</v>
      </c>
      <c r="GF114" t="e">
        <f>AND(#REF!,"AAAAAH7lK7s=")</f>
        <v>#REF!</v>
      </c>
      <c r="GG114" t="e">
        <f>AND(#REF!,"AAAAAH7lK7w=")</f>
        <v>#REF!</v>
      </c>
      <c r="GH114" t="e">
        <f>AND(#REF!,"AAAAAH7lK70=")</f>
        <v>#REF!</v>
      </c>
      <c r="GI114" t="e">
        <f>AND(#REF!,"AAAAAH7lK74=")</f>
        <v>#REF!</v>
      </c>
      <c r="GJ114" t="e">
        <f>AND(#REF!,"AAAAAH7lK78=")</f>
        <v>#REF!</v>
      </c>
      <c r="GK114" t="e">
        <f>AND(#REF!,"AAAAAH7lK8A=")</f>
        <v>#REF!</v>
      </c>
      <c r="GL114" t="e">
        <f>AND(#REF!,"AAAAAH7lK8E=")</f>
        <v>#REF!</v>
      </c>
      <c r="GM114" t="e">
        <f>IF(#REF!,"AAAAAH7lK8I=",0)</f>
        <v>#REF!</v>
      </c>
      <c r="GN114" t="e">
        <f>AND(#REF!,"AAAAAH7lK8M=")</f>
        <v>#REF!</v>
      </c>
      <c r="GO114" t="e">
        <f>AND(#REF!,"AAAAAH7lK8Q=")</f>
        <v>#REF!</v>
      </c>
      <c r="GP114" t="e">
        <f>AND(#REF!,"AAAAAH7lK8U=")</f>
        <v>#REF!</v>
      </c>
      <c r="GQ114" t="e">
        <f>AND(#REF!,"AAAAAH7lK8Y=")</f>
        <v>#REF!</v>
      </c>
      <c r="GR114" t="e">
        <f>AND(#REF!,"AAAAAH7lK8c=")</f>
        <v>#REF!</v>
      </c>
      <c r="GS114" t="e">
        <f>AND(#REF!,"AAAAAH7lK8g=")</f>
        <v>#REF!</v>
      </c>
      <c r="GT114" t="e">
        <f>AND(#REF!,"AAAAAH7lK8k=")</f>
        <v>#REF!</v>
      </c>
      <c r="GU114" t="e">
        <f>AND(#REF!,"AAAAAH7lK8o=")</f>
        <v>#REF!</v>
      </c>
      <c r="GV114" t="e">
        <f>AND(#REF!,"AAAAAH7lK8s=")</f>
        <v>#REF!</v>
      </c>
      <c r="GW114" t="e">
        <f>AND(#REF!,"AAAAAH7lK8w=")</f>
        <v>#REF!</v>
      </c>
      <c r="GX114" t="e">
        <f>IF(#REF!,"AAAAAH7lK80=",0)</f>
        <v>#REF!</v>
      </c>
      <c r="GY114" t="e">
        <f>AND(#REF!,"AAAAAH7lK84=")</f>
        <v>#REF!</v>
      </c>
      <c r="GZ114" t="e">
        <f>AND(#REF!,"AAAAAH7lK88=")</f>
        <v>#REF!</v>
      </c>
      <c r="HA114" t="e">
        <f>AND(#REF!,"AAAAAH7lK9A=")</f>
        <v>#REF!</v>
      </c>
      <c r="HB114" t="e">
        <f>AND(#REF!,"AAAAAH7lK9E=")</f>
        <v>#REF!</v>
      </c>
      <c r="HC114" t="e">
        <f>AND(#REF!,"AAAAAH7lK9I=")</f>
        <v>#REF!</v>
      </c>
      <c r="HD114" t="e">
        <f>AND(#REF!,"AAAAAH7lK9M=")</f>
        <v>#REF!</v>
      </c>
      <c r="HE114" t="e">
        <f>AND(#REF!,"AAAAAH7lK9Q=")</f>
        <v>#REF!</v>
      </c>
      <c r="HF114" t="e">
        <f>AND(#REF!,"AAAAAH7lK9U=")</f>
        <v>#REF!</v>
      </c>
      <c r="HG114" t="e">
        <f>AND(#REF!,"AAAAAH7lK9Y=")</f>
        <v>#REF!</v>
      </c>
      <c r="HH114" t="e">
        <f>AND(#REF!,"AAAAAH7lK9c=")</f>
        <v>#REF!</v>
      </c>
      <c r="HI114" t="e">
        <f>IF(#REF!,"AAAAAH7lK9g=",0)</f>
        <v>#REF!</v>
      </c>
      <c r="HJ114" t="e">
        <f>AND(#REF!,"AAAAAH7lK9k=")</f>
        <v>#REF!</v>
      </c>
      <c r="HK114" t="e">
        <f>AND(#REF!,"AAAAAH7lK9o=")</f>
        <v>#REF!</v>
      </c>
      <c r="HL114" t="e">
        <f>AND(#REF!,"AAAAAH7lK9s=")</f>
        <v>#REF!</v>
      </c>
      <c r="HM114" t="e">
        <f>AND(#REF!,"AAAAAH7lK9w=")</f>
        <v>#REF!</v>
      </c>
      <c r="HN114" t="e">
        <f>AND(#REF!,"AAAAAH7lK90=")</f>
        <v>#REF!</v>
      </c>
      <c r="HO114" t="e">
        <f>AND(#REF!,"AAAAAH7lK94=")</f>
        <v>#REF!</v>
      </c>
      <c r="HP114" t="e">
        <f>AND(#REF!,"AAAAAH7lK98=")</f>
        <v>#REF!</v>
      </c>
      <c r="HQ114" t="e">
        <f>AND(#REF!,"AAAAAH7lK+A=")</f>
        <v>#REF!</v>
      </c>
      <c r="HR114" t="e">
        <f>AND(#REF!,"AAAAAH7lK+E=")</f>
        <v>#REF!</v>
      </c>
      <c r="HS114" t="e">
        <f>AND(#REF!,"AAAAAH7lK+I=")</f>
        <v>#REF!</v>
      </c>
      <c r="HT114" t="e">
        <f>IF(#REF!,"AAAAAH7lK+M=",0)</f>
        <v>#REF!</v>
      </c>
      <c r="HU114" t="e">
        <f>AND(#REF!,"AAAAAH7lK+Q=")</f>
        <v>#REF!</v>
      </c>
      <c r="HV114" t="e">
        <f>AND(#REF!,"AAAAAH7lK+U=")</f>
        <v>#REF!</v>
      </c>
      <c r="HW114" t="e">
        <f>AND(#REF!,"AAAAAH7lK+Y=")</f>
        <v>#REF!</v>
      </c>
      <c r="HX114" t="e">
        <f>AND(#REF!,"AAAAAH7lK+c=")</f>
        <v>#REF!</v>
      </c>
      <c r="HY114" t="e">
        <f>AND(#REF!,"AAAAAH7lK+g=")</f>
        <v>#REF!</v>
      </c>
      <c r="HZ114" t="e">
        <f>AND(#REF!,"AAAAAH7lK+k=")</f>
        <v>#REF!</v>
      </c>
      <c r="IA114" t="e">
        <f>AND(#REF!,"AAAAAH7lK+o=")</f>
        <v>#REF!</v>
      </c>
      <c r="IB114" t="e">
        <f>AND(#REF!,"AAAAAH7lK+s=")</f>
        <v>#REF!</v>
      </c>
      <c r="IC114" t="e">
        <f>AND(#REF!,"AAAAAH7lK+w=")</f>
        <v>#REF!</v>
      </c>
      <c r="ID114" t="e">
        <f>AND(#REF!,"AAAAAH7lK+0=")</f>
        <v>#REF!</v>
      </c>
      <c r="IE114" t="e">
        <f>IF(#REF!,"AAAAAH7lK+4=",0)</f>
        <v>#REF!</v>
      </c>
      <c r="IF114" t="e">
        <f>AND(#REF!,"AAAAAH7lK+8=")</f>
        <v>#REF!</v>
      </c>
      <c r="IG114" t="e">
        <f>AND(#REF!,"AAAAAH7lK/A=")</f>
        <v>#REF!</v>
      </c>
      <c r="IH114" t="e">
        <f>AND(#REF!,"AAAAAH7lK/E=")</f>
        <v>#REF!</v>
      </c>
      <c r="II114" t="e">
        <f>AND(#REF!,"AAAAAH7lK/I=")</f>
        <v>#REF!</v>
      </c>
      <c r="IJ114" t="e">
        <f>AND(#REF!,"AAAAAH7lK/M=")</f>
        <v>#REF!</v>
      </c>
      <c r="IK114" t="e">
        <f>AND(#REF!,"AAAAAH7lK/Q=")</f>
        <v>#REF!</v>
      </c>
      <c r="IL114" t="e">
        <f>AND(#REF!,"AAAAAH7lK/U=")</f>
        <v>#REF!</v>
      </c>
      <c r="IM114" t="e">
        <f>AND(#REF!,"AAAAAH7lK/Y=")</f>
        <v>#REF!</v>
      </c>
      <c r="IN114" t="e">
        <f>AND(#REF!,"AAAAAH7lK/c=")</f>
        <v>#REF!</v>
      </c>
      <c r="IO114" t="e">
        <f>AND(#REF!,"AAAAAH7lK/g=")</f>
        <v>#REF!</v>
      </c>
      <c r="IP114" t="e">
        <f>IF(#REF!,"AAAAAH7lK/k=",0)</f>
        <v>#REF!</v>
      </c>
      <c r="IQ114" t="e">
        <f>AND(#REF!,"AAAAAH7lK/o=")</f>
        <v>#REF!</v>
      </c>
      <c r="IR114" t="e">
        <f>AND(#REF!,"AAAAAH7lK/s=")</f>
        <v>#REF!</v>
      </c>
      <c r="IS114" t="e">
        <f>AND(#REF!,"AAAAAH7lK/w=")</f>
        <v>#REF!</v>
      </c>
      <c r="IT114" t="e">
        <f>AND(#REF!,"AAAAAH7lK/0=")</f>
        <v>#REF!</v>
      </c>
      <c r="IU114" t="e">
        <f>AND(#REF!,"AAAAAH7lK/4=")</f>
        <v>#REF!</v>
      </c>
      <c r="IV114" t="e">
        <f>AND(#REF!,"AAAAAH7lK/8=")</f>
        <v>#REF!</v>
      </c>
    </row>
    <row r="115" spans="1:256" x14ac:dyDescent="0.25">
      <c r="A115" t="e">
        <f>AND(#REF!,"AAAAAG39jwA=")</f>
        <v>#REF!</v>
      </c>
      <c r="B115" t="e">
        <f>AND(#REF!,"AAAAAG39jwE=")</f>
        <v>#REF!</v>
      </c>
      <c r="C115" t="e">
        <f>AND(#REF!,"AAAAAG39jwI=")</f>
        <v>#REF!</v>
      </c>
      <c r="D115" t="e">
        <f>AND(#REF!,"AAAAAG39jwM=")</f>
        <v>#REF!</v>
      </c>
      <c r="E115" t="e">
        <f>IF(#REF!,"AAAAAG39jwQ=",0)</f>
        <v>#REF!</v>
      </c>
      <c r="F115" t="e">
        <f>AND(#REF!,"AAAAAG39jwU=")</f>
        <v>#REF!</v>
      </c>
      <c r="G115" t="e">
        <f>AND(#REF!,"AAAAAG39jwY=")</f>
        <v>#REF!</v>
      </c>
      <c r="H115" t="e">
        <f>AND(#REF!,"AAAAAG39jwc=")</f>
        <v>#REF!</v>
      </c>
      <c r="I115" t="e">
        <f>AND(#REF!,"AAAAAG39jwg=")</f>
        <v>#REF!</v>
      </c>
      <c r="J115" t="e">
        <f>AND(#REF!,"AAAAAG39jwk=")</f>
        <v>#REF!</v>
      </c>
      <c r="K115" t="e">
        <f>AND(#REF!,"AAAAAG39jwo=")</f>
        <v>#REF!</v>
      </c>
      <c r="L115" t="e">
        <f>AND(#REF!,"AAAAAG39jws=")</f>
        <v>#REF!</v>
      </c>
      <c r="M115" t="e">
        <f>AND(#REF!,"AAAAAG39jww=")</f>
        <v>#REF!</v>
      </c>
      <c r="N115" t="e">
        <f>AND(#REF!,"AAAAAG39jw0=")</f>
        <v>#REF!</v>
      </c>
      <c r="O115" t="e">
        <f>AND(#REF!,"AAAAAG39jw4=")</f>
        <v>#REF!</v>
      </c>
      <c r="P115" t="e">
        <f>IF(#REF!,"AAAAAG39jw8=",0)</f>
        <v>#REF!</v>
      </c>
      <c r="Q115" t="e">
        <f>AND(#REF!,"AAAAAG39jxA=")</f>
        <v>#REF!</v>
      </c>
      <c r="R115" t="e">
        <f>AND(#REF!,"AAAAAG39jxE=")</f>
        <v>#REF!</v>
      </c>
      <c r="S115" t="e">
        <f>AND(#REF!,"AAAAAG39jxI=")</f>
        <v>#REF!</v>
      </c>
      <c r="T115" t="e">
        <f>AND(#REF!,"AAAAAG39jxM=")</f>
        <v>#REF!</v>
      </c>
      <c r="U115" t="e">
        <f>AND(#REF!,"AAAAAG39jxQ=")</f>
        <v>#REF!</v>
      </c>
      <c r="V115" t="e">
        <f>AND(#REF!,"AAAAAG39jxU=")</f>
        <v>#REF!</v>
      </c>
      <c r="W115" t="e">
        <f>AND(#REF!,"AAAAAG39jxY=")</f>
        <v>#REF!</v>
      </c>
      <c r="X115" t="e">
        <f>AND(#REF!,"AAAAAG39jxc=")</f>
        <v>#REF!</v>
      </c>
      <c r="Y115" t="e">
        <f>AND(#REF!,"AAAAAG39jxg=")</f>
        <v>#REF!</v>
      </c>
      <c r="Z115" t="e">
        <f>AND(#REF!,"AAAAAG39jxk=")</f>
        <v>#REF!</v>
      </c>
      <c r="AA115" t="e">
        <f>IF(#REF!,"AAAAAG39jxo=",0)</f>
        <v>#REF!</v>
      </c>
      <c r="AB115" t="e">
        <f>AND(#REF!,"AAAAAG39jxs=")</f>
        <v>#REF!</v>
      </c>
      <c r="AC115" t="e">
        <f>AND(#REF!,"AAAAAG39jxw=")</f>
        <v>#REF!</v>
      </c>
      <c r="AD115" t="e">
        <f>AND(#REF!,"AAAAAG39jx0=")</f>
        <v>#REF!</v>
      </c>
      <c r="AE115" t="e">
        <f>AND(#REF!,"AAAAAG39jx4=")</f>
        <v>#REF!</v>
      </c>
      <c r="AF115" t="e">
        <f>AND(#REF!,"AAAAAG39jx8=")</f>
        <v>#REF!</v>
      </c>
      <c r="AG115" t="e">
        <f>AND(#REF!,"AAAAAG39jyA=")</f>
        <v>#REF!</v>
      </c>
      <c r="AH115" t="e">
        <f>AND(#REF!,"AAAAAG39jyE=")</f>
        <v>#REF!</v>
      </c>
      <c r="AI115" t="e">
        <f>AND(#REF!,"AAAAAG39jyI=")</f>
        <v>#REF!</v>
      </c>
      <c r="AJ115" t="e">
        <f>AND(#REF!,"AAAAAG39jyM=")</f>
        <v>#REF!</v>
      </c>
      <c r="AK115" t="e">
        <f>AND(#REF!,"AAAAAG39jyQ=")</f>
        <v>#REF!</v>
      </c>
      <c r="AL115" t="e">
        <f>IF(#REF!,"AAAAAG39jyU=",0)</f>
        <v>#REF!</v>
      </c>
      <c r="AM115" t="e">
        <f>AND(#REF!,"AAAAAG39jyY=")</f>
        <v>#REF!</v>
      </c>
      <c r="AN115" t="e">
        <f>AND(#REF!,"AAAAAG39jyc=")</f>
        <v>#REF!</v>
      </c>
      <c r="AO115" t="e">
        <f>AND(#REF!,"AAAAAG39jyg=")</f>
        <v>#REF!</v>
      </c>
      <c r="AP115" t="e">
        <f>AND(#REF!,"AAAAAG39jyk=")</f>
        <v>#REF!</v>
      </c>
      <c r="AQ115" t="e">
        <f>AND(#REF!,"AAAAAG39jyo=")</f>
        <v>#REF!</v>
      </c>
      <c r="AR115" t="e">
        <f>AND(#REF!,"AAAAAG39jys=")</f>
        <v>#REF!</v>
      </c>
      <c r="AS115" t="e">
        <f>AND(#REF!,"AAAAAG39jyw=")</f>
        <v>#REF!</v>
      </c>
      <c r="AT115" t="e">
        <f>AND(#REF!,"AAAAAG39jy0=")</f>
        <v>#REF!</v>
      </c>
      <c r="AU115" t="e">
        <f>AND(#REF!,"AAAAAG39jy4=")</f>
        <v>#REF!</v>
      </c>
      <c r="AV115" t="e">
        <f>AND(#REF!,"AAAAAG39jy8=")</f>
        <v>#REF!</v>
      </c>
      <c r="AW115" t="e">
        <f>IF(#REF!,"AAAAAG39jzA=",0)</f>
        <v>#REF!</v>
      </c>
      <c r="AX115" t="e">
        <f>AND(#REF!,"AAAAAG39jzE=")</f>
        <v>#REF!</v>
      </c>
      <c r="AY115" t="e">
        <f>AND(#REF!,"AAAAAG39jzI=")</f>
        <v>#REF!</v>
      </c>
      <c r="AZ115" t="e">
        <f>AND(#REF!,"AAAAAG39jzM=")</f>
        <v>#REF!</v>
      </c>
      <c r="BA115" t="e">
        <f>AND(#REF!,"AAAAAG39jzQ=")</f>
        <v>#REF!</v>
      </c>
      <c r="BB115" t="e">
        <f>AND(#REF!,"AAAAAG39jzU=")</f>
        <v>#REF!</v>
      </c>
      <c r="BC115" t="e">
        <f>AND(#REF!,"AAAAAG39jzY=")</f>
        <v>#REF!</v>
      </c>
      <c r="BD115" t="e">
        <f>AND(#REF!,"AAAAAG39jzc=")</f>
        <v>#REF!</v>
      </c>
      <c r="BE115" t="e">
        <f>AND(#REF!,"AAAAAG39jzg=")</f>
        <v>#REF!</v>
      </c>
      <c r="BF115" t="e">
        <f>AND(#REF!,"AAAAAG39jzk=")</f>
        <v>#REF!</v>
      </c>
      <c r="BG115" t="e">
        <f>AND(#REF!,"AAAAAG39jzo=")</f>
        <v>#REF!</v>
      </c>
      <c r="BH115" t="e">
        <f>IF(#REF!,"AAAAAG39jzs=",0)</f>
        <v>#REF!</v>
      </c>
      <c r="BI115" t="e">
        <f>AND(#REF!,"AAAAAG39jzw=")</f>
        <v>#REF!</v>
      </c>
      <c r="BJ115" t="e">
        <f>AND(#REF!,"AAAAAG39jz0=")</f>
        <v>#REF!</v>
      </c>
      <c r="BK115" t="e">
        <f>AND(#REF!,"AAAAAG39jz4=")</f>
        <v>#REF!</v>
      </c>
      <c r="BL115" t="e">
        <f>AND(#REF!,"AAAAAG39jz8=")</f>
        <v>#REF!</v>
      </c>
      <c r="BM115" t="e">
        <f>AND(#REF!,"AAAAAG39j0A=")</f>
        <v>#REF!</v>
      </c>
      <c r="BN115" t="e">
        <f>AND(#REF!,"AAAAAG39j0E=")</f>
        <v>#REF!</v>
      </c>
      <c r="BO115" t="e">
        <f>AND(#REF!,"AAAAAG39j0I=")</f>
        <v>#REF!</v>
      </c>
      <c r="BP115" t="e">
        <f>AND(#REF!,"AAAAAG39j0M=")</f>
        <v>#REF!</v>
      </c>
      <c r="BQ115" t="e">
        <f>AND(#REF!,"AAAAAG39j0Q=")</f>
        <v>#REF!</v>
      </c>
      <c r="BR115" t="e">
        <f>AND(#REF!,"AAAAAG39j0U=")</f>
        <v>#REF!</v>
      </c>
      <c r="BS115" t="e">
        <f>IF(#REF!,"AAAAAG39j0Y=",0)</f>
        <v>#REF!</v>
      </c>
      <c r="BT115" t="e">
        <f>AND(#REF!,"AAAAAG39j0c=")</f>
        <v>#REF!</v>
      </c>
      <c r="BU115" t="e">
        <f>AND(#REF!,"AAAAAG39j0g=")</f>
        <v>#REF!</v>
      </c>
      <c r="BV115" t="e">
        <f>AND(#REF!,"AAAAAG39j0k=")</f>
        <v>#REF!</v>
      </c>
      <c r="BW115" t="e">
        <f>AND(#REF!,"AAAAAG39j0o=")</f>
        <v>#REF!</v>
      </c>
      <c r="BX115" t="e">
        <f>AND(#REF!,"AAAAAG39j0s=")</f>
        <v>#REF!</v>
      </c>
      <c r="BY115" t="e">
        <f>AND(#REF!,"AAAAAG39j0w=")</f>
        <v>#REF!</v>
      </c>
      <c r="BZ115" t="e">
        <f>AND(#REF!,"AAAAAG39j00=")</f>
        <v>#REF!</v>
      </c>
      <c r="CA115" t="e">
        <f>AND(#REF!,"AAAAAG39j04=")</f>
        <v>#REF!</v>
      </c>
      <c r="CB115" t="e">
        <f>AND(#REF!,"AAAAAG39j08=")</f>
        <v>#REF!</v>
      </c>
      <c r="CC115" t="e">
        <f>AND(#REF!,"AAAAAG39j1A=")</f>
        <v>#REF!</v>
      </c>
      <c r="CD115" t="e">
        <f>IF(#REF!,"AAAAAG39j1E=",0)</f>
        <v>#REF!</v>
      </c>
      <c r="CE115" t="e">
        <f>AND(#REF!,"AAAAAG39j1I=")</f>
        <v>#REF!</v>
      </c>
      <c r="CF115" t="e">
        <f>AND(#REF!,"AAAAAG39j1M=")</f>
        <v>#REF!</v>
      </c>
      <c r="CG115" t="e">
        <f>AND(#REF!,"AAAAAG39j1Q=")</f>
        <v>#REF!</v>
      </c>
      <c r="CH115" t="e">
        <f>AND(#REF!,"AAAAAG39j1U=")</f>
        <v>#REF!</v>
      </c>
      <c r="CI115" t="e">
        <f>AND(#REF!,"AAAAAG39j1Y=")</f>
        <v>#REF!</v>
      </c>
      <c r="CJ115" t="e">
        <f>AND(#REF!,"AAAAAG39j1c=")</f>
        <v>#REF!</v>
      </c>
      <c r="CK115" t="e">
        <f>AND(#REF!,"AAAAAG39j1g=")</f>
        <v>#REF!</v>
      </c>
      <c r="CL115" t="e">
        <f>AND(#REF!,"AAAAAG39j1k=")</f>
        <v>#REF!</v>
      </c>
      <c r="CM115" t="e">
        <f>AND(#REF!,"AAAAAG39j1o=")</f>
        <v>#REF!</v>
      </c>
      <c r="CN115" t="e">
        <f>AND(#REF!,"AAAAAG39j1s=")</f>
        <v>#REF!</v>
      </c>
      <c r="CO115" t="e">
        <f>IF(#REF!,"AAAAAG39j1w=",0)</f>
        <v>#REF!</v>
      </c>
      <c r="CP115" t="e">
        <f>AND(#REF!,"AAAAAG39j10=")</f>
        <v>#REF!</v>
      </c>
      <c r="CQ115" t="e">
        <f>AND(#REF!,"AAAAAG39j14=")</f>
        <v>#REF!</v>
      </c>
      <c r="CR115" t="e">
        <f>AND(#REF!,"AAAAAG39j18=")</f>
        <v>#REF!</v>
      </c>
      <c r="CS115" t="e">
        <f>AND(#REF!,"AAAAAG39j2A=")</f>
        <v>#REF!</v>
      </c>
      <c r="CT115" t="e">
        <f>AND(#REF!,"AAAAAG39j2E=")</f>
        <v>#REF!</v>
      </c>
      <c r="CU115" t="e">
        <f>AND(#REF!,"AAAAAG39j2I=")</f>
        <v>#REF!</v>
      </c>
      <c r="CV115" t="e">
        <f>AND(#REF!,"AAAAAG39j2M=")</f>
        <v>#REF!</v>
      </c>
      <c r="CW115" t="e">
        <f>AND(#REF!,"AAAAAG39j2Q=")</f>
        <v>#REF!</v>
      </c>
      <c r="CX115" t="e">
        <f>AND(#REF!,"AAAAAG39j2U=")</f>
        <v>#REF!</v>
      </c>
      <c r="CY115" t="e">
        <f>AND(#REF!,"AAAAAG39j2Y=")</f>
        <v>#REF!</v>
      </c>
      <c r="CZ115" t="e">
        <f>IF(#REF!,"AAAAAG39j2c=",0)</f>
        <v>#REF!</v>
      </c>
      <c r="DA115" t="e">
        <f>AND(#REF!,"AAAAAG39j2g=")</f>
        <v>#REF!</v>
      </c>
      <c r="DB115" t="e">
        <f>AND(#REF!,"AAAAAG39j2k=")</f>
        <v>#REF!</v>
      </c>
      <c r="DC115" t="e">
        <f>AND(#REF!,"AAAAAG39j2o=")</f>
        <v>#REF!</v>
      </c>
      <c r="DD115" t="e">
        <f>AND(#REF!,"AAAAAG39j2s=")</f>
        <v>#REF!</v>
      </c>
      <c r="DE115" t="e">
        <f>AND(#REF!,"AAAAAG39j2w=")</f>
        <v>#REF!</v>
      </c>
      <c r="DF115" t="e">
        <f>AND(#REF!,"AAAAAG39j20=")</f>
        <v>#REF!</v>
      </c>
      <c r="DG115" t="e">
        <f>AND(#REF!,"AAAAAG39j24=")</f>
        <v>#REF!</v>
      </c>
      <c r="DH115" t="e">
        <f>AND(#REF!,"AAAAAG39j28=")</f>
        <v>#REF!</v>
      </c>
      <c r="DI115" t="e">
        <f>AND(#REF!,"AAAAAG39j3A=")</f>
        <v>#REF!</v>
      </c>
      <c r="DJ115" t="e">
        <f>AND(#REF!,"AAAAAG39j3E=")</f>
        <v>#REF!</v>
      </c>
      <c r="DK115" t="e">
        <f>IF(#REF!,"AAAAAG39j3I=",0)</f>
        <v>#REF!</v>
      </c>
      <c r="DL115" t="e">
        <f>AND(#REF!,"AAAAAG39j3M=")</f>
        <v>#REF!</v>
      </c>
      <c r="DM115" t="e">
        <f>AND(#REF!,"AAAAAG39j3Q=")</f>
        <v>#REF!</v>
      </c>
      <c r="DN115" t="e">
        <f>AND(#REF!,"AAAAAG39j3U=")</f>
        <v>#REF!</v>
      </c>
      <c r="DO115" t="e">
        <f>AND(#REF!,"AAAAAG39j3Y=")</f>
        <v>#REF!</v>
      </c>
      <c r="DP115" t="e">
        <f>AND(#REF!,"AAAAAG39j3c=")</f>
        <v>#REF!</v>
      </c>
      <c r="DQ115" t="e">
        <f>AND(#REF!,"AAAAAG39j3g=")</f>
        <v>#REF!</v>
      </c>
      <c r="DR115" t="e">
        <f>AND(#REF!,"AAAAAG39j3k=")</f>
        <v>#REF!</v>
      </c>
      <c r="DS115" t="e">
        <f>AND(#REF!,"AAAAAG39j3o=")</f>
        <v>#REF!</v>
      </c>
      <c r="DT115" t="e">
        <f>AND(#REF!,"AAAAAG39j3s=")</f>
        <v>#REF!</v>
      </c>
      <c r="DU115" t="e">
        <f>AND(#REF!,"AAAAAG39j3w=")</f>
        <v>#REF!</v>
      </c>
      <c r="DV115" t="e">
        <f>IF(#REF!,"AAAAAG39j30=",0)</f>
        <v>#REF!</v>
      </c>
      <c r="DW115" t="e">
        <f>AND(#REF!,"AAAAAG39j34=")</f>
        <v>#REF!</v>
      </c>
      <c r="DX115" t="e">
        <f>AND(#REF!,"AAAAAG39j38=")</f>
        <v>#REF!</v>
      </c>
      <c r="DY115" t="e">
        <f>AND(#REF!,"AAAAAG39j4A=")</f>
        <v>#REF!</v>
      </c>
      <c r="DZ115" t="e">
        <f>AND(#REF!,"AAAAAG39j4E=")</f>
        <v>#REF!</v>
      </c>
      <c r="EA115" t="e">
        <f>AND(#REF!,"AAAAAG39j4I=")</f>
        <v>#REF!</v>
      </c>
      <c r="EB115" t="e">
        <f>AND(#REF!,"AAAAAG39j4M=")</f>
        <v>#REF!</v>
      </c>
      <c r="EC115" t="e">
        <f>AND(#REF!,"AAAAAG39j4Q=")</f>
        <v>#REF!</v>
      </c>
      <c r="ED115" t="e">
        <f>AND(#REF!,"AAAAAG39j4U=")</f>
        <v>#REF!</v>
      </c>
      <c r="EE115" t="e">
        <f>AND(#REF!,"AAAAAG39j4Y=")</f>
        <v>#REF!</v>
      </c>
      <c r="EF115" t="e">
        <f>AND(#REF!,"AAAAAG39j4c=")</f>
        <v>#REF!</v>
      </c>
      <c r="EG115" t="e">
        <f>IF(#REF!,"AAAAAG39j4g=",0)</f>
        <v>#REF!</v>
      </c>
      <c r="EH115" t="e">
        <f>AND(#REF!,"AAAAAG39j4k=")</f>
        <v>#REF!</v>
      </c>
      <c r="EI115" t="e">
        <f>AND(#REF!,"AAAAAG39j4o=")</f>
        <v>#REF!</v>
      </c>
      <c r="EJ115" t="e">
        <f>AND(#REF!,"AAAAAG39j4s=")</f>
        <v>#REF!</v>
      </c>
      <c r="EK115" t="e">
        <f>AND(#REF!,"AAAAAG39j4w=")</f>
        <v>#REF!</v>
      </c>
      <c r="EL115" t="e">
        <f>AND(#REF!,"AAAAAG39j40=")</f>
        <v>#REF!</v>
      </c>
      <c r="EM115" t="e">
        <f>AND(#REF!,"AAAAAG39j44=")</f>
        <v>#REF!</v>
      </c>
      <c r="EN115" t="e">
        <f>AND(#REF!,"AAAAAG39j48=")</f>
        <v>#REF!</v>
      </c>
      <c r="EO115" t="e">
        <f>AND(#REF!,"AAAAAG39j5A=")</f>
        <v>#REF!</v>
      </c>
      <c r="EP115" t="e">
        <f>AND(#REF!,"AAAAAG39j5E=")</f>
        <v>#REF!</v>
      </c>
      <c r="EQ115" t="e">
        <f>AND(#REF!,"AAAAAG39j5I=")</f>
        <v>#REF!</v>
      </c>
      <c r="ER115" t="e">
        <f>IF(#REF!,"AAAAAG39j5M=",0)</f>
        <v>#REF!</v>
      </c>
      <c r="ES115" t="e">
        <f>AND(#REF!,"AAAAAG39j5Q=")</f>
        <v>#REF!</v>
      </c>
      <c r="ET115" t="e">
        <f>AND(#REF!,"AAAAAG39j5U=")</f>
        <v>#REF!</v>
      </c>
      <c r="EU115" t="e">
        <f>AND(#REF!,"AAAAAG39j5Y=")</f>
        <v>#REF!</v>
      </c>
      <c r="EV115" t="e">
        <f>AND(#REF!,"AAAAAG39j5c=")</f>
        <v>#REF!</v>
      </c>
      <c r="EW115" t="e">
        <f>AND(#REF!,"AAAAAG39j5g=")</f>
        <v>#REF!</v>
      </c>
      <c r="EX115" t="e">
        <f>AND(#REF!,"AAAAAG39j5k=")</f>
        <v>#REF!</v>
      </c>
      <c r="EY115" t="e">
        <f>AND(#REF!,"AAAAAG39j5o=")</f>
        <v>#REF!</v>
      </c>
      <c r="EZ115" t="e">
        <f>AND(#REF!,"AAAAAG39j5s=")</f>
        <v>#REF!</v>
      </c>
      <c r="FA115" t="e">
        <f>AND(#REF!,"AAAAAG39j5w=")</f>
        <v>#REF!</v>
      </c>
      <c r="FB115" t="e">
        <f>AND(#REF!,"AAAAAG39j50=")</f>
        <v>#REF!</v>
      </c>
      <c r="FC115" t="e">
        <f>IF(#REF!,"AAAAAG39j54=",0)</f>
        <v>#REF!</v>
      </c>
      <c r="FD115" t="e">
        <f>AND(#REF!,"AAAAAG39j58=")</f>
        <v>#REF!</v>
      </c>
      <c r="FE115" t="e">
        <f>AND(#REF!,"AAAAAG39j6A=")</f>
        <v>#REF!</v>
      </c>
      <c r="FF115" t="e">
        <f>AND(#REF!,"AAAAAG39j6E=")</f>
        <v>#REF!</v>
      </c>
      <c r="FG115" t="e">
        <f>AND(#REF!,"AAAAAG39j6I=")</f>
        <v>#REF!</v>
      </c>
      <c r="FH115" t="e">
        <f>AND(#REF!,"AAAAAG39j6M=")</f>
        <v>#REF!</v>
      </c>
      <c r="FI115" t="e">
        <f>AND(#REF!,"AAAAAG39j6Q=")</f>
        <v>#REF!</v>
      </c>
      <c r="FJ115" t="e">
        <f>AND(#REF!,"AAAAAG39j6U=")</f>
        <v>#REF!</v>
      </c>
      <c r="FK115" t="e">
        <f>AND(#REF!,"AAAAAG39j6Y=")</f>
        <v>#REF!</v>
      </c>
      <c r="FL115" t="e">
        <f>AND(#REF!,"AAAAAG39j6c=")</f>
        <v>#REF!</v>
      </c>
      <c r="FM115" t="e">
        <f>AND(#REF!,"AAAAAG39j6g=")</f>
        <v>#REF!</v>
      </c>
      <c r="FN115" t="e">
        <f>IF(#REF!,"AAAAAG39j6k=",0)</f>
        <v>#REF!</v>
      </c>
      <c r="FO115" t="e">
        <f>AND(#REF!,"AAAAAG39j6o=")</f>
        <v>#REF!</v>
      </c>
      <c r="FP115" t="e">
        <f>AND(#REF!,"AAAAAG39j6s=")</f>
        <v>#REF!</v>
      </c>
      <c r="FQ115" t="e">
        <f>AND(#REF!,"AAAAAG39j6w=")</f>
        <v>#REF!</v>
      </c>
      <c r="FR115" t="e">
        <f>AND(#REF!,"AAAAAG39j60=")</f>
        <v>#REF!</v>
      </c>
      <c r="FS115" t="e">
        <f>AND(#REF!,"AAAAAG39j64=")</f>
        <v>#REF!</v>
      </c>
      <c r="FT115" t="e">
        <f>AND(#REF!,"AAAAAG39j68=")</f>
        <v>#REF!</v>
      </c>
      <c r="FU115" t="e">
        <f>AND(#REF!,"AAAAAG39j7A=")</f>
        <v>#REF!</v>
      </c>
      <c r="FV115" t="e">
        <f>AND(#REF!,"AAAAAG39j7E=")</f>
        <v>#REF!</v>
      </c>
      <c r="FW115" t="e">
        <f>AND(#REF!,"AAAAAG39j7I=")</f>
        <v>#REF!</v>
      </c>
      <c r="FX115" t="e">
        <f>AND(#REF!,"AAAAAG39j7M=")</f>
        <v>#REF!</v>
      </c>
      <c r="FY115" t="e">
        <f>IF(#REF!,"AAAAAG39j7Q=",0)</f>
        <v>#REF!</v>
      </c>
      <c r="FZ115" t="e">
        <f>AND(#REF!,"AAAAAG39j7U=")</f>
        <v>#REF!</v>
      </c>
      <c r="GA115" t="e">
        <f>AND(#REF!,"AAAAAG39j7Y=")</f>
        <v>#REF!</v>
      </c>
      <c r="GB115" t="e">
        <f>AND(#REF!,"AAAAAG39j7c=")</f>
        <v>#REF!</v>
      </c>
      <c r="GC115" t="e">
        <f>AND(#REF!,"AAAAAG39j7g=")</f>
        <v>#REF!</v>
      </c>
      <c r="GD115" t="e">
        <f>AND(#REF!,"AAAAAG39j7k=")</f>
        <v>#REF!</v>
      </c>
      <c r="GE115" t="e">
        <f>AND(#REF!,"AAAAAG39j7o=")</f>
        <v>#REF!</v>
      </c>
      <c r="GF115" t="e">
        <f>AND(#REF!,"AAAAAG39j7s=")</f>
        <v>#REF!</v>
      </c>
      <c r="GG115" t="e">
        <f>AND(#REF!,"AAAAAG39j7w=")</f>
        <v>#REF!</v>
      </c>
      <c r="GH115" t="e">
        <f>AND(#REF!,"AAAAAG39j70=")</f>
        <v>#REF!</v>
      </c>
      <c r="GI115" t="e">
        <f>AND(#REF!,"AAAAAG39j74=")</f>
        <v>#REF!</v>
      </c>
      <c r="GJ115" t="e">
        <f>IF(#REF!,"AAAAAG39j78=",0)</f>
        <v>#REF!</v>
      </c>
      <c r="GK115" t="e">
        <f>AND(#REF!,"AAAAAG39j8A=")</f>
        <v>#REF!</v>
      </c>
      <c r="GL115" t="e">
        <f>AND(#REF!,"AAAAAG39j8E=")</f>
        <v>#REF!</v>
      </c>
      <c r="GM115" t="e">
        <f>AND(#REF!,"AAAAAG39j8I=")</f>
        <v>#REF!</v>
      </c>
      <c r="GN115" t="e">
        <f>AND(#REF!,"AAAAAG39j8M=")</f>
        <v>#REF!</v>
      </c>
      <c r="GO115" t="e">
        <f>AND(#REF!,"AAAAAG39j8Q=")</f>
        <v>#REF!</v>
      </c>
      <c r="GP115" t="e">
        <f>AND(#REF!,"AAAAAG39j8U=")</f>
        <v>#REF!</v>
      </c>
      <c r="GQ115" t="e">
        <f>AND(#REF!,"AAAAAG39j8Y=")</f>
        <v>#REF!</v>
      </c>
      <c r="GR115" t="e">
        <f>AND(#REF!,"AAAAAG39j8c=")</f>
        <v>#REF!</v>
      </c>
      <c r="GS115" t="e">
        <f>AND(#REF!,"AAAAAG39j8g=")</f>
        <v>#REF!</v>
      </c>
      <c r="GT115" t="e">
        <f>AND(#REF!,"AAAAAG39j8k=")</f>
        <v>#REF!</v>
      </c>
      <c r="GU115" t="e">
        <f>IF(#REF!,"AAAAAG39j8o=",0)</f>
        <v>#REF!</v>
      </c>
      <c r="GV115" t="e">
        <f>AND(#REF!,"AAAAAG39j8s=")</f>
        <v>#REF!</v>
      </c>
      <c r="GW115" t="e">
        <f>AND(#REF!,"AAAAAG39j8w=")</f>
        <v>#REF!</v>
      </c>
      <c r="GX115" t="e">
        <f>AND(#REF!,"AAAAAG39j80=")</f>
        <v>#REF!</v>
      </c>
      <c r="GY115" t="e">
        <f>AND(#REF!,"AAAAAG39j84=")</f>
        <v>#REF!</v>
      </c>
      <c r="GZ115" t="e">
        <f>AND(#REF!,"AAAAAG39j88=")</f>
        <v>#REF!</v>
      </c>
      <c r="HA115" t="e">
        <f>AND(#REF!,"AAAAAG39j9A=")</f>
        <v>#REF!</v>
      </c>
      <c r="HB115" t="e">
        <f>AND(#REF!,"AAAAAG39j9E=")</f>
        <v>#REF!</v>
      </c>
      <c r="HC115" t="e">
        <f>AND(#REF!,"AAAAAG39j9I=")</f>
        <v>#REF!</v>
      </c>
      <c r="HD115" t="e">
        <f>AND(#REF!,"AAAAAG39j9M=")</f>
        <v>#REF!</v>
      </c>
      <c r="HE115" t="e">
        <f>AND(#REF!,"AAAAAG39j9Q=")</f>
        <v>#REF!</v>
      </c>
      <c r="HF115" t="e">
        <f>IF(#REF!,"AAAAAG39j9U=",0)</f>
        <v>#REF!</v>
      </c>
      <c r="HG115" t="e">
        <f>AND(#REF!,"AAAAAG39j9Y=")</f>
        <v>#REF!</v>
      </c>
      <c r="HH115" t="e">
        <f>AND(#REF!,"AAAAAG39j9c=")</f>
        <v>#REF!</v>
      </c>
      <c r="HI115" t="e">
        <f>AND(#REF!,"AAAAAG39j9g=")</f>
        <v>#REF!</v>
      </c>
      <c r="HJ115" t="e">
        <f>AND(#REF!,"AAAAAG39j9k=")</f>
        <v>#REF!</v>
      </c>
      <c r="HK115" t="e">
        <f>AND(#REF!,"AAAAAG39j9o=")</f>
        <v>#REF!</v>
      </c>
      <c r="HL115" t="e">
        <f>AND(#REF!,"AAAAAG39j9s=")</f>
        <v>#REF!</v>
      </c>
      <c r="HM115" t="e">
        <f>AND(#REF!,"AAAAAG39j9w=")</f>
        <v>#REF!</v>
      </c>
      <c r="HN115" t="e">
        <f>AND(#REF!,"AAAAAG39j90=")</f>
        <v>#REF!</v>
      </c>
      <c r="HO115" t="e">
        <f>AND(#REF!,"AAAAAG39j94=")</f>
        <v>#REF!</v>
      </c>
      <c r="HP115" t="e">
        <f>AND(#REF!,"AAAAAG39j98=")</f>
        <v>#REF!</v>
      </c>
      <c r="HQ115" t="e">
        <f>IF(#REF!,"AAAAAG39j+A=",0)</f>
        <v>#REF!</v>
      </c>
      <c r="HR115" t="e">
        <f>AND(#REF!,"AAAAAG39j+E=")</f>
        <v>#REF!</v>
      </c>
      <c r="HS115" t="e">
        <f>AND(#REF!,"AAAAAG39j+I=")</f>
        <v>#REF!</v>
      </c>
      <c r="HT115" t="e">
        <f>AND(#REF!,"AAAAAG39j+M=")</f>
        <v>#REF!</v>
      </c>
      <c r="HU115" t="e">
        <f>AND(#REF!,"AAAAAG39j+Q=")</f>
        <v>#REF!</v>
      </c>
      <c r="HV115" t="e">
        <f>AND(#REF!,"AAAAAG39j+U=")</f>
        <v>#REF!</v>
      </c>
      <c r="HW115" t="e">
        <f>AND(#REF!,"AAAAAG39j+Y=")</f>
        <v>#REF!</v>
      </c>
      <c r="HX115" t="e">
        <f>AND(#REF!,"AAAAAG39j+c=")</f>
        <v>#REF!</v>
      </c>
      <c r="HY115" t="e">
        <f>AND(#REF!,"AAAAAG39j+g=")</f>
        <v>#REF!</v>
      </c>
      <c r="HZ115" t="e">
        <f>AND(#REF!,"AAAAAG39j+k=")</f>
        <v>#REF!</v>
      </c>
      <c r="IA115" t="e">
        <f>AND(#REF!,"AAAAAG39j+o=")</f>
        <v>#REF!</v>
      </c>
      <c r="IB115" t="e">
        <f>IF(#REF!,"AAAAAG39j+s=",0)</f>
        <v>#REF!</v>
      </c>
      <c r="IC115" t="e">
        <f>AND(#REF!,"AAAAAG39j+w=")</f>
        <v>#REF!</v>
      </c>
      <c r="ID115" t="e">
        <f>AND(#REF!,"AAAAAG39j+0=")</f>
        <v>#REF!</v>
      </c>
      <c r="IE115" t="e">
        <f>AND(#REF!,"AAAAAG39j+4=")</f>
        <v>#REF!</v>
      </c>
      <c r="IF115" t="e">
        <f>AND(#REF!,"AAAAAG39j+8=")</f>
        <v>#REF!</v>
      </c>
      <c r="IG115" t="e">
        <f>AND(#REF!,"AAAAAG39j/A=")</f>
        <v>#REF!</v>
      </c>
      <c r="IH115" t="e">
        <f>AND(#REF!,"AAAAAG39j/E=")</f>
        <v>#REF!</v>
      </c>
      <c r="II115" t="e">
        <f>AND(#REF!,"AAAAAG39j/I=")</f>
        <v>#REF!</v>
      </c>
      <c r="IJ115" t="e">
        <f>AND(#REF!,"AAAAAG39j/M=")</f>
        <v>#REF!</v>
      </c>
      <c r="IK115" t="e">
        <f>AND(#REF!,"AAAAAG39j/Q=")</f>
        <v>#REF!</v>
      </c>
      <c r="IL115" t="e">
        <f>AND(#REF!,"AAAAAG39j/U=")</f>
        <v>#REF!</v>
      </c>
      <c r="IM115" t="e">
        <f>IF(#REF!,"AAAAAG39j/Y=",0)</f>
        <v>#REF!</v>
      </c>
      <c r="IN115" t="e">
        <f>AND(#REF!,"AAAAAG39j/c=")</f>
        <v>#REF!</v>
      </c>
      <c r="IO115" t="e">
        <f>AND(#REF!,"AAAAAG39j/g=")</f>
        <v>#REF!</v>
      </c>
      <c r="IP115" t="e">
        <f>AND(#REF!,"AAAAAG39j/k=")</f>
        <v>#REF!</v>
      </c>
      <c r="IQ115" t="e">
        <f>AND(#REF!,"AAAAAG39j/o=")</f>
        <v>#REF!</v>
      </c>
      <c r="IR115" t="e">
        <f>AND(#REF!,"AAAAAG39j/s=")</f>
        <v>#REF!</v>
      </c>
      <c r="IS115" t="e">
        <f>AND(#REF!,"AAAAAG39j/w=")</f>
        <v>#REF!</v>
      </c>
      <c r="IT115" t="e">
        <f>AND(#REF!,"AAAAAG39j/0=")</f>
        <v>#REF!</v>
      </c>
      <c r="IU115" t="e">
        <f>AND(#REF!,"AAAAAG39j/4=")</f>
        <v>#REF!</v>
      </c>
      <c r="IV115" t="e">
        <f>AND(#REF!,"AAAAAG39j/8=")</f>
        <v>#REF!</v>
      </c>
    </row>
    <row r="116" spans="1:256" x14ac:dyDescent="0.25">
      <c r="A116" t="e">
        <f>AND(#REF!,"AAAAABv/2wA=")</f>
        <v>#REF!</v>
      </c>
      <c r="B116" t="e">
        <f>IF(#REF!,"AAAAABv/2wE=",0)</f>
        <v>#REF!</v>
      </c>
      <c r="C116" t="e">
        <f>AND(#REF!,"AAAAABv/2wI=")</f>
        <v>#REF!</v>
      </c>
      <c r="D116" t="e">
        <f>AND(#REF!,"AAAAABv/2wM=")</f>
        <v>#REF!</v>
      </c>
      <c r="E116" t="e">
        <f>AND(#REF!,"AAAAABv/2wQ=")</f>
        <v>#REF!</v>
      </c>
      <c r="F116" t="e">
        <f>AND(#REF!,"AAAAABv/2wU=")</f>
        <v>#REF!</v>
      </c>
      <c r="G116" t="e">
        <f>AND(#REF!,"AAAAABv/2wY=")</f>
        <v>#REF!</v>
      </c>
      <c r="H116" t="e">
        <f>AND(#REF!,"AAAAABv/2wc=")</f>
        <v>#REF!</v>
      </c>
      <c r="I116" t="e">
        <f>AND(#REF!,"AAAAABv/2wg=")</f>
        <v>#REF!</v>
      </c>
      <c r="J116" t="e">
        <f>AND(#REF!,"AAAAABv/2wk=")</f>
        <v>#REF!</v>
      </c>
      <c r="K116" t="e">
        <f>AND(#REF!,"AAAAABv/2wo=")</f>
        <v>#REF!</v>
      </c>
      <c r="L116" t="e">
        <f>AND(#REF!,"AAAAABv/2ws=")</f>
        <v>#REF!</v>
      </c>
      <c r="M116" t="e">
        <f>IF(#REF!,"AAAAABv/2ww=",0)</f>
        <v>#REF!</v>
      </c>
      <c r="N116" t="e">
        <f>AND(#REF!,"AAAAABv/2w0=")</f>
        <v>#REF!</v>
      </c>
      <c r="O116" t="e">
        <f>AND(#REF!,"AAAAABv/2w4=")</f>
        <v>#REF!</v>
      </c>
      <c r="P116" t="e">
        <f>AND(#REF!,"AAAAABv/2w8=")</f>
        <v>#REF!</v>
      </c>
      <c r="Q116" t="e">
        <f>AND(#REF!,"AAAAABv/2xA=")</f>
        <v>#REF!</v>
      </c>
      <c r="R116" t="e">
        <f>AND(#REF!,"AAAAABv/2xE=")</f>
        <v>#REF!</v>
      </c>
      <c r="S116" t="e">
        <f>AND(#REF!,"AAAAABv/2xI=")</f>
        <v>#REF!</v>
      </c>
      <c r="T116" t="e">
        <f>AND(#REF!,"AAAAABv/2xM=")</f>
        <v>#REF!</v>
      </c>
      <c r="U116" t="e">
        <f>AND(#REF!,"AAAAABv/2xQ=")</f>
        <v>#REF!</v>
      </c>
      <c r="V116" t="e">
        <f>AND(#REF!,"AAAAABv/2xU=")</f>
        <v>#REF!</v>
      </c>
      <c r="W116" t="e">
        <f>AND(#REF!,"AAAAABv/2xY=")</f>
        <v>#REF!</v>
      </c>
      <c r="X116" t="e">
        <f>IF(#REF!,"AAAAABv/2xc=",0)</f>
        <v>#REF!</v>
      </c>
      <c r="Y116" t="e">
        <f>AND(#REF!,"AAAAABv/2xg=")</f>
        <v>#REF!</v>
      </c>
      <c r="Z116" t="e">
        <f>AND(#REF!,"AAAAABv/2xk=")</f>
        <v>#REF!</v>
      </c>
      <c r="AA116" t="e">
        <f>AND(#REF!,"AAAAABv/2xo=")</f>
        <v>#REF!</v>
      </c>
      <c r="AB116" t="e">
        <f>AND(#REF!,"AAAAABv/2xs=")</f>
        <v>#REF!</v>
      </c>
      <c r="AC116" t="e">
        <f>AND(#REF!,"AAAAABv/2xw=")</f>
        <v>#REF!</v>
      </c>
      <c r="AD116" t="e">
        <f>AND(#REF!,"AAAAABv/2x0=")</f>
        <v>#REF!</v>
      </c>
      <c r="AE116" t="e">
        <f>AND(#REF!,"AAAAABv/2x4=")</f>
        <v>#REF!</v>
      </c>
      <c r="AF116" t="e">
        <f>AND(#REF!,"AAAAABv/2x8=")</f>
        <v>#REF!</v>
      </c>
      <c r="AG116" t="e">
        <f>AND(#REF!,"AAAAABv/2yA=")</f>
        <v>#REF!</v>
      </c>
      <c r="AH116" t="e">
        <f>AND(#REF!,"AAAAABv/2yE=")</f>
        <v>#REF!</v>
      </c>
      <c r="AI116" t="e">
        <f>IF(#REF!,"AAAAABv/2yI=",0)</f>
        <v>#REF!</v>
      </c>
      <c r="AJ116" t="e">
        <f>AND(#REF!,"AAAAABv/2yM=")</f>
        <v>#REF!</v>
      </c>
      <c r="AK116" t="e">
        <f>AND(#REF!,"AAAAABv/2yQ=")</f>
        <v>#REF!</v>
      </c>
      <c r="AL116" t="e">
        <f>AND(#REF!,"AAAAABv/2yU=")</f>
        <v>#REF!</v>
      </c>
      <c r="AM116" t="e">
        <f>AND(#REF!,"AAAAABv/2yY=")</f>
        <v>#REF!</v>
      </c>
      <c r="AN116" t="e">
        <f>AND(#REF!,"AAAAABv/2yc=")</f>
        <v>#REF!</v>
      </c>
      <c r="AO116" t="e">
        <f>AND(#REF!,"AAAAABv/2yg=")</f>
        <v>#REF!</v>
      </c>
      <c r="AP116" t="e">
        <f>AND(#REF!,"AAAAABv/2yk=")</f>
        <v>#REF!</v>
      </c>
      <c r="AQ116" t="e">
        <f>AND(#REF!,"AAAAABv/2yo=")</f>
        <v>#REF!</v>
      </c>
      <c r="AR116" t="e">
        <f>AND(#REF!,"AAAAABv/2ys=")</f>
        <v>#REF!</v>
      </c>
      <c r="AS116" t="e">
        <f>AND(#REF!,"AAAAABv/2yw=")</f>
        <v>#REF!</v>
      </c>
      <c r="AT116" t="e">
        <f>IF(#REF!,"AAAAABv/2y0=",0)</f>
        <v>#REF!</v>
      </c>
      <c r="AU116" t="e">
        <f>AND(#REF!,"AAAAABv/2y4=")</f>
        <v>#REF!</v>
      </c>
      <c r="AV116" t="e">
        <f>AND(#REF!,"AAAAABv/2y8=")</f>
        <v>#REF!</v>
      </c>
      <c r="AW116" t="e">
        <f>AND(#REF!,"AAAAABv/2zA=")</f>
        <v>#REF!</v>
      </c>
      <c r="AX116" t="e">
        <f>AND(#REF!,"AAAAABv/2zE=")</f>
        <v>#REF!</v>
      </c>
      <c r="AY116" t="e">
        <f>AND(#REF!,"AAAAABv/2zI=")</f>
        <v>#REF!</v>
      </c>
      <c r="AZ116" t="e">
        <f>AND(#REF!,"AAAAABv/2zM=")</f>
        <v>#REF!</v>
      </c>
      <c r="BA116" t="e">
        <f>AND(#REF!,"AAAAABv/2zQ=")</f>
        <v>#REF!</v>
      </c>
      <c r="BB116" t="e">
        <f>AND(#REF!,"AAAAABv/2zU=")</f>
        <v>#REF!</v>
      </c>
      <c r="BC116" t="e">
        <f>AND(#REF!,"AAAAABv/2zY=")</f>
        <v>#REF!</v>
      </c>
      <c r="BD116" t="e">
        <f>AND(#REF!,"AAAAABv/2zc=")</f>
        <v>#REF!</v>
      </c>
      <c r="BE116" t="e">
        <f>IF(#REF!,"AAAAABv/2zg=",0)</f>
        <v>#REF!</v>
      </c>
      <c r="BF116" t="e">
        <f>AND(#REF!,"AAAAABv/2zk=")</f>
        <v>#REF!</v>
      </c>
      <c r="BG116" t="e">
        <f>AND(#REF!,"AAAAABv/2zo=")</f>
        <v>#REF!</v>
      </c>
      <c r="BH116" t="e">
        <f>AND(#REF!,"AAAAABv/2zs=")</f>
        <v>#REF!</v>
      </c>
      <c r="BI116" t="e">
        <f>AND(#REF!,"AAAAABv/2zw=")</f>
        <v>#REF!</v>
      </c>
      <c r="BJ116" t="e">
        <f>AND(#REF!,"AAAAABv/2z0=")</f>
        <v>#REF!</v>
      </c>
      <c r="BK116" t="e">
        <f>AND(#REF!,"AAAAABv/2z4=")</f>
        <v>#REF!</v>
      </c>
      <c r="BL116" t="e">
        <f>AND(#REF!,"AAAAABv/2z8=")</f>
        <v>#REF!</v>
      </c>
      <c r="BM116" t="e">
        <f>AND(#REF!,"AAAAABv/20A=")</f>
        <v>#REF!</v>
      </c>
      <c r="BN116" t="e">
        <f>AND(#REF!,"AAAAABv/20E=")</f>
        <v>#REF!</v>
      </c>
      <c r="BO116" t="e">
        <f>AND(#REF!,"AAAAABv/20I=")</f>
        <v>#REF!</v>
      </c>
      <c r="BP116" t="e">
        <f>IF(#REF!,"AAAAABv/20M=",0)</f>
        <v>#REF!</v>
      </c>
      <c r="BQ116" t="e">
        <f>AND(#REF!,"AAAAABv/20Q=")</f>
        <v>#REF!</v>
      </c>
      <c r="BR116" t="e">
        <f>AND(#REF!,"AAAAABv/20U=")</f>
        <v>#REF!</v>
      </c>
      <c r="BS116" t="e">
        <f>AND(#REF!,"AAAAABv/20Y=")</f>
        <v>#REF!</v>
      </c>
      <c r="BT116" t="e">
        <f>AND(#REF!,"AAAAABv/20c=")</f>
        <v>#REF!</v>
      </c>
      <c r="BU116" t="e">
        <f>AND(#REF!,"AAAAABv/20g=")</f>
        <v>#REF!</v>
      </c>
      <c r="BV116" t="e">
        <f>AND(#REF!,"AAAAABv/20k=")</f>
        <v>#REF!</v>
      </c>
      <c r="BW116" t="e">
        <f>AND(#REF!,"AAAAABv/20o=")</f>
        <v>#REF!</v>
      </c>
      <c r="BX116" t="e">
        <f>AND(#REF!,"AAAAABv/20s=")</f>
        <v>#REF!</v>
      </c>
      <c r="BY116" t="e">
        <f>AND(#REF!,"AAAAABv/20w=")</f>
        <v>#REF!</v>
      </c>
      <c r="BZ116" t="e">
        <f>AND(#REF!,"AAAAABv/200=")</f>
        <v>#REF!</v>
      </c>
      <c r="CA116" t="e">
        <f>IF(#REF!,"AAAAABv/204=",0)</f>
        <v>#REF!</v>
      </c>
      <c r="CB116" t="e">
        <f>AND(#REF!,"AAAAABv/208=")</f>
        <v>#REF!</v>
      </c>
      <c r="CC116" t="e">
        <f>AND(#REF!,"AAAAABv/21A=")</f>
        <v>#REF!</v>
      </c>
      <c r="CD116" t="e">
        <f>AND(#REF!,"AAAAABv/21E=")</f>
        <v>#REF!</v>
      </c>
      <c r="CE116" t="e">
        <f>AND(#REF!,"AAAAABv/21I=")</f>
        <v>#REF!</v>
      </c>
      <c r="CF116" t="e">
        <f>AND(#REF!,"AAAAABv/21M=")</f>
        <v>#REF!</v>
      </c>
      <c r="CG116" t="e">
        <f>AND(#REF!,"AAAAABv/21Q=")</f>
        <v>#REF!</v>
      </c>
      <c r="CH116" t="e">
        <f>AND(#REF!,"AAAAABv/21U=")</f>
        <v>#REF!</v>
      </c>
      <c r="CI116" t="e">
        <f>AND(#REF!,"AAAAABv/21Y=")</f>
        <v>#REF!</v>
      </c>
      <c r="CJ116" t="e">
        <f>AND(#REF!,"AAAAABv/21c=")</f>
        <v>#REF!</v>
      </c>
      <c r="CK116" t="e">
        <f>AND(#REF!,"AAAAABv/21g=")</f>
        <v>#REF!</v>
      </c>
      <c r="CL116" t="e">
        <f>IF(#REF!,"AAAAABv/21k=",0)</f>
        <v>#REF!</v>
      </c>
      <c r="CM116" t="e">
        <f>AND(#REF!,"AAAAABv/21o=")</f>
        <v>#REF!</v>
      </c>
      <c r="CN116" t="e">
        <f>AND(#REF!,"AAAAABv/21s=")</f>
        <v>#REF!</v>
      </c>
      <c r="CO116" t="e">
        <f>AND(#REF!,"AAAAABv/21w=")</f>
        <v>#REF!</v>
      </c>
      <c r="CP116" t="e">
        <f>AND(#REF!,"AAAAABv/210=")</f>
        <v>#REF!</v>
      </c>
      <c r="CQ116" t="e">
        <f>AND(#REF!,"AAAAABv/214=")</f>
        <v>#REF!</v>
      </c>
      <c r="CR116" t="e">
        <f>AND(#REF!,"AAAAABv/218=")</f>
        <v>#REF!</v>
      </c>
      <c r="CS116" t="e">
        <f>AND(#REF!,"AAAAABv/22A=")</f>
        <v>#REF!</v>
      </c>
      <c r="CT116" t="e">
        <f>AND(#REF!,"AAAAABv/22E=")</f>
        <v>#REF!</v>
      </c>
      <c r="CU116" t="e">
        <f>AND(#REF!,"AAAAABv/22I=")</f>
        <v>#REF!</v>
      </c>
      <c r="CV116" t="e">
        <f>AND(#REF!,"AAAAABv/22M=")</f>
        <v>#REF!</v>
      </c>
      <c r="CW116" t="e">
        <f>IF(#REF!,"AAAAABv/22Q=",0)</f>
        <v>#REF!</v>
      </c>
      <c r="CX116" t="e">
        <f>AND(#REF!,"AAAAABv/22U=")</f>
        <v>#REF!</v>
      </c>
      <c r="CY116" t="e">
        <f>AND(#REF!,"AAAAABv/22Y=")</f>
        <v>#REF!</v>
      </c>
      <c r="CZ116" t="e">
        <f>AND(#REF!,"AAAAABv/22c=")</f>
        <v>#REF!</v>
      </c>
      <c r="DA116" t="e">
        <f>AND(#REF!,"AAAAABv/22g=")</f>
        <v>#REF!</v>
      </c>
      <c r="DB116" t="e">
        <f>AND(#REF!,"AAAAABv/22k=")</f>
        <v>#REF!</v>
      </c>
      <c r="DC116" t="e">
        <f>AND(#REF!,"AAAAABv/22o=")</f>
        <v>#REF!</v>
      </c>
      <c r="DD116" t="e">
        <f>AND(#REF!,"AAAAABv/22s=")</f>
        <v>#REF!</v>
      </c>
      <c r="DE116" t="e">
        <f>AND(#REF!,"AAAAABv/22w=")</f>
        <v>#REF!</v>
      </c>
      <c r="DF116" t="e">
        <f>AND(#REF!,"AAAAABv/220=")</f>
        <v>#REF!</v>
      </c>
      <c r="DG116" t="e">
        <f>AND(#REF!,"AAAAABv/224=")</f>
        <v>#REF!</v>
      </c>
      <c r="DH116" t="e">
        <f>IF(#REF!,"AAAAABv/228=",0)</f>
        <v>#REF!</v>
      </c>
      <c r="DI116" t="e">
        <f>AND(#REF!,"AAAAABv/23A=")</f>
        <v>#REF!</v>
      </c>
      <c r="DJ116" t="e">
        <f>AND(#REF!,"AAAAABv/23E=")</f>
        <v>#REF!</v>
      </c>
      <c r="DK116" t="e">
        <f>AND(#REF!,"AAAAABv/23I=")</f>
        <v>#REF!</v>
      </c>
      <c r="DL116" t="e">
        <f>AND(#REF!,"AAAAABv/23M=")</f>
        <v>#REF!</v>
      </c>
      <c r="DM116" t="e">
        <f>AND(#REF!,"AAAAABv/23Q=")</f>
        <v>#REF!</v>
      </c>
      <c r="DN116" t="e">
        <f>AND(#REF!,"AAAAABv/23U=")</f>
        <v>#REF!</v>
      </c>
      <c r="DO116" t="e">
        <f>AND(#REF!,"AAAAABv/23Y=")</f>
        <v>#REF!</v>
      </c>
      <c r="DP116" t="e">
        <f>AND(#REF!,"AAAAABv/23c=")</f>
        <v>#REF!</v>
      </c>
      <c r="DQ116" t="e">
        <f>AND(#REF!,"AAAAABv/23g=")</f>
        <v>#REF!</v>
      </c>
      <c r="DR116" t="e">
        <f>AND(#REF!,"AAAAABv/23k=")</f>
        <v>#REF!</v>
      </c>
      <c r="DS116" t="e">
        <f>IF(#REF!,"AAAAABv/23o=",0)</f>
        <v>#REF!</v>
      </c>
      <c r="DT116" t="e">
        <f>AND(#REF!,"AAAAABv/23s=")</f>
        <v>#REF!</v>
      </c>
      <c r="DU116" t="e">
        <f>AND(#REF!,"AAAAABv/23w=")</f>
        <v>#REF!</v>
      </c>
      <c r="DV116" t="e">
        <f>AND(#REF!,"AAAAABv/230=")</f>
        <v>#REF!</v>
      </c>
      <c r="DW116" t="e">
        <f>AND(#REF!,"AAAAABv/234=")</f>
        <v>#REF!</v>
      </c>
      <c r="DX116" t="e">
        <f>AND(#REF!,"AAAAABv/238=")</f>
        <v>#REF!</v>
      </c>
      <c r="DY116" t="e">
        <f>AND(#REF!,"AAAAABv/24A=")</f>
        <v>#REF!</v>
      </c>
      <c r="DZ116" t="e">
        <f>AND(#REF!,"AAAAABv/24E=")</f>
        <v>#REF!</v>
      </c>
      <c r="EA116" t="e">
        <f>AND(#REF!,"AAAAABv/24I=")</f>
        <v>#REF!</v>
      </c>
      <c r="EB116" t="e">
        <f>AND(#REF!,"AAAAABv/24M=")</f>
        <v>#REF!</v>
      </c>
      <c r="EC116" t="e">
        <f>AND(#REF!,"AAAAABv/24Q=")</f>
        <v>#REF!</v>
      </c>
      <c r="ED116" t="e">
        <f>IF(#REF!,"AAAAABv/24U=",0)</f>
        <v>#REF!</v>
      </c>
      <c r="EE116" t="e">
        <f>AND(#REF!,"AAAAABv/24Y=")</f>
        <v>#REF!</v>
      </c>
      <c r="EF116" t="e">
        <f>AND(#REF!,"AAAAABv/24c=")</f>
        <v>#REF!</v>
      </c>
      <c r="EG116" t="e">
        <f>AND(#REF!,"AAAAABv/24g=")</f>
        <v>#REF!</v>
      </c>
      <c r="EH116" t="e">
        <f>AND(#REF!,"AAAAABv/24k=")</f>
        <v>#REF!</v>
      </c>
      <c r="EI116" t="e">
        <f>AND(#REF!,"AAAAABv/24o=")</f>
        <v>#REF!</v>
      </c>
      <c r="EJ116" t="e">
        <f>AND(#REF!,"AAAAABv/24s=")</f>
        <v>#REF!</v>
      </c>
      <c r="EK116" t="e">
        <f>AND(#REF!,"AAAAABv/24w=")</f>
        <v>#REF!</v>
      </c>
      <c r="EL116" t="e">
        <f>AND(#REF!,"AAAAABv/240=")</f>
        <v>#REF!</v>
      </c>
      <c r="EM116" t="e">
        <f>AND(#REF!,"AAAAABv/244=")</f>
        <v>#REF!</v>
      </c>
      <c r="EN116" t="e">
        <f>AND(#REF!,"AAAAABv/248=")</f>
        <v>#REF!</v>
      </c>
      <c r="EO116" t="e">
        <f>IF(#REF!,"AAAAABv/25A=",0)</f>
        <v>#REF!</v>
      </c>
      <c r="EP116" t="e">
        <f>AND(#REF!,"AAAAABv/25E=")</f>
        <v>#REF!</v>
      </c>
      <c r="EQ116" t="e">
        <f>AND(#REF!,"AAAAABv/25I=")</f>
        <v>#REF!</v>
      </c>
      <c r="ER116" t="e">
        <f>AND(#REF!,"AAAAABv/25M=")</f>
        <v>#REF!</v>
      </c>
      <c r="ES116" t="e">
        <f>AND(#REF!,"AAAAABv/25Q=")</f>
        <v>#REF!</v>
      </c>
      <c r="ET116" t="e">
        <f>AND(#REF!,"AAAAABv/25U=")</f>
        <v>#REF!</v>
      </c>
      <c r="EU116" t="e">
        <f>AND(#REF!,"AAAAABv/25Y=")</f>
        <v>#REF!</v>
      </c>
      <c r="EV116" t="e">
        <f>AND(#REF!,"AAAAABv/25c=")</f>
        <v>#REF!</v>
      </c>
      <c r="EW116" t="e">
        <f>AND(#REF!,"AAAAABv/25g=")</f>
        <v>#REF!</v>
      </c>
      <c r="EX116" t="e">
        <f>AND(#REF!,"AAAAABv/25k=")</f>
        <v>#REF!</v>
      </c>
      <c r="EY116" t="e">
        <f>AND(#REF!,"AAAAABv/25o=")</f>
        <v>#REF!</v>
      </c>
      <c r="EZ116" t="e">
        <f>IF(#REF!,"AAAAABv/25s=",0)</f>
        <v>#REF!</v>
      </c>
      <c r="FA116" t="e">
        <f>AND(#REF!,"AAAAABv/25w=")</f>
        <v>#REF!</v>
      </c>
      <c r="FB116" t="e">
        <f>AND(#REF!,"AAAAABv/250=")</f>
        <v>#REF!</v>
      </c>
      <c r="FC116" t="e">
        <f>AND(#REF!,"AAAAABv/254=")</f>
        <v>#REF!</v>
      </c>
      <c r="FD116" t="e">
        <f>AND(#REF!,"AAAAABv/258=")</f>
        <v>#REF!</v>
      </c>
      <c r="FE116" t="e">
        <f>AND(#REF!,"AAAAABv/26A=")</f>
        <v>#REF!</v>
      </c>
      <c r="FF116" t="e">
        <f>AND(#REF!,"AAAAABv/26E=")</f>
        <v>#REF!</v>
      </c>
      <c r="FG116" t="e">
        <f>AND(#REF!,"AAAAABv/26I=")</f>
        <v>#REF!</v>
      </c>
      <c r="FH116" t="e">
        <f>AND(#REF!,"AAAAABv/26M=")</f>
        <v>#REF!</v>
      </c>
      <c r="FI116" t="e">
        <f>AND(#REF!,"AAAAABv/26Q=")</f>
        <v>#REF!</v>
      </c>
      <c r="FJ116" t="e">
        <f>AND(#REF!,"AAAAABv/26U=")</f>
        <v>#REF!</v>
      </c>
      <c r="FK116" t="e">
        <f>IF(#REF!,"AAAAABv/26Y=",0)</f>
        <v>#REF!</v>
      </c>
      <c r="FL116" t="e">
        <f>AND(#REF!,"AAAAABv/26c=")</f>
        <v>#REF!</v>
      </c>
      <c r="FM116" t="e">
        <f>AND(#REF!,"AAAAABv/26g=")</f>
        <v>#REF!</v>
      </c>
      <c r="FN116" t="e">
        <f>AND(#REF!,"AAAAABv/26k=")</f>
        <v>#REF!</v>
      </c>
      <c r="FO116" t="e">
        <f>AND(#REF!,"AAAAABv/26o=")</f>
        <v>#REF!</v>
      </c>
      <c r="FP116" t="e">
        <f>AND(#REF!,"AAAAABv/26s=")</f>
        <v>#REF!</v>
      </c>
      <c r="FQ116" t="e">
        <f>AND(#REF!,"AAAAABv/26w=")</f>
        <v>#REF!</v>
      </c>
      <c r="FR116" t="e">
        <f>AND(#REF!,"AAAAABv/260=")</f>
        <v>#REF!</v>
      </c>
      <c r="FS116" t="e">
        <f>AND(#REF!,"AAAAABv/264=")</f>
        <v>#REF!</v>
      </c>
      <c r="FT116" t="e">
        <f>AND(#REF!,"AAAAABv/268=")</f>
        <v>#REF!</v>
      </c>
      <c r="FU116" t="e">
        <f>AND(#REF!,"AAAAABv/27A=")</f>
        <v>#REF!</v>
      </c>
      <c r="FV116" t="e">
        <f>IF(#REF!,"AAAAABv/27E=",0)</f>
        <v>#REF!</v>
      </c>
      <c r="FW116" t="e">
        <f>AND(#REF!,"AAAAABv/27I=")</f>
        <v>#REF!</v>
      </c>
      <c r="FX116" t="e">
        <f>AND(#REF!,"AAAAABv/27M=")</f>
        <v>#REF!</v>
      </c>
      <c r="FY116" t="e">
        <f>AND(#REF!,"AAAAABv/27Q=")</f>
        <v>#REF!</v>
      </c>
      <c r="FZ116" t="e">
        <f>AND(#REF!,"AAAAABv/27U=")</f>
        <v>#REF!</v>
      </c>
      <c r="GA116" t="e">
        <f>AND(#REF!,"AAAAABv/27Y=")</f>
        <v>#REF!</v>
      </c>
      <c r="GB116" t="e">
        <f>AND(#REF!,"AAAAABv/27c=")</f>
        <v>#REF!</v>
      </c>
      <c r="GC116" t="e">
        <f>AND(#REF!,"AAAAABv/27g=")</f>
        <v>#REF!</v>
      </c>
      <c r="GD116" t="e">
        <f>AND(#REF!,"AAAAABv/27k=")</f>
        <v>#REF!</v>
      </c>
      <c r="GE116" t="e">
        <f>AND(#REF!,"AAAAABv/27o=")</f>
        <v>#REF!</v>
      </c>
      <c r="GF116" t="e">
        <f>AND(#REF!,"AAAAABv/27s=")</f>
        <v>#REF!</v>
      </c>
      <c r="GG116" t="e">
        <f>IF(#REF!,"AAAAABv/27w=",0)</f>
        <v>#REF!</v>
      </c>
      <c r="GH116" t="e">
        <f>AND(#REF!,"AAAAABv/270=")</f>
        <v>#REF!</v>
      </c>
      <c r="GI116" t="e">
        <f>AND(#REF!,"AAAAABv/274=")</f>
        <v>#REF!</v>
      </c>
      <c r="GJ116" t="e">
        <f>AND(#REF!,"AAAAABv/278=")</f>
        <v>#REF!</v>
      </c>
      <c r="GK116" t="e">
        <f>AND(#REF!,"AAAAABv/28A=")</f>
        <v>#REF!</v>
      </c>
      <c r="GL116" t="e">
        <f>AND(#REF!,"AAAAABv/28E=")</f>
        <v>#REF!</v>
      </c>
      <c r="GM116" t="e">
        <f>AND(#REF!,"AAAAABv/28I=")</f>
        <v>#REF!</v>
      </c>
      <c r="GN116" t="e">
        <f>AND(#REF!,"AAAAABv/28M=")</f>
        <v>#REF!</v>
      </c>
      <c r="GO116" t="e">
        <f>AND(#REF!,"AAAAABv/28Q=")</f>
        <v>#REF!</v>
      </c>
      <c r="GP116" t="e">
        <f>AND(#REF!,"AAAAABv/28U=")</f>
        <v>#REF!</v>
      </c>
      <c r="GQ116" t="e">
        <f>AND(#REF!,"AAAAABv/28Y=")</f>
        <v>#REF!</v>
      </c>
      <c r="GR116" t="e">
        <f>IF(#REF!,"AAAAABv/28c=",0)</f>
        <v>#REF!</v>
      </c>
      <c r="GS116" t="e">
        <f>AND(#REF!,"AAAAABv/28g=")</f>
        <v>#REF!</v>
      </c>
      <c r="GT116" t="e">
        <f>AND(#REF!,"AAAAABv/28k=")</f>
        <v>#REF!</v>
      </c>
      <c r="GU116" t="e">
        <f>AND(#REF!,"AAAAABv/28o=")</f>
        <v>#REF!</v>
      </c>
      <c r="GV116" t="e">
        <f>AND(#REF!,"AAAAABv/28s=")</f>
        <v>#REF!</v>
      </c>
      <c r="GW116" t="e">
        <f>AND(#REF!,"AAAAABv/28w=")</f>
        <v>#REF!</v>
      </c>
      <c r="GX116" t="e">
        <f>AND(#REF!,"AAAAABv/280=")</f>
        <v>#REF!</v>
      </c>
      <c r="GY116" t="e">
        <f>AND(#REF!,"AAAAABv/284=")</f>
        <v>#REF!</v>
      </c>
      <c r="GZ116" t="e">
        <f>AND(#REF!,"AAAAABv/288=")</f>
        <v>#REF!</v>
      </c>
      <c r="HA116" t="e">
        <f>AND(#REF!,"AAAAABv/29A=")</f>
        <v>#REF!</v>
      </c>
      <c r="HB116" t="e">
        <f>AND(#REF!,"AAAAABv/29E=")</f>
        <v>#REF!</v>
      </c>
      <c r="HC116" t="e">
        <f>IF(#REF!,"AAAAABv/29I=",0)</f>
        <v>#REF!</v>
      </c>
      <c r="HD116" t="e">
        <f>AND(#REF!,"AAAAABv/29M=")</f>
        <v>#REF!</v>
      </c>
      <c r="HE116" t="e">
        <f>AND(#REF!,"AAAAABv/29Q=")</f>
        <v>#REF!</v>
      </c>
      <c r="HF116" t="e">
        <f>AND(#REF!,"AAAAABv/29U=")</f>
        <v>#REF!</v>
      </c>
      <c r="HG116" t="e">
        <f>AND(#REF!,"AAAAABv/29Y=")</f>
        <v>#REF!</v>
      </c>
      <c r="HH116" t="e">
        <f>AND(#REF!,"AAAAABv/29c=")</f>
        <v>#REF!</v>
      </c>
      <c r="HI116" t="e">
        <f>AND(#REF!,"AAAAABv/29g=")</f>
        <v>#REF!</v>
      </c>
      <c r="HJ116" t="e">
        <f>AND(#REF!,"AAAAABv/29k=")</f>
        <v>#REF!</v>
      </c>
      <c r="HK116" t="e">
        <f>AND(#REF!,"AAAAABv/29o=")</f>
        <v>#REF!</v>
      </c>
      <c r="HL116" t="e">
        <f>AND(#REF!,"AAAAABv/29s=")</f>
        <v>#REF!</v>
      </c>
      <c r="HM116" t="e">
        <f>AND(#REF!,"AAAAABv/29w=")</f>
        <v>#REF!</v>
      </c>
      <c r="HN116" t="e">
        <f>IF(#REF!,"AAAAABv/290=",0)</f>
        <v>#REF!</v>
      </c>
      <c r="HO116" t="e">
        <f>AND(#REF!,"AAAAABv/294=")</f>
        <v>#REF!</v>
      </c>
      <c r="HP116" t="e">
        <f>AND(#REF!,"AAAAABv/298=")</f>
        <v>#REF!</v>
      </c>
      <c r="HQ116" t="e">
        <f>AND(#REF!,"AAAAABv/2+A=")</f>
        <v>#REF!</v>
      </c>
      <c r="HR116" t="e">
        <f>AND(#REF!,"AAAAABv/2+E=")</f>
        <v>#REF!</v>
      </c>
      <c r="HS116" t="e">
        <f>AND(#REF!,"AAAAABv/2+I=")</f>
        <v>#REF!</v>
      </c>
      <c r="HT116" t="e">
        <f>AND(#REF!,"AAAAABv/2+M=")</f>
        <v>#REF!</v>
      </c>
      <c r="HU116" t="e">
        <f>AND(#REF!,"AAAAABv/2+Q=")</f>
        <v>#REF!</v>
      </c>
      <c r="HV116" t="e">
        <f>AND(#REF!,"AAAAABv/2+U=")</f>
        <v>#REF!</v>
      </c>
      <c r="HW116" t="e">
        <f>AND(#REF!,"AAAAABv/2+Y=")</f>
        <v>#REF!</v>
      </c>
      <c r="HX116" t="e">
        <f>AND(#REF!,"AAAAABv/2+c=")</f>
        <v>#REF!</v>
      </c>
      <c r="HY116" t="e">
        <f>IF(#REF!,"AAAAABv/2+g=",0)</f>
        <v>#REF!</v>
      </c>
      <c r="HZ116" t="e">
        <f>AND(#REF!,"AAAAABv/2+k=")</f>
        <v>#REF!</v>
      </c>
      <c r="IA116" t="e">
        <f>AND(#REF!,"AAAAABv/2+o=")</f>
        <v>#REF!</v>
      </c>
      <c r="IB116" t="e">
        <f>AND(#REF!,"AAAAABv/2+s=")</f>
        <v>#REF!</v>
      </c>
      <c r="IC116" t="e">
        <f>AND(#REF!,"AAAAABv/2+w=")</f>
        <v>#REF!</v>
      </c>
      <c r="ID116" t="e">
        <f>AND(#REF!,"AAAAABv/2+0=")</f>
        <v>#REF!</v>
      </c>
      <c r="IE116" t="e">
        <f>AND(#REF!,"AAAAABv/2+4=")</f>
        <v>#REF!</v>
      </c>
      <c r="IF116" t="e">
        <f>AND(#REF!,"AAAAABv/2+8=")</f>
        <v>#REF!</v>
      </c>
      <c r="IG116" t="e">
        <f>AND(#REF!,"AAAAABv/2/A=")</f>
        <v>#REF!</v>
      </c>
      <c r="IH116" t="e">
        <f>AND(#REF!,"AAAAABv/2/E=")</f>
        <v>#REF!</v>
      </c>
      <c r="II116" t="e">
        <f>AND(#REF!,"AAAAABv/2/I=")</f>
        <v>#REF!</v>
      </c>
      <c r="IJ116" t="e">
        <f>IF(#REF!,"AAAAABv/2/M=",0)</f>
        <v>#REF!</v>
      </c>
      <c r="IK116" t="e">
        <f>AND(#REF!,"AAAAABv/2/Q=")</f>
        <v>#REF!</v>
      </c>
      <c r="IL116" t="e">
        <f>AND(#REF!,"AAAAABv/2/U=")</f>
        <v>#REF!</v>
      </c>
      <c r="IM116" t="e">
        <f>AND(#REF!,"AAAAABv/2/Y=")</f>
        <v>#REF!</v>
      </c>
      <c r="IN116" t="e">
        <f>AND(#REF!,"AAAAABv/2/c=")</f>
        <v>#REF!</v>
      </c>
      <c r="IO116" t="e">
        <f>AND(#REF!,"AAAAABv/2/g=")</f>
        <v>#REF!</v>
      </c>
      <c r="IP116" t="e">
        <f>AND(#REF!,"AAAAABv/2/k=")</f>
        <v>#REF!</v>
      </c>
      <c r="IQ116" t="e">
        <f>AND(#REF!,"AAAAABv/2/o=")</f>
        <v>#REF!</v>
      </c>
      <c r="IR116" t="e">
        <f>AND(#REF!,"AAAAABv/2/s=")</f>
        <v>#REF!</v>
      </c>
      <c r="IS116" t="e">
        <f>AND(#REF!,"AAAAABv/2/w=")</f>
        <v>#REF!</v>
      </c>
      <c r="IT116" t="e">
        <f>AND(#REF!,"AAAAABv/2/0=")</f>
        <v>#REF!</v>
      </c>
      <c r="IU116" t="e">
        <f>IF(#REF!,"AAAAABv/2/4=",0)</f>
        <v>#REF!</v>
      </c>
      <c r="IV116" t="e">
        <f>AND(#REF!,"AAAAABv/2/8=")</f>
        <v>#REF!</v>
      </c>
    </row>
    <row r="117" spans="1:256" x14ac:dyDescent="0.25">
      <c r="A117" t="e">
        <f>AND(#REF!,"AAAAAFkk9wA=")</f>
        <v>#REF!</v>
      </c>
      <c r="B117" t="e">
        <f>AND(#REF!,"AAAAAFkk9wE=")</f>
        <v>#REF!</v>
      </c>
      <c r="C117" t="e">
        <f>AND(#REF!,"AAAAAFkk9wI=")</f>
        <v>#REF!</v>
      </c>
      <c r="D117" t="e">
        <f>AND(#REF!,"AAAAAFkk9wM=")</f>
        <v>#REF!</v>
      </c>
      <c r="E117" t="e">
        <f>AND(#REF!,"AAAAAFkk9wQ=")</f>
        <v>#REF!</v>
      </c>
      <c r="F117" t="e">
        <f>AND(#REF!,"AAAAAFkk9wU=")</f>
        <v>#REF!</v>
      </c>
      <c r="G117" t="e">
        <f>AND(#REF!,"AAAAAFkk9wY=")</f>
        <v>#REF!</v>
      </c>
      <c r="H117" t="e">
        <f>AND(#REF!,"AAAAAFkk9wc=")</f>
        <v>#REF!</v>
      </c>
      <c r="I117" t="e">
        <f>AND(#REF!,"AAAAAFkk9wg=")</f>
        <v>#REF!</v>
      </c>
      <c r="J117" t="e">
        <f>IF(#REF!,"AAAAAFkk9wk=",0)</f>
        <v>#REF!</v>
      </c>
      <c r="K117" t="e">
        <f>AND(#REF!,"AAAAAFkk9wo=")</f>
        <v>#REF!</v>
      </c>
      <c r="L117" t="e">
        <f>AND(#REF!,"AAAAAFkk9ws=")</f>
        <v>#REF!</v>
      </c>
      <c r="M117" t="e">
        <f>AND(#REF!,"AAAAAFkk9ww=")</f>
        <v>#REF!</v>
      </c>
      <c r="N117" t="e">
        <f>AND(#REF!,"AAAAAFkk9w0=")</f>
        <v>#REF!</v>
      </c>
      <c r="O117" t="e">
        <f>AND(#REF!,"AAAAAFkk9w4=")</f>
        <v>#REF!</v>
      </c>
      <c r="P117" t="e">
        <f>AND(#REF!,"AAAAAFkk9w8=")</f>
        <v>#REF!</v>
      </c>
      <c r="Q117" t="e">
        <f>AND(#REF!,"AAAAAFkk9xA=")</f>
        <v>#REF!</v>
      </c>
      <c r="R117" t="e">
        <f>AND(#REF!,"AAAAAFkk9xE=")</f>
        <v>#REF!</v>
      </c>
      <c r="S117" t="e">
        <f>AND(#REF!,"AAAAAFkk9xI=")</f>
        <v>#REF!</v>
      </c>
      <c r="T117" t="e">
        <f>AND(#REF!,"AAAAAFkk9xM=")</f>
        <v>#REF!</v>
      </c>
      <c r="U117" t="e">
        <f>IF(#REF!,"AAAAAFkk9xQ=",0)</f>
        <v>#REF!</v>
      </c>
      <c r="V117" t="e">
        <f>AND(#REF!,"AAAAAFkk9xU=")</f>
        <v>#REF!</v>
      </c>
      <c r="W117" t="e">
        <f>AND(#REF!,"AAAAAFkk9xY=")</f>
        <v>#REF!</v>
      </c>
      <c r="X117" t="e">
        <f>AND(#REF!,"AAAAAFkk9xc=")</f>
        <v>#REF!</v>
      </c>
      <c r="Y117" t="e">
        <f>AND(#REF!,"AAAAAFkk9xg=")</f>
        <v>#REF!</v>
      </c>
      <c r="Z117" t="e">
        <f>AND(#REF!,"AAAAAFkk9xk=")</f>
        <v>#REF!</v>
      </c>
      <c r="AA117" t="e">
        <f>AND(#REF!,"AAAAAFkk9xo=")</f>
        <v>#REF!</v>
      </c>
      <c r="AB117" t="e">
        <f>AND(#REF!,"AAAAAFkk9xs=")</f>
        <v>#REF!</v>
      </c>
      <c r="AC117" t="e">
        <f>AND(#REF!,"AAAAAFkk9xw=")</f>
        <v>#REF!</v>
      </c>
      <c r="AD117" t="e">
        <f>AND(#REF!,"AAAAAFkk9x0=")</f>
        <v>#REF!</v>
      </c>
      <c r="AE117" t="e">
        <f>AND(#REF!,"AAAAAFkk9x4=")</f>
        <v>#REF!</v>
      </c>
      <c r="AF117" t="e">
        <f>IF(#REF!,"AAAAAFkk9x8=",0)</f>
        <v>#REF!</v>
      </c>
      <c r="AG117" t="e">
        <f>AND(#REF!,"AAAAAFkk9yA=")</f>
        <v>#REF!</v>
      </c>
      <c r="AH117" t="e">
        <f>AND(#REF!,"AAAAAFkk9yE=")</f>
        <v>#REF!</v>
      </c>
      <c r="AI117" t="e">
        <f>AND(#REF!,"AAAAAFkk9yI=")</f>
        <v>#REF!</v>
      </c>
      <c r="AJ117" t="e">
        <f>AND(#REF!,"AAAAAFkk9yM=")</f>
        <v>#REF!</v>
      </c>
      <c r="AK117" t="e">
        <f>AND(#REF!,"AAAAAFkk9yQ=")</f>
        <v>#REF!</v>
      </c>
      <c r="AL117" t="e">
        <f>AND(#REF!,"AAAAAFkk9yU=")</f>
        <v>#REF!</v>
      </c>
      <c r="AM117" t="e">
        <f>AND(#REF!,"AAAAAFkk9yY=")</f>
        <v>#REF!</v>
      </c>
      <c r="AN117" t="e">
        <f>AND(#REF!,"AAAAAFkk9yc=")</f>
        <v>#REF!</v>
      </c>
      <c r="AO117" t="e">
        <f>AND(#REF!,"AAAAAFkk9yg=")</f>
        <v>#REF!</v>
      </c>
      <c r="AP117" t="e">
        <f>AND(#REF!,"AAAAAFkk9yk=")</f>
        <v>#REF!</v>
      </c>
      <c r="AQ117" t="e">
        <f>IF(#REF!,"AAAAAFkk9yo=",0)</f>
        <v>#REF!</v>
      </c>
      <c r="AR117" t="e">
        <f>AND(#REF!,"AAAAAFkk9ys=")</f>
        <v>#REF!</v>
      </c>
      <c r="AS117" t="e">
        <f>AND(#REF!,"AAAAAFkk9yw=")</f>
        <v>#REF!</v>
      </c>
      <c r="AT117" t="e">
        <f>AND(#REF!,"AAAAAFkk9y0=")</f>
        <v>#REF!</v>
      </c>
      <c r="AU117" t="e">
        <f>AND(#REF!,"AAAAAFkk9y4=")</f>
        <v>#REF!</v>
      </c>
      <c r="AV117" t="e">
        <f>AND(#REF!,"AAAAAFkk9y8=")</f>
        <v>#REF!</v>
      </c>
      <c r="AW117" t="e">
        <f>AND(#REF!,"AAAAAFkk9zA=")</f>
        <v>#REF!</v>
      </c>
      <c r="AX117" t="e">
        <f>AND(#REF!,"AAAAAFkk9zE=")</f>
        <v>#REF!</v>
      </c>
      <c r="AY117" t="e">
        <f>AND(#REF!,"AAAAAFkk9zI=")</f>
        <v>#REF!</v>
      </c>
      <c r="AZ117" t="e">
        <f>AND(#REF!,"AAAAAFkk9zM=")</f>
        <v>#REF!</v>
      </c>
      <c r="BA117" t="e">
        <f>AND(#REF!,"AAAAAFkk9zQ=")</f>
        <v>#REF!</v>
      </c>
      <c r="BB117" t="e">
        <f>IF(#REF!,"AAAAAFkk9zU=",0)</f>
        <v>#REF!</v>
      </c>
      <c r="BC117" t="e">
        <f>AND(#REF!,"AAAAAFkk9zY=")</f>
        <v>#REF!</v>
      </c>
      <c r="BD117" t="e">
        <f>AND(#REF!,"AAAAAFkk9zc=")</f>
        <v>#REF!</v>
      </c>
      <c r="BE117" t="e">
        <f>AND(#REF!,"AAAAAFkk9zg=")</f>
        <v>#REF!</v>
      </c>
      <c r="BF117" t="e">
        <f>AND(#REF!,"AAAAAFkk9zk=")</f>
        <v>#REF!</v>
      </c>
      <c r="BG117" t="e">
        <f>AND(#REF!,"AAAAAFkk9zo=")</f>
        <v>#REF!</v>
      </c>
      <c r="BH117" t="e">
        <f>AND(#REF!,"AAAAAFkk9zs=")</f>
        <v>#REF!</v>
      </c>
      <c r="BI117" t="e">
        <f>AND(#REF!,"AAAAAFkk9zw=")</f>
        <v>#REF!</v>
      </c>
      <c r="BJ117" t="e">
        <f>AND(#REF!,"AAAAAFkk9z0=")</f>
        <v>#REF!</v>
      </c>
      <c r="BK117" t="e">
        <f>AND(#REF!,"AAAAAFkk9z4=")</f>
        <v>#REF!</v>
      </c>
      <c r="BL117" t="e">
        <f>AND(#REF!,"AAAAAFkk9z8=")</f>
        <v>#REF!</v>
      </c>
      <c r="BM117" t="e">
        <f>IF(#REF!,"AAAAAFkk90A=",0)</f>
        <v>#REF!</v>
      </c>
      <c r="BN117" t="e">
        <f>AND(#REF!,"AAAAAFkk90E=")</f>
        <v>#REF!</v>
      </c>
      <c r="BO117" t="e">
        <f>AND(#REF!,"AAAAAFkk90I=")</f>
        <v>#REF!</v>
      </c>
      <c r="BP117" t="e">
        <f>AND(#REF!,"AAAAAFkk90M=")</f>
        <v>#REF!</v>
      </c>
      <c r="BQ117" t="e">
        <f>AND(#REF!,"AAAAAFkk90Q=")</f>
        <v>#REF!</v>
      </c>
      <c r="BR117" t="e">
        <f>AND(#REF!,"AAAAAFkk90U=")</f>
        <v>#REF!</v>
      </c>
      <c r="BS117" t="e">
        <f>AND(#REF!,"AAAAAFkk90Y=")</f>
        <v>#REF!</v>
      </c>
      <c r="BT117" t="e">
        <f>AND(#REF!,"AAAAAFkk90c=")</f>
        <v>#REF!</v>
      </c>
      <c r="BU117" t="e">
        <f>AND(#REF!,"AAAAAFkk90g=")</f>
        <v>#REF!</v>
      </c>
      <c r="BV117" t="e">
        <f>AND(#REF!,"AAAAAFkk90k=")</f>
        <v>#REF!</v>
      </c>
      <c r="BW117" t="e">
        <f>AND(#REF!,"AAAAAFkk90o=")</f>
        <v>#REF!</v>
      </c>
      <c r="BX117" t="e">
        <f>IF(#REF!,"AAAAAFkk90s=",0)</f>
        <v>#REF!</v>
      </c>
      <c r="BY117" t="e">
        <f>AND(#REF!,"AAAAAFkk90w=")</f>
        <v>#REF!</v>
      </c>
      <c r="BZ117" t="e">
        <f>AND(#REF!,"AAAAAFkk900=")</f>
        <v>#REF!</v>
      </c>
      <c r="CA117" t="e">
        <f>AND(#REF!,"AAAAAFkk904=")</f>
        <v>#REF!</v>
      </c>
      <c r="CB117" t="e">
        <f>AND(#REF!,"AAAAAFkk908=")</f>
        <v>#REF!</v>
      </c>
      <c r="CC117" t="e">
        <f>AND(#REF!,"AAAAAFkk91A=")</f>
        <v>#REF!</v>
      </c>
      <c r="CD117" t="e">
        <f>AND(#REF!,"AAAAAFkk91E=")</f>
        <v>#REF!</v>
      </c>
      <c r="CE117" t="e">
        <f>AND(#REF!,"AAAAAFkk91I=")</f>
        <v>#REF!</v>
      </c>
      <c r="CF117" t="e">
        <f>AND(#REF!,"AAAAAFkk91M=")</f>
        <v>#REF!</v>
      </c>
      <c r="CG117" t="e">
        <f>AND(#REF!,"AAAAAFkk91Q=")</f>
        <v>#REF!</v>
      </c>
      <c r="CH117" t="e">
        <f>AND(#REF!,"AAAAAFkk91U=")</f>
        <v>#REF!</v>
      </c>
      <c r="CI117" t="e">
        <f>IF(#REF!,"AAAAAFkk91Y=",0)</f>
        <v>#REF!</v>
      </c>
      <c r="CJ117" t="e">
        <f>AND(#REF!,"AAAAAFkk91c=")</f>
        <v>#REF!</v>
      </c>
      <c r="CK117" t="e">
        <f>AND(#REF!,"AAAAAFkk91g=")</f>
        <v>#REF!</v>
      </c>
      <c r="CL117" t="e">
        <f>AND(#REF!,"AAAAAFkk91k=")</f>
        <v>#REF!</v>
      </c>
      <c r="CM117" t="e">
        <f>AND(#REF!,"AAAAAFkk91o=")</f>
        <v>#REF!</v>
      </c>
      <c r="CN117" t="e">
        <f>AND(#REF!,"AAAAAFkk91s=")</f>
        <v>#REF!</v>
      </c>
      <c r="CO117" t="e">
        <f>AND(#REF!,"AAAAAFkk91w=")</f>
        <v>#REF!</v>
      </c>
      <c r="CP117" t="e">
        <f>AND(#REF!,"AAAAAFkk910=")</f>
        <v>#REF!</v>
      </c>
      <c r="CQ117" t="e">
        <f>AND(#REF!,"AAAAAFkk914=")</f>
        <v>#REF!</v>
      </c>
      <c r="CR117" t="e">
        <f>AND(#REF!,"AAAAAFkk918=")</f>
        <v>#REF!</v>
      </c>
      <c r="CS117" t="e">
        <f>AND(#REF!,"AAAAAFkk92A=")</f>
        <v>#REF!</v>
      </c>
      <c r="CT117" t="e">
        <f>IF(#REF!,"AAAAAFkk92E=",0)</f>
        <v>#REF!</v>
      </c>
      <c r="CU117" t="e">
        <f>AND(#REF!,"AAAAAFkk92I=")</f>
        <v>#REF!</v>
      </c>
      <c r="CV117" t="e">
        <f>AND(#REF!,"AAAAAFkk92M=")</f>
        <v>#REF!</v>
      </c>
      <c r="CW117" t="e">
        <f>AND(#REF!,"AAAAAFkk92Q=")</f>
        <v>#REF!</v>
      </c>
      <c r="CX117" t="e">
        <f>AND(#REF!,"AAAAAFkk92U=")</f>
        <v>#REF!</v>
      </c>
      <c r="CY117" t="e">
        <f>AND(#REF!,"AAAAAFkk92Y=")</f>
        <v>#REF!</v>
      </c>
      <c r="CZ117" t="e">
        <f>AND(#REF!,"AAAAAFkk92c=")</f>
        <v>#REF!</v>
      </c>
      <c r="DA117" t="e">
        <f>AND(#REF!,"AAAAAFkk92g=")</f>
        <v>#REF!</v>
      </c>
      <c r="DB117" t="e">
        <f>AND(#REF!,"AAAAAFkk92k=")</f>
        <v>#REF!</v>
      </c>
      <c r="DC117" t="e">
        <f>AND(#REF!,"AAAAAFkk92o=")</f>
        <v>#REF!</v>
      </c>
      <c r="DD117" t="e">
        <f>AND(#REF!,"AAAAAFkk92s=")</f>
        <v>#REF!</v>
      </c>
      <c r="DE117" t="e">
        <f>IF(#REF!,"AAAAAFkk92w=",0)</f>
        <v>#REF!</v>
      </c>
      <c r="DF117" t="e">
        <f>AND(#REF!,"AAAAAFkk920=")</f>
        <v>#REF!</v>
      </c>
      <c r="DG117" t="e">
        <f>AND(#REF!,"AAAAAFkk924=")</f>
        <v>#REF!</v>
      </c>
      <c r="DH117" t="e">
        <f>AND(#REF!,"AAAAAFkk928=")</f>
        <v>#REF!</v>
      </c>
      <c r="DI117" t="e">
        <f>AND(#REF!,"AAAAAFkk93A=")</f>
        <v>#REF!</v>
      </c>
      <c r="DJ117" t="e">
        <f>AND(#REF!,"AAAAAFkk93E=")</f>
        <v>#REF!</v>
      </c>
      <c r="DK117" t="e">
        <f>AND(#REF!,"AAAAAFkk93I=")</f>
        <v>#REF!</v>
      </c>
      <c r="DL117" t="e">
        <f>AND(#REF!,"AAAAAFkk93M=")</f>
        <v>#REF!</v>
      </c>
      <c r="DM117" t="e">
        <f>AND(#REF!,"AAAAAFkk93Q=")</f>
        <v>#REF!</v>
      </c>
      <c r="DN117" t="e">
        <f>AND(#REF!,"AAAAAFkk93U=")</f>
        <v>#REF!</v>
      </c>
      <c r="DO117" t="e">
        <f>AND(#REF!,"AAAAAFkk93Y=")</f>
        <v>#REF!</v>
      </c>
      <c r="DP117" t="e">
        <f>IF(#REF!,"AAAAAFkk93c=",0)</f>
        <v>#REF!</v>
      </c>
      <c r="DQ117" t="e">
        <f>AND(#REF!,"AAAAAFkk93g=")</f>
        <v>#REF!</v>
      </c>
      <c r="DR117" t="e">
        <f>AND(#REF!,"AAAAAFkk93k=")</f>
        <v>#REF!</v>
      </c>
      <c r="DS117" t="e">
        <f>AND(#REF!,"AAAAAFkk93o=")</f>
        <v>#REF!</v>
      </c>
      <c r="DT117" t="e">
        <f>AND(#REF!,"AAAAAFkk93s=")</f>
        <v>#REF!</v>
      </c>
      <c r="DU117" t="e">
        <f>AND(#REF!,"AAAAAFkk93w=")</f>
        <v>#REF!</v>
      </c>
      <c r="DV117" t="e">
        <f>AND(#REF!,"AAAAAFkk930=")</f>
        <v>#REF!</v>
      </c>
      <c r="DW117" t="e">
        <f>AND(#REF!,"AAAAAFkk934=")</f>
        <v>#REF!</v>
      </c>
      <c r="DX117" t="e">
        <f>AND(#REF!,"AAAAAFkk938=")</f>
        <v>#REF!</v>
      </c>
      <c r="DY117" t="e">
        <f>AND(#REF!,"AAAAAFkk94A=")</f>
        <v>#REF!</v>
      </c>
      <c r="DZ117" t="e">
        <f>AND(#REF!,"AAAAAFkk94E=")</f>
        <v>#REF!</v>
      </c>
      <c r="EA117" t="e">
        <f>IF(#REF!,"AAAAAFkk94I=",0)</f>
        <v>#REF!</v>
      </c>
      <c r="EB117" t="e">
        <f>AND(#REF!,"AAAAAFkk94M=")</f>
        <v>#REF!</v>
      </c>
      <c r="EC117" t="e">
        <f>AND(#REF!,"AAAAAFkk94Q=")</f>
        <v>#REF!</v>
      </c>
      <c r="ED117" t="e">
        <f>AND(#REF!,"AAAAAFkk94U=")</f>
        <v>#REF!</v>
      </c>
      <c r="EE117" t="e">
        <f>AND(#REF!,"AAAAAFkk94Y=")</f>
        <v>#REF!</v>
      </c>
      <c r="EF117" t="e">
        <f>AND(#REF!,"AAAAAFkk94c=")</f>
        <v>#REF!</v>
      </c>
      <c r="EG117" t="e">
        <f>AND(#REF!,"AAAAAFkk94g=")</f>
        <v>#REF!</v>
      </c>
      <c r="EH117" t="e">
        <f>AND(#REF!,"AAAAAFkk94k=")</f>
        <v>#REF!</v>
      </c>
      <c r="EI117" t="e">
        <f>AND(#REF!,"AAAAAFkk94o=")</f>
        <v>#REF!</v>
      </c>
      <c r="EJ117" t="e">
        <f>AND(#REF!,"AAAAAFkk94s=")</f>
        <v>#REF!</v>
      </c>
      <c r="EK117" t="e">
        <f>AND(#REF!,"AAAAAFkk94w=")</f>
        <v>#REF!</v>
      </c>
      <c r="EL117" t="e">
        <f>IF(#REF!,"AAAAAFkk940=",0)</f>
        <v>#REF!</v>
      </c>
      <c r="EM117" t="e">
        <f>AND(#REF!,"AAAAAFkk944=")</f>
        <v>#REF!</v>
      </c>
      <c r="EN117" t="e">
        <f>AND(#REF!,"AAAAAFkk948=")</f>
        <v>#REF!</v>
      </c>
      <c r="EO117" t="e">
        <f>AND(#REF!,"AAAAAFkk95A=")</f>
        <v>#REF!</v>
      </c>
      <c r="EP117" t="e">
        <f>AND(#REF!,"AAAAAFkk95E=")</f>
        <v>#REF!</v>
      </c>
      <c r="EQ117" t="e">
        <f>AND(#REF!,"AAAAAFkk95I=")</f>
        <v>#REF!</v>
      </c>
      <c r="ER117" t="e">
        <f>AND(#REF!,"AAAAAFkk95M=")</f>
        <v>#REF!</v>
      </c>
      <c r="ES117" t="e">
        <f>AND(#REF!,"AAAAAFkk95Q=")</f>
        <v>#REF!</v>
      </c>
      <c r="ET117" t="e">
        <f>AND(#REF!,"AAAAAFkk95U=")</f>
        <v>#REF!</v>
      </c>
      <c r="EU117" t="e">
        <f>AND(#REF!,"AAAAAFkk95Y=")</f>
        <v>#REF!</v>
      </c>
      <c r="EV117" t="e">
        <f>AND(#REF!,"AAAAAFkk95c=")</f>
        <v>#REF!</v>
      </c>
      <c r="EW117" t="e">
        <f>IF(#REF!,"AAAAAFkk95g=",0)</f>
        <v>#REF!</v>
      </c>
      <c r="EX117" t="e">
        <f>AND(#REF!,"AAAAAFkk95k=")</f>
        <v>#REF!</v>
      </c>
      <c r="EY117" t="e">
        <f>AND(#REF!,"AAAAAFkk95o=")</f>
        <v>#REF!</v>
      </c>
      <c r="EZ117" t="e">
        <f>AND(#REF!,"AAAAAFkk95s=")</f>
        <v>#REF!</v>
      </c>
      <c r="FA117" t="e">
        <f>AND(#REF!,"AAAAAFkk95w=")</f>
        <v>#REF!</v>
      </c>
      <c r="FB117" t="e">
        <f>AND(#REF!,"AAAAAFkk950=")</f>
        <v>#REF!</v>
      </c>
      <c r="FC117" t="e">
        <f>AND(#REF!,"AAAAAFkk954=")</f>
        <v>#REF!</v>
      </c>
      <c r="FD117" t="e">
        <f>AND(#REF!,"AAAAAFkk958=")</f>
        <v>#REF!</v>
      </c>
      <c r="FE117" t="e">
        <f>AND(#REF!,"AAAAAFkk96A=")</f>
        <v>#REF!</v>
      </c>
      <c r="FF117" t="e">
        <f>AND(#REF!,"AAAAAFkk96E=")</f>
        <v>#REF!</v>
      </c>
      <c r="FG117" t="e">
        <f>AND(#REF!,"AAAAAFkk96I=")</f>
        <v>#REF!</v>
      </c>
      <c r="FH117" t="e">
        <f>IF(#REF!,"AAAAAFkk96M=",0)</f>
        <v>#REF!</v>
      </c>
      <c r="FI117" t="e">
        <f>AND(#REF!,"AAAAAFkk96Q=")</f>
        <v>#REF!</v>
      </c>
      <c r="FJ117" t="e">
        <f>AND(#REF!,"AAAAAFkk96U=")</f>
        <v>#REF!</v>
      </c>
      <c r="FK117" t="e">
        <f>AND(#REF!,"AAAAAFkk96Y=")</f>
        <v>#REF!</v>
      </c>
      <c r="FL117" t="e">
        <f>AND(#REF!,"AAAAAFkk96c=")</f>
        <v>#REF!</v>
      </c>
      <c r="FM117" t="e">
        <f>AND(#REF!,"AAAAAFkk96g=")</f>
        <v>#REF!</v>
      </c>
      <c r="FN117" t="e">
        <f>AND(#REF!,"AAAAAFkk96k=")</f>
        <v>#REF!</v>
      </c>
      <c r="FO117" t="e">
        <f>AND(#REF!,"AAAAAFkk96o=")</f>
        <v>#REF!</v>
      </c>
      <c r="FP117" t="e">
        <f>AND(#REF!,"AAAAAFkk96s=")</f>
        <v>#REF!</v>
      </c>
      <c r="FQ117" t="e">
        <f>AND(#REF!,"AAAAAFkk96w=")</f>
        <v>#REF!</v>
      </c>
      <c r="FR117" t="e">
        <f>AND(#REF!,"AAAAAFkk960=")</f>
        <v>#REF!</v>
      </c>
      <c r="FS117" t="e">
        <f>IF(#REF!,"AAAAAFkk964=",0)</f>
        <v>#REF!</v>
      </c>
      <c r="FT117" t="e">
        <f>AND(#REF!,"AAAAAFkk968=")</f>
        <v>#REF!</v>
      </c>
      <c r="FU117" t="e">
        <f>AND(#REF!,"AAAAAFkk97A=")</f>
        <v>#REF!</v>
      </c>
      <c r="FV117" t="e">
        <f>AND(#REF!,"AAAAAFkk97E=")</f>
        <v>#REF!</v>
      </c>
      <c r="FW117" t="e">
        <f>AND(#REF!,"AAAAAFkk97I=")</f>
        <v>#REF!</v>
      </c>
      <c r="FX117" t="e">
        <f>AND(#REF!,"AAAAAFkk97M=")</f>
        <v>#REF!</v>
      </c>
      <c r="FY117" t="e">
        <f>AND(#REF!,"AAAAAFkk97Q=")</f>
        <v>#REF!</v>
      </c>
      <c r="FZ117" t="e">
        <f>AND(#REF!,"AAAAAFkk97U=")</f>
        <v>#REF!</v>
      </c>
      <c r="GA117" t="e">
        <f>AND(#REF!,"AAAAAFkk97Y=")</f>
        <v>#REF!</v>
      </c>
      <c r="GB117" t="e">
        <f>AND(#REF!,"AAAAAFkk97c=")</f>
        <v>#REF!</v>
      </c>
      <c r="GC117" t="e">
        <f>AND(#REF!,"AAAAAFkk97g=")</f>
        <v>#REF!</v>
      </c>
      <c r="GD117" t="e">
        <f>IF(#REF!,"AAAAAFkk97k=",0)</f>
        <v>#REF!</v>
      </c>
      <c r="GE117" t="e">
        <f>AND(#REF!,"AAAAAFkk97o=")</f>
        <v>#REF!</v>
      </c>
      <c r="GF117" t="e">
        <f>AND(#REF!,"AAAAAFkk97s=")</f>
        <v>#REF!</v>
      </c>
      <c r="GG117" t="e">
        <f>AND(#REF!,"AAAAAFkk97w=")</f>
        <v>#REF!</v>
      </c>
      <c r="GH117" t="e">
        <f>AND(#REF!,"AAAAAFkk970=")</f>
        <v>#REF!</v>
      </c>
      <c r="GI117" t="e">
        <f>AND(#REF!,"AAAAAFkk974=")</f>
        <v>#REF!</v>
      </c>
      <c r="GJ117" t="e">
        <f>AND(#REF!,"AAAAAFkk978=")</f>
        <v>#REF!</v>
      </c>
      <c r="GK117" t="e">
        <f>AND(#REF!,"AAAAAFkk98A=")</f>
        <v>#REF!</v>
      </c>
      <c r="GL117" t="e">
        <f>AND(#REF!,"AAAAAFkk98E=")</f>
        <v>#REF!</v>
      </c>
      <c r="GM117" t="e">
        <f>AND(#REF!,"AAAAAFkk98I=")</f>
        <v>#REF!</v>
      </c>
      <c r="GN117" t="e">
        <f>AND(#REF!,"AAAAAFkk98M=")</f>
        <v>#REF!</v>
      </c>
      <c r="GO117" t="e">
        <f>IF(#REF!,"AAAAAFkk98Q=",0)</f>
        <v>#REF!</v>
      </c>
      <c r="GP117" t="e">
        <f>AND(#REF!,"AAAAAFkk98U=")</f>
        <v>#REF!</v>
      </c>
      <c r="GQ117" t="e">
        <f>AND(#REF!,"AAAAAFkk98Y=")</f>
        <v>#REF!</v>
      </c>
      <c r="GR117" t="e">
        <f>AND(#REF!,"AAAAAFkk98c=")</f>
        <v>#REF!</v>
      </c>
      <c r="GS117" t="e">
        <f>AND(#REF!,"AAAAAFkk98g=")</f>
        <v>#REF!</v>
      </c>
      <c r="GT117" t="e">
        <f>AND(#REF!,"AAAAAFkk98k=")</f>
        <v>#REF!</v>
      </c>
      <c r="GU117" t="e">
        <f>AND(#REF!,"AAAAAFkk98o=")</f>
        <v>#REF!</v>
      </c>
      <c r="GV117" t="e">
        <f>AND(#REF!,"AAAAAFkk98s=")</f>
        <v>#REF!</v>
      </c>
      <c r="GW117" t="e">
        <f>AND(#REF!,"AAAAAFkk98w=")</f>
        <v>#REF!</v>
      </c>
      <c r="GX117" t="e">
        <f>AND(#REF!,"AAAAAFkk980=")</f>
        <v>#REF!</v>
      </c>
      <c r="GY117" t="e">
        <f>AND(#REF!,"AAAAAFkk984=")</f>
        <v>#REF!</v>
      </c>
      <c r="GZ117" t="e">
        <f>IF(#REF!,"AAAAAFkk988=",0)</f>
        <v>#REF!</v>
      </c>
      <c r="HA117" t="e">
        <f>AND(#REF!,"AAAAAFkk99A=")</f>
        <v>#REF!</v>
      </c>
      <c r="HB117" t="e">
        <f>AND(#REF!,"AAAAAFkk99E=")</f>
        <v>#REF!</v>
      </c>
      <c r="HC117" t="e">
        <f>AND(#REF!,"AAAAAFkk99I=")</f>
        <v>#REF!</v>
      </c>
      <c r="HD117" t="e">
        <f>AND(#REF!,"AAAAAFkk99M=")</f>
        <v>#REF!</v>
      </c>
      <c r="HE117" t="e">
        <f>AND(#REF!,"AAAAAFkk99Q=")</f>
        <v>#REF!</v>
      </c>
      <c r="HF117" t="e">
        <f>AND(#REF!,"AAAAAFkk99U=")</f>
        <v>#REF!</v>
      </c>
      <c r="HG117" t="e">
        <f>AND(#REF!,"AAAAAFkk99Y=")</f>
        <v>#REF!</v>
      </c>
      <c r="HH117" t="e">
        <f>AND(#REF!,"AAAAAFkk99c=")</f>
        <v>#REF!</v>
      </c>
      <c r="HI117" t="e">
        <f>AND(#REF!,"AAAAAFkk99g=")</f>
        <v>#REF!</v>
      </c>
      <c r="HJ117" t="e">
        <f>AND(#REF!,"AAAAAFkk99k=")</f>
        <v>#REF!</v>
      </c>
      <c r="HK117" t="e">
        <f>IF(#REF!,"AAAAAFkk99o=",0)</f>
        <v>#REF!</v>
      </c>
      <c r="HL117" t="e">
        <f>AND(#REF!,"AAAAAFkk99s=")</f>
        <v>#REF!</v>
      </c>
      <c r="HM117" t="e">
        <f>AND(#REF!,"AAAAAFkk99w=")</f>
        <v>#REF!</v>
      </c>
      <c r="HN117" t="e">
        <f>AND(#REF!,"AAAAAFkk990=")</f>
        <v>#REF!</v>
      </c>
      <c r="HO117" t="e">
        <f>AND(#REF!,"AAAAAFkk994=")</f>
        <v>#REF!</v>
      </c>
      <c r="HP117" t="e">
        <f>AND(#REF!,"AAAAAFkk998=")</f>
        <v>#REF!</v>
      </c>
      <c r="HQ117" t="e">
        <f>AND(#REF!,"AAAAAFkk9+A=")</f>
        <v>#REF!</v>
      </c>
      <c r="HR117" t="e">
        <f>AND(#REF!,"AAAAAFkk9+E=")</f>
        <v>#REF!</v>
      </c>
      <c r="HS117" t="e">
        <f>AND(#REF!,"AAAAAFkk9+I=")</f>
        <v>#REF!</v>
      </c>
      <c r="HT117" t="e">
        <f>AND(#REF!,"AAAAAFkk9+M=")</f>
        <v>#REF!</v>
      </c>
      <c r="HU117" t="e">
        <f>AND(#REF!,"AAAAAFkk9+Q=")</f>
        <v>#REF!</v>
      </c>
      <c r="HV117" t="e">
        <f>IF(#REF!,"AAAAAFkk9+U=",0)</f>
        <v>#REF!</v>
      </c>
      <c r="HW117" t="e">
        <f>AND(#REF!,"AAAAAFkk9+Y=")</f>
        <v>#REF!</v>
      </c>
      <c r="HX117" t="e">
        <f>AND(#REF!,"AAAAAFkk9+c=")</f>
        <v>#REF!</v>
      </c>
      <c r="HY117" t="e">
        <f>AND(#REF!,"AAAAAFkk9+g=")</f>
        <v>#REF!</v>
      </c>
      <c r="HZ117" t="e">
        <f>AND(#REF!,"AAAAAFkk9+k=")</f>
        <v>#REF!</v>
      </c>
      <c r="IA117" t="e">
        <f>AND(#REF!,"AAAAAFkk9+o=")</f>
        <v>#REF!</v>
      </c>
      <c r="IB117" t="e">
        <f>AND(#REF!,"AAAAAFkk9+s=")</f>
        <v>#REF!</v>
      </c>
      <c r="IC117" t="e">
        <f>AND(#REF!,"AAAAAFkk9+w=")</f>
        <v>#REF!</v>
      </c>
      <c r="ID117" t="e">
        <f>AND(#REF!,"AAAAAFkk9+0=")</f>
        <v>#REF!</v>
      </c>
      <c r="IE117" t="e">
        <f>AND(#REF!,"AAAAAFkk9+4=")</f>
        <v>#REF!</v>
      </c>
      <c r="IF117" t="e">
        <f>AND(#REF!,"AAAAAFkk9+8=")</f>
        <v>#REF!</v>
      </c>
      <c r="IG117" t="e">
        <f>IF(#REF!,"AAAAAFkk9/A=",0)</f>
        <v>#REF!</v>
      </c>
      <c r="IH117" t="e">
        <f>AND(#REF!,"AAAAAFkk9/E=")</f>
        <v>#REF!</v>
      </c>
      <c r="II117" t="e">
        <f>AND(#REF!,"AAAAAFkk9/I=")</f>
        <v>#REF!</v>
      </c>
      <c r="IJ117" t="e">
        <f>AND(#REF!,"AAAAAFkk9/M=")</f>
        <v>#REF!</v>
      </c>
      <c r="IK117" t="e">
        <f>AND(#REF!,"AAAAAFkk9/Q=")</f>
        <v>#REF!</v>
      </c>
      <c r="IL117" t="e">
        <f>AND(#REF!,"AAAAAFkk9/U=")</f>
        <v>#REF!</v>
      </c>
      <c r="IM117" t="e">
        <f>AND(#REF!,"AAAAAFkk9/Y=")</f>
        <v>#REF!</v>
      </c>
      <c r="IN117" t="e">
        <f>AND(#REF!,"AAAAAFkk9/c=")</f>
        <v>#REF!</v>
      </c>
      <c r="IO117" t="e">
        <f>AND(#REF!,"AAAAAFkk9/g=")</f>
        <v>#REF!</v>
      </c>
      <c r="IP117" t="e">
        <f>AND(#REF!,"AAAAAFkk9/k=")</f>
        <v>#REF!</v>
      </c>
      <c r="IQ117" t="e">
        <f>AND(#REF!,"AAAAAFkk9/o=")</f>
        <v>#REF!</v>
      </c>
      <c r="IR117" t="e">
        <f>IF(#REF!,"AAAAAFkk9/s=",0)</f>
        <v>#REF!</v>
      </c>
      <c r="IS117" t="e">
        <f>AND(#REF!,"AAAAAFkk9/w=")</f>
        <v>#REF!</v>
      </c>
      <c r="IT117" t="e">
        <f>AND(#REF!,"AAAAAFkk9/0=")</f>
        <v>#REF!</v>
      </c>
      <c r="IU117" t="e">
        <f>AND(#REF!,"AAAAAFkk9/4=")</f>
        <v>#REF!</v>
      </c>
      <c r="IV117" t="e">
        <f>AND(#REF!,"AAAAAFkk9/8=")</f>
        <v>#REF!</v>
      </c>
    </row>
    <row r="118" spans="1:256" x14ac:dyDescent="0.25">
      <c r="A118" t="e">
        <f>AND(#REF!,"AAAAAHTr7gA=")</f>
        <v>#REF!</v>
      </c>
      <c r="B118" t="e">
        <f>AND(#REF!,"AAAAAHTr7gE=")</f>
        <v>#REF!</v>
      </c>
      <c r="C118" t="e">
        <f>AND(#REF!,"AAAAAHTr7gI=")</f>
        <v>#REF!</v>
      </c>
      <c r="D118" t="e">
        <f>AND(#REF!,"AAAAAHTr7gM=")</f>
        <v>#REF!</v>
      </c>
      <c r="E118" t="e">
        <f>AND(#REF!,"AAAAAHTr7gQ=")</f>
        <v>#REF!</v>
      </c>
      <c r="F118" t="e">
        <f>AND(#REF!,"AAAAAHTr7gU=")</f>
        <v>#REF!</v>
      </c>
      <c r="G118" t="e">
        <f>IF(#REF!,"AAAAAHTr7gY=",0)</f>
        <v>#REF!</v>
      </c>
      <c r="H118" t="e">
        <f>AND(#REF!,"AAAAAHTr7gc=")</f>
        <v>#REF!</v>
      </c>
      <c r="I118" t="e">
        <f>AND(#REF!,"AAAAAHTr7gg=")</f>
        <v>#REF!</v>
      </c>
      <c r="J118" t="e">
        <f>AND(#REF!,"AAAAAHTr7gk=")</f>
        <v>#REF!</v>
      </c>
      <c r="K118" t="e">
        <f>AND(#REF!,"AAAAAHTr7go=")</f>
        <v>#REF!</v>
      </c>
      <c r="L118" t="e">
        <f>AND(#REF!,"AAAAAHTr7gs=")</f>
        <v>#REF!</v>
      </c>
      <c r="M118" t="e">
        <f>AND(#REF!,"AAAAAHTr7gw=")</f>
        <v>#REF!</v>
      </c>
      <c r="N118" t="e">
        <f>AND(#REF!,"AAAAAHTr7g0=")</f>
        <v>#REF!</v>
      </c>
      <c r="O118" t="e">
        <f>AND(#REF!,"AAAAAHTr7g4=")</f>
        <v>#REF!</v>
      </c>
      <c r="P118" t="e">
        <f>AND(#REF!,"AAAAAHTr7g8=")</f>
        <v>#REF!</v>
      </c>
      <c r="Q118" t="e">
        <f>AND(#REF!,"AAAAAHTr7hA=")</f>
        <v>#REF!</v>
      </c>
      <c r="R118" t="e">
        <f>IF(#REF!,"AAAAAHTr7hE=",0)</f>
        <v>#REF!</v>
      </c>
      <c r="S118" t="e">
        <f>AND(#REF!,"AAAAAHTr7hI=")</f>
        <v>#REF!</v>
      </c>
      <c r="T118" t="e">
        <f>AND(#REF!,"AAAAAHTr7hM=")</f>
        <v>#REF!</v>
      </c>
      <c r="U118" t="e">
        <f>AND(#REF!,"AAAAAHTr7hQ=")</f>
        <v>#REF!</v>
      </c>
      <c r="V118" t="e">
        <f>AND(#REF!,"AAAAAHTr7hU=")</f>
        <v>#REF!</v>
      </c>
      <c r="W118" t="e">
        <f>AND(#REF!,"AAAAAHTr7hY=")</f>
        <v>#REF!</v>
      </c>
      <c r="X118" t="e">
        <f>AND(#REF!,"AAAAAHTr7hc=")</f>
        <v>#REF!</v>
      </c>
      <c r="Y118" t="e">
        <f>AND(#REF!,"AAAAAHTr7hg=")</f>
        <v>#REF!</v>
      </c>
      <c r="Z118" t="e">
        <f>AND(#REF!,"AAAAAHTr7hk=")</f>
        <v>#REF!</v>
      </c>
      <c r="AA118" t="e">
        <f>AND(#REF!,"AAAAAHTr7ho=")</f>
        <v>#REF!</v>
      </c>
      <c r="AB118" t="e">
        <f>AND(#REF!,"AAAAAHTr7hs=")</f>
        <v>#REF!</v>
      </c>
      <c r="AC118" t="e">
        <f>IF(#REF!,"AAAAAHTr7hw=",0)</f>
        <v>#REF!</v>
      </c>
      <c r="AD118" t="e">
        <f>AND(#REF!,"AAAAAHTr7h0=")</f>
        <v>#REF!</v>
      </c>
      <c r="AE118" t="e">
        <f>AND(#REF!,"AAAAAHTr7h4=")</f>
        <v>#REF!</v>
      </c>
      <c r="AF118" t="e">
        <f>AND(#REF!,"AAAAAHTr7h8=")</f>
        <v>#REF!</v>
      </c>
      <c r="AG118" t="e">
        <f>AND(#REF!,"AAAAAHTr7iA=")</f>
        <v>#REF!</v>
      </c>
      <c r="AH118" t="e">
        <f>AND(#REF!,"AAAAAHTr7iE=")</f>
        <v>#REF!</v>
      </c>
      <c r="AI118" t="e">
        <f>AND(#REF!,"AAAAAHTr7iI=")</f>
        <v>#REF!</v>
      </c>
      <c r="AJ118" t="e">
        <f>AND(#REF!,"AAAAAHTr7iM=")</f>
        <v>#REF!</v>
      </c>
      <c r="AK118" t="e">
        <f>AND(#REF!,"AAAAAHTr7iQ=")</f>
        <v>#REF!</v>
      </c>
      <c r="AL118" t="e">
        <f>AND(#REF!,"AAAAAHTr7iU=")</f>
        <v>#REF!</v>
      </c>
      <c r="AM118" t="e">
        <f>AND(#REF!,"AAAAAHTr7iY=")</f>
        <v>#REF!</v>
      </c>
      <c r="AN118" t="e">
        <f>IF(#REF!,"AAAAAHTr7ic=",0)</f>
        <v>#REF!</v>
      </c>
      <c r="AO118" t="e">
        <f>AND(#REF!,"AAAAAHTr7ig=")</f>
        <v>#REF!</v>
      </c>
      <c r="AP118" t="e">
        <f>AND(#REF!,"AAAAAHTr7ik=")</f>
        <v>#REF!</v>
      </c>
      <c r="AQ118" t="e">
        <f>AND(#REF!,"AAAAAHTr7io=")</f>
        <v>#REF!</v>
      </c>
      <c r="AR118" t="e">
        <f>AND(#REF!,"AAAAAHTr7is=")</f>
        <v>#REF!</v>
      </c>
      <c r="AS118" t="e">
        <f>AND(#REF!,"AAAAAHTr7iw=")</f>
        <v>#REF!</v>
      </c>
      <c r="AT118" t="e">
        <f>AND(#REF!,"AAAAAHTr7i0=")</f>
        <v>#REF!</v>
      </c>
      <c r="AU118" t="e">
        <f>AND(#REF!,"AAAAAHTr7i4=")</f>
        <v>#REF!</v>
      </c>
      <c r="AV118" t="e">
        <f>AND(#REF!,"AAAAAHTr7i8=")</f>
        <v>#REF!</v>
      </c>
      <c r="AW118" t="e">
        <f>AND(#REF!,"AAAAAHTr7jA=")</f>
        <v>#REF!</v>
      </c>
      <c r="AX118" t="e">
        <f>AND(#REF!,"AAAAAHTr7jE=")</f>
        <v>#REF!</v>
      </c>
      <c r="AY118" t="e">
        <f>IF(#REF!,"AAAAAHTr7jI=",0)</f>
        <v>#REF!</v>
      </c>
      <c r="AZ118" t="e">
        <f>AND(#REF!,"AAAAAHTr7jM=")</f>
        <v>#REF!</v>
      </c>
      <c r="BA118" t="e">
        <f>AND(#REF!,"AAAAAHTr7jQ=")</f>
        <v>#REF!</v>
      </c>
      <c r="BB118" t="e">
        <f>AND(#REF!,"AAAAAHTr7jU=")</f>
        <v>#REF!</v>
      </c>
      <c r="BC118" t="e">
        <f>AND(#REF!,"AAAAAHTr7jY=")</f>
        <v>#REF!</v>
      </c>
      <c r="BD118" t="e">
        <f>AND(#REF!,"AAAAAHTr7jc=")</f>
        <v>#REF!</v>
      </c>
      <c r="BE118" t="e">
        <f>AND(#REF!,"AAAAAHTr7jg=")</f>
        <v>#REF!</v>
      </c>
      <c r="BF118" t="e">
        <f>AND(#REF!,"AAAAAHTr7jk=")</f>
        <v>#REF!</v>
      </c>
      <c r="BG118" t="e">
        <f>AND(#REF!,"AAAAAHTr7jo=")</f>
        <v>#REF!</v>
      </c>
      <c r="BH118" t="e">
        <f>AND(#REF!,"AAAAAHTr7js=")</f>
        <v>#REF!</v>
      </c>
      <c r="BI118" t="e">
        <f>AND(#REF!,"AAAAAHTr7jw=")</f>
        <v>#REF!</v>
      </c>
      <c r="BJ118" t="e">
        <f>IF(#REF!,"AAAAAHTr7j0=",0)</f>
        <v>#REF!</v>
      </c>
      <c r="BK118" t="e">
        <f>AND(#REF!,"AAAAAHTr7j4=")</f>
        <v>#REF!</v>
      </c>
      <c r="BL118" t="e">
        <f>AND(#REF!,"AAAAAHTr7j8=")</f>
        <v>#REF!</v>
      </c>
      <c r="BM118" t="e">
        <f>AND(#REF!,"AAAAAHTr7kA=")</f>
        <v>#REF!</v>
      </c>
      <c r="BN118" t="e">
        <f>AND(#REF!,"AAAAAHTr7kE=")</f>
        <v>#REF!</v>
      </c>
      <c r="BO118" t="e">
        <f>AND(#REF!,"AAAAAHTr7kI=")</f>
        <v>#REF!</v>
      </c>
      <c r="BP118" t="e">
        <f>AND(#REF!,"AAAAAHTr7kM=")</f>
        <v>#REF!</v>
      </c>
      <c r="BQ118" t="e">
        <f>AND(#REF!,"AAAAAHTr7kQ=")</f>
        <v>#REF!</v>
      </c>
      <c r="BR118" t="e">
        <f>AND(#REF!,"AAAAAHTr7kU=")</f>
        <v>#REF!</v>
      </c>
      <c r="BS118" t="e">
        <f>AND(#REF!,"AAAAAHTr7kY=")</f>
        <v>#REF!</v>
      </c>
      <c r="BT118" t="e">
        <f>AND(#REF!,"AAAAAHTr7kc=")</f>
        <v>#REF!</v>
      </c>
      <c r="BU118" t="e">
        <f>IF(#REF!,"AAAAAHTr7kg=",0)</f>
        <v>#REF!</v>
      </c>
      <c r="BV118" t="e">
        <f>AND(#REF!,"AAAAAHTr7kk=")</f>
        <v>#REF!</v>
      </c>
      <c r="BW118" t="e">
        <f>AND(#REF!,"AAAAAHTr7ko=")</f>
        <v>#REF!</v>
      </c>
      <c r="BX118" t="e">
        <f>AND(#REF!,"AAAAAHTr7ks=")</f>
        <v>#REF!</v>
      </c>
      <c r="BY118" t="e">
        <f>AND(#REF!,"AAAAAHTr7kw=")</f>
        <v>#REF!</v>
      </c>
      <c r="BZ118" t="e">
        <f>AND(#REF!,"AAAAAHTr7k0=")</f>
        <v>#REF!</v>
      </c>
      <c r="CA118" t="e">
        <f>AND(#REF!,"AAAAAHTr7k4=")</f>
        <v>#REF!</v>
      </c>
      <c r="CB118" t="e">
        <f>AND(#REF!,"AAAAAHTr7k8=")</f>
        <v>#REF!</v>
      </c>
      <c r="CC118" t="e">
        <f>AND(#REF!,"AAAAAHTr7lA=")</f>
        <v>#REF!</v>
      </c>
      <c r="CD118" t="e">
        <f>AND(#REF!,"AAAAAHTr7lE=")</f>
        <v>#REF!</v>
      </c>
      <c r="CE118" t="e">
        <f>AND(#REF!,"AAAAAHTr7lI=")</f>
        <v>#REF!</v>
      </c>
      <c r="CF118" t="e">
        <f>IF(#REF!,"AAAAAHTr7lM=",0)</f>
        <v>#REF!</v>
      </c>
      <c r="CG118" t="e">
        <f>AND(#REF!,"AAAAAHTr7lQ=")</f>
        <v>#REF!</v>
      </c>
      <c r="CH118" t="e">
        <f>AND(#REF!,"AAAAAHTr7lU=")</f>
        <v>#REF!</v>
      </c>
      <c r="CI118" t="e">
        <f>AND(#REF!,"AAAAAHTr7lY=")</f>
        <v>#REF!</v>
      </c>
      <c r="CJ118" t="e">
        <f>AND(#REF!,"AAAAAHTr7lc=")</f>
        <v>#REF!</v>
      </c>
      <c r="CK118" t="e">
        <f>AND(#REF!,"AAAAAHTr7lg=")</f>
        <v>#REF!</v>
      </c>
      <c r="CL118" t="e">
        <f>AND(#REF!,"AAAAAHTr7lk=")</f>
        <v>#REF!</v>
      </c>
      <c r="CM118" t="e">
        <f>AND(#REF!,"AAAAAHTr7lo=")</f>
        <v>#REF!</v>
      </c>
      <c r="CN118" t="e">
        <f>AND(#REF!,"AAAAAHTr7ls=")</f>
        <v>#REF!</v>
      </c>
      <c r="CO118" t="e">
        <f>AND(#REF!,"AAAAAHTr7lw=")</f>
        <v>#REF!</v>
      </c>
      <c r="CP118" t="e">
        <f>AND(#REF!,"AAAAAHTr7l0=")</f>
        <v>#REF!</v>
      </c>
      <c r="CQ118" t="e">
        <f>IF(#REF!,"AAAAAHTr7l4=",0)</f>
        <v>#REF!</v>
      </c>
      <c r="CR118" t="e">
        <f>AND(#REF!,"AAAAAHTr7l8=")</f>
        <v>#REF!</v>
      </c>
      <c r="CS118" t="e">
        <f>AND(#REF!,"AAAAAHTr7mA=")</f>
        <v>#REF!</v>
      </c>
      <c r="CT118" t="e">
        <f>AND(#REF!,"AAAAAHTr7mE=")</f>
        <v>#REF!</v>
      </c>
      <c r="CU118" t="e">
        <f>AND(#REF!,"AAAAAHTr7mI=")</f>
        <v>#REF!</v>
      </c>
      <c r="CV118" t="e">
        <f>AND(#REF!,"AAAAAHTr7mM=")</f>
        <v>#REF!</v>
      </c>
      <c r="CW118" t="e">
        <f>AND(#REF!,"AAAAAHTr7mQ=")</f>
        <v>#REF!</v>
      </c>
      <c r="CX118" t="e">
        <f>AND(#REF!,"AAAAAHTr7mU=")</f>
        <v>#REF!</v>
      </c>
      <c r="CY118" t="e">
        <f>AND(#REF!,"AAAAAHTr7mY=")</f>
        <v>#REF!</v>
      </c>
      <c r="CZ118" t="e">
        <f>AND(#REF!,"AAAAAHTr7mc=")</f>
        <v>#REF!</v>
      </c>
      <c r="DA118" t="e">
        <f>AND(#REF!,"AAAAAHTr7mg=")</f>
        <v>#REF!</v>
      </c>
      <c r="DB118" t="e">
        <f>IF(#REF!,"AAAAAHTr7mk=",0)</f>
        <v>#REF!</v>
      </c>
      <c r="DC118" t="e">
        <f>AND(#REF!,"AAAAAHTr7mo=")</f>
        <v>#REF!</v>
      </c>
      <c r="DD118" t="e">
        <f>AND(#REF!,"AAAAAHTr7ms=")</f>
        <v>#REF!</v>
      </c>
      <c r="DE118" t="e">
        <f>AND(#REF!,"AAAAAHTr7mw=")</f>
        <v>#REF!</v>
      </c>
      <c r="DF118" t="e">
        <f>AND(#REF!,"AAAAAHTr7m0=")</f>
        <v>#REF!</v>
      </c>
      <c r="DG118" t="e">
        <f>AND(#REF!,"AAAAAHTr7m4=")</f>
        <v>#REF!</v>
      </c>
      <c r="DH118" t="e">
        <f>AND(#REF!,"AAAAAHTr7m8=")</f>
        <v>#REF!</v>
      </c>
      <c r="DI118" t="e">
        <f>AND(#REF!,"AAAAAHTr7nA=")</f>
        <v>#REF!</v>
      </c>
      <c r="DJ118" t="e">
        <f>AND(#REF!,"AAAAAHTr7nE=")</f>
        <v>#REF!</v>
      </c>
      <c r="DK118" t="e">
        <f>AND(#REF!,"AAAAAHTr7nI=")</f>
        <v>#REF!</v>
      </c>
      <c r="DL118" t="e">
        <f>AND(#REF!,"AAAAAHTr7nM=")</f>
        <v>#REF!</v>
      </c>
      <c r="DM118" t="e">
        <f>IF(#REF!,"AAAAAHTr7nQ=",0)</f>
        <v>#REF!</v>
      </c>
      <c r="DN118" t="e">
        <f>AND(#REF!,"AAAAAHTr7nU=")</f>
        <v>#REF!</v>
      </c>
      <c r="DO118" t="e">
        <f>AND(#REF!,"AAAAAHTr7nY=")</f>
        <v>#REF!</v>
      </c>
      <c r="DP118" t="e">
        <f>AND(#REF!,"AAAAAHTr7nc=")</f>
        <v>#REF!</v>
      </c>
      <c r="DQ118" t="e">
        <f>AND(#REF!,"AAAAAHTr7ng=")</f>
        <v>#REF!</v>
      </c>
      <c r="DR118" t="e">
        <f>AND(#REF!,"AAAAAHTr7nk=")</f>
        <v>#REF!</v>
      </c>
      <c r="DS118" t="e">
        <f>AND(#REF!,"AAAAAHTr7no=")</f>
        <v>#REF!</v>
      </c>
      <c r="DT118" t="e">
        <f>AND(#REF!,"AAAAAHTr7ns=")</f>
        <v>#REF!</v>
      </c>
      <c r="DU118" t="e">
        <f>AND(#REF!,"AAAAAHTr7nw=")</f>
        <v>#REF!</v>
      </c>
      <c r="DV118" t="e">
        <f>AND(#REF!,"AAAAAHTr7n0=")</f>
        <v>#REF!</v>
      </c>
      <c r="DW118" t="e">
        <f>AND(#REF!,"AAAAAHTr7n4=")</f>
        <v>#REF!</v>
      </c>
      <c r="DX118" t="e">
        <f>IF(#REF!,"AAAAAHTr7n8=",0)</f>
        <v>#REF!</v>
      </c>
      <c r="DY118" t="e">
        <f>AND(#REF!,"AAAAAHTr7oA=")</f>
        <v>#REF!</v>
      </c>
      <c r="DZ118" t="e">
        <f>AND(#REF!,"AAAAAHTr7oE=")</f>
        <v>#REF!</v>
      </c>
      <c r="EA118" t="e">
        <f>AND(#REF!,"AAAAAHTr7oI=")</f>
        <v>#REF!</v>
      </c>
      <c r="EB118" t="e">
        <f>AND(#REF!,"AAAAAHTr7oM=")</f>
        <v>#REF!</v>
      </c>
      <c r="EC118" t="e">
        <f>AND(#REF!,"AAAAAHTr7oQ=")</f>
        <v>#REF!</v>
      </c>
      <c r="ED118" t="e">
        <f>AND(#REF!,"AAAAAHTr7oU=")</f>
        <v>#REF!</v>
      </c>
      <c r="EE118" t="e">
        <f>AND(#REF!,"AAAAAHTr7oY=")</f>
        <v>#REF!</v>
      </c>
      <c r="EF118" t="e">
        <f>AND(#REF!,"AAAAAHTr7oc=")</f>
        <v>#REF!</v>
      </c>
      <c r="EG118" t="e">
        <f>AND(#REF!,"AAAAAHTr7og=")</f>
        <v>#REF!</v>
      </c>
      <c r="EH118" t="e">
        <f>AND(#REF!,"AAAAAHTr7ok=")</f>
        <v>#REF!</v>
      </c>
      <c r="EI118" t="e">
        <f>IF(#REF!,"AAAAAHTr7oo=",0)</f>
        <v>#REF!</v>
      </c>
      <c r="EJ118" t="e">
        <f>AND(#REF!,"AAAAAHTr7os=")</f>
        <v>#REF!</v>
      </c>
      <c r="EK118" t="e">
        <f>AND(#REF!,"AAAAAHTr7ow=")</f>
        <v>#REF!</v>
      </c>
      <c r="EL118" t="e">
        <f>AND(#REF!,"AAAAAHTr7o0=")</f>
        <v>#REF!</v>
      </c>
      <c r="EM118" t="e">
        <f>AND(#REF!,"AAAAAHTr7o4=")</f>
        <v>#REF!</v>
      </c>
      <c r="EN118" t="e">
        <f>AND(#REF!,"AAAAAHTr7o8=")</f>
        <v>#REF!</v>
      </c>
      <c r="EO118" t="e">
        <f>AND(#REF!,"AAAAAHTr7pA=")</f>
        <v>#REF!</v>
      </c>
      <c r="EP118" t="e">
        <f>AND(#REF!,"AAAAAHTr7pE=")</f>
        <v>#REF!</v>
      </c>
      <c r="EQ118" t="e">
        <f>AND(#REF!,"AAAAAHTr7pI=")</f>
        <v>#REF!</v>
      </c>
      <c r="ER118" t="e">
        <f>AND(#REF!,"AAAAAHTr7pM=")</f>
        <v>#REF!</v>
      </c>
      <c r="ES118" t="e">
        <f>AND(#REF!,"AAAAAHTr7pQ=")</f>
        <v>#REF!</v>
      </c>
      <c r="ET118" t="e">
        <f>IF(#REF!,"AAAAAHTr7pU=",0)</f>
        <v>#REF!</v>
      </c>
      <c r="EU118" t="e">
        <f>AND(#REF!,"AAAAAHTr7pY=")</f>
        <v>#REF!</v>
      </c>
      <c r="EV118" t="e">
        <f>AND(#REF!,"AAAAAHTr7pc=")</f>
        <v>#REF!</v>
      </c>
      <c r="EW118" t="e">
        <f>AND(#REF!,"AAAAAHTr7pg=")</f>
        <v>#REF!</v>
      </c>
      <c r="EX118" t="e">
        <f>AND(#REF!,"AAAAAHTr7pk=")</f>
        <v>#REF!</v>
      </c>
      <c r="EY118" t="e">
        <f>AND(#REF!,"AAAAAHTr7po=")</f>
        <v>#REF!</v>
      </c>
      <c r="EZ118" t="e">
        <f>AND(#REF!,"AAAAAHTr7ps=")</f>
        <v>#REF!</v>
      </c>
      <c r="FA118" t="e">
        <f>AND(#REF!,"AAAAAHTr7pw=")</f>
        <v>#REF!</v>
      </c>
      <c r="FB118" t="e">
        <f>AND(#REF!,"AAAAAHTr7p0=")</f>
        <v>#REF!</v>
      </c>
      <c r="FC118" t="e">
        <f>AND(#REF!,"AAAAAHTr7p4=")</f>
        <v>#REF!</v>
      </c>
      <c r="FD118" t="e">
        <f>AND(#REF!,"AAAAAHTr7p8=")</f>
        <v>#REF!</v>
      </c>
      <c r="FE118" t="e">
        <f>IF(#REF!,"AAAAAHTr7qA=",0)</f>
        <v>#REF!</v>
      </c>
      <c r="FF118" t="e">
        <f>AND(#REF!,"AAAAAHTr7qE=")</f>
        <v>#REF!</v>
      </c>
      <c r="FG118" t="e">
        <f>AND(#REF!,"AAAAAHTr7qI=")</f>
        <v>#REF!</v>
      </c>
      <c r="FH118" t="e">
        <f>AND(#REF!,"AAAAAHTr7qM=")</f>
        <v>#REF!</v>
      </c>
      <c r="FI118" t="e">
        <f>AND(#REF!,"AAAAAHTr7qQ=")</f>
        <v>#REF!</v>
      </c>
      <c r="FJ118" t="e">
        <f>AND(#REF!,"AAAAAHTr7qU=")</f>
        <v>#REF!</v>
      </c>
      <c r="FK118" t="e">
        <f>AND(#REF!,"AAAAAHTr7qY=")</f>
        <v>#REF!</v>
      </c>
      <c r="FL118" t="e">
        <f>AND(#REF!,"AAAAAHTr7qc=")</f>
        <v>#REF!</v>
      </c>
      <c r="FM118" t="e">
        <f>AND(#REF!,"AAAAAHTr7qg=")</f>
        <v>#REF!</v>
      </c>
      <c r="FN118" t="e">
        <f>AND(#REF!,"AAAAAHTr7qk=")</f>
        <v>#REF!</v>
      </c>
      <c r="FO118" t="e">
        <f>AND(#REF!,"AAAAAHTr7qo=")</f>
        <v>#REF!</v>
      </c>
      <c r="FP118" t="e">
        <f>IF(#REF!,"AAAAAHTr7qs=",0)</f>
        <v>#REF!</v>
      </c>
      <c r="FQ118" t="e">
        <f>AND(#REF!,"AAAAAHTr7qw=")</f>
        <v>#REF!</v>
      </c>
      <c r="FR118" t="e">
        <f>AND(#REF!,"AAAAAHTr7q0=")</f>
        <v>#REF!</v>
      </c>
      <c r="FS118" t="e">
        <f>AND(#REF!,"AAAAAHTr7q4=")</f>
        <v>#REF!</v>
      </c>
      <c r="FT118" t="e">
        <f>AND(#REF!,"AAAAAHTr7q8=")</f>
        <v>#REF!</v>
      </c>
      <c r="FU118" t="e">
        <f>AND(#REF!,"AAAAAHTr7rA=")</f>
        <v>#REF!</v>
      </c>
      <c r="FV118" t="e">
        <f>AND(#REF!,"AAAAAHTr7rE=")</f>
        <v>#REF!</v>
      </c>
      <c r="FW118" t="e">
        <f>AND(#REF!,"AAAAAHTr7rI=")</f>
        <v>#REF!</v>
      </c>
      <c r="FX118" t="e">
        <f>AND(#REF!,"AAAAAHTr7rM=")</f>
        <v>#REF!</v>
      </c>
      <c r="FY118" t="e">
        <f>AND(#REF!,"AAAAAHTr7rQ=")</f>
        <v>#REF!</v>
      </c>
      <c r="FZ118" t="e">
        <f>AND(#REF!,"AAAAAHTr7rU=")</f>
        <v>#REF!</v>
      </c>
      <c r="GA118" t="e">
        <f>IF(#REF!,"AAAAAHTr7rY=",0)</f>
        <v>#REF!</v>
      </c>
      <c r="GB118" t="e">
        <f>AND(#REF!,"AAAAAHTr7rc=")</f>
        <v>#REF!</v>
      </c>
      <c r="GC118" t="e">
        <f>AND(#REF!,"AAAAAHTr7rg=")</f>
        <v>#REF!</v>
      </c>
      <c r="GD118" t="e">
        <f>AND(#REF!,"AAAAAHTr7rk=")</f>
        <v>#REF!</v>
      </c>
      <c r="GE118" t="e">
        <f>AND(#REF!,"AAAAAHTr7ro=")</f>
        <v>#REF!</v>
      </c>
      <c r="GF118" t="e">
        <f>AND(#REF!,"AAAAAHTr7rs=")</f>
        <v>#REF!</v>
      </c>
      <c r="GG118" t="e">
        <f>AND(#REF!,"AAAAAHTr7rw=")</f>
        <v>#REF!</v>
      </c>
      <c r="GH118" t="e">
        <f>AND(#REF!,"AAAAAHTr7r0=")</f>
        <v>#REF!</v>
      </c>
      <c r="GI118" t="e">
        <f>AND(#REF!,"AAAAAHTr7r4=")</f>
        <v>#REF!</v>
      </c>
      <c r="GJ118" t="e">
        <f>AND(#REF!,"AAAAAHTr7r8=")</f>
        <v>#REF!</v>
      </c>
      <c r="GK118" t="e">
        <f>AND(#REF!,"AAAAAHTr7sA=")</f>
        <v>#REF!</v>
      </c>
      <c r="GL118" t="e">
        <f>IF(#REF!,"AAAAAHTr7sE=",0)</f>
        <v>#REF!</v>
      </c>
      <c r="GM118" t="e">
        <f>AND(#REF!,"AAAAAHTr7sI=")</f>
        <v>#REF!</v>
      </c>
      <c r="GN118" t="e">
        <f>AND(#REF!,"AAAAAHTr7sM=")</f>
        <v>#REF!</v>
      </c>
      <c r="GO118" t="e">
        <f>AND(#REF!,"AAAAAHTr7sQ=")</f>
        <v>#REF!</v>
      </c>
      <c r="GP118" t="e">
        <f>AND(#REF!,"AAAAAHTr7sU=")</f>
        <v>#REF!</v>
      </c>
      <c r="GQ118" t="e">
        <f>AND(#REF!,"AAAAAHTr7sY=")</f>
        <v>#REF!</v>
      </c>
      <c r="GR118" t="e">
        <f>AND(#REF!,"AAAAAHTr7sc=")</f>
        <v>#REF!</v>
      </c>
      <c r="GS118" t="e">
        <f>AND(#REF!,"AAAAAHTr7sg=")</f>
        <v>#REF!</v>
      </c>
      <c r="GT118" t="e">
        <f>AND(#REF!,"AAAAAHTr7sk=")</f>
        <v>#REF!</v>
      </c>
      <c r="GU118" t="e">
        <f>AND(#REF!,"AAAAAHTr7so=")</f>
        <v>#REF!</v>
      </c>
      <c r="GV118" t="e">
        <f>AND(#REF!,"AAAAAHTr7ss=")</f>
        <v>#REF!</v>
      </c>
      <c r="GW118" t="e">
        <f>IF(#REF!,"AAAAAHTr7sw=",0)</f>
        <v>#REF!</v>
      </c>
      <c r="GX118" t="e">
        <f>AND(#REF!,"AAAAAHTr7s0=")</f>
        <v>#REF!</v>
      </c>
      <c r="GY118" t="e">
        <f>AND(#REF!,"AAAAAHTr7s4=")</f>
        <v>#REF!</v>
      </c>
      <c r="GZ118" t="e">
        <f>AND(#REF!,"AAAAAHTr7s8=")</f>
        <v>#REF!</v>
      </c>
      <c r="HA118" t="e">
        <f>AND(#REF!,"AAAAAHTr7tA=")</f>
        <v>#REF!</v>
      </c>
      <c r="HB118" t="e">
        <f>AND(#REF!,"AAAAAHTr7tE=")</f>
        <v>#REF!</v>
      </c>
      <c r="HC118" t="e">
        <f>AND(#REF!,"AAAAAHTr7tI=")</f>
        <v>#REF!</v>
      </c>
      <c r="HD118" t="e">
        <f>AND(#REF!,"AAAAAHTr7tM=")</f>
        <v>#REF!</v>
      </c>
      <c r="HE118" t="e">
        <f>AND(#REF!,"AAAAAHTr7tQ=")</f>
        <v>#REF!</v>
      </c>
      <c r="HF118" t="e">
        <f>AND(#REF!,"AAAAAHTr7tU=")</f>
        <v>#REF!</v>
      </c>
      <c r="HG118" t="e">
        <f>AND(#REF!,"AAAAAHTr7tY=")</f>
        <v>#REF!</v>
      </c>
      <c r="HH118" t="e">
        <f>IF(#REF!,"AAAAAHTr7tc=",0)</f>
        <v>#REF!</v>
      </c>
      <c r="HI118" t="e">
        <f>AND(#REF!,"AAAAAHTr7tg=")</f>
        <v>#REF!</v>
      </c>
      <c r="HJ118" t="e">
        <f>AND(#REF!,"AAAAAHTr7tk=")</f>
        <v>#REF!</v>
      </c>
      <c r="HK118" t="e">
        <f>AND(#REF!,"AAAAAHTr7to=")</f>
        <v>#REF!</v>
      </c>
      <c r="HL118" t="e">
        <f>AND(#REF!,"AAAAAHTr7ts=")</f>
        <v>#REF!</v>
      </c>
      <c r="HM118" t="e">
        <f>AND(#REF!,"AAAAAHTr7tw=")</f>
        <v>#REF!</v>
      </c>
      <c r="HN118" t="e">
        <f>AND(#REF!,"AAAAAHTr7t0=")</f>
        <v>#REF!</v>
      </c>
      <c r="HO118" t="e">
        <f>AND(#REF!,"AAAAAHTr7t4=")</f>
        <v>#REF!</v>
      </c>
      <c r="HP118" t="e">
        <f>AND(#REF!,"AAAAAHTr7t8=")</f>
        <v>#REF!</v>
      </c>
      <c r="HQ118" t="e">
        <f>AND(#REF!,"AAAAAHTr7uA=")</f>
        <v>#REF!</v>
      </c>
      <c r="HR118" t="e">
        <f>AND(#REF!,"AAAAAHTr7uE=")</f>
        <v>#REF!</v>
      </c>
      <c r="HS118" t="e">
        <f>IF(#REF!,"AAAAAHTr7uI=",0)</f>
        <v>#REF!</v>
      </c>
      <c r="HT118" t="e">
        <f>AND(#REF!,"AAAAAHTr7uM=")</f>
        <v>#REF!</v>
      </c>
      <c r="HU118" t="e">
        <f>AND(#REF!,"AAAAAHTr7uQ=")</f>
        <v>#REF!</v>
      </c>
      <c r="HV118" t="e">
        <f>AND(#REF!,"AAAAAHTr7uU=")</f>
        <v>#REF!</v>
      </c>
      <c r="HW118" t="e">
        <f>AND(#REF!,"AAAAAHTr7uY=")</f>
        <v>#REF!</v>
      </c>
      <c r="HX118" t="e">
        <f>AND(#REF!,"AAAAAHTr7uc=")</f>
        <v>#REF!</v>
      </c>
      <c r="HY118" t="e">
        <f>AND(#REF!,"AAAAAHTr7ug=")</f>
        <v>#REF!</v>
      </c>
      <c r="HZ118" t="e">
        <f>AND(#REF!,"AAAAAHTr7uk=")</f>
        <v>#REF!</v>
      </c>
      <c r="IA118" t="e">
        <f>AND(#REF!,"AAAAAHTr7uo=")</f>
        <v>#REF!</v>
      </c>
      <c r="IB118" t="e">
        <f>AND(#REF!,"AAAAAHTr7us=")</f>
        <v>#REF!</v>
      </c>
      <c r="IC118" t="e">
        <f>AND(#REF!,"AAAAAHTr7uw=")</f>
        <v>#REF!</v>
      </c>
      <c r="ID118" t="e">
        <f>IF(#REF!,"AAAAAHTr7u0=",0)</f>
        <v>#REF!</v>
      </c>
      <c r="IE118" t="e">
        <f>AND(#REF!,"AAAAAHTr7u4=")</f>
        <v>#REF!</v>
      </c>
      <c r="IF118" t="e">
        <f>AND(#REF!,"AAAAAHTr7u8=")</f>
        <v>#REF!</v>
      </c>
      <c r="IG118" t="e">
        <f>AND(#REF!,"AAAAAHTr7vA=")</f>
        <v>#REF!</v>
      </c>
      <c r="IH118" t="e">
        <f>AND(#REF!,"AAAAAHTr7vE=")</f>
        <v>#REF!</v>
      </c>
      <c r="II118" t="e">
        <f>AND(#REF!,"AAAAAHTr7vI=")</f>
        <v>#REF!</v>
      </c>
      <c r="IJ118" t="e">
        <f>AND(#REF!,"AAAAAHTr7vM=")</f>
        <v>#REF!</v>
      </c>
      <c r="IK118" t="e">
        <f>AND(#REF!,"AAAAAHTr7vQ=")</f>
        <v>#REF!</v>
      </c>
      <c r="IL118" t="e">
        <f>AND(#REF!,"AAAAAHTr7vU=")</f>
        <v>#REF!</v>
      </c>
      <c r="IM118" t="e">
        <f>AND(#REF!,"AAAAAHTr7vY=")</f>
        <v>#REF!</v>
      </c>
      <c r="IN118" t="e">
        <f>AND(#REF!,"AAAAAHTr7vc=")</f>
        <v>#REF!</v>
      </c>
      <c r="IO118" t="e">
        <f>IF(#REF!,"AAAAAHTr7vg=",0)</f>
        <v>#REF!</v>
      </c>
      <c r="IP118" t="e">
        <f>AND(#REF!,"AAAAAHTr7vk=")</f>
        <v>#REF!</v>
      </c>
      <c r="IQ118" t="e">
        <f>AND(#REF!,"AAAAAHTr7vo=")</f>
        <v>#REF!</v>
      </c>
      <c r="IR118" t="e">
        <f>AND(#REF!,"AAAAAHTr7vs=")</f>
        <v>#REF!</v>
      </c>
      <c r="IS118" t="e">
        <f>AND(#REF!,"AAAAAHTr7vw=")</f>
        <v>#REF!</v>
      </c>
      <c r="IT118" t="e">
        <f>AND(#REF!,"AAAAAHTr7v0=")</f>
        <v>#REF!</v>
      </c>
      <c r="IU118" t="e">
        <f>AND(#REF!,"AAAAAHTr7v4=")</f>
        <v>#REF!</v>
      </c>
      <c r="IV118" t="e">
        <f>AND(#REF!,"AAAAAHTr7v8=")</f>
        <v>#REF!</v>
      </c>
    </row>
    <row r="119" spans="1:256" x14ac:dyDescent="0.25">
      <c r="A119" t="e">
        <f>AND(#REF!,"AAAAADN/fgA=")</f>
        <v>#REF!</v>
      </c>
      <c r="B119" t="e">
        <f>AND(#REF!,"AAAAADN/fgE=")</f>
        <v>#REF!</v>
      </c>
      <c r="C119" t="e">
        <f>AND(#REF!,"AAAAADN/fgI=")</f>
        <v>#REF!</v>
      </c>
      <c r="D119" t="e">
        <f>IF(#REF!,"AAAAADN/fgM=",0)</f>
        <v>#REF!</v>
      </c>
      <c r="E119" t="e">
        <f>AND(#REF!,"AAAAADN/fgQ=")</f>
        <v>#REF!</v>
      </c>
      <c r="F119" t="e">
        <f>AND(#REF!,"AAAAADN/fgU=")</f>
        <v>#REF!</v>
      </c>
      <c r="G119" t="e">
        <f>AND(#REF!,"AAAAADN/fgY=")</f>
        <v>#REF!</v>
      </c>
      <c r="H119" t="e">
        <f>AND(#REF!,"AAAAADN/fgc=")</f>
        <v>#REF!</v>
      </c>
      <c r="I119" t="e">
        <f>AND(#REF!,"AAAAADN/fgg=")</f>
        <v>#REF!</v>
      </c>
      <c r="J119" t="e">
        <f>AND(#REF!,"AAAAADN/fgk=")</f>
        <v>#REF!</v>
      </c>
      <c r="K119" t="e">
        <f>AND(#REF!,"AAAAADN/fgo=")</f>
        <v>#REF!</v>
      </c>
      <c r="L119" t="e">
        <f>AND(#REF!,"AAAAADN/fgs=")</f>
        <v>#REF!</v>
      </c>
      <c r="M119" t="e">
        <f>AND(#REF!,"AAAAADN/fgw=")</f>
        <v>#REF!</v>
      </c>
      <c r="N119" t="e">
        <f>AND(#REF!,"AAAAADN/fg0=")</f>
        <v>#REF!</v>
      </c>
      <c r="O119" t="e">
        <f>IF(#REF!,"AAAAADN/fg4=",0)</f>
        <v>#REF!</v>
      </c>
      <c r="P119" t="e">
        <f>AND(#REF!,"AAAAADN/fg8=")</f>
        <v>#REF!</v>
      </c>
      <c r="Q119" t="e">
        <f>AND(#REF!,"AAAAADN/fhA=")</f>
        <v>#REF!</v>
      </c>
      <c r="R119" t="e">
        <f>AND(#REF!,"AAAAADN/fhE=")</f>
        <v>#REF!</v>
      </c>
      <c r="S119" t="e">
        <f>AND(#REF!,"AAAAADN/fhI=")</f>
        <v>#REF!</v>
      </c>
      <c r="T119" t="e">
        <f>AND(#REF!,"AAAAADN/fhM=")</f>
        <v>#REF!</v>
      </c>
      <c r="U119" t="e">
        <f>AND(#REF!,"AAAAADN/fhQ=")</f>
        <v>#REF!</v>
      </c>
      <c r="V119" t="e">
        <f>AND(#REF!,"AAAAADN/fhU=")</f>
        <v>#REF!</v>
      </c>
      <c r="W119" t="e">
        <f>AND(#REF!,"AAAAADN/fhY=")</f>
        <v>#REF!</v>
      </c>
      <c r="X119" t="e">
        <f>AND(#REF!,"AAAAADN/fhc=")</f>
        <v>#REF!</v>
      </c>
      <c r="Y119" t="e">
        <f>AND(#REF!,"AAAAADN/fhg=")</f>
        <v>#REF!</v>
      </c>
      <c r="Z119" t="e">
        <f>IF(#REF!,"AAAAADN/fhk=",0)</f>
        <v>#REF!</v>
      </c>
      <c r="AA119" t="e">
        <f>AND(#REF!,"AAAAADN/fho=")</f>
        <v>#REF!</v>
      </c>
      <c r="AB119" t="e">
        <f>AND(#REF!,"AAAAADN/fhs=")</f>
        <v>#REF!</v>
      </c>
      <c r="AC119" t="e">
        <f>AND(#REF!,"AAAAADN/fhw=")</f>
        <v>#REF!</v>
      </c>
      <c r="AD119" t="e">
        <f>AND(#REF!,"AAAAADN/fh0=")</f>
        <v>#REF!</v>
      </c>
      <c r="AE119" t="e">
        <f>AND(#REF!,"AAAAADN/fh4=")</f>
        <v>#REF!</v>
      </c>
      <c r="AF119" t="e">
        <f>AND(#REF!,"AAAAADN/fh8=")</f>
        <v>#REF!</v>
      </c>
      <c r="AG119" t="e">
        <f>AND(#REF!,"AAAAADN/fiA=")</f>
        <v>#REF!</v>
      </c>
      <c r="AH119" t="e">
        <f>AND(#REF!,"AAAAADN/fiE=")</f>
        <v>#REF!</v>
      </c>
      <c r="AI119" t="e">
        <f>AND(#REF!,"AAAAADN/fiI=")</f>
        <v>#REF!</v>
      </c>
      <c r="AJ119" t="e">
        <f>AND(#REF!,"AAAAADN/fiM=")</f>
        <v>#REF!</v>
      </c>
      <c r="AK119" t="e">
        <f>IF(#REF!,"AAAAADN/fiQ=",0)</f>
        <v>#REF!</v>
      </c>
      <c r="AL119" t="e">
        <f>AND(#REF!,"AAAAADN/fiU=")</f>
        <v>#REF!</v>
      </c>
      <c r="AM119" t="e">
        <f>AND(#REF!,"AAAAADN/fiY=")</f>
        <v>#REF!</v>
      </c>
      <c r="AN119" t="e">
        <f>AND(#REF!,"AAAAADN/fic=")</f>
        <v>#REF!</v>
      </c>
      <c r="AO119" t="e">
        <f>AND(#REF!,"AAAAADN/fig=")</f>
        <v>#REF!</v>
      </c>
      <c r="AP119" t="e">
        <f>AND(#REF!,"AAAAADN/fik=")</f>
        <v>#REF!</v>
      </c>
      <c r="AQ119" t="e">
        <f>AND(#REF!,"AAAAADN/fio=")</f>
        <v>#REF!</v>
      </c>
      <c r="AR119" t="e">
        <f>AND(#REF!,"AAAAADN/fis=")</f>
        <v>#REF!</v>
      </c>
      <c r="AS119" t="e">
        <f>AND(#REF!,"AAAAADN/fiw=")</f>
        <v>#REF!</v>
      </c>
      <c r="AT119" t="e">
        <f>AND(#REF!,"AAAAADN/fi0=")</f>
        <v>#REF!</v>
      </c>
      <c r="AU119" t="e">
        <f>AND(#REF!,"AAAAADN/fi4=")</f>
        <v>#REF!</v>
      </c>
      <c r="AV119" t="e">
        <f>IF(#REF!,"AAAAADN/fi8=",0)</f>
        <v>#REF!</v>
      </c>
      <c r="AW119" t="e">
        <f>AND(#REF!,"AAAAADN/fjA=")</f>
        <v>#REF!</v>
      </c>
      <c r="AX119" t="e">
        <f>AND(#REF!,"AAAAADN/fjE=")</f>
        <v>#REF!</v>
      </c>
      <c r="AY119" t="e">
        <f>AND(#REF!,"AAAAADN/fjI=")</f>
        <v>#REF!</v>
      </c>
      <c r="AZ119" t="e">
        <f>AND(#REF!,"AAAAADN/fjM=")</f>
        <v>#REF!</v>
      </c>
      <c r="BA119" t="e">
        <f>AND(#REF!,"AAAAADN/fjQ=")</f>
        <v>#REF!</v>
      </c>
      <c r="BB119" t="e">
        <f>AND(#REF!,"AAAAADN/fjU=")</f>
        <v>#REF!</v>
      </c>
      <c r="BC119" t="e">
        <f>AND(#REF!,"AAAAADN/fjY=")</f>
        <v>#REF!</v>
      </c>
      <c r="BD119" t="e">
        <f>AND(#REF!,"AAAAADN/fjc=")</f>
        <v>#REF!</v>
      </c>
      <c r="BE119" t="e">
        <f>AND(#REF!,"AAAAADN/fjg=")</f>
        <v>#REF!</v>
      </c>
      <c r="BF119" t="e">
        <f>AND(#REF!,"AAAAADN/fjk=")</f>
        <v>#REF!</v>
      </c>
      <c r="BG119" t="e">
        <f>IF(#REF!,"AAAAADN/fjo=",0)</f>
        <v>#REF!</v>
      </c>
      <c r="BH119" t="e">
        <f>AND(#REF!,"AAAAADN/fjs=")</f>
        <v>#REF!</v>
      </c>
      <c r="BI119" t="e">
        <f>AND(#REF!,"AAAAADN/fjw=")</f>
        <v>#REF!</v>
      </c>
      <c r="BJ119" t="e">
        <f>AND(#REF!,"AAAAADN/fj0=")</f>
        <v>#REF!</v>
      </c>
      <c r="BK119" t="e">
        <f>AND(#REF!,"AAAAADN/fj4=")</f>
        <v>#REF!</v>
      </c>
      <c r="BL119" t="e">
        <f>AND(#REF!,"AAAAADN/fj8=")</f>
        <v>#REF!</v>
      </c>
      <c r="BM119" t="e">
        <f>AND(#REF!,"AAAAADN/fkA=")</f>
        <v>#REF!</v>
      </c>
      <c r="BN119" t="e">
        <f>AND(#REF!,"AAAAADN/fkE=")</f>
        <v>#REF!</v>
      </c>
      <c r="BO119" t="e">
        <f>AND(#REF!,"AAAAADN/fkI=")</f>
        <v>#REF!</v>
      </c>
      <c r="BP119" t="e">
        <f>AND(#REF!,"AAAAADN/fkM=")</f>
        <v>#REF!</v>
      </c>
      <c r="BQ119" t="e">
        <f>AND(#REF!,"AAAAADN/fkQ=")</f>
        <v>#REF!</v>
      </c>
      <c r="BR119" t="e">
        <f>IF(#REF!,"AAAAADN/fkU=",0)</f>
        <v>#REF!</v>
      </c>
      <c r="BS119" t="e">
        <f>AND(#REF!,"AAAAADN/fkY=")</f>
        <v>#REF!</v>
      </c>
      <c r="BT119" t="e">
        <f>AND(#REF!,"AAAAADN/fkc=")</f>
        <v>#REF!</v>
      </c>
      <c r="BU119" t="e">
        <f>AND(#REF!,"AAAAADN/fkg=")</f>
        <v>#REF!</v>
      </c>
      <c r="BV119" t="e">
        <f>AND(#REF!,"AAAAADN/fkk=")</f>
        <v>#REF!</v>
      </c>
      <c r="BW119" t="e">
        <f>AND(#REF!,"AAAAADN/fko=")</f>
        <v>#REF!</v>
      </c>
      <c r="BX119" t="e">
        <f>AND(#REF!,"AAAAADN/fks=")</f>
        <v>#REF!</v>
      </c>
      <c r="BY119" t="e">
        <f>AND(#REF!,"AAAAADN/fkw=")</f>
        <v>#REF!</v>
      </c>
      <c r="BZ119" t="e">
        <f>AND(#REF!,"AAAAADN/fk0=")</f>
        <v>#REF!</v>
      </c>
      <c r="CA119" t="e">
        <f>AND(#REF!,"AAAAADN/fk4=")</f>
        <v>#REF!</v>
      </c>
      <c r="CB119" t="e">
        <f>AND(#REF!,"AAAAADN/fk8=")</f>
        <v>#REF!</v>
      </c>
      <c r="CC119" t="e">
        <f>IF(#REF!,"AAAAADN/flA=",0)</f>
        <v>#REF!</v>
      </c>
      <c r="CD119" t="e">
        <f>AND(#REF!,"AAAAADN/flE=")</f>
        <v>#REF!</v>
      </c>
      <c r="CE119" t="e">
        <f>AND(#REF!,"AAAAADN/flI=")</f>
        <v>#REF!</v>
      </c>
      <c r="CF119" t="e">
        <f>AND(#REF!,"AAAAADN/flM=")</f>
        <v>#REF!</v>
      </c>
      <c r="CG119" t="e">
        <f>AND(#REF!,"AAAAADN/flQ=")</f>
        <v>#REF!</v>
      </c>
      <c r="CH119" t="e">
        <f>AND(#REF!,"AAAAADN/flU=")</f>
        <v>#REF!</v>
      </c>
      <c r="CI119" t="e">
        <f>AND(#REF!,"AAAAADN/flY=")</f>
        <v>#REF!</v>
      </c>
      <c r="CJ119" t="e">
        <f>AND(#REF!,"AAAAADN/flc=")</f>
        <v>#REF!</v>
      </c>
      <c r="CK119" t="e">
        <f>AND(#REF!,"AAAAADN/flg=")</f>
        <v>#REF!</v>
      </c>
      <c r="CL119" t="e">
        <f>AND(#REF!,"AAAAADN/flk=")</f>
        <v>#REF!</v>
      </c>
      <c r="CM119" t="e">
        <f>AND(#REF!,"AAAAADN/flo=")</f>
        <v>#REF!</v>
      </c>
      <c r="CN119" t="e">
        <f>IF(#REF!,"AAAAADN/fls=",0)</f>
        <v>#REF!</v>
      </c>
      <c r="CO119" t="e">
        <f>AND(#REF!,"AAAAADN/flw=")</f>
        <v>#REF!</v>
      </c>
      <c r="CP119" t="e">
        <f>AND(#REF!,"AAAAADN/fl0=")</f>
        <v>#REF!</v>
      </c>
      <c r="CQ119" t="e">
        <f>AND(#REF!,"AAAAADN/fl4=")</f>
        <v>#REF!</v>
      </c>
      <c r="CR119" t="e">
        <f>AND(#REF!,"AAAAADN/fl8=")</f>
        <v>#REF!</v>
      </c>
      <c r="CS119" t="e">
        <f>AND(#REF!,"AAAAADN/fmA=")</f>
        <v>#REF!</v>
      </c>
      <c r="CT119" t="e">
        <f>AND(#REF!,"AAAAADN/fmE=")</f>
        <v>#REF!</v>
      </c>
      <c r="CU119" t="e">
        <f>AND(#REF!,"AAAAADN/fmI=")</f>
        <v>#REF!</v>
      </c>
      <c r="CV119" t="e">
        <f>AND(#REF!,"AAAAADN/fmM=")</f>
        <v>#REF!</v>
      </c>
      <c r="CW119" t="e">
        <f>AND(#REF!,"AAAAADN/fmQ=")</f>
        <v>#REF!</v>
      </c>
      <c r="CX119" t="e">
        <f>AND(#REF!,"AAAAADN/fmU=")</f>
        <v>#REF!</v>
      </c>
      <c r="CY119" t="e">
        <f>IF(#REF!,"AAAAADN/fmY=",0)</f>
        <v>#REF!</v>
      </c>
      <c r="CZ119" t="e">
        <f>AND(#REF!,"AAAAADN/fmc=")</f>
        <v>#REF!</v>
      </c>
      <c r="DA119" t="e">
        <f>AND(#REF!,"AAAAADN/fmg=")</f>
        <v>#REF!</v>
      </c>
      <c r="DB119" t="e">
        <f>AND(#REF!,"AAAAADN/fmk=")</f>
        <v>#REF!</v>
      </c>
      <c r="DC119" t="e">
        <f>AND(#REF!,"AAAAADN/fmo=")</f>
        <v>#REF!</v>
      </c>
      <c r="DD119" t="e">
        <f>AND(#REF!,"AAAAADN/fms=")</f>
        <v>#REF!</v>
      </c>
      <c r="DE119" t="e">
        <f>AND(#REF!,"AAAAADN/fmw=")</f>
        <v>#REF!</v>
      </c>
      <c r="DF119" t="e">
        <f>AND(#REF!,"AAAAADN/fm0=")</f>
        <v>#REF!</v>
      </c>
      <c r="DG119" t="e">
        <f>AND(#REF!,"AAAAADN/fm4=")</f>
        <v>#REF!</v>
      </c>
      <c r="DH119" t="e">
        <f>AND(#REF!,"AAAAADN/fm8=")</f>
        <v>#REF!</v>
      </c>
      <c r="DI119" t="e">
        <f>AND(#REF!,"AAAAADN/fnA=")</f>
        <v>#REF!</v>
      </c>
      <c r="DJ119" t="e">
        <f>IF(#REF!,"AAAAADN/fnE=",0)</f>
        <v>#REF!</v>
      </c>
      <c r="DK119" t="e">
        <f>AND(#REF!,"AAAAADN/fnI=")</f>
        <v>#REF!</v>
      </c>
      <c r="DL119" t="e">
        <f>AND(#REF!,"AAAAADN/fnM=")</f>
        <v>#REF!</v>
      </c>
      <c r="DM119" t="e">
        <f>AND(#REF!,"AAAAADN/fnQ=")</f>
        <v>#REF!</v>
      </c>
      <c r="DN119" t="e">
        <f>AND(#REF!,"AAAAADN/fnU=")</f>
        <v>#REF!</v>
      </c>
      <c r="DO119" t="e">
        <f>AND(#REF!,"AAAAADN/fnY=")</f>
        <v>#REF!</v>
      </c>
      <c r="DP119" t="e">
        <f>AND(#REF!,"AAAAADN/fnc=")</f>
        <v>#REF!</v>
      </c>
      <c r="DQ119" t="e">
        <f>AND(#REF!,"AAAAADN/fng=")</f>
        <v>#REF!</v>
      </c>
      <c r="DR119" t="e">
        <f>AND(#REF!,"AAAAADN/fnk=")</f>
        <v>#REF!</v>
      </c>
      <c r="DS119" t="e">
        <f>AND(#REF!,"AAAAADN/fno=")</f>
        <v>#REF!</v>
      </c>
      <c r="DT119" t="e">
        <f>AND(#REF!,"AAAAADN/fns=")</f>
        <v>#REF!</v>
      </c>
      <c r="DU119" t="e">
        <f>IF(#REF!,"AAAAADN/fnw=",0)</f>
        <v>#REF!</v>
      </c>
      <c r="DV119" t="e">
        <f>AND(#REF!,"AAAAADN/fn0=")</f>
        <v>#REF!</v>
      </c>
      <c r="DW119" t="e">
        <f>AND(#REF!,"AAAAADN/fn4=")</f>
        <v>#REF!</v>
      </c>
      <c r="DX119" t="e">
        <f>AND(#REF!,"AAAAADN/fn8=")</f>
        <v>#REF!</v>
      </c>
      <c r="DY119" t="e">
        <f>AND(#REF!,"AAAAADN/foA=")</f>
        <v>#REF!</v>
      </c>
      <c r="DZ119" t="e">
        <f>AND(#REF!,"AAAAADN/foE=")</f>
        <v>#REF!</v>
      </c>
      <c r="EA119" t="e">
        <f>AND(#REF!,"AAAAADN/foI=")</f>
        <v>#REF!</v>
      </c>
      <c r="EB119" t="e">
        <f>AND(#REF!,"AAAAADN/foM=")</f>
        <v>#REF!</v>
      </c>
      <c r="EC119" t="e">
        <f>AND(#REF!,"AAAAADN/foQ=")</f>
        <v>#REF!</v>
      </c>
      <c r="ED119" t="e">
        <f>AND(#REF!,"AAAAADN/foU=")</f>
        <v>#REF!</v>
      </c>
      <c r="EE119" t="e">
        <f>AND(#REF!,"AAAAADN/foY=")</f>
        <v>#REF!</v>
      </c>
      <c r="EF119" t="e">
        <f>IF(#REF!,"AAAAADN/foc=",0)</f>
        <v>#REF!</v>
      </c>
      <c r="EG119" t="e">
        <f>AND(#REF!,"AAAAADN/fog=")</f>
        <v>#REF!</v>
      </c>
      <c r="EH119" t="e">
        <f>AND(#REF!,"AAAAADN/fok=")</f>
        <v>#REF!</v>
      </c>
      <c r="EI119" t="e">
        <f>AND(#REF!,"AAAAADN/foo=")</f>
        <v>#REF!</v>
      </c>
      <c r="EJ119" t="e">
        <f>AND(#REF!,"AAAAADN/fos=")</f>
        <v>#REF!</v>
      </c>
      <c r="EK119" t="e">
        <f>AND(#REF!,"AAAAADN/fow=")</f>
        <v>#REF!</v>
      </c>
      <c r="EL119" t="e">
        <f>AND(#REF!,"AAAAADN/fo0=")</f>
        <v>#REF!</v>
      </c>
      <c r="EM119" t="e">
        <f>AND(#REF!,"AAAAADN/fo4=")</f>
        <v>#REF!</v>
      </c>
      <c r="EN119" t="e">
        <f>AND(#REF!,"AAAAADN/fo8=")</f>
        <v>#REF!</v>
      </c>
      <c r="EO119" t="e">
        <f>AND(#REF!,"AAAAADN/fpA=")</f>
        <v>#REF!</v>
      </c>
      <c r="EP119" t="e">
        <f>AND(#REF!,"AAAAADN/fpE=")</f>
        <v>#REF!</v>
      </c>
      <c r="EQ119" t="e">
        <f>IF(#REF!,"AAAAADN/fpI=",0)</f>
        <v>#REF!</v>
      </c>
      <c r="ER119" t="e">
        <f>AND(#REF!,"AAAAADN/fpM=")</f>
        <v>#REF!</v>
      </c>
      <c r="ES119" t="e">
        <f>AND(#REF!,"AAAAADN/fpQ=")</f>
        <v>#REF!</v>
      </c>
      <c r="ET119" t="e">
        <f>AND(#REF!,"AAAAADN/fpU=")</f>
        <v>#REF!</v>
      </c>
      <c r="EU119" t="e">
        <f>AND(#REF!,"AAAAADN/fpY=")</f>
        <v>#REF!</v>
      </c>
      <c r="EV119" t="e">
        <f>AND(#REF!,"AAAAADN/fpc=")</f>
        <v>#REF!</v>
      </c>
      <c r="EW119" t="e">
        <f>AND(#REF!,"AAAAADN/fpg=")</f>
        <v>#REF!</v>
      </c>
      <c r="EX119" t="e">
        <f>AND(#REF!,"AAAAADN/fpk=")</f>
        <v>#REF!</v>
      </c>
      <c r="EY119" t="e">
        <f>AND(#REF!,"AAAAADN/fpo=")</f>
        <v>#REF!</v>
      </c>
      <c r="EZ119" t="e">
        <f>AND(#REF!,"AAAAADN/fps=")</f>
        <v>#REF!</v>
      </c>
      <c r="FA119" t="e">
        <f>AND(#REF!,"AAAAADN/fpw=")</f>
        <v>#REF!</v>
      </c>
      <c r="FB119" t="e">
        <f>IF(#REF!,"AAAAADN/fp0=",0)</f>
        <v>#REF!</v>
      </c>
      <c r="FC119" t="e">
        <f>AND(#REF!,"AAAAADN/fp4=")</f>
        <v>#REF!</v>
      </c>
      <c r="FD119" t="e">
        <f>AND(#REF!,"AAAAADN/fp8=")</f>
        <v>#REF!</v>
      </c>
      <c r="FE119" t="e">
        <f>AND(#REF!,"AAAAADN/fqA=")</f>
        <v>#REF!</v>
      </c>
      <c r="FF119" t="e">
        <f>AND(#REF!,"AAAAADN/fqE=")</f>
        <v>#REF!</v>
      </c>
      <c r="FG119" t="e">
        <f>AND(#REF!,"AAAAADN/fqI=")</f>
        <v>#REF!</v>
      </c>
      <c r="FH119" t="e">
        <f>AND(#REF!,"AAAAADN/fqM=")</f>
        <v>#REF!</v>
      </c>
      <c r="FI119" t="e">
        <f>AND(#REF!,"AAAAADN/fqQ=")</f>
        <v>#REF!</v>
      </c>
      <c r="FJ119" t="e">
        <f>AND(#REF!,"AAAAADN/fqU=")</f>
        <v>#REF!</v>
      </c>
      <c r="FK119" t="e">
        <f>AND(#REF!,"AAAAADN/fqY=")</f>
        <v>#REF!</v>
      </c>
      <c r="FL119" t="e">
        <f>AND(#REF!,"AAAAADN/fqc=")</f>
        <v>#REF!</v>
      </c>
      <c r="FM119" t="e">
        <f>IF(#REF!,"AAAAADN/fqg=",0)</f>
        <v>#REF!</v>
      </c>
      <c r="FN119" t="e">
        <f>AND(#REF!,"AAAAADN/fqk=")</f>
        <v>#REF!</v>
      </c>
      <c r="FO119" t="e">
        <f>AND(#REF!,"AAAAADN/fqo=")</f>
        <v>#REF!</v>
      </c>
      <c r="FP119" t="e">
        <f>AND(#REF!,"AAAAADN/fqs=")</f>
        <v>#REF!</v>
      </c>
      <c r="FQ119" t="e">
        <f>AND(#REF!,"AAAAADN/fqw=")</f>
        <v>#REF!</v>
      </c>
      <c r="FR119" t="e">
        <f>AND(#REF!,"AAAAADN/fq0=")</f>
        <v>#REF!</v>
      </c>
      <c r="FS119" t="e">
        <f>AND(#REF!,"AAAAADN/fq4=")</f>
        <v>#REF!</v>
      </c>
      <c r="FT119" t="e">
        <f>AND(#REF!,"AAAAADN/fq8=")</f>
        <v>#REF!</v>
      </c>
      <c r="FU119" t="e">
        <f>AND(#REF!,"AAAAADN/frA=")</f>
        <v>#REF!</v>
      </c>
      <c r="FV119" t="e">
        <f>AND(#REF!,"AAAAADN/frE=")</f>
        <v>#REF!</v>
      </c>
      <c r="FW119" t="e">
        <f>AND(#REF!,"AAAAADN/frI=")</f>
        <v>#REF!</v>
      </c>
      <c r="FX119" t="e">
        <f>IF(#REF!,"AAAAADN/frM=",0)</f>
        <v>#REF!</v>
      </c>
      <c r="FY119" t="e">
        <f>AND(#REF!,"AAAAADN/frQ=")</f>
        <v>#REF!</v>
      </c>
      <c r="FZ119" t="e">
        <f>AND(#REF!,"AAAAADN/frU=")</f>
        <v>#REF!</v>
      </c>
      <c r="GA119" t="e">
        <f>AND(#REF!,"AAAAADN/frY=")</f>
        <v>#REF!</v>
      </c>
      <c r="GB119" t="e">
        <f>AND(#REF!,"AAAAADN/frc=")</f>
        <v>#REF!</v>
      </c>
      <c r="GC119" t="e">
        <f>AND(#REF!,"AAAAADN/frg=")</f>
        <v>#REF!</v>
      </c>
      <c r="GD119" t="e">
        <f>AND(#REF!,"AAAAADN/frk=")</f>
        <v>#REF!</v>
      </c>
      <c r="GE119" t="e">
        <f>AND(#REF!,"AAAAADN/fro=")</f>
        <v>#REF!</v>
      </c>
      <c r="GF119" t="e">
        <f>AND(#REF!,"AAAAADN/frs=")</f>
        <v>#REF!</v>
      </c>
      <c r="GG119" t="e">
        <f>AND(#REF!,"AAAAADN/frw=")</f>
        <v>#REF!</v>
      </c>
      <c r="GH119" t="e">
        <f>AND(#REF!,"AAAAADN/fr0=")</f>
        <v>#REF!</v>
      </c>
      <c r="GI119" t="e">
        <f>IF(#REF!,"AAAAADN/fr4=",0)</f>
        <v>#REF!</v>
      </c>
      <c r="GJ119" t="e">
        <f>AND(#REF!,"AAAAADN/fr8=")</f>
        <v>#REF!</v>
      </c>
      <c r="GK119" t="e">
        <f>AND(#REF!,"AAAAADN/fsA=")</f>
        <v>#REF!</v>
      </c>
      <c r="GL119" t="e">
        <f>AND(#REF!,"AAAAADN/fsE=")</f>
        <v>#REF!</v>
      </c>
      <c r="GM119" t="e">
        <f>AND(#REF!,"AAAAADN/fsI=")</f>
        <v>#REF!</v>
      </c>
      <c r="GN119" t="e">
        <f>AND(#REF!,"AAAAADN/fsM=")</f>
        <v>#REF!</v>
      </c>
      <c r="GO119" t="e">
        <f>AND(#REF!,"AAAAADN/fsQ=")</f>
        <v>#REF!</v>
      </c>
      <c r="GP119" t="e">
        <f>AND(#REF!,"AAAAADN/fsU=")</f>
        <v>#REF!</v>
      </c>
      <c r="GQ119" t="e">
        <f>AND(#REF!,"AAAAADN/fsY=")</f>
        <v>#REF!</v>
      </c>
      <c r="GR119" t="e">
        <f>AND(#REF!,"AAAAADN/fsc=")</f>
        <v>#REF!</v>
      </c>
      <c r="GS119" t="e">
        <f>AND(#REF!,"AAAAADN/fsg=")</f>
        <v>#REF!</v>
      </c>
      <c r="GT119" t="e">
        <f>IF(#REF!,"AAAAADN/fsk=",0)</f>
        <v>#REF!</v>
      </c>
      <c r="GU119" t="e">
        <f>AND(#REF!,"AAAAADN/fso=")</f>
        <v>#REF!</v>
      </c>
      <c r="GV119" t="e">
        <f>AND(#REF!,"AAAAADN/fss=")</f>
        <v>#REF!</v>
      </c>
      <c r="GW119" t="e">
        <f>AND(#REF!,"AAAAADN/fsw=")</f>
        <v>#REF!</v>
      </c>
      <c r="GX119" t="e">
        <f>AND(#REF!,"AAAAADN/fs0=")</f>
        <v>#REF!</v>
      </c>
      <c r="GY119" t="e">
        <f>AND(#REF!,"AAAAADN/fs4=")</f>
        <v>#REF!</v>
      </c>
      <c r="GZ119" t="e">
        <f>AND(#REF!,"AAAAADN/fs8=")</f>
        <v>#REF!</v>
      </c>
      <c r="HA119" t="e">
        <f>AND(#REF!,"AAAAADN/ftA=")</f>
        <v>#REF!</v>
      </c>
      <c r="HB119" t="e">
        <f>AND(#REF!,"AAAAADN/ftE=")</f>
        <v>#REF!</v>
      </c>
      <c r="HC119" t="e">
        <f>AND(#REF!,"AAAAADN/ftI=")</f>
        <v>#REF!</v>
      </c>
      <c r="HD119" t="e">
        <f>AND(#REF!,"AAAAADN/ftM=")</f>
        <v>#REF!</v>
      </c>
      <c r="HE119" t="e">
        <f>IF(#REF!,"AAAAADN/ftQ=",0)</f>
        <v>#REF!</v>
      </c>
      <c r="HF119" t="e">
        <f>AND(#REF!,"AAAAADN/ftU=")</f>
        <v>#REF!</v>
      </c>
      <c r="HG119" t="e">
        <f>AND(#REF!,"AAAAADN/ftY=")</f>
        <v>#REF!</v>
      </c>
      <c r="HH119" t="e">
        <f>AND(#REF!,"AAAAADN/ftc=")</f>
        <v>#REF!</v>
      </c>
      <c r="HI119" t="e">
        <f>AND(#REF!,"AAAAADN/ftg=")</f>
        <v>#REF!</v>
      </c>
      <c r="HJ119" t="e">
        <f>AND(#REF!,"AAAAADN/ftk=")</f>
        <v>#REF!</v>
      </c>
      <c r="HK119" t="e">
        <f>AND(#REF!,"AAAAADN/fto=")</f>
        <v>#REF!</v>
      </c>
      <c r="HL119" t="e">
        <f>AND(#REF!,"AAAAADN/fts=")</f>
        <v>#REF!</v>
      </c>
      <c r="HM119" t="e">
        <f>AND(#REF!,"AAAAADN/ftw=")</f>
        <v>#REF!</v>
      </c>
      <c r="HN119" t="e">
        <f>AND(#REF!,"AAAAADN/ft0=")</f>
        <v>#REF!</v>
      </c>
      <c r="HO119" t="e">
        <f>AND(#REF!,"AAAAADN/ft4=")</f>
        <v>#REF!</v>
      </c>
      <c r="HP119" t="e">
        <f>IF(#REF!,"AAAAADN/ft8=",0)</f>
        <v>#REF!</v>
      </c>
      <c r="HQ119" t="e">
        <f>AND(#REF!,"AAAAADN/fuA=")</f>
        <v>#REF!</v>
      </c>
      <c r="HR119" t="e">
        <f>AND(#REF!,"AAAAADN/fuE=")</f>
        <v>#REF!</v>
      </c>
      <c r="HS119" t="e">
        <f>AND(#REF!,"AAAAADN/fuI=")</f>
        <v>#REF!</v>
      </c>
      <c r="HT119" t="e">
        <f>AND(#REF!,"AAAAADN/fuM=")</f>
        <v>#REF!</v>
      </c>
      <c r="HU119" t="e">
        <f>AND(#REF!,"AAAAADN/fuQ=")</f>
        <v>#REF!</v>
      </c>
      <c r="HV119" t="e">
        <f>AND(#REF!,"AAAAADN/fuU=")</f>
        <v>#REF!</v>
      </c>
      <c r="HW119" t="e">
        <f>AND(#REF!,"AAAAADN/fuY=")</f>
        <v>#REF!</v>
      </c>
      <c r="HX119" t="e">
        <f>AND(#REF!,"AAAAADN/fuc=")</f>
        <v>#REF!</v>
      </c>
      <c r="HY119" t="e">
        <f>AND(#REF!,"AAAAADN/fug=")</f>
        <v>#REF!</v>
      </c>
      <c r="HZ119" t="e">
        <f>AND(#REF!,"AAAAADN/fuk=")</f>
        <v>#REF!</v>
      </c>
      <c r="IA119" t="e">
        <f>IF(#REF!,"AAAAADN/fuo=",0)</f>
        <v>#REF!</v>
      </c>
      <c r="IB119" t="e">
        <f>AND(#REF!,"AAAAADN/fus=")</f>
        <v>#REF!</v>
      </c>
      <c r="IC119" t="e">
        <f>AND(#REF!,"AAAAADN/fuw=")</f>
        <v>#REF!</v>
      </c>
      <c r="ID119" t="e">
        <f>AND(#REF!,"AAAAADN/fu0=")</f>
        <v>#REF!</v>
      </c>
      <c r="IE119" t="e">
        <f>AND(#REF!,"AAAAADN/fu4=")</f>
        <v>#REF!</v>
      </c>
      <c r="IF119" t="e">
        <f>AND(#REF!,"AAAAADN/fu8=")</f>
        <v>#REF!</v>
      </c>
      <c r="IG119" t="e">
        <f>AND(#REF!,"AAAAADN/fvA=")</f>
        <v>#REF!</v>
      </c>
      <c r="IH119" t="e">
        <f>AND(#REF!,"AAAAADN/fvE=")</f>
        <v>#REF!</v>
      </c>
      <c r="II119" t="e">
        <f>AND(#REF!,"AAAAADN/fvI=")</f>
        <v>#REF!</v>
      </c>
      <c r="IJ119" t="e">
        <f>AND(#REF!,"AAAAADN/fvM=")</f>
        <v>#REF!</v>
      </c>
      <c r="IK119" t="e">
        <f>AND(#REF!,"AAAAADN/fvQ=")</f>
        <v>#REF!</v>
      </c>
      <c r="IL119" t="e">
        <f>IF(#REF!,"AAAAADN/fvU=",0)</f>
        <v>#REF!</v>
      </c>
      <c r="IM119" t="e">
        <f>AND(#REF!,"AAAAADN/fvY=")</f>
        <v>#REF!</v>
      </c>
      <c r="IN119" t="e">
        <f>AND(#REF!,"AAAAADN/fvc=")</f>
        <v>#REF!</v>
      </c>
      <c r="IO119" t="e">
        <f>AND(#REF!,"AAAAADN/fvg=")</f>
        <v>#REF!</v>
      </c>
      <c r="IP119" t="e">
        <f>AND(#REF!,"AAAAADN/fvk=")</f>
        <v>#REF!</v>
      </c>
      <c r="IQ119" t="e">
        <f>AND(#REF!,"AAAAADN/fvo=")</f>
        <v>#REF!</v>
      </c>
      <c r="IR119" t="e">
        <f>AND(#REF!,"AAAAADN/fvs=")</f>
        <v>#REF!</v>
      </c>
      <c r="IS119" t="e">
        <f>AND(#REF!,"AAAAADN/fvw=")</f>
        <v>#REF!</v>
      </c>
      <c r="IT119" t="e">
        <f>AND(#REF!,"AAAAADN/fv0=")</f>
        <v>#REF!</v>
      </c>
      <c r="IU119" t="e">
        <f>AND(#REF!,"AAAAADN/fv4=")</f>
        <v>#REF!</v>
      </c>
      <c r="IV119" t="e">
        <f>AND(#REF!,"AAAAADN/fv8=")</f>
        <v>#REF!</v>
      </c>
    </row>
    <row r="120" spans="1:256" x14ac:dyDescent="0.25">
      <c r="A120" t="e">
        <f>IF(#REF!,"AAAAAFq+cwA=",0)</f>
        <v>#REF!</v>
      </c>
      <c r="B120" t="e">
        <f>AND(#REF!,"AAAAAFq+cwE=")</f>
        <v>#REF!</v>
      </c>
      <c r="C120" t="e">
        <f>AND(#REF!,"AAAAAFq+cwI=")</f>
        <v>#REF!</v>
      </c>
      <c r="D120" t="e">
        <f>AND(#REF!,"AAAAAFq+cwM=")</f>
        <v>#REF!</v>
      </c>
      <c r="E120" t="e">
        <f>AND(#REF!,"AAAAAFq+cwQ=")</f>
        <v>#REF!</v>
      </c>
      <c r="F120" t="e">
        <f>AND(#REF!,"AAAAAFq+cwU=")</f>
        <v>#REF!</v>
      </c>
      <c r="G120" t="e">
        <f>AND(#REF!,"AAAAAFq+cwY=")</f>
        <v>#REF!</v>
      </c>
      <c r="H120" t="e">
        <f>AND(#REF!,"AAAAAFq+cwc=")</f>
        <v>#REF!</v>
      </c>
      <c r="I120" t="e">
        <f>AND(#REF!,"AAAAAFq+cwg=")</f>
        <v>#REF!</v>
      </c>
      <c r="J120" t="e">
        <f>AND(#REF!,"AAAAAFq+cwk=")</f>
        <v>#REF!</v>
      </c>
      <c r="K120" t="e">
        <f>AND(#REF!,"AAAAAFq+cwo=")</f>
        <v>#REF!</v>
      </c>
      <c r="L120" t="e">
        <f>IF(#REF!,"AAAAAFq+cws=",0)</f>
        <v>#REF!</v>
      </c>
      <c r="M120" t="e">
        <f>AND(#REF!,"AAAAAFq+cww=")</f>
        <v>#REF!</v>
      </c>
      <c r="N120" t="e">
        <f>AND(#REF!,"AAAAAFq+cw0=")</f>
        <v>#REF!</v>
      </c>
      <c r="O120" t="e">
        <f>AND(#REF!,"AAAAAFq+cw4=")</f>
        <v>#REF!</v>
      </c>
      <c r="P120" t="e">
        <f>AND(#REF!,"AAAAAFq+cw8=")</f>
        <v>#REF!</v>
      </c>
      <c r="Q120" t="e">
        <f>AND(#REF!,"AAAAAFq+cxA=")</f>
        <v>#REF!</v>
      </c>
      <c r="R120" t="e">
        <f>AND(#REF!,"AAAAAFq+cxE=")</f>
        <v>#REF!</v>
      </c>
      <c r="S120" t="e">
        <f>AND(#REF!,"AAAAAFq+cxI=")</f>
        <v>#REF!</v>
      </c>
      <c r="T120" t="e">
        <f>AND(#REF!,"AAAAAFq+cxM=")</f>
        <v>#REF!</v>
      </c>
      <c r="U120" t="e">
        <f>AND(#REF!,"AAAAAFq+cxQ=")</f>
        <v>#REF!</v>
      </c>
      <c r="V120" t="e">
        <f>AND(#REF!,"AAAAAFq+cxU=")</f>
        <v>#REF!</v>
      </c>
      <c r="W120" t="e">
        <f>IF(#REF!,"AAAAAFq+cxY=",0)</f>
        <v>#REF!</v>
      </c>
      <c r="X120" t="e">
        <f>AND(#REF!,"AAAAAFq+cxc=")</f>
        <v>#REF!</v>
      </c>
      <c r="Y120" t="e">
        <f>AND(#REF!,"AAAAAFq+cxg=")</f>
        <v>#REF!</v>
      </c>
      <c r="Z120" t="e">
        <f>AND(#REF!,"AAAAAFq+cxk=")</f>
        <v>#REF!</v>
      </c>
      <c r="AA120" t="e">
        <f>AND(#REF!,"AAAAAFq+cxo=")</f>
        <v>#REF!</v>
      </c>
      <c r="AB120" t="e">
        <f>AND(#REF!,"AAAAAFq+cxs=")</f>
        <v>#REF!</v>
      </c>
      <c r="AC120" t="e">
        <f>AND(#REF!,"AAAAAFq+cxw=")</f>
        <v>#REF!</v>
      </c>
      <c r="AD120" t="e">
        <f>AND(#REF!,"AAAAAFq+cx0=")</f>
        <v>#REF!</v>
      </c>
      <c r="AE120" t="e">
        <f>AND(#REF!,"AAAAAFq+cx4=")</f>
        <v>#REF!</v>
      </c>
      <c r="AF120" t="e">
        <f>AND(#REF!,"AAAAAFq+cx8=")</f>
        <v>#REF!</v>
      </c>
      <c r="AG120" t="e">
        <f>AND(#REF!,"AAAAAFq+cyA=")</f>
        <v>#REF!</v>
      </c>
      <c r="AH120" t="e">
        <f>IF(#REF!,"AAAAAFq+cyE=",0)</f>
        <v>#REF!</v>
      </c>
      <c r="AI120" t="e">
        <f>AND(#REF!,"AAAAAFq+cyI=")</f>
        <v>#REF!</v>
      </c>
      <c r="AJ120" t="e">
        <f>AND(#REF!,"AAAAAFq+cyM=")</f>
        <v>#REF!</v>
      </c>
      <c r="AK120" t="e">
        <f>AND(#REF!,"AAAAAFq+cyQ=")</f>
        <v>#REF!</v>
      </c>
      <c r="AL120" t="e">
        <f>AND(#REF!,"AAAAAFq+cyU=")</f>
        <v>#REF!</v>
      </c>
      <c r="AM120" t="e">
        <f>AND(#REF!,"AAAAAFq+cyY=")</f>
        <v>#REF!</v>
      </c>
      <c r="AN120" t="e">
        <f>AND(#REF!,"AAAAAFq+cyc=")</f>
        <v>#REF!</v>
      </c>
      <c r="AO120" t="e">
        <f>AND(#REF!,"AAAAAFq+cyg=")</f>
        <v>#REF!</v>
      </c>
      <c r="AP120" t="e">
        <f>AND(#REF!,"AAAAAFq+cyk=")</f>
        <v>#REF!</v>
      </c>
      <c r="AQ120" t="e">
        <f>AND(#REF!,"AAAAAFq+cyo=")</f>
        <v>#REF!</v>
      </c>
      <c r="AR120" t="e">
        <f>AND(#REF!,"AAAAAFq+cys=")</f>
        <v>#REF!</v>
      </c>
      <c r="AS120" t="e">
        <f>IF(#REF!,"AAAAAFq+cyw=",0)</f>
        <v>#REF!</v>
      </c>
      <c r="AT120" t="e">
        <f>AND(#REF!,"AAAAAFq+cy0=")</f>
        <v>#REF!</v>
      </c>
      <c r="AU120" t="e">
        <f>AND(#REF!,"AAAAAFq+cy4=")</f>
        <v>#REF!</v>
      </c>
      <c r="AV120" t="e">
        <f>AND(#REF!,"AAAAAFq+cy8=")</f>
        <v>#REF!</v>
      </c>
      <c r="AW120" t="e">
        <f>AND(#REF!,"AAAAAFq+czA=")</f>
        <v>#REF!</v>
      </c>
      <c r="AX120" t="e">
        <f>AND(#REF!,"AAAAAFq+czE=")</f>
        <v>#REF!</v>
      </c>
      <c r="AY120" t="e">
        <f>AND(#REF!,"AAAAAFq+czI=")</f>
        <v>#REF!</v>
      </c>
      <c r="AZ120" t="e">
        <f>AND(#REF!,"AAAAAFq+czM=")</f>
        <v>#REF!</v>
      </c>
      <c r="BA120" t="e">
        <f>AND(#REF!,"AAAAAFq+czQ=")</f>
        <v>#REF!</v>
      </c>
      <c r="BB120" t="e">
        <f>AND(#REF!,"AAAAAFq+czU=")</f>
        <v>#REF!</v>
      </c>
      <c r="BC120" t="e">
        <f>AND(#REF!,"AAAAAFq+czY=")</f>
        <v>#REF!</v>
      </c>
      <c r="BD120" t="e">
        <f>IF(#REF!,"AAAAAFq+czc=",0)</f>
        <v>#REF!</v>
      </c>
      <c r="BE120" t="e">
        <f>AND(#REF!,"AAAAAFq+czg=")</f>
        <v>#REF!</v>
      </c>
      <c r="BF120" t="e">
        <f>AND(#REF!,"AAAAAFq+czk=")</f>
        <v>#REF!</v>
      </c>
      <c r="BG120" t="e">
        <f>AND(#REF!,"AAAAAFq+czo=")</f>
        <v>#REF!</v>
      </c>
      <c r="BH120" t="e">
        <f>AND(#REF!,"AAAAAFq+czs=")</f>
        <v>#REF!</v>
      </c>
      <c r="BI120" t="e">
        <f>AND(#REF!,"AAAAAFq+czw=")</f>
        <v>#REF!</v>
      </c>
      <c r="BJ120" t="e">
        <f>AND(#REF!,"AAAAAFq+cz0=")</f>
        <v>#REF!</v>
      </c>
      <c r="BK120" t="e">
        <f>AND(#REF!,"AAAAAFq+cz4=")</f>
        <v>#REF!</v>
      </c>
      <c r="BL120" t="e">
        <f>AND(#REF!,"AAAAAFq+cz8=")</f>
        <v>#REF!</v>
      </c>
      <c r="BM120" t="e">
        <f>AND(#REF!,"AAAAAFq+c0A=")</f>
        <v>#REF!</v>
      </c>
      <c r="BN120" t="e">
        <f>AND(#REF!,"AAAAAFq+c0E=")</f>
        <v>#REF!</v>
      </c>
      <c r="BO120" t="e">
        <f>IF(#REF!,"AAAAAFq+c0I=",0)</f>
        <v>#REF!</v>
      </c>
      <c r="BP120" t="e">
        <f>AND(#REF!,"AAAAAFq+c0M=")</f>
        <v>#REF!</v>
      </c>
      <c r="BQ120" t="e">
        <f>AND(#REF!,"AAAAAFq+c0Q=")</f>
        <v>#REF!</v>
      </c>
      <c r="BR120" t="e">
        <f>AND(#REF!,"AAAAAFq+c0U=")</f>
        <v>#REF!</v>
      </c>
      <c r="BS120" t="e">
        <f>AND(#REF!,"AAAAAFq+c0Y=")</f>
        <v>#REF!</v>
      </c>
      <c r="BT120" t="e">
        <f>AND(#REF!,"AAAAAFq+c0c=")</f>
        <v>#REF!</v>
      </c>
      <c r="BU120" t="e">
        <f>AND(#REF!,"AAAAAFq+c0g=")</f>
        <v>#REF!</v>
      </c>
      <c r="BV120" t="e">
        <f>AND(#REF!,"AAAAAFq+c0k=")</f>
        <v>#REF!</v>
      </c>
      <c r="BW120" t="e">
        <f>AND(#REF!,"AAAAAFq+c0o=")</f>
        <v>#REF!</v>
      </c>
      <c r="BX120" t="e">
        <f>AND(#REF!,"AAAAAFq+c0s=")</f>
        <v>#REF!</v>
      </c>
      <c r="BY120" t="e">
        <f>AND(#REF!,"AAAAAFq+c0w=")</f>
        <v>#REF!</v>
      </c>
      <c r="BZ120" t="e">
        <f>IF(#REF!,"AAAAAFq+c00=",0)</f>
        <v>#REF!</v>
      </c>
      <c r="CA120" t="e">
        <f>AND(#REF!,"AAAAAFq+c04=")</f>
        <v>#REF!</v>
      </c>
      <c r="CB120" t="e">
        <f>AND(#REF!,"AAAAAFq+c08=")</f>
        <v>#REF!</v>
      </c>
      <c r="CC120" t="e">
        <f>AND(#REF!,"AAAAAFq+c1A=")</f>
        <v>#REF!</v>
      </c>
      <c r="CD120" t="e">
        <f>AND(#REF!,"AAAAAFq+c1E=")</f>
        <v>#REF!</v>
      </c>
      <c r="CE120" t="e">
        <f>AND(#REF!,"AAAAAFq+c1I=")</f>
        <v>#REF!</v>
      </c>
      <c r="CF120" t="e">
        <f>AND(#REF!,"AAAAAFq+c1M=")</f>
        <v>#REF!</v>
      </c>
      <c r="CG120" t="e">
        <f>AND(#REF!,"AAAAAFq+c1Q=")</f>
        <v>#REF!</v>
      </c>
      <c r="CH120" t="e">
        <f>AND(#REF!,"AAAAAFq+c1U=")</f>
        <v>#REF!</v>
      </c>
      <c r="CI120" t="e">
        <f>AND(#REF!,"AAAAAFq+c1Y=")</f>
        <v>#REF!</v>
      </c>
      <c r="CJ120" t="e">
        <f>AND(#REF!,"AAAAAFq+c1c=")</f>
        <v>#REF!</v>
      </c>
      <c r="CK120" t="e">
        <f>IF(#REF!,"AAAAAFq+c1g=",0)</f>
        <v>#REF!</v>
      </c>
      <c r="CL120" t="e">
        <f>AND(#REF!,"AAAAAFq+c1k=")</f>
        <v>#REF!</v>
      </c>
      <c r="CM120" t="e">
        <f>AND(#REF!,"AAAAAFq+c1o=")</f>
        <v>#REF!</v>
      </c>
      <c r="CN120" t="e">
        <f>AND(#REF!,"AAAAAFq+c1s=")</f>
        <v>#REF!</v>
      </c>
      <c r="CO120" t="e">
        <f>AND(#REF!,"AAAAAFq+c1w=")</f>
        <v>#REF!</v>
      </c>
      <c r="CP120" t="e">
        <f>AND(#REF!,"AAAAAFq+c10=")</f>
        <v>#REF!</v>
      </c>
      <c r="CQ120" t="e">
        <f>AND(#REF!,"AAAAAFq+c14=")</f>
        <v>#REF!</v>
      </c>
      <c r="CR120" t="e">
        <f>AND(#REF!,"AAAAAFq+c18=")</f>
        <v>#REF!</v>
      </c>
      <c r="CS120" t="e">
        <f>AND(#REF!,"AAAAAFq+c2A=")</f>
        <v>#REF!</v>
      </c>
      <c r="CT120" t="e">
        <f>AND(#REF!,"AAAAAFq+c2E=")</f>
        <v>#REF!</v>
      </c>
      <c r="CU120" t="e">
        <f>AND(#REF!,"AAAAAFq+c2I=")</f>
        <v>#REF!</v>
      </c>
      <c r="CV120" t="e">
        <f>IF(#REF!,"AAAAAFq+c2M=",0)</f>
        <v>#REF!</v>
      </c>
      <c r="CW120" t="e">
        <f>AND(#REF!,"AAAAAFq+c2Q=")</f>
        <v>#REF!</v>
      </c>
      <c r="CX120" t="e">
        <f>AND(#REF!,"AAAAAFq+c2U=")</f>
        <v>#REF!</v>
      </c>
      <c r="CY120" t="e">
        <f>AND(#REF!,"AAAAAFq+c2Y=")</f>
        <v>#REF!</v>
      </c>
      <c r="CZ120" t="e">
        <f>AND(#REF!,"AAAAAFq+c2c=")</f>
        <v>#REF!</v>
      </c>
      <c r="DA120" t="e">
        <f>AND(#REF!,"AAAAAFq+c2g=")</f>
        <v>#REF!</v>
      </c>
      <c r="DB120" t="e">
        <f>AND(#REF!,"AAAAAFq+c2k=")</f>
        <v>#REF!</v>
      </c>
      <c r="DC120" t="e">
        <f>AND(#REF!,"AAAAAFq+c2o=")</f>
        <v>#REF!</v>
      </c>
      <c r="DD120" t="e">
        <f>AND(#REF!,"AAAAAFq+c2s=")</f>
        <v>#REF!</v>
      </c>
      <c r="DE120" t="e">
        <f>AND(#REF!,"AAAAAFq+c2w=")</f>
        <v>#REF!</v>
      </c>
      <c r="DF120" t="e">
        <f>AND(#REF!,"AAAAAFq+c20=")</f>
        <v>#REF!</v>
      </c>
      <c r="DG120" t="e">
        <f>IF(#REF!,"AAAAAFq+c24=",0)</f>
        <v>#REF!</v>
      </c>
      <c r="DH120" t="e">
        <f>AND(#REF!,"AAAAAFq+c28=")</f>
        <v>#REF!</v>
      </c>
      <c r="DI120" t="e">
        <f>AND(#REF!,"AAAAAFq+c3A=")</f>
        <v>#REF!</v>
      </c>
      <c r="DJ120" t="e">
        <f>AND(#REF!,"AAAAAFq+c3E=")</f>
        <v>#REF!</v>
      </c>
      <c r="DK120" t="e">
        <f>AND(#REF!,"AAAAAFq+c3I=")</f>
        <v>#REF!</v>
      </c>
      <c r="DL120" t="e">
        <f>AND(#REF!,"AAAAAFq+c3M=")</f>
        <v>#REF!</v>
      </c>
      <c r="DM120" t="e">
        <f>AND(#REF!,"AAAAAFq+c3Q=")</f>
        <v>#REF!</v>
      </c>
      <c r="DN120" t="e">
        <f>AND(#REF!,"AAAAAFq+c3U=")</f>
        <v>#REF!</v>
      </c>
      <c r="DO120" t="e">
        <f>AND(#REF!,"AAAAAFq+c3Y=")</f>
        <v>#REF!</v>
      </c>
      <c r="DP120" t="e">
        <f>AND(#REF!,"AAAAAFq+c3c=")</f>
        <v>#REF!</v>
      </c>
      <c r="DQ120" t="e">
        <f>AND(#REF!,"AAAAAFq+c3g=")</f>
        <v>#REF!</v>
      </c>
      <c r="DR120" t="e">
        <f>IF(#REF!,"AAAAAFq+c3k=",0)</f>
        <v>#REF!</v>
      </c>
      <c r="DS120" t="e">
        <f>AND(#REF!,"AAAAAFq+c3o=")</f>
        <v>#REF!</v>
      </c>
      <c r="DT120" t="e">
        <f>AND(#REF!,"AAAAAFq+c3s=")</f>
        <v>#REF!</v>
      </c>
      <c r="DU120" t="e">
        <f>AND(#REF!,"AAAAAFq+c3w=")</f>
        <v>#REF!</v>
      </c>
      <c r="DV120" t="e">
        <f>AND(#REF!,"AAAAAFq+c30=")</f>
        <v>#REF!</v>
      </c>
      <c r="DW120" t="e">
        <f>AND(#REF!,"AAAAAFq+c34=")</f>
        <v>#REF!</v>
      </c>
      <c r="DX120" t="e">
        <f>AND(#REF!,"AAAAAFq+c38=")</f>
        <v>#REF!</v>
      </c>
      <c r="DY120" t="e">
        <f>AND(#REF!,"AAAAAFq+c4A=")</f>
        <v>#REF!</v>
      </c>
      <c r="DZ120" t="e">
        <f>AND(#REF!,"AAAAAFq+c4E=")</f>
        <v>#REF!</v>
      </c>
      <c r="EA120" t="e">
        <f>AND(#REF!,"AAAAAFq+c4I=")</f>
        <v>#REF!</v>
      </c>
      <c r="EB120" t="e">
        <f>AND(#REF!,"AAAAAFq+c4M=")</f>
        <v>#REF!</v>
      </c>
      <c r="EC120" t="e">
        <f>IF(#REF!,"AAAAAFq+c4Q=",0)</f>
        <v>#REF!</v>
      </c>
      <c r="ED120" t="e">
        <f>AND(#REF!,"AAAAAFq+c4U=")</f>
        <v>#REF!</v>
      </c>
      <c r="EE120" t="e">
        <f>AND(#REF!,"AAAAAFq+c4Y=")</f>
        <v>#REF!</v>
      </c>
      <c r="EF120" t="e">
        <f>AND(#REF!,"AAAAAFq+c4c=")</f>
        <v>#REF!</v>
      </c>
      <c r="EG120" t="e">
        <f>AND(#REF!,"AAAAAFq+c4g=")</f>
        <v>#REF!</v>
      </c>
      <c r="EH120" t="e">
        <f>AND(#REF!,"AAAAAFq+c4k=")</f>
        <v>#REF!</v>
      </c>
      <c r="EI120" t="e">
        <f>AND(#REF!,"AAAAAFq+c4o=")</f>
        <v>#REF!</v>
      </c>
      <c r="EJ120" t="e">
        <f>AND(#REF!,"AAAAAFq+c4s=")</f>
        <v>#REF!</v>
      </c>
      <c r="EK120" t="e">
        <f>AND(#REF!,"AAAAAFq+c4w=")</f>
        <v>#REF!</v>
      </c>
      <c r="EL120" t="e">
        <f>AND(#REF!,"AAAAAFq+c40=")</f>
        <v>#REF!</v>
      </c>
      <c r="EM120" t="e">
        <f>AND(#REF!,"AAAAAFq+c44=")</f>
        <v>#REF!</v>
      </c>
      <c r="EN120" t="e">
        <f>IF(#REF!,"AAAAAFq+c48=",0)</f>
        <v>#REF!</v>
      </c>
      <c r="EO120" t="e">
        <f>AND(#REF!,"AAAAAFq+c5A=")</f>
        <v>#REF!</v>
      </c>
      <c r="EP120" t="e">
        <f>AND(#REF!,"AAAAAFq+c5E=")</f>
        <v>#REF!</v>
      </c>
      <c r="EQ120" t="e">
        <f>AND(#REF!,"AAAAAFq+c5I=")</f>
        <v>#REF!</v>
      </c>
      <c r="ER120" t="e">
        <f>AND(#REF!,"AAAAAFq+c5M=")</f>
        <v>#REF!</v>
      </c>
      <c r="ES120" t="e">
        <f>AND(#REF!,"AAAAAFq+c5Q=")</f>
        <v>#REF!</v>
      </c>
      <c r="ET120" t="e">
        <f>AND(#REF!,"AAAAAFq+c5U=")</f>
        <v>#REF!</v>
      </c>
      <c r="EU120" t="e">
        <f>AND(#REF!,"AAAAAFq+c5Y=")</f>
        <v>#REF!</v>
      </c>
      <c r="EV120" t="e">
        <f>AND(#REF!,"AAAAAFq+c5c=")</f>
        <v>#REF!</v>
      </c>
      <c r="EW120" t="e">
        <f>AND(#REF!,"AAAAAFq+c5g=")</f>
        <v>#REF!</v>
      </c>
      <c r="EX120" t="e">
        <f>AND(#REF!,"AAAAAFq+c5k=")</f>
        <v>#REF!</v>
      </c>
      <c r="EY120" t="e">
        <f>IF(#REF!,"AAAAAFq+c5o=",0)</f>
        <v>#REF!</v>
      </c>
      <c r="EZ120" t="e">
        <f>AND(#REF!,"AAAAAFq+c5s=")</f>
        <v>#REF!</v>
      </c>
      <c r="FA120" t="e">
        <f>AND(#REF!,"AAAAAFq+c5w=")</f>
        <v>#REF!</v>
      </c>
      <c r="FB120" t="e">
        <f>AND(#REF!,"AAAAAFq+c50=")</f>
        <v>#REF!</v>
      </c>
      <c r="FC120" t="e">
        <f>AND(#REF!,"AAAAAFq+c54=")</f>
        <v>#REF!</v>
      </c>
      <c r="FD120" t="e">
        <f>AND(#REF!,"AAAAAFq+c58=")</f>
        <v>#REF!</v>
      </c>
      <c r="FE120" t="e">
        <f>AND(#REF!,"AAAAAFq+c6A=")</f>
        <v>#REF!</v>
      </c>
      <c r="FF120" t="e">
        <f>AND(#REF!,"AAAAAFq+c6E=")</f>
        <v>#REF!</v>
      </c>
      <c r="FG120" t="e">
        <f>AND(#REF!,"AAAAAFq+c6I=")</f>
        <v>#REF!</v>
      </c>
      <c r="FH120" t="e">
        <f>AND(#REF!,"AAAAAFq+c6M=")</f>
        <v>#REF!</v>
      </c>
      <c r="FI120" t="e">
        <f>AND(#REF!,"AAAAAFq+c6Q=")</f>
        <v>#REF!</v>
      </c>
      <c r="FJ120" t="e">
        <f>IF(#REF!,"AAAAAFq+c6U=",0)</f>
        <v>#REF!</v>
      </c>
      <c r="FK120" t="e">
        <f>AND(#REF!,"AAAAAFq+c6Y=")</f>
        <v>#REF!</v>
      </c>
      <c r="FL120" t="e">
        <f>AND(#REF!,"AAAAAFq+c6c=")</f>
        <v>#REF!</v>
      </c>
      <c r="FM120" t="e">
        <f>AND(#REF!,"AAAAAFq+c6g=")</f>
        <v>#REF!</v>
      </c>
      <c r="FN120" t="e">
        <f>AND(#REF!,"AAAAAFq+c6k=")</f>
        <v>#REF!</v>
      </c>
      <c r="FO120" t="e">
        <f>AND(#REF!,"AAAAAFq+c6o=")</f>
        <v>#REF!</v>
      </c>
      <c r="FP120" t="e">
        <f>AND(#REF!,"AAAAAFq+c6s=")</f>
        <v>#REF!</v>
      </c>
      <c r="FQ120" t="e">
        <f>AND(#REF!,"AAAAAFq+c6w=")</f>
        <v>#REF!</v>
      </c>
      <c r="FR120" t="e">
        <f>AND(#REF!,"AAAAAFq+c60=")</f>
        <v>#REF!</v>
      </c>
      <c r="FS120" t="e">
        <f>AND(#REF!,"AAAAAFq+c64=")</f>
        <v>#REF!</v>
      </c>
      <c r="FT120" t="e">
        <f>AND(#REF!,"AAAAAFq+c68=")</f>
        <v>#REF!</v>
      </c>
      <c r="FU120" t="e">
        <f>IF(#REF!,"AAAAAFq+c7A=",0)</f>
        <v>#REF!</v>
      </c>
      <c r="FV120" t="e">
        <f>AND(#REF!,"AAAAAFq+c7E=")</f>
        <v>#REF!</v>
      </c>
      <c r="FW120" t="e">
        <f>AND(#REF!,"AAAAAFq+c7I=")</f>
        <v>#REF!</v>
      </c>
      <c r="FX120" t="e">
        <f>AND(#REF!,"AAAAAFq+c7M=")</f>
        <v>#REF!</v>
      </c>
      <c r="FY120" t="e">
        <f>AND(#REF!,"AAAAAFq+c7Q=")</f>
        <v>#REF!</v>
      </c>
      <c r="FZ120" t="e">
        <f>AND(#REF!,"AAAAAFq+c7U=")</f>
        <v>#REF!</v>
      </c>
      <c r="GA120" t="e">
        <f>AND(#REF!,"AAAAAFq+c7Y=")</f>
        <v>#REF!</v>
      </c>
      <c r="GB120" t="e">
        <f>AND(#REF!,"AAAAAFq+c7c=")</f>
        <v>#REF!</v>
      </c>
      <c r="GC120" t="e">
        <f>AND(#REF!,"AAAAAFq+c7g=")</f>
        <v>#REF!</v>
      </c>
      <c r="GD120" t="e">
        <f>AND(#REF!,"AAAAAFq+c7k=")</f>
        <v>#REF!</v>
      </c>
      <c r="GE120" t="e">
        <f>AND(#REF!,"AAAAAFq+c7o=")</f>
        <v>#REF!</v>
      </c>
      <c r="GF120" t="e">
        <f>IF(#REF!,"AAAAAFq+c7s=",0)</f>
        <v>#REF!</v>
      </c>
      <c r="GG120" t="e">
        <f>AND(#REF!,"AAAAAFq+c7w=")</f>
        <v>#REF!</v>
      </c>
      <c r="GH120" t="e">
        <f>AND(#REF!,"AAAAAFq+c70=")</f>
        <v>#REF!</v>
      </c>
      <c r="GI120" t="e">
        <f>AND(#REF!,"AAAAAFq+c74=")</f>
        <v>#REF!</v>
      </c>
      <c r="GJ120" t="e">
        <f>AND(#REF!,"AAAAAFq+c78=")</f>
        <v>#REF!</v>
      </c>
      <c r="GK120" t="e">
        <f>AND(#REF!,"AAAAAFq+c8A=")</f>
        <v>#REF!</v>
      </c>
      <c r="GL120" t="e">
        <f>AND(#REF!,"AAAAAFq+c8E=")</f>
        <v>#REF!</v>
      </c>
      <c r="GM120" t="e">
        <f>AND(#REF!,"AAAAAFq+c8I=")</f>
        <v>#REF!</v>
      </c>
      <c r="GN120" t="e">
        <f>AND(#REF!,"AAAAAFq+c8M=")</f>
        <v>#REF!</v>
      </c>
      <c r="GO120" t="e">
        <f>AND(#REF!,"AAAAAFq+c8Q=")</f>
        <v>#REF!</v>
      </c>
      <c r="GP120" t="e">
        <f>AND(#REF!,"AAAAAFq+c8U=")</f>
        <v>#REF!</v>
      </c>
      <c r="GQ120" t="e">
        <f>IF(#REF!,"AAAAAFq+c8Y=",0)</f>
        <v>#REF!</v>
      </c>
      <c r="GR120" t="e">
        <f>AND(#REF!,"AAAAAFq+c8c=")</f>
        <v>#REF!</v>
      </c>
      <c r="GS120" t="e">
        <f>AND(#REF!,"AAAAAFq+c8g=")</f>
        <v>#REF!</v>
      </c>
      <c r="GT120" t="e">
        <f>AND(#REF!,"AAAAAFq+c8k=")</f>
        <v>#REF!</v>
      </c>
      <c r="GU120" t="e">
        <f>AND(#REF!,"AAAAAFq+c8o=")</f>
        <v>#REF!</v>
      </c>
      <c r="GV120" t="e">
        <f>AND(#REF!,"AAAAAFq+c8s=")</f>
        <v>#REF!</v>
      </c>
      <c r="GW120" t="e">
        <f>AND(#REF!,"AAAAAFq+c8w=")</f>
        <v>#REF!</v>
      </c>
      <c r="GX120" t="e">
        <f>AND(#REF!,"AAAAAFq+c80=")</f>
        <v>#REF!</v>
      </c>
      <c r="GY120" t="e">
        <f>AND(#REF!,"AAAAAFq+c84=")</f>
        <v>#REF!</v>
      </c>
      <c r="GZ120" t="e">
        <f>AND(#REF!,"AAAAAFq+c88=")</f>
        <v>#REF!</v>
      </c>
      <c r="HA120" t="e">
        <f>AND(#REF!,"AAAAAFq+c9A=")</f>
        <v>#REF!</v>
      </c>
      <c r="HB120" t="e">
        <f>IF(#REF!,"AAAAAFq+c9E=",0)</f>
        <v>#REF!</v>
      </c>
      <c r="HC120" t="e">
        <f>AND(#REF!,"AAAAAFq+c9I=")</f>
        <v>#REF!</v>
      </c>
      <c r="HD120" t="e">
        <f>AND(#REF!,"AAAAAFq+c9M=")</f>
        <v>#REF!</v>
      </c>
      <c r="HE120" t="e">
        <f>AND(#REF!,"AAAAAFq+c9Q=")</f>
        <v>#REF!</v>
      </c>
      <c r="HF120" t="e">
        <f>AND(#REF!,"AAAAAFq+c9U=")</f>
        <v>#REF!</v>
      </c>
      <c r="HG120" t="e">
        <f>AND(#REF!,"AAAAAFq+c9Y=")</f>
        <v>#REF!</v>
      </c>
      <c r="HH120" t="e">
        <f>AND(#REF!,"AAAAAFq+c9c=")</f>
        <v>#REF!</v>
      </c>
      <c r="HI120" t="e">
        <f>AND(#REF!,"AAAAAFq+c9g=")</f>
        <v>#REF!</v>
      </c>
      <c r="HJ120" t="e">
        <f>AND(#REF!,"AAAAAFq+c9k=")</f>
        <v>#REF!</v>
      </c>
      <c r="HK120" t="e">
        <f>AND(#REF!,"AAAAAFq+c9o=")</f>
        <v>#REF!</v>
      </c>
      <c r="HL120" t="e">
        <f>AND(#REF!,"AAAAAFq+c9s=")</f>
        <v>#REF!</v>
      </c>
      <c r="HM120" t="e">
        <f>IF(#REF!,"AAAAAFq+c9w=",0)</f>
        <v>#REF!</v>
      </c>
      <c r="HN120" t="e">
        <f>AND(#REF!,"AAAAAFq+c90=")</f>
        <v>#REF!</v>
      </c>
      <c r="HO120" t="e">
        <f>AND(#REF!,"AAAAAFq+c94=")</f>
        <v>#REF!</v>
      </c>
      <c r="HP120" t="e">
        <f>AND(#REF!,"AAAAAFq+c98=")</f>
        <v>#REF!</v>
      </c>
      <c r="HQ120" t="e">
        <f>AND(#REF!,"AAAAAFq+c+A=")</f>
        <v>#REF!</v>
      </c>
      <c r="HR120" t="e">
        <f>AND(#REF!,"AAAAAFq+c+E=")</f>
        <v>#REF!</v>
      </c>
      <c r="HS120" t="e">
        <f>AND(#REF!,"AAAAAFq+c+I=")</f>
        <v>#REF!</v>
      </c>
      <c r="HT120" t="e">
        <f>AND(#REF!,"AAAAAFq+c+M=")</f>
        <v>#REF!</v>
      </c>
      <c r="HU120" t="e">
        <f>AND(#REF!,"AAAAAFq+c+Q=")</f>
        <v>#REF!</v>
      </c>
      <c r="HV120" t="e">
        <f>AND(#REF!,"AAAAAFq+c+U=")</f>
        <v>#REF!</v>
      </c>
      <c r="HW120" t="e">
        <f>AND(#REF!,"AAAAAFq+c+Y=")</f>
        <v>#REF!</v>
      </c>
      <c r="HX120" t="e">
        <f>IF(#REF!,"AAAAAFq+c+c=",0)</f>
        <v>#REF!</v>
      </c>
      <c r="HY120" t="e">
        <f>AND(#REF!,"AAAAAFq+c+g=")</f>
        <v>#REF!</v>
      </c>
      <c r="HZ120" t="e">
        <f>AND(#REF!,"AAAAAFq+c+k=")</f>
        <v>#REF!</v>
      </c>
      <c r="IA120" t="e">
        <f>AND(#REF!,"AAAAAFq+c+o=")</f>
        <v>#REF!</v>
      </c>
      <c r="IB120" t="e">
        <f>AND(#REF!,"AAAAAFq+c+s=")</f>
        <v>#REF!</v>
      </c>
      <c r="IC120" t="e">
        <f>AND(#REF!,"AAAAAFq+c+w=")</f>
        <v>#REF!</v>
      </c>
      <c r="ID120" t="e">
        <f>AND(#REF!,"AAAAAFq+c+0=")</f>
        <v>#REF!</v>
      </c>
      <c r="IE120" t="e">
        <f>AND(#REF!,"AAAAAFq+c+4=")</f>
        <v>#REF!</v>
      </c>
      <c r="IF120" t="e">
        <f>AND(#REF!,"AAAAAFq+c+8=")</f>
        <v>#REF!</v>
      </c>
      <c r="IG120" t="e">
        <f>AND(#REF!,"AAAAAFq+c/A=")</f>
        <v>#REF!</v>
      </c>
      <c r="IH120" t="e">
        <f>AND(#REF!,"AAAAAFq+c/E=")</f>
        <v>#REF!</v>
      </c>
      <c r="II120" t="e">
        <f>IF(#REF!,"AAAAAFq+c/I=",0)</f>
        <v>#REF!</v>
      </c>
      <c r="IJ120" t="e">
        <f>AND(#REF!,"AAAAAFq+c/M=")</f>
        <v>#REF!</v>
      </c>
      <c r="IK120" t="e">
        <f>AND(#REF!,"AAAAAFq+c/Q=")</f>
        <v>#REF!</v>
      </c>
      <c r="IL120" t="e">
        <f>AND(#REF!,"AAAAAFq+c/U=")</f>
        <v>#REF!</v>
      </c>
      <c r="IM120" t="e">
        <f>AND(#REF!,"AAAAAFq+c/Y=")</f>
        <v>#REF!</v>
      </c>
      <c r="IN120" t="e">
        <f>AND(#REF!,"AAAAAFq+c/c=")</f>
        <v>#REF!</v>
      </c>
      <c r="IO120" t="e">
        <f>AND(#REF!,"AAAAAFq+c/g=")</f>
        <v>#REF!</v>
      </c>
      <c r="IP120" t="e">
        <f>AND(#REF!,"AAAAAFq+c/k=")</f>
        <v>#REF!</v>
      </c>
      <c r="IQ120" t="e">
        <f>AND(#REF!,"AAAAAFq+c/o=")</f>
        <v>#REF!</v>
      </c>
      <c r="IR120" t="e">
        <f>AND(#REF!,"AAAAAFq+c/s=")</f>
        <v>#REF!</v>
      </c>
      <c r="IS120" t="e">
        <f>AND(#REF!,"AAAAAFq+c/w=")</f>
        <v>#REF!</v>
      </c>
      <c r="IT120" t="e">
        <f>IF(#REF!,"AAAAAFq+c/0=",0)</f>
        <v>#REF!</v>
      </c>
      <c r="IU120" t="e">
        <f>AND(#REF!,"AAAAAFq+c/4=")</f>
        <v>#REF!</v>
      </c>
      <c r="IV120" t="e">
        <f>AND(#REF!,"AAAAAFq+c/8=")</f>
        <v>#REF!</v>
      </c>
    </row>
    <row r="121" spans="1:256" x14ac:dyDescent="0.25">
      <c r="A121" t="e">
        <f>AND(#REF!,"AAAAAG8eewA=")</f>
        <v>#REF!</v>
      </c>
      <c r="B121" t="e">
        <f>AND(#REF!,"AAAAAG8eewE=")</f>
        <v>#REF!</v>
      </c>
      <c r="C121" t="e">
        <f>AND(#REF!,"AAAAAG8eewI=")</f>
        <v>#REF!</v>
      </c>
      <c r="D121" t="e">
        <f>AND(#REF!,"AAAAAG8eewM=")</f>
        <v>#REF!</v>
      </c>
      <c r="E121" t="e">
        <f>AND(#REF!,"AAAAAG8eewQ=")</f>
        <v>#REF!</v>
      </c>
      <c r="F121" t="e">
        <f>AND(#REF!,"AAAAAG8eewU=")</f>
        <v>#REF!</v>
      </c>
      <c r="G121" t="e">
        <f>AND(#REF!,"AAAAAG8eewY=")</f>
        <v>#REF!</v>
      </c>
      <c r="H121" t="e">
        <f>AND(#REF!,"AAAAAG8eewc=")</f>
        <v>#REF!</v>
      </c>
      <c r="I121" t="e">
        <f>IF(#REF!,"AAAAAG8eewg=",0)</f>
        <v>#REF!</v>
      </c>
      <c r="J121" t="e">
        <f>AND(#REF!,"AAAAAG8eewk=")</f>
        <v>#REF!</v>
      </c>
      <c r="K121" t="e">
        <f>AND(#REF!,"AAAAAG8eewo=")</f>
        <v>#REF!</v>
      </c>
      <c r="L121" t="e">
        <f>AND(#REF!,"AAAAAG8eews=")</f>
        <v>#REF!</v>
      </c>
      <c r="M121" t="e">
        <f>AND(#REF!,"AAAAAG8eeww=")</f>
        <v>#REF!</v>
      </c>
      <c r="N121" t="e">
        <f>AND(#REF!,"AAAAAG8eew0=")</f>
        <v>#REF!</v>
      </c>
      <c r="O121" t="e">
        <f>AND(#REF!,"AAAAAG8eew4=")</f>
        <v>#REF!</v>
      </c>
      <c r="P121" t="e">
        <f>AND(#REF!,"AAAAAG8eew8=")</f>
        <v>#REF!</v>
      </c>
      <c r="Q121" t="e">
        <f>AND(#REF!,"AAAAAG8eexA=")</f>
        <v>#REF!</v>
      </c>
      <c r="R121" t="e">
        <f>AND(#REF!,"AAAAAG8eexE=")</f>
        <v>#REF!</v>
      </c>
      <c r="S121" t="e">
        <f>AND(#REF!,"AAAAAG8eexI=")</f>
        <v>#REF!</v>
      </c>
      <c r="T121" t="e">
        <f>IF(#REF!,"AAAAAG8eexM=",0)</f>
        <v>#REF!</v>
      </c>
      <c r="U121" t="e">
        <f>AND(#REF!,"AAAAAG8eexQ=")</f>
        <v>#REF!</v>
      </c>
      <c r="V121" t="e">
        <f>AND(#REF!,"AAAAAG8eexU=")</f>
        <v>#REF!</v>
      </c>
      <c r="W121" t="e">
        <f>AND(#REF!,"AAAAAG8eexY=")</f>
        <v>#REF!</v>
      </c>
      <c r="X121" t="e">
        <f>AND(#REF!,"AAAAAG8eexc=")</f>
        <v>#REF!</v>
      </c>
      <c r="Y121" t="e">
        <f>AND(#REF!,"AAAAAG8eexg=")</f>
        <v>#REF!</v>
      </c>
      <c r="Z121" t="e">
        <f>AND(#REF!,"AAAAAG8eexk=")</f>
        <v>#REF!</v>
      </c>
      <c r="AA121" t="e">
        <f>AND(#REF!,"AAAAAG8eexo=")</f>
        <v>#REF!</v>
      </c>
      <c r="AB121" t="e">
        <f>AND(#REF!,"AAAAAG8eexs=")</f>
        <v>#REF!</v>
      </c>
      <c r="AC121" t="e">
        <f>AND(#REF!,"AAAAAG8eexw=")</f>
        <v>#REF!</v>
      </c>
      <c r="AD121" t="e">
        <f>AND(#REF!,"AAAAAG8eex0=")</f>
        <v>#REF!</v>
      </c>
      <c r="AE121" t="e">
        <f>IF(#REF!,"AAAAAG8eex4=",0)</f>
        <v>#REF!</v>
      </c>
      <c r="AF121" t="e">
        <f>AND(#REF!,"AAAAAG8eex8=")</f>
        <v>#REF!</v>
      </c>
      <c r="AG121" t="e">
        <f>AND(#REF!,"AAAAAG8eeyA=")</f>
        <v>#REF!</v>
      </c>
      <c r="AH121" t="e">
        <f>AND(#REF!,"AAAAAG8eeyE=")</f>
        <v>#REF!</v>
      </c>
      <c r="AI121" t="e">
        <f>AND(#REF!,"AAAAAG8eeyI=")</f>
        <v>#REF!</v>
      </c>
      <c r="AJ121" t="e">
        <f>AND(#REF!,"AAAAAG8eeyM=")</f>
        <v>#REF!</v>
      </c>
      <c r="AK121" t="e">
        <f>AND(#REF!,"AAAAAG8eeyQ=")</f>
        <v>#REF!</v>
      </c>
      <c r="AL121" t="e">
        <f>AND(#REF!,"AAAAAG8eeyU=")</f>
        <v>#REF!</v>
      </c>
      <c r="AM121" t="e">
        <f>AND(#REF!,"AAAAAG8eeyY=")</f>
        <v>#REF!</v>
      </c>
      <c r="AN121" t="e">
        <f>AND(#REF!,"AAAAAG8eeyc=")</f>
        <v>#REF!</v>
      </c>
      <c r="AO121" t="e">
        <f>AND(#REF!,"AAAAAG8eeyg=")</f>
        <v>#REF!</v>
      </c>
      <c r="AP121" t="e">
        <f>IF(#REF!,"AAAAAG8eeyk=",0)</f>
        <v>#REF!</v>
      </c>
      <c r="AQ121" t="e">
        <f>AND(#REF!,"AAAAAG8eeyo=")</f>
        <v>#REF!</v>
      </c>
      <c r="AR121" t="e">
        <f>AND(#REF!,"AAAAAG8eeys=")</f>
        <v>#REF!</v>
      </c>
      <c r="AS121" t="e">
        <f>AND(#REF!,"AAAAAG8eeyw=")</f>
        <v>#REF!</v>
      </c>
      <c r="AT121" t="e">
        <f>AND(#REF!,"AAAAAG8eey0=")</f>
        <v>#REF!</v>
      </c>
      <c r="AU121" t="e">
        <f>AND(#REF!,"AAAAAG8eey4=")</f>
        <v>#REF!</v>
      </c>
      <c r="AV121" t="e">
        <f>AND(#REF!,"AAAAAG8eey8=")</f>
        <v>#REF!</v>
      </c>
      <c r="AW121" t="e">
        <f>AND(#REF!,"AAAAAG8eezA=")</f>
        <v>#REF!</v>
      </c>
      <c r="AX121" t="e">
        <f>AND(#REF!,"AAAAAG8eezE=")</f>
        <v>#REF!</v>
      </c>
      <c r="AY121" t="e">
        <f>AND(#REF!,"AAAAAG8eezI=")</f>
        <v>#REF!</v>
      </c>
      <c r="AZ121" t="e">
        <f>AND(#REF!,"AAAAAG8eezM=")</f>
        <v>#REF!</v>
      </c>
      <c r="BA121" t="e">
        <f>IF(#REF!,"AAAAAG8eezQ=",0)</f>
        <v>#REF!</v>
      </c>
      <c r="BB121" t="e">
        <f>AND(#REF!,"AAAAAG8eezU=")</f>
        <v>#REF!</v>
      </c>
      <c r="BC121" t="e">
        <f>AND(#REF!,"AAAAAG8eezY=")</f>
        <v>#REF!</v>
      </c>
      <c r="BD121" t="e">
        <f>AND(#REF!,"AAAAAG8eezc=")</f>
        <v>#REF!</v>
      </c>
      <c r="BE121" t="e">
        <f>AND(#REF!,"AAAAAG8eezg=")</f>
        <v>#REF!</v>
      </c>
      <c r="BF121" t="e">
        <f>AND(#REF!,"AAAAAG8eezk=")</f>
        <v>#REF!</v>
      </c>
      <c r="BG121" t="e">
        <f>AND(#REF!,"AAAAAG8eezo=")</f>
        <v>#REF!</v>
      </c>
      <c r="BH121" t="e">
        <f>AND(#REF!,"AAAAAG8eezs=")</f>
        <v>#REF!</v>
      </c>
      <c r="BI121" t="e">
        <f>AND(#REF!,"AAAAAG8eezw=")</f>
        <v>#REF!</v>
      </c>
      <c r="BJ121" t="e">
        <f>AND(#REF!,"AAAAAG8eez0=")</f>
        <v>#REF!</v>
      </c>
      <c r="BK121" t="e">
        <f>AND(#REF!,"AAAAAG8eez4=")</f>
        <v>#REF!</v>
      </c>
      <c r="BL121" t="e">
        <f>IF(#REF!,"AAAAAG8eez8=",0)</f>
        <v>#REF!</v>
      </c>
      <c r="BM121" t="e">
        <f>AND(#REF!,"AAAAAG8ee0A=")</f>
        <v>#REF!</v>
      </c>
      <c r="BN121" t="e">
        <f>AND(#REF!,"AAAAAG8ee0E=")</f>
        <v>#REF!</v>
      </c>
      <c r="BO121" t="e">
        <f>AND(#REF!,"AAAAAG8ee0I=")</f>
        <v>#REF!</v>
      </c>
      <c r="BP121" t="e">
        <f>AND(#REF!,"AAAAAG8ee0M=")</f>
        <v>#REF!</v>
      </c>
      <c r="BQ121" t="e">
        <f>AND(#REF!,"AAAAAG8ee0Q=")</f>
        <v>#REF!</v>
      </c>
      <c r="BR121" t="e">
        <f>AND(#REF!,"AAAAAG8ee0U=")</f>
        <v>#REF!</v>
      </c>
      <c r="BS121" t="e">
        <f>AND(#REF!,"AAAAAG8ee0Y=")</f>
        <v>#REF!</v>
      </c>
      <c r="BT121" t="e">
        <f>AND(#REF!,"AAAAAG8ee0c=")</f>
        <v>#REF!</v>
      </c>
      <c r="BU121" t="e">
        <f>AND(#REF!,"AAAAAG8ee0g=")</f>
        <v>#REF!</v>
      </c>
      <c r="BV121" t="e">
        <f>AND(#REF!,"AAAAAG8ee0k=")</f>
        <v>#REF!</v>
      </c>
      <c r="BW121" t="e">
        <f>IF(#REF!,"AAAAAG8ee0o=",0)</f>
        <v>#REF!</v>
      </c>
      <c r="BX121" t="e">
        <f>AND(#REF!,"AAAAAG8ee0s=")</f>
        <v>#REF!</v>
      </c>
      <c r="BY121" t="e">
        <f>AND(#REF!,"AAAAAG8ee0w=")</f>
        <v>#REF!</v>
      </c>
      <c r="BZ121" t="e">
        <f>AND(#REF!,"AAAAAG8ee00=")</f>
        <v>#REF!</v>
      </c>
      <c r="CA121" t="e">
        <f>AND(#REF!,"AAAAAG8ee04=")</f>
        <v>#REF!</v>
      </c>
      <c r="CB121" t="e">
        <f>AND(#REF!,"AAAAAG8ee08=")</f>
        <v>#REF!</v>
      </c>
      <c r="CC121" t="e">
        <f>AND(#REF!,"AAAAAG8ee1A=")</f>
        <v>#REF!</v>
      </c>
      <c r="CD121" t="e">
        <f>AND(#REF!,"AAAAAG8ee1E=")</f>
        <v>#REF!</v>
      </c>
      <c r="CE121" t="e">
        <f>AND(#REF!,"AAAAAG8ee1I=")</f>
        <v>#REF!</v>
      </c>
      <c r="CF121" t="e">
        <f>AND(#REF!,"AAAAAG8ee1M=")</f>
        <v>#REF!</v>
      </c>
      <c r="CG121" t="e">
        <f>AND(#REF!,"AAAAAG8ee1Q=")</f>
        <v>#REF!</v>
      </c>
      <c r="CH121" t="e">
        <f>IF(#REF!,"AAAAAG8ee1U=",0)</f>
        <v>#REF!</v>
      </c>
      <c r="CI121" t="e">
        <f>AND(#REF!,"AAAAAG8ee1Y=")</f>
        <v>#REF!</v>
      </c>
      <c r="CJ121" t="e">
        <f>AND(#REF!,"AAAAAG8ee1c=")</f>
        <v>#REF!</v>
      </c>
      <c r="CK121" t="e">
        <f>AND(#REF!,"AAAAAG8ee1g=")</f>
        <v>#REF!</v>
      </c>
      <c r="CL121" t="e">
        <f>AND(#REF!,"AAAAAG8ee1k=")</f>
        <v>#REF!</v>
      </c>
      <c r="CM121" t="e">
        <f>AND(#REF!,"AAAAAG8ee1o=")</f>
        <v>#REF!</v>
      </c>
      <c r="CN121" t="e">
        <f>AND(#REF!,"AAAAAG8ee1s=")</f>
        <v>#REF!</v>
      </c>
      <c r="CO121" t="e">
        <f>AND(#REF!,"AAAAAG8ee1w=")</f>
        <v>#REF!</v>
      </c>
      <c r="CP121" t="e">
        <f>AND(#REF!,"AAAAAG8ee10=")</f>
        <v>#REF!</v>
      </c>
      <c r="CQ121" t="e">
        <f>AND(#REF!,"AAAAAG8ee14=")</f>
        <v>#REF!</v>
      </c>
      <c r="CR121" t="e">
        <f>AND(#REF!,"AAAAAG8ee18=")</f>
        <v>#REF!</v>
      </c>
      <c r="CS121" t="e">
        <f>IF(#REF!,"AAAAAG8ee2A=",0)</f>
        <v>#REF!</v>
      </c>
      <c r="CT121" t="e">
        <f>AND(#REF!,"AAAAAG8ee2E=")</f>
        <v>#REF!</v>
      </c>
      <c r="CU121" t="e">
        <f>AND(#REF!,"AAAAAG8ee2I=")</f>
        <v>#REF!</v>
      </c>
      <c r="CV121" t="e">
        <f>AND(#REF!,"AAAAAG8ee2M=")</f>
        <v>#REF!</v>
      </c>
      <c r="CW121" t="e">
        <f>AND(#REF!,"AAAAAG8ee2Q=")</f>
        <v>#REF!</v>
      </c>
      <c r="CX121" t="e">
        <f>AND(#REF!,"AAAAAG8ee2U=")</f>
        <v>#REF!</v>
      </c>
      <c r="CY121" t="e">
        <f>AND(#REF!,"AAAAAG8ee2Y=")</f>
        <v>#REF!</v>
      </c>
      <c r="CZ121" t="e">
        <f>AND(#REF!,"AAAAAG8ee2c=")</f>
        <v>#REF!</v>
      </c>
      <c r="DA121" t="e">
        <f>AND(#REF!,"AAAAAG8ee2g=")</f>
        <v>#REF!</v>
      </c>
      <c r="DB121" t="e">
        <f>AND(#REF!,"AAAAAG8ee2k=")</f>
        <v>#REF!</v>
      </c>
      <c r="DC121" t="e">
        <f>AND(#REF!,"AAAAAG8ee2o=")</f>
        <v>#REF!</v>
      </c>
      <c r="DD121" t="e">
        <f>IF(#REF!,"AAAAAG8ee2s=",0)</f>
        <v>#REF!</v>
      </c>
      <c r="DE121" t="e">
        <f>AND(#REF!,"AAAAAG8ee2w=")</f>
        <v>#REF!</v>
      </c>
      <c r="DF121" t="e">
        <f>AND(#REF!,"AAAAAG8ee20=")</f>
        <v>#REF!</v>
      </c>
      <c r="DG121" t="e">
        <f>AND(#REF!,"AAAAAG8ee24=")</f>
        <v>#REF!</v>
      </c>
      <c r="DH121" t="e">
        <f>AND(#REF!,"AAAAAG8ee28=")</f>
        <v>#REF!</v>
      </c>
      <c r="DI121" t="e">
        <f>AND(#REF!,"AAAAAG8ee3A=")</f>
        <v>#REF!</v>
      </c>
      <c r="DJ121" t="e">
        <f>AND(#REF!,"AAAAAG8ee3E=")</f>
        <v>#REF!</v>
      </c>
      <c r="DK121" t="e">
        <f>AND(#REF!,"AAAAAG8ee3I=")</f>
        <v>#REF!</v>
      </c>
      <c r="DL121" t="e">
        <f>AND(#REF!,"AAAAAG8ee3M=")</f>
        <v>#REF!</v>
      </c>
      <c r="DM121" t="e">
        <f>AND(#REF!,"AAAAAG8ee3Q=")</f>
        <v>#REF!</v>
      </c>
      <c r="DN121" t="e">
        <f>AND(#REF!,"AAAAAG8ee3U=")</f>
        <v>#REF!</v>
      </c>
      <c r="DO121" t="e">
        <f>IF(#REF!,"AAAAAG8ee3Y=",0)</f>
        <v>#REF!</v>
      </c>
      <c r="DP121" t="e">
        <f>AND(#REF!,"AAAAAG8ee3c=")</f>
        <v>#REF!</v>
      </c>
      <c r="DQ121" t="e">
        <f>AND(#REF!,"AAAAAG8ee3g=")</f>
        <v>#REF!</v>
      </c>
      <c r="DR121" t="e">
        <f>AND(#REF!,"AAAAAG8ee3k=")</f>
        <v>#REF!</v>
      </c>
      <c r="DS121" t="e">
        <f>AND(#REF!,"AAAAAG8ee3o=")</f>
        <v>#REF!</v>
      </c>
      <c r="DT121" t="e">
        <f>AND(#REF!,"AAAAAG8ee3s=")</f>
        <v>#REF!</v>
      </c>
      <c r="DU121" t="e">
        <f>AND(#REF!,"AAAAAG8ee3w=")</f>
        <v>#REF!</v>
      </c>
      <c r="DV121" t="e">
        <f>AND(#REF!,"AAAAAG8ee30=")</f>
        <v>#REF!</v>
      </c>
      <c r="DW121" t="e">
        <f>AND(#REF!,"AAAAAG8ee34=")</f>
        <v>#REF!</v>
      </c>
      <c r="DX121" t="e">
        <f>AND(#REF!,"AAAAAG8ee38=")</f>
        <v>#REF!</v>
      </c>
      <c r="DY121" t="e">
        <f>AND(#REF!,"AAAAAG8ee4A=")</f>
        <v>#REF!</v>
      </c>
      <c r="DZ121" t="e">
        <f>IF(#REF!,"AAAAAG8ee4E=",0)</f>
        <v>#REF!</v>
      </c>
      <c r="EA121" t="e">
        <f>AND(#REF!,"AAAAAG8ee4I=")</f>
        <v>#REF!</v>
      </c>
      <c r="EB121" t="e">
        <f>AND(#REF!,"AAAAAG8ee4M=")</f>
        <v>#REF!</v>
      </c>
      <c r="EC121" t="e">
        <f>AND(#REF!,"AAAAAG8ee4Q=")</f>
        <v>#REF!</v>
      </c>
      <c r="ED121" t="e">
        <f>AND(#REF!,"AAAAAG8ee4U=")</f>
        <v>#REF!</v>
      </c>
      <c r="EE121" t="e">
        <f>AND(#REF!,"AAAAAG8ee4Y=")</f>
        <v>#REF!</v>
      </c>
      <c r="EF121" t="e">
        <f>AND(#REF!,"AAAAAG8ee4c=")</f>
        <v>#REF!</v>
      </c>
      <c r="EG121" t="e">
        <f>AND(#REF!,"AAAAAG8ee4g=")</f>
        <v>#REF!</v>
      </c>
      <c r="EH121" t="e">
        <f>AND(#REF!,"AAAAAG8ee4k=")</f>
        <v>#REF!</v>
      </c>
      <c r="EI121" t="e">
        <f>AND(#REF!,"AAAAAG8ee4o=")</f>
        <v>#REF!</v>
      </c>
      <c r="EJ121" t="e">
        <f>AND(#REF!,"AAAAAG8ee4s=")</f>
        <v>#REF!</v>
      </c>
      <c r="EK121" t="e">
        <f>IF(#REF!,"AAAAAG8ee4w=",0)</f>
        <v>#REF!</v>
      </c>
      <c r="EL121" t="e">
        <f>AND(#REF!,"AAAAAG8ee40=")</f>
        <v>#REF!</v>
      </c>
      <c r="EM121" t="e">
        <f>AND(#REF!,"AAAAAG8ee44=")</f>
        <v>#REF!</v>
      </c>
      <c r="EN121" t="e">
        <f>AND(#REF!,"AAAAAG8ee48=")</f>
        <v>#REF!</v>
      </c>
      <c r="EO121" t="e">
        <f>AND(#REF!,"AAAAAG8ee5A=")</f>
        <v>#REF!</v>
      </c>
      <c r="EP121" t="e">
        <f>AND(#REF!,"AAAAAG8ee5E=")</f>
        <v>#REF!</v>
      </c>
      <c r="EQ121" t="e">
        <f>AND(#REF!,"AAAAAG8ee5I=")</f>
        <v>#REF!</v>
      </c>
      <c r="ER121" t="e">
        <f>AND(#REF!,"AAAAAG8ee5M=")</f>
        <v>#REF!</v>
      </c>
      <c r="ES121" t="e">
        <f>AND(#REF!,"AAAAAG8ee5Q=")</f>
        <v>#REF!</v>
      </c>
      <c r="ET121" t="e">
        <f>AND(#REF!,"AAAAAG8ee5U=")</f>
        <v>#REF!</v>
      </c>
      <c r="EU121" t="e">
        <f>AND(#REF!,"AAAAAG8ee5Y=")</f>
        <v>#REF!</v>
      </c>
      <c r="EV121" t="e">
        <f>IF(#REF!,"AAAAAG8ee5c=",0)</f>
        <v>#REF!</v>
      </c>
      <c r="EW121" t="e">
        <f>AND(#REF!,"AAAAAG8ee5g=")</f>
        <v>#REF!</v>
      </c>
      <c r="EX121" t="e">
        <f>AND(#REF!,"AAAAAG8ee5k=")</f>
        <v>#REF!</v>
      </c>
      <c r="EY121" t="e">
        <f>AND(#REF!,"AAAAAG8ee5o=")</f>
        <v>#REF!</v>
      </c>
      <c r="EZ121" t="e">
        <f>AND(#REF!,"AAAAAG8ee5s=")</f>
        <v>#REF!</v>
      </c>
      <c r="FA121" t="e">
        <f>AND(#REF!,"AAAAAG8ee5w=")</f>
        <v>#REF!</v>
      </c>
      <c r="FB121" t="e">
        <f>AND(#REF!,"AAAAAG8ee50=")</f>
        <v>#REF!</v>
      </c>
      <c r="FC121" t="e">
        <f>AND(#REF!,"AAAAAG8ee54=")</f>
        <v>#REF!</v>
      </c>
      <c r="FD121" t="e">
        <f>AND(#REF!,"AAAAAG8ee58=")</f>
        <v>#REF!</v>
      </c>
      <c r="FE121" t="e">
        <f>AND(#REF!,"AAAAAG8ee6A=")</f>
        <v>#REF!</v>
      </c>
      <c r="FF121" t="e">
        <f>AND(#REF!,"AAAAAG8ee6E=")</f>
        <v>#REF!</v>
      </c>
      <c r="FG121" t="e">
        <f>IF(#REF!,"AAAAAG8ee6I=",0)</f>
        <v>#REF!</v>
      </c>
      <c r="FH121" t="e">
        <f>AND(#REF!,"AAAAAG8ee6M=")</f>
        <v>#REF!</v>
      </c>
      <c r="FI121" t="e">
        <f>AND(#REF!,"AAAAAG8ee6Q=")</f>
        <v>#REF!</v>
      </c>
      <c r="FJ121" t="e">
        <f>AND(#REF!,"AAAAAG8ee6U=")</f>
        <v>#REF!</v>
      </c>
      <c r="FK121" t="e">
        <f>AND(#REF!,"AAAAAG8ee6Y=")</f>
        <v>#REF!</v>
      </c>
      <c r="FL121" t="e">
        <f>AND(#REF!,"AAAAAG8ee6c=")</f>
        <v>#REF!</v>
      </c>
      <c r="FM121" t="e">
        <f>AND(#REF!,"AAAAAG8ee6g=")</f>
        <v>#REF!</v>
      </c>
      <c r="FN121" t="e">
        <f>AND(#REF!,"AAAAAG8ee6k=")</f>
        <v>#REF!</v>
      </c>
      <c r="FO121" t="e">
        <f>AND(#REF!,"AAAAAG8ee6o=")</f>
        <v>#REF!</v>
      </c>
      <c r="FP121" t="e">
        <f>AND(#REF!,"AAAAAG8ee6s=")</f>
        <v>#REF!</v>
      </c>
      <c r="FQ121" t="e">
        <f>AND(#REF!,"AAAAAG8ee6w=")</f>
        <v>#REF!</v>
      </c>
      <c r="FR121" t="e">
        <f>IF(#REF!,"AAAAAG8ee60=",0)</f>
        <v>#REF!</v>
      </c>
      <c r="FS121" t="e">
        <f>AND(#REF!,"AAAAAG8ee64=")</f>
        <v>#REF!</v>
      </c>
      <c r="FT121" t="e">
        <f>AND(#REF!,"AAAAAG8ee68=")</f>
        <v>#REF!</v>
      </c>
      <c r="FU121" t="e">
        <f>AND(#REF!,"AAAAAG8ee7A=")</f>
        <v>#REF!</v>
      </c>
      <c r="FV121" t="e">
        <f>AND(#REF!,"AAAAAG8ee7E=")</f>
        <v>#REF!</v>
      </c>
      <c r="FW121" t="e">
        <f>AND(#REF!,"AAAAAG8ee7I=")</f>
        <v>#REF!</v>
      </c>
      <c r="FX121" t="e">
        <f>AND(#REF!,"AAAAAG8ee7M=")</f>
        <v>#REF!</v>
      </c>
      <c r="FY121" t="e">
        <f>AND(#REF!,"AAAAAG8ee7Q=")</f>
        <v>#REF!</v>
      </c>
      <c r="FZ121" t="e">
        <f>AND(#REF!,"AAAAAG8ee7U=")</f>
        <v>#REF!</v>
      </c>
      <c r="GA121" t="e">
        <f>AND(#REF!,"AAAAAG8ee7Y=")</f>
        <v>#REF!</v>
      </c>
      <c r="GB121" t="e">
        <f>AND(#REF!,"AAAAAG8ee7c=")</f>
        <v>#REF!</v>
      </c>
      <c r="GC121" t="e">
        <f>IF(#REF!,"AAAAAG8ee7g=",0)</f>
        <v>#REF!</v>
      </c>
      <c r="GD121" t="e">
        <f>AND(#REF!,"AAAAAG8ee7k=")</f>
        <v>#REF!</v>
      </c>
      <c r="GE121" t="e">
        <f>AND(#REF!,"AAAAAG8ee7o=")</f>
        <v>#REF!</v>
      </c>
      <c r="GF121" t="e">
        <f>AND(#REF!,"AAAAAG8ee7s=")</f>
        <v>#REF!</v>
      </c>
      <c r="GG121" t="e">
        <f>AND(#REF!,"AAAAAG8ee7w=")</f>
        <v>#REF!</v>
      </c>
      <c r="GH121" t="e">
        <f>AND(#REF!,"AAAAAG8ee70=")</f>
        <v>#REF!</v>
      </c>
      <c r="GI121" t="e">
        <f>AND(#REF!,"AAAAAG8ee74=")</f>
        <v>#REF!</v>
      </c>
      <c r="GJ121" t="e">
        <f>AND(#REF!,"AAAAAG8ee78=")</f>
        <v>#REF!</v>
      </c>
      <c r="GK121" t="e">
        <f>AND(#REF!,"AAAAAG8ee8A=")</f>
        <v>#REF!</v>
      </c>
      <c r="GL121" t="e">
        <f>AND(#REF!,"AAAAAG8ee8E=")</f>
        <v>#REF!</v>
      </c>
      <c r="GM121" t="e">
        <f>AND(#REF!,"AAAAAG8ee8I=")</f>
        <v>#REF!</v>
      </c>
      <c r="GN121" t="e">
        <f>IF(#REF!,"AAAAAG8ee8M=",0)</f>
        <v>#REF!</v>
      </c>
      <c r="GO121" t="e">
        <f>AND(#REF!,"AAAAAG8ee8Q=")</f>
        <v>#REF!</v>
      </c>
      <c r="GP121" t="e">
        <f>AND(#REF!,"AAAAAG8ee8U=")</f>
        <v>#REF!</v>
      </c>
      <c r="GQ121" t="e">
        <f>AND(#REF!,"AAAAAG8ee8Y=")</f>
        <v>#REF!</v>
      </c>
      <c r="GR121" t="e">
        <f>AND(#REF!,"AAAAAG8ee8c=")</f>
        <v>#REF!</v>
      </c>
      <c r="GS121" t="e">
        <f>AND(#REF!,"AAAAAG8ee8g=")</f>
        <v>#REF!</v>
      </c>
      <c r="GT121" t="e">
        <f>AND(#REF!,"AAAAAG8ee8k=")</f>
        <v>#REF!</v>
      </c>
      <c r="GU121" t="e">
        <f>AND(#REF!,"AAAAAG8ee8o=")</f>
        <v>#REF!</v>
      </c>
      <c r="GV121" t="e">
        <f>AND(#REF!,"AAAAAG8ee8s=")</f>
        <v>#REF!</v>
      </c>
      <c r="GW121" t="e">
        <f>AND(#REF!,"AAAAAG8ee8w=")</f>
        <v>#REF!</v>
      </c>
      <c r="GX121" t="e">
        <f>AND(#REF!,"AAAAAG8ee80=")</f>
        <v>#REF!</v>
      </c>
      <c r="GY121" t="e">
        <f>IF(#REF!,"AAAAAG8ee84=",0)</f>
        <v>#REF!</v>
      </c>
      <c r="GZ121" t="e">
        <f>AND(#REF!,"AAAAAG8ee88=")</f>
        <v>#REF!</v>
      </c>
      <c r="HA121" t="e">
        <f>AND(#REF!,"AAAAAG8ee9A=")</f>
        <v>#REF!</v>
      </c>
      <c r="HB121" t="e">
        <f>AND(#REF!,"AAAAAG8ee9E=")</f>
        <v>#REF!</v>
      </c>
      <c r="HC121" t="e">
        <f>AND(#REF!,"AAAAAG8ee9I=")</f>
        <v>#REF!</v>
      </c>
      <c r="HD121" t="e">
        <f>AND(#REF!,"AAAAAG8ee9M=")</f>
        <v>#REF!</v>
      </c>
      <c r="HE121" t="e">
        <f>AND(#REF!,"AAAAAG8ee9Q=")</f>
        <v>#REF!</v>
      </c>
      <c r="HF121" t="e">
        <f>AND(#REF!,"AAAAAG8ee9U=")</f>
        <v>#REF!</v>
      </c>
      <c r="HG121" t="e">
        <f>AND(#REF!,"AAAAAG8ee9Y=")</f>
        <v>#REF!</v>
      </c>
      <c r="HH121" t="e">
        <f>AND(#REF!,"AAAAAG8ee9c=")</f>
        <v>#REF!</v>
      </c>
      <c r="HI121" t="e">
        <f>AND(#REF!,"AAAAAG8ee9g=")</f>
        <v>#REF!</v>
      </c>
      <c r="HJ121" t="e">
        <f>IF(#REF!,"AAAAAG8ee9k=",0)</f>
        <v>#REF!</v>
      </c>
      <c r="HK121" t="e">
        <f>AND(#REF!,"AAAAAG8ee9o=")</f>
        <v>#REF!</v>
      </c>
      <c r="HL121" t="e">
        <f>AND(#REF!,"AAAAAG8ee9s=")</f>
        <v>#REF!</v>
      </c>
      <c r="HM121" t="e">
        <f>AND(#REF!,"AAAAAG8ee9w=")</f>
        <v>#REF!</v>
      </c>
      <c r="HN121" t="e">
        <f>AND(#REF!,"AAAAAG8ee90=")</f>
        <v>#REF!</v>
      </c>
      <c r="HO121" t="e">
        <f>AND(#REF!,"AAAAAG8ee94=")</f>
        <v>#REF!</v>
      </c>
      <c r="HP121" t="e">
        <f>AND(#REF!,"AAAAAG8ee98=")</f>
        <v>#REF!</v>
      </c>
      <c r="HQ121" t="e">
        <f>AND(#REF!,"AAAAAG8ee+A=")</f>
        <v>#REF!</v>
      </c>
      <c r="HR121" t="e">
        <f>AND(#REF!,"AAAAAG8ee+E=")</f>
        <v>#REF!</v>
      </c>
      <c r="HS121" t="e">
        <f>AND(#REF!,"AAAAAG8ee+I=")</f>
        <v>#REF!</v>
      </c>
      <c r="HT121" t="e">
        <f>AND(#REF!,"AAAAAG8ee+M=")</f>
        <v>#REF!</v>
      </c>
      <c r="HU121" t="e">
        <f>IF(#REF!,"AAAAAG8ee+Q=",0)</f>
        <v>#REF!</v>
      </c>
      <c r="HV121" t="e">
        <f>AND(#REF!,"AAAAAG8ee+U=")</f>
        <v>#REF!</v>
      </c>
      <c r="HW121" t="e">
        <f>AND(#REF!,"AAAAAG8ee+Y=")</f>
        <v>#REF!</v>
      </c>
      <c r="HX121" t="e">
        <f>AND(#REF!,"AAAAAG8ee+c=")</f>
        <v>#REF!</v>
      </c>
      <c r="HY121" t="e">
        <f>AND(#REF!,"AAAAAG8ee+g=")</f>
        <v>#REF!</v>
      </c>
      <c r="HZ121" t="e">
        <f>AND(#REF!,"AAAAAG8ee+k=")</f>
        <v>#REF!</v>
      </c>
      <c r="IA121" t="e">
        <f>AND(#REF!,"AAAAAG8ee+o=")</f>
        <v>#REF!</v>
      </c>
      <c r="IB121" t="e">
        <f>AND(#REF!,"AAAAAG8ee+s=")</f>
        <v>#REF!</v>
      </c>
      <c r="IC121" t="e">
        <f>AND(#REF!,"AAAAAG8ee+w=")</f>
        <v>#REF!</v>
      </c>
      <c r="ID121" t="e">
        <f>AND(#REF!,"AAAAAG8ee+0=")</f>
        <v>#REF!</v>
      </c>
      <c r="IE121" t="e">
        <f>AND(#REF!,"AAAAAG8ee+4=")</f>
        <v>#REF!</v>
      </c>
      <c r="IF121" t="e">
        <f>IF(#REF!,"AAAAAG8ee+8=",0)</f>
        <v>#REF!</v>
      </c>
      <c r="IG121" t="e">
        <f>AND(#REF!,"AAAAAG8ee/A=")</f>
        <v>#REF!</v>
      </c>
      <c r="IH121" t="e">
        <f>AND(#REF!,"AAAAAG8ee/E=")</f>
        <v>#REF!</v>
      </c>
      <c r="II121" t="e">
        <f>AND(#REF!,"AAAAAG8ee/I=")</f>
        <v>#REF!</v>
      </c>
      <c r="IJ121" t="e">
        <f>AND(#REF!,"AAAAAG8ee/M=")</f>
        <v>#REF!</v>
      </c>
      <c r="IK121" t="e">
        <f>AND(#REF!,"AAAAAG8ee/Q=")</f>
        <v>#REF!</v>
      </c>
      <c r="IL121" t="e">
        <f>AND(#REF!,"AAAAAG8ee/U=")</f>
        <v>#REF!</v>
      </c>
      <c r="IM121" t="e">
        <f>AND(#REF!,"AAAAAG8ee/Y=")</f>
        <v>#REF!</v>
      </c>
      <c r="IN121" t="e">
        <f>AND(#REF!,"AAAAAG8ee/c=")</f>
        <v>#REF!</v>
      </c>
      <c r="IO121" t="e">
        <f>AND(#REF!,"AAAAAG8ee/g=")</f>
        <v>#REF!</v>
      </c>
      <c r="IP121" t="e">
        <f>AND(#REF!,"AAAAAG8ee/k=")</f>
        <v>#REF!</v>
      </c>
      <c r="IQ121" t="e">
        <f>IF(#REF!,"AAAAAG8ee/o=",0)</f>
        <v>#REF!</v>
      </c>
      <c r="IR121" t="e">
        <f>AND(#REF!,"AAAAAG8ee/s=")</f>
        <v>#REF!</v>
      </c>
      <c r="IS121" t="e">
        <f>AND(#REF!,"AAAAAG8ee/w=")</f>
        <v>#REF!</v>
      </c>
      <c r="IT121" t="e">
        <f>AND(#REF!,"AAAAAG8ee/0=")</f>
        <v>#REF!</v>
      </c>
      <c r="IU121" t="e">
        <f>AND(#REF!,"AAAAAG8ee/4=")</f>
        <v>#REF!</v>
      </c>
      <c r="IV121" t="e">
        <f>AND(#REF!,"AAAAAG8ee/8=")</f>
        <v>#REF!</v>
      </c>
    </row>
    <row r="122" spans="1:256" x14ac:dyDescent="0.25">
      <c r="A122" t="e">
        <f>AND(#REF!,"AAAAAGn/mwA=")</f>
        <v>#REF!</v>
      </c>
      <c r="B122" t="e">
        <f>AND(#REF!,"AAAAAGn/mwE=")</f>
        <v>#REF!</v>
      </c>
      <c r="C122" t="e">
        <f>AND(#REF!,"AAAAAGn/mwI=")</f>
        <v>#REF!</v>
      </c>
      <c r="D122" t="e">
        <f>AND(#REF!,"AAAAAGn/mwM=")</f>
        <v>#REF!</v>
      </c>
      <c r="E122" t="e">
        <f>AND(#REF!,"AAAAAGn/mwQ=")</f>
        <v>#REF!</v>
      </c>
      <c r="F122" t="e">
        <f>IF(#REF!,"AAAAAGn/mwU=",0)</f>
        <v>#REF!</v>
      </c>
      <c r="G122" t="e">
        <f>AND(#REF!,"AAAAAGn/mwY=")</f>
        <v>#REF!</v>
      </c>
      <c r="H122" t="e">
        <f>AND(#REF!,"AAAAAGn/mwc=")</f>
        <v>#REF!</v>
      </c>
      <c r="I122" t="e">
        <f>AND(#REF!,"AAAAAGn/mwg=")</f>
        <v>#REF!</v>
      </c>
      <c r="J122" t="e">
        <f>AND(#REF!,"AAAAAGn/mwk=")</f>
        <v>#REF!</v>
      </c>
      <c r="K122" t="e">
        <f>AND(#REF!,"AAAAAGn/mwo=")</f>
        <v>#REF!</v>
      </c>
      <c r="L122" t="e">
        <f>AND(#REF!,"AAAAAGn/mws=")</f>
        <v>#REF!</v>
      </c>
      <c r="M122" t="e">
        <f>AND(#REF!,"AAAAAGn/mww=")</f>
        <v>#REF!</v>
      </c>
      <c r="N122" t="e">
        <f>AND(#REF!,"AAAAAGn/mw0=")</f>
        <v>#REF!</v>
      </c>
      <c r="O122" t="e">
        <f>AND(#REF!,"AAAAAGn/mw4=")</f>
        <v>#REF!</v>
      </c>
      <c r="P122" t="e">
        <f>AND(#REF!,"AAAAAGn/mw8=")</f>
        <v>#REF!</v>
      </c>
      <c r="Q122" t="e">
        <f>IF(#REF!,"AAAAAGn/mxA=",0)</f>
        <v>#REF!</v>
      </c>
      <c r="R122" t="e">
        <f>AND(#REF!,"AAAAAGn/mxE=")</f>
        <v>#REF!</v>
      </c>
      <c r="S122" t="e">
        <f>AND(#REF!,"AAAAAGn/mxI=")</f>
        <v>#REF!</v>
      </c>
      <c r="T122" t="e">
        <f>AND(#REF!,"AAAAAGn/mxM=")</f>
        <v>#REF!</v>
      </c>
      <c r="U122" t="e">
        <f>AND(#REF!,"AAAAAGn/mxQ=")</f>
        <v>#REF!</v>
      </c>
      <c r="V122" t="e">
        <f>AND(#REF!,"AAAAAGn/mxU=")</f>
        <v>#REF!</v>
      </c>
      <c r="W122" t="e">
        <f>AND(#REF!,"AAAAAGn/mxY=")</f>
        <v>#REF!</v>
      </c>
      <c r="X122" t="e">
        <f>AND(#REF!,"AAAAAGn/mxc=")</f>
        <v>#REF!</v>
      </c>
      <c r="Y122" t="e">
        <f>AND(#REF!,"AAAAAGn/mxg=")</f>
        <v>#REF!</v>
      </c>
      <c r="Z122" t="e">
        <f>AND(#REF!,"AAAAAGn/mxk=")</f>
        <v>#REF!</v>
      </c>
      <c r="AA122" t="e">
        <f>AND(#REF!,"AAAAAGn/mxo=")</f>
        <v>#REF!</v>
      </c>
      <c r="AB122" t="e">
        <f>IF(#REF!,"AAAAAGn/mxs=",0)</f>
        <v>#REF!</v>
      </c>
      <c r="AC122" t="e">
        <f>AND(#REF!,"AAAAAGn/mxw=")</f>
        <v>#REF!</v>
      </c>
      <c r="AD122" t="e">
        <f>AND(#REF!,"AAAAAGn/mx0=")</f>
        <v>#REF!</v>
      </c>
      <c r="AE122" t="e">
        <f>AND(#REF!,"AAAAAGn/mx4=")</f>
        <v>#REF!</v>
      </c>
      <c r="AF122" t="e">
        <f>AND(#REF!,"AAAAAGn/mx8=")</f>
        <v>#REF!</v>
      </c>
      <c r="AG122" t="e">
        <f>AND(#REF!,"AAAAAGn/myA=")</f>
        <v>#REF!</v>
      </c>
      <c r="AH122" t="e">
        <f>AND(#REF!,"AAAAAGn/myE=")</f>
        <v>#REF!</v>
      </c>
      <c r="AI122" t="e">
        <f>AND(#REF!,"AAAAAGn/myI=")</f>
        <v>#REF!</v>
      </c>
      <c r="AJ122" t="e">
        <f>AND(#REF!,"AAAAAGn/myM=")</f>
        <v>#REF!</v>
      </c>
      <c r="AK122" t="e">
        <f>AND(#REF!,"AAAAAGn/myQ=")</f>
        <v>#REF!</v>
      </c>
      <c r="AL122" t="e">
        <f>AND(#REF!,"AAAAAGn/myU=")</f>
        <v>#REF!</v>
      </c>
      <c r="AM122" t="e">
        <f>IF(#REF!,"AAAAAGn/myY=",0)</f>
        <v>#REF!</v>
      </c>
      <c r="AN122" t="e">
        <f>AND(#REF!,"AAAAAGn/myc=")</f>
        <v>#REF!</v>
      </c>
      <c r="AO122" t="e">
        <f>AND(#REF!,"AAAAAGn/myg=")</f>
        <v>#REF!</v>
      </c>
      <c r="AP122" t="e">
        <f>AND(#REF!,"AAAAAGn/myk=")</f>
        <v>#REF!</v>
      </c>
      <c r="AQ122" t="e">
        <f>AND(#REF!,"AAAAAGn/myo=")</f>
        <v>#REF!</v>
      </c>
      <c r="AR122" t="e">
        <f>AND(#REF!,"AAAAAGn/mys=")</f>
        <v>#REF!</v>
      </c>
      <c r="AS122" t="e">
        <f>AND(#REF!,"AAAAAGn/myw=")</f>
        <v>#REF!</v>
      </c>
      <c r="AT122" t="e">
        <f>AND(#REF!,"AAAAAGn/my0=")</f>
        <v>#REF!</v>
      </c>
      <c r="AU122" t="e">
        <f>AND(#REF!,"AAAAAGn/my4=")</f>
        <v>#REF!</v>
      </c>
      <c r="AV122" t="e">
        <f>AND(#REF!,"AAAAAGn/my8=")</f>
        <v>#REF!</v>
      </c>
      <c r="AW122" t="e">
        <f>AND(#REF!,"AAAAAGn/mzA=")</f>
        <v>#REF!</v>
      </c>
      <c r="AX122" t="e">
        <f>IF(#REF!,"AAAAAGn/mzE=",0)</f>
        <v>#REF!</v>
      </c>
      <c r="AY122" t="e">
        <f>AND(#REF!,"AAAAAGn/mzI=")</f>
        <v>#REF!</v>
      </c>
      <c r="AZ122" t="e">
        <f>AND(#REF!,"AAAAAGn/mzM=")</f>
        <v>#REF!</v>
      </c>
      <c r="BA122" t="e">
        <f>AND(#REF!,"AAAAAGn/mzQ=")</f>
        <v>#REF!</v>
      </c>
      <c r="BB122" t="e">
        <f>AND(#REF!,"AAAAAGn/mzU=")</f>
        <v>#REF!</v>
      </c>
      <c r="BC122" t="e">
        <f>AND(#REF!,"AAAAAGn/mzY=")</f>
        <v>#REF!</v>
      </c>
      <c r="BD122" t="e">
        <f>AND(#REF!,"AAAAAGn/mzc=")</f>
        <v>#REF!</v>
      </c>
      <c r="BE122" t="e">
        <f>AND(#REF!,"AAAAAGn/mzg=")</f>
        <v>#REF!</v>
      </c>
      <c r="BF122" t="e">
        <f>AND(#REF!,"AAAAAGn/mzk=")</f>
        <v>#REF!</v>
      </c>
      <c r="BG122" t="e">
        <f>AND(#REF!,"AAAAAGn/mzo=")</f>
        <v>#REF!</v>
      </c>
      <c r="BH122" t="e">
        <f>AND(#REF!,"AAAAAGn/mzs=")</f>
        <v>#REF!</v>
      </c>
      <c r="BI122" t="e">
        <f>IF(#REF!,"AAAAAGn/mzw=",0)</f>
        <v>#REF!</v>
      </c>
      <c r="BJ122" t="e">
        <f>AND(#REF!,"AAAAAGn/mz0=")</f>
        <v>#REF!</v>
      </c>
      <c r="BK122" t="e">
        <f>AND(#REF!,"AAAAAGn/mz4=")</f>
        <v>#REF!</v>
      </c>
      <c r="BL122" t="e">
        <f>AND(#REF!,"AAAAAGn/mz8=")</f>
        <v>#REF!</v>
      </c>
      <c r="BM122" t="e">
        <f>AND(#REF!,"AAAAAGn/m0A=")</f>
        <v>#REF!</v>
      </c>
      <c r="BN122" t="e">
        <f>AND(#REF!,"AAAAAGn/m0E=")</f>
        <v>#REF!</v>
      </c>
      <c r="BO122" t="e">
        <f>AND(#REF!,"AAAAAGn/m0I=")</f>
        <v>#REF!</v>
      </c>
      <c r="BP122" t="e">
        <f>AND(#REF!,"AAAAAGn/m0M=")</f>
        <v>#REF!</v>
      </c>
      <c r="BQ122" t="e">
        <f>AND(#REF!,"AAAAAGn/m0Q=")</f>
        <v>#REF!</v>
      </c>
      <c r="BR122" t="e">
        <f>AND(#REF!,"AAAAAGn/m0U=")</f>
        <v>#REF!</v>
      </c>
      <c r="BS122" t="e">
        <f>AND(#REF!,"AAAAAGn/m0Y=")</f>
        <v>#REF!</v>
      </c>
      <c r="BT122" t="e">
        <f>IF(#REF!,"AAAAAGn/m0c=",0)</f>
        <v>#REF!</v>
      </c>
      <c r="BU122" t="e">
        <f>AND(#REF!,"AAAAAGn/m0g=")</f>
        <v>#REF!</v>
      </c>
      <c r="BV122" t="e">
        <f>AND(#REF!,"AAAAAGn/m0k=")</f>
        <v>#REF!</v>
      </c>
      <c r="BW122" t="e">
        <f>AND(#REF!,"AAAAAGn/m0o=")</f>
        <v>#REF!</v>
      </c>
      <c r="BX122" t="e">
        <f>AND(#REF!,"AAAAAGn/m0s=")</f>
        <v>#REF!</v>
      </c>
      <c r="BY122" t="e">
        <f>AND(#REF!,"AAAAAGn/m0w=")</f>
        <v>#REF!</v>
      </c>
      <c r="BZ122" t="e">
        <f>AND(#REF!,"AAAAAGn/m00=")</f>
        <v>#REF!</v>
      </c>
      <c r="CA122" t="e">
        <f>AND(#REF!,"AAAAAGn/m04=")</f>
        <v>#REF!</v>
      </c>
      <c r="CB122" t="e">
        <f>AND(#REF!,"AAAAAGn/m08=")</f>
        <v>#REF!</v>
      </c>
      <c r="CC122" t="e">
        <f>AND(#REF!,"AAAAAGn/m1A=")</f>
        <v>#REF!</v>
      </c>
      <c r="CD122" t="e">
        <f>AND(#REF!,"AAAAAGn/m1E=")</f>
        <v>#REF!</v>
      </c>
      <c r="CE122" t="e">
        <f>IF(#REF!,"AAAAAGn/m1I=",0)</f>
        <v>#REF!</v>
      </c>
      <c r="CF122" t="e">
        <f>AND(#REF!,"AAAAAGn/m1M=")</f>
        <v>#REF!</v>
      </c>
      <c r="CG122" t="e">
        <f>AND(#REF!,"AAAAAGn/m1Q=")</f>
        <v>#REF!</v>
      </c>
      <c r="CH122" t="e">
        <f>AND(#REF!,"AAAAAGn/m1U=")</f>
        <v>#REF!</v>
      </c>
      <c r="CI122" t="e">
        <f>AND(#REF!,"AAAAAGn/m1Y=")</f>
        <v>#REF!</v>
      </c>
      <c r="CJ122" t="e">
        <f>AND(#REF!,"AAAAAGn/m1c=")</f>
        <v>#REF!</v>
      </c>
      <c r="CK122" t="e">
        <f>AND(#REF!,"AAAAAGn/m1g=")</f>
        <v>#REF!</v>
      </c>
      <c r="CL122" t="e">
        <f>AND(#REF!,"AAAAAGn/m1k=")</f>
        <v>#REF!</v>
      </c>
      <c r="CM122" t="e">
        <f>AND(#REF!,"AAAAAGn/m1o=")</f>
        <v>#REF!</v>
      </c>
      <c r="CN122" t="e">
        <f>AND(#REF!,"AAAAAGn/m1s=")</f>
        <v>#REF!</v>
      </c>
      <c r="CO122" t="e">
        <f>AND(#REF!,"AAAAAGn/m1w=")</f>
        <v>#REF!</v>
      </c>
      <c r="CP122" t="e">
        <f>IF(#REF!,"AAAAAGn/m10=",0)</f>
        <v>#REF!</v>
      </c>
      <c r="CQ122" t="e">
        <f>AND(#REF!,"AAAAAGn/m14=")</f>
        <v>#REF!</v>
      </c>
      <c r="CR122" t="e">
        <f>AND(#REF!,"AAAAAGn/m18=")</f>
        <v>#REF!</v>
      </c>
      <c r="CS122" t="e">
        <f>AND(#REF!,"AAAAAGn/m2A=")</f>
        <v>#REF!</v>
      </c>
      <c r="CT122" t="e">
        <f>AND(#REF!,"AAAAAGn/m2E=")</f>
        <v>#REF!</v>
      </c>
      <c r="CU122" t="e">
        <f>AND(#REF!,"AAAAAGn/m2I=")</f>
        <v>#REF!</v>
      </c>
      <c r="CV122" t="e">
        <f>AND(#REF!,"AAAAAGn/m2M=")</f>
        <v>#REF!</v>
      </c>
      <c r="CW122" t="e">
        <f>AND(#REF!,"AAAAAGn/m2Q=")</f>
        <v>#REF!</v>
      </c>
      <c r="CX122" t="e">
        <f>AND(#REF!,"AAAAAGn/m2U=")</f>
        <v>#REF!</v>
      </c>
      <c r="CY122" t="e">
        <f>AND(#REF!,"AAAAAGn/m2Y=")</f>
        <v>#REF!</v>
      </c>
      <c r="CZ122" t="e">
        <f>AND(#REF!,"AAAAAGn/m2c=")</f>
        <v>#REF!</v>
      </c>
      <c r="DA122" t="e">
        <f>IF(#REF!,"AAAAAGn/m2g=",0)</f>
        <v>#REF!</v>
      </c>
      <c r="DB122" t="e">
        <f>AND(#REF!,"AAAAAGn/m2k=")</f>
        <v>#REF!</v>
      </c>
      <c r="DC122" t="e">
        <f>AND(#REF!,"AAAAAGn/m2o=")</f>
        <v>#REF!</v>
      </c>
      <c r="DD122" t="e">
        <f>AND(#REF!,"AAAAAGn/m2s=")</f>
        <v>#REF!</v>
      </c>
      <c r="DE122" t="e">
        <f>AND(#REF!,"AAAAAGn/m2w=")</f>
        <v>#REF!</v>
      </c>
      <c r="DF122" t="e">
        <f>AND(#REF!,"AAAAAGn/m20=")</f>
        <v>#REF!</v>
      </c>
      <c r="DG122" t="e">
        <f>AND(#REF!,"AAAAAGn/m24=")</f>
        <v>#REF!</v>
      </c>
      <c r="DH122" t="e">
        <f>AND(#REF!,"AAAAAGn/m28=")</f>
        <v>#REF!</v>
      </c>
      <c r="DI122" t="e">
        <f>AND(#REF!,"AAAAAGn/m3A=")</f>
        <v>#REF!</v>
      </c>
      <c r="DJ122" t="e">
        <f>AND(#REF!,"AAAAAGn/m3E=")</f>
        <v>#REF!</v>
      </c>
      <c r="DK122" t="e">
        <f>AND(#REF!,"AAAAAGn/m3I=")</f>
        <v>#REF!</v>
      </c>
      <c r="DL122" t="e">
        <f>IF(#REF!,"AAAAAGn/m3M=",0)</f>
        <v>#REF!</v>
      </c>
      <c r="DM122" t="e">
        <f>AND(#REF!,"AAAAAGn/m3Q=")</f>
        <v>#REF!</v>
      </c>
      <c r="DN122" t="e">
        <f>AND(#REF!,"AAAAAGn/m3U=")</f>
        <v>#REF!</v>
      </c>
      <c r="DO122" t="e">
        <f>AND(#REF!,"AAAAAGn/m3Y=")</f>
        <v>#REF!</v>
      </c>
      <c r="DP122" t="e">
        <f>AND(#REF!,"AAAAAGn/m3c=")</f>
        <v>#REF!</v>
      </c>
      <c r="DQ122" t="e">
        <f>AND(#REF!,"AAAAAGn/m3g=")</f>
        <v>#REF!</v>
      </c>
      <c r="DR122" t="e">
        <f>AND(#REF!,"AAAAAGn/m3k=")</f>
        <v>#REF!</v>
      </c>
      <c r="DS122" t="e">
        <f>AND(#REF!,"AAAAAGn/m3o=")</f>
        <v>#REF!</v>
      </c>
      <c r="DT122" t="e">
        <f>AND(#REF!,"AAAAAGn/m3s=")</f>
        <v>#REF!</v>
      </c>
      <c r="DU122" t="e">
        <f>AND(#REF!,"AAAAAGn/m3w=")</f>
        <v>#REF!</v>
      </c>
      <c r="DV122" t="e">
        <f>AND(#REF!,"AAAAAGn/m30=")</f>
        <v>#REF!</v>
      </c>
      <c r="DW122" t="e">
        <f>IF(#REF!,"AAAAAGn/m34=",0)</f>
        <v>#REF!</v>
      </c>
      <c r="DX122" t="e">
        <f>AND(#REF!,"AAAAAGn/m38=")</f>
        <v>#REF!</v>
      </c>
      <c r="DY122" t="e">
        <f>AND(#REF!,"AAAAAGn/m4A=")</f>
        <v>#REF!</v>
      </c>
      <c r="DZ122" t="e">
        <f>AND(#REF!,"AAAAAGn/m4E=")</f>
        <v>#REF!</v>
      </c>
      <c r="EA122" t="e">
        <f>AND(#REF!,"AAAAAGn/m4I=")</f>
        <v>#REF!</v>
      </c>
      <c r="EB122" t="e">
        <f>AND(#REF!,"AAAAAGn/m4M=")</f>
        <v>#REF!</v>
      </c>
      <c r="EC122" t="e">
        <f>AND(#REF!,"AAAAAGn/m4Q=")</f>
        <v>#REF!</v>
      </c>
      <c r="ED122" t="e">
        <f>AND(#REF!,"AAAAAGn/m4U=")</f>
        <v>#REF!</v>
      </c>
      <c r="EE122" t="e">
        <f>AND(#REF!,"AAAAAGn/m4Y=")</f>
        <v>#REF!</v>
      </c>
      <c r="EF122" t="e">
        <f>AND(#REF!,"AAAAAGn/m4c=")</f>
        <v>#REF!</v>
      </c>
      <c r="EG122" t="e">
        <f>AND(#REF!,"AAAAAGn/m4g=")</f>
        <v>#REF!</v>
      </c>
      <c r="EH122" t="e">
        <f>IF(#REF!,"AAAAAGn/m4k=",0)</f>
        <v>#REF!</v>
      </c>
      <c r="EI122" t="e">
        <f>AND(#REF!,"AAAAAGn/m4o=")</f>
        <v>#REF!</v>
      </c>
      <c r="EJ122" t="e">
        <f>AND(#REF!,"AAAAAGn/m4s=")</f>
        <v>#REF!</v>
      </c>
      <c r="EK122" t="e">
        <f>AND(#REF!,"AAAAAGn/m4w=")</f>
        <v>#REF!</v>
      </c>
      <c r="EL122" t="e">
        <f>AND(#REF!,"AAAAAGn/m40=")</f>
        <v>#REF!</v>
      </c>
      <c r="EM122" t="e">
        <f>AND(#REF!,"AAAAAGn/m44=")</f>
        <v>#REF!</v>
      </c>
      <c r="EN122" t="e">
        <f>AND(#REF!,"AAAAAGn/m48=")</f>
        <v>#REF!</v>
      </c>
      <c r="EO122" t="e">
        <f>AND(#REF!,"AAAAAGn/m5A=")</f>
        <v>#REF!</v>
      </c>
      <c r="EP122" t="e">
        <f>AND(#REF!,"AAAAAGn/m5E=")</f>
        <v>#REF!</v>
      </c>
      <c r="EQ122" t="e">
        <f>AND(#REF!,"AAAAAGn/m5I=")</f>
        <v>#REF!</v>
      </c>
      <c r="ER122" t="e">
        <f>AND(#REF!,"AAAAAGn/m5M=")</f>
        <v>#REF!</v>
      </c>
      <c r="ES122" t="e">
        <f>IF(#REF!,"AAAAAGn/m5Q=",0)</f>
        <v>#REF!</v>
      </c>
      <c r="ET122" t="e">
        <f>AND(#REF!,"AAAAAGn/m5U=")</f>
        <v>#REF!</v>
      </c>
      <c r="EU122" t="e">
        <f>AND(#REF!,"AAAAAGn/m5Y=")</f>
        <v>#REF!</v>
      </c>
      <c r="EV122" t="e">
        <f>AND(#REF!,"AAAAAGn/m5c=")</f>
        <v>#REF!</v>
      </c>
      <c r="EW122" t="e">
        <f>AND(#REF!,"AAAAAGn/m5g=")</f>
        <v>#REF!</v>
      </c>
      <c r="EX122" t="e">
        <f>AND(#REF!,"AAAAAGn/m5k=")</f>
        <v>#REF!</v>
      </c>
      <c r="EY122" t="e">
        <f>AND(#REF!,"AAAAAGn/m5o=")</f>
        <v>#REF!</v>
      </c>
      <c r="EZ122" t="e">
        <f>AND(#REF!,"AAAAAGn/m5s=")</f>
        <v>#REF!</v>
      </c>
      <c r="FA122" t="e">
        <f>AND(#REF!,"AAAAAGn/m5w=")</f>
        <v>#REF!</v>
      </c>
      <c r="FB122" t="e">
        <f>AND(#REF!,"AAAAAGn/m50=")</f>
        <v>#REF!</v>
      </c>
      <c r="FC122" t="e">
        <f>AND(#REF!,"AAAAAGn/m54=")</f>
        <v>#REF!</v>
      </c>
      <c r="FD122" t="e">
        <f>IF(#REF!,"AAAAAGn/m58=",0)</f>
        <v>#REF!</v>
      </c>
      <c r="FE122" t="e">
        <f>AND(#REF!,"AAAAAGn/m6A=")</f>
        <v>#REF!</v>
      </c>
      <c r="FF122" t="e">
        <f>AND(#REF!,"AAAAAGn/m6E=")</f>
        <v>#REF!</v>
      </c>
      <c r="FG122" t="e">
        <f>AND(#REF!,"AAAAAGn/m6I=")</f>
        <v>#REF!</v>
      </c>
      <c r="FH122" t="e">
        <f>AND(#REF!,"AAAAAGn/m6M=")</f>
        <v>#REF!</v>
      </c>
      <c r="FI122" t="e">
        <f>AND(#REF!,"AAAAAGn/m6Q=")</f>
        <v>#REF!</v>
      </c>
      <c r="FJ122" t="e">
        <f>AND(#REF!,"AAAAAGn/m6U=")</f>
        <v>#REF!</v>
      </c>
      <c r="FK122" t="e">
        <f>AND(#REF!,"AAAAAGn/m6Y=")</f>
        <v>#REF!</v>
      </c>
      <c r="FL122" t="e">
        <f>AND(#REF!,"AAAAAGn/m6c=")</f>
        <v>#REF!</v>
      </c>
      <c r="FM122" t="e">
        <f>AND(#REF!,"AAAAAGn/m6g=")</f>
        <v>#REF!</v>
      </c>
      <c r="FN122" t="e">
        <f>AND(#REF!,"AAAAAGn/m6k=")</f>
        <v>#REF!</v>
      </c>
      <c r="FO122" t="e">
        <f>IF(#REF!,"AAAAAGn/m6o=",0)</f>
        <v>#REF!</v>
      </c>
      <c r="FP122" t="e">
        <f>AND(#REF!,"AAAAAGn/m6s=")</f>
        <v>#REF!</v>
      </c>
      <c r="FQ122" t="e">
        <f>AND(#REF!,"AAAAAGn/m6w=")</f>
        <v>#REF!</v>
      </c>
      <c r="FR122" t="e">
        <f>AND(#REF!,"AAAAAGn/m60=")</f>
        <v>#REF!</v>
      </c>
      <c r="FS122" t="e">
        <f>AND(#REF!,"AAAAAGn/m64=")</f>
        <v>#REF!</v>
      </c>
      <c r="FT122" t="e">
        <f>AND(#REF!,"AAAAAGn/m68=")</f>
        <v>#REF!</v>
      </c>
      <c r="FU122" t="e">
        <f>AND(#REF!,"AAAAAGn/m7A=")</f>
        <v>#REF!</v>
      </c>
      <c r="FV122" t="e">
        <f>AND(#REF!,"AAAAAGn/m7E=")</f>
        <v>#REF!</v>
      </c>
      <c r="FW122" t="e">
        <f>AND(#REF!,"AAAAAGn/m7I=")</f>
        <v>#REF!</v>
      </c>
      <c r="FX122" t="e">
        <f>AND(#REF!,"AAAAAGn/m7M=")</f>
        <v>#REF!</v>
      </c>
      <c r="FY122" t="e">
        <f>AND(#REF!,"AAAAAGn/m7Q=")</f>
        <v>#REF!</v>
      </c>
      <c r="FZ122" t="e">
        <f>IF(#REF!,"AAAAAGn/m7U=",0)</f>
        <v>#REF!</v>
      </c>
      <c r="GA122" t="e">
        <f>AND(#REF!,"AAAAAGn/m7Y=")</f>
        <v>#REF!</v>
      </c>
      <c r="GB122" t="e">
        <f>AND(#REF!,"AAAAAGn/m7c=")</f>
        <v>#REF!</v>
      </c>
      <c r="GC122" t="e">
        <f>AND(#REF!,"AAAAAGn/m7g=")</f>
        <v>#REF!</v>
      </c>
      <c r="GD122" t="e">
        <f>AND(#REF!,"AAAAAGn/m7k=")</f>
        <v>#REF!</v>
      </c>
      <c r="GE122" t="e">
        <f>AND(#REF!,"AAAAAGn/m7o=")</f>
        <v>#REF!</v>
      </c>
      <c r="GF122" t="e">
        <f>AND(#REF!,"AAAAAGn/m7s=")</f>
        <v>#REF!</v>
      </c>
      <c r="GG122" t="e">
        <f>AND(#REF!,"AAAAAGn/m7w=")</f>
        <v>#REF!</v>
      </c>
      <c r="GH122" t="e">
        <f>AND(#REF!,"AAAAAGn/m70=")</f>
        <v>#REF!</v>
      </c>
      <c r="GI122" t="e">
        <f>AND(#REF!,"AAAAAGn/m74=")</f>
        <v>#REF!</v>
      </c>
      <c r="GJ122" t="e">
        <f>AND(#REF!,"AAAAAGn/m78=")</f>
        <v>#REF!</v>
      </c>
      <c r="GK122" t="e">
        <f>IF(#REF!,"AAAAAGn/m8A=",0)</f>
        <v>#REF!</v>
      </c>
      <c r="GL122" t="e">
        <f>AND(#REF!,"AAAAAGn/m8E=")</f>
        <v>#REF!</v>
      </c>
      <c r="GM122" t="e">
        <f>AND(#REF!,"AAAAAGn/m8I=")</f>
        <v>#REF!</v>
      </c>
      <c r="GN122" t="e">
        <f>AND(#REF!,"AAAAAGn/m8M=")</f>
        <v>#REF!</v>
      </c>
      <c r="GO122" t="e">
        <f>AND(#REF!,"AAAAAGn/m8Q=")</f>
        <v>#REF!</v>
      </c>
      <c r="GP122" t="e">
        <f>AND(#REF!,"AAAAAGn/m8U=")</f>
        <v>#REF!</v>
      </c>
      <c r="GQ122" t="e">
        <f>AND(#REF!,"AAAAAGn/m8Y=")</f>
        <v>#REF!</v>
      </c>
      <c r="GR122" t="e">
        <f>AND(#REF!,"AAAAAGn/m8c=")</f>
        <v>#REF!</v>
      </c>
      <c r="GS122" t="e">
        <f>AND(#REF!,"AAAAAGn/m8g=")</f>
        <v>#REF!</v>
      </c>
      <c r="GT122" t="e">
        <f>AND(#REF!,"AAAAAGn/m8k=")</f>
        <v>#REF!</v>
      </c>
      <c r="GU122" t="e">
        <f>AND(#REF!,"AAAAAGn/m8o=")</f>
        <v>#REF!</v>
      </c>
      <c r="GV122" t="e">
        <f>IF(#REF!,"AAAAAGn/m8s=",0)</f>
        <v>#REF!</v>
      </c>
      <c r="GW122" t="e">
        <f>AND(#REF!,"AAAAAGn/m8w=")</f>
        <v>#REF!</v>
      </c>
      <c r="GX122" t="e">
        <f>AND(#REF!,"AAAAAGn/m80=")</f>
        <v>#REF!</v>
      </c>
      <c r="GY122" t="e">
        <f>AND(#REF!,"AAAAAGn/m84=")</f>
        <v>#REF!</v>
      </c>
      <c r="GZ122" t="e">
        <f>AND(#REF!,"AAAAAGn/m88=")</f>
        <v>#REF!</v>
      </c>
      <c r="HA122" t="e">
        <f>AND(#REF!,"AAAAAGn/m9A=")</f>
        <v>#REF!</v>
      </c>
      <c r="HB122" t="e">
        <f>AND(#REF!,"AAAAAGn/m9E=")</f>
        <v>#REF!</v>
      </c>
      <c r="HC122" t="e">
        <f>AND(#REF!,"AAAAAGn/m9I=")</f>
        <v>#REF!</v>
      </c>
      <c r="HD122" t="e">
        <f>AND(#REF!,"AAAAAGn/m9M=")</f>
        <v>#REF!</v>
      </c>
      <c r="HE122" t="e">
        <f>AND(#REF!,"AAAAAGn/m9Q=")</f>
        <v>#REF!</v>
      </c>
      <c r="HF122" t="e">
        <f>AND(#REF!,"AAAAAGn/m9U=")</f>
        <v>#REF!</v>
      </c>
      <c r="HG122" t="e">
        <f>IF(#REF!,"AAAAAGn/m9Y=",0)</f>
        <v>#REF!</v>
      </c>
      <c r="HH122" t="e">
        <f>AND(#REF!,"AAAAAGn/m9c=")</f>
        <v>#REF!</v>
      </c>
      <c r="HI122" t="e">
        <f>AND(#REF!,"AAAAAGn/m9g=")</f>
        <v>#REF!</v>
      </c>
      <c r="HJ122" t="e">
        <f>AND(#REF!,"AAAAAGn/m9k=")</f>
        <v>#REF!</v>
      </c>
      <c r="HK122" t="e">
        <f>AND(#REF!,"AAAAAGn/m9o=")</f>
        <v>#REF!</v>
      </c>
      <c r="HL122" t="e">
        <f>AND(#REF!,"AAAAAGn/m9s=")</f>
        <v>#REF!</v>
      </c>
      <c r="HM122" t="e">
        <f>AND(#REF!,"AAAAAGn/m9w=")</f>
        <v>#REF!</v>
      </c>
      <c r="HN122" t="e">
        <f>AND(#REF!,"AAAAAGn/m90=")</f>
        <v>#REF!</v>
      </c>
      <c r="HO122" t="e">
        <f>AND(#REF!,"AAAAAGn/m94=")</f>
        <v>#REF!</v>
      </c>
      <c r="HP122" t="e">
        <f>AND(#REF!,"AAAAAGn/m98=")</f>
        <v>#REF!</v>
      </c>
      <c r="HQ122" t="e">
        <f>AND(#REF!,"AAAAAGn/m+A=")</f>
        <v>#REF!</v>
      </c>
      <c r="HR122" t="e">
        <f>IF(#REF!,"AAAAAGn/m+E=",0)</f>
        <v>#REF!</v>
      </c>
      <c r="HS122" t="e">
        <f>AND(#REF!,"AAAAAGn/m+I=")</f>
        <v>#REF!</v>
      </c>
      <c r="HT122" t="e">
        <f>AND(#REF!,"AAAAAGn/m+M=")</f>
        <v>#REF!</v>
      </c>
      <c r="HU122" t="e">
        <f>AND(#REF!,"AAAAAGn/m+Q=")</f>
        <v>#REF!</v>
      </c>
      <c r="HV122" t="e">
        <f>AND(#REF!,"AAAAAGn/m+U=")</f>
        <v>#REF!</v>
      </c>
      <c r="HW122" t="e">
        <f>AND(#REF!,"AAAAAGn/m+Y=")</f>
        <v>#REF!</v>
      </c>
      <c r="HX122" t="e">
        <f>AND(#REF!,"AAAAAGn/m+c=")</f>
        <v>#REF!</v>
      </c>
      <c r="HY122" t="e">
        <f>AND(#REF!,"AAAAAGn/m+g=")</f>
        <v>#REF!</v>
      </c>
      <c r="HZ122" t="e">
        <f>AND(#REF!,"AAAAAGn/m+k=")</f>
        <v>#REF!</v>
      </c>
      <c r="IA122" t="e">
        <f>AND(#REF!,"AAAAAGn/m+o=")</f>
        <v>#REF!</v>
      </c>
      <c r="IB122" t="e">
        <f>AND(#REF!,"AAAAAGn/m+s=")</f>
        <v>#REF!</v>
      </c>
      <c r="IC122" t="e">
        <f>IF(#REF!,"AAAAAGn/m+w=",0)</f>
        <v>#REF!</v>
      </c>
      <c r="ID122" t="e">
        <f>AND(#REF!,"AAAAAGn/m+0=")</f>
        <v>#REF!</v>
      </c>
      <c r="IE122" t="e">
        <f>AND(#REF!,"AAAAAGn/m+4=")</f>
        <v>#REF!</v>
      </c>
      <c r="IF122" t="e">
        <f>AND(#REF!,"AAAAAGn/m+8=")</f>
        <v>#REF!</v>
      </c>
      <c r="IG122" t="e">
        <f>AND(#REF!,"AAAAAGn/m/A=")</f>
        <v>#REF!</v>
      </c>
      <c r="IH122" t="e">
        <f>AND(#REF!,"AAAAAGn/m/E=")</f>
        <v>#REF!</v>
      </c>
      <c r="II122" t="e">
        <f>AND(#REF!,"AAAAAGn/m/I=")</f>
        <v>#REF!</v>
      </c>
      <c r="IJ122" t="e">
        <f>AND(#REF!,"AAAAAGn/m/M=")</f>
        <v>#REF!</v>
      </c>
      <c r="IK122" t="e">
        <f>AND(#REF!,"AAAAAGn/m/Q=")</f>
        <v>#REF!</v>
      </c>
      <c r="IL122" t="e">
        <f>AND(#REF!,"AAAAAGn/m/U=")</f>
        <v>#REF!</v>
      </c>
      <c r="IM122" t="e">
        <f>AND(#REF!,"AAAAAGn/m/Y=")</f>
        <v>#REF!</v>
      </c>
      <c r="IN122" t="e">
        <f>IF(#REF!,"AAAAAGn/m/c=",0)</f>
        <v>#REF!</v>
      </c>
      <c r="IO122" t="e">
        <f>AND(#REF!,"AAAAAGn/m/g=")</f>
        <v>#REF!</v>
      </c>
      <c r="IP122" t="e">
        <f>AND(#REF!,"AAAAAGn/m/k=")</f>
        <v>#REF!</v>
      </c>
      <c r="IQ122" t="e">
        <f>AND(#REF!,"AAAAAGn/m/o=")</f>
        <v>#REF!</v>
      </c>
      <c r="IR122" t="e">
        <f>AND(#REF!,"AAAAAGn/m/s=")</f>
        <v>#REF!</v>
      </c>
      <c r="IS122" t="e">
        <f>AND(#REF!,"AAAAAGn/m/w=")</f>
        <v>#REF!</v>
      </c>
      <c r="IT122" t="e">
        <f>AND(#REF!,"AAAAAGn/m/0=")</f>
        <v>#REF!</v>
      </c>
      <c r="IU122" t="e">
        <f>AND(#REF!,"AAAAAGn/m/4=")</f>
        <v>#REF!</v>
      </c>
      <c r="IV122" t="e">
        <f>AND(#REF!,"AAAAAGn/m/8=")</f>
        <v>#REF!</v>
      </c>
    </row>
    <row r="123" spans="1:256" x14ac:dyDescent="0.25">
      <c r="A123" t="e">
        <f>AND(#REF!,"AAAAADf33wA=")</f>
        <v>#REF!</v>
      </c>
      <c r="B123" t="e">
        <f>AND(#REF!,"AAAAADf33wE=")</f>
        <v>#REF!</v>
      </c>
      <c r="C123" t="e">
        <f>IF(#REF!,"AAAAADf33wI=",0)</f>
        <v>#REF!</v>
      </c>
      <c r="D123" t="e">
        <f>AND(#REF!,"AAAAADf33wM=")</f>
        <v>#REF!</v>
      </c>
      <c r="E123" t="e">
        <f>AND(#REF!,"AAAAADf33wQ=")</f>
        <v>#REF!</v>
      </c>
      <c r="F123" t="e">
        <f>AND(#REF!,"AAAAADf33wU=")</f>
        <v>#REF!</v>
      </c>
      <c r="G123" t="e">
        <f>AND(#REF!,"AAAAADf33wY=")</f>
        <v>#REF!</v>
      </c>
      <c r="H123" t="e">
        <f>AND(#REF!,"AAAAADf33wc=")</f>
        <v>#REF!</v>
      </c>
      <c r="I123" t="e">
        <f>AND(#REF!,"AAAAADf33wg=")</f>
        <v>#REF!</v>
      </c>
      <c r="J123" t="e">
        <f>AND(#REF!,"AAAAADf33wk=")</f>
        <v>#REF!</v>
      </c>
      <c r="K123" t="e">
        <f>AND(#REF!,"AAAAADf33wo=")</f>
        <v>#REF!</v>
      </c>
      <c r="L123" t="e">
        <f>AND(#REF!,"AAAAADf33ws=")</f>
        <v>#REF!</v>
      </c>
      <c r="M123" t="e">
        <f>AND(#REF!,"AAAAADf33ww=")</f>
        <v>#REF!</v>
      </c>
      <c r="N123" t="e">
        <f>IF(#REF!,"AAAAADf33w0=",0)</f>
        <v>#REF!</v>
      </c>
      <c r="O123" t="e">
        <f>AND(#REF!,"AAAAADf33w4=")</f>
        <v>#REF!</v>
      </c>
      <c r="P123" t="e">
        <f>AND(#REF!,"AAAAADf33w8=")</f>
        <v>#REF!</v>
      </c>
      <c r="Q123" t="e">
        <f>AND(#REF!,"AAAAADf33xA=")</f>
        <v>#REF!</v>
      </c>
      <c r="R123" t="e">
        <f>AND(#REF!,"AAAAADf33xE=")</f>
        <v>#REF!</v>
      </c>
      <c r="S123" t="e">
        <f>AND(#REF!,"AAAAADf33xI=")</f>
        <v>#REF!</v>
      </c>
      <c r="T123" t="e">
        <f>AND(#REF!,"AAAAADf33xM=")</f>
        <v>#REF!</v>
      </c>
      <c r="U123" t="e">
        <f>AND(#REF!,"AAAAADf33xQ=")</f>
        <v>#REF!</v>
      </c>
      <c r="V123" t="e">
        <f>AND(#REF!,"AAAAADf33xU=")</f>
        <v>#REF!</v>
      </c>
      <c r="W123" t="e">
        <f>AND(#REF!,"AAAAADf33xY=")</f>
        <v>#REF!</v>
      </c>
      <c r="X123" t="e">
        <f>AND(#REF!,"AAAAADf33xc=")</f>
        <v>#REF!</v>
      </c>
      <c r="Y123" t="e">
        <f>IF(#REF!,"AAAAADf33xg=",0)</f>
        <v>#REF!</v>
      </c>
      <c r="Z123" t="e">
        <f>AND(#REF!,"AAAAADf33xk=")</f>
        <v>#REF!</v>
      </c>
      <c r="AA123" t="e">
        <f>AND(#REF!,"AAAAADf33xo=")</f>
        <v>#REF!</v>
      </c>
      <c r="AB123" t="e">
        <f>AND(#REF!,"AAAAADf33xs=")</f>
        <v>#REF!</v>
      </c>
      <c r="AC123" t="e">
        <f>AND(#REF!,"AAAAADf33xw=")</f>
        <v>#REF!</v>
      </c>
      <c r="AD123" t="e">
        <f>AND(#REF!,"AAAAADf33x0=")</f>
        <v>#REF!</v>
      </c>
      <c r="AE123" t="e">
        <f>AND(#REF!,"AAAAADf33x4=")</f>
        <v>#REF!</v>
      </c>
      <c r="AF123" t="e">
        <f>AND(#REF!,"AAAAADf33x8=")</f>
        <v>#REF!</v>
      </c>
      <c r="AG123" t="e">
        <f>AND(#REF!,"AAAAADf33yA=")</f>
        <v>#REF!</v>
      </c>
      <c r="AH123" t="e">
        <f>AND(#REF!,"AAAAADf33yE=")</f>
        <v>#REF!</v>
      </c>
      <c r="AI123" t="e">
        <f>AND(#REF!,"AAAAADf33yI=")</f>
        <v>#REF!</v>
      </c>
      <c r="AJ123" t="e">
        <f>IF(#REF!,"AAAAADf33yM=",0)</f>
        <v>#REF!</v>
      </c>
      <c r="AK123" t="e">
        <f>AND(#REF!,"AAAAADf33yQ=")</f>
        <v>#REF!</v>
      </c>
      <c r="AL123" t="e">
        <f>AND(#REF!,"AAAAADf33yU=")</f>
        <v>#REF!</v>
      </c>
      <c r="AM123" t="e">
        <f>AND(#REF!,"AAAAADf33yY=")</f>
        <v>#REF!</v>
      </c>
      <c r="AN123" t="e">
        <f>AND(#REF!,"AAAAADf33yc=")</f>
        <v>#REF!</v>
      </c>
      <c r="AO123" t="e">
        <f>AND(#REF!,"AAAAADf33yg=")</f>
        <v>#REF!</v>
      </c>
      <c r="AP123" t="e">
        <f>AND(#REF!,"AAAAADf33yk=")</f>
        <v>#REF!</v>
      </c>
      <c r="AQ123" t="e">
        <f>AND(#REF!,"AAAAADf33yo=")</f>
        <v>#REF!</v>
      </c>
      <c r="AR123" t="e">
        <f>AND(#REF!,"AAAAADf33ys=")</f>
        <v>#REF!</v>
      </c>
      <c r="AS123" t="e">
        <f>AND(#REF!,"AAAAADf33yw=")</f>
        <v>#REF!</v>
      </c>
      <c r="AT123" t="e">
        <f>AND(#REF!,"AAAAADf33y0=")</f>
        <v>#REF!</v>
      </c>
      <c r="AU123" t="e">
        <f>IF(#REF!,"AAAAADf33y4=",0)</f>
        <v>#REF!</v>
      </c>
      <c r="AV123" t="e">
        <f>AND(#REF!,"AAAAADf33y8=")</f>
        <v>#REF!</v>
      </c>
      <c r="AW123" t="e">
        <f>AND(#REF!,"AAAAADf33zA=")</f>
        <v>#REF!</v>
      </c>
      <c r="AX123" t="e">
        <f>AND(#REF!,"AAAAADf33zE=")</f>
        <v>#REF!</v>
      </c>
      <c r="AY123" t="e">
        <f>AND(#REF!,"AAAAADf33zI=")</f>
        <v>#REF!</v>
      </c>
      <c r="AZ123" t="e">
        <f>AND(#REF!,"AAAAADf33zM=")</f>
        <v>#REF!</v>
      </c>
      <c r="BA123" t="e">
        <f>AND(#REF!,"AAAAADf33zQ=")</f>
        <v>#REF!</v>
      </c>
      <c r="BB123" t="e">
        <f>AND(#REF!,"AAAAADf33zU=")</f>
        <v>#REF!</v>
      </c>
      <c r="BC123" t="e">
        <f>AND(#REF!,"AAAAADf33zY=")</f>
        <v>#REF!</v>
      </c>
      <c r="BD123" t="e">
        <f>AND(#REF!,"AAAAADf33zc=")</f>
        <v>#REF!</v>
      </c>
      <c r="BE123" t="e">
        <f>AND(#REF!,"AAAAADf33zg=")</f>
        <v>#REF!</v>
      </c>
      <c r="BF123" t="e">
        <f>IF(#REF!,"AAAAADf33zk=",0)</f>
        <v>#REF!</v>
      </c>
      <c r="BG123" t="e">
        <f>AND(#REF!,"AAAAADf33zo=")</f>
        <v>#REF!</v>
      </c>
      <c r="BH123" t="e">
        <f>AND(#REF!,"AAAAADf33zs=")</f>
        <v>#REF!</v>
      </c>
      <c r="BI123" t="e">
        <f>AND(#REF!,"AAAAADf33zw=")</f>
        <v>#REF!</v>
      </c>
      <c r="BJ123" t="e">
        <f>AND(#REF!,"AAAAADf33z0=")</f>
        <v>#REF!</v>
      </c>
      <c r="BK123" t="e">
        <f>AND(#REF!,"AAAAADf33z4=")</f>
        <v>#REF!</v>
      </c>
      <c r="BL123" t="e">
        <f>AND(#REF!,"AAAAADf33z8=")</f>
        <v>#REF!</v>
      </c>
      <c r="BM123" t="e">
        <f>AND(#REF!,"AAAAADf330A=")</f>
        <v>#REF!</v>
      </c>
      <c r="BN123" t="e">
        <f>AND(#REF!,"AAAAADf330E=")</f>
        <v>#REF!</v>
      </c>
      <c r="BO123" t="e">
        <f>AND(#REF!,"AAAAADf330I=")</f>
        <v>#REF!</v>
      </c>
      <c r="BP123" t="e">
        <f>AND(#REF!,"AAAAADf330M=")</f>
        <v>#REF!</v>
      </c>
      <c r="BQ123" t="e">
        <f>IF(#REF!,"AAAAADf330Q=",0)</f>
        <v>#REF!</v>
      </c>
      <c r="BR123" t="e">
        <f>AND(#REF!,"AAAAADf330U=")</f>
        <v>#REF!</v>
      </c>
      <c r="BS123" t="e">
        <f>AND(#REF!,"AAAAADf330Y=")</f>
        <v>#REF!</v>
      </c>
      <c r="BT123" t="e">
        <f>AND(#REF!,"AAAAADf330c=")</f>
        <v>#REF!</v>
      </c>
      <c r="BU123" t="e">
        <f>AND(#REF!,"AAAAADf330g=")</f>
        <v>#REF!</v>
      </c>
      <c r="BV123" t="e">
        <f>AND(#REF!,"AAAAADf330k=")</f>
        <v>#REF!</v>
      </c>
      <c r="BW123" t="e">
        <f>AND(#REF!,"AAAAADf330o=")</f>
        <v>#REF!</v>
      </c>
      <c r="BX123" t="e">
        <f>AND(#REF!,"AAAAADf330s=")</f>
        <v>#REF!</v>
      </c>
      <c r="BY123" t="e">
        <f>AND(#REF!,"AAAAADf330w=")</f>
        <v>#REF!</v>
      </c>
      <c r="BZ123" t="e">
        <f>AND(#REF!,"AAAAADf3300=")</f>
        <v>#REF!</v>
      </c>
      <c r="CA123" t="e">
        <f>AND(#REF!,"AAAAADf3304=")</f>
        <v>#REF!</v>
      </c>
      <c r="CB123" t="e">
        <f>IF(#REF!,"AAAAADf3308=",0)</f>
        <v>#REF!</v>
      </c>
      <c r="CC123" t="e">
        <f>AND(#REF!,"AAAAADf331A=")</f>
        <v>#REF!</v>
      </c>
      <c r="CD123" t="e">
        <f>AND(#REF!,"AAAAADf331E=")</f>
        <v>#REF!</v>
      </c>
      <c r="CE123" t="e">
        <f>AND(#REF!,"AAAAADf331I=")</f>
        <v>#REF!</v>
      </c>
      <c r="CF123" t="e">
        <f>AND(#REF!,"AAAAADf331M=")</f>
        <v>#REF!</v>
      </c>
      <c r="CG123" t="e">
        <f>AND(#REF!,"AAAAADf331Q=")</f>
        <v>#REF!</v>
      </c>
      <c r="CH123" t="e">
        <f>AND(#REF!,"AAAAADf331U=")</f>
        <v>#REF!</v>
      </c>
      <c r="CI123" t="e">
        <f>AND(#REF!,"AAAAADf331Y=")</f>
        <v>#REF!</v>
      </c>
      <c r="CJ123" t="e">
        <f>AND(#REF!,"AAAAADf331c=")</f>
        <v>#REF!</v>
      </c>
      <c r="CK123" t="e">
        <f>AND(#REF!,"AAAAADf331g=")</f>
        <v>#REF!</v>
      </c>
      <c r="CL123" t="e">
        <f>AND(#REF!,"AAAAADf331k=")</f>
        <v>#REF!</v>
      </c>
      <c r="CM123" t="e">
        <f>IF(#REF!,"AAAAADf331o=",0)</f>
        <v>#REF!</v>
      </c>
      <c r="CN123" t="e">
        <f>AND(#REF!,"AAAAADf331s=")</f>
        <v>#REF!</v>
      </c>
      <c r="CO123" t="e">
        <f>AND(#REF!,"AAAAADf331w=")</f>
        <v>#REF!</v>
      </c>
      <c r="CP123" t="e">
        <f>AND(#REF!,"AAAAADf3310=")</f>
        <v>#REF!</v>
      </c>
      <c r="CQ123" t="e">
        <f>AND(#REF!,"AAAAADf3314=")</f>
        <v>#REF!</v>
      </c>
      <c r="CR123" t="e">
        <f>AND(#REF!,"AAAAADf3318=")</f>
        <v>#REF!</v>
      </c>
      <c r="CS123" t="e">
        <f>AND(#REF!,"AAAAADf332A=")</f>
        <v>#REF!</v>
      </c>
      <c r="CT123" t="e">
        <f>AND(#REF!,"AAAAADf332E=")</f>
        <v>#REF!</v>
      </c>
      <c r="CU123" t="e">
        <f>AND(#REF!,"AAAAADf332I=")</f>
        <v>#REF!</v>
      </c>
      <c r="CV123" t="e">
        <f>AND(#REF!,"AAAAADf332M=")</f>
        <v>#REF!</v>
      </c>
      <c r="CW123" t="e">
        <f>AND(#REF!,"AAAAADf332Q=")</f>
        <v>#REF!</v>
      </c>
      <c r="CX123" t="e">
        <f>IF(#REF!,"AAAAADf332U=",0)</f>
        <v>#REF!</v>
      </c>
      <c r="CY123" t="e">
        <f>AND(#REF!,"AAAAADf332Y=")</f>
        <v>#REF!</v>
      </c>
      <c r="CZ123" t="e">
        <f>AND(#REF!,"AAAAADf332c=")</f>
        <v>#REF!</v>
      </c>
      <c r="DA123" t="e">
        <f>AND(#REF!,"AAAAADf332g=")</f>
        <v>#REF!</v>
      </c>
      <c r="DB123" t="e">
        <f>AND(#REF!,"AAAAADf332k=")</f>
        <v>#REF!</v>
      </c>
      <c r="DC123" t="e">
        <f>AND(#REF!,"AAAAADf332o=")</f>
        <v>#REF!</v>
      </c>
      <c r="DD123" t="e">
        <f>AND(#REF!,"AAAAADf332s=")</f>
        <v>#REF!</v>
      </c>
      <c r="DE123" t="e">
        <f>AND(#REF!,"AAAAADf332w=")</f>
        <v>#REF!</v>
      </c>
      <c r="DF123" t="e">
        <f>AND(#REF!,"AAAAADf3320=")</f>
        <v>#REF!</v>
      </c>
      <c r="DG123" t="e">
        <f>AND(#REF!,"AAAAADf3324=")</f>
        <v>#REF!</v>
      </c>
      <c r="DH123" t="e">
        <f>AND(#REF!,"AAAAADf3328=")</f>
        <v>#REF!</v>
      </c>
      <c r="DI123" t="e">
        <f>IF(#REF!,"AAAAADf333A=",0)</f>
        <v>#REF!</v>
      </c>
      <c r="DJ123" t="e">
        <f>AND(#REF!,"AAAAADf333E=")</f>
        <v>#REF!</v>
      </c>
      <c r="DK123" t="e">
        <f>AND(#REF!,"AAAAADf333I=")</f>
        <v>#REF!</v>
      </c>
      <c r="DL123" t="e">
        <f>AND(#REF!,"AAAAADf333M=")</f>
        <v>#REF!</v>
      </c>
      <c r="DM123" t="e">
        <f>AND(#REF!,"AAAAADf333Q=")</f>
        <v>#REF!</v>
      </c>
      <c r="DN123" t="e">
        <f>AND(#REF!,"AAAAADf333U=")</f>
        <v>#REF!</v>
      </c>
      <c r="DO123" t="e">
        <f>AND(#REF!,"AAAAADf333Y=")</f>
        <v>#REF!</v>
      </c>
      <c r="DP123" t="e">
        <f>AND(#REF!,"AAAAADf333c=")</f>
        <v>#REF!</v>
      </c>
      <c r="DQ123" t="e">
        <f>AND(#REF!,"AAAAADf333g=")</f>
        <v>#REF!</v>
      </c>
      <c r="DR123" t="e">
        <f>AND(#REF!,"AAAAADf333k=")</f>
        <v>#REF!</v>
      </c>
      <c r="DS123" t="e">
        <f>AND(#REF!,"AAAAADf333o=")</f>
        <v>#REF!</v>
      </c>
      <c r="DT123" t="e">
        <f>IF(#REF!,"AAAAADf333s=",0)</f>
        <v>#REF!</v>
      </c>
      <c r="DU123" t="e">
        <f>AND(#REF!,"AAAAADf333w=")</f>
        <v>#REF!</v>
      </c>
      <c r="DV123" t="e">
        <f>AND(#REF!,"AAAAADf3330=")</f>
        <v>#REF!</v>
      </c>
      <c r="DW123" t="e">
        <f>AND(#REF!,"AAAAADf3334=")</f>
        <v>#REF!</v>
      </c>
      <c r="DX123" t="e">
        <f>AND(#REF!,"AAAAADf3338=")</f>
        <v>#REF!</v>
      </c>
      <c r="DY123" t="e">
        <f>AND(#REF!,"AAAAADf334A=")</f>
        <v>#REF!</v>
      </c>
      <c r="DZ123" t="e">
        <f>AND(#REF!,"AAAAADf334E=")</f>
        <v>#REF!</v>
      </c>
      <c r="EA123" t="e">
        <f>AND(#REF!,"AAAAADf334I=")</f>
        <v>#REF!</v>
      </c>
      <c r="EB123" t="e">
        <f>AND(#REF!,"AAAAADf334M=")</f>
        <v>#REF!</v>
      </c>
      <c r="EC123" t="e">
        <f>AND(#REF!,"AAAAADf334Q=")</f>
        <v>#REF!</v>
      </c>
      <c r="ED123" t="e">
        <f>AND(#REF!,"AAAAADf334U=")</f>
        <v>#REF!</v>
      </c>
      <c r="EE123" t="e">
        <f>IF(#REF!,"AAAAADf334Y=",0)</f>
        <v>#REF!</v>
      </c>
      <c r="EF123" t="e">
        <f>AND(#REF!,"AAAAADf334c=")</f>
        <v>#REF!</v>
      </c>
      <c r="EG123" t="e">
        <f>AND(#REF!,"AAAAADf334g=")</f>
        <v>#REF!</v>
      </c>
      <c r="EH123" t="e">
        <f>AND(#REF!,"AAAAADf334k=")</f>
        <v>#REF!</v>
      </c>
      <c r="EI123" t="e">
        <f>AND(#REF!,"AAAAADf334o=")</f>
        <v>#REF!</v>
      </c>
      <c r="EJ123" t="e">
        <f>AND(#REF!,"AAAAADf334s=")</f>
        <v>#REF!</v>
      </c>
      <c r="EK123" t="e">
        <f>AND(#REF!,"AAAAADf334w=")</f>
        <v>#REF!</v>
      </c>
      <c r="EL123" t="e">
        <f>AND(#REF!,"AAAAADf3340=")</f>
        <v>#REF!</v>
      </c>
      <c r="EM123" t="e">
        <f>AND(#REF!,"AAAAADf3344=")</f>
        <v>#REF!</v>
      </c>
      <c r="EN123" t="e">
        <f>AND(#REF!,"AAAAADf3348=")</f>
        <v>#REF!</v>
      </c>
      <c r="EO123" t="e">
        <f>AND(#REF!,"AAAAADf335A=")</f>
        <v>#REF!</v>
      </c>
      <c r="EP123" t="e">
        <f>IF(#REF!,"AAAAADf335E=",0)</f>
        <v>#REF!</v>
      </c>
      <c r="EQ123" t="e">
        <f>AND(#REF!,"AAAAADf335I=")</f>
        <v>#REF!</v>
      </c>
      <c r="ER123" t="e">
        <f>AND(#REF!,"AAAAADf335M=")</f>
        <v>#REF!</v>
      </c>
      <c r="ES123" t="e">
        <f>AND(#REF!,"AAAAADf335Q=")</f>
        <v>#REF!</v>
      </c>
      <c r="ET123" t="e">
        <f>AND(#REF!,"AAAAADf335U=")</f>
        <v>#REF!</v>
      </c>
      <c r="EU123" t="e">
        <f>AND(#REF!,"AAAAADf335Y=")</f>
        <v>#REF!</v>
      </c>
      <c r="EV123" t="e">
        <f>AND(#REF!,"AAAAADf335c=")</f>
        <v>#REF!</v>
      </c>
      <c r="EW123" t="e">
        <f>AND(#REF!,"AAAAADf335g=")</f>
        <v>#REF!</v>
      </c>
      <c r="EX123" t="e">
        <f>AND(#REF!,"AAAAADf335k=")</f>
        <v>#REF!</v>
      </c>
      <c r="EY123" t="e">
        <f>AND(#REF!,"AAAAADf335o=")</f>
        <v>#REF!</v>
      </c>
      <c r="EZ123" t="e">
        <f>AND(#REF!,"AAAAADf335s=")</f>
        <v>#REF!</v>
      </c>
      <c r="FA123" t="e">
        <f>IF(#REF!,"AAAAADf335w=",0)</f>
        <v>#REF!</v>
      </c>
      <c r="FB123" t="e">
        <f>AND(#REF!,"AAAAADf3350=")</f>
        <v>#REF!</v>
      </c>
      <c r="FC123" t="e">
        <f>AND(#REF!,"AAAAADf3354=")</f>
        <v>#REF!</v>
      </c>
      <c r="FD123" t="e">
        <f>AND(#REF!,"AAAAADf3358=")</f>
        <v>#REF!</v>
      </c>
      <c r="FE123" t="e">
        <f>AND(#REF!,"AAAAADf336A=")</f>
        <v>#REF!</v>
      </c>
      <c r="FF123" t="e">
        <f>AND(#REF!,"AAAAADf336E=")</f>
        <v>#REF!</v>
      </c>
      <c r="FG123" t="e">
        <f>AND(#REF!,"AAAAADf336I=")</f>
        <v>#REF!</v>
      </c>
      <c r="FH123" t="e">
        <f>AND(#REF!,"AAAAADf336M=")</f>
        <v>#REF!</v>
      </c>
      <c r="FI123" t="e">
        <f>AND(#REF!,"AAAAADf336Q=")</f>
        <v>#REF!</v>
      </c>
      <c r="FJ123" t="e">
        <f>AND(#REF!,"AAAAADf336U=")</f>
        <v>#REF!</v>
      </c>
      <c r="FK123" t="e">
        <f>AND(#REF!,"AAAAADf336Y=")</f>
        <v>#REF!</v>
      </c>
      <c r="FL123" t="e">
        <f>IF(#REF!,"AAAAADf336c=",0)</f>
        <v>#REF!</v>
      </c>
      <c r="FM123" t="e">
        <f>AND(#REF!,"AAAAADf336g=")</f>
        <v>#REF!</v>
      </c>
      <c r="FN123" t="e">
        <f>AND(#REF!,"AAAAADf336k=")</f>
        <v>#REF!</v>
      </c>
      <c r="FO123" t="e">
        <f>AND(#REF!,"AAAAADf336o=")</f>
        <v>#REF!</v>
      </c>
      <c r="FP123" t="e">
        <f>AND(#REF!,"AAAAADf336s=")</f>
        <v>#REF!</v>
      </c>
      <c r="FQ123" t="e">
        <f>AND(#REF!,"AAAAADf336w=")</f>
        <v>#REF!</v>
      </c>
      <c r="FR123" t="e">
        <f>AND(#REF!,"AAAAADf3360=")</f>
        <v>#REF!</v>
      </c>
      <c r="FS123" t="e">
        <f>AND(#REF!,"AAAAADf3364=")</f>
        <v>#REF!</v>
      </c>
      <c r="FT123" t="e">
        <f>AND(#REF!,"AAAAADf3368=")</f>
        <v>#REF!</v>
      </c>
      <c r="FU123" t="e">
        <f>AND(#REF!,"AAAAADf337A=")</f>
        <v>#REF!</v>
      </c>
      <c r="FV123" t="e">
        <f>AND(#REF!,"AAAAADf337E=")</f>
        <v>#REF!</v>
      </c>
      <c r="FW123" t="e">
        <f>IF(#REF!,"AAAAADf337I=",0)</f>
        <v>#REF!</v>
      </c>
      <c r="FX123" t="e">
        <f>AND(#REF!,"AAAAADf337M=")</f>
        <v>#REF!</v>
      </c>
      <c r="FY123" t="e">
        <f>AND(#REF!,"AAAAADf337Q=")</f>
        <v>#REF!</v>
      </c>
      <c r="FZ123" t="e">
        <f>AND(#REF!,"AAAAADf337U=")</f>
        <v>#REF!</v>
      </c>
      <c r="GA123" t="e">
        <f>AND(#REF!,"AAAAADf337Y=")</f>
        <v>#REF!</v>
      </c>
      <c r="GB123" t="e">
        <f>AND(#REF!,"AAAAADf337c=")</f>
        <v>#REF!</v>
      </c>
      <c r="GC123" t="e">
        <f>AND(#REF!,"AAAAADf337g=")</f>
        <v>#REF!</v>
      </c>
      <c r="GD123" t="e">
        <f>AND(#REF!,"AAAAADf337k=")</f>
        <v>#REF!</v>
      </c>
      <c r="GE123" t="e">
        <f>AND(#REF!,"AAAAADf337o=")</f>
        <v>#REF!</v>
      </c>
      <c r="GF123" t="e">
        <f>AND(#REF!,"AAAAADf337s=")</f>
        <v>#REF!</v>
      </c>
      <c r="GG123" t="e">
        <f>AND(#REF!,"AAAAADf337w=")</f>
        <v>#REF!</v>
      </c>
      <c r="GH123" t="e">
        <f>IF(#REF!,"AAAAADf3370=",0)</f>
        <v>#REF!</v>
      </c>
      <c r="GI123" t="e">
        <f>AND(#REF!,"AAAAADf3374=")</f>
        <v>#REF!</v>
      </c>
      <c r="GJ123" t="e">
        <f>AND(#REF!,"AAAAADf3378=")</f>
        <v>#REF!</v>
      </c>
      <c r="GK123" t="e">
        <f>AND(#REF!,"AAAAADf338A=")</f>
        <v>#REF!</v>
      </c>
      <c r="GL123" t="e">
        <f>AND(#REF!,"AAAAADf338E=")</f>
        <v>#REF!</v>
      </c>
      <c r="GM123" t="e">
        <f>AND(#REF!,"AAAAADf338I=")</f>
        <v>#REF!</v>
      </c>
      <c r="GN123" t="e">
        <f>AND(#REF!,"AAAAADf338M=")</f>
        <v>#REF!</v>
      </c>
      <c r="GO123" t="e">
        <f>AND(#REF!,"AAAAADf338Q=")</f>
        <v>#REF!</v>
      </c>
      <c r="GP123" t="e">
        <f>AND(#REF!,"AAAAADf338U=")</f>
        <v>#REF!</v>
      </c>
      <c r="GQ123" t="e">
        <f>AND(#REF!,"AAAAADf338Y=")</f>
        <v>#REF!</v>
      </c>
      <c r="GR123" t="e">
        <f>AND(#REF!,"AAAAADf338c=")</f>
        <v>#REF!</v>
      </c>
      <c r="GS123" t="e">
        <f>IF(#REF!,"AAAAADf338g=",0)</f>
        <v>#REF!</v>
      </c>
      <c r="GT123" t="e">
        <f>AND(#REF!,"AAAAADf338k=")</f>
        <v>#REF!</v>
      </c>
      <c r="GU123" t="e">
        <f>AND(#REF!,"AAAAADf338o=")</f>
        <v>#REF!</v>
      </c>
      <c r="GV123" t="e">
        <f>AND(#REF!,"AAAAADf338s=")</f>
        <v>#REF!</v>
      </c>
      <c r="GW123" t="e">
        <f>AND(#REF!,"AAAAADf338w=")</f>
        <v>#REF!</v>
      </c>
      <c r="GX123" t="e">
        <f>AND(#REF!,"AAAAADf3380=")</f>
        <v>#REF!</v>
      </c>
      <c r="GY123" t="e">
        <f>AND(#REF!,"AAAAADf3384=")</f>
        <v>#REF!</v>
      </c>
      <c r="GZ123" t="e">
        <f>AND(#REF!,"AAAAADf3388=")</f>
        <v>#REF!</v>
      </c>
      <c r="HA123" t="e">
        <f>AND(#REF!,"AAAAADf339A=")</f>
        <v>#REF!</v>
      </c>
      <c r="HB123" t="e">
        <f>AND(#REF!,"AAAAADf339E=")</f>
        <v>#REF!</v>
      </c>
      <c r="HC123" t="e">
        <f>AND(#REF!,"AAAAADf339I=")</f>
        <v>#REF!</v>
      </c>
      <c r="HD123" t="e">
        <f>IF(#REF!,"AAAAADf339M=",0)</f>
        <v>#REF!</v>
      </c>
      <c r="HE123" t="e">
        <f>AND(#REF!,"AAAAADf339Q=")</f>
        <v>#REF!</v>
      </c>
      <c r="HF123" t="e">
        <f>AND(#REF!,"AAAAADf339U=")</f>
        <v>#REF!</v>
      </c>
      <c r="HG123" t="e">
        <f>AND(#REF!,"AAAAADf339Y=")</f>
        <v>#REF!</v>
      </c>
      <c r="HH123" t="e">
        <f>AND(#REF!,"AAAAADf339c=")</f>
        <v>#REF!</v>
      </c>
      <c r="HI123" t="e">
        <f>AND(#REF!,"AAAAADf339g=")</f>
        <v>#REF!</v>
      </c>
      <c r="HJ123" t="e">
        <f>AND(#REF!,"AAAAADf339k=")</f>
        <v>#REF!</v>
      </c>
      <c r="HK123" t="e">
        <f>AND(#REF!,"AAAAADf339o=")</f>
        <v>#REF!</v>
      </c>
      <c r="HL123" t="e">
        <f>AND(#REF!,"AAAAADf339s=")</f>
        <v>#REF!</v>
      </c>
      <c r="HM123" t="e">
        <f>AND(#REF!,"AAAAADf339w=")</f>
        <v>#REF!</v>
      </c>
      <c r="HN123" t="e">
        <f>AND(#REF!,"AAAAADf3390=")</f>
        <v>#REF!</v>
      </c>
      <c r="HO123" t="e">
        <f>IF(#REF!,"AAAAADf3394=",0)</f>
        <v>#REF!</v>
      </c>
      <c r="HP123" t="e">
        <f>AND(#REF!,"AAAAADf3398=")</f>
        <v>#REF!</v>
      </c>
      <c r="HQ123" t="e">
        <f>AND(#REF!,"AAAAADf33+A=")</f>
        <v>#REF!</v>
      </c>
      <c r="HR123" t="e">
        <f>AND(#REF!,"AAAAADf33+E=")</f>
        <v>#REF!</v>
      </c>
      <c r="HS123" t="e">
        <f>AND(#REF!,"AAAAADf33+I=")</f>
        <v>#REF!</v>
      </c>
      <c r="HT123" t="e">
        <f>AND(#REF!,"AAAAADf33+M=")</f>
        <v>#REF!</v>
      </c>
      <c r="HU123" t="e">
        <f>AND(#REF!,"AAAAADf33+Q=")</f>
        <v>#REF!</v>
      </c>
      <c r="HV123" t="e">
        <f>AND(#REF!,"AAAAADf33+U=")</f>
        <v>#REF!</v>
      </c>
      <c r="HW123" t="e">
        <f>AND(#REF!,"AAAAADf33+Y=")</f>
        <v>#REF!</v>
      </c>
      <c r="HX123" t="e">
        <f>AND(#REF!,"AAAAADf33+c=")</f>
        <v>#REF!</v>
      </c>
      <c r="HY123" t="e">
        <f>AND(#REF!,"AAAAADf33+g=")</f>
        <v>#REF!</v>
      </c>
      <c r="HZ123" t="e">
        <f>IF(#REF!,"AAAAADf33+k=",0)</f>
        <v>#REF!</v>
      </c>
      <c r="IA123" t="e">
        <f>AND(#REF!,"AAAAADf33+o=")</f>
        <v>#REF!</v>
      </c>
      <c r="IB123" t="e">
        <f>AND(#REF!,"AAAAADf33+s=")</f>
        <v>#REF!</v>
      </c>
      <c r="IC123" t="e">
        <f>AND(#REF!,"AAAAADf33+w=")</f>
        <v>#REF!</v>
      </c>
      <c r="ID123" t="e">
        <f>AND(#REF!,"AAAAADf33+0=")</f>
        <v>#REF!</v>
      </c>
      <c r="IE123" t="e">
        <f>AND(#REF!,"AAAAADf33+4=")</f>
        <v>#REF!</v>
      </c>
      <c r="IF123" t="e">
        <f>AND(#REF!,"AAAAADf33+8=")</f>
        <v>#REF!</v>
      </c>
      <c r="IG123" t="e">
        <f>AND(#REF!,"AAAAADf33/A=")</f>
        <v>#REF!</v>
      </c>
      <c r="IH123" t="e">
        <f>AND(#REF!,"AAAAADf33/E=")</f>
        <v>#REF!</v>
      </c>
      <c r="II123" t="e">
        <f>AND(#REF!,"AAAAADf33/I=")</f>
        <v>#REF!</v>
      </c>
      <c r="IJ123" t="e">
        <f>AND(#REF!,"AAAAADf33/M=")</f>
        <v>#REF!</v>
      </c>
      <c r="IK123" t="e">
        <f>IF(#REF!,"AAAAADf33/Q=",0)</f>
        <v>#REF!</v>
      </c>
      <c r="IL123" t="e">
        <f>AND(#REF!,"AAAAADf33/U=")</f>
        <v>#REF!</v>
      </c>
      <c r="IM123" t="e">
        <f>AND(#REF!,"AAAAADf33/Y=")</f>
        <v>#REF!</v>
      </c>
      <c r="IN123" t="e">
        <f>AND(#REF!,"AAAAADf33/c=")</f>
        <v>#REF!</v>
      </c>
      <c r="IO123" t="e">
        <f>AND(#REF!,"AAAAADf33/g=")</f>
        <v>#REF!</v>
      </c>
      <c r="IP123" t="e">
        <f>AND(#REF!,"AAAAADf33/k=")</f>
        <v>#REF!</v>
      </c>
      <c r="IQ123" t="e">
        <f>AND(#REF!,"AAAAADf33/o=")</f>
        <v>#REF!</v>
      </c>
      <c r="IR123" t="e">
        <f>AND(#REF!,"AAAAADf33/s=")</f>
        <v>#REF!</v>
      </c>
      <c r="IS123" t="e">
        <f>AND(#REF!,"AAAAADf33/w=")</f>
        <v>#REF!</v>
      </c>
      <c r="IT123" t="e">
        <f>AND(#REF!,"AAAAADf33/0=")</f>
        <v>#REF!</v>
      </c>
      <c r="IU123" t="e">
        <f>AND(#REF!,"AAAAADf33/4=")</f>
        <v>#REF!</v>
      </c>
      <c r="IV123" t="e">
        <f>IF(#REF!,"AAAAADf33/8=",0)</f>
        <v>#REF!</v>
      </c>
    </row>
    <row r="124" spans="1:256" x14ac:dyDescent="0.25">
      <c r="A124" t="e">
        <f>AND(#REF!,"AAAAAF5f4wA=")</f>
        <v>#REF!</v>
      </c>
      <c r="B124" t="e">
        <f>AND(#REF!,"AAAAAF5f4wE=")</f>
        <v>#REF!</v>
      </c>
      <c r="C124" t="e">
        <f>AND(#REF!,"AAAAAF5f4wI=")</f>
        <v>#REF!</v>
      </c>
      <c r="D124" t="e">
        <f>AND(#REF!,"AAAAAF5f4wM=")</f>
        <v>#REF!</v>
      </c>
      <c r="E124" t="e">
        <f>AND(#REF!,"AAAAAF5f4wQ=")</f>
        <v>#REF!</v>
      </c>
      <c r="F124" t="e">
        <f>AND(#REF!,"AAAAAF5f4wU=")</f>
        <v>#REF!</v>
      </c>
      <c r="G124" t="e">
        <f>AND(#REF!,"AAAAAF5f4wY=")</f>
        <v>#REF!</v>
      </c>
      <c r="H124" t="e">
        <f>AND(#REF!,"AAAAAF5f4wc=")</f>
        <v>#REF!</v>
      </c>
      <c r="I124" t="e">
        <f>AND(#REF!,"AAAAAF5f4wg=")</f>
        <v>#REF!</v>
      </c>
      <c r="J124" t="e">
        <f>AND(#REF!,"AAAAAF5f4wk=")</f>
        <v>#REF!</v>
      </c>
      <c r="K124" t="e">
        <f>IF(#REF!,"AAAAAF5f4wo=",0)</f>
        <v>#REF!</v>
      </c>
      <c r="L124" t="e">
        <f>AND(#REF!,"AAAAAF5f4ws=")</f>
        <v>#REF!</v>
      </c>
      <c r="M124" t="e">
        <f>AND(#REF!,"AAAAAF5f4ww=")</f>
        <v>#REF!</v>
      </c>
      <c r="N124" t="e">
        <f>AND(#REF!,"AAAAAF5f4w0=")</f>
        <v>#REF!</v>
      </c>
      <c r="O124" t="e">
        <f>AND(#REF!,"AAAAAF5f4w4=")</f>
        <v>#REF!</v>
      </c>
      <c r="P124" t="e">
        <f>AND(#REF!,"AAAAAF5f4w8=")</f>
        <v>#REF!</v>
      </c>
      <c r="Q124" t="e">
        <f>AND(#REF!,"AAAAAF5f4xA=")</f>
        <v>#REF!</v>
      </c>
      <c r="R124" t="e">
        <f>AND(#REF!,"AAAAAF5f4xE=")</f>
        <v>#REF!</v>
      </c>
      <c r="S124" t="e">
        <f>AND(#REF!,"AAAAAF5f4xI=")</f>
        <v>#REF!</v>
      </c>
      <c r="T124" t="e">
        <f>AND(#REF!,"AAAAAF5f4xM=")</f>
        <v>#REF!</v>
      </c>
      <c r="U124" t="e">
        <f>AND(#REF!,"AAAAAF5f4xQ=")</f>
        <v>#REF!</v>
      </c>
      <c r="V124" t="e">
        <f>IF(#REF!,"AAAAAF5f4xU=",0)</f>
        <v>#REF!</v>
      </c>
      <c r="W124" t="e">
        <f>AND(#REF!,"AAAAAF5f4xY=")</f>
        <v>#REF!</v>
      </c>
      <c r="X124" t="e">
        <f>AND(#REF!,"AAAAAF5f4xc=")</f>
        <v>#REF!</v>
      </c>
      <c r="Y124" t="e">
        <f>AND(#REF!,"AAAAAF5f4xg=")</f>
        <v>#REF!</v>
      </c>
      <c r="Z124" t="e">
        <f>AND(#REF!,"AAAAAF5f4xk=")</f>
        <v>#REF!</v>
      </c>
      <c r="AA124" t="e">
        <f>AND(#REF!,"AAAAAF5f4xo=")</f>
        <v>#REF!</v>
      </c>
      <c r="AB124" t="e">
        <f>AND(#REF!,"AAAAAF5f4xs=")</f>
        <v>#REF!</v>
      </c>
      <c r="AC124" t="e">
        <f>AND(#REF!,"AAAAAF5f4xw=")</f>
        <v>#REF!</v>
      </c>
      <c r="AD124" t="e">
        <f>AND(#REF!,"AAAAAF5f4x0=")</f>
        <v>#REF!</v>
      </c>
      <c r="AE124" t="e">
        <f>AND(#REF!,"AAAAAF5f4x4=")</f>
        <v>#REF!</v>
      </c>
      <c r="AF124" t="e">
        <f>AND(#REF!,"AAAAAF5f4x8=")</f>
        <v>#REF!</v>
      </c>
      <c r="AG124" t="e">
        <f>IF(#REF!,"AAAAAF5f4yA=",0)</f>
        <v>#REF!</v>
      </c>
      <c r="AH124" t="e">
        <f>AND(#REF!,"AAAAAF5f4yE=")</f>
        <v>#REF!</v>
      </c>
      <c r="AI124" t="e">
        <f>AND(#REF!,"AAAAAF5f4yI=")</f>
        <v>#REF!</v>
      </c>
      <c r="AJ124" t="e">
        <f>AND(#REF!,"AAAAAF5f4yM=")</f>
        <v>#REF!</v>
      </c>
      <c r="AK124" t="e">
        <f>AND(#REF!,"AAAAAF5f4yQ=")</f>
        <v>#REF!</v>
      </c>
      <c r="AL124" t="e">
        <f>AND(#REF!,"AAAAAF5f4yU=")</f>
        <v>#REF!</v>
      </c>
      <c r="AM124" t="e">
        <f>AND(#REF!,"AAAAAF5f4yY=")</f>
        <v>#REF!</v>
      </c>
      <c r="AN124" t="e">
        <f>AND(#REF!,"AAAAAF5f4yc=")</f>
        <v>#REF!</v>
      </c>
      <c r="AO124" t="e">
        <f>AND(#REF!,"AAAAAF5f4yg=")</f>
        <v>#REF!</v>
      </c>
      <c r="AP124" t="e">
        <f>AND(#REF!,"AAAAAF5f4yk=")</f>
        <v>#REF!</v>
      </c>
      <c r="AQ124" t="e">
        <f>AND(#REF!,"AAAAAF5f4yo=")</f>
        <v>#REF!</v>
      </c>
      <c r="AR124" t="e">
        <f>IF(#REF!,"AAAAAF5f4ys=",0)</f>
        <v>#REF!</v>
      </c>
      <c r="AS124" t="e">
        <f>AND(#REF!,"AAAAAF5f4yw=")</f>
        <v>#REF!</v>
      </c>
      <c r="AT124" t="e">
        <f>AND(#REF!,"AAAAAF5f4y0=")</f>
        <v>#REF!</v>
      </c>
      <c r="AU124" t="e">
        <f>AND(#REF!,"AAAAAF5f4y4=")</f>
        <v>#REF!</v>
      </c>
      <c r="AV124" t="e">
        <f>AND(#REF!,"AAAAAF5f4y8=")</f>
        <v>#REF!</v>
      </c>
      <c r="AW124" t="e">
        <f>AND(#REF!,"AAAAAF5f4zA=")</f>
        <v>#REF!</v>
      </c>
      <c r="AX124" t="e">
        <f>AND(#REF!,"AAAAAF5f4zE=")</f>
        <v>#REF!</v>
      </c>
      <c r="AY124" t="e">
        <f>AND(#REF!,"AAAAAF5f4zI=")</f>
        <v>#REF!</v>
      </c>
      <c r="AZ124" t="e">
        <f>AND(#REF!,"AAAAAF5f4zM=")</f>
        <v>#REF!</v>
      </c>
      <c r="BA124" t="e">
        <f>AND(#REF!,"AAAAAF5f4zQ=")</f>
        <v>#REF!</v>
      </c>
      <c r="BB124" t="e">
        <f>AND(#REF!,"AAAAAF5f4zU=")</f>
        <v>#REF!</v>
      </c>
      <c r="BC124" t="e">
        <f>IF(#REF!,"AAAAAF5f4zY=",0)</f>
        <v>#REF!</v>
      </c>
      <c r="BD124" t="e">
        <f>AND(#REF!,"AAAAAF5f4zc=")</f>
        <v>#REF!</v>
      </c>
      <c r="BE124" t="e">
        <f>AND(#REF!,"AAAAAF5f4zg=")</f>
        <v>#REF!</v>
      </c>
      <c r="BF124" t="e">
        <f>AND(#REF!,"AAAAAF5f4zk=")</f>
        <v>#REF!</v>
      </c>
      <c r="BG124" t="e">
        <f>AND(#REF!,"AAAAAF5f4zo=")</f>
        <v>#REF!</v>
      </c>
      <c r="BH124" t="e">
        <f>AND(#REF!,"AAAAAF5f4zs=")</f>
        <v>#REF!</v>
      </c>
      <c r="BI124" t="e">
        <f>AND(#REF!,"AAAAAF5f4zw=")</f>
        <v>#REF!</v>
      </c>
      <c r="BJ124" t="e">
        <f>AND(#REF!,"AAAAAF5f4z0=")</f>
        <v>#REF!</v>
      </c>
      <c r="BK124" t="e">
        <f>AND(#REF!,"AAAAAF5f4z4=")</f>
        <v>#REF!</v>
      </c>
      <c r="BL124" t="e">
        <f>AND(#REF!,"AAAAAF5f4z8=")</f>
        <v>#REF!</v>
      </c>
      <c r="BM124" t="e">
        <f>AND(#REF!,"AAAAAF5f40A=")</f>
        <v>#REF!</v>
      </c>
      <c r="BN124" t="e">
        <f>IF(#REF!,"AAAAAF5f40E=",0)</f>
        <v>#REF!</v>
      </c>
      <c r="BO124" t="e">
        <f>AND(#REF!,"AAAAAF5f40I=")</f>
        <v>#REF!</v>
      </c>
      <c r="BP124" t="e">
        <f>AND(#REF!,"AAAAAF5f40M=")</f>
        <v>#REF!</v>
      </c>
      <c r="BQ124" t="e">
        <f>AND(#REF!,"AAAAAF5f40Q=")</f>
        <v>#REF!</v>
      </c>
      <c r="BR124" t="e">
        <f>AND(#REF!,"AAAAAF5f40U=")</f>
        <v>#REF!</v>
      </c>
      <c r="BS124" t="e">
        <f>AND(#REF!,"AAAAAF5f40Y=")</f>
        <v>#REF!</v>
      </c>
      <c r="BT124" t="e">
        <f>AND(#REF!,"AAAAAF5f40c=")</f>
        <v>#REF!</v>
      </c>
      <c r="BU124" t="e">
        <f>AND(#REF!,"AAAAAF5f40g=")</f>
        <v>#REF!</v>
      </c>
      <c r="BV124" t="e">
        <f>AND(#REF!,"AAAAAF5f40k=")</f>
        <v>#REF!</v>
      </c>
      <c r="BW124" t="e">
        <f>AND(#REF!,"AAAAAF5f40o=")</f>
        <v>#REF!</v>
      </c>
      <c r="BX124" t="e">
        <f>AND(#REF!,"AAAAAF5f40s=")</f>
        <v>#REF!</v>
      </c>
      <c r="BY124" t="e">
        <f>IF(#REF!,"AAAAAF5f40w=",0)</f>
        <v>#REF!</v>
      </c>
      <c r="BZ124" t="e">
        <f>AND(#REF!,"AAAAAF5f400=")</f>
        <v>#REF!</v>
      </c>
      <c r="CA124" t="e">
        <f>AND(#REF!,"AAAAAF5f404=")</f>
        <v>#REF!</v>
      </c>
      <c r="CB124" t="e">
        <f>AND(#REF!,"AAAAAF5f408=")</f>
        <v>#REF!</v>
      </c>
      <c r="CC124" t="e">
        <f>AND(#REF!,"AAAAAF5f41A=")</f>
        <v>#REF!</v>
      </c>
      <c r="CD124" t="e">
        <f>AND(#REF!,"AAAAAF5f41E=")</f>
        <v>#REF!</v>
      </c>
      <c r="CE124" t="e">
        <f>AND(#REF!,"AAAAAF5f41I=")</f>
        <v>#REF!</v>
      </c>
      <c r="CF124" t="e">
        <f>AND(#REF!,"AAAAAF5f41M=")</f>
        <v>#REF!</v>
      </c>
      <c r="CG124" t="e">
        <f>AND(#REF!,"AAAAAF5f41Q=")</f>
        <v>#REF!</v>
      </c>
      <c r="CH124" t="e">
        <f>AND(#REF!,"AAAAAF5f41U=")</f>
        <v>#REF!</v>
      </c>
      <c r="CI124" t="e">
        <f>AND(#REF!,"AAAAAF5f41Y=")</f>
        <v>#REF!</v>
      </c>
      <c r="CJ124" t="e">
        <f>IF(#REF!,"AAAAAF5f41c=",0)</f>
        <v>#REF!</v>
      </c>
      <c r="CK124" t="e">
        <f>AND(#REF!,"AAAAAF5f41g=")</f>
        <v>#REF!</v>
      </c>
      <c r="CL124" t="e">
        <f>AND(#REF!,"AAAAAF5f41k=")</f>
        <v>#REF!</v>
      </c>
      <c r="CM124" t="e">
        <f>AND(#REF!,"AAAAAF5f41o=")</f>
        <v>#REF!</v>
      </c>
      <c r="CN124" t="e">
        <f>AND(#REF!,"AAAAAF5f41s=")</f>
        <v>#REF!</v>
      </c>
      <c r="CO124" t="e">
        <f>AND(#REF!,"AAAAAF5f41w=")</f>
        <v>#REF!</v>
      </c>
      <c r="CP124" t="e">
        <f>AND(#REF!,"AAAAAF5f410=")</f>
        <v>#REF!</v>
      </c>
      <c r="CQ124" t="e">
        <f>AND(#REF!,"AAAAAF5f414=")</f>
        <v>#REF!</v>
      </c>
      <c r="CR124" t="e">
        <f>AND(#REF!,"AAAAAF5f418=")</f>
        <v>#REF!</v>
      </c>
      <c r="CS124" t="e">
        <f>AND(#REF!,"AAAAAF5f42A=")</f>
        <v>#REF!</v>
      </c>
      <c r="CT124" t="e">
        <f>AND(#REF!,"AAAAAF5f42E=")</f>
        <v>#REF!</v>
      </c>
      <c r="CU124" t="e">
        <f>IF(#REF!,"AAAAAF5f42I=",0)</f>
        <v>#REF!</v>
      </c>
      <c r="CV124" t="e">
        <f>AND(#REF!,"AAAAAF5f42M=")</f>
        <v>#REF!</v>
      </c>
      <c r="CW124" t="e">
        <f>AND(#REF!,"AAAAAF5f42Q=")</f>
        <v>#REF!</v>
      </c>
      <c r="CX124" t="e">
        <f>AND(#REF!,"AAAAAF5f42U=")</f>
        <v>#REF!</v>
      </c>
      <c r="CY124" t="e">
        <f>AND(#REF!,"AAAAAF5f42Y=")</f>
        <v>#REF!</v>
      </c>
      <c r="CZ124" t="e">
        <f>AND(#REF!,"AAAAAF5f42c=")</f>
        <v>#REF!</v>
      </c>
      <c r="DA124" t="e">
        <f>AND(#REF!,"AAAAAF5f42g=")</f>
        <v>#REF!</v>
      </c>
      <c r="DB124" t="e">
        <f>AND(#REF!,"AAAAAF5f42k=")</f>
        <v>#REF!</v>
      </c>
      <c r="DC124" t="e">
        <f>AND(#REF!,"AAAAAF5f42o=")</f>
        <v>#REF!</v>
      </c>
      <c r="DD124" t="e">
        <f>AND(#REF!,"AAAAAF5f42s=")</f>
        <v>#REF!</v>
      </c>
      <c r="DE124" t="e">
        <f>AND(#REF!,"AAAAAF5f42w=")</f>
        <v>#REF!</v>
      </c>
      <c r="DF124" t="e">
        <f>IF(#REF!,"AAAAAF5f420=",0)</f>
        <v>#REF!</v>
      </c>
      <c r="DG124" t="e">
        <f>AND(#REF!,"AAAAAF5f424=")</f>
        <v>#REF!</v>
      </c>
      <c r="DH124" t="e">
        <f>AND(#REF!,"AAAAAF5f428=")</f>
        <v>#REF!</v>
      </c>
      <c r="DI124" t="e">
        <f>AND(#REF!,"AAAAAF5f43A=")</f>
        <v>#REF!</v>
      </c>
      <c r="DJ124" t="e">
        <f>AND(#REF!,"AAAAAF5f43E=")</f>
        <v>#REF!</v>
      </c>
      <c r="DK124" t="e">
        <f>AND(#REF!,"AAAAAF5f43I=")</f>
        <v>#REF!</v>
      </c>
      <c r="DL124" t="e">
        <f>AND(#REF!,"AAAAAF5f43M=")</f>
        <v>#REF!</v>
      </c>
      <c r="DM124" t="e">
        <f>AND(#REF!,"AAAAAF5f43Q=")</f>
        <v>#REF!</v>
      </c>
      <c r="DN124" t="e">
        <f>AND(#REF!,"AAAAAF5f43U=")</f>
        <v>#REF!</v>
      </c>
      <c r="DO124" t="e">
        <f>AND(#REF!,"AAAAAF5f43Y=")</f>
        <v>#REF!</v>
      </c>
      <c r="DP124" t="e">
        <f>AND(#REF!,"AAAAAF5f43c=")</f>
        <v>#REF!</v>
      </c>
      <c r="DQ124" t="e">
        <f>IF(#REF!,"AAAAAF5f43g=",0)</f>
        <v>#REF!</v>
      </c>
      <c r="DR124" t="e">
        <f>AND(#REF!,"AAAAAF5f43k=")</f>
        <v>#REF!</v>
      </c>
      <c r="DS124" t="e">
        <f>AND(#REF!,"AAAAAF5f43o=")</f>
        <v>#REF!</v>
      </c>
      <c r="DT124" t="e">
        <f>AND(#REF!,"AAAAAF5f43s=")</f>
        <v>#REF!</v>
      </c>
      <c r="DU124" t="e">
        <f>AND(#REF!,"AAAAAF5f43w=")</f>
        <v>#REF!</v>
      </c>
      <c r="DV124" t="e">
        <f>AND(#REF!,"AAAAAF5f430=")</f>
        <v>#REF!</v>
      </c>
      <c r="DW124" t="e">
        <f>AND(#REF!,"AAAAAF5f434=")</f>
        <v>#REF!</v>
      </c>
      <c r="DX124" t="e">
        <f>AND(#REF!,"AAAAAF5f438=")</f>
        <v>#REF!</v>
      </c>
      <c r="DY124" t="e">
        <f>AND(#REF!,"AAAAAF5f44A=")</f>
        <v>#REF!</v>
      </c>
      <c r="DZ124" t="e">
        <f>AND(#REF!,"AAAAAF5f44E=")</f>
        <v>#REF!</v>
      </c>
      <c r="EA124" t="e">
        <f>AND(#REF!,"AAAAAF5f44I=")</f>
        <v>#REF!</v>
      </c>
      <c r="EB124" t="e">
        <f>IF(#REF!,"AAAAAF5f44M=",0)</f>
        <v>#REF!</v>
      </c>
      <c r="EC124" t="e">
        <f>AND(#REF!,"AAAAAF5f44Q=")</f>
        <v>#REF!</v>
      </c>
      <c r="ED124" t="e">
        <f>AND(#REF!,"AAAAAF5f44U=")</f>
        <v>#REF!</v>
      </c>
      <c r="EE124" t="e">
        <f>AND(#REF!,"AAAAAF5f44Y=")</f>
        <v>#REF!</v>
      </c>
      <c r="EF124" t="e">
        <f>AND(#REF!,"AAAAAF5f44c=")</f>
        <v>#REF!</v>
      </c>
      <c r="EG124" t="e">
        <f>AND(#REF!,"AAAAAF5f44g=")</f>
        <v>#REF!</v>
      </c>
      <c r="EH124" t="e">
        <f>AND(#REF!,"AAAAAF5f44k=")</f>
        <v>#REF!</v>
      </c>
      <c r="EI124" t="e">
        <f>AND(#REF!,"AAAAAF5f44o=")</f>
        <v>#REF!</v>
      </c>
      <c r="EJ124" t="e">
        <f>AND(#REF!,"AAAAAF5f44s=")</f>
        <v>#REF!</v>
      </c>
      <c r="EK124" t="e">
        <f>AND(#REF!,"AAAAAF5f44w=")</f>
        <v>#REF!</v>
      </c>
      <c r="EL124" t="e">
        <f>AND(#REF!,"AAAAAF5f440=")</f>
        <v>#REF!</v>
      </c>
      <c r="EM124" t="e">
        <f>IF(#REF!,"AAAAAF5f444=",0)</f>
        <v>#REF!</v>
      </c>
      <c r="EN124" t="e">
        <f>AND(#REF!,"AAAAAF5f448=")</f>
        <v>#REF!</v>
      </c>
      <c r="EO124" t="e">
        <f>AND(#REF!,"AAAAAF5f45A=")</f>
        <v>#REF!</v>
      </c>
      <c r="EP124" t="e">
        <f>AND(#REF!,"AAAAAF5f45E=")</f>
        <v>#REF!</v>
      </c>
      <c r="EQ124" t="e">
        <f>AND(#REF!,"AAAAAF5f45I=")</f>
        <v>#REF!</v>
      </c>
      <c r="ER124" t="e">
        <f>AND(#REF!,"AAAAAF5f45M=")</f>
        <v>#REF!</v>
      </c>
      <c r="ES124" t="e">
        <f>AND(#REF!,"AAAAAF5f45Q=")</f>
        <v>#REF!</v>
      </c>
      <c r="ET124" t="e">
        <f>AND(#REF!,"AAAAAF5f45U=")</f>
        <v>#REF!</v>
      </c>
      <c r="EU124" t="e">
        <f>AND(#REF!,"AAAAAF5f45Y=")</f>
        <v>#REF!</v>
      </c>
      <c r="EV124" t="e">
        <f>AND(#REF!,"AAAAAF5f45c=")</f>
        <v>#REF!</v>
      </c>
      <c r="EW124" t="e">
        <f>AND(#REF!,"AAAAAF5f45g=")</f>
        <v>#REF!</v>
      </c>
      <c r="EX124" t="e">
        <f>IF(#REF!,"AAAAAF5f45k=",0)</f>
        <v>#REF!</v>
      </c>
      <c r="EY124" t="e">
        <f>AND(#REF!,"AAAAAF5f45o=")</f>
        <v>#REF!</v>
      </c>
      <c r="EZ124" t="e">
        <f>AND(#REF!,"AAAAAF5f45s=")</f>
        <v>#REF!</v>
      </c>
      <c r="FA124" t="e">
        <f>AND(#REF!,"AAAAAF5f45w=")</f>
        <v>#REF!</v>
      </c>
      <c r="FB124" t="e">
        <f>AND(#REF!,"AAAAAF5f450=")</f>
        <v>#REF!</v>
      </c>
      <c r="FC124" t="e">
        <f>AND(#REF!,"AAAAAF5f454=")</f>
        <v>#REF!</v>
      </c>
      <c r="FD124" t="e">
        <f>AND(#REF!,"AAAAAF5f458=")</f>
        <v>#REF!</v>
      </c>
      <c r="FE124" t="e">
        <f>AND(#REF!,"AAAAAF5f46A=")</f>
        <v>#REF!</v>
      </c>
      <c r="FF124" t="e">
        <f>AND(#REF!,"AAAAAF5f46E=")</f>
        <v>#REF!</v>
      </c>
      <c r="FG124" t="e">
        <f>AND(#REF!,"AAAAAF5f46I=")</f>
        <v>#REF!</v>
      </c>
      <c r="FH124" t="e">
        <f>AND(#REF!,"AAAAAF5f46M=")</f>
        <v>#REF!</v>
      </c>
      <c r="FI124" t="e">
        <f>IF(#REF!,"AAAAAF5f46Q=",0)</f>
        <v>#REF!</v>
      </c>
      <c r="FJ124" t="e">
        <f>AND(#REF!,"AAAAAF5f46U=")</f>
        <v>#REF!</v>
      </c>
      <c r="FK124" t="e">
        <f>AND(#REF!,"AAAAAF5f46Y=")</f>
        <v>#REF!</v>
      </c>
      <c r="FL124" t="e">
        <f>AND(#REF!,"AAAAAF5f46c=")</f>
        <v>#REF!</v>
      </c>
      <c r="FM124" t="e">
        <f>AND(#REF!,"AAAAAF5f46g=")</f>
        <v>#REF!</v>
      </c>
      <c r="FN124" t="e">
        <f>AND(#REF!,"AAAAAF5f46k=")</f>
        <v>#REF!</v>
      </c>
      <c r="FO124" t="e">
        <f>AND(#REF!,"AAAAAF5f46o=")</f>
        <v>#REF!</v>
      </c>
      <c r="FP124" t="e">
        <f>AND(#REF!,"AAAAAF5f46s=")</f>
        <v>#REF!</v>
      </c>
      <c r="FQ124" t="e">
        <f>AND(#REF!,"AAAAAF5f46w=")</f>
        <v>#REF!</v>
      </c>
      <c r="FR124" t="e">
        <f>AND(#REF!,"AAAAAF5f460=")</f>
        <v>#REF!</v>
      </c>
      <c r="FS124" t="e">
        <f>AND(#REF!,"AAAAAF5f464=")</f>
        <v>#REF!</v>
      </c>
      <c r="FT124" t="e">
        <f>IF(#REF!,"AAAAAF5f468=",0)</f>
        <v>#REF!</v>
      </c>
      <c r="FU124" t="e">
        <f>AND(#REF!,"AAAAAF5f47A=")</f>
        <v>#REF!</v>
      </c>
      <c r="FV124" t="e">
        <f>AND(#REF!,"AAAAAF5f47E=")</f>
        <v>#REF!</v>
      </c>
      <c r="FW124" t="e">
        <f>AND(#REF!,"AAAAAF5f47I=")</f>
        <v>#REF!</v>
      </c>
      <c r="FX124" t="e">
        <f>AND(#REF!,"AAAAAF5f47M=")</f>
        <v>#REF!</v>
      </c>
      <c r="FY124" t="e">
        <f>AND(#REF!,"AAAAAF5f47Q=")</f>
        <v>#REF!</v>
      </c>
      <c r="FZ124" t="e">
        <f>AND(#REF!,"AAAAAF5f47U=")</f>
        <v>#REF!</v>
      </c>
      <c r="GA124" t="e">
        <f>AND(#REF!,"AAAAAF5f47Y=")</f>
        <v>#REF!</v>
      </c>
      <c r="GB124" t="e">
        <f>AND(#REF!,"AAAAAF5f47c=")</f>
        <v>#REF!</v>
      </c>
      <c r="GC124" t="e">
        <f>AND(#REF!,"AAAAAF5f47g=")</f>
        <v>#REF!</v>
      </c>
      <c r="GD124" t="e">
        <f>AND(#REF!,"AAAAAF5f47k=")</f>
        <v>#REF!</v>
      </c>
      <c r="GE124" t="e">
        <f>IF(#REF!,"AAAAAF5f47o=",0)</f>
        <v>#REF!</v>
      </c>
      <c r="GF124" t="e">
        <f>AND(#REF!,"AAAAAF5f47s=")</f>
        <v>#REF!</v>
      </c>
      <c r="GG124" t="e">
        <f>AND(#REF!,"AAAAAF5f47w=")</f>
        <v>#REF!</v>
      </c>
      <c r="GH124" t="e">
        <f>AND(#REF!,"AAAAAF5f470=")</f>
        <v>#REF!</v>
      </c>
      <c r="GI124" t="e">
        <f>AND(#REF!,"AAAAAF5f474=")</f>
        <v>#REF!</v>
      </c>
      <c r="GJ124" t="e">
        <f>AND(#REF!,"AAAAAF5f478=")</f>
        <v>#REF!</v>
      </c>
      <c r="GK124" t="e">
        <f>AND(#REF!,"AAAAAF5f48A=")</f>
        <v>#REF!</v>
      </c>
      <c r="GL124" t="e">
        <f>AND(#REF!,"AAAAAF5f48E=")</f>
        <v>#REF!</v>
      </c>
      <c r="GM124" t="e">
        <f>AND(#REF!,"AAAAAF5f48I=")</f>
        <v>#REF!</v>
      </c>
      <c r="GN124" t="e">
        <f>AND(#REF!,"AAAAAF5f48M=")</f>
        <v>#REF!</v>
      </c>
      <c r="GO124" t="e">
        <f>AND(#REF!,"AAAAAF5f48Q=")</f>
        <v>#REF!</v>
      </c>
      <c r="GP124" t="e">
        <f>IF(#REF!,"AAAAAF5f48U=",0)</f>
        <v>#REF!</v>
      </c>
      <c r="GQ124" t="e">
        <f>AND(#REF!,"AAAAAF5f48Y=")</f>
        <v>#REF!</v>
      </c>
      <c r="GR124" t="e">
        <f>AND(#REF!,"AAAAAF5f48c=")</f>
        <v>#REF!</v>
      </c>
      <c r="GS124" t="e">
        <f>AND(#REF!,"AAAAAF5f48g=")</f>
        <v>#REF!</v>
      </c>
      <c r="GT124" t="e">
        <f>AND(#REF!,"AAAAAF5f48k=")</f>
        <v>#REF!</v>
      </c>
      <c r="GU124" t="e">
        <f>AND(#REF!,"AAAAAF5f48o=")</f>
        <v>#REF!</v>
      </c>
      <c r="GV124" t="e">
        <f>AND(#REF!,"AAAAAF5f48s=")</f>
        <v>#REF!</v>
      </c>
      <c r="GW124" t="e">
        <f>AND(#REF!,"AAAAAF5f48w=")</f>
        <v>#REF!</v>
      </c>
      <c r="GX124" t="e">
        <f>AND(#REF!,"AAAAAF5f480=")</f>
        <v>#REF!</v>
      </c>
      <c r="GY124" t="e">
        <f>AND(#REF!,"AAAAAF5f484=")</f>
        <v>#REF!</v>
      </c>
      <c r="GZ124" t="e">
        <f>AND(#REF!,"AAAAAF5f488=")</f>
        <v>#REF!</v>
      </c>
      <c r="HA124" t="e">
        <f>IF(#REF!,"AAAAAF5f49A=",0)</f>
        <v>#REF!</v>
      </c>
      <c r="HB124" t="e">
        <f>AND(#REF!,"AAAAAF5f49E=")</f>
        <v>#REF!</v>
      </c>
      <c r="HC124" t="e">
        <f>AND(#REF!,"AAAAAF5f49I=")</f>
        <v>#REF!</v>
      </c>
      <c r="HD124" t="e">
        <f>AND(#REF!,"AAAAAF5f49M=")</f>
        <v>#REF!</v>
      </c>
      <c r="HE124" t="e">
        <f>AND(#REF!,"AAAAAF5f49Q=")</f>
        <v>#REF!</v>
      </c>
      <c r="HF124" t="e">
        <f>AND(#REF!,"AAAAAF5f49U=")</f>
        <v>#REF!</v>
      </c>
      <c r="HG124" t="e">
        <f>AND(#REF!,"AAAAAF5f49Y=")</f>
        <v>#REF!</v>
      </c>
      <c r="HH124" t="e">
        <f>AND(#REF!,"AAAAAF5f49c=")</f>
        <v>#REF!</v>
      </c>
      <c r="HI124" t="e">
        <f>AND(#REF!,"AAAAAF5f49g=")</f>
        <v>#REF!</v>
      </c>
      <c r="HJ124" t="e">
        <f>AND(#REF!,"AAAAAF5f49k=")</f>
        <v>#REF!</v>
      </c>
      <c r="HK124" t="e">
        <f>AND(#REF!,"AAAAAF5f49o=")</f>
        <v>#REF!</v>
      </c>
      <c r="HL124" t="e">
        <f>IF(#REF!,"AAAAAF5f49s=",0)</f>
        <v>#REF!</v>
      </c>
      <c r="HM124" t="e">
        <f>AND(#REF!,"AAAAAF5f49w=")</f>
        <v>#REF!</v>
      </c>
      <c r="HN124" t="e">
        <f>AND(#REF!,"AAAAAF5f490=")</f>
        <v>#REF!</v>
      </c>
      <c r="HO124" t="e">
        <f>AND(#REF!,"AAAAAF5f494=")</f>
        <v>#REF!</v>
      </c>
      <c r="HP124" t="e">
        <f>AND(#REF!,"AAAAAF5f498=")</f>
        <v>#REF!</v>
      </c>
      <c r="HQ124" t="e">
        <f>AND(#REF!,"AAAAAF5f4+A=")</f>
        <v>#REF!</v>
      </c>
      <c r="HR124" t="e">
        <f>AND(#REF!,"AAAAAF5f4+E=")</f>
        <v>#REF!</v>
      </c>
      <c r="HS124" t="e">
        <f>AND(#REF!,"AAAAAF5f4+I=")</f>
        <v>#REF!</v>
      </c>
      <c r="HT124" t="e">
        <f>AND(#REF!,"AAAAAF5f4+M=")</f>
        <v>#REF!</v>
      </c>
      <c r="HU124" t="e">
        <f>AND(#REF!,"AAAAAF5f4+Q=")</f>
        <v>#REF!</v>
      </c>
      <c r="HV124" t="e">
        <f>AND(#REF!,"AAAAAF5f4+U=")</f>
        <v>#REF!</v>
      </c>
      <c r="HW124" t="e">
        <f>IF(#REF!,"AAAAAF5f4+Y=",0)</f>
        <v>#REF!</v>
      </c>
      <c r="HX124" t="e">
        <f>AND(#REF!,"AAAAAF5f4+c=")</f>
        <v>#REF!</v>
      </c>
      <c r="HY124" t="e">
        <f>AND(#REF!,"AAAAAF5f4+g=")</f>
        <v>#REF!</v>
      </c>
      <c r="HZ124" t="e">
        <f>AND(#REF!,"AAAAAF5f4+k=")</f>
        <v>#REF!</v>
      </c>
      <c r="IA124" t="e">
        <f>AND(#REF!,"AAAAAF5f4+o=")</f>
        <v>#REF!</v>
      </c>
      <c r="IB124" t="e">
        <f>AND(#REF!,"AAAAAF5f4+s=")</f>
        <v>#REF!</v>
      </c>
      <c r="IC124" t="e">
        <f>AND(#REF!,"AAAAAF5f4+w=")</f>
        <v>#REF!</v>
      </c>
      <c r="ID124" t="e">
        <f>AND(#REF!,"AAAAAF5f4+0=")</f>
        <v>#REF!</v>
      </c>
      <c r="IE124" t="e">
        <f>AND(#REF!,"AAAAAF5f4+4=")</f>
        <v>#REF!</v>
      </c>
      <c r="IF124" t="e">
        <f>AND(#REF!,"AAAAAF5f4+8=")</f>
        <v>#REF!</v>
      </c>
      <c r="IG124" t="e">
        <f>AND(#REF!,"AAAAAF5f4/A=")</f>
        <v>#REF!</v>
      </c>
      <c r="IH124" t="e">
        <f>IF(#REF!,"AAAAAF5f4/E=",0)</f>
        <v>#REF!</v>
      </c>
      <c r="II124" t="e">
        <f>AND(#REF!,"AAAAAF5f4/I=")</f>
        <v>#REF!</v>
      </c>
      <c r="IJ124" t="e">
        <f>AND(#REF!,"AAAAAF5f4/M=")</f>
        <v>#REF!</v>
      </c>
      <c r="IK124" t="e">
        <f>AND(#REF!,"AAAAAF5f4/Q=")</f>
        <v>#REF!</v>
      </c>
      <c r="IL124" t="e">
        <f>AND(#REF!,"AAAAAF5f4/U=")</f>
        <v>#REF!</v>
      </c>
      <c r="IM124" t="e">
        <f>AND(#REF!,"AAAAAF5f4/Y=")</f>
        <v>#REF!</v>
      </c>
      <c r="IN124" t="e">
        <f>AND(#REF!,"AAAAAF5f4/c=")</f>
        <v>#REF!</v>
      </c>
      <c r="IO124" t="e">
        <f>AND(#REF!,"AAAAAF5f4/g=")</f>
        <v>#REF!</v>
      </c>
      <c r="IP124" t="e">
        <f>AND(#REF!,"AAAAAF5f4/k=")</f>
        <v>#REF!</v>
      </c>
      <c r="IQ124" t="e">
        <f>AND(#REF!,"AAAAAF5f4/o=")</f>
        <v>#REF!</v>
      </c>
      <c r="IR124" t="e">
        <f>AND(#REF!,"AAAAAF5f4/s=")</f>
        <v>#REF!</v>
      </c>
      <c r="IS124" t="e">
        <f>IF(#REF!,"AAAAAF5f4/w=",0)</f>
        <v>#REF!</v>
      </c>
      <c r="IT124" t="e">
        <f>AND(#REF!,"AAAAAF5f4/0=")</f>
        <v>#REF!</v>
      </c>
      <c r="IU124" t="e">
        <f>AND(#REF!,"AAAAAF5f4/4=")</f>
        <v>#REF!</v>
      </c>
      <c r="IV124" t="e">
        <f>AND(#REF!,"AAAAAF5f4/8=")</f>
        <v>#REF!</v>
      </c>
    </row>
    <row r="125" spans="1:256" x14ac:dyDescent="0.25">
      <c r="A125" t="e">
        <f>AND(#REF!,"AAAAAHP9twA=")</f>
        <v>#REF!</v>
      </c>
      <c r="B125" t="e">
        <f>AND(#REF!,"AAAAAHP9twE=")</f>
        <v>#REF!</v>
      </c>
      <c r="C125" t="e">
        <f>AND(#REF!,"AAAAAHP9twI=")</f>
        <v>#REF!</v>
      </c>
      <c r="D125" t="e">
        <f>AND(#REF!,"AAAAAHP9twM=")</f>
        <v>#REF!</v>
      </c>
      <c r="E125" t="e">
        <f>AND(#REF!,"AAAAAHP9twQ=")</f>
        <v>#REF!</v>
      </c>
      <c r="F125" t="e">
        <f>AND(#REF!,"AAAAAHP9twU=")</f>
        <v>#REF!</v>
      </c>
      <c r="G125" t="e">
        <f>AND(#REF!,"AAAAAHP9twY=")</f>
        <v>#REF!</v>
      </c>
      <c r="H125" t="e">
        <f>IF(#REF!,"AAAAAHP9twc=",0)</f>
        <v>#REF!</v>
      </c>
      <c r="I125" t="e">
        <f>AND(#REF!,"AAAAAHP9twg=")</f>
        <v>#REF!</v>
      </c>
      <c r="J125" t="e">
        <f>AND(#REF!,"AAAAAHP9twk=")</f>
        <v>#REF!</v>
      </c>
      <c r="K125" t="e">
        <f>AND(#REF!,"AAAAAHP9two=")</f>
        <v>#REF!</v>
      </c>
      <c r="L125" t="e">
        <f>AND(#REF!,"AAAAAHP9tws=")</f>
        <v>#REF!</v>
      </c>
      <c r="M125" t="e">
        <f>AND(#REF!,"AAAAAHP9tww=")</f>
        <v>#REF!</v>
      </c>
      <c r="N125" t="e">
        <f>AND(#REF!,"AAAAAHP9tw0=")</f>
        <v>#REF!</v>
      </c>
      <c r="O125" t="e">
        <f>AND(#REF!,"AAAAAHP9tw4=")</f>
        <v>#REF!</v>
      </c>
      <c r="P125" t="e">
        <f>AND(#REF!,"AAAAAHP9tw8=")</f>
        <v>#REF!</v>
      </c>
      <c r="Q125" t="e">
        <f>AND(#REF!,"AAAAAHP9txA=")</f>
        <v>#REF!</v>
      </c>
      <c r="R125" t="e">
        <f>AND(#REF!,"AAAAAHP9txE=")</f>
        <v>#REF!</v>
      </c>
      <c r="S125" t="e">
        <f>IF(#REF!,"AAAAAHP9txI=",0)</f>
        <v>#REF!</v>
      </c>
      <c r="T125" t="e">
        <f>AND(#REF!,"AAAAAHP9txM=")</f>
        <v>#REF!</v>
      </c>
      <c r="U125" t="e">
        <f>AND(#REF!,"AAAAAHP9txQ=")</f>
        <v>#REF!</v>
      </c>
      <c r="V125" t="e">
        <f>AND(#REF!,"AAAAAHP9txU=")</f>
        <v>#REF!</v>
      </c>
      <c r="W125" t="e">
        <f>AND(#REF!,"AAAAAHP9txY=")</f>
        <v>#REF!</v>
      </c>
      <c r="X125" t="e">
        <f>AND(#REF!,"AAAAAHP9txc=")</f>
        <v>#REF!</v>
      </c>
      <c r="Y125" t="e">
        <f>AND(#REF!,"AAAAAHP9txg=")</f>
        <v>#REF!</v>
      </c>
      <c r="Z125" t="e">
        <f>AND(#REF!,"AAAAAHP9txk=")</f>
        <v>#REF!</v>
      </c>
      <c r="AA125" t="e">
        <f>AND(#REF!,"AAAAAHP9txo=")</f>
        <v>#REF!</v>
      </c>
      <c r="AB125" t="e">
        <f>AND(#REF!,"AAAAAHP9txs=")</f>
        <v>#REF!</v>
      </c>
      <c r="AC125" t="e">
        <f>AND(#REF!,"AAAAAHP9txw=")</f>
        <v>#REF!</v>
      </c>
      <c r="AD125" t="e">
        <f>IF(#REF!,"AAAAAHP9tx0=",0)</f>
        <v>#REF!</v>
      </c>
      <c r="AE125" t="e">
        <f>AND(#REF!,"AAAAAHP9tx4=")</f>
        <v>#REF!</v>
      </c>
      <c r="AF125" t="e">
        <f>AND(#REF!,"AAAAAHP9tx8=")</f>
        <v>#REF!</v>
      </c>
      <c r="AG125" t="e">
        <f>AND(#REF!,"AAAAAHP9tyA=")</f>
        <v>#REF!</v>
      </c>
      <c r="AH125" t="e">
        <f>AND(#REF!,"AAAAAHP9tyE=")</f>
        <v>#REF!</v>
      </c>
      <c r="AI125" t="e">
        <f>AND(#REF!,"AAAAAHP9tyI=")</f>
        <v>#REF!</v>
      </c>
      <c r="AJ125" t="e">
        <f>AND(#REF!,"AAAAAHP9tyM=")</f>
        <v>#REF!</v>
      </c>
      <c r="AK125" t="e">
        <f>AND(#REF!,"AAAAAHP9tyQ=")</f>
        <v>#REF!</v>
      </c>
      <c r="AL125" t="e">
        <f>AND(#REF!,"AAAAAHP9tyU=")</f>
        <v>#REF!</v>
      </c>
      <c r="AM125" t="e">
        <f>AND(#REF!,"AAAAAHP9tyY=")</f>
        <v>#REF!</v>
      </c>
      <c r="AN125" t="e">
        <f>AND(#REF!,"AAAAAHP9tyc=")</f>
        <v>#REF!</v>
      </c>
      <c r="AO125" t="e">
        <f>IF(#REF!,"AAAAAHP9tyg=",0)</f>
        <v>#REF!</v>
      </c>
      <c r="AP125" t="e">
        <f>AND(#REF!,"AAAAAHP9tyk=")</f>
        <v>#REF!</v>
      </c>
      <c r="AQ125" t="e">
        <f>AND(#REF!,"AAAAAHP9tyo=")</f>
        <v>#REF!</v>
      </c>
      <c r="AR125" t="e">
        <f>AND(#REF!,"AAAAAHP9tys=")</f>
        <v>#REF!</v>
      </c>
      <c r="AS125" t="e">
        <f>AND(#REF!,"AAAAAHP9tyw=")</f>
        <v>#REF!</v>
      </c>
      <c r="AT125" t="e">
        <f>AND(#REF!,"AAAAAHP9ty0=")</f>
        <v>#REF!</v>
      </c>
      <c r="AU125" t="e">
        <f>AND(#REF!,"AAAAAHP9ty4=")</f>
        <v>#REF!</v>
      </c>
      <c r="AV125" t="e">
        <f>AND(#REF!,"AAAAAHP9ty8=")</f>
        <v>#REF!</v>
      </c>
      <c r="AW125" t="e">
        <f>AND(#REF!,"AAAAAHP9tzA=")</f>
        <v>#REF!</v>
      </c>
      <c r="AX125" t="e">
        <f>AND(#REF!,"AAAAAHP9tzE=")</f>
        <v>#REF!</v>
      </c>
      <c r="AY125" t="e">
        <f>AND(#REF!,"AAAAAHP9tzI=")</f>
        <v>#REF!</v>
      </c>
      <c r="AZ125" t="e">
        <f>IF(#REF!,"AAAAAHP9tzM=",0)</f>
        <v>#REF!</v>
      </c>
      <c r="BA125" t="e">
        <f>AND(#REF!,"AAAAAHP9tzQ=")</f>
        <v>#REF!</v>
      </c>
      <c r="BB125" t="e">
        <f>AND(#REF!,"AAAAAHP9tzU=")</f>
        <v>#REF!</v>
      </c>
      <c r="BC125" t="e">
        <f>AND(#REF!,"AAAAAHP9tzY=")</f>
        <v>#REF!</v>
      </c>
      <c r="BD125" t="e">
        <f>AND(#REF!,"AAAAAHP9tzc=")</f>
        <v>#REF!</v>
      </c>
      <c r="BE125" t="e">
        <f>AND(#REF!,"AAAAAHP9tzg=")</f>
        <v>#REF!</v>
      </c>
      <c r="BF125" t="e">
        <f>AND(#REF!,"AAAAAHP9tzk=")</f>
        <v>#REF!</v>
      </c>
      <c r="BG125" t="e">
        <f>AND(#REF!,"AAAAAHP9tzo=")</f>
        <v>#REF!</v>
      </c>
      <c r="BH125" t="e">
        <f>AND(#REF!,"AAAAAHP9tzs=")</f>
        <v>#REF!</v>
      </c>
      <c r="BI125" t="e">
        <f>AND(#REF!,"AAAAAHP9tzw=")</f>
        <v>#REF!</v>
      </c>
      <c r="BJ125" t="e">
        <f>AND(#REF!,"AAAAAHP9tz0=")</f>
        <v>#REF!</v>
      </c>
      <c r="BK125" t="e">
        <f>IF(#REF!,"AAAAAHP9tz4=",0)</f>
        <v>#REF!</v>
      </c>
      <c r="BL125" t="e">
        <f>AND(#REF!,"AAAAAHP9tz8=")</f>
        <v>#REF!</v>
      </c>
      <c r="BM125" t="e">
        <f>AND(#REF!,"AAAAAHP9t0A=")</f>
        <v>#REF!</v>
      </c>
      <c r="BN125" t="e">
        <f>AND(#REF!,"AAAAAHP9t0E=")</f>
        <v>#REF!</v>
      </c>
      <c r="BO125" t="e">
        <f>AND(#REF!,"AAAAAHP9t0I=")</f>
        <v>#REF!</v>
      </c>
      <c r="BP125" t="e">
        <f>AND(#REF!,"AAAAAHP9t0M=")</f>
        <v>#REF!</v>
      </c>
      <c r="BQ125" t="e">
        <f>AND(#REF!,"AAAAAHP9t0Q=")</f>
        <v>#REF!</v>
      </c>
      <c r="BR125" t="e">
        <f>AND(#REF!,"AAAAAHP9t0U=")</f>
        <v>#REF!</v>
      </c>
      <c r="BS125" t="e">
        <f>AND(#REF!,"AAAAAHP9t0Y=")</f>
        <v>#REF!</v>
      </c>
      <c r="BT125" t="e">
        <f>AND(#REF!,"AAAAAHP9t0c=")</f>
        <v>#REF!</v>
      </c>
      <c r="BU125" t="e">
        <f>AND(#REF!,"AAAAAHP9t0g=")</f>
        <v>#REF!</v>
      </c>
      <c r="BV125" t="e">
        <f>IF(#REF!,"AAAAAHP9t0k=",0)</f>
        <v>#REF!</v>
      </c>
      <c r="BW125" t="e">
        <f>AND(#REF!,"AAAAAHP9t0o=")</f>
        <v>#REF!</v>
      </c>
      <c r="BX125" t="e">
        <f>AND(#REF!,"AAAAAHP9t0s=")</f>
        <v>#REF!</v>
      </c>
      <c r="BY125" t="e">
        <f>AND(#REF!,"AAAAAHP9t0w=")</f>
        <v>#REF!</v>
      </c>
      <c r="BZ125" t="e">
        <f>AND(#REF!,"AAAAAHP9t00=")</f>
        <v>#REF!</v>
      </c>
      <c r="CA125" t="e">
        <f>AND(#REF!,"AAAAAHP9t04=")</f>
        <v>#REF!</v>
      </c>
      <c r="CB125" t="e">
        <f>AND(#REF!,"AAAAAHP9t08=")</f>
        <v>#REF!</v>
      </c>
      <c r="CC125" t="e">
        <f>AND(#REF!,"AAAAAHP9t1A=")</f>
        <v>#REF!</v>
      </c>
      <c r="CD125" t="e">
        <f>AND(#REF!,"AAAAAHP9t1E=")</f>
        <v>#REF!</v>
      </c>
      <c r="CE125" t="e">
        <f>AND(#REF!,"AAAAAHP9t1I=")</f>
        <v>#REF!</v>
      </c>
      <c r="CF125" t="e">
        <f>AND(#REF!,"AAAAAHP9t1M=")</f>
        <v>#REF!</v>
      </c>
      <c r="CG125" t="e">
        <f>IF(#REF!,"AAAAAHP9t1Q=",0)</f>
        <v>#REF!</v>
      </c>
      <c r="CH125" t="e">
        <f>AND(#REF!,"AAAAAHP9t1U=")</f>
        <v>#REF!</v>
      </c>
      <c r="CI125" t="e">
        <f>AND(#REF!,"AAAAAHP9t1Y=")</f>
        <v>#REF!</v>
      </c>
      <c r="CJ125" t="e">
        <f>AND(#REF!,"AAAAAHP9t1c=")</f>
        <v>#REF!</v>
      </c>
      <c r="CK125" t="e">
        <f>AND(#REF!,"AAAAAHP9t1g=")</f>
        <v>#REF!</v>
      </c>
      <c r="CL125" t="e">
        <f>AND(#REF!,"AAAAAHP9t1k=")</f>
        <v>#REF!</v>
      </c>
      <c r="CM125" t="e">
        <f>AND(#REF!,"AAAAAHP9t1o=")</f>
        <v>#REF!</v>
      </c>
      <c r="CN125" t="e">
        <f>AND(#REF!,"AAAAAHP9t1s=")</f>
        <v>#REF!</v>
      </c>
      <c r="CO125" t="e">
        <f>AND(#REF!,"AAAAAHP9t1w=")</f>
        <v>#REF!</v>
      </c>
      <c r="CP125" t="e">
        <f>AND(#REF!,"AAAAAHP9t10=")</f>
        <v>#REF!</v>
      </c>
      <c r="CQ125" t="e">
        <f>AND(#REF!,"AAAAAHP9t14=")</f>
        <v>#REF!</v>
      </c>
      <c r="CR125" t="e">
        <f>IF(#REF!,"AAAAAHP9t18=",0)</f>
        <v>#REF!</v>
      </c>
      <c r="CS125" t="e">
        <f>AND(#REF!,"AAAAAHP9t2A=")</f>
        <v>#REF!</v>
      </c>
      <c r="CT125" t="e">
        <f>AND(#REF!,"AAAAAHP9t2E=")</f>
        <v>#REF!</v>
      </c>
      <c r="CU125" t="e">
        <f>AND(#REF!,"AAAAAHP9t2I=")</f>
        <v>#REF!</v>
      </c>
      <c r="CV125" t="e">
        <f>AND(#REF!,"AAAAAHP9t2M=")</f>
        <v>#REF!</v>
      </c>
      <c r="CW125" t="e">
        <f>AND(#REF!,"AAAAAHP9t2Q=")</f>
        <v>#REF!</v>
      </c>
      <c r="CX125" t="e">
        <f>AND(#REF!,"AAAAAHP9t2U=")</f>
        <v>#REF!</v>
      </c>
      <c r="CY125" t="e">
        <f>AND(#REF!,"AAAAAHP9t2Y=")</f>
        <v>#REF!</v>
      </c>
      <c r="CZ125" t="e">
        <f>AND(#REF!,"AAAAAHP9t2c=")</f>
        <v>#REF!</v>
      </c>
      <c r="DA125" t="e">
        <f>AND(#REF!,"AAAAAHP9t2g=")</f>
        <v>#REF!</v>
      </c>
      <c r="DB125" t="e">
        <f>AND(#REF!,"AAAAAHP9t2k=")</f>
        <v>#REF!</v>
      </c>
      <c r="DC125" t="e">
        <f>IF(#REF!,"AAAAAHP9t2o=",0)</f>
        <v>#REF!</v>
      </c>
      <c r="DD125" t="e">
        <f>AND(#REF!,"AAAAAHP9t2s=")</f>
        <v>#REF!</v>
      </c>
      <c r="DE125" t="e">
        <f>AND(#REF!,"AAAAAHP9t2w=")</f>
        <v>#REF!</v>
      </c>
      <c r="DF125" t="e">
        <f>AND(#REF!,"AAAAAHP9t20=")</f>
        <v>#REF!</v>
      </c>
      <c r="DG125" t="e">
        <f>AND(#REF!,"AAAAAHP9t24=")</f>
        <v>#REF!</v>
      </c>
      <c r="DH125" t="e">
        <f>AND(#REF!,"AAAAAHP9t28=")</f>
        <v>#REF!</v>
      </c>
      <c r="DI125" t="e">
        <f>AND(#REF!,"AAAAAHP9t3A=")</f>
        <v>#REF!</v>
      </c>
      <c r="DJ125" t="e">
        <f>AND(#REF!,"AAAAAHP9t3E=")</f>
        <v>#REF!</v>
      </c>
      <c r="DK125" t="e">
        <f>AND(#REF!,"AAAAAHP9t3I=")</f>
        <v>#REF!</v>
      </c>
      <c r="DL125" t="e">
        <f>AND(#REF!,"AAAAAHP9t3M=")</f>
        <v>#REF!</v>
      </c>
      <c r="DM125" t="e">
        <f>AND(#REF!,"AAAAAHP9t3Q=")</f>
        <v>#REF!</v>
      </c>
      <c r="DN125" t="e">
        <f>IF(#REF!,"AAAAAHP9t3U=",0)</f>
        <v>#REF!</v>
      </c>
      <c r="DO125" t="e">
        <f>AND(#REF!,"AAAAAHP9t3Y=")</f>
        <v>#REF!</v>
      </c>
      <c r="DP125" t="e">
        <f>AND(#REF!,"AAAAAHP9t3c=")</f>
        <v>#REF!</v>
      </c>
      <c r="DQ125" t="e">
        <f>AND(#REF!,"AAAAAHP9t3g=")</f>
        <v>#REF!</v>
      </c>
      <c r="DR125" t="e">
        <f>AND(#REF!,"AAAAAHP9t3k=")</f>
        <v>#REF!</v>
      </c>
      <c r="DS125" t="e">
        <f>AND(#REF!,"AAAAAHP9t3o=")</f>
        <v>#REF!</v>
      </c>
      <c r="DT125" t="e">
        <f>AND(#REF!,"AAAAAHP9t3s=")</f>
        <v>#REF!</v>
      </c>
      <c r="DU125" t="e">
        <f>AND(#REF!,"AAAAAHP9t3w=")</f>
        <v>#REF!</v>
      </c>
      <c r="DV125" t="e">
        <f>AND(#REF!,"AAAAAHP9t30=")</f>
        <v>#REF!</v>
      </c>
      <c r="DW125" t="e">
        <f>AND(#REF!,"AAAAAHP9t34=")</f>
        <v>#REF!</v>
      </c>
      <c r="DX125" t="e">
        <f>AND(#REF!,"AAAAAHP9t38=")</f>
        <v>#REF!</v>
      </c>
      <c r="DY125" t="e">
        <f>IF(#REF!,"AAAAAHP9t4A=",0)</f>
        <v>#REF!</v>
      </c>
      <c r="DZ125" t="e">
        <f>AND(#REF!,"AAAAAHP9t4E=")</f>
        <v>#REF!</v>
      </c>
      <c r="EA125" t="e">
        <f>AND(#REF!,"AAAAAHP9t4I=")</f>
        <v>#REF!</v>
      </c>
      <c r="EB125" t="e">
        <f>AND(#REF!,"AAAAAHP9t4M=")</f>
        <v>#REF!</v>
      </c>
      <c r="EC125" t="e">
        <f>AND(#REF!,"AAAAAHP9t4Q=")</f>
        <v>#REF!</v>
      </c>
      <c r="ED125" t="e">
        <f>AND(#REF!,"AAAAAHP9t4U=")</f>
        <v>#REF!</v>
      </c>
      <c r="EE125" t="e">
        <f>AND(#REF!,"AAAAAHP9t4Y=")</f>
        <v>#REF!</v>
      </c>
      <c r="EF125" t="e">
        <f>AND(#REF!,"AAAAAHP9t4c=")</f>
        <v>#REF!</v>
      </c>
      <c r="EG125" t="e">
        <f>AND(#REF!,"AAAAAHP9t4g=")</f>
        <v>#REF!</v>
      </c>
      <c r="EH125" t="e">
        <f>AND(#REF!,"AAAAAHP9t4k=")</f>
        <v>#REF!</v>
      </c>
      <c r="EI125" t="e">
        <f>AND(#REF!,"AAAAAHP9t4o=")</f>
        <v>#REF!</v>
      </c>
      <c r="EJ125" t="e">
        <f>IF(#REF!,"AAAAAHP9t4s=",0)</f>
        <v>#REF!</v>
      </c>
      <c r="EK125" t="e">
        <f>AND(#REF!,"AAAAAHP9t4w=")</f>
        <v>#REF!</v>
      </c>
      <c r="EL125" t="e">
        <f>AND(#REF!,"AAAAAHP9t40=")</f>
        <v>#REF!</v>
      </c>
      <c r="EM125" t="e">
        <f>AND(#REF!,"AAAAAHP9t44=")</f>
        <v>#REF!</v>
      </c>
      <c r="EN125" t="e">
        <f>AND(#REF!,"AAAAAHP9t48=")</f>
        <v>#REF!</v>
      </c>
      <c r="EO125" t="e">
        <f>AND(#REF!,"AAAAAHP9t5A=")</f>
        <v>#REF!</v>
      </c>
      <c r="EP125" t="e">
        <f>AND(#REF!,"AAAAAHP9t5E=")</f>
        <v>#REF!</v>
      </c>
      <c r="EQ125" t="e">
        <f>AND(#REF!,"AAAAAHP9t5I=")</f>
        <v>#REF!</v>
      </c>
      <c r="ER125" t="e">
        <f>AND(#REF!,"AAAAAHP9t5M=")</f>
        <v>#REF!</v>
      </c>
      <c r="ES125" t="e">
        <f>AND(#REF!,"AAAAAHP9t5Q=")</f>
        <v>#REF!</v>
      </c>
      <c r="ET125" t="e">
        <f>AND(#REF!,"AAAAAHP9t5U=")</f>
        <v>#REF!</v>
      </c>
      <c r="EU125" t="e">
        <f>IF(#REF!,"AAAAAHP9t5Y=",0)</f>
        <v>#REF!</v>
      </c>
      <c r="EV125" t="e">
        <f>AND(#REF!,"AAAAAHP9t5c=")</f>
        <v>#REF!</v>
      </c>
      <c r="EW125" t="e">
        <f>AND(#REF!,"AAAAAHP9t5g=")</f>
        <v>#REF!</v>
      </c>
      <c r="EX125" t="e">
        <f>AND(#REF!,"AAAAAHP9t5k=")</f>
        <v>#REF!</v>
      </c>
      <c r="EY125" t="e">
        <f>AND(#REF!,"AAAAAHP9t5o=")</f>
        <v>#REF!</v>
      </c>
      <c r="EZ125" t="e">
        <f>AND(#REF!,"AAAAAHP9t5s=")</f>
        <v>#REF!</v>
      </c>
      <c r="FA125" t="e">
        <f>AND(#REF!,"AAAAAHP9t5w=")</f>
        <v>#REF!</v>
      </c>
      <c r="FB125" t="e">
        <f>AND(#REF!,"AAAAAHP9t50=")</f>
        <v>#REF!</v>
      </c>
      <c r="FC125" t="e">
        <f>AND(#REF!,"AAAAAHP9t54=")</f>
        <v>#REF!</v>
      </c>
      <c r="FD125" t="e">
        <f>AND(#REF!,"AAAAAHP9t58=")</f>
        <v>#REF!</v>
      </c>
      <c r="FE125" t="e">
        <f>AND(#REF!,"AAAAAHP9t6A=")</f>
        <v>#REF!</v>
      </c>
      <c r="FF125" t="e">
        <f>IF(#REF!,"AAAAAHP9t6E=",0)</f>
        <v>#REF!</v>
      </c>
      <c r="FG125" t="e">
        <f>AND(#REF!,"AAAAAHP9t6I=")</f>
        <v>#REF!</v>
      </c>
      <c r="FH125" t="e">
        <f>AND(#REF!,"AAAAAHP9t6M=")</f>
        <v>#REF!</v>
      </c>
      <c r="FI125" t="e">
        <f>AND(#REF!,"AAAAAHP9t6Q=")</f>
        <v>#REF!</v>
      </c>
      <c r="FJ125" t="e">
        <f>AND(#REF!,"AAAAAHP9t6U=")</f>
        <v>#REF!</v>
      </c>
      <c r="FK125" t="e">
        <f>AND(#REF!,"AAAAAHP9t6Y=")</f>
        <v>#REF!</v>
      </c>
      <c r="FL125" t="e">
        <f>AND(#REF!,"AAAAAHP9t6c=")</f>
        <v>#REF!</v>
      </c>
      <c r="FM125" t="e">
        <f>AND(#REF!,"AAAAAHP9t6g=")</f>
        <v>#REF!</v>
      </c>
      <c r="FN125" t="e">
        <f>AND(#REF!,"AAAAAHP9t6k=")</f>
        <v>#REF!</v>
      </c>
      <c r="FO125" t="e">
        <f>AND(#REF!,"AAAAAHP9t6o=")</f>
        <v>#REF!</v>
      </c>
      <c r="FP125" t="e">
        <f>AND(#REF!,"AAAAAHP9t6s=")</f>
        <v>#REF!</v>
      </c>
      <c r="FQ125" t="e">
        <f>IF(#REF!,"AAAAAHP9t6w=",0)</f>
        <v>#REF!</v>
      </c>
      <c r="FR125" t="e">
        <f>AND(#REF!,"AAAAAHP9t60=")</f>
        <v>#REF!</v>
      </c>
      <c r="FS125" t="e">
        <f>AND(#REF!,"AAAAAHP9t64=")</f>
        <v>#REF!</v>
      </c>
      <c r="FT125" t="e">
        <f>AND(#REF!,"AAAAAHP9t68=")</f>
        <v>#REF!</v>
      </c>
      <c r="FU125" t="e">
        <f>AND(#REF!,"AAAAAHP9t7A=")</f>
        <v>#REF!</v>
      </c>
      <c r="FV125" t="e">
        <f>AND(#REF!,"AAAAAHP9t7E=")</f>
        <v>#REF!</v>
      </c>
      <c r="FW125" t="e">
        <f>AND(#REF!,"AAAAAHP9t7I=")</f>
        <v>#REF!</v>
      </c>
      <c r="FX125" t="e">
        <f>AND(#REF!,"AAAAAHP9t7M=")</f>
        <v>#REF!</v>
      </c>
      <c r="FY125" t="e">
        <f>AND(#REF!,"AAAAAHP9t7Q=")</f>
        <v>#REF!</v>
      </c>
      <c r="FZ125" t="e">
        <f>AND(#REF!,"AAAAAHP9t7U=")</f>
        <v>#REF!</v>
      </c>
      <c r="GA125" t="e">
        <f>AND(#REF!,"AAAAAHP9t7Y=")</f>
        <v>#REF!</v>
      </c>
      <c r="GB125" t="e">
        <f>IF(#REF!,"AAAAAHP9t7c=",0)</f>
        <v>#REF!</v>
      </c>
      <c r="GC125" t="e">
        <f>AND(#REF!,"AAAAAHP9t7g=")</f>
        <v>#REF!</v>
      </c>
      <c r="GD125" t="e">
        <f>AND(#REF!,"AAAAAHP9t7k=")</f>
        <v>#REF!</v>
      </c>
      <c r="GE125" t="e">
        <f>AND(#REF!,"AAAAAHP9t7o=")</f>
        <v>#REF!</v>
      </c>
      <c r="GF125" t="e">
        <f>AND(#REF!,"AAAAAHP9t7s=")</f>
        <v>#REF!</v>
      </c>
      <c r="GG125" t="e">
        <f>AND(#REF!,"AAAAAHP9t7w=")</f>
        <v>#REF!</v>
      </c>
      <c r="GH125" t="e">
        <f>AND(#REF!,"AAAAAHP9t70=")</f>
        <v>#REF!</v>
      </c>
      <c r="GI125" t="e">
        <f>AND(#REF!,"AAAAAHP9t74=")</f>
        <v>#REF!</v>
      </c>
      <c r="GJ125" t="e">
        <f>AND(#REF!,"AAAAAHP9t78=")</f>
        <v>#REF!</v>
      </c>
      <c r="GK125" t="e">
        <f>AND(#REF!,"AAAAAHP9t8A=")</f>
        <v>#REF!</v>
      </c>
      <c r="GL125" t="e">
        <f>AND(#REF!,"AAAAAHP9t8E=")</f>
        <v>#REF!</v>
      </c>
      <c r="GM125" t="e">
        <f>IF(#REF!,"AAAAAHP9t8I=",0)</f>
        <v>#REF!</v>
      </c>
      <c r="GN125" t="e">
        <f>AND(#REF!,"AAAAAHP9t8M=")</f>
        <v>#REF!</v>
      </c>
      <c r="GO125" t="e">
        <f>AND(#REF!,"AAAAAHP9t8Q=")</f>
        <v>#REF!</v>
      </c>
      <c r="GP125" t="e">
        <f>AND(#REF!,"AAAAAHP9t8U=")</f>
        <v>#REF!</v>
      </c>
      <c r="GQ125" t="e">
        <f>AND(#REF!,"AAAAAHP9t8Y=")</f>
        <v>#REF!</v>
      </c>
      <c r="GR125" t="e">
        <f>AND(#REF!,"AAAAAHP9t8c=")</f>
        <v>#REF!</v>
      </c>
      <c r="GS125" t="e">
        <f>AND(#REF!,"AAAAAHP9t8g=")</f>
        <v>#REF!</v>
      </c>
      <c r="GT125" t="e">
        <f>AND(#REF!,"AAAAAHP9t8k=")</f>
        <v>#REF!</v>
      </c>
      <c r="GU125" t="e">
        <f>AND(#REF!,"AAAAAHP9t8o=")</f>
        <v>#REF!</v>
      </c>
      <c r="GV125" t="e">
        <f>AND(#REF!,"AAAAAHP9t8s=")</f>
        <v>#REF!</v>
      </c>
      <c r="GW125" t="e">
        <f>AND(#REF!,"AAAAAHP9t8w=")</f>
        <v>#REF!</v>
      </c>
      <c r="GX125" t="e">
        <f>IF(#REF!,"AAAAAHP9t80=",0)</f>
        <v>#REF!</v>
      </c>
      <c r="GY125" t="e">
        <f>AND(#REF!,"AAAAAHP9t84=")</f>
        <v>#REF!</v>
      </c>
      <c r="GZ125" t="e">
        <f>AND(#REF!,"AAAAAHP9t88=")</f>
        <v>#REF!</v>
      </c>
      <c r="HA125" t="e">
        <f>AND(#REF!,"AAAAAHP9t9A=")</f>
        <v>#REF!</v>
      </c>
      <c r="HB125" t="e">
        <f>AND(#REF!,"AAAAAHP9t9E=")</f>
        <v>#REF!</v>
      </c>
      <c r="HC125" t="e">
        <f>AND(#REF!,"AAAAAHP9t9I=")</f>
        <v>#REF!</v>
      </c>
      <c r="HD125" t="e">
        <f>AND(#REF!,"AAAAAHP9t9M=")</f>
        <v>#REF!</v>
      </c>
      <c r="HE125" t="e">
        <f>AND(#REF!,"AAAAAHP9t9Q=")</f>
        <v>#REF!</v>
      </c>
      <c r="HF125" t="e">
        <f>AND(#REF!,"AAAAAHP9t9U=")</f>
        <v>#REF!</v>
      </c>
      <c r="HG125" t="e">
        <f>AND(#REF!,"AAAAAHP9t9Y=")</f>
        <v>#REF!</v>
      </c>
      <c r="HH125" t="e">
        <f>AND(#REF!,"AAAAAHP9t9c=")</f>
        <v>#REF!</v>
      </c>
      <c r="HI125" t="e">
        <f>IF(#REF!,"AAAAAHP9t9g=",0)</f>
        <v>#REF!</v>
      </c>
      <c r="HJ125" t="e">
        <f>AND(#REF!,"AAAAAHP9t9k=")</f>
        <v>#REF!</v>
      </c>
      <c r="HK125" t="e">
        <f>AND(#REF!,"AAAAAHP9t9o=")</f>
        <v>#REF!</v>
      </c>
      <c r="HL125" t="e">
        <f>AND(#REF!,"AAAAAHP9t9s=")</f>
        <v>#REF!</v>
      </c>
      <c r="HM125" t="e">
        <f>AND(#REF!,"AAAAAHP9t9w=")</f>
        <v>#REF!</v>
      </c>
      <c r="HN125" t="e">
        <f>AND(#REF!,"AAAAAHP9t90=")</f>
        <v>#REF!</v>
      </c>
      <c r="HO125" t="e">
        <f>AND(#REF!,"AAAAAHP9t94=")</f>
        <v>#REF!</v>
      </c>
      <c r="HP125" t="e">
        <f>AND(#REF!,"AAAAAHP9t98=")</f>
        <v>#REF!</v>
      </c>
      <c r="HQ125" t="e">
        <f>AND(#REF!,"AAAAAHP9t+A=")</f>
        <v>#REF!</v>
      </c>
      <c r="HR125" t="e">
        <f>AND(#REF!,"AAAAAHP9t+E=")</f>
        <v>#REF!</v>
      </c>
      <c r="HS125" t="e">
        <f>AND(#REF!,"AAAAAHP9t+I=")</f>
        <v>#REF!</v>
      </c>
      <c r="HT125" t="e">
        <f>IF(#REF!,"AAAAAHP9t+M=",0)</f>
        <v>#REF!</v>
      </c>
      <c r="HU125" t="e">
        <f>AND(#REF!,"AAAAAHP9t+Q=")</f>
        <v>#REF!</v>
      </c>
      <c r="HV125" t="e">
        <f>AND(#REF!,"AAAAAHP9t+U=")</f>
        <v>#REF!</v>
      </c>
      <c r="HW125" t="e">
        <f>AND(#REF!,"AAAAAHP9t+Y=")</f>
        <v>#REF!</v>
      </c>
      <c r="HX125" t="e">
        <f>AND(#REF!,"AAAAAHP9t+c=")</f>
        <v>#REF!</v>
      </c>
      <c r="HY125" t="e">
        <f>AND(#REF!,"AAAAAHP9t+g=")</f>
        <v>#REF!</v>
      </c>
      <c r="HZ125" t="e">
        <f>AND(#REF!,"AAAAAHP9t+k=")</f>
        <v>#REF!</v>
      </c>
      <c r="IA125" t="e">
        <f>AND(#REF!,"AAAAAHP9t+o=")</f>
        <v>#REF!</v>
      </c>
      <c r="IB125" t="e">
        <f>AND(#REF!,"AAAAAHP9t+s=")</f>
        <v>#REF!</v>
      </c>
      <c r="IC125" t="e">
        <f>AND(#REF!,"AAAAAHP9t+w=")</f>
        <v>#REF!</v>
      </c>
      <c r="ID125" t="e">
        <f>AND(#REF!,"AAAAAHP9t+0=")</f>
        <v>#REF!</v>
      </c>
      <c r="IE125" t="e">
        <f>IF(#REF!,"AAAAAHP9t+4=",0)</f>
        <v>#REF!</v>
      </c>
      <c r="IF125" t="e">
        <f>AND(#REF!,"AAAAAHP9t+8=")</f>
        <v>#REF!</v>
      </c>
      <c r="IG125" t="e">
        <f>AND(#REF!,"AAAAAHP9t/A=")</f>
        <v>#REF!</v>
      </c>
      <c r="IH125" t="e">
        <f>AND(#REF!,"AAAAAHP9t/E=")</f>
        <v>#REF!</v>
      </c>
      <c r="II125" t="e">
        <f>AND(#REF!,"AAAAAHP9t/I=")</f>
        <v>#REF!</v>
      </c>
      <c r="IJ125" t="e">
        <f>AND(#REF!,"AAAAAHP9t/M=")</f>
        <v>#REF!</v>
      </c>
      <c r="IK125" t="e">
        <f>AND(#REF!,"AAAAAHP9t/Q=")</f>
        <v>#REF!</v>
      </c>
      <c r="IL125" t="e">
        <f>AND(#REF!,"AAAAAHP9t/U=")</f>
        <v>#REF!</v>
      </c>
      <c r="IM125" t="e">
        <f>AND(#REF!,"AAAAAHP9t/Y=")</f>
        <v>#REF!</v>
      </c>
      <c r="IN125" t="e">
        <f>AND(#REF!,"AAAAAHP9t/c=")</f>
        <v>#REF!</v>
      </c>
      <c r="IO125" t="e">
        <f>AND(#REF!,"AAAAAHP9t/g=")</f>
        <v>#REF!</v>
      </c>
      <c r="IP125" t="e">
        <f>IF(#REF!,"AAAAAHP9t/k=",0)</f>
        <v>#REF!</v>
      </c>
      <c r="IQ125" t="e">
        <f>AND(#REF!,"AAAAAHP9t/o=")</f>
        <v>#REF!</v>
      </c>
      <c r="IR125" t="e">
        <f>AND(#REF!,"AAAAAHP9t/s=")</f>
        <v>#REF!</v>
      </c>
      <c r="IS125" t="e">
        <f>AND(#REF!,"AAAAAHP9t/w=")</f>
        <v>#REF!</v>
      </c>
      <c r="IT125" t="e">
        <f>AND(#REF!,"AAAAAHP9t/0=")</f>
        <v>#REF!</v>
      </c>
      <c r="IU125" t="e">
        <f>AND(#REF!,"AAAAAHP9t/4=")</f>
        <v>#REF!</v>
      </c>
      <c r="IV125" t="e">
        <f>AND(#REF!,"AAAAAHP9t/8=")</f>
        <v>#REF!</v>
      </c>
    </row>
    <row r="126" spans="1:256" x14ac:dyDescent="0.25">
      <c r="A126" t="e">
        <f>AND(#REF!,"AAAAAGz6qwA=")</f>
        <v>#REF!</v>
      </c>
      <c r="B126" t="e">
        <f>AND(#REF!,"AAAAAGz6qwE=")</f>
        <v>#REF!</v>
      </c>
      <c r="C126" t="e">
        <f>AND(#REF!,"AAAAAGz6qwI=")</f>
        <v>#REF!</v>
      </c>
      <c r="D126" t="e">
        <f>AND(#REF!,"AAAAAGz6qwM=")</f>
        <v>#REF!</v>
      </c>
      <c r="E126" t="e">
        <f>IF(#REF!,"AAAAAGz6qwQ=",0)</f>
        <v>#REF!</v>
      </c>
      <c r="F126" t="e">
        <f>AND(#REF!,"AAAAAGz6qwU=")</f>
        <v>#REF!</v>
      </c>
      <c r="G126" t="e">
        <f>AND(#REF!,"AAAAAGz6qwY=")</f>
        <v>#REF!</v>
      </c>
      <c r="H126" t="e">
        <f>AND(#REF!,"AAAAAGz6qwc=")</f>
        <v>#REF!</v>
      </c>
      <c r="I126" t="e">
        <f>AND(#REF!,"AAAAAGz6qwg=")</f>
        <v>#REF!</v>
      </c>
      <c r="J126" t="e">
        <f>AND(#REF!,"AAAAAGz6qwk=")</f>
        <v>#REF!</v>
      </c>
      <c r="K126" t="e">
        <f>AND(#REF!,"AAAAAGz6qwo=")</f>
        <v>#REF!</v>
      </c>
      <c r="L126" t="e">
        <f>AND(#REF!,"AAAAAGz6qws=")</f>
        <v>#REF!</v>
      </c>
      <c r="M126" t="e">
        <f>AND(#REF!,"AAAAAGz6qww=")</f>
        <v>#REF!</v>
      </c>
      <c r="N126" t="e">
        <f>AND(#REF!,"AAAAAGz6qw0=")</f>
        <v>#REF!</v>
      </c>
      <c r="O126" t="e">
        <f>AND(#REF!,"AAAAAGz6qw4=")</f>
        <v>#REF!</v>
      </c>
      <c r="P126" t="e">
        <f>IF(#REF!,"AAAAAGz6qw8=",0)</f>
        <v>#REF!</v>
      </c>
      <c r="Q126" t="e">
        <f>AND(#REF!,"AAAAAGz6qxA=")</f>
        <v>#REF!</v>
      </c>
      <c r="R126" t="e">
        <f>AND(#REF!,"AAAAAGz6qxE=")</f>
        <v>#REF!</v>
      </c>
      <c r="S126" t="e">
        <f>AND(#REF!,"AAAAAGz6qxI=")</f>
        <v>#REF!</v>
      </c>
      <c r="T126" t="e">
        <f>AND(#REF!,"AAAAAGz6qxM=")</f>
        <v>#REF!</v>
      </c>
      <c r="U126" t="e">
        <f>AND(#REF!,"AAAAAGz6qxQ=")</f>
        <v>#REF!</v>
      </c>
      <c r="V126" t="e">
        <f>AND(#REF!,"AAAAAGz6qxU=")</f>
        <v>#REF!</v>
      </c>
      <c r="W126" t="e">
        <f>AND(#REF!,"AAAAAGz6qxY=")</f>
        <v>#REF!</v>
      </c>
      <c r="X126" t="e">
        <f>AND(#REF!,"AAAAAGz6qxc=")</f>
        <v>#REF!</v>
      </c>
      <c r="Y126" t="e">
        <f>AND(#REF!,"AAAAAGz6qxg=")</f>
        <v>#REF!</v>
      </c>
      <c r="Z126" t="e">
        <f>AND(#REF!,"AAAAAGz6qxk=")</f>
        <v>#REF!</v>
      </c>
      <c r="AA126" t="e">
        <f>IF(#REF!,"AAAAAGz6qxo=",0)</f>
        <v>#REF!</v>
      </c>
      <c r="AB126" t="e">
        <f>AND(#REF!,"AAAAAGz6qxs=")</f>
        <v>#REF!</v>
      </c>
      <c r="AC126" t="e">
        <f>AND(#REF!,"AAAAAGz6qxw=")</f>
        <v>#REF!</v>
      </c>
      <c r="AD126" t="e">
        <f>AND(#REF!,"AAAAAGz6qx0=")</f>
        <v>#REF!</v>
      </c>
      <c r="AE126" t="e">
        <f>AND(#REF!,"AAAAAGz6qx4=")</f>
        <v>#REF!</v>
      </c>
      <c r="AF126" t="e">
        <f>AND(#REF!,"AAAAAGz6qx8=")</f>
        <v>#REF!</v>
      </c>
      <c r="AG126" t="e">
        <f>AND(#REF!,"AAAAAGz6qyA=")</f>
        <v>#REF!</v>
      </c>
      <c r="AH126" t="e">
        <f>AND(#REF!,"AAAAAGz6qyE=")</f>
        <v>#REF!</v>
      </c>
      <c r="AI126" t="e">
        <f>AND(#REF!,"AAAAAGz6qyI=")</f>
        <v>#REF!</v>
      </c>
      <c r="AJ126" t="e">
        <f>AND(#REF!,"AAAAAGz6qyM=")</f>
        <v>#REF!</v>
      </c>
      <c r="AK126" t="e">
        <f>AND(#REF!,"AAAAAGz6qyQ=")</f>
        <v>#REF!</v>
      </c>
      <c r="AL126" t="e">
        <f>IF(#REF!,"AAAAAGz6qyU=",0)</f>
        <v>#REF!</v>
      </c>
      <c r="AM126" t="e">
        <f>AND(#REF!,"AAAAAGz6qyY=")</f>
        <v>#REF!</v>
      </c>
      <c r="AN126" t="e">
        <f>AND(#REF!,"AAAAAGz6qyc=")</f>
        <v>#REF!</v>
      </c>
      <c r="AO126" t="e">
        <f>AND(#REF!,"AAAAAGz6qyg=")</f>
        <v>#REF!</v>
      </c>
      <c r="AP126" t="e">
        <f>AND(#REF!,"AAAAAGz6qyk=")</f>
        <v>#REF!</v>
      </c>
      <c r="AQ126" t="e">
        <f>AND(#REF!,"AAAAAGz6qyo=")</f>
        <v>#REF!</v>
      </c>
      <c r="AR126" t="e">
        <f>AND(#REF!,"AAAAAGz6qys=")</f>
        <v>#REF!</v>
      </c>
      <c r="AS126" t="e">
        <f>AND(#REF!,"AAAAAGz6qyw=")</f>
        <v>#REF!</v>
      </c>
      <c r="AT126" t="e">
        <f>AND(#REF!,"AAAAAGz6qy0=")</f>
        <v>#REF!</v>
      </c>
      <c r="AU126" t="e">
        <f>AND(#REF!,"AAAAAGz6qy4=")</f>
        <v>#REF!</v>
      </c>
      <c r="AV126" t="e">
        <f>AND(#REF!,"AAAAAGz6qy8=")</f>
        <v>#REF!</v>
      </c>
      <c r="AW126" t="e">
        <f>IF(#REF!,"AAAAAGz6qzA=",0)</f>
        <v>#REF!</v>
      </c>
      <c r="AX126" t="e">
        <f>AND(#REF!,"AAAAAGz6qzE=")</f>
        <v>#REF!</v>
      </c>
      <c r="AY126" t="e">
        <f>AND(#REF!,"AAAAAGz6qzI=")</f>
        <v>#REF!</v>
      </c>
      <c r="AZ126" t="e">
        <f>AND(#REF!,"AAAAAGz6qzM=")</f>
        <v>#REF!</v>
      </c>
      <c r="BA126" t="e">
        <f>AND(#REF!,"AAAAAGz6qzQ=")</f>
        <v>#REF!</v>
      </c>
      <c r="BB126" t="e">
        <f>AND(#REF!,"AAAAAGz6qzU=")</f>
        <v>#REF!</v>
      </c>
      <c r="BC126" t="e">
        <f>AND(#REF!,"AAAAAGz6qzY=")</f>
        <v>#REF!</v>
      </c>
      <c r="BD126" t="e">
        <f>AND(#REF!,"AAAAAGz6qzc=")</f>
        <v>#REF!</v>
      </c>
      <c r="BE126" t="e">
        <f>AND(#REF!,"AAAAAGz6qzg=")</f>
        <v>#REF!</v>
      </c>
      <c r="BF126" t="e">
        <f>AND(#REF!,"AAAAAGz6qzk=")</f>
        <v>#REF!</v>
      </c>
      <c r="BG126" t="e">
        <f>AND(#REF!,"AAAAAGz6qzo=")</f>
        <v>#REF!</v>
      </c>
      <c r="BH126" t="e">
        <f>IF(#REF!,"AAAAAGz6qzs=",0)</f>
        <v>#REF!</v>
      </c>
      <c r="BI126" t="e">
        <f>AND(#REF!,"AAAAAGz6qzw=")</f>
        <v>#REF!</v>
      </c>
      <c r="BJ126" t="e">
        <f>AND(#REF!,"AAAAAGz6qz0=")</f>
        <v>#REF!</v>
      </c>
      <c r="BK126" t="e">
        <f>AND(#REF!,"AAAAAGz6qz4=")</f>
        <v>#REF!</v>
      </c>
      <c r="BL126" t="e">
        <f>AND(#REF!,"AAAAAGz6qz8=")</f>
        <v>#REF!</v>
      </c>
      <c r="BM126" t="e">
        <f>AND(#REF!,"AAAAAGz6q0A=")</f>
        <v>#REF!</v>
      </c>
      <c r="BN126" t="e">
        <f>AND(#REF!,"AAAAAGz6q0E=")</f>
        <v>#REF!</v>
      </c>
      <c r="BO126" t="e">
        <f>AND(#REF!,"AAAAAGz6q0I=")</f>
        <v>#REF!</v>
      </c>
      <c r="BP126" t="e">
        <f>AND(#REF!,"AAAAAGz6q0M=")</f>
        <v>#REF!</v>
      </c>
      <c r="BQ126" t="e">
        <f>AND(#REF!,"AAAAAGz6q0Q=")</f>
        <v>#REF!</v>
      </c>
      <c r="BR126" t="e">
        <f>AND(#REF!,"AAAAAGz6q0U=")</f>
        <v>#REF!</v>
      </c>
      <c r="BS126" t="e">
        <f>IF(#REF!,"AAAAAGz6q0Y=",0)</f>
        <v>#REF!</v>
      </c>
      <c r="BT126" t="e">
        <f>AND(#REF!,"AAAAAGz6q0c=")</f>
        <v>#REF!</v>
      </c>
      <c r="BU126" t="e">
        <f>AND(#REF!,"AAAAAGz6q0g=")</f>
        <v>#REF!</v>
      </c>
      <c r="BV126" t="e">
        <f>AND(#REF!,"AAAAAGz6q0k=")</f>
        <v>#REF!</v>
      </c>
      <c r="BW126" t="e">
        <f>AND(#REF!,"AAAAAGz6q0o=")</f>
        <v>#REF!</v>
      </c>
      <c r="BX126" t="e">
        <f>AND(#REF!,"AAAAAGz6q0s=")</f>
        <v>#REF!</v>
      </c>
      <c r="BY126" t="e">
        <f>AND(#REF!,"AAAAAGz6q0w=")</f>
        <v>#REF!</v>
      </c>
      <c r="BZ126" t="e">
        <f>AND(#REF!,"AAAAAGz6q00=")</f>
        <v>#REF!</v>
      </c>
      <c r="CA126" t="e">
        <f>AND(#REF!,"AAAAAGz6q04=")</f>
        <v>#REF!</v>
      </c>
      <c r="CB126" t="e">
        <f>AND(#REF!,"AAAAAGz6q08=")</f>
        <v>#REF!</v>
      </c>
      <c r="CC126" t="e">
        <f>AND(#REF!,"AAAAAGz6q1A=")</f>
        <v>#REF!</v>
      </c>
      <c r="CD126" t="e">
        <f>IF(#REF!,"AAAAAGz6q1E=",0)</f>
        <v>#REF!</v>
      </c>
      <c r="CE126" t="e">
        <f>AND(#REF!,"AAAAAGz6q1I=")</f>
        <v>#REF!</v>
      </c>
      <c r="CF126" t="e">
        <f>AND(#REF!,"AAAAAGz6q1M=")</f>
        <v>#REF!</v>
      </c>
      <c r="CG126" t="e">
        <f>AND(#REF!,"AAAAAGz6q1Q=")</f>
        <v>#REF!</v>
      </c>
      <c r="CH126" t="e">
        <f>AND(#REF!,"AAAAAGz6q1U=")</f>
        <v>#REF!</v>
      </c>
      <c r="CI126" t="e">
        <f>AND(#REF!,"AAAAAGz6q1Y=")</f>
        <v>#REF!</v>
      </c>
      <c r="CJ126" t="e">
        <f>AND(#REF!,"AAAAAGz6q1c=")</f>
        <v>#REF!</v>
      </c>
      <c r="CK126" t="e">
        <f>AND(#REF!,"AAAAAGz6q1g=")</f>
        <v>#REF!</v>
      </c>
      <c r="CL126" t="e">
        <f>AND(#REF!,"AAAAAGz6q1k=")</f>
        <v>#REF!</v>
      </c>
      <c r="CM126" t="e">
        <f>AND(#REF!,"AAAAAGz6q1o=")</f>
        <v>#REF!</v>
      </c>
      <c r="CN126" t="e">
        <f>AND(#REF!,"AAAAAGz6q1s=")</f>
        <v>#REF!</v>
      </c>
      <c r="CO126" t="e">
        <f>IF(#REF!,"AAAAAGz6q1w=",0)</f>
        <v>#REF!</v>
      </c>
      <c r="CP126" t="e">
        <f>AND(#REF!,"AAAAAGz6q10=")</f>
        <v>#REF!</v>
      </c>
      <c r="CQ126" t="e">
        <f>AND(#REF!,"AAAAAGz6q14=")</f>
        <v>#REF!</v>
      </c>
      <c r="CR126" t="e">
        <f>AND(#REF!,"AAAAAGz6q18=")</f>
        <v>#REF!</v>
      </c>
      <c r="CS126" t="e">
        <f>AND(#REF!,"AAAAAGz6q2A=")</f>
        <v>#REF!</v>
      </c>
      <c r="CT126" t="e">
        <f>AND(#REF!,"AAAAAGz6q2E=")</f>
        <v>#REF!</v>
      </c>
      <c r="CU126" t="e">
        <f>AND(#REF!,"AAAAAGz6q2I=")</f>
        <v>#REF!</v>
      </c>
      <c r="CV126" t="e">
        <f>AND(#REF!,"AAAAAGz6q2M=")</f>
        <v>#REF!</v>
      </c>
      <c r="CW126" t="e">
        <f>AND(#REF!,"AAAAAGz6q2Q=")</f>
        <v>#REF!</v>
      </c>
      <c r="CX126" t="e">
        <f>AND(#REF!,"AAAAAGz6q2U=")</f>
        <v>#REF!</v>
      </c>
      <c r="CY126" t="e">
        <f>AND(#REF!,"AAAAAGz6q2Y=")</f>
        <v>#REF!</v>
      </c>
      <c r="CZ126" t="e">
        <f>IF(#REF!,"AAAAAGz6q2c=",0)</f>
        <v>#REF!</v>
      </c>
      <c r="DA126" t="e">
        <f>AND(#REF!,"AAAAAGz6q2g=")</f>
        <v>#REF!</v>
      </c>
      <c r="DB126" t="e">
        <f>AND(#REF!,"AAAAAGz6q2k=")</f>
        <v>#REF!</v>
      </c>
      <c r="DC126" t="e">
        <f>AND(#REF!,"AAAAAGz6q2o=")</f>
        <v>#REF!</v>
      </c>
      <c r="DD126" t="e">
        <f>AND(#REF!,"AAAAAGz6q2s=")</f>
        <v>#REF!</v>
      </c>
      <c r="DE126" t="e">
        <f>AND(#REF!,"AAAAAGz6q2w=")</f>
        <v>#REF!</v>
      </c>
      <c r="DF126" t="e">
        <f>AND(#REF!,"AAAAAGz6q20=")</f>
        <v>#REF!</v>
      </c>
      <c r="DG126" t="e">
        <f>AND(#REF!,"AAAAAGz6q24=")</f>
        <v>#REF!</v>
      </c>
      <c r="DH126" t="e">
        <f>AND(#REF!,"AAAAAGz6q28=")</f>
        <v>#REF!</v>
      </c>
      <c r="DI126" t="e">
        <f>AND(#REF!,"AAAAAGz6q3A=")</f>
        <v>#REF!</v>
      </c>
      <c r="DJ126" t="e">
        <f>AND(#REF!,"AAAAAGz6q3E=")</f>
        <v>#REF!</v>
      </c>
      <c r="DK126" t="e">
        <f>IF(#REF!,"AAAAAGz6q3I=",0)</f>
        <v>#REF!</v>
      </c>
      <c r="DL126" t="e">
        <f>AND(#REF!,"AAAAAGz6q3M=")</f>
        <v>#REF!</v>
      </c>
      <c r="DM126" t="e">
        <f>AND(#REF!,"AAAAAGz6q3Q=")</f>
        <v>#REF!</v>
      </c>
      <c r="DN126" t="e">
        <f>AND(#REF!,"AAAAAGz6q3U=")</f>
        <v>#REF!</v>
      </c>
      <c r="DO126" t="e">
        <f>AND(#REF!,"AAAAAGz6q3Y=")</f>
        <v>#REF!</v>
      </c>
      <c r="DP126" t="e">
        <f>AND(#REF!,"AAAAAGz6q3c=")</f>
        <v>#REF!</v>
      </c>
      <c r="DQ126" t="e">
        <f>AND(#REF!,"AAAAAGz6q3g=")</f>
        <v>#REF!</v>
      </c>
      <c r="DR126" t="e">
        <f>AND(#REF!,"AAAAAGz6q3k=")</f>
        <v>#REF!</v>
      </c>
      <c r="DS126" t="e">
        <f>AND(#REF!,"AAAAAGz6q3o=")</f>
        <v>#REF!</v>
      </c>
      <c r="DT126" t="e">
        <f>AND(#REF!,"AAAAAGz6q3s=")</f>
        <v>#REF!</v>
      </c>
      <c r="DU126" t="e">
        <f>AND(#REF!,"AAAAAGz6q3w=")</f>
        <v>#REF!</v>
      </c>
      <c r="DV126" t="e">
        <f>IF(#REF!,"AAAAAGz6q30=",0)</f>
        <v>#REF!</v>
      </c>
      <c r="DW126" t="e">
        <f>AND(#REF!,"AAAAAGz6q34=")</f>
        <v>#REF!</v>
      </c>
      <c r="DX126" t="e">
        <f>AND(#REF!,"AAAAAGz6q38=")</f>
        <v>#REF!</v>
      </c>
      <c r="DY126" t="e">
        <f>AND(#REF!,"AAAAAGz6q4A=")</f>
        <v>#REF!</v>
      </c>
      <c r="DZ126" t="e">
        <f>AND(#REF!,"AAAAAGz6q4E=")</f>
        <v>#REF!</v>
      </c>
      <c r="EA126" t="e">
        <f>AND(#REF!,"AAAAAGz6q4I=")</f>
        <v>#REF!</v>
      </c>
      <c r="EB126" t="e">
        <f>AND(#REF!,"AAAAAGz6q4M=")</f>
        <v>#REF!</v>
      </c>
      <c r="EC126" t="e">
        <f>AND(#REF!,"AAAAAGz6q4Q=")</f>
        <v>#REF!</v>
      </c>
      <c r="ED126" t="e">
        <f>AND(#REF!,"AAAAAGz6q4U=")</f>
        <v>#REF!</v>
      </c>
      <c r="EE126" t="e">
        <f>AND(#REF!,"AAAAAGz6q4Y=")</f>
        <v>#REF!</v>
      </c>
      <c r="EF126" t="e">
        <f>AND(#REF!,"AAAAAGz6q4c=")</f>
        <v>#REF!</v>
      </c>
      <c r="EG126" t="e">
        <f>IF(#REF!,"AAAAAGz6q4g=",0)</f>
        <v>#REF!</v>
      </c>
      <c r="EH126" t="e">
        <f>AND(#REF!,"AAAAAGz6q4k=")</f>
        <v>#REF!</v>
      </c>
      <c r="EI126" t="e">
        <f>AND(#REF!,"AAAAAGz6q4o=")</f>
        <v>#REF!</v>
      </c>
      <c r="EJ126" t="e">
        <f>AND(#REF!,"AAAAAGz6q4s=")</f>
        <v>#REF!</v>
      </c>
      <c r="EK126" t="e">
        <f>AND(#REF!,"AAAAAGz6q4w=")</f>
        <v>#REF!</v>
      </c>
      <c r="EL126" t="e">
        <f>AND(#REF!,"AAAAAGz6q40=")</f>
        <v>#REF!</v>
      </c>
      <c r="EM126" t="e">
        <f>AND(#REF!,"AAAAAGz6q44=")</f>
        <v>#REF!</v>
      </c>
      <c r="EN126" t="e">
        <f>AND(#REF!,"AAAAAGz6q48=")</f>
        <v>#REF!</v>
      </c>
      <c r="EO126" t="e">
        <f>AND(#REF!,"AAAAAGz6q5A=")</f>
        <v>#REF!</v>
      </c>
      <c r="EP126" t="e">
        <f>AND(#REF!,"AAAAAGz6q5E=")</f>
        <v>#REF!</v>
      </c>
      <c r="EQ126" t="e">
        <f>AND(#REF!,"AAAAAGz6q5I=")</f>
        <v>#REF!</v>
      </c>
      <c r="ER126" t="e">
        <f>IF(#REF!,"AAAAAGz6q5M=",0)</f>
        <v>#REF!</v>
      </c>
      <c r="ES126" t="e">
        <f>AND(#REF!,"AAAAAGz6q5Q=")</f>
        <v>#REF!</v>
      </c>
      <c r="ET126" t="e">
        <f>AND(#REF!,"AAAAAGz6q5U=")</f>
        <v>#REF!</v>
      </c>
      <c r="EU126" t="e">
        <f>AND(#REF!,"AAAAAGz6q5Y=")</f>
        <v>#REF!</v>
      </c>
      <c r="EV126" t="e">
        <f>AND(#REF!,"AAAAAGz6q5c=")</f>
        <v>#REF!</v>
      </c>
      <c r="EW126" t="e">
        <f>AND(#REF!,"AAAAAGz6q5g=")</f>
        <v>#REF!</v>
      </c>
      <c r="EX126" t="e">
        <f>AND(#REF!,"AAAAAGz6q5k=")</f>
        <v>#REF!</v>
      </c>
      <c r="EY126" t="e">
        <f>AND(#REF!,"AAAAAGz6q5o=")</f>
        <v>#REF!</v>
      </c>
      <c r="EZ126" t="e">
        <f>AND(#REF!,"AAAAAGz6q5s=")</f>
        <v>#REF!</v>
      </c>
      <c r="FA126" t="e">
        <f>AND(#REF!,"AAAAAGz6q5w=")</f>
        <v>#REF!</v>
      </c>
      <c r="FB126" t="e">
        <f>AND(#REF!,"AAAAAGz6q50=")</f>
        <v>#REF!</v>
      </c>
      <c r="FC126" t="e">
        <f>IF(#REF!,"AAAAAGz6q54=",0)</f>
        <v>#REF!</v>
      </c>
      <c r="FD126" t="e">
        <f>AND(#REF!,"AAAAAGz6q58=")</f>
        <v>#REF!</v>
      </c>
      <c r="FE126" t="e">
        <f>AND(#REF!,"AAAAAGz6q6A=")</f>
        <v>#REF!</v>
      </c>
      <c r="FF126" t="e">
        <f>AND(#REF!,"AAAAAGz6q6E=")</f>
        <v>#REF!</v>
      </c>
      <c r="FG126" t="e">
        <f>AND(#REF!,"AAAAAGz6q6I=")</f>
        <v>#REF!</v>
      </c>
      <c r="FH126" t="e">
        <f>AND(#REF!,"AAAAAGz6q6M=")</f>
        <v>#REF!</v>
      </c>
      <c r="FI126" t="e">
        <f>AND(#REF!,"AAAAAGz6q6Q=")</f>
        <v>#REF!</v>
      </c>
      <c r="FJ126" t="e">
        <f>AND(#REF!,"AAAAAGz6q6U=")</f>
        <v>#REF!</v>
      </c>
      <c r="FK126" t="e">
        <f>AND(#REF!,"AAAAAGz6q6Y=")</f>
        <v>#REF!</v>
      </c>
      <c r="FL126" t="e">
        <f>AND(#REF!,"AAAAAGz6q6c=")</f>
        <v>#REF!</v>
      </c>
      <c r="FM126" t="e">
        <f>AND(#REF!,"AAAAAGz6q6g=")</f>
        <v>#REF!</v>
      </c>
      <c r="FN126" t="e">
        <f>IF(#REF!,"AAAAAGz6q6k=",0)</f>
        <v>#REF!</v>
      </c>
      <c r="FO126" t="e">
        <f>AND(#REF!,"AAAAAGz6q6o=")</f>
        <v>#REF!</v>
      </c>
      <c r="FP126" t="e">
        <f>AND(#REF!,"AAAAAGz6q6s=")</f>
        <v>#REF!</v>
      </c>
      <c r="FQ126" t="e">
        <f>AND(#REF!,"AAAAAGz6q6w=")</f>
        <v>#REF!</v>
      </c>
      <c r="FR126" t="e">
        <f>AND(#REF!,"AAAAAGz6q60=")</f>
        <v>#REF!</v>
      </c>
      <c r="FS126" t="e">
        <f>AND(#REF!,"AAAAAGz6q64=")</f>
        <v>#REF!</v>
      </c>
      <c r="FT126" t="e">
        <f>AND(#REF!,"AAAAAGz6q68=")</f>
        <v>#REF!</v>
      </c>
      <c r="FU126" t="e">
        <f>AND(#REF!,"AAAAAGz6q7A=")</f>
        <v>#REF!</v>
      </c>
      <c r="FV126" t="e">
        <f>AND(#REF!,"AAAAAGz6q7E=")</f>
        <v>#REF!</v>
      </c>
      <c r="FW126" t="e">
        <f>AND(#REF!,"AAAAAGz6q7I=")</f>
        <v>#REF!</v>
      </c>
      <c r="FX126" t="e">
        <f>AND(#REF!,"AAAAAGz6q7M=")</f>
        <v>#REF!</v>
      </c>
      <c r="FY126" t="e">
        <f>IF(#REF!,"AAAAAGz6q7Q=",0)</f>
        <v>#REF!</v>
      </c>
      <c r="FZ126" t="e">
        <f>AND(#REF!,"AAAAAGz6q7U=")</f>
        <v>#REF!</v>
      </c>
      <c r="GA126" t="e">
        <f>AND(#REF!,"AAAAAGz6q7Y=")</f>
        <v>#REF!</v>
      </c>
      <c r="GB126" t="e">
        <f>AND(#REF!,"AAAAAGz6q7c=")</f>
        <v>#REF!</v>
      </c>
      <c r="GC126" t="e">
        <f>AND(#REF!,"AAAAAGz6q7g=")</f>
        <v>#REF!</v>
      </c>
      <c r="GD126" t="e">
        <f>AND(#REF!,"AAAAAGz6q7k=")</f>
        <v>#REF!</v>
      </c>
      <c r="GE126" t="e">
        <f>AND(#REF!,"AAAAAGz6q7o=")</f>
        <v>#REF!</v>
      </c>
      <c r="GF126" t="e">
        <f>AND(#REF!,"AAAAAGz6q7s=")</f>
        <v>#REF!</v>
      </c>
      <c r="GG126" t="e">
        <f>AND(#REF!,"AAAAAGz6q7w=")</f>
        <v>#REF!</v>
      </c>
      <c r="GH126" t="e">
        <f>AND(#REF!,"AAAAAGz6q70=")</f>
        <v>#REF!</v>
      </c>
      <c r="GI126" t="e">
        <f>AND(#REF!,"AAAAAGz6q74=")</f>
        <v>#REF!</v>
      </c>
      <c r="GJ126" t="e">
        <f>IF(#REF!,"AAAAAGz6q78=",0)</f>
        <v>#REF!</v>
      </c>
      <c r="GK126" t="e">
        <f>AND(#REF!,"AAAAAGz6q8A=")</f>
        <v>#REF!</v>
      </c>
      <c r="GL126" t="e">
        <f>AND(#REF!,"AAAAAGz6q8E=")</f>
        <v>#REF!</v>
      </c>
      <c r="GM126" t="e">
        <f>AND(#REF!,"AAAAAGz6q8I=")</f>
        <v>#REF!</v>
      </c>
      <c r="GN126" t="e">
        <f>AND(#REF!,"AAAAAGz6q8M=")</f>
        <v>#REF!</v>
      </c>
      <c r="GO126" t="e">
        <f>AND(#REF!,"AAAAAGz6q8Q=")</f>
        <v>#REF!</v>
      </c>
      <c r="GP126" t="e">
        <f>AND(#REF!,"AAAAAGz6q8U=")</f>
        <v>#REF!</v>
      </c>
      <c r="GQ126" t="e">
        <f>AND(#REF!,"AAAAAGz6q8Y=")</f>
        <v>#REF!</v>
      </c>
      <c r="GR126" t="e">
        <f>AND(#REF!,"AAAAAGz6q8c=")</f>
        <v>#REF!</v>
      </c>
      <c r="GS126" t="e">
        <f>AND(#REF!,"AAAAAGz6q8g=")</f>
        <v>#REF!</v>
      </c>
      <c r="GT126" t="e">
        <f>AND(#REF!,"AAAAAGz6q8k=")</f>
        <v>#REF!</v>
      </c>
      <c r="GU126" t="e">
        <f>IF(#REF!,"AAAAAGz6q8o=",0)</f>
        <v>#REF!</v>
      </c>
      <c r="GV126" t="e">
        <f>AND(#REF!,"AAAAAGz6q8s=")</f>
        <v>#REF!</v>
      </c>
      <c r="GW126" t="e">
        <f>AND(#REF!,"AAAAAGz6q8w=")</f>
        <v>#REF!</v>
      </c>
      <c r="GX126" t="e">
        <f>AND(#REF!,"AAAAAGz6q80=")</f>
        <v>#REF!</v>
      </c>
      <c r="GY126" t="e">
        <f>AND(#REF!,"AAAAAGz6q84=")</f>
        <v>#REF!</v>
      </c>
      <c r="GZ126" t="e">
        <f>AND(#REF!,"AAAAAGz6q88=")</f>
        <v>#REF!</v>
      </c>
      <c r="HA126" t="e">
        <f>AND(#REF!,"AAAAAGz6q9A=")</f>
        <v>#REF!</v>
      </c>
      <c r="HB126" t="e">
        <f>AND(#REF!,"AAAAAGz6q9E=")</f>
        <v>#REF!</v>
      </c>
      <c r="HC126" t="e">
        <f>AND(#REF!,"AAAAAGz6q9I=")</f>
        <v>#REF!</v>
      </c>
      <c r="HD126" t="e">
        <f>AND(#REF!,"AAAAAGz6q9M=")</f>
        <v>#REF!</v>
      </c>
      <c r="HE126" t="e">
        <f>AND(#REF!,"AAAAAGz6q9Q=")</f>
        <v>#REF!</v>
      </c>
      <c r="HF126" t="e">
        <f>IF(#REF!,"AAAAAGz6q9U=",0)</f>
        <v>#REF!</v>
      </c>
      <c r="HG126" t="e">
        <f>AND(#REF!,"AAAAAGz6q9Y=")</f>
        <v>#REF!</v>
      </c>
      <c r="HH126" t="e">
        <f>AND(#REF!,"AAAAAGz6q9c=")</f>
        <v>#REF!</v>
      </c>
      <c r="HI126" t="e">
        <f>AND(#REF!,"AAAAAGz6q9g=")</f>
        <v>#REF!</v>
      </c>
      <c r="HJ126" t="e">
        <f>AND(#REF!,"AAAAAGz6q9k=")</f>
        <v>#REF!</v>
      </c>
      <c r="HK126" t="e">
        <f>AND(#REF!,"AAAAAGz6q9o=")</f>
        <v>#REF!</v>
      </c>
      <c r="HL126" t="e">
        <f>AND(#REF!,"AAAAAGz6q9s=")</f>
        <v>#REF!</v>
      </c>
      <c r="HM126" t="e">
        <f>AND(#REF!,"AAAAAGz6q9w=")</f>
        <v>#REF!</v>
      </c>
      <c r="HN126" t="e">
        <f>AND(#REF!,"AAAAAGz6q90=")</f>
        <v>#REF!</v>
      </c>
      <c r="HO126" t="e">
        <f>AND(#REF!,"AAAAAGz6q94=")</f>
        <v>#REF!</v>
      </c>
      <c r="HP126" t="e">
        <f>AND(#REF!,"AAAAAGz6q98=")</f>
        <v>#REF!</v>
      </c>
      <c r="HQ126" t="e">
        <f>IF(#REF!,"AAAAAGz6q+A=",0)</f>
        <v>#REF!</v>
      </c>
      <c r="HR126" t="e">
        <f>AND(#REF!,"AAAAAGz6q+E=")</f>
        <v>#REF!</v>
      </c>
      <c r="HS126" t="e">
        <f>AND(#REF!,"AAAAAGz6q+I=")</f>
        <v>#REF!</v>
      </c>
      <c r="HT126" t="e">
        <f>AND(#REF!,"AAAAAGz6q+M=")</f>
        <v>#REF!</v>
      </c>
      <c r="HU126" t="e">
        <f>AND(#REF!,"AAAAAGz6q+Q=")</f>
        <v>#REF!</v>
      </c>
      <c r="HV126" t="e">
        <f>AND(#REF!,"AAAAAGz6q+U=")</f>
        <v>#REF!</v>
      </c>
      <c r="HW126" t="e">
        <f>AND(#REF!,"AAAAAGz6q+Y=")</f>
        <v>#REF!</v>
      </c>
      <c r="HX126" t="e">
        <f>AND(#REF!,"AAAAAGz6q+c=")</f>
        <v>#REF!</v>
      </c>
      <c r="HY126" t="e">
        <f>AND(#REF!,"AAAAAGz6q+g=")</f>
        <v>#REF!</v>
      </c>
      <c r="HZ126" t="e">
        <f>AND(#REF!,"AAAAAGz6q+k=")</f>
        <v>#REF!</v>
      </c>
      <c r="IA126" t="e">
        <f>AND(#REF!,"AAAAAGz6q+o=")</f>
        <v>#REF!</v>
      </c>
      <c r="IB126" t="e">
        <f>IF(#REF!,"AAAAAGz6q+s=",0)</f>
        <v>#REF!</v>
      </c>
      <c r="IC126" t="e">
        <f>AND(#REF!,"AAAAAGz6q+w=")</f>
        <v>#REF!</v>
      </c>
      <c r="ID126" t="e">
        <f>AND(#REF!,"AAAAAGz6q+0=")</f>
        <v>#REF!</v>
      </c>
      <c r="IE126" t="e">
        <f>AND(#REF!,"AAAAAGz6q+4=")</f>
        <v>#REF!</v>
      </c>
      <c r="IF126" t="e">
        <f>AND(#REF!,"AAAAAGz6q+8=")</f>
        <v>#REF!</v>
      </c>
      <c r="IG126" t="e">
        <f>AND(#REF!,"AAAAAGz6q/A=")</f>
        <v>#REF!</v>
      </c>
      <c r="IH126" t="e">
        <f>AND(#REF!,"AAAAAGz6q/E=")</f>
        <v>#REF!</v>
      </c>
      <c r="II126" t="e">
        <f>AND(#REF!,"AAAAAGz6q/I=")</f>
        <v>#REF!</v>
      </c>
      <c r="IJ126" t="e">
        <f>AND(#REF!,"AAAAAGz6q/M=")</f>
        <v>#REF!</v>
      </c>
      <c r="IK126" t="e">
        <f>AND(#REF!,"AAAAAGz6q/Q=")</f>
        <v>#REF!</v>
      </c>
      <c r="IL126" t="e">
        <f>AND(#REF!,"AAAAAGz6q/U=")</f>
        <v>#REF!</v>
      </c>
      <c r="IM126" t="e">
        <f>IF(#REF!,"AAAAAGz6q/Y=",0)</f>
        <v>#REF!</v>
      </c>
      <c r="IN126" t="e">
        <f>AND(#REF!,"AAAAAGz6q/c=")</f>
        <v>#REF!</v>
      </c>
      <c r="IO126" t="e">
        <f>AND(#REF!,"AAAAAGz6q/g=")</f>
        <v>#REF!</v>
      </c>
      <c r="IP126" t="e">
        <f>AND(#REF!,"AAAAAGz6q/k=")</f>
        <v>#REF!</v>
      </c>
      <c r="IQ126" t="e">
        <f>AND(#REF!,"AAAAAGz6q/o=")</f>
        <v>#REF!</v>
      </c>
      <c r="IR126" t="e">
        <f>AND(#REF!,"AAAAAGz6q/s=")</f>
        <v>#REF!</v>
      </c>
      <c r="IS126" t="e">
        <f>AND(#REF!,"AAAAAGz6q/w=")</f>
        <v>#REF!</v>
      </c>
      <c r="IT126" t="e">
        <f>AND(#REF!,"AAAAAGz6q/0=")</f>
        <v>#REF!</v>
      </c>
      <c r="IU126" t="e">
        <f>AND(#REF!,"AAAAAGz6q/4=")</f>
        <v>#REF!</v>
      </c>
      <c r="IV126" t="e">
        <f>AND(#REF!,"AAAAAGz6q/8=")</f>
        <v>#REF!</v>
      </c>
    </row>
    <row r="127" spans="1:256" x14ac:dyDescent="0.25">
      <c r="A127" t="e">
        <f>AND(#REF!,"AAAAAE+fagA=")</f>
        <v>#REF!</v>
      </c>
      <c r="B127" t="e">
        <f>IF(#REF!,"AAAAAE+fagE=",0)</f>
        <v>#REF!</v>
      </c>
      <c r="C127" t="e">
        <f>AND(#REF!,"AAAAAE+fagI=")</f>
        <v>#REF!</v>
      </c>
      <c r="D127" t="e">
        <f>AND(#REF!,"AAAAAE+fagM=")</f>
        <v>#REF!</v>
      </c>
      <c r="E127" t="e">
        <f>AND(#REF!,"AAAAAE+fagQ=")</f>
        <v>#REF!</v>
      </c>
      <c r="F127" t="e">
        <f>AND(#REF!,"AAAAAE+fagU=")</f>
        <v>#REF!</v>
      </c>
      <c r="G127" t="e">
        <f>AND(#REF!,"AAAAAE+fagY=")</f>
        <v>#REF!</v>
      </c>
      <c r="H127" t="e">
        <f>AND(#REF!,"AAAAAE+fagc=")</f>
        <v>#REF!</v>
      </c>
      <c r="I127" t="e">
        <f>AND(#REF!,"AAAAAE+fagg=")</f>
        <v>#REF!</v>
      </c>
      <c r="J127" t="e">
        <f>AND(#REF!,"AAAAAE+fagk=")</f>
        <v>#REF!</v>
      </c>
      <c r="K127" t="e">
        <f>AND(#REF!,"AAAAAE+fago=")</f>
        <v>#REF!</v>
      </c>
      <c r="L127" t="e">
        <f>AND(#REF!,"AAAAAE+fags=")</f>
        <v>#REF!</v>
      </c>
      <c r="M127" t="e">
        <f>IF(#REF!,"AAAAAE+fagw=",0)</f>
        <v>#REF!</v>
      </c>
      <c r="N127" t="e">
        <f>AND(#REF!,"AAAAAE+fag0=")</f>
        <v>#REF!</v>
      </c>
      <c r="O127" t="e">
        <f>AND(#REF!,"AAAAAE+fag4=")</f>
        <v>#REF!</v>
      </c>
      <c r="P127" t="e">
        <f>AND(#REF!,"AAAAAE+fag8=")</f>
        <v>#REF!</v>
      </c>
      <c r="Q127" t="e">
        <f>AND(#REF!,"AAAAAE+fahA=")</f>
        <v>#REF!</v>
      </c>
      <c r="R127" t="e">
        <f>AND(#REF!,"AAAAAE+fahE=")</f>
        <v>#REF!</v>
      </c>
      <c r="S127" t="e">
        <f>AND(#REF!,"AAAAAE+fahI=")</f>
        <v>#REF!</v>
      </c>
      <c r="T127" t="e">
        <f>AND(#REF!,"AAAAAE+fahM=")</f>
        <v>#REF!</v>
      </c>
      <c r="U127" t="e">
        <f>AND(#REF!,"AAAAAE+fahQ=")</f>
        <v>#REF!</v>
      </c>
      <c r="V127" t="e">
        <f>AND(#REF!,"AAAAAE+fahU=")</f>
        <v>#REF!</v>
      </c>
      <c r="W127" t="e">
        <f>AND(#REF!,"AAAAAE+fahY=")</f>
        <v>#REF!</v>
      </c>
      <c r="X127" t="e">
        <f>IF(#REF!,"AAAAAE+fahc=",0)</f>
        <v>#REF!</v>
      </c>
      <c r="Y127" t="e">
        <f>AND(#REF!,"AAAAAE+fahg=")</f>
        <v>#REF!</v>
      </c>
      <c r="Z127" t="e">
        <f>AND(#REF!,"AAAAAE+fahk=")</f>
        <v>#REF!</v>
      </c>
      <c r="AA127" t="e">
        <f>AND(#REF!,"AAAAAE+faho=")</f>
        <v>#REF!</v>
      </c>
      <c r="AB127" t="e">
        <f>AND(#REF!,"AAAAAE+fahs=")</f>
        <v>#REF!</v>
      </c>
      <c r="AC127" t="e">
        <f>AND(#REF!,"AAAAAE+fahw=")</f>
        <v>#REF!</v>
      </c>
      <c r="AD127" t="e">
        <f>AND(#REF!,"AAAAAE+fah0=")</f>
        <v>#REF!</v>
      </c>
      <c r="AE127" t="e">
        <f>AND(#REF!,"AAAAAE+fah4=")</f>
        <v>#REF!</v>
      </c>
      <c r="AF127" t="e">
        <f>AND(#REF!,"AAAAAE+fah8=")</f>
        <v>#REF!</v>
      </c>
      <c r="AG127" t="e">
        <f>AND(#REF!,"AAAAAE+faiA=")</f>
        <v>#REF!</v>
      </c>
      <c r="AH127" t="e">
        <f>AND(#REF!,"AAAAAE+faiE=")</f>
        <v>#REF!</v>
      </c>
      <c r="AI127" t="e">
        <f>IF(#REF!,"AAAAAE+faiI=",0)</f>
        <v>#REF!</v>
      </c>
      <c r="AJ127" t="e">
        <f>AND(#REF!,"AAAAAE+faiM=")</f>
        <v>#REF!</v>
      </c>
      <c r="AK127" t="e">
        <f>AND(#REF!,"AAAAAE+faiQ=")</f>
        <v>#REF!</v>
      </c>
      <c r="AL127" t="e">
        <f>AND(#REF!,"AAAAAE+faiU=")</f>
        <v>#REF!</v>
      </c>
      <c r="AM127" t="e">
        <f>AND(#REF!,"AAAAAE+faiY=")</f>
        <v>#REF!</v>
      </c>
      <c r="AN127" t="e">
        <f>AND(#REF!,"AAAAAE+faic=")</f>
        <v>#REF!</v>
      </c>
      <c r="AO127" t="e">
        <f>AND(#REF!,"AAAAAE+faig=")</f>
        <v>#REF!</v>
      </c>
      <c r="AP127" t="e">
        <f>AND(#REF!,"AAAAAE+faik=")</f>
        <v>#REF!</v>
      </c>
      <c r="AQ127" t="e">
        <f>AND(#REF!,"AAAAAE+faio=")</f>
        <v>#REF!</v>
      </c>
      <c r="AR127" t="e">
        <f>AND(#REF!,"AAAAAE+fais=")</f>
        <v>#REF!</v>
      </c>
      <c r="AS127" t="e">
        <f>AND(#REF!,"AAAAAE+faiw=")</f>
        <v>#REF!</v>
      </c>
      <c r="AT127" t="e">
        <f>IF(#REF!,"AAAAAE+fai0=",0)</f>
        <v>#REF!</v>
      </c>
      <c r="AU127" t="e">
        <f>AND(#REF!,"AAAAAE+fai4=")</f>
        <v>#REF!</v>
      </c>
      <c r="AV127" t="e">
        <f>AND(#REF!,"AAAAAE+fai8=")</f>
        <v>#REF!</v>
      </c>
      <c r="AW127" t="e">
        <f>AND(#REF!,"AAAAAE+fajA=")</f>
        <v>#REF!</v>
      </c>
      <c r="AX127" t="e">
        <f>AND(#REF!,"AAAAAE+fajE=")</f>
        <v>#REF!</v>
      </c>
      <c r="AY127" t="e">
        <f>AND(#REF!,"AAAAAE+fajI=")</f>
        <v>#REF!</v>
      </c>
      <c r="AZ127" t="e">
        <f>AND(#REF!,"AAAAAE+fajM=")</f>
        <v>#REF!</v>
      </c>
      <c r="BA127" t="e">
        <f>AND(#REF!,"AAAAAE+fajQ=")</f>
        <v>#REF!</v>
      </c>
      <c r="BB127" t="e">
        <f>AND(#REF!,"AAAAAE+fajU=")</f>
        <v>#REF!</v>
      </c>
      <c r="BC127" t="e">
        <f>AND(#REF!,"AAAAAE+fajY=")</f>
        <v>#REF!</v>
      </c>
      <c r="BD127" t="e">
        <f>AND(#REF!,"AAAAAE+fajc=")</f>
        <v>#REF!</v>
      </c>
      <c r="BE127" t="e">
        <f>IF(#REF!,"AAAAAE+fajg=",0)</f>
        <v>#REF!</v>
      </c>
      <c r="BF127" t="e">
        <f>AND(#REF!,"AAAAAE+fajk=")</f>
        <v>#REF!</v>
      </c>
      <c r="BG127" t="e">
        <f>AND(#REF!,"AAAAAE+fajo=")</f>
        <v>#REF!</v>
      </c>
      <c r="BH127" t="e">
        <f>AND(#REF!,"AAAAAE+fajs=")</f>
        <v>#REF!</v>
      </c>
      <c r="BI127" t="e">
        <f>AND(#REF!,"AAAAAE+fajw=")</f>
        <v>#REF!</v>
      </c>
      <c r="BJ127" t="e">
        <f>AND(#REF!,"AAAAAE+faj0=")</f>
        <v>#REF!</v>
      </c>
      <c r="BK127" t="e">
        <f>AND(#REF!,"AAAAAE+faj4=")</f>
        <v>#REF!</v>
      </c>
      <c r="BL127" t="e">
        <f>AND(#REF!,"AAAAAE+faj8=")</f>
        <v>#REF!</v>
      </c>
      <c r="BM127" t="e">
        <f>AND(#REF!,"AAAAAE+fakA=")</f>
        <v>#REF!</v>
      </c>
      <c r="BN127" t="e">
        <f>AND(#REF!,"AAAAAE+fakE=")</f>
        <v>#REF!</v>
      </c>
      <c r="BO127" t="e">
        <f>AND(#REF!,"AAAAAE+fakI=")</f>
        <v>#REF!</v>
      </c>
      <c r="BP127" t="e">
        <f>IF(#REF!,"AAAAAE+fakM=",0)</f>
        <v>#REF!</v>
      </c>
      <c r="BQ127" t="e">
        <f>AND(#REF!,"AAAAAE+fakQ=")</f>
        <v>#REF!</v>
      </c>
      <c r="BR127" t="e">
        <f>AND(#REF!,"AAAAAE+fakU=")</f>
        <v>#REF!</v>
      </c>
      <c r="BS127" t="e">
        <f>AND(#REF!,"AAAAAE+fakY=")</f>
        <v>#REF!</v>
      </c>
      <c r="BT127" t="e">
        <f>AND(#REF!,"AAAAAE+fakc=")</f>
        <v>#REF!</v>
      </c>
      <c r="BU127" t="e">
        <f>AND(#REF!,"AAAAAE+fakg=")</f>
        <v>#REF!</v>
      </c>
      <c r="BV127" t="e">
        <f>AND(#REF!,"AAAAAE+fakk=")</f>
        <v>#REF!</v>
      </c>
      <c r="BW127" t="e">
        <f>AND(#REF!,"AAAAAE+fako=")</f>
        <v>#REF!</v>
      </c>
      <c r="BX127" t="e">
        <f>AND(#REF!,"AAAAAE+faks=")</f>
        <v>#REF!</v>
      </c>
      <c r="BY127" t="e">
        <f>AND(#REF!,"AAAAAE+fakw=")</f>
        <v>#REF!</v>
      </c>
      <c r="BZ127" t="e">
        <f>AND(#REF!,"AAAAAE+fak0=")</f>
        <v>#REF!</v>
      </c>
      <c r="CA127" t="e">
        <f>IF(#REF!,"AAAAAE+fak4=",0)</f>
        <v>#REF!</v>
      </c>
      <c r="CB127" t="e">
        <f>AND(#REF!,"AAAAAE+fak8=")</f>
        <v>#REF!</v>
      </c>
      <c r="CC127" t="e">
        <f>AND(#REF!,"AAAAAE+falA=")</f>
        <v>#REF!</v>
      </c>
      <c r="CD127" t="e">
        <f>AND(#REF!,"AAAAAE+falE=")</f>
        <v>#REF!</v>
      </c>
      <c r="CE127" t="e">
        <f>AND(#REF!,"AAAAAE+falI=")</f>
        <v>#REF!</v>
      </c>
      <c r="CF127" t="e">
        <f>AND(#REF!,"AAAAAE+falM=")</f>
        <v>#REF!</v>
      </c>
      <c r="CG127" t="e">
        <f>AND(#REF!,"AAAAAE+falQ=")</f>
        <v>#REF!</v>
      </c>
      <c r="CH127" t="e">
        <f>AND(#REF!,"AAAAAE+falU=")</f>
        <v>#REF!</v>
      </c>
      <c r="CI127" t="e">
        <f>AND(#REF!,"AAAAAE+falY=")</f>
        <v>#REF!</v>
      </c>
      <c r="CJ127" t="e">
        <f>AND(#REF!,"AAAAAE+falc=")</f>
        <v>#REF!</v>
      </c>
      <c r="CK127" t="e">
        <f>AND(#REF!,"AAAAAE+falg=")</f>
        <v>#REF!</v>
      </c>
      <c r="CL127" t="e">
        <f>IF(#REF!,"AAAAAE+falk=",0)</f>
        <v>#REF!</v>
      </c>
      <c r="CM127" t="e">
        <f>AND(#REF!,"AAAAAE+falo=")</f>
        <v>#REF!</v>
      </c>
      <c r="CN127" t="e">
        <f>AND(#REF!,"AAAAAE+fals=")</f>
        <v>#REF!</v>
      </c>
      <c r="CO127" t="e">
        <f>AND(#REF!,"AAAAAE+falw=")</f>
        <v>#REF!</v>
      </c>
      <c r="CP127" t="e">
        <f>AND(#REF!,"AAAAAE+fal0=")</f>
        <v>#REF!</v>
      </c>
      <c r="CQ127" t="e">
        <f>AND(#REF!,"AAAAAE+fal4=")</f>
        <v>#REF!</v>
      </c>
      <c r="CR127" t="e">
        <f>AND(#REF!,"AAAAAE+fal8=")</f>
        <v>#REF!</v>
      </c>
      <c r="CS127" t="e">
        <f>AND(#REF!,"AAAAAE+famA=")</f>
        <v>#REF!</v>
      </c>
      <c r="CT127" t="e">
        <f>AND(#REF!,"AAAAAE+famE=")</f>
        <v>#REF!</v>
      </c>
      <c r="CU127" t="e">
        <f>AND(#REF!,"AAAAAE+famI=")</f>
        <v>#REF!</v>
      </c>
      <c r="CV127" t="e">
        <f>AND(#REF!,"AAAAAE+famM=")</f>
        <v>#REF!</v>
      </c>
      <c r="CW127" t="e">
        <f>IF(#REF!,"AAAAAE+famQ=",0)</f>
        <v>#REF!</v>
      </c>
      <c r="CX127" t="e">
        <f>AND(#REF!,"AAAAAE+famU=")</f>
        <v>#REF!</v>
      </c>
      <c r="CY127" t="e">
        <f>AND(#REF!,"AAAAAE+famY=")</f>
        <v>#REF!</v>
      </c>
      <c r="CZ127" t="e">
        <f>AND(#REF!,"AAAAAE+famc=")</f>
        <v>#REF!</v>
      </c>
      <c r="DA127" t="e">
        <f>AND(#REF!,"AAAAAE+famg=")</f>
        <v>#REF!</v>
      </c>
      <c r="DB127" t="e">
        <f>AND(#REF!,"AAAAAE+famk=")</f>
        <v>#REF!</v>
      </c>
      <c r="DC127" t="e">
        <f>AND(#REF!,"AAAAAE+famo=")</f>
        <v>#REF!</v>
      </c>
      <c r="DD127" t="e">
        <f>AND(#REF!,"AAAAAE+fams=")</f>
        <v>#REF!</v>
      </c>
      <c r="DE127" t="e">
        <f>AND(#REF!,"AAAAAE+famw=")</f>
        <v>#REF!</v>
      </c>
      <c r="DF127" t="e">
        <f>AND(#REF!,"AAAAAE+fam0=")</f>
        <v>#REF!</v>
      </c>
      <c r="DG127" t="e">
        <f>AND(#REF!,"AAAAAE+fam4=")</f>
        <v>#REF!</v>
      </c>
      <c r="DH127" t="e">
        <f>IF(#REF!,"AAAAAE+fam8=",0)</f>
        <v>#REF!</v>
      </c>
      <c r="DI127" t="e">
        <f>AND(#REF!,"AAAAAE+fanA=")</f>
        <v>#REF!</v>
      </c>
      <c r="DJ127" t="e">
        <f>AND(#REF!,"AAAAAE+fanE=")</f>
        <v>#REF!</v>
      </c>
      <c r="DK127" t="e">
        <f>AND(#REF!,"AAAAAE+fanI=")</f>
        <v>#REF!</v>
      </c>
      <c r="DL127" t="e">
        <f>AND(#REF!,"AAAAAE+fanM=")</f>
        <v>#REF!</v>
      </c>
      <c r="DM127" t="e">
        <f>AND(#REF!,"AAAAAE+fanQ=")</f>
        <v>#REF!</v>
      </c>
      <c r="DN127" t="e">
        <f>AND(#REF!,"AAAAAE+fanU=")</f>
        <v>#REF!</v>
      </c>
      <c r="DO127" t="e">
        <f>AND(#REF!,"AAAAAE+fanY=")</f>
        <v>#REF!</v>
      </c>
      <c r="DP127" t="e">
        <f>AND(#REF!,"AAAAAE+fanc=")</f>
        <v>#REF!</v>
      </c>
      <c r="DQ127" t="e">
        <f>AND(#REF!,"AAAAAE+fang=")</f>
        <v>#REF!</v>
      </c>
      <c r="DR127" t="e">
        <f>AND(#REF!,"AAAAAE+fank=")</f>
        <v>#REF!</v>
      </c>
      <c r="DS127" t="e">
        <f>IF(#REF!,"AAAAAE+fano=",0)</f>
        <v>#REF!</v>
      </c>
      <c r="DT127" t="e">
        <f>AND(#REF!,"AAAAAE+fans=")</f>
        <v>#REF!</v>
      </c>
      <c r="DU127" t="e">
        <f>AND(#REF!,"AAAAAE+fanw=")</f>
        <v>#REF!</v>
      </c>
      <c r="DV127" t="e">
        <f>AND(#REF!,"AAAAAE+fan0=")</f>
        <v>#REF!</v>
      </c>
      <c r="DW127" t="e">
        <f>AND(#REF!,"AAAAAE+fan4=")</f>
        <v>#REF!</v>
      </c>
      <c r="DX127" t="e">
        <f>AND(#REF!,"AAAAAE+fan8=")</f>
        <v>#REF!</v>
      </c>
      <c r="DY127" t="e">
        <f>AND(#REF!,"AAAAAE+faoA=")</f>
        <v>#REF!</v>
      </c>
      <c r="DZ127" t="e">
        <f>AND(#REF!,"AAAAAE+faoE=")</f>
        <v>#REF!</v>
      </c>
      <c r="EA127" t="e">
        <f>AND(#REF!,"AAAAAE+faoI=")</f>
        <v>#REF!</v>
      </c>
      <c r="EB127" t="e">
        <f>AND(#REF!,"AAAAAE+faoM=")</f>
        <v>#REF!</v>
      </c>
      <c r="EC127" t="e">
        <f>AND(#REF!,"AAAAAE+faoQ=")</f>
        <v>#REF!</v>
      </c>
      <c r="ED127" t="e">
        <f>IF(#REF!,"AAAAAE+faoU=",0)</f>
        <v>#REF!</v>
      </c>
      <c r="EE127" t="e">
        <f>AND(#REF!,"AAAAAE+faoY=")</f>
        <v>#REF!</v>
      </c>
      <c r="EF127" t="e">
        <f>AND(#REF!,"AAAAAE+faoc=")</f>
        <v>#REF!</v>
      </c>
      <c r="EG127" t="e">
        <f>AND(#REF!,"AAAAAE+faog=")</f>
        <v>#REF!</v>
      </c>
      <c r="EH127" t="e">
        <f>AND(#REF!,"AAAAAE+faok=")</f>
        <v>#REF!</v>
      </c>
      <c r="EI127" t="e">
        <f>AND(#REF!,"AAAAAE+faoo=")</f>
        <v>#REF!</v>
      </c>
      <c r="EJ127" t="e">
        <f>AND(#REF!,"AAAAAE+faos=")</f>
        <v>#REF!</v>
      </c>
      <c r="EK127" t="e">
        <f>AND(#REF!,"AAAAAE+faow=")</f>
        <v>#REF!</v>
      </c>
      <c r="EL127" t="e">
        <f>AND(#REF!,"AAAAAE+fao0=")</f>
        <v>#REF!</v>
      </c>
      <c r="EM127" t="e">
        <f>AND(#REF!,"AAAAAE+fao4=")</f>
        <v>#REF!</v>
      </c>
      <c r="EN127" t="e">
        <f>AND(#REF!,"AAAAAE+fao8=")</f>
        <v>#REF!</v>
      </c>
      <c r="EO127" t="e">
        <f>IF(#REF!,"AAAAAE+fapA=",0)</f>
        <v>#REF!</v>
      </c>
      <c r="EP127" t="e">
        <f>AND(#REF!,"AAAAAE+fapE=")</f>
        <v>#REF!</v>
      </c>
      <c r="EQ127" t="e">
        <f>AND(#REF!,"AAAAAE+fapI=")</f>
        <v>#REF!</v>
      </c>
      <c r="ER127" t="e">
        <f>AND(#REF!,"AAAAAE+fapM=")</f>
        <v>#REF!</v>
      </c>
      <c r="ES127" t="e">
        <f>AND(#REF!,"AAAAAE+fapQ=")</f>
        <v>#REF!</v>
      </c>
      <c r="ET127" t="e">
        <f>AND(#REF!,"AAAAAE+fapU=")</f>
        <v>#REF!</v>
      </c>
      <c r="EU127" t="e">
        <f>AND(#REF!,"AAAAAE+fapY=")</f>
        <v>#REF!</v>
      </c>
      <c r="EV127" t="e">
        <f>AND(#REF!,"AAAAAE+fapc=")</f>
        <v>#REF!</v>
      </c>
      <c r="EW127" t="e">
        <f>AND(#REF!,"AAAAAE+fapg=")</f>
        <v>#REF!</v>
      </c>
      <c r="EX127" t="e">
        <f>AND(#REF!,"AAAAAE+fapk=")</f>
        <v>#REF!</v>
      </c>
      <c r="EY127" t="e">
        <f>AND(#REF!,"AAAAAE+fapo=")</f>
        <v>#REF!</v>
      </c>
      <c r="EZ127" t="e">
        <f>IF(#REF!,"AAAAAE+faps=",0)</f>
        <v>#REF!</v>
      </c>
      <c r="FA127" t="e">
        <f>AND(#REF!,"AAAAAE+fapw=")</f>
        <v>#REF!</v>
      </c>
      <c r="FB127" t="e">
        <f>AND(#REF!,"AAAAAE+fap0=")</f>
        <v>#REF!</v>
      </c>
      <c r="FC127" t="e">
        <f>AND(#REF!,"AAAAAE+fap4=")</f>
        <v>#REF!</v>
      </c>
      <c r="FD127" t="e">
        <f>AND(#REF!,"AAAAAE+fap8=")</f>
        <v>#REF!</v>
      </c>
      <c r="FE127" t="e">
        <f>AND(#REF!,"AAAAAE+faqA=")</f>
        <v>#REF!</v>
      </c>
      <c r="FF127" t="e">
        <f>AND(#REF!,"AAAAAE+faqE=")</f>
        <v>#REF!</v>
      </c>
      <c r="FG127" t="e">
        <f>AND(#REF!,"AAAAAE+faqI=")</f>
        <v>#REF!</v>
      </c>
      <c r="FH127" t="e">
        <f>AND(#REF!,"AAAAAE+faqM=")</f>
        <v>#REF!</v>
      </c>
      <c r="FI127" t="e">
        <f>AND(#REF!,"AAAAAE+faqQ=")</f>
        <v>#REF!</v>
      </c>
      <c r="FJ127" t="e">
        <f>AND(#REF!,"AAAAAE+faqU=")</f>
        <v>#REF!</v>
      </c>
      <c r="FK127" t="e">
        <f>IF(#REF!,"AAAAAE+faqY=",0)</f>
        <v>#REF!</v>
      </c>
      <c r="FL127" t="e">
        <f>AND(#REF!,"AAAAAE+faqc=")</f>
        <v>#REF!</v>
      </c>
      <c r="FM127" t="e">
        <f>AND(#REF!,"AAAAAE+faqg=")</f>
        <v>#REF!</v>
      </c>
      <c r="FN127" t="e">
        <f>AND(#REF!,"AAAAAE+faqk=")</f>
        <v>#REF!</v>
      </c>
      <c r="FO127" t="e">
        <f>AND(#REF!,"AAAAAE+faqo=")</f>
        <v>#REF!</v>
      </c>
      <c r="FP127" t="e">
        <f>AND(#REF!,"AAAAAE+faqs=")</f>
        <v>#REF!</v>
      </c>
      <c r="FQ127" t="e">
        <f>AND(#REF!,"AAAAAE+faqw=")</f>
        <v>#REF!</v>
      </c>
      <c r="FR127" t="e">
        <f>AND(#REF!,"AAAAAE+faq0=")</f>
        <v>#REF!</v>
      </c>
      <c r="FS127" t="e">
        <f>AND(#REF!,"AAAAAE+faq4=")</f>
        <v>#REF!</v>
      </c>
      <c r="FT127" t="e">
        <f>AND(#REF!,"AAAAAE+faq8=")</f>
        <v>#REF!</v>
      </c>
      <c r="FU127" t="e">
        <f>AND(#REF!,"AAAAAE+farA=")</f>
        <v>#REF!</v>
      </c>
      <c r="FV127" t="e">
        <f>IF(#REF!,"AAAAAE+farE=",0)</f>
        <v>#REF!</v>
      </c>
      <c r="FW127" t="e">
        <f>AND(#REF!,"AAAAAE+farI=")</f>
        <v>#REF!</v>
      </c>
      <c r="FX127" t="e">
        <f>AND(#REF!,"AAAAAE+farM=")</f>
        <v>#REF!</v>
      </c>
      <c r="FY127" t="e">
        <f>AND(#REF!,"AAAAAE+farQ=")</f>
        <v>#REF!</v>
      </c>
      <c r="FZ127" t="e">
        <f>AND(#REF!,"AAAAAE+farU=")</f>
        <v>#REF!</v>
      </c>
      <c r="GA127" t="e">
        <f>AND(#REF!,"AAAAAE+farY=")</f>
        <v>#REF!</v>
      </c>
      <c r="GB127" t="e">
        <f>AND(#REF!,"AAAAAE+farc=")</f>
        <v>#REF!</v>
      </c>
      <c r="GC127" t="e">
        <f>AND(#REF!,"AAAAAE+farg=")</f>
        <v>#REF!</v>
      </c>
      <c r="GD127" t="e">
        <f>AND(#REF!,"AAAAAE+fark=")</f>
        <v>#REF!</v>
      </c>
      <c r="GE127" t="e">
        <f>AND(#REF!,"AAAAAE+faro=")</f>
        <v>#REF!</v>
      </c>
      <c r="GF127" t="e">
        <f>AND(#REF!,"AAAAAE+fars=")</f>
        <v>#REF!</v>
      </c>
      <c r="GG127" t="e">
        <f>IF(#REF!,"AAAAAE+farw=",0)</f>
        <v>#REF!</v>
      </c>
      <c r="GH127" t="e">
        <f>AND(#REF!,"AAAAAE+far0=")</f>
        <v>#REF!</v>
      </c>
      <c r="GI127" t="e">
        <f>AND(#REF!,"AAAAAE+far4=")</f>
        <v>#REF!</v>
      </c>
      <c r="GJ127" t="e">
        <f>AND(#REF!,"AAAAAE+far8=")</f>
        <v>#REF!</v>
      </c>
      <c r="GK127" t="e">
        <f>AND(#REF!,"AAAAAE+fasA=")</f>
        <v>#REF!</v>
      </c>
      <c r="GL127" t="e">
        <f>AND(#REF!,"AAAAAE+fasE=")</f>
        <v>#REF!</v>
      </c>
      <c r="GM127" t="e">
        <f>AND(#REF!,"AAAAAE+fasI=")</f>
        <v>#REF!</v>
      </c>
      <c r="GN127" t="e">
        <f>AND(#REF!,"AAAAAE+fasM=")</f>
        <v>#REF!</v>
      </c>
      <c r="GO127" t="e">
        <f>AND(#REF!,"AAAAAE+fasQ=")</f>
        <v>#REF!</v>
      </c>
      <c r="GP127" t="e">
        <f>AND(#REF!,"AAAAAE+fasU=")</f>
        <v>#REF!</v>
      </c>
      <c r="GQ127" t="e">
        <f>AND(#REF!,"AAAAAE+fasY=")</f>
        <v>#REF!</v>
      </c>
      <c r="GR127" t="e">
        <f>IF(#REF!,"AAAAAE+fasc=",0)</f>
        <v>#REF!</v>
      </c>
      <c r="GS127" t="e">
        <f>AND(#REF!,"AAAAAE+fasg=")</f>
        <v>#REF!</v>
      </c>
      <c r="GT127" t="e">
        <f>AND(#REF!,"AAAAAE+fask=")</f>
        <v>#REF!</v>
      </c>
      <c r="GU127" t="e">
        <f>AND(#REF!,"AAAAAE+faso=")</f>
        <v>#REF!</v>
      </c>
      <c r="GV127" t="e">
        <f>AND(#REF!,"AAAAAE+fass=")</f>
        <v>#REF!</v>
      </c>
      <c r="GW127" t="e">
        <f>AND(#REF!,"AAAAAE+fasw=")</f>
        <v>#REF!</v>
      </c>
      <c r="GX127" t="e">
        <f>AND(#REF!,"AAAAAE+fas0=")</f>
        <v>#REF!</v>
      </c>
      <c r="GY127" t="e">
        <f>AND(#REF!,"AAAAAE+fas4=")</f>
        <v>#REF!</v>
      </c>
      <c r="GZ127" t="e">
        <f>AND(#REF!,"AAAAAE+fas8=")</f>
        <v>#REF!</v>
      </c>
      <c r="HA127" t="e">
        <f>AND(#REF!,"AAAAAE+fatA=")</f>
        <v>#REF!</v>
      </c>
      <c r="HB127" t="e">
        <f>AND(#REF!,"AAAAAE+fatE=")</f>
        <v>#REF!</v>
      </c>
      <c r="HC127" t="e">
        <f>IF(#REF!,"AAAAAE+fatI=",0)</f>
        <v>#REF!</v>
      </c>
      <c r="HD127" t="e">
        <f>AND(#REF!,"AAAAAE+fatM=")</f>
        <v>#REF!</v>
      </c>
      <c r="HE127" t="e">
        <f>AND(#REF!,"AAAAAE+fatQ=")</f>
        <v>#REF!</v>
      </c>
      <c r="HF127" t="e">
        <f>AND(#REF!,"AAAAAE+fatU=")</f>
        <v>#REF!</v>
      </c>
      <c r="HG127" t="e">
        <f>AND(#REF!,"AAAAAE+fatY=")</f>
        <v>#REF!</v>
      </c>
      <c r="HH127" t="e">
        <f>AND(#REF!,"AAAAAE+fatc=")</f>
        <v>#REF!</v>
      </c>
      <c r="HI127" t="e">
        <f>AND(#REF!,"AAAAAE+fatg=")</f>
        <v>#REF!</v>
      </c>
      <c r="HJ127" t="e">
        <f>AND(#REF!,"AAAAAE+fatk=")</f>
        <v>#REF!</v>
      </c>
      <c r="HK127" t="e">
        <f>AND(#REF!,"AAAAAE+fato=")</f>
        <v>#REF!</v>
      </c>
      <c r="HL127" t="e">
        <f>AND(#REF!,"AAAAAE+fats=")</f>
        <v>#REF!</v>
      </c>
      <c r="HM127" t="e">
        <f>AND(#REF!,"AAAAAE+fatw=")</f>
        <v>#REF!</v>
      </c>
      <c r="HN127" t="e">
        <f>IF(#REF!,"AAAAAE+fat0=",0)</f>
        <v>#REF!</v>
      </c>
      <c r="HO127" t="e">
        <f>AND(#REF!,"AAAAAE+fat4=")</f>
        <v>#REF!</v>
      </c>
      <c r="HP127" t="e">
        <f>AND(#REF!,"AAAAAE+fat8=")</f>
        <v>#REF!</v>
      </c>
      <c r="HQ127" t="e">
        <f>AND(#REF!,"AAAAAE+fauA=")</f>
        <v>#REF!</v>
      </c>
      <c r="HR127" t="e">
        <f>AND(#REF!,"AAAAAE+fauE=")</f>
        <v>#REF!</v>
      </c>
      <c r="HS127" t="e">
        <f>AND(#REF!,"AAAAAE+fauI=")</f>
        <v>#REF!</v>
      </c>
      <c r="HT127" t="e">
        <f>AND(#REF!,"AAAAAE+fauM=")</f>
        <v>#REF!</v>
      </c>
      <c r="HU127" t="e">
        <f>AND(#REF!,"AAAAAE+fauQ=")</f>
        <v>#REF!</v>
      </c>
      <c r="HV127" t="e">
        <f>AND(#REF!,"AAAAAE+fauU=")</f>
        <v>#REF!</v>
      </c>
      <c r="HW127" t="e">
        <f>AND(#REF!,"AAAAAE+fauY=")</f>
        <v>#REF!</v>
      </c>
      <c r="HX127" t="e">
        <f>AND(#REF!,"AAAAAE+fauc=")</f>
        <v>#REF!</v>
      </c>
      <c r="HY127" t="e">
        <f>IF(#REF!,"AAAAAE+faug=",0)</f>
        <v>#REF!</v>
      </c>
      <c r="HZ127" t="e">
        <f>AND(#REF!,"AAAAAE+fauk=")</f>
        <v>#REF!</v>
      </c>
      <c r="IA127" t="e">
        <f>AND(#REF!,"AAAAAE+fauo=")</f>
        <v>#REF!</v>
      </c>
      <c r="IB127" t="e">
        <f>AND(#REF!,"AAAAAE+faus=")</f>
        <v>#REF!</v>
      </c>
      <c r="IC127" t="e">
        <f>AND(#REF!,"AAAAAE+fauw=")</f>
        <v>#REF!</v>
      </c>
      <c r="ID127" t="e">
        <f>AND(#REF!,"AAAAAE+fau0=")</f>
        <v>#REF!</v>
      </c>
      <c r="IE127" t="e">
        <f>AND(#REF!,"AAAAAE+fau4=")</f>
        <v>#REF!</v>
      </c>
      <c r="IF127" t="e">
        <f>AND(#REF!,"AAAAAE+fau8=")</f>
        <v>#REF!</v>
      </c>
      <c r="IG127" t="e">
        <f>AND(#REF!,"AAAAAE+favA=")</f>
        <v>#REF!</v>
      </c>
      <c r="IH127" t="e">
        <f>AND(#REF!,"AAAAAE+favE=")</f>
        <v>#REF!</v>
      </c>
      <c r="II127" t="e">
        <f>AND(#REF!,"AAAAAE+favI=")</f>
        <v>#REF!</v>
      </c>
      <c r="IJ127" t="e">
        <f>IF(#REF!,"AAAAAE+favM=",0)</f>
        <v>#REF!</v>
      </c>
      <c r="IK127" t="e">
        <f>AND(#REF!,"AAAAAE+favQ=")</f>
        <v>#REF!</v>
      </c>
      <c r="IL127" t="e">
        <f>AND(#REF!,"AAAAAE+favU=")</f>
        <v>#REF!</v>
      </c>
      <c r="IM127" t="e">
        <f>AND(#REF!,"AAAAAE+favY=")</f>
        <v>#REF!</v>
      </c>
      <c r="IN127" t="e">
        <f>AND(#REF!,"AAAAAE+favc=")</f>
        <v>#REF!</v>
      </c>
      <c r="IO127" t="e">
        <f>AND(#REF!,"AAAAAE+favg=")</f>
        <v>#REF!</v>
      </c>
      <c r="IP127" t="e">
        <f>AND(#REF!,"AAAAAE+favk=")</f>
        <v>#REF!</v>
      </c>
      <c r="IQ127" t="e">
        <f>AND(#REF!,"AAAAAE+favo=")</f>
        <v>#REF!</v>
      </c>
      <c r="IR127" t="e">
        <f>AND(#REF!,"AAAAAE+favs=")</f>
        <v>#REF!</v>
      </c>
      <c r="IS127" t="e">
        <f>AND(#REF!,"AAAAAE+favw=")</f>
        <v>#REF!</v>
      </c>
      <c r="IT127" t="e">
        <f>AND(#REF!,"AAAAAE+fav0=")</f>
        <v>#REF!</v>
      </c>
      <c r="IU127" t="e">
        <f>IF(#REF!,"AAAAAE+fav4=",0)</f>
        <v>#REF!</v>
      </c>
      <c r="IV127" t="e">
        <f>AND(#REF!,"AAAAAE+fav8=")</f>
        <v>#REF!</v>
      </c>
    </row>
    <row r="128" spans="1:256" x14ac:dyDescent="0.25">
      <c r="A128" t="e">
        <f>AND(#REF!,"AAAAAGuj/wA=")</f>
        <v>#REF!</v>
      </c>
      <c r="B128" t="e">
        <f>AND(#REF!,"AAAAAGuj/wE=")</f>
        <v>#REF!</v>
      </c>
      <c r="C128" t="e">
        <f>AND(#REF!,"AAAAAGuj/wI=")</f>
        <v>#REF!</v>
      </c>
      <c r="D128" t="e">
        <f>AND(#REF!,"AAAAAGuj/wM=")</f>
        <v>#REF!</v>
      </c>
      <c r="E128" t="e">
        <f>AND(#REF!,"AAAAAGuj/wQ=")</f>
        <v>#REF!</v>
      </c>
      <c r="F128" t="e">
        <f>AND(#REF!,"AAAAAGuj/wU=")</f>
        <v>#REF!</v>
      </c>
      <c r="G128" t="e">
        <f>AND(#REF!,"AAAAAGuj/wY=")</f>
        <v>#REF!</v>
      </c>
      <c r="H128" t="e">
        <f>AND(#REF!,"AAAAAGuj/wc=")</f>
        <v>#REF!</v>
      </c>
      <c r="I128" t="e">
        <f>AND(#REF!,"AAAAAGuj/wg=")</f>
        <v>#REF!</v>
      </c>
      <c r="J128" t="e">
        <f>IF(#REF!,"AAAAAGuj/wk=",0)</f>
        <v>#REF!</v>
      </c>
      <c r="K128" t="e">
        <f>AND(#REF!,"AAAAAGuj/wo=")</f>
        <v>#REF!</v>
      </c>
      <c r="L128" t="e">
        <f>AND(#REF!,"AAAAAGuj/ws=")</f>
        <v>#REF!</v>
      </c>
      <c r="M128" t="e">
        <f>AND(#REF!,"AAAAAGuj/ww=")</f>
        <v>#REF!</v>
      </c>
      <c r="N128" t="e">
        <f>AND(#REF!,"AAAAAGuj/w0=")</f>
        <v>#REF!</v>
      </c>
      <c r="O128" t="e">
        <f>AND(#REF!,"AAAAAGuj/w4=")</f>
        <v>#REF!</v>
      </c>
      <c r="P128" t="e">
        <f>AND(#REF!,"AAAAAGuj/w8=")</f>
        <v>#REF!</v>
      </c>
      <c r="Q128" t="e">
        <f>AND(#REF!,"AAAAAGuj/xA=")</f>
        <v>#REF!</v>
      </c>
      <c r="R128" t="e">
        <f>AND(#REF!,"AAAAAGuj/xE=")</f>
        <v>#REF!</v>
      </c>
      <c r="S128" t="e">
        <f>AND(#REF!,"AAAAAGuj/xI=")</f>
        <v>#REF!</v>
      </c>
      <c r="T128" t="e">
        <f>AND(#REF!,"AAAAAGuj/xM=")</f>
        <v>#REF!</v>
      </c>
      <c r="U128" t="e">
        <f>IF(#REF!,"AAAAAGuj/xQ=",0)</f>
        <v>#REF!</v>
      </c>
      <c r="V128" t="e">
        <f>AND(#REF!,"AAAAAGuj/xU=")</f>
        <v>#REF!</v>
      </c>
      <c r="W128" t="e">
        <f>AND(#REF!,"AAAAAGuj/xY=")</f>
        <v>#REF!</v>
      </c>
      <c r="X128" t="e">
        <f>AND(#REF!,"AAAAAGuj/xc=")</f>
        <v>#REF!</v>
      </c>
      <c r="Y128" t="e">
        <f>AND(#REF!,"AAAAAGuj/xg=")</f>
        <v>#REF!</v>
      </c>
      <c r="Z128" t="e">
        <f>AND(#REF!,"AAAAAGuj/xk=")</f>
        <v>#REF!</v>
      </c>
      <c r="AA128" t="e">
        <f>AND(#REF!,"AAAAAGuj/xo=")</f>
        <v>#REF!</v>
      </c>
      <c r="AB128" t="e">
        <f>AND(#REF!,"AAAAAGuj/xs=")</f>
        <v>#REF!</v>
      </c>
      <c r="AC128" t="e">
        <f>AND(#REF!,"AAAAAGuj/xw=")</f>
        <v>#REF!</v>
      </c>
      <c r="AD128" t="e">
        <f>AND(#REF!,"AAAAAGuj/x0=")</f>
        <v>#REF!</v>
      </c>
      <c r="AE128" t="e">
        <f>AND(#REF!,"AAAAAGuj/x4=")</f>
        <v>#REF!</v>
      </c>
      <c r="AF128" t="e">
        <f>IF(#REF!,"AAAAAGuj/x8=",0)</f>
        <v>#REF!</v>
      </c>
      <c r="AG128" t="e">
        <f>AND(#REF!,"AAAAAGuj/yA=")</f>
        <v>#REF!</v>
      </c>
      <c r="AH128" t="e">
        <f>AND(#REF!,"AAAAAGuj/yE=")</f>
        <v>#REF!</v>
      </c>
      <c r="AI128" t="e">
        <f>AND(#REF!,"AAAAAGuj/yI=")</f>
        <v>#REF!</v>
      </c>
      <c r="AJ128" t="e">
        <f>AND(#REF!,"AAAAAGuj/yM=")</f>
        <v>#REF!</v>
      </c>
      <c r="AK128" t="e">
        <f>AND(#REF!,"AAAAAGuj/yQ=")</f>
        <v>#REF!</v>
      </c>
      <c r="AL128" t="e">
        <f>AND(#REF!,"AAAAAGuj/yU=")</f>
        <v>#REF!</v>
      </c>
      <c r="AM128" t="e">
        <f>AND(#REF!,"AAAAAGuj/yY=")</f>
        <v>#REF!</v>
      </c>
      <c r="AN128" t="e">
        <f>AND(#REF!,"AAAAAGuj/yc=")</f>
        <v>#REF!</v>
      </c>
      <c r="AO128" t="e">
        <f>AND(#REF!,"AAAAAGuj/yg=")</f>
        <v>#REF!</v>
      </c>
      <c r="AP128" t="e">
        <f>AND(#REF!,"AAAAAGuj/yk=")</f>
        <v>#REF!</v>
      </c>
      <c r="AQ128" t="e">
        <f>IF(#REF!,"AAAAAGuj/yo=",0)</f>
        <v>#REF!</v>
      </c>
      <c r="AR128" t="e">
        <f>AND(#REF!,"AAAAAGuj/ys=")</f>
        <v>#REF!</v>
      </c>
      <c r="AS128" t="e">
        <f>AND(#REF!,"AAAAAGuj/yw=")</f>
        <v>#REF!</v>
      </c>
      <c r="AT128" t="e">
        <f>AND(#REF!,"AAAAAGuj/y0=")</f>
        <v>#REF!</v>
      </c>
      <c r="AU128" t="e">
        <f>AND(#REF!,"AAAAAGuj/y4=")</f>
        <v>#REF!</v>
      </c>
      <c r="AV128" t="e">
        <f>AND(#REF!,"AAAAAGuj/y8=")</f>
        <v>#REF!</v>
      </c>
      <c r="AW128" t="e">
        <f>AND(#REF!,"AAAAAGuj/zA=")</f>
        <v>#REF!</v>
      </c>
      <c r="AX128" t="e">
        <f>AND(#REF!,"AAAAAGuj/zE=")</f>
        <v>#REF!</v>
      </c>
      <c r="AY128" t="e">
        <f>AND(#REF!,"AAAAAGuj/zI=")</f>
        <v>#REF!</v>
      </c>
      <c r="AZ128" t="e">
        <f>AND(#REF!,"AAAAAGuj/zM=")</f>
        <v>#REF!</v>
      </c>
      <c r="BA128" t="e">
        <f>AND(#REF!,"AAAAAGuj/zQ=")</f>
        <v>#REF!</v>
      </c>
      <c r="BB128" t="e">
        <f>IF(#REF!,"AAAAAGuj/zU=",0)</f>
        <v>#REF!</v>
      </c>
      <c r="BC128" t="e">
        <f>AND(#REF!,"AAAAAGuj/zY=")</f>
        <v>#REF!</v>
      </c>
      <c r="BD128" t="e">
        <f>AND(#REF!,"AAAAAGuj/zc=")</f>
        <v>#REF!</v>
      </c>
      <c r="BE128" t="e">
        <f>AND(#REF!,"AAAAAGuj/zg=")</f>
        <v>#REF!</v>
      </c>
      <c r="BF128" t="e">
        <f>AND(#REF!,"AAAAAGuj/zk=")</f>
        <v>#REF!</v>
      </c>
      <c r="BG128" t="e">
        <f>AND(#REF!,"AAAAAGuj/zo=")</f>
        <v>#REF!</v>
      </c>
      <c r="BH128" t="e">
        <f>AND(#REF!,"AAAAAGuj/zs=")</f>
        <v>#REF!</v>
      </c>
      <c r="BI128" t="e">
        <f>AND(#REF!,"AAAAAGuj/zw=")</f>
        <v>#REF!</v>
      </c>
      <c r="BJ128" t="e">
        <f>AND(#REF!,"AAAAAGuj/z0=")</f>
        <v>#REF!</v>
      </c>
      <c r="BK128" t="e">
        <f>AND(#REF!,"AAAAAGuj/z4=")</f>
        <v>#REF!</v>
      </c>
      <c r="BL128" t="e">
        <f>AND(#REF!,"AAAAAGuj/z8=")</f>
        <v>#REF!</v>
      </c>
      <c r="BM128" t="e">
        <f>IF(#REF!,"AAAAAGuj/0A=",0)</f>
        <v>#REF!</v>
      </c>
      <c r="BN128" t="e">
        <f>AND(#REF!,"AAAAAGuj/0E=")</f>
        <v>#REF!</v>
      </c>
      <c r="BO128" t="e">
        <f>AND(#REF!,"AAAAAGuj/0I=")</f>
        <v>#REF!</v>
      </c>
      <c r="BP128" t="e">
        <f>AND(#REF!,"AAAAAGuj/0M=")</f>
        <v>#REF!</v>
      </c>
      <c r="BQ128" t="e">
        <f>AND(#REF!,"AAAAAGuj/0Q=")</f>
        <v>#REF!</v>
      </c>
      <c r="BR128" t="e">
        <f>AND(#REF!,"AAAAAGuj/0U=")</f>
        <v>#REF!</v>
      </c>
      <c r="BS128" t="e">
        <f>AND(#REF!,"AAAAAGuj/0Y=")</f>
        <v>#REF!</v>
      </c>
      <c r="BT128" t="e">
        <f>AND(#REF!,"AAAAAGuj/0c=")</f>
        <v>#REF!</v>
      </c>
      <c r="BU128" t="e">
        <f>AND(#REF!,"AAAAAGuj/0g=")</f>
        <v>#REF!</v>
      </c>
      <c r="BV128" t="e">
        <f>AND(#REF!,"AAAAAGuj/0k=")</f>
        <v>#REF!</v>
      </c>
      <c r="BW128" t="e">
        <f>AND(#REF!,"AAAAAGuj/0o=")</f>
        <v>#REF!</v>
      </c>
      <c r="BX128" t="e">
        <f>IF(#REF!,"AAAAAGuj/0s=",0)</f>
        <v>#REF!</v>
      </c>
      <c r="BY128" t="e">
        <f>AND(#REF!,"AAAAAGuj/0w=")</f>
        <v>#REF!</v>
      </c>
      <c r="BZ128" t="e">
        <f>AND(#REF!,"AAAAAGuj/00=")</f>
        <v>#REF!</v>
      </c>
      <c r="CA128" t="e">
        <f>AND(#REF!,"AAAAAGuj/04=")</f>
        <v>#REF!</v>
      </c>
      <c r="CB128" t="e">
        <f>AND(#REF!,"AAAAAGuj/08=")</f>
        <v>#REF!</v>
      </c>
      <c r="CC128" t="e">
        <f>AND(#REF!,"AAAAAGuj/1A=")</f>
        <v>#REF!</v>
      </c>
      <c r="CD128" t="e">
        <f>AND(#REF!,"AAAAAGuj/1E=")</f>
        <v>#REF!</v>
      </c>
      <c r="CE128" t="e">
        <f>AND(#REF!,"AAAAAGuj/1I=")</f>
        <v>#REF!</v>
      </c>
      <c r="CF128" t="e">
        <f>AND(#REF!,"AAAAAGuj/1M=")</f>
        <v>#REF!</v>
      </c>
      <c r="CG128" t="e">
        <f>AND(#REF!,"AAAAAGuj/1Q=")</f>
        <v>#REF!</v>
      </c>
      <c r="CH128" t="e">
        <f>AND(#REF!,"AAAAAGuj/1U=")</f>
        <v>#REF!</v>
      </c>
      <c r="CI128" t="e">
        <f>IF(#REF!,"AAAAAGuj/1Y=",0)</f>
        <v>#REF!</v>
      </c>
      <c r="CJ128" t="e">
        <f>AND(#REF!,"AAAAAGuj/1c=")</f>
        <v>#REF!</v>
      </c>
      <c r="CK128" t="e">
        <f>AND(#REF!,"AAAAAGuj/1g=")</f>
        <v>#REF!</v>
      </c>
      <c r="CL128" t="e">
        <f>AND(#REF!,"AAAAAGuj/1k=")</f>
        <v>#REF!</v>
      </c>
      <c r="CM128" t="e">
        <f>AND(#REF!,"AAAAAGuj/1o=")</f>
        <v>#REF!</v>
      </c>
      <c r="CN128" t="e">
        <f>AND(#REF!,"AAAAAGuj/1s=")</f>
        <v>#REF!</v>
      </c>
      <c r="CO128" t="e">
        <f>AND(#REF!,"AAAAAGuj/1w=")</f>
        <v>#REF!</v>
      </c>
      <c r="CP128" t="e">
        <f>AND(#REF!,"AAAAAGuj/10=")</f>
        <v>#REF!</v>
      </c>
      <c r="CQ128" t="e">
        <f>AND(#REF!,"AAAAAGuj/14=")</f>
        <v>#REF!</v>
      </c>
      <c r="CR128" t="e">
        <f>AND(#REF!,"AAAAAGuj/18=")</f>
        <v>#REF!</v>
      </c>
      <c r="CS128" t="e">
        <f>AND(#REF!,"AAAAAGuj/2A=")</f>
        <v>#REF!</v>
      </c>
      <c r="CT128" t="e">
        <f>IF(#REF!,"AAAAAGuj/2E=",0)</f>
        <v>#REF!</v>
      </c>
      <c r="CU128" t="e">
        <f>AND(#REF!,"AAAAAGuj/2I=")</f>
        <v>#REF!</v>
      </c>
      <c r="CV128" t="e">
        <f>AND(#REF!,"AAAAAGuj/2M=")</f>
        <v>#REF!</v>
      </c>
      <c r="CW128" t="e">
        <f>AND(#REF!,"AAAAAGuj/2Q=")</f>
        <v>#REF!</v>
      </c>
      <c r="CX128" t="e">
        <f>AND(#REF!,"AAAAAGuj/2U=")</f>
        <v>#REF!</v>
      </c>
      <c r="CY128" t="e">
        <f>AND(#REF!,"AAAAAGuj/2Y=")</f>
        <v>#REF!</v>
      </c>
      <c r="CZ128" t="e">
        <f>AND(#REF!,"AAAAAGuj/2c=")</f>
        <v>#REF!</v>
      </c>
      <c r="DA128" t="e">
        <f>AND(#REF!,"AAAAAGuj/2g=")</f>
        <v>#REF!</v>
      </c>
      <c r="DB128" t="e">
        <f>AND(#REF!,"AAAAAGuj/2k=")</f>
        <v>#REF!</v>
      </c>
      <c r="DC128" t="e">
        <f>AND(#REF!,"AAAAAGuj/2o=")</f>
        <v>#REF!</v>
      </c>
      <c r="DD128" t="e">
        <f>AND(#REF!,"AAAAAGuj/2s=")</f>
        <v>#REF!</v>
      </c>
      <c r="DE128" t="e">
        <f>IF(#REF!,"AAAAAGuj/2w=",0)</f>
        <v>#REF!</v>
      </c>
      <c r="DF128" t="e">
        <f>AND(#REF!,"AAAAAGuj/20=")</f>
        <v>#REF!</v>
      </c>
      <c r="DG128" t="e">
        <f>AND(#REF!,"AAAAAGuj/24=")</f>
        <v>#REF!</v>
      </c>
      <c r="DH128" t="e">
        <f>AND(#REF!,"AAAAAGuj/28=")</f>
        <v>#REF!</v>
      </c>
      <c r="DI128" t="e">
        <f>AND(#REF!,"AAAAAGuj/3A=")</f>
        <v>#REF!</v>
      </c>
      <c r="DJ128" t="e">
        <f>AND(#REF!,"AAAAAGuj/3E=")</f>
        <v>#REF!</v>
      </c>
      <c r="DK128" t="e">
        <f>AND(#REF!,"AAAAAGuj/3I=")</f>
        <v>#REF!</v>
      </c>
      <c r="DL128" t="e">
        <f>AND(#REF!,"AAAAAGuj/3M=")</f>
        <v>#REF!</v>
      </c>
      <c r="DM128" t="e">
        <f>AND(#REF!,"AAAAAGuj/3Q=")</f>
        <v>#REF!</v>
      </c>
      <c r="DN128" t="e">
        <f>AND(#REF!,"AAAAAGuj/3U=")</f>
        <v>#REF!</v>
      </c>
      <c r="DO128" t="e">
        <f>AND(#REF!,"AAAAAGuj/3Y=")</f>
        <v>#REF!</v>
      </c>
      <c r="DP128" t="e">
        <f>IF(#REF!,"AAAAAGuj/3c=",0)</f>
        <v>#REF!</v>
      </c>
      <c r="DQ128" t="e">
        <f>AND(#REF!,"AAAAAGuj/3g=")</f>
        <v>#REF!</v>
      </c>
      <c r="DR128" t="e">
        <f>AND(#REF!,"AAAAAGuj/3k=")</f>
        <v>#REF!</v>
      </c>
      <c r="DS128" t="e">
        <f>AND(#REF!,"AAAAAGuj/3o=")</f>
        <v>#REF!</v>
      </c>
      <c r="DT128" t="e">
        <f>AND(#REF!,"AAAAAGuj/3s=")</f>
        <v>#REF!</v>
      </c>
      <c r="DU128" t="e">
        <f>AND(#REF!,"AAAAAGuj/3w=")</f>
        <v>#REF!</v>
      </c>
      <c r="DV128" t="e">
        <f>AND(#REF!,"AAAAAGuj/30=")</f>
        <v>#REF!</v>
      </c>
      <c r="DW128" t="e">
        <f>AND(#REF!,"AAAAAGuj/34=")</f>
        <v>#REF!</v>
      </c>
      <c r="DX128" t="e">
        <f>AND(#REF!,"AAAAAGuj/38=")</f>
        <v>#REF!</v>
      </c>
      <c r="DY128" t="e">
        <f>AND(#REF!,"AAAAAGuj/4A=")</f>
        <v>#REF!</v>
      </c>
      <c r="DZ128" t="e">
        <f>AND(#REF!,"AAAAAGuj/4E=")</f>
        <v>#REF!</v>
      </c>
      <c r="EA128" t="e">
        <f>IF(#REF!,"AAAAAGuj/4I=",0)</f>
        <v>#REF!</v>
      </c>
      <c r="EB128" t="e">
        <f>AND(#REF!,"AAAAAGuj/4M=")</f>
        <v>#REF!</v>
      </c>
      <c r="EC128" t="e">
        <f>AND(#REF!,"AAAAAGuj/4Q=")</f>
        <v>#REF!</v>
      </c>
      <c r="ED128" t="e">
        <f>AND(#REF!,"AAAAAGuj/4U=")</f>
        <v>#REF!</v>
      </c>
      <c r="EE128" t="e">
        <f>AND(#REF!,"AAAAAGuj/4Y=")</f>
        <v>#REF!</v>
      </c>
      <c r="EF128" t="e">
        <f>AND(#REF!,"AAAAAGuj/4c=")</f>
        <v>#REF!</v>
      </c>
      <c r="EG128" t="e">
        <f>AND(#REF!,"AAAAAGuj/4g=")</f>
        <v>#REF!</v>
      </c>
      <c r="EH128" t="e">
        <f>AND(#REF!,"AAAAAGuj/4k=")</f>
        <v>#REF!</v>
      </c>
      <c r="EI128" t="e">
        <f>AND(#REF!,"AAAAAGuj/4o=")</f>
        <v>#REF!</v>
      </c>
      <c r="EJ128" t="e">
        <f>AND(#REF!,"AAAAAGuj/4s=")</f>
        <v>#REF!</v>
      </c>
      <c r="EK128" t="e">
        <f>AND(#REF!,"AAAAAGuj/4w=")</f>
        <v>#REF!</v>
      </c>
      <c r="EL128" t="e">
        <f>IF(#REF!,"AAAAAGuj/40=",0)</f>
        <v>#REF!</v>
      </c>
      <c r="EM128" t="e">
        <f>AND(#REF!,"AAAAAGuj/44=")</f>
        <v>#REF!</v>
      </c>
      <c r="EN128" t="e">
        <f>AND(#REF!,"AAAAAGuj/48=")</f>
        <v>#REF!</v>
      </c>
      <c r="EO128" t="e">
        <f>AND(#REF!,"AAAAAGuj/5A=")</f>
        <v>#REF!</v>
      </c>
      <c r="EP128" t="e">
        <f>AND(#REF!,"AAAAAGuj/5E=")</f>
        <v>#REF!</v>
      </c>
      <c r="EQ128" t="e">
        <f>AND(#REF!,"AAAAAGuj/5I=")</f>
        <v>#REF!</v>
      </c>
      <c r="ER128" t="e">
        <f>AND(#REF!,"AAAAAGuj/5M=")</f>
        <v>#REF!</v>
      </c>
      <c r="ES128" t="e">
        <f>AND(#REF!,"AAAAAGuj/5Q=")</f>
        <v>#REF!</v>
      </c>
      <c r="ET128" t="e">
        <f>AND(#REF!,"AAAAAGuj/5U=")</f>
        <v>#REF!</v>
      </c>
      <c r="EU128" t="e">
        <f>AND(#REF!,"AAAAAGuj/5Y=")</f>
        <v>#REF!</v>
      </c>
      <c r="EV128" t="e">
        <f>AND(#REF!,"AAAAAGuj/5c=")</f>
        <v>#REF!</v>
      </c>
      <c r="EW128" t="e">
        <f>IF(#REF!,"AAAAAGuj/5g=",0)</f>
        <v>#REF!</v>
      </c>
      <c r="EX128" t="e">
        <f>AND(#REF!,"AAAAAGuj/5k=")</f>
        <v>#REF!</v>
      </c>
      <c r="EY128" t="e">
        <f>AND(#REF!,"AAAAAGuj/5o=")</f>
        <v>#REF!</v>
      </c>
      <c r="EZ128" t="e">
        <f>AND(#REF!,"AAAAAGuj/5s=")</f>
        <v>#REF!</v>
      </c>
      <c r="FA128" t="e">
        <f>AND(#REF!,"AAAAAGuj/5w=")</f>
        <v>#REF!</v>
      </c>
      <c r="FB128" t="e">
        <f>AND(#REF!,"AAAAAGuj/50=")</f>
        <v>#REF!</v>
      </c>
      <c r="FC128" t="e">
        <f>AND(#REF!,"AAAAAGuj/54=")</f>
        <v>#REF!</v>
      </c>
      <c r="FD128" t="e">
        <f>AND(#REF!,"AAAAAGuj/58=")</f>
        <v>#REF!</v>
      </c>
      <c r="FE128" t="e">
        <f>AND(#REF!,"AAAAAGuj/6A=")</f>
        <v>#REF!</v>
      </c>
      <c r="FF128" t="e">
        <f>AND(#REF!,"AAAAAGuj/6E=")</f>
        <v>#REF!</v>
      </c>
      <c r="FG128" t="e">
        <f>AND(#REF!,"AAAAAGuj/6I=")</f>
        <v>#REF!</v>
      </c>
      <c r="FH128" t="e">
        <f>IF(#REF!,"AAAAAGuj/6M=",0)</f>
        <v>#REF!</v>
      </c>
      <c r="FI128" t="e">
        <f>AND(#REF!,"AAAAAGuj/6Q=")</f>
        <v>#REF!</v>
      </c>
      <c r="FJ128" t="e">
        <f>AND(#REF!,"AAAAAGuj/6U=")</f>
        <v>#REF!</v>
      </c>
      <c r="FK128" t="e">
        <f>AND(#REF!,"AAAAAGuj/6Y=")</f>
        <v>#REF!</v>
      </c>
      <c r="FL128" t="e">
        <f>AND(#REF!,"AAAAAGuj/6c=")</f>
        <v>#REF!</v>
      </c>
      <c r="FM128" t="e">
        <f>AND(#REF!,"AAAAAGuj/6g=")</f>
        <v>#REF!</v>
      </c>
      <c r="FN128" t="e">
        <f>AND(#REF!,"AAAAAGuj/6k=")</f>
        <v>#REF!</v>
      </c>
      <c r="FO128" t="e">
        <f>AND(#REF!,"AAAAAGuj/6o=")</f>
        <v>#REF!</v>
      </c>
      <c r="FP128" t="e">
        <f>AND(#REF!,"AAAAAGuj/6s=")</f>
        <v>#REF!</v>
      </c>
      <c r="FQ128" t="e">
        <f>AND(#REF!,"AAAAAGuj/6w=")</f>
        <v>#REF!</v>
      </c>
      <c r="FR128" t="e">
        <f>AND(#REF!,"AAAAAGuj/60=")</f>
        <v>#REF!</v>
      </c>
      <c r="FS128" t="e">
        <f>IF(#REF!,"AAAAAGuj/64=",0)</f>
        <v>#REF!</v>
      </c>
      <c r="FT128" t="e">
        <f>AND(#REF!,"AAAAAGuj/68=")</f>
        <v>#REF!</v>
      </c>
      <c r="FU128" t="e">
        <f>AND(#REF!,"AAAAAGuj/7A=")</f>
        <v>#REF!</v>
      </c>
      <c r="FV128" t="e">
        <f>AND(#REF!,"AAAAAGuj/7E=")</f>
        <v>#REF!</v>
      </c>
      <c r="FW128" t="e">
        <f>AND(#REF!,"AAAAAGuj/7I=")</f>
        <v>#REF!</v>
      </c>
      <c r="FX128" t="e">
        <f>AND(#REF!,"AAAAAGuj/7M=")</f>
        <v>#REF!</v>
      </c>
      <c r="FY128" t="e">
        <f>AND(#REF!,"AAAAAGuj/7Q=")</f>
        <v>#REF!</v>
      </c>
      <c r="FZ128" t="e">
        <f>AND(#REF!,"AAAAAGuj/7U=")</f>
        <v>#REF!</v>
      </c>
      <c r="GA128" t="e">
        <f>AND(#REF!,"AAAAAGuj/7Y=")</f>
        <v>#REF!</v>
      </c>
      <c r="GB128" t="e">
        <f>AND(#REF!,"AAAAAGuj/7c=")</f>
        <v>#REF!</v>
      </c>
      <c r="GC128" t="e">
        <f>AND(#REF!,"AAAAAGuj/7g=")</f>
        <v>#REF!</v>
      </c>
      <c r="GD128" t="e">
        <f>IF(#REF!,"AAAAAGuj/7k=",0)</f>
        <v>#REF!</v>
      </c>
      <c r="GE128" t="e">
        <f>AND(#REF!,"AAAAAGuj/7o=")</f>
        <v>#REF!</v>
      </c>
      <c r="GF128" t="e">
        <f>AND(#REF!,"AAAAAGuj/7s=")</f>
        <v>#REF!</v>
      </c>
      <c r="GG128" t="e">
        <f>AND(#REF!,"AAAAAGuj/7w=")</f>
        <v>#REF!</v>
      </c>
      <c r="GH128" t="e">
        <f>AND(#REF!,"AAAAAGuj/70=")</f>
        <v>#REF!</v>
      </c>
      <c r="GI128" t="e">
        <f>AND(#REF!,"AAAAAGuj/74=")</f>
        <v>#REF!</v>
      </c>
      <c r="GJ128" t="e">
        <f>AND(#REF!,"AAAAAGuj/78=")</f>
        <v>#REF!</v>
      </c>
      <c r="GK128" t="e">
        <f>AND(#REF!,"AAAAAGuj/8A=")</f>
        <v>#REF!</v>
      </c>
      <c r="GL128" t="e">
        <f>AND(#REF!,"AAAAAGuj/8E=")</f>
        <v>#REF!</v>
      </c>
      <c r="GM128" t="e">
        <f>AND(#REF!,"AAAAAGuj/8I=")</f>
        <v>#REF!</v>
      </c>
      <c r="GN128" t="e">
        <f>AND(#REF!,"AAAAAGuj/8M=")</f>
        <v>#REF!</v>
      </c>
      <c r="GO128" t="e">
        <f>IF(#REF!,"AAAAAGuj/8Q=",0)</f>
        <v>#REF!</v>
      </c>
      <c r="GP128" t="e">
        <f>AND(#REF!,"AAAAAGuj/8U=")</f>
        <v>#REF!</v>
      </c>
      <c r="GQ128" t="e">
        <f>AND(#REF!,"AAAAAGuj/8Y=")</f>
        <v>#REF!</v>
      </c>
      <c r="GR128" t="e">
        <f>AND(#REF!,"AAAAAGuj/8c=")</f>
        <v>#REF!</v>
      </c>
      <c r="GS128" t="e">
        <f>AND(#REF!,"AAAAAGuj/8g=")</f>
        <v>#REF!</v>
      </c>
      <c r="GT128" t="e">
        <f>AND(#REF!,"AAAAAGuj/8k=")</f>
        <v>#REF!</v>
      </c>
      <c r="GU128" t="e">
        <f>AND(#REF!,"AAAAAGuj/8o=")</f>
        <v>#REF!</v>
      </c>
      <c r="GV128" t="e">
        <f>AND(#REF!,"AAAAAGuj/8s=")</f>
        <v>#REF!</v>
      </c>
      <c r="GW128" t="e">
        <f>AND(#REF!,"AAAAAGuj/8w=")</f>
        <v>#REF!</v>
      </c>
      <c r="GX128" t="e">
        <f>AND(#REF!,"AAAAAGuj/80=")</f>
        <v>#REF!</v>
      </c>
      <c r="GY128" t="e">
        <f>AND(#REF!,"AAAAAGuj/84=")</f>
        <v>#REF!</v>
      </c>
      <c r="GZ128" t="e">
        <f>IF(#REF!,"AAAAAGuj/88=",0)</f>
        <v>#REF!</v>
      </c>
      <c r="HA128" t="e">
        <f>AND(#REF!,"AAAAAGuj/9A=")</f>
        <v>#REF!</v>
      </c>
      <c r="HB128" t="e">
        <f>AND(#REF!,"AAAAAGuj/9E=")</f>
        <v>#REF!</v>
      </c>
      <c r="HC128" t="e">
        <f>AND(#REF!,"AAAAAGuj/9I=")</f>
        <v>#REF!</v>
      </c>
      <c r="HD128" t="e">
        <f>AND(#REF!,"AAAAAGuj/9M=")</f>
        <v>#REF!</v>
      </c>
      <c r="HE128" t="e">
        <f>AND(#REF!,"AAAAAGuj/9Q=")</f>
        <v>#REF!</v>
      </c>
      <c r="HF128" t="e">
        <f>AND(#REF!,"AAAAAGuj/9U=")</f>
        <v>#REF!</v>
      </c>
      <c r="HG128" t="e">
        <f>AND(#REF!,"AAAAAGuj/9Y=")</f>
        <v>#REF!</v>
      </c>
      <c r="HH128" t="e">
        <f>AND(#REF!,"AAAAAGuj/9c=")</f>
        <v>#REF!</v>
      </c>
      <c r="HI128" t="e">
        <f>AND(#REF!,"AAAAAGuj/9g=")</f>
        <v>#REF!</v>
      </c>
      <c r="HJ128" t="e">
        <f>AND(#REF!,"AAAAAGuj/9k=")</f>
        <v>#REF!</v>
      </c>
      <c r="HK128" t="e">
        <f>IF(#REF!,"AAAAAGuj/9o=",0)</f>
        <v>#REF!</v>
      </c>
      <c r="HL128" t="e">
        <f>AND(#REF!,"AAAAAGuj/9s=")</f>
        <v>#REF!</v>
      </c>
      <c r="HM128" t="e">
        <f>AND(#REF!,"AAAAAGuj/9w=")</f>
        <v>#REF!</v>
      </c>
      <c r="HN128" t="e">
        <f>AND(#REF!,"AAAAAGuj/90=")</f>
        <v>#REF!</v>
      </c>
      <c r="HO128" t="e">
        <f>AND(#REF!,"AAAAAGuj/94=")</f>
        <v>#REF!</v>
      </c>
      <c r="HP128" t="e">
        <f>AND(#REF!,"AAAAAGuj/98=")</f>
        <v>#REF!</v>
      </c>
      <c r="HQ128" t="e">
        <f>AND(#REF!,"AAAAAGuj/+A=")</f>
        <v>#REF!</v>
      </c>
      <c r="HR128" t="e">
        <f>AND(#REF!,"AAAAAGuj/+E=")</f>
        <v>#REF!</v>
      </c>
      <c r="HS128" t="e">
        <f>AND(#REF!,"AAAAAGuj/+I=")</f>
        <v>#REF!</v>
      </c>
      <c r="HT128" t="e">
        <f>AND(#REF!,"AAAAAGuj/+M=")</f>
        <v>#REF!</v>
      </c>
      <c r="HU128" t="e">
        <f>AND(#REF!,"AAAAAGuj/+Q=")</f>
        <v>#REF!</v>
      </c>
      <c r="HV128" t="e">
        <f>IF(#REF!,"AAAAAGuj/+U=",0)</f>
        <v>#REF!</v>
      </c>
      <c r="HW128" t="e">
        <f>AND(#REF!,"AAAAAGuj/+Y=")</f>
        <v>#REF!</v>
      </c>
      <c r="HX128" t="e">
        <f>AND(#REF!,"AAAAAGuj/+c=")</f>
        <v>#REF!</v>
      </c>
      <c r="HY128" t="e">
        <f>AND(#REF!,"AAAAAGuj/+g=")</f>
        <v>#REF!</v>
      </c>
      <c r="HZ128" t="e">
        <f>AND(#REF!,"AAAAAGuj/+k=")</f>
        <v>#REF!</v>
      </c>
      <c r="IA128" t="e">
        <f>AND(#REF!,"AAAAAGuj/+o=")</f>
        <v>#REF!</v>
      </c>
      <c r="IB128" t="e">
        <f>AND(#REF!,"AAAAAGuj/+s=")</f>
        <v>#REF!</v>
      </c>
      <c r="IC128" t="e">
        <f>AND(#REF!,"AAAAAGuj/+w=")</f>
        <v>#REF!</v>
      </c>
      <c r="ID128" t="e">
        <f>AND(#REF!,"AAAAAGuj/+0=")</f>
        <v>#REF!</v>
      </c>
      <c r="IE128" t="e">
        <f>AND(#REF!,"AAAAAGuj/+4=")</f>
        <v>#REF!</v>
      </c>
      <c r="IF128" t="e">
        <f>AND(#REF!,"AAAAAGuj/+8=")</f>
        <v>#REF!</v>
      </c>
      <c r="IG128" t="e">
        <f>IF(#REF!,"AAAAAGuj//A=",0)</f>
        <v>#REF!</v>
      </c>
      <c r="IH128" t="e">
        <f>AND(#REF!,"AAAAAGuj//E=")</f>
        <v>#REF!</v>
      </c>
      <c r="II128" t="e">
        <f>AND(#REF!,"AAAAAGuj//I=")</f>
        <v>#REF!</v>
      </c>
      <c r="IJ128" t="e">
        <f>AND(#REF!,"AAAAAGuj//M=")</f>
        <v>#REF!</v>
      </c>
      <c r="IK128" t="e">
        <f>AND(#REF!,"AAAAAGuj//Q=")</f>
        <v>#REF!</v>
      </c>
      <c r="IL128" t="e">
        <f>AND(#REF!,"AAAAAGuj//U=")</f>
        <v>#REF!</v>
      </c>
      <c r="IM128" t="e">
        <f>AND(#REF!,"AAAAAGuj//Y=")</f>
        <v>#REF!</v>
      </c>
      <c r="IN128" t="e">
        <f>AND(#REF!,"AAAAAGuj//c=")</f>
        <v>#REF!</v>
      </c>
      <c r="IO128" t="e">
        <f>AND(#REF!,"AAAAAGuj//g=")</f>
        <v>#REF!</v>
      </c>
      <c r="IP128" t="e">
        <f>AND(#REF!,"AAAAAGuj//k=")</f>
        <v>#REF!</v>
      </c>
      <c r="IQ128" t="e">
        <f>AND(#REF!,"AAAAAGuj//o=")</f>
        <v>#REF!</v>
      </c>
      <c r="IR128" t="e">
        <f>IF(#REF!,"AAAAAGuj//s=",0)</f>
        <v>#REF!</v>
      </c>
      <c r="IS128" t="e">
        <f>AND(#REF!,"AAAAAGuj//w=")</f>
        <v>#REF!</v>
      </c>
      <c r="IT128" t="e">
        <f>AND(#REF!,"AAAAAGuj//0=")</f>
        <v>#REF!</v>
      </c>
      <c r="IU128" t="e">
        <f>AND(#REF!,"AAAAAGuj//4=")</f>
        <v>#REF!</v>
      </c>
      <c r="IV128" t="e">
        <f>AND(#REF!,"AAAAAGuj//8=")</f>
        <v>#REF!</v>
      </c>
    </row>
    <row r="129" spans="1:256" x14ac:dyDescent="0.25">
      <c r="A129" t="e">
        <f>AND(#REF!,"AAAAAB6//gA=")</f>
        <v>#REF!</v>
      </c>
      <c r="B129" t="e">
        <f>AND(#REF!,"AAAAAB6//gE=")</f>
        <v>#REF!</v>
      </c>
      <c r="C129" t="e">
        <f>AND(#REF!,"AAAAAB6//gI=")</f>
        <v>#REF!</v>
      </c>
      <c r="D129" t="e">
        <f>AND(#REF!,"AAAAAB6//gM=")</f>
        <v>#REF!</v>
      </c>
      <c r="E129" t="e">
        <f>AND(#REF!,"AAAAAB6//gQ=")</f>
        <v>#REF!</v>
      </c>
      <c r="F129" t="e">
        <f>AND(#REF!,"AAAAAB6//gU=")</f>
        <v>#REF!</v>
      </c>
      <c r="G129" t="e">
        <f>IF(#REF!,"AAAAAB6//gY=",0)</f>
        <v>#REF!</v>
      </c>
      <c r="H129" t="e">
        <f>AND(#REF!,"AAAAAB6//gc=")</f>
        <v>#REF!</v>
      </c>
      <c r="I129" t="e">
        <f>AND(#REF!,"AAAAAB6//gg=")</f>
        <v>#REF!</v>
      </c>
      <c r="J129" t="e">
        <f>AND(#REF!,"AAAAAB6//gk=")</f>
        <v>#REF!</v>
      </c>
      <c r="K129" t="e">
        <f>AND(#REF!,"AAAAAB6//go=")</f>
        <v>#REF!</v>
      </c>
      <c r="L129" t="e">
        <f>AND(#REF!,"AAAAAB6//gs=")</f>
        <v>#REF!</v>
      </c>
      <c r="M129" t="e">
        <f>AND(#REF!,"AAAAAB6//gw=")</f>
        <v>#REF!</v>
      </c>
      <c r="N129" t="e">
        <f>AND(#REF!,"AAAAAB6//g0=")</f>
        <v>#REF!</v>
      </c>
      <c r="O129" t="e">
        <f>AND(#REF!,"AAAAAB6//g4=")</f>
        <v>#REF!</v>
      </c>
      <c r="P129" t="e">
        <f>AND(#REF!,"AAAAAB6//g8=")</f>
        <v>#REF!</v>
      </c>
      <c r="Q129" t="e">
        <f>AND(#REF!,"AAAAAB6//hA=")</f>
        <v>#REF!</v>
      </c>
      <c r="R129" t="e">
        <f>IF(#REF!,"AAAAAB6//hE=",0)</f>
        <v>#REF!</v>
      </c>
      <c r="S129" t="e">
        <f>AND(#REF!,"AAAAAB6//hI=")</f>
        <v>#REF!</v>
      </c>
      <c r="T129" t="e">
        <f>AND(#REF!,"AAAAAB6//hM=")</f>
        <v>#REF!</v>
      </c>
      <c r="U129" t="e">
        <f>AND(#REF!,"AAAAAB6//hQ=")</f>
        <v>#REF!</v>
      </c>
      <c r="V129" t="e">
        <f>AND(#REF!,"AAAAAB6//hU=")</f>
        <v>#REF!</v>
      </c>
      <c r="W129" t="e">
        <f>AND(#REF!,"AAAAAB6//hY=")</f>
        <v>#REF!</v>
      </c>
      <c r="X129" t="e">
        <f>AND(#REF!,"AAAAAB6//hc=")</f>
        <v>#REF!</v>
      </c>
      <c r="Y129" t="e">
        <f>AND(#REF!,"AAAAAB6//hg=")</f>
        <v>#REF!</v>
      </c>
      <c r="Z129" t="e">
        <f>AND(#REF!,"AAAAAB6//hk=")</f>
        <v>#REF!</v>
      </c>
      <c r="AA129" t="e">
        <f>AND(#REF!,"AAAAAB6//ho=")</f>
        <v>#REF!</v>
      </c>
      <c r="AB129" t="e">
        <f>AND(#REF!,"AAAAAB6//hs=")</f>
        <v>#REF!</v>
      </c>
      <c r="AC129" t="e">
        <f>IF(#REF!,"AAAAAB6//hw=",0)</f>
        <v>#REF!</v>
      </c>
      <c r="AD129" t="e">
        <f>AND(#REF!,"AAAAAB6//h0=")</f>
        <v>#REF!</v>
      </c>
      <c r="AE129" t="e">
        <f>AND(#REF!,"AAAAAB6//h4=")</f>
        <v>#REF!</v>
      </c>
      <c r="AF129" t="e">
        <f>AND(#REF!,"AAAAAB6//h8=")</f>
        <v>#REF!</v>
      </c>
      <c r="AG129" t="e">
        <f>AND(#REF!,"AAAAAB6//iA=")</f>
        <v>#REF!</v>
      </c>
      <c r="AH129" t="e">
        <f>AND(#REF!,"AAAAAB6//iE=")</f>
        <v>#REF!</v>
      </c>
      <c r="AI129" t="e">
        <f>AND(#REF!,"AAAAAB6//iI=")</f>
        <v>#REF!</v>
      </c>
      <c r="AJ129" t="e">
        <f>AND(#REF!,"AAAAAB6//iM=")</f>
        <v>#REF!</v>
      </c>
      <c r="AK129" t="e">
        <f>AND(#REF!,"AAAAAB6//iQ=")</f>
        <v>#REF!</v>
      </c>
      <c r="AL129" t="e">
        <f>AND(#REF!,"AAAAAB6//iU=")</f>
        <v>#REF!</v>
      </c>
      <c r="AM129" t="e">
        <f>AND(#REF!,"AAAAAB6//iY=")</f>
        <v>#REF!</v>
      </c>
      <c r="AN129" t="e">
        <f>IF(#REF!,"AAAAAB6//ic=",0)</f>
        <v>#REF!</v>
      </c>
      <c r="AO129" t="e">
        <f>AND(#REF!,"AAAAAB6//ig=")</f>
        <v>#REF!</v>
      </c>
      <c r="AP129" t="e">
        <f>AND(#REF!,"AAAAAB6//ik=")</f>
        <v>#REF!</v>
      </c>
      <c r="AQ129" t="e">
        <f>AND(#REF!,"AAAAAB6//io=")</f>
        <v>#REF!</v>
      </c>
      <c r="AR129" t="e">
        <f>AND(#REF!,"AAAAAB6//is=")</f>
        <v>#REF!</v>
      </c>
      <c r="AS129" t="e">
        <f>AND(#REF!,"AAAAAB6//iw=")</f>
        <v>#REF!</v>
      </c>
      <c r="AT129" t="e">
        <f>AND(#REF!,"AAAAAB6//i0=")</f>
        <v>#REF!</v>
      </c>
      <c r="AU129" t="e">
        <f>AND(#REF!,"AAAAAB6//i4=")</f>
        <v>#REF!</v>
      </c>
      <c r="AV129" t="e">
        <f>AND(#REF!,"AAAAAB6//i8=")</f>
        <v>#REF!</v>
      </c>
      <c r="AW129" t="e">
        <f>AND(#REF!,"AAAAAB6//jA=")</f>
        <v>#REF!</v>
      </c>
      <c r="AX129" t="e">
        <f>AND(#REF!,"AAAAAB6//jE=")</f>
        <v>#REF!</v>
      </c>
      <c r="AY129" t="e">
        <f>IF(#REF!,"AAAAAB6//jI=",0)</f>
        <v>#REF!</v>
      </c>
      <c r="AZ129" t="e">
        <f>AND(#REF!,"AAAAAB6//jM=")</f>
        <v>#REF!</v>
      </c>
      <c r="BA129" t="e">
        <f>AND(#REF!,"AAAAAB6//jQ=")</f>
        <v>#REF!</v>
      </c>
      <c r="BB129" t="e">
        <f>AND(#REF!,"AAAAAB6//jU=")</f>
        <v>#REF!</v>
      </c>
      <c r="BC129" t="e">
        <f>AND(#REF!,"AAAAAB6//jY=")</f>
        <v>#REF!</v>
      </c>
      <c r="BD129" t="e">
        <f>AND(#REF!,"AAAAAB6//jc=")</f>
        <v>#REF!</v>
      </c>
      <c r="BE129" t="e">
        <f>AND(#REF!,"AAAAAB6//jg=")</f>
        <v>#REF!</v>
      </c>
      <c r="BF129" t="e">
        <f>AND(#REF!,"AAAAAB6//jk=")</f>
        <v>#REF!</v>
      </c>
      <c r="BG129" t="e">
        <f>AND(#REF!,"AAAAAB6//jo=")</f>
        <v>#REF!</v>
      </c>
      <c r="BH129" t="e">
        <f>AND(#REF!,"AAAAAB6//js=")</f>
        <v>#REF!</v>
      </c>
      <c r="BI129" t="e">
        <f>AND(#REF!,"AAAAAB6//jw=")</f>
        <v>#REF!</v>
      </c>
      <c r="BJ129" t="e">
        <f>IF(#REF!,"AAAAAB6//j0=",0)</f>
        <v>#REF!</v>
      </c>
      <c r="BK129" t="e">
        <f>AND(#REF!,"AAAAAB6//j4=")</f>
        <v>#REF!</v>
      </c>
      <c r="BL129" t="e">
        <f>AND(#REF!,"AAAAAB6//j8=")</f>
        <v>#REF!</v>
      </c>
      <c r="BM129" t="e">
        <f>AND(#REF!,"AAAAAB6//kA=")</f>
        <v>#REF!</v>
      </c>
      <c r="BN129" t="e">
        <f>AND(#REF!,"AAAAAB6//kE=")</f>
        <v>#REF!</v>
      </c>
      <c r="BO129" t="e">
        <f>AND(#REF!,"AAAAAB6//kI=")</f>
        <v>#REF!</v>
      </c>
      <c r="BP129" t="e">
        <f>AND(#REF!,"AAAAAB6//kM=")</f>
        <v>#REF!</v>
      </c>
      <c r="BQ129" t="e">
        <f>AND(#REF!,"AAAAAB6//kQ=")</f>
        <v>#REF!</v>
      </c>
      <c r="BR129" t="e">
        <f>AND(#REF!,"AAAAAB6//kU=")</f>
        <v>#REF!</v>
      </c>
      <c r="BS129" t="e">
        <f>AND(#REF!,"AAAAAB6//kY=")</f>
        <v>#REF!</v>
      </c>
      <c r="BT129" t="e">
        <f>AND(#REF!,"AAAAAB6//kc=")</f>
        <v>#REF!</v>
      </c>
      <c r="BU129" t="e">
        <f>IF(#REF!,"AAAAAB6//kg=",0)</f>
        <v>#REF!</v>
      </c>
      <c r="BV129" t="e">
        <f>AND(#REF!,"AAAAAB6//kk=")</f>
        <v>#REF!</v>
      </c>
      <c r="BW129" t="e">
        <f>AND(#REF!,"AAAAAB6//ko=")</f>
        <v>#REF!</v>
      </c>
      <c r="BX129" t="e">
        <f>AND(#REF!,"AAAAAB6//ks=")</f>
        <v>#REF!</v>
      </c>
      <c r="BY129" t="e">
        <f>AND(#REF!,"AAAAAB6//kw=")</f>
        <v>#REF!</v>
      </c>
      <c r="BZ129" t="e">
        <f>AND(#REF!,"AAAAAB6//k0=")</f>
        <v>#REF!</v>
      </c>
      <c r="CA129" t="e">
        <f>AND(#REF!,"AAAAAB6//k4=")</f>
        <v>#REF!</v>
      </c>
      <c r="CB129" t="e">
        <f>AND(#REF!,"AAAAAB6//k8=")</f>
        <v>#REF!</v>
      </c>
      <c r="CC129" t="e">
        <f>AND(#REF!,"AAAAAB6//lA=")</f>
        <v>#REF!</v>
      </c>
      <c r="CD129" t="e">
        <f>AND(#REF!,"AAAAAB6//lE=")</f>
        <v>#REF!</v>
      </c>
      <c r="CE129" t="e">
        <f>AND(#REF!,"AAAAAB6//lI=")</f>
        <v>#REF!</v>
      </c>
      <c r="CF129" t="e">
        <f>IF(#REF!,"AAAAAB6//lM=",0)</f>
        <v>#REF!</v>
      </c>
      <c r="CG129" t="e">
        <f>AND(#REF!,"AAAAAB6//lQ=")</f>
        <v>#REF!</v>
      </c>
      <c r="CH129" t="e">
        <f>AND(#REF!,"AAAAAB6//lU=")</f>
        <v>#REF!</v>
      </c>
      <c r="CI129" t="e">
        <f>AND(#REF!,"AAAAAB6//lY=")</f>
        <v>#REF!</v>
      </c>
      <c r="CJ129" t="e">
        <f>AND(#REF!,"AAAAAB6//lc=")</f>
        <v>#REF!</v>
      </c>
      <c r="CK129" t="e">
        <f>AND(#REF!,"AAAAAB6//lg=")</f>
        <v>#REF!</v>
      </c>
      <c r="CL129" t="e">
        <f>AND(#REF!,"AAAAAB6//lk=")</f>
        <v>#REF!</v>
      </c>
      <c r="CM129" t="e">
        <f>AND(#REF!,"AAAAAB6//lo=")</f>
        <v>#REF!</v>
      </c>
      <c r="CN129" t="e">
        <f>AND(#REF!,"AAAAAB6//ls=")</f>
        <v>#REF!</v>
      </c>
      <c r="CO129" t="e">
        <f>AND(#REF!,"AAAAAB6//lw=")</f>
        <v>#REF!</v>
      </c>
      <c r="CP129" t="e">
        <f>AND(#REF!,"AAAAAB6//l0=")</f>
        <v>#REF!</v>
      </c>
      <c r="CQ129" t="e">
        <f>IF(#REF!,"AAAAAB6//l4=",0)</f>
        <v>#REF!</v>
      </c>
      <c r="CR129" t="e">
        <f>AND(#REF!,"AAAAAB6//l8=")</f>
        <v>#REF!</v>
      </c>
      <c r="CS129" t="e">
        <f>AND(#REF!,"AAAAAB6//mA=")</f>
        <v>#REF!</v>
      </c>
      <c r="CT129" t="e">
        <f>AND(#REF!,"AAAAAB6//mE=")</f>
        <v>#REF!</v>
      </c>
      <c r="CU129" t="e">
        <f>AND(#REF!,"AAAAAB6//mI=")</f>
        <v>#REF!</v>
      </c>
      <c r="CV129" t="e">
        <f>AND(#REF!,"AAAAAB6//mM=")</f>
        <v>#REF!</v>
      </c>
      <c r="CW129" t="e">
        <f>AND(#REF!,"AAAAAB6//mQ=")</f>
        <v>#REF!</v>
      </c>
      <c r="CX129" t="e">
        <f>AND(#REF!,"AAAAAB6//mU=")</f>
        <v>#REF!</v>
      </c>
      <c r="CY129" t="e">
        <f>AND(#REF!,"AAAAAB6//mY=")</f>
        <v>#REF!</v>
      </c>
      <c r="CZ129" t="e">
        <f>AND(#REF!,"AAAAAB6//mc=")</f>
        <v>#REF!</v>
      </c>
      <c r="DA129" t="e">
        <f>AND(#REF!,"AAAAAB6//mg=")</f>
        <v>#REF!</v>
      </c>
      <c r="DB129" t="e">
        <f>IF(#REF!,"AAAAAB6//mk=",0)</f>
        <v>#REF!</v>
      </c>
      <c r="DC129" t="e">
        <f>AND(#REF!,"AAAAAB6//mo=")</f>
        <v>#REF!</v>
      </c>
      <c r="DD129" t="e">
        <f>AND(#REF!,"AAAAAB6//ms=")</f>
        <v>#REF!</v>
      </c>
      <c r="DE129" t="e">
        <f>AND(#REF!,"AAAAAB6//mw=")</f>
        <v>#REF!</v>
      </c>
      <c r="DF129" t="e">
        <f>AND(#REF!,"AAAAAB6//m0=")</f>
        <v>#REF!</v>
      </c>
      <c r="DG129" t="e">
        <f>AND(#REF!,"AAAAAB6//m4=")</f>
        <v>#REF!</v>
      </c>
      <c r="DH129" t="e">
        <f>AND(#REF!,"AAAAAB6//m8=")</f>
        <v>#REF!</v>
      </c>
      <c r="DI129" t="e">
        <f>AND(#REF!,"AAAAAB6//nA=")</f>
        <v>#REF!</v>
      </c>
      <c r="DJ129" t="e">
        <f>AND(#REF!,"AAAAAB6//nE=")</f>
        <v>#REF!</v>
      </c>
      <c r="DK129" t="e">
        <f>AND(#REF!,"AAAAAB6//nI=")</f>
        <v>#REF!</v>
      </c>
      <c r="DL129" t="e">
        <f>AND(#REF!,"AAAAAB6//nM=")</f>
        <v>#REF!</v>
      </c>
      <c r="DM129" t="e">
        <f>IF(#REF!,"AAAAAB6//nQ=",0)</f>
        <v>#REF!</v>
      </c>
      <c r="DN129" t="e">
        <f>AND(#REF!,"AAAAAB6//nU=")</f>
        <v>#REF!</v>
      </c>
      <c r="DO129" t="e">
        <f>AND(#REF!,"AAAAAB6//nY=")</f>
        <v>#REF!</v>
      </c>
      <c r="DP129" t="e">
        <f>AND(#REF!,"AAAAAB6//nc=")</f>
        <v>#REF!</v>
      </c>
      <c r="DQ129" t="e">
        <f>AND(#REF!,"AAAAAB6//ng=")</f>
        <v>#REF!</v>
      </c>
      <c r="DR129" t="e">
        <f>AND(#REF!,"AAAAAB6//nk=")</f>
        <v>#REF!</v>
      </c>
      <c r="DS129" t="e">
        <f>AND(#REF!,"AAAAAB6//no=")</f>
        <v>#REF!</v>
      </c>
      <c r="DT129" t="e">
        <f>AND(#REF!,"AAAAAB6//ns=")</f>
        <v>#REF!</v>
      </c>
      <c r="DU129" t="e">
        <f>AND(#REF!,"AAAAAB6//nw=")</f>
        <v>#REF!</v>
      </c>
      <c r="DV129" t="e">
        <f>AND(#REF!,"AAAAAB6//n0=")</f>
        <v>#REF!</v>
      </c>
      <c r="DW129" t="e">
        <f>AND(#REF!,"AAAAAB6//n4=")</f>
        <v>#REF!</v>
      </c>
      <c r="DX129" t="e">
        <f>IF(#REF!,"AAAAAB6//n8=",0)</f>
        <v>#REF!</v>
      </c>
      <c r="DY129" t="e">
        <f>AND(#REF!,"AAAAAB6//oA=")</f>
        <v>#REF!</v>
      </c>
      <c r="DZ129" t="e">
        <f>AND(#REF!,"AAAAAB6//oE=")</f>
        <v>#REF!</v>
      </c>
      <c r="EA129" t="e">
        <f>AND(#REF!,"AAAAAB6//oI=")</f>
        <v>#REF!</v>
      </c>
      <c r="EB129" t="e">
        <f>AND(#REF!,"AAAAAB6//oM=")</f>
        <v>#REF!</v>
      </c>
      <c r="EC129" t="e">
        <f>AND(#REF!,"AAAAAB6//oQ=")</f>
        <v>#REF!</v>
      </c>
      <c r="ED129" t="e">
        <f>AND(#REF!,"AAAAAB6//oU=")</f>
        <v>#REF!</v>
      </c>
      <c r="EE129" t="e">
        <f>AND(#REF!,"AAAAAB6//oY=")</f>
        <v>#REF!</v>
      </c>
      <c r="EF129" t="e">
        <f>AND(#REF!,"AAAAAB6//oc=")</f>
        <v>#REF!</v>
      </c>
      <c r="EG129" t="e">
        <f>AND(#REF!,"AAAAAB6//og=")</f>
        <v>#REF!</v>
      </c>
      <c r="EH129" t="e">
        <f>AND(#REF!,"AAAAAB6//ok=")</f>
        <v>#REF!</v>
      </c>
      <c r="EI129" t="e">
        <f>IF(#REF!,"AAAAAB6//oo=",0)</f>
        <v>#REF!</v>
      </c>
      <c r="EJ129" t="e">
        <f>AND(#REF!,"AAAAAB6//os=")</f>
        <v>#REF!</v>
      </c>
      <c r="EK129" t="e">
        <f>AND(#REF!,"AAAAAB6//ow=")</f>
        <v>#REF!</v>
      </c>
      <c r="EL129" t="e">
        <f>AND(#REF!,"AAAAAB6//o0=")</f>
        <v>#REF!</v>
      </c>
      <c r="EM129" t="e">
        <f>AND(#REF!,"AAAAAB6//o4=")</f>
        <v>#REF!</v>
      </c>
      <c r="EN129" t="e">
        <f>AND(#REF!,"AAAAAB6//o8=")</f>
        <v>#REF!</v>
      </c>
      <c r="EO129" t="e">
        <f>AND(#REF!,"AAAAAB6//pA=")</f>
        <v>#REF!</v>
      </c>
      <c r="EP129" t="e">
        <f>AND(#REF!,"AAAAAB6//pE=")</f>
        <v>#REF!</v>
      </c>
      <c r="EQ129" t="e">
        <f>AND(#REF!,"AAAAAB6//pI=")</f>
        <v>#REF!</v>
      </c>
      <c r="ER129" t="e">
        <f>AND(#REF!,"AAAAAB6//pM=")</f>
        <v>#REF!</v>
      </c>
      <c r="ES129" t="e">
        <f>AND(#REF!,"AAAAAB6//pQ=")</f>
        <v>#REF!</v>
      </c>
      <c r="ET129" t="e">
        <f>IF(#REF!,"AAAAAB6//pU=",0)</f>
        <v>#REF!</v>
      </c>
      <c r="EU129" t="e">
        <f>AND(#REF!,"AAAAAB6//pY=")</f>
        <v>#REF!</v>
      </c>
      <c r="EV129" t="e">
        <f>AND(#REF!,"AAAAAB6//pc=")</f>
        <v>#REF!</v>
      </c>
      <c r="EW129" t="e">
        <f>AND(#REF!,"AAAAAB6//pg=")</f>
        <v>#REF!</v>
      </c>
      <c r="EX129" t="e">
        <f>AND(#REF!,"AAAAAB6//pk=")</f>
        <v>#REF!</v>
      </c>
      <c r="EY129" t="e">
        <f>AND(#REF!,"AAAAAB6//po=")</f>
        <v>#REF!</v>
      </c>
      <c r="EZ129" t="e">
        <f>AND(#REF!,"AAAAAB6//ps=")</f>
        <v>#REF!</v>
      </c>
      <c r="FA129" t="e">
        <f>AND(#REF!,"AAAAAB6//pw=")</f>
        <v>#REF!</v>
      </c>
      <c r="FB129" t="e">
        <f>AND(#REF!,"AAAAAB6//p0=")</f>
        <v>#REF!</v>
      </c>
      <c r="FC129" t="e">
        <f>AND(#REF!,"AAAAAB6//p4=")</f>
        <v>#REF!</v>
      </c>
      <c r="FD129" t="e">
        <f>AND(#REF!,"AAAAAB6//p8=")</f>
        <v>#REF!</v>
      </c>
      <c r="FE129" t="e">
        <f>IF(#REF!,"AAAAAB6//qA=",0)</f>
        <v>#REF!</v>
      </c>
      <c r="FF129" t="e">
        <f>AND(#REF!,"AAAAAB6//qE=")</f>
        <v>#REF!</v>
      </c>
      <c r="FG129" t="e">
        <f>AND(#REF!,"AAAAAB6//qI=")</f>
        <v>#REF!</v>
      </c>
      <c r="FH129" t="e">
        <f>AND(#REF!,"AAAAAB6//qM=")</f>
        <v>#REF!</v>
      </c>
      <c r="FI129" t="e">
        <f>AND(#REF!,"AAAAAB6//qQ=")</f>
        <v>#REF!</v>
      </c>
      <c r="FJ129" t="e">
        <f>AND(#REF!,"AAAAAB6//qU=")</f>
        <v>#REF!</v>
      </c>
      <c r="FK129" t="e">
        <f>AND(#REF!,"AAAAAB6//qY=")</f>
        <v>#REF!</v>
      </c>
      <c r="FL129" t="e">
        <f>AND(#REF!,"AAAAAB6//qc=")</f>
        <v>#REF!</v>
      </c>
      <c r="FM129" t="e">
        <f>AND(#REF!,"AAAAAB6//qg=")</f>
        <v>#REF!</v>
      </c>
      <c r="FN129" t="e">
        <f>AND(#REF!,"AAAAAB6//qk=")</f>
        <v>#REF!</v>
      </c>
      <c r="FO129" t="e">
        <f>AND(#REF!,"AAAAAB6//qo=")</f>
        <v>#REF!</v>
      </c>
      <c r="FP129" t="e">
        <f>IF(#REF!,"AAAAAB6//qs=",0)</f>
        <v>#REF!</v>
      </c>
      <c r="FQ129" t="e">
        <f>AND(#REF!,"AAAAAB6//qw=")</f>
        <v>#REF!</v>
      </c>
      <c r="FR129" t="e">
        <f>AND(#REF!,"AAAAAB6//q0=")</f>
        <v>#REF!</v>
      </c>
      <c r="FS129" t="e">
        <f>AND(#REF!,"AAAAAB6//q4=")</f>
        <v>#REF!</v>
      </c>
      <c r="FT129" t="e">
        <f>AND(#REF!,"AAAAAB6//q8=")</f>
        <v>#REF!</v>
      </c>
      <c r="FU129" t="e">
        <f>AND(#REF!,"AAAAAB6//rA=")</f>
        <v>#REF!</v>
      </c>
      <c r="FV129" t="e">
        <f>AND(#REF!,"AAAAAB6//rE=")</f>
        <v>#REF!</v>
      </c>
      <c r="FW129" t="e">
        <f>AND(#REF!,"AAAAAB6//rI=")</f>
        <v>#REF!</v>
      </c>
      <c r="FX129" t="e">
        <f>AND(#REF!,"AAAAAB6//rM=")</f>
        <v>#REF!</v>
      </c>
      <c r="FY129" t="e">
        <f>AND(#REF!,"AAAAAB6//rQ=")</f>
        <v>#REF!</v>
      </c>
      <c r="FZ129" t="e">
        <f>AND(#REF!,"AAAAAB6//rU=")</f>
        <v>#REF!</v>
      </c>
      <c r="GA129" t="e">
        <f>IF(#REF!,"AAAAAB6//rY=",0)</f>
        <v>#REF!</v>
      </c>
      <c r="GB129" t="e">
        <f>AND(#REF!,"AAAAAB6//rc=")</f>
        <v>#REF!</v>
      </c>
      <c r="GC129" t="e">
        <f>AND(#REF!,"AAAAAB6//rg=")</f>
        <v>#REF!</v>
      </c>
      <c r="GD129" t="e">
        <f>AND(#REF!,"AAAAAB6//rk=")</f>
        <v>#REF!</v>
      </c>
      <c r="GE129" t="e">
        <f>AND(#REF!,"AAAAAB6//ro=")</f>
        <v>#REF!</v>
      </c>
      <c r="GF129" t="e">
        <f>AND(#REF!,"AAAAAB6//rs=")</f>
        <v>#REF!</v>
      </c>
      <c r="GG129" t="e">
        <f>AND(#REF!,"AAAAAB6//rw=")</f>
        <v>#REF!</v>
      </c>
      <c r="GH129" t="e">
        <f>AND(#REF!,"AAAAAB6//r0=")</f>
        <v>#REF!</v>
      </c>
      <c r="GI129" t="e">
        <f>AND(#REF!,"AAAAAB6//r4=")</f>
        <v>#REF!</v>
      </c>
      <c r="GJ129" t="e">
        <f>AND(#REF!,"AAAAAB6//r8=")</f>
        <v>#REF!</v>
      </c>
      <c r="GK129" t="e">
        <f>AND(#REF!,"AAAAAB6//sA=")</f>
        <v>#REF!</v>
      </c>
      <c r="GL129" t="e">
        <f>IF(#REF!,"AAAAAB6//sE=",0)</f>
        <v>#REF!</v>
      </c>
      <c r="GM129" t="e">
        <f>AND(#REF!,"AAAAAB6//sI=")</f>
        <v>#REF!</v>
      </c>
      <c r="GN129" t="e">
        <f>AND(#REF!,"AAAAAB6//sM=")</f>
        <v>#REF!</v>
      </c>
      <c r="GO129" t="e">
        <f>AND(#REF!,"AAAAAB6//sQ=")</f>
        <v>#REF!</v>
      </c>
      <c r="GP129" t="e">
        <f>AND(#REF!,"AAAAAB6//sU=")</f>
        <v>#REF!</v>
      </c>
      <c r="GQ129" t="e">
        <f>AND(#REF!,"AAAAAB6//sY=")</f>
        <v>#REF!</v>
      </c>
      <c r="GR129" t="e">
        <f>AND(#REF!,"AAAAAB6//sc=")</f>
        <v>#REF!</v>
      </c>
      <c r="GS129" t="e">
        <f>AND(#REF!,"AAAAAB6//sg=")</f>
        <v>#REF!</v>
      </c>
      <c r="GT129" t="e">
        <f>AND(#REF!,"AAAAAB6//sk=")</f>
        <v>#REF!</v>
      </c>
      <c r="GU129" t="e">
        <f>AND(#REF!,"AAAAAB6//so=")</f>
        <v>#REF!</v>
      </c>
      <c r="GV129" t="e">
        <f>AND(#REF!,"AAAAAB6//ss=")</f>
        <v>#REF!</v>
      </c>
      <c r="GW129" t="e">
        <f>IF(#REF!,"AAAAAB6//sw=",0)</f>
        <v>#REF!</v>
      </c>
      <c r="GX129" t="e">
        <f>AND(#REF!,"AAAAAB6//s0=")</f>
        <v>#REF!</v>
      </c>
      <c r="GY129" t="e">
        <f>AND(#REF!,"AAAAAB6//s4=")</f>
        <v>#REF!</v>
      </c>
      <c r="GZ129" t="e">
        <f>AND(#REF!,"AAAAAB6//s8=")</f>
        <v>#REF!</v>
      </c>
      <c r="HA129" t="e">
        <f>AND(#REF!,"AAAAAB6//tA=")</f>
        <v>#REF!</v>
      </c>
      <c r="HB129" t="e">
        <f>AND(#REF!,"AAAAAB6//tE=")</f>
        <v>#REF!</v>
      </c>
      <c r="HC129" t="e">
        <f>AND(#REF!,"AAAAAB6//tI=")</f>
        <v>#REF!</v>
      </c>
      <c r="HD129" t="e">
        <f>AND(#REF!,"AAAAAB6//tM=")</f>
        <v>#REF!</v>
      </c>
      <c r="HE129" t="e">
        <f>AND(#REF!,"AAAAAB6//tQ=")</f>
        <v>#REF!</v>
      </c>
      <c r="HF129" t="e">
        <f>AND(#REF!,"AAAAAB6//tU=")</f>
        <v>#REF!</v>
      </c>
      <c r="HG129" t="e">
        <f>AND(#REF!,"AAAAAB6//tY=")</f>
        <v>#REF!</v>
      </c>
      <c r="HH129" t="e">
        <f>IF(#REF!,"AAAAAB6//tc=",0)</f>
        <v>#REF!</v>
      </c>
      <c r="HI129" t="e">
        <f>AND(#REF!,"AAAAAB6//tg=")</f>
        <v>#REF!</v>
      </c>
      <c r="HJ129" t="e">
        <f>AND(#REF!,"AAAAAB6//tk=")</f>
        <v>#REF!</v>
      </c>
      <c r="HK129" t="e">
        <f>AND(#REF!,"AAAAAB6//to=")</f>
        <v>#REF!</v>
      </c>
      <c r="HL129" t="e">
        <f>AND(#REF!,"AAAAAB6//ts=")</f>
        <v>#REF!</v>
      </c>
      <c r="HM129" t="e">
        <f>AND(#REF!,"AAAAAB6//tw=")</f>
        <v>#REF!</v>
      </c>
      <c r="HN129" t="e">
        <f>AND(#REF!,"AAAAAB6//t0=")</f>
        <v>#REF!</v>
      </c>
      <c r="HO129" t="e">
        <f>AND(#REF!,"AAAAAB6//t4=")</f>
        <v>#REF!</v>
      </c>
      <c r="HP129" t="e">
        <f>AND(#REF!,"AAAAAB6//t8=")</f>
        <v>#REF!</v>
      </c>
      <c r="HQ129" t="e">
        <f>AND(#REF!,"AAAAAB6//uA=")</f>
        <v>#REF!</v>
      </c>
      <c r="HR129" t="e">
        <f>AND(#REF!,"AAAAAB6//uE=")</f>
        <v>#REF!</v>
      </c>
      <c r="HS129" t="e">
        <f>IF(#REF!,"AAAAAB6//uI=",0)</f>
        <v>#REF!</v>
      </c>
      <c r="HT129" t="e">
        <f>AND(#REF!,"AAAAAB6//uM=")</f>
        <v>#REF!</v>
      </c>
      <c r="HU129" t="e">
        <f>AND(#REF!,"AAAAAB6//uQ=")</f>
        <v>#REF!</v>
      </c>
      <c r="HV129" t="e">
        <f>AND(#REF!,"AAAAAB6//uU=")</f>
        <v>#REF!</v>
      </c>
      <c r="HW129" t="e">
        <f>AND(#REF!,"AAAAAB6//uY=")</f>
        <v>#REF!</v>
      </c>
      <c r="HX129" t="e">
        <f>AND(#REF!,"AAAAAB6//uc=")</f>
        <v>#REF!</v>
      </c>
      <c r="HY129" t="e">
        <f>AND(#REF!,"AAAAAB6//ug=")</f>
        <v>#REF!</v>
      </c>
      <c r="HZ129" t="e">
        <f>AND(#REF!,"AAAAAB6//uk=")</f>
        <v>#REF!</v>
      </c>
      <c r="IA129" t="e">
        <f>AND(#REF!,"AAAAAB6//uo=")</f>
        <v>#REF!</v>
      </c>
      <c r="IB129" t="e">
        <f>AND(#REF!,"AAAAAB6//us=")</f>
        <v>#REF!</v>
      </c>
      <c r="IC129" t="e">
        <f>AND(#REF!,"AAAAAB6//uw=")</f>
        <v>#REF!</v>
      </c>
      <c r="ID129" t="e">
        <f>IF(#REF!,"AAAAAB6//u0=",0)</f>
        <v>#REF!</v>
      </c>
      <c r="IE129" t="e">
        <f>AND(#REF!,"AAAAAB6//u4=")</f>
        <v>#REF!</v>
      </c>
      <c r="IF129" t="e">
        <f>AND(#REF!,"AAAAAB6//u8=")</f>
        <v>#REF!</v>
      </c>
      <c r="IG129" t="e">
        <f>AND(#REF!,"AAAAAB6//vA=")</f>
        <v>#REF!</v>
      </c>
      <c r="IH129" t="e">
        <f>AND(#REF!,"AAAAAB6//vE=")</f>
        <v>#REF!</v>
      </c>
      <c r="II129" t="e">
        <f>AND(#REF!,"AAAAAB6//vI=")</f>
        <v>#REF!</v>
      </c>
      <c r="IJ129" t="e">
        <f>AND(#REF!,"AAAAAB6//vM=")</f>
        <v>#REF!</v>
      </c>
      <c r="IK129" t="e">
        <f>AND(#REF!,"AAAAAB6//vQ=")</f>
        <v>#REF!</v>
      </c>
      <c r="IL129" t="e">
        <f>AND(#REF!,"AAAAAB6//vU=")</f>
        <v>#REF!</v>
      </c>
      <c r="IM129" t="e">
        <f>AND(#REF!,"AAAAAB6//vY=")</f>
        <v>#REF!</v>
      </c>
      <c r="IN129" t="e">
        <f>AND(#REF!,"AAAAAB6//vc=")</f>
        <v>#REF!</v>
      </c>
      <c r="IO129" t="e">
        <f>IF(#REF!,"AAAAAB6//vg=",0)</f>
        <v>#REF!</v>
      </c>
      <c r="IP129" t="e">
        <f>AND(#REF!,"AAAAAB6//vk=")</f>
        <v>#REF!</v>
      </c>
      <c r="IQ129" t="e">
        <f>AND(#REF!,"AAAAAB6//vo=")</f>
        <v>#REF!</v>
      </c>
      <c r="IR129" t="e">
        <f>AND(#REF!,"AAAAAB6//vs=")</f>
        <v>#REF!</v>
      </c>
      <c r="IS129" t="e">
        <f>AND(#REF!,"AAAAAB6//vw=")</f>
        <v>#REF!</v>
      </c>
      <c r="IT129" t="e">
        <f>AND(#REF!,"AAAAAB6//v0=")</f>
        <v>#REF!</v>
      </c>
      <c r="IU129" t="e">
        <f>AND(#REF!,"AAAAAB6//v4=")</f>
        <v>#REF!</v>
      </c>
      <c r="IV129" t="e">
        <f>AND(#REF!,"AAAAAB6//v8=")</f>
        <v>#REF!</v>
      </c>
    </row>
    <row r="130" spans="1:256" x14ac:dyDescent="0.25">
      <c r="A130" t="e">
        <f>AND(#REF!,"AAAAAH+/jwA=")</f>
        <v>#REF!</v>
      </c>
      <c r="B130" t="e">
        <f>AND(#REF!,"AAAAAH+/jwE=")</f>
        <v>#REF!</v>
      </c>
      <c r="C130" t="e">
        <f>AND(#REF!,"AAAAAH+/jwI=")</f>
        <v>#REF!</v>
      </c>
      <c r="D130" t="e">
        <f>IF(#REF!,"AAAAAH+/jwM=",0)</f>
        <v>#REF!</v>
      </c>
      <c r="E130" t="e">
        <f>AND(#REF!,"AAAAAH+/jwQ=")</f>
        <v>#REF!</v>
      </c>
      <c r="F130" t="e">
        <f>AND(#REF!,"AAAAAH+/jwU=")</f>
        <v>#REF!</v>
      </c>
      <c r="G130" t="e">
        <f>AND(#REF!,"AAAAAH+/jwY=")</f>
        <v>#REF!</v>
      </c>
      <c r="H130" t="e">
        <f>AND(#REF!,"AAAAAH+/jwc=")</f>
        <v>#REF!</v>
      </c>
      <c r="I130" t="e">
        <f>AND(#REF!,"AAAAAH+/jwg=")</f>
        <v>#REF!</v>
      </c>
      <c r="J130" t="e">
        <f>AND(#REF!,"AAAAAH+/jwk=")</f>
        <v>#REF!</v>
      </c>
      <c r="K130" t="e">
        <f>AND(#REF!,"AAAAAH+/jwo=")</f>
        <v>#REF!</v>
      </c>
      <c r="L130" t="e">
        <f>AND(#REF!,"AAAAAH+/jws=")</f>
        <v>#REF!</v>
      </c>
      <c r="M130" t="e">
        <f>AND(#REF!,"AAAAAH+/jww=")</f>
        <v>#REF!</v>
      </c>
      <c r="N130" t="e">
        <f>AND(#REF!,"AAAAAH+/jw0=")</f>
        <v>#REF!</v>
      </c>
      <c r="O130" t="e">
        <f>IF(#REF!,"AAAAAH+/jw4=",0)</f>
        <v>#REF!</v>
      </c>
      <c r="P130" t="e">
        <f>AND(#REF!,"AAAAAH+/jw8=")</f>
        <v>#REF!</v>
      </c>
      <c r="Q130" t="e">
        <f>AND(#REF!,"AAAAAH+/jxA=")</f>
        <v>#REF!</v>
      </c>
      <c r="R130" t="e">
        <f>AND(#REF!,"AAAAAH+/jxE=")</f>
        <v>#REF!</v>
      </c>
      <c r="S130" t="e">
        <f>AND(#REF!,"AAAAAH+/jxI=")</f>
        <v>#REF!</v>
      </c>
      <c r="T130" t="e">
        <f>AND(#REF!,"AAAAAH+/jxM=")</f>
        <v>#REF!</v>
      </c>
      <c r="U130" t="e">
        <f>AND(#REF!,"AAAAAH+/jxQ=")</f>
        <v>#REF!</v>
      </c>
      <c r="V130" t="e">
        <f>AND(#REF!,"AAAAAH+/jxU=")</f>
        <v>#REF!</v>
      </c>
      <c r="W130" t="e">
        <f>AND(#REF!,"AAAAAH+/jxY=")</f>
        <v>#REF!</v>
      </c>
      <c r="X130" t="e">
        <f>AND(#REF!,"AAAAAH+/jxc=")</f>
        <v>#REF!</v>
      </c>
      <c r="Y130" t="e">
        <f>AND(#REF!,"AAAAAH+/jxg=")</f>
        <v>#REF!</v>
      </c>
      <c r="Z130" t="e">
        <f>IF(#REF!,"AAAAAH+/jxk=",0)</f>
        <v>#REF!</v>
      </c>
      <c r="AA130" t="e">
        <f>AND(#REF!,"AAAAAH+/jxo=")</f>
        <v>#REF!</v>
      </c>
      <c r="AB130" t="e">
        <f>AND(#REF!,"AAAAAH+/jxs=")</f>
        <v>#REF!</v>
      </c>
      <c r="AC130" t="e">
        <f>AND(#REF!,"AAAAAH+/jxw=")</f>
        <v>#REF!</v>
      </c>
      <c r="AD130" t="e">
        <f>AND(#REF!,"AAAAAH+/jx0=")</f>
        <v>#REF!</v>
      </c>
      <c r="AE130" t="e">
        <f>AND(#REF!,"AAAAAH+/jx4=")</f>
        <v>#REF!</v>
      </c>
      <c r="AF130" t="e">
        <f>AND(#REF!,"AAAAAH+/jx8=")</f>
        <v>#REF!</v>
      </c>
      <c r="AG130" t="e">
        <f>AND(#REF!,"AAAAAH+/jyA=")</f>
        <v>#REF!</v>
      </c>
      <c r="AH130" t="e">
        <f>AND(#REF!,"AAAAAH+/jyE=")</f>
        <v>#REF!</v>
      </c>
      <c r="AI130" t="e">
        <f>AND(#REF!,"AAAAAH+/jyI=")</f>
        <v>#REF!</v>
      </c>
      <c r="AJ130" t="e">
        <f>AND(#REF!,"AAAAAH+/jyM=")</f>
        <v>#REF!</v>
      </c>
      <c r="AK130" t="e">
        <f>IF(#REF!,"AAAAAH+/jyQ=",0)</f>
        <v>#REF!</v>
      </c>
      <c r="AL130" t="e">
        <f>AND(#REF!,"AAAAAH+/jyU=")</f>
        <v>#REF!</v>
      </c>
      <c r="AM130" t="e">
        <f>AND(#REF!,"AAAAAH+/jyY=")</f>
        <v>#REF!</v>
      </c>
      <c r="AN130" t="e">
        <f>AND(#REF!,"AAAAAH+/jyc=")</f>
        <v>#REF!</v>
      </c>
      <c r="AO130" t="e">
        <f>AND(#REF!,"AAAAAH+/jyg=")</f>
        <v>#REF!</v>
      </c>
      <c r="AP130" t="e">
        <f>AND(#REF!,"AAAAAH+/jyk=")</f>
        <v>#REF!</v>
      </c>
      <c r="AQ130" t="e">
        <f>AND(#REF!,"AAAAAH+/jyo=")</f>
        <v>#REF!</v>
      </c>
      <c r="AR130" t="e">
        <f>AND(#REF!,"AAAAAH+/jys=")</f>
        <v>#REF!</v>
      </c>
      <c r="AS130" t="e">
        <f>AND(#REF!,"AAAAAH+/jyw=")</f>
        <v>#REF!</v>
      </c>
      <c r="AT130" t="e">
        <f>AND(#REF!,"AAAAAH+/jy0=")</f>
        <v>#REF!</v>
      </c>
      <c r="AU130" t="e">
        <f>AND(#REF!,"AAAAAH+/jy4=")</f>
        <v>#REF!</v>
      </c>
      <c r="AV130" t="e">
        <f>IF(#REF!,"AAAAAH+/jy8=",0)</f>
        <v>#REF!</v>
      </c>
      <c r="AW130" t="e">
        <f>AND(#REF!,"AAAAAH+/jzA=")</f>
        <v>#REF!</v>
      </c>
      <c r="AX130" t="e">
        <f>AND(#REF!,"AAAAAH+/jzE=")</f>
        <v>#REF!</v>
      </c>
      <c r="AY130" t="e">
        <f>AND(#REF!,"AAAAAH+/jzI=")</f>
        <v>#REF!</v>
      </c>
      <c r="AZ130" t="e">
        <f>AND(#REF!,"AAAAAH+/jzM=")</f>
        <v>#REF!</v>
      </c>
      <c r="BA130" t="e">
        <f>AND(#REF!,"AAAAAH+/jzQ=")</f>
        <v>#REF!</v>
      </c>
      <c r="BB130" t="e">
        <f>AND(#REF!,"AAAAAH+/jzU=")</f>
        <v>#REF!</v>
      </c>
      <c r="BC130" t="e">
        <f>AND(#REF!,"AAAAAH+/jzY=")</f>
        <v>#REF!</v>
      </c>
      <c r="BD130" t="e">
        <f>AND(#REF!,"AAAAAH+/jzc=")</f>
        <v>#REF!</v>
      </c>
      <c r="BE130" t="e">
        <f>AND(#REF!,"AAAAAH+/jzg=")</f>
        <v>#REF!</v>
      </c>
      <c r="BF130" t="e">
        <f>AND(#REF!,"AAAAAH+/jzk=")</f>
        <v>#REF!</v>
      </c>
      <c r="BG130" t="e">
        <f>IF(#REF!,"AAAAAH+/jzo=",0)</f>
        <v>#REF!</v>
      </c>
      <c r="BH130" t="e">
        <f>AND(#REF!,"AAAAAH+/jzs=")</f>
        <v>#REF!</v>
      </c>
      <c r="BI130" t="e">
        <f>AND(#REF!,"AAAAAH+/jzw=")</f>
        <v>#REF!</v>
      </c>
      <c r="BJ130" t="e">
        <f>AND(#REF!,"AAAAAH+/jz0=")</f>
        <v>#REF!</v>
      </c>
      <c r="BK130" t="e">
        <f>AND(#REF!,"AAAAAH+/jz4=")</f>
        <v>#REF!</v>
      </c>
      <c r="BL130" t="e">
        <f>AND(#REF!,"AAAAAH+/jz8=")</f>
        <v>#REF!</v>
      </c>
      <c r="BM130" t="e">
        <f>AND(#REF!,"AAAAAH+/j0A=")</f>
        <v>#REF!</v>
      </c>
      <c r="BN130" t="e">
        <f>AND(#REF!,"AAAAAH+/j0E=")</f>
        <v>#REF!</v>
      </c>
      <c r="BO130" t="e">
        <f>AND(#REF!,"AAAAAH+/j0I=")</f>
        <v>#REF!</v>
      </c>
      <c r="BP130" t="e">
        <f>AND(#REF!,"AAAAAH+/j0M=")</f>
        <v>#REF!</v>
      </c>
      <c r="BQ130" t="e">
        <f>AND(#REF!,"AAAAAH+/j0Q=")</f>
        <v>#REF!</v>
      </c>
      <c r="BR130" t="e">
        <f>IF(#REF!,"AAAAAH+/j0U=",0)</f>
        <v>#REF!</v>
      </c>
      <c r="BS130" t="e">
        <f>AND(#REF!,"AAAAAH+/j0Y=")</f>
        <v>#REF!</v>
      </c>
      <c r="BT130" t="e">
        <f>AND(#REF!,"AAAAAH+/j0c=")</f>
        <v>#REF!</v>
      </c>
      <c r="BU130" t="e">
        <f>AND(#REF!,"AAAAAH+/j0g=")</f>
        <v>#REF!</v>
      </c>
      <c r="BV130" t="e">
        <f>AND(#REF!,"AAAAAH+/j0k=")</f>
        <v>#REF!</v>
      </c>
      <c r="BW130" t="e">
        <f>AND(#REF!,"AAAAAH+/j0o=")</f>
        <v>#REF!</v>
      </c>
      <c r="BX130" t="e">
        <f>AND(#REF!,"AAAAAH+/j0s=")</f>
        <v>#REF!</v>
      </c>
      <c r="BY130" t="e">
        <f>AND(#REF!,"AAAAAH+/j0w=")</f>
        <v>#REF!</v>
      </c>
      <c r="BZ130" t="e">
        <f>AND(#REF!,"AAAAAH+/j00=")</f>
        <v>#REF!</v>
      </c>
      <c r="CA130" t="e">
        <f>AND(#REF!,"AAAAAH+/j04=")</f>
        <v>#REF!</v>
      </c>
      <c r="CB130" t="e">
        <f>AND(#REF!,"AAAAAH+/j08=")</f>
        <v>#REF!</v>
      </c>
      <c r="CC130" t="e">
        <f>IF(#REF!,"AAAAAH+/j1A=",0)</f>
        <v>#REF!</v>
      </c>
      <c r="CD130" t="e">
        <f>AND(#REF!,"AAAAAH+/j1E=")</f>
        <v>#REF!</v>
      </c>
      <c r="CE130" t="e">
        <f>AND(#REF!,"AAAAAH+/j1I=")</f>
        <v>#REF!</v>
      </c>
      <c r="CF130" t="e">
        <f>AND(#REF!,"AAAAAH+/j1M=")</f>
        <v>#REF!</v>
      </c>
      <c r="CG130" t="e">
        <f>AND(#REF!,"AAAAAH+/j1Q=")</f>
        <v>#REF!</v>
      </c>
      <c r="CH130" t="e">
        <f>AND(#REF!,"AAAAAH+/j1U=")</f>
        <v>#REF!</v>
      </c>
      <c r="CI130" t="e">
        <f>AND(#REF!,"AAAAAH+/j1Y=")</f>
        <v>#REF!</v>
      </c>
      <c r="CJ130" t="e">
        <f>AND(#REF!,"AAAAAH+/j1c=")</f>
        <v>#REF!</v>
      </c>
      <c r="CK130" t="e">
        <f>AND(#REF!,"AAAAAH+/j1g=")</f>
        <v>#REF!</v>
      </c>
      <c r="CL130" t="e">
        <f>AND(#REF!,"AAAAAH+/j1k=")</f>
        <v>#REF!</v>
      </c>
      <c r="CM130" t="e">
        <f>AND(#REF!,"AAAAAH+/j1o=")</f>
        <v>#REF!</v>
      </c>
      <c r="CN130" t="e">
        <f>IF(#REF!,"AAAAAH+/j1s=",0)</f>
        <v>#REF!</v>
      </c>
      <c r="CO130" t="e">
        <f>AND(#REF!,"AAAAAH+/j1w=")</f>
        <v>#REF!</v>
      </c>
      <c r="CP130" t="e">
        <f>AND(#REF!,"AAAAAH+/j10=")</f>
        <v>#REF!</v>
      </c>
      <c r="CQ130" t="e">
        <f>AND(#REF!,"AAAAAH+/j14=")</f>
        <v>#REF!</v>
      </c>
      <c r="CR130" t="e">
        <f>AND(#REF!,"AAAAAH+/j18=")</f>
        <v>#REF!</v>
      </c>
      <c r="CS130" t="e">
        <f>AND(#REF!,"AAAAAH+/j2A=")</f>
        <v>#REF!</v>
      </c>
      <c r="CT130" t="e">
        <f>AND(#REF!,"AAAAAH+/j2E=")</f>
        <v>#REF!</v>
      </c>
      <c r="CU130" t="e">
        <f>AND(#REF!,"AAAAAH+/j2I=")</f>
        <v>#REF!</v>
      </c>
      <c r="CV130" t="e">
        <f>AND(#REF!,"AAAAAH+/j2M=")</f>
        <v>#REF!</v>
      </c>
      <c r="CW130" t="e">
        <f>AND(#REF!,"AAAAAH+/j2Q=")</f>
        <v>#REF!</v>
      </c>
      <c r="CX130" t="e">
        <f>AND(#REF!,"AAAAAH+/j2U=")</f>
        <v>#REF!</v>
      </c>
      <c r="CY130" t="e">
        <f>IF(#REF!,"AAAAAH+/j2Y=",0)</f>
        <v>#REF!</v>
      </c>
      <c r="CZ130" t="e">
        <f>AND(#REF!,"AAAAAH+/j2c=")</f>
        <v>#REF!</v>
      </c>
      <c r="DA130" t="e">
        <f>AND(#REF!,"AAAAAH+/j2g=")</f>
        <v>#REF!</v>
      </c>
      <c r="DB130" t="e">
        <f>AND(#REF!,"AAAAAH+/j2k=")</f>
        <v>#REF!</v>
      </c>
      <c r="DC130" t="e">
        <f>AND(#REF!,"AAAAAH+/j2o=")</f>
        <v>#REF!</v>
      </c>
      <c r="DD130" t="e">
        <f>AND(#REF!,"AAAAAH+/j2s=")</f>
        <v>#REF!</v>
      </c>
      <c r="DE130" t="e">
        <f>AND(#REF!,"AAAAAH+/j2w=")</f>
        <v>#REF!</v>
      </c>
      <c r="DF130" t="e">
        <f>AND(#REF!,"AAAAAH+/j20=")</f>
        <v>#REF!</v>
      </c>
      <c r="DG130" t="e">
        <f>AND(#REF!,"AAAAAH+/j24=")</f>
        <v>#REF!</v>
      </c>
      <c r="DH130" t="e">
        <f>AND(#REF!,"AAAAAH+/j28=")</f>
        <v>#REF!</v>
      </c>
      <c r="DI130" t="e">
        <f>AND(#REF!,"AAAAAH+/j3A=")</f>
        <v>#REF!</v>
      </c>
      <c r="DJ130" t="e">
        <f>IF(#REF!,"AAAAAH+/j3E=",0)</f>
        <v>#REF!</v>
      </c>
      <c r="DK130" t="e">
        <f>AND(#REF!,"AAAAAH+/j3I=")</f>
        <v>#REF!</v>
      </c>
      <c r="DL130" t="e">
        <f>AND(#REF!,"AAAAAH+/j3M=")</f>
        <v>#REF!</v>
      </c>
      <c r="DM130" t="e">
        <f>AND(#REF!,"AAAAAH+/j3Q=")</f>
        <v>#REF!</v>
      </c>
      <c r="DN130" t="e">
        <f>AND(#REF!,"AAAAAH+/j3U=")</f>
        <v>#REF!</v>
      </c>
      <c r="DO130" t="e">
        <f>AND(#REF!,"AAAAAH+/j3Y=")</f>
        <v>#REF!</v>
      </c>
      <c r="DP130" t="e">
        <f>AND(#REF!,"AAAAAH+/j3c=")</f>
        <v>#REF!</v>
      </c>
      <c r="DQ130" t="e">
        <f>AND(#REF!,"AAAAAH+/j3g=")</f>
        <v>#REF!</v>
      </c>
      <c r="DR130" t="e">
        <f>AND(#REF!,"AAAAAH+/j3k=")</f>
        <v>#REF!</v>
      </c>
      <c r="DS130" t="e">
        <f>AND(#REF!,"AAAAAH+/j3o=")</f>
        <v>#REF!</v>
      </c>
      <c r="DT130" t="e">
        <f>AND(#REF!,"AAAAAH+/j3s=")</f>
        <v>#REF!</v>
      </c>
      <c r="DU130" t="e">
        <f>IF(#REF!,"AAAAAH+/j3w=",0)</f>
        <v>#REF!</v>
      </c>
      <c r="DV130" t="e">
        <f>AND(#REF!,"AAAAAH+/j30=")</f>
        <v>#REF!</v>
      </c>
      <c r="DW130" t="e">
        <f>AND(#REF!,"AAAAAH+/j34=")</f>
        <v>#REF!</v>
      </c>
      <c r="DX130" t="e">
        <f>AND(#REF!,"AAAAAH+/j38=")</f>
        <v>#REF!</v>
      </c>
      <c r="DY130" t="e">
        <f>AND(#REF!,"AAAAAH+/j4A=")</f>
        <v>#REF!</v>
      </c>
      <c r="DZ130" t="e">
        <f>AND(#REF!,"AAAAAH+/j4E=")</f>
        <v>#REF!</v>
      </c>
      <c r="EA130" t="e">
        <f>AND(#REF!,"AAAAAH+/j4I=")</f>
        <v>#REF!</v>
      </c>
      <c r="EB130" t="e">
        <f>AND(#REF!,"AAAAAH+/j4M=")</f>
        <v>#REF!</v>
      </c>
      <c r="EC130" t="e">
        <f>AND(#REF!,"AAAAAH+/j4Q=")</f>
        <v>#REF!</v>
      </c>
      <c r="ED130" t="e">
        <f>AND(#REF!,"AAAAAH+/j4U=")</f>
        <v>#REF!</v>
      </c>
      <c r="EE130" t="e">
        <f>AND(#REF!,"AAAAAH+/j4Y=")</f>
        <v>#REF!</v>
      </c>
      <c r="EF130" t="e">
        <f>IF(#REF!,"AAAAAH+/j4c=",0)</f>
        <v>#REF!</v>
      </c>
      <c r="EG130" t="e">
        <f>AND(#REF!,"AAAAAH+/j4g=")</f>
        <v>#REF!</v>
      </c>
      <c r="EH130" t="e">
        <f>AND(#REF!,"AAAAAH+/j4k=")</f>
        <v>#REF!</v>
      </c>
      <c r="EI130" t="e">
        <f>AND(#REF!,"AAAAAH+/j4o=")</f>
        <v>#REF!</v>
      </c>
      <c r="EJ130" t="e">
        <f>AND(#REF!,"AAAAAH+/j4s=")</f>
        <v>#REF!</v>
      </c>
      <c r="EK130" t="e">
        <f>AND(#REF!,"AAAAAH+/j4w=")</f>
        <v>#REF!</v>
      </c>
      <c r="EL130" t="e">
        <f>AND(#REF!,"AAAAAH+/j40=")</f>
        <v>#REF!</v>
      </c>
      <c r="EM130" t="e">
        <f>AND(#REF!,"AAAAAH+/j44=")</f>
        <v>#REF!</v>
      </c>
      <c r="EN130" t="e">
        <f>AND(#REF!,"AAAAAH+/j48=")</f>
        <v>#REF!</v>
      </c>
      <c r="EO130" t="e">
        <f>AND(#REF!,"AAAAAH+/j5A=")</f>
        <v>#REF!</v>
      </c>
      <c r="EP130" t="e">
        <f>AND(#REF!,"AAAAAH+/j5E=")</f>
        <v>#REF!</v>
      </c>
      <c r="EQ130" t="e">
        <f>IF(#REF!,"AAAAAH+/j5I=",0)</f>
        <v>#REF!</v>
      </c>
      <c r="ER130" t="e">
        <f>AND(#REF!,"AAAAAH+/j5M=")</f>
        <v>#REF!</v>
      </c>
      <c r="ES130" t="e">
        <f>AND(#REF!,"AAAAAH+/j5Q=")</f>
        <v>#REF!</v>
      </c>
      <c r="ET130" t="e">
        <f>AND(#REF!,"AAAAAH+/j5U=")</f>
        <v>#REF!</v>
      </c>
      <c r="EU130" t="e">
        <f>AND(#REF!,"AAAAAH+/j5Y=")</f>
        <v>#REF!</v>
      </c>
      <c r="EV130" t="e">
        <f>AND(#REF!,"AAAAAH+/j5c=")</f>
        <v>#REF!</v>
      </c>
      <c r="EW130" t="e">
        <f>AND(#REF!,"AAAAAH+/j5g=")</f>
        <v>#REF!</v>
      </c>
      <c r="EX130" t="e">
        <f>AND(#REF!,"AAAAAH+/j5k=")</f>
        <v>#REF!</v>
      </c>
      <c r="EY130" t="e">
        <f>AND(#REF!,"AAAAAH+/j5o=")</f>
        <v>#REF!</v>
      </c>
      <c r="EZ130" t="e">
        <f>AND(#REF!,"AAAAAH+/j5s=")</f>
        <v>#REF!</v>
      </c>
      <c r="FA130" t="e">
        <f>AND(#REF!,"AAAAAH+/j5w=")</f>
        <v>#REF!</v>
      </c>
      <c r="FB130" t="e">
        <f>IF(#REF!,"AAAAAH+/j50=",0)</f>
        <v>#REF!</v>
      </c>
      <c r="FC130" t="e">
        <f>AND(#REF!,"AAAAAH+/j54=")</f>
        <v>#REF!</v>
      </c>
      <c r="FD130" t="e">
        <f>AND(#REF!,"AAAAAH+/j58=")</f>
        <v>#REF!</v>
      </c>
      <c r="FE130" t="e">
        <f>AND(#REF!,"AAAAAH+/j6A=")</f>
        <v>#REF!</v>
      </c>
      <c r="FF130" t="e">
        <f>AND(#REF!,"AAAAAH+/j6E=")</f>
        <v>#REF!</v>
      </c>
      <c r="FG130" t="e">
        <f>AND(#REF!,"AAAAAH+/j6I=")</f>
        <v>#REF!</v>
      </c>
      <c r="FH130" t="e">
        <f>AND(#REF!,"AAAAAH+/j6M=")</f>
        <v>#REF!</v>
      </c>
      <c r="FI130" t="e">
        <f>AND(#REF!,"AAAAAH+/j6Q=")</f>
        <v>#REF!</v>
      </c>
      <c r="FJ130" t="e">
        <f>AND(#REF!,"AAAAAH+/j6U=")</f>
        <v>#REF!</v>
      </c>
      <c r="FK130" t="e">
        <f>AND(#REF!,"AAAAAH+/j6Y=")</f>
        <v>#REF!</v>
      </c>
      <c r="FL130" t="e">
        <f>AND(#REF!,"AAAAAH+/j6c=")</f>
        <v>#REF!</v>
      </c>
      <c r="FM130" t="e">
        <f>IF(#REF!,"AAAAAH+/j6g=",0)</f>
        <v>#REF!</v>
      </c>
      <c r="FN130" t="e">
        <f>AND(#REF!,"AAAAAH+/j6k=")</f>
        <v>#REF!</v>
      </c>
      <c r="FO130" t="e">
        <f>AND(#REF!,"AAAAAH+/j6o=")</f>
        <v>#REF!</v>
      </c>
      <c r="FP130" t="e">
        <f>AND(#REF!,"AAAAAH+/j6s=")</f>
        <v>#REF!</v>
      </c>
      <c r="FQ130" t="e">
        <f>AND(#REF!,"AAAAAH+/j6w=")</f>
        <v>#REF!</v>
      </c>
      <c r="FR130" t="e">
        <f>AND(#REF!,"AAAAAH+/j60=")</f>
        <v>#REF!</v>
      </c>
      <c r="FS130" t="e">
        <f>AND(#REF!,"AAAAAH+/j64=")</f>
        <v>#REF!</v>
      </c>
      <c r="FT130" t="e">
        <f>AND(#REF!,"AAAAAH+/j68=")</f>
        <v>#REF!</v>
      </c>
      <c r="FU130" t="e">
        <f>AND(#REF!,"AAAAAH+/j7A=")</f>
        <v>#REF!</v>
      </c>
      <c r="FV130" t="e">
        <f>AND(#REF!,"AAAAAH+/j7E=")</f>
        <v>#REF!</v>
      </c>
      <c r="FW130" t="e">
        <f>AND(#REF!,"AAAAAH+/j7I=")</f>
        <v>#REF!</v>
      </c>
      <c r="FX130" t="e">
        <f>IF(#REF!,"AAAAAH+/j7M=",0)</f>
        <v>#REF!</v>
      </c>
      <c r="FY130" t="e">
        <f>AND(#REF!,"AAAAAH+/j7Q=")</f>
        <v>#REF!</v>
      </c>
      <c r="FZ130" t="e">
        <f>AND(#REF!,"AAAAAH+/j7U=")</f>
        <v>#REF!</v>
      </c>
      <c r="GA130" t="e">
        <f>AND(#REF!,"AAAAAH+/j7Y=")</f>
        <v>#REF!</v>
      </c>
      <c r="GB130" t="e">
        <f>AND(#REF!,"AAAAAH+/j7c=")</f>
        <v>#REF!</v>
      </c>
      <c r="GC130" t="e">
        <f>AND(#REF!,"AAAAAH+/j7g=")</f>
        <v>#REF!</v>
      </c>
      <c r="GD130" t="e">
        <f>AND(#REF!,"AAAAAH+/j7k=")</f>
        <v>#REF!</v>
      </c>
      <c r="GE130" t="e">
        <f>AND(#REF!,"AAAAAH+/j7o=")</f>
        <v>#REF!</v>
      </c>
      <c r="GF130" t="e">
        <f>AND(#REF!,"AAAAAH+/j7s=")</f>
        <v>#REF!</v>
      </c>
      <c r="GG130" t="e">
        <f>AND(#REF!,"AAAAAH+/j7w=")</f>
        <v>#REF!</v>
      </c>
      <c r="GH130" t="e">
        <f>AND(#REF!,"AAAAAH+/j70=")</f>
        <v>#REF!</v>
      </c>
      <c r="GI130" t="e">
        <f>IF(#REF!,"AAAAAH+/j74=",0)</f>
        <v>#REF!</v>
      </c>
      <c r="GJ130" t="e">
        <f>AND(#REF!,"AAAAAH+/j78=")</f>
        <v>#REF!</v>
      </c>
      <c r="GK130" t="e">
        <f>AND(#REF!,"AAAAAH+/j8A=")</f>
        <v>#REF!</v>
      </c>
      <c r="GL130" t="e">
        <f>AND(#REF!,"AAAAAH+/j8E=")</f>
        <v>#REF!</v>
      </c>
      <c r="GM130" t="e">
        <f>AND(#REF!,"AAAAAH+/j8I=")</f>
        <v>#REF!</v>
      </c>
      <c r="GN130" t="e">
        <f>AND(#REF!,"AAAAAH+/j8M=")</f>
        <v>#REF!</v>
      </c>
      <c r="GO130" t="e">
        <f>AND(#REF!,"AAAAAH+/j8Q=")</f>
        <v>#REF!</v>
      </c>
      <c r="GP130" t="e">
        <f>AND(#REF!,"AAAAAH+/j8U=")</f>
        <v>#REF!</v>
      </c>
      <c r="GQ130" t="e">
        <f>AND(#REF!,"AAAAAH+/j8Y=")</f>
        <v>#REF!</v>
      </c>
      <c r="GR130" t="e">
        <f>AND(#REF!,"AAAAAH+/j8c=")</f>
        <v>#REF!</v>
      </c>
      <c r="GS130" t="e">
        <f>AND(#REF!,"AAAAAH+/j8g=")</f>
        <v>#REF!</v>
      </c>
      <c r="GT130" t="e">
        <f>IF(#REF!,"AAAAAH+/j8k=",0)</f>
        <v>#REF!</v>
      </c>
      <c r="GU130" t="e">
        <f>AND(#REF!,"AAAAAH+/j8o=")</f>
        <v>#REF!</v>
      </c>
      <c r="GV130" t="e">
        <f>AND(#REF!,"AAAAAH+/j8s=")</f>
        <v>#REF!</v>
      </c>
      <c r="GW130" t="e">
        <f>AND(#REF!,"AAAAAH+/j8w=")</f>
        <v>#REF!</v>
      </c>
      <c r="GX130" t="e">
        <f>AND(#REF!,"AAAAAH+/j80=")</f>
        <v>#REF!</v>
      </c>
      <c r="GY130" t="e">
        <f>AND(#REF!,"AAAAAH+/j84=")</f>
        <v>#REF!</v>
      </c>
      <c r="GZ130" t="e">
        <f>AND(#REF!,"AAAAAH+/j88=")</f>
        <v>#REF!</v>
      </c>
      <c r="HA130" t="e">
        <f>AND(#REF!,"AAAAAH+/j9A=")</f>
        <v>#REF!</v>
      </c>
      <c r="HB130" t="e">
        <f>AND(#REF!,"AAAAAH+/j9E=")</f>
        <v>#REF!</v>
      </c>
      <c r="HC130" t="e">
        <f>AND(#REF!,"AAAAAH+/j9I=")</f>
        <v>#REF!</v>
      </c>
      <c r="HD130" t="e">
        <f>AND(#REF!,"AAAAAH+/j9M=")</f>
        <v>#REF!</v>
      </c>
      <c r="HE130" t="e">
        <f>IF(#REF!,"AAAAAH+/j9Q=",0)</f>
        <v>#REF!</v>
      </c>
      <c r="HF130" t="e">
        <f>AND(#REF!,"AAAAAH+/j9U=")</f>
        <v>#REF!</v>
      </c>
      <c r="HG130" t="e">
        <f>AND(#REF!,"AAAAAH+/j9Y=")</f>
        <v>#REF!</v>
      </c>
      <c r="HH130" t="e">
        <f>AND(#REF!,"AAAAAH+/j9c=")</f>
        <v>#REF!</v>
      </c>
      <c r="HI130" t="e">
        <f>AND(#REF!,"AAAAAH+/j9g=")</f>
        <v>#REF!</v>
      </c>
      <c r="HJ130" t="e">
        <f>AND(#REF!,"AAAAAH+/j9k=")</f>
        <v>#REF!</v>
      </c>
      <c r="HK130" t="e">
        <f>AND(#REF!,"AAAAAH+/j9o=")</f>
        <v>#REF!</v>
      </c>
      <c r="HL130" t="e">
        <f>AND(#REF!,"AAAAAH+/j9s=")</f>
        <v>#REF!</v>
      </c>
      <c r="HM130" t="e">
        <f>AND(#REF!,"AAAAAH+/j9w=")</f>
        <v>#REF!</v>
      </c>
      <c r="HN130" t="e">
        <f>AND(#REF!,"AAAAAH+/j90=")</f>
        <v>#REF!</v>
      </c>
      <c r="HO130" t="e">
        <f>AND(#REF!,"AAAAAH+/j94=")</f>
        <v>#REF!</v>
      </c>
      <c r="HP130" t="e">
        <f>IF(#REF!,"AAAAAH+/j98=",0)</f>
        <v>#REF!</v>
      </c>
      <c r="HQ130" t="e">
        <f>AND(#REF!,"AAAAAH+/j+A=")</f>
        <v>#REF!</v>
      </c>
      <c r="HR130" t="e">
        <f>AND(#REF!,"AAAAAH+/j+E=")</f>
        <v>#REF!</v>
      </c>
      <c r="HS130" t="e">
        <f>AND(#REF!,"AAAAAH+/j+I=")</f>
        <v>#REF!</v>
      </c>
      <c r="HT130" t="e">
        <f>AND(#REF!,"AAAAAH+/j+M=")</f>
        <v>#REF!</v>
      </c>
      <c r="HU130" t="e">
        <f>AND(#REF!,"AAAAAH+/j+Q=")</f>
        <v>#REF!</v>
      </c>
      <c r="HV130" t="e">
        <f>AND(#REF!,"AAAAAH+/j+U=")</f>
        <v>#REF!</v>
      </c>
      <c r="HW130" t="e">
        <f>AND(#REF!,"AAAAAH+/j+Y=")</f>
        <v>#REF!</v>
      </c>
      <c r="HX130" t="e">
        <f>AND(#REF!,"AAAAAH+/j+c=")</f>
        <v>#REF!</v>
      </c>
      <c r="HY130" t="e">
        <f>AND(#REF!,"AAAAAH+/j+g=")</f>
        <v>#REF!</v>
      </c>
      <c r="HZ130" t="e">
        <f>AND(#REF!,"AAAAAH+/j+k=")</f>
        <v>#REF!</v>
      </c>
      <c r="IA130" t="e">
        <f>IF(#REF!,"AAAAAH+/j+o=",0)</f>
        <v>#REF!</v>
      </c>
      <c r="IB130" t="e">
        <f>AND(#REF!,"AAAAAH+/j+s=")</f>
        <v>#REF!</v>
      </c>
      <c r="IC130" t="e">
        <f>AND(#REF!,"AAAAAH+/j+w=")</f>
        <v>#REF!</v>
      </c>
      <c r="ID130" t="e">
        <f>AND(#REF!,"AAAAAH+/j+0=")</f>
        <v>#REF!</v>
      </c>
      <c r="IE130" t="e">
        <f>AND(#REF!,"AAAAAH+/j+4=")</f>
        <v>#REF!</v>
      </c>
      <c r="IF130" t="e">
        <f>AND(#REF!,"AAAAAH+/j+8=")</f>
        <v>#REF!</v>
      </c>
      <c r="IG130" t="e">
        <f>AND(#REF!,"AAAAAH+/j/A=")</f>
        <v>#REF!</v>
      </c>
      <c r="IH130" t="e">
        <f>AND(#REF!,"AAAAAH+/j/E=")</f>
        <v>#REF!</v>
      </c>
      <c r="II130" t="e">
        <f>AND(#REF!,"AAAAAH+/j/I=")</f>
        <v>#REF!</v>
      </c>
      <c r="IJ130" t="e">
        <f>AND(#REF!,"AAAAAH+/j/M=")</f>
        <v>#REF!</v>
      </c>
      <c r="IK130" t="e">
        <f>AND(#REF!,"AAAAAH+/j/Q=")</f>
        <v>#REF!</v>
      </c>
      <c r="IL130" t="e">
        <f>IF(#REF!,"AAAAAH+/j/U=",0)</f>
        <v>#REF!</v>
      </c>
      <c r="IM130" t="e">
        <f>AND(#REF!,"AAAAAH+/j/Y=")</f>
        <v>#REF!</v>
      </c>
      <c r="IN130" t="e">
        <f>AND(#REF!,"AAAAAH+/j/c=")</f>
        <v>#REF!</v>
      </c>
      <c r="IO130" t="e">
        <f>AND(#REF!,"AAAAAH+/j/g=")</f>
        <v>#REF!</v>
      </c>
      <c r="IP130" t="e">
        <f>AND(#REF!,"AAAAAH+/j/k=")</f>
        <v>#REF!</v>
      </c>
      <c r="IQ130" t="e">
        <f>AND(#REF!,"AAAAAH+/j/o=")</f>
        <v>#REF!</v>
      </c>
      <c r="IR130" t="e">
        <f>AND(#REF!,"AAAAAH+/j/s=")</f>
        <v>#REF!</v>
      </c>
      <c r="IS130" t="e">
        <f>AND(#REF!,"AAAAAH+/j/w=")</f>
        <v>#REF!</v>
      </c>
      <c r="IT130" t="e">
        <f>AND(#REF!,"AAAAAH+/j/0=")</f>
        <v>#REF!</v>
      </c>
      <c r="IU130" t="e">
        <f>AND(#REF!,"AAAAAH+/j/4=")</f>
        <v>#REF!</v>
      </c>
      <c r="IV130" t="e">
        <f>AND(#REF!,"AAAAAH+/j/8=")</f>
        <v>#REF!</v>
      </c>
    </row>
    <row r="131" spans="1:256" x14ac:dyDescent="0.25">
      <c r="A131" t="e">
        <f>IF(#REF!,"AAAAAE5tbwA=",0)</f>
        <v>#REF!</v>
      </c>
      <c r="B131" t="e">
        <f>AND(#REF!,"AAAAAE5tbwE=")</f>
        <v>#REF!</v>
      </c>
      <c r="C131" t="e">
        <f>AND(#REF!,"AAAAAE5tbwI=")</f>
        <v>#REF!</v>
      </c>
      <c r="D131" t="e">
        <f>AND(#REF!,"AAAAAE5tbwM=")</f>
        <v>#REF!</v>
      </c>
      <c r="E131" t="e">
        <f>AND(#REF!,"AAAAAE5tbwQ=")</f>
        <v>#REF!</v>
      </c>
      <c r="F131" t="e">
        <f>AND(#REF!,"AAAAAE5tbwU=")</f>
        <v>#REF!</v>
      </c>
      <c r="G131" t="e">
        <f>AND(#REF!,"AAAAAE5tbwY=")</f>
        <v>#REF!</v>
      </c>
      <c r="H131" t="e">
        <f>AND(#REF!,"AAAAAE5tbwc=")</f>
        <v>#REF!</v>
      </c>
      <c r="I131" t="e">
        <f>AND(#REF!,"AAAAAE5tbwg=")</f>
        <v>#REF!</v>
      </c>
      <c r="J131" t="e">
        <f>AND(#REF!,"AAAAAE5tbwk=")</f>
        <v>#REF!</v>
      </c>
      <c r="K131" t="e">
        <f>AND(#REF!,"AAAAAE5tbwo=")</f>
        <v>#REF!</v>
      </c>
      <c r="L131" t="e">
        <f>IF(#REF!,"AAAAAE5tbws=",0)</f>
        <v>#REF!</v>
      </c>
      <c r="M131" t="e">
        <f>AND(#REF!,"AAAAAE5tbww=")</f>
        <v>#REF!</v>
      </c>
      <c r="N131" t="e">
        <f>AND(#REF!,"AAAAAE5tbw0=")</f>
        <v>#REF!</v>
      </c>
      <c r="O131" t="e">
        <f>AND(#REF!,"AAAAAE5tbw4=")</f>
        <v>#REF!</v>
      </c>
      <c r="P131" t="e">
        <f>AND(#REF!,"AAAAAE5tbw8=")</f>
        <v>#REF!</v>
      </c>
      <c r="Q131" t="e">
        <f>AND(#REF!,"AAAAAE5tbxA=")</f>
        <v>#REF!</v>
      </c>
      <c r="R131" t="e">
        <f>AND(#REF!,"AAAAAE5tbxE=")</f>
        <v>#REF!</v>
      </c>
      <c r="S131" t="e">
        <f>AND(#REF!,"AAAAAE5tbxI=")</f>
        <v>#REF!</v>
      </c>
      <c r="T131" t="e">
        <f>AND(#REF!,"AAAAAE5tbxM=")</f>
        <v>#REF!</v>
      </c>
      <c r="U131" t="e">
        <f>AND(#REF!,"AAAAAE5tbxQ=")</f>
        <v>#REF!</v>
      </c>
      <c r="V131" t="e">
        <f>AND(#REF!,"AAAAAE5tbxU=")</f>
        <v>#REF!</v>
      </c>
      <c r="W131" t="e">
        <f>IF(#REF!,"AAAAAE5tbxY=",0)</f>
        <v>#REF!</v>
      </c>
      <c r="X131" t="e">
        <f>AND(#REF!,"AAAAAE5tbxc=")</f>
        <v>#REF!</v>
      </c>
      <c r="Y131" t="e">
        <f>AND(#REF!,"AAAAAE5tbxg=")</f>
        <v>#REF!</v>
      </c>
      <c r="Z131" t="e">
        <f>AND(#REF!,"AAAAAE5tbxk=")</f>
        <v>#REF!</v>
      </c>
      <c r="AA131" t="e">
        <f>AND(#REF!,"AAAAAE5tbxo=")</f>
        <v>#REF!</v>
      </c>
      <c r="AB131" t="e">
        <f>AND(#REF!,"AAAAAE5tbxs=")</f>
        <v>#REF!</v>
      </c>
      <c r="AC131" t="e">
        <f>AND(#REF!,"AAAAAE5tbxw=")</f>
        <v>#REF!</v>
      </c>
      <c r="AD131" t="e">
        <f>AND(#REF!,"AAAAAE5tbx0=")</f>
        <v>#REF!</v>
      </c>
      <c r="AE131" t="e">
        <f>AND(#REF!,"AAAAAE5tbx4=")</f>
        <v>#REF!</v>
      </c>
      <c r="AF131" t="e">
        <f>AND(#REF!,"AAAAAE5tbx8=")</f>
        <v>#REF!</v>
      </c>
      <c r="AG131" t="e">
        <f>AND(#REF!,"AAAAAE5tbyA=")</f>
        <v>#REF!</v>
      </c>
      <c r="AH131" t="e">
        <f>IF(#REF!,"AAAAAE5tbyE=",0)</f>
        <v>#REF!</v>
      </c>
      <c r="AI131" t="e">
        <f>AND(#REF!,"AAAAAE5tbyI=")</f>
        <v>#REF!</v>
      </c>
      <c r="AJ131" t="e">
        <f>AND(#REF!,"AAAAAE5tbyM=")</f>
        <v>#REF!</v>
      </c>
      <c r="AK131" t="e">
        <f>AND(#REF!,"AAAAAE5tbyQ=")</f>
        <v>#REF!</v>
      </c>
      <c r="AL131" t="e">
        <f>AND(#REF!,"AAAAAE5tbyU=")</f>
        <v>#REF!</v>
      </c>
      <c r="AM131" t="e">
        <f>AND(#REF!,"AAAAAE5tbyY=")</f>
        <v>#REF!</v>
      </c>
      <c r="AN131" t="e">
        <f>AND(#REF!,"AAAAAE5tbyc=")</f>
        <v>#REF!</v>
      </c>
      <c r="AO131" t="e">
        <f>AND(#REF!,"AAAAAE5tbyg=")</f>
        <v>#REF!</v>
      </c>
      <c r="AP131" t="e">
        <f>AND(#REF!,"AAAAAE5tbyk=")</f>
        <v>#REF!</v>
      </c>
      <c r="AQ131" t="e">
        <f>AND(#REF!,"AAAAAE5tbyo=")</f>
        <v>#REF!</v>
      </c>
      <c r="AR131" t="e">
        <f>AND(#REF!,"AAAAAE5tbys=")</f>
        <v>#REF!</v>
      </c>
      <c r="AS131" t="e">
        <f>IF(#REF!,"AAAAAE5tbyw=",0)</f>
        <v>#REF!</v>
      </c>
      <c r="AT131" t="e">
        <f>AND(#REF!,"AAAAAE5tby0=")</f>
        <v>#REF!</v>
      </c>
      <c r="AU131" t="e">
        <f>AND(#REF!,"AAAAAE5tby4=")</f>
        <v>#REF!</v>
      </c>
      <c r="AV131" t="e">
        <f>AND(#REF!,"AAAAAE5tby8=")</f>
        <v>#REF!</v>
      </c>
      <c r="AW131" t="e">
        <f>AND(#REF!,"AAAAAE5tbzA=")</f>
        <v>#REF!</v>
      </c>
      <c r="AX131" t="e">
        <f>AND(#REF!,"AAAAAE5tbzE=")</f>
        <v>#REF!</v>
      </c>
      <c r="AY131" t="e">
        <f>AND(#REF!,"AAAAAE5tbzI=")</f>
        <v>#REF!</v>
      </c>
      <c r="AZ131" t="e">
        <f>AND(#REF!,"AAAAAE5tbzM=")</f>
        <v>#REF!</v>
      </c>
      <c r="BA131" t="e">
        <f>AND(#REF!,"AAAAAE5tbzQ=")</f>
        <v>#REF!</v>
      </c>
      <c r="BB131" t="e">
        <f>AND(#REF!,"AAAAAE5tbzU=")</f>
        <v>#REF!</v>
      </c>
      <c r="BC131" t="e">
        <f>AND(#REF!,"AAAAAE5tbzY=")</f>
        <v>#REF!</v>
      </c>
      <c r="BD131" t="e">
        <f>IF(#REF!,"AAAAAE5tbzc=",0)</f>
        <v>#REF!</v>
      </c>
      <c r="BE131" t="e">
        <f>AND(#REF!,"AAAAAE5tbzg=")</f>
        <v>#REF!</v>
      </c>
      <c r="BF131" t="e">
        <f>AND(#REF!,"AAAAAE5tbzk=")</f>
        <v>#REF!</v>
      </c>
      <c r="BG131" t="e">
        <f>AND(#REF!,"AAAAAE5tbzo=")</f>
        <v>#REF!</v>
      </c>
      <c r="BH131" t="e">
        <f>AND(#REF!,"AAAAAE5tbzs=")</f>
        <v>#REF!</v>
      </c>
      <c r="BI131" t="e">
        <f>AND(#REF!,"AAAAAE5tbzw=")</f>
        <v>#REF!</v>
      </c>
      <c r="BJ131" t="e">
        <f>AND(#REF!,"AAAAAE5tbz0=")</f>
        <v>#REF!</v>
      </c>
      <c r="BK131" t="e">
        <f>AND(#REF!,"AAAAAE5tbz4=")</f>
        <v>#REF!</v>
      </c>
      <c r="BL131" t="e">
        <f>AND(#REF!,"AAAAAE5tbz8=")</f>
        <v>#REF!</v>
      </c>
      <c r="BM131" t="e">
        <f>AND(#REF!,"AAAAAE5tb0A=")</f>
        <v>#REF!</v>
      </c>
      <c r="BN131" t="e">
        <f>AND(#REF!,"AAAAAE5tb0E=")</f>
        <v>#REF!</v>
      </c>
      <c r="BO131" t="e">
        <f>IF(#REF!,"AAAAAE5tb0I=",0)</f>
        <v>#REF!</v>
      </c>
      <c r="BP131" t="e">
        <f>AND(#REF!,"AAAAAE5tb0M=")</f>
        <v>#REF!</v>
      </c>
      <c r="BQ131" t="e">
        <f>AND(#REF!,"AAAAAE5tb0Q=")</f>
        <v>#REF!</v>
      </c>
      <c r="BR131" t="e">
        <f>AND(#REF!,"AAAAAE5tb0U=")</f>
        <v>#REF!</v>
      </c>
      <c r="BS131" t="e">
        <f>AND(#REF!,"AAAAAE5tb0Y=")</f>
        <v>#REF!</v>
      </c>
      <c r="BT131" t="e">
        <f>AND(#REF!,"AAAAAE5tb0c=")</f>
        <v>#REF!</v>
      </c>
      <c r="BU131" t="e">
        <f>AND(#REF!,"AAAAAE5tb0g=")</f>
        <v>#REF!</v>
      </c>
      <c r="BV131" t="e">
        <f>AND(#REF!,"AAAAAE5tb0k=")</f>
        <v>#REF!</v>
      </c>
      <c r="BW131" t="e">
        <f>AND(#REF!,"AAAAAE5tb0o=")</f>
        <v>#REF!</v>
      </c>
      <c r="BX131" t="e">
        <f>AND(#REF!,"AAAAAE5tb0s=")</f>
        <v>#REF!</v>
      </c>
      <c r="BY131" t="e">
        <f>AND(#REF!,"AAAAAE5tb0w=")</f>
        <v>#REF!</v>
      </c>
      <c r="BZ131" t="e">
        <f>IF(#REF!,"AAAAAE5tb00=",0)</f>
        <v>#REF!</v>
      </c>
      <c r="CA131" t="e">
        <f>AND(#REF!,"AAAAAE5tb04=")</f>
        <v>#REF!</v>
      </c>
      <c r="CB131" t="e">
        <f>AND(#REF!,"AAAAAE5tb08=")</f>
        <v>#REF!</v>
      </c>
      <c r="CC131" t="e">
        <f>AND(#REF!,"AAAAAE5tb1A=")</f>
        <v>#REF!</v>
      </c>
      <c r="CD131" t="e">
        <f>AND(#REF!,"AAAAAE5tb1E=")</f>
        <v>#REF!</v>
      </c>
      <c r="CE131" t="e">
        <f>AND(#REF!,"AAAAAE5tb1I=")</f>
        <v>#REF!</v>
      </c>
      <c r="CF131" t="e">
        <f>AND(#REF!,"AAAAAE5tb1M=")</f>
        <v>#REF!</v>
      </c>
      <c r="CG131" t="e">
        <f>AND(#REF!,"AAAAAE5tb1Q=")</f>
        <v>#REF!</v>
      </c>
      <c r="CH131" t="e">
        <f>AND(#REF!,"AAAAAE5tb1U=")</f>
        <v>#REF!</v>
      </c>
      <c r="CI131" t="e">
        <f>AND(#REF!,"AAAAAE5tb1Y=")</f>
        <v>#REF!</v>
      </c>
      <c r="CJ131" t="e">
        <f>AND(#REF!,"AAAAAE5tb1c=")</f>
        <v>#REF!</v>
      </c>
      <c r="CK131" t="e">
        <f>IF(#REF!,"AAAAAE5tb1g=",0)</f>
        <v>#REF!</v>
      </c>
      <c r="CL131" t="e">
        <f>AND(#REF!,"AAAAAE5tb1k=")</f>
        <v>#REF!</v>
      </c>
      <c r="CM131" t="e">
        <f>AND(#REF!,"AAAAAE5tb1o=")</f>
        <v>#REF!</v>
      </c>
      <c r="CN131" t="e">
        <f>AND(#REF!,"AAAAAE5tb1s=")</f>
        <v>#REF!</v>
      </c>
      <c r="CO131" t="e">
        <f>AND(#REF!,"AAAAAE5tb1w=")</f>
        <v>#REF!</v>
      </c>
      <c r="CP131" t="e">
        <f>AND(#REF!,"AAAAAE5tb10=")</f>
        <v>#REF!</v>
      </c>
      <c r="CQ131" t="e">
        <f>AND(#REF!,"AAAAAE5tb14=")</f>
        <v>#REF!</v>
      </c>
      <c r="CR131" t="e">
        <f>AND(#REF!,"AAAAAE5tb18=")</f>
        <v>#REF!</v>
      </c>
      <c r="CS131" t="e">
        <f>AND(#REF!,"AAAAAE5tb2A=")</f>
        <v>#REF!</v>
      </c>
      <c r="CT131" t="e">
        <f>AND(#REF!,"AAAAAE5tb2E=")</f>
        <v>#REF!</v>
      </c>
      <c r="CU131" t="e">
        <f>AND(#REF!,"AAAAAE5tb2I=")</f>
        <v>#REF!</v>
      </c>
      <c r="CV131" t="e">
        <f>IF(#REF!,"AAAAAE5tb2M=",0)</f>
        <v>#REF!</v>
      </c>
      <c r="CW131" t="e">
        <f>AND(#REF!,"AAAAAE5tb2Q=")</f>
        <v>#REF!</v>
      </c>
      <c r="CX131" t="e">
        <f>AND(#REF!,"AAAAAE5tb2U=")</f>
        <v>#REF!</v>
      </c>
      <c r="CY131" t="e">
        <f>AND(#REF!,"AAAAAE5tb2Y=")</f>
        <v>#REF!</v>
      </c>
      <c r="CZ131" t="e">
        <f>AND(#REF!,"AAAAAE5tb2c=")</f>
        <v>#REF!</v>
      </c>
      <c r="DA131" t="e">
        <f>AND(#REF!,"AAAAAE5tb2g=")</f>
        <v>#REF!</v>
      </c>
      <c r="DB131" t="e">
        <f>AND(#REF!,"AAAAAE5tb2k=")</f>
        <v>#REF!</v>
      </c>
      <c r="DC131" t="e">
        <f>AND(#REF!,"AAAAAE5tb2o=")</f>
        <v>#REF!</v>
      </c>
      <c r="DD131" t="e">
        <f>AND(#REF!,"AAAAAE5tb2s=")</f>
        <v>#REF!</v>
      </c>
      <c r="DE131" t="e">
        <f>AND(#REF!,"AAAAAE5tb2w=")</f>
        <v>#REF!</v>
      </c>
      <c r="DF131" t="e">
        <f>AND(#REF!,"AAAAAE5tb20=")</f>
        <v>#REF!</v>
      </c>
      <c r="DG131" t="e">
        <f>IF(#REF!,"AAAAAE5tb24=",0)</f>
        <v>#REF!</v>
      </c>
      <c r="DH131" t="e">
        <f>AND(#REF!,"AAAAAE5tb28=")</f>
        <v>#REF!</v>
      </c>
      <c r="DI131" t="e">
        <f>AND(#REF!,"AAAAAE5tb3A=")</f>
        <v>#REF!</v>
      </c>
      <c r="DJ131" t="e">
        <f>AND(#REF!,"AAAAAE5tb3E=")</f>
        <v>#REF!</v>
      </c>
      <c r="DK131" t="e">
        <f>AND(#REF!,"AAAAAE5tb3I=")</f>
        <v>#REF!</v>
      </c>
      <c r="DL131" t="e">
        <f>AND(#REF!,"AAAAAE5tb3M=")</f>
        <v>#REF!</v>
      </c>
      <c r="DM131" t="e">
        <f>AND(#REF!,"AAAAAE5tb3Q=")</f>
        <v>#REF!</v>
      </c>
      <c r="DN131" t="e">
        <f>AND(#REF!,"AAAAAE5tb3U=")</f>
        <v>#REF!</v>
      </c>
      <c r="DO131" t="e">
        <f>AND(#REF!,"AAAAAE5tb3Y=")</f>
        <v>#REF!</v>
      </c>
      <c r="DP131" t="e">
        <f>AND(#REF!,"AAAAAE5tb3c=")</f>
        <v>#REF!</v>
      </c>
      <c r="DQ131" t="e">
        <f>AND(#REF!,"AAAAAE5tb3g=")</f>
        <v>#REF!</v>
      </c>
      <c r="DR131" t="e">
        <f>IF(#REF!,"AAAAAE5tb3k=",0)</f>
        <v>#REF!</v>
      </c>
      <c r="DS131" t="e">
        <f>AND(#REF!,"AAAAAE5tb3o=")</f>
        <v>#REF!</v>
      </c>
      <c r="DT131" t="e">
        <f>AND(#REF!,"AAAAAE5tb3s=")</f>
        <v>#REF!</v>
      </c>
      <c r="DU131" t="e">
        <f>AND(#REF!,"AAAAAE5tb3w=")</f>
        <v>#REF!</v>
      </c>
      <c r="DV131" t="e">
        <f>AND(#REF!,"AAAAAE5tb30=")</f>
        <v>#REF!</v>
      </c>
      <c r="DW131" t="e">
        <f>AND(#REF!,"AAAAAE5tb34=")</f>
        <v>#REF!</v>
      </c>
      <c r="DX131" t="e">
        <f>AND(#REF!,"AAAAAE5tb38=")</f>
        <v>#REF!</v>
      </c>
      <c r="DY131" t="e">
        <f>AND(#REF!,"AAAAAE5tb4A=")</f>
        <v>#REF!</v>
      </c>
      <c r="DZ131" t="e">
        <f>AND(#REF!,"AAAAAE5tb4E=")</f>
        <v>#REF!</v>
      </c>
      <c r="EA131" t="e">
        <f>AND(#REF!,"AAAAAE5tb4I=")</f>
        <v>#REF!</v>
      </c>
      <c r="EB131" t="e">
        <f>AND(#REF!,"AAAAAE5tb4M=")</f>
        <v>#REF!</v>
      </c>
      <c r="EC131" t="e">
        <f>IF(#REF!,"AAAAAE5tb4Q=",0)</f>
        <v>#REF!</v>
      </c>
      <c r="ED131" t="e">
        <f>AND(#REF!,"AAAAAE5tb4U=")</f>
        <v>#REF!</v>
      </c>
      <c r="EE131" t="e">
        <f>AND(#REF!,"AAAAAE5tb4Y=")</f>
        <v>#REF!</v>
      </c>
      <c r="EF131" t="e">
        <f>AND(#REF!,"AAAAAE5tb4c=")</f>
        <v>#REF!</v>
      </c>
      <c r="EG131" t="e">
        <f>AND(#REF!,"AAAAAE5tb4g=")</f>
        <v>#REF!</v>
      </c>
      <c r="EH131" t="e">
        <f>AND(#REF!,"AAAAAE5tb4k=")</f>
        <v>#REF!</v>
      </c>
      <c r="EI131" t="e">
        <f>AND(#REF!,"AAAAAE5tb4o=")</f>
        <v>#REF!</v>
      </c>
      <c r="EJ131" t="e">
        <f>AND(#REF!,"AAAAAE5tb4s=")</f>
        <v>#REF!</v>
      </c>
      <c r="EK131" t="e">
        <f>AND(#REF!,"AAAAAE5tb4w=")</f>
        <v>#REF!</v>
      </c>
      <c r="EL131" t="e">
        <f>AND(#REF!,"AAAAAE5tb40=")</f>
        <v>#REF!</v>
      </c>
      <c r="EM131" t="e">
        <f>AND(#REF!,"AAAAAE5tb44=")</f>
        <v>#REF!</v>
      </c>
      <c r="EN131" t="e">
        <f>IF(#REF!,"AAAAAE5tb48=",0)</f>
        <v>#REF!</v>
      </c>
      <c r="EO131" t="e">
        <f>AND(#REF!,"AAAAAE5tb5A=")</f>
        <v>#REF!</v>
      </c>
      <c r="EP131" t="e">
        <f>AND(#REF!,"AAAAAE5tb5E=")</f>
        <v>#REF!</v>
      </c>
      <c r="EQ131" t="e">
        <f>AND(#REF!,"AAAAAE5tb5I=")</f>
        <v>#REF!</v>
      </c>
      <c r="ER131" t="e">
        <f>AND(#REF!,"AAAAAE5tb5M=")</f>
        <v>#REF!</v>
      </c>
      <c r="ES131" t="e">
        <f>AND(#REF!,"AAAAAE5tb5Q=")</f>
        <v>#REF!</v>
      </c>
      <c r="ET131" t="e">
        <f>AND(#REF!,"AAAAAE5tb5U=")</f>
        <v>#REF!</v>
      </c>
      <c r="EU131" t="e">
        <f>AND(#REF!,"AAAAAE5tb5Y=")</f>
        <v>#REF!</v>
      </c>
      <c r="EV131" t="e">
        <f>AND(#REF!,"AAAAAE5tb5c=")</f>
        <v>#REF!</v>
      </c>
      <c r="EW131" t="e">
        <f>AND(#REF!,"AAAAAE5tb5g=")</f>
        <v>#REF!</v>
      </c>
      <c r="EX131" t="e">
        <f>AND(#REF!,"AAAAAE5tb5k=")</f>
        <v>#REF!</v>
      </c>
      <c r="EY131" t="e">
        <f>IF(#REF!,"AAAAAE5tb5o=",0)</f>
        <v>#REF!</v>
      </c>
      <c r="EZ131" t="e">
        <f>AND(#REF!,"AAAAAE5tb5s=")</f>
        <v>#REF!</v>
      </c>
      <c r="FA131" t="e">
        <f>AND(#REF!,"AAAAAE5tb5w=")</f>
        <v>#REF!</v>
      </c>
      <c r="FB131" t="e">
        <f>AND(#REF!,"AAAAAE5tb50=")</f>
        <v>#REF!</v>
      </c>
      <c r="FC131" t="e">
        <f>AND(#REF!,"AAAAAE5tb54=")</f>
        <v>#REF!</v>
      </c>
      <c r="FD131" t="e">
        <f>AND(#REF!,"AAAAAE5tb58=")</f>
        <v>#REF!</v>
      </c>
      <c r="FE131" t="e">
        <f>AND(#REF!,"AAAAAE5tb6A=")</f>
        <v>#REF!</v>
      </c>
      <c r="FF131" t="e">
        <f>AND(#REF!,"AAAAAE5tb6E=")</f>
        <v>#REF!</v>
      </c>
      <c r="FG131" t="e">
        <f>AND(#REF!,"AAAAAE5tb6I=")</f>
        <v>#REF!</v>
      </c>
      <c r="FH131" t="e">
        <f>AND(#REF!,"AAAAAE5tb6M=")</f>
        <v>#REF!</v>
      </c>
      <c r="FI131" t="e">
        <f>AND(#REF!,"AAAAAE5tb6Q=")</f>
        <v>#REF!</v>
      </c>
      <c r="FJ131" t="e">
        <f>IF(#REF!,"AAAAAE5tb6U=",0)</f>
        <v>#REF!</v>
      </c>
      <c r="FK131" t="e">
        <f>AND(#REF!,"AAAAAE5tb6Y=")</f>
        <v>#REF!</v>
      </c>
      <c r="FL131" t="e">
        <f>AND(#REF!,"AAAAAE5tb6c=")</f>
        <v>#REF!</v>
      </c>
      <c r="FM131" t="e">
        <f>AND(#REF!,"AAAAAE5tb6g=")</f>
        <v>#REF!</v>
      </c>
      <c r="FN131" t="e">
        <f>AND(#REF!,"AAAAAE5tb6k=")</f>
        <v>#REF!</v>
      </c>
      <c r="FO131" t="e">
        <f>AND(#REF!,"AAAAAE5tb6o=")</f>
        <v>#REF!</v>
      </c>
      <c r="FP131" t="e">
        <f>AND(#REF!,"AAAAAE5tb6s=")</f>
        <v>#REF!</v>
      </c>
      <c r="FQ131" t="e">
        <f>AND(#REF!,"AAAAAE5tb6w=")</f>
        <v>#REF!</v>
      </c>
      <c r="FR131" t="e">
        <f>AND(#REF!,"AAAAAE5tb60=")</f>
        <v>#REF!</v>
      </c>
      <c r="FS131" t="e">
        <f>AND(#REF!,"AAAAAE5tb64=")</f>
        <v>#REF!</v>
      </c>
      <c r="FT131" t="e">
        <f>AND(#REF!,"AAAAAE5tb68=")</f>
        <v>#REF!</v>
      </c>
      <c r="FU131" t="e">
        <f>IF(#REF!,"AAAAAE5tb7A=",0)</f>
        <v>#REF!</v>
      </c>
      <c r="FV131" t="e">
        <f>AND(#REF!,"AAAAAE5tb7E=")</f>
        <v>#REF!</v>
      </c>
      <c r="FW131" t="e">
        <f>AND(#REF!,"AAAAAE5tb7I=")</f>
        <v>#REF!</v>
      </c>
      <c r="FX131" t="e">
        <f>AND(#REF!,"AAAAAE5tb7M=")</f>
        <v>#REF!</v>
      </c>
      <c r="FY131" t="e">
        <f>AND(#REF!,"AAAAAE5tb7Q=")</f>
        <v>#REF!</v>
      </c>
      <c r="FZ131" t="e">
        <f>AND(#REF!,"AAAAAE5tb7U=")</f>
        <v>#REF!</v>
      </c>
      <c r="GA131" t="e">
        <f>AND(#REF!,"AAAAAE5tb7Y=")</f>
        <v>#REF!</v>
      </c>
      <c r="GB131" t="e">
        <f>AND(#REF!,"AAAAAE5tb7c=")</f>
        <v>#REF!</v>
      </c>
      <c r="GC131" t="e">
        <f>AND(#REF!,"AAAAAE5tb7g=")</f>
        <v>#REF!</v>
      </c>
      <c r="GD131" t="e">
        <f>AND(#REF!,"AAAAAE5tb7k=")</f>
        <v>#REF!</v>
      </c>
      <c r="GE131" t="e">
        <f>AND(#REF!,"AAAAAE5tb7o=")</f>
        <v>#REF!</v>
      </c>
      <c r="GF131" t="e">
        <f>IF(#REF!,"AAAAAE5tb7s=",0)</f>
        <v>#REF!</v>
      </c>
      <c r="GG131" t="e">
        <f>AND(#REF!,"AAAAAE5tb7w=")</f>
        <v>#REF!</v>
      </c>
      <c r="GH131" t="e">
        <f>AND(#REF!,"AAAAAE5tb70=")</f>
        <v>#REF!</v>
      </c>
      <c r="GI131" t="e">
        <f>AND(#REF!,"AAAAAE5tb74=")</f>
        <v>#REF!</v>
      </c>
      <c r="GJ131" t="e">
        <f>AND(#REF!,"AAAAAE5tb78=")</f>
        <v>#REF!</v>
      </c>
      <c r="GK131" t="e">
        <f>AND(#REF!,"AAAAAE5tb8A=")</f>
        <v>#REF!</v>
      </c>
      <c r="GL131" t="e">
        <f>AND(#REF!,"AAAAAE5tb8E=")</f>
        <v>#REF!</v>
      </c>
      <c r="GM131" t="e">
        <f>AND(#REF!,"AAAAAE5tb8I=")</f>
        <v>#REF!</v>
      </c>
      <c r="GN131" t="e">
        <f>AND(#REF!,"AAAAAE5tb8M=")</f>
        <v>#REF!</v>
      </c>
      <c r="GO131" t="e">
        <f>AND(#REF!,"AAAAAE5tb8Q=")</f>
        <v>#REF!</v>
      </c>
      <c r="GP131" t="e">
        <f>AND(#REF!,"AAAAAE5tb8U=")</f>
        <v>#REF!</v>
      </c>
      <c r="GQ131" t="e">
        <f>IF(#REF!,"AAAAAE5tb8Y=",0)</f>
        <v>#REF!</v>
      </c>
      <c r="GR131" t="e">
        <f>AND(#REF!,"AAAAAE5tb8c=")</f>
        <v>#REF!</v>
      </c>
      <c r="GS131" t="e">
        <f>AND(#REF!,"AAAAAE5tb8g=")</f>
        <v>#REF!</v>
      </c>
      <c r="GT131" t="e">
        <f>AND(#REF!,"AAAAAE5tb8k=")</f>
        <v>#REF!</v>
      </c>
      <c r="GU131" t="e">
        <f>AND(#REF!,"AAAAAE5tb8o=")</f>
        <v>#REF!</v>
      </c>
      <c r="GV131" t="e">
        <f>AND(#REF!,"AAAAAE5tb8s=")</f>
        <v>#REF!</v>
      </c>
      <c r="GW131" t="e">
        <f>AND(#REF!,"AAAAAE5tb8w=")</f>
        <v>#REF!</v>
      </c>
      <c r="GX131" t="e">
        <f>AND(#REF!,"AAAAAE5tb80=")</f>
        <v>#REF!</v>
      </c>
      <c r="GY131" t="e">
        <f>AND(#REF!,"AAAAAE5tb84=")</f>
        <v>#REF!</v>
      </c>
      <c r="GZ131" t="e">
        <f>AND(#REF!,"AAAAAE5tb88=")</f>
        <v>#REF!</v>
      </c>
      <c r="HA131" t="e">
        <f>AND(#REF!,"AAAAAE5tb9A=")</f>
        <v>#REF!</v>
      </c>
      <c r="HB131" t="e">
        <f>IF(#REF!,"AAAAAE5tb9E=",0)</f>
        <v>#REF!</v>
      </c>
      <c r="HC131" t="e">
        <f>AND(#REF!,"AAAAAE5tb9I=")</f>
        <v>#REF!</v>
      </c>
      <c r="HD131" t="e">
        <f>AND(#REF!,"AAAAAE5tb9M=")</f>
        <v>#REF!</v>
      </c>
      <c r="HE131" t="e">
        <f>AND(#REF!,"AAAAAE5tb9Q=")</f>
        <v>#REF!</v>
      </c>
      <c r="HF131" t="e">
        <f>AND(#REF!,"AAAAAE5tb9U=")</f>
        <v>#REF!</v>
      </c>
      <c r="HG131" t="e">
        <f>AND(#REF!,"AAAAAE5tb9Y=")</f>
        <v>#REF!</v>
      </c>
      <c r="HH131" t="e">
        <f>AND(#REF!,"AAAAAE5tb9c=")</f>
        <v>#REF!</v>
      </c>
      <c r="HI131" t="e">
        <f>AND(#REF!,"AAAAAE5tb9g=")</f>
        <v>#REF!</v>
      </c>
      <c r="HJ131" t="e">
        <f>AND(#REF!,"AAAAAE5tb9k=")</f>
        <v>#REF!</v>
      </c>
      <c r="HK131" t="e">
        <f>AND(#REF!,"AAAAAE5tb9o=")</f>
        <v>#REF!</v>
      </c>
      <c r="HL131" t="e">
        <f>AND(#REF!,"AAAAAE5tb9s=")</f>
        <v>#REF!</v>
      </c>
      <c r="HM131" t="e">
        <f>IF(#REF!,"AAAAAE5tb9w=",0)</f>
        <v>#REF!</v>
      </c>
      <c r="HN131" t="e">
        <f>AND(#REF!,"AAAAAE5tb90=")</f>
        <v>#REF!</v>
      </c>
      <c r="HO131" t="e">
        <f>AND(#REF!,"AAAAAE5tb94=")</f>
        <v>#REF!</v>
      </c>
      <c r="HP131" t="e">
        <f>AND(#REF!,"AAAAAE5tb98=")</f>
        <v>#REF!</v>
      </c>
      <c r="HQ131" t="e">
        <f>AND(#REF!,"AAAAAE5tb+A=")</f>
        <v>#REF!</v>
      </c>
      <c r="HR131" t="e">
        <f>AND(#REF!,"AAAAAE5tb+E=")</f>
        <v>#REF!</v>
      </c>
      <c r="HS131" t="e">
        <f>AND(#REF!,"AAAAAE5tb+I=")</f>
        <v>#REF!</v>
      </c>
      <c r="HT131" t="e">
        <f>AND(#REF!,"AAAAAE5tb+M=")</f>
        <v>#REF!</v>
      </c>
      <c r="HU131" t="e">
        <f>AND(#REF!,"AAAAAE5tb+Q=")</f>
        <v>#REF!</v>
      </c>
      <c r="HV131" t="e">
        <f>AND(#REF!,"AAAAAE5tb+U=")</f>
        <v>#REF!</v>
      </c>
      <c r="HW131" t="e">
        <f>AND(#REF!,"AAAAAE5tb+Y=")</f>
        <v>#REF!</v>
      </c>
      <c r="HX131" t="e">
        <f>IF(#REF!,"AAAAAE5tb+c=",0)</f>
        <v>#REF!</v>
      </c>
      <c r="HY131" t="e">
        <f>AND(#REF!,"AAAAAE5tb+g=")</f>
        <v>#REF!</v>
      </c>
      <c r="HZ131" t="e">
        <f>AND(#REF!,"AAAAAE5tb+k=")</f>
        <v>#REF!</v>
      </c>
      <c r="IA131" t="e">
        <f>AND(#REF!,"AAAAAE5tb+o=")</f>
        <v>#REF!</v>
      </c>
      <c r="IB131" t="e">
        <f>AND(#REF!,"AAAAAE5tb+s=")</f>
        <v>#REF!</v>
      </c>
      <c r="IC131" t="e">
        <f>AND(#REF!,"AAAAAE5tb+w=")</f>
        <v>#REF!</v>
      </c>
      <c r="ID131" t="e">
        <f>AND(#REF!,"AAAAAE5tb+0=")</f>
        <v>#REF!</v>
      </c>
      <c r="IE131" t="e">
        <f>AND(#REF!,"AAAAAE5tb+4=")</f>
        <v>#REF!</v>
      </c>
      <c r="IF131" t="e">
        <f>AND(#REF!,"AAAAAE5tb+8=")</f>
        <v>#REF!</v>
      </c>
      <c r="IG131" t="e">
        <f>AND(#REF!,"AAAAAE5tb/A=")</f>
        <v>#REF!</v>
      </c>
      <c r="IH131" t="e">
        <f>AND(#REF!,"AAAAAE5tb/E=")</f>
        <v>#REF!</v>
      </c>
      <c r="II131" t="e">
        <f>IF(#REF!,"AAAAAE5tb/I=",0)</f>
        <v>#REF!</v>
      </c>
      <c r="IJ131" t="e">
        <f>AND(#REF!,"AAAAAE5tb/M=")</f>
        <v>#REF!</v>
      </c>
      <c r="IK131" t="e">
        <f>AND(#REF!,"AAAAAE5tb/Q=")</f>
        <v>#REF!</v>
      </c>
      <c r="IL131" t="e">
        <f>AND(#REF!,"AAAAAE5tb/U=")</f>
        <v>#REF!</v>
      </c>
      <c r="IM131" t="e">
        <f>AND(#REF!,"AAAAAE5tb/Y=")</f>
        <v>#REF!</v>
      </c>
      <c r="IN131" t="e">
        <f>AND(#REF!,"AAAAAE5tb/c=")</f>
        <v>#REF!</v>
      </c>
      <c r="IO131" t="e">
        <f>AND(#REF!,"AAAAAE5tb/g=")</f>
        <v>#REF!</v>
      </c>
      <c r="IP131" t="e">
        <f>AND(#REF!,"AAAAAE5tb/k=")</f>
        <v>#REF!</v>
      </c>
      <c r="IQ131" t="e">
        <f>AND(#REF!,"AAAAAE5tb/o=")</f>
        <v>#REF!</v>
      </c>
      <c r="IR131" t="e">
        <f>AND(#REF!,"AAAAAE5tb/s=")</f>
        <v>#REF!</v>
      </c>
      <c r="IS131" t="e">
        <f>AND(#REF!,"AAAAAE5tb/w=")</f>
        <v>#REF!</v>
      </c>
      <c r="IT131" t="e">
        <f>IF(#REF!,"AAAAAE5tb/0=",0)</f>
        <v>#REF!</v>
      </c>
      <c r="IU131" t="e">
        <f>AND(#REF!,"AAAAAE5tb/4=")</f>
        <v>#REF!</v>
      </c>
      <c r="IV131" t="e">
        <f>AND(#REF!,"AAAAAE5tb/8=")</f>
        <v>#REF!</v>
      </c>
    </row>
    <row r="132" spans="1:256" x14ac:dyDescent="0.25">
      <c r="A132" t="e">
        <f>AND(#REF!,"AAAAAH+f3QA=")</f>
        <v>#REF!</v>
      </c>
      <c r="B132" t="e">
        <f>AND(#REF!,"AAAAAH+f3QE=")</f>
        <v>#REF!</v>
      </c>
      <c r="C132" t="e">
        <f>AND(#REF!,"AAAAAH+f3QI=")</f>
        <v>#REF!</v>
      </c>
      <c r="D132" t="e">
        <f>AND(#REF!,"AAAAAH+f3QM=")</f>
        <v>#REF!</v>
      </c>
      <c r="E132" t="e">
        <f>AND(#REF!,"AAAAAH+f3QQ=")</f>
        <v>#REF!</v>
      </c>
      <c r="F132" t="e">
        <f>AND(#REF!,"AAAAAH+f3QU=")</f>
        <v>#REF!</v>
      </c>
      <c r="G132" t="e">
        <f>AND(#REF!,"AAAAAH+f3QY=")</f>
        <v>#REF!</v>
      </c>
      <c r="H132" t="e">
        <f>AND(#REF!,"AAAAAH+f3Qc=")</f>
        <v>#REF!</v>
      </c>
      <c r="I132" t="e">
        <f>IF(#REF!,"AAAAAH+f3Qg=",0)</f>
        <v>#REF!</v>
      </c>
      <c r="J132" t="e">
        <f>AND(#REF!,"AAAAAH+f3Qk=")</f>
        <v>#REF!</v>
      </c>
      <c r="K132" t="e">
        <f>AND(#REF!,"AAAAAH+f3Qo=")</f>
        <v>#REF!</v>
      </c>
      <c r="L132" t="e">
        <f>AND(#REF!,"AAAAAH+f3Qs=")</f>
        <v>#REF!</v>
      </c>
      <c r="M132" t="e">
        <f>AND(#REF!,"AAAAAH+f3Qw=")</f>
        <v>#REF!</v>
      </c>
      <c r="N132" t="e">
        <f>AND(#REF!,"AAAAAH+f3Q0=")</f>
        <v>#REF!</v>
      </c>
      <c r="O132" t="e">
        <f>AND(#REF!,"AAAAAH+f3Q4=")</f>
        <v>#REF!</v>
      </c>
      <c r="P132" t="e">
        <f>AND(#REF!,"AAAAAH+f3Q8=")</f>
        <v>#REF!</v>
      </c>
      <c r="Q132" t="e">
        <f>AND(#REF!,"AAAAAH+f3RA=")</f>
        <v>#REF!</v>
      </c>
      <c r="R132" t="e">
        <f>AND(#REF!,"AAAAAH+f3RE=")</f>
        <v>#REF!</v>
      </c>
      <c r="S132" t="e">
        <f>AND(#REF!,"AAAAAH+f3RI=")</f>
        <v>#REF!</v>
      </c>
      <c r="T132" t="e">
        <f>IF(#REF!,"AAAAAH+f3RM=",0)</f>
        <v>#REF!</v>
      </c>
      <c r="U132" t="e">
        <f>AND(#REF!,"AAAAAH+f3RQ=")</f>
        <v>#REF!</v>
      </c>
      <c r="V132" t="e">
        <f>AND(#REF!,"AAAAAH+f3RU=")</f>
        <v>#REF!</v>
      </c>
      <c r="W132" t="e">
        <f>AND(#REF!,"AAAAAH+f3RY=")</f>
        <v>#REF!</v>
      </c>
      <c r="X132" t="e">
        <f>AND(#REF!,"AAAAAH+f3Rc=")</f>
        <v>#REF!</v>
      </c>
      <c r="Y132" t="e">
        <f>AND(#REF!,"AAAAAH+f3Rg=")</f>
        <v>#REF!</v>
      </c>
      <c r="Z132" t="e">
        <f>AND(#REF!,"AAAAAH+f3Rk=")</f>
        <v>#REF!</v>
      </c>
      <c r="AA132" t="e">
        <f>AND(#REF!,"AAAAAH+f3Ro=")</f>
        <v>#REF!</v>
      </c>
      <c r="AB132" t="e">
        <f>AND(#REF!,"AAAAAH+f3Rs=")</f>
        <v>#REF!</v>
      </c>
      <c r="AC132" t="e">
        <f>AND(#REF!,"AAAAAH+f3Rw=")</f>
        <v>#REF!</v>
      </c>
      <c r="AD132" t="e">
        <f>AND(#REF!,"AAAAAH+f3R0=")</f>
        <v>#REF!</v>
      </c>
      <c r="AE132" t="e">
        <f>IF(#REF!,"AAAAAH+f3R4=",0)</f>
        <v>#REF!</v>
      </c>
      <c r="AF132" t="e">
        <f>AND(#REF!,"AAAAAH+f3R8=")</f>
        <v>#REF!</v>
      </c>
      <c r="AG132" t="e">
        <f>AND(#REF!,"AAAAAH+f3SA=")</f>
        <v>#REF!</v>
      </c>
      <c r="AH132" t="e">
        <f>AND(#REF!,"AAAAAH+f3SE=")</f>
        <v>#REF!</v>
      </c>
      <c r="AI132" t="e">
        <f>AND(#REF!,"AAAAAH+f3SI=")</f>
        <v>#REF!</v>
      </c>
      <c r="AJ132" t="e">
        <f>AND(#REF!,"AAAAAH+f3SM=")</f>
        <v>#REF!</v>
      </c>
      <c r="AK132" t="e">
        <f>AND(#REF!,"AAAAAH+f3SQ=")</f>
        <v>#REF!</v>
      </c>
      <c r="AL132" t="e">
        <f>AND(#REF!,"AAAAAH+f3SU=")</f>
        <v>#REF!</v>
      </c>
      <c r="AM132" t="e">
        <f>AND(#REF!,"AAAAAH+f3SY=")</f>
        <v>#REF!</v>
      </c>
      <c r="AN132" t="e">
        <f>AND(#REF!,"AAAAAH+f3Sc=")</f>
        <v>#REF!</v>
      </c>
      <c r="AO132" t="e">
        <f>AND(#REF!,"AAAAAH+f3Sg=")</f>
        <v>#REF!</v>
      </c>
      <c r="AP132" t="e">
        <f>IF(#REF!,"AAAAAH+f3Sk=",0)</f>
        <v>#REF!</v>
      </c>
      <c r="AQ132" t="e">
        <f>AND(#REF!,"AAAAAH+f3So=")</f>
        <v>#REF!</v>
      </c>
      <c r="AR132" t="e">
        <f>AND(#REF!,"AAAAAH+f3Ss=")</f>
        <v>#REF!</v>
      </c>
      <c r="AS132" t="e">
        <f>AND(#REF!,"AAAAAH+f3Sw=")</f>
        <v>#REF!</v>
      </c>
      <c r="AT132" t="e">
        <f>AND(#REF!,"AAAAAH+f3S0=")</f>
        <v>#REF!</v>
      </c>
      <c r="AU132" t="e">
        <f>AND(#REF!,"AAAAAH+f3S4=")</f>
        <v>#REF!</v>
      </c>
      <c r="AV132" t="e">
        <f>AND(#REF!,"AAAAAH+f3S8=")</f>
        <v>#REF!</v>
      </c>
      <c r="AW132" t="e">
        <f>AND(#REF!,"AAAAAH+f3TA=")</f>
        <v>#REF!</v>
      </c>
      <c r="AX132" t="e">
        <f>AND(#REF!,"AAAAAH+f3TE=")</f>
        <v>#REF!</v>
      </c>
      <c r="AY132" t="e">
        <f>AND(#REF!,"AAAAAH+f3TI=")</f>
        <v>#REF!</v>
      </c>
      <c r="AZ132" t="e">
        <f>AND(#REF!,"AAAAAH+f3TM=")</f>
        <v>#REF!</v>
      </c>
      <c r="BA132" t="e">
        <f>IF(#REF!,"AAAAAH+f3TQ=",0)</f>
        <v>#REF!</v>
      </c>
      <c r="BB132" t="e">
        <f>AND(#REF!,"AAAAAH+f3TU=")</f>
        <v>#REF!</v>
      </c>
      <c r="BC132" t="e">
        <f>AND(#REF!,"AAAAAH+f3TY=")</f>
        <v>#REF!</v>
      </c>
      <c r="BD132" t="e">
        <f>AND(#REF!,"AAAAAH+f3Tc=")</f>
        <v>#REF!</v>
      </c>
      <c r="BE132" t="e">
        <f>AND(#REF!,"AAAAAH+f3Tg=")</f>
        <v>#REF!</v>
      </c>
      <c r="BF132" t="e">
        <f>AND(#REF!,"AAAAAH+f3Tk=")</f>
        <v>#REF!</v>
      </c>
      <c r="BG132" t="e">
        <f>AND(#REF!,"AAAAAH+f3To=")</f>
        <v>#REF!</v>
      </c>
      <c r="BH132" t="e">
        <f>AND(#REF!,"AAAAAH+f3Ts=")</f>
        <v>#REF!</v>
      </c>
      <c r="BI132" t="e">
        <f>AND(#REF!,"AAAAAH+f3Tw=")</f>
        <v>#REF!</v>
      </c>
      <c r="BJ132" t="e">
        <f>AND(#REF!,"AAAAAH+f3T0=")</f>
        <v>#REF!</v>
      </c>
      <c r="BK132" t="e">
        <f>AND(#REF!,"AAAAAH+f3T4=")</f>
        <v>#REF!</v>
      </c>
      <c r="BL132" t="e">
        <f>IF(#REF!,"AAAAAH+f3T8=",0)</f>
        <v>#REF!</v>
      </c>
      <c r="BM132" t="e">
        <f>AND(#REF!,"AAAAAH+f3UA=")</f>
        <v>#REF!</v>
      </c>
      <c r="BN132" t="e">
        <f>AND(#REF!,"AAAAAH+f3UE=")</f>
        <v>#REF!</v>
      </c>
      <c r="BO132" t="e">
        <f>AND(#REF!,"AAAAAH+f3UI=")</f>
        <v>#REF!</v>
      </c>
      <c r="BP132" t="e">
        <f>AND(#REF!,"AAAAAH+f3UM=")</f>
        <v>#REF!</v>
      </c>
      <c r="BQ132" t="e">
        <f>AND(#REF!,"AAAAAH+f3UQ=")</f>
        <v>#REF!</v>
      </c>
      <c r="BR132" t="e">
        <f>AND(#REF!,"AAAAAH+f3UU=")</f>
        <v>#REF!</v>
      </c>
      <c r="BS132" t="e">
        <f>AND(#REF!,"AAAAAH+f3UY=")</f>
        <v>#REF!</v>
      </c>
      <c r="BT132" t="e">
        <f>AND(#REF!,"AAAAAH+f3Uc=")</f>
        <v>#REF!</v>
      </c>
      <c r="BU132" t="e">
        <f>AND(#REF!,"AAAAAH+f3Ug=")</f>
        <v>#REF!</v>
      </c>
      <c r="BV132" t="e">
        <f>AND(#REF!,"AAAAAH+f3Uk=")</f>
        <v>#REF!</v>
      </c>
      <c r="BW132" t="e">
        <f>IF(#REF!,"AAAAAH+f3Uo=",0)</f>
        <v>#REF!</v>
      </c>
      <c r="BX132" t="e">
        <f>AND(#REF!,"AAAAAH+f3Us=")</f>
        <v>#REF!</v>
      </c>
      <c r="BY132" t="e">
        <f>AND(#REF!,"AAAAAH+f3Uw=")</f>
        <v>#REF!</v>
      </c>
      <c r="BZ132" t="e">
        <f>AND(#REF!,"AAAAAH+f3U0=")</f>
        <v>#REF!</v>
      </c>
      <c r="CA132" t="e">
        <f>AND(#REF!,"AAAAAH+f3U4=")</f>
        <v>#REF!</v>
      </c>
      <c r="CB132" t="e">
        <f>AND(#REF!,"AAAAAH+f3U8=")</f>
        <v>#REF!</v>
      </c>
      <c r="CC132" t="e">
        <f>AND(#REF!,"AAAAAH+f3VA=")</f>
        <v>#REF!</v>
      </c>
      <c r="CD132" t="e">
        <f>AND(#REF!,"AAAAAH+f3VE=")</f>
        <v>#REF!</v>
      </c>
      <c r="CE132" t="e">
        <f>AND(#REF!,"AAAAAH+f3VI=")</f>
        <v>#REF!</v>
      </c>
      <c r="CF132" t="e">
        <f>AND(#REF!,"AAAAAH+f3VM=")</f>
        <v>#REF!</v>
      </c>
      <c r="CG132" t="e">
        <f>AND(#REF!,"AAAAAH+f3VQ=")</f>
        <v>#REF!</v>
      </c>
      <c r="CH132" t="e">
        <f>IF(#REF!,"AAAAAH+f3VU=",0)</f>
        <v>#REF!</v>
      </c>
      <c r="CI132" t="e">
        <f>AND(#REF!,"AAAAAH+f3VY=")</f>
        <v>#REF!</v>
      </c>
      <c r="CJ132" t="e">
        <f>AND(#REF!,"AAAAAH+f3Vc=")</f>
        <v>#REF!</v>
      </c>
      <c r="CK132" t="e">
        <f>AND(#REF!,"AAAAAH+f3Vg=")</f>
        <v>#REF!</v>
      </c>
      <c r="CL132" t="e">
        <f>AND(#REF!,"AAAAAH+f3Vk=")</f>
        <v>#REF!</v>
      </c>
      <c r="CM132" t="e">
        <f>AND(#REF!,"AAAAAH+f3Vo=")</f>
        <v>#REF!</v>
      </c>
      <c r="CN132" t="e">
        <f>AND(#REF!,"AAAAAH+f3Vs=")</f>
        <v>#REF!</v>
      </c>
      <c r="CO132" t="e">
        <f>AND(#REF!,"AAAAAH+f3Vw=")</f>
        <v>#REF!</v>
      </c>
      <c r="CP132" t="e">
        <f>AND(#REF!,"AAAAAH+f3V0=")</f>
        <v>#REF!</v>
      </c>
      <c r="CQ132" t="e">
        <f>AND(#REF!,"AAAAAH+f3V4=")</f>
        <v>#REF!</v>
      </c>
      <c r="CR132" t="e">
        <f>AND(#REF!,"AAAAAH+f3V8=")</f>
        <v>#REF!</v>
      </c>
      <c r="CS132" t="e">
        <f>IF(#REF!,"AAAAAH+f3WA=",0)</f>
        <v>#REF!</v>
      </c>
      <c r="CT132" t="e">
        <f>AND(#REF!,"AAAAAH+f3WE=")</f>
        <v>#REF!</v>
      </c>
      <c r="CU132" t="e">
        <f>AND(#REF!,"AAAAAH+f3WI=")</f>
        <v>#REF!</v>
      </c>
      <c r="CV132" t="e">
        <f>AND(#REF!,"AAAAAH+f3WM=")</f>
        <v>#REF!</v>
      </c>
      <c r="CW132" t="e">
        <f>AND(#REF!,"AAAAAH+f3WQ=")</f>
        <v>#REF!</v>
      </c>
      <c r="CX132" t="e">
        <f>AND(#REF!,"AAAAAH+f3WU=")</f>
        <v>#REF!</v>
      </c>
      <c r="CY132" t="e">
        <f>AND(#REF!,"AAAAAH+f3WY=")</f>
        <v>#REF!</v>
      </c>
      <c r="CZ132" t="e">
        <f>AND(#REF!,"AAAAAH+f3Wc=")</f>
        <v>#REF!</v>
      </c>
      <c r="DA132" t="e">
        <f>AND(#REF!,"AAAAAH+f3Wg=")</f>
        <v>#REF!</v>
      </c>
      <c r="DB132" t="e">
        <f>AND(#REF!,"AAAAAH+f3Wk=")</f>
        <v>#REF!</v>
      </c>
      <c r="DC132" t="e">
        <f>AND(#REF!,"AAAAAH+f3Wo=")</f>
        <v>#REF!</v>
      </c>
      <c r="DD132" t="e">
        <f>IF(#REF!,"AAAAAH+f3Ws=",0)</f>
        <v>#REF!</v>
      </c>
      <c r="DE132" t="e">
        <f>AND(#REF!,"AAAAAH+f3Ww=")</f>
        <v>#REF!</v>
      </c>
      <c r="DF132" t="e">
        <f>AND(#REF!,"AAAAAH+f3W0=")</f>
        <v>#REF!</v>
      </c>
      <c r="DG132" t="e">
        <f>AND(#REF!,"AAAAAH+f3W4=")</f>
        <v>#REF!</v>
      </c>
      <c r="DH132" t="e">
        <f>AND(#REF!,"AAAAAH+f3W8=")</f>
        <v>#REF!</v>
      </c>
      <c r="DI132" t="e">
        <f>AND(#REF!,"AAAAAH+f3XA=")</f>
        <v>#REF!</v>
      </c>
      <c r="DJ132" t="e">
        <f>AND(#REF!,"AAAAAH+f3XE=")</f>
        <v>#REF!</v>
      </c>
      <c r="DK132" t="e">
        <f>AND(#REF!,"AAAAAH+f3XI=")</f>
        <v>#REF!</v>
      </c>
      <c r="DL132" t="e">
        <f>AND(#REF!,"AAAAAH+f3XM=")</f>
        <v>#REF!</v>
      </c>
      <c r="DM132" t="e">
        <f>AND(#REF!,"AAAAAH+f3XQ=")</f>
        <v>#REF!</v>
      </c>
      <c r="DN132" t="e">
        <f>AND(#REF!,"AAAAAH+f3XU=")</f>
        <v>#REF!</v>
      </c>
      <c r="DO132" t="e">
        <f>IF(#REF!,"AAAAAH+f3XY=",0)</f>
        <v>#REF!</v>
      </c>
      <c r="DP132" t="e">
        <f>AND(#REF!,"AAAAAH+f3Xc=")</f>
        <v>#REF!</v>
      </c>
      <c r="DQ132" t="e">
        <f>AND(#REF!,"AAAAAH+f3Xg=")</f>
        <v>#REF!</v>
      </c>
      <c r="DR132" t="e">
        <f>AND(#REF!,"AAAAAH+f3Xk=")</f>
        <v>#REF!</v>
      </c>
      <c r="DS132" t="e">
        <f>AND(#REF!,"AAAAAH+f3Xo=")</f>
        <v>#REF!</v>
      </c>
      <c r="DT132" t="e">
        <f>AND(#REF!,"AAAAAH+f3Xs=")</f>
        <v>#REF!</v>
      </c>
      <c r="DU132" t="e">
        <f>AND(#REF!,"AAAAAH+f3Xw=")</f>
        <v>#REF!</v>
      </c>
      <c r="DV132" t="e">
        <f>AND(#REF!,"AAAAAH+f3X0=")</f>
        <v>#REF!</v>
      </c>
      <c r="DW132" t="e">
        <f>AND(#REF!,"AAAAAH+f3X4=")</f>
        <v>#REF!</v>
      </c>
      <c r="DX132" t="e">
        <f>AND(#REF!,"AAAAAH+f3X8=")</f>
        <v>#REF!</v>
      </c>
      <c r="DY132" t="e">
        <f>AND(#REF!,"AAAAAH+f3YA=")</f>
        <v>#REF!</v>
      </c>
      <c r="DZ132" t="e">
        <f>IF(#REF!,"AAAAAH+f3YE=",0)</f>
        <v>#REF!</v>
      </c>
      <c r="EA132" t="e">
        <f>AND(#REF!,"AAAAAH+f3YI=")</f>
        <v>#REF!</v>
      </c>
      <c r="EB132" t="e">
        <f>AND(#REF!,"AAAAAH+f3YM=")</f>
        <v>#REF!</v>
      </c>
      <c r="EC132" t="e">
        <f>AND(#REF!,"AAAAAH+f3YQ=")</f>
        <v>#REF!</v>
      </c>
      <c r="ED132" t="e">
        <f>AND(#REF!,"AAAAAH+f3YU=")</f>
        <v>#REF!</v>
      </c>
      <c r="EE132" t="e">
        <f>AND(#REF!,"AAAAAH+f3YY=")</f>
        <v>#REF!</v>
      </c>
      <c r="EF132" t="e">
        <f>AND(#REF!,"AAAAAH+f3Yc=")</f>
        <v>#REF!</v>
      </c>
      <c r="EG132" t="e">
        <f>AND(#REF!,"AAAAAH+f3Yg=")</f>
        <v>#REF!</v>
      </c>
      <c r="EH132" t="e">
        <f>AND(#REF!,"AAAAAH+f3Yk=")</f>
        <v>#REF!</v>
      </c>
      <c r="EI132" t="e">
        <f>AND(#REF!,"AAAAAH+f3Yo=")</f>
        <v>#REF!</v>
      </c>
      <c r="EJ132" t="e">
        <f>AND(#REF!,"AAAAAH+f3Ys=")</f>
        <v>#REF!</v>
      </c>
      <c r="EK132" t="e">
        <f>IF(#REF!,"AAAAAH+f3Yw=",0)</f>
        <v>#REF!</v>
      </c>
      <c r="EL132" t="e">
        <f>AND(#REF!,"AAAAAH+f3Y0=")</f>
        <v>#REF!</v>
      </c>
      <c r="EM132" t="e">
        <f>AND(#REF!,"AAAAAH+f3Y4=")</f>
        <v>#REF!</v>
      </c>
      <c r="EN132" t="e">
        <f>AND(#REF!,"AAAAAH+f3Y8=")</f>
        <v>#REF!</v>
      </c>
      <c r="EO132" t="e">
        <f>AND(#REF!,"AAAAAH+f3ZA=")</f>
        <v>#REF!</v>
      </c>
      <c r="EP132" t="e">
        <f>AND(#REF!,"AAAAAH+f3ZE=")</f>
        <v>#REF!</v>
      </c>
      <c r="EQ132" t="e">
        <f>AND(#REF!,"AAAAAH+f3ZI=")</f>
        <v>#REF!</v>
      </c>
      <c r="ER132" t="e">
        <f>AND(#REF!,"AAAAAH+f3ZM=")</f>
        <v>#REF!</v>
      </c>
      <c r="ES132" t="e">
        <f>AND(#REF!,"AAAAAH+f3ZQ=")</f>
        <v>#REF!</v>
      </c>
      <c r="ET132" t="e">
        <f>AND(#REF!,"AAAAAH+f3ZU=")</f>
        <v>#REF!</v>
      </c>
      <c r="EU132" t="e">
        <f>AND(#REF!,"AAAAAH+f3ZY=")</f>
        <v>#REF!</v>
      </c>
      <c r="EV132" t="e">
        <f>IF(#REF!,"AAAAAH+f3Zc=",0)</f>
        <v>#REF!</v>
      </c>
      <c r="EW132" t="e">
        <f>AND(#REF!,"AAAAAH+f3Zg=")</f>
        <v>#REF!</v>
      </c>
      <c r="EX132" t="e">
        <f>AND(#REF!,"AAAAAH+f3Zk=")</f>
        <v>#REF!</v>
      </c>
      <c r="EY132" t="e">
        <f>AND(#REF!,"AAAAAH+f3Zo=")</f>
        <v>#REF!</v>
      </c>
      <c r="EZ132" t="e">
        <f>AND(#REF!,"AAAAAH+f3Zs=")</f>
        <v>#REF!</v>
      </c>
      <c r="FA132" t="e">
        <f>AND(#REF!,"AAAAAH+f3Zw=")</f>
        <v>#REF!</v>
      </c>
      <c r="FB132" t="e">
        <f>AND(#REF!,"AAAAAH+f3Z0=")</f>
        <v>#REF!</v>
      </c>
      <c r="FC132" t="e">
        <f>AND(#REF!,"AAAAAH+f3Z4=")</f>
        <v>#REF!</v>
      </c>
      <c r="FD132" t="e">
        <f>AND(#REF!,"AAAAAH+f3Z8=")</f>
        <v>#REF!</v>
      </c>
      <c r="FE132" t="e">
        <f>AND(#REF!,"AAAAAH+f3aA=")</f>
        <v>#REF!</v>
      </c>
      <c r="FF132" t="e">
        <f>AND(#REF!,"AAAAAH+f3aE=")</f>
        <v>#REF!</v>
      </c>
      <c r="FG132" t="e">
        <f>IF(#REF!,"AAAAAH+f3aI=",0)</f>
        <v>#REF!</v>
      </c>
      <c r="FH132" t="e">
        <f>AND(#REF!,"AAAAAH+f3aM=")</f>
        <v>#REF!</v>
      </c>
      <c r="FI132" t="e">
        <f>AND(#REF!,"AAAAAH+f3aQ=")</f>
        <v>#REF!</v>
      </c>
      <c r="FJ132" t="e">
        <f>AND(#REF!,"AAAAAH+f3aU=")</f>
        <v>#REF!</v>
      </c>
      <c r="FK132" t="e">
        <f>AND(#REF!,"AAAAAH+f3aY=")</f>
        <v>#REF!</v>
      </c>
      <c r="FL132" t="e">
        <f>AND(#REF!,"AAAAAH+f3ac=")</f>
        <v>#REF!</v>
      </c>
      <c r="FM132" t="e">
        <f>AND(#REF!,"AAAAAH+f3ag=")</f>
        <v>#REF!</v>
      </c>
      <c r="FN132" t="e">
        <f>AND(#REF!,"AAAAAH+f3ak=")</f>
        <v>#REF!</v>
      </c>
      <c r="FO132" t="e">
        <f>AND(#REF!,"AAAAAH+f3ao=")</f>
        <v>#REF!</v>
      </c>
      <c r="FP132" t="e">
        <f>AND(#REF!,"AAAAAH+f3as=")</f>
        <v>#REF!</v>
      </c>
      <c r="FQ132" t="e">
        <f>AND(#REF!,"AAAAAH+f3aw=")</f>
        <v>#REF!</v>
      </c>
      <c r="FR132" t="e">
        <f>IF(#REF!,"AAAAAH+f3a0=",0)</f>
        <v>#REF!</v>
      </c>
      <c r="FS132" t="e">
        <f>AND(#REF!,"AAAAAH+f3a4=")</f>
        <v>#REF!</v>
      </c>
      <c r="FT132" t="e">
        <f>AND(#REF!,"AAAAAH+f3a8=")</f>
        <v>#REF!</v>
      </c>
      <c r="FU132" t="e">
        <f>AND(#REF!,"AAAAAH+f3bA=")</f>
        <v>#REF!</v>
      </c>
      <c r="FV132" t="e">
        <f>AND(#REF!,"AAAAAH+f3bE=")</f>
        <v>#REF!</v>
      </c>
      <c r="FW132" t="e">
        <f>AND(#REF!,"AAAAAH+f3bI=")</f>
        <v>#REF!</v>
      </c>
      <c r="FX132" t="e">
        <f>AND(#REF!,"AAAAAH+f3bM=")</f>
        <v>#REF!</v>
      </c>
      <c r="FY132" t="e">
        <f>AND(#REF!,"AAAAAH+f3bQ=")</f>
        <v>#REF!</v>
      </c>
      <c r="FZ132" t="e">
        <f>AND(#REF!,"AAAAAH+f3bU=")</f>
        <v>#REF!</v>
      </c>
      <c r="GA132" t="e">
        <f>AND(#REF!,"AAAAAH+f3bY=")</f>
        <v>#REF!</v>
      </c>
      <c r="GB132" t="e">
        <f>AND(#REF!,"AAAAAH+f3bc=")</f>
        <v>#REF!</v>
      </c>
      <c r="GC132" t="e">
        <f>IF(#REF!,"AAAAAH+f3bg=",0)</f>
        <v>#REF!</v>
      </c>
      <c r="GD132" t="e">
        <f>AND(#REF!,"AAAAAH+f3bk=")</f>
        <v>#REF!</v>
      </c>
      <c r="GE132" t="e">
        <f>AND(#REF!,"AAAAAH+f3bo=")</f>
        <v>#REF!</v>
      </c>
      <c r="GF132" t="e">
        <f>AND(#REF!,"AAAAAH+f3bs=")</f>
        <v>#REF!</v>
      </c>
      <c r="GG132" t="e">
        <f>AND(#REF!,"AAAAAH+f3bw=")</f>
        <v>#REF!</v>
      </c>
      <c r="GH132" t="e">
        <f>AND(#REF!,"AAAAAH+f3b0=")</f>
        <v>#REF!</v>
      </c>
      <c r="GI132" t="e">
        <f>AND(#REF!,"AAAAAH+f3b4=")</f>
        <v>#REF!</v>
      </c>
      <c r="GJ132" t="e">
        <f>AND(#REF!,"AAAAAH+f3b8=")</f>
        <v>#REF!</v>
      </c>
      <c r="GK132" t="e">
        <f>AND(#REF!,"AAAAAH+f3cA=")</f>
        <v>#REF!</v>
      </c>
      <c r="GL132" t="e">
        <f>AND(#REF!,"AAAAAH+f3cE=")</f>
        <v>#REF!</v>
      </c>
      <c r="GM132" t="e">
        <f>AND(#REF!,"AAAAAH+f3cI=")</f>
        <v>#REF!</v>
      </c>
      <c r="GN132" t="e">
        <f>IF(#REF!,"AAAAAH+f3cM=",0)</f>
        <v>#REF!</v>
      </c>
      <c r="GO132" t="e">
        <f>AND(#REF!,"AAAAAH+f3cQ=")</f>
        <v>#REF!</v>
      </c>
      <c r="GP132" t="e">
        <f>AND(#REF!,"AAAAAH+f3cU=")</f>
        <v>#REF!</v>
      </c>
      <c r="GQ132" t="e">
        <f>AND(#REF!,"AAAAAH+f3cY=")</f>
        <v>#REF!</v>
      </c>
      <c r="GR132" t="e">
        <f>AND(#REF!,"AAAAAH+f3cc=")</f>
        <v>#REF!</v>
      </c>
      <c r="GS132" t="e">
        <f>AND(#REF!,"AAAAAH+f3cg=")</f>
        <v>#REF!</v>
      </c>
      <c r="GT132" t="e">
        <f>AND(#REF!,"AAAAAH+f3ck=")</f>
        <v>#REF!</v>
      </c>
      <c r="GU132" t="e">
        <f>AND(#REF!,"AAAAAH+f3co=")</f>
        <v>#REF!</v>
      </c>
      <c r="GV132" t="e">
        <f>AND(#REF!,"AAAAAH+f3cs=")</f>
        <v>#REF!</v>
      </c>
      <c r="GW132" t="e">
        <f>AND(#REF!,"AAAAAH+f3cw=")</f>
        <v>#REF!</v>
      </c>
      <c r="GX132" t="e">
        <f>AND(#REF!,"AAAAAH+f3c0=")</f>
        <v>#REF!</v>
      </c>
      <c r="GY132" t="e">
        <f>IF(#REF!,"AAAAAH+f3c4=",0)</f>
        <v>#REF!</v>
      </c>
      <c r="GZ132" t="e">
        <f>AND(#REF!,"AAAAAH+f3c8=")</f>
        <v>#REF!</v>
      </c>
      <c r="HA132" t="e">
        <f>AND(#REF!,"AAAAAH+f3dA=")</f>
        <v>#REF!</v>
      </c>
      <c r="HB132" t="e">
        <f>AND(#REF!,"AAAAAH+f3dE=")</f>
        <v>#REF!</v>
      </c>
      <c r="HC132" t="e">
        <f>AND(#REF!,"AAAAAH+f3dI=")</f>
        <v>#REF!</v>
      </c>
      <c r="HD132" t="e">
        <f>AND(#REF!,"AAAAAH+f3dM=")</f>
        <v>#REF!</v>
      </c>
      <c r="HE132" t="e">
        <f>AND(#REF!,"AAAAAH+f3dQ=")</f>
        <v>#REF!</v>
      </c>
      <c r="HF132" t="e">
        <f>AND(#REF!,"AAAAAH+f3dU=")</f>
        <v>#REF!</v>
      </c>
      <c r="HG132" t="e">
        <f>AND(#REF!,"AAAAAH+f3dY=")</f>
        <v>#REF!</v>
      </c>
      <c r="HH132" t="e">
        <f>AND(#REF!,"AAAAAH+f3dc=")</f>
        <v>#REF!</v>
      </c>
      <c r="HI132" t="e">
        <f>AND(#REF!,"AAAAAH+f3dg=")</f>
        <v>#REF!</v>
      </c>
      <c r="HJ132" t="e">
        <f>IF(#REF!,"AAAAAH+f3dk=",0)</f>
        <v>#REF!</v>
      </c>
      <c r="HK132" t="e">
        <f>AND(#REF!,"AAAAAH+f3do=")</f>
        <v>#REF!</v>
      </c>
      <c r="HL132" t="e">
        <f>AND(#REF!,"AAAAAH+f3ds=")</f>
        <v>#REF!</v>
      </c>
      <c r="HM132" t="e">
        <f>AND(#REF!,"AAAAAH+f3dw=")</f>
        <v>#REF!</v>
      </c>
      <c r="HN132" t="e">
        <f>AND(#REF!,"AAAAAH+f3d0=")</f>
        <v>#REF!</v>
      </c>
      <c r="HO132" t="e">
        <f>AND(#REF!,"AAAAAH+f3d4=")</f>
        <v>#REF!</v>
      </c>
      <c r="HP132" t="e">
        <f>AND(#REF!,"AAAAAH+f3d8=")</f>
        <v>#REF!</v>
      </c>
      <c r="HQ132" t="e">
        <f>AND(#REF!,"AAAAAH+f3eA=")</f>
        <v>#REF!</v>
      </c>
      <c r="HR132" t="e">
        <f>AND(#REF!,"AAAAAH+f3eE=")</f>
        <v>#REF!</v>
      </c>
      <c r="HS132" t="e">
        <f>AND(#REF!,"AAAAAH+f3eI=")</f>
        <v>#REF!</v>
      </c>
      <c r="HT132" t="e">
        <f>AND(#REF!,"AAAAAH+f3eM=")</f>
        <v>#REF!</v>
      </c>
      <c r="HU132" t="e">
        <f>IF(#REF!,"AAAAAH+f3eQ=",0)</f>
        <v>#REF!</v>
      </c>
      <c r="HV132" t="e">
        <f>AND(#REF!,"AAAAAH+f3eU=")</f>
        <v>#REF!</v>
      </c>
      <c r="HW132" t="e">
        <f>AND(#REF!,"AAAAAH+f3eY=")</f>
        <v>#REF!</v>
      </c>
      <c r="HX132" t="e">
        <f>AND(#REF!,"AAAAAH+f3ec=")</f>
        <v>#REF!</v>
      </c>
      <c r="HY132" t="e">
        <f>AND(#REF!,"AAAAAH+f3eg=")</f>
        <v>#REF!</v>
      </c>
      <c r="HZ132" t="e">
        <f>AND(#REF!,"AAAAAH+f3ek=")</f>
        <v>#REF!</v>
      </c>
      <c r="IA132" t="e">
        <f>AND(#REF!,"AAAAAH+f3eo=")</f>
        <v>#REF!</v>
      </c>
      <c r="IB132" t="e">
        <f>AND(#REF!,"AAAAAH+f3es=")</f>
        <v>#REF!</v>
      </c>
      <c r="IC132" t="e">
        <f>AND(#REF!,"AAAAAH+f3ew=")</f>
        <v>#REF!</v>
      </c>
      <c r="ID132" t="e">
        <f>AND(#REF!,"AAAAAH+f3e0=")</f>
        <v>#REF!</v>
      </c>
      <c r="IE132" t="e">
        <f>AND(#REF!,"AAAAAH+f3e4=")</f>
        <v>#REF!</v>
      </c>
      <c r="IF132" t="e">
        <f>IF(#REF!,"AAAAAH+f3e8=",0)</f>
        <v>#REF!</v>
      </c>
      <c r="IG132" t="e">
        <f>AND(#REF!,"AAAAAH+f3fA=")</f>
        <v>#REF!</v>
      </c>
      <c r="IH132" t="e">
        <f>AND(#REF!,"AAAAAH+f3fE=")</f>
        <v>#REF!</v>
      </c>
      <c r="II132" t="e">
        <f>AND(#REF!,"AAAAAH+f3fI=")</f>
        <v>#REF!</v>
      </c>
      <c r="IJ132" t="e">
        <f>AND(#REF!,"AAAAAH+f3fM=")</f>
        <v>#REF!</v>
      </c>
      <c r="IK132" t="e">
        <f>AND(#REF!,"AAAAAH+f3fQ=")</f>
        <v>#REF!</v>
      </c>
      <c r="IL132" t="e">
        <f>AND(#REF!,"AAAAAH+f3fU=")</f>
        <v>#REF!</v>
      </c>
      <c r="IM132" t="e">
        <f>AND(#REF!,"AAAAAH+f3fY=")</f>
        <v>#REF!</v>
      </c>
      <c r="IN132" t="e">
        <f>AND(#REF!,"AAAAAH+f3fc=")</f>
        <v>#REF!</v>
      </c>
      <c r="IO132" t="e">
        <f>AND(#REF!,"AAAAAH+f3fg=")</f>
        <v>#REF!</v>
      </c>
      <c r="IP132" t="e">
        <f>AND(#REF!,"AAAAAH+f3fk=")</f>
        <v>#REF!</v>
      </c>
      <c r="IQ132" t="e">
        <f>IF(#REF!,"AAAAAH+f3fo=",0)</f>
        <v>#REF!</v>
      </c>
      <c r="IR132" t="e">
        <f>AND(#REF!,"AAAAAH+f3fs=")</f>
        <v>#REF!</v>
      </c>
      <c r="IS132" t="e">
        <f>AND(#REF!,"AAAAAH+f3fw=")</f>
        <v>#REF!</v>
      </c>
      <c r="IT132" t="e">
        <f>AND(#REF!,"AAAAAH+f3f0=")</f>
        <v>#REF!</v>
      </c>
      <c r="IU132" t="e">
        <f>AND(#REF!,"AAAAAH+f3f4=")</f>
        <v>#REF!</v>
      </c>
      <c r="IV132" t="e">
        <f>AND(#REF!,"AAAAAH+f3f8=")</f>
        <v>#REF!</v>
      </c>
    </row>
    <row r="133" spans="1:256" x14ac:dyDescent="0.25">
      <c r="A133" t="e">
        <f>AND(#REF!,"AAAAAF95/gA=")</f>
        <v>#REF!</v>
      </c>
      <c r="B133" t="e">
        <f>AND(#REF!,"AAAAAF95/gE=")</f>
        <v>#REF!</v>
      </c>
      <c r="C133" t="e">
        <f>AND(#REF!,"AAAAAF95/gI=")</f>
        <v>#REF!</v>
      </c>
      <c r="D133" t="e">
        <f>AND(#REF!,"AAAAAF95/gM=")</f>
        <v>#REF!</v>
      </c>
      <c r="E133" t="e">
        <f>AND(#REF!,"AAAAAF95/gQ=")</f>
        <v>#REF!</v>
      </c>
      <c r="F133" t="e">
        <f>IF(#REF!,"AAAAAF95/gU=",0)</f>
        <v>#REF!</v>
      </c>
      <c r="G133" t="e">
        <f>AND(#REF!,"AAAAAF95/gY=")</f>
        <v>#REF!</v>
      </c>
      <c r="H133" t="e">
        <f>AND(#REF!,"AAAAAF95/gc=")</f>
        <v>#REF!</v>
      </c>
      <c r="I133" t="e">
        <f>AND(#REF!,"AAAAAF95/gg=")</f>
        <v>#REF!</v>
      </c>
      <c r="J133" t="e">
        <f>AND(#REF!,"AAAAAF95/gk=")</f>
        <v>#REF!</v>
      </c>
      <c r="K133" t="e">
        <f>AND(#REF!,"AAAAAF95/go=")</f>
        <v>#REF!</v>
      </c>
      <c r="L133" t="e">
        <f>AND(#REF!,"AAAAAF95/gs=")</f>
        <v>#REF!</v>
      </c>
      <c r="M133" t="e">
        <f>AND(#REF!,"AAAAAF95/gw=")</f>
        <v>#REF!</v>
      </c>
      <c r="N133" t="e">
        <f>AND(#REF!,"AAAAAF95/g0=")</f>
        <v>#REF!</v>
      </c>
      <c r="O133" t="e">
        <f>AND(#REF!,"AAAAAF95/g4=")</f>
        <v>#REF!</v>
      </c>
      <c r="P133" t="e">
        <f>AND(#REF!,"AAAAAF95/g8=")</f>
        <v>#REF!</v>
      </c>
      <c r="Q133" t="e">
        <f>IF(#REF!,"AAAAAF95/hA=",0)</f>
        <v>#REF!</v>
      </c>
      <c r="R133" t="e">
        <f>AND(#REF!,"AAAAAF95/hE=")</f>
        <v>#REF!</v>
      </c>
      <c r="S133" t="e">
        <f>AND(#REF!,"AAAAAF95/hI=")</f>
        <v>#REF!</v>
      </c>
      <c r="T133" t="e">
        <f>AND(#REF!,"AAAAAF95/hM=")</f>
        <v>#REF!</v>
      </c>
      <c r="U133" t="e">
        <f>AND(#REF!,"AAAAAF95/hQ=")</f>
        <v>#REF!</v>
      </c>
      <c r="V133" t="e">
        <f>AND(#REF!,"AAAAAF95/hU=")</f>
        <v>#REF!</v>
      </c>
      <c r="W133" t="e">
        <f>AND(#REF!,"AAAAAF95/hY=")</f>
        <v>#REF!</v>
      </c>
      <c r="X133" t="e">
        <f>AND(#REF!,"AAAAAF95/hc=")</f>
        <v>#REF!</v>
      </c>
      <c r="Y133" t="e">
        <f>AND(#REF!,"AAAAAF95/hg=")</f>
        <v>#REF!</v>
      </c>
      <c r="Z133" t="e">
        <f>AND(#REF!,"AAAAAF95/hk=")</f>
        <v>#REF!</v>
      </c>
      <c r="AA133" t="e">
        <f>AND(#REF!,"AAAAAF95/ho=")</f>
        <v>#REF!</v>
      </c>
      <c r="AB133" t="e">
        <f>IF(#REF!,"AAAAAF95/hs=",0)</f>
        <v>#REF!</v>
      </c>
      <c r="AC133" t="e">
        <f>AND(#REF!,"AAAAAF95/hw=")</f>
        <v>#REF!</v>
      </c>
      <c r="AD133" t="e">
        <f>AND(#REF!,"AAAAAF95/h0=")</f>
        <v>#REF!</v>
      </c>
      <c r="AE133" t="e">
        <f>AND(#REF!,"AAAAAF95/h4=")</f>
        <v>#REF!</v>
      </c>
      <c r="AF133" t="e">
        <f>AND(#REF!,"AAAAAF95/h8=")</f>
        <v>#REF!</v>
      </c>
      <c r="AG133" t="e">
        <f>AND(#REF!,"AAAAAF95/iA=")</f>
        <v>#REF!</v>
      </c>
      <c r="AH133" t="e">
        <f>AND(#REF!,"AAAAAF95/iE=")</f>
        <v>#REF!</v>
      </c>
      <c r="AI133" t="e">
        <f>AND(#REF!,"AAAAAF95/iI=")</f>
        <v>#REF!</v>
      </c>
      <c r="AJ133" t="e">
        <f>AND(#REF!,"AAAAAF95/iM=")</f>
        <v>#REF!</v>
      </c>
      <c r="AK133" t="e">
        <f>AND(#REF!,"AAAAAF95/iQ=")</f>
        <v>#REF!</v>
      </c>
      <c r="AL133" t="e">
        <f>AND(#REF!,"AAAAAF95/iU=")</f>
        <v>#REF!</v>
      </c>
      <c r="AM133" t="e">
        <f>IF(#REF!,"AAAAAF95/iY=",0)</f>
        <v>#REF!</v>
      </c>
      <c r="AN133" t="e">
        <f>AND(#REF!,"AAAAAF95/ic=")</f>
        <v>#REF!</v>
      </c>
      <c r="AO133" t="e">
        <f>AND(#REF!,"AAAAAF95/ig=")</f>
        <v>#REF!</v>
      </c>
      <c r="AP133" t="e">
        <f>AND(#REF!,"AAAAAF95/ik=")</f>
        <v>#REF!</v>
      </c>
      <c r="AQ133" t="e">
        <f>AND(#REF!,"AAAAAF95/io=")</f>
        <v>#REF!</v>
      </c>
      <c r="AR133" t="e">
        <f>AND(#REF!,"AAAAAF95/is=")</f>
        <v>#REF!</v>
      </c>
      <c r="AS133" t="e">
        <f>AND(#REF!,"AAAAAF95/iw=")</f>
        <v>#REF!</v>
      </c>
      <c r="AT133" t="e">
        <f>AND(#REF!,"AAAAAF95/i0=")</f>
        <v>#REF!</v>
      </c>
      <c r="AU133" t="e">
        <f>AND(#REF!,"AAAAAF95/i4=")</f>
        <v>#REF!</v>
      </c>
      <c r="AV133" t="e">
        <f>AND(#REF!,"AAAAAF95/i8=")</f>
        <v>#REF!</v>
      </c>
      <c r="AW133" t="e">
        <f>AND(#REF!,"AAAAAF95/jA=")</f>
        <v>#REF!</v>
      </c>
      <c r="AX133" t="e">
        <f>IF(#REF!,"AAAAAF95/jE=",0)</f>
        <v>#REF!</v>
      </c>
      <c r="AY133" t="e">
        <f>AND(#REF!,"AAAAAF95/jI=")</f>
        <v>#REF!</v>
      </c>
      <c r="AZ133" t="e">
        <f>AND(#REF!,"AAAAAF95/jM=")</f>
        <v>#REF!</v>
      </c>
      <c r="BA133" t="e">
        <f>AND(#REF!,"AAAAAF95/jQ=")</f>
        <v>#REF!</v>
      </c>
      <c r="BB133" t="e">
        <f>AND(#REF!,"AAAAAF95/jU=")</f>
        <v>#REF!</v>
      </c>
      <c r="BC133" t="e">
        <f>AND(#REF!,"AAAAAF95/jY=")</f>
        <v>#REF!</v>
      </c>
      <c r="BD133" t="e">
        <f>AND(#REF!,"AAAAAF95/jc=")</f>
        <v>#REF!</v>
      </c>
      <c r="BE133" t="e">
        <f>AND(#REF!,"AAAAAF95/jg=")</f>
        <v>#REF!</v>
      </c>
      <c r="BF133" t="e">
        <f>AND(#REF!,"AAAAAF95/jk=")</f>
        <v>#REF!</v>
      </c>
      <c r="BG133" t="e">
        <f>AND(#REF!,"AAAAAF95/jo=")</f>
        <v>#REF!</v>
      </c>
      <c r="BH133" t="e">
        <f>AND(#REF!,"AAAAAF95/js=")</f>
        <v>#REF!</v>
      </c>
      <c r="BI133" t="e">
        <f>IF(#REF!,"AAAAAF95/jw=",0)</f>
        <v>#REF!</v>
      </c>
      <c r="BJ133" t="e">
        <f>AND(#REF!,"AAAAAF95/j0=")</f>
        <v>#REF!</v>
      </c>
      <c r="BK133" t="e">
        <f>AND(#REF!,"AAAAAF95/j4=")</f>
        <v>#REF!</v>
      </c>
      <c r="BL133" t="e">
        <f>AND(#REF!,"AAAAAF95/j8=")</f>
        <v>#REF!</v>
      </c>
      <c r="BM133" t="e">
        <f>AND(#REF!,"AAAAAF95/kA=")</f>
        <v>#REF!</v>
      </c>
      <c r="BN133" t="e">
        <f>AND(#REF!,"AAAAAF95/kE=")</f>
        <v>#REF!</v>
      </c>
      <c r="BO133" t="e">
        <f>AND(#REF!,"AAAAAF95/kI=")</f>
        <v>#REF!</v>
      </c>
      <c r="BP133" t="e">
        <f>AND(#REF!,"AAAAAF95/kM=")</f>
        <v>#REF!</v>
      </c>
      <c r="BQ133" t="e">
        <f>AND(#REF!,"AAAAAF95/kQ=")</f>
        <v>#REF!</v>
      </c>
      <c r="BR133" t="e">
        <f>AND(#REF!,"AAAAAF95/kU=")</f>
        <v>#REF!</v>
      </c>
      <c r="BS133" t="e">
        <f>AND(#REF!,"AAAAAF95/kY=")</f>
        <v>#REF!</v>
      </c>
      <c r="BT133" t="e">
        <f>IF(#REF!,"AAAAAF95/kc=",0)</f>
        <v>#REF!</v>
      </c>
      <c r="BU133" t="e">
        <f>AND(#REF!,"AAAAAF95/kg=")</f>
        <v>#REF!</v>
      </c>
      <c r="BV133" t="e">
        <f>AND(#REF!,"AAAAAF95/kk=")</f>
        <v>#REF!</v>
      </c>
      <c r="BW133" t="e">
        <f>AND(#REF!,"AAAAAF95/ko=")</f>
        <v>#REF!</v>
      </c>
      <c r="BX133" t="e">
        <f>AND(#REF!,"AAAAAF95/ks=")</f>
        <v>#REF!</v>
      </c>
      <c r="BY133" t="e">
        <f>AND(#REF!,"AAAAAF95/kw=")</f>
        <v>#REF!</v>
      </c>
      <c r="BZ133" t="e">
        <f>AND(#REF!,"AAAAAF95/k0=")</f>
        <v>#REF!</v>
      </c>
      <c r="CA133" t="e">
        <f>AND(#REF!,"AAAAAF95/k4=")</f>
        <v>#REF!</v>
      </c>
      <c r="CB133" t="e">
        <f>AND(#REF!,"AAAAAF95/k8=")</f>
        <v>#REF!</v>
      </c>
      <c r="CC133" t="e">
        <f>AND(#REF!,"AAAAAF95/lA=")</f>
        <v>#REF!</v>
      </c>
      <c r="CD133" t="e">
        <f>AND(#REF!,"AAAAAF95/lE=")</f>
        <v>#REF!</v>
      </c>
      <c r="CE133" t="e">
        <f>IF(#REF!,"AAAAAF95/lI=",0)</f>
        <v>#REF!</v>
      </c>
      <c r="CF133" t="e">
        <f>AND(#REF!,"AAAAAF95/lM=")</f>
        <v>#REF!</v>
      </c>
      <c r="CG133" t="e">
        <f>AND(#REF!,"AAAAAF95/lQ=")</f>
        <v>#REF!</v>
      </c>
      <c r="CH133" t="e">
        <f>AND(#REF!,"AAAAAF95/lU=")</f>
        <v>#REF!</v>
      </c>
      <c r="CI133" t="e">
        <f>AND(#REF!,"AAAAAF95/lY=")</f>
        <v>#REF!</v>
      </c>
      <c r="CJ133" t="e">
        <f>AND(#REF!,"AAAAAF95/lc=")</f>
        <v>#REF!</v>
      </c>
      <c r="CK133" t="e">
        <f>AND(#REF!,"AAAAAF95/lg=")</f>
        <v>#REF!</v>
      </c>
      <c r="CL133" t="e">
        <f>AND(#REF!,"AAAAAF95/lk=")</f>
        <v>#REF!</v>
      </c>
      <c r="CM133" t="e">
        <f>AND(#REF!,"AAAAAF95/lo=")</f>
        <v>#REF!</v>
      </c>
      <c r="CN133" t="e">
        <f>AND(#REF!,"AAAAAF95/ls=")</f>
        <v>#REF!</v>
      </c>
      <c r="CO133" t="e">
        <f>AND(#REF!,"AAAAAF95/lw=")</f>
        <v>#REF!</v>
      </c>
      <c r="CP133" t="e">
        <f>IF(#REF!,"AAAAAF95/l0=",0)</f>
        <v>#REF!</v>
      </c>
      <c r="CQ133" t="e">
        <f>AND(#REF!,"AAAAAF95/l4=")</f>
        <v>#REF!</v>
      </c>
      <c r="CR133" t="e">
        <f>AND(#REF!,"AAAAAF95/l8=")</f>
        <v>#REF!</v>
      </c>
      <c r="CS133" t="e">
        <f>AND(#REF!,"AAAAAF95/mA=")</f>
        <v>#REF!</v>
      </c>
      <c r="CT133" t="e">
        <f>AND(#REF!,"AAAAAF95/mE=")</f>
        <v>#REF!</v>
      </c>
      <c r="CU133" t="e">
        <f>AND(#REF!,"AAAAAF95/mI=")</f>
        <v>#REF!</v>
      </c>
      <c r="CV133" t="e">
        <f>AND(#REF!,"AAAAAF95/mM=")</f>
        <v>#REF!</v>
      </c>
      <c r="CW133" t="e">
        <f>AND(#REF!,"AAAAAF95/mQ=")</f>
        <v>#REF!</v>
      </c>
      <c r="CX133" t="e">
        <f>AND(#REF!,"AAAAAF95/mU=")</f>
        <v>#REF!</v>
      </c>
      <c r="CY133" t="e">
        <f>AND(#REF!,"AAAAAF95/mY=")</f>
        <v>#REF!</v>
      </c>
      <c r="CZ133" t="e">
        <f>AND(#REF!,"AAAAAF95/mc=")</f>
        <v>#REF!</v>
      </c>
      <c r="DA133" t="e">
        <f>IF(#REF!,"AAAAAF95/mg=",0)</f>
        <v>#REF!</v>
      </c>
      <c r="DB133" t="e">
        <f>AND(#REF!,"AAAAAF95/mk=")</f>
        <v>#REF!</v>
      </c>
      <c r="DC133" t="e">
        <f>AND(#REF!,"AAAAAF95/mo=")</f>
        <v>#REF!</v>
      </c>
      <c r="DD133" t="e">
        <f>AND(#REF!,"AAAAAF95/ms=")</f>
        <v>#REF!</v>
      </c>
      <c r="DE133" t="e">
        <f>AND(#REF!,"AAAAAF95/mw=")</f>
        <v>#REF!</v>
      </c>
      <c r="DF133" t="e">
        <f>AND(#REF!,"AAAAAF95/m0=")</f>
        <v>#REF!</v>
      </c>
      <c r="DG133" t="e">
        <f>AND(#REF!,"AAAAAF95/m4=")</f>
        <v>#REF!</v>
      </c>
      <c r="DH133" t="e">
        <f>AND(#REF!,"AAAAAF95/m8=")</f>
        <v>#REF!</v>
      </c>
      <c r="DI133" t="e">
        <f>AND(#REF!,"AAAAAF95/nA=")</f>
        <v>#REF!</v>
      </c>
      <c r="DJ133" t="e">
        <f>AND(#REF!,"AAAAAF95/nE=")</f>
        <v>#REF!</v>
      </c>
      <c r="DK133" t="e">
        <f>AND(#REF!,"AAAAAF95/nI=")</f>
        <v>#REF!</v>
      </c>
      <c r="DL133" t="e">
        <f>IF(#REF!,"AAAAAF95/nM=",0)</f>
        <v>#REF!</v>
      </c>
      <c r="DM133" t="e">
        <f>AND(#REF!,"AAAAAF95/nQ=")</f>
        <v>#REF!</v>
      </c>
      <c r="DN133" t="e">
        <f>AND(#REF!,"AAAAAF95/nU=")</f>
        <v>#REF!</v>
      </c>
      <c r="DO133" t="e">
        <f>AND(#REF!,"AAAAAF95/nY=")</f>
        <v>#REF!</v>
      </c>
      <c r="DP133" t="e">
        <f>AND(#REF!,"AAAAAF95/nc=")</f>
        <v>#REF!</v>
      </c>
      <c r="DQ133" t="e">
        <f>AND(#REF!,"AAAAAF95/ng=")</f>
        <v>#REF!</v>
      </c>
      <c r="DR133" t="e">
        <f>AND(#REF!,"AAAAAF95/nk=")</f>
        <v>#REF!</v>
      </c>
      <c r="DS133" t="e">
        <f>AND(#REF!,"AAAAAF95/no=")</f>
        <v>#REF!</v>
      </c>
      <c r="DT133" t="e">
        <f>AND(#REF!,"AAAAAF95/ns=")</f>
        <v>#REF!</v>
      </c>
      <c r="DU133" t="e">
        <f>AND(#REF!,"AAAAAF95/nw=")</f>
        <v>#REF!</v>
      </c>
      <c r="DV133" t="e">
        <f>AND(#REF!,"AAAAAF95/n0=")</f>
        <v>#REF!</v>
      </c>
      <c r="DW133" t="e">
        <f>IF(#REF!,"AAAAAF95/n4=",0)</f>
        <v>#REF!</v>
      </c>
      <c r="DX133" t="e">
        <f>AND(#REF!,"AAAAAF95/n8=")</f>
        <v>#REF!</v>
      </c>
      <c r="DY133" t="e">
        <f>AND(#REF!,"AAAAAF95/oA=")</f>
        <v>#REF!</v>
      </c>
      <c r="DZ133" t="e">
        <f>AND(#REF!,"AAAAAF95/oE=")</f>
        <v>#REF!</v>
      </c>
      <c r="EA133" t="e">
        <f>AND(#REF!,"AAAAAF95/oI=")</f>
        <v>#REF!</v>
      </c>
      <c r="EB133" t="e">
        <f>AND(#REF!,"AAAAAF95/oM=")</f>
        <v>#REF!</v>
      </c>
      <c r="EC133" t="e">
        <f>AND(#REF!,"AAAAAF95/oQ=")</f>
        <v>#REF!</v>
      </c>
      <c r="ED133" t="e">
        <f>AND(#REF!,"AAAAAF95/oU=")</f>
        <v>#REF!</v>
      </c>
      <c r="EE133" t="e">
        <f>AND(#REF!,"AAAAAF95/oY=")</f>
        <v>#REF!</v>
      </c>
      <c r="EF133" t="e">
        <f>AND(#REF!,"AAAAAF95/oc=")</f>
        <v>#REF!</v>
      </c>
      <c r="EG133" t="e">
        <f>AND(#REF!,"AAAAAF95/og=")</f>
        <v>#REF!</v>
      </c>
      <c r="EH133" t="e">
        <f>IF(#REF!,"AAAAAF95/ok=",0)</f>
        <v>#REF!</v>
      </c>
      <c r="EI133" t="e">
        <f>AND(#REF!,"AAAAAF95/oo=")</f>
        <v>#REF!</v>
      </c>
      <c r="EJ133" t="e">
        <f>AND(#REF!,"AAAAAF95/os=")</f>
        <v>#REF!</v>
      </c>
      <c r="EK133" t="e">
        <f>AND(#REF!,"AAAAAF95/ow=")</f>
        <v>#REF!</v>
      </c>
      <c r="EL133" t="e">
        <f>AND(#REF!,"AAAAAF95/o0=")</f>
        <v>#REF!</v>
      </c>
      <c r="EM133" t="e">
        <f>AND(#REF!,"AAAAAF95/o4=")</f>
        <v>#REF!</v>
      </c>
      <c r="EN133" t="e">
        <f>AND(#REF!,"AAAAAF95/o8=")</f>
        <v>#REF!</v>
      </c>
      <c r="EO133" t="e">
        <f>AND(#REF!,"AAAAAF95/pA=")</f>
        <v>#REF!</v>
      </c>
      <c r="EP133" t="e">
        <f>AND(#REF!,"AAAAAF95/pE=")</f>
        <v>#REF!</v>
      </c>
      <c r="EQ133" t="e">
        <f>AND(#REF!,"AAAAAF95/pI=")</f>
        <v>#REF!</v>
      </c>
      <c r="ER133" t="e">
        <f>AND(#REF!,"AAAAAF95/pM=")</f>
        <v>#REF!</v>
      </c>
      <c r="ES133" t="e">
        <f>IF(#REF!,"AAAAAF95/pQ=",0)</f>
        <v>#REF!</v>
      </c>
      <c r="ET133" t="e">
        <f>AND(#REF!,"AAAAAF95/pU=")</f>
        <v>#REF!</v>
      </c>
      <c r="EU133" t="e">
        <f>AND(#REF!,"AAAAAF95/pY=")</f>
        <v>#REF!</v>
      </c>
      <c r="EV133" t="e">
        <f>AND(#REF!,"AAAAAF95/pc=")</f>
        <v>#REF!</v>
      </c>
      <c r="EW133" t="e">
        <f>AND(#REF!,"AAAAAF95/pg=")</f>
        <v>#REF!</v>
      </c>
      <c r="EX133" t="e">
        <f>AND(#REF!,"AAAAAF95/pk=")</f>
        <v>#REF!</v>
      </c>
      <c r="EY133" t="e">
        <f>AND(#REF!,"AAAAAF95/po=")</f>
        <v>#REF!</v>
      </c>
      <c r="EZ133" t="e">
        <f>AND(#REF!,"AAAAAF95/ps=")</f>
        <v>#REF!</v>
      </c>
      <c r="FA133" t="e">
        <f>AND(#REF!,"AAAAAF95/pw=")</f>
        <v>#REF!</v>
      </c>
      <c r="FB133" t="e">
        <f>AND(#REF!,"AAAAAF95/p0=")</f>
        <v>#REF!</v>
      </c>
      <c r="FC133" t="e">
        <f>AND(#REF!,"AAAAAF95/p4=")</f>
        <v>#REF!</v>
      </c>
      <c r="FD133" t="e">
        <f>IF(#REF!,"AAAAAF95/p8=",0)</f>
        <v>#REF!</v>
      </c>
      <c r="FE133" t="e">
        <f>AND(#REF!,"AAAAAF95/qA=")</f>
        <v>#REF!</v>
      </c>
      <c r="FF133" t="e">
        <f>AND(#REF!,"AAAAAF95/qE=")</f>
        <v>#REF!</v>
      </c>
      <c r="FG133" t="e">
        <f>AND(#REF!,"AAAAAF95/qI=")</f>
        <v>#REF!</v>
      </c>
      <c r="FH133" t="e">
        <f>AND(#REF!,"AAAAAF95/qM=")</f>
        <v>#REF!</v>
      </c>
      <c r="FI133" t="e">
        <f>AND(#REF!,"AAAAAF95/qQ=")</f>
        <v>#REF!</v>
      </c>
      <c r="FJ133" t="e">
        <f>AND(#REF!,"AAAAAF95/qU=")</f>
        <v>#REF!</v>
      </c>
      <c r="FK133" t="e">
        <f>AND(#REF!,"AAAAAF95/qY=")</f>
        <v>#REF!</v>
      </c>
      <c r="FL133" t="e">
        <f>AND(#REF!,"AAAAAF95/qc=")</f>
        <v>#REF!</v>
      </c>
      <c r="FM133" t="e">
        <f>AND(#REF!,"AAAAAF95/qg=")</f>
        <v>#REF!</v>
      </c>
      <c r="FN133" t="e">
        <f>AND(#REF!,"AAAAAF95/qk=")</f>
        <v>#REF!</v>
      </c>
      <c r="FO133" t="e">
        <f>IF(#REF!,"AAAAAF95/qo=",0)</f>
        <v>#REF!</v>
      </c>
      <c r="FP133" t="e">
        <f>AND(#REF!,"AAAAAF95/qs=")</f>
        <v>#REF!</v>
      </c>
      <c r="FQ133" t="e">
        <f>AND(#REF!,"AAAAAF95/qw=")</f>
        <v>#REF!</v>
      </c>
      <c r="FR133" t="e">
        <f>AND(#REF!,"AAAAAF95/q0=")</f>
        <v>#REF!</v>
      </c>
      <c r="FS133" t="e">
        <f>AND(#REF!,"AAAAAF95/q4=")</f>
        <v>#REF!</v>
      </c>
      <c r="FT133" t="e">
        <f>AND(#REF!,"AAAAAF95/q8=")</f>
        <v>#REF!</v>
      </c>
      <c r="FU133" t="e">
        <f>AND(#REF!,"AAAAAF95/rA=")</f>
        <v>#REF!</v>
      </c>
      <c r="FV133" t="e">
        <f>AND(#REF!,"AAAAAF95/rE=")</f>
        <v>#REF!</v>
      </c>
      <c r="FW133" t="e">
        <f>AND(#REF!,"AAAAAF95/rI=")</f>
        <v>#REF!</v>
      </c>
      <c r="FX133" t="e">
        <f>AND(#REF!,"AAAAAF95/rM=")</f>
        <v>#REF!</v>
      </c>
      <c r="FY133" t="e">
        <f>AND(#REF!,"AAAAAF95/rQ=")</f>
        <v>#REF!</v>
      </c>
      <c r="FZ133" t="e">
        <f>IF(#REF!,"AAAAAF95/rU=",0)</f>
        <v>#REF!</v>
      </c>
      <c r="GA133" t="e">
        <f>AND(#REF!,"AAAAAF95/rY=")</f>
        <v>#REF!</v>
      </c>
      <c r="GB133" t="e">
        <f>AND(#REF!,"AAAAAF95/rc=")</f>
        <v>#REF!</v>
      </c>
      <c r="GC133" t="e">
        <f>AND(#REF!,"AAAAAF95/rg=")</f>
        <v>#REF!</v>
      </c>
      <c r="GD133" t="e">
        <f>AND(#REF!,"AAAAAF95/rk=")</f>
        <v>#REF!</v>
      </c>
      <c r="GE133" t="e">
        <f>AND(#REF!,"AAAAAF95/ro=")</f>
        <v>#REF!</v>
      </c>
      <c r="GF133" t="e">
        <f>AND(#REF!,"AAAAAF95/rs=")</f>
        <v>#REF!</v>
      </c>
      <c r="GG133" t="e">
        <f>AND(#REF!,"AAAAAF95/rw=")</f>
        <v>#REF!</v>
      </c>
      <c r="GH133" t="e">
        <f>AND(#REF!,"AAAAAF95/r0=")</f>
        <v>#REF!</v>
      </c>
      <c r="GI133" t="e">
        <f>AND(#REF!,"AAAAAF95/r4=")</f>
        <v>#REF!</v>
      </c>
      <c r="GJ133" t="e">
        <f>AND(#REF!,"AAAAAF95/r8=")</f>
        <v>#REF!</v>
      </c>
      <c r="GK133" t="e">
        <f>IF(#REF!,"AAAAAF95/sA=",0)</f>
        <v>#REF!</v>
      </c>
      <c r="GL133" t="e">
        <f>AND(#REF!,"AAAAAF95/sE=")</f>
        <v>#REF!</v>
      </c>
      <c r="GM133" t="e">
        <f>AND(#REF!,"AAAAAF95/sI=")</f>
        <v>#REF!</v>
      </c>
      <c r="GN133" t="e">
        <f>AND(#REF!,"AAAAAF95/sM=")</f>
        <v>#REF!</v>
      </c>
      <c r="GO133" t="e">
        <f>AND(#REF!,"AAAAAF95/sQ=")</f>
        <v>#REF!</v>
      </c>
      <c r="GP133" t="e">
        <f>AND(#REF!,"AAAAAF95/sU=")</f>
        <v>#REF!</v>
      </c>
      <c r="GQ133" t="e">
        <f>AND(#REF!,"AAAAAF95/sY=")</f>
        <v>#REF!</v>
      </c>
      <c r="GR133" t="e">
        <f>AND(#REF!,"AAAAAF95/sc=")</f>
        <v>#REF!</v>
      </c>
      <c r="GS133" t="e">
        <f>AND(#REF!,"AAAAAF95/sg=")</f>
        <v>#REF!</v>
      </c>
      <c r="GT133" t="e">
        <f>AND(#REF!,"AAAAAF95/sk=")</f>
        <v>#REF!</v>
      </c>
      <c r="GU133" t="e">
        <f>AND(#REF!,"AAAAAF95/so=")</f>
        <v>#REF!</v>
      </c>
      <c r="GV133" t="e">
        <f>IF(#REF!,"AAAAAF95/ss=",0)</f>
        <v>#REF!</v>
      </c>
      <c r="GW133" t="e">
        <f>AND(#REF!,"AAAAAF95/sw=")</f>
        <v>#REF!</v>
      </c>
      <c r="GX133" t="e">
        <f>AND(#REF!,"AAAAAF95/s0=")</f>
        <v>#REF!</v>
      </c>
      <c r="GY133" t="e">
        <f>AND(#REF!,"AAAAAF95/s4=")</f>
        <v>#REF!</v>
      </c>
      <c r="GZ133" t="e">
        <f>AND(#REF!,"AAAAAF95/s8=")</f>
        <v>#REF!</v>
      </c>
      <c r="HA133" t="e">
        <f>AND(#REF!,"AAAAAF95/tA=")</f>
        <v>#REF!</v>
      </c>
      <c r="HB133" t="e">
        <f>AND(#REF!,"AAAAAF95/tE=")</f>
        <v>#REF!</v>
      </c>
      <c r="HC133" t="e">
        <f>AND(#REF!,"AAAAAF95/tI=")</f>
        <v>#REF!</v>
      </c>
      <c r="HD133" t="e">
        <f>AND(#REF!,"AAAAAF95/tM=")</f>
        <v>#REF!</v>
      </c>
      <c r="HE133" t="e">
        <f>AND(#REF!,"AAAAAF95/tQ=")</f>
        <v>#REF!</v>
      </c>
      <c r="HF133" t="e">
        <f>AND(#REF!,"AAAAAF95/tU=")</f>
        <v>#REF!</v>
      </c>
      <c r="HG133" t="e">
        <f>IF(#REF!,"AAAAAF95/tY=",0)</f>
        <v>#REF!</v>
      </c>
      <c r="HH133" t="e">
        <f>AND(#REF!,"AAAAAF95/tc=")</f>
        <v>#REF!</v>
      </c>
      <c r="HI133" t="e">
        <f>AND(#REF!,"AAAAAF95/tg=")</f>
        <v>#REF!</v>
      </c>
      <c r="HJ133" t="e">
        <f>AND(#REF!,"AAAAAF95/tk=")</f>
        <v>#REF!</v>
      </c>
      <c r="HK133" t="e">
        <f>AND(#REF!,"AAAAAF95/to=")</f>
        <v>#REF!</v>
      </c>
      <c r="HL133" t="e">
        <f>AND(#REF!,"AAAAAF95/ts=")</f>
        <v>#REF!</v>
      </c>
      <c r="HM133" t="e">
        <f>AND(#REF!,"AAAAAF95/tw=")</f>
        <v>#REF!</v>
      </c>
      <c r="HN133" t="e">
        <f>AND(#REF!,"AAAAAF95/t0=")</f>
        <v>#REF!</v>
      </c>
      <c r="HO133" t="e">
        <f>AND(#REF!,"AAAAAF95/t4=")</f>
        <v>#REF!</v>
      </c>
      <c r="HP133" t="e">
        <f>AND(#REF!,"AAAAAF95/t8=")</f>
        <v>#REF!</v>
      </c>
      <c r="HQ133" t="e">
        <f>AND(#REF!,"AAAAAF95/uA=")</f>
        <v>#REF!</v>
      </c>
      <c r="HR133" t="e">
        <f>IF(#REF!,"AAAAAF95/uE=",0)</f>
        <v>#REF!</v>
      </c>
      <c r="HS133" t="e">
        <f>AND(#REF!,"AAAAAF95/uI=")</f>
        <v>#REF!</v>
      </c>
      <c r="HT133" t="e">
        <f>AND(#REF!,"AAAAAF95/uM=")</f>
        <v>#REF!</v>
      </c>
      <c r="HU133" t="e">
        <f>AND(#REF!,"AAAAAF95/uQ=")</f>
        <v>#REF!</v>
      </c>
      <c r="HV133" t="e">
        <f>AND(#REF!,"AAAAAF95/uU=")</f>
        <v>#REF!</v>
      </c>
      <c r="HW133" t="e">
        <f>AND(#REF!,"AAAAAF95/uY=")</f>
        <v>#REF!</v>
      </c>
      <c r="HX133" t="e">
        <f>AND(#REF!,"AAAAAF95/uc=")</f>
        <v>#REF!</v>
      </c>
      <c r="HY133" t="e">
        <f>AND(#REF!,"AAAAAF95/ug=")</f>
        <v>#REF!</v>
      </c>
      <c r="HZ133" t="e">
        <f>AND(#REF!,"AAAAAF95/uk=")</f>
        <v>#REF!</v>
      </c>
      <c r="IA133" t="e">
        <f>AND(#REF!,"AAAAAF95/uo=")</f>
        <v>#REF!</v>
      </c>
      <c r="IB133" t="e">
        <f>AND(#REF!,"AAAAAF95/us=")</f>
        <v>#REF!</v>
      </c>
      <c r="IC133" t="e">
        <f>IF(#REF!,"AAAAAF95/uw=",0)</f>
        <v>#REF!</v>
      </c>
      <c r="ID133" t="e">
        <f>AND(#REF!,"AAAAAF95/u0=")</f>
        <v>#REF!</v>
      </c>
      <c r="IE133" t="e">
        <f>AND(#REF!,"AAAAAF95/u4=")</f>
        <v>#REF!</v>
      </c>
      <c r="IF133" t="e">
        <f>AND(#REF!,"AAAAAF95/u8=")</f>
        <v>#REF!</v>
      </c>
      <c r="IG133" t="e">
        <f>AND(#REF!,"AAAAAF95/vA=")</f>
        <v>#REF!</v>
      </c>
      <c r="IH133" t="e">
        <f>AND(#REF!,"AAAAAF95/vE=")</f>
        <v>#REF!</v>
      </c>
      <c r="II133" t="e">
        <f>AND(#REF!,"AAAAAF95/vI=")</f>
        <v>#REF!</v>
      </c>
      <c r="IJ133" t="e">
        <f>AND(#REF!,"AAAAAF95/vM=")</f>
        <v>#REF!</v>
      </c>
      <c r="IK133" t="e">
        <f>AND(#REF!,"AAAAAF95/vQ=")</f>
        <v>#REF!</v>
      </c>
      <c r="IL133" t="e">
        <f>AND(#REF!,"AAAAAF95/vU=")</f>
        <v>#REF!</v>
      </c>
      <c r="IM133" t="e">
        <f>AND(#REF!,"AAAAAF95/vY=")</f>
        <v>#REF!</v>
      </c>
      <c r="IN133" t="e">
        <f>IF(#REF!,"AAAAAF95/vc=",0)</f>
        <v>#REF!</v>
      </c>
      <c r="IO133" t="e">
        <f>AND(#REF!,"AAAAAF95/vg=")</f>
        <v>#REF!</v>
      </c>
      <c r="IP133" t="e">
        <f>AND(#REF!,"AAAAAF95/vk=")</f>
        <v>#REF!</v>
      </c>
      <c r="IQ133" t="e">
        <f>AND(#REF!,"AAAAAF95/vo=")</f>
        <v>#REF!</v>
      </c>
      <c r="IR133" t="e">
        <f>AND(#REF!,"AAAAAF95/vs=")</f>
        <v>#REF!</v>
      </c>
      <c r="IS133" t="e">
        <f>AND(#REF!,"AAAAAF95/vw=")</f>
        <v>#REF!</v>
      </c>
      <c r="IT133" t="e">
        <f>AND(#REF!,"AAAAAF95/v0=")</f>
        <v>#REF!</v>
      </c>
      <c r="IU133" t="e">
        <f>AND(#REF!,"AAAAAF95/v4=")</f>
        <v>#REF!</v>
      </c>
      <c r="IV133" t="e">
        <f>AND(#REF!,"AAAAAF95/v8=")</f>
        <v>#REF!</v>
      </c>
    </row>
    <row r="134" spans="1:256" x14ac:dyDescent="0.25">
      <c r="A134" t="e">
        <f>AND(#REF!,"AAAAAD52XQA=")</f>
        <v>#REF!</v>
      </c>
      <c r="B134" t="e">
        <f>AND(#REF!,"AAAAAD52XQE=")</f>
        <v>#REF!</v>
      </c>
      <c r="C134" t="e">
        <f>IF(#REF!,"AAAAAD52XQI=",0)</f>
        <v>#REF!</v>
      </c>
      <c r="D134" t="e">
        <f>AND(#REF!,"AAAAAD52XQM=")</f>
        <v>#REF!</v>
      </c>
      <c r="E134" t="e">
        <f>AND(#REF!,"AAAAAD52XQQ=")</f>
        <v>#REF!</v>
      </c>
      <c r="F134" t="e">
        <f>AND(#REF!,"AAAAAD52XQU=")</f>
        <v>#REF!</v>
      </c>
      <c r="G134" t="e">
        <f>AND(#REF!,"AAAAAD52XQY=")</f>
        <v>#REF!</v>
      </c>
      <c r="H134" t="e">
        <f>AND(#REF!,"AAAAAD52XQc=")</f>
        <v>#REF!</v>
      </c>
      <c r="I134" t="e">
        <f>AND(#REF!,"AAAAAD52XQg=")</f>
        <v>#REF!</v>
      </c>
      <c r="J134" t="e">
        <f>AND(#REF!,"AAAAAD52XQk=")</f>
        <v>#REF!</v>
      </c>
      <c r="K134" t="e">
        <f>AND(#REF!,"AAAAAD52XQo=")</f>
        <v>#REF!</v>
      </c>
      <c r="L134" t="e">
        <f>AND(#REF!,"AAAAAD52XQs=")</f>
        <v>#REF!</v>
      </c>
      <c r="M134" t="e">
        <f>AND(#REF!,"AAAAAD52XQw=")</f>
        <v>#REF!</v>
      </c>
      <c r="N134" t="e">
        <f>IF(#REF!,"AAAAAD52XQ0=",0)</f>
        <v>#REF!</v>
      </c>
      <c r="O134" t="e">
        <f>AND(#REF!,"AAAAAD52XQ4=")</f>
        <v>#REF!</v>
      </c>
      <c r="P134" t="e">
        <f>AND(#REF!,"AAAAAD52XQ8=")</f>
        <v>#REF!</v>
      </c>
      <c r="Q134" t="e">
        <f>AND(#REF!,"AAAAAD52XRA=")</f>
        <v>#REF!</v>
      </c>
      <c r="R134" t="e">
        <f>AND(#REF!,"AAAAAD52XRE=")</f>
        <v>#REF!</v>
      </c>
      <c r="S134" t="e">
        <f>AND(#REF!,"AAAAAD52XRI=")</f>
        <v>#REF!</v>
      </c>
      <c r="T134" t="e">
        <f>AND(#REF!,"AAAAAD52XRM=")</f>
        <v>#REF!</v>
      </c>
      <c r="U134" t="e">
        <f>AND(#REF!,"AAAAAD52XRQ=")</f>
        <v>#REF!</v>
      </c>
      <c r="V134" t="e">
        <f>AND(#REF!,"AAAAAD52XRU=")</f>
        <v>#REF!</v>
      </c>
      <c r="W134" t="e">
        <f>AND(#REF!,"AAAAAD52XRY=")</f>
        <v>#REF!</v>
      </c>
      <c r="X134" t="e">
        <f>AND(#REF!,"AAAAAD52XRc=")</f>
        <v>#REF!</v>
      </c>
      <c r="Y134" t="e">
        <f>IF(#REF!,"AAAAAD52XRg=",0)</f>
        <v>#REF!</v>
      </c>
      <c r="Z134" t="e">
        <f>AND(#REF!,"AAAAAD52XRk=")</f>
        <v>#REF!</v>
      </c>
      <c r="AA134" t="e">
        <f>AND(#REF!,"AAAAAD52XRo=")</f>
        <v>#REF!</v>
      </c>
      <c r="AB134" t="e">
        <f>AND(#REF!,"AAAAAD52XRs=")</f>
        <v>#REF!</v>
      </c>
      <c r="AC134" t="e">
        <f>AND(#REF!,"AAAAAD52XRw=")</f>
        <v>#REF!</v>
      </c>
      <c r="AD134" t="e">
        <f>AND(#REF!,"AAAAAD52XR0=")</f>
        <v>#REF!</v>
      </c>
      <c r="AE134" t="e">
        <f>AND(#REF!,"AAAAAD52XR4=")</f>
        <v>#REF!</v>
      </c>
      <c r="AF134" t="e">
        <f>AND(#REF!,"AAAAAD52XR8=")</f>
        <v>#REF!</v>
      </c>
      <c r="AG134" t="e">
        <f>AND(#REF!,"AAAAAD52XSA=")</f>
        <v>#REF!</v>
      </c>
      <c r="AH134" t="e">
        <f>AND(#REF!,"AAAAAD52XSE=")</f>
        <v>#REF!</v>
      </c>
      <c r="AI134" t="e">
        <f>AND(#REF!,"AAAAAD52XSI=")</f>
        <v>#REF!</v>
      </c>
      <c r="AJ134" t="e">
        <f>IF(#REF!,"AAAAAD52XSM=",0)</f>
        <v>#REF!</v>
      </c>
      <c r="AK134" t="e">
        <f>AND(#REF!,"AAAAAD52XSQ=")</f>
        <v>#REF!</v>
      </c>
      <c r="AL134" t="e">
        <f>AND(#REF!,"AAAAAD52XSU=")</f>
        <v>#REF!</v>
      </c>
      <c r="AM134" t="e">
        <f>AND(#REF!,"AAAAAD52XSY=")</f>
        <v>#REF!</v>
      </c>
      <c r="AN134" t="e">
        <f>AND(#REF!,"AAAAAD52XSc=")</f>
        <v>#REF!</v>
      </c>
      <c r="AO134" t="e">
        <f>AND(#REF!,"AAAAAD52XSg=")</f>
        <v>#REF!</v>
      </c>
      <c r="AP134" t="e">
        <f>AND(#REF!,"AAAAAD52XSk=")</f>
        <v>#REF!</v>
      </c>
      <c r="AQ134" t="e">
        <f>AND(#REF!,"AAAAAD52XSo=")</f>
        <v>#REF!</v>
      </c>
      <c r="AR134" t="e">
        <f>AND(#REF!,"AAAAAD52XSs=")</f>
        <v>#REF!</v>
      </c>
      <c r="AS134" t="e">
        <f>AND(#REF!,"AAAAAD52XSw=")</f>
        <v>#REF!</v>
      </c>
      <c r="AT134" t="e">
        <f>AND(#REF!,"AAAAAD52XS0=")</f>
        <v>#REF!</v>
      </c>
      <c r="AU134" t="e">
        <f>IF(#REF!,"AAAAAD52XS4=",0)</f>
        <v>#REF!</v>
      </c>
      <c r="AV134" t="e">
        <f>AND(#REF!,"AAAAAD52XS8=")</f>
        <v>#REF!</v>
      </c>
      <c r="AW134" t="e">
        <f>AND(#REF!,"AAAAAD52XTA=")</f>
        <v>#REF!</v>
      </c>
      <c r="AX134" t="e">
        <f>AND(#REF!,"AAAAAD52XTE=")</f>
        <v>#REF!</v>
      </c>
      <c r="AY134" t="e">
        <f>AND(#REF!,"AAAAAD52XTI=")</f>
        <v>#REF!</v>
      </c>
      <c r="AZ134" t="e">
        <f>AND(#REF!,"AAAAAD52XTM=")</f>
        <v>#REF!</v>
      </c>
      <c r="BA134" t="e">
        <f>AND(#REF!,"AAAAAD52XTQ=")</f>
        <v>#REF!</v>
      </c>
      <c r="BB134" t="e">
        <f>AND(#REF!,"AAAAAD52XTU=")</f>
        <v>#REF!</v>
      </c>
      <c r="BC134" t="e">
        <f>AND(#REF!,"AAAAAD52XTY=")</f>
        <v>#REF!</v>
      </c>
      <c r="BD134" t="e">
        <f>AND(#REF!,"AAAAAD52XTc=")</f>
        <v>#REF!</v>
      </c>
      <c r="BE134" t="e">
        <f>AND(#REF!,"AAAAAD52XTg=")</f>
        <v>#REF!</v>
      </c>
      <c r="BF134" t="e">
        <f>IF(#REF!,"AAAAAD52XTk=",0)</f>
        <v>#REF!</v>
      </c>
      <c r="BG134" t="e">
        <f>AND(#REF!,"AAAAAD52XTo=")</f>
        <v>#REF!</v>
      </c>
      <c r="BH134" t="e">
        <f>AND(#REF!,"AAAAAD52XTs=")</f>
        <v>#REF!</v>
      </c>
      <c r="BI134" t="e">
        <f>AND(#REF!,"AAAAAD52XTw=")</f>
        <v>#REF!</v>
      </c>
      <c r="BJ134" t="e">
        <f>AND(#REF!,"AAAAAD52XT0=")</f>
        <v>#REF!</v>
      </c>
      <c r="BK134" t="e">
        <f>AND(#REF!,"AAAAAD52XT4=")</f>
        <v>#REF!</v>
      </c>
      <c r="BL134" t="e">
        <f>AND(#REF!,"AAAAAD52XT8=")</f>
        <v>#REF!</v>
      </c>
      <c r="BM134" t="e">
        <f>AND(#REF!,"AAAAAD52XUA=")</f>
        <v>#REF!</v>
      </c>
      <c r="BN134" t="e">
        <f>AND(#REF!,"AAAAAD52XUE=")</f>
        <v>#REF!</v>
      </c>
      <c r="BO134" t="e">
        <f>AND(#REF!,"AAAAAD52XUI=")</f>
        <v>#REF!</v>
      </c>
      <c r="BP134" t="e">
        <f>AND(#REF!,"AAAAAD52XUM=")</f>
        <v>#REF!</v>
      </c>
      <c r="BQ134" t="e">
        <f>IF(#REF!,"AAAAAD52XUQ=",0)</f>
        <v>#REF!</v>
      </c>
      <c r="BR134" t="e">
        <f>AND(#REF!,"AAAAAD52XUU=")</f>
        <v>#REF!</v>
      </c>
      <c r="BS134" t="e">
        <f>AND(#REF!,"AAAAAD52XUY=")</f>
        <v>#REF!</v>
      </c>
      <c r="BT134" t="e">
        <f>AND(#REF!,"AAAAAD52XUc=")</f>
        <v>#REF!</v>
      </c>
      <c r="BU134" t="e">
        <f>AND(#REF!,"AAAAAD52XUg=")</f>
        <v>#REF!</v>
      </c>
      <c r="BV134" t="e">
        <f>AND(#REF!,"AAAAAD52XUk=")</f>
        <v>#REF!</v>
      </c>
      <c r="BW134" t="e">
        <f>AND(#REF!,"AAAAAD52XUo=")</f>
        <v>#REF!</v>
      </c>
      <c r="BX134" t="e">
        <f>AND(#REF!,"AAAAAD52XUs=")</f>
        <v>#REF!</v>
      </c>
      <c r="BY134" t="e">
        <f>AND(#REF!,"AAAAAD52XUw=")</f>
        <v>#REF!</v>
      </c>
      <c r="BZ134" t="e">
        <f>AND(#REF!,"AAAAAD52XU0=")</f>
        <v>#REF!</v>
      </c>
      <c r="CA134" t="e">
        <f>AND(#REF!,"AAAAAD52XU4=")</f>
        <v>#REF!</v>
      </c>
      <c r="CB134" t="e">
        <f>IF(#REF!,"AAAAAD52XU8=",0)</f>
        <v>#REF!</v>
      </c>
      <c r="CC134" t="e">
        <f>AND(#REF!,"AAAAAD52XVA=")</f>
        <v>#REF!</v>
      </c>
      <c r="CD134" t="e">
        <f>AND(#REF!,"AAAAAD52XVE=")</f>
        <v>#REF!</v>
      </c>
      <c r="CE134" t="e">
        <f>AND(#REF!,"AAAAAD52XVI=")</f>
        <v>#REF!</v>
      </c>
      <c r="CF134" t="e">
        <f>AND(#REF!,"AAAAAD52XVM=")</f>
        <v>#REF!</v>
      </c>
      <c r="CG134" t="e">
        <f>AND(#REF!,"AAAAAD52XVQ=")</f>
        <v>#REF!</v>
      </c>
      <c r="CH134" t="e">
        <f>AND(#REF!,"AAAAAD52XVU=")</f>
        <v>#REF!</v>
      </c>
      <c r="CI134" t="e">
        <f>AND(#REF!,"AAAAAD52XVY=")</f>
        <v>#REF!</v>
      </c>
      <c r="CJ134" t="e">
        <f>AND(#REF!,"AAAAAD52XVc=")</f>
        <v>#REF!</v>
      </c>
      <c r="CK134" t="e">
        <f>AND(#REF!,"AAAAAD52XVg=")</f>
        <v>#REF!</v>
      </c>
      <c r="CL134" t="e">
        <f>AND(#REF!,"AAAAAD52XVk=")</f>
        <v>#REF!</v>
      </c>
      <c r="CM134" t="e">
        <f>IF(#REF!,"AAAAAD52XVo=",0)</f>
        <v>#REF!</v>
      </c>
      <c r="CN134" t="e">
        <f>AND(#REF!,"AAAAAD52XVs=")</f>
        <v>#REF!</v>
      </c>
      <c r="CO134" t="e">
        <f>AND(#REF!,"AAAAAD52XVw=")</f>
        <v>#REF!</v>
      </c>
      <c r="CP134" t="e">
        <f>AND(#REF!,"AAAAAD52XV0=")</f>
        <v>#REF!</v>
      </c>
      <c r="CQ134" t="e">
        <f>AND(#REF!,"AAAAAD52XV4=")</f>
        <v>#REF!</v>
      </c>
      <c r="CR134" t="e">
        <f>AND(#REF!,"AAAAAD52XV8=")</f>
        <v>#REF!</v>
      </c>
      <c r="CS134" t="e">
        <f>AND(#REF!,"AAAAAD52XWA=")</f>
        <v>#REF!</v>
      </c>
      <c r="CT134" t="e">
        <f>AND(#REF!,"AAAAAD52XWE=")</f>
        <v>#REF!</v>
      </c>
      <c r="CU134" t="e">
        <f>AND(#REF!,"AAAAAD52XWI=")</f>
        <v>#REF!</v>
      </c>
      <c r="CV134" t="e">
        <f>AND(#REF!,"AAAAAD52XWM=")</f>
        <v>#REF!</v>
      </c>
      <c r="CW134" t="e">
        <f>AND(#REF!,"AAAAAD52XWQ=")</f>
        <v>#REF!</v>
      </c>
      <c r="CX134" t="e">
        <f>IF(#REF!,"AAAAAD52XWU=",0)</f>
        <v>#REF!</v>
      </c>
      <c r="CY134" t="e">
        <f>AND(#REF!,"AAAAAD52XWY=")</f>
        <v>#REF!</v>
      </c>
      <c r="CZ134" t="e">
        <f>AND(#REF!,"AAAAAD52XWc=")</f>
        <v>#REF!</v>
      </c>
      <c r="DA134" t="e">
        <f>AND(#REF!,"AAAAAD52XWg=")</f>
        <v>#REF!</v>
      </c>
      <c r="DB134" t="e">
        <f>AND(#REF!,"AAAAAD52XWk=")</f>
        <v>#REF!</v>
      </c>
      <c r="DC134" t="e">
        <f>AND(#REF!,"AAAAAD52XWo=")</f>
        <v>#REF!</v>
      </c>
      <c r="DD134" t="e">
        <f>AND(#REF!,"AAAAAD52XWs=")</f>
        <v>#REF!</v>
      </c>
      <c r="DE134" t="e">
        <f>AND(#REF!,"AAAAAD52XWw=")</f>
        <v>#REF!</v>
      </c>
      <c r="DF134" t="e">
        <f>AND(#REF!,"AAAAAD52XW0=")</f>
        <v>#REF!</v>
      </c>
      <c r="DG134" t="e">
        <f>AND(#REF!,"AAAAAD52XW4=")</f>
        <v>#REF!</v>
      </c>
      <c r="DH134" t="e">
        <f>AND(#REF!,"AAAAAD52XW8=")</f>
        <v>#REF!</v>
      </c>
      <c r="DI134" t="e">
        <f>IF(#REF!,"AAAAAD52XXA=",0)</f>
        <v>#REF!</v>
      </c>
      <c r="DJ134" t="e">
        <f>AND(#REF!,"AAAAAD52XXE=")</f>
        <v>#REF!</v>
      </c>
      <c r="DK134" t="e">
        <f>AND(#REF!,"AAAAAD52XXI=")</f>
        <v>#REF!</v>
      </c>
      <c r="DL134" t="e">
        <f>AND(#REF!,"AAAAAD52XXM=")</f>
        <v>#REF!</v>
      </c>
      <c r="DM134" t="e">
        <f>AND(#REF!,"AAAAAD52XXQ=")</f>
        <v>#REF!</v>
      </c>
      <c r="DN134" t="e">
        <f>AND(#REF!,"AAAAAD52XXU=")</f>
        <v>#REF!</v>
      </c>
      <c r="DO134" t="e">
        <f>AND(#REF!,"AAAAAD52XXY=")</f>
        <v>#REF!</v>
      </c>
      <c r="DP134" t="e">
        <f>AND(#REF!,"AAAAAD52XXc=")</f>
        <v>#REF!</v>
      </c>
      <c r="DQ134" t="e">
        <f>AND(#REF!,"AAAAAD52XXg=")</f>
        <v>#REF!</v>
      </c>
      <c r="DR134" t="e">
        <f>AND(#REF!,"AAAAAD52XXk=")</f>
        <v>#REF!</v>
      </c>
      <c r="DS134" t="e">
        <f>AND(#REF!,"AAAAAD52XXo=")</f>
        <v>#REF!</v>
      </c>
      <c r="DT134" t="e">
        <f>IF(#REF!,"AAAAAD52XXs=",0)</f>
        <v>#REF!</v>
      </c>
      <c r="DU134" t="e">
        <f>AND(#REF!,"AAAAAD52XXw=")</f>
        <v>#REF!</v>
      </c>
      <c r="DV134" t="e">
        <f>AND(#REF!,"AAAAAD52XX0=")</f>
        <v>#REF!</v>
      </c>
      <c r="DW134" t="e">
        <f>AND(#REF!,"AAAAAD52XX4=")</f>
        <v>#REF!</v>
      </c>
      <c r="DX134" t="e">
        <f>AND(#REF!,"AAAAAD52XX8=")</f>
        <v>#REF!</v>
      </c>
      <c r="DY134" t="e">
        <f>AND(#REF!,"AAAAAD52XYA=")</f>
        <v>#REF!</v>
      </c>
      <c r="DZ134" t="e">
        <f>AND(#REF!,"AAAAAD52XYE=")</f>
        <v>#REF!</v>
      </c>
      <c r="EA134" t="e">
        <f>AND(#REF!,"AAAAAD52XYI=")</f>
        <v>#REF!</v>
      </c>
      <c r="EB134" t="e">
        <f>AND(#REF!,"AAAAAD52XYM=")</f>
        <v>#REF!</v>
      </c>
      <c r="EC134" t="e">
        <f>AND(#REF!,"AAAAAD52XYQ=")</f>
        <v>#REF!</v>
      </c>
      <c r="ED134" t="e">
        <f>AND(#REF!,"AAAAAD52XYU=")</f>
        <v>#REF!</v>
      </c>
      <c r="EE134" t="e">
        <f>IF(#REF!,"AAAAAD52XYY=",0)</f>
        <v>#REF!</v>
      </c>
      <c r="EF134" t="e">
        <f>AND(#REF!,"AAAAAD52XYc=")</f>
        <v>#REF!</v>
      </c>
      <c r="EG134" t="e">
        <f>AND(#REF!,"AAAAAD52XYg=")</f>
        <v>#REF!</v>
      </c>
      <c r="EH134" t="e">
        <f>AND(#REF!,"AAAAAD52XYk=")</f>
        <v>#REF!</v>
      </c>
      <c r="EI134" t="e">
        <f>AND(#REF!,"AAAAAD52XYo=")</f>
        <v>#REF!</v>
      </c>
      <c r="EJ134" t="e">
        <f>AND(#REF!,"AAAAAD52XYs=")</f>
        <v>#REF!</v>
      </c>
      <c r="EK134" t="e">
        <f>AND(#REF!,"AAAAAD52XYw=")</f>
        <v>#REF!</v>
      </c>
      <c r="EL134" t="e">
        <f>AND(#REF!,"AAAAAD52XY0=")</f>
        <v>#REF!</v>
      </c>
      <c r="EM134" t="e">
        <f>AND(#REF!,"AAAAAD52XY4=")</f>
        <v>#REF!</v>
      </c>
      <c r="EN134" t="e">
        <f>AND(#REF!,"AAAAAD52XY8=")</f>
        <v>#REF!</v>
      </c>
      <c r="EO134" t="e">
        <f>AND(#REF!,"AAAAAD52XZA=")</f>
        <v>#REF!</v>
      </c>
      <c r="EP134" t="e">
        <f>IF(#REF!,"AAAAAD52XZE=",0)</f>
        <v>#REF!</v>
      </c>
      <c r="EQ134" t="e">
        <f>AND(#REF!,"AAAAAD52XZI=")</f>
        <v>#REF!</v>
      </c>
      <c r="ER134" t="e">
        <f>AND(#REF!,"AAAAAD52XZM=")</f>
        <v>#REF!</v>
      </c>
      <c r="ES134" t="e">
        <f>AND(#REF!,"AAAAAD52XZQ=")</f>
        <v>#REF!</v>
      </c>
      <c r="ET134" t="e">
        <f>AND(#REF!,"AAAAAD52XZU=")</f>
        <v>#REF!</v>
      </c>
      <c r="EU134" t="e">
        <f>AND(#REF!,"AAAAAD52XZY=")</f>
        <v>#REF!</v>
      </c>
      <c r="EV134" t="e">
        <f>AND(#REF!,"AAAAAD52XZc=")</f>
        <v>#REF!</v>
      </c>
      <c r="EW134" t="e">
        <f>AND(#REF!,"AAAAAD52XZg=")</f>
        <v>#REF!</v>
      </c>
      <c r="EX134" t="e">
        <f>AND(#REF!,"AAAAAD52XZk=")</f>
        <v>#REF!</v>
      </c>
      <c r="EY134" t="e">
        <f>AND(#REF!,"AAAAAD52XZo=")</f>
        <v>#REF!</v>
      </c>
      <c r="EZ134" t="e">
        <f>AND(#REF!,"AAAAAD52XZs=")</f>
        <v>#REF!</v>
      </c>
      <c r="FA134" t="e">
        <f>IF(#REF!,"AAAAAD52XZw=",0)</f>
        <v>#REF!</v>
      </c>
      <c r="FB134" t="e">
        <f>AND(#REF!,"AAAAAD52XZ0=")</f>
        <v>#REF!</v>
      </c>
      <c r="FC134" t="e">
        <f>AND(#REF!,"AAAAAD52XZ4=")</f>
        <v>#REF!</v>
      </c>
      <c r="FD134" t="e">
        <f>AND(#REF!,"AAAAAD52XZ8=")</f>
        <v>#REF!</v>
      </c>
      <c r="FE134" t="e">
        <f>AND(#REF!,"AAAAAD52XaA=")</f>
        <v>#REF!</v>
      </c>
      <c r="FF134" t="e">
        <f>AND(#REF!,"AAAAAD52XaE=")</f>
        <v>#REF!</v>
      </c>
      <c r="FG134" t="e">
        <f>AND(#REF!,"AAAAAD52XaI=")</f>
        <v>#REF!</v>
      </c>
      <c r="FH134" t="e">
        <f>AND(#REF!,"AAAAAD52XaM=")</f>
        <v>#REF!</v>
      </c>
      <c r="FI134" t="e">
        <f>AND(#REF!,"AAAAAD52XaQ=")</f>
        <v>#REF!</v>
      </c>
      <c r="FJ134" t="e">
        <f>AND(#REF!,"AAAAAD52XaU=")</f>
        <v>#REF!</v>
      </c>
      <c r="FK134" t="e">
        <f>AND(#REF!,"AAAAAD52XaY=")</f>
        <v>#REF!</v>
      </c>
      <c r="FL134" t="e">
        <f>IF(#REF!,"AAAAAD52Xac=",0)</f>
        <v>#REF!</v>
      </c>
      <c r="FM134" t="e">
        <f>AND(#REF!,"AAAAAD52Xag=")</f>
        <v>#REF!</v>
      </c>
      <c r="FN134" t="e">
        <f>AND(#REF!,"AAAAAD52Xak=")</f>
        <v>#REF!</v>
      </c>
      <c r="FO134" t="e">
        <f>AND(#REF!,"AAAAAD52Xao=")</f>
        <v>#REF!</v>
      </c>
      <c r="FP134" t="e">
        <f>AND(#REF!,"AAAAAD52Xas=")</f>
        <v>#REF!</v>
      </c>
      <c r="FQ134" t="e">
        <f>AND(#REF!,"AAAAAD52Xaw=")</f>
        <v>#REF!</v>
      </c>
      <c r="FR134" t="e">
        <f>AND(#REF!,"AAAAAD52Xa0=")</f>
        <v>#REF!</v>
      </c>
      <c r="FS134" t="e">
        <f>AND(#REF!,"AAAAAD52Xa4=")</f>
        <v>#REF!</v>
      </c>
      <c r="FT134" t="e">
        <f>AND(#REF!,"AAAAAD52Xa8=")</f>
        <v>#REF!</v>
      </c>
      <c r="FU134" t="e">
        <f>AND(#REF!,"AAAAAD52XbA=")</f>
        <v>#REF!</v>
      </c>
      <c r="FV134" t="e">
        <f>AND(#REF!,"AAAAAD52XbE=")</f>
        <v>#REF!</v>
      </c>
      <c r="FW134" t="e">
        <f>IF(#REF!,"AAAAAD52XbI=",0)</f>
        <v>#REF!</v>
      </c>
      <c r="FX134" t="e">
        <f>AND(#REF!,"AAAAAD52XbM=")</f>
        <v>#REF!</v>
      </c>
      <c r="FY134" t="e">
        <f>AND(#REF!,"AAAAAD52XbQ=")</f>
        <v>#REF!</v>
      </c>
      <c r="FZ134" t="e">
        <f>AND(#REF!,"AAAAAD52XbU=")</f>
        <v>#REF!</v>
      </c>
      <c r="GA134" t="e">
        <f>AND(#REF!,"AAAAAD52XbY=")</f>
        <v>#REF!</v>
      </c>
      <c r="GB134" t="e">
        <f>AND(#REF!,"AAAAAD52Xbc=")</f>
        <v>#REF!</v>
      </c>
      <c r="GC134" t="e">
        <f>AND(#REF!,"AAAAAD52Xbg=")</f>
        <v>#REF!</v>
      </c>
      <c r="GD134" t="e">
        <f>AND(#REF!,"AAAAAD52Xbk=")</f>
        <v>#REF!</v>
      </c>
      <c r="GE134" t="e">
        <f>AND(#REF!,"AAAAAD52Xbo=")</f>
        <v>#REF!</v>
      </c>
      <c r="GF134" t="e">
        <f>AND(#REF!,"AAAAAD52Xbs=")</f>
        <v>#REF!</v>
      </c>
      <c r="GG134" t="e">
        <f>AND(#REF!,"AAAAAD52Xbw=")</f>
        <v>#REF!</v>
      </c>
      <c r="GH134" t="e">
        <f>IF(#REF!,"AAAAAD52Xb0=",0)</f>
        <v>#REF!</v>
      </c>
      <c r="GI134" t="e">
        <f>AND(#REF!,"AAAAAD52Xb4=")</f>
        <v>#REF!</v>
      </c>
      <c r="GJ134" t="e">
        <f>AND(#REF!,"AAAAAD52Xb8=")</f>
        <v>#REF!</v>
      </c>
      <c r="GK134" t="e">
        <f>AND(#REF!,"AAAAAD52XcA=")</f>
        <v>#REF!</v>
      </c>
      <c r="GL134" t="e">
        <f>AND(#REF!,"AAAAAD52XcE=")</f>
        <v>#REF!</v>
      </c>
      <c r="GM134" t="e">
        <f>AND(#REF!,"AAAAAD52XcI=")</f>
        <v>#REF!</v>
      </c>
      <c r="GN134" t="e">
        <f>AND(#REF!,"AAAAAD52XcM=")</f>
        <v>#REF!</v>
      </c>
      <c r="GO134" t="e">
        <f>AND(#REF!,"AAAAAD52XcQ=")</f>
        <v>#REF!</v>
      </c>
      <c r="GP134" t="e">
        <f>AND(#REF!,"AAAAAD52XcU=")</f>
        <v>#REF!</v>
      </c>
      <c r="GQ134" t="e">
        <f>AND(#REF!,"AAAAAD52XcY=")</f>
        <v>#REF!</v>
      </c>
      <c r="GR134" t="e">
        <f>AND(#REF!,"AAAAAD52Xcc=")</f>
        <v>#REF!</v>
      </c>
      <c r="GS134" t="e">
        <f>IF(#REF!,"AAAAAD52Xcg=",0)</f>
        <v>#REF!</v>
      </c>
      <c r="GT134" t="e">
        <f>AND(#REF!,"AAAAAD52Xck=")</f>
        <v>#REF!</v>
      </c>
      <c r="GU134" t="e">
        <f>AND(#REF!,"AAAAAD52Xco=")</f>
        <v>#REF!</v>
      </c>
      <c r="GV134" t="e">
        <f>AND(#REF!,"AAAAAD52Xcs=")</f>
        <v>#REF!</v>
      </c>
      <c r="GW134" t="e">
        <f>AND(#REF!,"AAAAAD52Xcw=")</f>
        <v>#REF!</v>
      </c>
      <c r="GX134" t="e">
        <f>AND(#REF!,"AAAAAD52Xc0=")</f>
        <v>#REF!</v>
      </c>
      <c r="GY134" t="e">
        <f>AND(#REF!,"AAAAAD52Xc4=")</f>
        <v>#REF!</v>
      </c>
      <c r="GZ134" t="e">
        <f>AND(#REF!,"AAAAAD52Xc8=")</f>
        <v>#REF!</v>
      </c>
      <c r="HA134" t="e">
        <f>AND(#REF!,"AAAAAD52XdA=")</f>
        <v>#REF!</v>
      </c>
      <c r="HB134" t="e">
        <f>AND(#REF!,"AAAAAD52XdE=")</f>
        <v>#REF!</v>
      </c>
      <c r="HC134" t="e">
        <f>AND(#REF!,"AAAAAD52XdI=")</f>
        <v>#REF!</v>
      </c>
      <c r="HD134" t="e">
        <f>IF(#REF!,"AAAAAD52XdM=",0)</f>
        <v>#REF!</v>
      </c>
      <c r="HE134" t="e">
        <f>AND(#REF!,"AAAAAD52XdQ=")</f>
        <v>#REF!</v>
      </c>
      <c r="HF134" t="e">
        <f>AND(#REF!,"AAAAAD52XdU=")</f>
        <v>#REF!</v>
      </c>
      <c r="HG134" t="e">
        <f>AND(#REF!,"AAAAAD52XdY=")</f>
        <v>#REF!</v>
      </c>
      <c r="HH134" t="e">
        <f>AND(#REF!,"AAAAAD52Xdc=")</f>
        <v>#REF!</v>
      </c>
      <c r="HI134" t="e">
        <f>AND(#REF!,"AAAAAD52Xdg=")</f>
        <v>#REF!</v>
      </c>
      <c r="HJ134" t="e">
        <f>AND(#REF!,"AAAAAD52Xdk=")</f>
        <v>#REF!</v>
      </c>
      <c r="HK134" t="e">
        <f>AND(#REF!,"AAAAAD52Xdo=")</f>
        <v>#REF!</v>
      </c>
      <c r="HL134" t="e">
        <f>AND(#REF!,"AAAAAD52Xds=")</f>
        <v>#REF!</v>
      </c>
      <c r="HM134" t="e">
        <f>AND(#REF!,"AAAAAD52Xdw=")</f>
        <v>#REF!</v>
      </c>
      <c r="HN134" t="e">
        <f>AND(#REF!,"AAAAAD52Xd0=")</f>
        <v>#REF!</v>
      </c>
      <c r="HO134" t="e">
        <f>IF(#REF!,"AAAAAD52Xd4=",0)</f>
        <v>#REF!</v>
      </c>
      <c r="HP134" t="e">
        <f>AND(#REF!,"AAAAAD52Xd8=")</f>
        <v>#REF!</v>
      </c>
      <c r="HQ134" t="e">
        <f>AND(#REF!,"AAAAAD52XeA=")</f>
        <v>#REF!</v>
      </c>
      <c r="HR134" t="e">
        <f>AND(#REF!,"AAAAAD52XeE=")</f>
        <v>#REF!</v>
      </c>
      <c r="HS134" t="e">
        <f>AND(#REF!,"AAAAAD52XeI=")</f>
        <v>#REF!</v>
      </c>
      <c r="HT134" t="e">
        <f>AND(#REF!,"AAAAAD52XeM=")</f>
        <v>#REF!</v>
      </c>
      <c r="HU134" t="e">
        <f>AND(#REF!,"AAAAAD52XeQ=")</f>
        <v>#REF!</v>
      </c>
      <c r="HV134" t="e">
        <f>AND(#REF!,"AAAAAD52XeU=")</f>
        <v>#REF!</v>
      </c>
      <c r="HW134" t="e">
        <f>AND(#REF!,"AAAAAD52XeY=")</f>
        <v>#REF!</v>
      </c>
      <c r="HX134" t="e">
        <f>AND(#REF!,"AAAAAD52Xec=")</f>
        <v>#REF!</v>
      </c>
      <c r="HY134" t="e">
        <f>AND(#REF!,"AAAAAD52Xeg=")</f>
        <v>#REF!</v>
      </c>
      <c r="HZ134" t="e">
        <f>IF(#REF!,"AAAAAD52Xek=",0)</f>
        <v>#REF!</v>
      </c>
      <c r="IA134" t="e">
        <f>AND(#REF!,"AAAAAD52Xeo=")</f>
        <v>#REF!</v>
      </c>
      <c r="IB134" t="e">
        <f>AND(#REF!,"AAAAAD52Xes=")</f>
        <v>#REF!</v>
      </c>
      <c r="IC134" t="e">
        <f>AND(#REF!,"AAAAAD52Xew=")</f>
        <v>#REF!</v>
      </c>
      <c r="ID134" t="e">
        <f>AND(#REF!,"AAAAAD52Xe0=")</f>
        <v>#REF!</v>
      </c>
      <c r="IE134" t="e">
        <f>AND(#REF!,"AAAAAD52Xe4=")</f>
        <v>#REF!</v>
      </c>
      <c r="IF134" t="e">
        <f>AND(#REF!,"AAAAAD52Xe8=")</f>
        <v>#REF!</v>
      </c>
      <c r="IG134" t="e">
        <f>AND(#REF!,"AAAAAD52XfA=")</f>
        <v>#REF!</v>
      </c>
      <c r="IH134" t="e">
        <f>AND(#REF!,"AAAAAD52XfE=")</f>
        <v>#REF!</v>
      </c>
      <c r="II134" t="e">
        <f>AND(#REF!,"AAAAAD52XfI=")</f>
        <v>#REF!</v>
      </c>
      <c r="IJ134" t="e">
        <f>AND(#REF!,"AAAAAD52XfM=")</f>
        <v>#REF!</v>
      </c>
      <c r="IK134" t="e">
        <f>IF(#REF!,"AAAAAD52XfQ=",0)</f>
        <v>#REF!</v>
      </c>
      <c r="IL134" t="e">
        <f>AND(#REF!,"AAAAAD52XfU=")</f>
        <v>#REF!</v>
      </c>
      <c r="IM134" t="e">
        <f>AND(#REF!,"AAAAAD52XfY=")</f>
        <v>#REF!</v>
      </c>
      <c r="IN134" t="e">
        <f>AND(#REF!,"AAAAAD52Xfc=")</f>
        <v>#REF!</v>
      </c>
      <c r="IO134" t="e">
        <f>AND(#REF!,"AAAAAD52Xfg=")</f>
        <v>#REF!</v>
      </c>
      <c r="IP134" t="e">
        <f>AND(#REF!,"AAAAAD52Xfk=")</f>
        <v>#REF!</v>
      </c>
      <c r="IQ134" t="e">
        <f>AND(#REF!,"AAAAAD52Xfo=")</f>
        <v>#REF!</v>
      </c>
      <c r="IR134" t="e">
        <f>AND(#REF!,"AAAAAD52Xfs=")</f>
        <v>#REF!</v>
      </c>
      <c r="IS134" t="e">
        <f>AND(#REF!,"AAAAAD52Xfw=")</f>
        <v>#REF!</v>
      </c>
      <c r="IT134" t="e">
        <f>AND(#REF!,"AAAAAD52Xf0=")</f>
        <v>#REF!</v>
      </c>
      <c r="IU134" t="e">
        <f>AND(#REF!,"AAAAAD52Xf4=")</f>
        <v>#REF!</v>
      </c>
      <c r="IV134" t="e">
        <f>IF(#REF!,"AAAAAD52Xf8=",0)</f>
        <v>#REF!</v>
      </c>
    </row>
    <row r="135" spans="1:256" x14ac:dyDescent="0.25">
      <c r="A135" t="e">
        <f>AND(#REF!,"AAAAAF07VAA=")</f>
        <v>#REF!</v>
      </c>
      <c r="B135" t="e">
        <f>AND(#REF!,"AAAAAF07VAE=")</f>
        <v>#REF!</v>
      </c>
      <c r="C135" t="e">
        <f>AND(#REF!,"AAAAAF07VAI=")</f>
        <v>#REF!</v>
      </c>
      <c r="D135" t="e">
        <f>AND(#REF!,"AAAAAF07VAM=")</f>
        <v>#REF!</v>
      </c>
      <c r="E135" t="e">
        <f>AND(#REF!,"AAAAAF07VAQ=")</f>
        <v>#REF!</v>
      </c>
      <c r="F135" t="e">
        <f>AND(#REF!,"AAAAAF07VAU=")</f>
        <v>#REF!</v>
      </c>
      <c r="G135" t="e">
        <f>AND(#REF!,"AAAAAF07VAY=")</f>
        <v>#REF!</v>
      </c>
      <c r="H135" t="e">
        <f>AND(#REF!,"AAAAAF07VAc=")</f>
        <v>#REF!</v>
      </c>
      <c r="I135" t="e">
        <f>AND(#REF!,"AAAAAF07VAg=")</f>
        <v>#REF!</v>
      </c>
      <c r="J135" t="e">
        <f>AND(#REF!,"AAAAAF07VAk=")</f>
        <v>#REF!</v>
      </c>
      <c r="K135" t="e">
        <f>IF(#REF!,"AAAAAF07VAo=",0)</f>
        <v>#REF!</v>
      </c>
      <c r="L135" t="e">
        <f>AND(#REF!,"AAAAAF07VAs=")</f>
        <v>#REF!</v>
      </c>
      <c r="M135" t="e">
        <f>AND(#REF!,"AAAAAF07VAw=")</f>
        <v>#REF!</v>
      </c>
      <c r="N135" t="e">
        <f>AND(#REF!,"AAAAAF07VA0=")</f>
        <v>#REF!</v>
      </c>
      <c r="O135" t="e">
        <f>AND(#REF!,"AAAAAF07VA4=")</f>
        <v>#REF!</v>
      </c>
      <c r="P135" t="e">
        <f>AND(#REF!,"AAAAAF07VA8=")</f>
        <v>#REF!</v>
      </c>
      <c r="Q135" t="e">
        <f>AND(#REF!,"AAAAAF07VBA=")</f>
        <v>#REF!</v>
      </c>
      <c r="R135" t="e">
        <f>AND(#REF!,"AAAAAF07VBE=")</f>
        <v>#REF!</v>
      </c>
      <c r="S135" t="e">
        <f>AND(#REF!,"AAAAAF07VBI=")</f>
        <v>#REF!</v>
      </c>
      <c r="T135" t="e">
        <f>AND(#REF!,"AAAAAF07VBM=")</f>
        <v>#REF!</v>
      </c>
      <c r="U135" t="e">
        <f>AND(#REF!,"AAAAAF07VBQ=")</f>
        <v>#REF!</v>
      </c>
      <c r="V135" t="e">
        <f>IF(#REF!,"AAAAAF07VBU=",0)</f>
        <v>#REF!</v>
      </c>
      <c r="W135" t="e">
        <f>AND(#REF!,"AAAAAF07VBY=")</f>
        <v>#REF!</v>
      </c>
      <c r="X135" t="e">
        <f>AND(#REF!,"AAAAAF07VBc=")</f>
        <v>#REF!</v>
      </c>
      <c r="Y135" t="e">
        <f>AND(#REF!,"AAAAAF07VBg=")</f>
        <v>#REF!</v>
      </c>
      <c r="Z135" t="e">
        <f>AND(#REF!,"AAAAAF07VBk=")</f>
        <v>#REF!</v>
      </c>
      <c r="AA135" t="e">
        <f>AND(#REF!,"AAAAAF07VBo=")</f>
        <v>#REF!</v>
      </c>
      <c r="AB135" t="e">
        <f>AND(#REF!,"AAAAAF07VBs=")</f>
        <v>#REF!</v>
      </c>
      <c r="AC135" t="e">
        <f>AND(#REF!,"AAAAAF07VBw=")</f>
        <v>#REF!</v>
      </c>
      <c r="AD135" t="e">
        <f>AND(#REF!,"AAAAAF07VB0=")</f>
        <v>#REF!</v>
      </c>
      <c r="AE135" t="e">
        <f>AND(#REF!,"AAAAAF07VB4=")</f>
        <v>#REF!</v>
      </c>
      <c r="AF135" t="e">
        <f>AND(#REF!,"AAAAAF07VB8=")</f>
        <v>#REF!</v>
      </c>
      <c r="AG135" t="e">
        <f>IF(#REF!,"AAAAAF07VCA=",0)</f>
        <v>#REF!</v>
      </c>
      <c r="AH135" t="e">
        <f>AND(#REF!,"AAAAAF07VCE=")</f>
        <v>#REF!</v>
      </c>
      <c r="AI135" t="e">
        <f>AND(#REF!,"AAAAAF07VCI=")</f>
        <v>#REF!</v>
      </c>
      <c r="AJ135" t="e">
        <f>AND(#REF!,"AAAAAF07VCM=")</f>
        <v>#REF!</v>
      </c>
      <c r="AK135" t="e">
        <f>AND(#REF!,"AAAAAF07VCQ=")</f>
        <v>#REF!</v>
      </c>
      <c r="AL135" t="e">
        <f>AND(#REF!,"AAAAAF07VCU=")</f>
        <v>#REF!</v>
      </c>
      <c r="AM135" t="e">
        <f>AND(#REF!,"AAAAAF07VCY=")</f>
        <v>#REF!</v>
      </c>
      <c r="AN135" t="e">
        <f>AND(#REF!,"AAAAAF07VCc=")</f>
        <v>#REF!</v>
      </c>
      <c r="AO135" t="e">
        <f>AND(#REF!,"AAAAAF07VCg=")</f>
        <v>#REF!</v>
      </c>
      <c r="AP135" t="e">
        <f>AND(#REF!,"AAAAAF07VCk=")</f>
        <v>#REF!</v>
      </c>
      <c r="AQ135" t="e">
        <f>AND(#REF!,"AAAAAF07VCo=")</f>
        <v>#REF!</v>
      </c>
      <c r="AR135" t="e">
        <f>IF(#REF!,"AAAAAF07VCs=",0)</f>
        <v>#REF!</v>
      </c>
      <c r="AS135" t="e">
        <f>AND(#REF!,"AAAAAF07VCw=")</f>
        <v>#REF!</v>
      </c>
      <c r="AT135" t="e">
        <f>AND(#REF!,"AAAAAF07VC0=")</f>
        <v>#REF!</v>
      </c>
      <c r="AU135" t="e">
        <f>AND(#REF!,"AAAAAF07VC4=")</f>
        <v>#REF!</v>
      </c>
      <c r="AV135" t="e">
        <f>AND(#REF!,"AAAAAF07VC8=")</f>
        <v>#REF!</v>
      </c>
      <c r="AW135" t="e">
        <f>AND(#REF!,"AAAAAF07VDA=")</f>
        <v>#REF!</v>
      </c>
      <c r="AX135" t="e">
        <f>AND(#REF!,"AAAAAF07VDE=")</f>
        <v>#REF!</v>
      </c>
      <c r="AY135" t="e">
        <f>AND(#REF!,"AAAAAF07VDI=")</f>
        <v>#REF!</v>
      </c>
      <c r="AZ135" t="e">
        <f>AND(#REF!,"AAAAAF07VDM=")</f>
        <v>#REF!</v>
      </c>
      <c r="BA135" t="e">
        <f>AND(#REF!,"AAAAAF07VDQ=")</f>
        <v>#REF!</v>
      </c>
      <c r="BB135" t="e">
        <f>AND(#REF!,"AAAAAF07VDU=")</f>
        <v>#REF!</v>
      </c>
      <c r="BC135" t="e">
        <f>IF(#REF!,"AAAAAF07VDY=",0)</f>
        <v>#REF!</v>
      </c>
      <c r="BD135" t="e">
        <f>AND(#REF!,"AAAAAF07VDc=")</f>
        <v>#REF!</v>
      </c>
      <c r="BE135" t="e">
        <f>AND(#REF!,"AAAAAF07VDg=")</f>
        <v>#REF!</v>
      </c>
      <c r="BF135" t="e">
        <f>AND(#REF!,"AAAAAF07VDk=")</f>
        <v>#REF!</v>
      </c>
      <c r="BG135" t="e">
        <f>AND(#REF!,"AAAAAF07VDo=")</f>
        <v>#REF!</v>
      </c>
      <c r="BH135" t="e">
        <f>AND(#REF!,"AAAAAF07VDs=")</f>
        <v>#REF!</v>
      </c>
      <c r="BI135" t="e">
        <f>AND(#REF!,"AAAAAF07VDw=")</f>
        <v>#REF!</v>
      </c>
      <c r="BJ135" t="e">
        <f>AND(#REF!,"AAAAAF07VD0=")</f>
        <v>#REF!</v>
      </c>
      <c r="BK135" t="e">
        <f>AND(#REF!,"AAAAAF07VD4=")</f>
        <v>#REF!</v>
      </c>
      <c r="BL135" t="e">
        <f>AND(#REF!,"AAAAAF07VD8=")</f>
        <v>#REF!</v>
      </c>
      <c r="BM135" t="e">
        <f>AND(#REF!,"AAAAAF07VEA=")</f>
        <v>#REF!</v>
      </c>
      <c r="BN135" t="e">
        <f>IF(#REF!,"AAAAAF07VEE=",0)</f>
        <v>#REF!</v>
      </c>
      <c r="BO135" t="e">
        <f>AND(#REF!,"AAAAAF07VEI=")</f>
        <v>#REF!</v>
      </c>
      <c r="BP135" t="e">
        <f>AND(#REF!,"AAAAAF07VEM=")</f>
        <v>#REF!</v>
      </c>
      <c r="BQ135" t="e">
        <f>AND(#REF!,"AAAAAF07VEQ=")</f>
        <v>#REF!</v>
      </c>
      <c r="BR135" t="e">
        <f>AND(#REF!,"AAAAAF07VEU=")</f>
        <v>#REF!</v>
      </c>
      <c r="BS135" t="e">
        <f>AND(#REF!,"AAAAAF07VEY=")</f>
        <v>#REF!</v>
      </c>
      <c r="BT135" t="e">
        <f>AND(#REF!,"AAAAAF07VEc=")</f>
        <v>#REF!</v>
      </c>
      <c r="BU135" t="e">
        <f>AND(#REF!,"AAAAAF07VEg=")</f>
        <v>#REF!</v>
      </c>
      <c r="BV135" t="e">
        <f>AND(#REF!,"AAAAAF07VEk=")</f>
        <v>#REF!</v>
      </c>
      <c r="BW135" t="e">
        <f>AND(#REF!,"AAAAAF07VEo=")</f>
        <v>#REF!</v>
      </c>
      <c r="BX135" t="e">
        <f>AND(#REF!,"AAAAAF07VEs=")</f>
        <v>#REF!</v>
      </c>
      <c r="BY135" t="e">
        <f>IF(#REF!,"AAAAAF07VEw=",0)</f>
        <v>#REF!</v>
      </c>
      <c r="BZ135" t="e">
        <f>AND(#REF!,"AAAAAF07VE0=")</f>
        <v>#REF!</v>
      </c>
      <c r="CA135" t="e">
        <f>AND(#REF!,"AAAAAF07VE4=")</f>
        <v>#REF!</v>
      </c>
      <c r="CB135" t="e">
        <f>AND(#REF!,"AAAAAF07VE8=")</f>
        <v>#REF!</v>
      </c>
      <c r="CC135" t="e">
        <f>AND(#REF!,"AAAAAF07VFA=")</f>
        <v>#REF!</v>
      </c>
      <c r="CD135" t="e">
        <f>AND(#REF!,"AAAAAF07VFE=")</f>
        <v>#REF!</v>
      </c>
      <c r="CE135" t="e">
        <f>AND(#REF!,"AAAAAF07VFI=")</f>
        <v>#REF!</v>
      </c>
      <c r="CF135" t="e">
        <f>AND(#REF!,"AAAAAF07VFM=")</f>
        <v>#REF!</v>
      </c>
      <c r="CG135" t="e">
        <f>AND(#REF!,"AAAAAF07VFQ=")</f>
        <v>#REF!</v>
      </c>
      <c r="CH135" t="e">
        <f>AND(#REF!,"AAAAAF07VFU=")</f>
        <v>#REF!</v>
      </c>
      <c r="CI135" t="e">
        <f>AND(#REF!,"AAAAAF07VFY=")</f>
        <v>#REF!</v>
      </c>
      <c r="CJ135" t="e">
        <f>IF(#REF!,"AAAAAF07VFc=",0)</f>
        <v>#REF!</v>
      </c>
      <c r="CK135" t="e">
        <f>AND(#REF!,"AAAAAF07VFg=")</f>
        <v>#REF!</v>
      </c>
      <c r="CL135" t="e">
        <f>AND(#REF!,"AAAAAF07VFk=")</f>
        <v>#REF!</v>
      </c>
      <c r="CM135" t="e">
        <f>AND(#REF!,"AAAAAF07VFo=")</f>
        <v>#REF!</v>
      </c>
      <c r="CN135" t="e">
        <f>AND(#REF!,"AAAAAF07VFs=")</f>
        <v>#REF!</v>
      </c>
      <c r="CO135" t="e">
        <f>AND(#REF!,"AAAAAF07VFw=")</f>
        <v>#REF!</v>
      </c>
      <c r="CP135" t="e">
        <f>AND(#REF!,"AAAAAF07VF0=")</f>
        <v>#REF!</v>
      </c>
      <c r="CQ135" t="e">
        <f>AND(#REF!,"AAAAAF07VF4=")</f>
        <v>#REF!</v>
      </c>
      <c r="CR135" t="e">
        <f>AND(#REF!,"AAAAAF07VF8=")</f>
        <v>#REF!</v>
      </c>
      <c r="CS135" t="e">
        <f>AND(#REF!,"AAAAAF07VGA=")</f>
        <v>#REF!</v>
      </c>
      <c r="CT135" t="e">
        <f>AND(#REF!,"AAAAAF07VGE=")</f>
        <v>#REF!</v>
      </c>
      <c r="CU135" t="e">
        <f>IF(#REF!,"AAAAAF07VGI=",0)</f>
        <v>#REF!</v>
      </c>
      <c r="CV135" t="e">
        <f>AND(#REF!,"AAAAAF07VGM=")</f>
        <v>#REF!</v>
      </c>
      <c r="CW135" t="e">
        <f>AND(#REF!,"AAAAAF07VGQ=")</f>
        <v>#REF!</v>
      </c>
      <c r="CX135" t="e">
        <f>AND(#REF!,"AAAAAF07VGU=")</f>
        <v>#REF!</v>
      </c>
      <c r="CY135" t="e">
        <f>AND(#REF!,"AAAAAF07VGY=")</f>
        <v>#REF!</v>
      </c>
      <c r="CZ135" t="e">
        <f>AND(#REF!,"AAAAAF07VGc=")</f>
        <v>#REF!</v>
      </c>
      <c r="DA135" t="e">
        <f>AND(#REF!,"AAAAAF07VGg=")</f>
        <v>#REF!</v>
      </c>
      <c r="DB135" t="e">
        <f>AND(#REF!,"AAAAAF07VGk=")</f>
        <v>#REF!</v>
      </c>
      <c r="DC135" t="e">
        <f>AND(#REF!,"AAAAAF07VGo=")</f>
        <v>#REF!</v>
      </c>
      <c r="DD135" t="e">
        <f>AND(#REF!,"AAAAAF07VGs=")</f>
        <v>#REF!</v>
      </c>
      <c r="DE135" t="e">
        <f>AND(#REF!,"AAAAAF07VGw=")</f>
        <v>#REF!</v>
      </c>
      <c r="DF135" t="e">
        <f>IF(#REF!,"AAAAAF07VG0=",0)</f>
        <v>#REF!</v>
      </c>
      <c r="DG135" t="e">
        <f>AND(#REF!,"AAAAAF07VG4=")</f>
        <v>#REF!</v>
      </c>
      <c r="DH135" t="e">
        <f>AND(#REF!,"AAAAAF07VG8=")</f>
        <v>#REF!</v>
      </c>
      <c r="DI135" t="e">
        <f>AND(#REF!,"AAAAAF07VHA=")</f>
        <v>#REF!</v>
      </c>
      <c r="DJ135" t="e">
        <f>AND(#REF!,"AAAAAF07VHE=")</f>
        <v>#REF!</v>
      </c>
      <c r="DK135" t="e">
        <f>AND(#REF!,"AAAAAF07VHI=")</f>
        <v>#REF!</v>
      </c>
      <c r="DL135" t="e">
        <f>AND(#REF!,"AAAAAF07VHM=")</f>
        <v>#REF!</v>
      </c>
      <c r="DM135" t="e">
        <f>AND(#REF!,"AAAAAF07VHQ=")</f>
        <v>#REF!</v>
      </c>
      <c r="DN135" t="e">
        <f>AND(#REF!,"AAAAAF07VHU=")</f>
        <v>#REF!</v>
      </c>
      <c r="DO135" t="e">
        <f>AND(#REF!,"AAAAAF07VHY=")</f>
        <v>#REF!</v>
      </c>
      <c r="DP135" t="e">
        <f>AND(#REF!,"AAAAAF07VHc=")</f>
        <v>#REF!</v>
      </c>
      <c r="DQ135" t="e">
        <f>IF(#REF!,"AAAAAF07VHg=",0)</f>
        <v>#REF!</v>
      </c>
      <c r="DR135" t="e">
        <f>AND(#REF!,"AAAAAF07VHk=")</f>
        <v>#REF!</v>
      </c>
      <c r="DS135" t="e">
        <f>AND(#REF!,"AAAAAF07VHo=")</f>
        <v>#REF!</v>
      </c>
      <c r="DT135" t="e">
        <f>AND(#REF!,"AAAAAF07VHs=")</f>
        <v>#REF!</v>
      </c>
      <c r="DU135" t="e">
        <f>AND(#REF!,"AAAAAF07VHw=")</f>
        <v>#REF!</v>
      </c>
      <c r="DV135" t="e">
        <f>AND(#REF!,"AAAAAF07VH0=")</f>
        <v>#REF!</v>
      </c>
      <c r="DW135" t="e">
        <f>AND(#REF!,"AAAAAF07VH4=")</f>
        <v>#REF!</v>
      </c>
      <c r="DX135" t="e">
        <f>AND(#REF!,"AAAAAF07VH8=")</f>
        <v>#REF!</v>
      </c>
      <c r="DY135" t="e">
        <f>AND(#REF!,"AAAAAF07VIA=")</f>
        <v>#REF!</v>
      </c>
      <c r="DZ135" t="e">
        <f>AND(#REF!,"AAAAAF07VIE=")</f>
        <v>#REF!</v>
      </c>
      <c r="EA135" t="e">
        <f>AND(#REF!,"AAAAAF07VII=")</f>
        <v>#REF!</v>
      </c>
      <c r="EB135" t="e">
        <f>IF(#REF!,"AAAAAF07VIM=",0)</f>
        <v>#REF!</v>
      </c>
      <c r="EC135" t="e">
        <f>AND(#REF!,"AAAAAF07VIQ=")</f>
        <v>#REF!</v>
      </c>
      <c r="ED135" t="e">
        <f>AND(#REF!,"AAAAAF07VIU=")</f>
        <v>#REF!</v>
      </c>
      <c r="EE135" t="e">
        <f>AND(#REF!,"AAAAAF07VIY=")</f>
        <v>#REF!</v>
      </c>
      <c r="EF135" t="e">
        <f>AND(#REF!,"AAAAAF07VIc=")</f>
        <v>#REF!</v>
      </c>
      <c r="EG135" t="e">
        <f>AND(#REF!,"AAAAAF07VIg=")</f>
        <v>#REF!</v>
      </c>
      <c r="EH135" t="e">
        <f>AND(#REF!,"AAAAAF07VIk=")</f>
        <v>#REF!</v>
      </c>
      <c r="EI135" t="e">
        <f>AND(#REF!,"AAAAAF07VIo=")</f>
        <v>#REF!</v>
      </c>
      <c r="EJ135" t="e">
        <f>AND(#REF!,"AAAAAF07VIs=")</f>
        <v>#REF!</v>
      </c>
      <c r="EK135" t="e">
        <f>AND(#REF!,"AAAAAF07VIw=")</f>
        <v>#REF!</v>
      </c>
      <c r="EL135" t="e">
        <f>AND(#REF!,"AAAAAF07VI0=")</f>
        <v>#REF!</v>
      </c>
      <c r="EM135" t="e">
        <f>IF(#REF!,"AAAAAF07VI4=",0)</f>
        <v>#REF!</v>
      </c>
      <c r="EN135" t="e">
        <f>AND(#REF!,"AAAAAF07VI8=")</f>
        <v>#REF!</v>
      </c>
      <c r="EO135" t="e">
        <f>AND(#REF!,"AAAAAF07VJA=")</f>
        <v>#REF!</v>
      </c>
      <c r="EP135" t="e">
        <f>AND(#REF!,"AAAAAF07VJE=")</f>
        <v>#REF!</v>
      </c>
      <c r="EQ135" t="e">
        <f>AND(#REF!,"AAAAAF07VJI=")</f>
        <v>#REF!</v>
      </c>
      <c r="ER135" t="e">
        <f>AND(#REF!,"AAAAAF07VJM=")</f>
        <v>#REF!</v>
      </c>
      <c r="ES135" t="e">
        <f>AND(#REF!,"AAAAAF07VJQ=")</f>
        <v>#REF!</v>
      </c>
      <c r="ET135" t="e">
        <f>AND(#REF!,"AAAAAF07VJU=")</f>
        <v>#REF!</v>
      </c>
      <c r="EU135" t="e">
        <f>AND(#REF!,"AAAAAF07VJY=")</f>
        <v>#REF!</v>
      </c>
      <c r="EV135" t="e">
        <f>AND(#REF!,"AAAAAF07VJc=")</f>
        <v>#REF!</v>
      </c>
      <c r="EW135" t="e">
        <f>AND(#REF!,"AAAAAF07VJg=")</f>
        <v>#REF!</v>
      </c>
      <c r="EX135" t="e">
        <f>IF(#REF!,"AAAAAF07VJk=",0)</f>
        <v>#REF!</v>
      </c>
      <c r="EY135" t="e">
        <f>AND(#REF!,"AAAAAF07VJo=")</f>
        <v>#REF!</v>
      </c>
      <c r="EZ135" t="e">
        <f>AND(#REF!,"AAAAAF07VJs=")</f>
        <v>#REF!</v>
      </c>
      <c r="FA135" t="e">
        <f>AND(#REF!,"AAAAAF07VJw=")</f>
        <v>#REF!</v>
      </c>
      <c r="FB135" t="e">
        <f>AND(#REF!,"AAAAAF07VJ0=")</f>
        <v>#REF!</v>
      </c>
      <c r="FC135" t="e">
        <f>AND(#REF!,"AAAAAF07VJ4=")</f>
        <v>#REF!</v>
      </c>
      <c r="FD135" t="e">
        <f>AND(#REF!,"AAAAAF07VJ8=")</f>
        <v>#REF!</v>
      </c>
      <c r="FE135" t="e">
        <f>AND(#REF!,"AAAAAF07VKA=")</f>
        <v>#REF!</v>
      </c>
      <c r="FF135" t="e">
        <f>AND(#REF!,"AAAAAF07VKE=")</f>
        <v>#REF!</v>
      </c>
      <c r="FG135" t="e">
        <f>AND(#REF!,"AAAAAF07VKI=")</f>
        <v>#REF!</v>
      </c>
      <c r="FH135" t="e">
        <f>AND(#REF!,"AAAAAF07VKM=")</f>
        <v>#REF!</v>
      </c>
      <c r="FI135" t="e">
        <f>IF(#REF!,"AAAAAF07VKQ=",0)</f>
        <v>#REF!</v>
      </c>
      <c r="FJ135" t="e">
        <f>AND(#REF!,"AAAAAF07VKU=")</f>
        <v>#REF!</v>
      </c>
      <c r="FK135" t="e">
        <f>AND(#REF!,"AAAAAF07VKY=")</f>
        <v>#REF!</v>
      </c>
      <c r="FL135" t="e">
        <f>AND(#REF!,"AAAAAF07VKc=")</f>
        <v>#REF!</v>
      </c>
      <c r="FM135" t="e">
        <f>AND(#REF!,"AAAAAF07VKg=")</f>
        <v>#REF!</v>
      </c>
      <c r="FN135" t="e">
        <f>AND(#REF!,"AAAAAF07VKk=")</f>
        <v>#REF!</v>
      </c>
      <c r="FO135" t="e">
        <f>AND(#REF!,"AAAAAF07VKo=")</f>
        <v>#REF!</v>
      </c>
      <c r="FP135" t="e">
        <f>AND(#REF!,"AAAAAF07VKs=")</f>
        <v>#REF!</v>
      </c>
      <c r="FQ135" t="e">
        <f>AND(#REF!,"AAAAAF07VKw=")</f>
        <v>#REF!</v>
      </c>
      <c r="FR135" t="e">
        <f>AND(#REF!,"AAAAAF07VK0=")</f>
        <v>#REF!</v>
      </c>
      <c r="FS135" t="e">
        <f>AND(#REF!,"AAAAAF07VK4=")</f>
        <v>#REF!</v>
      </c>
      <c r="FT135" t="e">
        <f>IF(#REF!,"AAAAAF07VK8=",0)</f>
        <v>#REF!</v>
      </c>
      <c r="FU135" t="e">
        <f>AND(#REF!,"AAAAAF07VLA=")</f>
        <v>#REF!</v>
      </c>
      <c r="FV135" t="e">
        <f>AND(#REF!,"AAAAAF07VLE=")</f>
        <v>#REF!</v>
      </c>
      <c r="FW135" t="e">
        <f>AND(#REF!,"AAAAAF07VLI=")</f>
        <v>#REF!</v>
      </c>
      <c r="FX135" t="e">
        <f>AND(#REF!,"AAAAAF07VLM=")</f>
        <v>#REF!</v>
      </c>
      <c r="FY135" t="e">
        <f>AND(#REF!,"AAAAAF07VLQ=")</f>
        <v>#REF!</v>
      </c>
      <c r="FZ135" t="e">
        <f>AND(#REF!,"AAAAAF07VLU=")</f>
        <v>#REF!</v>
      </c>
      <c r="GA135" t="e">
        <f>AND(#REF!,"AAAAAF07VLY=")</f>
        <v>#REF!</v>
      </c>
      <c r="GB135" t="e">
        <f>AND(#REF!,"AAAAAF07VLc=")</f>
        <v>#REF!</v>
      </c>
      <c r="GC135" t="e">
        <f>AND(#REF!,"AAAAAF07VLg=")</f>
        <v>#REF!</v>
      </c>
      <c r="GD135" t="e">
        <f>AND(#REF!,"AAAAAF07VLk=")</f>
        <v>#REF!</v>
      </c>
      <c r="GE135" t="e">
        <f>IF(#REF!,"AAAAAF07VLo=",0)</f>
        <v>#REF!</v>
      </c>
      <c r="GF135" t="e">
        <f>AND(#REF!,"AAAAAF07VLs=")</f>
        <v>#REF!</v>
      </c>
      <c r="GG135" t="e">
        <f>AND(#REF!,"AAAAAF07VLw=")</f>
        <v>#REF!</v>
      </c>
      <c r="GH135" t="e">
        <f>AND(#REF!,"AAAAAF07VL0=")</f>
        <v>#REF!</v>
      </c>
      <c r="GI135" t="e">
        <f>AND(#REF!,"AAAAAF07VL4=")</f>
        <v>#REF!</v>
      </c>
      <c r="GJ135" t="e">
        <f>AND(#REF!,"AAAAAF07VL8=")</f>
        <v>#REF!</v>
      </c>
      <c r="GK135" t="e">
        <f>AND(#REF!,"AAAAAF07VMA=")</f>
        <v>#REF!</v>
      </c>
      <c r="GL135" t="e">
        <f>AND(#REF!,"AAAAAF07VME=")</f>
        <v>#REF!</v>
      </c>
      <c r="GM135" t="e">
        <f>AND(#REF!,"AAAAAF07VMI=")</f>
        <v>#REF!</v>
      </c>
      <c r="GN135" t="e">
        <f>AND(#REF!,"AAAAAF07VMM=")</f>
        <v>#REF!</v>
      </c>
      <c r="GO135" t="e">
        <f>AND(#REF!,"AAAAAF07VMQ=")</f>
        <v>#REF!</v>
      </c>
      <c r="GP135" t="e">
        <f>IF(#REF!,"AAAAAF07VMU=",0)</f>
        <v>#REF!</v>
      </c>
      <c r="GQ135" t="e">
        <f>AND(#REF!,"AAAAAF07VMY=")</f>
        <v>#REF!</v>
      </c>
      <c r="GR135" t="e">
        <f>AND(#REF!,"AAAAAF07VMc=")</f>
        <v>#REF!</v>
      </c>
      <c r="GS135" t="e">
        <f>AND(#REF!,"AAAAAF07VMg=")</f>
        <v>#REF!</v>
      </c>
      <c r="GT135" t="e">
        <f>AND(#REF!,"AAAAAF07VMk=")</f>
        <v>#REF!</v>
      </c>
      <c r="GU135" t="e">
        <f>AND(#REF!,"AAAAAF07VMo=")</f>
        <v>#REF!</v>
      </c>
      <c r="GV135" t="e">
        <f>AND(#REF!,"AAAAAF07VMs=")</f>
        <v>#REF!</v>
      </c>
      <c r="GW135" t="e">
        <f>AND(#REF!,"AAAAAF07VMw=")</f>
        <v>#REF!</v>
      </c>
      <c r="GX135" t="e">
        <f>AND(#REF!,"AAAAAF07VM0=")</f>
        <v>#REF!</v>
      </c>
      <c r="GY135" t="e">
        <f>AND(#REF!,"AAAAAF07VM4=")</f>
        <v>#REF!</v>
      </c>
      <c r="GZ135" t="e">
        <f>AND(#REF!,"AAAAAF07VM8=")</f>
        <v>#REF!</v>
      </c>
      <c r="HA135" t="e">
        <f>IF(#REF!,"AAAAAF07VNA=",0)</f>
        <v>#REF!</v>
      </c>
      <c r="HB135" t="e">
        <f>AND(#REF!,"AAAAAF07VNE=")</f>
        <v>#REF!</v>
      </c>
      <c r="HC135" t="e">
        <f>AND(#REF!,"AAAAAF07VNI=")</f>
        <v>#REF!</v>
      </c>
      <c r="HD135" t="e">
        <f>AND(#REF!,"AAAAAF07VNM=")</f>
        <v>#REF!</v>
      </c>
      <c r="HE135" t="e">
        <f>AND(#REF!,"AAAAAF07VNQ=")</f>
        <v>#REF!</v>
      </c>
      <c r="HF135" t="e">
        <f>AND(#REF!,"AAAAAF07VNU=")</f>
        <v>#REF!</v>
      </c>
      <c r="HG135" t="e">
        <f>AND(#REF!,"AAAAAF07VNY=")</f>
        <v>#REF!</v>
      </c>
      <c r="HH135" t="e">
        <f>AND(#REF!,"AAAAAF07VNc=")</f>
        <v>#REF!</v>
      </c>
      <c r="HI135" t="e">
        <f>AND(#REF!,"AAAAAF07VNg=")</f>
        <v>#REF!</v>
      </c>
      <c r="HJ135" t="e">
        <f>AND(#REF!,"AAAAAF07VNk=")</f>
        <v>#REF!</v>
      </c>
      <c r="HK135" t="e">
        <f>AND(#REF!,"AAAAAF07VNo=")</f>
        <v>#REF!</v>
      </c>
      <c r="HL135" t="e">
        <f>IF(#REF!,"AAAAAF07VNs=",0)</f>
        <v>#REF!</v>
      </c>
      <c r="HM135" t="e">
        <f>AND(#REF!,"AAAAAF07VNw=")</f>
        <v>#REF!</v>
      </c>
      <c r="HN135" t="e">
        <f>AND(#REF!,"AAAAAF07VN0=")</f>
        <v>#REF!</v>
      </c>
      <c r="HO135" t="e">
        <f>AND(#REF!,"AAAAAF07VN4=")</f>
        <v>#REF!</v>
      </c>
      <c r="HP135" t="e">
        <f>AND(#REF!,"AAAAAF07VN8=")</f>
        <v>#REF!</v>
      </c>
      <c r="HQ135" t="e">
        <f>AND(#REF!,"AAAAAF07VOA=")</f>
        <v>#REF!</v>
      </c>
      <c r="HR135" t="e">
        <f>AND(#REF!,"AAAAAF07VOE=")</f>
        <v>#REF!</v>
      </c>
      <c r="HS135" t="e">
        <f>AND(#REF!,"AAAAAF07VOI=")</f>
        <v>#REF!</v>
      </c>
      <c r="HT135" t="e">
        <f>AND(#REF!,"AAAAAF07VOM=")</f>
        <v>#REF!</v>
      </c>
      <c r="HU135" t="e">
        <f>AND(#REF!,"AAAAAF07VOQ=")</f>
        <v>#REF!</v>
      </c>
      <c r="HV135" t="e">
        <f>AND(#REF!,"AAAAAF07VOU=")</f>
        <v>#REF!</v>
      </c>
      <c r="HW135" t="e">
        <f>IF(#REF!,"AAAAAF07VOY=",0)</f>
        <v>#REF!</v>
      </c>
      <c r="HX135" t="e">
        <f>AND(#REF!,"AAAAAF07VOc=")</f>
        <v>#REF!</v>
      </c>
      <c r="HY135" t="e">
        <f>AND(#REF!,"AAAAAF07VOg=")</f>
        <v>#REF!</v>
      </c>
      <c r="HZ135" t="e">
        <f>AND(#REF!,"AAAAAF07VOk=")</f>
        <v>#REF!</v>
      </c>
      <c r="IA135" t="e">
        <f>AND(#REF!,"AAAAAF07VOo=")</f>
        <v>#REF!</v>
      </c>
      <c r="IB135" t="e">
        <f>AND(#REF!,"AAAAAF07VOs=")</f>
        <v>#REF!</v>
      </c>
      <c r="IC135" t="e">
        <f>AND(#REF!,"AAAAAF07VOw=")</f>
        <v>#REF!</v>
      </c>
      <c r="ID135" t="e">
        <f>AND(#REF!,"AAAAAF07VO0=")</f>
        <v>#REF!</v>
      </c>
      <c r="IE135" t="e">
        <f>AND(#REF!,"AAAAAF07VO4=")</f>
        <v>#REF!</v>
      </c>
      <c r="IF135" t="e">
        <f>AND(#REF!,"AAAAAF07VO8=")</f>
        <v>#REF!</v>
      </c>
      <c r="IG135" t="e">
        <f>AND(#REF!,"AAAAAF07VPA=")</f>
        <v>#REF!</v>
      </c>
      <c r="IH135" t="e">
        <f>IF(#REF!,"AAAAAF07VPE=",0)</f>
        <v>#REF!</v>
      </c>
      <c r="II135" t="e">
        <f>AND(#REF!,"AAAAAF07VPI=")</f>
        <v>#REF!</v>
      </c>
      <c r="IJ135" t="e">
        <f>AND(#REF!,"AAAAAF07VPM=")</f>
        <v>#REF!</v>
      </c>
      <c r="IK135" t="e">
        <f>AND(#REF!,"AAAAAF07VPQ=")</f>
        <v>#REF!</v>
      </c>
      <c r="IL135" t="e">
        <f>AND(#REF!,"AAAAAF07VPU=")</f>
        <v>#REF!</v>
      </c>
      <c r="IM135" t="e">
        <f>AND(#REF!,"AAAAAF07VPY=")</f>
        <v>#REF!</v>
      </c>
      <c r="IN135" t="e">
        <f>AND(#REF!,"AAAAAF07VPc=")</f>
        <v>#REF!</v>
      </c>
      <c r="IO135" t="e">
        <f>AND(#REF!,"AAAAAF07VPg=")</f>
        <v>#REF!</v>
      </c>
      <c r="IP135" t="e">
        <f>AND(#REF!,"AAAAAF07VPk=")</f>
        <v>#REF!</v>
      </c>
      <c r="IQ135" t="e">
        <f>AND(#REF!,"AAAAAF07VPo=")</f>
        <v>#REF!</v>
      </c>
      <c r="IR135" t="e">
        <f>AND(#REF!,"AAAAAF07VPs=")</f>
        <v>#REF!</v>
      </c>
      <c r="IS135" t="e">
        <f>IF(#REF!,"AAAAAF07VPw=",0)</f>
        <v>#REF!</v>
      </c>
      <c r="IT135" t="e">
        <f>AND(#REF!,"AAAAAF07VP0=")</f>
        <v>#REF!</v>
      </c>
      <c r="IU135" t="e">
        <f>AND(#REF!,"AAAAAF07VP4=")</f>
        <v>#REF!</v>
      </c>
      <c r="IV135" t="e">
        <f>AND(#REF!,"AAAAAF07VP8=")</f>
        <v>#REF!</v>
      </c>
    </row>
    <row r="136" spans="1:256" x14ac:dyDescent="0.25">
      <c r="A136" t="e">
        <f>AND(#REF!,"AAAAAE22/wA=")</f>
        <v>#REF!</v>
      </c>
      <c r="B136" t="e">
        <f>AND(#REF!,"AAAAAE22/wE=")</f>
        <v>#REF!</v>
      </c>
      <c r="C136" t="e">
        <f>AND(#REF!,"AAAAAE22/wI=")</f>
        <v>#REF!</v>
      </c>
      <c r="D136" t="e">
        <f>AND(#REF!,"AAAAAE22/wM=")</f>
        <v>#REF!</v>
      </c>
      <c r="E136" t="e">
        <f>AND(#REF!,"AAAAAE22/wQ=")</f>
        <v>#REF!</v>
      </c>
      <c r="F136" t="e">
        <f>AND(#REF!,"AAAAAE22/wU=")</f>
        <v>#REF!</v>
      </c>
      <c r="G136" t="e">
        <f>AND(#REF!,"AAAAAE22/wY=")</f>
        <v>#REF!</v>
      </c>
      <c r="H136" t="e">
        <f>IF(#REF!,"AAAAAE22/wc=",0)</f>
        <v>#REF!</v>
      </c>
      <c r="I136" t="e">
        <f>AND(#REF!,"AAAAAE22/wg=")</f>
        <v>#REF!</v>
      </c>
      <c r="J136" t="e">
        <f>AND(#REF!,"AAAAAE22/wk=")</f>
        <v>#REF!</v>
      </c>
      <c r="K136" t="e">
        <f>AND(#REF!,"AAAAAE22/wo=")</f>
        <v>#REF!</v>
      </c>
      <c r="L136" t="e">
        <f>AND(#REF!,"AAAAAE22/ws=")</f>
        <v>#REF!</v>
      </c>
      <c r="M136" t="e">
        <f>AND(#REF!,"AAAAAE22/ww=")</f>
        <v>#REF!</v>
      </c>
      <c r="N136" t="e">
        <f>AND(#REF!,"AAAAAE22/w0=")</f>
        <v>#REF!</v>
      </c>
      <c r="O136" t="e">
        <f>AND(#REF!,"AAAAAE22/w4=")</f>
        <v>#REF!</v>
      </c>
      <c r="P136" t="e">
        <f>AND(#REF!,"AAAAAE22/w8=")</f>
        <v>#REF!</v>
      </c>
      <c r="Q136" t="e">
        <f>AND(#REF!,"AAAAAE22/xA=")</f>
        <v>#REF!</v>
      </c>
      <c r="R136" t="e">
        <f>AND(#REF!,"AAAAAE22/xE=")</f>
        <v>#REF!</v>
      </c>
      <c r="S136" t="e">
        <f>IF(#REF!,"AAAAAE22/xI=",0)</f>
        <v>#REF!</v>
      </c>
      <c r="T136" t="e">
        <f>AND(#REF!,"AAAAAE22/xM=")</f>
        <v>#REF!</v>
      </c>
      <c r="U136" t="e">
        <f>AND(#REF!,"AAAAAE22/xQ=")</f>
        <v>#REF!</v>
      </c>
      <c r="V136" t="e">
        <f>AND(#REF!,"AAAAAE22/xU=")</f>
        <v>#REF!</v>
      </c>
      <c r="W136" t="e">
        <f>AND(#REF!,"AAAAAE22/xY=")</f>
        <v>#REF!</v>
      </c>
      <c r="X136" t="e">
        <f>AND(#REF!,"AAAAAE22/xc=")</f>
        <v>#REF!</v>
      </c>
      <c r="Y136" t="e">
        <f>AND(#REF!,"AAAAAE22/xg=")</f>
        <v>#REF!</v>
      </c>
      <c r="Z136" t="e">
        <f>AND(#REF!,"AAAAAE22/xk=")</f>
        <v>#REF!</v>
      </c>
      <c r="AA136" t="e">
        <f>AND(#REF!,"AAAAAE22/xo=")</f>
        <v>#REF!</v>
      </c>
      <c r="AB136" t="e">
        <f>AND(#REF!,"AAAAAE22/xs=")</f>
        <v>#REF!</v>
      </c>
      <c r="AC136" t="e">
        <f>AND(#REF!,"AAAAAE22/xw=")</f>
        <v>#REF!</v>
      </c>
      <c r="AD136" t="e">
        <f>IF(#REF!,"AAAAAE22/x0=",0)</f>
        <v>#REF!</v>
      </c>
      <c r="AE136" t="e">
        <f>AND(#REF!,"AAAAAE22/x4=")</f>
        <v>#REF!</v>
      </c>
      <c r="AF136" t="e">
        <f>AND(#REF!,"AAAAAE22/x8=")</f>
        <v>#REF!</v>
      </c>
      <c r="AG136" t="e">
        <f>AND(#REF!,"AAAAAE22/yA=")</f>
        <v>#REF!</v>
      </c>
      <c r="AH136" t="e">
        <f>AND(#REF!,"AAAAAE22/yE=")</f>
        <v>#REF!</v>
      </c>
      <c r="AI136" t="e">
        <f>AND(#REF!,"AAAAAE22/yI=")</f>
        <v>#REF!</v>
      </c>
      <c r="AJ136" t="e">
        <f>AND(#REF!,"AAAAAE22/yM=")</f>
        <v>#REF!</v>
      </c>
      <c r="AK136" t="e">
        <f>AND(#REF!,"AAAAAE22/yQ=")</f>
        <v>#REF!</v>
      </c>
      <c r="AL136" t="e">
        <f>AND(#REF!,"AAAAAE22/yU=")</f>
        <v>#REF!</v>
      </c>
      <c r="AM136" t="e">
        <f>AND(#REF!,"AAAAAE22/yY=")</f>
        <v>#REF!</v>
      </c>
      <c r="AN136" t="e">
        <f>AND(#REF!,"AAAAAE22/yc=")</f>
        <v>#REF!</v>
      </c>
      <c r="AO136" t="e">
        <f>IF(#REF!,"AAAAAE22/yg=",0)</f>
        <v>#REF!</v>
      </c>
      <c r="AP136" t="e">
        <f>AND(#REF!,"AAAAAE22/yk=")</f>
        <v>#REF!</v>
      </c>
      <c r="AQ136" t="e">
        <f>AND(#REF!,"AAAAAE22/yo=")</f>
        <v>#REF!</v>
      </c>
      <c r="AR136" t="e">
        <f>AND(#REF!,"AAAAAE22/ys=")</f>
        <v>#REF!</v>
      </c>
      <c r="AS136" t="e">
        <f>AND(#REF!,"AAAAAE22/yw=")</f>
        <v>#REF!</v>
      </c>
      <c r="AT136" t="e">
        <f>AND(#REF!,"AAAAAE22/y0=")</f>
        <v>#REF!</v>
      </c>
      <c r="AU136" t="e">
        <f>AND(#REF!,"AAAAAE22/y4=")</f>
        <v>#REF!</v>
      </c>
      <c r="AV136" t="e">
        <f>AND(#REF!,"AAAAAE22/y8=")</f>
        <v>#REF!</v>
      </c>
      <c r="AW136" t="e">
        <f>AND(#REF!,"AAAAAE22/zA=")</f>
        <v>#REF!</v>
      </c>
      <c r="AX136" t="e">
        <f>AND(#REF!,"AAAAAE22/zE=")</f>
        <v>#REF!</v>
      </c>
      <c r="AY136" t="e">
        <f>AND(#REF!,"AAAAAE22/zI=")</f>
        <v>#REF!</v>
      </c>
      <c r="AZ136" t="e">
        <f>IF(#REF!,"AAAAAE22/zM=",0)</f>
        <v>#REF!</v>
      </c>
      <c r="BA136" t="e">
        <f>AND(#REF!,"AAAAAE22/zQ=")</f>
        <v>#REF!</v>
      </c>
      <c r="BB136" t="e">
        <f>AND(#REF!,"AAAAAE22/zU=")</f>
        <v>#REF!</v>
      </c>
      <c r="BC136" t="e">
        <f>AND(#REF!,"AAAAAE22/zY=")</f>
        <v>#REF!</v>
      </c>
      <c r="BD136" t="e">
        <f>AND(#REF!,"AAAAAE22/zc=")</f>
        <v>#REF!</v>
      </c>
      <c r="BE136" t="e">
        <f>AND(#REF!,"AAAAAE22/zg=")</f>
        <v>#REF!</v>
      </c>
      <c r="BF136" t="e">
        <f>AND(#REF!,"AAAAAE22/zk=")</f>
        <v>#REF!</v>
      </c>
      <c r="BG136" t="e">
        <f>AND(#REF!,"AAAAAE22/zo=")</f>
        <v>#REF!</v>
      </c>
      <c r="BH136" t="e">
        <f>AND(#REF!,"AAAAAE22/zs=")</f>
        <v>#REF!</v>
      </c>
      <c r="BI136" t="e">
        <f>AND(#REF!,"AAAAAE22/zw=")</f>
        <v>#REF!</v>
      </c>
      <c r="BJ136" t="e">
        <f>AND(#REF!,"AAAAAE22/z0=")</f>
        <v>#REF!</v>
      </c>
      <c r="BK136" t="e">
        <f>IF(#REF!,"AAAAAE22/z4=",0)</f>
        <v>#REF!</v>
      </c>
      <c r="BL136" t="e">
        <f>AND(#REF!,"AAAAAE22/z8=")</f>
        <v>#REF!</v>
      </c>
      <c r="BM136" t="e">
        <f>AND(#REF!,"AAAAAE22/0A=")</f>
        <v>#REF!</v>
      </c>
      <c r="BN136" t="e">
        <f>AND(#REF!,"AAAAAE22/0E=")</f>
        <v>#REF!</v>
      </c>
      <c r="BO136" t="e">
        <f>AND(#REF!,"AAAAAE22/0I=")</f>
        <v>#REF!</v>
      </c>
      <c r="BP136" t="e">
        <f>AND(#REF!,"AAAAAE22/0M=")</f>
        <v>#REF!</v>
      </c>
      <c r="BQ136" t="e">
        <f>AND(#REF!,"AAAAAE22/0Q=")</f>
        <v>#REF!</v>
      </c>
      <c r="BR136" t="e">
        <f>AND(#REF!,"AAAAAE22/0U=")</f>
        <v>#REF!</v>
      </c>
      <c r="BS136" t="e">
        <f>AND(#REF!,"AAAAAE22/0Y=")</f>
        <v>#REF!</v>
      </c>
      <c r="BT136" t="e">
        <f>AND(#REF!,"AAAAAE22/0c=")</f>
        <v>#REF!</v>
      </c>
      <c r="BU136" t="e">
        <f>AND(#REF!,"AAAAAE22/0g=")</f>
        <v>#REF!</v>
      </c>
      <c r="BV136" t="e">
        <f>IF(#REF!,"AAAAAE22/0k=",0)</f>
        <v>#REF!</v>
      </c>
      <c r="BW136" t="e">
        <f>AND(#REF!,"AAAAAE22/0o=")</f>
        <v>#REF!</v>
      </c>
      <c r="BX136" t="e">
        <f>AND(#REF!,"AAAAAE22/0s=")</f>
        <v>#REF!</v>
      </c>
      <c r="BY136" t="e">
        <f>AND(#REF!,"AAAAAE22/0w=")</f>
        <v>#REF!</v>
      </c>
      <c r="BZ136" t="e">
        <f>AND(#REF!,"AAAAAE22/00=")</f>
        <v>#REF!</v>
      </c>
      <c r="CA136" t="e">
        <f>AND(#REF!,"AAAAAE22/04=")</f>
        <v>#REF!</v>
      </c>
      <c r="CB136" t="e">
        <f>AND(#REF!,"AAAAAE22/08=")</f>
        <v>#REF!</v>
      </c>
      <c r="CC136" t="e">
        <f>AND(#REF!,"AAAAAE22/1A=")</f>
        <v>#REF!</v>
      </c>
      <c r="CD136" t="e">
        <f>AND(#REF!,"AAAAAE22/1E=")</f>
        <v>#REF!</v>
      </c>
      <c r="CE136" t="e">
        <f>AND(#REF!,"AAAAAE22/1I=")</f>
        <v>#REF!</v>
      </c>
      <c r="CF136" t="e">
        <f>AND(#REF!,"AAAAAE22/1M=")</f>
        <v>#REF!</v>
      </c>
      <c r="CG136" t="e">
        <f>IF(#REF!,"AAAAAE22/1Q=",0)</f>
        <v>#REF!</v>
      </c>
      <c r="CH136" t="e">
        <f>AND(#REF!,"AAAAAE22/1U=")</f>
        <v>#REF!</v>
      </c>
      <c r="CI136" t="e">
        <f>AND(#REF!,"AAAAAE22/1Y=")</f>
        <v>#REF!</v>
      </c>
      <c r="CJ136" t="e">
        <f>AND(#REF!,"AAAAAE22/1c=")</f>
        <v>#REF!</v>
      </c>
      <c r="CK136" t="e">
        <f>AND(#REF!,"AAAAAE22/1g=")</f>
        <v>#REF!</v>
      </c>
      <c r="CL136" t="e">
        <f>AND(#REF!,"AAAAAE22/1k=")</f>
        <v>#REF!</v>
      </c>
      <c r="CM136" t="e">
        <f>AND(#REF!,"AAAAAE22/1o=")</f>
        <v>#REF!</v>
      </c>
      <c r="CN136" t="e">
        <f>AND(#REF!,"AAAAAE22/1s=")</f>
        <v>#REF!</v>
      </c>
      <c r="CO136" t="e">
        <f>AND(#REF!,"AAAAAE22/1w=")</f>
        <v>#REF!</v>
      </c>
      <c r="CP136" t="e">
        <f>AND(#REF!,"AAAAAE22/10=")</f>
        <v>#REF!</v>
      </c>
      <c r="CQ136" t="e">
        <f>AND(#REF!,"AAAAAE22/14=")</f>
        <v>#REF!</v>
      </c>
      <c r="CR136" t="e">
        <f>IF(#REF!,"AAAAAE22/18=",0)</f>
        <v>#REF!</v>
      </c>
      <c r="CS136" t="e">
        <f>AND(#REF!,"AAAAAE22/2A=")</f>
        <v>#REF!</v>
      </c>
      <c r="CT136" t="e">
        <f>AND(#REF!,"AAAAAE22/2E=")</f>
        <v>#REF!</v>
      </c>
      <c r="CU136" t="e">
        <f>AND(#REF!,"AAAAAE22/2I=")</f>
        <v>#REF!</v>
      </c>
      <c r="CV136" t="e">
        <f>AND(#REF!,"AAAAAE22/2M=")</f>
        <v>#REF!</v>
      </c>
      <c r="CW136" t="e">
        <f>AND(#REF!,"AAAAAE22/2Q=")</f>
        <v>#REF!</v>
      </c>
      <c r="CX136" t="e">
        <f>AND(#REF!,"AAAAAE22/2U=")</f>
        <v>#REF!</v>
      </c>
      <c r="CY136" t="e">
        <f>AND(#REF!,"AAAAAE22/2Y=")</f>
        <v>#REF!</v>
      </c>
      <c r="CZ136" t="e">
        <f>AND(#REF!,"AAAAAE22/2c=")</f>
        <v>#REF!</v>
      </c>
      <c r="DA136" t="e">
        <f>AND(#REF!,"AAAAAE22/2g=")</f>
        <v>#REF!</v>
      </c>
      <c r="DB136" t="e">
        <f>AND(#REF!,"AAAAAE22/2k=")</f>
        <v>#REF!</v>
      </c>
      <c r="DC136" t="e">
        <f>IF(#REF!,"AAAAAE22/2o=",0)</f>
        <v>#REF!</v>
      </c>
      <c r="DD136" t="e">
        <f>AND(#REF!,"AAAAAE22/2s=")</f>
        <v>#REF!</v>
      </c>
      <c r="DE136" t="e">
        <f>AND(#REF!,"AAAAAE22/2w=")</f>
        <v>#REF!</v>
      </c>
      <c r="DF136" t="e">
        <f>AND(#REF!,"AAAAAE22/20=")</f>
        <v>#REF!</v>
      </c>
      <c r="DG136" t="e">
        <f>AND(#REF!,"AAAAAE22/24=")</f>
        <v>#REF!</v>
      </c>
      <c r="DH136" t="e">
        <f>AND(#REF!,"AAAAAE22/28=")</f>
        <v>#REF!</v>
      </c>
      <c r="DI136" t="e">
        <f>AND(#REF!,"AAAAAE22/3A=")</f>
        <v>#REF!</v>
      </c>
      <c r="DJ136" t="e">
        <f>AND(#REF!,"AAAAAE22/3E=")</f>
        <v>#REF!</v>
      </c>
      <c r="DK136" t="e">
        <f>AND(#REF!,"AAAAAE22/3I=")</f>
        <v>#REF!</v>
      </c>
      <c r="DL136" t="e">
        <f>AND(#REF!,"AAAAAE22/3M=")</f>
        <v>#REF!</v>
      </c>
      <c r="DM136" t="e">
        <f>AND(#REF!,"AAAAAE22/3Q=")</f>
        <v>#REF!</v>
      </c>
      <c r="DN136" t="e">
        <f>IF(#REF!,"AAAAAE22/3U=",0)</f>
        <v>#REF!</v>
      </c>
      <c r="DO136" t="e">
        <f>AND(#REF!,"AAAAAE22/3Y=")</f>
        <v>#REF!</v>
      </c>
      <c r="DP136" t="e">
        <f>AND(#REF!,"AAAAAE22/3c=")</f>
        <v>#REF!</v>
      </c>
      <c r="DQ136" t="e">
        <f>AND(#REF!,"AAAAAE22/3g=")</f>
        <v>#REF!</v>
      </c>
      <c r="DR136" t="e">
        <f>AND(#REF!,"AAAAAE22/3k=")</f>
        <v>#REF!</v>
      </c>
      <c r="DS136" t="e">
        <f>AND(#REF!,"AAAAAE22/3o=")</f>
        <v>#REF!</v>
      </c>
      <c r="DT136" t="e">
        <f>AND(#REF!,"AAAAAE22/3s=")</f>
        <v>#REF!</v>
      </c>
      <c r="DU136" t="e">
        <f>AND(#REF!,"AAAAAE22/3w=")</f>
        <v>#REF!</v>
      </c>
      <c r="DV136" t="e">
        <f>AND(#REF!,"AAAAAE22/30=")</f>
        <v>#REF!</v>
      </c>
      <c r="DW136" t="e">
        <f>AND(#REF!,"AAAAAE22/34=")</f>
        <v>#REF!</v>
      </c>
      <c r="DX136" t="e">
        <f>AND(#REF!,"AAAAAE22/38=")</f>
        <v>#REF!</v>
      </c>
      <c r="DY136" t="e">
        <f>IF(#REF!,"AAAAAE22/4A=",0)</f>
        <v>#REF!</v>
      </c>
      <c r="DZ136" t="e">
        <f>AND(#REF!,"AAAAAE22/4E=")</f>
        <v>#REF!</v>
      </c>
      <c r="EA136" t="e">
        <f>AND(#REF!,"AAAAAE22/4I=")</f>
        <v>#REF!</v>
      </c>
      <c r="EB136" t="e">
        <f>AND(#REF!,"AAAAAE22/4M=")</f>
        <v>#REF!</v>
      </c>
      <c r="EC136" t="e">
        <f>AND(#REF!,"AAAAAE22/4Q=")</f>
        <v>#REF!</v>
      </c>
      <c r="ED136" t="e">
        <f>AND(#REF!,"AAAAAE22/4U=")</f>
        <v>#REF!</v>
      </c>
      <c r="EE136" t="e">
        <f>AND(#REF!,"AAAAAE22/4Y=")</f>
        <v>#REF!</v>
      </c>
      <c r="EF136" t="e">
        <f>AND(#REF!,"AAAAAE22/4c=")</f>
        <v>#REF!</v>
      </c>
      <c r="EG136" t="e">
        <f>AND(#REF!,"AAAAAE22/4g=")</f>
        <v>#REF!</v>
      </c>
      <c r="EH136" t="e">
        <f>AND(#REF!,"AAAAAE22/4k=")</f>
        <v>#REF!</v>
      </c>
      <c r="EI136" t="e">
        <f>AND(#REF!,"AAAAAE22/4o=")</f>
        <v>#REF!</v>
      </c>
      <c r="EJ136" t="e">
        <f>IF(#REF!,"AAAAAE22/4s=",0)</f>
        <v>#REF!</v>
      </c>
      <c r="EK136" t="e">
        <f>AND(#REF!,"AAAAAE22/4w=")</f>
        <v>#REF!</v>
      </c>
      <c r="EL136" t="e">
        <f>AND(#REF!,"AAAAAE22/40=")</f>
        <v>#REF!</v>
      </c>
      <c r="EM136" t="e">
        <f>AND(#REF!,"AAAAAE22/44=")</f>
        <v>#REF!</v>
      </c>
      <c r="EN136" t="e">
        <f>AND(#REF!,"AAAAAE22/48=")</f>
        <v>#REF!</v>
      </c>
      <c r="EO136" t="e">
        <f>AND(#REF!,"AAAAAE22/5A=")</f>
        <v>#REF!</v>
      </c>
      <c r="EP136" t="e">
        <f>AND(#REF!,"AAAAAE22/5E=")</f>
        <v>#REF!</v>
      </c>
      <c r="EQ136" t="e">
        <f>AND(#REF!,"AAAAAE22/5I=")</f>
        <v>#REF!</v>
      </c>
      <c r="ER136" t="e">
        <f>AND(#REF!,"AAAAAE22/5M=")</f>
        <v>#REF!</v>
      </c>
      <c r="ES136" t="e">
        <f>AND(#REF!,"AAAAAE22/5Q=")</f>
        <v>#REF!</v>
      </c>
      <c r="ET136" t="e">
        <f>AND(#REF!,"AAAAAE22/5U=")</f>
        <v>#REF!</v>
      </c>
      <c r="EU136" t="e">
        <f>IF(#REF!,"AAAAAE22/5Y=",0)</f>
        <v>#REF!</v>
      </c>
      <c r="EV136" t="e">
        <f>AND(#REF!,"AAAAAE22/5c=")</f>
        <v>#REF!</v>
      </c>
      <c r="EW136" t="e">
        <f>AND(#REF!,"AAAAAE22/5g=")</f>
        <v>#REF!</v>
      </c>
      <c r="EX136" t="e">
        <f>AND(#REF!,"AAAAAE22/5k=")</f>
        <v>#REF!</v>
      </c>
      <c r="EY136" t="e">
        <f>AND(#REF!,"AAAAAE22/5o=")</f>
        <v>#REF!</v>
      </c>
      <c r="EZ136" t="e">
        <f>AND(#REF!,"AAAAAE22/5s=")</f>
        <v>#REF!</v>
      </c>
      <c r="FA136" t="e">
        <f>AND(#REF!,"AAAAAE22/5w=")</f>
        <v>#REF!</v>
      </c>
      <c r="FB136" t="e">
        <f>AND(#REF!,"AAAAAE22/50=")</f>
        <v>#REF!</v>
      </c>
      <c r="FC136" t="e">
        <f>AND(#REF!,"AAAAAE22/54=")</f>
        <v>#REF!</v>
      </c>
      <c r="FD136" t="e">
        <f>AND(#REF!,"AAAAAE22/58=")</f>
        <v>#REF!</v>
      </c>
      <c r="FE136" t="e">
        <f>AND(#REF!,"AAAAAE22/6A=")</f>
        <v>#REF!</v>
      </c>
      <c r="FF136" t="e">
        <f>IF(#REF!,"AAAAAE22/6E=",0)</f>
        <v>#REF!</v>
      </c>
      <c r="FG136" t="e">
        <f>AND(#REF!,"AAAAAE22/6I=")</f>
        <v>#REF!</v>
      </c>
      <c r="FH136" t="e">
        <f>AND(#REF!,"AAAAAE22/6M=")</f>
        <v>#REF!</v>
      </c>
      <c r="FI136" t="e">
        <f>AND(#REF!,"AAAAAE22/6Q=")</f>
        <v>#REF!</v>
      </c>
      <c r="FJ136" t="e">
        <f>AND(#REF!,"AAAAAE22/6U=")</f>
        <v>#REF!</v>
      </c>
      <c r="FK136" t="e">
        <f>AND(#REF!,"AAAAAE22/6Y=")</f>
        <v>#REF!</v>
      </c>
      <c r="FL136" t="e">
        <f>AND(#REF!,"AAAAAE22/6c=")</f>
        <v>#REF!</v>
      </c>
      <c r="FM136" t="e">
        <f>AND(#REF!,"AAAAAE22/6g=")</f>
        <v>#REF!</v>
      </c>
      <c r="FN136" t="e">
        <f>AND(#REF!,"AAAAAE22/6k=")</f>
        <v>#REF!</v>
      </c>
      <c r="FO136" t="e">
        <f>AND(#REF!,"AAAAAE22/6o=")</f>
        <v>#REF!</v>
      </c>
      <c r="FP136" t="e">
        <f>AND(#REF!,"AAAAAE22/6s=")</f>
        <v>#REF!</v>
      </c>
      <c r="FQ136" t="e">
        <f>IF(#REF!,"AAAAAE22/6w=",0)</f>
        <v>#REF!</v>
      </c>
      <c r="FR136" t="e">
        <f>AND(#REF!,"AAAAAE22/60=")</f>
        <v>#REF!</v>
      </c>
      <c r="FS136" t="e">
        <f>AND(#REF!,"AAAAAE22/64=")</f>
        <v>#REF!</v>
      </c>
      <c r="FT136" t="e">
        <f>AND(#REF!,"AAAAAE22/68=")</f>
        <v>#REF!</v>
      </c>
      <c r="FU136" t="e">
        <f>AND(#REF!,"AAAAAE22/7A=")</f>
        <v>#REF!</v>
      </c>
      <c r="FV136" t="e">
        <f>AND(#REF!,"AAAAAE22/7E=")</f>
        <v>#REF!</v>
      </c>
      <c r="FW136" t="e">
        <f>AND(#REF!,"AAAAAE22/7I=")</f>
        <v>#REF!</v>
      </c>
      <c r="FX136" t="e">
        <f>AND(#REF!,"AAAAAE22/7M=")</f>
        <v>#REF!</v>
      </c>
      <c r="FY136" t="e">
        <f>AND(#REF!,"AAAAAE22/7Q=")</f>
        <v>#REF!</v>
      </c>
      <c r="FZ136" t="e">
        <f>AND(#REF!,"AAAAAE22/7U=")</f>
        <v>#REF!</v>
      </c>
      <c r="GA136" t="e">
        <f>AND(#REF!,"AAAAAE22/7Y=")</f>
        <v>#REF!</v>
      </c>
      <c r="GB136" t="e">
        <f>IF(#REF!,"AAAAAE22/7c=",0)</f>
        <v>#REF!</v>
      </c>
      <c r="GC136" t="e">
        <f>AND(#REF!,"AAAAAE22/7g=")</f>
        <v>#REF!</v>
      </c>
      <c r="GD136" t="e">
        <f>AND(#REF!,"AAAAAE22/7k=")</f>
        <v>#REF!</v>
      </c>
      <c r="GE136" t="e">
        <f>AND(#REF!,"AAAAAE22/7o=")</f>
        <v>#REF!</v>
      </c>
      <c r="GF136" t="e">
        <f>AND(#REF!,"AAAAAE22/7s=")</f>
        <v>#REF!</v>
      </c>
      <c r="GG136" t="e">
        <f>AND(#REF!,"AAAAAE22/7w=")</f>
        <v>#REF!</v>
      </c>
      <c r="GH136" t="e">
        <f>AND(#REF!,"AAAAAE22/70=")</f>
        <v>#REF!</v>
      </c>
      <c r="GI136" t="e">
        <f>AND(#REF!,"AAAAAE22/74=")</f>
        <v>#REF!</v>
      </c>
      <c r="GJ136" t="e">
        <f>AND(#REF!,"AAAAAE22/78=")</f>
        <v>#REF!</v>
      </c>
      <c r="GK136" t="e">
        <f>AND(#REF!,"AAAAAE22/8A=")</f>
        <v>#REF!</v>
      </c>
      <c r="GL136" t="e">
        <f>AND(#REF!,"AAAAAE22/8E=")</f>
        <v>#REF!</v>
      </c>
      <c r="GM136" t="e">
        <f>IF(#REF!,"AAAAAE22/8I=",0)</f>
        <v>#REF!</v>
      </c>
      <c r="GN136" t="e">
        <f>AND(#REF!,"AAAAAE22/8M=")</f>
        <v>#REF!</v>
      </c>
      <c r="GO136" t="e">
        <f>AND(#REF!,"AAAAAE22/8Q=")</f>
        <v>#REF!</v>
      </c>
      <c r="GP136" t="e">
        <f>AND(#REF!,"AAAAAE22/8U=")</f>
        <v>#REF!</v>
      </c>
      <c r="GQ136" t="e">
        <f>AND(#REF!,"AAAAAE22/8Y=")</f>
        <v>#REF!</v>
      </c>
      <c r="GR136" t="e">
        <f>AND(#REF!,"AAAAAE22/8c=")</f>
        <v>#REF!</v>
      </c>
      <c r="GS136" t="e">
        <f>AND(#REF!,"AAAAAE22/8g=")</f>
        <v>#REF!</v>
      </c>
      <c r="GT136" t="e">
        <f>AND(#REF!,"AAAAAE22/8k=")</f>
        <v>#REF!</v>
      </c>
      <c r="GU136" t="e">
        <f>AND(#REF!,"AAAAAE22/8o=")</f>
        <v>#REF!</v>
      </c>
      <c r="GV136" t="e">
        <f>AND(#REF!,"AAAAAE22/8s=")</f>
        <v>#REF!</v>
      </c>
      <c r="GW136" t="e">
        <f>AND(#REF!,"AAAAAE22/8w=")</f>
        <v>#REF!</v>
      </c>
      <c r="GX136" t="e">
        <f>IF(#REF!,"AAAAAE22/80=",0)</f>
        <v>#REF!</v>
      </c>
      <c r="GY136" t="e">
        <f>AND(#REF!,"AAAAAE22/84=")</f>
        <v>#REF!</v>
      </c>
      <c r="GZ136" t="e">
        <f>AND(#REF!,"AAAAAE22/88=")</f>
        <v>#REF!</v>
      </c>
      <c r="HA136" t="e">
        <f>AND(#REF!,"AAAAAE22/9A=")</f>
        <v>#REF!</v>
      </c>
      <c r="HB136" t="e">
        <f>AND(#REF!,"AAAAAE22/9E=")</f>
        <v>#REF!</v>
      </c>
      <c r="HC136" t="e">
        <f>AND(#REF!,"AAAAAE22/9I=")</f>
        <v>#REF!</v>
      </c>
      <c r="HD136" t="e">
        <f>AND(#REF!,"AAAAAE22/9M=")</f>
        <v>#REF!</v>
      </c>
      <c r="HE136" t="e">
        <f>AND(#REF!,"AAAAAE22/9Q=")</f>
        <v>#REF!</v>
      </c>
      <c r="HF136" t="e">
        <f>AND(#REF!,"AAAAAE22/9U=")</f>
        <v>#REF!</v>
      </c>
      <c r="HG136" t="e">
        <f>AND(#REF!,"AAAAAE22/9Y=")</f>
        <v>#REF!</v>
      </c>
      <c r="HH136" t="e">
        <f>AND(#REF!,"AAAAAE22/9c=")</f>
        <v>#REF!</v>
      </c>
      <c r="HI136" t="e">
        <f>IF(#REF!,"AAAAAE22/9g=",0)</f>
        <v>#REF!</v>
      </c>
      <c r="HJ136" t="e">
        <f>AND(#REF!,"AAAAAE22/9k=")</f>
        <v>#REF!</v>
      </c>
      <c r="HK136" t="e">
        <f>AND(#REF!,"AAAAAE22/9o=")</f>
        <v>#REF!</v>
      </c>
      <c r="HL136" t="e">
        <f>AND(#REF!,"AAAAAE22/9s=")</f>
        <v>#REF!</v>
      </c>
      <c r="HM136" t="e">
        <f>AND(#REF!,"AAAAAE22/9w=")</f>
        <v>#REF!</v>
      </c>
      <c r="HN136" t="e">
        <f>AND(#REF!,"AAAAAE22/90=")</f>
        <v>#REF!</v>
      </c>
      <c r="HO136" t="e">
        <f>AND(#REF!,"AAAAAE22/94=")</f>
        <v>#REF!</v>
      </c>
      <c r="HP136" t="e">
        <f>AND(#REF!,"AAAAAE22/98=")</f>
        <v>#REF!</v>
      </c>
      <c r="HQ136" t="e">
        <f>AND(#REF!,"AAAAAE22/+A=")</f>
        <v>#REF!</v>
      </c>
      <c r="HR136" t="e">
        <f>AND(#REF!,"AAAAAE22/+E=")</f>
        <v>#REF!</v>
      </c>
      <c r="HS136" t="e">
        <f>AND(#REF!,"AAAAAE22/+I=")</f>
        <v>#REF!</v>
      </c>
      <c r="HT136" t="e">
        <f>IF(#REF!,"AAAAAE22/+M=",0)</f>
        <v>#REF!</v>
      </c>
      <c r="HU136" t="e">
        <f>AND(#REF!,"AAAAAE22/+Q=")</f>
        <v>#REF!</v>
      </c>
      <c r="HV136" t="e">
        <f>AND(#REF!,"AAAAAE22/+U=")</f>
        <v>#REF!</v>
      </c>
      <c r="HW136" t="e">
        <f>AND(#REF!,"AAAAAE22/+Y=")</f>
        <v>#REF!</v>
      </c>
      <c r="HX136" t="e">
        <f>AND(#REF!,"AAAAAE22/+c=")</f>
        <v>#REF!</v>
      </c>
      <c r="HY136" t="e">
        <f>AND(#REF!,"AAAAAE22/+g=")</f>
        <v>#REF!</v>
      </c>
      <c r="HZ136" t="e">
        <f>AND(#REF!,"AAAAAE22/+k=")</f>
        <v>#REF!</v>
      </c>
      <c r="IA136" t="e">
        <f>AND(#REF!,"AAAAAE22/+o=")</f>
        <v>#REF!</v>
      </c>
      <c r="IB136" t="e">
        <f>AND(#REF!,"AAAAAE22/+s=")</f>
        <v>#REF!</v>
      </c>
      <c r="IC136" t="e">
        <f>AND(#REF!,"AAAAAE22/+w=")</f>
        <v>#REF!</v>
      </c>
      <c r="ID136" t="e">
        <f>AND(#REF!,"AAAAAE22/+0=")</f>
        <v>#REF!</v>
      </c>
      <c r="IE136" t="e">
        <f>IF(#REF!,"AAAAAE22/+4=",0)</f>
        <v>#REF!</v>
      </c>
      <c r="IF136" t="e">
        <f>AND(#REF!,"AAAAAE22/+8=")</f>
        <v>#REF!</v>
      </c>
      <c r="IG136" t="e">
        <f>AND(#REF!,"AAAAAE22//A=")</f>
        <v>#REF!</v>
      </c>
      <c r="IH136" t="e">
        <f>AND(#REF!,"AAAAAE22//E=")</f>
        <v>#REF!</v>
      </c>
      <c r="II136" t="e">
        <f>AND(#REF!,"AAAAAE22//I=")</f>
        <v>#REF!</v>
      </c>
      <c r="IJ136" t="e">
        <f>AND(#REF!,"AAAAAE22//M=")</f>
        <v>#REF!</v>
      </c>
      <c r="IK136" t="e">
        <f>AND(#REF!,"AAAAAE22//Q=")</f>
        <v>#REF!</v>
      </c>
      <c r="IL136" t="e">
        <f>AND(#REF!,"AAAAAE22//U=")</f>
        <v>#REF!</v>
      </c>
      <c r="IM136" t="e">
        <f>AND(#REF!,"AAAAAE22//Y=")</f>
        <v>#REF!</v>
      </c>
      <c r="IN136" t="e">
        <f>AND(#REF!,"AAAAAE22//c=")</f>
        <v>#REF!</v>
      </c>
      <c r="IO136" t="e">
        <f>AND(#REF!,"AAAAAE22//g=")</f>
        <v>#REF!</v>
      </c>
      <c r="IP136" t="e">
        <f>IF(#REF!,"AAAAAE22//k=",0)</f>
        <v>#REF!</v>
      </c>
      <c r="IQ136" t="e">
        <f>AND(#REF!,"AAAAAE22//o=")</f>
        <v>#REF!</v>
      </c>
      <c r="IR136" t="e">
        <f>AND(#REF!,"AAAAAE22//s=")</f>
        <v>#REF!</v>
      </c>
      <c r="IS136" t="e">
        <f>AND(#REF!,"AAAAAE22//w=")</f>
        <v>#REF!</v>
      </c>
      <c r="IT136" t="e">
        <f>AND(#REF!,"AAAAAE22//0=")</f>
        <v>#REF!</v>
      </c>
      <c r="IU136" t="e">
        <f>AND(#REF!,"AAAAAE22//4=")</f>
        <v>#REF!</v>
      </c>
      <c r="IV136" t="e">
        <f>AND(#REF!,"AAAAAE22//8=")</f>
        <v>#REF!</v>
      </c>
    </row>
    <row r="137" spans="1:256" x14ac:dyDescent="0.25">
      <c r="A137" t="e">
        <f>AND(#REF!,"AAAAAE/93gA=")</f>
        <v>#REF!</v>
      </c>
      <c r="B137" t="e">
        <f>AND(#REF!,"AAAAAE/93gE=")</f>
        <v>#REF!</v>
      </c>
      <c r="C137" t="e">
        <f>AND(#REF!,"AAAAAE/93gI=")</f>
        <v>#REF!</v>
      </c>
      <c r="D137" t="e">
        <f>AND(#REF!,"AAAAAE/93gM=")</f>
        <v>#REF!</v>
      </c>
      <c r="E137" t="e">
        <f>IF(#REF!,"AAAAAE/93gQ=",0)</f>
        <v>#REF!</v>
      </c>
      <c r="F137" t="e">
        <f>AND(#REF!,"AAAAAE/93gU=")</f>
        <v>#REF!</v>
      </c>
      <c r="G137" t="e">
        <f>AND(#REF!,"AAAAAE/93gY=")</f>
        <v>#REF!</v>
      </c>
      <c r="H137" t="e">
        <f>AND(#REF!,"AAAAAE/93gc=")</f>
        <v>#REF!</v>
      </c>
      <c r="I137" t="e">
        <f>AND(#REF!,"AAAAAE/93gg=")</f>
        <v>#REF!</v>
      </c>
      <c r="J137" t="e">
        <f>AND(#REF!,"AAAAAE/93gk=")</f>
        <v>#REF!</v>
      </c>
      <c r="K137" t="e">
        <f>AND(#REF!,"AAAAAE/93go=")</f>
        <v>#REF!</v>
      </c>
      <c r="L137" t="e">
        <f>AND(#REF!,"AAAAAE/93gs=")</f>
        <v>#REF!</v>
      </c>
      <c r="M137" t="e">
        <f>AND(#REF!,"AAAAAE/93gw=")</f>
        <v>#REF!</v>
      </c>
      <c r="N137" t="e">
        <f>AND(#REF!,"AAAAAE/93g0=")</f>
        <v>#REF!</v>
      </c>
      <c r="O137" t="e">
        <f>AND(#REF!,"AAAAAE/93g4=")</f>
        <v>#REF!</v>
      </c>
      <c r="P137" t="e">
        <f>IF(#REF!,"AAAAAE/93g8=",0)</f>
        <v>#REF!</v>
      </c>
      <c r="Q137" t="e">
        <f>AND(#REF!,"AAAAAE/93hA=")</f>
        <v>#REF!</v>
      </c>
      <c r="R137" t="e">
        <f>AND(#REF!,"AAAAAE/93hE=")</f>
        <v>#REF!</v>
      </c>
      <c r="S137" t="e">
        <f>AND(#REF!,"AAAAAE/93hI=")</f>
        <v>#REF!</v>
      </c>
      <c r="T137" t="e">
        <f>AND(#REF!,"AAAAAE/93hM=")</f>
        <v>#REF!</v>
      </c>
      <c r="U137" t="e">
        <f>AND(#REF!,"AAAAAE/93hQ=")</f>
        <v>#REF!</v>
      </c>
      <c r="V137" t="e">
        <f>AND(#REF!,"AAAAAE/93hU=")</f>
        <v>#REF!</v>
      </c>
      <c r="W137" t="e">
        <f>AND(#REF!,"AAAAAE/93hY=")</f>
        <v>#REF!</v>
      </c>
      <c r="X137" t="e">
        <f>AND(#REF!,"AAAAAE/93hc=")</f>
        <v>#REF!</v>
      </c>
      <c r="Y137" t="e">
        <f>AND(#REF!,"AAAAAE/93hg=")</f>
        <v>#REF!</v>
      </c>
      <c r="Z137" t="e">
        <f>AND(#REF!,"AAAAAE/93hk=")</f>
        <v>#REF!</v>
      </c>
      <c r="AA137" t="e">
        <f>IF(#REF!,"AAAAAE/93ho=",0)</f>
        <v>#REF!</v>
      </c>
      <c r="AB137" t="e">
        <f>AND(#REF!,"AAAAAE/93hs=")</f>
        <v>#REF!</v>
      </c>
      <c r="AC137" t="e">
        <f>AND(#REF!,"AAAAAE/93hw=")</f>
        <v>#REF!</v>
      </c>
      <c r="AD137" t="e">
        <f>AND(#REF!,"AAAAAE/93h0=")</f>
        <v>#REF!</v>
      </c>
      <c r="AE137" t="e">
        <f>AND(#REF!,"AAAAAE/93h4=")</f>
        <v>#REF!</v>
      </c>
      <c r="AF137" t="e">
        <f>AND(#REF!,"AAAAAE/93h8=")</f>
        <v>#REF!</v>
      </c>
      <c r="AG137" t="e">
        <f>AND(#REF!,"AAAAAE/93iA=")</f>
        <v>#REF!</v>
      </c>
      <c r="AH137" t="e">
        <f>AND(#REF!,"AAAAAE/93iE=")</f>
        <v>#REF!</v>
      </c>
      <c r="AI137" t="e">
        <f>AND(#REF!,"AAAAAE/93iI=")</f>
        <v>#REF!</v>
      </c>
      <c r="AJ137" t="e">
        <f>AND(#REF!,"AAAAAE/93iM=")</f>
        <v>#REF!</v>
      </c>
      <c r="AK137" t="e">
        <f>AND(#REF!,"AAAAAE/93iQ=")</f>
        <v>#REF!</v>
      </c>
      <c r="AL137" t="e">
        <f>IF(#REF!,"AAAAAE/93iU=",0)</f>
        <v>#REF!</v>
      </c>
      <c r="AM137" t="e">
        <f>AND(#REF!,"AAAAAE/93iY=")</f>
        <v>#REF!</v>
      </c>
      <c r="AN137" t="e">
        <f>AND(#REF!,"AAAAAE/93ic=")</f>
        <v>#REF!</v>
      </c>
      <c r="AO137" t="e">
        <f>AND(#REF!,"AAAAAE/93ig=")</f>
        <v>#REF!</v>
      </c>
      <c r="AP137" t="e">
        <f>AND(#REF!,"AAAAAE/93ik=")</f>
        <v>#REF!</v>
      </c>
      <c r="AQ137" t="e">
        <f>AND(#REF!,"AAAAAE/93io=")</f>
        <v>#REF!</v>
      </c>
      <c r="AR137" t="e">
        <f>AND(#REF!,"AAAAAE/93is=")</f>
        <v>#REF!</v>
      </c>
      <c r="AS137" t="e">
        <f>AND(#REF!,"AAAAAE/93iw=")</f>
        <v>#REF!</v>
      </c>
      <c r="AT137" t="e">
        <f>AND(#REF!,"AAAAAE/93i0=")</f>
        <v>#REF!</v>
      </c>
      <c r="AU137" t="e">
        <f>AND(#REF!,"AAAAAE/93i4=")</f>
        <v>#REF!</v>
      </c>
      <c r="AV137" t="e">
        <f>AND(#REF!,"AAAAAE/93i8=")</f>
        <v>#REF!</v>
      </c>
      <c r="AW137" t="e">
        <f>IF(#REF!,"AAAAAE/93jA=",0)</f>
        <v>#REF!</v>
      </c>
      <c r="AX137" t="e">
        <f>AND(#REF!,"AAAAAE/93jE=")</f>
        <v>#REF!</v>
      </c>
      <c r="AY137" t="e">
        <f>AND(#REF!,"AAAAAE/93jI=")</f>
        <v>#REF!</v>
      </c>
      <c r="AZ137" t="e">
        <f>AND(#REF!,"AAAAAE/93jM=")</f>
        <v>#REF!</v>
      </c>
      <c r="BA137" t="e">
        <f>AND(#REF!,"AAAAAE/93jQ=")</f>
        <v>#REF!</v>
      </c>
      <c r="BB137" t="e">
        <f>AND(#REF!,"AAAAAE/93jU=")</f>
        <v>#REF!</v>
      </c>
      <c r="BC137" t="e">
        <f>AND(#REF!,"AAAAAE/93jY=")</f>
        <v>#REF!</v>
      </c>
      <c r="BD137" t="e">
        <f>AND(#REF!,"AAAAAE/93jc=")</f>
        <v>#REF!</v>
      </c>
      <c r="BE137" t="e">
        <f>AND(#REF!,"AAAAAE/93jg=")</f>
        <v>#REF!</v>
      </c>
      <c r="BF137" t="e">
        <f>AND(#REF!,"AAAAAE/93jk=")</f>
        <v>#REF!</v>
      </c>
      <c r="BG137" t="e">
        <f>AND(#REF!,"AAAAAE/93jo=")</f>
        <v>#REF!</v>
      </c>
      <c r="BH137" t="e">
        <f>IF(#REF!,"AAAAAE/93js=",0)</f>
        <v>#REF!</v>
      </c>
      <c r="BI137" t="e">
        <f>AND(#REF!,"AAAAAE/93jw=")</f>
        <v>#REF!</v>
      </c>
      <c r="BJ137" t="e">
        <f>AND(#REF!,"AAAAAE/93j0=")</f>
        <v>#REF!</v>
      </c>
      <c r="BK137" t="e">
        <f>AND(#REF!,"AAAAAE/93j4=")</f>
        <v>#REF!</v>
      </c>
      <c r="BL137" t="e">
        <f>AND(#REF!,"AAAAAE/93j8=")</f>
        <v>#REF!</v>
      </c>
      <c r="BM137" t="e">
        <f>AND(#REF!,"AAAAAE/93kA=")</f>
        <v>#REF!</v>
      </c>
      <c r="BN137" t="e">
        <f>AND(#REF!,"AAAAAE/93kE=")</f>
        <v>#REF!</v>
      </c>
      <c r="BO137" t="e">
        <f>AND(#REF!,"AAAAAE/93kI=")</f>
        <v>#REF!</v>
      </c>
      <c r="BP137" t="e">
        <f>AND(#REF!,"AAAAAE/93kM=")</f>
        <v>#REF!</v>
      </c>
      <c r="BQ137" t="e">
        <f>AND(#REF!,"AAAAAE/93kQ=")</f>
        <v>#REF!</v>
      </c>
      <c r="BR137" t="e">
        <f>AND(#REF!,"AAAAAE/93kU=")</f>
        <v>#REF!</v>
      </c>
      <c r="BS137" t="e">
        <f>IF(#REF!,"AAAAAE/93kY=",0)</f>
        <v>#REF!</v>
      </c>
      <c r="BT137" t="e">
        <f>AND(#REF!,"AAAAAE/93kc=")</f>
        <v>#REF!</v>
      </c>
      <c r="BU137" t="e">
        <f>AND(#REF!,"AAAAAE/93kg=")</f>
        <v>#REF!</v>
      </c>
      <c r="BV137" t="e">
        <f>AND(#REF!,"AAAAAE/93kk=")</f>
        <v>#REF!</v>
      </c>
      <c r="BW137" t="e">
        <f>AND(#REF!,"AAAAAE/93ko=")</f>
        <v>#REF!</v>
      </c>
      <c r="BX137" t="e">
        <f>AND(#REF!,"AAAAAE/93ks=")</f>
        <v>#REF!</v>
      </c>
      <c r="BY137" t="e">
        <f>AND(#REF!,"AAAAAE/93kw=")</f>
        <v>#REF!</v>
      </c>
      <c r="BZ137" t="e">
        <f>AND(#REF!,"AAAAAE/93k0=")</f>
        <v>#REF!</v>
      </c>
      <c r="CA137" t="e">
        <f>AND(#REF!,"AAAAAE/93k4=")</f>
        <v>#REF!</v>
      </c>
      <c r="CB137" t="e">
        <f>AND(#REF!,"AAAAAE/93k8=")</f>
        <v>#REF!</v>
      </c>
      <c r="CC137" t="e">
        <f>AND(#REF!,"AAAAAE/93lA=")</f>
        <v>#REF!</v>
      </c>
      <c r="CD137" t="e">
        <f>IF(#REF!,"AAAAAE/93lE=",0)</f>
        <v>#REF!</v>
      </c>
      <c r="CE137" t="e">
        <f>AND(#REF!,"AAAAAE/93lI=")</f>
        <v>#REF!</v>
      </c>
      <c r="CF137" t="e">
        <f>AND(#REF!,"AAAAAE/93lM=")</f>
        <v>#REF!</v>
      </c>
      <c r="CG137" t="e">
        <f>AND(#REF!,"AAAAAE/93lQ=")</f>
        <v>#REF!</v>
      </c>
      <c r="CH137" t="e">
        <f>AND(#REF!,"AAAAAE/93lU=")</f>
        <v>#REF!</v>
      </c>
      <c r="CI137" t="e">
        <f>AND(#REF!,"AAAAAE/93lY=")</f>
        <v>#REF!</v>
      </c>
      <c r="CJ137" t="e">
        <f>AND(#REF!,"AAAAAE/93lc=")</f>
        <v>#REF!</v>
      </c>
      <c r="CK137" t="e">
        <f>AND(#REF!,"AAAAAE/93lg=")</f>
        <v>#REF!</v>
      </c>
      <c r="CL137" t="e">
        <f>AND(#REF!,"AAAAAE/93lk=")</f>
        <v>#REF!</v>
      </c>
      <c r="CM137" t="e">
        <f>AND(#REF!,"AAAAAE/93lo=")</f>
        <v>#REF!</v>
      </c>
      <c r="CN137" t="e">
        <f>AND(#REF!,"AAAAAE/93ls=")</f>
        <v>#REF!</v>
      </c>
      <c r="CO137" t="e">
        <f>IF(#REF!,"AAAAAE/93lw=",0)</f>
        <v>#REF!</v>
      </c>
      <c r="CP137" t="e">
        <f>AND(#REF!,"AAAAAE/93l0=")</f>
        <v>#REF!</v>
      </c>
      <c r="CQ137" t="e">
        <f>AND(#REF!,"AAAAAE/93l4=")</f>
        <v>#REF!</v>
      </c>
      <c r="CR137" t="e">
        <f>AND(#REF!,"AAAAAE/93l8=")</f>
        <v>#REF!</v>
      </c>
      <c r="CS137" t="e">
        <f>AND(#REF!,"AAAAAE/93mA=")</f>
        <v>#REF!</v>
      </c>
      <c r="CT137" t="e">
        <f>AND(#REF!,"AAAAAE/93mE=")</f>
        <v>#REF!</v>
      </c>
      <c r="CU137" t="e">
        <f>AND(#REF!,"AAAAAE/93mI=")</f>
        <v>#REF!</v>
      </c>
      <c r="CV137" t="e">
        <f>AND(#REF!,"AAAAAE/93mM=")</f>
        <v>#REF!</v>
      </c>
      <c r="CW137" t="e">
        <f>AND(#REF!,"AAAAAE/93mQ=")</f>
        <v>#REF!</v>
      </c>
      <c r="CX137" t="e">
        <f>AND(#REF!,"AAAAAE/93mU=")</f>
        <v>#REF!</v>
      </c>
      <c r="CY137" t="e">
        <f>AND(#REF!,"AAAAAE/93mY=")</f>
        <v>#REF!</v>
      </c>
      <c r="CZ137" t="e">
        <f>IF(#REF!,"AAAAAE/93mc=",0)</f>
        <v>#REF!</v>
      </c>
      <c r="DA137" t="e">
        <f>AND(#REF!,"AAAAAE/93mg=")</f>
        <v>#REF!</v>
      </c>
      <c r="DB137" t="e">
        <f>AND(#REF!,"AAAAAE/93mk=")</f>
        <v>#REF!</v>
      </c>
      <c r="DC137" t="e">
        <f>AND(#REF!,"AAAAAE/93mo=")</f>
        <v>#REF!</v>
      </c>
      <c r="DD137" t="e">
        <f>AND(#REF!,"AAAAAE/93ms=")</f>
        <v>#REF!</v>
      </c>
      <c r="DE137" t="e">
        <f>AND(#REF!,"AAAAAE/93mw=")</f>
        <v>#REF!</v>
      </c>
      <c r="DF137" t="e">
        <f>AND(#REF!,"AAAAAE/93m0=")</f>
        <v>#REF!</v>
      </c>
      <c r="DG137" t="e">
        <f>AND(#REF!,"AAAAAE/93m4=")</f>
        <v>#REF!</v>
      </c>
      <c r="DH137" t="e">
        <f>AND(#REF!,"AAAAAE/93m8=")</f>
        <v>#REF!</v>
      </c>
      <c r="DI137" t="e">
        <f>AND(#REF!,"AAAAAE/93nA=")</f>
        <v>#REF!</v>
      </c>
      <c r="DJ137" t="e">
        <f>AND(#REF!,"AAAAAE/93nE=")</f>
        <v>#REF!</v>
      </c>
      <c r="DK137" t="e">
        <f>IF(#REF!,"AAAAAE/93nI=",0)</f>
        <v>#REF!</v>
      </c>
      <c r="DL137" t="e">
        <f>AND(#REF!,"AAAAAE/93nM=")</f>
        <v>#REF!</v>
      </c>
      <c r="DM137" t="e">
        <f>AND(#REF!,"AAAAAE/93nQ=")</f>
        <v>#REF!</v>
      </c>
      <c r="DN137" t="e">
        <f>AND(#REF!,"AAAAAE/93nU=")</f>
        <v>#REF!</v>
      </c>
      <c r="DO137" t="e">
        <f>AND(#REF!,"AAAAAE/93nY=")</f>
        <v>#REF!</v>
      </c>
      <c r="DP137" t="e">
        <f>AND(#REF!,"AAAAAE/93nc=")</f>
        <v>#REF!</v>
      </c>
      <c r="DQ137" t="e">
        <f>AND(#REF!,"AAAAAE/93ng=")</f>
        <v>#REF!</v>
      </c>
      <c r="DR137" t="e">
        <f>AND(#REF!,"AAAAAE/93nk=")</f>
        <v>#REF!</v>
      </c>
      <c r="DS137" t="e">
        <f>AND(#REF!,"AAAAAE/93no=")</f>
        <v>#REF!</v>
      </c>
      <c r="DT137" t="e">
        <f>AND(#REF!,"AAAAAE/93ns=")</f>
        <v>#REF!</v>
      </c>
      <c r="DU137" t="e">
        <f>AND(#REF!,"AAAAAE/93nw=")</f>
        <v>#REF!</v>
      </c>
      <c r="DV137" t="e">
        <f>IF(#REF!,"AAAAAE/93n0=",0)</f>
        <v>#REF!</v>
      </c>
      <c r="DW137" t="e">
        <f>AND(#REF!,"AAAAAE/93n4=")</f>
        <v>#REF!</v>
      </c>
      <c r="DX137" t="e">
        <f>AND(#REF!,"AAAAAE/93n8=")</f>
        <v>#REF!</v>
      </c>
      <c r="DY137" t="e">
        <f>AND(#REF!,"AAAAAE/93oA=")</f>
        <v>#REF!</v>
      </c>
      <c r="DZ137" t="e">
        <f>AND(#REF!,"AAAAAE/93oE=")</f>
        <v>#REF!</v>
      </c>
      <c r="EA137" t="e">
        <f>AND(#REF!,"AAAAAE/93oI=")</f>
        <v>#REF!</v>
      </c>
      <c r="EB137" t="e">
        <f>AND(#REF!,"AAAAAE/93oM=")</f>
        <v>#REF!</v>
      </c>
      <c r="EC137" t="e">
        <f>AND(#REF!,"AAAAAE/93oQ=")</f>
        <v>#REF!</v>
      </c>
      <c r="ED137" t="e">
        <f>AND(#REF!,"AAAAAE/93oU=")</f>
        <v>#REF!</v>
      </c>
      <c r="EE137" t="e">
        <f>AND(#REF!,"AAAAAE/93oY=")</f>
        <v>#REF!</v>
      </c>
      <c r="EF137" t="e">
        <f>AND(#REF!,"AAAAAE/93oc=")</f>
        <v>#REF!</v>
      </c>
      <c r="EG137" t="e">
        <f>IF(#REF!,"AAAAAE/93og=",0)</f>
        <v>#REF!</v>
      </c>
      <c r="EH137" t="e">
        <f>AND(#REF!,"AAAAAE/93ok=")</f>
        <v>#REF!</v>
      </c>
      <c r="EI137" t="e">
        <f>AND(#REF!,"AAAAAE/93oo=")</f>
        <v>#REF!</v>
      </c>
      <c r="EJ137" t="e">
        <f>AND(#REF!,"AAAAAE/93os=")</f>
        <v>#REF!</v>
      </c>
      <c r="EK137" t="e">
        <f>AND(#REF!,"AAAAAE/93ow=")</f>
        <v>#REF!</v>
      </c>
      <c r="EL137" t="e">
        <f>AND(#REF!,"AAAAAE/93o0=")</f>
        <v>#REF!</v>
      </c>
      <c r="EM137" t="e">
        <f>AND(#REF!,"AAAAAE/93o4=")</f>
        <v>#REF!</v>
      </c>
      <c r="EN137" t="e">
        <f>AND(#REF!,"AAAAAE/93o8=")</f>
        <v>#REF!</v>
      </c>
      <c r="EO137" t="e">
        <f>AND(#REF!,"AAAAAE/93pA=")</f>
        <v>#REF!</v>
      </c>
      <c r="EP137" t="e">
        <f>AND(#REF!,"AAAAAE/93pE=")</f>
        <v>#REF!</v>
      </c>
      <c r="EQ137" t="e">
        <f>AND(#REF!,"AAAAAE/93pI=")</f>
        <v>#REF!</v>
      </c>
      <c r="ER137" t="e">
        <f>IF(#REF!,"AAAAAE/93pM=",0)</f>
        <v>#REF!</v>
      </c>
      <c r="ES137" t="e">
        <f>AND(#REF!,"AAAAAE/93pQ=")</f>
        <v>#REF!</v>
      </c>
      <c r="ET137" t="e">
        <f>AND(#REF!,"AAAAAE/93pU=")</f>
        <v>#REF!</v>
      </c>
      <c r="EU137" t="e">
        <f>AND(#REF!,"AAAAAE/93pY=")</f>
        <v>#REF!</v>
      </c>
      <c r="EV137" t="e">
        <f>AND(#REF!,"AAAAAE/93pc=")</f>
        <v>#REF!</v>
      </c>
      <c r="EW137" t="e">
        <f>AND(#REF!,"AAAAAE/93pg=")</f>
        <v>#REF!</v>
      </c>
      <c r="EX137" t="e">
        <f>AND(#REF!,"AAAAAE/93pk=")</f>
        <v>#REF!</v>
      </c>
      <c r="EY137" t="e">
        <f>AND(#REF!,"AAAAAE/93po=")</f>
        <v>#REF!</v>
      </c>
      <c r="EZ137" t="e">
        <f>AND(#REF!,"AAAAAE/93ps=")</f>
        <v>#REF!</v>
      </c>
      <c r="FA137" t="e">
        <f>AND(#REF!,"AAAAAE/93pw=")</f>
        <v>#REF!</v>
      </c>
      <c r="FB137" t="e">
        <f>AND(#REF!,"AAAAAE/93p0=")</f>
        <v>#REF!</v>
      </c>
      <c r="FC137" t="e">
        <f>IF(#REF!,"AAAAAE/93p4=",0)</f>
        <v>#REF!</v>
      </c>
      <c r="FD137" t="e">
        <f>AND(#REF!,"AAAAAE/93p8=")</f>
        <v>#REF!</v>
      </c>
      <c r="FE137" t="e">
        <f>AND(#REF!,"AAAAAE/93qA=")</f>
        <v>#REF!</v>
      </c>
      <c r="FF137" t="e">
        <f>AND(#REF!,"AAAAAE/93qE=")</f>
        <v>#REF!</v>
      </c>
      <c r="FG137" t="e">
        <f>AND(#REF!,"AAAAAE/93qI=")</f>
        <v>#REF!</v>
      </c>
      <c r="FH137" t="e">
        <f>AND(#REF!,"AAAAAE/93qM=")</f>
        <v>#REF!</v>
      </c>
      <c r="FI137" t="e">
        <f>AND(#REF!,"AAAAAE/93qQ=")</f>
        <v>#REF!</v>
      </c>
      <c r="FJ137" t="e">
        <f>AND(#REF!,"AAAAAE/93qU=")</f>
        <v>#REF!</v>
      </c>
      <c r="FK137" t="e">
        <f>AND(#REF!,"AAAAAE/93qY=")</f>
        <v>#REF!</v>
      </c>
      <c r="FL137" t="e">
        <f>AND(#REF!,"AAAAAE/93qc=")</f>
        <v>#REF!</v>
      </c>
      <c r="FM137" t="e">
        <f>AND(#REF!,"AAAAAE/93qg=")</f>
        <v>#REF!</v>
      </c>
      <c r="FN137" t="e">
        <f>IF(#REF!,"AAAAAE/93qk=",0)</f>
        <v>#REF!</v>
      </c>
      <c r="FO137" t="e">
        <f>AND(#REF!,"AAAAAE/93qo=")</f>
        <v>#REF!</v>
      </c>
      <c r="FP137" t="e">
        <f>AND(#REF!,"AAAAAE/93qs=")</f>
        <v>#REF!</v>
      </c>
      <c r="FQ137" t="e">
        <f>AND(#REF!,"AAAAAE/93qw=")</f>
        <v>#REF!</v>
      </c>
      <c r="FR137" t="e">
        <f>AND(#REF!,"AAAAAE/93q0=")</f>
        <v>#REF!</v>
      </c>
      <c r="FS137" t="e">
        <f>AND(#REF!,"AAAAAE/93q4=")</f>
        <v>#REF!</v>
      </c>
      <c r="FT137" t="e">
        <f>AND(#REF!,"AAAAAE/93q8=")</f>
        <v>#REF!</v>
      </c>
      <c r="FU137" t="e">
        <f>AND(#REF!,"AAAAAE/93rA=")</f>
        <v>#REF!</v>
      </c>
      <c r="FV137" t="e">
        <f>AND(#REF!,"AAAAAE/93rE=")</f>
        <v>#REF!</v>
      </c>
      <c r="FW137" t="e">
        <f>AND(#REF!,"AAAAAE/93rI=")</f>
        <v>#REF!</v>
      </c>
      <c r="FX137" t="e">
        <f>AND(#REF!,"AAAAAE/93rM=")</f>
        <v>#REF!</v>
      </c>
      <c r="FY137" t="e">
        <f>IF(#REF!,"AAAAAE/93rQ=",0)</f>
        <v>#REF!</v>
      </c>
      <c r="FZ137" t="e">
        <f>AND(#REF!,"AAAAAE/93rU=")</f>
        <v>#REF!</v>
      </c>
      <c r="GA137" t="e">
        <f>AND(#REF!,"AAAAAE/93rY=")</f>
        <v>#REF!</v>
      </c>
      <c r="GB137" t="e">
        <f>AND(#REF!,"AAAAAE/93rc=")</f>
        <v>#REF!</v>
      </c>
      <c r="GC137" t="e">
        <f>AND(#REF!,"AAAAAE/93rg=")</f>
        <v>#REF!</v>
      </c>
      <c r="GD137" t="e">
        <f>AND(#REF!,"AAAAAE/93rk=")</f>
        <v>#REF!</v>
      </c>
      <c r="GE137" t="e">
        <f>AND(#REF!,"AAAAAE/93ro=")</f>
        <v>#REF!</v>
      </c>
      <c r="GF137" t="e">
        <f>AND(#REF!,"AAAAAE/93rs=")</f>
        <v>#REF!</v>
      </c>
      <c r="GG137" t="e">
        <f>AND(#REF!,"AAAAAE/93rw=")</f>
        <v>#REF!</v>
      </c>
      <c r="GH137" t="e">
        <f>AND(#REF!,"AAAAAE/93r0=")</f>
        <v>#REF!</v>
      </c>
      <c r="GI137" t="e">
        <f>AND(#REF!,"AAAAAE/93r4=")</f>
        <v>#REF!</v>
      </c>
      <c r="GJ137" t="e">
        <f>IF(#REF!,"AAAAAE/93r8=",0)</f>
        <v>#REF!</v>
      </c>
      <c r="GK137" t="e">
        <f>AND(#REF!,"AAAAAE/93sA=")</f>
        <v>#REF!</v>
      </c>
      <c r="GL137" t="e">
        <f>AND(#REF!,"AAAAAE/93sE=")</f>
        <v>#REF!</v>
      </c>
      <c r="GM137" t="e">
        <f>AND(#REF!,"AAAAAE/93sI=")</f>
        <v>#REF!</v>
      </c>
      <c r="GN137" t="e">
        <f>AND(#REF!,"AAAAAE/93sM=")</f>
        <v>#REF!</v>
      </c>
      <c r="GO137" t="e">
        <f>AND(#REF!,"AAAAAE/93sQ=")</f>
        <v>#REF!</v>
      </c>
      <c r="GP137" t="e">
        <f>AND(#REF!,"AAAAAE/93sU=")</f>
        <v>#REF!</v>
      </c>
      <c r="GQ137" t="e">
        <f>AND(#REF!,"AAAAAE/93sY=")</f>
        <v>#REF!</v>
      </c>
      <c r="GR137" t="e">
        <f>AND(#REF!,"AAAAAE/93sc=")</f>
        <v>#REF!</v>
      </c>
      <c r="GS137" t="e">
        <f>AND(#REF!,"AAAAAE/93sg=")</f>
        <v>#REF!</v>
      </c>
      <c r="GT137" t="e">
        <f>AND(#REF!,"AAAAAE/93sk=")</f>
        <v>#REF!</v>
      </c>
      <c r="GU137" t="e">
        <f>IF(#REF!,"AAAAAE/93so=",0)</f>
        <v>#REF!</v>
      </c>
      <c r="GV137" t="e">
        <f>AND(#REF!,"AAAAAE/93ss=")</f>
        <v>#REF!</v>
      </c>
      <c r="GW137" t="e">
        <f>AND(#REF!,"AAAAAE/93sw=")</f>
        <v>#REF!</v>
      </c>
      <c r="GX137" t="e">
        <f>AND(#REF!,"AAAAAE/93s0=")</f>
        <v>#REF!</v>
      </c>
      <c r="GY137" t="e">
        <f>AND(#REF!,"AAAAAE/93s4=")</f>
        <v>#REF!</v>
      </c>
      <c r="GZ137" t="e">
        <f>AND(#REF!,"AAAAAE/93s8=")</f>
        <v>#REF!</v>
      </c>
      <c r="HA137" t="e">
        <f>AND(#REF!,"AAAAAE/93tA=")</f>
        <v>#REF!</v>
      </c>
      <c r="HB137" t="e">
        <f>AND(#REF!,"AAAAAE/93tE=")</f>
        <v>#REF!</v>
      </c>
      <c r="HC137" t="e">
        <f>AND(#REF!,"AAAAAE/93tI=")</f>
        <v>#REF!</v>
      </c>
      <c r="HD137" t="e">
        <f>AND(#REF!,"AAAAAE/93tM=")</f>
        <v>#REF!</v>
      </c>
      <c r="HE137" t="e">
        <f>AND(#REF!,"AAAAAE/93tQ=")</f>
        <v>#REF!</v>
      </c>
      <c r="HF137" t="e">
        <f>IF(#REF!,"AAAAAE/93tU=",0)</f>
        <v>#REF!</v>
      </c>
      <c r="HG137" t="e">
        <f>AND(#REF!,"AAAAAE/93tY=")</f>
        <v>#REF!</v>
      </c>
      <c r="HH137" t="e">
        <f>AND(#REF!,"AAAAAE/93tc=")</f>
        <v>#REF!</v>
      </c>
      <c r="HI137" t="e">
        <f>AND(#REF!,"AAAAAE/93tg=")</f>
        <v>#REF!</v>
      </c>
      <c r="HJ137" t="e">
        <f>AND(#REF!,"AAAAAE/93tk=")</f>
        <v>#REF!</v>
      </c>
      <c r="HK137" t="e">
        <f>AND(#REF!,"AAAAAE/93to=")</f>
        <v>#REF!</v>
      </c>
      <c r="HL137" t="e">
        <f>AND(#REF!,"AAAAAE/93ts=")</f>
        <v>#REF!</v>
      </c>
      <c r="HM137" t="e">
        <f>AND(#REF!,"AAAAAE/93tw=")</f>
        <v>#REF!</v>
      </c>
      <c r="HN137" t="e">
        <f>AND(#REF!,"AAAAAE/93t0=")</f>
        <v>#REF!</v>
      </c>
      <c r="HO137" t="e">
        <f>AND(#REF!,"AAAAAE/93t4=")</f>
        <v>#REF!</v>
      </c>
      <c r="HP137" t="e">
        <f>AND(#REF!,"AAAAAE/93t8=")</f>
        <v>#REF!</v>
      </c>
      <c r="HQ137" t="e">
        <f>IF(#REF!,"AAAAAE/93uA=",0)</f>
        <v>#REF!</v>
      </c>
      <c r="HR137" t="e">
        <f>AND(#REF!,"AAAAAE/93uE=")</f>
        <v>#REF!</v>
      </c>
      <c r="HS137" t="e">
        <f>AND(#REF!,"AAAAAE/93uI=")</f>
        <v>#REF!</v>
      </c>
      <c r="HT137" t="e">
        <f>AND(#REF!,"AAAAAE/93uM=")</f>
        <v>#REF!</v>
      </c>
      <c r="HU137" t="e">
        <f>AND(#REF!,"AAAAAE/93uQ=")</f>
        <v>#REF!</v>
      </c>
      <c r="HV137" t="e">
        <f>AND(#REF!,"AAAAAE/93uU=")</f>
        <v>#REF!</v>
      </c>
      <c r="HW137" t="e">
        <f>AND(#REF!,"AAAAAE/93uY=")</f>
        <v>#REF!</v>
      </c>
      <c r="HX137" t="e">
        <f>AND(#REF!,"AAAAAE/93uc=")</f>
        <v>#REF!</v>
      </c>
      <c r="HY137" t="e">
        <f>AND(#REF!,"AAAAAE/93ug=")</f>
        <v>#REF!</v>
      </c>
      <c r="HZ137" t="e">
        <f>AND(#REF!,"AAAAAE/93uk=")</f>
        <v>#REF!</v>
      </c>
      <c r="IA137" t="e">
        <f>AND(#REF!,"AAAAAE/93uo=")</f>
        <v>#REF!</v>
      </c>
      <c r="IB137" t="e">
        <f>IF(#REF!,"AAAAAE/93us=",0)</f>
        <v>#REF!</v>
      </c>
      <c r="IC137" t="e">
        <f>AND(#REF!,"AAAAAE/93uw=")</f>
        <v>#REF!</v>
      </c>
      <c r="ID137" t="e">
        <f>AND(#REF!,"AAAAAE/93u0=")</f>
        <v>#REF!</v>
      </c>
      <c r="IE137" t="e">
        <f>AND(#REF!,"AAAAAE/93u4=")</f>
        <v>#REF!</v>
      </c>
      <c r="IF137" t="e">
        <f>AND(#REF!,"AAAAAE/93u8=")</f>
        <v>#REF!</v>
      </c>
      <c r="IG137" t="e">
        <f>AND(#REF!,"AAAAAE/93vA=")</f>
        <v>#REF!</v>
      </c>
      <c r="IH137" t="e">
        <f>AND(#REF!,"AAAAAE/93vE=")</f>
        <v>#REF!</v>
      </c>
      <c r="II137" t="e">
        <f>AND(#REF!,"AAAAAE/93vI=")</f>
        <v>#REF!</v>
      </c>
      <c r="IJ137" t="e">
        <f>AND(#REF!,"AAAAAE/93vM=")</f>
        <v>#REF!</v>
      </c>
      <c r="IK137" t="e">
        <f>AND(#REF!,"AAAAAE/93vQ=")</f>
        <v>#REF!</v>
      </c>
      <c r="IL137" t="e">
        <f>AND(#REF!,"AAAAAE/93vU=")</f>
        <v>#REF!</v>
      </c>
      <c r="IM137" t="e">
        <f>IF(#REF!,"AAAAAE/93vY=",0)</f>
        <v>#REF!</v>
      </c>
      <c r="IN137" t="e">
        <f>AND(#REF!,"AAAAAE/93vc=")</f>
        <v>#REF!</v>
      </c>
      <c r="IO137" t="e">
        <f>AND(#REF!,"AAAAAE/93vg=")</f>
        <v>#REF!</v>
      </c>
      <c r="IP137" t="e">
        <f>AND(#REF!,"AAAAAE/93vk=")</f>
        <v>#REF!</v>
      </c>
      <c r="IQ137" t="e">
        <f>AND(#REF!,"AAAAAE/93vo=")</f>
        <v>#REF!</v>
      </c>
      <c r="IR137" t="e">
        <f>AND(#REF!,"AAAAAE/93vs=")</f>
        <v>#REF!</v>
      </c>
      <c r="IS137" t="e">
        <f>AND(#REF!,"AAAAAE/93vw=")</f>
        <v>#REF!</v>
      </c>
      <c r="IT137" t="e">
        <f>AND(#REF!,"AAAAAE/93v0=")</f>
        <v>#REF!</v>
      </c>
      <c r="IU137" t="e">
        <f>AND(#REF!,"AAAAAE/93v4=")</f>
        <v>#REF!</v>
      </c>
      <c r="IV137" t="e">
        <f>AND(#REF!,"AAAAAE/93v8=")</f>
        <v>#REF!</v>
      </c>
    </row>
    <row r="138" spans="1:256" x14ac:dyDescent="0.25">
      <c r="A138" t="e">
        <f>AND(#REF!,"AAAAAG//PwA=")</f>
        <v>#REF!</v>
      </c>
      <c r="B138" t="e">
        <f>IF(#REF!,"AAAAAG//PwE=",0)</f>
        <v>#REF!</v>
      </c>
      <c r="C138" t="e">
        <f>AND(#REF!,"AAAAAG//PwI=")</f>
        <v>#REF!</v>
      </c>
      <c r="D138" t="e">
        <f>AND(#REF!,"AAAAAG//PwM=")</f>
        <v>#REF!</v>
      </c>
      <c r="E138" t="e">
        <f>AND(#REF!,"AAAAAG//PwQ=")</f>
        <v>#REF!</v>
      </c>
      <c r="F138" t="e">
        <f>AND(#REF!,"AAAAAG//PwU=")</f>
        <v>#REF!</v>
      </c>
      <c r="G138" t="e">
        <f>AND(#REF!,"AAAAAG//PwY=")</f>
        <v>#REF!</v>
      </c>
      <c r="H138" t="e">
        <f>AND(#REF!,"AAAAAG//Pwc=")</f>
        <v>#REF!</v>
      </c>
      <c r="I138" t="e">
        <f>AND(#REF!,"AAAAAG//Pwg=")</f>
        <v>#REF!</v>
      </c>
      <c r="J138" t="e">
        <f>AND(#REF!,"AAAAAG//Pwk=")</f>
        <v>#REF!</v>
      </c>
      <c r="K138" t="e">
        <f>AND(#REF!,"AAAAAG//Pwo=")</f>
        <v>#REF!</v>
      </c>
      <c r="L138" t="e">
        <f>AND(#REF!,"AAAAAG//Pws=")</f>
        <v>#REF!</v>
      </c>
      <c r="M138" t="e">
        <f>IF(#REF!,"AAAAAG//Pww=",0)</f>
        <v>#REF!</v>
      </c>
      <c r="N138" t="e">
        <f>AND(#REF!,"AAAAAG//Pw0=")</f>
        <v>#REF!</v>
      </c>
      <c r="O138" t="e">
        <f>AND(#REF!,"AAAAAG//Pw4=")</f>
        <v>#REF!</v>
      </c>
      <c r="P138" t="e">
        <f>AND(#REF!,"AAAAAG//Pw8=")</f>
        <v>#REF!</v>
      </c>
      <c r="Q138" t="e">
        <f>AND(#REF!,"AAAAAG//PxA=")</f>
        <v>#REF!</v>
      </c>
      <c r="R138" t="e">
        <f>AND(#REF!,"AAAAAG//PxE=")</f>
        <v>#REF!</v>
      </c>
      <c r="S138" t="e">
        <f>AND(#REF!,"AAAAAG//PxI=")</f>
        <v>#REF!</v>
      </c>
      <c r="T138" t="e">
        <f>AND(#REF!,"AAAAAG//PxM=")</f>
        <v>#REF!</v>
      </c>
      <c r="U138" t="e">
        <f>AND(#REF!,"AAAAAG//PxQ=")</f>
        <v>#REF!</v>
      </c>
      <c r="V138" t="e">
        <f>AND(#REF!,"AAAAAG//PxU=")</f>
        <v>#REF!</v>
      </c>
      <c r="W138" t="e">
        <f>AND(#REF!,"AAAAAG//PxY=")</f>
        <v>#REF!</v>
      </c>
      <c r="X138" t="e">
        <f>IF(#REF!,"AAAAAG//Pxc=",0)</f>
        <v>#REF!</v>
      </c>
      <c r="Y138" t="e">
        <f>AND(#REF!,"AAAAAG//Pxg=")</f>
        <v>#REF!</v>
      </c>
      <c r="Z138" t="e">
        <f>AND(#REF!,"AAAAAG//Pxk=")</f>
        <v>#REF!</v>
      </c>
      <c r="AA138" t="e">
        <f>AND(#REF!,"AAAAAG//Pxo=")</f>
        <v>#REF!</v>
      </c>
      <c r="AB138" t="e">
        <f>AND(#REF!,"AAAAAG//Pxs=")</f>
        <v>#REF!</v>
      </c>
      <c r="AC138" t="e">
        <f>AND(#REF!,"AAAAAG//Pxw=")</f>
        <v>#REF!</v>
      </c>
      <c r="AD138" t="e">
        <f>AND(#REF!,"AAAAAG//Px0=")</f>
        <v>#REF!</v>
      </c>
      <c r="AE138" t="e">
        <f>AND(#REF!,"AAAAAG//Px4=")</f>
        <v>#REF!</v>
      </c>
      <c r="AF138" t="e">
        <f>AND(#REF!,"AAAAAG//Px8=")</f>
        <v>#REF!</v>
      </c>
      <c r="AG138" t="e">
        <f>AND(#REF!,"AAAAAG//PyA=")</f>
        <v>#REF!</v>
      </c>
      <c r="AH138" t="e">
        <f>AND(#REF!,"AAAAAG//PyE=")</f>
        <v>#REF!</v>
      </c>
      <c r="AI138" t="e">
        <f>IF(#REF!,"AAAAAG//PyI=",0)</f>
        <v>#REF!</v>
      </c>
      <c r="AJ138" t="e">
        <f>AND(#REF!,"AAAAAG//PyM=")</f>
        <v>#REF!</v>
      </c>
      <c r="AK138" t="e">
        <f>AND(#REF!,"AAAAAG//PyQ=")</f>
        <v>#REF!</v>
      </c>
      <c r="AL138" t="e">
        <f>AND(#REF!,"AAAAAG//PyU=")</f>
        <v>#REF!</v>
      </c>
      <c r="AM138" t="e">
        <f>AND(#REF!,"AAAAAG//PyY=")</f>
        <v>#REF!</v>
      </c>
      <c r="AN138" t="e">
        <f>AND(#REF!,"AAAAAG//Pyc=")</f>
        <v>#REF!</v>
      </c>
      <c r="AO138" t="e">
        <f>AND(#REF!,"AAAAAG//Pyg=")</f>
        <v>#REF!</v>
      </c>
      <c r="AP138" t="e">
        <f>AND(#REF!,"AAAAAG//Pyk=")</f>
        <v>#REF!</v>
      </c>
      <c r="AQ138" t="e">
        <f>AND(#REF!,"AAAAAG//Pyo=")</f>
        <v>#REF!</v>
      </c>
      <c r="AR138" t="e">
        <f>AND(#REF!,"AAAAAG//Pys=")</f>
        <v>#REF!</v>
      </c>
      <c r="AS138" t="e">
        <f>AND(#REF!,"AAAAAG//Pyw=")</f>
        <v>#REF!</v>
      </c>
      <c r="AT138" t="e">
        <f>IF(#REF!,"AAAAAG//Py0=",0)</f>
        <v>#REF!</v>
      </c>
      <c r="AU138" t="e">
        <f>AND(#REF!,"AAAAAG//Py4=")</f>
        <v>#REF!</v>
      </c>
      <c r="AV138" t="e">
        <f>AND(#REF!,"AAAAAG//Py8=")</f>
        <v>#REF!</v>
      </c>
      <c r="AW138" t="e">
        <f>AND(#REF!,"AAAAAG//PzA=")</f>
        <v>#REF!</v>
      </c>
      <c r="AX138" t="e">
        <f>AND(#REF!,"AAAAAG//PzE=")</f>
        <v>#REF!</v>
      </c>
      <c r="AY138" t="e">
        <f>AND(#REF!,"AAAAAG//PzI=")</f>
        <v>#REF!</v>
      </c>
      <c r="AZ138" t="e">
        <f>AND(#REF!,"AAAAAG//PzM=")</f>
        <v>#REF!</v>
      </c>
      <c r="BA138" t="e">
        <f>AND(#REF!,"AAAAAG//PzQ=")</f>
        <v>#REF!</v>
      </c>
      <c r="BB138" t="e">
        <f>AND(#REF!,"AAAAAG//PzU=")</f>
        <v>#REF!</v>
      </c>
      <c r="BC138" t="e">
        <f>AND(#REF!,"AAAAAG//PzY=")</f>
        <v>#REF!</v>
      </c>
      <c r="BD138" t="e">
        <f>AND(#REF!,"AAAAAG//Pzc=")</f>
        <v>#REF!</v>
      </c>
      <c r="BE138" t="e">
        <f>IF(#REF!,"AAAAAG//Pzg=",0)</f>
        <v>#REF!</v>
      </c>
      <c r="BF138" t="e">
        <f>AND(#REF!,"AAAAAG//Pzk=")</f>
        <v>#REF!</v>
      </c>
      <c r="BG138" t="e">
        <f>AND(#REF!,"AAAAAG//Pzo=")</f>
        <v>#REF!</v>
      </c>
      <c r="BH138" t="e">
        <f>AND(#REF!,"AAAAAG//Pzs=")</f>
        <v>#REF!</v>
      </c>
      <c r="BI138" t="e">
        <f>AND(#REF!,"AAAAAG//Pzw=")</f>
        <v>#REF!</v>
      </c>
      <c r="BJ138" t="e">
        <f>AND(#REF!,"AAAAAG//Pz0=")</f>
        <v>#REF!</v>
      </c>
      <c r="BK138" t="e">
        <f>AND(#REF!,"AAAAAG//Pz4=")</f>
        <v>#REF!</v>
      </c>
      <c r="BL138" t="e">
        <f>AND(#REF!,"AAAAAG//Pz8=")</f>
        <v>#REF!</v>
      </c>
      <c r="BM138" t="e">
        <f>AND(#REF!,"AAAAAG//P0A=")</f>
        <v>#REF!</v>
      </c>
      <c r="BN138" t="e">
        <f>AND(#REF!,"AAAAAG//P0E=")</f>
        <v>#REF!</v>
      </c>
      <c r="BO138" t="e">
        <f>AND(#REF!,"AAAAAG//P0I=")</f>
        <v>#REF!</v>
      </c>
      <c r="BP138" t="e">
        <f>IF(#REF!,"AAAAAG//P0M=",0)</f>
        <v>#REF!</v>
      </c>
      <c r="BQ138" t="e">
        <f>AND(#REF!,"AAAAAG//P0Q=")</f>
        <v>#REF!</v>
      </c>
      <c r="BR138" t="e">
        <f>AND(#REF!,"AAAAAG//P0U=")</f>
        <v>#REF!</v>
      </c>
      <c r="BS138" t="e">
        <f>AND(#REF!,"AAAAAG//P0Y=")</f>
        <v>#REF!</v>
      </c>
      <c r="BT138" t="e">
        <f>AND(#REF!,"AAAAAG//P0c=")</f>
        <v>#REF!</v>
      </c>
      <c r="BU138" t="e">
        <f>AND(#REF!,"AAAAAG//P0g=")</f>
        <v>#REF!</v>
      </c>
      <c r="BV138" t="e">
        <f>AND(#REF!,"AAAAAG//P0k=")</f>
        <v>#REF!</v>
      </c>
      <c r="BW138" t="e">
        <f>AND(#REF!,"AAAAAG//P0o=")</f>
        <v>#REF!</v>
      </c>
      <c r="BX138" t="e">
        <f>AND(#REF!,"AAAAAG//P0s=")</f>
        <v>#REF!</v>
      </c>
      <c r="BY138" t="e">
        <f>AND(#REF!,"AAAAAG//P0w=")</f>
        <v>#REF!</v>
      </c>
      <c r="BZ138" t="e">
        <f>AND(#REF!,"AAAAAG//P00=")</f>
        <v>#REF!</v>
      </c>
      <c r="CA138" t="e">
        <f>IF(#REF!,"AAAAAG//P04=",0)</f>
        <v>#REF!</v>
      </c>
      <c r="CB138" t="e">
        <f>AND(#REF!,"AAAAAG//P08=")</f>
        <v>#REF!</v>
      </c>
      <c r="CC138" t="e">
        <f>AND(#REF!,"AAAAAG//P1A=")</f>
        <v>#REF!</v>
      </c>
      <c r="CD138" t="e">
        <f>AND(#REF!,"AAAAAG//P1E=")</f>
        <v>#REF!</v>
      </c>
      <c r="CE138" t="e">
        <f>AND(#REF!,"AAAAAG//P1I=")</f>
        <v>#REF!</v>
      </c>
      <c r="CF138" t="e">
        <f>AND(#REF!,"AAAAAG//P1M=")</f>
        <v>#REF!</v>
      </c>
      <c r="CG138" t="e">
        <f>AND(#REF!,"AAAAAG//P1Q=")</f>
        <v>#REF!</v>
      </c>
      <c r="CH138" t="e">
        <f>AND(#REF!,"AAAAAG//P1U=")</f>
        <v>#REF!</v>
      </c>
      <c r="CI138" t="e">
        <f>AND(#REF!,"AAAAAG//P1Y=")</f>
        <v>#REF!</v>
      </c>
      <c r="CJ138" t="e">
        <f>AND(#REF!,"AAAAAG//P1c=")</f>
        <v>#REF!</v>
      </c>
      <c r="CK138" t="e">
        <f>AND(#REF!,"AAAAAG//P1g=")</f>
        <v>#REF!</v>
      </c>
      <c r="CL138" t="e">
        <f>IF(#REF!,"AAAAAG//P1k=",0)</f>
        <v>#REF!</v>
      </c>
      <c r="CM138" t="e">
        <f>AND(#REF!,"AAAAAG//P1o=")</f>
        <v>#REF!</v>
      </c>
      <c r="CN138" t="e">
        <f>AND(#REF!,"AAAAAG//P1s=")</f>
        <v>#REF!</v>
      </c>
      <c r="CO138" t="e">
        <f>AND(#REF!,"AAAAAG//P1w=")</f>
        <v>#REF!</v>
      </c>
      <c r="CP138" t="e">
        <f>AND(#REF!,"AAAAAG//P10=")</f>
        <v>#REF!</v>
      </c>
      <c r="CQ138" t="e">
        <f>AND(#REF!,"AAAAAG//P14=")</f>
        <v>#REF!</v>
      </c>
      <c r="CR138" t="e">
        <f>AND(#REF!,"AAAAAG//P18=")</f>
        <v>#REF!</v>
      </c>
      <c r="CS138" t="e">
        <f>AND(#REF!,"AAAAAG//P2A=")</f>
        <v>#REF!</v>
      </c>
      <c r="CT138" t="e">
        <f>AND(#REF!,"AAAAAG//P2E=")</f>
        <v>#REF!</v>
      </c>
      <c r="CU138" t="e">
        <f>AND(#REF!,"AAAAAG//P2I=")</f>
        <v>#REF!</v>
      </c>
      <c r="CV138" t="e">
        <f>AND(#REF!,"AAAAAG//P2M=")</f>
        <v>#REF!</v>
      </c>
      <c r="CW138" t="e">
        <f>IF(#REF!,"AAAAAG//P2Q=",0)</f>
        <v>#REF!</v>
      </c>
      <c r="CX138" t="e">
        <f>AND(#REF!,"AAAAAG//P2U=")</f>
        <v>#REF!</v>
      </c>
      <c r="CY138" t="e">
        <f>AND(#REF!,"AAAAAG//P2Y=")</f>
        <v>#REF!</v>
      </c>
      <c r="CZ138" t="e">
        <f>AND(#REF!,"AAAAAG//P2c=")</f>
        <v>#REF!</v>
      </c>
      <c r="DA138" t="e">
        <f>AND(#REF!,"AAAAAG//P2g=")</f>
        <v>#REF!</v>
      </c>
      <c r="DB138" t="e">
        <f>AND(#REF!,"AAAAAG//P2k=")</f>
        <v>#REF!</v>
      </c>
      <c r="DC138" t="e">
        <f>AND(#REF!,"AAAAAG//P2o=")</f>
        <v>#REF!</v>
      </c>
      <c r="DD138" t="e">
        <f>AND(#REF!,"AAAAAG//P2s=")</f>
        <v>#REF!</v>
      </c>
      <c r="DE138" t="e">
        <f>AND(#REF!,"AAAAAG//P2w=")</f>
        <v>#REF!</v>
      </c>
      <c r="DF138" t="e">
        <f>AND(#REF!,"AAAAAG//P20=")</f>
        <v>#REF!</v>
      </c>
      <c r="DG138" t="e">
        <f>AND(#REF!,"AAAAAG//P24=")</f>
        <v>#REF!</v>
      </c>
      <c r="DH138" t="e">
        <f>IF(#REF!,"AAAAAG//P28=",0)</f>
        <v>#REF!</v>
      </c>
      <c r="DI138" t="e">
        <f>AND(#REF!,"AAAAAG//P3A=")</f>
        <v>#REF!</v>
      </c>
      <c r="DJ138" t="e">
        <f>AND(#REF!,"AAAAAG//P3E=")</f>
        <v>#REF!</v>
      </c>
      <c r="DK138" t="e">
        <f>AND(#REF!,"AAAAAG//P3I=")</f>
        <v>#REF!</v>
      </c>
      <c r="DL138" t="e">
        <f>AND(#REF!,"AAAAAG//P3M=")</f>
        <v>#REF!</v>
      </c>
      <c r="DM138" t="e">
        <f>AND(#REF!,"AAAAAG//P3Q=")</f>
        <v>#REF!</v>
      </c>
      <c r="DN138" t="e">
        <f>AND(#REF!,"AAAAAG//P3U=")</f>
        <v>#REF!</v>
      </c>
      <c r="DO138" t="e">
        <f>AND(#REF!,"AAAAAG//P3Y=")</f>
        <v>#REF!</v>
      </c>
      <c r="DP138" t="e">
        <f>AND(#REF!,"AAAAAG//P3c=")</f>
        <v>#REF!</v>
      </c>
      <c r="DQ138" t="e">
        <f>AND(#REF!,"AAAAAG//P3g=")</f>
        <v>#REF!</v>
      </c>
      <c r="DR138" t="e">
        <f>AND(#REF!,"AAAAAG//P3k=")</f>
        <v>#REF!</v>
      </c>
      <c r="DS138" t="e">
        <f>IF(#REF!,"AAAAAG//P3o=",0)</f>
        <v>#REF!</v>
      </c>
      <c r="DT138" t="e">
        <f>AND(#REF!,"AAAAAG//P3s=")</f>
        <v>#REF!</v>
      </c>
      <c r="DU138" t="e">
        <f>AND(#REF!,"AAAAAG//P3w=")</f>
        <v>#REF!</v>
      </c>
      <c r="DV138" t="e">
        <f>AND(#REF!,"AAAAAG//P30=")</f>
        <v>#REF!</v>
      </c>
      <c r="DW138" t="e">
        <f>AND(#REF!,"AAAAAG//P34=")</f>
        <v>#REF!</v>
      </c>
      <c r="DX138" t="e">
        <f>AND(#REF!,"AAAAAG//P38=")</f>
        <v>#REF!</v>
      </c>
      <c r="DY138" t="e">
        <f>AND(#REF!,"AAAAAG//P4A=")</f>
        <v>#REF!</v>
      </c>
      <c r="DZ138" t="e">
        <f>AND(#REF!,"AAAAAG//P4E=")</f>
        <v>#REF!</v>
      </c>
      <c r="EA138" t="e">
        <f>AND(#REF!,"AAAAAG//P4I=")</f>
        <v>#REF!</v>
      </c>
      <c r="EB138" t="e">
        <f>AND(#REF!,"AAAAAG//P4M=")</f>
        <v>#REF!</v>
      </c>
      <c r="EC138" t="e">
        <f>AND(#REF!,"AAAAAG//P4Q=")</f>
        <v>#REF!</v>
      </c>
      <c r="ED138" t="e">
        <f>IF(#REF!,"AAAAAG//P4U=",0)</f>
        <v>#REF!</v>
      </c>
      <c r="EE138" t="e">
        <f>AND(#REF!,"AAAAAG//P4Y=")</f>
        <v>#REF!</v>
      </c>
      <c r="EF138" t="e">
        <f>AND(#REF!,"AAAAAG//P4c=")</f>
        <v>#REF!</v>
      </c>
      <c r="EG138" t="e">
        <f>AND(#REF!,"AAAAAG//P4g=")</f>
        <v>#REF!</v>
      </c>
      <c r="EH138" t="e">
        <f>AND(#REF!,"AAAAAG//P4k=")</f>
        <v>#REF!</v>
      </c>
      <c r="EI138" t="e">
        <f>AND(#REF!,"AAAAAG//P4o=")</f>
        <v>#REF!</v>
      </c>
      <c r="EJ138" t="e">
        <f>AND(#REF!,"AAAAAG//P4s=")</f>
        <v>#REF!</v>
      </c>
      <c r="EK138" t="e">
        <f>AND(#REF!,"AAAAAG//P4w=")</f>
        <v>#REF!</v>
      </c>
      <c r="EL138" t="e">
        <f>AND(#REF!,"AAAAAG//P40=")</f>
        <v>#REF!</v>
      </c>
      <c r="EM138" t="e">
        <f>AND(#REF!,"AAAAAG//P44=")</f>
        <v>#REF!</v>
      </c>
      <c r="EN138" t="e">
        <f>AND(#REF!,"AAAAAG//P48=")</f>
        <v>#REF!</v>
      </c>
      <c r="EO138" t="e">
        <f>IF(#REF!,"AAAAAG//P5A=",0)</f>
        <v>#REF!</v>
      </c>
      <c r="EP138" t="e">
        <f>AND(#REF!,"AAAAAG//P5E=")</f>
        <v>#REF!</v>
      </c>
      <c r="EQ138" t="e">
        <f>AND(#REF!,"AAAAAG//P5I=")</f>
        <v>#REF!</v>
      </c>
      <c r="ER138" t="e">
        <f>AND(#REF!,"AAAAAG//P5M=")</f>
        <v>#REF!</v>
      </c>
      <c r="ES138" t="e">
        <f>AND(#REF!,"AAAAAG//P5Q=")</f>
        <v>#REF!</v>
      </c>
      <c r="ET138" t="e">
        <f>AND(#REF!,"AAAAAG//P5U=")</f>
        <v>#REF!</v>
      </c>
      <c r="EU138" t="e">
        <f>AND(#REF!,"AAAAAG//P5Y=")</f>
        <v>#REF!</v>
      </c>
      <c r="EV138" t="e">
        <f>AND(#REF!,"AAAAAG//P5c=")</f>
        <v>#REF!</v>
      </c>
      <c r="EW138" t="e">
        <f>AND(#REF!,"AAAAAG//P5g=")</f>
        <v>#REF!</v>
      </c>
      <c r="EX138" t="e">
        <f>AND(#REF!,"AAAAAG//P5k=")</f>
        <v>#REF!</v>
      </c>
      <c r="EY138" t="e">
        <f>AND(#REF!,"AAAAAG//P5o=")</f>
        <v>#REF!</v>
      </c>
      <c r="EZ138" t="e">
        <f>IF(#REF!,"AAAAAG//P5s=",0)</f>
        <v>#REF!</v>
      </c>
      <c r="FA138" t="e">
        <f>AND(#REF!,"AAAAAG//P5w=")</f>
        <v>#REF!</v>
      </c>
      <c r="FB138" t="e">
        <f>AND(#REF!,"AAAAAG//P50=")</f>
        <v>#REF!</v>
      </c>
      <c r="FC138" t="e">
        <f>AND(#REF!,"AAAAAG//P54=")</f>
        <v>#REF!</v>
      </c>
      <c r="FD138" t="e">
        <f>AND(#REF!,"AAAAAG//P58=")</f>
        <v>#REF!</v>
      </c>
      <c r="FE138" t="e">
        <f>AND(#REF!,"AAAAAG//P6A=")</f>
        <v>#REF!</v>
      </c>
      <c r="FF138" t="e">
        <f>AND(#REF!,"AAAAAG//P6E=")</f>
        <v>#REF!</v>
      </c>
      <c r="FG138" t="e">
        <f>AND(#REF!,"AAAAAG//P6I=")</f>
        <v>#REF!</v>
      </c>
      <c r="FH138" t="e">
        <f>AND(#REF!,"AAAAAG//P6M=")</f>
        <v>#REF!</v>
      </c>
      <c r="FI138" t="e">
        <f>AND(#REF!,"AAAAAG//P6Q=")</f>
        <v>#REF!</v>
      </c>
      <c r="FJ138" t="e">
        <f>AND(#REF!,"AAAAAG//P6U=")</f>
        <v>#REF!</v>
      </c>
      <c r="FK138" t="e">
        <f>IF(#REF!,"AAAAAG//P6Y=",0)</f>
        <v>#REF!</v>
      </c>
      <c r="FL138" t="e">
        <f>AND(#REF!,"AAAAAG//P6c=")</f>
        <v>#REF!</v>
      </c>
      <c r="FM138" t="e">
        <f>AND(#REF!,"AAAAAG//P6g=")</f>
        <v>#REF!</v>
      </c>
      <c r="FN138" t="e">
        <f>AND(#REF!,"AAAAAG//P6k=")</f>
        <v>#REF!</v>
      </c>
      <c r="FO138" t="e">
        <f>AND(#REF!,"AAAAAG//P6o=")</f>
        <v>#REF!</v>
      </c>
      <c r="FP138" t="e">
        <f>AND(#REF!,"AAAAAG//P6s=")</f>
        <v>#REF!</v>
      </c>
      <c r="FQ138" t="e">
        <f>AND(#REF!,"AAAAAG//P6w=")</f>
        <v>#REF!</v>
      </c>
      <c r="FR138" t="e">
        <f>AND(#REF!,"AAAAAG//P60=")</f>
        <v>#REF!</v>
      </c>
      <c r="FS138" t="e">
        <f>AND(#REF!,"AAAAAG//P64=")</f>
        <v>#REF!</v>
      </c>
      <c r="FT138" t="e">
        <f>AND(#REF!,"AAAAAG//P68=")</f>
        <v>#REF!</v>
      </c>
      <c r="FU138" t="e">
        <f>AND(#REF!,"AAAAAG//P7A=")</f>
        <v>#REF!</v>
      </c>
      <c r="FV138" t="e">
        <f>IF(#REF!,"AAAAAG//P7E=",0)</f>
        <v>#REF!</v>
      </c>
      <c r="FW138" t="e">
        <f>AND(#REF!,"AAAAAG//P7I=")</f>
        <v>#REF!</v>
      </c>
      <c r="FX138" t="e">
        <f>AND(#REF!,"AAAAAG//P7M=")</f>
        <v>#REF!</v>
      </c>
      <c r="FY138" t="e">
        <f>AND(#REF!,"AAAAAG//P7Q=")</f>
        <v>#REF!</v>
      </c>
      <c r="FZ138" t="e">
        <f>AND(#REF!,"AAAAAG//P7U=")</f>
        <v>#REF!</v>
      </c>
      <c r="GA138" t="e">
        <f>AND(#REF!,"AAAAAG//P7Y=")</f>
        <v>#REF!</v>
      </c>
      <c r="GB138" t="e">
        <f>AND(#REF!,"AAAAAG//P7c=")</f>
        <v>#REF!</v>
      </c>
      <c r="GC138" t="e">
        <f>AND(#REF!,"AAAAAG//P7g=")</f>
        <v>#REF!</v>
      </c>
      <c r="GD138" t="e">
        <f>AND(#REF!,"AAAAAG//P7k=")</f>
        <v>#REF!</v>
      </c>
      <c r="GE138" t="e">
        <f>AND(#REF!,"AAAAAG//P7o=")</f>
        <v>#REF!</v>
      </c>
      <c r="GF138" t="e">
        <f>AND(#REF!,"AAAAAG//P7s=")</f>
        <v>#REF!</v>
      </c>
      <c r="GG138" t="e">
        <f>IF(#REF!,"AAAAAG//P7w=",0)</f>
        <v>#REF!</v>
      </c>
      <c r="GH138" t="e">
        <f>AND(#REF!,"AAAAAG//P70=")</f>
        <v>#REF!</v>
      </c>
      <c r="GI138" t="e">
        <f>AND(#REF!,"AAAAAG//P74=")</f>
        <v>#REF!</v>
      </c>
      <c r="GJ138" t="e">
        <f>AND(#REF!,"AAAAAG//P78=")</f>
        <v>#REF!</v>
      </c>
      <c r="GK138" t="e">
        <f>AND(#REF!,"AAAAAG//P8A=")</f>
        <v>#REF!</v>
      </c>
      <c r="GL138" t="e">
        <f>AND(#REF!,"AAAAAG//P8E=")</f>
        <v>#REF!</v>
      </c>
      <c r="GM138" t="e">
        <f>AND(#REF!,"AAAAAG//P8I=")</f>
        <v>#REF!</v>
      </c>
      <c r="GN138" t="e">
        <f>AND(#REF!,"AAAAAG//P8M=")</f>
        <v>#REF!</v>
      </c>
      <c r="GO138" t="e">
        <f>AND(#REF!,"AAAAAG//P8Q=")</f>
        <v>#REF!</v>
      </c>
      <c r="GP138" t="e">
        <f>AND(#REF!,"AAAAAG//P8U=")</f>
        <v>#REF!</v>
      </c>
      <c r="GQ138" t="e">
        <f>AND(#REF!,"AAAAAG//P8Y=")</f>
        <v>#REF!</v>
      </c>
      <c r="GR138" t="e">
        <f>IF(#REF!,"AAAAAG//P8c=",0)</f>
        <v>#REF!</v>
      </c>
      <c r="GS138" t="e">
        <f>AND(#REF!,"AAAAAG//P8g=")</f>
        <v>#REF!</v>
      </c>
      <c r="GT138" t="e">
        <f>AND(#REF!,"AAAAAG//P8k=")</f>
        <v>#REF!</v>
      </c>
      <c r="GU138" t="e">
        <f>AND(#REF!,"AAAAAG//P8o=")</f>
        <v>#REF!</v>
      </c>
      <c r="GV138" t="e">
        <f>AND(#REF!,"AAAAAG//P8s=")</f>
        <v>#REF!</v>
      </c>
      <c r="GW138" t="e">
        <f>AND(#REF!,"AAAAAG//P8w=")</f>
        <v>#REF!</v>
      </c>
      <c r="GX138" t="e">
        <f>AND(#REF!,"AAAAAG//P80=")</f>
        <v>#REF!</v>
      </c>
      <c r="GY138" t="e">
        <f>AND(#REF!,"AAAAAG//P84=")</f>
        <v>#REF!</v>
      </c>
      <c r="GZ138" t="e">
        <f>AND(#REF!,"AAAAAG//P88=")</f>
        <v>#REF!</v>
      </c>
      <c r="HA138" t="e">
        <f>AND(#REF!,"AAAAAG//P9A=")</f>
        <v>#REF!</v>
      </c>
      <c r="HB138" t="e">
        <f>AND(#REF!,"AAAAAG//P9E=")</f>
        <v>#REF!</v>
      </c>
      <c r="HC138" t="e">
        <f>IF(#REF!,"AAAAAG//P9I=",0)</f>
        <v>#REF!</v>
      </c>
      <c r="HD138" t="e">
        <f>AND(#REF!,"AAAAAG//P9M=")</f>
        <v>#REF!</v>
      </c>
      <c r="HE138" t="e">
        <f>AND(#REF!,"AAAAAG//P9Q=")</f>
        <v>#REF!</v>
      </c>
      <c r="HF138" t="e">
        <f>AND(#REF!,"AAAAAG//P9U=")</f>
        <v>#REF!</v>
      </c>
      <c r="HG138" t="e">
        <f>AND(#REF!,"AAAAAG//P9Y=")</f>
        <v>#REF!</v>
      </c>
      <c r="HH138" t="e">
        <f>AND(#REF!,"AAAAAG//P9c=")</f>
        <v>#REF!</v>
      </c>
      <c r="HI138" t="e">
        <f>AND(#REF!,"AAAAAG//P9g=")</f>
        <v>#REF!</v>
      </c>
      <c r="HJ138" t="e">
        <f>AND(#REF!,"AAAAAG//P9k=")</f>
        <v>#REF!</v>
      </c>
      <c r="HK138" t="e">
        <f>AND(#REF!,"AAAAAG//P9o=")</f>
        <v>#REF!</v>
      </c>
      <c r="HL138" t="e">
        <f>AND(#REF!,"AAAAAG//P9s=")</f>
        <v>#REF!</v>
      </c>
      <c r="HM138" t="e">
        <f>AND(#REF!,"AAAAAG//P9w=")</f>
        <v>#REF!</v>
      </c>
      <c r="HN138" t="e">
        <f>IF(#REF!,"AAAAAG//P90=",0)</f>
        <v>#REF!</v>
      </c>
      <c r="HO138" t="e">
        <f>AND(#REF!,"AAAAAG//P94=")</f>
        <v>#REF!</v>
      </c>
      <c r="HP138" t="e">
        <f>AND(#REF!,"AAAAAG//P98=")</f>
        <v>#REF!</v>
      </c>
      <c r="HQ138" t="e">
        <f>AND(#REF!,"AAAAAG//P+A=")</f>
        <v>#REF!</v>
      </c>
      <c r="HR138" t="e">
        <f>AND(#REF!,"AAAAAG//P+E=")</f>
        <v>#REF!</v>
      </c>
      <c r="HS138" t="e">
        <f>AND(#REF!,"AAAAAG//P+I=")</f>
        <v>#REF!</v>
      </c>
      <c r="HT138" t="e">
        <f>AND(#REF!,"AAAAAG//P+M=")</f>
        <v>#REF!</v>
      </c>
      <c r="HU138" t="e">
        <f>AND(#REF!,"AAAAAG//P+Q=")</f>
        <v>#REF!</v>
      </c>
      <c r="HV138" t="e">
        <f>AND(#REF!,"AAAAAG//P+U=")</f>
        <v>#REF!</v>
      </c>
      <c r="HW138" t="e">
        <f>AND(#REF!,"AAAAAG//P+Y=")</f>
        <v>#REF!</v>
      </c>
      <c r="HX138" t="e">
        <f>AND(#REF!,"AAAAAG//P+c=")</f>
        <v>#REF!</v>
      </c>
      <c r="HY138" t="e">
        <f>IF(#REF!,"AAAAAG//P+g=",0)</f>
        <v>#REF!</v>
      </c>
      <c r="HZ138" t="e">
        <f>AND(#REF!,"AAAAAG//P+k=")</f>
        <v>#REF!</v>
      </c>
      <c r="IA138" t="e">
        <f>AND(#REF!,"AAAAAG//P+o=")</f>
        <v>#REF!</v>
      </c>
      <c r="IB138" t="e">
        <f>AND(#REF!,"AAAAAG//P+s=")</f>
        <v>#REF!</v>
      </c>
      <c r="IC138" t="e">
        <f>AND(#REF!,"AAAAAG//P+w=")</f>
        <v>#REF!</v>
      </c>
      <c r="ID138" t="e">
        <f>AND(#REF!,"AAAAAG//P+0=")</f>
        <v>#REF!</v>
      </c>
      <c r="IE138" t="e">
        <f>AND(#REF!,"AAAAAG//P+4=")</f>
        <v>#REF!</v>
      </c>
      <c r="IF138" t="e">
        <f>AND(#REF!,"AAAAAG//P+8=")</f>
        <v>#REF!</v>
      </c>
      <c r="IG138" t="e">
        <f>AND(#REF!,"AAAAAG//P/A=")</f>
        <v>#REF!</v>
      </c>
      <c r="IH138" t="e">
        <f>AND(#REF!,"AAAAAG//P/E=")</f>
        <v>#REF!</v>
      </c>
      <c r="II138" t="e">
        <f>AND(#REF!,"AAAAAG//P/I=")</f>
        <v>#REF!</v>
      </c>
      <c r="IJ138" t="e">
        <f>IF(#REF!,"AAAAAG//P/M=",0)</f>
        <v>#REF!</v>
      </c>
      <c r="IK138" t="e">
        <f>AND(#REF!,"AAAAAG//P/Q=")</f>
        <v>#REF!</v>
      </c>
      <c r="IL138" t="e">
        <f>AND(#REF!,"AAAAAG//P/U=")</f>
        <v>#REF!</v>
      </c>
      <c r="IM138" t="e">
        <f>AND(#REF!,"AAAAAG//P/Y=")</f>
        <v>#REF!</v>
      </c>
      <c r="IN138" t="e">
        <f>AND(#REF!,"AAAAAG//P/c=")</f>
        <v>#REF!</v>
      </c>
      <c r="IO138" t="e">
        <f>AND(#REF!,"AAAAAG//P/g=")</f>
        <v>#REF!</v>
      </c>
      <c r="IP138" t="e">
        <f>AND(#REF!,"AAAAAG//P/k=")</f>
        <v>#REF!</v>
      </c>
      <c r="IQ138" t="e">
        <f>AND(#REF!,"AAAAAG//P/o=")</f>
        <v>#REF!</v>
      </c>
      <c r="IR138" t="e">
        <f>AND(#REF!,"AAAAAG//P/s=")</f>
        <v>#REF!</v>
      </c>
      <c r="IS138" t="e">
        <f>AND(#REF!,"AAAAAG//P/w=")</f>
        <v>#REF!</v>
      </c>
      <c r="IT138" t="e">
        <f>AND(#REF!,"AAAAAG//P/0=")</f>
        <v>#REF!</v>
      </c>
      <c r="IU138" t="e">
        <f>IF(#REF!,"AAAAAG//P/4=",0)</f>
        <v>#REF!</v>
      </c>
      <c r="IV138" t="e">
        <f>AND(#REF!,"AAAAAG//P/8=")</f>
        <v>#REF!</v>
      </c>
    </row>
    <row r="139" spans="1:256" x14ac:dyDescent="0.25">
      <c r="A139" t="e">
        <f>AND(#REF!,"AAAAAH23/wA=")</f>
        <v>#REF!</v>
      </c>
      <c r="B139" t="e">
        <f>AND(#REF!,"AAAAAH23/wE=")</f>
        <v>#REF!</v>
      </c>
      <c r="C139" t="e">
        <f>AND(#REF!,"AAAAAH23/wI=")</f>
        <v>#REF!</v>
      </c>
      <c r="D139" t="e">
        <f>AND(#REF!,"AAAAAH23/wM=")</f>
        <v>#REF!</v>
      </c>
      <c r="E139" t="e">
        <f>AND(#REF!,"AAAAAH23/wQ=")</f>
        <v>#REF!</v>
      </c>
      <c r="F139" t="e">
        <f>AND(#REF!,"AAAAAH23/wU=")</f>
        <v>#REF!</v>
      </c>
      <c r="G139" t="e">
        <f>AND(#REF!,"AAAAAH23/wY=")</f>
        <v>#REF!</v>
      </c>
      <c r="H139" t="e">
        <f>AND(#REF!,"AAAAAH23/wc=")</f>
        <v>#REF!</v>
      </c>
      <c r="I139" t="e">
        <f>AND(#REF!,"AAAAAH23/wg=")</f>
        <v>#REF!</v>
      </c>
      <c r="J139" t="e">
        <f>IF(#REF!,"AAAAAH23/wk=",0)</f>
        <v>#REF!</v>
      </c>
      <c r="K139" t="e">
        <f>AND(#REF!,"AAAAAH23/wo=")</f>
        <v>#REF!</v>
      </c>
      <c r="L139" t="e">
        <f>AND(#REF!,"AAAAAH23/ws=")</f>
        <v>#REF!</v>
      </c>
      <c r="M139" t="e">
        <f>AND(#REF!,"AAAAAH23/ww=")</f>
        <v>#REF!</v>
      </c>
      <c r="N139" t="e">
        <f>AND(#REF!,"AAAAAH23/w0=")</f>
        <v>#REF!</v>
      </c>
      <c r="O139" t="e">
        <f>AND(#REF!,"AAAAAH23/w4=")</f>
        <v>#REF!</v>
      </c>
      <c r="P139" t="e">
        <f>AND(#REF!,"AAAAAH23/w8=")</f>
        <v>#REF!</v>
      </c>
      <c r="Q139" t="e">
        <f>AND(#REF!,"AAAAAH23/xA=")</f>
        <v>#REF!</v>
      </c>
      <c r="R139" t="e">
        <f>AND(#REF!,"AAAAAH23/xE=")</f>
        <v>#REF!</v>
      </c>
      <c r="S139" t="e">
        <f>AND(#REF!,"AAAAAH23/xI=")</f>
        <v>#REF!</v>
      </c>
      <c r="T139" t="e">
        <f>AND(#REF!,"AAAAAH23/xM=")</f>
        <v>#REF!</v>
      </c>
      <c r="U139" t="e">
        <f>IF(#REF!,"AAAAAH23/xQ=",0)</f>
        <v>#REF!</v>
      </c>
      <c r="V139" t="e">
        <f>AND(#REF!,"AAAAAH23/xU=")</f>
        <v>#REF!</v>
      </c>
      <c r="W139" t="e">
        <f>AND(#REF!,"AAAAAH23/xY=")</f>
        <v>#REF!</v>
      </c>
      <c r="X139" t="e">
        <f>AND(#REF!,"AAAAAH23/xc=")</f>
        <v>#REF!</v>
      </c>
      <c r="Y139" t="e">
        <f>AND(#REF!,"AAAAAH23/xg=")</f>
        <v>#REF!</v>
      </c>
      <c r="Z139" t="e">
        <f>AND(#REF!,"AAAAAH23/xk=")</f>
        <v>#REF!</v>
      </c>
      <c r="AA139" t="e">
        <f>AND(#REF!,"AAAAAH23/xo=")</f>
        <v>#REF!</v>
      </c>
      <c r="AB139" t="e">
        <f>AND(#REF!,"AAAAAH23/xs=")</f>
        <v>#REF!</v>
      </c>
      <c r="AC139" t="e">
        <f>AND(#REF!,"AAAAAH23/xw=")</f>
        <v>#REF!</v>
      </c>
      <c r="AD139" t="e">
        <f>AND(#REF!,"AAAAAH23/x0=")</f>
        <v>#REF!</v>
      </c>
      <c r="AE139" t="e">
        <f>AND(#REF!,"AAAAAH23/x4=")</f>
        <v>#REF!</v>
      </c>
      <c r="AF139" t="e">
        <f>IF(#REF!,"AAAAAH23/x8=",0)</f>
        <v>#REF!</v>
      </c>
      <c r="AG139" t="e">
        <f>AND(#REF!,"AAAAAH23/yA=")</f>
        <v>#REF!</v>
      </c>
      <c r="AH139" t="e">
        <f>AND(#REF!,"AAAAAH23/yE=")</f>
        <v>#REF!</v>
      </c>
      <c r="AI139" t="e">
        <f>AND(#REF!,"AAAAAH23/yI=")</f>
        <v>#REF!</v>
      </c>
      <c r="AJ139" t="e">
        <f>AND(#REF!,"AAAAAH23/yM=")</f>
        <v>#REF!</v>
      </c>
      <c r="AK139" t="e">
        <f>AND(#REF!,"AAAAAH23/yQ=")</f>
        <v>#REF!</v>
      </c>
      <c r="AL139" t="e">
        <f>AND(#REF!,"AAAAAH23/yU=")</f>
        <v>#REF!</v>
      </c>
      <c r="AM139" t="e">
        <f>AND(#REF!,"AAAAAH23/yY=")</f>
        <v>#REF!</v>
      </c>
      <c r="AN139" t="e">
        <f>AND(#REF!,"AAAAAH23/yc=")</f>
        <v>#REF!</v>
      </c>
      <c r="AO139" t="e">
        <f>AND(#REF!,"AAAAAH23/yg=")</f>
        <v>#REF!</v>
      </c>
      <c r="AP139" t="e">
        <f>AND(#REF!,"AAAAAH23/yk=")</f>
        <v>#REF!</v>
      </c>
      <c r="AQ139" t="e">
        <f>IF(#REF!,"AAAAAH23/yo=",0)</f>
        <v>#REF!</v>
      </c>
      <c r="AR139" t="e">
        <f>AND(#REF!,"AAAAAH23/ys=")</f>
        <v>#REF!</v>
      </c>
      <c r="AS139" t="e">
        <f>AND(#REF!,"AAAAAH23/yw=")</f>
        <v>#REF!</v>
      </c>
      <c r="AT139" t="e">
        <f>AND(#REF!,"AAAAAH23/y0=")</f>
        <v>#REF!</v>
      </c>
      <c r="AU139" t="e">
        <f>AND(#REF!,"AAAAAH23/y4=")</f>
        <v>#REF!</v>
      </c>
      <c r="AV139" t="e">
        <f>AND(#REF!,"AAAAAH23/y8=")</f>
        <v>#REF!</v>
      </c>
      <c r="AW139" t="e">
        <f>AND(#REF!,"AAAAAH23/zA=")</f>
        <v>#REF!</v>
      </c>
      <c r="AX139" t="e">
        <f>AND(#REF!,"AAAAAH23/zE=")</f>
        <v>#REF!</v>
      </c>
      <c r="AY139" t="e">
        <f>AND(#REF!,"AAAAAH23/zI=")</f>
        <v>#REF!</v>
      </c>
      <c r="AZ139" t="e">
        <f>AND(#REF!,"AAAAAH23/zM=")</f>
        <v>#REF!</v>
      </c>
      <c r="BA139" t="e">
        <f>AND(#REF!,"AAAAAH23/zQ=")</f>
        <v>#REF!</v>
      </c>
      <c r="BB139" t="e">
        <f>IF(#REF!,"AAAAAH23/zU=",0)</f>
        <v>#REF!</v>
      </c>
      <c r="BC139" t="e">
        <f>AND(#REF!,"AAAAAH23/zY=")</f>
        <v>#REF!</v>
      </c>
      <c r="BD139" t="e">
        <f>AND(#REF!,"AAAAAH23/zc=")</f>
        <v>#REF!</v>
      </c>
      <c r="BE139" t="e">
        <f>AND(#REF!,"AAAAAH23/zg=")</f>
        <v>#REF!</v>
      </c>
      <c r="BF139" t="e">
        <f>AND(#REF!,"AAAAAH23/zk=")</f>
        <v>#REF!</v>
      </c>
      <c r="BG139" t="e">
        <f>AND(#REF!,"AAAAAH23/zo=")</f>
        <v>#REF!</v>
      </c>
      <c r="BH139" t="e">
        <f>AND(#REF!,"AAAAAH23/zs=")</f>
        <v>#REF!</v>
      </c>
      <c r="BI139" t="e">
        <f>AND(#REF!,"AAAAAH23/zw=")</f>
        <v>#REF!</v>
      </c>
      <c r="BJ139" t="e">
        <f>AND(#REF!,"AAAAAH23/z0=")</f>
        <v>#REF!</v>
      </c>
      <c r="BK139" t="e">
        <f>AND(#REF!,"AAAAAH23/z4=")</f>
        <v>#REF!</v>
      </c>
      <c r="BL139" t="e">
        <f>AND(#REF!,"AAAAAH23/z8=")</f>
        <v>#REF!</v>
      </c>
      <c r="BM139" t="e">
        <f>IF(#REF!,"AAAAAH23/0A=",0)</f>
        <v>#REF!</v>
      </c>
      <c r="BN139" t="e">
        <f>AND(#REF!,"AAAAAH23/0E=")</f>
        <v>#REF!</v>
      </c>
      <c r="BO139" t="e">
        <f>AND(#REF!,"AAAAAH23/0I=")</f>
        <v>#REF!</v>
      </c>
      <c r="BP139" t="e">
        <f>AND(#REF!,"AAAAAH23/0M=")</f>
        <v>#REF!</v>
      </c>
      <c r="BQ139" t="e">
        <f>AND(#REF!,"AAAAAH23/0Q=")</f>
        <v>#REF!</v>
      </c>
      <c r="BR139" t="e">
        <f>AND(#REF!,"AAAAAH23/0U=")</f>
        <v>#REF!</v>
      </c>
      <c r="BS139" t="e">
        <f>AND(#REF!,"AAAAAH23/0Y=")</f>
        <v>#REF!</v>
      </c>
      <c r="BT139" t="e">
        <f>AND(#REF!,"AAAAAH23/0c=")</f>
        <v>#REF!</v>
      </c>
      <c r="BU139" t="e">
        <f>AND(#REF!,"AAAAAH23/0g=")</f>
        <v>#REF!</v>
      </c>
      <c r="BV139" t="e">
        <f>AND(#REF!,"AAAAAH23/0k=")</f>
        <v>#REF!</v>
      </c>
      <c r="BW139" t="e">
        <f>AND(#REF!,"AAAAAH23/0o=")</f>
        <v>#REF!</v>
      </c>
      <c r="BX139" t="e">
        <f>IF(#REF!,"AAAAAH23/0s=",0)</f>
        <v>#REF!</v>
      </c>
      <c r="BY139" t="e">
        <f>AND(#REF!,"AAAAAH23/0w=")</f>
        <v>#REF!</v>
      </c>
      <c r="BZ139" t="e">
        <f>AND(#REF!,"AAAAAH23/00=")</f>
        <v>#REF!</v>
      </c>
      <c r="CA139" t="e">
        <f>AND(#REF!,"AAAAAH23/04=")</f>
        <v>#REF!</v>
      </c>
      <c r="CB139" t="e">
        <f>AND(#REF!,"AAAAAH23/08=")</f>
        <v>#REF!</v>
      </c>
      <c r="CC139" t="e">
        <f>AND(#REF!,"AAAAAH23/1A=")</f>
        <v>#REF!</v>
      </c>
      <c r="CD139" t="e">
        <f>AND(#REF!,"AAAAAH23/1E=")</f>
        <v>#REF!</v>
      </c>
      <c r="CE139" t="e">
        <f>AND(#REF!,"AAAAAH23/1I=")</f>
        <v>#REF!</v>
      </c>
      <c r="CF139" t="e">
        <f>AND(#REF!,"AAAAAH23/1M=")</f>
        <v>#REF!</v>
      </c>
      <c r="CG139" t="e">
        <f>AND(#REF!,"AAAAAH23/1Q=")</f>
        <v>#REF!</v>
      </c>
      <c r="CH139" t="e">
        <f>AND(#REF!,"AAAAAH23/1U=")</f>
        <v>#REF!</v>
      </c>
      <c r="CI139" t="e">
        <f>IF(#REF!,"AAAAAH23/1Y=",0)</f>
        <v>#REF!</v>
      </c>
      <c r="CJ139" t="e">
        <f>AND(#REF!,"AAAAAH23/1c=")</f>
        <v>#REF!</v>
      </c>
      <c r="CK139" t="e">
        <f>AND(#REF!,"AAAAAH23/1g=")</f>
        <v>#REF!</v>
      </c>
      <c r="CL139" t="e">
        <f>AND(#REF!,"AAAAAH23/1k=")</f>
        <v>#REF!</v>
      </c>
      <c r="CM139" t="e">
        <f>AND(#REF!,"AAAAAH23/1o=")</f>
        <v>#REF!</v>
      </c>
      <c r="CN139" t="e">
        <f>AND(#REF!,"AAAAAH23/1s=")</f>
        <v>#REF!</v>
      </c>
      <c r="CO139" t="e">
        <f>AND(#REF!,"AAAAAH23/1w=")</f>
        <v>#REF!</v>
      </c>
      <c r="CP139" t="e">
        <f>AND(#REF!,"AAAAAH23/10=")</f>
        <v>#REF!</v>
      </c>
      <c r="CQ139" t="e">
        <f>AND(#REF!,"AAAAAH23/14=")</f>
        <v>#REF!</v>
      </c>
      <c r="CR139" t="e">
        <f>AND(#REF!,"AAAAAH23/18=")</f>
        <v>#REF!</v>
      </c>
      <c r="CS139" t="e">
        <f>AND(#REF!,"AAAAAH23/2A=")</f>
        <v>#REF!</v>
      </c>
      <c r="CT139" t="e">
        <f>IF(#REF!,"AAAAAH23/2E=",0)</f>
        <v>#REF!</v>
      </c>
      <c r="CU139" t="e">
        <f>AND(#REF!,"AAAAAH23/2I=")</f>
        <v>#REF!</v>
      </c>
      <c r="CV139" t="e">
        <f>AND(#REF!,"AAAAAH23/2M=")</f>
        <v>#REF!</v>
      </c>
      <c r="CW139" t="e">
        <f>AND(#REF!,"AAAAAH23/2Q=")</f>
        <v>#REF!</v>
      </c>
      <c r="CX139" t="e">
        <f>AND(#REF!,"AAAAAH23/2U=")</f>
        <v>#REF!</v>
      </c>
      <c r="CY139" t="e">
        <f>AND(#REF!,"AAAAAH23/2Y=")</f>
        <v>#REF!</v>
      </c>
      <c r="CZ139" t="e">
        <f>AND(#REF!,"AAAAAH23/2c=")</f>
        <v>#REF!</v>
      </c>
      <c r="DA139" t="e">
        <f>AND(#REF!,"AAAAAH23/2g=")</f>
        <v>#REF!</v>
      </c>
      <c r="DB139" t="e">
        <f>AND(#REF!,"AAAAAH23/2k=")</f>
        <v>#REF!</v>
      </c>
      <c r="DC139" t="e">
        <f>AND(#REF!,"AAAAAH23/2o=")</f>
        <v>#REF!</v>
      </c>
      <c r="DD139" t="e">
        <f>AND(#REF!,"AAAAAH23/2s=")</f>
        <v>#REF!</v>
      </c>
      <c r="DE139" t="e">
        <f>IF(#REF!,"AAAAAH23/2w=",0)</f>
        <v>#REF!</v>
      </c>
      <c r="DF139" t="e">
        <f>AND(#REF!,"AAAAAH23/20=")</f>
        <v>#REF!</v>
      </c>
      <c r="DG139" t="e">
        <f>AND(#REF!,"AAAAAH23/24=")</f>
        <v>#REF!</v>
      </c>
      <c r="DH139" t="e">
        <f>AND(#REF!,"AAAAAH23/28=")</f>
        <v>#REF!</v>
      </c>
      <c r="DI139" t="e">
        <f>AND(#REF!,"AAAAAH23/3A=")</f>
        <v>#REF!</v>
      </c>
      <c r="DJ139" t="e">
        <f>AND(#REF!,"AAAAAH23/3E=")</f>
        <v>#REF!</v>
      </c>
      <c r="DK139" t="e">
        <f>AND(#REF!,"AAAAAH23/3I=")</f>
        <v>#REF!</v>
      </c>
      <c r="DL139" t="e">
        <f>AND(#REF!,"AAAAAH23/3M=")</f>
        <v>#REF!</v>
      </c>
      <c r="DM139" t="e">
        <f>AND(#REF!,"AAAAAH23/3Q=")</f>
        <v>#REF!</v>
      </c>
      <c r="DN139" t="e">
        <f>AND(#REF!,"AAAAAH23/3U=")</f>
        <v>#REF!</v>
      </c>
      <c r="DO139" t="e">
        <f>AND(#REF!,"AAAAAH23/3Y=")</f>
        <v>#REF!</v>
      </c>
      <c r="DP139" t="e">
        <f>IF(#REF!,"AAAAAH23/3c=",0)</f>
        <v>#REF!</v>
      </c>
      <c r="DQ139" t="e">
        <f>AND(#REF!,"AAAAAH23/3g=")</f>
        <v>#REF!</v>
      </c>
      <c r="DR139" t="e">
        <f>AND(#REF!,"AAAAAH23/3k=")</f>
        <v>#REF!</v>
      </c>
      <c r="DS139" t="e">
        <f>AND(#REF!,"AAAAAH23/3o=")</f>
        <v>#REF!</v>
      </c>
      <c r="DT139" t="e">
        <f>AND(#REF!,"AAAAAH23/3s=")</f>
        <v>#REF!</v>
      </c>
      <c r="DU139" t="e">
        <f>AND(#REF!,"AAAAAH23/3w=")</f>
        <v>#REF!</v>
      </c>
      <c r="DV139" t="e">
        <f>AND(#REF!,"AAAAAH23/30=")</f>
        <v>#REF!</v>
      </c>
      <c r="DW139" t="e">
        <f>AND(#REF!,"AAAAAH23/34=")</f>
        <v>#REF!</v>
      </c>
      <c r="DX139" t="e">
        <f>AND(#REF!,"AAAAAH23/38=")</f>
        <v>#REF!</v>
      </c>
      <c r="DY139" t="e">
        <f>AND(#REF!,"AAAAAH23/4A=")</f>
        <v>#REF!</v>
      </c>
      <c r="DZ139" t="e">
        <f>AND(#REF!,"AAAAAH23/4E=")</f>
        <v>#REF!</v>
      </c>
      <c r="EA139" t="e">
        <f>IF(#REF!,"AAAAAH23/4I=",0)</f>
        <v>#REF!</v>
      </c>
      <c r="EB139" t="e">
        <f>AND(#REF!,"AAAAAH23/4M=")</f>
        <v>#REF!</v>
      </c>
      <c r="EC139" t="e">
        <f>AND(#REF!,"AAAAAH23/4Q=")</f>
        <v>#REF!</v>
      </c>
      <c r="ED139" t="e">
        <f>AND(#REF!,"AAAAAH23/4U=")</f>
        <v>#REF!</v>
      </c>
      <c r="EE139" t="e">
        <f>AND(#REF!,"AAAAAH23/4Y=")</f>
        <v>#REF!</v>
      </c>
      <c r="EF139" t="e">
        <f>AND(#REF!,"AAAAAH23/4c=")</f>
        <v>#REF!</v>
      </c>
      <c r="EG139" t="e">
        <f>AND(#REF!,"AAAAAH23/4g=")</f>
        <v>#REF!</v>
      </c>
      <c r="EH139" t="e">
        <f>AND(#REF!,"AAAAAH23/4k=")</f>
        <v>#REF!</v>
      </c>
      <c r="EI139" t="e">
        <f>AND(#REF!,"AAAAAH23/4o=")</f>
        <v>#REF!</v>
      </c>
      <c r="EJ139" t="e">
        <f>AND(#REF!,"AAAAAH23/4s=")</f>
        <v>#REF!</v>
      </c>
      <c r="EK139" t="e">
        <f>AND(#REF!,"AAAAAH23/4w=")</f>
        <v>#REF!</v>
      </c>
      <c r="EL139" t="e">
        <f>IF(#REF!,"AAAAAH23/40=",0)</f>
        <v>#REF!</v>
      </c>
      <c r="EM139" t="e">
        <f>AND(#REF!,"AAAAAH23/44=")</f>
        <v>#REF!</v>
      </c>
      <c r="EN139" t="e">
        <f>AND(#REF!,"AAAAAH23/48=")</f>
        <v>#REF!</v>
      </c>
      <c r="EO139" t="e">
        <f>AND(#REF!,"AAAAAH23/5A=")</f>
        <v>#REF!</v>
      </c>
      <c r="EP139" t="e">
        <f>AND(#REF!,"AAAAAH23/5E=")</f>
        <v>#REF!</v>
      </c>
      <c r="EQ139" t="e">
        <f>AND(#REF!,"AAAAAH23/5I=")</f>
        <v>#REF!</v>
      </c>
      <c r="ER139" t="e">
        <f>AND(#REF!,"AAAAAH23/5M=")</f>
        <v>#REF!</v>
      </c>
      <c r="ES139" t="e">
        <f>AND(#REF!,"AAAAAH23/5Q=")</f>
        <v>#REF!</v>
      </c>
      <c r="ET139" t="e">
        <f>AND(#REF!,"AAAAAH23/5U=")</f>
        <v>#REF!</v>
      </c>
      <c r="EU139" t="e">
        <f>AND(#REF!,"AAAAAH23/5Y=")</f>
        <v>#REF!</v>
      </c>
      <c r="EV139" t="e">
        <f>AND(#REF!,"AAAAAH23/5c=")</f>
        <v>#REF!</v>
      </c>
      <c r="EW139" t="e">
        <f>IF(#REF!,"AAAAAH23/5g=",0)</f>
        <v>#REF!</v>
      </c>
      <c r="EX139" t="e">
        <f>AND(#REF!,"AAAAAH23/5k=")</f>
        <v>#REF!</v>
      </c>
      <c r="EY139" t="e">
        <f>AND(#REF!,"AAAAAH23/5o=")</f>
        <v>#REF!</v>
      </c>
      <c r="EZ139" t="e">
        <f>AND(#REF!,"AAAAAH23/5s=")</f>
        <v>#REF!</v>
      </c>
      <c r="FA139" t="e">
        <f>AND(#REF!,"AAAAAH23/5w=")</f>
        <v>#REF!</v>
      </c>
      <c r="FB139" t="e">
        <f>AND(#REF!,"AAAAAH23/50=")</f>
        <v>#REF!</v>
      </c>
      <c r="FC139" t="e">
        <f>AND(#REF!,"AAAAAH23/54=")</f>
        <v>#REF!</v>
      </c>
      <c r="FD139" t="e">
        <f>AND(#REF!,"AAAAAH23/58=")</f>
        <v>#REF!</v>
      </c>
      <c r="FE139" t="e">
        <f>AND(#REF!,"AAAAAH23/6A=")</f>
        <v>#REF!</v>
      </c>
      <c r="FF139" t="e">
        <f>AND(#REF!,"AAAAAH23/6E=")</f>
        <v>#REF!</v>
      </c>
      <c r="FG139" t="e">
        <f>AND(#REF!,"AAAAAH23/6I=")</f>
        <v>#REF!</v>
      </c>
      <c r="FH139" t="e">
        <f>IF(#REF!,"AAAAAH23/6M=",0)</f>
        <v>#REF!</v>
      </c>
      <c r="FI139" t="e">
        <f>AND(#REF!,"AAAAAH23/6Q=")</f>
        <v>#REF!</v>
      </c>
      <c r="FJ139" t="e">
        <f>AND(#REF!,"AAAAAH23/6U=")</f>
        <v>#REF!</v>
      </c>
      <c r="FK139" t="e">
        <f>AND(#REF!,"AAAAAH23/6Y=")</f>
        <v>#REF!</v>
      </c>
      <c r="FL139" t="e">
        <f>AND(#REF!,"AAAAAH23/6c=")</f>
        <v>#REF!</v>
      </c>
      <c r="FM139" t="e">
        <f>AND(#REF!,"AAAAAH23/6g=")</f>
        <v>#REF!</v>
      </c>
      <c r="FN139" t="e">
        <f>AND(#REF!,"AAAAAH23/6k=")</f>
        <v>#REF!</v>
      </c>
      <c r="FO139" t="e">
        <f>AND(#REF!,"AAAAAH23/6o=")</f>
        <v>#REF!</v>
      </c>
      <c r="FP139" t="e">
        <f>AND(#REF!,"AAAAAH23/6s=")</f>
        <v>#REF!</v>
      </c>
      <c r="FQ139" t="e">
        <f>AND(#REF!,"AAAAAH23/6w=")</f>
        <v>#REF!</v>
      </c>
      <c r="FR139" t="e">
        <f>AND(#REF!,"AAAAAH23/60=")</f>
        <v>#REF!</v>
      </c>
      <c r="FS139" t="e">
        <f>IF(#REF!,"AAAAAH23/64=",0)</f>
        <v>#REF!</v>
      </c>
      <c r="FT139" t="e">
        <f>AND(#REF!,"AAAAAH23/68=")</f>
        <v>#REF!</v>
      </c>
      <c r="FU139" t="e">
        <f>AND(#REF!,"AAAAAH23/7A=")</f>
        <v>#REF!</v>
      </c>
      <c r="FV139" t="e">
        <f>AND(#REF!,"AAAAAH23/7E=")</f>
        <v>#REF!</v>
      </c>
      <c r="FW139" t="e">
        <f>AND(#REF!,"AAAAAH23/7I=")</f>
        <v>#REF!</v>
      </c>
      <c r="FX139" t="e">
        <f>AND(#REF!,"AAAAAH23/7M=")</f>
        <v>#REF!</v>
      </c>
      <c r="FY139" t="e">
        <f>AND(#REF!,"AAAAAH23/7Q=")</f>
        <v>#REF!</v>
      </c>
      <c r="FZ139" t="e">
        <f>AND(#REF!,"AAAAAH23/7U=")</f>
        <v>#REF!</v>
      </c>
      <c r="GA139" t="e">
        <f>AND(#REF!,"AAAAAH23/7Y=")</f>
        <v>#REF!</v>
      </c>
      <c r="GB139" t="e">
        <f>AND(#REF!,"AAAAAH23/7c=")</f>
        <v>#REF!</v>
      </c>
      <c r="GC139" t="e">
        <f>AND(#REF!,"AAAAAH23/7g=")</f>
        <v>#REF!</v>
      </c>
      <c r="GD139" t="e">
        <f>IF(#REF!,"AAAAAH23/7k=",0)</f>
        <v>#REF!</v>
      </c>
      <c r="GE139" t="e">
        <f>AND(#REF!,"AAAAAH23/7o=")</f>
        <v>#REF!</v>
      </c>
      <c r="GF139" t="e">
        <f>AND(#REF!,"AAAAAH23/7s=")</f>
        <v>#REF!</v>
      </c>
      <c r="GG139" t="e">
        <f>AND(#REF!,"AAAAAH23/7w=")</f>
        <v>#REF!</v>
      </c>
      <c r="GH139" t="e">
        <f>AND(#REF!,"AAAAAH23/70=")</f>
        <v>#REF!</v>
      </c>
      <c r="GI139" t="e">
        <f>AND(#REF!,"AAAAAH23/74=")</f>
        <v>#REF!</v>
      </c>
      <c r="GJ139" t="e">
        <f>AND(#REF!,"AAAAAH23/78=")</f>
        <v>#REF!</v>
      </c>
      <c r="GK139" t="e">
        <f>AND(#REF!,"AAAAAH23/8A=")</f>
        <v>#REF!</v>
      </c>
      <c r="GL139" t="e">
        <f>AND(#REF!,"AAAAAH23/8E=")</f>
        <v>#REF!</v>
      </c>
      <c r="GM139" t="e">
        <f>AND(#REF!,"AAAAAH23/8I=")</f>
        <v>#REF!</v>
      </c>
      <c r="GN139" t="e">
        <f>AND(#REF!,"AAAAAH23/8M=")</f>
        <v>#REF!</v>
      </c>
      <c r="GO139" t="e">
        <f>IF(#REF!,"AAAAAH23/8Q=",0)</f>
        <v>#REF!</v>
      </c>
      <c r="GP139" t="e">
        <f>AND(#REF!,"AAAAAH23/8U=")</f>
        <v>#REF!</v>
      </c>
      <c r="GQ139" t="e">
        <f>AND(#REF!,"AAAAAH23/8Y=")</f>
        <v>#REF!</v>
      </c>
      <c r="GR139" t="e">
        <f>AND(#REF!,"AAAAAH23/8c=")</f>
        <v>#REF!</v>
      </c>
      <c r="GS139" t="e">
        <f>AND(#REF!,"AAAAAH23/8g=")</f>
        <v>#REF!</v>
      </c>
      <c r="GT139" t="e">
        <f>AND(#REF!,"AAAAAH23/8k=")</f>
        <v>#REF!</v>
      </c>
      <c r="GU139" t="e">
        <f>AND(#REF!,"AAAAAH23/8o=")</f>
        <v>#REF!</v>
      </c>
      <c r="GV139" t="e">
        <f>AND(#REF!,"AAAAAH23/8s=")</f>
        <v>#REF!</v>
      </c>
      <c r="GW139" t="e">
        <f>AND(#REF!,"AAAAAH23/8w=")</f>
        <v>#REF!</v>
      </c>
      <c r="GX139" t="e">
        <f>AND(#REF!,"AAAAAH23/80=")</f>
        <v>#REF!</v>
      </c>
      <c r="GY139" t="e">
        <f>AND(#REF!,"AAAAAH23/84=")</f>
        <v>#REF!</v>
      </c>
      <c r="GZ139" t="e">
        <f>IF(#REF!,"AAAAAH23/88=",0)</f>
        <v>#REF!</v>
      </c>
      <c r="HA139" t="e">
        <f>AND(#REF!,"AAAAAH23/9A=")</f>
        <v>#REF!</v>
      </c>
      <c r="HB139" t="e">
        <f>AND(#REF!,"AAAAAH23/9E=")</f>
        <v>#REF!</v>
      </c>
      <c r="HC139" t="e">
        <f>AND(#REF!,"AAAAAH23/9I=")</f>
        <v>#REF!</v>
      </c>
      <c r="HD139" t="e">
        <f>AND(#REF!,"AAAAAH23/9M=")</f>
        <v>#REF!</v>
      </c>
      <c r="HE139" t="e">
        <f>AND(#REF!,"AAAAAH23/9Q=")</f>
        <v>#REF!</v>
      </c>
      <c r="HF139" t="e">
        <f>AND(#REF!,"AAAAAH23/9U=")</f>
        <v>#REF!</v>
      </c>
      <c r="HG139" t="e">
        <f>AND(#REF!,"AAAAAH23/9Y=")</f>
        <v>#REF!</v>
      </c>
      <c r="HH139" t="e">
        <f>AND(#REF!,"AAAAAH23/9c=")</f>
        <v>#REF!</v>
      </c>
      <c r="HI139" t="e">
        <f>AND(#REF!,"AAAAAH23/9g=")</f>
        <v>#REF!</v>
      </c>
      <c r="HJ139" t="e">
        <f>AND(#REF!,"AAAAAH23/9k=")</f>
        <v>#REF!</v>
      </c>
      <c r="HK139" t="e">
        <f>IF(#REF!,"AAAAAH23/9o=",0)</f>
        <v>#REF!</v>
      </c>
      <c r="HL139" t="e">
        <f>AND(#REF!,"AAAAAH23/9s=")</f>
        <v>#REF!</v>
      </c>
      <c r="HM139" t="e">
        <f>AND(#REF!,"AAAAAH23/9w=")</f>
        <v>#REF!</v>
      </c>
      <c r="HN139" t="e">
        <f>AND(#REF!,"AAAAAH23/90=")</f>
        <v>#REF!</v>
      </c>
      <c r="HO139" t="e">
        <f>AND(#REF!,"AAAAAH23/94=")</f>
        <v>#REF!</v>
      </c>
      <c r="HP139" t="e">
        <f>AND(#REF!,"AAAAAH23/98=")</f>
        <v>#REF!</v>
      </c>
      <c r="HQ139" t="e">
        <f>AND(#REF!,"AAAAAH23/+A=")</f>
        <v>#REF!</v>
      </c>
      <c r="HR139" t="e">
        <f>AND(#REF!,"AAAAAH23/+E=")</f>
        <v>#REF!</v>
      </c>
      <c r="HS139" t="e">
        <f>AND(#REF!,"AAAAAH23/+I=")</f>
        <v>#REF!</v>
      </c>
      <c r="HT139" t="e">
        <f>AND(#REF!,"AAAAAH23/+M=")</f>
        <v>#REF!</v>
      </c>
      <c r="HU139" t="e">
        <f>AND(#REF!,"AAAAAH23/+Q=")</f>
        <v>#REF!</v>
      </c>
      <c r="HV139" t="e">
        <f>IF(#REF!,"AAAAAH23/+U=",0)</f>
        <v>#REF!</v>
      </c>
      <c r="HW139" t="e">
        <f>AND(#REF!,"AAAAAH23/+Y=")</f>
        <v>#REF!</v>
      </c>
      <c r="HX139" t="e">
        <f>AND(#REF!,"AAAAAH23/+c=")</f>
        <v>#REF!</v>
      </c>
      <c r="HY139" t="e">
        <f>AND(#REF!,"AAAAAH23/+g=")</f>
        <v>#REF!</v>
      </c>
      <c r="HZ139" t="e">
        <f>AND(#REF!,"AAAAAH23/+k=")</f>
        <v>#REF!</v>
      </c>
      <c r="IA139" t="e">
        <f>AND(#REF!,"AAAAAH23/+o=")</f>
        <v>#REF!</v>
      </c>
      <c r="IB139" t="e">
        <f>AND(#REF!,"AAAAAH23/+s=")</f>
        <v>#REF!</v>
      </c>
      <c r="IC139" t="e">
        <f>AND(#REF!,"AAAAAH23/+w=")</f>
        <v>#REF!</v>
      </c>
      <c r="ID139" t="e">
        <f>AND(#REF!,"AAAAAH23/+0=")</f>
        <v>#REF!</v>
      </c>
      <c r="IE139" t="e">
        <f>AND(#REF!,"AAAAAH23/+4=")</f>
        <v>#REF!</v>
      </c>
      <c r="IF139" t="e">
        <f>AND(#REF!,"AAAAAH23/+8=")</f>
        <v>#REF!</v>
      </c>
      <c r="IG139" t="e">
        <f>IF(#REF!,"AAAAAH23//A=",0)</f>
        <v>#REF!</v>
      </c>
      <c r="IH139" t="e">
        <f>AND(#REF!,"AAAAAH23//E=")</f>
        <v>#REF!</v>
      </c>
      <c r="II139" t="e">
        <f>AND(#REF!,"AAAAAH23//I=")</f>
        <v>#REF!</v>
      </c>
      <c r="IJ139" t="e">
        <f>AND(#REF!,"AAAAAH23//M=")</f>
        <v>#REF!</v>
      </c>
      <c r="IK139" t="e">
        <f>AND(#REF!,"AAAAAH23//Q=")</f>
        <v>#REF!</v>
      </c>
      <c r="IL139" t="e">
        <f>AND(#REF!,"AAAAAH23//U=")</f>
        <v>#REF!</v>
      </c>
      <c r="IM139" t="e">
        <f>AND(#REF!,"AAAAAH23//Y=")</f>
        <v>#REF!</v>
      </c>
      <c r="IN139" t="e">
        <f>AND(#REF!,"AAAAAH23//c=")</f>
        <v>#REF!</v>
      </c>
      <c r="IO139" t="e">
        <f>AND(#REF!,"AAAAAH23//g=")</f>
        <v>#REF!</v>
      </c>
      <c r="IP139" t="e">
        <f>AND(#REF!,"AAAAAH23//k=")</f>
        <v>#REF!</v>
      </c>
      <c r="IQ139" t="e">
        <f>AND(#REF!,"AAAAAH23//o=")</f>
        <v>#REF!</v>
      </c>
      <c r="IR139" t="e">
        <f>IF(#REF!,"AAAAAH23//s=",0)</f>
        <v>#REF!</v>
      </c>
      <c r="IS139" t="e">
        <f>AND(#REF!,"AAAAAH23//w=")</f>
        <v>#REF!</v>
      </c>
      <c r="IT139" t="e">
        <f>AND(#REF!,"AAAAAH23//0=")</f>
        <v>#REF!</v>
      </c>
      <c r="IU139" t="e">
        <f>AND(#REF!,"AAAAAH23//4=")</f>
        <v>#REF!</v>
      </c>
      <c r="IV139" t="e">
        <f>AND(#REF!,"AAAAAH23//8=")</f>
        <v>#REF!</v>
      </c>
    </row>
    <row r="140" spans="1:256" x14ac:dyDescent="0.25">
      <c r="A140" t="e">
        <f>AND(#REF!,"AAAAAE9+fwA=")</f>
        <v>#REF!</v>
      </c>
      <c r="B140" t="e">
        <f>AND(#REF!,"AAAAAE9+fwE=")</f>
        <v>#REF!</v>
      </c>
      <c r="C140" t="e">
        <f>AND(#REF!,"AAAAAE9+fwI=")</f>
        <v>#REF!</v>
      </c>
      <c r="D140" t="e">
        <f>AND(#REF!,"AAAAAE9+fwM=")</f>
        <v>#REF!</v>
      </c>
      <c r="E140" t="e">
        <f>AND(#REF!,"AAAAAE9+fwQ=")</f>
        <v>#REF!</v>
      </c>
      <c r="F140" t="e">
        <f>AND(#REF!,"AAAAAE9+fwU=")</f>
        <v>#REF!</v>
      </c>
      <c r="G140" t="e">
        <f>IF(#REF!,"AAAAAE9+fwY=",0)</f>
        <v>#REF!</v>
      </c>
      <c r="H140" t="e">
        <f>AND(#REF!,"AAAAAE9+fwc=")</f>
        <v>#REF!</v>
      </c>
      <c r="I140" t="e">
        <f>AND(#REF!,"AAAAAE9+fwg=")</f>
        <v>#REF!</v>
      </c>
      <c r="J140" t="e">
        <f>AND(#REF!,"AAAAAE9+fwk=")</f>
        <v>#REF!</v>
      </c>
      <c r="K140" t="e">
        <f>AND(#REF!,"AAAAAE9+fwo=")</f>
        <v>#REF!</v>
      </c>
      <c r="L140" t="e">
        <f>AND(#REF!,"AAAAAE9+fws=")</f>
        <v>#REF!</v>
      </c>
      <c r="M140" t="e">
        <f>AND(#REF!,"AAAAAE9+fww=")</f>
        <v>#REF!</v>
      </c>
      <c r="N140" t="e">
        <f>AND(#REF!,"AAAAAE9+fw0=")</f>
        <v>#REF!</v>
      </c>
      <c r="O140" t="e">
        <f>AND(#REF!,"AAAAAE9+fw4=")</f>
        <v>#REF!</v>
      </c>
      <c r="P140" t="e">
        <f>AND(#REF!,"AAAAAE9+fw8=")</f>
        <v>#REF!</v>
      </c>
      <c r="Q140" t="e">
        <f>AND(#REF!,"AAAAAE9+fxA=")</f>
        <v>#REF!</v>
      </c>
      <c r="R140" t="e">
        <f>IF(#REF!,"AAAAAE9+fxE=",0)</f>
        <v>#REF!</v>
      </c>
      <c r="S140" t="e">
        <f>AND(#REF!,"AAAAAE9+fxI=")</f>
        <v>#REF!</v>
      </c>
      <c r="T140" t="e">
        <f>AND(#REF!,"AAAAAE9+fxM=")</f>
        <v>#REF!</v>
      </c>
      <c r="U140" t="e">
        <f>AND(#REF!,"AAAAAE9+fxQ=")</f>
        <v>#REF!</v>
      </c>
      <c r="V140" t="e">
        <f>AND(#REF!,"AAAAAE9+fxU=")</f>
        <v>#REF!</v>
      </c>
      <c r="W140" t="e">
        <f>AND(#REF!,"AAAAAE9+fxY=")</f>
        <v>#REF!</v>
      </c>
      <c r="X140" t="e">
        <f>AND(#REF!,"AAAAAE9+fxc=")</f>
        <v>#REF!</v>
      </c>
      <c r="Y140" t="e">
        <f>AND(#REF!,"AAAAAE9+fxg=")</f>
        <v>#REF!</v>
      </c>
      <c r="Z140" t="e">
        <f>AND(#REF!,"AAAAAE9+fxk=")</f>
        <v>#REF!</v>
      </c>
      <c r="AA140" t="e">
        <f>AND(#REF!,"AAAAAE9+fxo=")</f>
        <v>#REF!</v>
      </c>
      <c r="AB140" t="e">
        <f>AND(#REF!,"AAAAAE9+fxs=")</f>
        <v>#REF!</v>
      </c>
      <c r="AC140" t="e">
        <f>IF(#REF!,"AAAAAE9+fxw=",0)</f>
        <v>#REF!</v>
      </c>
      <c r="AD140" t="e">
        <f>AND(#REF!,"AAAAAE9+fx0=")</f>
        <v>#REF!</v>
      </c>
      <c r="AE140" t="e">
        <f>AND(#REF!,"AAAAAE9+fx4=")</f>
        <v>#REF!</v>
      </c>
      <c r="AF140" t="e">
        <f>AND(#REF!,"AAAAAE9+fx8=")</f>
        <v>#REF!</v>
      </c>
      <c r="AG140" t="e">
        <f>AND(#REF!,"AAAAAE9+fyA=")</f>
        <v>#REF!</v>
      </c>
      <c r="AH140" t="e">
        <f>AND(#REF!,"AAAAAE9+fyE=")</f>
        <v>#REF!</v>
      </c>
      <c r="AI140" t="e">
        <f>AND(#REF!,"AAAAAE9+fyI=")</f>
        <v>#REF!</v>
      </c>
      <c r="AJ140" t="e">
        <f>AND(#REF!,"AAAAAE9+fyM=")</f>
        <v>#REF!</v>
      </c>
      <c r="AK140" t="e">
        <f>AND(#REF!,"AAAAAE9+fyQ=")</f>
        <v>#REF!</v>
      </c>
      <c r="AL140" t="e">
        <f>AND(#REF!,"AAAAAE9+fyU=")</f>
        <v>#REF!</v>
      </c>
      <c r="AM140" t="e">
        <f>AND(#REF!,"AAAAAE9+fyY=")</f>
        <v>#REF!</v>
      </c>
      <c r="AN140" t="e">
        <f>IF(#REF!,"AAAAAE9+fyc=",0)</f>
        <v>#REF!</v>
      </c>
      <c r="AO140" t="e">
        <f>AND(#REF!,"AAAAAE9+fyg=")</f>
        <v>#REF!</v>
      </c>
      <c r="AP140" t="e">
        <f>AND(#REF!,"AAAAAE9+fyk=")</f>
        <v>#REF!</v>
      </c>
      <c r="AQ140" t="e">
        <f>AND(#REF!,"AAAAAE9+fyo=")</f>
        <v>#REF!</v>
      </c>
      <c r="AR140" t="e">
        <f>AND(#REF!,"AAAAAE9+fys=")</f>
        <v>#REF!</v>
      </c>
      <c r="AS140" t="e">
        <f>AND(#REF!,"AAAAAE9+fyw=")</f>
        <v>#REF!</v>
      </c>
      <c r="AT140" t="e">
        <f>AND(#REF!,"AAAAAE9+fy0=")</f>
        <v>#REF!</v>
      </c>
      <c r="AU140" t="e">
        <f>AND(#REF!,"AAAAAE9+fy4=")</f>
        <v>#REF!</v>
      </c>
      <c r="AV140" t="e">
        <f>AND(#REF!,"AAAAAE9+fy8=")</f>
        <v>#REF!</v>
      </c>
      <c r="AW140" t="e">
        <f>AND(#REF!,"AAAAAE9+fzA=")</f>
        <v>#REF!</v>
      </c>
      <c r="AX140" t="e">
        <f>AND(#REF!,"AAAAAE9+fzE=")</f>
        <v>#REF!</v>
      </c>
      <c r="AY140" t="e">
        <f>IF(#REF!,"AAAAAE9+fzI=",0)</f>
        <v>#REF!</v>
      </c>
      <c r="AZ140" t="e">
        <f>AND(#REF!,"AAAAAE9+fzM=")</f>
        <v>#REF!</v>
      </c>
      <c r="BA140" t="e">
        <f>AND(#REF!,"AAAAAE9+fzQ=")</f>
        <v>#REF!</v>
      </c>
      <c r="BB140" t="e">
        <f>AND(#REF!,"AAAAAE9+fzU=")</f>
        <v>#REF!</v>
      </c>
      <c r="BC140" t="e">
        <f>AND(#REF!,"AAAAAE9+fzY=")</f>
        <v>#REF!</v>
      </c>
      <c r="BD140" t="e">
        <f>AND(#REF!,"AAAAAE9+fzc=")</f>
        <v>#REF!</v>
      </c>
      <c r="BE140" t="e">
        <f>AND(#REF!,"AAAAAE9+fzg=")</f>
        <v>#REF!</v>
      </c>
      <c r="BF140" t="e">
        <f>AND(#REF!,"AAAAAE9+fzk=")</f>
        <v>#REF!</v>
      </c>
      <c r="BG140" t="e">
        <f>AND(#REF!,"AAAAAE9+fzo=")</f>
        <v>#REF!</v>
      </c>
      <c r="BH140" t="e">
        <f>AND(#REF!,"AAAAAE9+fzs=")</f>
        <v>#REF!</v>
      </c>
      <c r="BI140" t="e">
        <f>AND(#REF!,"AAAAAE9+fzw=")</f>
        <v>#REF!</v>
      </c>
      <c r="BJ140" t="e">
        <f>IF(#REF!,"AAAAAE9+fz0=",0)</f>
        <v>#REF!</v>
      </c>
      <c r="BK140" t="e">
        <f>AND(#REF!,"AAAAAE9+fz4=")</f>
        <v>#REF!</v>
      </c>
      <c r="BL140" t="e">
        <f>AND(#REF!,"AAAAAE9+fz8=")</f>
        <v>#REF!</v>
      </c>
      <c r="BM140" t="e">
        <f>AND(#REF!,"AAAAAE9+f0A=")</f>
        <v>#REF!</v>
      </c>
      <c r="BN140" t="e">
        <f>AND(#REF!,"AAAAAE9+f0E=")</f>
        <v>#REF!</v>
      </c>
      <c r="BO140" t="e">
        <f>AND(#REF!,"AAAAAE9+f0I=")</f>
        <v>#REF!</v>
      </c>
      <c r="BP140" t="e">
        <f>AND(#REF!,"AAAAAE9+f0M=")</f>
        <v>#REF!</v>
      </c>
      <c r="BQ140" t="e">
        <f>AND(#REF!,"AAAAAE9+f0Q=")</f>
        <v>#REF!</v>
      </c>
      <c r="BR140" t="e">
        <f>AND(#REF!,"AAAAAE9+f0U=")</f>
        <v>#REF!</v>
      </c>
      <c r="BS140" t="e">
        <f>AND(#REF!,"AAAAAE9+f0Y=")</f>
        <v>#REF!</v>
      </c>
      <c r="BT140" t="e">
        <f>AND(#REF!,"AAAAAE9+f0c=")</f>
        <v>#REF!</v>
      </c>
      <c r="BU140" t="e">
        <f>IF(#REF!,"AAAAAE9+f0g=",0)</f>
        <v>#REF!</v>
      </c>
      <c r="BV140" t="e">
        <f>AND(#REF!,"AAAAAE9+f0k=")</f>
        <v>#REF!</v>
      </c>
      <c r="BW140" t="e">
        <f>AND(#REF!,"AAAAAE9+f0o=")</f>
        <v>#REF!</v>
      </c>
      <c r="BX140" t="e">
        <f>AND(#REF!,"AAAAAE9+f0s=")</f>
        <v>#REF!</v>
      </c>
      <c r="BY140" t="e">
        <f>AND(#REF!,"AAAAAE9+f0w=")</f>
        <v>#REF!</v>
      </c>
      <c r="BZ140" t="e">
        <f>AND(#REF!,"AAAAAE9+f00=")</f>
        <v>#REF!</v>
      </c>
      <c r="CA140" t="e">
        <f>AND(#REF!,"AAAAAE9+f04=")</f>
        <v>#REF!</v>
      </c>
      <c r="CB140" t="e">
        <f>AND(#REF!,"AAAAAE9+f08=")</f>
        <v>#REF!</v>
      </c>
      <c r="CC140" t="e">
        <f>AND(#REF!,"AAAAAE9+f1A=")</f>
        <v>#REF!</v>
      </c>
      <c r="CD140" t="e">
        <f>AND(#REF!,"AAAAAE9+f1E=")</f>
        <v>#REF!</v>
      </c>
      <c r="CE140" t="e">
        <f>AND(#REF!,"AAAAAE9+f1I=")</f>
        <v>#REF!</v>
      </c>
      <c r="CF140" t="e">
        <f>IF(#REF!,"AAAAAE9+f1M=",0)</f>
        <v>#REF!</v>
      </c>
      <c r="CG140" t="e">
        <f>AND(#REF!,"AAAAAE9+f1Q=")</f>
        <v>#REF!</v>
      </c>
      <c r="CH140" t="e">
        <f>AND(#REF!,"AAAAAE9+f1U=")</f>
        <v>#REF!</v>
      </c>
      <c r="CI140" t="e">
        <f>AND(#REF!,"AAAAAE9+f1Y=")</f>
        <v>#REF!</v>
      </c>
      <c r="CJ140" t="e">
        <f>AND(#REF!,"AAAAAE9+f1c=")</f>
        <v>#REF!</v>
      </c>
      <c r="CK140" t="e">
        <f>AND(#REF!,"AAAAAE9+f1g=")</f>
        <v>#REF!</v>
      </c>
      <c r="CL140" t="e">
        <f>AND(#REF!,"AAAAAE9+f1k=")</f>
        <v>#REF!</v>
      </c>
      <c r="CM140" t="e">
        <f>AND(#REF!,"AAAAAE9+f1o=")</f>
        <v>#REF!</v>
      </c>
      <c r="CN140" t="e">
        <f>AND(#REF!,"AAAAAE9+f1s=")</f>
        <v>#REF!</v>
      </c>
      <c r="CO140" t="e">
        <f>AND(#REF!,"AAAAAE9+f1w=")</f>
        <v>#REF!</v>
      </c>
      <c r="CP140" t="e">
        <f>AND(#REF!,"AAAAAE9+f10=")</f>
        <v>#REF!</v>
      </c>
      <c r="CQ140" t="e">
        <f>IF(#REF!,"AAAAAE9+f14=",0)</f>
        <v>#REF!</v>
      </c>
      <c r="CR140" t="e">
        <f>AND(#REF!,"AAAAAE9+f18=")</f>
        <v>#REF!</v>
      </c>
      <c r="CS140" t="e">
        <f>AND(#REF!,"AAAAAE9+f2A=")</f>
        <v>#REF!</v>
      </c>
      <c r="CT140" t="e">
        <f>AND(#REF!,"AAAAAE9+f2E=")</f>
        <v>#REF!</v>
      </c>
      <c r="CU140" t="e">
        <f>AND(#REF!,"AAAAAE9+f2I=")</f>
        <v>#REF!</v>
      </c>
      <c r="CV140" t="e">
        <f>AND(#REF!,"AAAAAE9+f2M=")</f>
        <v>#REF!</v>
      </c>
      <c r="CW140" t="e">
        <f>AND(#REF!,"AAAAAE9+f2Q=")</f>
        <v>#REF!</v>
      </c>
      <c r="CX140" t="e">
        <f>AND(#REF!,"AAAAAE9+f2U=")</f>
        <v>#REF!</v>
      </c>
      <c r="CY140" t="e">
        <f>AND(#REF!,"AAAAAE9+f2Y=")</f>
        <v>#REF!</v>
      </c>
      <c r="CZ140" t="e">
        <f>AND(#REF!,"AAAAAE9+f2c=")</f>
        <v>#REF!</v>
      </c>
      <c r="DA140" t="e">
        <f>AND(#REF!,"AAAAAE9+f2g=")</f>
        <v>#REF!</v>
      </c>
      <c r="DB140" t="e">
        <f>IF(#REF!,"AAAAAE9+f2k=",0)</f>
        <v>#REF!</v>
      </c>
      <c r="DC140" t="e">
        <f>AND(#REF!,"AAAAAE9+f2o=")</f>
        <v>#REF!</v>
      </c>
      <c r="DD140" t="e">
        <f>AND(#REF!,"AAAAAE9+f2s=")</f>
        <v>#REF!</v>
      </c>
      <c r="DE140" t="e">
        <f>AND(#REF!,"AAAAAE9+f2w=")</f>
        <v>#REF!</v>
      </c>
      <c r="DF140" t="e">
        <f>AND(#REF!,"AAAAAE9+f20=")</f>
        <v>#REF!</v>
      </c>
      <c r="DG140" t="e">
        <f>AND(#REF!,"AAAAAE9+f24=")</f>
        <v>#REF!</v>
      </c>
      <c r="DH140" t="e">
        <f>AND(#REF!,"AAAAAE9+f28=")</f>
        <v>#REF!</v>
      </c>
      <c r="DI140" t="e">
        <f>AND(#REF!,"AAAAAE9+f3A=")</f>
        <v>#REF!</v>
      </c>
      <c r="DJ140" t="e">
        <f>AND(#REF!,"AAAAAE9+f3E=")</f>
        <v>#REF!</v>
      </c>
      <c r="DK140" t="e">
        <f>AND(#REF!,"AAAAAE9+f3I=")</f>
        <v>#REF!</v>
      </c>
      <c r="DL140" t="e">
        <f>AND(#REF!,"AAAAAE9+f3M=")</f>
        <v>#REF!</v>
      </c>
      <c r="DM140" t="e">
        <f>IF(#REF!,"AAAAAE9+f3Q=",0)</f>
        <v>#REF!</v>
      </c>
      <c r="DN140" t="e">
        <f>AND(#REF!,"AAAAAE9+f3U=")</f>
        <v>#REF!</v>
      </c>
      <c r="DO140" t="e">
        <f>AND(#REF!,"AAAAAE9+f3Y=")</f>
        <v>#REF!</v>
      </c>
      <c r="DP140" t="e">
        <f>AND(#REF!,"AAAAAE9+f3c=")</f>
        <v>#REF!</v>
      </c>
      <c r="DQ140" t="e">
        <f>AND(#REF!,"AAAAAE9+f3g=")</f>
        <v>#REF!</v>
      </c>
      <c r="DR140" t="e">
        <f>AND(#REF!,"AAAAAE9+f3k=")</f>
        <v>#REF!</v>
      </c>
      <c r="DS140" t="e">
        <f>AND(#REF!,"AAAAAE9+f3o=")</f>
        <v>#REF!</v>
      </c>
      <c r="DT140" t="e">
        <f>AND(#REF!,"AAAAAE9+f3s=")</f>
        <v>#REF!</v>
      </c>
      <c r="DU140" t="e">
        <f>AND(#REF!,"AAAAAE9+f3w=")</f>
        <v>#REF!</v>
      </c>
      <c r="DV140" t="e">
        <f>AND(#REF!,"AAAAAE9+f30=")</f>
        <v>#REF!</v>
      </c>
      <c r="DW140" t="e">
        <f>AND(#REF!,"AAAAAE9+f34=")</f>
        <v>#REF!</v>
      </c>
      <c r="DX140" t="e">
        <f>IF(#REF!,"AAAAAE9+f38=",0)</f>
        <v>#REF!</v>
      </c>
      <c r="DY140" t="e">
        <f>AND(#REF!,"AAAAAE9+f4A=")</f>
        <v>#REF!</v>
      </c>
      <c r="DZ140" t="e">
        <f>AND(#REF!,"AAAAAE9+f4E=")</f>
        <v>#REF!</v>
      </c>
      <c r="EA140" t="e">
        <f>AND(#REF!,"AAAAAE9+f4I=")</f>
        <v>#REF!</v>
      </c>
      <c r="EB140" t="e">
        <f>AND(#REF!,"AAAAAE9+f4M=")</f>
        <v>#REF!</v>
      </c>
      <c r="EC140" t="e">
        <f>AND(#REF!,"AAAAAE9+f4Q=")</f>
        <v>#REF!</v>
      </c>
      <c r="ED140" t="e">
        <f>AND(#REF!,"AAAAAE9+f4U=")</f>
        <v>#REF!</v>
      </c>
      <c r="EE140" t="e">
        <f>AND(#REF!,"AAAAAE9+f4Y=")</f>
        <v>#REF!</v>
      </c>
      <c r="EF140" t="e">
        <f>AND(#REF!,"AAAAAE9+f4c=")</f>
        <v>#REF!</v>
      </c>
      <c r="EG140" t="e">
        <f>AND(#REF!,"AAAAAE9+f4g=")</f>
        <v>#REF!</v>
      </c>
      <c r="EH140" t="e">
        <f>AND(#REF!,"AAAAAE9+f4k=")</f>
        <v>#REF!</v>
      </c>
      <c r="EI140" t="e">
        <f>IF(#REF!,"AAAAAE9+f4o=",0)</f>
        <v>#REF!</v>
      </c>
      <c r="EJ140" t="e">
        <f>AND(#REF!,"AAAAAE9+f4s=")</f>
        <v>#REF!</v>
      </c>
      <c r="EK140" t="e">
        <f>AND(#REF!,"AAAAAE9+f4w=")</f>
        <v>#REF!</v>
      </c>
      <c r="EL140" t="e">
        <f>AND(#REF!,"AAAAAE9+f40=")</f>
        <v>#REF!</v>
      </c>
      <c r="EM140" t="e">
        <f>AND(#REF!,"AAAAAE9+f44=")</f>
        <v>#REF!</v>
      </c>
      <c r="EN140" t="e">
        <f>AND(#REF!,"AAAAAE9+f48=")</f>
        <v>#REF!</v>
      </c>
      <c r="EO140" t="e">
        <f>AND(#REF!,"AAAAAE9+f5A=")</f>
        <v>#REF!</v>
      </c>
      <c r="EP140" t="e">
        <f>AND(#REF!,"AAAAAE9+f5E=")</f>
        <v>#REF!</v>
      </c>
      <c r="EQ140" t="e">
        <f>AND(#REF!,"AAAAAE9+f5I=")</f>
        <v>#REF!</v>
      </c>
      <c r="ER140" t="e">
        <f>AND(#REF!,"AAAAAE9+f5M=")</f>
        <v>#REF!</v>
      </c>
      <c r="ES140" t="e">
        <f>AND(#REF!,"AAAAAE9+f5Q=")</f>
        <v>#REF!</v>
      </c>
      <c r="ET140" t="e">
        <f>IF(#REF!,"AAAAAE9+f5U=",0)</f>
        <v>#REF!</v>
      </c>
      <c r="EU140" t="e">
        <f>AND(#REF!,"AAAAAE9+f5Y=")</f>
        <v>#REF!</v>
      </c>
      <c r="EV140" t="e">
        <f>AND(#REF!,"AAAAAE9+f5c=")</f>
        <v>#REF!</v>
      </c>
      <c r="EW140" t="e">
        <f>AND(#REF!,"AAAAAE9+f5g=")</f>
        <v>#REF!</v>
      </c>
      <c r="EX140" t="e">
        <f>AND(#REF!,"AAAAAE9+f5k=")</f>
        <v>#REF!</v>
      </c>
      <c r="EY140" t="e">
        <f>AND(#REF!,"AAAAAE9+f5o=")</f>
        <v>#REF!</v>
      </c>
      <c r="EZ140" t="e">
        <f>AND(#REF!,"AAAAAE9+f5s=")</f>
        <v>#REF!</v>
      </c>
      <c r="FA140" t="e">
        <f>AND(#REF!,"AAAAAE9+f5w=")</f>
        <v>#REF!</v>
      </c>
      <c r="FB140" t="e">
        <f>AND(#REF!,"AAAAAE9+f50=")</f>
        <v>#REF!</v>
      </c>
      <c r="FC140" t="e">
        <f>AND(#REF!,"AAAAAE9+f54=")</f>
        <v>#REF!</v>
      </c>
      <c r="FD140" t="e">
        <f>AND(#REF!,"AAAAAE9+f58=")</f>
        <v>#REF!</v>
      </c>
      <c r="FE140" t="e">
        <f>IF(#REF!,"AAAAAE9+f6A=",0)</f>
        <v>#REF!</v>
      </c>
      <c r="FF140" t="e">
        <f>AND(#REF!,"AAAAAE9+f6E=")</f>
        <v>#REF!</v>
      </c>
      <c r="FG140" t="e">
        <f>AND(#REF!,"AAAAAE9+f6I=")</f>
        <v>#REF!</v>
      </c>
      <c r="FH140" t="e">
        <f>AND(#REF!,"AAAAAE9+f6M=")</f>
        <v>#REF!</v>
      </c>
      <c r="FI140" t="e">
        <f>AND(#REF!,"AAAAAE9+f6Q=")</f>
        <v>#REF!</v>
      </c>
      <c r="FJ140" t="e">
        <f>AND(#REF!,"AAAAAE9+f6U=")</f>
        <v>#REF!</v>
      </c>
      <c r="FK140" t="e">
        <f>AND(#REF!,"AAAAAE9+f6Y=")</f>
        <v>#REF!</v>
      </c>
      <c r="FL140" t="e">
        <f>AND(#REF!,"AAAAAE9+f6c=")</f>
        <v>#REF!</v>
      </c>
      <c r="FM140" t="e">
        <f>AND(#REF!,"AAAAAE9+f6g=")</f>
        <v>#REF!</v>
      </c>
      <c r="FN140" t="e">
        <f>AND(#REF!,"AAAAAE9+f6k=")</f>
        <v>#REF!</v>
      </c>
      <c r="FO140" t="e">
        <f>AND(#REF!,"AAAAAE9+f6o=")</f>
        <v>#REF!</v>
      </c>
      <c r="FP140" t="e">
        <f>IF(#REF!,"AAAAAE9+f6s=",0)</f>
        <v>#REF!</v>
      </c>
      <c r="FQ140" t="e">
        <f>AND(#REF!,"AAAAAE9+f6w=")</f>
        <v>#REF!</v>
      </c>
      <c r="FR140" t="e">
        <f>AND(#REF!,"AAAAAE9+f60=")</f>
        <v>#REF!</v>
      </c>
      <c r="FS140" t="e">
        <f>AND(#REF!,"AAAAAE9+f64=")</f>
        <v>#REF!</v>
      </c>
      <c r="FT140" t="e">
        <f>AND(#REF!,"AAAAAE9+f68=")</f>
        <v>#REF!</v>
      </c>
      <c r="FU140" t="e">
        <f>AND(#REF!,"AAAAAE9+f7A=")</f>
        <v>#REF!</v>
      </c>
      <c r="FV140" t="e">
        <f>AND(#REF!,"AAAAAE9+f7E=")</f>
        <v>#REF!</v>
      </c>
      <c r="FW140" t="e">
        <f>AND(#REF!,"AAAAAE9+f7I=")</f>
        <v>#REF!</v>
      </c>
      <c r="FX140" t="e">
        <f>AND(#REF!,"AAAAAE9+f7M=")</f>
        <v>#REF!</v>
      </c>
      <c r="FY140" t="e">
        <f>AND(#REF!,"AAAAAE9+f7Q=")</f>
        <v>#REF!</v>
      </c>
      <c r="FZ140" t="e">
        <f>AND(#REF!,"AAAAAE9+f7U=")</f>
        <v>#REF!</v>
      </c>
      <c r="GA140" t="e">
        <f>IF(#REF!,"AAAAAE9+f7Y=",0)</f>
        <v>#REF!</v>
      </c>
      <c r="GB140" t="e">
        <f>AND(#REF!,"AAAAAE9+f7c=")</f>
        <v>#REF!</v>
      </c>
      <c r="GC140" t="e">
        <f>AND(#REF!,"AAAAAE9+f7g=")</f>
        <v>#REF!</v>
      </c>
      <c r="GD140" t="e">
        <f>AND(#REF!,"AAAAAE9+f7k=")</f>
        <v>#REF!</v>
      </c>
      <c r="GE140" t="e">
        <f>AND(#REF!,"AAAAAE9+f7o=")</f>
        <v>#REF!</v>
      </c>
      <c r="GF140" t="e">
        <f>AND(#REF!,"AAAAAE9+f7s=")</f>
        <v>#REF!</v>
      </c>
      <c r="GG140" t="e">
        <f>AND(#REF!,"AAAAAE9+f7w=")</f>
        <v>#REF!</v>
      </c>
      <c r="GH140" t="e">
        <f>AND(#REF!,"AAAAAE9+f70=")</f>
        <v>#REF!</v>
      </c>
      <c r="GI140" t="e">
        <f>AND(#REF!,"AAAAAE9+f74=")</f>
        <v>#REF!</v>
      </c>
      <c r="GJ140" t="e">
        <f>AND(#REF!,"AAAAAE9+f78=")</f>
        <v>#REF!</v>
      </c>
      <c r="GK140" t="e">
        <f>AND(#REF!,"AAAAAE9+f8A=")</f>
        <v>#REF!</v>
      </c>
      <c r="GL140" t="e">
        <f>IF(#REF!,"AAAAAE9+f8E=",0)</f>
        <v>#REF!</v>
      </c>
      <c r="GM140" t="e">
        <f>AND(#REF!,"AAAAAE9+f8I=")</f>
        <v>#REF!</v>
      </c>
      <c r="GN140" t="e">
        <f>AND(#REF!,"AAAAAE9+f8M=")</f>
        <v>#REF!</v>
      </c>
      <c r="GO140" t="e">
        <f>AND(#REF!,"AAAAAE9+f8Q=")</f>
        <v>#REF!</v>
      </c>
      <c r="GP140" t="e">
        <f>AND(#REF!,"AAAAAE9+f8U=")</f>
        <v>#REF!</v>
      </c>
      <c r="GQ140" t="e">
        <f>AND(#REF!,"AAAAAE9+f8Y=")</f>
        <v>#REF!</v>
      </c>
      <c r="GR140" t="e">
        <f>AND(#REF!,"AAAAAE9+f8c=")</f>
        <v>#REF!</v>
      </c>
      <c r="GS140" t="e">
        <f>AND(#REF!,"AAAAAE9+f8g=")</f>
        <v>#REF!</v>
      </c>
      <c r="GT140" t="e">
        <f>AND(#REF!,"AAAAAE9+f8k=")</f>
        <v>#REF!</v>
      </c>
      <c r="GU140" t="e">
        <f>AND(#REF!,"AAAAAE9+f8o=")</f>
        <v>#REF!</v>
      </c>
      <c r="GV140" t="e">
        <f>AND(#REF!,"AAAAAE9+f8s=")</f>
        <v>#REF!</v>
      </c>
      <c r="GW140" t="e">
        <f>IF(#REF!,"AAAAAE9+f8w=",0)</f>
        <v>#REF!</v>
      </c>
      <c r="GX140" t="e">
        <f>AND(#REF!,"AAAAAE9+f80=")</f>
        <v>#REF!</v>
      </c>
      <c r="GY140" t="e">
        <f>AND(#REF!,"AAAAAE9+f84=")</f>
        <v>#REF!</v>
      </c>
      <c r="GZ140" t="e">
        <f>AND(#REF!,"AAAAAE9+f88=")</f>
        <v>#REF!</v>
      </c>
      <c r="HA140" t="e">
        <f>AND(#REF!,"AAAAAE9+f9A=")</f>
        <v>#REF!</v>
      </c>
      <c r="HB140" t="e">
        <f>AND(#REF!,"AAAAAE9+f9E=")</f>
        <v>#REF!</v>
      </c>
      <c r="HC140" t="e">
        <f>AND(#REF!,"AAAAAE9+f9I=")</f>
        <v>#REF!</v>
      </c>
      <c r="HD140" t="e">
        <f>AND(#REF!,"AAAAAE9+f9M=")</f>
        <v>#REF!</v>
      </c>
      <c r="HE140" t="e">
        <f>AND(#REF!,"AAAAAE9+f9Q=")</f>
        <v>#REF!</v>
      </c>
      <c r="HF140" t="e">
        <f>AND(#REF!,"AAAAAE9+f9U=")</f>
        <v>#REF!</v>
      </c>
      <c r="HG140" t="e">
        <f>AND(#REF!,"AAAAAE9+f9Y=")</f>
        <v>#REF!</v>
      </c>
      <c r="HH140" t="e">
        <f>IF(#REF!,"AAAAAE9+f9c=",0)</f>
        <v>#REF!</v>
      </c>
      <c r="HI140" t="e">
        <f>AND(#REF!,"AAAAAE9+f9g=")</f>
        <v>#REF!</v>
      </c>
      <c r="HJ140" t="e">
        <f>AND(#REF!,"AAAAAE9+f9k=")</f>
        <v>#REF!</v>
      </c>
      <c r="HK140" t="e">
        <f>AND(#REF!,"AAAAAE9+f9o=")</f>
        <v>#REF!</v>
      </c>
      <c r="HL140" t="e">
        <f>AND(#REF!,"AAAAAE9+f9s=")</f>
        <v>#REF!</v>
      </c>
      <c r="HM140" t="e">
        <f>AND(#REF!,"AAAAAE9+f9w=")</f>
        <v>#REF!</v>
      </c>
      <c r="HN140" t="e">
        <f>AND(#REF!,"AAAAAE9+f90=")</f>
        <v>#REF!</v>
      </c>
      <c r="HO140" t="e">
        <f>AND(#REF!,"AAAAAE9+f94=")</f>
        <v>#REF!</v>
      </c>
      <c r="HP140" t="e">
        <f>AND(#REF!,"AAAAAE9+f98=")</f>
        <v>#REF!</v>
      </c>
      <c r="HQ140" t="e">
        <f>AND(#REF!,"AAAAAE9+f+A=")</f>
        <v>#REF!</v>
      </c>
      <c r="HR140" t="e">
        <f>AND(#REF!,"AAAAAE9+f+E=")</f>
        <v>#REF!</v>
      </c>
      <c r="HS140" t="e">
        <f>IF(#REF!,"AAAAAE9+f+I=",0)</f>
        <v>#REF!</v>
      </c>
      <c r="HT140" t="e">
        <f>AND(#REF!,"AAAAAE9+f+M=")</f>
        <v>#REF!</v>
      </c>
      <c r="HU140" t="e">
        <f>AND(#REF!,"AAAAAE9+f+Q=")</f>
        <v>#REF!</v>
      </c>
      <c r="HV140" t="e">
        <f>AND(#REF!,"AAAAAE9+f+U=")</f>
        <v>#REF!</v>
      </c>
      <c r="HW140" t="e">
        <f>AND(#REF!,"AAAAAE9+f+Y=")</f>
        <v>#REF!</v>
      </c>
      <c r="HX140" t="e">
        <f>AND(#REF!,"AAAAAE9+f+c=")</f>
        <v>#REF!</v>
      </c>
      <c r="HY140" t="e">
        <f>AND(#REF!,"AAAAAE9+f+g=")</f>
        <v>#REF!</v>
      </c>
      <c r="HZ140" t="e">
        <f>AND(#REF!,"AAAAAE9+f+k=")</f>
        <v>#REF!</v>
      </c>
      <c r="IA140" t="e">
        <f>AND(#REF!,"AAAAAE9+f+o=")</f>
        <v>#REF!</v>
      </c>
      <c r="IB140" t="e">
        <f>AND(#REF!,"AAAAAE9+f+s=")</f>
        <v>#REF!</v>
      </c>
      <c r="IC140" t="e">
        <f>AND(#REF!,"AAAAAE9+f+w=")</f>
        <v>#REF!</v>
      </c>
      <c r="ID140" t="e">
        <f>IF(#REF!,"AAAAAE9+f+0=",0)</f>
        <v>#REF!</v>
      </c>
      <c r="IE140" t="e">
        <f>AND(#REF!,"AAAAAE9+f+4=")</f>
        <v>#REF!</v>
      </c>
      <c r="IF140" t="e">
        <f>AND(#REF!,"AAAAAE9+f+8=")</f>
        <v>#REF!</v>
      </c>
      <c r="IG140" t="e">
        <f>AND(#REF!,"AAAAAE9+f/A=")</f>
        <v>#REF!</v>
      </c>
      <c r="IH140" t="e">
        <f>AND(#REF!,"AAAAAE9+f/E=")</f>
        <v>#REF!</v>
      </c>
      <c r="II140" t="e">
        <f>AND(#REF!,"AAAAAE9+f/I=")</f>
        <v>#REF!</v>
      </c>
      <c r="IJ140" t="e">
        <f>AND(#REF!,"AAAAAE9+f/M=")</f>
        <v>#REF!</v>
      </c>
      <c r="IK140" t="e">
        <f>AND(#REF!,"AAAAAE9+f/Q=")</f>
        <v>#REF!</v>
      </c>
      <c r="IL140" t="e">
        <f>AND(#REF!,"AAAAAE9+f/U=")</f>
        <v>#REF!</v>
      </c>
      <c r="IM140" t="e">
        <f>AND(#REF!,"AAAAAE9+f/Y=")</f>
        <v>#REF!</v>
      </c>
      <c r="IN140" t="e">
        <f>AND(#REF!,"AAAAAE9+f/c=")</f>
        <v>#REF!</v>
      </c>
      <c r="IO140" t="e">
        <f>IF(#REF!,"AAAAAE9+f/g=",0)</f>
        <v>#REF!</v>
      </c>
      <c r="IP140" t="e">
        <f>AND(#REF!,"AAAAAE9+f/k=")</f>
        <v>#REF!</v>
      </c>
      <c r="IQ140" t="e">
        <f>AND(#REF!,"AAAAAE9+f/o=")</f>
        <v>#REF!</v>
      </c>
      <c r="IR140" t="e">
        <f>AND(#REF!,"AAAAAE9+f/s=")</f>
        <v>#REF!</v>
      </c>
      <c r="IS140" t="e">
        <f>AND(#REF!,"AAAAAE9+f/w=")</f>
        <v>#REF!</v>
      </c>
      <c r="IT140" t="e">
        <f>AND(#REF!,"AAAAAE9+f/0=")</f>
        <v>#REF!</v>
      </c>
      <c r="IU140" t="e">
        <f>AND(#REF!,"AAAAAE9+f/4=")</f>
        <v>#REF!</v>
      </c>
      <c r="IV140" t="e">
        <f>AND(#REF!,"AAAAAE9+f/8=")</f>
        <v>#REF!</v>
      </c>
    </row>
    <row r="141" spans="1:256" x14ac:dyDescent="0.25">
      <c r="A141" t="e">
        <f>AND(#REF!,"AAAAAH/95wA=")</f>
        <v>#REF!</v>
      </c>
      <c r="B141" t="e">
        <f>AND(#REF!,"AAAAAH/95wE=")</f>
        <v>#REF!</v>
      </c>
      <c r="C141" t="e">
        <f>AND(#REF!,"AAAAAH/95wI=")</f>
        <v>#REF!</v>
      </c>
      <c r="D141" t="e">
        <f>IF(#REF!,"AAAAAH/95wM=",0)</f>
        <v>#REF!</v>
      </c>
      <c r="E141" t="e">
        <f>AND(#REF!,"AAAAAH/95wQ=")</f>
        <v>#REF!</v>
      </c>
      <c r="F141" t="e">
        <f>AND(#REF!,"AAAAAH/95wU=")</f>
        <v>#REF!</v>
      </c>
      <c r="G141" t="e">
        <f>AND(#REF!,"AAAAAH/95wY=")</f>
        <v>#REF!</v>
      </c>
      <c r="H141" t="e">
        <f>AND(#REF!,"AAAAAH/95wc=")</f>
        <v>#REF!</v>
      </c>
      <c r="I141" t="e">
        <f>AND(#REF!,"AAAAAH/95wg=")</f>
        <v>#REF!</v>
      </c>
      <c r="J141" t="e">
        <f>AND(#REF!,"AAAAAH/95wk=")</f>
        <v>#REF!</v>
      </c>
      <c r="K141" t="e">
        <f>AND(#REF!,"AAAAAH/95wo=")</f>
        <v>#REF!</v>
      </c>
      <c r="L141" t="e">
        <f>AND(#REF!,"AAAAAH/95ws=")</f>
        <v>#REF!</v>
      </c>
      <c r="M141" t="e">
        <f>AND(#REF!,"AAAAAH/95ww=")</f>
        <v>#REF!</v>
      </c>
      <c r="N141" t="e">
        <f>AND(#REF!,"AAAAAH/95w0=")</f>
        <v>#REF!</v>
      </c>
      <c r="O141" t="e">
        <f>IF(#REF!,"AAAAAH/95w4=",0)</f>
        <v>#REF!</v>
      </c>
      <c r="P141" t="e">
        <f>AND(#REF!,"AAAAAH/95w8=")</f>
        <v>#REF!</v>
      </c>
      <c r="Q141" t="e">
        <f>AND(#REF!,"AAAAAH/95xA=")</f>
        <v>#REF!</v>
      </c>
      <c r="R141" t="e">
        <f>AND(#REF!,"AAAAAH/95xE=")</f>
        <v>#REF!</v>
      </c>
      <c r="S141" t="e">
        <f>AND(#REF!,"AAAAAH/95xI=")</f>
        <v>#REF!</v>
      </c>
      <c r="T141" t="e">
        <f>AND(#REF!,"AAAAAH/95xM=")</f>
        <v>#REF!</v>
      </c>
      <c r="U141" t="e">
        <f>AND(#REF!,"AAAAAH/95xQ=")</f>
        <v>#REF!</v>
      </c>
      <c r="V141" t="e">
        <f>AND(#REF!,"AAAAAH/95xU=")</f>
        <v>#REF!</v>
      </c>
      <c r="W141" t="e">
        <f>AND(#REF!,"AAAAAH/95xY=")</f>
        <v>#REF!</v>
      </c>
      <c r="X141" t="e">
        <f>AND(#REF!,"AAAAAH/95xc=")</f>
        <v>#REF!</v>
      </c>
      <c r="Y141" t="e">
        <f>AND(#REF!,"AAAAAH/95xg=")</f>
        <v>#REF!</v>
      </c>
      <c r="Z141" t="e">
        <f>IF(#REF!,"AAAAAH/95xk=",0)</f>
        <v>#REF!</v>
      </c>
      <c r="AA141" t="e">
        <f>AND(#REF!,"AAAAAH/95xo=")</f>
        <v>#REF!</v>
      </c>
      <c r="AB141" t="e">
        <f>AND(#REF!,"AAAAAH/95xs=")</f>
        <v>#REF!</v>
      </c>
      <c r="AC141" t="e">
        <f>AND(#REF!,"AAAAAH/95xw=")</f>
        <v>#REF!</v>
      </c>
      <c r="AD141" t="e">
        <f>AND(#REF!,"AAAAAH/95x0=")</f>
        <v>#REF!</v>
      </c>
      <c r="AE141" t="e">
        <f>AND(#REF!,"AAAAAH/95x4=")</f>
        <v>#REF!</v>
      </c>
      <c r="AF141" t="e">
        <f>AND(#REF!,"AAAAAH/95x8=")</f>
        <v>#REF!</v>
      </c>
      <c r="AG141" t="e">
        <f>AND(#REF!,"AAAAAH/95yA=")</f>
        <v>#REF!</v>
      </c>
      <c r="AH141" t="e">
        <f>AND(#REF!,"AAAAAH/95yE=")</f>
        <v>#REF!</v>
      </c>
      <c r="AI141" t="e">
        <f>AND(#REF!,"AAAAAH/95yI=")</f>
        <v>#REF!</v>
      </c>
      <c r="AJ141" t="e">
        <f>AND(#REF!,"AAAAAH/95yM=")</f>
        <v>#REF!</v>
      </c>
      <c r="AK141" t="e">
        <f>IF(#REF!,"AAAAAH/95yQ=",0)</f>
        <v>#REF!</v>
      </c>
      <c r="AL141" t="e">
        <f>AND(#REF!,"AAAAAH/95yU=")</f>
        <v>#REF!</v>
      </c>
      <c r="AM141" t="e">
        <f>AND(#REF!,"AAAAAH/95yY=")</f>
        <v>#REF!</v>
      </c>
      <c r="AN141" t="e">
        <f>AND(#REF!,"AAAAAH/95yc=")</f>
        <v>#REF!</v>
      </c>
      <c r="AO141" t="e">
        <f>AND(#REF!,"AAAAAH/95yg=")</f>
        <v>#REF!</v>
      </c>
      <c r="AP141" t="e">
        <f>AND(#REF!,"AAAAAH/95yk=")</f>
        <v>#REF!</v>
      </c>
      <c r="AQ141" t="e">
        <f>AND(#REF!,"AAAAAH/95yo=")</f>
        <v>#REF!</v>
      </c>
      <c r="AR141" t="e">
        <f>AND(#REF!,"AAAAAH/95ys=")</f>
        <v>#REF!</v>
      </c>
      <c r="AS141" t="e">
        <f>AND(#REF!,"AAAAAH/95yw=")</f>
        <v>#REF!</v>
      </c>
      <c r="AT141" t="e">
        <f>AND(#REF!,"AAAAAH/95y0=")</f>
        <v>#REF!</v>
      </c>
      <c r="AU141" t="e">
        <f>AND(#REF!,"AAAAAH/95y4=")</f>
        <v>#REF!</v>
      </c>
      <c r="AV141" t="e">
        <f>IF(#REF!,"AAAAAH/95y8=",0)</f>
        <v>#REF!</v>
      </c>
      <c r="AW141" t="e">
        <f>AND(#REF!,"AAAAAH/95zA=")</f>
        <v>#REF!</v>
      </c>
      <c r="AX141" t="e">
        <f>AND(#REF!,"AAAAAH/95zE=")</f>
        <v>#REF!</v>
      </c>
      <c r="AY141" t="e">
        <f>AND(#REF!,"AAAAAH/95zI=")</f>
        <v>#REF!</v>
      </c>
      <c r="AZ141" t="e">
        <f>AND(#REF!,"AAAAAH/95zM=")</f>
        <v>#REF!</v>
      </c>
      <c r="BA141" t="e">
        <f>AND(#REF!,"AAAAAH/95zQ=")</f>
        <v>#REF!</v>
      </c>
      <c r="BB141" t="e">
        <f>AND(#REF!,"AAAAAH/95zU=")</f>
        <v>#REF!</v>
      </c>
      <c r="BC141" t="e">
        <f>AND(#REF!,"AAAAAH/95zY=")</f>
        <v>#REF!</v>
      </c>
      <c r="BD141" t="e">
        <f>AND(#REF!,"AAAAAH/95zc=")</f>
        <v>#REF!</v>
      </c>
      <c r="BE141" t="e">
        <f>AND(#REF!,"AAAAAH/95zg=")</f>
        <v>#REF!</v>
      </c>
      <c r="BF141" t="e">
        <f>AND(#REF!,"AAAAAH/95zk=")</f>
        <v>#REF!</v>
      </c>
      <c r="BG141" t="e">
        <f>IF(#REF!,"AAAAAH/95zo=",0)</f>
        <v>#REF!</v>
      </c>
      <c r="BH141" t="e">
        <f>AND(#REF!,"AAAAAH/95zs=")</f>
        <v>#REF!</v>
      </c>
      <c r="BI141" t="e">
        <f>AND(#REF!,"AAAAAH/95zw=")</f>
        <v>#REF!</v>
      </c>
      <c r="BJ141" t="e">
        <f>AND(#REF!,"AAAAAH/95z0=")</f>
        <v>#REF!</v>
      </c>
      <c r="BK141" t="e">
        <f>AND(#REF!,"AAAAAH/95z4=")</f>
        <v>#REF!</v>
      </c>
      <c r="BL141" t="e">
        <f>AND(#REF!,"AAAAAH/95z8=")</f>
        <v>#REF!</v>
      </c>
      <c r="BM141" t="e">
        <f>AND(#REF!,"AAAAAH/950A=")</f>
        <v>#REF!</v>
      </c>
      <c r="BN141" t="e">
        <f>AND(#REF!,"AAAAAH/950E=")</f>
        <v>#REF!</v>
      </c>
      <c r="BO141" t="e">
        <f>AND(#REF!,"AAAAAH/950I=")</f>
        <v>#REF!</v>
      </c>
      <c r="BP141" t="e">
        <f>AND(#REF!,"AAAAAH/950M=")</f>
        <v>#REF!</v>
      </c>
      <c r="BQ141" t="e">
        <f>AND(#REF!,"AAAAAH/950Q=")</f>
        <v>#REF!</v>
      </c>
      <c r="BR141" t="e">
        <f>IF(#REF!,"AAAAAH/950U=",0)</f>
        <v>#REF!</v>
      </c>
      <c r="BS141" t="e">
        <f>AND(#REF!,"AAAAAH/950Y=")</f>
        <v>#REF!</v>
      </c>
      <c r="BT141" t="e">
        <f>AND(#REF!,"AAAAAH/950c=")</f>
        <v>#REF!</v>
      </c>
      <c r="BU141" t="e">
        <f>AND(#REF!,"AAAAAH/950g=")</f>
        <v>#REF!</v>
      </c>
      <c r="BV141" t="e">
        <f>AND(#REF!,"AAAAAH/950k=")</f>
        <v>#REF!</v>
      </c>
      <c r="BW141" t="e">
        <f>AND(#REF!,"AAAAAH/950o=")</f>
        <v>#REF!</v>
      </c>
      <c r="BX141" t="e">
        <f>AND(#REF!,"AAAAAH/950s=")</f>
        <v>#REF!</v>
      </c>
      <c r="BY141" t="e">
        <f>AND(#REF!,"AAAAAH/950w=")</f>
        <v>#REF!</v>
      </c>
      <c r="BZ141" t="e">
        <f>AND(#REF!,"AAAAAH/9500=")</f>
        <v>#REF!</v>
      </c>
      <c r="CA141" t="e">
        <f>AND(#REF!,"AAAAAH/9504=")</f>
        <v>#REF!</v>
      </c>
      <c r="CB141" t="e">
        <f>AND(#REF!,"AAAAAH/9508=")</f>
        <v>#REF!</v>
      </c>
      <c r="CC141" t="e">
        <f>IF(#REF!,"AAAAAH/951A=",0)</f>
        <v>#REF!</v>
      </c>
      <c r="CD141" t="e">
        <f>AND(#REF!,"AAAAAH/951E=")</f>
        <v>#REF!</v>
      </c>
      <c r="CE141" t="e">
        <f>AND(#REF!,"AAAAAH/951I=")</f>
        <v>#REF!</v>
      </c>
      <c r="CF141" t="e">
        <f>AND(#REF!,"AAAAAH/951M=")</f>
        <v>#REF!</v>
      </c>
      <c r="CG141" t="e">
        <f>AND(#REF!,"AAAAAH/951Q=")</f>
        <v>#REF!</v>
      </c>
      <c r="CH141" t="e">
        <f>AND(#REF!,"AAAAAH/951U=")</f>
        <v>#REF!</v>
      </c>
      <c r="CI141" t="e">
        <f>AND(#REF!,"AAAAAH/951Y=")</f>
        <v>#REF!</v>
      </c>
      <c r="CJ141" t="e">
        <f>AND(#REF!,"AAAAAH/951c=")</f>
        <v>#REF!</v>
      </c>
      <c r="CK141" t="e">
        <f>AND(#REF!,"AAAAAH/951g=")</f>
        <v>#REF!</v>
      </c>
      <c r="CL141" t="e">
        <f>AND(#REF!,"AAAAAH/951k=")</f>
        <v>#REF!</v>
      </c>
      <c r="CM141" t="e">
        <f>AND(#REF!,"AAAAAH/951o=")</f>
        <v>#REF!</v>
      </c>
      <c r="CN141" t="e">
        <f>IF(#REF!,"AAAAAH/951s=",0)</f>
        <v>#REF!</v>
      </c>
      <c r="CO141" t="e">
        <f>AND(#REF!,"AAAAAH/951w=")</f>
        <v>#REF!</v>
      </c>
      <c r="CP141" t="e">
        <f>AND(#REF!,"AAAAAH/9510=")</f>
        <v>#REF!</v>
      </c>
      <c r="CQ141" t="e">
        <f>AND(#REF!,"AAAAAH/9514=")</f>
        <v>#REF!</v>
      </c>
      <c r="CR141" t="e">
        <f>AND(#REF!,"AAAAAH/9518=")</f>
        <v>#REF!</v>
      </c>
      <c r="CS141" t="e">
        <f>AND(#REF!,"AAAAAH/952A=")</f>
        <v>#REF!</v>
      </c>
      <c r="CT141" t="e">
        <f>AND(#REF!,"AAAAAH/952E=")</f>
        <v>#REF!</v>
      </c>
      <c r="CU141" t="e">
        <f>AND(#REF!,"AAAAAH/952I=")</f>
        <v>#REF!</v>
      </c>
      <c r="CV141" t="e">
        <f>AND(#REF!,"AAAAAH/952M=")</f>
        <v>#REF!</v>
      </c>
      <c r="CW141" t="e">
        <f>AND(#REF!,"AAAAAH/952Q=")</f>
        <v>#REF!</v>
      </c>
      <c r="CX141" t="e">
        <f>AND(#REF!,"AAAAAH/952U=")</f>
        <v>#REF!</v>
      </c>
      <c r="CY141" t="e">
        <f>IF(#REF!,"AAAAAH/952Y=",0)</f>
        <v>#REF!</v>
      </c>
      <c r="CZ141" t="e">
        <f>AND(#REF!,"AAAAAH/952c=")</f>
        <v>#REF!</v>
      </c>
      <c r="DA141" t="e">
        <f>AND(#REF!,"AAAAAH/952g=")</f>
        <v>#REF!</v>
      </c>
      <c r="DB141" t="e">
        <f>AND(#REF!,"AAAAAH/952k=")</f>
        <v>#REF!</v>
      </c>
      <c r="DC141" t="e">
        <f>AND(#REF!,"AAAAAH/952o=")</f>
        <v>#REF!</v>
      </c>
      <c r="DD141" t="e">
        <f>AND(#REF!,"AAAAAH/952s=")</f>
        <v>#REF!</v>
      </c>
      <c r="DE141" t="e">
        <f>AND(#REF!,"AAAAAH/952w=")</f>
        <v>#REF!</v>
      </c>
      <c r="DF141" t="e">
        <f>AND(#REF!,"AAAAAH/9520=")</f>
        <v>#REF!</v>
      </c>
      <c r="DG141" t="e">
        <f>AND(#REF!,"AAAAAH/9524=")</f>
        <v>#REF!</v>
      </c>
      <c r="DH141" t="e">
        <f>AND(#REF!,"AAAAAH/9528=")</f>
        <v>#REF!</v>
      </c>
      <c r="DI141" t="e">
        <f>AND(#REF!,"AAAAAH/953A=")</f>
        <v>#REF!</v>
      </c>
      <c r="DJ141" t="e">
        <f>IF(#REF!,"AAAAAH/953E=",0)</f>
        <v>#REF!</v>
      </c>
      <c r="DK141" t="e">
        <f>AND(#REF!,"AAAAAH/953I=")</f>
        <v>#REF!</v>
      </c>
      <c r="DL141" t="e">
        <f>AND(#REF!,"AAAAAH/953M=")</f>
        <v>#REF!</v>
      </c>
      <c r="DM141" t="e">
        <f>AND(#REF!,"AAAAAH/953Q=")</f>
        <v>#REF!</v>
      </c>
      <c r="DN141" t="e">
        <f>AND(#REF!,"AAAAAH/953U=")</f>
        <v>#REF!</v>
      </c>
      <c r="DO141" t="e">
        <f>AND(#REF!,"AAAAAH/953Y=")</f>
        <v>#REF!</v>
      </c>
      <c r="DP141" t="e">
        <f>AND(#REF!,"AAAAAH/953c=")</f>
        <v>#REF!</v>
      </c>
      <c r="DQ141" t="e">
        <f>AND(#REF!,"AAAAAH/953g=")</f>
        <v>#REF!</v>
      </c>
      <c r="DR141" t="e">
        <f>AND(#REF!,"AAAAAH/953k=")</f>
        <v>#REF!</v>
      </c>
      <c r="DS141" t="e">
        <f>AND(#REF!,"AAAAAH/953o=")</f>
        <v>#REF!</v>
      </c>
      <c r="DT141" t="e">
        <f>AND(#REF!,"AAAAAH/953s=")</f>
        <v>#REF!</v>
      </c>
      <c r="DU141" t="e">
        <f>IF(#REF!,"AAAAAH/953w=",0)</f>
        <v>#REF!</v>
      </c>
      <c r="DV141" t="e">
        <f>AND(#REF!,"AAAAAH/9530=")</f>
        <v>#REF!</v>
      </c>
      <c r="DW141" t="e">
        <f>AND(#REF!,"AAAAAH/9534=")</f>
        <v>#REF!</v>
      </c>
      <c r="DX141" t="e">
        <f>AND(#REF!,"AAAAAH/9538=")</f>
        <v>#REF!</v>
      </c>
      <c r="DY141" t="e">
        <f>AND(#REF!,"AAAAAH/954A=")</f>
        <v>#REF!</v>
      </c>
      <c r="DZ141" t="e">
        <f>AND(#REF!,"AAAAAH/954E=")</f>
        <v>#REF!</v>
      </c>
      <c r="EA141" t="e">
        <f>AND(#REF!,"AAAAAH/954I=")</f>
        <v>#REF!</v>
      </c>
      <c r="EB141" t="e">
        <f>AND(#REF!,"AAAAAH/954M=")</f>
        <v>#REF!</v>
      </c>
      <c r="EC141" t="e">
        <f>AND(#REF!,"AAAAAH/954Q=")</f>
        <v>#REF!</v>
      </c>
      <c r="ED141" t="e">
        <f>AND(#REF!,"AAAAAH/954U=")</f>
        <v>#REF!</v>
      </c>
      <c r="EE141" t="e">
        <f>AND(#REF!,"AAAAAH/954Y=")</f>
        <v>#REF!</v>
      </c>
      <c r="EF141" t="e">
        <f>IF(#REF!,"AAAAAH/954c=",0)</f>
        <v>#REF!</v>
      </c>
      <c r="EG141" t="e">
        <f>AND(#REF!,"AAAAAH/954g=")</f>
        <v>#REF!</v>
      </c>
      <c r="EH141" t="e">
        <f>AND(#REF!,"AAAAAH/954k=")</f>
        <v>#REF!</v>
      </c>
      <c r="EI141" t="e">
        <f>AND(#REF!,"AAAAAH/954o=")</f>
        <v>#REF!</v>
      </c>
      <c r="EJ141" t="e">
        <f>AND(#REF!,"AAAAAH/954s=")</f>
        <v>#REF!</v>
      </c>
      <c r="EK141" t="e">
        <f>AND(#REF!,"AAAAAH/954w=")</f>
        <v>#REF!</v>
      </c>
      <c r="EL141" t="e">
        <f>AND(#REF!,"AAAAAH/9540=")</f>
        <v>#REF!</v>
      </c>
      <c r="EM141" t="e">
        <f>AND(#REF!,"AAAAAH/9544=")</f>
        <v>#REF!</v>
      </c>
      <c r="EN141" t="e">
        <f>AND(#REF!,"AAAAAH/9548=")</f>
        <v>#REF!</v>
      </c>
      <c r="EO141" t="e">
        <f>AND(#REF!,"AAAAAH/955A=")</f>
        <v>#REF!</v>
      </c>
      <c r="EP141" t="e">
        <f>AND(#REF!,"AAAAAH/955E=")</f>
        <v>#REF!</v>
      </c>
      <c r="EQ141" t="e">
        <f>IF(#REF!,"AAAAAH/955I=",0)</f>
        <v>#REF!</v>
      </c>
      <c r="ER141" t="e">
        <f>AND(#REF!,"AAAAAH/955M=")</f>
        <v>#REF!</v>
      </c>
      <c r="ES141" t="e">
        <f>AND(#REF!,"AAAAAH/955Q=")</f>
        <v>#REF!</v>
      </c>
      <c r="ET141" t="e">
        <f>AND(#REF!,"AAAAAH/955U=")</f>
        <v>#REF!</v>
      </c>
      <c r="EU141" t="e">
        <f>AND(#REF!,"AAAAAH/955Y=")</f>
        <v>#REF!</v>
      </c>
      <c r="EV141" t="e">
        <f>AND(#REF!,"AAAAAH/955c=")</f>
        <v>#REF!</v>
      </c>
      <c r="EW141" t="e">
        <f>AND(#REF!,"AAAAAH/955g=")</f>
        <v>#REF!</v>
      </c>
      <c r="EX141" t="e">
        <f>AND(#REF!,"AAAAAH/955k=")</f>
        <v>#REF!</v>
      </c>
      <c r="EY141" t="e">
        <f>AND(#REF!,"AAAAAH/955o=")</f>
        <v>#REF!</v>
      </c>
      <c r="EZ141" t="e">
        <f>AND(#REF!,"AAAAAH/955s=")</f>
        <v>#REF!</v>
      </c>
      <c r="FA141" t="e">
        <f>AND(#REF!,"AAAAAH/955w=")</f>
        <v>#REF!</v>
      </c>
      <c r="FB141" t="e">
        <f>IF(#REF!,"AAAAAH/9550=",0)</f>
        <v>#REF!</v>
      </c>
      <c r="FC141" t="e">
        <f>AND(#REF!,"AAAAAH/9554=")</f>
        <v>#REF!</v>
      </c>
      <c r="FD141" t="e">
        <f>AND(#REF!,"AAAAAH/9558=")</f>
        <v>#REF!</v>
      </c>
      <c r="FE141" t="e">
        <f>AND(#REF!,"AAAAAH/956A=")</f>
        <v>#REF!</v>
      </c>
      <c r="FF141" t="e">
        <f>AND(#REF!,"AAAAAH/956E=")</f>
        <v>#REF!</v>
      </c>
      <c r="FG141" t="e">
        <f>AND(#REF!,"AAAAAH/956I=")</f>
        <v>#REF!</v>
      </c>
      <c r="FH141" t="e">
        <f>AND(#REF!,"AAAAAH/956M=")</f>
        <v>#REF!</v>
      </c>
      <c r="FI141" t="e">
        <f>AND(#REF!,"AAAAAH/956Q=")</f>
        <v>#REF!</v>
      </c>
      <c r="FJ141" t="e">
        <f>AND(#REF!,"AAAAAH/956U=")</f>
        <v>#REF!</v>
      </c>
      <c r="FK141" t="e">
        <f>AND(#REF!,"AAAAAH/956Y=")</f>
        <v>#REF!</v>
      </c>
      <c r="FL141" t="e">
        <f>AND(#REF!,"AAAAAH/956c=")</f>
        <v>#REF!</v>
      </c>
      <c r="FM141" t="e">
        <f>IF(#REF!,"AAAAAH/956g=",0)</f>
        <v>#REF!</v>
      </c>
      <c r="FN141" t="e">
        <f>AND(#REF!,"AAAAAH/956k=")</f>
        <v>#REF!</v>
      </c>
      <c r="FO141" t="e">
        <f>AND(#REF!,"AAAAAH/956o=")</f>
        <v>#REF!</v>
      </c>
      <c r="FP141" t="e">
        <f>AND(#REF!,"AAAAAH/956s=")</f>
        <v>#REF!</v>
      </c>
      <c r="FQ141" t="e">
        <f>AND(#REF!,"AAAAAH/956w=")</f>
        <v>#REF!</v>
      </c>
      <c r="FR141" t="e">
        <f>AND(#REF!,"AAAAAH/9560=")</f>
        <v>#REF!</v>
      </c>
      <c r="FS141" t="e">
        <f>AND(#REF!,"AAAAAH/9564=")</f>
        <v>#REF!</v>
      </c>
      <c r="FT141" t="e">
        <f>AND(#REF!,"AAAAAH/9568=")</f>
        <v>#REF!</v>
      </c>
      <c r="FU141" t="e">
        <f>AND(#REF!,"AAAAAH/957A=")</f>
        <v>#REF!</v>
      </c>
      <c r="FV141" t="e">
        <f>AND(#REF!,"AAAAAH/957E=")</f>
        <v>#REF!</v>
      </c>
      <c r="FW141" t="e">
        <f>AND(#REF!,"AAAAAH/957I=")</f>
        <v>#REF!</v>
      </c>
      <c r="FX141" t="e">
        <f>IF(#REF!,"AAAAAH/957M=",0)</f>
        <v>#REF!</v>
      </c>
      <c r="FY141" t="e">
        <f>AND(#REF!,"AAAAAH/957Q=")</f>
        <v>#REF!</v>
      </c>
      <c r="FZ141" t="e">
        <f>AND(#REF!,"AAAAAH/957U=")</f>
        <v>#REF!</v>
      </c>
      <c r="GA141" t="e">
        <f>AND(#REF!,"AAAAAH/957Y=")</f>
        <v>#REF!</v>
      </c>
      <c r="GB141" t="e">
        <f>AND(#REF!,"AAAAAH/957c=")</f>
        <v>#REF!</v>
      </c>
      <c r="GC141" t="e">
        <f>AND(#REF!,"AAAAAH/957g=")</f>
        <v>#REF!</v>
      </c>
      <c r="GD141" t="e">
        <f>AND(#REF!,"AAAAAH/957k=")</f>
        <v>#REF!</v>
      </c>
      <c r="GE141" t="e">
        <f>AND(#REF!,"AAAAAH/957o=")</f>
        <v>#REF!</v>
      </c>
      <c r="GF141" t="e">
        <f>AND(#REF!,"AAAAAH/957s=")</f>
        <v>#REF!</v>
      </c>
      <c r="GG141" t="e">
        <f>AND(#REF!,"AAAAAH/957w=")</f>
        <v>#REF!</v>
      </c>
      <c r="GH141" t="e">
        <f>AND(#REF!,"AAAAAH/9570=")</f>
        <v>#REF!</v>
      </c>
      <c r="GI141" t="e">
        <f>IF(#REF!,"AAAAAH/9574=",0)</f>
        <v>#REF!</v>
      </c>
      <c r="GJ141" t="e">
        <f>AND(#REF!,"AAAAAH/9578=")</f>
        <v>#REF!</v>
      </c>
      <c r="GK141" t="e">
        <f>AND(#REF!,"AAAAAH/958A=")</f>
        <v>#REF!</v>
      </c>
      <c r="GL141" t="e">
        <f>AND(#REF!,"AAAAAH/958E=")</f>
        <v>#REF!</v>
      </c>
      <c r="GM141" t="e">
        <f>AND(#REF!,"AAAAAH/958I=")</f>
        <v>#REF!</v>
      </c>
      <c r="GN141" t="e">
        <f>AND(#REF!,"AAAAAH/958M=")</f>
        <v>#REF!</v>
      </c>
      <c r="GO141" t="e">
        <f>AND(#REF!,"AAAAAH/958Q=")</f>
        <v>#REF!</v>
      </c>
      <c r="GP141" t="e">
        <f>AND(#REF!,"AAAAAH/958U=")</f>
        <v>#REF!</v>
      </c>
      <c r="GQ141" t="e">
        <f>AND(#REF!,"AAAAAH/958Y=")</f>
        <v>#REF!</v>
      </c>
      <c r="GR141" t="e">
        <f>AND(#REF!,"AAAAAH/958c=")</f>
        <v>#REF!</v>
      </c>
      <c r="GS141" t="e">
        <f>AND(#REF!,"AAAAAH/958g=")</f>
        <v>#REF!</v>
      </c>
      <c r="GT141" t="e">
        <f>IF(#REF!,"AAAAAH/958k=",0)</f>
        <v>#REF!</v>
      </c>
      <c r="GU141" t="e">
        <f>AND(#REF!,"AAAAAH/958o=")</f>
        <v>#REF!</v>
      </c>
      <c r="GV141" t="e">
        <f>AND(#REF!,"AAAAAH/958s=")</f>
        <v>#REF!</v>
      </c>
      <c r="GW141" t="e">
        <f>AND(#REF!,"AAAAAH/958w=")</f>
        <v>#REF!</v>
      </c>
      <c r="GX141" t="e">
        <f>AND(#REF!,"AAAAAH/9580=")</f>
        <v>#REF!</v>
      </c>
      <c r="GY141" t="e">
        <f>AND(#REF!,"AAAAAH/9584=")</f>
        <v>#REF!</v>
      </c>
      <c r="GZ141" t="e">
        <f>AND(#REF!,"AAAAAH/9588=")</f>
        <v>#REF!</v>
      </c>
      <c r="HA141" t="e">
        <f>AND(#REF!,"AAAAAH/959A=")</f>
        <v>#REF!</v>
      </c>
      <c r="HB141" t="e">
        <f>AND(#REF!,"AAAAAH/959E=")</f>
        <v>#REF!</v>
      </c>
      <c r="HC141" t="e">
        <f>AND(#REF!,"AAAAAH/959I=")</f>
        <v>#REF!</v>
      </c>
      <c r="HD141" t="e">
        <f>AND(#REF!,"AAAAAH/959M=")</f>
        <v>#REF!</v>
      </c>
      <c r="HE141" t="e">
        <f>IF(#REF!,"AAAAAH/959Q=",0)</f>
        <v>#REF!</v>
      </c>
      <c r="HF141" t="e">
        <f>AND(#REF!,"AAAAAH/959U=")</f>
        <v>#REF!</v>
      </c>
      <c r="HG141" t="e">
        <f>AND(#REF!,"AAAAAH/959Y=")</f>
        <v>#REF!</v>
      </c>
      <c r="HH141" t="e">
        <f>AND(#REF!,"AAAAAH/959c=")</f>
        <v>#REF!</v>
      </c>
      <c r="HI141" t="e">
        <f>AND(#REF!,"AAAAAH/959g=")</f>
        <v>#REF!</v>
      </c>
      <c r="HJ141" t="e">
        <f>AND(#REF!,"AAAAAH/959k=")</f>
        <v>#REF!</v>
      </c>
      <c r="HK141" t="e">
        <f>AND(#REF!,"AAAAAH/959o=")</f>
        <v>#REF!</v>
      </c>
      <c r="HL141" t="e">
        <f>AND(#REF!,"AAAAAH/959s=")</f>
        <v>#REF!</v>
      </c>
      <c r="HM141" t="e">
        <f>AND(#REF!,"AAAAAH/959w=")</f>
        <v>#REF!</v>
      </c>
      <c r="HN141" t="e">
        <f>AND(#REF!,"AAAAAH/9590=")</f>
        <v>#REF!</v>
      </c>
      <c r="HO141" t="e">
        <f>AND(#REF!,"AAAAAH/9594=")</f>
        <v>#REF!</v>
      </c>
      <c r="HP141" t="e">
        <f>IF(#REF!,"AAAAAH/9598=",0)</f>
        <v>#REF!</v>
      </c>
      <c r="HQ141" t="e">
        <f>AND(#REF!,"AAAAAH/95+A=")</f>
        <v>#REF!</v>
      </c>
      <c r="HR141" t="e">
        <f>AND(#REF!,"AAAAAH/95+E=")</f>
        <v>#REF!</v>
      </c>
      <c r="HS141" t="e">
        <f>AND(#REF!,"AAAAAH/95+I=")</f>
        <v>#REF!</v>
      </c>
      <c r="HT141" t="e">
        <f>AND(#REF!,"AAAAAH/95+M=")</f>
        <v>#REF!</v>
      </c>
      <c r="HU141" t="e">
        <f>AND(#REF!,"AAAAAH/95+Q=")</f>
        <v>#REF!</v>
      </c>
      <c r="HV141" t="e">
        <f>AND(#REF!,"AAAAAH/95+U=")</f>
        <v>#REF!</v>
      </c>
      <c r="HW141" t="e">
        <f>AND(#REF!,"AAAAAH/95+Y=")</f>
        <v>#REF!</v>
      </c>
      <c r="HX141" t="e">
        <f>AND(#REF!,"AAAAAH/95+c=")</f>
        <v>#REF!</v>
      </c>
      <c r="HY141" t="e">
        <f>AND(#REF!,"AAAAAH/95+g=")</f>
        <v>#REF!</v>
      </c>
      <c r="HZ141" t="e">
        <f>AND(#REF!,"AAAAAH/95+k=")</f>
        <v>#REF!</v>
      </c>
      <c r="IA141" t="e">
        <f>IF(#REF!,"AAAAAH/95+o=",0)</f>
        <v>#REF!</v>
      </c>
      <c r="IB141" t="e">
        <f>AND(#REF!,"AAAAAH/95+s=")</f>
        <v>#REF!</v>
      </c>
      <c r="IC141" t="e">
        <f>AND(#REF!,"AAAAAH/95+w=")</f>
        <v>#REF!</v>
      </c>
      <c r="ID141" t="e">
        <f>AND(#REF!,"AAAAAH/95+0=")</f>
        <v>#REF!</v>
      </c>
      <c r="IE141" t="e">
        <f>AND(#REF!,"AAAAAH/95+4=")</f>
        <v>#REF!</v>
      </c>
      <c r="IF141" t="e">
        <f>AND(#REF!,"AAAAAH/95+8=")</f>
        <v>#REF!</v>
      </c>
      <c r="IG141" t="e">
        <f>AND(#REF!,"AAAAAH/95/A=")</f>
        <v>#REF!</v>
      </c>
      <c r="IH141" t="e">
        <f>AND(#REF!,"AAAAAH/95/E=")</f>
        <v>#REF!</v>
      </c>
      <c r="II141" t="e">
        <f>AND(#REF!,"AAAAAH/95/I=")</f>
        <v>#REF!</v>
      </c>
      <c r="IJ141" t="e">
        <f>AND(#REF!,"AAAAAH/95/M=")</f>
        <v>#REF!</v>
      </c>
      <c r="IK141" t="e">
        <f>AND(#REF!,"AAAAAH/95/Q=")</f>
        <v>#REF!</v>
      </c>
      <c r="IL141" t="e">
        <f>IF(#REF!,"AAAAAH/95/U=",0)</f>
        <v>#REF!</v>
      </c>
      <c r="IM141" t="e">
        <f>AND(#REF!,"AAAAAH/95/Y=")</f>
        <v>#REF!</v>
      </c>
      <c r="IN141" t="e">
        <f>AND(#REF!,"AAAAAH/95/c=")</f>
        <v>#REF!</v>
      </c>
      <c r="IO141" t="e">
        <f>AND(#REF!,"AAAAAH/95/g=")</f>
        <v>#REF!</v>
      </c>
      <c r="IP141" t="e">
        <f>AND(#REF!,"AAAAAH/95/k=")</f>
        <v>#REF!</v>
      </c>
      <c r="IQ141" t="e">
        <f>AND(#REF!,"AAAAAH/95/o=")</f>
        <v>#REF!</v>
      </c>
      <c r="IR141" t="e">
        <f>AND(#REF!,"AAAAAH/95/s=")</f>
        <v>#REF!</v>
      </c>
      <c r="IS141" t="e">
        <f>AND(#REF!,"AAAAAH/95/w=")</f>
        <v>#REF!</v>
      </c>
      <c r="IT141" t="e">
        <f>AND(#REF!,"AAAAAH/95/0=")</f>
        <v>#REF!</v>
      </c>
      <c r="IU141" t="e">
        <f>AND(#REF!,"AAAAAH/95/4=")</f>
        <v>#REF!</v>
      </c>
      <c r="IV141" t="e">
        <f>AND(#REF!,"AAAAAH/95/8=")</f>
        <v>#REF!</v>
      </c>
    </row>
    <row r="142" spans="1:256" x14ac:dyDescent="0.25">
      <c r="A142" t="e">
        <f>IF(#REF!,"AAAAAB/rVwA=",0)</f>
        <v>#REF!</v>
      </c>
      <c r="B142" t="e">
        <f>AND(#REF!,"AAAAAB/rVwE=")</f>
        <v>#REF!</v>
      </c>
      <c r="C142" t="e">
        <f>AND(#REF!,"AAAAAB/rVwI=")</f>
        <v>#REF!</v>
      </c>
      <c r="D142" t="e">
        <f>AND(#REF!,"AAAAAB/rVwM=")</f>
        <v>#REF!</v>
      </c>
      <c r="E142" t="e">
        <f>AND(#REF!,"AAAAAB/rVwQ=")</f>
        <v>#REF!</v>
      </c>
      <c r="F142" t="e">
        <f>AND(#REF!,"AAAAAB/rVwU=")</f>
        <v>#REF!</v>
      </c>
      <c r="G142" t="e">
        <f>AND(#REF!,"AAAAAB/rVwY=")</f>
        <v>#REF!</v>
      </c>
      <c r="H142" t="e">
        <f>AND(#REF!,"AAAAAB/rVwc=")</f>
        <v>#REF!</v>
      </c>
      <c r="I142" t="e">
        <f>AND(#REF!,"AAAAAB/rVwg=")</f>
        <v>#REF!</v>
      </c>
      <c r="J142" t="e">
        <f>AND(#REF!,"AAAAAB/rVwk=")</f>
        <v>#REF!</v>
      </c>
      <c r="K142" t="e">
        <f>AND(#REF!,"AAAAAB/rVwo=")</f>
        <v>#REF!</v>
      </c>
      <c r="L142" t="e">
        <f>IF(#REF!,"AAAAAB/rVws=",0)</f>
        <v>#REF!</v>
      </c>
      <c r="M142" t="e">
        <f>AND(#REF!,"AAAAAB/rVww=")</f>
        <v>#REF!</v>
      </c>
      <c r="N142" t="e">
        <f>AND(#REF!,"AAAAAB/rVw0=")</f>
        <v>#REF!</v>
      </c>
      <c r="O142" t="e">
        <f>AND(#REF!,"AAAAAB/rVw4=")</f>
        <v>#REF!</v>
      </c>
      <c r="P142" t="e">
        <f>AND(#REF!,"AAAAAB/rVw8=")</f>
        <v>#REF!</v>
      </c>
      <c r="Q142" t="e">
        <f>AND(#REF!,"AAAAAB/rVxA=")</f>
        <v>#REF!</v>
      </c>
      <c r="R142" t="e">
        <f>AND(#REF!,"AAAAAB/rVxE=")</f>
        <v>#REF!</v>
      </c>
      <c r="S142" t="e">
        <f>AND(#REF!,"AAAAAB/rVxI=")</f>
        <v>#REF!</v>
      </c>
      <c r="T142" t="e">
        <f>AND(#REF!,"AAAAAB/rVxM=")</f>
        <v>#REF!</v>
      </c>
      <c r="U142" t="e">
        <f>AND(#REF!,"AAAAAB/rVxQ=")</f>
        <v>#REF!</v>
      </c>
      <c r="V142" t="e">
        <f>AND(#REF!,"AAAAAB/rVxU=")</f>
        <v>#REF!</v>
      </c>
      <c r="W142" t="e">
        <f>IF(#REF!,"AAAAAB/rVxY=",0)</f>
        <v>#REF!</v>
      </c>
      <c r="X142" t="e">
        <f>AND(#REF!,"AAAAAB/rVxc=")</f>
        <v>#REF!</v>
      </c>
      <c r="Y142" t="e">
        <f>AND(#REF!,"AAAAAB/rVxg=")</f>
        <v>#REF!</v>
      </c>
      <c r="Z142" t="e">
        <f>AND(#REF!,"AAAAAB/rVxk=")</f>
        <v>#REF!</v>
      </c>
      <c r="AA142" t="e">
        <f>AND(#REF!,"AAAAAB/rVxo=")</f>
        <v>#REF!</v>
      </c>
      <c r="AB142" t="e">
        <f>AND(#REF!,"AAAAAB/rVxs=")</f>
        <v>#REF!</v>
      </c>
      <c r="AC142" t="e">
        <f>AND(#REF!,"AAAAAB/rVxw=")</f>
        <v>#REF!</v>
      </c>
      <c r="AD142" t="e">
        <f>AND(#REF!,"AAAAAB/rVx0=")</f>
        <v>#REF!</v>
      </c>
      <c r="AE142" t="e">
        <f>AND(#REF!,"AAAAAB/rVx4=")</f>
        <v>#REF!</v>
      </c>
      <c r="AF142" t="e">
        <f>AND(#REF!,"AAAAAB/rVx8=")</f>
        <v>#REF!</v>
      </c>
      <c r="AG142" t="e">
        <f>AND(#REF!,"AAAAAB/rVyA=")</f>
        <v>#REF!</v>
      </c>
      <c r="AH142" t="e">
        <f>IF(#REF!,"AAAAAB/rVyE=",0)</f>
        <v>#REF!</v>
      </c>
      <c r="AI142" t="e">
        <f>AND(#REF!,"AAAAAB/rVyI=")</f>
        <v>#REF!</v>
      </c>
      <c r="AJ142" t="e">
        <f>AND(#REF!,"AAAAAB/rVyM=")</f>
        <v>#REF!</v>
      </c>
      <c r="AK142" t="e">
        <f>AND(#REF!,"AAAAAB/rVyQ=")</f>
        <v>#REF!</v>
      </c>
      <c r="AL142" t="e">
        <f>AND(#REF!,"AAAAAB/rVyU=")</f>
        <v>#REF!</v>
      </c>
      <c r="AM142" t="e">
        <f>AND(#REF!,"AAAAAB/rVyY=")</f>
        <v>#REF!</v>
      </c>
      <c r="AN142" t="e">
        <f>AND(#REF!,"AAAAAB/rVyc=")</f>
        <v>#REF!</v>
      </c>
      <c r="AO142" t="e">
        <f>AND(#REF!,"AAAAAB/rVyg=")</f>
        <v>#REF!</v>
      </c>
      <c r="AP142" t="e">
        <f>AND(#REF!,"AAAAAB/rVyk=")</f>
        <v>#REF!</v>
      </c>
      <c r="AQ142" t="e">
        <f>AND(#REF!,"AAAAAB/rVyo=")</f>
        <v>#REF!</v>
      </c>
      <c r="AR142" t="e">
        <f>AND(#REF!,"AAAAAB/rVys=")</f>
        <v>#REF!</v>
      </c>
      <c r="AS142" t="e">
        <f>IF(#REF!,"AAAAAB/rVyw=",0)</f>
        <v>#REF!</v>
      </c>
      <c r="AT142" t="e">
        <f>AND(#REF!,"AAAAAB/rVy0=")</f>
        <v>#REF!</v>
      </c>
      <c r="AU142" t="e">
        <f>AND(#REF!,"AAAAAB/rVy4=")</f>
        <v>#REF!</v>
      </c>
      <c r="AV142" t="e">
        <f>AND(#REF!,"AAAAAB/rVy8=")</f>
        <v>#REF!</v>
      </c>
      <c r="AW142" t="e">
        <f>AND(#REF!,"AAAAAB/rVzA=")</f>
        <v>#REF!</v>
      </c>
      <c r="AX142" t="e">
        <f>AND(#REF!,"AAAAAB/rVzE=")</f>
        <v>#REF!</v>
      </c>
      <c r="AY142" t="e">
        <f>AND(#REF!,"AAAAAB/rVzI=")</f>
        <v>#REF!</v>
      </c>
      <c r="AZ142" t="e">
        <f>AND(#REF!,"AAAAAB/rVzM=")</f>
        <v>#REF!</v>
      </c>
      <c r="BA142" t="e">
        <f>AND(#REF!,"AAAAAB/rVzQ=")</f>
        <v>#REF!</v>
      </c>
      <c r="BB142" t="e">
        <f>AND(#REF!,"AAAAAB/rVzU=")</f>
        <v>#REF!</v>
      </c>
      <c r="BC142" t="e">
        <f>AND(#REF!,"AAAAAB/rVzY=")</f>
        <v>#REF!</v>
      </c>
      <c r="BD142" t="e">
        <f>IF(#REF!,"AAAAAB/rVzc=",0)</f>
        <v>#REF!</v>
      </c>
      <c r="BE142" t="e">
        <f>AND(#REF!,"AAAAAB/rVzg=")</f>
        <v>#REF!</v>
      </c>
      <c r="BF142" t="e">
        <f>AND(#REF!,"AAAAAB/rVzk=")</f>
        <v>#REF!</v>
      </c>
      <c r="BG142" t="e">
        <f>AND(#REF!,"AAAAAB/rVzo=")</f>
        <v>#REF!</v>
      </c>
      <c r="BH142" t="e">
        <f>AND(#REF!,"AAAAAB/rVzs=")</f>
        <v>#REF!</v>
      </c>
      <c r="BI142" t="e">
        <f>AND(#REF!,"AAAAAB/rVzw=")</f>
        <v>#REF!</v>
      </c>
      <c r="BJ142" t="e">
        <f>AND(#REF!,"AAAAAB/rVz0=")</f>
        <v>#REF!</v>
      </c>
      <c r="BK142" t="e">
        <f>AND(#REF!,"AAAAAB/rVz4=")</f>
        <v>#REF!</v>
      </c>
      <c r="BL142" t="e">
        <f>AND(#REF!,"AAAAAB/rVz8=")</f>
        <v>#REF!</v>
      </c>
      <c r="BM142" t="e">
        <f>AND(#REF!,"AAAAAB/rV0A=")</f>
        <v>#REF!</v>
      </c>
      <c r="BN142" t="e">
        <f>AND(#REF!,"AAAAAB/rV0E=")</f>
        <v>#REF!</v>
      </c>
      <c r="BO142" t="e">
        <f>IF(#REF!,"AAAAAB/rV0I=",0)</f>
        <v>#REF!</v>
      </c>
      <c r="BP142" t="e">
        <f>AND(#REF!,"AAAAAB/rV0M=")</f>
        <v>#REF!</v>
      </c>
      <c r="BQ142" t="e">
        <f>AND(#REF!,"AAAAAB/rV0Q=")</f>
        <v>#REF!</v>
      </c>
      <c r="BR142" t="e">
        <f>AND(#REF!,"AAAAAB/rV0U=")</f>
        <v>#REF!</v>
      </c>
      <c r="BS142" t="e">
        <f>AND(#REF!,"AAAAAB/rV0Y=")</f>
        <v>#REF!</v>
      </c>
      <c r="BT142" t="e">
        <f>AND(#REF!,"AAAAAB/rV0c=")</f>
        <v>#REF!</v>
      </c>
      <c r="BU142" t="e">
        <f>AND(#REF!,"AAAAAB/rV0g=")</f>
        <v>#REF!</v>
      </c>
      <c r="BV142" t="e">
        <f>AND(#REF!,"AAAAAB/rV0k=")</f>
        <v>#REF!</v>
      </c>
      <c r="BW142" t="e">
        <f>AND(#REF!,"AAAAAB/rV0o=")</f>
        <v>#REF!</v>
      </c>
      <c r="BX142" t="e">
        <f>AND(#REF!,"AAAAAB/rV0s=")</f>
        <v>#REF!</v>
      </c>
      <c r="BY142" t="e">
        <f>AND(#REF!,"AAAAAB/rV0w=")</f>
        <v>#REF!</v>
      </c>
      <c r="BZ142" t="e">
        <f>IF(#REF!,"AAAAAB/rV00=",0)</f>
        <v>#REF!</v>
      </c>
      <c r="CA142" t="e">
        <f>AND(#REF!,"AAAAAB/rV04=")</f>
        <v>#REF!</v>
      </c>
      <c r="CB142" t="e">
        <f>AND(#REF!,"AAAAAB/rV08=")</f>
        <v>#REF!</v>
      </c>
      <c r="CC142" t="e">
        <f>AND(#REF!,"AAAAAB/rV1A=")</f>
        <v>#REF!</v>
      </c>
      <c r="CD142" t="e">
        <f>AND(#REF!,"AAAAAB/rV1E=")</f>
        <v>#REF!</v>
      </c>
      <c r="CE142" t="e">
        <f>AND(#REF!,"AAAAAB/rV1I=")</f>
        <v>#REF!</v>
      </c>
      <c r="CF142" t="e">
        <f>AND(#REF!,"AAAAAB/rV1M=")</f>
        <v>#REF!</v>
      </c>
      <c r="CG142" t="e">
        <f>AND(#REF!,"AAAAAB/rV1Q=")</f>
        <v>#REF!</v>
      </c>
      <c r="CH142" t="e">
        <f>AND(#REF!,"AAAAAB/rV1U=")</f>
        <v>#REF!</v>
      </c>
      <c r="CI142" t="e">
        <f>AND(#REF!,"AAAAAB/rV1Y=")</f>
        <v>#REF!</v>
      </c>
      <c r="CJ142" t="e">
        <f>AND(#REF!,"AAAAAB/rV1c=")</f>
        <v>#REF!</v>
      </c>
      <c r="CK142" t="e">
        <f>IF(#REF!,"AAAAAB/rV1g=",0)</f>
        <v>#REF!</v>
      </c>
      <c r="CL142" t="e">
        <f>AND(#REF!,"AAAAAB/rV1k=")</f>
        <v>#REF!</v>
      </c>
      <c r="CM142" t="e">
        <f>AND(#REF!,"AAAAAB/rV1o=")</f>
        <v>#REF!</v>
      </c>
      <c r="CN142" t="e">
        <f>AND(#REF!,"AAAAAB/rV1s=")</f>
        <v>#REF!</v>
      </c>
      <c r="CO142" t="e">
        <f>AND(#REF!,"AAAAAB/rV1w=")</f>
        <v>#REF!</v>
      </c>
      <c r="CP142" t="e">
        <f>AND(#REF!,"AAAAAB/rV10=")</f>
        <v>#REF!</v>
      </c>
      <c r="CQ142" t="e">
        <f>AND(#REF!,"AAAAAB/rV14=")</f>
        <v>#REF!</v>
      </c>
      <c r="CR142" t="e">
        <f>AND(#REF!,"AAAAAB/rV18=")</f>
        <v>#REF!</v>
      </c>
      <c r="CS142" t="e">
        <f>AND(#REF!,"AAAAAB/rV2A=")</f>
        <v>#REF!</v>
      </c>
      <c r="CT142" t="e">
        <f>AND(#REF!,"AAAAAB/rV2E=")</f>
        <v>#REF!</v>
      </c>
      <c r="CU142" t="e">
        <f>AND(#REF!,"AAAAAB/rV2I=")</f>
        <v>#REF!</v>
      </c>
      <c r="CV142" t="e">
        <f>IF(#REF!,"AAAAAB/rV2M=",0)</f>
        <v>#REF!</v>
      </c>
      <c r="CW142" t="e">
        <f>AND(#REF!,"AAAAAB/rV2Q=")</f>
        <v>#REF!</v>
      </c>
      <c r="CX142" t="e">
        <f>AND(#REF!,"AAAAAB/rV2U=")</f>
        <v>#REF!</v>
      </c>
      <c r="CY142" t="e">
        <f>AND(#REF!,"AAAAAB/rV2Y=")</f>
        <v>#REF!</v>
      </c>
      <c r="CZ142" t="e">
        <f>AND(#REF!,"AAAAAB/rV2c=")</f>
        <v>#REF!</v>
      </c>
      <c r="DA142" t="e">
        <f>AND(#REF!,"AAAAAB/rV2g=")</f>
        <v>#REF!</v>
      </c>
      <c r="DB142" t="e">
        <f>AND(#REF!,"AAAAAB/rV2k=")</f>
        <v>#REF!</v>
      </c>
      <c r="DC142" t="e">
        <f>AND(#REF!,"AAAAAB/rV2o=")</f>
        <v>#REF!</v>
      </c>
      <c r="DD142" t="e">
        <f>AND(#REF!,"AAAAAB/rV2s=")</f>
        <v>#REF!</v>
      </c>
      <c r="DE142" t="e">
        <f>AND(#REF!,"AAAAAB/rV2w=")</f>
        <v>#REF!</v>
      </c>
      <c r="DF142" t="e">
        <f>AND(#REF!,"AAAAAB/rV20=")</f>
        <v>#REF!</v>
      </c>
      <c r="DG142" t="e">
        <f>IF(#REF!,"AAAAAB/rV24=",0)</f>
        <v>#REF!</v>
      </c>
      <c r="DH142" t="e">
        <f>AND(#REF!,"AAAAAB/rV28=")</f>
        <v>#REF!</v>
      </c>
      <c r="DI142" t="e">
        <f>AND(#REF!,"AAAAAB/rV3A=")</f>
        <v>#REF!</v>
      </c>
      <c r="DJ142" t="e">
        <f>AND(#REF!,"AAAAAB/rV3E=")</f>
        <v>#REF!</v>
      </c>
      <c r="DK142" t="e">
        <f>AND(#REF!,"AAAAAB/rV3I=")</f>
        <v>#REF!</v>
      </c>
      <c r="DL142" t="e">
        <f>AND(#REF!,"AAAAAB/rV3M=")</f>
        <v>#REF!</v>
      </c>
      <c r="DM142" t="e">
        <f>AND(#REF!,"AAAAAB/rV3Q=")</f>
        <v>#REF!</v>
      </c>
      <c r="DN142" t="e">
        <f>AND(#REF!,"AAAAAB/rV3U=")</f>
        <v>#REF!</v>
      </c>
      <c r="DO142" t="e">
        <f>AND(#REF!,"AAAAAB/rV3Y=")</f>
        <v>#REF!</v>
      </c>
      <c r="DP142" t="e">
        <f>AND(#REF!,"AAAAAB/rV3c=")</f>
        <v>#REF!</v>
      </c>
      <c r="DQ142" t="e">
        <f>AND(#REF!,"AAAAAB/rV3g=")</f>
        <v>#REF!</v>
      </c>
      <c r="DR142" t="e">
        <f>IF(#REF!,"AAAAAB/rV3k=",0)</f>
        <v>#REF!</v>
      </c>
      <c r="DS142" t="e">
        <f>AND(#REF!,"AAAAAB/rV3o=")</f>
        <v>#REF!</v>
      </c>
      <c r="DT142" t="e">
        <f>AND(#REF!,"AAAAAB/rV3s=")</f>
        <v>#REF!</v>
      </c>
      <c r="DU142" t="e">
        <f>AND(#REF!,"AAAAAB/rV3w=")</f>
        <v>#REF!</v>
      </c>
      <c r="DV142" t="e">
        <f>AND(#REF!,"AAAAAB/rV30=")</f>
        <v>#REF!</v>
      </c>
      <c r="DW142" t="e">
        <f>AND(#REF!,"AAAAAB/rV34=")</f>
        <v>#REF!</v>
      </c>
      <c r="DX142" t="e">
        <f>AND(#REF!,"AAAAAB/rV38=")</f>
        <v>#REF!</v>
      </c>
      <c r="DY142" t="e">
        <f>AND(#REF!,"AAAAAB/rV4A=")</f>
        <v>#REF!</v>
      </c>
      <c r="DZ142" t="e">
        <f>AND(#REF!,"AAAAAB/rV4E=")</f>
        <v>#REF!</v>
      </c>
      <c r="EA142" t="e">
        <f>AND(#REF!,"AAAAAB/rV4I=")</f>
        <v>#REF!</v>
      </c>
      <c r="EB142" t="e">
        <f>AND(#REF!,"AAAAAB/rV4M=")</f>
        <v>#REF!</v>
      </c>
      <c r="EC142" t="e">
        <f>IF(#REF!,"AAAAAB/rV4Q=",0)</f>
        <v>#REF!</v>
      </c>
      <c r="ED142" t="e">
        <f>AND(#REF!,"AAAAAB/rV4U=")</f>
        <v>#REF!</v>
      </c>
      <c r="EE142" t="e">
        <f>AND(#REF!,"AAAAAB/rV4Y=")</f>
        <v>#REF!</v>
      </c>
      <c r="EF142" t="e">
        <f>AND(#REF!,"AAAAAB/rV4c=")</f>
        <v>#REF!</v>
      </c>
      <c r="EG142" t="e">
        <f>AND(#REF!,"AAAAAB/rV4g=")</f>
        <v>#REF!</v>
      </c>
      <c r="EH142" t="e">
        <f>AND(#REF!,"AAAAAB/rV4k=")</f>
        <v>#REF!</v>
      </c>
      <c r="EI142" t="e">
        <f>AND(#REF!,"AAAAAB/rV4o=")</f>
        <v>#REF!</v>
      </c>
      <c r="EJ142" t="e">
        <f>AND(#REF!,"AAAAAB/rV4s=")</f>
        <v>#REF!</v>
      </c>
      <c r="EK142" t="e">
        <f>AND(#REF!,"AAAAAB/rV4w=")</f>
        <v>#REF!</v>
      </c>
      <c r="EL142" t="e">
        <f>AND(#REF!,"AAAAAB/rV40=")</f>
        <v>#REF!</v>
      </c>
      <c r="EM142" t="e">
        <f>AND(#REF!,"AAAAAB/rV44=")</f>
        <v>#REF!</v>
      </c>
      <c r="EN142" t="e">
        <f>IF(#REF!,"AAAAAB/rV48=",0)</f>
        <v>#REF!</v>
      </c>
      <c r="EO142" t="e">
        <f>AND(#REF!,"AAAAAB/rV5A=")</f>
        <v>#REF!</v>
      </c>
      <c r="EP142" t="e">
        <f>AND(#REF!,"AAAAAB/rV5E=")</f>
        <v>#REF!</v>
      </c>
      <c r="EQ142" t="e">
        <f>AND(#REF!,"AAAAAB/rV5I=")</f>
        <v>#REF!</v>
      </c>
      <c r="ER142" t="e">
        <f>AND(#REF!,"AAAAAB/rV5M=")</f>
        <v>#REF!</v>
      </c>
      <c r="ES142" t="e">
        <f>AND(#REF!,"AAAAAB/rV5Q=")</f>
        <v>#REF!</v>
      </c>
      <c r="ET142" t="e">
        <f>AND(#REF!,"AAAAAB/rV5U=")</f>
        <v>#REF!</v>
      </c>
      <c r="EU142" t="e">
        <f>AND(#REF!,"AAAAAB/rV5Y=")</f>
        <v>#REF!</v>
      </c>
      <c r="EV142" t="e">
        <f>AND(#REF!,"AAAAAB/rV5c=")</f>
        <v>#REF!</v>
      </c>
      <c r="EW142" t="e">
        <f>AND(#REF!,"AAAAAB/rV5g=")</f>
        <v>#REF!</v>
      </c>
      <c r="EX142" t="e">
        <f>AND(#REF!,"AAAAAB/rV5k=")</f>
        <v>#REF!</v>
      </c>
      <c r="EY142" t="e">
        <f>IF(#REF!,"AAAAAB/rV5o=",0)</f>
        <v>#REF!</v>
      </c>
      <c r="EZ142" t="e">
        <f>AND(#REF!,"AAAAAB/rV5s=")</f>
        <v>#REF!</v>
      </c>
      <c r="FA142" t="e">
        <f>AND(#REF!,"AAAAAB/rV5w=")</f>
        <v>#REF!</v>
      </c>
      <c r="FB142" t="e">
        <f>AND(#REF!,"AAAAAB/rV50=")</f>
        <v>#REF!</v>
      </c>
      <c r="FC142" t="e">
        <f>AND(#REF!,"AAAAAB/rV54=")</f>
        <v>#REF!</v>
      </c>
      <c r="FD142" t="e">
        <f>AND(#REF!,"AAAAAB/rV58=")</f>
        <v>#REF!</v>
      </c>
      <c r="FE142" t="e">
        <f>AND(#REF!,"AAAAAB/rV6A=")</f>
        <v>#REF!</v>
      </c>
      <c r="FF142" t="e">
        <f>AND(#REF!,"AAAAAB/rV6E=")</f>
        <v>#REF!</v>
      </c>
      <c r="FG142" t="e">
        <f>AND(#REF!,"AAAAAB/rV6I=")</f>
        <v>#REF!</v>
      </c>
      <c r="FH142" t="e">
        <f>AND(#REF!,"AAAAAB/rV6M=")</f>
        <v>#REF!</v>
      </c>
      <c r="FI142" t="e">
        <f>AND(#REF!,"AAAAAB/rV6Q=")</f>
        <v>#REF!</v>
      </c>
      <c r="FJ142" t="e">
        <f>IF(#REF!,"AAAAAB/rV6U=",0)</f>
        <v>#REF!</v>
      </c>
      <c r="FK142" t="e">
        <f>AND(#REF!,"AAAAAB/rV6Y=")</f>
        <v>#REF!</v>
      </c>
      <c r="FL142" t="e">
        <f>AND(#REF!,"AAAAAB/rV6c=")</f>
        <v>#REF!</v>
      </c>
      <c r="FM142" t="e">
        <f>AND(#REF!,"AAAAAB/rV6g=")</f>
        <v>#REF!</v>
      </c>
      <c r="FN142" t="e">
        <f>AND(#REF!,"AAAAAB/rV6k=")</f>
        <v>#REF!</v>
      </c>
      <c r="FO142" t="e">
        <f>AND(#REF!,"AAAAAB/rV6o=")</f>
        <v>#REF!</v>
      </c>
      <c r="FP142" t="e">
        <f>AND(#REF!,"AAAAAB/rV6s=")</f>
        <v>#REF!</v>
      </c>
      <c r="FQ142" t="e">
        <f>AND(#REF!,"AAAAAB/rV6w=")</f>
        <v>#REF!</v>
      </c>
      <c r="FR142" t="e">
        <f>AND(#REF!,"AAAAAB/rV60=")</f>
        <v>#REF!</v>
      </c>
      <c r="FS142" t="e">
        <f>AND(#REF!,"AAAAAB/rV64=")</f>
        <v>#REF!</v>
      </c>
      <c r="FT142" t="e">
        <f>AND(#REF!,"AAAAAB/rV68=")</f>
        <v>#REF!</v>
      </c>
      <c r="FU142" t="e">
        <f>IF(#REF!,"AAAAAB/rV7A=",0)</f>
        <v>#REF!</v>
      </c>
      <c r="FV142" t="e">
        <f>AND(#REF!,"AAAAAB/rV7E=")</f>
        <v>#REF!</v>
      </c>
      <c r="FW142" t="e">
        <f>AND(#REF!,"AAAAAB/rV7I=")</f>
        <v>#REF!</v>
      </c>
      <c r="FX142" t="e">
        <f>AND(#REF!,"AAAAAB/rV7M=")</f>
        <v>#REF!</v>
      </c>
      <c r="FY142" t="e">
        <f>AND(#REF!,"AAAAAB/rV7Q=")</f>
        <v>#REF!</v>
      </c>
      <c r="FZ142" t="e">
        <f>AND(#REF!,"AAAAAB/rV7U=")</f>
        <v>#REF!</v>
      </c>
      <c r="GA142" t="e">
        <f>AND(#REF!,"AAAAAB/rV7Y=")</f>
        <v>#REF!</v>
      </c>
      <c r="GB142" t="e">
        <f>AND(#REF!,"AAAAAB/rV7c=")</f>
        <v>#REF!</v>
      </c>
      <c r="GC142" t="e">
        <f>AND(#REF!,"AAAAAB/rV7g=")</f>
        <v>#REF!</v>
      </c>
      <c r="GD142" t="e">
        <f>AND(#REF!,"AAAAAB/rV7k=")</f>
        <v>#REF!</v>
      </c>
      <c r="GE142" t="e">
        <f>AND(#REF!,"AAAAAB/rV7o=")</f>
        <v>#REF!</v>
      </c>
      <c r="GF142" t="e">
        <f>IF(#REF!,"AAAAAB/rV7s=",0)</f>
        <v>#REF!</v>
      </c>
      <c r="GG142" t="e">
        <f>AND(#REF!,"AAAAAB/rV7w=")</f>
        <v>#REF!</v>
      </c>
      <c r="GH142" t="e">
        <f>AND(#REF!,"AAAAAB/rV70=")</f>
        <v>#REF!</v>
      </c>
      <c r="GI142" t="e">
        <f>AND(#REF!,"AAAAAB/rV74=")</f>
        <v>#REF!</v>
      </c>
      <c r="GJ142" t="e">
        <f>AND(#REF!,"AAAAAB/rV78=")</f>
        <v>#REF!</v>
      </c>
      <c r="GK142" t="e">
        <f>AND(#REF!,"AAAAAB/rV8A=")</f>
        <v>#REF!</v>
      </c>
      <c r="GL142" t="e">
        <f>AND(#REF!,"AAAAAB/rV8E=")</f>
        <v>#REF!</v>
      </c>
      <c r="GM142" t="e">
        <f>AND(#REF!,"AAAAAB/rV8I=")</f>
        <v>#REF!</v>
      </c>
      <c r="GN142" t="e">
        <f>AND(#REF!,"AAAAAB/rV8M=")</f>
        <v>#REF!</v>
      </c>
      <c r="GO142" t="e">
        <f>AND(#REF!,"AAAAAB/rV8Q=")</f>
        <v>#REF!</v>
      </c>
      <c r="GP142" t="e">
        <f>AND(#REF!,"AAAAAB/rV8U=")</f>
        <v>#REF!</v>
      </c>
      <c r="GQ142" t="e">
        <f>IF(#REF!,"AAAAAB/rV8Y=",0)</f>
        <v>#REF!</v>
      </c>
      <c r="GR142" t="e">
        <f>AND(#REF!,"AAAAAB/rV8c=")</f>
        <v>#REF!</v>
      </c>
      <c r="GS142" t="e">
        <f>AND(#REF!,"AAAAAB/rV8g=")</f>
        <v>#REF!</v>
      </c>
      <c r="GT142" t="e">
        <f>AND(#REF!,"AAAAAB/rV8k=")</f>
        <v>#REF!</v>
      </c>
      <c r="GU142" t="e">
        <f>AND(#REF!,"AAAAAB/rV8o=")</f>
        <v>#REF!</v>
      </c>
      <c r="GV142" t="e">
        <f>AND(#REF!,"AAAAAB/rV8s=")</f>
        <v>#REF!</v>
      </c>
      <c r="GW142" t="e">
        <f>AND(#REF!,"AAAAAB/rV8w=")</f>
        <v>#REF!</v>
      </c>
      <c r="GX142" t="e">
        <f>AND(#REF!,"AAAAAB/rV80=")</f>
        <v>#REF!</v>
      </c>
      <c r="GY142" t="e">
        <f>AND(#REF!,"AAAAAB/rV84=")</f>
        <v>#REF!</v>
      </c>
      <c r="GZ142" t="e">
        <f>AND(#REF!,"AAAAAB/rV88=")</f>
        <v>#REF!</v>
      </c>
      <c r="HA142" t="e">
        <f>AND(#REF!,"AAAAAB/rV9A=")</f>
        <v>#REF!</v>
      </c>
      <c r="HB142" t="e">
        <f>IF(#REF!,"AAAAAB/rV9E=",0)</f>
        <v>#REF!</v>
      </c>
      <c r="HC142" t="e">
        <f>AND(#REF!,"AAAAAB/rV9I=")</f>
        <v>#REF!</v>
      </c>
      <c r="HD142" t="e">
        <f>AND(#REF!,"AAAAAB/rV9M=")</f>
        <v>#REF!</v>
      </c>
      <c r="HE142" t="e">
        <f>AND(#REF!,"AAAAAB/rV9Q=")</f>
        <v>#REF!</v>
      </c>
      <c r="HF142" t="e">
        <f>AND(#REF!,"AAAAAB/rV9U=")</f>
        <v>#REF!</v>
      </c>
      <c r="HG142" t="e">
        <f>AND(#REF!,"AAAAAB/rV9Y=")</f>
        <v>#REF!</v>
      </c>
      <c r="HH142" t="e">
        <f>AND(#REF!,"AAAAAB/rV9c=")</f>
        <v>#REF!</v>
      </c>
      <c r="HI142" t="e">
        <f>AND(#REF!,"AAAAAB/rV9g=")</f>
        <v>#REF!</v>
      </c>
      <c r="HJ142" t="e">
        <f>AND(#REF!,"AAAAAB/rV9k=")</f>
        <v>#REF!</v>
      </c>
      <c r="HK142" t="e">
        <f>AND(#REF!,"AAAAAB/rV9o=")</f>
        <v>#REF!</v>
      </c>
      <c r="HL142" t="e">
        <f>AND(#REF!,"AAAAAB/rV9s=")</f>
        <v>#REF!</v>
      </c>
      <c r="HM142" t="e">
        <f>IF(#REF!,"AAAAAB/rV9w=",0)</f>
        <v>#REF!</v>
      </c>
      <c r="HN142" t="e">
        <f>AND(#REF!,"AAAAAB/rV90=")</f>
        <v>#REF!</v>
      </c>
      <c r="HO142" t="e">
        <f>AND(#REF!,"AAAAAB/rV94=")</f>
        <v>#REF!</v>
      </c>
      <c r="HP142" t="e">
        <f>AND(#REF!,"AAAAAB/rV98=")</f>
        <v>#REF!</v>
      </c>
      <c r="HQ142" t="e">
        <f>AND(#REF!,"AAAAAB/rV+A=")</f>
        <v>#REF!</v>
      </c>
      <c r="HR142" t="e">
        <f>AND(#REF!,"AAAAAB/rV+E=")</f>
        <v>#REF!</v>
      </c>
      <c r="HS142" t="e">
        <f>AND(#REF!,"AAAAAB/rV+I=")</f>
        <v>#REF!</v>
      </c>
      <c r="HT142" t="e">
        <f>AND(#REF!,"AAAAAB/rV+M=")</f>
        <v>#REF!</v>
      </c>
      <c r="HU142" t="e">
        <f>AND(#REF!,"AAAAAB/rV+Q=")</f>
        <v>#REF!</v>
      </c>
      <c r="HV142" t="e">
        <f>AND(#REF!,"AAAAAB/rV+U=")</f>
        <v>#REF!</v>
      </c>
      <c r="HW142" t="e">
        <f>AND(#REF!,"AAAAAB/rV+Y=")</f>
        <v>#REF!</v>
      </c>
      <c r="HX142" t="e">
        <f>IF(#REF!,"AAAAAB/rV+c=",0)</f>
        <v>#REF!</v>
      </c>
      <c r="HY142" t="e">
        <f>AND(#REF!,"AAAAAB/rV+g=")</f>
        <v>#REF!</v>
      </c>
      <c r="HZ142" t="e">
        <f>AND(#REF!,"AAAAAB/rV+k=")</f>
        <v>#REF!</v>
      </c>
      <c r="IA142" t="e">
        <f>AND(#REF!,"AAAAAB/rV+o=")</f>
        <v>#REF!</v>
      </c>
      <c r="IB142" t="e">
        <f>AND(#REF!,"AAAAAB/rV+s=")</f>
        <v>#REF!</v>
      </c>
      <c r="IC142" t="e">
        <f>AND(#REF!,"AAAAAB/rV+w=")</f>
        <v>#REF!</v>
      </c>
      <c r="ID142" t="e">
        <f>AND(#REF!,"AAAAAB/rV+0=")</f>
        <v>#REF!</v>
      </c>
      <c r="IE142" t="e">
        <f>AND(#REF!,"AAAAAB/rV+4=")</f>
        <v>#REF!</v>
      </c>
      <c r="IF142" t="e">
        <f>AND(#REF!,"AAAAAB/rV+8=")</f>
        <v>#REF!</v>
      </c>
      <c r="IG142" t="e">
        <f>AND(#REF!,"AAAAAB/rV/A=")</f>
        <v>#REF!</v>
      </c>
      <c r="IH142" t="e">
        <f>AND(#REF!,"AAAAAB/rV/E=")</f>
        <v>#REF!</v>
      </c>
      <c r="II142" t="e">
        <f>IF(#REF!,"AAAAAB/rV/I=",0)</f>
        <v>#REF!</v>
      </c>
      <c r="IJ142" t="e">
        <f>AND(#REF!,"AAAAAB/rV/M=")</f>
        <v>#REF!</v>
      </c>
      <c r="IK142" t="e">
        <f>AND(#REF!,"AAAAAB/rV/Q=")</f>
        <v>#REF!</v>
      </c>
      <c r="IL142" t="e">
        <f>AND(#REF!,"AAAAAB/rV/U=")</f>
        <v>#REF!</v>
      </c>
      <c r="IM142" t="e">
        <f>AND(#REF!,"AAAAAB/rV/Y=")</f>
        <v>#REF!</v>
      </c>
      <c r="IN142" t="e">
        <f>AND(#REF!,"AAAAAB/rV/c=")</f>
        <v>#REF!</v>
      </c>
      <c r="IO142" t="e">
        <f>AND(#REF!,"AAAAAB/rV/g=")</f>
        <v>#REF!</v>
      </c>
      <c r="IP142" t="e">
        <f>AND(#REF!,"AAAAAB/rV/k=")</f>
        <v>#REF!</v>
      </c>
      <c r="IQ142" t="e">
        <f>AND(#REF!,"AAAAAB/rV/o=")</f>
        <v>#REF!</v>
      </c>
      <c r="IR142" t="e">
        <f>AND(#REF!,"AAAAAB/rV/s=")</f>
        <v>#REF!</v>
      </c>
      <c r="IS142" t="e">
        <f>AND(#REF!,"AAAAAB/rV/w=")</f>
        <v>#REF!</v>
      </c>
      <c r="IT142" t="e">
        <f>IF(#REF!,"AAAAAB/rV/0=",0)</f>
        <v>#REF!</v>
      </c>
      <c r="IU142" t="e">
        <f>AND(#REF!,"AAAAAB/rV/4=")</f>
        <v>#REF!</v>
      </c>
      <c r="IV142" t="e">
        <f>AND(#REF!,"AAAAAB/rV/8=")</f>
        <v>#REF!</v>
      </c>
    </row>
    <row r="143" spans="1:256" x14ac:dyDescent="0.25">
      <c r="A143" t="e">
        <f>AND(#REF!,"AAAAAH+PYwA=")</f>
        <v>#REF!</v>
      </c>
      <c r="B143" t="e">
        <f>AND(#REF!,"AAAAAH+PYwE=")</f>
        <v>#REF!</v>
      </c>
      <c r="C143" t="e">
        <f>AND(#REF!,"AAAAAH+PYwI=")</f>
        <v>#REF!</v>
      </c>
      <c r="D143" t="e">
        <f>AND(#REF!,"AAAAAH+PYwM=")</f>
        <v>#REF!</v>
      </c>
      <c r="E143" t="e">
        <f>AND(#REF!,"AAAAAH+PYwQ=")</f>
        <v>#REF!</v>
      </c>
      <c r="F143" t="e">
        <f>AND(#REF!,"AAAAAH+PYwU=")</f>
        <v>#REF!</v>
      </c>
      <c r="G143" t="e">
        <f>AND(#REF!,"AAAAAH+PYwY=")</f>
        <v>#REF!</v>
      </c>
      <c r="H143" t="e">
        <f>AND(#REF!,"AAAAAH+PYwc=")</f>
        <v>#REF!</v>
      </c>
      <c r="I143" t="e">
        <f>IF(#REF!,"AAAAAH+PYwg=",0)</f>
        <v>#REF!</v>
      </c>
      <c r="J143" t="e">
        <f>AND(#REF!,"AAAAAH+PYwk=")</f>
        <v>#REF!</v>
      </c>
      <c r="K143" t="e">
        <f>AND(#REF!,"AAAAAH+PYwo=")</f>
        <v>#REF!</v>
      </c>
      <c r="L143" t="e">
        <f>AND(#REF!,"AAAAAH+PYws=")</f>
        <v>#REF!</v>
      </c>
      <c r="M143" t="e">
        <f>AND(#REF!,"AAAAAH+PYww=")</f>
        <v>#REF!</v>
      </c>
      <c r="N143" t="e">
        <f>AND(#REF!,"AAAAAH+PYw0=")</f>
        <v>#REF!</v>
      </c>
      <c r="O143" t="e">
        <f>AND(#REF!,"AAAAAH+PYw4=")</f>
        <v>#REF!</v>
      </c>
      <c r="P143" t="e">
        <f>AND(#REF!,"AAAAAH+PYw8=")</f>
        <v>#REF!</v>
      </c>
      <c r="Q143" t="e">
        <f>AND(#REF!,"AAAAAH+PYxA=")</f>
        <v>#REF!</v>
      </c>
      <c r="R143" t="e">
        <f>AND(#REF!,"AAAAAH+PYxE=")</f>
        <v>#REF!</v>
      </c>
      <c r="S143" t="e">
        <f>AND(#REF!,"AAAAAH+PYxI=")</f>
        <v>#REF!</v>
      </c>
      <c r="T143" t="e">
        <f>IF(#REF!,"AAAAAH+PYxM=",0)</f>
        <v>#REF!</v>
      </c>
      <c r="U143" t="e">
        <f>AND(#REF!,"AAAAAH+PYxQ=")</f>
        <v>#REF!</v>
      </c>
      <c r="V143" t="e">
        <f>AND(#REF!,"AAAAAH+PYxU=")</f>
        <v>#REF!</v>
      </c>
      <c r="W143" t="e">
        <f>AND(#REF!,"AAAAAH+PYxY=")</f>
        <v>#REF!</v>
      </c>
      <c r="X143" t="e">
        <f>AND(#REF!,"AAAAAH+PYxc=")</f>
        <v>#REF!</v>
      </c>
      <c r="Y143" t="e">
        <f>AND(#REF!,"AAAAAH+PYxg=")</f>
        <v>#REF!</v>
      </c>
      <c r="Z143" t="e">
        <f>AND(#REF!,"AAAAAH+PYxk=")</f>
        <v>#REF!</v>
      </c>
      <c r="AA143" t="e">
        <f>AND(#REF!,"AAAAAH+PYxo=")</f>
        <v>#REF!</v>
      </c>
      <c r="AB143" t="e">
        <f>AND(#REF!,"AAAAAH+PYxs=")</f>
        <v>#REF!</v>
      </c>
      <c r="AC143" t="e">
        <f>AND(#REF!,"AAAAAH+PYxw=")</f>
        <v>#REF!</v>
      </c>
      <c r="AD143" t="e">
        <f>AND(#REF!,"AAAAAH+PYx0=")</f>
        <v>#REF!</v>
      </c>
      <c r="AE143" t="e">
        <f>IF(#REF!,"AAAAAH+PYx4=",0)</f>
        <v>#REF!</v>
      </c>
      <c r="AF143" t="e">
        <f>AND(#REF!,"AAAAAH+PYx8=")</f>
        <v>#REF!</v>
      </c>
      <c r="AG143" t="e">
        <f>AND(#REF!,"AAAAAH+PYyA=")</f>
        <v>#REF!</v>
      </c>
      <c r="AH143" t="e">
        <f>AND(#REF!,"AAAAAH+PYyE=")</f>
        <v>#REF!</v>
      </c>
      <c r="AI143" t="e">
        <f>AND(#REF!,"AAAAAH+PYyI=")</f>
        <v>#REF!</v>
      </c>
      <c r="AJ143" t="e">
        <f>AND(#REF!,"AAAAAH+PYyM=")</f>
        <v>#REF!</v>
      </c>
      <c r="AK143" t="e">
        <f>AND(#REF!,"AAAAAH+PYyQ=")</f>
        <v>#REF!</v>
      </c>
      <c r="AL143" t="e">
        <f>AND(#REF!,"AAAAAH+PYyU=")</f>
        <v>#REF!</v>
      </c>
      <c r="AM143" t="e">
        <f>AND(#REF!,"AAAAAH+PYyY=")</f>
        <v>#REF!</v>
      </c>
      <c r="AN143" t="e">
        <f>AND(#REF!,"AAAAAH+PYyc=")</f>
        <v>#REF!</v>
      </c>
      <c r="AO143" t="e">
        <f>AND(#REF!,"AAAAAH+PYyg=")</f>
        <v>#REF!</v>
      </c>
      <c r="AP143" t="e">
        <f>IF(#REF!,"AAAAAH+PYyk=",0)</f>
        <v>#REF!</v>
      </c>
      <c r="AQ143" t="e">
        <f>AND(#REF!,"AAAAAH+PYyo=")</f>
        <v>#REF!</v>
      </c>
      <c r="AR143" t="e">
        <f>AND(#REF!,"AAAAAH+PYys=")</f>
        <v>#REF!</v>
      </c>
      <c r="AS143" t="e">
        <f>AND(#REF!,"AAAAAH+PYyw=")</f>
        <v>#REF!</v>
      </c>
      <c r="AT143" t="e">
        <f>AND(#REF!,"AAAAAH+PYy0=")</f>
        <v>#REF!</v>
      </c>
      <c r="AU143" t="e">
        <f>AND(#REF!,"AAAAAH+PYy4=")</f>
        <v>#REF!</v>
      </c>
      <c r="AV143" t="e">
        <f>AND(#REF!,"AAAAAH+PYy8=")</f>
        <v>#REF!</v>
      </c>
      <c r="AW143" t="e">
        <f>AND(#REF!,"AAAAAH+PYzA=")</f>
        <v>#REF!</v>
      </c>
      <c r="AX143" t="e">
        <f>AND(#REF!,"AAAAAH+PYzE=")</f>
        <v>#REF!</v>
      </c>
      <c r="AY143" t="e">
        <f>AND(#REF!,"AAAAAH+PYzI=")</f>
        <v>#REF!</v>
      </c>
      <c r="AZ143" t="e">
        <f>AND(#REF!,"AAAAAH+PYzM=")</f>
        <v>#REF!</v>
      </c>
      <c r="BA143" t="e">
        <f>IF(#REF!,"AAAAAH+PYzQ=",0)</f>
        <v>#REF!</v>
      </c>
      <c r="BB143" t="e">
        <f>AND(#REF!,"AAAAAH+PYzU=")</f>
        <v>#REF!</v>
      </c>
      <c r="BC143" t="e">
        <f>AND(#REF!,"AAAAAH+PYzY=")</f>
        <v>#REF!</v>
      </c>
      <c r="BD143" t="e">
        <f>AND(#REF!,"AAAAAH+PYzc=")</f>
        <v>#REF!</v>
      </c>
      <c r="BE143" t="e">
        <f>AND(#REF!,"AAAAAH+PYzg=")</f>
        <v>#REF!</v>
      </c>
      <c r="BF143" t="e">
        <f>AND(#REF!,"AAAAAH+PYzk=")</f>
        <v>#REF!</v>
      </c>
      <c r="BG143" t="e">
        <f>AND(#REF!,"AAAAAH+PYzo=")</f>
        <v>#REF!</v>
      </c>
      <c r="BH143" t="e">
        <f>AND(#REF!,"AAAAAH+PYzs=")</f>
        <v>#REF!</v>
      </c>
      <c r="BI143" t="e">
        <f>AND(#REF!,"AAAAAH+PYzw=")</f>
        <v>#REF!</v>
      </c>
      <c r="BJ143" t="e">
        <f>AND(#REF!,"AAAAAH+PYz0=")</f>
        <v>#REF!</v>
      </c>
      <c r="BK143" t="e">
        <f>AND(#REF!,"AAAAAH+PYz4=")</f>
        <v>#REF!</v>
      </c>
      <c r="BL143" t="e">
        <f>IF(#REF!,"AAAAAH+PYz8=",0)</f>
        <v>#REF!</v>
      </c>
      <c r="BM143" t="e">
        <f>AND(#REF!,"AAAAAH+PY0A=")</f>
        <v>#REF!</v>
      </c>
      <c r="BN143" t="e">
        <f>AND(#REF!,"AAAAAH+PY0E=")</f>
        <v>#REF!</v>
      </c>
      <c r="BO143" t="e">
        <f>AND(#REF!,"AAAAAH+PY0I=")</f>
        <v>#REF!</v>
      </c>
      <c r="BP143" t="e">
        <f>AND(#REF!,"AAAAAH+PY0M=")</f>
        <v>#REF!</v>
      </c>
      <c r="BQ143" t="e">
        <f>AND(#REF!,"AAAAAH+PY0Q=")</f>
        <v>#REF!</v>
      </c>
      <c r="BR143" t="e">
        <f>AND(#REF!,"AAAAAH+PY0U=")</f>
        <v>#REF!</v>
      </c>
      <c r="BS143" t="e">
        <f>AND(#REF!,"AAAAAH+PY0Y=")</f>
        <v>#REF!</v>
      </c>
      <c r="BT143" t="e">
        <f>AND(#REF!,"AAAAAH+PY0c=")</f>
        <v>#REF!</v>
      </c>
      <c r="BU143" t="e">
        <f>AND(#REF!,"AAAAAH+PY0g=")</f>
        <v>#REF!</v>
      </c>
      <c r="BV143" t="e">
        <f>AND(#REF!,"AAAAAH+PY0k=")</f>
        <v>#REF!</v>
      </c>
      <c r="BW143" t="e">
        <f>IF(#REF!,"AAAAAH+PY0o=",0)</f>
        <v>#REF!</v>
      </c>
      <c r="BX143" t="e">
        <f>AND(#REF!,"AAAAAH+PY0s=")</f>
        <v>#REF!</v>
      </c>
      <c r="BY143" t="e">
        <f>AND(#REF!,"AAAAAH+PY0w=")</f>
        <v>#REF!</v>
      </c>
      <c r="BZ143" t="e">
        <f>AND(#REF!,"AAAAAH+PY00=")</f>
        <v>#REF!</v>
      </c>
      <c r="CA143" t="e">
        <f>AND(#REF!,"AAAAAH+PY04=")</f>
        <v>#REF!</v>
      </c>
      <c r="CB143" t="e">
        <f>AND(#REF!,"AAAAAH+PY08=")</f>
        <v>#REF!</v>
      </c>
      <c r="CC143" t="e">
        <f>AND(#REF!,"AAAAAH+PY1A=")</f>
        <v>#REF!</v>
      </c>
      <c r="CD143" t="e">
        <f>AND(#REF!,"AAAAAH+PY1E=")</f>
        <v>#REF!</v>
      </c>
      <c r="CE143" t="e">
        <f>AND(#REF!,"AAAAAH+PY1I=")</f>
        <v>#REF!</v>
      </c>
      <c r="CF143" t="e">
        <f>AND(#REF!,"AAAAAH+PY1M=")</f>
        <v>#REF!</v>
      </c>
      <c r="CG143" t="e">
        <f>AND(#REF!,"AAAAAH+PY1Q=")</f>
        <v>#REF!</v>
      </c>
      <c r="CH143" t="e">
        <f>IF(#REF!,"AAAAAH+PY1U=",0)</f>
        <v>#REF!</v>
      </c>
      <c r="CI143" t="e">
        <f>AND(#REF!,"AAAAAH+PY1Y=")</f>
        <v>#REF!</v>
      </c>
      <c r="CJ143" t="e">
        <f>AND(#REF!,"AAAAAH+PY1c=")</f>
        <v>#REF!</v>
      </c>
      <c r="CK143" t="e">
        <f>AND(#REF!,"AAAAAH+PY1g=")</f>
        <v>#REF!</v>
      </c>
      <c r="CL143" t="e">
        <f>AND(#REF!,"AAAAAH+PY1k=")</f>
        <v>#REF!</v>
      </c>
      <c r="CM143" t="e">
        <f>AND(#REF!,"AAAAAH+PY1o=")</f>
        <v>#REF!</v>
      </c>
      <c r="CN143" t="e">
        <f>AND(#REF!,"AAAAAH+PY1s=")</f>
        <v>#REF!</v>
      </c>
      <c r="CO143" t="e">
        <f>AND(#REF!,"AAAAAH+PY1w=")</f>
        <v>#REF!</v>
      </c>
      <c r="CP143" t="e">
        <f>AND(#REF!,"AAAAAH+PY10=")</f>
        <v>#REF!</v>
      </c>
      <c r="CQ143" t="e">
        <f>AND(#REF!,"AAAAAH+PY14=")</f>
        <v>#REF!</v>
      </c>
      <c r="CR143" t="e">
        <f>AND(#REF!,"AAAAAH+PY18=")</f>
        <v>#REF!</v>
      </c>
      <c r="CS143" t="e">
        <f>IF(#REF!,"AAAAAH+PY2A=",0)</f>
        <v>#REF!</v>
      </c>
      <c r="CT143" t="e">
        <f>AND(#REF!,"AAAAAH+PY2E=")</f>
        <v>#REF!</v>
      </c>
      <c r="CU143" t="e">
        <f>AND(#REF!,"AAAAAH+PY2I=")</f>
        <v>#REF!</v>
      </c>
      <c r="CV143" t="e">
        <f>AND(#REF!,"AAAAAH+PY2M=")</f>
        <v>#REF!</v>
      </c>
      <c r="CW143" t="e">
        <f>AND(#REF!,"AAAAAH+PY2Q=")</f>
        <v>#REF!</v>
      </c>
      <c r="CX143" t="e">
        <f>AND(#REF!,"AAAAAH+PY2U=")</f>
        <v>#REF!</v>
      </c>
      <c r="CY143" t="e">
        <f>AND(#REF!,"AAAAAH+PY2Y=")</f>
        <v>#REF!</v>
      </c>
      <c r="CZ143" t="e">
        <f>AND(#REF!,"AAAAAH+PY2c=")</f>
        <v>#REF!</v>
      </c>
      <c r="DA143" t="e">
        <f>AND(#REF!,"AAAAAH+PY2g=")</f>
        <v>#REF!</v>
      </c>
      <c r="DB143" t="e">
        <f>AND(#REF!,"AAAAAH+PY2k=")</f>
        <v>#REF!</v>
      </c>
      <c r="DC143" t="e">
        <f>AND(#REF!,"AAAAAH+PY2o=")</f>
        <v>#REF!</v>
      </c>
      <c r="DD143" t="e">
        <f>IF(#REF!,"AAAAAH+PY2s=",0)</f>
        <v>#REF!</v>
      </c>
      <c r="DE143" t="e">
        <f>AND(#REF!,"AAAAAH+PY2w=")</f>
        <v>#REF!</v>
      </c>
      <c r="DF143" t="e">
        <f>AND(#REF!,"AAAAAH+PY20=")</f>
        <v>#REF!</v>
      </c>
      <c r="DG143" t="e">
        <f>AND(#REF!,"AAAAAH+PY24=")</f>
        <v>#REF!</v>
      </c>
      <c r="DH143" t="e">
        <f>AND(#REF!,"AAAAAH+PY28=")</f>
        <v>#REF!</v>
      </c>
      <c r="DI143" t="e">
        <f>AND(#REF!,"AAAAAH+PY3A=")</f>
        <v>#REF!</v>
      </c>
      <c r="DJ143" t="e">
        <f>AND(#REF!,"AAAAAH+PY3E=")</f>
        <v>#REF!</v>
      </c>
      <c r="DK143" t="e">
        <f>AND(#REF!,"AAAAAH+PY3I=")</f>
        <v>#REF!</v>
      </c>
      <c r="DL143" t="e">
        <f>AND(#REF!,"AAAAAH+PY3M=")</f>
        <v>#REF!</v>
      </c>
      <c r="DM143" t="e">
        <f>AND(#REF!,"AAAAAH+PY3Q=")</f>
        <v>#REF!</v>
      </c>
      <c r="DN143" t="e">
        <f>AND(#REF!,"AAAAAH+PY3U=")</f>
        <v>#REF!</v>
      </c>
      <c r="DO143" t="e">
        <f>IF(#REF!,"AAAAAH+PY3Y=",0)</f>
        <v>#REF!</v>
      </c>
      <c r="DP143" t="e">
        <f>AND(#REF!,"AAAAAH+PY3c=")</f>
        <v>#REF!</v>
      </c>
      <c r="DQ143" t="e">
        <f>AND(#REF!,"AAAAAH+PY3g=")</f>
        <v>#REF!</v>
      </c>
      <c r="DR143" t="e">
        <f>AND(#REF!,"AAAAAH+PY3k=")</f>
        <v>#REF!</v>
      </c>
      <c r="DS143" t="e">
        <f>AND(#REF!,"AAAAAH+PY3o=")</f>
        <v>#REF!</v>
      </c>
      <c r="DT143" t="e">
        <f>AND(#REF!,"AAAAAH+PY3s=")</f>
        <v>#REF!</v>
      </c>
      <c r="DU143" t="e">
        <f>AND(#REF!,"AAAAAH+PY3w=")</f>
        <v>#REF!</v>
      </c>
      <c r="DV143" t="e">
        <f>AND(#REF!,"AAAAAH+PY30=")</f>
        <v>#REF!</v>
      </c>
      <c r="DW143" t="e">
        <f>AND(#REF!,"AAAAAH+PY34=")</f>
        <v>#REF!</v>
      </c>
      <c r="DX143" t="e">
        <f>AND(#REF!,"AAAAAH+PY38=")</f>
        <v>#REF!</v>
      </c>
      <c r="DY143" t="e">
        <f>AND(#REF!,"AAAAAH+PY4A=")</f>
        <v>#REF!</v>
      </c>
      <c r="DZ143" t="e">
        <f>IF(#REF!,"AAAAAH+PY4E=",0)</f>
        <v>#REF!</v>
      </c>
      <c r="EA143" t="e">
        <f>AND(#REF!,"AAAAAH+PY4I=")</f>
        <v>#REF!</v>
      </c>
      <c r="EB143" t="e">
        <f>AND(#REF!,"AAAAAH+PY4M=")</f>
        <v>#REF!</v>
      </c>
      <c r="EC143" t="e">
        <f>AND(#REF!,"AAAAAH+PY4Q=")</f>
        <v>#REF!</v>
      </c>
      <c r="ED143" t="e">
        <f>AND(#REF!,"AAAAAH+PY4U=")</f>
        <v>#REF!</v>
      </c>
      <c r="EE143" t="e">
        <f>AND(#REF!,"AAAAAH+PY4Y=")</f>
        <v>#REF!</v>
      </c>
      <c r="EF143" t="e">
        <f>AND(#REF!,"AAAAAH+PY4c=")</f>
        <v>#REF!</v>
      </c>
      <c r="EG143" t="e">
        <f>AND(#REF!,"AAAAAH+PY4g=")</f>
        <v>#REF!</v>
      </c>
      <c r="EH143" t="e">
        <f>AND(#REF!,"AAAAAH+PY4k=")</f>
        <v>#REF!</v>
      </c>
      <c r="EI143" t="e">
        <f>AND(#REF!,"AAAAAH+PY4o=")</f>
        <v>#REF!</v>
      </c>
      <c r="EJ143" t="e">
        <f>AND(#REF!,"AAAAAH+PY4s=")</f>
        <v>#REF!</v>
      </c>
      <c r="EK143" t="e">
        <f>IF(#REF!,"AAAAAH+PY4w=",0)</f>
        <v>#REF!</v>
      </c>
      <c r="EL143" t="e">
        <f>AND(#REF!,"AAAAAH+PY40=")</f>
        <v>#REF!</v>
      </c>
      <c r="EM143" t="e">
        <f>AND(#REF!,"AAAAAH+PY44=")</f>
        <v>#REF!</v>
      </c>
      <c r="EN143" t="e">
        <f>AND(#REF!,"AAAAAH+PY48=")</f>
        <v>#REF!</v>
      </c>
      <c r="EO143" t="e">
        <f>AND(#REF!,"AAAAAH+PY5A=")</f>
        <v>#REF!</v>
      </c>
      <c r="EP143" t="e">
        <f>AND(#REF!,"AAAAAH+PY5E=")</f>
        <v>#REF!</v>
      </c>
      <c r="EQ143" t="e">
        <f>AND(#REF!,"AAAAAH+PY5I=")</f>
        <v>#REF!</v>
      </c>
      <c r="ER143" t="e">
        <f>AND(#REF!,"AAAAAH+PY5M=")</f>
        <v>#REF!</v>
      </c>
      <c r="ES143" t="e">
        <f>AND(#REF!,"AAAAAH+PY5Q=")</f>
        <v>#REF!</v>
      </c>
      <c r="ET143" t="e">
        <f>AND(#REF!,"AAAAAH+PY5U=")</f>
        <v>#REF!</v>
      </c>
      <c r="EU143" t="e">
        <f>AND(#REF!,"AAAAAH+PY5Y=")</f>
        <v>#REF!</v>
      </c>
      <c r="EV143" t="e">
        <f>IF(#REF!,"AAAAAH+PY5c=",0)</f>
        <v>#REF!</v>
      </c>
      <c r="EW143" t="e">
        <f>AND(#REF!,"AAAAAH+PY5g=")</f>
        <v>#REF!</v>
      </c>
      <c r="EX143" t="e">
        <f>AND(#REF!,"AAAAAH+PY5k=")</f>
        <v>#REF!</v>
      </c>
      <c r="EY143" t="e">
        <f>AND(#REF!,"AAAAAH+PY5o=")</f>
        <v>#REF!</v>
      </c>
      <c r="EZ143" t="e">
        <f>AND(#REF!,"AAAAAH+PY5s=")</f>
        <v>#REF!</v>
      </c>
      <c r="FA143" t="e">
        <f>AND(#REF!,"AAAAAH+PY5w=")</f>
        <v>#REF!</v>
      </c>
      <c r="FB143" t="e">
        <f>AND(#REF!,"AAAAAH+PY50=")</f>
        <v>#REF!</v>
      </c>
      <c r="FC143" t="e">
        <f>AND(#REF!,"AAAAAH+PY54=")</f>
        <v>#REF!</v>
      </c>
      <c r="FD143" t="e">
        <f>AND(#REF!,"AAAAAH+PY58=")</f>
        <v>#REF!</v>
      </c>
      <c r="FE143" t="e">
        <f>AND(#REF!,"AAAAAH+PY6A=")</f>
        <v>#REF!</v>
      </c>
      <c r="FF143" t="e">
        <f>AND(#REF!,"AAAAAH+PY6E=")</f>
        <v>#REF!</v>
      </c>
      <c r="FG143" t="e">
        <f>IF(#REF!,"AAAAAH+PY6I=",0)</f>
        <v>#REF!</v>
      </c>
      <c r="FH143" t="e">
        <f>AND(#REF!,"AAAAAH+PY6M=")</f>
        <v>#REF!</v>
      </c>
      <c r="FI143" t="e">
        <f>AND(#REF!,"AAAAAH+PY6Q=")</f>
        <v>#REF!</v>
      </c>
      <c r="FJ143" t="e">
        <f>AND(#REF!,"AAAAAH+PY6U=")</f>
        <v>#REF!</v>
      </c>
      <c r="FK143" t="e">
        <f>AND(#REF!,"AAAAAH+PY6Y=")</f>
        <v>#REF!</v>
      </c>
      <c r="FL143" t="e">
        <f>AND(#REF!,"AAAAAH+PY6c=")</f>
        <v>#REF!</v>
      </c>
      <c r="FM143" t="e">
        <f>AND(#REF!,"AAAAAH+PY6g=")</f>
        <v>#REF!</v>
      </c>
      <c r="FN143" t="e">
        <f>AND(#REF!,"AAAAAH+PY6k=")</f>
        <v>#REF!</v>
      </c>
      <c r="FO143" t="e">
        <f>AND(#REF!,"AAAAAH+PY6o=")</f>
        <v>#REF!</v>
      </c>
      <c r="FP143" t="e">
        <f>AND(#REF!,"AAAAAH+PY6s=")</f>
        <v>#REF!</v>
      </c>
      <c r="FQ143" t="e">
        <f>AND(#REF!,"AAAAAH+PY6w=")</f>
        <v>#REF!</v>
      </c>
      <c r="FR143" t="e">
        <f>IF(#REF!,"AAAAAH+PY60=",0)</f>
        <v>#REF!</v>
      </c>
      <c r="FS143" t="e">
        <f>AND(#REF!,"AAAAAH+PY64=")</f>
        <v>#REF!</v>
      </c>
      <c r="FT143" t="e">
        <f>AND(#REF!,"AAAAAH+PY68=")</f>
        <v>#REF!</v>
      </c>
      <c r="FU143" t="e">
        <f>AND(#REF!,"AAAAAH+PY7A=")</f>
        <v>#REF!</v>
      </c>
      <c r="FV143" t="e">
        <f>AND(#REF!,"AAAAAH+PY7E=")</f>
        <v>#REF!</v>
      </c>
      <c r="FW143" t="e">
        <f>AND(#REF!,"AAAAAH+PY7I=")</f>
        <v>#REF!</v>
      </c>
      <c r="FX143" t="e">
        <f>AND(#REF!,"AAAAAH+PY7M=")</f>
        <v>#REF!</v>
      </c>
      <c r="FY143" t="e">
        <f>AND(#REF!,"AAAAAH+PY7Q=")</f>
        <v>#REF!</v>
      </c>
      <c r="FZ143" t="e">
        <f>AND(#REF!,"AAAAAH+PY7U=")</f>
        <v>#REF!</v>
      </c>
      <c r="GA143" t="e">
        <f>AND(#REF!,"AAAAAH+PY7Y=")</f>
        <v>#REF!</v>
      </c>
      <c r="GB143" t="e">
        <f>AND(#REF!,"AAAAAH+PY7c=")</f>
        <v>#REF!</v>
      </c>
      <c r="GC143" t="e">
        <f>IF(#REF!,"AAAAAH+PY7g=",0)</f>
        <v>#REF!</v>
      </c>
      <c r="GD143" t="e">
        <f>AND(#REF!,"AAAAAH+PY7k=")</f>
        <v>#REF!</v>
      </c>
      <c r="GE143" t="e">
        <f>AND(#REF!,"AAAAAH+PY7o=")</f>
        <v>#REF!</v>
      </c>
      <c r="GF143" t="e">
        <f>AND(#REF!,"AAAAAH+PY7s=")</f>
        <v>#REF!</v>
      </c>
      <c r="GG143" t="e">
        <f>AND(#REF!,"AAAAAH+PY7w=")</f>
        <v>#REF!</v>
      </c>
      <c r="GH143" t="e">
        <f>AND(#REF!,"AAAAAH+PY70=")</f>
        <v>#REF!</v>
      </c>
      <c r="GI143" t="e">
        <f>AND(#REF!,"AAAAAH+PY74=")</f>
        <v>#REF!</v>
      </c>
      <c r="GJ143" t="e">
        <f>AND(#REF!,"AAAAAH+PY78=")</f>
        <v>#REF!</v>
      </c>
      <c r="GK143" t="e">
        <f>AND(#REF!,"AAAAAH+PY8A=")</f>
        <v>#REF!</v>
      </c>
      <c r="GL143" t="e">
        <f>AND(#REF!,"AAAAAH+PY8E=")</f>
        <v>#REF!</v>
      </c>
      <c r="GM143" t="e">
        <f>AND(#REF!,"AAAAAH+PY8I=")</f>
        <v>#REF!</v>
      </c>
      <c r="GN143" t="e">
        <f>IF(#REF!,"AAAAAH+PY8M=",0)</f>
        <v>#REF!</v>
      </c>
      <c r="GO143" t="e">
        <f>AND(#REF!,"AAAAAH+PY8Q=")</f>
        <v>#REF!</v>
      </c>
      <c r="GP143" t="e">
        <f>AND(#REF!,"AAAAAH+PY8U=")</f>
        <v>#REF!</v>
      </c>
      <c r="GQ143" t="e">
        <f>AND(#REF!,"AAAAAH+PY8Y=")</f>
        <v>#REF!</v>
      </c>
      <c r="GR143" t="e">
        <f>AND(#REF!,"AAAAAH+PY8c=")</f>
        <v>#REF!</v>
      </c>
      <c r="GS143" t="e">
        <f>AND(#REF!,"AAAAAH+PY8g=")</f>
        <v>#REF!</v>
      </c>
      <c r="GT143" t="e">
        <f>AND(#REF!,"AAAAAH+PY8k=")</f>
        <v>#REF!</v>
      </c>
      <c r="GU143" t="e">
        <f>AND(#REF!,"AAAAAH+PY8o=")</f>
        <v>#REF!</v>
      </c>
      <c r="GV143" t="e">
        <f>AND(#REF!,"AAAAAH+PY8s=")</f>
        <v>#REF!</v>
      </c>
      <c r="GW143" t="e">
        <f>AND(#REF!,"AAAAAH+PY8w=")</f>
        <v>#REF!</v>
      </c>
      <c r="GX143" t="e">
        <f>AND(#REF!,"AAAAAH+PY80=")</f>
        <v>#REF!</v>
      </c>
      <c r="GY143" t="e">
        <f>IF(#REF!,"AAAAAH+PY84=",0)</f>
        <v>#REF!</v>
      </c>
      <c r="GZ143" t="e">
        <f>AND(#REF!,"AAAAAH+PY88=")</f>
        <v>#REF!</v>
      </c>
      <c r="HA143" t="e">
        <f>AND(#REF!,"AAAAAH+PY9A=")</f>
        <v>#REF!</v>
      </c>
      <c r="HB143" t="e">
        <f>AND(#REF!,"AAAAAH+PY9E=")</f>
        <v>#REF!</v>
      </c>
      <c r="HC143" t="e">
        <f>AND(#REF!,"AAAAAH+PY9I=")</f>
        <v>#REF!</v>
      </c>
      <c r="HD143" t="e">
        <f>AND(#REF!,"AAAAAH+PY9M=")</f>
        <v>#REF!</v>
      </c>
      <c r="HE143" t="e">
        <f>AND(#REF!,"AAAAAH+PY9Q=")</f>
        <v>#REF!</v>
      </c>
      <c r="HF143" t="e">
        <f>AND(#REF!,"AAAAAH+PY9U=")</f>
        <v>#REF!</v>
      </c>
      <c r="HG143" t="e">
        <f>AND(#REF!,"AAAAAH+PY9Y=")</f>
        <v>#REF!</v>
      </c>
      <c r="HH143" t="e">
        <f>AND(#REF!,"AAAAAH+PY9c=")</f>
        <v>#REF!</v>
      </c>
      <c r="HI143" t="e">
        <f>AND(#REF!,"AAAAAH+PY9g=")</f>
        <v>#REF!</v>
      </c>
      <c r="HJ143" t="e">
        <f>IF(#REF!,"AAAAAH+PY9k=",0)</f>
        <v>#REF!</v>
      </c>
      <c r="HK143" t="e">
        <f>AND(#REF!,"AAAAAH+PY9o=")</f>
        <v>#REF!</v>
      </c>
      <c r="HL143" t="e">
        <f>AND(#REF!,"AAAAAH+PY9s=")</f>
        <v>#REF!</v>
      </c>
      <c r="HM143" t="e">
        <f>AND(#REF!,"AAAAAH+PY9w=")</f>
        <v>#REF!</v>
      </c>
      <c r="HN143" t="e">
        <f>AND(#REF!,"AAAAAH+PY90=")</f>
        <v>#REF!</v>
      </c>
      <c r="HO143" t="e">
        <f>AND(#REF!,"AAAAAH+PY94=")</f>
        <v>#REF!</v>
      </c>
      <c r="HP143" t="e">
        <f>AND(#REF!,"AAAAAH+PY98=")</f>
        <v>#REF!</v>
      </c>
      <c r="HQ143" t="e">
        <f>AND(#REF!,"AAAAAH+PY+A=")</f>
        <v>#REF!</v>
      </c>
      <c r="HR143" t="e">
        <f>AND(#REF!,"AAAAAH+PY+E=")</f>
        <v>#REF!</v>
      </c>
      <c r="HS143" t="e">
        <f>AND(#REF!,"AAAAAH+PY+I=")</f>
        <v>#REF!</v>
      </c>
      <c r="HT143" t="e">
        <f>AND(#REF!,"AAAAAH+PY+M=")</f>
        <v>#REF!</v>
      </c>
      <c r="HU143" t="e">
        <f>IF(#REF!,"AAAAAH+PY+Q=",0)</f>
        <v>#REF!</v>
      </c>
      <c r="HV143" t="e">
        <f>AND(#REF!,"AAAAAH+PY+U=")</f>
        <v>#REF!</v>
      </c>
      <c r="HW143" t="e">
        <f>AND(#REF!,"AAAAAH+PY+Y=")</f>
        <v>#REF!</v>
      </c>
      <c r="HX143" t="e">
        <f>AND(#REF!,"AAAAAH+PY+c=")</f>
        <v>#REF!</v>
      </c>
      <c r="HY143" t="e">
        <f>AND(#REF!,"AAAAAH+PY+g=")</f>
        <v>#REF!</v>
      </c>
      <c r="HZ143" t="e">
        <f>AND(#REF!,"AAAAAH+PY+k=")</f>
        <v>#REF!</v>
      </c>
      <c r="IA143" t="e">
        <f>AND(#REF!,"AAAAAH+PY+o=")</f>
        <v>#REF!</v>
      </c>
      <c r="IB143" t="e">
        <f>AND(#REF!,"AAAAAH+PY+s=")</f>
        <v>#REF!</v>
      </c>
      <c r="IC143" t="e">
        <f>AND(#REF!,"AAAAAH+PY+w=")</f>
        <v>#REF!</v>
      </c>
      <c r="ID143" t="e">
        <f>AND(#REF!,"AAAAAH+PY+0=")</f>
        <v>#REF!</v>
      </c>
      <c r="IE143" t="e">
        <f>AND(#REF!,"AAAAAH+PY+4=")</f>
        <v>#REF!</v>
      </c>
      <c r="IF143" t="e">
        <f>IF(#REF!,"AAAAAH+PY+8=",0)</f>
        <v>#REF!</v>
      </c>
      <c r="IG143" t="e">
        <f>AND(#REF!,"AAAAAH+PY/A=")</f>
        <v>#REF!</v>
      </c>
      <c r="IH143" t="e">
        <f>AND(#REF!,"AAAAAH+PY/E=")</f>
        <v>#REF!</v>
      </c>
      <c r="II143" t="e">
        <f>AND(#REF!,"AAAAAH+PY/I=")</f>
        <v>#REF!</v>
      </c>
      <c r="IJ143" t="e">
        <f>AND(#REF!,"AAAAAH+PY/M=")</f>
        <v>#REF!</v>
      </c>
      <c r="IK143" t="e">
        <f>AND(#REF!,"AAAAAH+PY/Q=")</f>
        <v>#REF!</v>
      </c>
      <c r="IL143" t="e">
        <f>AND(#REF!,"AAAAAH+PY/U=")</f>
        <v>#REF!</v>
      </c>
      <c r="IM143" t="e">
        <f>AND(#REF!,"AAAAAH+PY/Y=")</f>
        <v>#REF!</v>
      </c>
      <c r="IN143" t="e">
        <f>AND(#REF!,"AAAAAH+PY/c=")</f>
        <v>#REF!</v>
      </c>
      <c r="IO143" t="e">
        <f>AND(#REF!,"AAAAAH+PY/g=")</f>
        <v>#REF!</v>
      </c>
      <c r="IP143" t="e">
        <f>AND(#REF!,"AAAAAH+PY/k=")</f>
        <v>#REF!</v>
      </c>
      <c r="IQ143" t="e">
        <f>IF(#REF!,"AAAAAH+PY/o=",0)</f>
        <v>#REF!</v>
      </c>
      <c r="IR143" t="e">
        <f>AND(#REF!,"AAAAAH+PY/s=")</f>
        <v>#REF!</v>
      </c>
      <c r="IS143" t="e">
        <f>AND(#REF!,"AAAAAH+PY/w=")</f>
        <v>#REF!</v>
      </c>
      <c r="IT143" t="e">
        <f>AND(#REF!,"AAAAAH+PY/0=")</f>
        <v>#REF!</v>
      </c>
      <c r="IU143" t="e">
        <f>AND(#REF!,"AAAAAH+PY/4=")</f>
        <v>#REF!</v>
      </c>
      <c r="IV143" t="e">
        <f>AND(#REF!,"AAAAAH+PY/8=")</f>
        <v>#REF!</v>
      </c>
    </row>
    <row r="144" spans="1:256" x14ac:dyDescent="0.25">
      <c r="A144" t="e">
        <f>AND(#REF!,"AAAAAEPntAA=")</f>
        <v>#REF!</v>
      </c>
      <c r="B144" t="e">
        <f>AND(#REF!,"AAAAAEPntAE=")</f>
        <v>#REF!</v>
      </c>
      <c r="C144" t="e">
        <f>AND(#REF!,"AAAAAEPntAI=")</f>
        <v>#REF!</v>
      </c>
      <c r="D144" t="e">
        <f>AND(#REF!,"AAAAAEPntAM=")</f>
        <v>#REF!</v>
      </c>
      <c r="E144" t="e">
        <f>AND(#REF!,"AAAAAEPntAQ=")</f>
        <v>#REF!</v>
      </c>
      <c r="F144" t="e">
        <f>IF(#REF!,"AAAAAEPntAU=",0)</f>
        <v>#REF!</v>
      </c>
      <c r="G144" t="e">
        <f>AND(#REF!,"AAAAAEPntAY=")</f>
        <v>#REF!</v>
      </c>
      <c r="H144" t="e">
        <f>AND(#REF!,"AAAAAEPntAc=")</f>
        <v>#REF!</v>
      </c>
      <c r="I144" t="e">
        <f>AND(#REF!,"AAAAAEPntAg=")</f>
        <v>#REF!</v>
      </c>
      <c r="J144" t="e">
        <f>AND(#REF!,"AAAAAEPntAk=")</f>
        <v>#REF!</v>
      </c>
      <c r="K144" t="e">
        <f>AND(#REF!,"AAAAAEPntAo=")</f>
        <v>#REF!</v>
      </c>
      <c r="L144" t="e">
        <f>AND(#REF!,"AAAAAEPntAs=")</f>
        <v>#REF!</v>
      </c>
      <c r="M144" t="e">
        <f>AND(#REF!,"AAAAAEPntAw=")</f>
        <v>#REF!</v>
      </c>
      <c r="N144" t="e">
        <f>AND(#REF!,"AAAAAEPntA0=")</f>
        <v>#REF!</v>
      </c>
      <c r="O144" t="e">
        <f>AND(#REF!,"AAAAAEPntA4=")</f>
        <v>#REF!</v>
      </c>
      <c r="P144" t="e">
        <f>AND(#REF!,"AAAAAEPntA8=")</f>
        <v>#REF!</v>
      </c>
      <c r="Q144" t="e">
        <f>IF(#REF!,"AAAAAEPntBA=",0)</f>
        <v>#REF!</v>
      </c>
      <c r="R144" t="e">
        <f>AND(#REF!,"AAAAAEPntBE=")</f>
        <v>#REF!</v>
      </c>
      <c r="S144" t="e">
        <f>AND(#REF!,"AAAAAEPntBI=")</f>
        <v>#REF!</v>
      </c>
      <c r="T144" t="e">
        <f>AND(#REF!,"AAAAAEPntBM=")</f>
        <v>#REF!</v>
      </c>
      <c r="U144" t="e">
        <f>AND(#REF!,"AAAAAEPntBQ=")</f>
        <v>#REF!</v>
      </c>
      <c r="V144" t="e">
        <f>AND(#REF!,"AAAAAEPntBU=")</f>
        <v>#REF!</v>
      </c>
      <c r="W144" t="e">
        <f>AND(#REF!,"AAAAAEPntBY=")</f>
        <v>#REF!</v>
      </c>
      <c r="X144" t="e">
        <f>AND(#REF!,"AAAAAEPntBc=")</f>
        <v>#REF!</v>
      </c>
      <c r="Y144" t="e">
        <f>AND(#REF!,"AAAAAEPntBg=")</f>
        <v>#REF!</v>
      </c>
      <c r="Z144" t="e">
        <f>AND(#REF!,"AAAAAEPntBk=")</f>
        <v>#REF!</v>
      </c>
      <c r="AA144" t="e">
        <f>AND(#REF!,"AAAAAEPntBo=")</f>
        <v>#REF!</v>
      </c>
      <c r="AB144" t="e">
        <f>IF(#REF!,"AAAAAEPntBs=",0)</f>
        <v>#REF!</v>
      </c>
      <c r="AC144" t="e">
        <f>AND(#REF!,"AAAAAEPntBw=")</f>
        <v>#REF!</v>
      </c>
      <c r="AD144" t="e">
        <f>AND(#REF!,"AAAAAEPntB0=")</f>
        <v>#REF!</v>
      </c>
      <c r="AE144" t="e">
        <f>AND(#REF!,"AAAAAEPntB4=")</f>
        <v>#REF!</v>
      </c>
      <c r="AF144" t="e">
        <f>AND(#REF!,"AAAAAEPntB8=")</f>
        <v>#REF!</v>
      </c>
      <c r="AG144" t="e">
        <f>AND(#REF!,"AAAAAEPntCA=")</f>
        <v>#REF!</v>
      </c>
      <c r="AH144" t="e">
        <f>AND(#REF!,"AAAAAEPntCE=")</f>
        <v>#REF!</v>
      </c>
      <c r="AI144" t="e">
        <f>AND(#REF!,"AAAAAEPntCI=")</f>
        <v>#REF!</v>
      </c>
      <c r="AJ144" t="e">
        <f>AND(#REF!,"AAAAAEPntCM=")</f>
        <v>#REF!</v>
      </c>
      <c r="AK144" t="e">
        <f>AND(#REF!,"AAAAAEPntCQ=")</f>
        <v>#REF!</v>
      </c>
      <c r="AL144" t="e">
        <f>AND(#REF!,"AAAAAEPntCU=")</f>
        <v>#REF!</v>
      </c>
      <c r="AM144" t="e">
        <f>IF(#REF!,"AAAAAEPntCY=",0)</f>
        <v>#REF!</v>
      </c>
      <c r="AN144" t="e">
        <f>AND(#REF!,"AAAAAEPntCc=")</f>
        <v>#REF!</v>
      </c>
      <c r="AO144" t="e">
        <f>AND(#REF!,"AAAAAEPntCg=")</f>
        <v>#REF!</v>
      </c>
      <c r="AP144" t="e">
        <f>AND(#REF!,"AAAAAEPntCk=")</f>
        <v>#REF!</v>
      </c>
      <c r="AQ144" t="e">
        <f>AND(#REF!,"AAAAAEPntCo=")</f>
        <v>#REF!</v>
      </c>
      <c r="AR144" t="e">
        <f>AND(#REF!,"AAAAAEPntCs=")</f>
        <v>#REF!</v>
      </c>
      <c r="AS144" t="e">
        <f>AND(#REF!,"AAAAAEPntCw=")</f>
        <v>#REF!</v>
      </c>
      <c r="AT144" t="e">
        <f>AND(#REF!,"AAAAAEPntC0=")</f>
        <v>#REF!</v>
      </c>
      <c r="AU144" t="e">
        <f>AND(#REF!,"AAAAAEPntC4=")</f>
        <v>#REF!</v>
      </c>
      <c r="AV144" t="e">
        <f>AND(#REF!,"AAAAAEPntC8=")</f>
        <v>#REF!</v>
      </c>
      <c r="AW144" t="e">
        <f>AND(#REF!,"AAAAAEPntDA=")</f>
        <v>#REF!</v>
      </c>
      <c r="AX144" t="e">
        <f>IF(#REF!,"AAAAAEPntDE=",0)</f>
        <v>#REF!</v>
      </c>
      <c r="AY144" t="e">
        <f>AND(#REF!,"AAAAAEPntDI=")</f>
        <v>#REF!</v>
      </c>
      <c r="AZ144" t="e">
        <f>AND(#REF!,"AAAAAEPntDM=")</f>
        <v>#REF!</v>
      </c>
      <c r="BA144" t="e">
        <f>AND(#REF!,"AAAAAEPntDQ=")</f>
        <v>#REF!</v>
      </c>
      <c r="BB144" t="e">
        <f>AND(#REF!,"AAAAAEPntDU=")</f>
        <v>#REF!</v>
      </c>
      <c r="BC144" t="e">
        <f>AND(#REF!,"AAAAAEPntDY=")</f>
        <v>#REF!</v>
      </c>
      <c r="BD144" t="e">
        <f>AND(#REF!,"AAAAAEPntDc=")</f>
        <v>#REF!</v>
      </c>
      <c r="BE144" t="e">
        <f>AND(#REF!,"AAAAAEPntDg=")</f>
        <v>#REF!</v>
      </c>
      <c r="BF144" t="e">
        <f>AND(#REF!,"AAAAAEPntDk=")</f>
        <v>#REF!</v>
      </c>
      <c r="BG144" t="e">
        <f>AND(#REF!,"AAAAAEPntDo=")</f>
        <v>#REF!</v>
      </c>
      <c r="BH144" t="e">
        <f>AND(#REF!,"AAAAAEPntDs=")</f>
        <v>#REF!</v>
      </c>
      <c r="BI144" t="e">
        <f>IF(#REF!,"AAAAAEPntDw=",0)</f>
        <v>#REF!</v>
      </c>
      <c r="BJ144" t="e">
        <f>AND(#REF!,"AAAAAEPntD0=")</f>
        <v>#REF!</v>
      </c>
      <c r="BK144" t="e">
        <f>AND(#REF!,"AAAAAEPntD4=")</f>
        <v>#REF!</v>
      </c>
      <c r="BL144" t="e">
        <f>AND(#REF!,"AAAAAEPntD8=")</f>
        <v>#REF!</v>
      </c>
      <c r="BM144" t="e">
        <f>AND(#REF!,"AAAAAEPntEA=")</f>
        <v>#REF!</v>
      </c>
      <c r="BN144" t="e">
        <f>AND(#REF!,"AAAAAEPntEE=")</f>
        <v>#REF!</v>
      </c>
      <c r="BO144" t="e">
        <f>AND(#REF!,"AAAAAEPntEI=")</f>
        <v>#REF!</v>
      </c>
      <c r="BP144" t="e">
        <f>AND(#REF!,"AAAAAEPntEM=")</f>
        <v>#REF!</v>
      </c>
      <c r="BQ144" t="e">
        <f>AND(#REF!,"AAAAAEPntEQ=")</f>
        <v>#REF!</v>
      </c>
      <c r="BR144" t="e">
        <f>AND(#REF!,"AAAAAEPntEU=")</f>
        <v>#REF!</v>
      </c>
      <c r="BS144" t="e">
        <f>AND(#REF!,"AAAAAEPntEY=")</f>
        <v>#REF!</v>
      </c>
      <c r="BT144" t="e">
        <f>IF(#REF!,"AAAAAEPntEc=",0)</f>
        <v>#REF!</v>
      </c>
      <c r="BU144" t="e">
        <f>AND(#REF!,"AAAAAEPntEg=")</f>
        <v>#REF!</v>
      </c>
      <c r="BV144" t="e">
        <f>AND(#REF!,"AAAAAEPntEk=")</f>
        <v>#REF!</v>
      </c>
      <c r="BW144" t="e">
        <f>AND(#REF!,"AAAAAEPntEo=")</f>
        <v>#REF!</v>
      </c>
      <c r="BX144" t="e">
        <f>AND(#REF!,"AAAAAEPntEs=")</f>
        <v>#REF!</v>
      </c>
      <c r="BY144" t="e">
        <f>AND(#REF!,"AAAAAEPntEw=")</f>
        <v>#REF!</v>
      </c>
      <c r="BZ144" t="e">
        <f>AND(#REF!,"AAAAAEPntE0=")</f>
        <v>#REF!</v>
      </c>
      <c r="CA144" t="e">
        <f>AND(#REF!,"AAAAAEPntE4=")</f>
        <v>#REF!</v>
      </c>
      <c r="CB144" t="e">
        <f>AND(#REF!,"AAAAAEPntE8=")</f>
        <v>#REF!</v>
      </c>
      <c r="CC144" t="e">
        <f>AND(#REF!,"AAAAAEPntFA=")</f>
        <v>#REF!</v>
      </c>
      <c r="CD144" t="e">
        <f>AND(#REF!,"AAAAAEPntFE=")</f>
        <v>#REF!</v>
      </c>
      <c r="CE144" t="e">
        <f>IF(#REF!,"AAAAAEPntFI=",0)</f>
        <v>#REF!</v>
      </c>
      <c r="CF144" t="e">
        <f>AND(#REF!,"AAAAAEPntFM=")</f>
        <v>#REF!</v>
      </c>
      <c r="CG144" t="e">
        <f>AND(#REF!,"AAAAAEPntFQ=")</f>
        <v>#REF!</v>
      </c>
      <c r="CH144" t="e">
        <f>AND(#REF!,"AAAAAEPntFU=")</f>
        <v>#REF!</v>
      </c>
      <c r="CI144" t="e">
        <f>AND(#REF!,"AAAAAEPntFY=")</f>
        <v>#REF!</v>
      </c>
      <c r="CJ144" t="e">
        <f>AND(#REF!,"AAAAAEPntFc=")</f>
        <v>#REF!</v>
      </c>
      <c r="CK144" t="e">
        <f>AND(#REF!,"AAAAAEPntFg=")</f>
        <v>#REF!</v>
      </c>
      <c r="CL144" t="e">
        <f>AND(#REF!,"AAAAAEPntFk=")</f>
        <v>#REF!</v>
      </c>
      <c r="CM144" t="e">
        <f>AND(#REF!,"AAAAAEPntFo=")</f>
        <v>#REF!</v>
      </c>
      <c r="CN144" t="e">
        <f>AND(#REF!,"AAAAAEPntFs=")</f>
        <v>#REF!</v>
      </c>
      <c r="CO144" t="e">
        <f>AND(#REF!,"AAAAAEPntFw=")</f>
        <v>#REF!</v>
      </c>
      <c r="CP144" t="e">
        <f>IF(#REF!,"AAAAAEPntF0=",0)</f>
        <v>#REF!</v>
      </c>
      <c r="CQ144" t="e">
        <f>AND(#REF!,"AAAAAEPntF4=")</f>
        <v>#REF!</v>
      </c>
      <c r="CR144" t="e">
        <f>AND(#REF!,"AAAAAEPntF8=")</f>
        <v>#REF!</v>
      </c>
      <c r="CS144" t="e">
        <f>AND(#REF!,"AAAAAEPntGA=")</f>
        <v>#REF!</v>
      </c>
      <c r="CT144" t="e">
        <f>AND(#REF!,"AAAAAEPntGE=")</f>
        <v>#REF!</v>
      </c>
      <c r="CU144" t="e">
        <f>AND(#REF!,"AAAAAEPntGI=")</f>
        <v>#REF!</v>
      </c>
      <c r="CV144" t="e">
        <f>AND(#REF!,"AAAAAEPntGM=")</f>
        <v>#REF!</v>
      </c>
      <c r="CW144" t="e">
        <f>AND(#REF!,"AAAAAEPntGQ=")</f>
        <v>#REF!</v>
      </c>
      <c r="CX144" t="e">
        <f>AND(#REF!,"AAAAAEPntGU=")</f>
        <v>#REF!</v>
      </c>
      <c r="CY144" t="e">
        <f>AND(#REF!,"AAAAAEPntGY=")</f>
        <v>#REF!</v>
      </c>
      <c r="CZ144" t="e">
        <f>AND(#REF!,"AAAAAEPntGc=")</f>
        <v>#REF!</v>
      </c>
      <c r="DA144" t="e">
        <f>IF(#REF!,"AAAAAEPntGg=",0)</f>
        <v>#REF!</v>
      </c>
      <c r="DB144" t="e">
        <f>AND(#REF!,"AAAAAEPntGk=")</f>
        <v>#REF!</v>
      </c>
      <c r="DC144" t="e">
        <f>AND(#REF!,"AAAAAEPntGo=")</f>
        <v>#REF!</v>
      </c>
      <c r="DD144" t="e">
        <f>AND(#REF!,"AAAAAEPntGs=")</f>
        <v>#REF!</v>
      </c>
      <c r="DE144" t="e">
        <f>AND(#REF!,"AAAAAEPntGw=")</f>
        <v>#REF!</v>
      </c>
      <c r="DF144" t="e">
        <f>AND(#REF!,"AAAAAEPntG0=")</f>
        <v>#REF!</v>
      </c>
      <c r="DG144" t="e">
        <f>AND(#REF!,"AAAAAEPntG4=")</f>
        <v>#REF!</v>
      </c>
      <c r="DH144" t="e">
        <f>AND(#REF!,"AAAAAEPntG8=")</f>
        <v>#REF!</v>
      </c>
      <c r="DI144" t="e">
        <f>AND(#REF!,"AAAAAEPntHA=")</f>
        <v>#REF!</v>
      </c>
      <c r="DJ144" t="e">
        <f>AND(#REF!,"AAAAAEPntHE=")</f>
        <v>#REF!</v>
      </c>
      <c r="DK144" t="e">
        <f>AND(#REF!,"AAAAAEPntHI=")</f>
        <v>#REF!</v>
      </c>
      <c r="DL144" t="e">
        <f>IF(#REF!,"AAAAAEPntHM=",0)</f>
        <v>#REF!</v>
      </c>
      <c r="DM144" t="e">
        <f>AND(#REF!,"AAAAAEPntHQ=")</f>
        <v>#REF!</v>
      </c>
      <c r="DN144" t="e">
        <f>AND(#REF!,"AAAAAEPntHU=")</f>
        <v>#REF!</v>
      </c>
      <c r="DO144" t="e">
        <f>AND(#REF!,"AAAAAEPntHY=")</f>
        <v>#REF!</v>
      </c>
      <c r="DP144" t="e">
        <f>AND(#REF!,"AAAAAEPntHc=")</f>
        <v>#REF!</v>
      </c>
      <c r="DQ144" t="e">
        <f>AND(#REF!,"AAAAAEPntHg=")</f>
        <v>#REF!</v>
      </c>
      <c r="DR144" t="e">
        <f>AND(#REF!,"AAAAAEPntHk=")</f>
        <v>#REF!</v>
      </c>
      <c r="DS144" t="e">
        <f>AND(#REF!,"AAAAAEPntHo=")</f>
        <v>#REF!</v>
      </c>
      <c r="DT144" t="e">
        <f>AND(#REF!,"AAAAAEPntHs=")</f>
        <v>#REF!</v>
      </c>
      <c r="DU144" t="e">
        <f>AND(#REF!,"AAAAAEPntHw=")</f>
        <v>#REF!</v>
      </c>
      <c r="DV144" t="e">
        <f>AND(#REF!,"AAAAAEPntH0=")</f>
        <v>#REF!</v>
      </c>
      <c r="DW144" t="e">
        <f>IF(#REF!,"AAAAAEPntH4=",0)</f>
        <v>#REF!</v>
      </c>
      <c r="DX144" t="e">
        <f>AND(#REF!,"AAAAAEPntH8=")</f>
        <v>#REF!</v>
      </c>
      <c r="DY144" t="e">
        <f>AND(#REF!,"AAAAAEPntIA=")</f>
        <v>#REF!</v>
      </c>
      <c r="DZ144" t="e">
        <f>AND(#REF!,"AAAAAEPntIE=")</f>
        <v>#REF!</v>
      </c>
      <c r="EA144" t="e">
        <f>AND(#REF!,"AAAAAEPntII=")</f>
        <v>#REF!</v>
      </c>
      <c r="EB144" t="e">
        <f>AND(#REF!,"AAAAAEPntIM=")</f>
        <v>#REF!</v>
      </c>
      <c r="EC144" t="e">
        <f>AND(#REF!,"AAAAAEPntIQ=")</f>
        <v>#REF!</v>
      </c>
      <c r="ED144" t="e">
        <f>AND(#REF!,"AAAAAEPntIU=")</f>
        <v>#REF!</v>
      </c>
      <c r="EE144" t="e">
        <f>AND(#REF!,"AAAAAEPntIY=")</f>
        <v>#REF!</v>
      </c>
      <c r="EF144" t="e">
        <f>AND(#REF!,"AAAAAEPntIc=")</f>
        <v>#REF!</v>
      </c>
      <c r="EG144" t="e">
        <f>AND(#REF!,"AAAAAEPntIg=")</f>
        <v>#REF!</v>
      </c>
      <c r="EH144" t="e">
        <f>IF(#REF!,"AAAAAEPntIk=",0)</f>
        <v>#REF!</v>
      </c>
      <c r="EI144" t="e">
        <f>AND(#REF!,"AAAAAEPntIo=")</f>
        <v>#REF!</v>
      </c>
      <c r="EJ144" t="e">
        <f>AND(#REF!,"AAAAAEPntIs=")</f>
        <v>#REF!</v>
      </c>
      <c r="EK144" t="e">
        <f>AND(#REF!,"AAAAAEPntIw=")</f>
        <v>#REF!</v>
      </c>
      <c r="EL144" t="e">
        <f>AND(#REF!,"AAAAAEPntI0=")</f>
        <v>#REF!</v>
      </c>
      <c r="EM144" t="e">
        <f>AND(#REF!,"AAAAAEPntI4=")</f>
        <v>#REF!</v>
      </c>
      <c r="EN144" t="e">
        <f>AND(#REF!,"AAAAAEPntI8=")</f>
        <v>#REF!</v>
      </c>
      <c r="EO144" t="e">
        <f>AND(#REF!,"AAAAAEPntJA=")</f>
        <v>#REF!</v>
      </c>
      <c r="EP144" t="e">
        <f>AND(#REF!,"AAAAAEPntJE=")</f>
        <v>#REF!</v>
      </c>
      <c r="EQ144" t="e">
        <f>AND(#REF!,"AAAAAEPntJI=")</f>
        <v>#REF!</v>
      </c>
      <c r="ER144" t="e">
        <f>AND(#REF!,"AAAAAEPntJM=")</f>
        <v>#REF!</v>
      </c>
      <c r="ES144" t="e">
        <f>IF(#REF!,"AAAAAEPntJQ=",0)</f>
        <v>#REF!</v>
      </c>
      <c r="ET144" t="e">
        <f>AND(#REF!,"AAAAAEPntJU=")</f>
        <v>#REF!</v>
      </c>
      <c r="EU144" t="e">
        <f>AND(#REF!,"AAAAAEPntJY=")</f>
        <v>#REF!</v>
      </c>
      <c r="EV144" t="e">
        <f>AND(#REF!,"AAAAAEPntJc=")</f>
        <v>#REF!</v>
      </c>
      <c r="EW144" t="e">
        <f>AND(#REF!,"AAAAAEPntJg=")</f>
        <v>#REF!</v>
      </c>
      <c r="EX144" t="e">
        <f>AND(#REF!,"AAAAAEPntJk=")</f>
        <v>#REF!</v>
      </c>
      <c r="EY144" t="e">
        <f>AND(#REF!,"AAAAAEPntJo=")</f>
        <v>#REF!</v>
      </c>
      <c r="EZ144" t="e">
        <f>AND(#REF!,"AAAAAEPntJs=")</f>
        <v>#REF!</v>
      </c>
      <c r="FA144" t="e">
        <f>AND(#REF!,"AAAAAEPntJw=")</f>
        <v>#REF!</v>
      </c>
      <c r="FB144" t="e">
        <f>AND(#REF!,"AAAAAEPntJ0=")</f>
        <v>#REF!</v>
      </c>
      <c r="FC144" t="e">
        <f>AND(#REF!,"AAAAAEPntJ4=")</f>
        <v>#REF!</v>
      </c>
      <c r="FD144" t="e">
        <f>IF(#REF!,"AAAAAEPntJ8=",0)</f>
        <v>#REF!</v>
      </c>
      <c r="FE144" t="e">
        <f>AND(#REF!,"AAAAAEPntKA=")</f>
        <v>#REF!</v>
      </c>
      <c r="FF144" t="e">
        <f>AND(#REF!,"AAAAAEPntKE=")</f>
        <v>#REF!</v>
      </c>
      <c r="FG144" t="e">
        <f>AND(#REF!,"AAAAAEPntKI=")</f>
        <v>#REF!</v>
      </c>
      <c r="FH144" t="e">
        <f>AND(#REF!,"AAAAAEPntKM=")</f>
        <v>#REF!</v>
      </c>
      <c r="FI144" t="e">
        <f>AND(#REF!,"AAAAAEPntKQ=")</f>
        <v>#REF!</v>
      </c>
      <c r="FJ144" t="e">
        <f>AND(#REF!,"AAAAAEPntKU=")</f>
        <v>#REF!</v>
      </c>
      <c r="FK144" t="e">
        <f>AND(#REF!,"AAAAAEPntKY=")</f>
        <v>#REF!</v>
      </c>
      <c r="FL144" t="e">
        <f>AND(#REF!,"AAAAAEPntKc=")</f>
        <v>#REF!</v>
      </c>
      <c r="FM144" t="e">
        <f>AND(#REF!,"AAAAAEPntKg=")</f>
        <v>#REF!</v>
      </c>
      <c r="FN144" t="e">
        <f>AND(#REF!,"AAAAAEPntKk=")</f>
        <v>#REF!</v>
      </c>
      <c r="FO144" t="e">
        <f>IF(#REF!,"AAAAAEPntKo=",0)</f>
        <v>#REF!</v>
      </c>
      <c r="FP144" t="e">
        <f>AND(#REF!,"AAAAAEPntKs=")</f>
        <v>#REF!</v>
      </c>
      <c r="FQ144" t="e">
        <f>AND(#REF!,"AAAAAEPntKw=")</f>
        <v>#REF!</v>
      </c>
      <c r="FR144" t="e">
        <f>AND(#REF!,"AAAAAEPntK0=")</f>
        <v>#REF!</v>
      </c>
      <c r="FS144" t="e">
        <f>AND(#REF!,"AAAAAEPntK4=")</f>
        <v>#REF!</v>
      </c>
      <c r="FT144" t="e">
        <f>AND(#REF!,"AAAAAEPntK8=")</f>
        <v>#REF!</v>
      </c>
      <c r="FU144" t="e">
        <f>AND(#REF!,"AAAAAEPntLA=")</f>
        <v>#REF!</v>
      </c>
      <c r="FV144" t="e">
        <f>AND(#REF!,"AAAAAEPntLE=")</f>
        <v>#REF!</v>
      </c>
      <c r="FW144" t="e">
        <f>AND(#REF!,"AAAAAEPntLI=")</f>
        <v>#REF!</v>
      </c>
      <c r="FX144" t="e">
        <f>AND(#REF!,"AAAAAEPntLM=")</f>
        <v>#REF!</v>
      </c>
      <c r="FY144" t="e">
        <f>AND(#REF!,"AAAAAEPntLQ=")</f>
        <v>#REF!</v>
      </c>
      <c r="FZ144" t="e">
        <f>IF(#REF!,"AAAAAEPntLU=",0)</f>
        <v>#REF!</v>
      </c>
      <c r="GA144" t="e">
        <f>AND(#REF!,"AAAAAEPntLY=")</f>
        <v>#REF!</v>
      </c>
      <c r="GB144" t="e">
        <f>AND(#REF!,"AAAAAEPntLc=")</f>
        <v>#REF!</v>
      </c>
      <c r="GC144" t="e">
        <f>AND(#REF!,"AAAAAEPntLg=")</f>
        <v>#REF!</v>
      </c>
      <c r="GD144" t="e">
        <f>AND(#REF!,"AAAAAEPntLk=")</f>
        <v>#REF!</v>
      </c>
      <c r="GE144" t="e">
        <f>AND(#REF!,"AAAAAEPntLo=")</f>
        <v>#REF!</v>
      </c>
      <c r="GF144" t="e">
        <f>AND(#REF!,"AAAAAEPntLs=")</f>
        <v>#REF!</v>
      </c>
      <c r="GG144" t="e">
        <f>AND(#REF!,"AAAAAEPntLw=")</f>
        <v>#REF!</v>
      </c>
      <c r="GH144" t="e">
        <f>AND(#REF!,"AAAAAEPntL0=")</f>
        <v>#REF!</v>
      </c>
      <c r="GI144" t="e">
        <f>AND(#REF!,"AAAAAEPntL4=")</f>
        <v>#REF!</v>
      </c>
      <c r="GJ144" t="e">
        <f>AND(#REF!,"AAAAAEPntL8=")</f>
        <v>#REF!</v>
      </c>
      <c r="GK144" t="e">
        <f>IF(#REF!,"AAAAAEPntMA=",0)</f>
        <v>#REF!</v>
      </c>
      <c r="GL144" t="e">
        <f>AND(#REF!,"AAAAAEPntME=")</f>
        <v>#REF!</v>
      </c>
      <c r="GM144" t="e">
        <f>AND(#REF!,"AAAAAEPntMI=")</f>
        <v>#REF!</v>
      </c>
      <c r="GN144" t="e">
        <f>AND(#REF!,"AAAAAEPntMM=")</f>
        <v>#REF!</v>
      </c>
      <c r="GO144" t="e">
        <f>AND(#REF!,"AAAAAEPntMQ=")</f>
        <v>#REF!</v>
      </c>
      <c r="GP144" t="e">
        <f>AND(#REF!,"AAAAAEPntMU=")</f>
        <v>#REF!</v>
      </c>
      <c r="GQ144" t="e">
        <f>AND(#REF!,"AAAAAEPntMY=")</f>
        <v>#REF!</v>
      </c>
      <c r="GR144" t="e">
        <f>AND(#REF!,"AAAAAEPntMc=")</f>
        <v>#REF!</v>
      </c>
      <c r="GS144" t="e">
        <f>AND(#REF!,"AAAAAEPntMg=")</f>
        <v>#REF!</v>
      </c>
      <c r="GT144" t="e">
        <f>AND(#REF!,"AAAAAEPntMk=")</f>
        <v>#REF!</v>
      </c>
      <c r="GU144" t="e">
        <f>AND(#REF!,"AAAAAEPntMo=")</f>
        <v>#REF!</v>
      </c>
      <c r="GV144" t="e">
        <f>IF(#REF!,"AAAAAEPntMs=",0)</f>
        <v>#REF!</v>
      </c>
      <c r="GW144" t="e">
        <f>AND(#REF!,"AAAAAEPntMw=")</f>
        <v>#REF!</v>
      </c>
      <c r="GX144" t="e">
        <f>AND(#REF!,"AAAAAEPntM0=")</f>
        <v>#REF!</v>
      </c>
      <c r="GY144" t="e">
        <f>AND(#REF!,"AAAAAEPntM4=")</f>
        <v>#REF!</v>
      </c>
      <c r="GZ144" t="e">
        <f>AND(#REF!,"AAAAAEPntM8=")</f>
        <v>#REF!</v>
      </c>
      <c r="HA144" t="e">
        <f>AND(#REF!,"AAAAAEPntNA=")</f>
        <v>#REF!</v>
      </c>
      <c r="HB144" t="e">
        <f>AND(#REF!,"AAAAAEPntNE=")</f>
        <v>#REF!</v>
      </c>
      <c r="HC144" t="e">
        <f>AND(#REF!,"AAAAAEPntNI=")</f>
        <v>#REF!</v>
      </c>
      <c r="HD144" t="e">
        <f>AND(#REF!,"AAAAAEPntNM=")</f>
        <v>#REF!</v>
      </c>
      <c r="HE144" t="e">
        <f>AND(#REF!,"AAAAAEPntNQ=")</f>
        <v>#REF!</v>
      </c>
      <c r="HF144" t="e">
        <f>AND(#REF!,"AAAAAEPntNU=")</f>
        <v>#REF!</v>
      </c>
      <c r="HG144" t="e">
        <f>IF(#REF!,"AAAAAEPntNY=",0)</f>
        <v>#REF!</v>
      </c>
      <c r="HH144" t="e">
        <f>AND(#REF!,"AAAAAEPntNc=")</f>
        <v>#REF!</v>
      </c>
      <c r="HI144" t="e">
        <f>AND(#REF!,"AAAAAEPntNg=")</f>
        <v>#REF!</v>
      </c>
      <c r="HJ144" t="e">
        <f>AND(#REF!,"AAAAAEPntNk=")</f>
        <v>#REF!</v>
      </c>
      <c r="HK144" t="e">
        <f>AND(#REF!,"AAAAAEPntNo=")</f>
        <v>#REF!</v>
      </c>
      <c r="HL144" t="e">
        <f>AND(#REF!,"AAAAAEPntNs=")</f>
        <v>#REF!</v>
      </c>
      <c r="HM144" t="e">
        <f>AND(#REF!,"AAAAAEPntNw=")</f>
        <v>#REF!</v>
      </c>
      <c r="HN144" t="e">
        <f>AND(#REF!,"AAAAAEPntN0=")</f>
        <v>#REF!</v>
      </c>
      <c r="HO144" t="e">
        <f>AND(#REF!,"AAAAAEPntN4=")</f>
        <v>#REF!</v>
      </c>
      <c r="HP144" t="e">
        <f>AND(#REF!,"AAAAAEPntN8=")</f>
        <v>#REF!</v>
      </c>
      <c r="HQ144" t="e">
        <f>AND(#REF!,"AAAAAEPntOA=")</f>
        <v>#REF!</v>
      </c>
      <c r="HR144" t="e">
        <f>IF(#REF!,"AAAAAEPntOE=",0)</f>
        <v>#REF!</v>
      </c>
      <c r="HS144" t="e">
        <f>AND(#REF!,"AAAAAEPntOI=")</f>
        <v>#REF!</v>
      </c>
      <c r="HT144" t="e">
        <f>AND(#REF!,"AAAAAEPntOM=")</f>
        <v>#REF!</v>
      </c>
      <c r="HU144" t="e">
        <f>AND(#REF!,"AAAAAEPntOQ=")</f>
        <v>#REF!</v>
      </c>
      <c r="HV144" t="e">
        <f>AND(#REF!,"AAAAAEPntOU=")</f>
        <v>#REF!</v>
      </c>
      <c r="HW144" t="e">
        <f>AND(#REF!,"AAAAAEPntOY=")</f>
        <v>#REF!</v>
      </c>
      <c r="HX144" t="e">
        <f>AND(#REF!,"AAAAAEPntOc=")</f>
        <v>#REF!</v>
      </c>
      <c r="HY144" t="e">
        <f>AND(#REF!,"AAAAAEPntOg=")</f>
        <v>#REF!</v>
      </c>
      <c r="HZ144" t="e">
        <f>AND(#REF!,"AAAAAEPntOk=")</f>
        <v>#REF!</v>
      </c>
      <c r="IA144" t="e">
        <f>AND(#REF!,"AAAAAEPntOo=")</f>
        <v>#REF!</v>
      </c>
      <c r="IB144" t="e">
        <f>AND(#REF!,"AAAAAEPntOs=")</f>
        <v>#REF!</v>
      </c>
      <c r="IC144" t="e">
        <f>IF(#REF!,"AAAAAEPntOw=",0)</f>
        <v>#REF!</v>
      </c>
      <c r="ID144" t="e">
        <f>AND(#REF!,"AAAAAEPntO0=")</f>
        <v>#REF!</v>
      </c>
      <c r="IE144" t="e">
        <f>AND(#REF!,"AAAAAEPntO4=")</f>
        <v>#REF!</v>
      </c>
      <c r="IF144" t="e">
        <f>AND(#REF!,"AAAAAEPntO8=")</f>
        <v>#REF!</v>
      </c>
      <c r="IG144" t="e">
        <f>AND(#REF!,"AAAAAEPntPA=")</f>
        <v>#REF!</v>
      </c>
      <c r="IH144" t="e">
        <f>AND(#REF!,"AAAAAEPntPE=")</f>
        <v>#REF!</v>
      </c>
      <c r="II144" t="e">
        <f>AND(#REF!,"AAAAAEPntPI=")</f>
        <v>#REF!</v>
      </c>
      <c r="IJ144" t="e">
        <f>AND(#REF!,"AAAAAEPntPM=")</f>
        <v>#REF!</v>
      </c>
      <c r="IK144" t="e">
        <f>AND(#REF!,"AAAAAEPntPQ=")</f>
        <v>#REF!</v>
      </c>
      <c r="IL144" t="e">
        <f>AND(#REF!,"AAAAAEPntPU=")</f>
        <v>#REF!</v>
      </c>
      <c r="IM144" t="e">
        <f>AND(#REF!,"AAAAAEPntPY=")</f>
        <v>#REF!</v>
      </c>
      <c r="IN144" t="e">
        <f>IF(#REF!,"AAAAAEPntPc=",0)</f>
        <v>#REF!</v>
      </c>
      <c r="IO144" t="e">
        <f>AND(#REF!,"AAAAAEPntPg=")</f>
        <v>#REF!</v>
      </c>
      <c r="IP144" t="e">
        <f>AND(#REF!,"AAAAAEPntPk=")</f>
        <v>#REF!</v>
      </c>
      <c r="IQ144" t="e">
        <f>AND(#REF!,"AAAAAEPntPo=")</f>
        <v>#REF!</v>
      </c>
      <c r="IR144" t="e">
        <f>AND(#REF!,"AAAAAEPntPs=")</f>
        <v>#REF!</v>
      </c>
      <c r="IS144" t="e">
        <f>AND(#REF!,"AAAAAEPntPw=")</f>
        <v>#REF!</v>
      </c>
      <c r="IT144" t="e">
        <f>AND(#REF!,"AAAAAEPntP0=")</f>
        <v>#REF!</v>
      </c>
      <c r="IU144" t="e">
        <f>AND(#REF!,"AAAAAEPntP4=")</f>
        <v>#REF!</v>
      </c>
      <c r="IV144" t="e">
        <f>AND(#REF!,"AAAAAEPntP8=")</f>
        <v>#REF!</v>
      </c>
    </row>
    <row r="145" spans="1:256" x14ac:dyDescent="0.25">
      <c r="A145" t="e">
        <f>AND(#REF!,"AAAAAB/A2AA=")</f>
        <v>#REF!</v>
      </c>
      <c r="B145" t="e">
        <f>AND(#REF!,"AAAAAB/A2AE=")</f>
        <v>#REF!</v>
      </c>
      <c r="C145" t="e">
        <f>IF(#REF!,"AAAAAB/A2AI=",0)</f>
        <v>#REF!</v>
      </c>
      <c r="D145" t="e">
        <f>AND(#REF!,"AAAAAB/A2AM=")</f>
        <v>#REF!</v>
      </c>
      <c r="E145" t="e">
        <f>AND(#REF!,"AAAAAB/A2AQ=")</f>
        <v>#REF!</v>
      </c>
      <c r="F145" t="e">
        <f>AND(#REF!,"AAAAAB/A2AU=")</f>
        <v>#REF!</v>
      </c>
      <c r="G145" t="e">
        <f>AND(#REF!,"AAAAAB/A2AY=")</f>
        <v>#REF!</v>
      </c>
      <c r="H145" t="e">
        <f>AND(#REF!,"AAAAAB/A2Ac=")</f>
        <v>#REF!</v>
      </c>
      <c r="I145" t="e">
        <f>AND(#REF!,"AAAAAB/A2Ag=")</f>
        <v>#REF!</v>
      </c>
      <c r="J145" t="e">
        <f>AND(#REF!,"AAAAAB/A2Ak=")</f>
        <v>#REF!</v>
      </c>
      <c r="K145" t="e">
        <f>AND(#REF!,"AAAAAB/A2Ao=")</f>
        <v>#REF!</v>
      </c>
      <c r="L145" t="e">
        <f>AND(#REF!,"AAAAAB/A2As=")</f>
        <v>#REF!</v>
      </c>
      <c r="M145" t="e">
        <f>AND(#REF!,"AAAAAB/A2Aw=")</f>
        <v>#REF!</v>
      </c>
      <c r="N145" t="e">
        <f>IF(#REF!,"AAAAAB/A2A0=",0)</f>
        <v>#REF!</v>
      </c>
      <c r="O145" t="e">
        <f>AND(#REF!,"AAAAAB/A2A4=")</f>
        <v>#REF!</v>
      </c>
      <c r="P145" t="e">
        <f>AND(#REF!,"AAAAAB/A2A8=")</f>
        <v>#REF!</v>
      </c>
      <c r="Q145" t="e">
        <f>AND(#REF!,"AAAAAB/A2BA=")</f>
        <v>#REF!</v>
      </c>
      <c r="R145" t="e">
        <f>AND(#REF!,"AAAAAB/A2BE=")</f>
        <v>#REF!</v>
      </c>
      <c r="S145" t="e">
        <f>AND(#REF!,"AAAAAB/A2BI=")</f>
        <v>#REF!</v>
      </c>
      <c r="T145" t="e">
        <f>AND(#REF!,"AAAAAB/A2BM=")</f>
        <v>#REF!</v>
      </c>
      <c r="U145" t="e">
        <f>AND(#REF!,"AAAAAB/A2BQ=")</f>
        <v>#REF!</v>
      </c>
      <c r="V145" t="e">
        <f>AND(#REF!,"AAAAAB/A2BU=")</f>
        <v>#REF!</v>
      </c>
      <c r="W145" t="e">
        <f>AND(#REF!,"AAAAAB/A2BY=")</f>
        <v>#REF!</v>
      </c>
      <c r="X145" t="e">
        <f>AND(#REF!,"AAAAAB/A2Bc=")</f>
        <v>#REF!</v>
      </c>
      <c r="Y145" t="e">
        <f>IF(#REF!,"AAAAAB/A2Bg=",0)</f>
        <v>#REF!</v>
      </c>
      <c r="Z145" t="e">
        <f>AND(#REF!,"AAAAAB/A2Bk=")</f>
        <v>#REF!</v>
      </c>
      <c r="AA145" t="e">
        <f>AND(#REF!,"AAAAAB/A2Bo=")</f>
        <v>#REF!</v>
      </c>
      <c r="AB145" t="e">
        <f>AND(#REF!,"AAAAAB/A2Bs=")</f>
        <v>#REF!</v>
      </c>
      <c r="AC145" t="e">
        <f>AND(#REF!,"AAAAAB/A2Bw=")</f>
        <v>#REF!</v>
      </c>
      <c r="AD145" t="e">
        <f>AND(#REF!,"AAAAAB/A2B0=")</f>
        <v>#REF!</v>
      </c>
      <c r="AE145" t="e">
        <f>AND(#REF!,"AAAAAB/A2B4=")</f>
        <v>#REF!</v>
      </c>
      <c r="AF145" t="e">
        <f>AND(#REF!,"AAAAAB/A2B8=")</f>
        <v>#REF!</v>
      </c>
      <c r="AG145" t="e">
        <f>AND(#REF!,"AAAAAB/A2CA=")</f>
        <v>#REF!</v>
      </c>
      <c r="AH145" t="e">
        <f>AND(#REF!,"AAAAAB/A2CE=")</f>
        <v>#REF!</v>
      </c>
      <c r="AI145" t="e">
        <f>AND(#REF!,"AAAAAB/A2CI=")</f>
        <v>#REF!</v>
      </c>
      <c r="AJ145" t="e">
        <f>IF(#REF!,"AAAAAB/A2CM=",0)</f>
        <v>#REF!</v>
      </c>
      <c r="AK145" t="e">
        <f>AND(#REF!,"AAAAAB/A2CQ=")</f>
        <v>#REF!</v>
      </c>
      <c r="AL145" t="e">
        <f>AND(#REF!,"AAAAAB/A2CU=")</f>
        <v>#REF!</v>
      </c>
      <c r="AM145" t="e">
        <f>AND(#REF!,"AAAAAB/A2CY=")</f>
        <v>#REF!</v>
      </c>
      <c r="AN145" t="e">
        <f>AND(#REF!,"AAAAAB/A2Cc=")</f>
        <v>#REF!</v>
      </c>
      <c r="AO145" t="e">
        <f>AND(#REF!,"AAAAAB/A2Cg=")</f>
        <v>#REF!</v>
      </c>
      <c r="AP145" t="e">
        <f>AND(#REF!,"AAAAAB/A2Ck=")</f>
        <v>#REF!</v>
      </c>
      <c r="AQ145" t="e">
        <f>AND(#REF!,"AAAAAB/A2Co=")</f>
        <v>#REF!</v>
      </c>
      <c r="AR145" t="e">
        <f>AND(#REF!,"AAAAAB/A2Cs=")</f>
        <v>#REF!</v>
      </c>
      <c r="AS145" t="e">
        <f>AND(#REF!,"AAAAAB/A2Cw=")</f>
        <v>#REF!</v>
      </c>
      <c r="AT145" t="e">
        <f>AND(#REF!,"AAAAAB/A2C0=")</f>
        <v>#REF!</v>
      </c>
      <c r="AU145" t="e">
        <f>IF(#REF!,"AAAAAB/A2C4=",0)</f>
        <v>#REF!</v>
      </c>
      <c r="AV145" t="e">
        <f>AND(#REF!,"AAAAAB/A2C8=")</f>
        <v>#REF!</v>
      </c>
      <c r="AW145" t="e">
        <f>AND(#REF!,"AAAAAB/A2DA=")</f>
        <v>#REF!</v>
      </c>
      <c r="AX145" t="e">
        <f>AND(#REF!,"AAAAAB/A2DE=")</f>
        <v>#REF!</v>
      </c>
      <c r="AY145" t="e">
        <f>AND(#REF!,"AAAAAB/A2DI=")</f>
        <v>#REF!</v>
      </c>
      <c r="AZ145" t="e">
        <f>AND(#REF!,"AAAAAB/A2DM=")</f>
        <v>#REF!</v>
      </c>
      <c r="BA145" t="e">
        <f>AND(#REF!,"AAAAAB/A2DQ=")</f>
        <v>#REF!</v>
      </c>
      <c r="BB145" t="e">
        <f>AND(#REF!,"AAAAAB/A2DU=")</f>
        <v>#REF!</v>
      </c>
      <c r="BC145" t="e">
        <f>AND(#REF!,"AAAAAB/A2DY=")</f>
        <v>#REF!</v>
      </c>
      <c r="BD145" t="e">
        <f>AND(#REF!,"AAAAAB/A2Dc=")</f>
        <v>#REF!</v>
      </c>
      <c r="BE145" t="e">
        <f>AND(#REF!,"AAAAAB/A2Dg=")</f>
        <v>#REF!</v>
      </c>
      <c r="BF145" t="e">
        <f>IF(#REF!,"AAAAAB/A2Dk=",0)</f>
        <v>#REF!</v>
      </c>
      <c r="BG145" t="e">
        <f>AND(#REF!,"AAAAAB/A2Do=")</f>
        <v>#REF!</v>
      </c>
      <c r="BH145" t="e">
        <f>AND(#REF!,"AAAAAB/A2Ds=")</f>
        <v>#REF!</v>
      </c>
      <c r="BI145" t="e">
        <f>AND(#REF!,"AAAAAB/A2Dw=")</f>
        <v>#REF!</v>
      </c>
      <c r="BJ145" t="e">
        <f>AND(#REF!,"AAAAAB/A2D0=")</f>
        <v>#REF!</v>
      </c>
      <c r="BK145" t="e">
        <f>AND(#REF!,"AAAAAB/A2D4=")</f>
        <v>#REF!</v>
      </c>
      <c r="BL145" t="e">
        <f>AND(#REF!,"AAAAAB/A2D8=")</f>
        <v>#REF!</v>
      </c>
      <c r="BM145" t="e">
        <f>AND(#REF!,"AAAAAB/A2EA=")</f>
        <v>#REF!</v>
      </c>
      <c r="BN145" t="e">
        <f>AND(#REF!,"AAAAAB/A2EE=")</f>
        <v>#REF!</v>
      </c>
      <c r="BO145" t="e">
        <f>AND(#REF!,"AAAAAB/A2EI=")</f>
        <v>#REF!</v>
      </c>
      <c r="BP145" t="e">
        <f>AND(#REF!,"AAAAAB/A2EM=")</f>
        <v>#REF!</v>
      </c>
      <c r="BQ145" t="e">
        <f>IF(#REF!,"AAAAAB/A2EQ=",0)</f>
        <v>#REF!</v>
      </c>
      <c r="BR145" t="e">
        <f>AND(#REF!,"AAAAAB/A2EU=")</f>
        <v>#REF!</v>
      </c>
      <c r="BS145" t="e">
        <f>AND(#REF!,"AAAAAB/A2EY=")</f>
        <v>#REF!</v>
      </c>
      <c r="BT145" t="e">
        <f>AND(#REF!,"AAAAAB/A2Ec=")</f>
        <v>#REF!</v>
      </c>
      <c r="BU145" t="e">
        <f>AND(#REF!,"AAAAAB/A2Eg=")</f>
        <v>#REF!</v>
      </c>
      <c r="BV145" t="e">
        <f>AND(#REF!,"AAAAAB/A2Ek=")</f>
        <v>#REF!</v>
      </c>
      <c r="BW145" t="e">
        <f>AND(#REF!,"AAAAAB/A2Eo=")</f>
        <v>#REF!</v>
      </c>
      <c r="BX145" t="e">
        <f>AND(#REF!,"AAAAAB/A2Es=")</f>
        <v>#REF!</v>
      </c>
      <c r="BY145" t="e">
        <f>AND(#REF!,"AAAAAB/A2Ew=")</f>
        <v>#REF!</v>
      </c>
      <c r="BZ145" t="e">
        <f>AND(#REF!,"AAAAAB/A2E0=")</f>
        <v>#REF!</v>
      </c>
      <c r="CA145" t="e">
        <f>AND(#REF!,"AAAAAB/A2E4=")</f>
        <v>#REF!</v>
      </c>
      <c r="CB145" t="e">
        <f>IF(#REF!,"AAAAAB/A2E8=",0)</f>
        <v>#REF!</v>
      </c>
      <c r="CC145" t="e">
        <f>AND(#REF!,"AAAAAB/A2FA=")</f>
        <v>#REF!</v>
      </c>
      <c r="CD145" t="e">
        <f>AND(#REF!,"AAAAAB/A2FE=")</f>
        <v>#REF!</v>
      </c>
      <c r="CE145" t="e">
        <f>AND(#REF!,"AAAAAB/A2FI=")</f>
        <v>#REF!</v>
      </c>
      <c r="CF145" t="e">
        <f>AND(#REF!,"AAAAAB/A2FM=")</f>
        <v>#REF!</v>
      </c>
      <c r="CG145" t="e">
        <f>AND(#REF!,"AAAAAB/A2FQ=")</f>
        <v>#REF!</v>
      </c>
      <c r="CH145" t="e">
        <f>AND(#REF!,"AAAAAB/A2FU=")</f>
        <v>#REF!</v>
      </c>
      <c r="CI145" t="e">
        <f>AND(#REF!,"AAAAAB/A2FY=")</f>
        <v>#REF!</v>
      </c>
      <c r="CJ145" t="e">
        <f>AND(#REF!,"AAAAAB/A2Fc=")</f>
        <v>#REF!</v>
      </c>
      <c r="CK145" t="e">
        <f>AND(#REF!,"AAAAAB/A2Fg=")</f>
        <v>#REF!</v>
      </c>
      <c r="CL145" t="e">
        <f>AND(#REF!,"AAAAAB/A2Fk=")</f>
        <v>#REF!</v>
      </c>
      <c r="CM145" t="e">
        <f>IF(#REF!,"AAAAAB/A2Fo=",0)</f>
        <v>#REF!</v>
      </c>
      <c r="CN145" t="e">
        <f>AND(#REF!,"AAAAAB/A2Fs=")</f>
        <v>#REF!</v>
      </c>
      <c r="CO145" t="e">
        <f>AND(#REF!,"AAAAAB/A2Fw=")</f>
        <v>#REF!</v>
      </c>
      <c r="CP145" t="e">
        <f>AND(#REF!,"AAAAAB/A2F0=")</f>
        <v>#REF!</v>
      </c>
      <c r="CQ145" t="e">
        <f>AND(#REF!,"AAAAAB/A2F4=")</f>
        <v>#REF!</v>
      </c>
      <c r="CR145" t="e">
        <f>AND(#REF!,"AAAAAB/A2F8=")</f>
        <v>#REF!</v>
      </c>
      <c r="CS145" t="e">
        <f>AND(#REF!,"AAAAAB/A2GA=")</f>
        <v>#REF!</v>
      </c>
      <c r="CT145" t="e">
        <f>AND(#REF!,"AAAAAB/A2GE=")</f>
        <v>#REF!</v>
      </c>
      <c r="CU145" t="e">
        <f>AND(#REF!,"AAAAAB/A2GI=")</f>
        <v>#REF!</v>
      </c>
      <c r="CV145" t="e">
        <f>AND(#REF!,"AAAAAB/A2GM=")</f>
        <v>#REF!</v>
      </c>
      <c r="CW145" t="e">
        <f>AND(#REF!,"AAAAAB/A2GQ=")</f>
        <v>#REF!</v>
      </c>
      <c r="CX145" t="e">
        <f>IF(#REF!,"AAAAAB/A2GU=",0)</f>
        <v>#REF!</v>
      </c>
      <c r="CY145" t="e">
        <f>AND(#REF!,"AAAAAB/A2GY=")</f>
        <v>#REF!</v>
      </c>
      <c r="CZ145" t="e">
        <f>AND(#REF!,"AAAAAB/A2Gc=")</f>
        <v>#REF!</v>
      </c>
      <c r="DA145" t="e">
        <f>AND(#REF!,"AAAAAB/A2Gg=")</f>
        <v>#REF!</v>
      </c>
      <c r="DB145" t="e">
        <f>AND(#REF!,"AAAAAB/A2Gk=")</f>
        <v>#REF!</v>
      </c>
      <c r="DC145" t="e">
        <f>AND(#REF!,"AAAAAB/A2Go=")</f>
        <v>#REF!</v>
      </c>
      <c r="DD145" t="e">
        <f>AND(#REF!,"AAAAAB/A2Gs=")</f>
        <v>#REF!</v>
      </c>
      <c r="DE145" t="e">
        <f>AND(#REF!,"AAAAAB/A2Gw=")</f>
        <v>#REF!</v>
      </c>
      <c r="DF145" t="e">
        <f>AND(#REF!,"AAAAAB/A2G0=")</f>
        <v>#REF!</v>
      </c>
      <c r="DG145" t="e">
        <f>AND(#REF!,"AAAAAB/A2G4=")</f>
        <v>#REF!</v>
      </c>
      <c r="DH145" t="e">
        <f>AND(#REF!,"AAAAAB/A2G8=")</f>
        <v>#REF!</v>
      </c>
      <c r="DI145" t="e">
        <f>IF(#REF!,"AAAAAB/A2HA=",0)</f>
        <v>#REF!</v>
      </c>
      <c r="DJ145" t="e">
        <f>AND(#REF!,"AAAAAB/A2HE=")</f>
        <v>#REF!</v>
      </c>
      <c r="DK145" t="e">
        <f>AND(#REF!,"AAAAAB/A2HI=")</f>
        <v>#REF!</v>
      </c>
      <c r="DL145" t="e">
        <f>AND(#REF!,"AAAAAB/A2HM=")</f>
        <v>#REF!</v>
      </c>
      <c r="DM145" t="e">
        <f>AND(#REF!,"AAAAAB/A2HQ=")</f>
        <v>#REF!</v>
      </c>
      <c r="DN145" t="e">
        <f>AND(#REF!,"AAAAAB/A2HU=")</f>
        <v>#REF!</v>
      </c>
      <c r="DO145" t="e">
        <f>AND(#REF!,"AAAAAB/A2HY=")</f>
        <v>#REF!</v>
      </c>
      <c r="DP145" t="e">
        <f>AND(#REF!,"AAAAAB/A2Hc=")</f>
        <v>#REF!</v>
      </c>
      <c r="DQ145" t="e">
        <f>AND(#REF!,"AAAAAB/A2Hg=")</f>
        <v>#REF!</v>
      </c>
      <c r="DR145" t="e">
        <f>AND(#REF!,"AAAAAB/A2Hk=")</f>
        <v>#REF!</v>
      </c>
      <c r="DS145" t="e">
        <f>AND(#REF!,"AAAAAB/A2Ho=")</f>
        <v>#REF!</v>
      </c>
      <c r="DT145" t="e">
        <f>IF(#REF!,"AAAAAB/A2Hs=",0)</f>
        <v>#REF!</v>
      </c>
      <c r="DU145" t="e">
        <f>AND(#REF!,"AAAAAB/A2Hw=")</f>
        <v>#REF!</v>
      </c>
      <c r="DV145" t="e">
        <f>AND(#REF!,"AAAAAB/A2H0=")</f>
        <v>#REF!</v>
      </c>
      <c r="DW145" t="e">
        <f>AND(#REF!,"AAAAAB/A2H4=")</f>
        <v>#REF!</v>
      </c>
      <c r="DX145" t="e">
        <f>AND(#REF!,"AAAAAB/A2H8=")</f>
        <v>#REF!</v>
      </c>
      <c r="DY145" t="e">
        <f>AND(#REF!,"AAAAAB/A2IA=")</f>
        <v>#REF!</v>
      </c>
      <c r="DZ145" t="e">
        <f>AND(#REF!,"AAAAAB/A2IE=")</f>
        <v>#REF!</v>
      </c>
      <c r="EA145" t="e">
        <f>AND(#REF!,"AAAAAB/A2II=")</f>
        <v>#REF!</v>
      </c>
      <c r="EB145" t="e">
        <f>AND(#REF!,"AAAAAB/A2IM=")</f>
        <v>#REF!</v>
      </c>
      <c r="EC145" t="e">
        <f>AND(#REF!,"AAAAAB/A2IQ=")</f>
        <v>#REF!</v>
      </c>
      <c r="ED145" t="e">
        <f>AND(#REF!,"AAAAAB/A2IU=")</f>
        <v>#REF!</v>
      </c>
      <c r="EE145" t="e">
        <f>IF(#REF!,"AAAAAB/A2IY=",0)</f>
        <v>#REF!</v>
      </c>
      <c r="EF145" t="e">
        <f>AND(#REF!,"AAAAAB/A2Ic=")</f>
        <v>#REF!</v>
      </c>
      <c r="EG145" t="e">
        <f>AND(#REF!,"AAAAAB/A2Ig=")</f>
        <v>#REF!</v>
      </c>
      <c r="EH145" t="e">
        <f>AND(#REF!,"AAAAAB/A2Ik=")</f>
        <v>#REF!</v>
      </c>
      <c r="EI145" t="e">
        <f>AND(#REF!,"AAAAAB/A2Io=")</f>
        <v>#REF!</v>
      </c>
      <c r="EJ145" t="e">
        <f>AND(#REF!,"AAAAAB/A2Is=")</f>
        <v>#REF!</v>
      </c>
      <c r="EK145" t="e">
        <f>AND(#REF!,"AAAAAB/A2Iw=")</f>
        <v>#REF!</v>
      </c>
      <c r="EL145" t="e">
        <f>AND(#REF!,"AAAAAB/A2I0=")</f>
        <v>#REF!</v>
      </c>
      <c r="EM145" t="e">
        <f>AND(#REF!,"AAAAAB/A2I4=")</f>
        <v>#REF!</v>
      </c>
      <c r="EN145" t="e">
        <f>AND(#REF!,"AAAAAB/A2I8=")</f>
        <v>#REF!</v>
      </c>
      <c r="EO145" t="e">
        <f>AND(#REF!,"AAAAAB/A2JA=")</f>
        <v>#REF!</v>
      </c>
      <c r="EP145" t="e">
        <f>IF(#REF!,"AAAAAB/A2JE=",0)</f>
        <v>#REF!</v>
      </c>
      <c r="EQ145" t="e">
        <f>AND(#REF!,"AAAAAB/A2JI=")</f>
        <v>#REF!</v>
      </c>
      <c r="ER145" t="e">
        <f>AND(#REF!,"AAAAAB/A2JM=")</f>
        <v>#REF!</v>
      </c>
      <c r="ES145" t="e">
        <f>AND(#REF!,"AAAAAB/A2JQ=")</f>
        <v>#REF!</v>
      </c>
      <c r="ET145" t="e">
        <f>AND(#REF!,"AAAAAB/A2JU=")</f>
        <v>#REF!</v>
      </c>
      <c r="EU145" t="e">
        <f>AND(#REF!,"AAAAAB/A2JY=")</f>
        <v>#REF!</v>
      </c>
      <c r="EV145" t="e">
        <f>AND(#REF!,"AAAAAB/A2Jc=")</f>
        <v>#REF!</v>
      </c>
      <c r="EW145" t="e">
        <f>AND(#REF!,"AAAAAB/A2Jg=")</f>
        <v>#REF!</v>
      </c>
      <c r="EX145" t="e">
        <f>AND(#REF!,"AAAAAB/A2Jk=")</f>
        <v>#REF!</v>
      </c>
      <c r="EY145" t="e">
        <f>AND(#REF!,"AAAAAB/A2Jo=")</f>
        <v>#REF!</v>
      </c>
      <c r="EZ145" t="e">
        <f>AND(#REF!,"AAAAAB/A2Js=")</f>
        <v>#REF!</v>
      </c>
      <c r="FA145" t="e">
        <f>IF(#REF!,"AAAAAB/A2Jw=",0)</f>
        <v>#REF!</v>
      </c>
      <c r="FB145" t="e">
        <f>AND(#REF!,"AAAAAB/A2J0=")</f>
        <v>#REF!</v>
      </c>
      <c r="FC145" t="e">
        <f>AND(#REF!,"AAAAAB/A2J4=")</f>
        <v>#REF!</v>
      </c>
      <c r="FD145" t="e">
        <f>AND(#REF!,"AAAAAB/A2J8=")</f>
        <v>#REF!</v>
      </c>
      <c r="FE145" t="e">
        <f>AND(#REF!,"AAAAAB/A2KA=")</f>
        <v>#REF!</v>
      </c>
      <c r="FF145" t="e">
        <f>AND(#REF!,"AAAAAB/A2KE=")</f>
        <v>#REF!</v>
      </c>
      <c r="FG145" t="e">
        <f>AND(#REF!,"AAAAAB/A2KI=")</f>
        <v>#REF!</v>
      </c>
      <c r="FH145" t="e">
        <f>AND(#REF!,"AAAAAB/A2KM=")</f>
        <v>#REF!</v>
      </c>
      <c r="FI145" t="e">
        <f>AND(#REF!,"AAAAAB/A2KQ=")</f>
        <v>#REF!</v>
      </c>
      <c r="FJ145" t="e">
        <f>AND(#REF!,"AAAAAB/A2KU=")</f>
        <v>#REF!</v>
      </c>
      <c r="FK145" t="e">
        <f>AND(#REF!,"AAAAAB/A2KY=")</f>
        <v>#REF!</v>
      </c>
      <c r="FL145" t="e">
        <f>IF(#REF!,"AAAAAB/A2Kc=",0)</f>
        <v>#REF!</v>
      </c>
      <c r="FM145" t="e">
        <f>AND(#REF!,"AAAAAB/A2Kg=")</f>
        <v>#REF!</v>
      </c>
      <c r="FN145" t="e">
        <f>AND(#REF!,"AAAAAB/A2Kk=")</f>
        <v>#REF!</v>
      </c>
      <c r="FO145" t="e">
        <f>AND(#REF!,"AAAAAB/A2Ko=")</f>
        <v>#REF!</v>
      </c>
      <c r="FP145" t="e">
        <f>AND(#REF!,"AAAAAB/A2Ks=")</f>
        <v>#REF!</v>
      </c>
      <c r="FQ145" t="e">
        <f>AND(#REF!,"AAAAAB/A2Kw=")</f>
        <v>#REF!</v>
      </c>
      <c r="FR145" t="e">
        <f>AND(#REF!,"AAAAAB/A2K0=")</f>
        <v>#REF!</v>
      </c>
      <c r="FS145" t="e">
        <f>AND(#REF!,"AAAAAB/A2K4=")</f>
        <v>#REF!</v>
      </c>
      <c r="FT145" t="e">
        <f>AND(#REF!,"AAAAAB/A2K8=")</f>
        <v>#REF!</v>
      </c>
      <c r="FU145" t="e">
        <f>AND(#REF!,"AAAAAB/A2LA=")</f>
        <v>#REF!</v>
      </c>
      <c r="FV145" t="e">
        <f>AND(#REF!,"AAAAAB/A2LE=")</f>
        <v>#REF!</v>
      </c>
      <c r="FW145" t="e">
        <f>IF(#REF!,"AAAAAB/A2LI=",0)</f>
        <v>#REF!</v>
      </c>
      <c r="FX145" t="e">
        <f>AND(#REF!,"AAAAAB/A2LM=")</f>
        <v>#REF!</v>
      </c>
      <c r="FY145" t="e">
        <f>AND(#REF!,"AAAAAB/A2LQ=")</f>
        <v>#REF!</v>
      </c>
      <c r="FZ145" t="e">
        <f>AND(#REF!,"AAAAAB/A2LU=")</f>
        <v>#REF!</v>
      </c>
      <c r="GA145" t="e">
        <f>AND(#REF!,"AAAAAB/A2LY=")</f>
        <v>#REF!</v>
      </c>
      <c r="GB145" t="e">
        <f>AND(#REF!,"AAAAAB/A2Lc=")</f>
        <v>#REF!</v>
      </c>
      <c r="GC145" t="e">
        <f>AND(#REF!,"AAAAAB/A2Lg=")</f>
        <v>#REF!</v>
      </c>
      <c r="GD145" t="e">
        <f>AND(#REF!,"AAAAAB/A2Lk=")</f>
        <v>#REF!</v>
      </c>
      <c r="GE145" t="e">
        <f>AND(#REF!,"AAAAAB/A2Lo=")</f>
        <v>#REF!</v>
      </c>
      <c r="GF145" t="e">
        <f>AND(#REF!,"AAAAAB/A2Ls=")</f>
        <v>#REF!</v>
      </c>
      <c r="GG145" t="e">
        <f>AND(#REF!,"AAAAAB/A2Lw=")</f>
        <v>#REF!</v>
      </c>
      <c r="GH145" t="e">
        <f>IF(#REF!,"AAAAAB/A2L0=",0)</f>
        <v>#REF!</v>
      </c>
      <c r="GI145" t="e">
        <f>AND(#REF!,"AAAAAB/A2L4=")</f>
        <v>#REF!</v>
      </c>
      <c r="GJ145" t="e">
        <f>AND(#REF!,"AAAAAB/A2L8=")</f>
        <v>#REF!</v>
      </c>
      <c r="GK145" t="e">
        <f>AND(#REF!,"AAAAAB/A2MA=")</f>
        <v>#REF!</v>
      </c>
      <c r="GL145" t="e">
        <f>AND(#REF!,"AAAAAB/A2ME=")</f>
        <v>#REF!</v>
      </c>
      <c r="GM145" t="e">
        <f>AND(#REF!,"AAAAAB/A2MI=")</f>
        <v>#REF!</v>
      </c>
      <c r="GN145" t="e">
        <f>AND(#REF!,"AAAAAB/A2MM=")</f>
        <v>#REF!</v>
      </c>
      <c r="GO145" t="e">
        <f>AND(#REF!,"AAAAAB/A2MQ=")</f>
        <v>#REF!</v>
      </c>
      <c r="GP145" t="e">
        <f>AND(#REF!,"AAAAAB/A2MU=")</f>
        <v>#REF!</v>
      </c>
      <c r="GQ145" t="e">
        <f>AND(#REF!,"AAAAAB/A2MY=")</f>
        <v>#REF!</v>
      </c>
      <c r="GR145" t="e">
        <f>AND(#REF!,"AAAAAB/A2Mc=")</f>
        <v>#REF!</v>
      </c>
      <c r="GS145" t="e">
        <f>IF(#REF!,"AAAAAB/A2Mg=",0)</f>
        <v>#REF!</v>
      </c>
      <c r="GT145" t="e">
        <f>AND(#REF!,"AAAAAB/A2Mk=")</f>
        <v>#REF!</v>
      </c>
      <c r="GU145" t="e">
        <f>AND(#REF!,"AAAAAB/A2Mo=")</f>
        <v>#REF!</v>
      </c>
      <c r="GV145" t="e">
        <f>AND(#REF!,"AAAAAB/A2Ms=")</f>
        <v>#REF!</v>
      </c>
      <c r="GW145" t="e">
        <f>AND(#REF!,"AAAAAB/A2Mw=")</f>
        <v>#REF!</v>
      </c>
      <c r="GX145" t="e">
        <f>AND(#REF!,"AAAAAB/A2M0=")</f>
        <v>#REF!</v>
      </c>
      <c r="GY145" t="e">
        <f>AND(#REF!,"AAAAAB/A2M4=")</f>
        <v>#REF!</v>
      </c>
      <c r="GZ145" t="e">
        <f>AND(#REF!,"AAAAAB/A2M8=")</f>
        <v>#REF!</v>
      </c>
      <c r="HA145" t="e">
        <f>AND(#REF!,"AAAAAB/A2NA=")</f>
        <v>#REF!</v>
      </c>
      <c r="HB145" t="e">
        <f>AND(#REF!,"AAAAAB/A2NE=")</f>
        <v>#REF!</v>
      </c>
      <c r="HC145" t="e">
        <f>AND(#REF!,"AAAAAB/A2NI=")</f>
        <v>#REF!</v>
      </c>
      <c r="HD145" t="e">
        <f>IF(#REF!,"AAAAAB/A2NM=",0)</f>
        <v>#REF!</v>
      </c>
      <c r="HE145" t="e">
        <f>AND(#REF!,"AAAAAB/A2NQ=")</f>
        <v>#REF!</v>
      </c>
      <c r="HF145" t="e">
        <f>AND(#REF!,"AAAAAB/A2NU=")</f>
        <v>#REF!</v>
      </c>
      <c r="HG145" t="e">
        <f>AND(#REF!,"AAAAAB/A2NY=")</f>
        <v>#REF!</v>
      </c>
      <c r="HH145" t="e">
        <f>AND(#REF!,"AAAAAB/A2Nc=")</f>
        <v>#REF!</v>
      </c>
      <c r="HI145" t="e">
        <f>AND(#REF!,"AAAAAB/A2Ng=")</f>
        <v>#REF!</v>
      </c>
      <c r="HJ145" t="e">
        <f>AND(#REF!,"AAAAAB/A2Nk=")</f>
        <v>#REF!</v>
      </c>
      <c r="HK145" t="e">
        <f>AND(#REF!,"AAAAAB/A2No=")</f>
        <v>#REF!</v>
      </c>
      <c r="HL145" t="e">
        <f>AND(#REF!,"AAAAAB/A2Ns=")</f>
        <v>#REF!</v>
      </c>
      <c r="HM145" t="e">
        <f>AND(#REF!,"AAAAAB/A2Nw=")</f>
        <v>#REF!</v>
      </c>
      <c r="HN145" t="e">
        <f>AND(#REF!,"AAAAAB/A2N0=")</f>
        <v>#REF!</v>
      </c>
      <c r="HO145" t="e">
        <f>IF(#REF!,"AAAAAB/A2N4=",0)</f>
        <v>#REF!</v>
      </c>
      <c r="HP145" t="e">
        <f>AND(#REF!,"AAAAAB/A2N8=")</f>
        <v>#REF!</v>
      </c>
      <c r="HQ145" t="e">
        <f>AND(#REF!,"AAAAAB/A2OA=")</f>
        <v>#REF!</v>
      </c>
      <c r="HR145" t="e">
        <f>AND(#REF!,"AAAAAB/A2OE=")</f>
        <v>#REF!</v>
      </c>
      <c r="HS145" t="e">
        <f>AND(#REF!,"AAAAAB/A2OI=")</f>
        <v>#REF!</v>
      </c>
      <c r="HT145" t="e">
        <f>AND(#REF!,"AAAAAB/A2OM=")</f>
        <v>#REF!</v>
      </c>
      <c r="HU145" t="e">
        <f>AND(#REF!,"AAAAAB/A2OQ=")</f>
        <v>#REF!</v>
      </c>
      <c r="HV145" t="e">
        <f>AND(#REF!,"AAAAAB/A2OU=")</f>
        <v>#REF!</v>
      </c>
      <c r="HW145" t="e">
        <f>AND(#REF!,"AAAAAB/A2OY=")</f>
        <v>#REF!</v>
      </c>
      <c r="HX145" t="e">
        <f>AND(#REF!,"AAAAAB/A2Oc=")</f>
        <v>#REF!</v>
      </c>
      <c r="HY145" t="e">
        <f>AND(#REF!,"AAAAAB/A2Og=")</f>
        <v>#REF!</v>
      </c>
      <c r="HZ145" t="e">
        <f>IF(#REF!,"AAAAAB/A2Ok=",0)</f>
        <v>#REF!</v>
      </c>
      <c r="IA145" t="e">
        <f>AND(#REF!,"AAAAAB/A2Oo=")</f>
        <v>#REF!</v>
      </c>
      <c r="IB145" t="e">
        <f>AND(#REF!,"AAAAAB/A2Os=")</f>
        <v>#REF!</v>
      </c>
      <c r="IC145" t="e">
        <f>AND(#REF!,"AAAAAB/A2Ow=")</f>
        <v>#REF!</v>
      </c>
      <c r="ID145" t="e">
        <f>AND(#REF!,"AAAAAB/A2O0=")</f>
        <v>#REF!</v>
      </c>
      <c r="IE145" t="e">
        <f>AND(#REF!,"AAAAAB/A2O4=")</f>
        <v>#REF!</v>
      </c>
      <c r="IF145" t="e">
        <f>AND(#REF!,"AAAAAB/A2O8=")</f>
        <v>#REF!</v>
      </c>
      <c r="IG145" t="e">
        <f>AND(#REF!,"AAAAAB/A2PA=")</f>
        <v>#REF!</v>
      </c>
      <c r="IH145" t="e">
        <f>AND(#REF!,"AAAAAB/A2PE=")</f>
        <v>#REF!</v>
      </c>
      <c r="II145" t="e">
        <f>AND(#REF!,"AAAAAB/A2PI=")</f>
        <v>#REF!</v>
      </c>
      <c r="IJ145" t="e">
        <f>AND(#REF!,"AAAAAB/A2PM=")</f>
        <v>#REF!</v>
      </c>
      <c r="IK145" t="e">
        <f>IF(#REF!,"AAAAAB/A2PQ=",0)</f>
        <v>#REF!</v>
      </c>
      <c r="IL145" t="e">
        <f>AND(#REF!,"AAAAAB/A2PU=")</f>
        <v>#REF!</v>
      </c>
      <c r="IM145" t="e">
        <f>AND(#REF!,"AAAAAB/A2PY=")</f>
        <v>#REF!</v>
      </c>
      <c r="IN145" t="e">
        <f>AND(#REF!,"AAAAAB/A2Pc=")</f>
        <v>#REF!</v>
      </c>
      <c r="IO145" t="e">
        <f>AND(#REF!,"AAAAAB/A2Pg=")</f>
        <v>#REF!</v>
      </c>
      <c r="IP145" t="e">
        <f>AND(#REF!,"AAAAAB/A2Pk=")</f>
        <v>#REF!</v>
      </c>
      <c r="IQ145" t="e">
        <f>AND(#REF!,"AAAAAB/A2Po=")</f>
        <v>#REF!</v>
      </c>
      <c r="IR145" t="e">
        <f>AND(#REF!,"AAAAAB/A2Ps=")</f>
        <v>#REF!</v>
      </c>
      <c r="IS145" t="e">
        <f>AND(#REF!,"AAAAAB/A2Pw=")</f>
        <v>#REF!</v>
      </c>
      <c r="IT145" t="e">
        <f>AND(#REF!,"AAAAAB/A2P0=")</f>
        <v>#REF!</v>
      </c>
      <c r="IU145" t="e">
        <f>AND(#REF!,"AAAAAB/A2P4=")</f>
        <v>#REF!</v>
      </c>
      <c r="IV145" t="e">
        <f>IF(#REF!,"AAAAAB/A2P8=",0)</f>
        <v>#REF!</v>
      </c>
    </row>
    <row r="146" spans="1:256" x14ac:dyDescent="0.25">
      <c r="A146" t="e">
        <f>AND(#REF!,"AAAAAFbP2wA=")</f>
        <v>#REF!</v>
      </c>
      <c r="B146" t="e">
        <f>AND(#REF!,"AAAAAFbP2wE=")</f>
        <v>#REF!</v>
      </c>
      <c r="C146" t="e">
        <f>AND(#REF!,"AAAAAFbP2wI=")</f>
        <v>#REF!</v>
      </c>
      <c r="D146" t="e">
        <f>AND(#REF!,"AAAAAFbP2wM=")</f>
        <v>#REF!</v>
      </c>
      <c r="E146" t="e">
        <f>AND(#REF!,"AAAAAFbP2wQ=")</f>
        <v>#REF!</v>
      </c>
      <c r="F146" t="e">
        <f>AND(#REF!,"AAAAAFbP2wU=")</f>
        <v>#REF!</v>
      </c>
      <c r="G146" t="e">
        <f>AND(#REF!,"AAAAAFbP2wY=")</f>
        <v>#REF!</v>
      </c>
      <c r="H146" t="e">
        <f>AND(#REF!,"AAAAAFbP2wc=")</f>
        <v>#REF!</v>
      </c>
      <c r="I146" t="e">
        <f>AND(#REF!,"AAAAAFbP2wg=")</f>
        <v>#REF!</v>
      </c>
      <c r="J146" t="e">
        <f>AND(#REF!,"AAAAAFbP2wk=")</f>
        <v>#REF!</v>
      </c>
      <c r="K146" t="e">
        <f>IF(#REF!,"AAAAAFbP2wo=",0)</f>
        <v>#REF!</v>
      </c>
      <c r="L146" t="e">
        <f>AND(#REF!,"AAAAAFbP2ws=")</f>
        <v>#REF!</v>
      </c>
      <c r="M146" t="e">
        <f>AND(#REF!,"AAAAAFbP2ww=")</f>
        <v>#REF!</v>
      </c>
      <c r="N146" t="e">
        <f>AND(#REF!,"AAAAAFbP2w0=")</f>
        <v>#REF!</v>
      </c>
      <c r="O146" t="e">
        <f>AND(#REF!,"AAAAAFbP2w4=")</f>
        <v>#REF!</v>
      </c>
      <c r="P146" t="e">
        <f>AND(#REF!,"AAAAAFbP2w8=")</f>
        <v>#REF!</v>
      </c>
      <c r="Q146" t="e">
        <f>AND(#REF!,"AAAAAFbP2xA=")</f>
        <v>#REF!</v>
      </c>
      <c r="R146" t="e">
        <f>AND(#REF!,"AAAAAFbP2xE=")</f>
        <v>#REF!</v>
      </c>
      <c r="S146" t="e">
        <f>AND(#REF!,"AAAAAFbP2xI=")</f>
        <v>#REF!</v>
      </c>
      <c r="T146" t="e">
        <f>AND(#REF!,"AAAAAFbP2xM=")</f>
        <v>#REF!</v>
      </c>
      <c r="U146" t="e">
        <f>AND(#REF!,"AAAAAFbP2xQ=")</f>
        <v>#REF!</v>
      </c>
      <c r="V146" t="e">
        <f>IF(#REF!,"AAAAAFbP2xU=",0)</f>
        <v>#REF!</v>
      </c>
      <c r="W146" t="e">
        <f>AND(#REF!,"AAAAAFbP2xY=")</f>
        <v>#REF!</v>
      </c>
      <c r="X146" t="e">
        <f>AND(#REF!,"AAAAAFbP2xc=")</f>
        <v>#REF!</v>
      </c>
      <c r="Y146" t="e">
        <f>AND(#REF!,"AAAAAFbP2xg=")</f>
        <v>#REF!</v>
      </c>
      <c r="Z146" t="e">
        <f>AND(#REF!,"AAAAAFbP2xk=")</f>
        <v>#REF!</v>
      </c>
      <c r="AA146" t="e">
        <f>AND(#REF!,"AAAAAFbP2xo=")</f>
        <v>#REF!</v>
      </c>
      <c r="AB146" t="e">
        <f>AND(#REF!,"AAAAAFbP2xs=")</f>
        <v>#REF!</v>
      </c>
      <c r="AC146" t="e">
        <f>AND(#REF!,"AAAAAFbP2xw=")</f>
        <v>#REF!</v>
      </c>
      <c r="AD146" t="e">
        <f>AND(#REF!,"AAAAAFbP2x0=")</f>
        <v>#REF!</v>
      </c>
      <c r="AE146" t="e">
        <f>AND(#REF!,"AAAAAFbP2x4=")</f>
        <v>#REF!</v>
      </c>
      <c r="AF146" t="e">
        <f>AND(#REF!,"AAAAAFbP2x8=")</f>
        <v>#REF!</v>
      </c>
      <c r="AG146" t="e">
        <f>IF(#REF!,"AAAAAFbP2yA=",0)</f>
        <v>#REF!</v>
      </c>
      <c r="AH146" t="e">
        <f>AND(#REF!,"AAAAAFbP2yE=")</f>
        <v>#REF!</v>
      </c>
      <c r="AI146" t="e">
        <f>AND(#REF!,"AAAAAFbP2yI=")</f>
        <v>#REF!</v>
      </c>
      <c r="AJ146" t="e">
        <f>AND(#REF!,"AAAAAFbP2yM=")</f>
        <v>#REF!</v>
      </c>
      <c r="AK146" t="e">
        <f>AND(#REF!,"AAAAAFbP2yQ=")</f>
        <v>#REF!</v>
      </c>
      <c r="AL146" t="e">
        <f>AND(#REF!,"AAAAAFbP2yU=")</f>
        <v>#REF!</v>
      </c>
      <c r="AM146" t="e">
        <f>AND(#REF!,"AAAAAFbP2yY=")</f>
        <v>#REF!</v>
      </c>
      <c r="AN146" t="e">
        <f>AND(#REF!,"AAAAAFbP2yc=")</f>
        <v>#REF!</v>
      </c>
      <c r="AO146" t="e">
        <f>AND(#REF!,"AAAAAFbP2yg=")</f>
        <v>#REF!</v>
      </c>
      <c r="AP146" t="e">
        <f>AND(#REF!,"AAAAAFbP2yk=")</f>
        <v>#REF!</v>
      </c>
      <c r="AQ146" t="e">
        <f>AND(#REF!,"AAAAAFbP2yo=")</f>
        <v>#REF!</v>
      </c>
      <c r="AR146" t="e">
        <f>IF(#REF!,"AAAAAFbP2ys=",0)</f>
        <v>#REF!</v>
      </c>
      <c r="AS146" t="e">
        <f>AND(#REF!,"AAAAAFbP2yw=")</f>
        <v>#REF!</v>
      </c>
      <c r="AT146" t="e">
        <f>AND(#REF!,"AAAAAFbP2y0=")</f>
        <v>#REF!</v>
      </c>
      <c r="AU146" t="e">
        <f>AND(#REF!,"AAAAAFbP2y4=")</f>
        <v>#REF!</v>
      </c>
      <c r="AV146" t="e">
        <f>AND(#REF!,"AAAAAFbP2y8=")</f>
        <v>#REF!</v>
      </c>
      <c r="AW146" t="e">
        <f>AND(#REF!,"AAAAAFbP2zA=")</f>
        <v>#REF!</v>
      </c>
      <c r="AX146" t="e">
        <f>AND(#REF!,"AAAAAFbP2zE=")</f>
        <v>#REF!</v>
      </c>
      <c r="AY146" t="e">
        <f>AND(#REF!,"AAAAAFbP2zI=")</f>
        <v>#REF!</v>
      </c>
      <c r="AZ146" t="e">
        <f>AND(#REF!,"AAAAAFbP2zM=")</f>
        <v>#REF!</v>
      </c>
      <c r="BA146" t="e">
        <f>AND(#REF!,"AAAAAFbP2zQ=")</f>
        <v>#REF!</v>
      </c>
      <c r="BB146" t="e">
        <f>AND(#REF!,"AAAAAFbP2zU=")</f>
        <v>#REF!</v>
      </c>
      <c r="BC146" t="e">
        <f>IF(#REF!,"AAAAAFbP2zY=",0)</f>
        <v>#REF!</v>
      </c>
      <c r="BD146" t="e">
        <f>AND(#REF!,"AAAAAFbP2zc=")</f>
        <v>#REF!</v>
      </c>
      <c r="BE146" t="e">
        <f>AND(#REF!,"AAAAAFbP2zg=")</f>
        <v>#REF!</v>
      </c>
      <c r="BF146" t="e">
        <f>AND(#REF!,"AAAAAFbP2zk=")</f>
        <v>#REF!</v>
      </c>
      <c r="BG146" t="e">
        <f>AND(#REF!,"AAAAAFbP2zo=")</f>
        <v>#REF!</v>
      </c>
      <c r="BH146" t="e">
        <f>AND(#REF!,"AAAAAFbP2zs=")</f>
        <v>#REF!</v>
      </c>
      <c r="BI146" t="e">
        <f>AND(#REF!,"AAAAAFbP2zw=")</f>
        <v>#REF!</v>
      </c>
      <c r="BJ146" t="e">
        <f>AND(#REF!,"AAAAAFbP2z0=")</f>
        <v>#REF!</v>
      </c>
      <c r="BK146" t="e">
        <f>AND(#REF!,"AAAAAFbP2z4=")</f>
        <v>#REF!</v>
      </c>
      <c r="BL146" t="e">
        <f>AND(#REF!,"AAAAAFbP2z8=")</f>
        <v>#REF!</v>
      </c>
      <c r="BM146" t="e">
        <f>AND(#REF!,"AAAAAFbP20A=")</f>
        <v>#REF!</v>
      </c>
      <c r="BN146" t="e">
        <f>IF(#REF!,"AAAAAFbP20E=",0)</f>
        <v>#REF!</v>
      </c>
      <c r="BO146" t="e">
        <f>AND(#REF!,"AAAAAFbP20I=")</f>
        <v>#REF!</v>
      </c>
      <c r="BP146" t="e">
        <f>AND(#REF!,"AAAAAFbP20M=")</f>
        <v>#REF!</v>
      </c>
      <c r="BQ146" t="e">
        <f>AND(#REF!,"AAAAAFbP20Q=")</f>
        <v>#REF!</v>
      </c>
      <c r="BR146" t="e">
        <f>AND(#REF!,"AAAAAFbP20U=")</f>
        <v>#REF!</v>
      </c>
      <c r="BS146" t="e">
        <f>AND(#REF!,"AAAAAFbP20Y=")</f>
        <v>#REF!</v>
      </c>
      <c r="BT146" t="e">
        <f>AND(#REF!,"AAAAAFbP20c=")</f>
        <v>#REF!</v>
      </c>
      <c r="BU146" t="e">
        <f>AND(#REF!,"AAAAAFbP20g=")</f>
        <v>#REF!</v>
      </c>
      <c r="BV146" t="e">
        <f>AND(#REF!,"AAAAAFbP20k=")</f>
        <v>#REF!</v>
      </c>
      <c r="BW146" t="e">
        <f>AND(#REF!,"AAAAAFbP20o=")</f>
        <v>#REF!</v>
      </c>
      <c r="BX146" t="e">
        <f>AND(#REF!,"AAAAAFbP20s=")</f>
        <v>#REF!</v>
      </c>
      <c r="BY146" t="e">
        <f>IF(#REF!,"AAAAAFbP20w=",0)</f>
        <v>#REF!</v>
      </c>
      <c r="BZ146" t="e">
        <f>AND(#REF!,"AAAAAFbP200=")</f>
        <v>#REF!</v>
      </c>
      <c r="CA146" t="e">
        <f>AND(#REF!,"AAAAAFbP204=")</f>
        <v>#REF!</v>
      </c>
      <c r="CB146" t="e">
        <f>AND(#REF!,"AAAAAFbP208=")</f>
        <v>#REF!</v>
      </c>
      <c r="CC146" t="e">
        <f>AND(#REF!,"AAAAAFbP21A=")</f>
        <v>#REF!</v>
      </c>
      <c r="CD146" t="e">
        <f>AND(#REF!,"AAAAAFbP21E=")</f>
        <v>#REF!</v>
      </c>
      <c r="CE146" t="e">
        <f>AND(#REF!,"AAAAAFbP21I=")</f>
        <v>#REF!</v>
      </c>
      <c r="CF146" t="e">
        <f>AND(#REF!,"AAAAAFbP21M=")</f>
        <v>#REF!</v>
      </c>
      <c r="CG146" t="e">
        <f>AND(#REF!,"AAAAAFbP21Q=")</f>
        <v>#REF!</v>
      </c>
      <c r="CH146" t="e">
        <f>AND(#REF!,"AAAAAFbP21U=")</f>
        <v>#REF!</v>
      </c>
      <c r="CI146" t="e">
        <f>AND(#REF!,"AAAAAFbP21Y=")</f>
        <v>#REF!</v>
      </c>
      <c r="CJ146" t="e">
        <f>IF(#REF!,"AAAAAFbP21c=",0)</f>
        <v>#REF!</v>
      </c>
      <c r="CK146" t="e">
        <f>AND(#REF!,"AAAAAFbP21g=")</f>
        <v>#REF!</v>
      </c>
      <c r="CL146" t="e">
        <f>AND(#REF!,"AAAAAFbP21k=")</f>
        <v>#REF!</v>
      </c>
      <c r="CM146" t="e">
        <f>AND(#REF!,"AAAAAFbP21o=")</f>
        <v>#REF!</v>
      </c>
      <c r="CN146" t="e">
        <f>AND(#REF!,"AAAAAFbP21s=")</f>
        <v>#REF!</v>
      </c>
      <c r="CO146" t="e">
        <f>AND(#REF!,"AAAAAFbP21w=")</f>
        <v>#REF!</v>
      </c>
      <c r="CP146" t="e">
        <f>AND(#REF!,"AAAAAFbP210=")</f>
        <v>#REF!</v>
      </c>
      <c r="CQ146" t="e">
        <f>AND(#REF!,"AAAAAFbP214=")</f>
        <v>#REF!</v>
      </c>
      <c r="CR146" t="e">
        <f>AND(#REF!,"AAAAAFbP218=")</f>
        <v>#REF!</v>
      </c>
      <c r="CS146" t="e">
        <f>AND(#REF!,"AAAAAFbP22A=")</f>
        <v>#REF!</v>
      </c>
      <c r="CT146" t="e">
        <f>AND(#REF!,"AAAAAFbP22E=")</f>
        <v>#REF!</v>
      </c>
      <c r="CU146" t="e">
        <f>IF(#REF!,"AAAAAFbP22I=",0)</f>
        <v>#REF!</v>
      </c>
      <c r="CV146" t="e">
        <f>AND(#REF!,"AAAAAFbP22M=")</f>
        <v>#REF!</v>
      </c>
      <c r="CW146" t="e">
        <f>AND(#REF!,"AAAAAFbP22Q=")</f>
        <v>#REF!</v>
      </c>
      <c r="CX146" t="e">
        <f>AND(#REF!,"AAAAAFbP22U=")</f>
        <v>#REF!</v>
      </c>
      <c r="CY146" t="e">
        <f>AND(#REF!,"AAAAAFbP22Y=")</f>
        <v>#REF!</v>
      </c>
      <c r="CZ146" t="e">
        <f>AND(#REF!,"AAAAAFbP22c=")</f>
        <v>#REF!</v>
      </c>
      <c r="DA146" t="e">
        <f>AND(#REF!,"AAAAAFbP22g=")</f>
        <v>#REF!</v>
      </c>
      <c r="DB146" t="e">
        <f>AND(#REF!,"AAAAAFbP22k=")</f>
        <v>#REF!</v>
      </c>
      <c r="DC146" t="e">
        <f>AND(#REF!,"AAAAAFbP22o=")</f>
        <v>#REF!</v>
      </c>
      <c r="DD146" t="e">
        <f>AND(#REF!,"AAAAAFbP22s=")</f>
        <v>#REF!</v>
      </c>
      <c r="DE146" t="e">
        <f>AND(#REF!,"AAAAAFbP22w=")</f>
        <v>#REF!</v>
      </c>
      <c r="DF146" t="e">
        <f>IF(#REF!,"AAAAAFbP220=",0)</f>
        <v>#REF!</v>
      </c>
      <c r="DG146" t="e">
        <f>AND(#REF!,"AAAAAFbP224=")</f>
        <v>#REF!</v>
      </c>
      <c r="DH146" t="e">
        <f>AND(#REF!,"AAAAAFbP228=")</f>
        <v>#REF!</v>
      </c>
      <c r="DI146" t="e">
        <f>AND(#REF!,"AAAAAFbP23A=")</f>
        <v>#REF!</v>
      </c>
      <c r="DJ146" t="e">
        <f>AND(#REF!,"AAAAAFbP23E=")</f>
        <v>#REF!</v>
      </c>
      <c r="DK146" t="e">
        <f>AND(#REF!,"AAAAAFbP23I=")</f>
        <v>#REF!</v>
      </c>
      <c r="DL146" t="e">
        <f>AND(#REF!,"AAAAAFbP23M=")</f>
        <v>#REF!</v>
      </c>
      <c r="DM146" t="e">
        <f>AND(#REF!,"AAAAAFbP23Q=")</f>
        <v>#REF!</v>
      </c>
      <c r="DN146" t="e">
        <f>AND(#REF!,"AAAAAFbP23U=")</f>
        <v>#REF!</v>
      </c>
      <c r="DO146" t="e">
        <f>AND(#REF!,"AAAAAFbP23Y=")</f>
        <v>#REF!</v>
      </c>
      <c r="DP146" t="e">
        <f>AND(#REF!,"AAAAAFbP23c=")</f>
        <v>#REF!</v>
      </c>
      <c r="DQ146" t="e">
        <f>IF(#REF!,"AAAAAFbP23g=",0)</f>
        <v>#REF!</v>
      </c>
      <c r="DR146" t="e">
        <f>AND(#REF!,"AAAAAFbP23k=")</f>
        <v>#REF!</v>
      </c>
      <c r="DS146" t="e">
        <f>AND(#REF!,"AAAAAFbP23o=")</f>
        <v>#REF!</v>
      </c>
      <c r="DT146" t="e">
        <f>AND(#REF!,"AAAAAFbP23s=")</f>
        <v>#REF!</v>
      </c>
      <c r="DU146" t="e">
        <f>AND(#REF!,"AAAAAFbP23w=")</f>
        <v>#REF!</v>
      </c>
      <c r="DV146" t="e">
        <f>AND(#REF!,"AAAAAFbP230=")</f>
        <v>#REF!</v>
      </c>
      <c r="DW146" t="e">
        <f>AND(#REF!,"AAAAAFbP234=")</f>
        <v>#REF!</v>
      </c>
      <c r="DX146" t="e">
        <f>AND(#REF!,"AAAAAFbP238=")</f>
        <v>#REF!</v>
      </c>
      <c r="DY146" t="e">
        <f>AND(#REF!,"AAAAAFbP24A=")</f>
        <v>#REF!</v>
      </c>
      <c r="DZ146" t="e">
        <f>AND(#REF!,"AAAAAFbP24E=")</f>
        <v>#REF!</v>
      </c>
      <c r="EA146" t="e">
        <f>AND(#REF!,"AAAAAFbP24I=")</f>
        <v>#REF!</v>
      </c>
      <c r="EB146" t="e">
        <f>IF(#REF!,"AAAAAFbP24M=",0)</f>
        <v>#REF!</v>
      </c>
      <c r="EC146" t="e">
        <f>AND(#REF!,"AAAAAFbP24Q=")</f>
        <v>#REF!</v>
      </c>
      <c r="ED146" t="e">
        <f>AND(#REF!,"AAAAAFbP24U=")</f>
        <v>#REF!</v>
      </c>
      <c r="EE146" t="e">
        <f>AND(#REF!,"AAAAAFbP24Y=")</f>
        <v>#REF!</v>
      </c>
      <c r="EF146" t="e">
        <f>AND(#REF!,"AAAAAFbP24c=")</f>
        <v>#REF!</v>
      </c>
      <c r="EG146" t="e">
        <f>AND(#REF!,"AAAAAFbP24g=")</f>
        <v>#REF!</v>
      </c>
      <c r="EH146" t="e">
        <f>AND(#REF!,"AAAAAFbP24k=")</f>
        <v>#REF!</v>
      </c>
      <c r="EI146" t="e">
        <f>AND(#REF!,"AAAAAFbP24o=")</f>
        <v>#REF!</v>
      </c>
      <c r="EJ146" t="e">
        <f>AND(#REF!,"AAAAAFbP24s=")</f>
        <v>#REF!</v>
      </c>
      <c r="EK146" t="e">
        <f>AND(#REF!,"AAAAAFbP24w=")</f>
        <v>#REF!</v>
      </c>
      <c r="EL146" t="e">
        <f>AND(#REF!,"AAAAAFbP240=")</f>
        <v>#REF!</v>
      </c>
      <c r="EM146" t="e">
        <f>IF(#REF!,"AAAAAFbP244=",0)</f>
        <v>#REF!</v>
      </c>
      <c r="EN146" t="e">
        <f>AND(#REF!,"AAAAAFbP248=")</f>
        <v>#REF!</v>
      </c>
      <c r="EO146" t="e">
        <f>AND(#REF!,"AAAAAFbP25A=")</f>
        <v>#REF!</v>
      </c>
      <c r="EP146" t="e">
        <f>AND(#REF!,"AAAAAFbP25E=")</f>
        <v>#REF!</v>
      </c>
      <c r="EQ146" t="e">
        <f>AND(#REF!,"AAAAAFbP25I=")</f>
        <v>#REF!</v>
      </c>
      <c r="ER146" t="e">
        <f>AND(#REF!,"AAAAAFbP25M=")</f>
        <v>#REF!</v>
      </c>
      <c r="ES146" t="e">
        <f>AND(#REF!,"AAAAAFbP25Q=")</f>
        <v>#REF!</v>
      </c>
      <c r="ET146" t="e">
        <f>AND(#REF!,"AAAAAFbP25U=")</f>
        <v>#REF!</v>
      </c>
      <c r="EU146" t="e">
        <f>AND(#REF!,"AAAAAFbP25Y=")</f>
        <v>#REF!</v>
      </c>
      <c r="EV146" t="e">
        <f>AND(#REF!,"AAAAAFbP25c=")</f>
        <v>#REF!</v>
      </c>
      <c r="EW146" t="e">
        <f>AND(#REF!,"AAAAAFbP25g=")</f>
        <v>#REF!</v>
      </c>
      <c r="EX146" t="e">
        <f>IF(#REF!,"AAAAAFbP25k=",0)</f>
        <v>#REF!</v>
      </c>
      <c r="EY146" t="e">
        <f>AND(#REF!,"AAAAAFbP25o=")</f>
        <v>#REF!</v>
      </c>
      <c r="EZ146" t="e">
        <f>AND(#REF!,"AAAAAFbP25s=")</f>
        <v>#REF!</v>
      </c>
      <c r="FA146" t="e">
        <f>AND(#REF!,"AAAAAFbP25w=")</f>
        <v>#REF!</v>
      </c>
      <c r="FB146" t="e">
        <f>AND(#REF!,"AAAAAFbP250=")</f>
        <v>#REF!</v>
      </c>
      <c r="FC146" t="e">
        <f>AND(#REF!,"AAAAAFbP254=")</f>
        <v>#REF!</v>
      </c>
      <c r="FD146" t="e">
        <f>AND(#REF!,"AAAAAFbP258=")</f>
        <v>#REF!</v>
      </c>
      <c r="FE146" t="e">
        <f>AND(#REF!,"AAAAAFbP26A=")</f>
        <v>#REF!</v>
      </c>
      <c r="FF146" t="e">
        <f>AND(#REF!,"AAAAAFbP26E=")</f>
        <v>#REF!</v>
      </c>
      <c r="FG146" t="e">
        <f>AND(#REF!,"AAAAAFbP26I=")</f>
        <v>#REF!</v>
      </c>
      <c r="FH146" t="e">
        <f>AND(#REF!,"AAAAAFbP26M=")</f>
        <v>#REF!</v>
      </c>
      <c r="FI146" t="e">
        <f>IF(#REF!,"AAAAAFbP26Q=",0)</f>
        <v>#REF!</v>
      </c>
      <c r="FJ146" t="e">
        <f>AND(#REF!,"AAAAAFbP26U=")</f>
        <v>#REF!</v>
      </c>
      <c r="FK146" t="e">
        <f>AND(#REF!,"AAAAAFbP26Y=")</f>
        <v>#REF!</v>
      </c>
      <c r="FL146" t="e">
        <f>AND(#REF!,"AAAAAFbP26c=")</f>
        <v>#REF!</v>
      </c>
      <c r="FM146" t="e">
        <f>AND(#REF!,"AAAAAFbP26g=")</f>
        <v>#REF!</v>
      </c>
      <c r="FN146" t="e">
        <f>AND(#REF!,"AAAAAFbP26k=")</f>
        <v>#REF!</v>
      </c>
      <c r="FO146" t="e">
        <f>AND(#REF!,"AAAAAFbP26o=")</f>
        <v>#REF!</v>
      </c>
      <c r="FP146" t="e">
        <f>AND(#REF!,"AAAAAFbP26s=")</f>
        <v>#REF!</v>
      </c>
      <c r="FQ146" t="e">
        <f>AND(#REF!,"AAAAAFbP26w=")</f>
        <v>#REF!</v>
      </c>
      <c r="FR146" t="e">
        <f>AND(#REF!,"AAAAAFbP260=")</f>
        <v>#REF!</v>
      </c>
      <c r="FS146" t="e">
        <f>AND(#REF!,"AAAAAFbP264=")</f>
        <v>#REF!</v>
      </c>
      <c r="FT146" t="e">
        <f>IF(#REF!,"AAAAAFbP268=",0)</f>
        <v>#REF!</v>
      </c>
      <c r="FU146" t="e">
        <f>AND(#REF!,"AAAAAFbP27A=")</f>
        <v>#REF!</v>
      </c>
      <c r="FV146" t="e">
        <f>AND(#REF!,"AAAAAFbP27E=")</f>
        <v>#REF!</v>
      </c>
      <c r="FW146" t="e">
        <f>AND(#REF!,"AAAAAFbP27I=")</f>
        <v>#REF!</v>
      </c>
      <c r="FX146" t="e">
        <f>AND(#REF!,"AAAAAFbP27M=")</f>
        <v>#REF!</v>
      </c>
      <c r="FY146" t="e">
        <f>AND(#REF!,"AAAAAFbP27Q=")</f>
        <v>#REF!</v>
      </c>
      <c r="FZ146" t="e">
        <f>AND(#REF!,"AAAAAFbP27U=")</f>
        <v>#REF!</v>
      </c>
      <c r="GA146" t="e">
        <f>AND(#REF!,"AAAAAFbP27Y=")</f>
        <v>#REF!</v>
      </c>
      <c r="GB146" t="e">
        <f>AND(#REF!,"AAAAAFbP27c=")</f>
        <v>#REF!</v>
      </c>
      <c r="GC146" t="e">
        <f>AND(#REF!,"AAAAAFbP27g=")</f>
        <v>#REF!</v>
      </c>
      <c r="GD146" t="e">
        <f>AND(#REF!,"AAAAAFbP27k=")</f>
        <v>#REF!</v>
      </c>
      <c r="GE146" t="e">
        <f>IF(#REF!,"AAAAAFbP27o=",0)</f>
        <v>#REF!</v>
      </c>
      <c r="GF146" t="e">
        <f>AND(#REF!,"AAAAAFbP27s=")</f>
        <v>#REF!</v>
      </c>
      <c r="GG146" t="e">
        <f>AND(#REF!,"AAAAAFbP27w=")</f>
        <v>#REF!</v>
      </c>
      <c r="GH146" t="e">
        <f>AND(#REF!,"AAAAAFbP270=")</f>
        <v>#REF!</v>
      </c>
      <c r="GI146" t="e">
        <f>AND(#REF!,"AAAAAFbP274=")</f>
        <v>#REF!</v>
      </c>
      <c r="GJ146" t="e">
        <f>AND(#REF!,"AAAAAFbP278=")</f>
        <v>#REF!</v>
      </c>
      <c r="GK146" t="e">
        <f>AND(#REF!,"AAAAAFbP28A=")</f>
        <v>#REF!</v>
      </c>
      <c r="GL146" t="e">
        <f>AND(#REF!,"AAAAAFbP28E=")</f>
        <v>#REF!</v>
      </c>
      <c r="GM146" t="e">
        <f>AND(#REF!,"AAAAAFbP28I=")</f>
        <v>#REF!</v>
      </c>
      <c r="GN146" t="e">
        <f>AND(#REF!,"AAAAAFbP28M=")</f>
        <v>#REF!</v>
      </c>
      <c r="GO146" t="e">
        <f>AND(#REF!,"AAAAAFbP28Q=")</f>
        <v>#REF!</v>
      </c>
      <c r="GP146" t="e">
        <f>IF(#REF!,"AAAAAFbP28U=",0)</f>
        <v>#REF!</v>
      </c>
      <c r="GQ146" t="e">
        <f>AND(#REF!,"AAAAAFbP28Y=")</f>
        <v>#REF!</v>
      </c>
      <c r="GR146" t="e">
        <f>AND(#REF!,"AAAAAFbP28c=")</f>
        <v>#REF!</v>
      </c>
      <c r="GS146" t="e">
        <f>AND(#REF!,"AAAAAFbP28g=")</f>
        <v>#REF!</v>
      </c>
      <c r="GT146" t="e">
        <f>AND(#REF!,"AAAAAFbP28k=")</f>
        <v>#REF!</v>
      </c>
      <c r="GU146" t="e">
        <f>AND(#REF!,"AAAAAFbP28o=")</f>
        <v>#REF!</v>
      </c>
      <c r="GV146" t="e">
        <f>AND(#REF!,"AAAAAFbP28s=")</f>
        <v>#REF!</v>
      </c>
      <c r="GW146" t="e">
        <f>AND(#REF!,"AAAAAFbP28w=")</f>
        <v>#REF!</v>
      </c>
      <c r="GX146" t="e">
        <f>AND(#REF!,"AAAAAFbP280=")</f>
        <v>#REF!</v>
      </c>
      <c r="GY146" t="e">
        <f>AND(#REF!,"AAAAAFbP284=")</f>
        <v>#REF!</v>
      </c>
      <c r="GZ146" t="e">
        <f>AND(#REF!,"AAAAAFbP288=")</f>
        <v>#REF!</v>
      </c>
      <c r="HA146" t="e">
        <f>IF(#REF!,"AAAAAFbP29A=",0)</f>
        <v>#REF!</v>
      </c>
      <c r="HB146" t="e">
        <f>AND(#REF!,"AAAAAFbP29E=")</f>
        <v>#REF!</v>
      </c>
      <c r="HC146" t="e">
        <f>AND(#REF!,"AAAAAFbP29I=")</f>
        <v>#REF!</v>
      </c>
      <c r="HD146" t="e">
        <f>AND(#REF!,"AAAAAFbP29M=")</f>
        <v>#REF!</v>
      </c>
      <c r="HE146" t="e">
        <f>AND(#REF!,"AAAAAFbP29Q=")</f>
        <v>#REF!</v>
      </c>
      <c r="HF146" t="e">
        <f>AND(#REF!,"AAAAAFbP29U=")</f>
        <v>#REF!</v>
      </c>
      <c r="HG146" t="e">
        <f>AND(#REF!,"AAAAAFbP29Y=")</f>
        <v>#REF!</v>
      </c>
      <c r="HH146" t="e">
        <f>AND(#REF!,"AAAAAFbP29c=")</f>
        <v>#REF!</v>
      </c>
      <c r="HI146" t="e">
        <f>AND(#REF!,"AAAAAFbP29g=")</f>
        <v>#REF!</v>
      </c>
      <c r="HJ146" t="e">
        <f>AND(#REF!,"AAAAAFbP29k=")</f>
        <v>#REF!</v>
      </c>
      <c r="HK146" t="e">
        <f>AND(#REF!,"AAAAAFbP29o=")</f>
        <v>#REF!</v>
      </c>
      <c r="HL146" t="e">
        <f>IF(#REF!,"AAAAAFbP29s=",0)</f>
        <v>#REF!</v>
      </c>
      <c r="HM146" t="e">
        <f>AND(#REF!,"AAAAAFbP29w=")</f>
        <v>#REF!</v>
      </c>
      <c r="HN146" t="e">
        <f>AND(#REF!,"AAAAAFbP290=")</f>
        <v>#REF!</v>
      </c>
      <c r="HO146" t="e">
        <f>AND(#REF!,"AAAAAFbP294=")</f>
        <v>#REF!</v>
      </c>
      <c r="HP146" t="e">
        <f>AND(#REF!,"AAAAAFbP298=")</f>
        <v>#REF!</v>
      </c>
      <c r="HQ146" t="e">
        <f>AND(#REF!,"AAAAAFbP2+A=")</f>
        <v>#REF!</v>
      </c>
      <c r="HR146" t="e">
        <f>AND(#REF!,"AAAAAFbP2+E=")</f>
        <v>#REF!</v>
      </c>
      <c r="HS146" t="e">
        <f>AND(#REF!,"AAAAAFbP2+I=")</f>
        <v>#REF!</v>
      </c>
      <c r="HT146" t="e">
        <f>AND(#REF!,"AAAAAFbP2+M=")</f>
        <v>#REF!</v>
      </c>
      <c r="HU146" t="e">
        <f>AND(#REF!,"AAAAAFbP2+Q=")</f>
        <v>#REF!</v>
      </c>
      <c r="HV146" t="e">
        <f>AND(#REF!,"AAAAAFbP2+U=")</f>
        <v>#REF!</v>
      </c>
      <c r="HW146" t="e">
        <f>IF(#REF!,"AAAAAFbP2+Y=",0)</f>
        <v>#REF!</v>
      </c>
      <c r="HX146" t="e">
        <f>AND(#REF!,"AAAAAFbP2+c=")</f>
        <v>#REF!</v>
      </c>
      <c r="HY146" t="e">
        <f>AND(#REF!,"AAAAAFbP2+g=")</f>
        <v>#REF!</v>
      </c>
      <c r="HZ146" t="e">
        <f>AND(#REF!,"AAAAAFbP2+k=")</f>
        <v>#REF!</v>
      </c>
      <c r="IA146" t="e">
        <f>AND(#REF!,"AAAAAFbP2+o=")</f>
        <v>#REF!</v>
      </c>
      <c r="IB146" t="e">
        <f>AND(#REF!,"AAAAAFbP2+s=")</f>
        <v>#REF!</v>
      </c>
      <c r="IC146" t="e">
        <f>AND(#REF!,"AAAAAFbP2+w=")</f>
        <v>#REF!</v>
      </c>
      <c r="ID146" t="e">
        <f>AND(#REF!,"AAAAAFbP2+0=")</f>
        <v>#REF!</v>
      </c>
      <c r="IE146" t="e">
        <f>AND(#REF!,"AAAAAFbP2+4=")</f>
        <v>#REF!</v>
      </c>
      <c r="IF146" t="e">
        <f>AND(#REF!,"AAAAAFbP2+8=")</f>
        <v>#REF!</v>
      </c>
      <c r="IG146" t="e">
        <f>AND(#REF!,"AAAAAFbP2/A=")</f>
        <v>#REF!</v>
      </c>
      <c r="IH146" t="e">
        <f>IF(#REF!,"AAAAAFbP2/E=",0)</f>
        <v>#REF!</v>
      </c>
      <c r="II146" t="e">
        <f>AND(#REF!,"AAAAAFbP2/I=")</f>
        <v>#REF!</v>
      </c>
      <c r="IJ146" t="e">
        <f>AND(#REF!,"AAAAAFbP2/M=")</f>
        <v>#REF!</v>
      </c>
      <c r="IK146" t="e">
        <f>AND(#REF!,"AAAAAFbP2/Q=")</f>
        <v>#REF!</v>
      </c>
      <c r="IL146" t="e">
        <f>AND(#REF!,"AAAAAFbP2/U=")</f>
        <v>#REF!</v>
      </c>
      <c r="IM146" t="e">
        <f>AND(#REF!,"AAAAAFbP2/Y=")</f>
        <v>#REF!</v>
      </c>
      <c r="IN146" t="e">
        <f>AND(#REF!,"AAAAAFbP2/c=")</f>
        <v>#REF!</v>
      </c>
      <c r="IO146" t="e">
        <f>AND(#REF!,"AAAAAFbP2/g=")</f>
        <v>#REF!</v>
      </c>
      <c r="IP146" t="e">
        <f>AND(#REF!,"AAAAAFbP2/k=")</f>
        <v>#REF!</v>
      </c>
      <c r="IQ146" t="e">
        <f>AND(#REF!,"AAAAAFbP2/o=")</f>
        <v>#REF!</v>
      </c>
      <c r="IR146" t="e">
        <f>AND(#REF!,"AAAAAFbP2/s=")</f>
        <v>#REF!</v>
      </c>
      <c r="IS146" t="e">
        <f>IF(#REF!,"AAAAAFbP2/w=",0)</f>
        <v>#REF!</v>
      </c>
      <c r="IT146" t="e">
        <f>AND(#REF!,"AAAAAFbP2/0=")</f>
        <v>#REF!</v>
      </c>
      <c r="IU146" t="e">
        <f>AND(#REF!,"AAAAAFbP2/4=")</f>
        <v>#REF!</v>
      </c>
      <c r="IV146" t="e">
        <f>AND(#REF!,"AAAAAFbP2/8=")</f>
        <v>#REF!</v>
      </c>
    </row>
    <row r="147" spans="1:256" x14ac:dyDescent="0.25">
      <c r="A147" t="e">
        <f>AND(#REF!,"AAAAACp/fwA=")</f>
        <v>#REF!</v>
      </c>
      <c r="B147" t="e">
        <f>AND(#REF!,"AAAAACp/fwE=")</f>
        <v>#REF!</v>
      </c>
      <c r="C147" t="e">
        <f>AND(#REF!,"AAAAACp/fwI=")</f>
        <v>#REF!</v>
      </c>
      <c r="D147" t="e">
        <f>AND(#REF!,"AAAAACp/fwM=")</f>
        <v>#REF!</v>
      </c>
      <c r="E147" t="e">
        <f>AND(#REF!,"AAAAACp/fwQ=")</f>
        <v>#REF!</v>
      </c>
      <c r="F147" t="e">
        <f>AND(#REF!,"AAAAACp/fwU=")</f>
        <v>#REF!</v>
      </c>
      <c r="G147" t="e">
        <f>AND(#REF!,"AAAAACp/fwY=")</f>
        <v>#REF!</v>
      </c>
      <c r="H147" t="e">
        <f>IF(#REF!,"AAAAACp/fwc=",0)</f>
        <v>#REF!</v>
      </c>
      <c r="I147" t="e">
        <f>AND(#REF!,"AAAAACp/fwg=")</f>
        <v>#REF!</v>
      </c>
      <c r="J147" t="e">
        <f>AND(#REF!,"AAAAACp/fwk=")</f>
        <v>#REF!</v>
      </c>
      <c r="K147" t="e">
        <f>AND(#REF!,"AAAAACp/fwo=")</f>
        <v>#REF!</v>
      </c>
      <c r="L147" t="e">
        <f>AND(#REF!,"AAAAACp/fws=")</f>
        <v>#REF!</v>
      </c>
      <c r="M147" t="e">
        <f>AND(#REF!,"AAAAACp/fww=")</f>
        <v>#REF!</v>
      </c>
      <c r="N147" t="e">
        <f>AND(#REF!,"AAAAACp/fw0=")</f>
        <v>#REF!</v>
      </c>
      <c r="O147" t="e">
        <f>AND(#REF!,"AAAAACp/fw4=")</f>
        <v>#REF!</v>
      </c>
      <c r="P147" t="e">
        <f>AND(#REF!,"AAAAACp/fw8=")</f>
        <v>#REF!</v>
      </c>
      <c r="Q147" t="e">
        <f>AND(#REF!,"AAAAACp/fxA=")</f>
        <v>#REF!</v>
      </c>
      <c r="R147" t="e">
        <f>AND(#REF!,"AAAAACp/fxE=")</f>
        <v>#REF!</v>
      </c>
      <c r="S147" t="e">
        <f>IF(#REF!,"AAAAACp/fxI=",0)</f>
        <v>#REF!</v>
      </c>
      <c r="T147" t="e">
        <f>AND(#REF!,"AAAAACp/fxM=")</f>
        <v>#REF!</v>
      </c>
      <c r="U147" t="e">
        <f>AND(#REF!,"AAAAACp/fxQ=")</f>
        <v>#REF!</v>
      </c>
      <c r="V147" t="e">
        <f>AND(#REF!,"AAAAACp/fxU=")</f>
        <v>#REF!</v>
      </c>
      <c r="W147" t="e">
        <f>AND(#REF!,"AAAAACp/fxY=")</f>
        <v>#REF!</v>
      </c>
      <c r="X147" t="e">
        <f>AND(#REF!,"AAAAACp/fxc=")</f>
        <v>#REF!</v>
      </c>
      <c r="Y147" t="e">
        <f>AND(#REF!,"AAAAACp/fxg=")</f>
        <v>#REF!</v>
      </c>
      <c r="Z147" t="e">
        <f>AND(#REF!,"AAAAACp/fxk=")</f>
        <v>#REF!</v>
      </c>
      <c r="AA147" t="e">
        <f>AND(#REF!,"AAAAACp/fxo=")</f>
        <v>#REF!</v>
      </c>
      <c r="AB147" t="e">
        <f>AND(#REF!,"AAAAACp/fxs=")</f>
        <v>#REF!</v>
      </c>
      <c r="AC147" t="e">
        <f>AND(#REF!,"AAAAACp/fxw=")</f>
        <v>#REF!</v>
      </c>
      <c r="AD147" t="e">
        <f>IF(#REF!,"AAAAACp/fx0=",0)</f>
        <v>#REF!</v>
      </c>
      <c r="AE147" t="e">
        <f>AND(#REF!,"AAAAACp/fx4=")</f>
        <v>#REF!</v>
      </c>
      <c r="AF147" t="e">
        <f>AND(#REF!,"AAAAACp/fx8=")</f>
        <v>#REF!</v>
      </c>
      <c r="AG147" t="e">
        <f>AND(#REF!,"AAAAACp/fyA=")</f>
        <v>#REF!</v>
      </c>
      <c r="AH147" t="e">
        <f>AND(#REF!,"AAAAACp/fyE=")</f>
        <v>#REF!</v>
      </c>
      <c r="AI147" t="e">
        <f>AND(#REF!,"AAAAACp/fyI=")</f>
        <v>#REF!</v>
      </c>
      <c r="AJ147" t="e">
        <f>AND(#REF!,"AAAAACp/fyM=")</f>
        <v>#REF!</v>
      </c>
      <c r="AK147" t="e">
        <f>AND(#REF!,"AAAAACp/fyQ=")</f>
        <v>#REF!</v>
      </c>
      <c r="AL147" t="e">
        <f>AND(#REF!,"AAAAACp/fyU=")</f>
        <v>#REF!</v>
      </c>
      <c r="AM147" t="e">
        <f>AND(#REF!,"AAAAACp/fyY=")</f>
        <v>#REF!</v>
      </c>
      <c r="AN147" t="e">
        <f>AND(#REF!,"AAAAACp/fyc=")</f>
        <v>#REF!</v>
      </c>
      <c r="AO147" t="e">
        <f>IF(#REF!,"AAAAACp/fyg=",0)</f>
        <v>#REF!</v>
      </c>
      <c r="AP147" t="e">
        <f>AND(#REF!,"AAAAACp/fyk=")</f>
        <v>#REF!</v>
      </c>
      <c r="AQ147" t="e">
        <f>AND(#REF!,"AAAAACp/fyo=")</f>
        <v>#REF!</v>
      </c>
      <c r="AR147" t="e">
        <f>AND(#REF!,"AAAAACp/fys=")</f>
        <v>#REF!</v>
      </c>
      <c r="AS147" t="e">
        <f>AND(#REF!,"AAAAACp/fyw=")</f>
        <v>#REF!</v>
      </c>
      <c r="AT147" t="e">
        <f>AND(#REF!,"AAAAACp/fy0=")</f>
        <v>#REF!</v>
      </c>
      <c r="AU147" t="e">
        <f>AND(#REF!,"AAAAACp/fy4=")</f>
        <v>#REF!</v>
      </c>
      <c r="AV147" t="e">
        <f>AND(#REF!,"AAAAACp/fy8=")</f>
        <v>#REF!</v>
      </c>
      <c r="AW147" t="e">
        <f>AND(#REF!,"AAAAACp/fzA=")</f>
        <v>#REF!</v>
      </c>
      <c r="AX147" t="e">
        <f>AND(#REF!,"AAAAACp/fzE=")</f>
        <v>#REF!</v>
      </c>
      <c r="AY147" t="e">
        <f>AND(#REF!,"AAAAACp/fzI=")</f>
        <v>#REF!</v>
      </c>
      <c r="AZ147" t="e">
        <f>IF(#REF!,"AAAAACp/fzM=",0)</f>
        <v>#REF!</v>
      </c>
      <c r="BA147" t="e">
        <f>AND(#REF!,"AAAAACp/fzQ=")</f>
        <v>#REF!</v>
      </c>
      <c r="BB147" t="e">
        <f>AND(#REF!,"AAAAACp/fzU=")</f>
        <v>#REF!</v>
      </c>
      <c r="BC147" t="e">
        <f>AND(#REF!,"AAAAACp/fzY=")</f>
        <v>#REF!</v>
      </c>
      <c r="BD147" t="e">
        <f>AND(#REF!,"AAAAACp/fzc=")</f>
        <v>#REF!</v>
      </c>
      <c r="BE147" t="e">
        <f>AND(#REF!,"AAAAACp/fzg=")</f>
        <v>#REF!</v>
      </c>
      <c r="BF147" t="e">
        <f>AND(#REF!,"AAAAACp/fzk=")</f>
        <v>#REF!</v>
      </c>
      <c r="BG147" t="e">
        <f>AND(#REF!,"AAAAACp/fzo=")</f>
        <v>#REF!</v>
      </c>
      <c r="BH147" t="e">
        <f>AND(#REF!,"AAAAACp/fzs=")</f>
        <v>#REF!</v>
      </c>
      <c r="BI147" t="e">
        <f>AND(#REF!,"AAAAACp/fzw=")</f>
        <v>#REF!</v>
      </c>
      <c r="BJ147" t="e">
        <f>AND(#REF!,"AAAAACp/fz0=")</f>
        <v>#REF!</v>
      </c>
      <c r="BK147" t="e">
        <f>IF(#REF!,"AAAAACp/fz4=",0)</f>
        <v>#REF!</v>
      </c>
      <c r="BL147" t="e">
        <f>AND(#REF!,"AAAAACp/fz8=")</f>
        <v>#REF!</v>
      </c>
      <c r="BM147" t="e">
        <f>AND(#REF!,"AAAAACp/f0A=")</f>
        <v>#REF!</v>
      </c>
      <c r="BN147" t="e">
        <f>AND(#REF!,"AAAAACp/f0E=")</f>
        <v>#REF!</v>
      </c>
      <c r="BO147" t="e">
        <f>AND(#REF!,"AAAAACp/f0I=")</f>
        <v>#REF!</v>
      </c>
      <c r="BP147" t="e">
        <f>AND(#REF!,"AAAAACp/f0M=")</f>
        <v>#REF!</v>
      </c>
      <c r="BQ147" t="e">
        <f>AND(#REF!,"AAAAACp/f0Q=")</f>
        <v>#REF!</v>
      </c>
      <c r="BR147" t="e">
        <f>AND(#REF!,"AAAAACp/f0U=")</f>
        <v>#REF!</v>
      </c>
      <c r="BS147" t="e">
        <f>AND(#REF!,"AAAAACp/f0Y=")</f>
        <v>#REF!</v>
      </c>
      <c r="BT147" t="e">
        <f>AND(#REF!,"AAAAACp/f0c=")</f>
        <v>#REF!</v>
      </c>
      <c r="BU147" t="e">
        <f>AND(#REF!,"AAAAACp/f0g=")</f>
        <v>#REF!</v>
      </c>
      <c r="BV147" t="e">
        <f>IF(#REF!,"AAAAACp/f0k=",0)</f>
        <v>#REF!</v>
      </c>
      <c r="BW147" t="e">
        <f>AND(#REF!,"AAAAACp/f0o=")</f>
        <v>#REF!</v>
      </c>
      <c r="BX147" t="e">
        <f>AND(#REF!,"AAAAACp/f0s=")</f>
        <v>#REF!</v>
      </c>
      <c r="BY147" t="e">
        <f>AND(#REF!,"AAAAACp/f0w=")</f>
        <v>#REF!</v>
      </c>
      <c r="BZ147" t="e">
        <f>AND(#REF!,"AAAAACp/f00=")</f>
        <v>#REF!</v>
      </c>
      <c r="CA147" t="e">
        <f>AND(#REF!,"AAAAACp/f04=")</f>
        <v>#REF!</v>
      </c>
      <c r="CB147" t="e">
        <f>AND(#REF!,"AAAAACp/f08=")</f>
        <v>#REF!</v>
      </c>
      <c r="CC147" t="e">
        <f>AND(#REF!,"AAAAACp/f1A=")</f>
        <v>#REF!</v>
      </c>
      <c r="CD147" t="e">
        <f>AND(#REF!,"AAAAACp/f1E=")</f>
        <v>#REF!</v>
      </c>
      <c r="CE147" t="e">
        <f>AND(#REF!,"AAAAACp/f1I=")</f>
        <v>#REF!</v>
      </c>
      <c r="CF147" t="e">
        <f>AND(#REF!,"AAAAACp/f1M=")</f>
        <v>#REF!</v>
      </c>
      <c r="CG147" t="e">
        <f>IF(#REF!,"AAAAACp/f1Q=",0)</f>
        <v>#REF!</v>
      </c>
      <c r="CH147" t="e">
        <f>AND(#REF!,"AAAAACp/f1U=")</f>
        <v>#REF!</v>
      </c>
      <c r="CI147" t="e">
        <f>AND(#REF!,"AAAAACp/f1Y=")</f>
        <v>#REF!</v>
      </c>
      <c r="CJ147" t="e">
        <f>AND(#REF!,"AAAAACp/f1c=")</f>
        <v>#REF!</v>
      </c>
      <c r="CK147" t="e">
        <f>AND(#REF!,"AAAAACp/f1g=")</f>
        <v>#REF!</v>
      </c>
      <c r="CL147" t="e">
        <f>AND(#REF!,"AAAAACp/f1k=")</f>
        <v>#REF!</v>
      </c>
      <c r="CM147" t="e">
        <f>AND(#REF!,"AAAAACp/f1o=")</f>
        <v>#REF!</v>
      </c>
      <c r="CN147" t="e">
        <f>AND(#REF!,"AAAAACp/f1s=")</f>
        <v>#REF!</v>
      </c>
      <c r="CO147" t="e">
        <f>AND(#REF!,"AAAAACp/f1w=")</f>
        <v>#REF!</v>
      </c>
      <c r="CP147" t="e">
        <f>AND(#REF!,"AAAAACp/f10=")</f>
        <v>#REF!</v>
      </c>
      <c r="CQ147" t="e">
        <f>AND(#REF!,"AAAAACp/f14=")</f>
        <v>#REF!</v>
      </c>
      <c r="CR147" t="e">
        <f>IF(#REF!,"AAAAACp/f18=",0)</f>
        <v>#REF!</v>
      </c>
      <c r="CS147" t="e">
        <f>AND(#REF!,"AAAAACp/f2A=")</f>
        <v>#REF!</v>
      </c>
      <c r="CT147" t="e">
        <f>AND(#REF!,"AAAAACp/f2E=")</f>
        <v>#REF!</v>
      </c>
      <c r="CU147" t="e">
        <f>AND(#REF!,"AAAAACp/f2I=")</f>
        <v>#REF!</v>
      </c>
      <c r="CV147" t="e">
        <f>AND(#REF!,"AAAAACp/f2M=")</f>
        <v>#REF!</v>
      </c>
      <c r="CW147" t="e">
        <f>AND(#REF!,"AAAAACp/f2Q=")</f>
        <v>#REF!</v>
      </c>
      <c r="CX147" t="e">
        <f>AND(#REF!,"AAAAACp/f2U=")</f>
        <v>#REF!</v>
      </c>
      <c r="CY147" t="e">
        <f>AND(#REF!,"AAAAACp/f2Y=")</f>
        <v>#REF!</v>
      </c>
      <c r="CZ147" t="e">
        <f>AND(#REF!,"AAAAACp/f2c=")</f>
        <v>#REF!</v>
      </c>
      <c r="DA147" t="e">
        <f>AND(#REF!,"AAAAACp/f2g=")</f>
        <v>#REF!</v>
      </c>
      <c r="DB147" t="e">
        <f>AND(#REF!,"AAAAACp/f2k=")</f>
        <v>#REF!</v>
      </c>
      <c r="DC147" t="e">
        <f>IF(#REF!,"AAAAACp/f2o=",0)</f>
        <v>#REF!</v>
      </c>
      <c r="DD147" t="e">
        <f>AND(#REF!,"AAAAACp/f2s=")</f>
        <v>#REF!</v>
      </c>
      <c r="DE147" t="e">
        <f>AND(#REF!,"AAAAACp/f2w=")</f>
        <v>#REF!</v>
      </c>
      <c r="DF147" t="e">
        <f>AND(#REF!,"AAAAACp/f20=")</f>
        <v>#REF!</v>
      </c>
      <c r="DG147" t="e">
        <f>AND(#REF!,"AAAAACp/f24=")</f>
        <v>#REF!</v>
      </c>
      <c r="DH147" t="e">
        <f>AND(#REF!,"AAAAACp/f28=")</f>
        <v>#REF!</v>
      </c>
      <c r="DI147" t="e">
        <f>AND(#REF!,"AAAAACp/f3A=")</f>
        <v>#REF!</v>
      </c>
      <c r="DJ147" t="e">
        <f>AND(#REF!,"AAAAACp/f3E=")</f>
        <v>#REF!</v>
      </c>
      <c r="DK147" t="e">
        <f>AND(#REF!,"AAAAACp/f3I=")</f>
        <v>#REF!</v>
      </c>
      <c r="DL147" t="e">
        <f>AND(#REF!,"AAAAACp/f3M=")</f>
        <v>#REF!</v>
      </c>
      <c r="DM147" t="e">
        <f>AND(#REF!,"AAAAACp/f3Q=")</f>
        <v>#REF!</v>
      </c>
      <c r="DN147" t="e">
        <f>IF(#REF!,"AAAAACp/f3U=",0)</f>
        <v>#REF!</v>
      </c>
      <c r="DO147" t="e">
        <f>AND(#REF!,"AAAAACp/f3Y=")</f>
        <v>#REF!</v>
      </c>
      <c r="DP147" t="e">
        <f>AND(#REF!,"AAAAACp/f3c=")</f>
        <v>#REF!</v>
      </c>
      <c r="DQ147" t="e">
        <f>AND(#REF!,"AAAAACp/f3g=")</f>
        <v>#REF!</v>
      </c>
      <c r="DR147" t="e">
        <f>AND(#REF!,"AAAAACp/f3k=")</f>
        <v>#REF!</v>
      </c>
      <c r="DS147" t="e">
        <f>AND(#REF!,"AAAAACp/f3o=")</f>
        <v>#REF!</v>
      </c>
      <c r="DT147" t="e">
        <f>AND(#REF!,"AAAAACp/f3s=")</f>
        <v>#REF!</v>
      </c>
      <c r="DU147" t="e">
        <f>AND(#REF!,"AAAAACp/f3w=")</f>
        <v>#REF!</v>
      </c>
      <c r="DV147" t="e">
        <f>AND(#REF!,"AAAAACp/f30=")</f>
        <v>#REF!</v>
      </c>
      <c r="DW147" t="e">
        <f>AND(#REF!,"AAAAACp/f34=")</f>
        <v>#REF!</v>
      </c>
      <c r="DX147" t="e">
        <f>AND(#REF!,"AAAAACp/f38=")</f>
        <v>#REF!</v>
      </c>
      <c r="DY147" t="e">
        <f>IF(#REF!,"AAAAACp/f4A=",0)</f>
        <v>#REF!</v>
      </c>
      <c r="DZ147" t="e">
        <f>AND(#REF!,"AAAAACp/f4E=")</f>
        <v>#REF!</v>
      </c>
      <c r="EA147" t="e">
        <f>AND(#REF!,"AAAAACp/f4I=")</f>
        <v>#REF!</v>
      </c>
      <c r="EB147" t="e">
        <f>AND(#REF!,"AAAAACp/f4M=")</f>
        <v>#REF!</v>
      </c>
      <c r="EC147" t="e">
        <f>AND(#REF!,"AAAAACp/f4Q=")</f>
        <v>#REF!</v>
      </c>
      <c r="ED147" t="e">
        <f>AND(#REF!,"AAAAACp/f4U=")</f>
        <v>#REF!</v>
      </c>
      <c r="EE147" t="e">
        <f>AND(#REF!,"AAAAACp/f4Y=")</f>
        <v>#REF!</v>
      </c>
      <c r="EF147" t="e">
        <f>AND(#REF!,"AAAAACp/f4c=")</f>
        <v>#REF!</v>
      </c>
      <c r="EG147" t="e">
        <f>AND(#REF!,"AAAAACp/f4g=")</f>
        <v>#REF!</v>
      </c>
      <c r="EH147" t="e">
        <f>AND(#REF!,"AAAAACp/f4k=")</f>
        <v>#REF!</v>
      </c>
      <c r="EI147" t="e">
        <f>AND(#REF!,"AAAAACp/f4o=")</f>
        <v>#REF!</v>
      </c>
      <c r="EJ147" t="e">
        <f>IF(#REF!,"AAAAACp/f4s=",0)</f>
        <v>#REF!</v>
      </c>
      <c r="EK147" t="e">
        <f>AND(#REF!,"AAAAACp/f4w=")</f>
        <v>#REF!</v>
      </c>
      <c r="EL147" t="e">
        <f>AND(#REF!,"AAAAACp/f40=")</f>
        <v>#REF!</v>
      </c>
      <c r="EM147" t="e">
        <f>AND(#REF!,"AAAAACp/f44=")</f>
        <v>#REF!</v>
      </c>
      <c r="EN147" t="e">
        <f>AND(#REF!,"AAAAACp/f48=")</f>
        <v>#REF!</v>
      </c>
      <c r="EO147" t="e">
        <f>AND(#REF!,"AAAAACp/f5A=")</f>
        <v>#REF!</v>
      </c>
      <c r="EP147" t="e">
        <f>AND(#REF!,"AAAAACp/f5E=")</f>
        <v>#REF!</v>
      </c>
      <c r="EQ147" t="e">
        <f>AND(#REF!,"AAAAACp/f5I=")</f>
        <v>#REF!</v>
      </c>
      <c r="ER147" t="e">
        <f>AND(#REF!,"AAAAACp/f5M=")</f>
        <v>#REF!</v>
      </c>
      <c r="ES147" t="e">
        <f>AND(#REF!,"AAAAACp/f5Q=")</f>
        <v>#REF!</v>
      </c>
      <c r="ET147" t="e">
        <f>AND(#REF!,"AAAAACp/f5U=")</f>
        <v>#REF!</v>
      </c>
      <c r="EU147" t="e">
        <f>IF(#REF!,"AAAAACp/f5Y=",0)</f>
        <v>#REF!</v>
      </c>
      <c r="EV147" t="e">
        <f>AND(#REF!,"AAAAACp/f5c=")</f>
        <v>#REF!</v>
      </c>
      <c r="EW147" t="e">
        <f>AND(#REF!,"AAAAACp/f5g=")</f>
        <v>#REF!</v>
      </c>
      <c r="EX147" t="e">
        <f>AND(#REF!,"AAAAACp/f5k=")</f>
        <v>#REF!</v>
      </c>
      <c r="EY147" t="e">
        <f>AND(#REF!,"AAAAACp/f5o=")</f>
        <v>#REF!</v>
      </c>
      <c r="EZ147" t="e">
        <f>AND(#REF!,"AAAAACp/f5s=")</f>
        <v>#REF!</v>
      </c>
      <c r="FA147" t="e">
        <f>AND(#REF!,"AAAAACp/f5w=")</f>
        <v>#REF!</v>
      </c>
      <c r="FB147" t="e">
        <f>AND(#REF!,"AAAAACp/f50=")</f>
        <v>#REF!</v>
      </c>
      <c r="FC147" t="e">
        <f>AND(#REF!,"AAAAACp/f54=")</f>
        <v>#REF!</v>
      </c>
      <c r="FD147" t="e">
        <f>AND(#REF!,"AAAAACp/f58=")</f>
        <v>#REF!</v>
      </c>
      <c r="FE147" t="e">
        <f>AND(#REF!,"AAAAACp/f6A=")</f>
        <v>#REF!</v>
      </c>
      <c r="FF147" t="e">
        <f>IF(#REF!,"AAAAACp/f6E=",0)</f>
        <v>#REF!</v>
      </c>
      <c r="FG147" t="e">
        <f>AND(#REF!,"AAAAACp/f6I=")</f>
        <v>#REF!</v>
      </c>
      <c r="FH147" t="e">
        <f>AND(#REF!,"AAAAACp/f6M=")</f>
        <v>#REF!</v>
      </c>
      <c r="FI147" t="e">
        <f>AND(#REF!,"AAAAACp/f6Q=")</f>
        <v>#REF!</v>
      </c>
      <c r="FJ147" t="e">
        <f>AND(#REF!,"AAAAACp/f6U=")</f>
        <v>#REF!</v>
      </c>
      <c r="FK147" t="e">
        <f>AND(#REF!,"AAAAACp/f6Y=")</f>
        <v>#REF!</v>
      </c>
      <c r="FL147" t="e">
        <f>AND(#REF!,"AAAAACp/f6c=")</f>
        <v>#REF!</v>
      </c>
      <c r="FM147" t="e">
        <f>AND(#REF!,"AAAAACp/f6g=")</f>
        <v>#REF!</v>
      </c>
      <c r="FN147" t="e">
        <f>AND(#REF!,"AAAAACp/f6k=")</f>
        <v>#REF!</v>
      </c>
      <c r="FO147" t="e">
        <f>AND(#REF!,"AAAAACp/f6o=")</f>
        <v>#REF!</v>
      </c>
      <c r="FP147" t="e">
        <f>AND(#REF!,"AAAAACp/f6s=")</f>
        <v>#REF!</v>
      </c>
      <c r="FQ147" t="e">
        <f>IF(#REF!,"AAAAACp/f6w=",0)</f>
        <v>#REF!</v>
      </c>
      <c r="FR147" t="e">
        <f>AND(#REF!,"AAAAACp/f60=")</f>
        <v>#REF!</v>
      </c>
      <c r="FS147" t="e">
        <f>AND(#REF!,"AAAAACp/f64=")</f>
        <v>#REF!</v>
      </c>
      <c r="FT147" t="e">
        <f>AND(#REF!,"AAAAACp/f68=")</f>
        <v>#REF!</v>
      </c>
      <c r="FU147" t="e">
        <f>AND(#REF!,"AAAAACp/f7A=")</f>
        <v>#REF!</v>
      </c>
      <c r="FV147" t="e">
        <f>AND(#REF!,"AAAAACp/f7E=")</f>
        <v>#REF!</v>
      </c>
      <c r="FW147" t="e">
        <f>AND(#REF!,"AAAAACp/f7I=")</f>
        <v>#REF!</v>
      </c>
      <c r="FX147" t="e">
        <f>AND(#REF!,"AAAAACp/f7M=")</f>
        <v>#REF!</v>
      </c>
      <c r="FY147" t="e">
        <f>AND(#REF!,"AAAAACp/f7Q=")</f>
        <v>#REF!</v>
      </c>
      <c r="FZ147" t="e">
        <f>AND(#REF!,"AAAAACp/f7U=")</f>
        <v>#REF!</v>
      </c>
      <c r="GA147" t="e">
        <f>AND(#REF!,"AAAAACp/f7Y=")</f>
        <v>#REF!</v>
      </c>
      <c r="GB147" t="e">
        <f>IF(#REF!,"AAAAACp/f7c=",0)</f>
        <v>#REF!</v>
      </c>
      <c r="GC147" t="e">
        <f>AND(#REF!,"AAAAACp/f7g=")</f>
        <v>#REF!</v>
      </c>
      <c r="GD147" t="e">
        <f>AND(#REF!,"AAAAACp/f7k=")</f>
        <v>#REF!</v>
      </c>
      <c r="GE147" t="e">
        <f>AND(#REF!,"AAAAACp/f7o=")</f>
        <v>#REF!</v>
      </c>
      <c r="GF147" t="e">
        <f>AND(#REF!,"AAAAACp/f7s=")</f>
        <v>#REF!</v>
      </c>
      <c r="GG147" t="e">
        <f>AND(#REF!,"AAAAACp/f7w=")</f>
        <v>#REF!</v>
      </c>
      <c r="GH147" t="e">
        <f>AND(#REF!,"AAAAACp/f70=")</f>
        <v>#REF!</v>
      </c>
      <c r="GI147" t="e">
        <f>AND(#REF!,"AAAAACp/f74=")</f>
        <v>#REF!</v>
      </c>
      <c r="GJ147" t="e">
        <f>AND(#REF!,"AAAAACp/f78=")</f>
        <v>#REF!</v>
      </c>
      <c r="GK147" t="e">
        <f>AND(#REF!,"AAAAACp/f8A=")</f>
        <v>#REF!</v>
      </c>
      <c r="GL147" t="e">
        <f>AND(#REF!,"AAAAACp/f8E=")</f>
        <v>#REF!</v>
      </c>
      <c r="GM147" t="e">
        <f>IF(#REF!,"AAAAACp/f8I=",0)</f>
        <v>#REF!</v>
      </c>
      <c r="GN147" t="e">
        <f>AND(#REF!,"AAAAACp/f8M=")</f>
        <v>#REF!</v>
      </c>
      <c r="GO147" t="e">
        <f>AND(#REF!,"AAAAACp/f8Q=")</f>
        <v>#REF!</v>
      </c>
      <c r="GP147" t="e">
        <f>AND(#REF!,"AAAAACp/f8U=")</f>
        <v>#REF!</v>
      </c>
      <c r="GQ147" t="e">
        <f>AND(#REF!,"AAAAACp/f8Y=")</f>
        <v>#REF!</v>
      </c>
      <c r="GR147" t="e">
        <f>AND(#REF!,"AAAAACp/f8c=")</f>
        <v>#REF!</v>
      </c>
      <c r="GS147" t="e">
        <f>AND(#REF!,"AAAAACp/f8g=")</f>
        <v>#REF!</v>
      </c>
      <c r="GT147" t="e">
        <f>AND(#REF!,"AAAAACp/f8k=")</f>
        <v>#REF!</v>
      </c>
      <c r="GU147" t="e">
        <f>AND(#REF!,"AAAAACp/f8o=")</f>
        <v>#REF!</v>
      </c>
      <c r="GV147" t="e">
        <f>AND(#REF!,"AAAAACp/f8s=")</f>
        <v>#REF!</v>
      </c>
      <c r="GW147" t="e">
        <f>AND(#REF!,"AAAAACp/f8w=")</f>
        <v>#REF!</v>
      </c>
      <c r="GX147" t="e">
        <f>IF(#REF!,"AAAAACp/f80=",0)</f>
        <v>#REF!</v>
      </c>
      <c r="GY147" t="e">
        <f>AND(#REF!,"AAAAACp/f84=")</f>
        <v>#REF!</v>
      </c>
      <c r="GZ147" t="e">
        <f>AND(#REF!,"AAAAACp/f88=")</f>
        <v>#REF!</v>
      </c>
      <c r="HA147" t="e">
        <f>AND(#REF!,"AAAAACp/f9A=")</f>
        <v>#REF!</v>
      </c>
      <c r="HB147" t="e">
        <f>AND(#REF!,"AAAAACp/f9E=")</f>
        <v>#REF!</v>
      </c>
      <c r="HC147" t="e">
        <f>AND(#REF!,"AAAAACp/f9I=")</f>
        <v>#REF!</v>
      </c>
      <c r="HD147" t="e">
        <f>AND(#REF!,"AAAAACp/f9M=")</f>
        <v>#REF!</v>
      </c>
      <c r="HE147" t="e">
        <f>AND(#REF!,"AAAAACp/f9Q=")</f>
        <v>#REF!</v>
      </c>
      <c r="HF147" t="e">
        <f>AND(#REF!,"AAAAACp/f9U=")</f>
        <v>#REF!</v>
      </c>
      <c r="HG147" t="e">
        <f>AND(#REF!,"AAAAACp/f9Y=")</f>
        <v>#REF!</v>
      </c>
      <c r="HH147" t="e">
        <f>AND(#REF!,"AAAAACp/f9c=")</f>
        <v>#REF!</v>
      </c>
      <c r="HI147" t="e">
        <f>IF(#REF!,"AAAAACp/f9g=",0)</f>
        <v>#REF!</v>
      </c>
      <c r="HJ147" t="e">
        <f>AND(#REF!,"AAAAACp/f9k=")</f>
        <v>#REF!</v>
      </c>
      <c r="HK147" t="e">
        <f>AND(#REF!,"AAAAACp/f9o=")</f>
        <v>#REF!</v>
      </c>
      <c r="HL147" t="e">
        <f>AND(#REF!,"AAAAACp/f9s=")</f>
        <v>#REF!</v>
      </c>
      <c r="HM147" t="e">
        <f>AND(#REF!,"AAAAACp/f9w=")</f>
        <v>#REF!</v>
      </c>
      <c r="HN147" t="e">
        <f>AND(#REF!,"AAAAACp/f90=")</f>
        <v>#REF!</v>
      </c>
      <c r="HO147" t="e">
        <f>AND(#REF!,"AAAAACp/f94=")</f>
        <v>#REF!</v>
      </c>
      <c r="HP147" t="e">
        <f>AND(#REF!,"AAAAACp/f98=")</f>
        <v>#REF!</v>
      </c>
      <c r="HQ147" t="e">
        <f>AND(#REF!,"AAAAACp/f+A=")</f>
        <v>#REF!</v>
      </c>
      <c r="HR147" t="e">
        <f>AND(#REF!,"AAAAACp/f+E=")</f>
        <v>#REF!</v>
      </c>
      <c r="HS147" t="e">
        <f>AND(#REF!,"AAAAACp/f+I=")</f>
        <v>#REF!</v>
      </c>
      <c r="HT147" t="e">
        <f>IF(#REF!,"AAAAACp/f+M=",0)</f>
        <v>#REF!</v>
      </c>
      <c r="HU147" t="e">
        <f>AND(#REF!,"AAAAACp/f+Q=")</f>
        <v>#REF!</v>
      </c>
      <c r="HV147" t="e">
        <f>AND(#REF!,"AAAAACp/f+U=")</f>
        <v>#REF!</v>
      </c>
      <c r="HW147" t="e">
        <f>AND(#REF!,"AAAAACp/f+Y=")</f>
        <v>#REF!</v>
      </c>
      <c r="HX147" t="e">
        <f>AND(#REF!,"AAAAACp/f+c=")</f>
        <v>#REF!</v>
      </c>
      <c r="HY147" t="e">
        <f>AND(#REF!,"AAAAACp/f+g=")</f>
        <v>#REF!</v>
      </c>
      <c r="HZ147" t="e">
        <f>AND(#REF!,"AAAAACp/f+k=")</f>
        <v>#REF!</v>
      </c>
      <c r="IA147" t="e">
        <f>AND(#REF!,"AAAAACp/f+o=")</f>
        <v>#REF!</v>
      </c>
      <c r="IB147" t="e">
        <f>AND(#REF!,"AAAAACp/f+s=")</f>
        <v>#REF!</v>
      </c>
      <c r="IC147" t="e">
        <f>AND(#REF!,"AAAAACp/f+w=")</f>
        <v>#REF!</v>
      </c>
      <c r="ID147" t="e">
        <f>AND(#REF!,"AAAAACp/f+0=")</f>
        <v>#REF!</v>
      </c>
      <c r="IE147" t="e">
        <f>IF(#REF!,"AAAAACp/f+4=",0)</f>
        <v>#REF!</v>
      </c>
      <c r="IF147" t="e">
        <f>AND(#REF!,"AAAAACp/f+8=")</f>
        <v>#REF!</v>
      </c>
      <c r="IG147" t="e">
        <f>AND(#REF!,"AAAAACp/f/A=")</f>
        <v>#REF!</v>
      </c>
      <c r="IH147" t="e">
        <f>AND(#REF!,"AAAAACp/f/E=")</f>
        <v>#REF!</v>
      </c>
      <c r="II147" t="e">
        <f>AND(#REF!,"AAAAACp/f/I=")</f>
        <v>#REF!</v>
      </c>
      <c r="IJ147" t="e">
        <f>AND(#REF!,"AAAAACp/f/M=")</f>
        <v>#REF!</v>
      </c>
      <c r="IK147" t="e">
        <f>AND(#REF!,"AAAAACp/f/Q=")</f>
        <v>#REF!</v>
      </c>
      <c r="IL147" t="e">
        <f>AND(#REF!,"AAAAACp/f/U=")</f>
        <v>#REF!</v>
      </c>
      <c r="IM147" t="e">
        <f>AND(#REF!,"AAAAACp/f/Y=")</f>
        <v>#REF!</v>
      </c>
      <c r="IN147" t="e">
        <f>AND(#REF!,"AAAAACp/f/c=")</f>
        <v>#REF!</v>
      </c>
      <c r="IO147" t="e">
        <f>AND(#REF!,"AAAAACp/f/g=")</f>
        <v>#REF!</v>
      </c>
      <c r="IP147" t="e">
        <f>IF(#REF!,"AAAAACp/f/k=",0)</f>
        <v>#REF!</v>
      </c>
      <c r="IQ147" t="e">
        <f>AND(#REF!,"AAAAACp/f/o=")</f>
        <v>#REF!</v>
      </c>
      <c r="IR147" t="e">
        <f>AND(#REF!,"AAAAACp/f/s=")</f>
        <v>#REF!</v>
      </c>
      <c r="IS147" t="e">
        <f>AND(#REF!,"AAAAACp/f/w=")</f>
        <v>#REF!</v>
      </c>
      <c r="IT147" t="e">
        <f>AND(#REF!,"AAAAACp/f/0=")</f>
        <v>#REF!</v>
      </c>
      <c r="IU147" t="e">
        <f>AND(#REF!,"AAAAACp/f/4=")</f>
        <v>#REF!</v>
      </c>
      <c r="IV147" t="e">
        <f>AND(#REF!,"AAAAACp/f/8=")</f>
        <v>#REF!</v>
      </c>
    </row>
    <row r="148" spans="1:256" x14ac:dyDescent="0.25">
      <c r="A148" t="e">
        <f>AND(#REF!,"AAAAAHXvGwA=")</f>
        <v>#REF!</v>
      </c>
      <c r="B148" t="e">
        <f>AND(#REF!,"AAAAAHXvGwE=")</f>
        <v>#REF!</v>
      </c>
      <c r="C148" t="e">
        <f>AND(#REF!,"AAAAAHXvGwI=")</f>
        <v>#REF!</v>
      </c>
      <c r="D148" t="e">
        <f>AND(#REF!,"AAAAAHXvGwM=")</f>
        <v>#REF!</v>
      </c>
      <c r="E148" t="e">
        <f>IF(#REF!,"AAAAAHXvGwQ=",0)</f>
        <v>#REF!</v>
      </c>
      <c r="F148" t="e">
        <f>AND(#REF!,"AAAAAHXvGwU=")</f>
        <v>#REF!</v>
      </c>
      <c r="G148" t="e">
        <f>AND(#REF!,"AAAAAHXvGwY=")</f>
        <v>#REF!</v>
      </c>
      <c r="H148" t="e">
        <f>AND(#REF!,"AAAAAHXvGwc=")</f>
        <v>#REF!</v>
      </c>
      <c r="I148" t="e">
        <f>AND(#REF!,"AAAAAHXvGwg=")</f>
        <v>#REF!</v>
      </c>
      <c r="J148" t="e">
        <f>AND(#REF!,"AAAAAHXvGwk=")</f>
        <v>#REF!</v>
      </c>
      <c r="K148" t="e">
        <f>AND(#REF!,"AAAAAHXvGwo=")</f>
        <v>#REF!</v>
      </c>
      <c r="L148" t="e">
        <f>AND(#REF!,"AAAAAHXvGws=")</f>
        <v>#REF!</v>
      </c>
      <c r="M148" t="e">
        <f>AND(#REF!,"AAAAAHXvGww=")</f>
        <v>#REF!</v>
      </c>
      <c r="N148" t="e">
        <f>AND(#REF!,"AAAAAHXvGw0=")</f>
        <v>#REF!</v>
      </c>
      <c r="O148" t="e">
        <f>AND(#REF!,"AAAAAHXvGw4=")</f>
        <v>#REF!</v>
      </c>
      <c r="P148" t="e">
        <f>IF(#REF!,"AAAAAHXvGw8=",0)</f>
        <v>#REF!</v>
      </c>
      <c r="Q148" t="e">
        <f>AND(#REF!,"AAAAAHXvGxA=")</f>
        <v>#REF!</v>
      </c>
      <c r="R148" t="e">
        <f>AND(#REF!,"AAAAAHXvGxE=")</f>
        <v>#REF!</v>
      </c>
      <c r="S148" t="e">
        <f>AND(#REF!,"AAAAAHXvGxI=")</f>
        <v>#REF!</v>
      </c>
      <c r="T148" t="e">
        <f>AND(#REF!,"AAAAAHXvGxM=")</f>
        <v>#REF!</v>
      </c>
      <c r="U148" t="e">
        <f>AND(#REF!,"AAAAAHXvGxQ=")</f>
        <v>#REF!</v>
      </c>
      <c r="V148" t="e">
        <f>AND(#REF!,"AAAAAHXvGxU=")</f>
        <v>#REF!</v>
      </c>
      <c r="W148" t="e">
        <f>AND(#REF!,"AAAAAHXvGxY=")</f>
        <v>#REF!</v>
      </c>
      <c r="X148" t="e">
        <f>AND(#REF!,"AAAAAHXvGxc=")</f>
        <v>#REF!</v>
      </c>
      <c r="Y148" t="e">
        <f>AND(#REF!,"AAAAAHXvGxg=")</f>
        <v>#REF!</v>
      </c>
      <c r="Z148" t="e">
        <f>AND(#REF!,"AAAAAHXvGxk=")</f>
        <v>#REF!</v>
      </c>
      <c r="AA148" t="e">
        <f>IF(#REF!,"AAAAAHXvGxo=",0)</f>
        <v>#REF!</v>
      </c>
      <c r="AB148" t="e">
        <f>AND(#REF!,"AAAAAHXvGxs=")</f>
        <v>#REF!</v>
      </c>
      <c r="AC148" t="e">
        <f>AND(#REF!,"AAAAAHXvGxw=")</f>
        <v>#REF!</v>
      </c>
      <c r="AD148" t="e">
        <f>AND(#REF!,"AAAAAHXvGx0=")</f>
        <v>#REF!</v>
      </c>
      <c r="AE148" t="e">
        <f>AND(#REF!,"AAAAAHXvGx4=")</f>
        <v>#REF!</v>
      </c>
      <c r="AF148" t="e">
        <f>AND(#REF!,"AAAAAHXvGx8=")</f>
        <v>#REF!</v>
      </c>
      <c r="AG148" t="e">
        <f>AND(#REF!,"AAAAAHXvGyA=")</f>
        <v>#REF!</v>
      </c>
      <c r="AH148" t="e">
        <f>AND(#REF!,"AAAAAHXvGyE=")</f>
        <v>#REF!</v>
      </c>
      <c r="AI148" t="e">
        <f>AND(#REF!,"AAAAAHXvGyI=")</f>
        <v>#REF!</v>
      </c>
      <c r="AJ148" t="e">
        <f>AND(#REF!,"AAAAAHXvGyM=")</f>
        <v>#REF!</v>
      </c>
      <c r="AK148" t="e">
        <f>AND(#REF!,"AAAAAHXvGyQ=")</f>
        <v>#REF!</v>
      </c>
      <c r="AL148" t="e">
        <f>IF(#REF!,"AAAAAHXvGyU=",0)</f>
        <v>#REF!</v>
      </c>
      <c r="AM148" t="e">
        <f>AND(#REF!,"AAAAAHXvGyY=")</f>
        <v>#REF!</v>
      </c>
      <c r="AN148" t="e">
        <f>AND(#REF!,"AAAAAHXvGyc=")</f>
        <v>#REF!</v>
      </c>
      <c r="AO148" t="e">
        <f>AND(#REF!,"AAAAAHXvGyg=")</f>
        <v>#REF!</v>
      </c>
      <c r="AP148" t="e">
        <f>AND(#REF!,"AAAAAHXvGyk=")</f>
        <v>#REF!</v>
      </c>
      <c r="AQ148" t="e">
        <f>AND(#REF!,"AAAAAHXvGyo=")</f>
        <v>#REF!</v>
      </c>
      <c r="AR148" t="e">
        <f>AND(#REF!,"AAAAAHXvGys=")</f>
        <v>#REF!</v>
      </c>
      <c r="AS148" t="e">
        <f>AND(#REF!,"AAAAAHXvGyw=")</f>
        <v>#REF!</v>
      </c>
      <c r="AT148" t="e">
        <f>AND(#REF!,"AAAAAHXvGy0=")</f>
        <v>#REF!</v>
      </c>
      <c r="AU148" t="e">
        <f>AND(#REF!,"AAAAAHXvGy4=")</f>
        <v>#REF!</v>
      </c>
      <c r="AV148" t="e">
        <f>AND(#REF!,"AAAAAHXvGy8=")</f>
        <v>#REF!</v>
      </c>
      <c r="AW148" t="e">
        <f>IF(#REF!,"AAAAAHXvGzA=",0)</f>
        <v>#REF!</v>
      </c>
      <c r="AX148" t="e">
        <f>AND(#REF!,"AAAAAHXvGzE=")</f>
        <v>#REF!</v>
      </c>
      <c r="AY148" t="e">
        <f>AND(#REF!,"AAAAAHXvGzI=")</f>
        <v>#REF!</v>
      </c>
      <c r="AZ148" t="e">
        <f>AND(#REF!,"AAAAAHXvGzM=")</f>
        <v>#REF!</v>
      </c>
      <c r="BA148" t="e">
        <f>AND(#REF!,"AAAAAHXvGzQ=")</f>
        <v>#REF!</v>
      </c>
      <c r="BB148" t="e">
        <f>AND(#REF!,"AAAAAHXvGzU=")</f>
        <v>#REF!</v>
      </c>
      <c r="BC148" t="e">
        <f>AND(#REF!,"AAAAAHXvGzY=")</f>
        <v>#REF!</v>
      </c>
      <c r="BD148" t="e">
        <f>AND(#REF!,"AAAAAHXvGzc=")</f>
        <v>#REF!</v>
      </c>
      <c r="BE148" t="e">
        <f>AND(#REF!,"AAAAAHXvGzg=")</f>
        <v>#REF!</v>
      </c>
      <c r="BF148" t="e">
        <f>AND(#REF!,"AAAAAHXvGzk=")</f>
        <v>#REF!</v>
      </c>
      <c r="BG148" t="e">
        <f>AND(#REF!,"AAAAAHXvGzo=")</f>
        <v>#REF!</v>
      </c>
      <c r="BH148" t="e">
        <f>IF(#REF!,"AAAAAHXvGzs=",0)</f>
        <v>#REF!</v>
      </c>
      <c r="BI148" t="e">
        <f>AND(#REF!,"AAAAAHXvGzw=")</f>
        <v>#REF!</v>
      </c>
      <c r="BJ148" t="e">
        <f>AND(#REF!,"AAAAAHXvGz0=")</f>
        <v>#REF!</v>
      </c>
      <c r="BK148" t="e">
        <f>AND(#REF!,"AAAAAHXvGz4=")</f>
        <v>#REF!</v>
      </c>
      <c r="BL148" t="e">
        <f>AND(#REF!,"AAAAAHXvGz8=")</f>
        <v>#REF!</v>
      </c>
      <c r="BM148" t="e">
        <f>AND(#REF!,"AAAAAHXvG0A=")</f>
        <v>#REF!</v>
      </c>
      <c r="BN148" t="e">
        <f>AND(#REF!,"AAAAAHXvG0E=")</f>
        <v>#REF!</v>
      </c>
      <c r="BO148" t="e">
        <f>AND(#REF!,"AAAAAHXvG0I=")</f>
        <v>#REF!</v>
      </c>
      <c r="BP148" t="e">
        <f>AND(#REF!,"AAAAAHXvG0M=")</f>
        <v>#REF!</v>
      </c>
      <c r="BQ148" t="e">
        <f>AND(#REF!,"AAAAAHXvG0Q=")</f>
        <v>#REF!</v>
      </c>
      <c r="BR148" t="e">
        <f>AND(#REF!,"AAAAAHXvG0U=")</f>
        <v>#REF!</v>
      </c>
      <c r="BS148" t="e">
        <f>IF(#REF!,"AAAAAHXvG0Y=",0)</f>
        <v>#REF!</v>
      </c>
      <c r="BT148" t="e">
        <f>AND(#REF!,"AAAAAHXvG0c=")</f>
        <v>#REF!</v>
      </c>
      <c r="BU148" t="e">
        <f>AND(#REF!,"AAAAAHXvG0g=")</f>
        <v>#REF!</v>
      </c>
      <c r="BV148" t="e">
        <f>AND(#REF!,"AAAAAHXvG0k=")</f>
        <v>#REF!</v>
      </c>
      <c r="BW148" t="e">
        <f>AND(#REF!,"AAAAAHXvG0o=")</f>
        <v>#REF!</v>
      </c>
      <c r="BX148" t="e">
        <f>AND(#REF!,"AAAAAHXvG0s=")</f>
        <v>#REF!</v>
      </c>
      <c r="BY148" t="e">
        <f>AND(#REF!,"AAAAAHXvG0w=")</f>
        <v>#REF!</v>
      </c>
      <c r="BZ148" t="e">
        <f>AND(#REF!,"AAAAAHXvG00=")</f>
        <v>#REF!</v>
      </c>
      <c r="CA148" t="e">
        <f>AND(#REF!,"AAAAAHXvG04=")</f>
        <v>#REF!</v>
      </c>
      <c r="CB148" t="e">
        <f>AND(#REF!,"AAAAAHXvG08=")</f>
        <v>#REF!</v>
      </c>
      <c r="CC148" t="e">
        <f>AND(#REF!,"AAAAAHXvG1A=")</f>
        <v>#REF!</v>
      </c>
      <c r="CD148" t="e">
        <f>IF(#REF!,"AAAAAHXvG1E=",0)</f>
        <v>#REF!</v>
      </c>
      <c r="CE148" t="e">
        <f>AND(#REF!,"AAAAAHXvG1I=")</f>
        <v>#REF!</v>
      </c>
      <c r="CF148" t="e">
        <f>AND(#REF!,"AAAAAHXvG1M=")</f>
        <v>#REF!</v>
      </c>
      <c r="CG148" t="e">
        <f>AND(#REF!,"AAAAAHXvG1Q=")</f>
        <v>#REF!</v>
      </c>
      <c r="CH148" t="e">
        <f>AND(#REF!,"AAAAAHXvG1U=")</f>
        <v>#REF!</v>
      </c>
      <c r="CI148" t="e">
        <f>AND(#REF!,"AAAAAHXvG1Y=")</f>
        <v>#REF!</v>
      </c>
      <c r="CJ148" t="e">
        <f>AND(#REF!,"AAAAAHXvG1c=")</f>
        <v>#REF!</v>
      </c>
      <c r="CK148" t="e">
        <f>AND(#REF!,"AAAAAHXvG1g=")</f>
        <v>#REF!</v>
      </c>
      <c r="CL148" t="e">
        <f>AND(#REF!,"AAAAAHXvG1k=")</f>
        <v>#REF!</v>
      </c>
      <c r="CM148" t="e">
        <f>AND(#REF!,"AAAAAHXvG1o=")</f>
        <v>#REF!</v>
      </c>
      <c r="CN148" t="e">
        <f>AND(#REF!,"AAAAAHXvG1s=")</f>
        <v>#REF!</v>
      </c>
      <c r="CO148" t="e">
        <f>IF(#REF!,"AAAAAHXvG1w=",0)</f>
        <v>#REF!</v>
      </c>
      <c r="CP148" t="e">
        <f>AND(#REF!,"AAAAAHXvG10=")</f>
        <v>#REF!</v>
      </c>
      <c r="CQ148" t="e">
        <f>AND(#REF!,"AAAAAHXvG14=")</f>
        <v>#REF!</v>
      </c>
      <c r="CR148" t="e">
        <f>AND(#REF!,"AAAAAHXvG18=")</f>
        <v>#REF!</v>
      </c>
      <c r="CS148" t="e">
        <f>AND(#REF!,"AAAAAHXvG2A=")</f>
        <v>#REF!</v>
      </c>
      <c r="CT148" t="e">
        <f>AND(#REF!,"AAAAAHXvG2E=")</f>
        <v>#REF!</v>
      </c>
      <c r="CU148" t="e">
        <f>AND(#REF!,"AAAAAHXvG2I=")</f>
        <v>#REF!</v>
      </c>
      <c r="CV148" t="e">
        <f>AND(#REF!,"AAAAAHXvG2M=")</f>
        <v>#REF!</v>
      </c>
      <c r="CW148" t="e">
        <f>AND(#REF!,"AAAAAHXvG2Q=")</f>
        <v>#REF!</v>
      </c>
      <c r="CX148" t="e">
        <f>AND(#REF!,"AAAAAHXvG2U=")</f>
        <v>#REF!</v>
      </c>
      <c r="CY148" t="e">
        <f>AND(#REF!,"AAAAAHXvG2Y=")</f>
        <v>#REF!</v>
      </c>
      <c r="CZ148" t="e">
        <f>IF(#REF!,"AAAAAHXvG2c=",0)</f>
        <v>#REF!</v>
      </c>
      <c r="DA148" t="e">
        <f>AND(#REF!,"AAAAAHXvG2g=")</f>
        <v>#REF!</v>
      </c>
      <c r="DB148" t="e">
        <f>AND(#REF!,"AAAAAHXvG2k=")</f>
        <v>#REF!</v>
      </c>
      <c r="DC148" t="e">
        <f>AND(#REF!,"AAAAAHXvG2o=")</f>
        <v>#REF!</v>
      </c>
      <c r="DD148" t="e">
        <f>AND(#REF!,"AAAAAHXvG2s=")</f>
        <v>#REF!</v>
      </c>
      <c r="DE148" t="e">
        <f>AND(#REF!,"AAAAAHXvG2w=")</f>
        <v>#REF!</v>
      </c>
      <c r="DF148" t="e">
        <f>AND(#REF!,"AAAAAHXvG20=")</f>
        <v>#REF!</v>
      </c>
      <c r="DG148" t="e">
        <f>AND(#REF!,"AAAAAHXvG24=")</f>
        <v>#REF!</v>
      </c>
      <c r="DH148" t="e">
        <f>AND(#REF!,"AAAAAHXvG28=")</f>
        <v>#REF!</v>
      </c>
      <c r="DI148" t="e">
        <f>AND(#REF!,"AAAAAHXvG3A=")</f>
        <v>#REF!</v>
      </c>
      <c r="DJ148" t="e">
        <f>AND(#REF!,"AAAAAHXvG3E=")</f>
        <v>#REF!</v>
      </c>
      <c r="DK148" t="e">
        <f>IF(#REF!,"AAAAAHXvG3I=",0)</f>
        <v>#REF!</v>
      </c>
      <c r="DL148" t="e">
        <f>AND(#REF!,"AAAAAHXvG3M=")</f>
        <v>#REF!</v>
      </c>
      <c r="DM148" t="e">
        <f>AND(#REF!,"AAAAAHXvG3Q=")</f>
        <v>#REF!</v>
      </c>
      <c r="DN148" t="e">
        <f>AND(#REF!,"AAAAAHXvG3U=")</f>
        <v>#REF!</v>
      </c>
      <c r="DO148" t="e">
        <f>AND(#REF!,"AAAAAHXvG3Y=")</f>
        <v>#REF!</v>
      </c>
      <c r="DP148" t="e">
        <f>AND(#REF!,"AAAAAHXvG3c=")</f>
        <v>#REF!</v>
      </c>
      <c r="DQ148" t="e">
        <f>AND(#REF!,"AAAAAHXvG3g=")</f>
        <v>#REF!</v>
      </c>
      <c r="DR148" t="e">
        <f>AND(#REF!,"AAAAAHXvG3k=")</f>
        <v>#REF!</v>
      </c>
      <c r="DS148" t="e">
        <f>AND(#REF!,"AAAAAHXvG3o=")</f>
        <v>#REF!</v>
      </c>
      <c r="DT148" t="e">
        <f>AND(#REF!,"AAAAAHXvG3s=")</f>
        <v>#REF!</v>
      </c>
      <c r="DU148" t="e">
        <f>AND(#REF!,"AAAAAHXvG3w=")</f>
        <v>#REF!</v>
      </c>
      <c r="DV148" t="e">
        <f>IF(#REF!,"AAAAAHXvG30=",0)</f>
        <v>#REF!</v>
      </c>
      <c r="DW148" t="e">
        <f>AND(#REF!,"AAAAAHXvG34=")</f>
        <v>#REF!</v>
      </c>
      <c r="DX148" t="e">
        <f>AND(#REF!,"AAAAAHXvG38=")</f>
        <v>#REF!</v>
      </c>
      <c r="DY148" t="e">
        <f>AND(#REF!,"AAAAAHXvG4A=")</f>
        <v>#REF!</v>
      </c>
      <c r="DZ148" t="e">
        <f>AND(#REF!,"AAAAAHXvG4E=")</f>
        <v>#REF!</v>
      </c>
      <c r="EA148" t="e">
        <f>AND(#REF!,"AAAAAHXvG4I=")</f>
        <v>#REF!</v>
      </c>
      <c r="EB148" t="e">
        <f>AND(#REF!,"AAAAAHXvG4M=")</f>
        <v>#REF!</v>
      </c>
      <c r="EC148" t="e">
        <f>AND(#REF!,"AAAAAHXvG4Q=")</f>
        <v>#REF!</v>
      </c>
      <c r="ED148" t="e">
        <f>AND(#REF!,"AAAAAHXvG4U=")</f>
        <v>#REF!</v>
      </c>
      <c r="EE148" t="e">
        <f>AND(#REF!,"AAAAAHXvG4Y=")</f>
        <v>#REF!</v>
      </c>
      <c r="EF148" t="e">
        <f>AND(#REF!,"AAAAAHXvG4c=")</f>
        <v>#REF!</v>
      </c>
      <c r="EG148" t="e">
        <f>IF(#REF!,"AAAAAHXvG4g=",0)</f>
        <v>#REF!</v>
      </c>
      <c r="EH148" t="e">
        <f>AND(#REF!,"AAAAAHXvG4k=")</f>
        <v>#REF!</v>
      </c>
      <c r="EI148" t="e">
        <f>AND(#REF!,"AAAAAHXvG4o=")</f>
        <v>#REF!</v>
      </c>
      <c r="EJ148" t="e">
        <f>AND(#REF!,"AAAAAHXvG4s=")</f>
        <v>#REF!</v>
      </c>
      <c r="EK148" t="e">
        <f>AND(#REF!,"AAAAAHXvG4w=")</f>
        <v>#REF!</v>
      </c>
      <c r="EL148" t="e">
        <f>AND(#REF!,"AAAAAHXvG40=")</f>
        <v>#REF!</v>
      </c>
      <c r="EM148" t="e">
        <f>AND(#REF!,"AAAAAHXvG44=")</f>
        <v>#REF!</v>
      </c>
      <c r="EN148" t="e">
        <f>AND(#REF!,"AAAAAHXvG48=")</f>
        <v>#REF!</v>
      </c>
      <c r="EO148" t="e">
        <f>AND(#REF!,"AAAAAHXvG5A=")</f>
        <v>#REF!</v>
      </c>
      <c r="EP148" t="e">
        <f>AND(#REF!,"AAAAAHXvG5E=")</f>
        <v>#REF!</v>
      </c>
      <c r="EQ148" t="e">
        <f>AND(#REF!,"AAAAAHXvG5I=")</f>
        <v>#REF!</v>
      </c>
      <c r="ER148" t="e">
        <f>IF(#REF!,"AAAAAHXvG5M=",0)</f>
        <v>#REF!</v>
      </c>
      <c r="ES148" t="e">
        <f>AND(#REF!,"AAAAAHXvG5Q=")</f>
        <v>#REF!</v>
      </c>
      <c r="ET148" t="e">
        <f>AND(#REF!,"AAAAAHXvG5U=")</f>
        <v>#REF!</v>
      </c>
      <c r="EU148" t="e">
        <f>AND(#REF!,"AAAAAHXvG5Y=")</f>
        <v>#REF!</v>
      </c>
      <c r="EV148" t="e">
        <f>AND(#REF!,"AAAAAHXvG5c=")</f>
        <v>#REF!</v>
      </c>
      <c r="EW148" t="e">
        <f>AND(#REF!,"AAAAAHXvG5g=")</f>
        <v>#REF!</v>
      </c>
      <c r="EX148" t="e">
        <f>AND(#REF!,"AAAAAHXvG5k=")</f>
        <v>#REF!</v>
      </c>
      <c r="EY148" t="e">
        <f>AND(#REF!,"AAAAAHXvG5o=")</f>
        <v>#REF!</v>
      </c>
      <c r="EZ148" t="e">
        <f>AND(#REF!,"AAAAAHXvG5s=")</f>
        <v>#REF!</v>
      </c>
      <c r="FA148" t="e">
        <f>AND(#REF!,"AAAAAHXvG5w=")</f>
        <v>#REF!</v>
      </c>
      <c r="FB148" t="e">
        <f>AND(#REF!,"AAAAAHXvG50=")</f>
        <v>#REF!</v>
      </c>
      <c r="FC148" t="e">
        <f>IF(#REF!,"AAAAAHXvG54=",0)</f>
        <v>#REF!</v>
      </c>
      <c r="FD148" t="e">
        <f>AND(#REF!,"AAAAAHXvG58=")</f>
        <v>#REF!</v>
      </c>
      <c r="FE148" t="e">
        <f>AND(#REF!,"AAAAAHXvG6A=")</f>
        <v>#REF!</v>
      </c>
      <c r="FF148" t="e">
        <f>AND(#REF!,"AAAAAHXvG6E=")</f>
        <v>#REF!</v>
      </c>
      <c r="FG148" t="e">
        <f>AND(#REF!,"AAAAAHXvG6I=")</f>
        <v>#REF!</v>
      </c>
      <c r="FH148" t="e">
        <f>AND(#REF!,"AAAAAHXvG6M=")</f>
        <v>#REF!</v>
      </c>
      <c r="FI148" t="e">
        <f>AND(#REF!,"AAAAAHXvG6Q=")</f>
        <v>#REF!</v>
      </c>
      <c r="FJ148" t="e">
        <f>AND(#REF!,"AAAAAHXvG6U=")</f>
        <v>#REF!</v>
      </c>
      <c r="FK148" t="e">
        <f>AND(#REF!,"AAAAAHXvG6Y=")</f>
        <v>#REF!</v>
      </c>
      <c r="FL148" t="e">
        <f>AND(#REF!,"AAAAAHXvG6c=")</f>
        <v>#REF!</v>
      </c>
      <c r="FM148" t="e">
        <f>AND(#REF!,"AAAAAHXvG6g=")</f>
        <v>#REF!</v>
      </c>
      <c r="FN148" t="e">
        <f>IF(#REF!,"AAAAAHXvG6k=",0)</f>
        <v>#REF!</v>
      </c>
      <c r="FO148" t="e">
        <f>AND(#REF!,"AAAAAHXvG6o=")</f>
        <v>#REF!</v>
      </c>
      <c r="FP148" t="e">
        <f>AND(#REF!,"AAAAAHXvG6s=")</f>
        <v>#REF!</v>
      </c>
      <c r="FQ148" t="e">
        <f>AND(#REF!,"AAAAAHXvG6w=")</f>
        <v>#REF!</v>
      </c>
      <c r="FR148" t="e">
        <f>AND(#REF!,"AAAAAHXvG60=")</f>
        <v>#REF!</v>
      </c>
      <c r="FS148" t="e">
        <f>AND(#REF!,"AAAAAHXvG64=")</f>
        <v>#REF!</v>
      </c>
      <c r="FT148" t="e">
        <f>AND(#REF!,"AAAAAHXvG68=")</f>
        <v>#REF!</v>
      </c>
      <c r="FU148" t="e">
        <f>AND(#REF!,"AAAAAHXvG7A=")</f>
        <v>#REF!</v>
      </c>
      <c r="FV148" t="e">
        <f>AND(#REF!,"AAAAAHXvG7E=")</f>
        <v>#REF!</v>
      </c>
      <c r="FW148" t="e">
        <f>AND(#REF!,"AAAAAHXvG7I=")</f>
        <v>#REF!</v>
      </c>
      <c r="FX148" t="e">
        <f>AND(#REF!,"AAAAAHXvG7M=")</f>
        <v>#REF!</v>
      </c>
      <c r="FY148" t="e">
        <f>IF(#REF!,"AAAAAHXvG7Q=",0)</f>
        <v>#REF!</v>
      </c>
      <c r="FZ148" t="e">
        <f>AND(#REF!,"AAAAAHXvG7U=")</f>
        <v>#REF!</v>
      </c>
      <c r="GA148" t="e">
        <f>AND(#REF!,"AAAAAHXvG7Y=")</f>
        <v>#REF!</v>
      </c>
      <c r="GB148" t="e">
        <f>AND(#REF!,"AAAAAHXvG7c=")</f>
        <v>#REF!</v>
      </c>
      <c r="GC148" t="e">
        <f>AND(#REF!,"AAAAAHXvG7g=")</f>
        <v>#REF!</v>
      </c>
      <c r="GD148" t="e">
        <f>AND(#REF!,"AAAAAHXvG7k=")</f>
        <v>#REF!</v>
      </c>
      <c r="GE148" t="e">
        <f>AND(#REF!,"AAAAAHXvG7o=")</f>
        <v>#REF!</v>
      </c>
      <c r="GF148" t="e">
        <f>AND(#REF!,"AAAAAHXvG7s=")</f>
        <v>#REF!</v>
      </c>
      <c r="GG148" t="e">
        <f>AND(#REF!,"AAAAAHXvG7w=")</f>
        <v>#REF!</v>
      </c>
      <c r="GH148" t="e">
        <f>AND(#REF!,"AAAAAHXvG70=")</f>
        <v>#REF!</v>
      </c>
      <c r="GI148" t="e">
        <f>AND(#REF!,"AAAAAHXvG74=")</f>
        <v>#REF!</v>
      </c>
      <c r="GJ148" t="e">
        <f>IF(#REF!,"AAAAAHXvG78=",0)</f>
        <v>#REF!</v>
      </c>
      <c r="GK148" t="e">
        <f>AND(#REF!,"AAAAAHXvG8A=")</f>
        <v>#REF!</v>
      </c>
      <c r="GL148" t="e">
        <f>AND(#REF!,"AAAAAHXvG8E=")</f>
        <v>#REF!</v>
      </c>
      <c r="GM148" t="e">
        <f>AND(#REF!,"AAAAAHXvG8I=")</f>
        <v>#REF!</v>
      </c>
      <c r="GN148" t="e">
        <f>AND(#REF!,"AAAAAHXvG8M=")</f>
        <v>#REF!</v>
      </c>
      <c r="GO148" t="e">
        <f>AND(#REF!,"AAAAAHXvG8Q=")</f>
        <v>#REF!</v>
      </c>
      <c r="GP148" t="e">
        <f>AND(#REF!,"AAAAAHXvG8U=")</f>
        <v>#REF!</v>
      </c>
      <c r="GQ148" t="e">
        <f>AND(#REF!,"AAAAAHXvG8Y=")</f>
        <v>#REF!</v>
      </c>
      <c r="GR148" t="e">
        <f>AND(#REF!,"AAAAAHXvG8c=")</f>
        <v>#REF!</v>
      </c>
      <c r="GS148" t="e">
        <f>AND(#REF!,"AAAAAHXvG8g=")</f>
        <v>#REF!</v>
      </c>
      <c r="GT148" t="e">
        <f>AND(#REF!,"AAAAAHXvG8k=")</f>
        <v>#REF!</v>
      </c>
      <c r="GU148" t="e">
        <f>IF(#REF!,"AAAAAHXvG8o=",0)</f>
        <v>#REF!</v>
      </c>
      <c r="GV148" t="e">
        <f>AND(#REF!,"AAAAAHXvG8s=")</f>
        <v>#REF!</v>
      </c>
      <c r="GW148" t="e">
        <f>AND(#REF!,"AAAAAHXvG8w=")</f>
        <v>#REF!</v>
      </c>
      <c r="GX148" t="e">
        <f>AND(#REF!,"AAAAAHXvG80=")</f>
        <v>#REF!</v>
      </c>
      <c r="GY148" t="e">
        <f>AND(#REF!,"AAAAAHXvG84=")</f>
        <v>#REF!</v>
      </c>
      <c r="GZ148" t="e">
        <f>AND(#REF!,"AAAAAHXvG88=")</f>
        <v>#REF!</v>
      </c>
      <c r="HA148" t="e">
        <f>AND(#REF!,"AAAAAHXvG9A=")</f>
        <v>#REF!</v>
      </c>
      <c r="HB148" t="e">
        <f>AND(#REF!,"AAAAAHXvG9E=")</f>
        <v>#REF!</v>
      </c>
      <c r="HC148" t="e">
        <f>AND(#REF!,"AAAAAHXvG9I=")</f>
        <v>#REF!</v>
      </c>
      <c r="HD148" t="e">
        <f>AND(#REF!,"AAAAAHXvG9M=")</f>
        <v>#REF!</v>
      </c>
      <c r="HE148" t="e">
        <f>AND(#REF!,"AAAAAHXvG9Q=")</f>
        <v>#REF!</v>
      </c>
      <c r="HF148" t="e">
        <f>IF(#REF!,"AAAAAHXvG9U=",0)</f>
        <v>#REF!</v>
      </c>
      <c r="HG148" t="e">
        <f>AND(#REF!,"AAAAAHXvG9Y=")</f>
        <v>#REF!</v>
      </c>
      <c r="HH148" t="e">
        <f>AND(#REF!,"AAAAAHXvG9c=")</f>
        <v>#REF!</v>
      </c>
      <c r="HI148" t="e">
        <f>AND(#REF!,"AAAAAHXvG9g=")</f>
        <v>#REF!</v>
      </c>
      <c r="HJ148" t="e">
        <f>AND(#REF!,"AAAAAHXvG9k=")</f>
        <v>#REF!</v>
      </c>
      <c r="HK148" t="e">
        <f>AND(#REF!,"AAAAAHXvG9o=")</f>
        <v>#REF!</v>
      </c>
      <c r="HL148" t="e">
        <f>AND(#REF!,"AAAAAHXvG9s=")</f>
        <v>#REF!</v>
      </c>
      <c r="HM148" t="e">
        <f>AND(#REF!,"AAAAAHXvG9w=")</f>
        <v>#REF!</v>
      </c>
      <c r="HN148" t="e">
        <f>AND(#REF!,"AAAAAHXvG90=")</f>
        <v>#REF!</v>
      </c>
      <c r="HO148" t="e">
        <f>AND(#REF!,"AAAAAHXvG94=")</f>
        <v>#REF!</v>
      </c>
      <c r="HP148" t="e">
        <f>AND(#REF!,"AAAAAHXvG98=")</f>
        <v>#REF!</v>
      </c>
      <c r="HQ148" t="e">
        <f>IF(#REF!,"AAAAAHXvG+A=",0)</f>
        <v>#REF!</v>
      </c>
      <c r="HR148" t="e">
        <f>AND(#REF!,"AAAAAHXvG+E=")</f>
        <v>#REF!</v>
      </c>
      <c r="HS148" t="e">
        <f>AND(#REF!,"AAAAAHXvG+I=")</f>
        <v>#REF!</v>
      </c>
      <c r="HT148" t="e">
        <f>AND(#REF!,"AAAAAHXvG+M=")</f>
        <v>#REF!</v>
      </c>
      <c r="HU148" t="e">
        <f>AND(#REF!,"AAAAAHXvG+Q=")</f>
        <v>#REF!</v>
      </c>
      <c r="HV148" t="e">
        <f>AND(#REF!,"AAAAAHXvG+U=")</f>
        <v>#REF!</v>
      </c>
      <c r="HW148" t="e">
        <f>AND(#REF!,"AAAAAHXvG+Y=")</f>
        <v>#REF!</v>
      </c>
      <c r="HX148" t="e">
        <f>AND(#REF!,"AAAAAHXvG+c=")</f>
        <v>#REF!</v>
      </c>
      <c r="HY148" t="e">
        <f>AND(#REF!,"AAAAAHXvG+g=")</f>
        <v>#REF!</v>
      </c>
      <c r="HZ148" t="e">
        <f>AND(#REF!,"AAAAAHXvG+k=")</f>
        <v>#REF!</v>
      </c>
      <c r="IA148" t="e">
        <f>AND(#REF!,"AAAAAHXvG+o=")</f>
        <v>#REF!</v>
      </c>
      <c r="IB148" t="e">
        <f>IF(#REF!,"AAAAAHXvG+s=",0)</f>
        <v>#REF!</v>
      </c>
      <c r="IC148" t="e">
        <f>AND(#REF!,"AAAAAHXvG+w=")</f>
        <v>#REF!</v>
      </c>
      <c r="ID148" t="e">
        <f>AND(#REF!,"AAAAAHXvG+0=")</f>
        <v>#REF!</v>
      </c>
      <c r="IE148" t="e">
        <f>AND(#REF!,"AAAAAHXvG+4=")</f>
        <v>#REF!</v>
      </c>
      <c r="IF148" t="e">
        <f>AND(#REF!,"AAAAAHXvG+8=")</f>
        <v>#REF!</v>
      </c>
      <c r="IG148" t="e">
        <f>AND(#REF!,"AAAAAHXvG/A=")</f>
        <v>#REF!</v>
      </c>
      <c r="IH148" t="e">
        <f>AND(#REF!,"AAAAAHXvG/E=")</f>
        <v>#REF!</v>
      </c>
      <c r="II148" t="e">
        <f>AND(#REF!,"AAAAAHXvG/I=")</f>
        <v>#REF!</v>
      </c>
      <c r="IJ148" t="e">
        <f>AND(#REF!,"AAAAAHXvG/M=")</f>
        <v>#REF!</v>
      </c>
      <c r="IK148" t="e">
        <f>AND(#REF!,"AAAAAHXvG/Q=")</f>
        <v>#REF!</v>
      </c>
      <c r="IL148" t="e">
        <f>AND(#REF!,"AAAAAHXvG/U=")</f>
        <v>#REF!</v>
      </c>
      <c r="IM148" t="e">
        <f>IF(#REF!,"AAAAAHXvG/Y=",0)</f>
        <v>#REF!</v>
      </c>
      <c r="IN148" t="e">
        <f>AND(#REF!,"AAAAAHXvG/c=")</f>
        <v>#REF!</v>
      </c>
      <c r="IO148" t="e">
        <f>AND(#REF!,"AAAAAHXvG/g=")</f>
        <v>#REF!</v>
      </c>
      <c r="IP148" t="e">
        <f>AND(#REF!,"AAAAAHXvG/k=")</f>
        <v>#REF!</v>
      </c>
      <c r="IQ148" t="e">
        <f>AND(#REF!,"AAAAAHXvG/o=")</f>
        <v>#REF!</v>
      </c>
      <c r="IR148" t="e">
        <f>AND(#REF!,"AAAAAHXvG/s=")</f>
        <v>#REF!</v>
      </c>
      <c r="IS148" t="e">
        <f>AND(#REF!,"AAAAAHXvG/w=")</f>
        <v>#REF!</v>
      </c>
      <c r="IT148" t="e">
        <f>AND(#REF!,"AAAAAHXvG/0=")</f>
        <v>#REF!</v>
      </c>
      <c r="IU148" t="e">
        <f>AND(#REF!,"AAAAAHXvG/4=")</f>
        <v>#REF!</v>
      </c>
      <c r="IV148" t="e">
        <f>AND(#REF!,"AAAAAHXvG/8=")</f>
        <v>#REF!</v>
      </c>
    </row>
    <row r="149" spans="1:256" x14ac:dyDescent="0.25">
      <c r="A149" t="e">
        <f>AND(#REF!,"AAAAAC97uwA=")</f>
        <v>#REF!</v>
      </c>
      <c r="B149" t="e">
        <f>IF(#REF!,"AAAAAC97uwE=",0)</f>
        <v>#REF!</v>
      </c>
      <c r="C149" t="e">
        <f>AND(#REF!,"AAAAAC97uwI=")</f>
        <v>#REF!</v>
      </c>
      <c r="D149" t="e">
        <f>AND(#REF!,"AAAAAC97uwM=")</f>
        <v>#REF!</v>
      </c>
      <c r="E149" t="e">
        <f>AND(#REF!,"AAAAAC97uwQ=")</f>
        <v>#REF!</v>
      </c>
      <c r="F149" t="e">
        <f>AND(#REF!,"AAAAAC97uwU=")</f>
        <v>#REF!</v>
      </c>
      <c r="G149" t="e">
        <f>AND(#REF!,"AAAAAC97uwY=")</f>
        <v>#REF!</v>
      </c>
      <c r="H149" t="e">
        <f>AND(#REF!,"AAAAAC97uwc=")</f>
        <v>#REF!</v>
      </c>
      <c r="I149" t="e">
        <f>AND(#REF!,"AAAAAC97uwg=")</f>
        <v>#REF!</v>
      </c>
      <c r="J149" t="e">
        <f>AND(#REF!,"AAAAAC97uwk=")</f>
        <v>#REF!</v>
      </c>
      <c r="K149" t="e">
        <f>AND(#REF!,"AAAAAC97uwo=")</f>
        <v>#REF!</v>
      </c>
      <c r="L149" t="e">
        <f>AND(#REF!,"AAAAAC97uws=")</f>
        <v>#REF!</v>
      </c>
      <c r="M149" t="e">
        <f>IF(#REF!,"AAAAAC97uww=",0)</f>
        <v>#REF!</v>
      </c>
      <c r="N149" t="e">
        <f>AND(#REF!,"AAAAAC97uw0=")</f>
        <v>#REF!</v>
      </c>
      <c r="O149" t="e">
        <f>AND(#REF!,"AAAAAC97uw4=")</f>
        <v>#REF!</v>
      </c>
      <c r="P149" t="e">
        <f>AND(#REF!,"AAAAAC97uw8=")</f>
        <v>#REF!</v>
      </c>
      <c r="Q149" t="e">
        <f>AND(#REF!,"AAAAAC97uxA=")</f>
        <v>#REF!</v>
      </c>
      <c r="R149" t="e">
        <f>AND(#REF!,"AAAAAC97uxE=")</f>
        <v>#REF!</v>
      </c>
      <c r="S149" t="e">
        <f>AND(#REF!,"AAAAAC97uxI=")</f>
        <v>#REF!</v>
      </c>
      <c r="T149" t="e">
        <f>AND(#REF!,"AAAAAC97uxM=")</f>
        <v>#REF!</v>
      </c>
      <c r="U149" t="e">
        <f>AND(#REF!,"AAAAAC97uxQ=")</f>
        <v>#REF!</v>
      </c>
      <c r="V149" t="e">
        <f>AND(#REF!,"AAAAAC97uxU=")</f>
        <v>#REF!</v>
      </c>
      <c r="W149" t="e">
        <f>AND(#REF!,"AAAAAC97uxY=")</f>
        <v>#REF!</v>
      </c>
      <c r="X149" t="e">
        <f>IF(#REF!,"AAAAAC97uxc=",0)</f>
        <v>#REF!</v>
      </c>
      <c r="Y149" t="e">
        <f>AND(#REF!,"AAAAAC97uxg=")</f>
        <v>#REF!</v>
      </c>
      <c r="Z149" t="e">
        <f>AND(#REF!,"AAAAAC97uxk=")</f>
        <v>#REF!</v>
      </c>
      <c r="AA149" t="e">
        <f>AND(#REF!,"AAAAAC97uxo=")</f>
        <v>#REF!</v>
      </c>
      <c r="AB149" t="e">
        <f>AND(#REF!,"AAAAAC97uxs=")</f>
        <v>#REF!</v>
      </c>
      <c r="AC149" t="e">
        <f>AND(#REF!,"AAAAAC97uxw=")</f>
        <v>#REF!</v>
      </c>
      <c r="AD149" t="e">
        <f>AND(#REF!,"AAAAAC97ux0=")</f>
        <v>#REF!</v>
      </c>
      <c r="AE149" t="e">
        <f>AND(#REF!,"AAAAAC97ux4=")</f>
        <v>#REF!</v>
      </c>
      <c r="AF149" t="e">
        <f>AND(#REF!,"AAAAAC97ux8=")</f>
        <v>#REF!</v>
      </c>
      <c r="AG149" t="e">
        <f>AND(#REF!,"AAAAAC97uyA=")</f>
        <v>#REF!</v>
      </c>
      <c r="AH149" t="e">
        <f>AND(#REF!,"AAAAAC97uyE=")</f>
        <v>#REF!</v>
      </c>
      <c r="AI149" t="e">
        <f>IF(#REF!,"AAAAAC97uyI=",0)</f>
        <v>#REF!</v>
      </c>
      <c r="AJ149" t="e">
        <f>AND(#REF!,"AAAAAC97uyM=")</f>
        <v>#REF!</v>
      </c>
      <c r="AK149" t="e">
        <f>AND(#REF!,"AAAAAC97uyQ=")</f>
        <v>#REF!</v>
      </c>
      <c r="AL149" t="e">
        <f>AND(#REF!,"AAAAAC97uyU=")</f>
        <v>#REF!</v>
      </c>
      <c r="AM149" t="e">
        <f>AND(#REF!,"AAAAAC97uyY=")</f>
        <v>#REF!</v>
      </c>
      <c r="AN149" t="e">
        <f>AND(#REF!,"AAAAAC97uyc=")</f>
        <v>#REF!</v>
      </c>
      <c r="AO149" t="e">
        <f>AND(#REF!,"AAAAAC97uyg=")</f>
        <v>#REF!</v>
      </c>
      <c r="AP149" t="e">
        <f>AND(#REF!,"AAAAAC97uyk=")</f>
        <v>#REF!</v>
      </c>
      <c r="AQ149" t="e">
        <f>AND(#REF!,"AAAAAC97uyo=")</f>
        <v>#REF!</v>
      </c>
      <c r="AR149" t="e">
        <f>AND(#REF!,"AAAAAC97uys=")</f>
        <v>#REF!</v>
      </c>
      <c r="AS149" t="e">
        <f>AND(#REF!,"AAAAAC97uyw=")</f>
        <v>#REF!</v>
      </c>
      <c r="AT149" t="e">
        <f>IF(#REF!,"AAAAAC97uy0=",0)</f>
        <v>#REF!</v>
      </c>
      <c r="AU149" t="e">
        <f>AND(#REF!,"AAAAAC97uy4=")</f>
        <v>#REF!</v>
      </c>
      <c r="AV149" t="e">
        <f>AND(#REF!,"AAAAAC97uy8=")</f>
        <v>#REF!</v>
      </c>
      <c r="AW149" t="e">
        <f>AND(#REF!,"AAAAAC97uzA=")</f>
        <v>#REF!</v>
      </c>
      <c r="AX149" t="e">
        <f>AND(#REF!,"AAAAAC97uzE=")</f>
        <v>#REF!</v>
      </c>
      <c r="AY149" t="e">
        <f>AND(#REF!,"AAAAAC97uzI=")</f>
        <v>#REF!</v>
      </c>
      <c r="AZ149" t="e">
        <f>AND(#REF!,"AAAAAC97uzM=")</f>
        <v>#REF!</v>
      </c>
      <c r="BA149" t="e">
        <f>AND(#REF!,"AAAAAC97uzQ=")</f>
        <v>#REF!</v>
      </c>
      <c r="BB149" t="e">
        <f>AND(#REF!,"AAAAAC97uzU=")</f>
        <v>#REF!</v>
      </c>
      <c r="BC149" t="e">
        <f>AND(#REF!,"AAAAAC97uzY=")</f>
        <v>#REF!</v>
      </c>
      <c r="BD149" t="e">
        <f>AND(#REF!,"AAAAAC97uzc=")</f>
        <v>#REF!</v>
      </c>
      <c r="BE149" t="e">
        <f>IF(#REF!,"AAAAAC97uzg=",0)</f>
        <v>#REF!</v>
      </c>
      <c r="BF149" t="e">
        <f>AND(#REF!,"AAAAAC97uzk=")</f>
        <v>#REF!</v>
      </c>
      <c r="BG149" t="e">
        <f>AND(#REF!,"AAAAAC97uzo=")</f>
        <v>#REF!</v>
      </c>
      <c r="BH149" t="e">
        <f>AND(#REF!,"AAAAAC97uzs=")</f>
        <v>#REF!</v>
      </c>
      <c r="BI149" t="e">
        <f>AND(#REF!,"AAAAAC97uzw=")</f>
        <v>#REF!</v>
      </c>
      <c r="BJ149" t="e">
        <f>AND(#REF!,"AAAAAC97uz0=")</f>
        <v>#REF!</v>
      </c>
      <c r="BK149" t="e">
        <f>AND(#REF!,"AAAAAC97uz4=")</f>
        <v>#REF!</v>
      </c>
      <c r="BL149" t="e">
        <f>AND(#REF!,"AAAAAC97uz8=")</f>
        <v>#REF!</v>
      </c>
      <c r="BM149" t="e">
        <f>AND(#REF!,"AAAAAC97u0A=")</f>
        <v>#REF!</v>
      </c>
      <c r="BN149" t="e">
        <f>AND(#REF!,"AAAAAC97u0E=")</f>
        <v>#REF!</v>
      </c>
      <c r="BO149" t="e">
        <f>AND(#REF!,"AAAAAC97u0I=")</f>
        <v>#REF!</v>
      </c>
      <c r="BP149" t="e">
        <f>IF(#REF!,"AAAAAC97u0M=",0)</f>
        <v>#REF!</v>
      </c>
      <c r="BQ149" t="e">
        <f>AND(#REF!,"AAAAAC97u0Q=")</f>
        <v>#REF!</v>
      </c>
      <c r="BR149" t="e">
        <f>AND(#REF!,"AAAAAC97u0U=")</f>
        <v>#REF!</v>
      </c>
      <c r="BS149" t="e">
        <f>AND(#REF!,"AAAAAC97u0Y=")</f>
        <v>#REF!</v>
      </c>
      <c r="BT149" t="e">
        <f>AND(#REF!,"AAAAAC97u0c=")</f>
        <v>#REF!</v>
      </c>
      <c r="BU149" t="e">
        <f>AND(#REF!,"AAAAAC97u0g=")</f>
        <v>#REF!</v>
      </c>
      <c r="BV149" t="e">
        <f>AND(#REF!,"AAAAAC97u0k=")</f>
        <v>#REF!</v>
      </c>
      <c r="BW149" t="e">
        <f>AND(#REF!,"AAAAAC97u0o=")</f>
        <v>#REF!</v>
      </c>
      <c r="BX149" t="e">
        <f>AND(#REF!,"AAAAAC97u0s=")</f>
        <v>#REF!</v>
      </c>
      <c r="BY149" t="e">
        <f>AND(#REF!,"AAAAAC97u0w=")</f>
        <v>#REF!</v>
      </c>
      <c r="BZ149" t="e">
        <f>AND(#REF!,"AAAAAC97u00=")</f>
        <v>#REF!</v>
      </c>
      <c r="CA149" t="e">
        <f>IF(#REF!,"AAAAAC97u04=",0)</f>
        <v>#REF!</v>
      </c>
      <c r="CB149" t="e">
        <f>AND(#REF!,"AAAAAC97u08=")</f>
        <v>#REF!</v>
      </c>
      <c r="CC149" t="e">
        <f>AND(#REF!,"AAAAAC97u1A=")</f>
        <v>#REF!</v>
      </c>
      <c r="CD149" t="e">
        <f>AND(#REF!,"AAAAAC97u1E=")</f>
        <v>#REF!</v>
      </c>
      <c r="CE149" t="e">
        <f>AND(#REF!,"AAAAAC97u1I=")</f>
        <v>#REF!</v>
      </c>
      <c r="CF149" t="e">
        <f>AND(#REF!,"AAAAAC97u1M=")</f>
        <v>#REF!</v>
      </c>
      <c r="CG149" t="e">
        <f>AND(#REF!,"AAAAAC97u1Q=")</f>
        <v>#REF!</v>
      </c>
      <c r="CH149" t="e">
        <f>AND(#REF!,"AAAAAC97u1U=")</f>
        <v>#REF!</v>
      </c>
      <c r="CI149" t="e">
        <f>AND(#REF!,"AAAAAC97u1Y=")</f>
        <v>#REF!</v>
      </c>
      <c r="CJ149" t="e">
        <f>AND(#REF!,"AAAAAC97u1c=")</f>
        <v>#REF!</v>
      </c>
      <c r="CK149" t="e">
        <f>AND(#REF!,"AAAAAC97u1g=")</f>
        <v>#REF!</v>
      </c>
      <c r="CL149" t="e">
        <f>IF(#REF!,"AAAAAC97u1k=",0)</f>
        <v>#REF!</v>
      </c>
      <c r="CM149" t="e">
        <f>AND(#REF!,"AAAAAC97u1o=")</f>
        <v>#REF!</v>
      </c>
      <c r="CN149" t="e">
        <f>AND(#REF!,"AAAAAC97u1s=")</f>
        <v>#REF!</v>
      </c>
      <c r="CO149" t="e">
        <f>AND(#REF!,"AAAAAC97u1w=")</f>
        <v>#REF!</v>
      </c>
      <c r="CP149" t="e">
        <f>AND(#REF!,"AAAAAC97u10=")</f>
        <v>#REF!</v>
      </c>
      <c r="CQ149" t="e">
        <f>AND(#REF!,"AAAAAC97u14=")</f>
        <v>#REF!</v>
      </c>
      <c r="CR149" t="e">
        <f>AND(#REF!,"AAAAAC97u18=")</f>
        <v>#REF!</v>
      </c>
      <c r="CS149" t="e">
        <f>AND(#REF!,"AAAAAC97u2A=")</f>
        <v>#REF!</v>
      </c>
      <c r="CT149" t="e">
        <f>AND(#REF!,"AAAAAC97u2E=")</f>
        <v>#REF!</v>
      </c>
      <c r="CU149" t="e">
        <f>AND(#REF!,"AAAAAC97u2I=")</f>
        <v>#REF!</v>
      </c>
      <c r="CV149" t="e">
        <f>AND(#REF!,"AAAAAC97u2M=")</f>
        <v>#REF!</v>
      </c>
      <c r="CW149" t="e">
        <f>IF(#REF!,"AAAAAC97u2Q=",0)</f>
        <v>#REF!</v>
      </c>
      <c r="CX149" t="e">
        <f>AND(#REF!,"AAAAAC97u2U=")</f>
        <v>#REF!</v>
      </c>
      <c r="CY149" t="e">
        <f>AND(#REF!,"AAAAAC97u2Y=")</f>
        <v>#REF!</v>
      </c>
      <c r="CZ149" t="e">
        <f>AND(#REF!,"AAAAAC97u2c=")</f>
        <v>#REF!</v>
      </c>
      <c r="DA149" t="e">
        <f>AND(#REF!,"AAAAAC97u2g=")</f>
        <v>#REF!</v>
      </c>
      <c r="DB149" t="e">
        <f>AND(#REF!,"AAAAAC97u2k=")</f>
        <v>#REF!</v>
      </c>
      <c r="DC149" t="e">
        <f>AND(#REF!,"AAAAAC97u2o=")</f>
        <v>#REF!</v>
      </c>
      <c r="DD149" t="e">
        <f>AND(#REF!,"AAAAAC97u2s=")</f>
        <v>#REF!</v>
      </c>
      <c r="DE149" t="e">
        <f>AND(#REF!,"AAAAAC97u2w=")</f>
        <v>#REF!</v>
      </c>
      <c r="DF149" t="e">
        <f>AND(#REF!,"AAAAAC97u20=")</f>
        <v>#REF!</v>
      </c>
      <c r="DG149" t="e">
        <f>AND(#REF!,"AAAAAC97u24=")</f>
        <v>#REF!</v>
      </c>
      <c r="DH149" t="e">
        <f>IF(#REF!,"AAAAAC97u28=",0)</f>
        <v>#REF!</v>
      </c>
      <c r="DI149" t="e">
        <f>AND(#REF!,"AAAAAC97u3A=")</f>
        <v>#REF!</v>
      </c>
      <c r="DJ149" t="e">
        <f>AND(#REF!,"AAAAAC97u3E=")</f>
        <v>#REF!</v>
      </c>
      <c r="DK149" t="e">
        <f>AND(#REF!,"AAAAAC97u3I=")</f>
        <v>#REF!</v>
      </c>
      <c r="DL149" t="e">
        <f>AND(#REF!,"AAAAAC97u3M=")</f>
        <v>#REF!</v>
      </c>
      <c r="DM149" t="e">
        <f>AND(#REF!,"AAAAAC97u3Q=")</f>
        <v>#REF!</v>
      </c>
      <c r="DN149" t="e">
        <f>AND(#REF!,"AAAAAC97u3U=")</f>
        <v>#REF!</v>
      </c>
      <c r="DO149" t="e">
        <f>AND(#REF!,"AAAAAC97u3Y=")</f>
        <v>#REF!</v>
      </c>
      <c r="DP149" t="e">
        <f>AND(#REF!,"AAAAAC97u3c=")</f>
        <v>#REF!</v>
      </c>
      <c r="DQ149" t="e">
        <f>AND(#REF!,"AAAAAC97u3g=")</f>
        <v>#REF!</v>
      </c>
      <c r="DR149" t="e">
        <f>AND(#REF!,"AAAAAC97u3k=")</f>
        <v>#REF!</v>
      </c>
      <c r="DS149" t="e">
        <f>IF(#REF!,"AAAAAC97u3o=",0)</f>
        <v>#REF!</v>
      </c>
      <c r="DT149" t="e">
        <f>AND(#REF!,"AAAAAC97u3s=")</f>
        <v>#REF!</v>
      </c>
      <c r="DU149" t="e">
        <f>AND(#REF!,"AAAAAC97u3w=")</f>
        <v>#REF!</v>
      </c>
      <c r="DV149" t="e">
        <f>AND(#REF!,"AAAAAC97u30=")</f>
        <v>#REF!</v>
      </c>
      <c r="DW149" t="e">
        <f>AND(#REF!,"AAAAAC97u34=")</f>
        <v>#REF!</v>
      </c>
      <c r="DX149" t="e">
        <f>AND(#REF!,"AAAAAC97u38=")</f>
        <v>#REF!</v>
      </c>
      <c r="DY149" t="e">
        <f>AND(#REF!,"AAAAAC97u4A=")</f>
        <v>#REF!</v>
      </c>
      <c r="DZ149" t="e">
        <f>AND(#REF!,"AAAAAC97u4E=")</f>
        <v>#REF!</v>
      </c>
      <c r="EA149" t="e">
        <f>AND(#REF!,"AAAAAC97u4I=")</f>
        <v>#REF!</v>
      </c>
      <c r="EB149" t="e">
        <f>AND(#REF!,"AAAAAC97u4M=")</f>
        <v>#REF!</v>
      </c>
      <c r="EC149" t="e">
        <f>AND(#REF!,"AAAAAC97u4Q=")</f>
        <v>#REF!</v>
      </c>
      <c r="ED149" t="e">
        <f>IF(#REF!,"AAAAAC97u4U=",0)</f>
        <v>#REF!</v>
      </c>
      <c r="EE149" t="e">
        <f>AND(#REF!,"AAAAAC97u4Y=")</f>
        <v>#REF!</v>
      </c>
      <c r="EF149" t="e">
        <f>AND(#REF!,"AAAAAC97u4c=")</f>
        <v>#REF!</v>
      </c>
      <c r="EG149" t="e">
        <f>AND(#REF!,"AAAAAC97u4g=")</f>
        <v>#REF!</v>
      </c>
      <c r="EH149" t="e">
        <f>AND(#REF!,"AAAAAC97u4k=")</f>
        <v>#REF!</v>
      </c>
      <c r="EI149" t="e">
        <f>AND(#REF!,"AAAAAC97u4o=")</f>
        <v>#REF!</v>
      </c>
      <c r="EJ149" t="e">
        <f>AND(#REF!,"AAAAAC97u4s=")</f>
        <v>#REF!</v>
      </c>
      <c r="EK149" t="e">
        <f>AND(#REF!,"AAAAAC97u4w=")</f>
        <v>#REF!</v>
      </c>
      <c r="EL149" t="e">
        <f>AND(#REF!,"AAAAAC97u40=")</f>
        <v>#REF!</v>
      </c>
      <c r="EM149" t="e">
        <f>AND(#REF!,"AAAAAC97u44=")</f>
        <v>#REF!</v>
      </c>
      <c r="EN149" t="e">
        <f>AND(#REF!,"AAAAAC97u48=")</f>
        <v>#REF!</v>
      </c>
      <c r="EO149" t="e">
        <f>IF(#REF!,"AAAAAC97u5A=",0)</f>
        <v>#REF!</v>
      </c>
      <c r="EP149" t="e">
        <f>AND(#REF!,"AAAAAC97u5E=")</f>
        <v>#REF!</v>
      </c>
      <c r="EQ149" t="e">
        <f>AND(#REF!,"AAAAAC97u5I=")</f>
        <v>#REF!</v>
      </c>
      <c r="ER149" t="e">
        <f>AND(#REF!,"AAAAAC97u5M=")</f>
        <v>#REF!</v>
      </c>
      <c r="ES149" t="e">
        <f>AND(#REF!,"AAAAAC97u5Q=")</f>
        <v>#REF!</v>
      </c>
      <c r="ET149" t="e">
        <f>AND(#REF!,"AAAAAC97u5U=")</f>
        <v>#REF!</v>
      </c>
      <c r="EU149" t="e">
        <f>AND(#REF!,"AAAAAC97u5Y=")</f>
        <v>#REF!</v>
      </c>
      <c r="EV149" t="e">
        <f>AND(#REF!,"AAAAAC97u5c=")</f>
        <v>#REF!</v>
      </c>
      <c r="EW149" t="e">
        <f>AND(#REF!,"AAAAAC97u5g=")</f>
        <v>#REF!</v>
      </c>
      <c r="EX149" t="e">
        <f>AND(#REF!,"AAAAAC97u5k=")</f>
        <v>#REF!</v>
      </c>
      <c r="EY149" t="e">
        <f>AND(#REF!,"AAAAAC97u5o=")</f>
        <v>#REF!</v>
      </c>
      <c r="EZ149" t="e">
        <f>IF(#REF!,"AAAAAC97u5s=",0)</f>
        <v>#REF!</v>
      </c>
      <c r="FA149" t="e">
        <f>AND(#REF!,"AAAAAC97u5w=")</f>
        <v>#REF!</v>
      </c>
      <c r="FB149" t="e">
        <f>AND(#REF!,"AAAAAC97u50=")</f>
        <v>#REF!</v>
      </c>
      <c r="FC149" t="e">
        <f>AND(#REF!,"AAAAAC97u54=")</f>
        <v>#REF!</v>
      </c>
      <c r="FD149" t="e">
        <f>AND(#REF!,"AAAAAC97u58=")</f>
        <v>#REF!</v>
      </c>
      <c r="FE149" t="e">
        <f>AND(#REF!,"AAAAAC97u6A=")</f>
        <v>#REF!</v>
      </c>
      <c r="FF149" t="e">
        <f>AND(#REF!,"AAAAAC97u6E=")</f>
        <v>#REF!</v>
      </c>
      <c r="FG149" t="e">
        <f>AND(#REF!,"AAAAAC97u6I=")</f>
        <v>#REF!</v>
      </c>
      <c r="FH149" t="e">
        <f>AND(#REF!,"AAAAAC97u6M=")</f>
        <v>#REF!</v>
      </c>
      <c r="FI149" t="e">
        <f>AND(#REF!,"AAAAAC97u6Q=")</f>
        <v>#REF!</v>
      </c>
      <c r="FJ149" t="e">
        <f>AND(#REF!,"AAAAAC97u6U=")</f>
        <v>#REF!</v>
      </c>
      <c r="FK149" t="e">
        <f>IF(#REF!,"AAAAAC97u6Y=",0)</f>
        <v>#REF!</v>
      </c>
      <c r="FL149" t="e">
        <f>AND(#REF!,"AAAAAC97u6c=")</f>
        <v>#REF!</v>
      </c>
      <c r="FM149" t="e">
        <f>AND(#REF!,"AAAAAC97u6g=")</f>
        <v>#REF!</v>
      </c>
      <c r="FN149" t="e">
        <f>AND(#REF!,"AAAAAC97u6k=")</f>
        <v>#REF!</v>
      </c>
      <c r="FO149" t="e">
        <f>AND(#REF!,"AAAAAC97u6o=")</f>
        <v>#REF!</v>
      </c>
      <c r="FP149" t="e">
        <f>AND(#REF!,"AAAAAC97u6s=")</f>
        <v>#REF!</v>
      </c>
      <c r="FQ149" t="e">
        <f>AND(#REF!,"AAAAAC97u6w=")</f>
        <v>#REF!</v>
      </c>
      <c r="FR149" t="e">
        <f>AND(#REF!,"AAAAAC97u60=")</f>
        <v>#REF!</v>
      </c>
      <c r="FS149" t="e">
        <f>AND(#REF!,"AAAAAC97u64=")</f>
        <v>#REF!</v>
      </c>
      <c r="FT149" t="e">
        <f>AND(#REF!,"AAAAAC97u68=")</f>
        <v>#REF!</v>
      </c>
      <c r="FU149" t="e">
        <f>AND(#REF!,"AAAAAC97u7A=")</f>
        <v>#REF!</v>
      </c>
      <c r="FV149" t="e">
        <f>IF(#REF!,"AAAAAC97u7E=",0)</f>
        <v>#REF!</v>
      </c>
      <c r="FW149" t="e">
        <f>AND(#REF!,"AAAAAC97u7I=")</f>
        <v>#REF!</v>
      </c>
      <c r="FX149" t="e">
        <f>AND(#REF!,"AAAAAC97u7M=")</f>
        <v>#REF!</v>
      </c>
      <c r="FY149" t="e">
        <f>AND(#REF!,"AAAAAC97u7Q=")</f>
        <v>#REF!</v>
      </c>
      <c r="FZ149" t="e">
        <f>AND(#REF!,"AAAAAC97u7U=")</f>
        <v>#REF!</v>
      </c>
      <c r="GA149" t="e">
        <f>AND(#REF!,"AAAAAC97u7Y=")</f>
        <v>#REF!</v>
      </c>
      <c r="GB149" t="e">
        <f>AND(#REF!,"AAAAAC97u7c=")</f>
        <v>#REF!</v>
      </c>
      <c r="GC149" t="e">
        <f>AND(#REF!,"AAAAAC97u7g=")</f>
        <v>#REF!</v>
      </c>
      <c r="GD149" t="e">
        <f>AND(#REF!,"AAAAAC97u7k=")</f>
        <v>#REF!</v>
      </c>
      <c r="GE149" t="e">
        <f>AND(#REF!,"AAAAAC97u7o=")</f>
        <v>#REF!</v>
      </c>
      <c r="GF149" t="e">
        <f>AND(#REF!,"AAAAAC97u7s=")</f>
        <v>#REF!</v>
      </c>
      <c r="GG149" t="e">
        <f>IF(#REF!,"AAAAAC97u7w=",0)</f>
        <v>#REF!</v>
      </c>
      <c r="GH149" t="e">
        <f>AND(#REF!,"AAAAAC97u70=")</f>
        <v>#REF!</v>
      </c>
      <c r="GI149" t="e">
        <f>AND(#REF!,"AAAAAC97u74=")</f>
        <v>#REF!</v>
      </c>
      <c r="GJ149" t="e">
        <f>AND(#REF!,"AAAAAC97u78=")</f>
        <v>#REF!</v>
      </c>
      <c r="GK149" t="e">
        <f>AND(#REF!,"AAAAAC97u8A=")</f>
        <v>#REF!</v>
      </c>
      <c r="GL149" t="e">
        <f>AND(#REF!,"AAAAAC97u8E=")</f>
        <v>#REF!</v>
      </c>
      <c r="GM149" t="e">
        <f>AND(#REF!,"AAAAAC97u8I=")</f>
        <v>#REF!</v>
      </c>
      <c r="GN149" t="e">
        <f>AND(#REF!,"AAAAAC97u8M=")</f>
        <v>#REF!</v>
      </c>
      <c r="GO149" t="e">
        <f>AND(#REF!,"AAAAAC97u8Q=")</f>
        <v>#REF!</v>
      </c>
      <c r="GP149" t="e">
        <f>AND(#REF!,"AAAAAC97u8U=")</f>
        <v>#REF!</v>
      </c>
      <c r="GQ149" t="e">
        <f>AND(#REF!,"AAAAAC97u8Y=")</f>
        <v>#REF!</v>
      </c>
      <c r="GR149" t="e">
        <f>IF(#REF!,"AAAAAC97u8c=",0)</f>
        <v>#REF!</v>
      </c>
      <c r="GS149" t="e">
        <f>AND(#REF!,"AAAAAC97u8g=")</f>
        <v>#REF!</v>
      </c>
      <c r="GT149" t="e">
        <f>AND(#REF!,"AAAAAC97u8k=")</f>
        <v>#REF!</v>
      </c>
      <c r="GU149" t="e">
        <f>AND(#REF!,"AAAAAC97u8o=")</f>
        <v>#REF!</v>
      </c>
      <c r="GV149" t="e">
        <f>AND(#REF!,"AAAAAC97u8s=")</f>
        <v>#REF!</v>
      </c>
      <c r="GW149" t="e">
        <f>AND(#REF!,"AAAAAC97u8w=")</f>
        <v>#REF!</v>
      </c>
      <c r="GX149" t="e">
        <f>AND(#REF!,"AAAAAC97u80=")</f>
        <v>#REF!</v>
      </c>
      <c r="GY149" t="e">
        <f>AND(#REF!,"AAAAAC97u84=")</f>
        <v>#REF!</v>
      </c>
      <c r="GZ149" t="e">
        <f>AND(#REF!,"AAAAAC97u88=")</f>
        <v>#REF!</v>
      </c>
      <c r="HA149" t="e">
        <f>AND(#REF!,"AAAAAC97u9A=")</f>
        <v>#REF!</v>
      </c>
      <c r="HB149" t="e">
        <f>AND(#REF!,"AAAAAC97u9E=")</f>
        <v>#REF!</v>
      </c>
      <c r="HC149" t="e">
        <f>IF(#REF!,"AAAAAC97u9I=",0)</f>
        <v>#REF!</v>
      </c>
      <c r="HD149" t="e">
        <f>AND(#REF!,"AAAAAC97u9M=")</f>
        <v>#REF!</v>
      </c>
      <c r="HE149" t="e">
        <f>AND(#REF!,"AAAAAC97u9Q=")</f>
        <v>#REF!</v>
      </c>
      <c r="HF149" t="e">
        <f>AND(#REF!,"AAAAAC97u9U=")</f>
        <v>#REF!</v>
      </c>
      <c r="HG149" t="e">
        <f>AND(#REF!,"AAAAAC97u9Y=")</f>
        <v>#REF!</v>
      </c>
      <c r="HH149" t="e">
        <f>AND(#REF!,"AAAAAC97u9c=")</f>
        <v>#REF!</v>
      </c>
      <c r="HI149" t="e">
        <f>AND(#REF!,"AAAAAC97u9g=")</f>
        <v>#REF!</v>
      </c>
      <c r="HJ149" t="e">
        <f>AND(#REF!,"AAAAAC97u9k=")</f>
        <v>#REF!</v>
      </c>
      <c r="HK149" t="e">
        <f>AND(#REF!,"AAAAAC97u9o=")</f>
        <v>#REF!</v>
      </c>
      <c r="HL149" t="e">
        <f>AND(#REF!,"AAAAAC97u9s=")</f>
        <v>#REF!</v>
      </c>
      <c r="HM149" t="e">
        <f>AND(#REF!,"AAAAAC97u9w=")</f>
        <v>#REF!</v>
      </c>
      <c r="HN149" t="e">
        <f>IF(#REF!,"AAAAAC97u90=",0)</f>
        <v>#REF!</v>
      </c>
      <c r="HO149" t="e">
        <f>AND(#REF!,"AAAAAC97u94=")</f>
        <v>#REF!</v>
      </c>
      <c r="HP149" t="e">
        <f>AND(#REF!,"AAAAAC97u98=")</f>
        <v>#REF!</v>
      </c>
      <c r="HQ149" t="e">
        <f>AND(#REF!,"AAAAAC97u+A=")</f>
        <v>#REF!</v>
      </c>
      <c r="HR149" t="e">
        <f>AND(#REF!,"AAAAAC97u+E=")</f>
        <v>#REF!</v>
      </c>
      <c r="HS149" t="e">
        <f>AND(#REF!,"AAAAAC97u+I=")</f>
        <v>#REF!</v>
      </c>
      <c r="HT149" t="e">
        <f>AND(#REF!,"AAAAAC97u+M=")</f>
        <v>#REF!</v>
      </c>
      <c r="HU149" t="e">
        <f>AND(#REF!,"AAAAAC97u+Q=")</f>
        <v>#REF!</v>
      </c>
      <c r="HV149" t="e">
        <f>AND(#REF!,"AAAAAC97u+U=")</f>
        <v>#REF!</v>
      </c>
      <c r="HW149" t="e">
        <f>AND(#REF!,"AAAAAC97u+Y=")</f>
        <v>#REF!</v>
      </c>
      <c r="HX149" t="e">
        <f>AND(#REF!,"AAAAAC97u+c=")</f>
        <v>#REF!</v>
      </c>
      <c r="HY149" t="e">
        <f>IF(#REF!,"AAAAAC97u+g=",0)</f>
        <v>#REF!</v>
      </c>
      <c r="HZ149" t="e">
        <f>AND(#REF!,"AAAAAC97u+k=")</f>
        <v>#REF!</v>
      </c>
      <c r="IA149" t="e">
        <f>AND(#REF!,"AAAAAC97u+o=")</f>
        <v>#REF!</v>
      </c>
      <c r="IB149" t="e">
        <f>AND(#REF!,"AAAAAC97u+s=")</f>
        <v>#REF!</v>
      </c>
      <c r="IC149" t="e">
        <f>AND(#REF!,"AAAAAC97u+w=")</f>
        <v>#REF!</v>
      </c>
      <c r="ID149" t="e">
        <f>AND(#REF!,"AAAAAC97u+0=")</f>
        <v>#REF!</v>
      </c>
      <c r="IE149" t="e">
        <f>AND(#REF!,"AAAAAC97u+4=")</f>
        <v>#REF!</v>
      </c>
      <c r="IF149" t="e">
        <f>AND(#REF!,"AAAAAC97u+8=")</f>
        <v>#REF!</v>
      </c>
      <c r="IG149" t="e">
        <f>AND(#REF!,"AAAAAC97u/A=")</f>
        <v>#REF!</v>
      </c>
      <c r="IH149" t="e">
        <f>AND(#REF!,"AAAAAC97u/E=")</f>
        <v>#REF!</v>
      </c>
      <c r="II149" t="e">
        <f>AND(#REF!,"AAAAAC97u/I=")</f>
        <v>#REF!</v>
      </c>
      <c r="IJ149" t="e">
        <f>IF(#REF!,"AAAAAC97u/M=",0)</f>
        <v>#REF!</v>
      </c>
      <c r="IK149" t="e">
        <f>AND(#REF!,"AAAAAC97u/Q=")</f>
        <v>#REF!</v>
      </c>
      <c r="IL149" t="e">
        <f>AND(#REF!,"AAAAAC97u/U=")</f>
        <v>#REF!</v>
      </c>
      <c r="IM149" t="e">
        <f>AND(#REF!,"AAAAAC97u/Y=")</f>
        <v>#REF!</v>
      </c>
      <c r="IN149" t="e">
        <f>AND(#REF!,"AAAAAC97u/c=")</f>
        <v>#REF!</v>
      </c>
      <c r="IO149" t="e">
        <f>AND(#REF!,"AAAAAC97u/g=")</f>
        <v>#REF!</v>
      </c>
      <c r="IP149" t="e">
        <f>AND(#REF!,"AAAAAC97u/k=")</f>
        <v>#REF!</v>
      </c>
      <c r="IQ149" t="e">
        <f>AND(#REF!,"AAAAAC97u/o=")</f>
        <v>#REF!</v>
      </c>
      <c r="IR149" t="e">
        <f>AND(#REF!,"AAAAAC97u/s=")</f>
        <v>#REF!</v>
      </c>
      <c r="IS149" t="e">
        <f>AND(#REF!,"AAAAAC97u/w=")</f>
        <v>#REF!</v>
      </c>
      <c r="IT149" t="e">
        <f>AND(#REF!,"AAAAAC97u/0=")</f>
        <v>#REF!</v>
      </c>
      <c r="IU149" t="e">
        <f>IF(#REF!,"AAAAAC97u/4=",0)</f>
        <v>#REF!</v>
      </c>
      <c r="IV149" t="e">
        <f>AND(#REF!,"AAAAAC97u/8=")</f>
        <v>#REF!</v>
      </c>
    </row>
    <row r="150" spans="1:256" x14ac:dyDescent="0.25">
      <c r="A150" t="e">
        <f>AND(#REF!,"AAAAAH/8rwA=")</f>
        <v>#REF!</v>
      </c>
      <c r="B150" t="e">
        <f>AND(#REF!,"AAAAAH/8rwE=")</f>
        <v>#REF!</v>
      </c>
      <c r="C150" t="e">
        <f>AND(#REF!,"AAAAAH/8rwI=")</f>
        <v>#REF!</v>
      </c>
      <c r="D150" t="e">
        <f>AND(#REF!,"AAAAAH/8rwM=")</f>
        <v>#REF!</v>
      </c>
      <c r="E150" t="e">
        <f>AND(#REF!,"AAAAAH/8rwQ=")</f>
        <v>#REF!</v>
      </c>
      <c r="F150" t="e">
        <f>AND(#REF!,"AAAAAH/8rwU=")</f>
        <v>#REF!</v>
      </c>
      <c r="G150" t="e">
        <f>AND(#REF!,"AAAAAH/8rwY=")</f>
        <v>#REF!</v>
      </c>
      <c r="H150" t="e">
        <f>AND(#REF!,"AAAAAH/8rwc=")</f>
        <v>#REF!</v>
      </c>
      <c r="I150" t="e">
        <f>AND(#REF!,"AAAAAH/8rwg=")</f>
        <v>#REF!</v>
      </c>
      <c r="J150" t="e">
        <f>IF(#REF!,"AAAAAH/8rwk=",0)</f>
        <v>#REF!</v>
      </c>
      <c r="K150" t="e">
        <f>AND(#REF!,"AAAAAH/8rwo=")</f>
        <v>#REF!</v>
      </c>
      <c r="L150" t="e">
        <f>AND(#REF!,"AAAAAH/8rws=")</f>
        <v>#REF!</v>
      </c>
      <c r="M150" t="e">
        <f>AND(#REF!,"AAAAAH/8rww=")</f>
        <v>#REF!</v>
      </c>
      <c r="N150" t="e">
        <f>AND(#REF!,"AAAAAH/8rw0=")</f>
        <v>#REF!</v>
      </c>
      <c r="O150" t="e">
        <f>AND(#REF!,"AAAAAH/8rw4=")</f>
        <v>#REF!</v>
      </c>
      <c r="P150" t="e">
        <f>AND(#REF!,"AAAAAH/8rw8=")</f>
        <v>#REF!</v>
      </c>
      <c r="Q150" t="e">
        <f>AND(#REF!,"AAAAAH/8rxA=")</f>
        <v>#REF!</v>
      </c>
      <c r="R150" t="e">
        <f>AND(#REF!,"AAAAAH/8rxE=")</f>
        <v>#REF!</v>
      </c>
      <c r="S150" t="e">
        <f>AND(#REF!,"AAAAAH/8rxI=")</f>
        <v>#REF!</v>
      </c>
      <c r="T150" t="e">
        <f>AND(#REF!,"AAAAAH/8rxM=")</f>
        <v>#REF!</v>
      </c>
      <c r="U150" t="e">
        <f>IF(#REF!,"AAAAAH/8rxQ=",0)</f>
        <v>#REF!</v>
      </c>
      <c r="V150" t="e">
        <f>AND(#REF!,"AAAAAH/8rxU=")</f>
        <v>#REF!</v>
      </c>
      <c r="W150" t="e">
        <f>AND(#REF!,"AAAAAH/8rxY=")</f>
        <v>#REF!</v>
      </c>
      <c r="X150" t="e">
        <f>AND(#REF!,"AAAAAH/8rxc=")</f>
        <v>#REF!</v>
      </c>
      <c r="Y150" t="e">
        <f>AND(#REF!,"AAAAAH/8rxg=")</f>
        <v>#REF!</v>
      </c>
      <c r="Z150" t="e">
        <f>AND(#REF!,"AAAAAH/8rxk=")</f>
        <v>#REF!</v>
      </c>
      <c r="AA150" t="e">
        <f>AND(#REF!,"AAAAAH/8rxo=")</f>
        <v>#REF!</v>
      </c>
      <c r="AB150" t="e">
        <f>AND(#REF!,"AAAAAH/8rxs=")</f>
        <v>#REF!</v>
      </c>
      <c r="AC150" t="e">
        <f>AND(#REF!,"AAAAAH/8rxw=")</f>
        <v>#REF!</v>
      </c>
      <c r="AD150" t="e">
        <f>AND(#REF!,"AAAAAH/8rx0=")</f>
        <v>#REF!</v>
      </c>
      <c r="AE150" t="e">
        <f>AND(#REF!,"AAAAAH/8rx4=")</f>
        <v>#REF!</v>
      </c>
      <c r="AF150" t="e">
        <f>IF(#REF!,"AAAAAH/8rx8=",0)</f>
        <v>#REF!</v>
      </c>
      <c r="AG150" t="e">
        <f>AND(#REF!,"AAAAAH/8ryA=")</f>
        <v>#REF!</v>
      </c>
      <c r="AH150" t="e">
        <f>AND(#REF!,"AAAAAH/8ryE=")</f>
        <v>#REF!</v>
      </c>
      <c r="AI150" t="e">
        <f>AND(#REF!,"AAAAAH/8ryI=")</f>
        <v>#REF!</v>
      </c>
      <c r="AJ150" t="e">
        <f>AND(#REF!,"AAAAAH/8ryM=")</f>
        <v>#REF!</v>
      </c>
      <c r="AK150" t="e">
        <f>AND(#REF!,"AAAAAH/8ryQ=")</f>
        <v>#REF!</v>
      </c>
      <c r="AL150" t="e">
        <f>AND(#REF!,"AAAAAH/8ryU=")</f>
        <v>#REF!</v>
      </c>
      <c r="AM150" t="e">
        <f>AND(#REF!,"AAAAAH/8ryY=")</f>
        <v>#REF!</v>
      </c>
      <c r="AN150" t="e">
        <f>AND(#REF!,"AAAAAH/8ryc=")</f>
        <v>#REF!</v>
      </c>
      <c r="AO150" t="e">
        <f>AND(#REF!,"AAAAAH/8ryg=")</f>
        <v>#REF!</v>
      </c>
      <c r="AP150" t="e">
        <f>AND(#REF!,"AAAAAH/8ryk=")</f>
        <v>#REF!</v>
      </c>
      <c r="AQ150" t="e">
        <f>IF(#REF!,"AAAAAH/8ryo=",0)</f>
        <v>#REF!</v>
      </c>
      <c r="AR150" t="e">
        <f>AND(#REF!,"AAAAAH/8rys=")</f>
        <v>#REF!</v>
      </c>
      <c r="AS150" t="e">
        <f>AND(#REF!,"AAAAAH/8ryw=")</f>
        <v>#REF!</v>
      </c>
      <c r="AT150" t="e">
        <f>AND(#REF!,"AAAAAH/8ry0=")</f>
        <v>#REF!</v>
      </c>
      <c r="AU150" t="e">
        <f>AND(#REF!,"AAAAAH/8ry4=")</f>
        <v>#REF!</v>
      </c>
      <c r="AV150" t="e">
        <f>AND(#REF!,"AAAAAH/8ry8=")</f>
        <v>#REF!</v>
      </c>
      <c r="AW150" t="e">
        <f>AND(#REF!,"AAAAAH/8rzA=")</f>
        <v>#REF!</v>
      </c>
      <c r="AX150" t="e">
        <f>AND(#REF!,"AAAAAH/8rzE=")</f>
        <v>#REF!</v>
      </c>
      <c r="AY150" t="e">
        <f>AND(#REF!,"AAAAAH/8rzI=")</f>
        <v>#REF!</v>
      </c>
      <c r="AZ150" t="e">
        <f>AND(#REF!,"AAAAAH/8rzM=")</f>
        <v>#REF!</v>
      </c>
      <c r="BA150" t="e">
        <f>AND(#REF!,"AAAAAH/8rzQ=")</f>
        <v>#REF!</v>
      </c>
      <c r="BB150" t="e">
        <f>IF(#REF!,"AAAAAH/8rzU=",0)</f>
        <v>#REF!</v>
      </c>
      <c r="BC150" t="e">
        <f>AND(#REF!,"AAAAAH/8rzY=")</f>
        <v>#REF!</v>
      </c>
      <c r="BD150" t="e">
        <f>AND(#REF!,"AAAAAH/8rzc=")</f>
        <v>#REF!</v>
      </c>
      <c r="BE150" t="e">
        <f>AND(#REF!,"AAAAAH/8rzg=")</f>
        <v>#REF!</v>
      </c>
      <c r="BF150" t="e">
        <f>AND(#REF!,"AAAAAH/8rzk=")</f>
        <v>#REF!</v>
      </c>
      <c r="BG150" t="e">
        <f>AND(#REF!,"AAAAAH/8rzo=")</f>
        <v>#REF!</v>
      </c>
      <c r="BH150" t="e">
        <f>AND(#REF!,"AAAAAH/8rzs=")</f>
        <v>#REF!</v>
      </c>
      <c r="BI150" t="e">
        <f>AND(#REF!,"AAAAAH/8rzw=")</f>
        <v>#REF!</v>
      </c>
      <c r="BJ150" t="e">
        <f>AND(#REF!,"AAAAAH/8rz0=")</f>
        <v>#REF!</v>
      </c>
      <c r="BK150" t="e">
        <f>AND(#REF!,"AAAAAH/8rz4=")</f>
        <v>#REF!</v>
      </c>
      <c r="BL150" t="e">
        <f>AND(#REF!,"AAAAAH/8rz8=")</f>
        <v>#REF!</v>
      </c>
      <c r="BM150" t="e">
        <f>IF(#REF!,"AAAAAH/8r0A=",0)</f>
        <v>#REF!</v>
      </c>
      <c r="BN150" t="e">
        <f>AND(#REF!,"AAAAAH/8r0E=")</f>
        <v>#REF!</v>
      </c>
      <c r="BO150" t="e">
        <f>AND(#REF!,"AAAAAH/8r0I=")</f>
        <v>#REF!</v>
      </c>
      <c r="BP150" t="e">
        <f>AND(#REF!,"AAAAAH/8r0M=")</f>
        <v>#REF!</v>
      </c>
      <c r="BQ150" t="e">
        <f>AND(#REF!,"AAAAAH/8r0Q=")</f>
        <v>#REF!</v>
      </c>
      <c r="BR150" t="e">
        <f>AND(#REF!,"AAAAAH/8r0U=")</f>
        <v>#REF!</v>
      </c>
      <c r="BS150" t="e">
        <f>AND(#REF!,"AAAAAH/8r0Y=")</f>
        <v>#REF!</v>
      </c>
      <c r="BT150" t="e">
        <f>AND(#REF!,"AAAAAH/8r0c=")</f>
        <v>#REF!</v>
      </c>
      <c r="BU150" t="e">
        <f>AND(#REF!,"AAAAAH/8r0g=")</f>
        <v>#REF!</v>
      </c>
      <c r="BV150" t="e">
        <f>AND(#REF!,"AAAAAH/8r0k=")</f>
        <v>#REF!</v>
      </c>
      <c r="BW150" t="e">
        <f>AND(#REF!,"AAAAAH/8r0o=")</f>
        <v>#REF!</v>
      </c>
      <c r="BX150" t="e">
        <f>IF(#REF!,"AAAAAH/8r0s=",0)</f>
        <v>#REF!</v>
      </c>
      <c r="BY150" t="e">
        <f>AND(#REF!,"AAAAAH/8r0w=")</f>
        <v>#REF!</v>
      </c>
      <c r="BZ150" t="e">
        <f>AND(#REF!,"AAAAAH/8r00=")</f>
        <v>#REF!</v>
      </c>
      <c r="CA150" t="e">
        <f>AND(#REF!,"AAAAAH/8r04=")</f>
        <v>#REF!</v>
      </c>
      <c r="CB150" t="e">
        <f>AND(#REF!,"AAAAAH/8r08=")</f>
        <v>#REF!</v>
      </c>
      <c r="CC150" t="e">
        <f>AND(#REF!,"AAAAAH/8r1A=")</f>
        <v>#REF!</v>
      </c>
      <c r="CD150" t="e">
        <f>AND(#REF!,"AAAAAH/8r1E=")</f>
        <v>#REF!</v>
      </c>
      <c r="CE150" t="e">
        <f>AND(#REF!,"AAAAAH/8r1I=")</f>
        <v>#REF!</v>
      </c>
      <c r="CF150" t="e">
        <f>AND(#REF!,"AAAAAH/8r1M=")</f>
        <v>#REF!</v>
      </c>
      <c r="CG150" t="e">
        <f>AND(#REF!,"AAAAAH/8r1Q=")</f>
        <v>#REF!</v>
      </c>
      <c r="CH150" t="e">
        <f>AND(#REF!,"AAAAAH/8r1U=")</f>
        <v>#REF!</v>
      </c>
      <c r="CI150" t="e">
        <f>IF(#REF!,"AAAAAH/8r1Y=",0)</f>
        <v>#REF!</v>
      </c>
      <c r="CJ150" t="e">
        <f>AND(#REF!,"AAAAAH/8r1c=")</f>
        <v>#REF!</v>
      </c>
      <c r="CK150" t="e">
        <f>AND(#REF!,"AAAAAH/8r1g=")</f>
        <v>#REF!</v>
      </c>
      <c r="CL150" t="e">
        <f>AND(#REF!,"AAAAAH/8r1k=")</f>
        <v>#REF!</v>
      </c>
      <c r="CM150" t="e">
        <f>AND(#REF!,"AAAAAH/8r1o=")</f>
        <v>#REF!</v>
      </c>
      <c r="CN150" t="e">
        <f>AND(#REF!,"AAAAAH/8r1s=")</f>
        <v>#REF!</v>
      </c>
      <c r="CO150" t="e">
        <f>AND(#REF!,"AAAAAH/8r1w=")</f>
        <v>#REF!</v>
      </c>
      <c r="CP150" t="e">
        <f>AND(#REF!,"AAAAAH/8r10=")</f>
        <v>#REF!</v>
      </c>
      <c r="CQ150" t="e">
        <f>AND(#REF!,"AAAAAH/8r14=")</f>
        <v>#REF!</v>
      </c>
      <c r="CR150" t="e">
        <f>AND(#REF!,"AAAAAH/8r18=")</f>
        <v>#REF!</v>
      </c>
      <c r="CS150" t="e">
        <f>AND(#REF!,"AAAAAH/8r2A=")</f>
        <v>#REF!</v>
      </c>
      <c r="CT150" t="e">
        <f>IF(#REF!,"AAAAAH/8r2E=",0)</f>
        <v>#REF!</v>
      </c>
      <c r="CU150" t="e">
        <f>AND(#REF!,"AAAAAH/8r2I=")</f>
        <v>#REF!</v>
      </c>
      <c r="CV150" t="e">
        <f>AND(#REF!,"AAAAAH/8r2M=")</f>
        <v>#REF!</v>
      </c>
      <c r="CW150" t="e">
        <f>AND(#REF!,"AAAAAH/8r2Q=")</f>
        <v>#REF!</v>
      </c>
      <c r="CX150" t="e">
        <f>AND(#REF!,"AAAAAH/8r2U=")</f>
        <v>#REF!</v>
      </c>
      <c r="CY150" t="e">
        <f>AND(#REF!,"AAAAAH/8r2Y=")</f>
        <v>#REF!</v>
      </c>
      <c r="CZ150" t="e">
        <f>AND(#REF!,"AAAAAH/8r2c=")</f>
        <v>#REF!</v>
      </c>
      <c r="DA150" t="e">
        <f>AND(#REF!,"AAAAAH/8r2g=")</f>
        <v>#REF!</v>
      </c>
      <c r="DB150" t="e">
        <f>AND(#REF!,"AAAAAH/8r2k=")</f>
        <v>#REF!</v>
      </c>
      <c r="DC150" t="e">
        <f>AND(#REF!,"AAAAAH/8r2o=")</f>
        <v>#REF!</v>
      </c>
      <c r="DD150" t="e">
        <f>AND(#REF!,"AAAAAH/8r2s=")</f>
        <v>#REF!</v>
      </c>
      <c r="DE150" t="e">
        <f>IF(#REF!,"AAAAAH/8r2w=",0)</f>
        <v>#REF!</v>
      </c>
      <c r="DF150" t="e">
        <f>AND(#REF!,"AAAAAH/8r20=")</f>
        <v>#REF!</v>
      </c>
      <c r="DG150" t="e">
        <f>AND(#REF!,"AAAAAH/8r24=")</f>
        <v>#REF!</v>
      </c>
      <c r="DH150" t="e">
        <f>AND(#REF!,"AAAAAH/8r28=")</f>
        <v>#REF!</v>
      </c>
      <c r="DI150" t="e">
        <f>AND(#REF!,"AAAAAH/8r3A=")</f>
        <v>#REF!</v>
      </c>
      <c r="DJ150" t="e">
        <f>AND(#REF!,"AAAAAH/8r3E=")</f>
        <v>#REF!</v>
      </c>
      <c r="DK150" t="e">
        <f>AND(#REF!,"AAAAAH/8r3I=")</f>
        <v>#REF!</v>
      </c>
      <c r="DL150" t="e">
        <f>AND(#REF!,"AAAAAH/8r3M=")</f>
        <v>#REF!</v>
      </c>
      <c r="DM150" t="e">
        <f>AND(#REF!,"AAAAAH/8r3Q=")</f>
        <v>#REF!</v>
      </c>
      <c r="DN150" t="e">
        <f>AND(#REF!,"AAAAAH/8r3U=")</f>
        <v>#REF!</v>
      </c>
      <c r="DO150" t="e">
        <f>AND(#REF!,"AAAAAH/8r3Y=")</f>
        <v>#REF!</v>
      </c>
      <c r="DP150" t="e">
        <f>IF(#REF!,"AAAAAH/8r3c=",0)</f>
        <v>#REF!</v>
      </c>
      <c r="DQ150" t="e">
        <f>AND(#REF!,"AAAAAH/8r3g=")</f>
        <v>#REF!</v>
      </c>
      <c r="DR150" t="e">
        <f>AND(#REF!,"AAAAAH/8r3k=")</f>
        <v>#REF!</v>
      </c>
      <c r="DS150" t="e">
        <f>AND(#REF!,"AAAAAH/8r3o=")</f>
        <v>#REF!</v>
      </c>
      <c r="DT150" t="e">
        <f>AND(#REF!,"AAAAAH/8r3s=")</f>
        <v>#REF!</v>
      </c>
      <c r="DU150" t="e">
        <f>AND(#REF!,"AAAAAH/8r3w=")</f>
        <v>#REF!</v>
      </c>
      <c r="DV150" t="e">
        <f>AND(#REF!,"AAAAAH/8r30=")</f>
        <v>#REF!</v>
      </c>
      <c r="DW150" t="e">
        <f>AND(#REF!,"AAAAAH/8r34=")</f>
        <v>#REF!</v>
      </c>
      <c r="DX150" t="e">
        <f>AND(#REF!,"AAAAAH/8r38=")</f>
        <v>#REF!</v>
      </c>
      <c r="DY150" t="e">
        <f>AND(#REF!,"AAAAAH/8r4A=")</f>
        <v>#REF!</v>
      </c>
      <c r="DZ150" t="e">
        <f>AND(#REF!,"AAAAAH/8r4E=")</f>
        <v>#REF!</v>
      </c>
      <c r="EA150" t="e">
        <f>IF(#REF!,"AAAAAH/8r4I=",0)</f>
        <v>#REF!</v>
      </c>
      <c r="EB150" t="e">
        <f>AND(#REF!,"AAAAAH/8r4M=")</f>
        <v>#REF!</v>
      </c>
      <c r="EC150" t="e">
        <f>AND(#REF!,"AAAAAH/8r4Q=")</f>
        <v>#REF!</v>
      </c>
      <c r="ED150" t="e">
        <f>AND(#REF!,"AAAAAH/8r4U=")</f>
        <v>#REF!</v>
      </c>
      <c r="EE150" t="e">
        <f>AND(#REF!,"AAAAAH/8r4Y=")</f>
        <v>#REF!</v>
      </c>
      <c r="EF150" t="e">
        <f>AND(#REF!,"AAAAAH/8r4c=")</f>
        <v>#REF!</v>
      </c>
      <c r="EG150" t="e">
        <f>AND(#REF!,"AAAAAH/8r4g=")</f>
        <v>#REF!</v>
      </c>
      <c r="EH150" t="e">
        <f>AND(#REF!,"AAAAAH/8r4k=")</f>
        <v>#REF!</v>
      </c>
      <c r="EI150" t="e">
        <f>AND(#REF!,"AAAAAH/8r4o=")</f>
        <v>#REF!</v>
      </c>
      <c r="EJ150" t="e">
        <f>AND(#REF!,"AAAAAH/8r4s=")</f>
        <v>#REF!</v>
      </c>
      <c r="EK150" t="e">
        <f>AND(#REF!,"AAAAAH/8r4w=")</f>
        <v>#REF!</v>
      </c>
      <c r="EL150" t="e">
        <f>IF(#REF!,"AAAAAH/8r40=",0)</f>
        <v>#REF!</v>
      </c>
      <c r="EM150" t="e">
        <f>AND(#REF!,"AAAAAH/8r44=")</f>
        <v>#REF!</v>
      </c>
      <c r="EN150" t="e">
        <f>AND(#REF!,"AAAAAH/8r48=")</f>
        <v>#REF!</v>
      </c>
      <c r="EO150" t="e">
        <f>AND(#REF!,"AAAAAH/8r5A=")</f>
        <v>#REF!</v>
      </c>
      <c r="EP150" t="e">
        <f>AND(#REF!,"AAAAAH/8r5E=")</f>
        <v>#REF!</v>
      </c>
      <c r="EQ150" t="e">
        <f>AND(#REF!,"AAAAAH/8r5I=")</f>
        <v>#REF!</v>
      </c>
      <c r="ER150" t="e">
        <f>AND(#REF!,"AAAAAH/8r5M=")</f>
        <v>#REF!</v>
      </c>
      <c r="ES150" t="e">
        <f>AND(#REF!,"AAAAAH/8r5Q=")</f>
        <v>#REF!</v>
      </c>
      <c r="ET150" t="e">
        <f>AND(#REF!,"AAAAAH/8r5U=")</f>
        <v>#REF!</v>
      </c>
      <c r="EU150" t="e">
        <f>AND(#REF!,"AAAAAH/8r5Y=")</f>
        <v>#REF!</v>
      </c>
      <c r="EV150" t="e">
        <f>AND(#REF!,"AAAAAH/8r5c=")</f>
        <v>#REF!</v>
      </c>
      <c r="EW150" t="e">
        <f>IF(#REF!,"AAAAAH/8r5g=",0)</f>
        <v>#REF!</v>
      </c>
      <c r="EX150" t="e">
        <f>AND(#REF!,"AAAAAH/8r5k=")</f>
        <v>#REF!</v>
      </c>
      <c r="EY150" t="e">
        <f>AND(#REF!,"AAAAAH/8r5o=")</f>
        <v>#REF!</v>
      </c>
      <c r="EZ150" t="e">
        <f>AND(#REF!,"AAAAAH/8r5s=")</f>
        <v>#REF!</v>
      </c>
      <c r="FA150" t="e">
        <f>AND(#REF!,"AAAAAH/8r5w=")</f>
        <v>#REF!</v>
      </c>
      <c r="FB150" t="e">
        <f>AND(#REF!,"AAAAAH/8r50=")</f>
        <v>#REF!</v>
      </c>
      <c r="FC150" t="e">
        <f>AND(#REF!,"AAAAAH/8r54=")</f>
        <v>#REF!</v>
      </c>
      <c r="FD150" t="e">
        <f>AND(#REF!,"AAAAAH/8r58=")</f>
        <v>#REF!</v>
      </c>
      <c r="FE150" t="e">
        <f>AND(#REF!,"AAAAAH/8r6A=")</f>
        <v>#REF!</v>
      </c>
      <c r="FF150" t="e">
        <f>AND(#REF!,"AAAAAH/8r6E=")</f>
        <v>#REF!</v>
      </c>
      <c r="FG150" t="e">
        <f>AND(#REF!,"AAAAAH/8r6I=")</f>
        <v>#REF!</v>
      </c>
      <c r="FH150" t="e">
        <f>IF(#REF!,"AAAAAH/8r6M=",0)</f>
        <v>#REF!</v>
      </c>
      <c r="FI150" t="e">
        <f>AND(#REF!,"AAAAAH/8r6Q=")</f>
        <v>#REF!</v>
      </c>
      <c r="FJ150" t="e">
        <f>AND(#REF!,"AAAAAH/8r6U=")</f>
        <v>#REF!</v>
      </c>
      <c r="FK150" t="e">
        <f>AND(#REF!,"AAAAAH/8r6Y=")</f>
        <v>#REF!</v>
      </c>
      <c r="FL150" t="e">
        <f>AND(#REF!,"AAAAAH/8r6c=")</f>
        <v>#REF!</v>
      </c>
      <c r="FM150" t="e">
        <f>AND(#REF!,"AAAAAH/8r6g=")</f>
        <v>#REF!</v>
      </c>
      <c r="FN150" t="e">
        <f>AND(#REF!,"AAAAAH/8r6k=")</f>
        <v>#REF!</v>
      </c>
      <c r="FO150" t="e">
        <f>AND(#REF!,"AAAAAH/8r6o=")</f>
        <v>#REF!</v>
      </c>
      <c r="FP150" t="e">
        <f>AND(#REF!,"AAAAAH/8r6s=")</f>
        <v>#REF!</v>
      </c>
      <c r="FQ150" t="e">
        <f>AND(#REF!,"AAAAAH/8r6w=")</f>
        <v>#REF!</v>
      </c>
      <c r="FR150" t="e">
        <f>AND(#REF!,"AAAAAH/8r60=")</f>
        <v>#REF!</v>
      </c>
      <c r="FS150" t="e">
        <f>IF(#REF!,"AAAAAH/8r64=",0)</f>
        <v>#REF!</v>
      </c>
      <c r="FT150" t="e">
        <f>AND(#REF!,"AAAAAH/8r68=")</f>
        <v>#REF!</v>
      </c>
      <c r="FU150" t="e">
        <f>AND(#REF!,"AAAAAH/8r7A=")</f>
        <v>#REF!</v>
      </c>
      <c r="FV150" t="e">
        <f>AND(#REF!,"AAAAAH/8r7E=")</f>
        <v>#REF!</v>
      </c>
      <c r="FW150" t="e">
        <f>AND(#REF!,"AAAAAH/8r7I=")</f>
        <v>#REF!</v>
      </c>
      <c r="FX150" t="e">
        <f>AND(#REF!,"AAAAAH/8r7M=")</f>
        <v>#REF!</v>
      </c>
      <c r="FY150" t="e">
        <f>AND(#REF!,"AAAAAH/8r7Q=")</f>
        <v>#REF!</v>
      </c>
      <c r="FZ150" t="e">
        <f>AND(#REF!,"AAAAAH/8r7U=")</f>
        <v>#REF!</v>
      </c>
      <c r="GA150" t="e">
        <f>AND(#REF!,"AAAAAH/8r7Y=")</f>
        <v>#REF!</v>
      </c>
      <c r="GB150" t="e">
        <f>AND(#REF!,"AAAAAH/8r7c=")</f>
        <v>#REF!</v>
      </c>
      <c r="GC150" t="e">
        <f>AND(#REF!,"AAAAAH/8r7g=")</f>
        <v>#REF!</v>
      </c>
      <c r="GD150" t="e">
        <f>IF(#REF!,"AAAAAH/8r7k=",0)</f>
        <v>#REF!</v>
      </c>
      <c r="GE150" t="e">
        <f>AND(#REF!,"AAAAAH/8r7o=")</f>
        <v>#REF!</v>
      </c>
      <c r="GF150" t="e">
        <f>AND(#REF!,"AAAAAH/8r7s=")</f>
        <v>#REF!</v>
      </c>
      <c r="GG150" t="e">
        <f>AND(#REF!,"AAAAAH/8r7w=")</f>
        <v>#REF!</v>
      </c>
      <c r="GH150" t="e">
        <f>AND(#REF!,"AAAAAH/8r70=")</f>
        <v>#REF!</v>
      </c>
      <c r="GI150" t="e">
        <f>AND(#REF!,"AAAAAH/8r74=")</f>
        <v>#REF!</v>
      </c>
      <c r="GJ150" t="e">
        <f>AND(#REF!,"AAAAAH/8r78=")</f>
        <v>#REF!</v>
      </c>
      <c r="GK150" t="e">
        <f>AND(#REF!,"AAAAAH/8r8A=")</f>
        <v>#REF!</v>
      </c>
      <c r="GL150" t="e">
        <f>AND(#REF!,"AAAAAH/8r8E=")</f>
        <v>#REF!</v>
      </c>
      <c r="GM150" t="e">
        <f>AND(#REF!,"AAAAAH/8r8I=")</f>
        <v>#REF!</v>
      </c>
      <c r="GN150" t="e">
        <f>AND(#REF!,"AAAAAH/8r8M=")</f>
        <v>#REF!</v>
      </c>
      <c r="GO150" t="e">
        <f>IF(#REF!,"AAAAAH/8r8Q=",0)</f>
        <v>#REF!</v>
      </c>
      <c r="GP150" t="e">
        <f>AND(#REF!,"AAAAAH/8r8U=")</f>
        <v>#REF!</v>
      </c>
      <c r="GQ150" t="e">
        <f>AND(#REF!,"AAAAAH/8r8Y=")</f>
        <v>#REF!</v>
      </c>
      <c r="GR150" t="e">
        <f>AND(#REF!,"AAAAAH/8r8c=")</f>
        <v>#REF!</v>
      </c>
      <c r="GS150" t="e">
        <f>AND(#REF!,"AAAAAH/8r8g=")</f>
        <v>#REF!</v>
      </c>
      <c r="GT150" t="e">
        <f>AND(#REF!,"AAAAAH/8r8k=")</f>
        <v>#REF!</v>
      </c>
      <c r="GU150" t="e">
        <f>AND(#REF!,"AAAAAH/8r8o=")</f>
        <v>#REF!</v>
      </c>
      <c r="GV150" t="e">
        <f>AND(#REF!,"AAAAAH/8r8s=")</f>
        <v>#REF!</v>
      </c>
      <c r="GW150" t="e">
        <f>AND(#REF!,"AAAAAH/8r8w=")</f>
        <v>#REF!</v>
      </c>
      <c r="GX150" t="e">
        <f>AND(#REF!,"AAAAAH/8r80=")</f>
        <v>#REF!</v>
      </c>
      <c r="GY150" t="e">
        <f>AND(#REF!,"AAAAAH/8r84=")</f>
        <v>#REF!</v>
      </c>
      <c r="GZ150" t="e">
        <f>IF(#REF!,"AAAAAH/8r88=",0)</f>
        <v>#REF!</v>
      </c>
      <c r="HA150" t="e">
        <f>AND(#REF!,"AAAAAH/8r9A=")</f>
        <v>#REF!</v>
      </c>
      <c r="HB150" t="e">
        <f>AND(#REF!,"AAAAAH/8r9E=")</f>
        <v>#REF!</v>
      </c>
      <c r="HC150" t="e">
        <f>AND(#REF!,"AAAAAH/8r9I=")</f>
        <v>#REF!</v>
      </c>
      <c r="HD150" t="e">
        <f>AND(#REF!,"AAAAAH/8r9M=")</f>
        <v>#REF!</v>
      </c>
      <c r="HE150" t="e">
        <f>AND(#REF!,"AAAAAH/8r9Q=")</f>
        <v>#REF!</v>
      </c>
      <c r="HF150" t="e">
        <f>AND(#REF!,"AAAAAH/8r9U=")</f>
        <v>#REF!</v>
      </c>
      <c r="HG150" t="e">
        <f>AND(#REF!,"AAAAAH/8r9Y=")</f>
        <v>#REF!</v>
      </c>
      <c r="HH150" t="e">
        <f>AND(#REF!,"AAAAAH/8r9c=")</f>
        <v>#REF!</v>
      </c>
      <c r="HI150" t="e">
        <f>AND(#REF!,"AAAAAH/8r9g=")</f>
        <v>#REF!</v>
      </c>
      <c r="HJ150" t="e">
        <f>AND(#REF!,"AAAAAH/8r9k=")</f>
        <v>#REF!</v>
      </c>
      <c r="HK150" t="e">
        <f>IF(#REF!,"AAAAAH/8r9o=",0)</f>
        <v>#REF!</v>
      </c>
      <c r="HL150" t="e">
        <f>AND(#REF!,"AAAAAH/8r9s=")</f>
        <v>#REF!</v>
      </c>
      <c r="HM150" t="e">
        <f>AND(#REF!,"AAAAAH/8r9w=")</f>
        <v>#REF!</v>
      </c>
      <c r="HN150" t="e">
        <f>AND(#REF!,"AAAAAH/8r90=")</f>
        <v>#REF!</v>
      </c>
      <c r="HO150" t="e">
        <f>AND(#REF!,"AAAAAH/8r94=")</f>
        <v>#REF!</v>
      </c>
      <c r="HP150" t="e">
        <f>AND(#REF!,"AAAAAH/8r98=")</f>
        <v>#REF!</v>
      </c>
      <c r="HQ150" t="e">
        <f>AND(#REF!,"AAAAAH/8r+A=")</f>
        <v>#REF!</v>
      </c>
      <c r="HR150" t="e">
        <f>AND(#REF!,"AAAAAH/8r+E=")</f>
        <v>#REF!</v>
      </c>
      <c r="HS150" t="e">
        <f>AND(#REF!,"AAAAAH/8r+I=")</f>
        <v>#REF!</v>
      </c>
      <c r="HT150" t="e">
        <f>AND(#REF!,"AAAAAH/8r+M=")</f>
        <v>#REF!</v>
      </c>
      <c r="HU150" t="e">
        <f>AND(#REF!,"AAAAAH/8r+Q=")</f>
        <v>#REF!</v>
      </c>
      <c r="HV150" t="e">
        <f>IF(#REF!,"AAAAAH/8r+U=",0)</f>
        <v>#REF!</v>
      </c>
      <c r="HW150" t="e">
        <f>AND(#REF!,"AAAAAH/8r+Y=")</f>
        <v>#REF!</v>
      </c>
      <c r="HX150" t="e">
        <f>AND(#REF!,"AAAAAH/8r+c=")</f>
        <v>#REF!</v>
      </c>
      <c r="HY150" t="e">
        <f>AND(#REF!,"AAAAAH/8r+g=")</f>
        <v>#REF!</v>
      </c>
      <c r="HZ150" t="e">
        <f>AND(#REF!,"AAAAAH/8r+k=")</f>
        <v>#REF!</v>
      </c>
      <c r="IA150" t="e">
        <f>AND(#REF!,"AAAAAH/8r+o=")</f>
        <v>#REF!</v>
      </c>
      <c r="IB150" t="e">
        <f>AND(#REF!,"AAAAAH/8r+s=")</f>
        <v>#REF!</v>
      </c>
      <c r="IC150" t="e">
        <f>AND(#REF!,"AAAAAH/8r+w=")</f>
        <v>#REF!</v>
      </c>
      <c r="ID150" t="e">
        <f>AND(#REF!,"AAAAAH/8r+0=")</f>
        <v>#REF!</v>
      </c>
      <c r="IE150" t="e">
        <f>AND(#REF!,"AAAAAH/8r+4=")</f>
        <v>#REF!</v>
      </c>
      <c r="IF150" t="e">
        <f>AND(#REF!,"AAAAAH/8r+8=")</f>
        <v>#REF!</v>
      </c>
      <c r="IG150" t="e">
        <f>IF(#REF!,"AAAAAH/8r/A=",0)</f>
        <v>#REF!</v>
      </c>
      <c r="IH150" t="e">
        <f>AND(#REF!,"AAAAAH/8r/E=")</f>
        <v>#REF!</v>
      </c>
      <c r="II150" t="e">
        <f>AND(#REF!,"AAAAAH/8r/I=")</f>
        <v>#REF!</v>
      </c>
      <c r="IJ150" t="e">
        <f>AND(#REF!,"AAAAAH/8r/M=")</f>
        <v>#REF!</v>
      </c>
      <c r="IK150" t="e">
        <f>AND(#REF!,"AAAAAH/8r/Q=")</f>
        <v>#REF!</v>
      </c>
      <c r="IL150" t="e">
        <f>AND(#REF!,"AAAAAH/8r/U=")</f>
        <v>#REF!</v>
      </c>
      <c r="IM150" t="e">
        <f>AND(#REF!,"AAAAAH/8r/Y=")</f>
        <v>#REF!</v>
      </c>
      <c r="IN150" t="e">
        <f>AND(#REF!,"AAAAAH/8r/c=")</f>
        <v>#REF!</v>
      </c>
      <c r="IO150" t="e">
        <f>AND(#REF!,"AAAAAH/8r/g=")</f>
        <v>#REF!</v>
      </c>
      <c r="IP150" t="e">
        <f>AND(#REF!,"AAAAAH/8r/k=")</f>
        <v>#REF!</v>
      </c>
      <c r="IQ150" t="e">
        <f>AND(#REF!,"AAAAAH/8r/o=")</f>
        <v>#REF!</v>
      </c>
      <c r="IR150" t="e">
        <f>IF(#REF!,"AAAAAH/8r/s=",0)</f>
        <v>#REF!</v>
      </c>
      <c r="IS150" t="e">
        <f>AND(#REF!,"AAAAAH/8r/w=")</f>
        <v>#REF!</v>
      </c>
      <c r="IT150" t="e">
        <f>AND(#REF!,"AAAAAH/8r/0=")</f>
        <v>#REF!</v>
      </c>
      <c r="IU150" t="e">
        <f>AND(#REF!,"AAAAAH/8r/4=")</f>
        <v>#REF!</v>
      </c>
      <c r="IV150" t="e">
        <f>AND(#REF!,"AAAAAH/8r/8=")</f>
        <v>#REF!</v>
      </c>
    </row>
    <row r="151" spans="1:256" x14ac:dyDescent="0.25">
      <c r="A151" t="e">
        <f>AND(#REF!,"AAAAAB5DfwA=")</f>
        <v>#REF!</v>
      </c>
      <c r="B151" t="e">
        <f>AND(#REF!,"AAAAAB5DfwE=")</f>
        <v>#REF!</v>
      </c>
      <c r="C151" t="e">
        <f>AND(#REF!,"AAAAAB5DfwI=")</f>
        <v>#REF!</v>
      </c>
      <c r="D151" t="e">
        <f>AND(#REF!,"AAAAAB5DfwM=")</f>
        <v>#REF!</v>
      </c>
      <c r="E151" t="e">
        <f>AND(#REF!,"AAAAAB5DfwQ=")</f>
        <v>#REF!</v>
      </c>
      <c r="F151" t="e">
        <f>AND(#REF!,"AAAAAB5DfwU=")</f>
        <v>#REF!</v>
      </c>
      <c r="G151" t="e">
        <f>IF(#REF!,"AAAAAB5DfwY=",0)</f>
        <v>#REF!</v>
      </c>
      <c r="H151" t="e">
        <f>AND(#REF!,"AAAAAB5Dfwc=")</f>
        <v>#REF!</v>
      </c>
      <c r="I151" t="e">
        <f>AND(#REF!,"AAAAAB5Dfwg=")</f>
        <v>#REF!</v>
      </c>
      <c r="J151" t="e">
        <f>AND(#REF!,"AAAAAB5Dfwk=")</f>
        <v>#REF!</v>
      </c>
      <c r="K151" t="e">
        <f>AND(#REF!,"AAAAAB5Dfwo=")</f>
        <v>#REF!</v>
      </c>
      <c r="L151" t="e">
        <f>AND(#REF!,"AAAAAB5Dfws=")</f>
        <v>#REF!</v>
      </c>
      <c r="M151" t="e">
        <f>AND(#REF!,"AAAAAB5Dfww=")</f>
        <v>#REF!</v>
      </c>
      <c r="N151" t="e">
        <f>AND(#REF!,"AAAAAB5Dfw0=")</f>
        <v>#REF!</v>
      </c>
      <c r="O151" t="e">
        <f>AND(#REF!,"AAAAAB5Dfw4=")</f>
        <v>#REF!</v>
      </c>
      <c r="P151" t="e">
        <f>AND(#REF!,"AAAAAB5Dfw8=")</f>
        <v>#REF!</v>
      </c>
      <c r="Q151" t="e">
        <f>AND(#REF!,"AAAAAB5DfxA=")</f>
        <v>#REF!</v>
      </c>
      <c r="R151" t="e">
        <f>IF(#REF!,"AAAAAB5DfxE=",0)</f>
        <v>#REF!</v>
      </c>
      <c r="S151" t="e">
        <f>AND(#REF!,"AAAAAB5DfxI=")</f>
        <v>#REF!</v>
      </c>
      <c r="T151" t="e">
        <f>AND(#REF!,"AAAAAB5DfxM=")</f>
        <v>#REF!</v>
      </c>
      <c r="U151" t="e">
        <f>AND(#REF!,"AAAAAB5DfxQ=")</f>
        <v>#REF!</v>
      </c>
      <c r="V151" t="e">
        <f>AND(#REF!,"AAAAAB5DfxU=")</f>
        <v>#REF!</v>
      </c>
      <c r="W151" t="e">
        <f>AND(#REF!,"AAAAAB5DfxY=")</f>
        <v>#REF!</v>
      </c>
      <c r="X151" t="e">
        <f>AND(#REF!,"AAAAAB5Dfxc=")</f>
        <v>#REF!</v>
      </c>
      <c r="Y151" t="e">
        <f>AND(#REF!,"AAAAAB5Dfxg=")</f>
        <v>#REF!</v>
      </c>
      <c r="Z151" t="e">
        <f>AND(#REF!,"AAAAAB5Dfxk=")</f>
        <v>#REF!</v>
      </c>
      <c r="AA151" t="e">
        <f>AND(#REF!,"AAAAAB5Dfxo=")</f>
        <v>#REF!</v>
      </c>
      <c r="AB151" t="e">
        <f>AND(#REF!,"AAAAAB5Dfxs=")</f>
        <v>#REF!</v>
      </c>
      <c r="AC151" t="e">
        <f>IF(#REF!,"AAAAAB5Dfxw=",0)</f>
        <v>#REF!</v>
      </c>
      <c r="AD151" t="e">
        <f>AND(#REF!,"AAAAAB5Dfx0=")</f>
        <v>#REF!</v>
      </c>
      <c r="AE151" t="e">
        <f>AND(#REF!,"AAAAAB5Dfx4=")</f>
        <v>#REF!</v>
      </c>
      <c r="AF151" t="e">
        <f>AND(#REF!,"AAAAAB5Dfx8=")</f>
        <v>#REF!</v>
      </c>
      <c r="AG151" t="e">
        <f>AND(#REF!,"AAAAAB5DfyA=")</f>
        <v>#REF!</v>
      </c>
      <c r="AH151" t="e">
        <f>AND(#REF!,"AAAAAB5DfyE=")</f>
        <v>#REF!</v>
      </c>
      <c r="AI151" t="e">
        <f>AND(#REF!,"AAAAAB5DfyI=")</f>
        <v>#REF!</v>
      </c>
      <c r="AJ151" t="e">
        <f>AND(#REF!,"AAAAAB5DfyM=")</f>
        <v>#REF!</v>
      </c>
      <c r="AK151" t="e">
        <f>AND(#REF!,"AAAAAB5DfyQ=")</f>
        <v>#REF!</v>
      </c>
      <c r="AL151" t="e">
        <f>AND(#REF!,"AAAAAB5DfyU=")</f>
        <v>#REF!</v>
      </c>
      <c r="AM151" t="e">
        <f>AND(#REF!,"AAAAAB5DfyY=")</f>
        <v>#REF!</v>
      </c>
      <c r="AN151" t="e">
        <f>IF(#REF!,"AAAAAB5Dfyc=",0)</f>
        <v>#REF!</v>
      </c>
      <c r="AO151" t="e">
        <f>AND(#REF!,"AAAAAB5Dfyg=")</f>
        <v>#REF!</v>
      </c>
      <c r="AP151" t="e">
        <f>AND(#REF!,"AAAAAB5Dfyk=")</f>
        <v>#REF!</v>
      </c>
      <c r="AQ151" t="e">
        <f>AND(#REF!,"AAAAAB5Dfyo=")</f>
        <v>#REF!</v>
      </c>
      <c r="AR151" t="e">
        <f>AND(#REF!,"AAAAAB5Dfys=")</f>
        <v>#REF!</v>
      </c>
      <c r="AS151" t="e">
        <f>AND(#REF!,"AAAAAB5Dfyw=")</f>
        <v>#REF!</v>
      </c>
      <c r="AT151" t="e">
        <f>AND(#REF!,"AAAAAB5Dfy0=")</f>
        <v>#REF!</v>
      </c>
      <c r="AU151" t="e">
        <f>AND(#REF!,"AAAAAB5Dfy4=")</f>
        <v>#REF!</v>
      </c>
      <c r="AV151" t="e">
        <f>AND(#REF!,"AAAAAB5Dfy8=")</f>
        <v>#REF!</v>
      </c>
      <c r="AW151" t="e">
        <f>AND(#REF!,"AAAAAB5DfzA=")</f>
        <v>#REF!</v>
      </c>
      <c r="AX151" t="e">
        <f>AND(#REF!,"AAAAAB5DfzE=")</f>
        <v>#REF!</v>
      </c>
      <c r="AY151" t="e">
        <f>IF(#REF!,"AAAAAB5DfzI=",0)</f>
        <v>#REF!</v>
      </c>
      <c r="AZ151" t="e">
        <f>AND(#REF!,"AAAAAB5DfzM=")</f>
        <v>#REF!</v>
      </c>
      <c r="BA151" t="e">
        <f>AND(#REF!,"AAAAAB5DfzQ=")</f>
        <v>#REF!</v>
      </c>
      <c r="BB151" t="e">
        <f>AND(#REF!,"AAAAAB5DfzU=")</f>
        <v>#REF!</v>
      </c>
      <c r="BC151" t="e">
        <f>AND(#REF!,"AAAAAB5DfzY=")</f>
        <v>#REF!</v>
      </c>
      <c r="BD151" t="e">
        <f>AND(#REF!,"AAAAAB5Dfzc=")</f>
        <v>#REF!</v>
      </c>
      <c r="BE151" t="e">
        <f>AND(#REF!,"AAAAAB5Dfzg=")</f>
        <v>#REF!</v>
      </c>
      <c r="BF151" t="e">
        <f>AND(#REF!,"AAAAAB5Dfzk=")</f>
        <v>#REF!</v>
      </c>
      <c r="BG151" t="e">
        <f>AND(#REF!,"AAAAAB5Dfzo=")</f>
        <v>#REF!</v>
      </c>
      <c r="BH151" t="e">
        <f>AND(#REF!,"AAAAAB5Dfzs=")</f>
        <v>#REF!</v>
      </c>
      <c r="BI151" t="e">
        <f>AND(#REF!,"AAAAAB5Dfzw=")</f>
        <v>#REF!</v>
      </c>
      <c r="BJ151" t="e">
        <f>IF(#REF!,"AAAAAB5Dfz0=",0)</f>
        <v>#REF!</v>
      </c>
      <c r="BK151" t="e">
        <f>AND(#REF!,"AAAAAB5Dfz4=")</f>
        <v>#REF!</v>
      </c>
      <c r="BL151" t="e">
        <f>AND(#REF!,"AAAAAB5Dfz8=")</f>
        <v>#REF!</v>
      </c>
      <c r="BM151" t="e">
        <f>AND(#REF!,"AAAAAB5Df0A=")</f>
        <v>#REF!</v>
      </c>
      <c r="BN151" t="e">
        <f>AND(#REF!,"AAAAAB5Df0E=")</f>
        <v>#REF!</v>
      </c>
      <c r="BO151" t="e">
        <f>AND(#REF!,"AAAAAB5Df0I=")</f>
        <v>#REF!</v>
      </c>
      <c r="BP151" t="e">
        <f>AND(#REF!,"AAAAAB5Df0M=")</f>
        <v>#REF!</v>
      </c>
      <c r="BQ151" t="e">
        <f>AND(#REF!,"AAAAAB5Df0Q=")</f>
        <v>#REF!</v>
      </c>
      <c r="BR151" t="e">
        <f>AND(#REF!,"AAAAAB5Df0U=")</f>
        <v>#REF!</v>
      </c>
      <c r="BS151" t="e">
        <f>AND(#REF!,"AAAAAB5Df0Y=")</f>
        <v>#REF!</v>
      </c>
      <c r="BT151" t="e">
        <f>AND(#REF!,"AAAAAB5Df0c=")</f>
        <v>#REF!</v>
      </c>
      <c r="BU151" t="e">
        <f>IF(#REF!,"AAAAAB5Df0g=",0)</f>
        <v>#REF!</v>
      </c>
      <c r="BV151" t="e">
        <f>AND(#REF!,"AAAAAB5Df0k=")</f>
        <v>#REF!</v>
      </c>
      <c r="BW151" t="e">
        <f>AND(#REF!,"AAAAAB5Df0o=")</f>
        <v>#REF!</v>
      </c>
      <c r="BX151" t="e">
        <f>AND(#REF!,"AAAAAB5Df0s=")</f>
        <v>#REF!</v>
      </c>
      <c r="BY151" t="e">
        <f>AND(#REF!,"AAAAAB5Df0w=")</f>
        <v>#REF!</v>
      </c>
      <c r="BZ151" t="e">
        <f>AND(#REF!,"AAAAAB5Df00=")</f>
        <v>#REF!</v>
      </c>
      <c r="CA151" t="e">
        <f>AND(#REF!,"AAAAAB5Df04=")</f>
        <v>#REF!</v>
      </c>
      <c r="CB151" t="e">
        <f>AND(#REF!,"AAAAAB5Df08=")</f>
        <v>#REF!</v>
      </c>
      <c r="CC151" t="e">
        <f>AND(#REF!,"AAAAAB5Df1A=")</f>
        <v>#REF!</v>
      </c>
      <c r="CD151" t="e">
        <f>AND(#REF!,"AAAAAB5Df1E=")</f>
        <v>#REF!</v>
      </c>
      <c r="CE151" t="e">
        <f>AND(#REF!,"AAAAAB5Df1I=")</f>
        <v>#REF!</v>
      </c>
      <c r="CF151" t="e">
        <f>IF(#REF!,"AAAAAB5Df1M=",0)</f>
        <v>#REF!</v>
      </c>
      <c r="CG151" t="e">
        <f>AND(#REF!,"AAAAAB5Df1Q=")</f>
        <v>#REF!</v>
      </c>
      <c r="CH151" t="e">
        <f>AND(#REF!,"AAAAAB5Df1U=")</f>
        <v>#REF!</v>
      </c>
      <c r="CI151" t="e">
        <f>AND(#REF!,"AAAAAB5Df1Y=")</f>
        <v>#REF!</v>
      </c>
      <c r="CJ151" t="e">
        <f>AND(#REF!,"AAAAAB5Df1c=")</f>
        <v>#REF!</v>
      </c>
      <c r="CK151" t="e">
        <f>AND(#REF!,"AAAAAB5Df1g=")</f>
        <v>#REF!</v>
      </c>
      <c r="CL151" t="e">
        <f>AND(#REF!,"AAAAAB5Df1k=")</f>
        <v>#REF!</v>
      </c>
      <c r="CM151" t="e">
        <f>AND(#REF!,"AAAAAB5Df1o=")</f>
        <v>#REF!</v>
      </c>
      <c r="CN151" t="e">
        <f>AND(#REF!,"AAAAAB5Df1s=")</f>
        <v>#REF!</v>
      </c>
      <c r="CO151" t="e">
        <f>AND(#REF!,"AAAAAB5Df1w=")</f>
        <v>#REF!</v>
      </c>
      <c r="CP151" t="e">
        <f>AND(#REF!,"AAAAAB5Df10=")</f>
        <v>#REF!</v>
      </c>
      <c r="CQ151" t="e">
        <f>IF(#REF!,"AAAAAB5Df14=",0)</f>
        <v>#REF!</v>
      </c>
      <c r="CR151" t="e">
        <f>AND(#REF!,"AAAAAB5Df18=")</f>
        <v>#REF!</v>
      </c>
      <c r="CS151" t="e">
        <f>AND(#REF!,"AAAAAB5Df2A=")</f>
        <v>#REF!</v>
      </c>
      <c r="CT151" t="e">
        <f>AND(#REF!,"AAAAAB5Df2E=")</f>
        <v>#REF!</v>
      </c>
      <c r="CU151" t="e">
        <f>AND(#REF!,"AAAAAB5Df2I=")</f>
        <v>#REF!</v>
      </c>
      <c r="CV151" t="e">
        <f>AND(#REF!,"AAAAAB5Df2M=")</f>
        <v>#REF!</v>
      </c>
      <c r="CW151" t="e">
        <f>AND(#REF!,"AAAAAB5Df2Q=")</f>
        <v>#REF!</v>
      </c>
      <c r="CX151" t="e">
        <f>AND(#REF!,"AAAAAB5Df2U=")</f>
        <v>#REF!</v>
      </c>
      <c r="CY151" t="e">
        <f>AND(#REF!,"AAAAAB5Df2Y=")</f>
        <v>#REF!</v>
      </c>
      <c r="CZ151" t="e">
        <f>AND(#REF!,"AAAAAB5Df2c=")</f>
        <v>#REF!</v>
      </c>
      <c r="DA151" t="e">
        <f>AND(#REF!,"AAAAAB5Df2g=")</f>
        <v>#REF!</v>
      </c>
      <c r="DB151" t="e">
        <f>IF(#REF!,"AAAAAB5Df2k=",0)</f>
        <v>#REF!</v>
      </c>
      <c r="DC151" t="e">
        <f>AND(#REF!,"AAAAAB5Df2o=")</f>
        <v>#REF!</v>
      </c>
      <c r="DD151" t="e">
        <f>AND(#REF!,"AAAAAB5Df2s=")</f>
        <v>#REF!</v>
      </c>
      <c r="DE151" t="e">
        <f>AND(#REF!,"AAAAAB5Df2w=")</f>
        <v>#REF!</v>
      </c>
      <c r="DF151" t="e">
        <f>AND(#REF!,"AAAAAB5Df20=")</f>
        <v>#REF!</v>
      </c>
      <c r="DG151" t="e">
        <f>AND(#REF!,"AAAAAB5Df24=")</f>
        <v>#REF!</v>
      </c>
      <c r="DH151" t="e">
        <f>AND(#REF!,"AAAAAB5Df28=")</f>
        <v>#REF!</v>
      </c>
      <c r="DI151" t="e">
        <f>AND(#REF!,"AAAAAB5Df3A=")</f>
        <v>#REF!</v>
      </c>
      <c r="DJ151" t="e">
        <f>AND(#REF!,"AAAAAB5Df3E=")</f>
        <v>#REF!</v>
      </c>
      <c r="DK151" t="e">
        <f>AND(#REF!,"AAAAAB5Df3I=")</f>
        <v>#REF!</v>
      </c>
      <c r="DL151" t="e">
        <f>AND(#REF!,"AAAAAB5Df3M=")</f>
        <v>#REF!</v>
      </c>
      <c r="DM151" t="e">
        <f>IF(#REF!,"AAAAAB5Df3Q=",0)</f>
        <v>#REF!</v>
      </c>
      <c r="DN151" t="e">
        <f>AND(#REF!,"AAAAAB5Df3U=")</f>
        <v>#REF!</v>
      </c>
      <c r="DO151" t="e">
        <f>AND(#REF!,"AAAAAB5Df3Y=")</f>
        <v>#REF!</v>
      </c>
      <c r="DP151" t="e">
        <f>AND(#REF!,"AAAAAB5Df3c=")</f>
        <v>#REF!</v>
      </c>
      <c r="DQ151" t="e">
        <f>AND(#REF!,"AAAAAB5Df3g=")</f>
        <v>#REF!</v>
      </c>
      <c r="DR151" t="e">
        <f>AND(#REF!,"AAAAAB5Df3k=")</f>
        <v>#REF!</v>
      </c>
      <c r="DS151" t="e">
        <f>AND(#REF!,"AAAAAB5Df3o=")</f>
        <v>#REF!</v>
      </c>
      <c r="DT151" t="e">
        <f>AND(#REF!,"AAAAAB5Df3s=")</f>
        <v>#REF!</v>
      </c>
      <c r="DU151" t="e">
        <f>AND(#REF!,"AAAAAB5Df3w=")</f>
        <v>#REF!</v>
      </c>
      <c r="DV151" t="e">
        <f>AND(#REF!,"AAAAAB5Df30=")</f>
        <v>#REF!</v>
      </c>
      <c r="DW151" t="e">
        <f>AND(#REF!,"AAAAAB5Df34=")</f>
        <v>#REF!</v>
      </c>
      <c r="DX151" t="e">
        <f>IF(#REF!,"AAAAAB5Df38=",0)</f>
        <v>#REF!</v>
      </c>
      <c r="DY151" t="e">
        <f>AND(#REF!,"AAAAAB5Df4A=")</f>
        <v>#REF!</v>
      </c>
      <c r="DZ151" t="e">
        <f>AND(#REF!,"AAAAAB5Df4E=")</f>
        <v>#REF!</v>
      </c>
      <c r="EA151" t="e">
        <f>AND(#REF!,"AAAAAB5Df4I=")</f>
        <v>#REF!</v>
      </c>
      <c r="EB151" t="e">
        <f>AND(#REF!,"AAAAAB5Df4M=")</f>
        <v>#REF!</v>
      </c>
      <c r="EC151" t="e">
        <f>AND(#REF!,"AAAAAB5Df4Q=")</f>
        <v>#REF!</v>
      </c>
      <c r="ED151" t="e">
        <f>AND(#REF!,"AAAAAB5Df4U=")</f>
        <v>#REF!</v>
      </c>
      <c r="EE151" t="e">
        <f>AND(#REF!,"AAAAAB5Df4Y=")</f>
        <v>#REF!</v>
      </c>
      <c r="EF151" t="e">
        <f>AND(#REF!,"AAAAAB5Df4c=")</f>
        <v>#REF!</v>
      </c>
      <c r="EG151" t="e">
        <f>AND(#REF!,"AAAAAB5Df4g=")</f>
        <v>#REF!</v>
      </c>
      <c r="EH151" t="e">
        <f>AND(#REF!,"AAAAAB5Df4k=")</f>
        <v>#REF!</v>
      </c>
      <c r="EI151" t="e">
        <f>IF(#REF!,"AAAAAB5Df4o=",0)</f>
        <v>#REF!</v>
      </c>
      <c r="EJ151" t="e">
        <f>AND(#REF!,"AAAAAB5Df4s=")</f>
        <v>#REF!</v>
      </c>
      <c r="EK151" t="e">
        <f>AND(#REF!,"AAAAAB5Df4w=")</f>
        <v>#REF!</v>
      </c>
      <c r="EL151" t="e">
        <f>AND(#REF!,"AAAAAB5Df40=")</f>
        <v>#REF!</v>
      </c>
      <c r="EM151" t="e">
        <f>AND(#REF!,"AAAAAB5Df44=")</f>
        <v>#REF!</v>
      </c>
      <c r="EN151" t="e">
        <f>AND(#REF!,"AAAAAB5Df48=")</f>
        <v>#REF!</v>
      </c>
      <c r="EO151" t="e">
        <f>AND(#REF!,"AAAAAB5Df5A=")</f>
        <v>#REF!</v>
      </c>
      <c r="EP151" t="e">
        <f>AND(#REF!,"AAAAAB5Df5E=")</f>
        <v>#REF!</v>
      </c>
      <c r="EQ151" t="e">
        <f>AND(#REF!,"AAAAAB5Df5I=")</f>
        <v>#REF!</v>
      </c>
      <c r="ER151" t="e">
        <f>AND(#REF!,"AAAAAB5Df5M=")</f>
        <v>#REF!</v>
      </c>
      <c r="ES151" t="e">
        <f>AND(#REF!,"AAAAAB5Df5Q=")</f>
        <v>#REF!</v>
      </c>
      <c r="ET151" t="e">
        <f>IF(#REF!,"AAAAAB5Df5U=",0)</f>
        <v>#REF!</v>
      </c>
      <c r="EU151" t="e">
        <f>AND(#REF!,"AAAAAB5Df5Y=")</f>
        <v>#REF!</v>
      </c>
      <c r="EV151" t="e">
        <f>AND(#REF!,"AAAAAB5Df5c=")</f>
        <v>#REF!</v>
      </c>
      <c r="EW151" t="e">
        <f>AND(#REF!,"AAAAAB5Df5g=")</f>
        <v>#REF!</v>
      </c>
      <c r="EX151" t="e">
        <f>AND(#REF!,"AAAAAB5Df5k=")</f>
        <v>#REF!</v>
      </c>
      <c r="EY151" t="e">
        <f>AND(#REF!,"AAAAAB5Df5o=")</f>
        <v>#REF!</v>
      </c>
      <c r="EZ151" t="e">
        <f>AND(#REF!,"AAAAAB5Df5s=")</f>
        <v>#REF!</v>
      </c>
      <c r="FA151" t="e">
        <f>AND(#REF!,"AAAAAB5Df5w=")</f>
        <v>#REF!</v>
      </c>
      <c r="FB151" t="e">
        <f>AND(#REF!,"AAAAAB5Df50=")</f>
        <v>#REF!</v>
      </c>
      <c r="FC151" t="e">
        <f>AND(#REF!,"AAAAAB5Df54=")</f>
        <v>#REF!</v>
      </c>
      <c r="FD151" t="e">
        <f>AND(#REF!,"AAAAAB5Df58=")</f>
        <v>#REF!</v>
      </c>
      <c r="FE151" t="e">
        <f>IF(#REF!,"AAAAAB5Df6A=",0)</f>
        <v>#REF!</v>
      </c>
      <c r="FF151" t="e">
        <f>AND(#REF!,"AAAAAB5Df6E=")</f>
        <v>#REF!</v>
      </c>
      <c r="FG151" t="e">
        <f>AND(#REF!,"AAAAAB5Df6I=")</f>
        <v>#REF!</v>
      </c>
      <c r="FH151" t="e">
        <f>AND(#REF!,"AAAAAB5Df6M=")</f>
        <v>#REF!</v>
      </c>
      <c r="FI151" t="e">
        <f>AND(#REF!,"AAAAAB5Df6Q=")</f>
        <v>#REF!</v>
      </c>
      <c r="FJ151" t="e">
        <f>AND(#REF!,"AAAAAB5Df6U=")</f>
        <v>#REF!</v>
      </c>
      <c r="FK151" t="e">
        <f>AND(#REF!,"AAAAAB5Df6Y=")</f>
        <v>#REF!</v>
      </c>
      <c r="FL151" t="e">
        <f>AND(#REF!,"AAAAAB5Df6c=")</f>
        <v>#REF!</v>
      </c>
      <c r="FM151" t="e">
        <f>AND(#REF!,"AAAAAB5Df6g=")</f>
        <v>#REF!</v>
      </c>
      <c r="FN151" t="e">
        <f>AND(#REF!,"AAAAAB5Df6k=")</f>
        <v>#REF!</v>
      </c>
      <c r="FO151" t="e">
        <f>AND(#REF!,"AAAAAB5Df6o=")</f>
        <v>#REF!</v>
      </c>
      <c r="FP151" t="e">
        <f>IF(#REF!,"AAAAAB5Df6s=",0)</f>
        <v>#REF!</v>
      </c>
      <c r="FQ151" t="e">
        <f>AND(#REF!,"AAAAAB5Df6w=")</f>
        <v>#REF!</v>
      </c>
      <c r="FR151" t="e">
        <f>AND(#REF!,"AAAAAB5Df60=")</f>
        <v>#REF!</v>
      </c>
      <c r="FS151" t="e">
        <f>AND(#REF!,"AAAAAB5Df64=")</f>
        <v>#REF!</v>
      </c>
      <c r="FT151" t="e">
        <f>AND(#REF!,"AAAAAB5Df68=")</f>
        <v>#REF!</v>
      </c>
      <c r="FU151" t="e">
        <f>AND(#REF!,"AAAAAB5Df7A=")</f>
        <v>#REF!</v>
      </c>
      <c r="FV151" t="e">
        <f>AND(#REF!,"AAAAAB5Df7E=")</f>
        <v>#REF!</v>
      </c>
      <c r="FW151" t="e">
        <f>AND(#REF!,"AAAAAB5Df7I=")</f>
        <v>#REF!</v>
      </c>
      <c r="FX151" t="e">
        <f>AND(#REF!,"AAAAAB5Df7M=")</f>
        <v>#REF!</v>
      </c>
      <c r="FY151" t="e">
        <f>AND(#REF!,"AAAAAB5Df7Q=")</f>
        <v>#REF!</v>
      </c>
      <c r="FZ151" t="e">
        <f>AND(#REF!,"AAAAAB5Df7U=")</f>
        <v>#REF!</v>
      </c>
      <c r="GA151" t="e">
        <f>IF(#REF!,"AAAAAB5Df7Y=",0)</f>
        <v>#REF!</v>
      </c>
      <c r="GB151" t="e">
        <f>AND(#REF!,"AAAAAB5Df7c=")</f>
        <v>#REF!</v>
      </c>
      <c r="GC151" t="e">
        <f>AND(#REF!,"AAAAAB5Df7g=")</f>
        <v>#REF!</v>
      </c>
      <c r="GD151" t="e">
        <f>AND(#REF!,"AAAAAB5Df7k=")</f>
        <v>#REF!</v>
      </c>
      <c r="GE151" t="e">
        <f>AND(#REF!,"AAAAAB5Df7o=")</f>
        <v>#REF!</v>
      </c>
      <c r="GF151" t="e">
        <f>AND(#REF!,"AAAAAB5Df7s=")</f>
        <v>#REF!</v>
      </c>
      <c r="GG151" t="e">
        <f>AND(#REF!,"AAAAAB5Df7w=")</f>
        <v>#REF!</v>
      </c>
      <c r="GH151" t="e">
        <f>AND(#REF!,"AAAAAB5Df70=")</f>
        <v>#REF!</v>
      </c>
      <c r="GI151" t="e">
        <f>AND(#REF!,"AAAAAB5Df74=")</f>
        <v>#REF!</v>
      </c>
      <c r="GJ151" t="e">
        <f>AND(#REF!,"AAAAAB5Df78=")</f>
        <v>#REF!</v>
      </c>
      <c r="GK151" t="e">
        <f>AND(#REF!,"AAAAAB5Df8A=")</f>
        <v>#REF!</v>
      </c>
      <c r="GL151" t="e">
        <f>IF(#REF!,"AAAAAB5Df8E=",0)</f>
        <v>#REF!</v>
      </c>
      <c r="GM151" t="e">
        <f>AND(#REF!,"AAAAAB5Df8I=")</f>
        <v>#REF!</v>
      </c>
      <c r="GN151" t="e">
        <f>AND(#REF!,"AAAAAB5Df8M=")</f>
        <v>#REF!</v>
      </c>
      <c r="GO151" t="e">
        <f>AND(#REF!,"AAAAAB5Df8Q=")</f>
        <v>#REF!</v>
      </c>
      <c r="GP151" t="e">
        <f>AND(#REF!,"AAAAAB5Df8U=")</f>
        <v>#REF!</v>
      </c>
      <c r="GQ151" t="e">
        <f>AND(#REF!,"AAAAAB5Df8Y=")</f>
        <v>#REF!</v>
      </c>
      <c r="GR151" t="e">
        <f>AND(#REF!,"AAAAAB5Df8c=")</f>
        <v>#REF!</v>
      </c>
      <c r="GS151" t="e">
        <f>AND(#REF!,"AAAAAB5Df8g=")</f>
        <v>#REF!</v>
      </c>
      <c r="GT151" t="e">
        <f>AND(#REF!,"AAAAAB5Df8k=")</f>
        <v>#REF!</v>
      </c>
      <c r="GU151" t="e">
        <f>AND(#REF!,"AAAAAB5Df8o=")</f>
        <v>#REF!</v>
      </c>
      <c r="GV151" t="e">
        <f>AND(#REF!,"AAAAAB5Df8s=")</f>
        <v>#REF!</v>
      </c>
      <c r="GW151" t="e">
        <f>IF(#REF!,"AAAAAB5Df8w=",0)</f>
        <v>#REF!</v>
      </c>
      <c r="GX151" t="e">
        <f>AND(#REF!,"AAAAAB5Df80=")</f>
        <v>#REF!</v>
      </c>
      <c r="GY151" t="e">
        <f>AND(#REF!,"AAAAAB5Df84=")</f>
        <v>#REF!</v>
      </c>
      <c r="GZ151" t="e">
        <f>AND(#REF!,"AAAAAB5Df88=")</f>
        <v>#REF!</v>
      </c>
      <c r="HA151" t="e">
        <f>AND(#REF!,"AAAAAB5Df9A=")</f>
        <v>#REF!</v>
      </c>
      <c r="HB151" t="e">
        <f>AND(#REF!,"AAAAAB5Df9E=")</f>
        <v>#REF!</v>
      </c>
      <c r="HC151" t="e">
        <f>AND(#REF!,"AAAAAB5Df9I=")</f>
        <v>#REF!</v>
      </c>
      <c r="HD151" t="e">
        <f>AND(#REF!,"AAAAAB5Df9M=")</f>
        <v>#REF!</v>
      </c>
      <c r="HE151" t="e">
        <f>AND(#REF!,"AAAAAB5Df9Q=")</f>
        <v>#REF!</v>
      </c>
      <c r="HF151" t="e">
        <f>AND(#REF!,"AAAAAB5Df9U=")</f>
        <v>#REF!</v>
      </c>
      <c r="HG151" t="e">
        <f>AND(#REF!,"AAAAAB5Df9Y=")</f>
        <v>#REF!</v>
      </c>
      <c r="HH151" t="e">
        <f>IF(#REF!,"AAAAAB5Df9c=",0)</f>
        <v>#REF!</v>
      </c>
      <c r="HI151" t="e">
        <f>AND(#REF!,"AAAAAB5Df9g=")</f>
        <v>#REF!</v>
      </c>
      <c r="HJ151" t="e">
        <f>AND(#REF!,"AAAAAB5Df9k=")</f>
        <v>#REF!</v>
      </c>
      <c r="HK151" t="e">
        <f>AND(#REF!,"AAAAAB5Df9o=")</f>
        <v>#REF!</v>
      </c>
      <c r="HL151" t="e">
        <f>AND(#REF!,"AAAAAB5Df9s=")</f>
        <v>#REF!</v>
      </c>
      <c r="HM151" t="e">
        <f>AND(#REF!,"AAAAAB5Df9w=")</f>
        <v>#REF!</v>
      </c>
      <c r="HN151" t="e">
        <f>AND(#REF!,"AAAAAB5Df90=")</f>
        <v>#REF!</v>
      </c>
      <c r="HO151" t="e">
        <f>AND(#REF!,"AAAAAB5Df94=")</f>
        <v>#REF!</v>
      </c>
      <c r="HP151" t="e">
        <f>AND(#REF!,"AAAAAB5Df98=")</f>
        <v>#REF!</v>
      </c>
      <c r="HQ151" t="e">
        <f>AND(#REF!,"AAAAAB5Df+A=")</f>
        <v>#REF!</v>
      </c>
      <c r="HR151" t="e">
        <f>AND(#REF!,"AAAAAB5Df+E=")</f>
        <v>#REF!</v>
      </c>
      <c r="HS151" t="e">
        <f>IF(#REF!,"AAAAAB5Df+I=",0)</f>
        <v>#REF!</v>
      </c>
      <c r="HT151" t="e">
        <f>AND(#REF!,"AAAAAB5Df+M=")</f>
        <v>#REF!</v>
      </c>
      <c r="HU151" t="e">
        <f>AND(#REF!,"AAAAAB5Df+Q=")</f>
        <v>#REF!</v>
      </c>
      <c r="HV151" t="e">
        <f>AND(#REF!,"AAAAAB5Df+U=")</f>
        <v>#REF!</v>
      </c>
      <c r="HW151" t="e">
        <f>AND(#REF!,"AAAAAB5Df+Y=")</f>
        <v>#REF!</v>
      </c>
      <c r="HX151" t="e">
        <f>AND(#REF!,"AAAAAB5Df+c=")</f>
        <v>#REF!</v>
      </c>
      <c r="HY151" t="e">
        <f>AND(#REF!,"AAAAAB5Df+g=")</f>
        <v>#REF!</v>
      </c>
      <c r="HZ151" t="e">
        <f>AND(#REF!,"AAAAAB5Df+k=")</f>
        <v>#REF!</v>
      </c>
      <c r="IA151" t="e">
        <f>AND(#REF!,"AAAAAB5Df+o=")</f>
        <v>#REF!</v>
      </c>
      <c r="IB151" t="e">
        <f>AND(#REF!,"AAAAAB5Df+s=")</f>
        <v>#REF!</v>
      </c>
      <c r="IC151" t="e">
        <f>AND(#REF!,"AAAAAB5Df+w=")</f>
        <v>#REF!</v>
      </c>
      <c r="ID151" t="e">
        <f>IF(#REF!,"AAAAAB5Df+0=",0)</f>
        <v>#REF!</v>
      </c>
      <c r="IE151" t="e">
        <f>AND(#REF!,"AAAAAB5Df+4=")</f>
        <v>#REF!</v>
      </c>
      <c r="IF151" t="e">
        <f>AND(#REF!,"AAAAAB5Df+8=")</f>
        <v>#REF!</v>
      </c>
      <c r="IG151" t="e">
        <f>AND(#REF!,"AAAAAB5Df/A=")</f>
        <v>#REF!</v>
      </c>
      <c r="IH151" t="e">
        <f>AND(#REF!,"AAAAAB5Df/E=")</f>
        <v>#REF!</v>
      </c>
      <c r="II151" t="e">
        <f>AND(#REF!,"AAAAAB5Df/I=")</f>
        <v>#REF!</v>
      </c>
      <c r="IJ151" t="e">
        <f>AND(#REF!,"AAAAAB5Df/M=")</f>
        <v>#REF!</v>
      </c>
      <c r="IK151" t="e">
        <f>AND(#REF!,"AAAAAB5Df/Q=")</f>
        <v>#REF!</v>
      </c>
      <c r="IL151" t="e">
        <f>AND(#REF!,"AAAAAB5Df/U=")</f>
        <v>#REF!</v>
      </c>
      <c r="IM151" t="e">
        <f>AND(#REF!,"AAAAAB5Df/Y=")</f>
        <v>#REF!</v>
      </c>
      <c r="IN151" t="e">
        <f>AND(#REF!,"AAAAAB5Df/c=")</f>
        <v>#REF!</v>
      </c>
      <c r="IO151" t="e">
        <f>IF(#REF!,"AAAAAB5Df/g=",0)</f>
        <v>#REF!</v>
      </c>
      <c r="IP151" t="e">
        <f>AND(#REF!,"AAAAAB5Df/k=")</f>
        <v>#REF!</v>
      </c>
      <c r="IQ151" t="e">
        <f>AND(#REF!,"AAAAAB5Df/o=")</f>
        <v>#REF!</v>
      </c>
      <c r="IR151" t="e">
        <f>AND(#REF!,"AAAAAB5Df/s=")</f>
        <v>#REF!</v>
      </c>
      <c r="IS151" t="e">
        <f>AND(#REF!,"AAAAAB5Df/w=")</f>
        <v>#REF!</v>
      </c>
      <c r="IT151" t="e">
        <f>AND(#REF!,"AAAAAB5Df/0=")</f>
        <v>#REF!</v>
      </c>
      <c r="IU151" t="e">
        <f>AND(#REF!,"AAAAAB5Df/4=")</f>
        <v>#REF!</v>
      </c>
      <c r="IV151" t="e">
        <f>AND(#REF!,"AAAAAB5Df/8=")</f>
        <v>#REF!</v>
      </c>
    </row>
    <row r="152" spans="1:256" x14ac:dyDescent="0.25">
      <c r="A152" t="e">
        <f>AND(#REF!,"AAAAAH/n+wA=")</f>
        <v>#REF!</v>
      </c>
      <c r="B152" t="e">
        <f>AND(#REF!,"AAAAAH/n+wE=")</f>
        <v>#REF!</v>
      </c>
      <c r="C152" t="e">
        <f>AND(#REF!,"AAAAAH/n+wI=")</f>
        <v>#REF!</v>
      </c>
      <c r="D152" t="e">
        <f>IF(#REF!,"AAAAAH/n+wM=",0)</f>
        <v>#REF!</v>
      </c>
      <c r="E152" t="e">
        <f>AND(#REF!,"AAAAAH/n+wQ=")</f>
        <v>#REF!</v>
      </c>
      <c r="F152" t="e">
        <f>AND(#REF!,"AAAAAH/n+wU=")</f>
        <v>#REF!</v>
      </c>
      <c r="G152" t="e">
        <f>AND(#REF!,"AAAAAH/n+wY=")</f>
        <v>#REF!</v>
      </c>
      <c r="H152" t="e">
        <f>AND(#REF!,"AAAAAH/n+wc=")</f>
        <v>#REF!</v>
      </c>
      <c r="I152" t="e">
        <f>AND(#REF!,"AAAAAH/n+wg=")</f>
        <v>#REF!</v>
      </c>
      <c r="J152" t="e">
        <f>AND(#REF!,"AAAAAH/n+wk=")</f>
        <v>#REF!</v>
      </c>
      <c r="K152" t="e">
        <f>AND(#REF!,"AAAAAH/n+wo=")</f>
        <v>#REF!</v>
      </c>
      <c r="L152" t="e">
        <f>AND(#REF!,"AAAAAH/n+ws=")</f>
        <v>#REF!</v>
      </c>
      <c r="M152" t="e">
        <f>AND(#REF!,"AAAAAH/n+ww=")</f>
        <v>#REF!</v>
      </c>
      <c r="N152" t="e">
        <f>AND(#REF!,"AAAAAH/n+w0=")</f>
        <v>#REF!</v>
      </c>
      <c r="O152" t="e">
        <f>IF(#REF!,"AAAAAH/n+w4=",0)</f>
        <v>#REF!</v>
      </c>
      <c r="P152" t="e">
        <f>AND(#REF!,"AAAAAH/n+w8=")</f>
        <v>#REF!</v>
      </c>
      <c r="Q152" t="e">
        <f>AND(#REF!,"AAAAAH/n+xA=")</f>
        <v>#REF!</v>
      </c>
      <c r="R152" t="e">
        <f>AND(#REF!,"AAAAAH/n+xE=")</f>
        <v>#REF!</v>
      </c>
      <c r="S152" t="e">
        <f>AND(#REF!,"AAAAAH/n+xI=")</f>
        <v>#REF!</v>
      </c>
      <c r="T152" t="e">
        <f>AND(#REF!,"AAAAAH/n+xM=")</f>
        <v>#REF!</v>
      </c>
      <c r="U152" t="e">
        <f>AND(#REF!,"AAAAAH/n+xQ=")</f>
        <v>#REF!</v>
      </c>
      <c r="V152" t="e">
        <f>AND(#REF!,"AAAAAH/n+xU=")</f>
        <v>#REF!</v>
      </c>
      <c r="W152" t="e">
        <f>AND(#REF!,"AAAAAH/n+xY=")</f>
        <v>#REF!</v>
      </c>
      <c r="X152" t="e">
        <f>AND(#REF!,"AAAAAH/n+xc=")</f>
        <v>#REF!</v>
      </c>
      <c r="Y152" t="e">
        <f>AND(#REF!,"AAAAAH/n+xg=")</f>
        <v>#REF!</v>
      </c>
      <c r="Z152" t="e">
        <f>IF(#REF!,"AAAAAH/n+xk=",0)</f>
        <v>#REF!</v>
      </c>
      <c r="AA152" t="e">
        <f>AND(#REF!,"AAAAAH/n+xo=")</f>
        <v>#REF!</v>
      </c>
      <c r="AB152" t="e">
        <f>AND(#REF!,"AAAAAH/n+xs=")</f>
        <v>#REF!</v>
      </c>
      <c r="AC152" t="e">
        <f>AND(#REF!,"AAAAAH/n+xw=")</f>
        <v>#REF!</v>
      </c>
      <c r="AD152" t="e">
        <f>AND(#REF!,"AAAAAH/n+x0=")</f>
        <v>#REF!</v>
      </c>
      <c r="AE152" t="e">
        <f>AND(#REF!,"AAAAAH/n+x4=")</f>
        <v>#REF!</v>
      </c>
      <c r="AF152" t="e">
        <f>AND(#REF!,"AAAAAH/n+x8=")</f>
        <v>#REF!</v>
      </c>
      <c r="AG152" t="e">
        <f>AND(#REF!,"AAAAAH/n+yA=")</f>
        <v>#REF!</v>
      </c>
      <c r="AH152" t="e">
        <f>AND(#REF!,"AAAAAH/n+yE=")</f>
        <v>#REF!</v>
      </c>
      <c r="AI152" t="e">
        <f>AND(#REF!,"AAAAAH/n+yI=")</f>
        <v>#REF!</v>
      </c>
      <c r="AJ152" t="e">
        <f>AND(#REF!,"AAAAAH/n+yM=")</f>
        <v>#REF!</v>
      </c>
      <c r="AK152" t="e">
        <f>IF(#REF!,"AAAAAH/n+yQ=",0)</f>
        <v>#REF!</v>
      </c>
      <c r="AL152" t="e">
        <f>AND(#REF!,"AAAAAH/n+yU=")</f>
        <v>#REF!</v>
      </c>
      <c r="AM152" t="e">
        <f>AND(#REF!,"AAAAAH/n+yY=")</f>
        <v>#REF!</v>
      </c>
      <c r="AN152" t="e">
        <f>AND(#REF!,"AAAAAH/n+yc=")</f>
        <v>#REF!</v>
      </c>
      <c r="AO152" t="e">
        <f>AND(#REF!,"AAAAAH/n+yg=")</f>
        <v>#REF!</v>
      </c>
      <c r="AP152" t="e">
        <f>AND(#REF!,"AAAAAH/n+yk=")</f>
        <v>#REF!</v>
      </c>
      <c r="AQ152" t="e">
        <f>AND(#REF!,"AAAAAH/n+yo=")</f>
        <v>#REF!</v>
      </c>
      <c r="AR152" t="e">
        <f>AND(#REF!,"AAAAAH/n+ys=")</f>
        <v>#REF!</v>
      </c>
      <c r="AS152" t="e">
        <f>AND(#REF!,"AAAAAH/n+yw=")</f>
        <v>#REF!</v>
      </c>
      <c r="AT152" t="e">
        <f>AND(#REF!,"AAAAAH/n+y0=")</f>
        <v>#REF!</v>
      </c>
      <c r="AU152" t="e">
        <f>AND(#REF!,"AAAAAH/n+y4=")</f>
        <v>#REF!</v>
      </c>
      <c r="AV152" t="e">
        <f>IF(#REF!,"AAAAAH/n+y8=",0)</f>
        <v>#REF!</v>
      </c>
      <c r="AW152" t="e">
        <f>AND(#REF!,"AAAAAH/n+zA=")</f>
        <v>#REF!</v>
      </c>
      <c r="AX152" t="e">
        <f>AND(#REF!,"AAAAAH/n+zE=")</f>
        <v>#REF!</v>
      </c>
      <c r="AY152" t="e">
        <f>AND(#REF!,"AAAAAH/n+zI=")</f>
        <v>#REF!</v>
      </c>
      <c r="AZ152" t="e">
        <f>AND(#REF!,"AAAAAH/n+zM=")</f>
        <v>#REF!</v>
      </c>
      <c r="BA152" t="e">
        <f>AND(#REF!,"AAAAAH/n+zQ=")</f>
        <v>#REF!</v>
      </c>
      <c r="BB152" t="e">
        <f>AND(#REF!,"AAAAAH/n+zU=")</f>
        <v>#REF!</v>
      </c>
      <c r="BC152" t="e">
        <f>AND(#REF!,"AAAAAH/n+zY=")</f>
        <v>#REF!</v>
      </c>
      <c r="BD152" t="e">
        <f>AND(#REF!,"AAAAAH/n+zc=")</f>
        <v>#REF!</v>
      </c>
      <c r="BE152" t="e">
        <f>AND(#REF!,"AAAAAH/n+zg=")</f>
        <v>#REF!</v>
      </c>
      <c r="BF152" t="e">
        <f>AND(#REF!,"AAAAAH/n+zk=")</f>
        <v>#REF!</v>
      </c>
      <c r="BG152" t="e">
        <f>IF(#REF!,"AAAAAH/n+zo=",0)</f>
        <v>#REF!</v>
      </c>
      <c r="BH152" t="e">
        <f>AND(#REF!,"AAAAAH/n+zs=")</f>
        <v>#REF!</v>
      </c>
      <c r="BI152" t="e">
        <f>AND(#REF!,"AAAAAH/n+zw=")</f>
        <v>#REF!</v>
      </c>
      <c r="BJ152" t="e">
        <f>AND(#REF!,"AAAAAH/n+z0=")</f>
        <v>#REF!</v>
      </c>
      <c r="BK152" t="e">
        <f>AND(#REF!,"AAAAAH/n+z4=")</f>
        <v>#REF!</v>
      </c>
      <c r="BL152" t="e">
        <f>AND(#REF!,"AAAAAH/n+z8=")</f>
        <v>#REF!</v>
      </c>
      <c r="BM152" t="e">
        <f>AND(#REF!,"AAAAAH/n+0A=")</f>
        <v>#REF!</v>
      </c>
      <c r="BN152" t="e">
        <f>AND(#REF!,"AAAAAH/n+0E=")</f>
        <v>#REF!</v>
      </c>
      <c r="BO152" t="e">
        <f>AND(#REF!,"AAAAAH/n+0I=")</f>
        <v>#REF!</v>
      </c>
      <c r="BP152" t="e">
        <f>AND(#REF!,"AAAAAH/n+0M=")</f>
        <v>#REF!</v>
      </c>
      <c r="BQ152" t="e">
        <f>AND(#REF!,"AAAAAH/n+0Q=")</f>
        <v>#REF!</v>
      </c>
      <c r="BR152" t="e">
        <f>IF(#REF!,"AAAAAH/n+0U=",0)</f>
        <v>#REF!</v>
      </c>
      <c r="BS152" t="e">
        <f>AND(#REF!,"AAAAAH/n+0Y=")</f>
        <v>#REF!</v>
      </c>
      <c r="BT152" t="e">
        <f>AND(#REF!,"AAAAAH/n+0c=")</f>
        <v>#REF!</v>
      </c>
      <c r="BU152" t="e">
        <f>AND(#REF!,"AAAAAH/n+0g=")</f>
        <v>#REF!</v>
      </c>
      <c r="BV152" t="e">
        <f>AND(#REF!,"AAAAAH/n+0k=")</f>
        <v>#REF!</v>
      </c>
      <c r="BW152" t="e">
        <f>AND(#REF!,"AAAAAH/n+0o=")</f>
        <v>#REF!</v>
      </c>
      <c r="BX152" t="e">
        <f>AND(#REF!,"AAAAAH/n+0s=")</f>
        <v>#REF!</v>
      </c>
      <c r="BY152" t="e">
        <f>AND(#REF!,"AAAAAH/n+0w=")</f>
        <v>#REF!</v>
      </c>
      <c r="BZ152" t="e">
        <f>AND(#REF!,"AAAAAH/n+00=")</f>
        <v>#REF!</v>
      </c>
      <c r="CA152" t="e">
        <f>AND(#REF!,"AAAAAH/n+04=")</f>
        <v>#REF!</v>
      </c>
      <c r="CB152" t="e">
        <f>AND(#REF!,"AAAAAH/n+08=")</f>
        <v>#REF!</v>
      </c>
      <c r="CC152" t="e">
        <f>IF(#REF!,"AAAAAH/n+1A=",0)</f>
        <v>#REF!</v>
      </c>
      <c r="CD152" t="e">
        <f>AND(#REF!,"AAAAAH/n+1E=")</f>
        <v>#REF!</v>
      </c>
      <c r="CE152" t="e">
        <f>AND(#REF!,"AAAAAH/n+1I=")</f>
        <v>#REF!</v>
      </c>
      <c r="CF152" t="e">
        <f>AND(#REF!,"AAAAAH/n+1M=")</f>
        <v>#REF!</v>
      </c>
      <c r="CG152" t="e">
        <f>AND(#REF!,"AAAAAH/n+1Q=")</f>
        <v>#REF!</v>
      </c>
      <c r="CH152" t="e">
        <f>AND(#REF!,"AAAAAH/n+1U=")</f>
        <v>#REF!</v>
      </c>
      <c r="CI152" t="e">
        <f>AND(#REF!,"AAAAAH/n+1Y=")</f>
        <v>#REF!</v>
      </c>
      <c r="CJ152" t="e">
        <f>AND(#REF!,"AAAAAH/n+1c=")</f>
        <v>#REF!</v>
      </c>
      <c r="CK152" t="e">
        <f>AND(#REF!,"AAAAAH/n+1g=")</f>
        <v>#REF!</v>
      </c>
      <c r="CL152" t="e">
        <f>AND(#REF!,"AAAAAH/n+1k=")</f>
        <v>#REF!</v>
      </c>
      <c r="CM152" t="e">
        <f>AND(#REF!,"AAAAAH/n+1o=")</f>
        <v>#REF!</v>
      </c>
      <c r="CN152" t="e">
        <f>IF(#REF!,"AAAAAH/n+1s=",0)</f>
        <v>#REF!</v>
      </c>
      <c r="CO152" t="e">
        <f>AND(#REF!,"AAAAAH/n+1w=")</f>
        <v>#REF!</v>
      </c>
      <c r="CP152" t="e">
        <f>AND(#REF!,"AAAAAH/n+10=")</f>
        <v>#REF!</v>
      </c>
      <c r="CQ152" t="e">
        <f>AND(#REF!,"AAAAAH/n+14=")</f>
        <v>#REF!</v>
      </c>
      <c r="CR152" t="e">
        <f>AND(#REF!,"AAAAAH/n+18=")</f>
        <v>#REF!</v>
      </c>
      <c r="CS152" t="e">
        <f>AND(#REF!,"AAAAAH/n+2A=")</f>
        <v>#REF!</v>
      </c>
      <c r="CT152" t="e">
        <f>AND(#REF!,"AAAAAH/n+2E=")</f>
        <v>#REF!</v>
      </c>
      <c r="CU152" t="e">
        <f>AND(#REF!,"AAAAAH/n+2I=")</f>
        <v>#REF!</v>
      </c>
      <c r="CV152" t="e">
        <f>AND(#REF!,"AAAAAH/n+2M=")</f>
        <v>#REF!</v>
      </c>
      <c r="CW152" t="e">
        <f>AND(#REF!,"AAAAAH/n+2Q=")</f>
        <v>#REF!</v>
      </c>
      <c r="CX152" t="e">
        <f>AND(#REF!,"AAAAAH/n+2U=")</f>
        <v>#REF!</v>
      </c>
      <c r="CY152" t="e">
        <f>IF(#REF!,"AAAAAH/n+2Y=",0)</f>
        <v>#REF!</v>
      </c>
      <c r="CZ152" t="e">
        <f>AND(#REF!,"AAAAAH/n+2c=")</f>
        <v>#REF!</v>
      </c>
      <c r="DA152" t="e">
        <f>AND(#REF!,"AAAAAH/n+2g=")</f>
        <v>#REF!</v>
      </c>
      <c r="DB152" t="e">
        <f>AND(#REF!,"AAAAAH/n+2k=")</f>
        <v>#REF!</v>
      </c>
      <c r="DC152" t="e">
        <f>AND(#REF!,"AAAAAH/n+2o=")</f>
        <v>#REF!</v>
      </c>
      <c r="DD152" t="e">
        <f>AND(#REF!,"AAAAAH/n+2s=")</f>
        <v>#REF!</v>
      </c>
      <c r="DE152" t="e">
        <f>AND(#REF!,"AAAAAH/n+2w=")</f>
        <v>#REF!</v>
      </c>
      <c r="DF152" t="e">
        <f>AND(#REF!,"AAAAAH/n+20=")</f>
        <v>#REF!</v>
      </c>
      <c r="DG152" t="e">
        <f>AND(#REF!,"AAAAAH/n+24=")</f>
        <v>#REF!</v>
      </c>
      <c r="DH152" t="e">
        <f>AND(#REF!,"AAAAAH/n+28=")</f>
        <v>#REF!</v>
      </c>
      <c r="DI152" t="e">
        <f>AND(#REF!,"AAAAAH/n+3A=")</f>
        <v>#REF!</v>
      </c>
      <c r="DJ152" t="e">
        <f>IF(#REF!,"AAAAAH/n+3E=",0)</f>
        <v>#REF!</v>
      </c>
      <c r="DK152" t="e">
        <f>AND(#REF!,"AAAAAH/n+3I=")</f>
        <v>#REF!</v>
      </c>
      <c r="DL152" t="e">
        <f>AND(#REF!,"AAAAAH/n+3M=")</f>
        <v>#REF!</v>
      </c>
      <c r="DM152" t="e">
        <f>AND(#REF!,"AAAAAH/n+3Q=")</f>
        <v>#REF!</v>
      </c>
      <c r="DN152" t="e">
        <f>AND(#REF!,"AAAAAH/n+3U=")</f>
        <v>#REF!</v>
      </c>
      <c r="DO152" t="e">
        <f>AND(#REF!,"AAAAAH/n+3Y=")</f>
        <v>#REF!</v>
      </c>
      <c r="DP152" t="e">
        <f>AND(#REF!,"AAAAAH/n+3c=")</f>
        <v>#REF!</v>
      </c>
      <c r="DQ152" t="e">
        <f>AND(#REF!,"AAAAAH/n+3g=")</f>
        <v>#REF!</v>
      </c>
      <c r="DR152" t="e">
        <f>AND(#REF!,"AAAAAH/n+3k=")</f>
        <v>#REF!</v>
      </c>
      <c r="DS152" t="e">
        <f>AND(#REF!,"AAAAAH/n+3o=")</f>
        <v>#REF!</v>
      </c>
      <c r="DT152" t="e">
        <f>AND(#REF!,"AAAAAH/n+3s=")</f>
        <v>#REF!</v>
      </c>
      <c r="DU152" t="e">
        <f>IF(#REF!,"AAAAAH/n+3w=",0)</f>
        <v>#REF!</v>
      </c>
      <c r="DV152" t="e">
        <f>AND(#REF!,"AAAAAH/n+30=")</f>
        <v>#REF!</v>
      </c>
      <c r="DW152" t="e">
        <f>AND(#REF!,"AAAAAH/n+34=")</f>
        <v>#REF!</v>
      </c>
      <c r="DX152" t="e">
        <f>AND(#REF!,"AAAAAH/n+38=")</f>
        <v>#REF!</v>
      </c>
      <c r="DY152" t="e">
        <f>AND(#REF!,"AAAAAH/n+4A=")</f>
        <v>#REF!</v>
      </c>
      <c r="DZ152" t="e">
        <f>AND(#REF!,"AAAAAH/n+4E=")</f>
        <v>#REF!</v>
      </c>
      <c r="EA152" t="e">
        <f>AND(#REF!,"AAAAAH/n+4I=")</f>
        <v>#REF!</v>
      </c>
      <c r="EB152" t="e">
        <f>AND(#REF!,"AAAAAH/n+4M=")</f>
        <v>#REF!</v>
      </c>
      <c r="EC152" t="e">
        <f>AND(#REF!,"AAAAAH/n+4Q=")</f>
        <v>#REF!</v>
      </c>
      <c r="ED152" t="e">
        <f>AND(#REF!,"AAAAAH/n+4U=")</f>
        <v>#REF!</v>
      </c>
      <c r="EE152" t="e">
        <f>AND(#REF!,"AAAAAH/n+4Y=")</f>
        <v>#REF!</v>
      </c>
      <c r="EF152" t="e">
        <f>IF(#REF!,"AAAAAH/n+4c=",0)</f>
        <v>#REF!</v>
      </c>
      <c r="EG152" t="e">
        <f>AND(#REF!,"AAAAAH/n+4g=")</f>
        <v>#REF!</v>
      </c>
      <c r="EH152" t="e">
        <f>AND(#REF!,"AAAAAH/n+4k=")</f>
        <v>#REF!</v>
      </c>
      <c r="EI152" t="e">
        <f>AND(#REF!,"AAAAAH/n+4o=")</f>
        <v>#REF!</v>
      </c>
      <c r="EJ152" t="e">
        <f>AND(#REF!,"AAAAAH/n+4s=")</f>
        <v>#REF!</v>
      </c>
      <c r="EK152" t="e">
        <f>AND(#REF!,"AAAAAH/n+4w=")</f>
        <v>#REF!</v>
      </c>
      <c r="EL152" t="e">
        <f>AND(#REF!,"AAAAAH/n+40=")</f>
        <v>#REF!</v>
      </c>
      <c r="EM152" t="e">
        <f>AND(#REF!,"AAAAAH/n+44=")</f>
        <v>#REF!</v>
      </c>
      <c r="EN152" t="e">
        <f>AND(#REF!,"AAAAAH/n+48=")</f>
        <v>#REF!</v>
      </c>
      <c r="EO152" t="e">
        <f>AND(#REF!,"AAAAAH/n+5A=")</f>
        <v>#REF!</v>
      </c>
      <c r="EP152" t="e">
        <f>AND(#REF!,"AAAAAH/n+5E=")</f>
        <v>#REF!</v>
      </c>
      <c r="EQ152" t="e">
        <f>IF(#REF!,"AAAAAH/n+5I=",0)</f>
        <v>#REF!</v>
      </c>
      <c r="ER152" t="e">
        <f>AND(#REF!,"AAAAAH/n+5M=")</f>
        <v>#REF!</v>
      </c>
      <c r="ES152" t="e">
        <f>AND(#REF!,"AAAAAH/n+5Q=")</f>
        <v>#REF!</v>
      </c>
      <c r="ET152" t="e">
        <f>AND(#REF!,"AAAAAH/n+5U=")</f>
        <v>#REF!</v>
      </c>
      <c r="EU152" t="e">
        <f>AND(#REF!,"AAAAAH/n+5Y=")</f>
        <v>#REF!</v>
      </c>
      <c r="EV152" t="e">
        <f>AND(#REF!,"AAAAAH/n+5c=")</f>
        <v>#REF!</v>
      </c>
      <c r="EW152" t="e">
        <f>AND(#REF!,"AAAAAH/n+5g=")</f>
        <v>#REF!</v>
      </c>
      <c r="EX152" t="e">
        <f>AND(#REF!,"AAAAAH/n+5k=")</f>
        <v>#REF!</v>
      </c>
      <c r="EY152" t="e">
        <f>AND(#REF!,"AAAAAH/n+5o=")</f>
        <v>#REF!</v>
      </c>
      <c r="EZ152" t="e">
        <f>AND(#REF!,"AAAAAH/n+5s=")</f>
        <v>#REF!</v>
      </c>
      <c r="FA152" t="e">
        <f>AND(#REF!,"AAAAAH/n+5w=")</f>
        <v>#REF!</v>
      </c>
      <c r="FB152" t="e">
        <f>IF(#REF!,"AAAAAH/n+50=",0)</f>
        <v>#REF!</v>
      </c>
      <c r="FC152" t="e">
        <f>AND(#REF!,"AAAAAH/n+54=")</f>
        <v>#REF!</v>
      </c>
      <c r="FD152" t="e">
        <f>AND(#REF!,"AAAAAH/n+58=")</f>
        <v>#REF!</v>
      </c>
      <c r="FE152" t="e">
        <f>AND(#REF!,"AAAAAH/n+6A=")</f>
        <v>#REF!</v>
      </c>
      <c r="FF152" t="e">
        <f>AND(#REF!,"AAAAAH/n+6E=")</f>
        <v>#REF!</v>
      </c>
      <c r="FG152" t="e">
        <f>AND(#REF!,"AAAAAH/n+6I=")</f>
        <v>#REF!</v>
      </c>
      <c r="FH152" t="e">
        <f>AND(#REF!,"AAAAAH/n+6M=")</f>
        <v>#REF!</v>
      </c>
      <c r="FI152" t="e">
        <f>AND(#REF!,"AAAAAH/n+6Q=")</f>
        <v>#REF!</v>
      </c>
      <c r="FJ152" t="e">
        <f>AND(#REF!,"AAAAAH/n+6U=")</f>
        <v>#REF!</v>
      </c>
      <c r="FK152" t="e">
        <f>AND(#REF!,"AAAAAH/n+6Y=")</f>
        <v>#REF!</v>
      </c>
      <c r="FL152" t="e">
        <f>AND(#REF!,"AAAAAH/n+6c=")</f>
        <v>#REF!</v>
      </c>
      <c r="FM152" t="e">
        <f>IF(#REF!,"AAAAAH/n+6g=",0)</f>
        <v>#REF!</v>
      </c>
      <c r="FN152" t="e">
        <f>AND(#REF!,"AAAAAH/n+6k=")</f>
        <v>#REF!</v>
      </c>
      <c r="FO152" t="e">
        <f>AND(#REF!,"AAAAAH/n+6o=")</f>
        <v>#REF!</v>
      </c>
      <c r="FP152" t="e">
        <f>AND(#REF!,"AAAAAH/n+6s=")</f>
        <v>#REF!</v>
      </c>
      <c r="FQ152" t="e">
        <f>AND(#REF!,"AAAAAH/n+6w=")</f>
        <v>#REF!</v>
      </c>
      <c r="FR152" t="e">
        <f>AND(#REF!,"AAAAAH/n+60=")</f>
        <v>#REF!</v>
      </c>
      <c r="FS152" t="e">
        <f>AND(#REF!,"AAAAAH/n+64=")</f>
        <v>#REF!</v>
      </c>
      <c r="FT152" t="e">
        <f>AND(#REF!,"AAAAAH/n+68=")</f>
        <v>#REF!</v>
      </c>
      <c r="FU152" t="e">
        <f>AND(#REF!,"AAAAAH/n+7A=")</f>
        <v>#REF!</v>
      </c>
      <c r="FV152" t="e">
        <f>AND(#REF!,"AAAAAH/n+7E=")</f>
        <v>#REF!</v>
      </c>
      <c r="FW152" t="e">
        <f>AND(#REF!,"AAAAAH/n+7I=")</f>
        <v>#REF!</v>
      </c>
      <c r="FX152" t="e">
        <f>IF(#REF!,"AAAAAH/n+7M=",0)</f>
        <v>#REF!</v>
      </c>
      <c r="FY152" t="e">
        <f>AND(#REF!,"AAAAAH/n+7Q=")</f>
        <v>#REF!</v>
      </c>
      <c r="FZ152" t="e">
        <f>AND(#REF!,"AAAAAH/n+7U=")</f>
        <v>#REF!</v>
      </c>
      <c r="GA152" t="e">
        <f>AND(#REF!,"AAAAAH/n+7Y=")</f>
        <v>#REF!</v>
      </c>
      <c r="GB152" t="e">
        <f>AND(#REF!,"AAAAAH/n+7c=")</f>
        <v>#REF!</v>
      </c>
      <c r="GC152" t="e">
        <f>AND(#REF!,"AAAAAH/n+7g=")</f>
        <v>#REF!</v>
      </c>
      <c r="GD152" t="e">
        <f>AND(#REF!,"AAAAAH/n+7k=")</f>
        <v>#REF!</v>
      </c>
      <c r="GE152" t="e">
        <f>AND(#REF!,"AAAAAH/n+7o=")</f>
        <v>#REF!</v>
      </c>
      <c r="GF152" t="e">
        <f>AND(#REF!,"AAAAAH/n+7s=")</f>
        <v>#REF!</v>
      </c>
      <c r="GG152" t="e">
        <f>AND(#REF!,"AAAAAH/n+7w=")</f>
        <v>#REF!</v>
      </c>
      <c r="GH152" t="e">
        <f>AND(#REF!,"AAAAAH/n+70=")</f>
        <v>#REF!</v>
      </c>
      <c r="GI152" t="e">
        <f>IF(#REF!,"AAAAAH/n+74=",0)</f>
        <v>#REF!</v>
      </c>
      <c r="GJ152" t="e">
        <f>AND(#REF!,"AAAAAH/n+78=")</f>
        <v>#REF!</v>
      </c>
      <c r="GK152" t="e">
        <f>AND(#REF!,"AAAAAH/n+8A=")</f>
        <v>#REF!</v>
      </c>
      <c r="GL152" t="e">
        <f>AND(#REF!,"AAAAAH/n+8E=")</f>
        <v>#REF!</v>
      </c>
      <c r="GM152" t="e">
        <f>AND(#REF!,"AAAAAH/n+8I=")</f>
        <v>#REF!</v>
      </c>
      <c r="GN152" t="e">
        <f>AND(#REF!,"AAAAAH/n+8M=")</f>
        <v>#REF!</v>
      </c>
      <c r="GO152" t="e">
        <f>AND(#REF!,"AAAAAH/n+8Q=")</f>
        <v>#REF!</v>
      </c>
      <c r="GP152" t="e">
        <f>AND(#REF!,"AAAAAH/n+8U=")</f>
        <v>#REF!</v>
      </c>
      <c r="GQ152" t="e">
        <f>AND(#REF!,"AAAAAH/n+8Y=")</f>
        <v>#REF!</v>
      </c>
      <c r="GR152" t="e">
        <f>AND(#REF!,"AAAAAH/n+8c=")</f>
        <v>#REF!</v>
      </c>
      <c r="GS152" t="e">
        <f>AND(#REF!,"AAAAAH/n+8g=")</f>
        <v>#REF!</v>
      </c>
      <c r="GT152" t="e">
        <f>IF(#REF!,"AAAAAH/n+8k=",0)</f>
        <v>#REF!</v>
      </c>
      <c r="GU152" t="e">
        <f>AND(#REF!,"AAAAAH/n+8o=")</f>
        <v>#REF!</v>
      </c>
      <c r="GV152" t="e">
        <f>AND(#REF!,"AAAAAH/n+8s=")</f>
        <v>#REF!</v>
      </c>
      <c r="GW152" t="e">
        <f>AND(#REF!,"AAAAAH/n+8w=")</f>
        <v>#REF!</v>
      </c>
      <c r="GX152" t="e">
        <f>AND(#REF!,"AAAAAH/n+80=")</f>
        <v>#REF!</v>
      </c>
      <c r="GY152" t="e">
        <f>AND(#REF!,"AAAAAH/n+84=")</f>
        <v>#REF!</v>
      </c>
      <c r="GZ152" t="e">
        <f>AND(#REF!,"AAAAAH/n+88=")</f>
        <v>#REF!</v>
      </c>
      <c r="HA152" t="e">
        <f>AND(#REF!,"AAAAAH/n+9A=")</f>
        <v>#REF!</v>
      </c>
      <c r="HB152" t="e">
        <f>AND(#REF!,"AAAAAH/n+9E=")</f>
        <v>#REF!</v>
      </c>
      <c r="HC152" t="e">
        <f>AND(#REF!,"AAAAAH/n+9I=")</f>
        <v>#REF!</v>
      </c>
      <c r="HD152" t="e">
        <f>AND(#REF!,"AAAAAH/n+9M=")</f>
        <v>#REF!</v>
      </c>
      <c r="HE152" t="e">
        <f>IF(#REF!,"AAAAAH/n+9Q=",0)</f>
        <v>#REF!</v>
      </c>
      <c r="HF152" t="e">
        <f>AND(#REF!,"AAAAAH/n+9U=")</f>
        <v>#REF!</v>
      </c>
      <c r="HG152" t="e">
        <f>AND(#REF!,"AAAAAH/n+9Y=")</f>
        <v>#REF!</v>
      </c>
      <c r="HH152" t="e">
        <f>AND(#REF!,"AAAAAH/n+9c=")</f>
        <v>#REF!</v>
      </c>
      <c r="HI152" t="e">
        <f>AND(#REF!,"AAAAAH/n+9g=")</f>
        <v>#REF!</v>
      </c>
      <c r="HJ152" t="e">
        <f>AND(#REF!,"AAAAAH/n+9k=")</f>
        <v>#REF!</v>
      </c>
      <c r="HK152" t="e">
        <f>AND(#REF!,"AAAAAH/n+9o=")</f>
        <v>#REF!</v>
      </c>
      <c r="HL152" t="e">
        <f>AND(#REF!,"AAAAAH/n+9s=")</f>
        <v>#REF!</v>
      </c>
      <c r="HM152" t="e">
        <f>AND(#REF!,"AAAAAH/n+9w=")</f>
        <v>#REF!</v>
      </c>
      <c r="HN152" t="e">
        <f>AND(#REF!,"AAAAAH/n+90=")</f>
        <v>#REF!</v>
      </c>
      <c r="HO152" t="e">
        <f>AND(#REF!,"AAAAAH/n+94=")</f>
        <v>#REF!</v>
      </c>
      <c r="HP152" t="e">
        <f>IF(#REF!,"AAAAAH/n+98=",0)</f>
        <v>#REF!</v>
      </c>
      <c r="HQ152" t="e">
        <f>AND(#REF!,"AAAAAH/n++A=")</f>
        <v>#REF!</v>
      </c>
      <c r="HR152" t="e">
        <f>AND(#REF!,"AAAAAH/n++E=")</f>
        <v>#REF!</v>
      </c>
      <c r="HS152" t="e">
        <f>AND(#REF!,"AAAAAH/n++I=")</f>
        <v>#REF!</v>
      </c>
      <c r="HT152" t="e">
        <f>AND(#REF!,"AAAAAH/n++M=")</f>
        <v>#REF!</v>
      </c>
      <c r="HU152" t="e">
        <f>AND(#REF!,"AAAAAH/n++Q=")</f>
        <v>#REF!</v>
      </c>
      <c r="HV152" t="e">
        <f>AND(#REF!,"AAAAAH/n++U=")</f>
        <v>#REF!</v>
      </c>
      <c r="HW152" t="e">
        <f>AND(#REF!,"AAAAAH/n++Y=")</f>
        <v>#REF!</v>
      </c>
      <c r="HX152" t="e">
        <f>AND(#REF!,"AAAAAH/n++c=")</f>
        <v>#REF!</v>
      </c>
      <c r="HY152" t="e">
        <f>AND(#REF!,"AAAAAH/n++g=")</f>
        <v>#REF!</v>
      </c>
      <c r="HZ152" t="e">
        <f>AND(#REF!,"AAAAAH/n++k=")</f>
        <v>#REF!</v>
      </c>
      <c r="IA152" t="e">
        <f>IF(#REF!,"AAAAAH/n++o=",0)</f>
        <v>#REF!</v>
      </c>
      <c r="IB152" t="e">
        <f>AND(#REF!,"AAAAAH/n++s=")</f>
        <v>#REF!</v>
      </c>
      <c r="IC152" t="e">
        <f>AND(#REF!,"AAAAAH/n++w=")</f>
        <v>#REF!</v>
      </c>
      <c r="ID152" t="e">
        <f>AND(#REF!,"AAAAAH/n++0=")</f>
        <v>#REF!</v>
      </c>
      <c r="IE152" t="e">
        <f>AND(#REF!,"AAAAAH/n++4=")</f>
        <v>#REF!</v>
      </c>
      <c r="IF152" t="e">
        <f>AND(#REF!,"AAAAAH/n++8=")</f>
        <v>#REF!</v>
      </c>
      <c r="IG152" t="e">
        <f>AND(#REF!,"AAAAAH/n+/A=")</f>
        <v>#REF!</v>
      </c>
      <c r="IH152" t="e">
        <f>AND(#REF!,"AAAAAH/n+/E=")</f>
        <v>#REF!</v>
      </c>
      <c r="II152" t="e">
        <f>AND(#REF!,"AAAAAH/n+/I=")</f>
        <v>#REF!</v>
      </c>
      <c r="IJ152" t="e">
        <f>AND(#REF!,"AAAAAH/n+/M=")</f>
        <v>#REF!</v>
      </c>
      <c r="IK152" t="e">
        <f>AND(#REF!,"AAAAAH/n+/Q=")</f>
        <v>#REF!</v>
      </c>
      <c r="IL152" t="e">
        <f>IF(#REF!,"AAAAAH/n+/U=",0)</f>
        <v>#REF!</v>
      </c>
      <c r="IM152" t="e">
        <f>AND(#REF!,"AAAAAH/n+/Y=")</f>
        <v>#REF!</v>
      </c>
      <c r="IN152" t="e">
        <f>AND(#REF!,"AAAAAH/n+/c=")</f>
        <v>#REF!</v>
      </c>
      <c r="IO152" t="e">
        <f>AND(#REF!,"AAAAAH/n+/g=")</f>
        <v>#REF!</v>
      </c>
      <c r="IP152" t="e">
        <f>AND(#REF!,"AAAAAH/n+/k=")</f>
        <v>#REF!</v>
      </c>
      <c r="IQ152" t="e">
        <f>AND(#REF!,"AAAAAH/n+/o=")</f>
        <v>#REF!</v>
      </c>
      <c r="IR152" t="e">
        <f>AND(#REF!,"AAAAAH/n+/s=")</f>
        <v>#REF!</v>
      </c>
      <c r="IS152" t="e">
        <f>AND(#REF!,"AAAAAH/n+/w=")</f>
        <v>#REF!</v>
      </c>
      <c r="IT152" t="e">
        <f>AND(#REF!,"AAAAAH/n+/0=")</f>
        <v>#REF!</v>
      </c>
      <c r="IU152" t="e">
        <f>AND(#REF!,"AAAAAH/n+/4=")</f>
        <v>#REF!</v>
      </c>
      <c r="IV152" t="e">
        <f>AND(#REF!,"AAAAAH/n+/8=")</f>
        <v>#REF!</v>
      </c>
    </row>
    <row r="153" spans="1:256" x14ac:dyDescent="0.25">
      <c r="A153" t="e">
        <f>IF(#REF!,"AAAAAFT/zAA=",0)</f>
        <v>#REF!</v>
      </c>
      <c r="B153" t="e">
        <f>AND(#REF!,"AAAAAFT/zAE=")</f>
        <v>#REF!</v>
      </c>
      <c r="C153" t="e">
        <f>AND(#REF!,"AAAAAFT/zAI=")</f>
        <v>#REF!</v>
      </c>
      <c r="D153" t="e">
        <f>AND(#REF!,"AAAAAFT/zAM=")</f>
        <v>#REF!</v>
      </c>
      <c r="E153" t="e">
        <f>AND(#REF!,"AAAAAFT/zAQ=")</f>
        <v>#REF!</v>
      </c>
      <c r="F153" t="e">
        <f>AND(#REF!,"AAAAAFT/zAU=")</f>
        <v>#REF!</v>
      </c>
      <c r="G153" t="e">
        <f>AND(#REF!,"AAAAAFT/zAY=")</f>
        <v>#REF!</v>
      </c>
      <c r="H153" t="e">
        <f>AND(#REF!,"AAAAAFT/zAc=")</f>
        <v>#REF!</v>
      </c>
      <c r="I153" t="e">
        <f>AND(#REF!,"AAAAAFT/zAg=")</f>
        <v>#REF!</v>
      </c>
      <c r="J153" t="e">
        <f>AND(#REF!,"AAAAAFT/zAk=")</f>
        <v>#REF!</v>
      </c>
      <c r="K153" t="e">
        <f>AND(#REF!,"AAAAAFT/zAo=")</f>
        <v>#REF!</v>
      </c>
      <c r="L153" t="e">
        <f>IF(#REF!,"AAAAAFT/zAs=",0)</f>
        <v>#REF!</v>
      </c>
      <c r="M153" t="e">
        <f>AND(#REF!,"AAAAAFT/zAw=")</f>
        <v>#REF!</v>
      </c>
      <c r="N153" t="e">
        <f>AND(#REF!,"AAAAAFT/zA0=")</f>
        <v>#REF!</v>
      </c>
      <c r="O153" t="e">
        <f>AND(#REF!,"AAAAAFT/zA4=")</f>
        <v>#REF!</v>
      </c>
      <c r="P153" t="e">
        <f>AND(#REF!,"AAAAAFT/zA8=")</f>
        <v>#REF!</v>
      </c>
      <c r="Q153" t="e">
        <f>AND(#REF!,"AAAAAFT/zBA=")</f>
        <v>#REF!</v>
      </c>
      <c r="R153" t="e">
        <f>AND(#REF!,"AAAAAFT/zBE=")</f>
        <v>#REF!</v>
      </c>
      <c r="S153" t="e">
        <f>AND(#REF!,"AAAAAFT/zBI=")</f>
        <v>#REF!</v>
      </c>
      <c r="T153" t="e">
        <f>AND(#REF!,"AAAAAFT/zBM=")</f>
        <v>#REF!</v>
      </c>
      <c r="U153" t="e">
        <f>AND(#REF!,"AAAAAFT/zBQ=")</f>
        <v>#REF!</v>
      </c>
      <c r="V153" t="e">
        <f>AND(#REF!,"AAAAAFT/zBU=")</f>
        <v>#REF!</v>
      </c>
      <c r="W153" t="e">
        <f>IF(#REF!,"AAAAAFT/zBY=",0)</f>
        <v>#REF!</v>
      </c>
      <c r="X153" t="e">
        <f>AND(#REF!,"AAAAAFT/zBc=")</f>
        <v>#REF!</v>
      </c>
      <c r="Y153" t="e">
        <f>AND(#REF!,"AAAAAFT/zBg=")</f>
        <v>#REF!</v>
      </c>
      <c r="Z153" t="e">
        <f>AND(#REF!,"AAAAAFT/zBk=")</f>
        <v>#REF!</v>
      </c>
      <c r="AA153" t="e">
        <f>AND(#REF!,"AAAAAFT/zBo=")</f>
        <v>#REF!</v>
      </c>
      <c r="AB153" t="e">
        <f>AND(#REF!,"AAAAAFT/zBs=")</f>
        <v>#REF!</v>
      </c>
      <c r="AC153" t="e">
        <f>AND(#REF!,"AAAAAFT/zBw=")</f>
        <v>#REF!</v>
      </c>
      <c r="AD153" t="e">
        <f>AND(#REF!,"AAAAAFT/zB0=")</f>
        <v>#REF!</v>
      </c>
      <c r="AE153" t="e">
        <f>AND(#REF!,"AAAAAFT/zB4=")</f>
        <v>#REF!</v>
      </c>
      <c r="AF153" t="e">
        <f>AND(#REF!,"AAAAAFT/zB8=")</f>
        <v>#REF!</v>
      </c>
      <c r="AG153" t="e">
        <f>AND(#REF!,"AAAAAFT/zCA=")</f>
        <v>#REF!</v>
      </c>
      <c r="AH153" t="e">
        <f>IF(#REF!,"AAAAAFT/zCE=",0)</f>
        <v>#REF!</v>
      </c>
      <c r="AI153" t="e">
        <f>AND(#REF!,"AAAAAFT/zCI=")</f>
        <v>#REF!</v>
      </c>
      <c r="AJ153" t="e">
        <f>AND(#REF!,"AAAAAFT/zCM=")</f>
        <v>#REF!</v>
      </c>
      <c r="AK153" t="e">
        <f>AND(#REF!,"AAAAAFT/zCQ=")</f>
        <v>#REF!</v>
      </c>
      <c r="AL153" t="e">
        <f>AND(#REF!,"AAAAAFT/zCU=")</f>
        <v>#REF!</v>
      </c>
      <c r="AM153" t="e">
        <f>AND(#REF!,"AAAAAFT/zCY=")</f>
        <v>#REF!</v>
      </c>
      <c r="AN153" t="e">
        <f>AND(#REF!,"AAAAAFT/zCc=")</f>
        <v>#REF!</v>
      </c>
      <c r="AO153" t="e">
        <f>AND(#REF!,"AAAAAFT/zCg=")</f>
        <v>#REF!</v>
      </c>
      <c r="AP153" t="e">
        <f>AND(#REF!,"AAAAAFT/zCk=")</f>
        <v>#REF!</v>
      </c>
      <c r="AQ153" t="e">
        <f>AND(#REF!,"AAAAAFT/zCo=")</f>
        <v>#REF!</v>
      </c>
      <c r="AR153" t="e">
        <f>AND(#REF!,"AAAAAFT/zCs=")</f>
        <v>#REF!</v>
      </c>
      <c r="AS153" t="e">
        <f>IF(#REF!,"AAAAAFT/zCw=",0)</f>
        <v>#REF!</v>
      </c>
      <c r="AT153" t="e">
        <f>AND(#REF!,"AAAAAFT/zC0=")</f>
        <v>#REF!</v>
      </c>
      <c r="AU153" t="e">
        <f>AND(#REF!,"AAAAAFT/zC4=")</f>
        <v>#REF!</v>
      </c>
      <c r="AV153" t="e">
        <f>AND(#REF!,"AAAAAFT/zC8=")</f>
        <v>#REF!</v>
      </c>
      <c r="AW153" t="e">
        <f>AND(#REF!,"AAAAAFT/zDA=")</f>
        <v>#REF!</v>
      </c>
      <c r="AX153" t="e">
        <f>AND(#REF!,"AAAAAFT/zDE=")</f>
        <v>#REF!</v>
      </c>
      <c r="AY153" t="e">
        <f>AND(#REF!,"AAAAAFT/zDI=")</f>
        <v>#REF!</v>
      </c>
      <c r="AZ153" t="e">
        <f>AND(#REF!,"AAAAAFT/zDM=")</f>
        <v>#REF!</v>
      </c>
      <c r="BA153" t="e">
        <f>AND(#REF!,"AAAAAFT/zDQ=")</f>
        <v>#REF!</v>
      </c>
      <c r="BB153" t="e">
        <f>AND(#REF!,"AAAAAFT/zDU=")</f>
        <v>#REF!</v>
      </c>
      <c r="BC153" t="e">
        <f>AND(#REF!,"AAAAAFT/zDY=")</f>
        <v>#REF!</v>
      </c>
      <c r="BD153" t="e">
        <f>IF(#REF!,"AAAAAFT/zDc=",0)</f>
        <v>#REF!</v>
      </c>
      <c r="BE153" t="e">
        <f>AND(#REF!,"AAAAAFT/zDg=")</f>
        <v>#REF!</v>
      </c>
      <c r="BF153" t="e">
        <f>AND(#REF!,"AAAAAFT/zDk=")</f>
        <v>#REF!</v>
      </c>
      <c r="BG153" t="e">
        <f>AND(#REF!,"AAAAAFT/zDo=")</f>
        <v>#REF!</v>
      </c>
      <c r="BH153" t="e">
        <f>AND(#REF!,"AAAAAFT/zDs=")</f>
        <v>#REF!</v>
      </c>
      <c r="BI153" t="e">
        <f>AND(#REF!,"AAAAAFT/zDw=")</f>
        <v>#REF!</v>
      </c>
      <c r="BJ153" t="e">
        <f>AND(#REF!,"AAAAAFT/zD0=")</f>
        <v>#REF!</v>
      </c>
      <c r="BK153" t="e">
        <f>AND(#REF!,"AAAAAFT/zD4=")</f>
        <v>#REF!</v>
      </c>
      <c r="BL153" t="e">
        <f>AND(#REF!,"AAAAAFT/zD8=")</f>
        <v>#REF!</v>
      </c>
      <c r="BM153" t="e">
        <f>AND(#REF!,"AAAAAFT/zEA=")</f>
        <v>#REF!</v>
      </c>
      <c r="BN153" t="e">
        <f>AND(#REF!,"AAAAAFT/zEE=")</f>
        <v>#REF!</v>
      </c>
      <c r="BO153" t="e">
        <f>IF(#REF!,"AAAAAFT/zEI=",0)</f>
        <v>#REF!</v>
      </c>
      <c r="BP153" t="e">
        <f>AND(#REF!,"AAAAAFT/zEM=")</f>
        <v>#REF!</v>
      </c>
      <c r="BQ153" t="e">
        <f>AND(#REF!,"AAAAAFT/zEQ=")</f>
        <v>#REF!</v>
      </c>
      <c r="BR153" t="e">
        <f>AND(#REF!,"AAAAAFT/zEU=")</f>
        <v>#REF!</v>
      </c>
      <c r="BS153" t="e">
        <f>AND(#REF!,"AAAAAFT/zEY=")</f>
        <v>#REF!</v>
      </c>
      <c r="BT153" t="e">
        <f>AND(#REF!,"AAAAAFT/zEc=")</f>
        <v>#REF!</v>
      </c>
      <c r="BU153" t="e">
        <f>AND(#REF!,"AAAAAFT/zEg=")</f>
        <v>#REF!</v>
      </c>
      <c r="BV153" t="e">
        <f>AND(#REF!,"AAAAAFT/zEk=")</f>
        <v>#REF!</v>
      </c>
      <c r="BW153" t="e">
        <f>AND(#REF!,"AAAAAFT/zEo=")</f>
        <v>#REF!</v>
      </c>
      <c r="BX153" t="e">
        <f>AND(#REF!,"AAAAAFT/zEs=")</f>
        <v>#REF!</v>
      </c>
      <c r="BY153" t="e">
        <f>AND(#REF!,"AAAAAFT/zEw=")</f>
        <v>#REF!</v>
      </c>
      <c r="BZ153" t="e">
        <f>IF(#REF!,"AAAAAFT/zE0=",0)</f>
        <v>#REF!</v>
      </c>
      <c r="CA153" t="e">
        <f>AND(#REF!,"AAAAAFT/zE4=")</f>
        <v>#REF!</v>
      </c>
      <c r="CB153" t="e">
        <f>AND(#REF!,"AAAAAFT/zE8=")</f>
        <v>#REF!</v>
      </c>
      <c r="CC153" t="e">
        <f>AND(#REF!,"AAAAAFT/zFA=")</f>
        <v>#REF!</v>
      </c>
      <c r="CD153" t="e">
        <f>AND(#REF!,"AAAAAFT/zFE=")</f>
        <v>#REF!</v>
      </c>
      <c r="CE153" t="e">
        <f>AND(#REF!,"AAAAAFT/zFI=")</f>
        <v>#REF!</v>
      </c>
      <c r="CF153" t="e">
        <f>AND(#REF!,"AAAAAFT/zFM=")</f>
        <v>#REF!</v>
      </c>
      <c r="CG153" t="e">
        <f>AND(#REF!,"AAAAAFT/zFQ=")</f>
        <v>#REF!</v>
      </c>
      <c r="CH153" t="e">
        <f>AND(#REF!,"AAAAAFT/zFU=")</f>
        <v>#REF!</v>
      </c>
      <c r="CI153" t="e">
        <f>AND(#REF!,"AAAAAFT/zFY=")</f>
        <v>#REF!</v>
      </c>
      <c r="CJ153" t="e">
        <f>AND(#REF!,"AAAAAFT/zFc=")</f>
        <v>#REF!</v>
      </c>
      <c r="CK153" t="e">
        <f>IF(#REF!,"AAAAAFT/zFg=",0)</f>
        <v>#REF!</v>
      </c>
      <c r="CL153" t="e">
        <f>AND(#REF!,"AAAAAFT/zFk=")</f>
        <v>#REF!</v>
      </c>
      <c r="CM153" t="e">
        <f>AND(#REF!,"AAAAAFT/zFo=")</f>
        <v>#REF!</v>
      </c>
      <c r="CN153" t="e">
        <f>AND(#REF!,"AAAAAFT/zFs=")</f>
        <v>#REF!</v>
      </c>
      <c r="CO153" t="e">
        <f>AND(#REF!,"AAAAAFT/zFw=")</f>
        <v>#REF!</v>
      </c>
      <c r="CP153" t="e">
        <f>AND(#REF!,"AAAAAFT/zF0=")</f>
        <v>#REF!</v>
      </c>
      <c r="CQ153" t="e">
        <f>AND(#REF!,"AAAAAFT/zF4=")</f>
        <v>#REF!</v>
      </c>
      <c r="CR153" t="e">
        <f>AND(#REF!,"AAAAAFT/zF8=")</f>
        <v>#REF!</v>
      </c>
      <c r="CS153" t="e">
        <f>AND(#REF!,"AAAAAFT/zGA=")</f>
        <v>#REF!</v>
      </c>
      <c r="CT153" t="e">
        <f>AND(#REF!,"AAAAAFT/zGE=")</f>
        <v>#REF!</v>
      </c>
      <c r="CU153" t="e">
        <f>AND(#REF!,"AAAAAFT/zGI=")</f>
        <v>#REF!</v>
      </c>
      <c r="CV153" t="e">
        <f>IF(#REF!,"AAAAAFT/zGM=",0)</f>
        <v>#REF!</v>
      </c>
      <c r="CW153" t="e">
        <f>AND(#REF!,"AAAAAFT/zGQ=")</f>
        <v>#REF!</v>
      </c>
      <c r="CX153" t="e">
        <f>AND(#REF!,"AAAAAFT/zGU=")</f>
        <v>#REF!</v>
      </c>
      <c r="CY153" t="e">
        <f>AND(#REF!,"AAAAAFT/zGY=")</f>
        <v>#REF!</v>
      </c>
      <c r="CZ153" t="e">
        <f>AND(#REF!,"AAAAAFT/zGc=")</f>
        <v>#REF!</v>
      </c>
      <c r="DA153" t="e">
        <f>AND(#REF!,"AAAAAFT/zGg=")</f>
        <v>#REF!</v>
      </c>
      <c r="DB153" t="e">
        <f>AND(#REF!,"AAAAAFT/zGk=")</f>
        <v>#REF!</v>
      </c>
      <c r="DC153" t="e">
        <f>AND(#REF!,"AAAAAFT/zGo=")</f>
        <v>#REF!</v>
      </c>
      <c r="DD153" t="e">
        <f>AND(#REF!,"AAAAAFT/zGs=")</f>
        <v>#REF!</v>
      </c>
      <c r="DE153" t="e">
        <f>AND(#REF!,"AAAAAFT/zGw=")</f>
        <v>#REF!</v>
      </c>
      <c r="DF153" t="e">
        <f>AND(#REF!,"AAAAAFT/zG0=")</f>
        <v>#REF!</v>
      </c>
      <c r="DG153" t="e">
        <f>IF(#REF!,"AAAAAFT/zG4=",0)</f>
        <v>#REF!</v>
      </c>
      <c r="DH153" t="e">
        <f>AND(#REF!,"AAAAAFT/zG8=")</f>
        <v>#REF!</v>
      </c>
      <c r="DI153" t="e">
        <f>AND(#REF!,"AAAAAFT/zHA=")</f>
        <v>#REF!</v>
      </c>
      <c r="DJ153" t="e">
        <f>AND(#REF!,"AAAAAFT/zHE=")</f>
        <v>#REF!</v>
      </c>
      <c r="DK153" t="e">
        <f>AND(#REF!,"AAAAAFT/zHI=")</f>
        <v>#REF!</v>
      </c>
      <c r="DL153" t="e">
        <f>AND(#REF!,"AAAAAFT/zHM=")</f>
        <v>#REF!</v>
      </c>
      <c r="DM153" t="e">
        <f>AND(#REF!,"AAAAAFT/zHQ=")</f>
        <v>#REF!</v>
      </c>
      <c r="DN153" t="e">
        <f>AND(#REF!,"AAAAAFT/zHU=")</f>
        <v>#REF!</v>
      </c>
      <c r="DO153" t="e">
        <f>AND(#REF!,"AAAAAFT/zHY=")</f>
        <v>#REF!</v>
      </c>
      <c r="DP153" t="e">
        <f>AND(#REF!,"AAAAAFT/zHc=")</f>
        <v>#REF!</v>
      </c>
      <c r="DQ153" t="e">
        <f>AND(#REF!,"AAAAAFT/zHg=")</f>
        <v>#REF!</v>
      </c>
      <c r="DR153" t="e">
        <f>IF(#REF!,"AAAAAFT/zHk=",0)</f>
        <v>#REF!</v>
      </c>
      <c r="DS153" t="e">
        <f>AND(#REF!,"AAAAAFT/zHo=")</f>
        <v>#REF!</v>
      </c>
      <c r="DT153" t="e">
        <f>AND(#REF!,"AAAAAFT/zHs=")</f>
        <v>#REF!</v>
      </c>
      <c r="DU153" t="e">
        <f>AND(#REF!,"AAAAAFT/zHw=")</f>
        <v>#REF!</v>
      </c>
      <c r="DV153" t="e">
        <f>AND(#REF!,"AAAAAFT/zH0=")</f>
        <v>#REF!</v>
      </c>
      <c r="DW153" t="e">
        <f>AND(#REF!,"AAAAAFT/zH4=")</f>
        <v>#REF!</v>
      </c>
      <c r="DX153" t="e">
        <f>AND(#REF!,"AAAAAFT/zH8=")</f>
        <v>#REF!</v>
      </c>
      <c r="DY153" t="e">
        <f>AND(#REF!,"AAAAAFT/zIA=")</f>
        <v>#REF!</v>
      </c>
      <c r="DZ153" t="e">
        <f>AND(#REF!,"AAAAAFT/zIE=")</f>
        <v>#REF!</v>
      </c>
      <c r="EA153" t="e">
        <f>AND(#REF!,"AAAAAFT/zII=")</f>
        <v>#REF!</v>
      </c>
      <c r="EB153" t="e">
        <f>AND(#REF!,"AAAAAFT/zIM=")</f>
        <v>#REF!</v>
      </c>
      <c r="EC153" t="e">
        <f>IF(#REF!,"AAAAAFT/zIQ=",0)</f>
        <v>#REF!</v>
      </c>
      <c r="ED153" t="e">
        <f>AND(#REF!,"AAAAAFT/zIU=")</f>
        <v>#REF!</v>
      </c>
      <c r="EE153" t="e">
        <f>AND(#REF!,"AAAAAFT/zIY=")</f>
        <v>#REF!</v>
      </c>
      <c r="EF153" t="e">
        <f>AND(#REF!,"AAAAAFT/zIc=")</f>
        <v>#REF!</v>
      </c>
      <c r="EG153" t="e">
        <f>AND(#REF!,"AAAAAFT/zIg=")</f>
        <v>#REF!</v>
      </c>
      <c r="EH153" t="e">
        <f>AND(#REF!,"AAAAAFT/zIk=")</f>
        <v>#REF!</v>
      </c>
      <c r="EI153" t="e">
        <f>AND(#REF!,"AAAAAFT/zIo=")</f>
        <v>#REF!</v>
      </c>
      <c r="EJ153" t="e">
        <f>AND(#REF!,"AAAAAFT/zIs=")</f>
        <v>#REF!</v>
      </c>
      <c r="EK153" t="e">
        <f>AND(#REF!,"AAAAAFT/zIw=")</f>
        <v>#REF!</v>
      </c>
      <c r="EL153" t="e">
        <f>AND(#REF!,"AAAAAFT/zI0=")</f>
        <v>#REF!</v>
      </c>
      <c r="EM153" t="e">
        <f>AND(#REF!,"AAAAAFT/zI4=")</f>
        <v>#REF!</v>
      </c>
      <c r="EN153" t="e">
        <f>IF(#REF!,"AAAAAFT/zI8=",0)</f>
        <v>#REF!</v>
      </c>
      <c r="EO153" t="e">
        <f>AND(#REF!,"AAAAAFT/zJA=")</f>
        <v>#REF!</v>
      </c>
      <c r="EP153" t="e">
        <f>AND(#REF!,"AAAAAFT/zJE=")</f>
        <v>#REF!</v>
      </c>
      <c r="EQ153" t="e">
        <f>AND(#REF!,"AAAAAFT/zJI=")</f>
        <v>#REF!</v>
      </c>
      <c r="ER153" t="e">
        <f>AND(#REF!,"AAAAAFT/zJM=")</f>
        <v>#REF!</v>
      </c>
      <c r="ES153" t="e">
        <f>AND(#REF!,"AAAAAFT/zJQ=")</f>
        <v>#REF!</v>
      </c>
      <c r="ET153" t="e">
        <f>AND(#REF!,"AAAAAFT/zJU=")</f>
        <v>#REF!</v>
      </c>
      <c r="EU153" t="e">
        <f>AND(#REF!,"AAAAAFT/zJY=")</f>
        <v>#REF!</v>
      </c>
      <c r="EV153" t="e">
        <f>AND(#REF!,"AAAAAFT/zJc=")</f>
        <v>#REF!</v>
      </c>
      <c r="EW153" t="e">
        <f>AND(#REF!,"AAAAAFT/zJg=")</f>
        <v>#REF!</v>
      </c>
      <c r="EX153" t="e">
        <f>AND(#REF!,"AAAAAFT/zJk=")</f>
        <v>#REF!</v>
      </c>
      <c r="EY153" t="e">
        <f>IF(#REF!,"AAAAAFT/zJo=",0)</f>
        <v>#REF!</v>
      </c>
      <c r="EZ153" t="e">
        <f>AND(#REF!,"AAAAAFT/zJs=")</f>
        <v>#REF!</v>
      </c>
      <c r="FA153" t="e">
        <f>AND(#REF!,"AAAAAFT/zJw=")</f>
        <v>#REF!</v>
      </c>
      <c r="FB153" t="e">
        <f>AND(#REF!,"AAAAAFT/zJ0=")</f>
        <v>#REF!</v>
      </c>
      <c r="FC153" t="e">
        <f>AND(#REF!,"AAAAAFT/zJ4=")</f>
        <v>#REF!</v>
      </c>
      <c r="FD153" t="e">
        <f>AND(#REF!,"AAAAAFT/zJ8=")</f>
        <v>#REF!</v>
      </c>
      <c r="FE153" t="e">
        <f>AND(#REF!,"AAAAAFT/zKA=")</f>
        <v>#REF!</v>
      </c>
      <c r="FF153" t="e">
        <f>AND(#REF!,"AAAAAFT/zKE=")</f>
        <v>#REF!</v>
      </c>
      <c r="FG153" t="e">
        <f>AND(#REF!,"AAAAAFT/zKI=")</f>
        <v>#REF!</v>
      </c>
      <c r="FH153" t="e">
        <f>AND(#REF!,"AAAAAFT/zKM=")</f>
        <v>#REF!</v>
      </c>
      <c r="FI153" t="e">
        <f>AND(#REF!,"AAAAAFT/zKQ=")</f>
        <v>#REF!</v>
      </c>
      <c r="FJ153" t="e">
        <f>IF(#REF!,"AAAAAFT/zKU=",0)</f>
        <v>#REF!</v>
      </c>
      <c r="FK153" t="e">
        <f>AND(#REF!,"AAAAAFT/zKY=")</f>
        <v>#REF!</v>
      </c>
      <c r="FL153" t="e">
        <f>AND(#REF!,"AAAAAFT/zKc=")</f>
        <v>#REF!</v>
      </c>
      <c r="FM153" t="e">
        <f>AND(#REF!,"AAAAAFT/zKg=")</f>
        <v>#REF!</v>
      </c>
      <c r="FN153" t="e">
        <f>AND(#REF!,"AAAAAFT/zKk=")</f>
        <v>#REF!</v>
      </c>
      <c r="FO153" t="e">
        <f>AND(#REF!,"AAAAAFT/zKo=")</f>
        <v>#REF!</v>
      </c>
      <c r="FP153" t="e">
        <f>AND(#REF!,"AAAAAFT/zKs=")</f>
        <v>#REF!</v>
      </c>
      <c r="FQ153" t="e">
        <f>AND(#REF!,"AAAAAFT/zKw=")</f>
        <v>#REF!</v>
      </c>
      <c r="FR153" t="e">
        <f>AND(#REF!,"AAAAAFT/zK0=")</f>
        <v>#REF!</v>
      </c>
      <c r="FS153" t="e">
        <f>AND(#REF!,"AAAAAFT/zK4=")</f>
        <v>#REF!</v>
      </c>
      <c r="FT153" t="e">
        <f>AND(#REF!,"AAAAAFT/zK8=")</f>
        <v>#REF!</v>
      </c>
      <c r="FU153" t="e">
        <f>IF(#REF!,"AAAAAFT/zLA=",0)</f>
        <v>#REF!</v>
      </c>
      <c r="FV153" t="e">
        <f>AND(#REF!,"AAAAAFT/zLE=")</f>
        <v>#REF!</v>
      </c>
      <c r="FW153" t="e">
        <f>AND(#REF!,"AAAAAFT/zLI=")</f>
        <v>#REF!</v>
      </c>
      <c r="FX153" t="e">
        <f>AND(#REF!,"AAAAAFT/zLM=")</f>
        <v>#REF!</v>
      </c>
      <c r="FY153" t="e">
        <f>AND(#REF!,"AAAAAFT/zLQ=")</f>
        <v>#REF!</v>
      </c>
      <c r="FZ153" t="e">
        <f>AND(#REF!,"AAAAAFT/zLU=")</f>
        <v>#REF!</v>
      </c>
      <c r="GA153" t="e">
        <f>AND(#REF!,"AAAAAFT/zLY=")</f>
        <v>#REF!</v>
      </c>
      <c r="GB153" t="e">
        <f>AND(#REF!,"AAAAAFT/zLc=")</f>
        <v>#REF!</v>
      </c>
      <c r="GC153" t="e">
        <f>AND(#REF!,"AAAAAFT/zLg=")</f>
        <v>#REF!</v>
      </c>
      <c r="GD153" t="e">
        <f>AND(#REF!,"AAAAAFT/zLk=")</f>
        <v>#REF!</v>
      </c>
      <c r="GE153" t="e">
        <f>AND(#REF!,"AAAAAFT/zLo=")</f>
        <v>#REF!</v>
      </c>
      <c r="GF153" t="e">
        <f>IF(#REF!,"AAAAAFT/zLs=",0)</f>
        <v>#REF!</v>
      </c>
      <c r="GG153" t="e">
        <f>AND(#REF!,"AAAAAFT/zLw=")</f>
        <v>#REF!</v>
      </c>
      <c r="GH153" t="e">
        <f>AND(#REF!,"AAAAAFT/zL0=")</f>
        <v>#REF!</v>
      </c>
      <c r="GI153" t="e">
        <f>AND(#REF!,"AAAAAFT/zL4=")</f>
        <v>#REF!</v>
      </c>
      <c r="GJ153" t="e">
        <f>AND(#REF!,"AAAAAFT/zL8=")</f>
        <v>#REF!</v>
      </c>
      <c r="GK153" t="e">
        <f>AND(#REF!,"AAAAAFT/zMA=")</f>
        <v>#REF!</v>
      </c>
      <c r="GL153" t="e">
        <f>AND(#REF!,"AAAAAFT/zME=")</f>
        <v>#REF!</v>
      </c>
      <c r="GM153" t="e">
        <f>AND(#REF!,"AAAAAFT/zMI=")</f>
        <v>#REF!</v>
      </c>
      <c r="GN153" t="e">
        <f>AND(#REF!,"AAAAAFT/zMM=")</f>
        <v>#REF!</v>
      </c>
      <c r="GO153" t="e">
        <f>AND(#REF!,"AAAAAFT/zMQ=")</f>
        <v>#REF!</v>
      </c>
      <c r="GP153" t="e">
        <f>AND(#REF!,"AAAAAFT/zMU=")</f>
        <v>#REF!</v>
      </c>
      <c r="GQ153" t="e">
        <f>IF(#REF!,"AAAAAFT/zMY=",0)</f>
        <v>#REF!</v>
      </c>
      <c r="GR153" t="e">
        <f>AND(#REF!,"AAAAAFT/zMc=")</f>
        <v>#REF!</v>
      </c>
      <c r="GS153" t="e">
        <f>AND(#REF!,"AAAAAFT/zMg=")</f>
        <v>#REF!</v>
      </c>
      <c r="GT153" t="e">
        <f>AND(#REF!,"AAAAAFT/zMk=")</f>
        <v>#REF!</v>
      </c>
      <c r="GU153" t="e">
        <f>AND(#REF!,"AAAAAFT/zMo=")</f>
        <v>#REF!</v>
      </c>
      <c r="GV153" t="e">
        <f>AND(#REF!,"AAAAAFT/zMs=")</f>
        <v>#REF!</v>
      </c>
      <c r="GW153" t="e">
        <f>AND(#REF!,"AAAAAFT/zMw=")</f>
        <v>#REF!</v>
      </c>
      <c r="GX153" t="e">
        <f>AND(#REF!,"AAAAAFT/zM0=")</f>
        <v>#REF!</v>
      </c>
      <c r="GY153" t="e">
        <f>AND(#REF!,"AAAAAFT/zM4=")</f>
        <v>#REF!</v>
      </c>
      <c r="GZ153" t="e">
        <f>AND(#REF!,"AAAAAFT/zM8=")</f>
        <v>#REF!</v>
      </c>
      <c r="HA153" t="e">
        <f>AND(#REF!,"AAAAAFT/zNA=")</f>
        <v>#REF!</v>
      </c>
      <c r="HB153" t="e">
        <f>IF(#REF!,"AAAAAFT/zNE=",0)</f>
        <v>#REF!</v>
      </c>
      <c r="HC153" t="e">
        <f>AND(#REF!,"AAAAAFT/zNI=")</f>
        <v>#REF!</v>
      </c>
      <c r="HD153" t="e">
        <f>AND(#REF!,"AAAAAFT/zNM=")</f>
        <v>#REF!</v>
      </c>
      <c r="HE153" t="e">
        <f>AND(#REF!,"AAAAAFT/zNQ=")</f>
        <v>#REF!</v>
      </c>
      <c r="HF153" t="e">
        <f>AND(#REF!,"AAAAAFT/zNU=")</f>
        <v>#REF!</v>
      </c>
      <c r="HG153" t="e">
        <f>AND(#REF!,"AAAAAFT/zNY=")</f>
        <v>#REF!</v>
      </c>
      <c r="HH153" t="e">
        <f>AND(#REF!,"AAAAAFT/zNc=")</f>
        <v>#REF!</v>
      </c>
      <c r="HI153" t="e">
        <f>AND(#REF!,"AAAAAFT/zNg=")</f>
        <v>#REF!</v>
      </c>
      <c r="HJ153" t="e">
        <f>AND(#REF!,"AAAAAFT/zNk=")</f>
        <v>#REF!</v>
      </c>
      <c r="HK153" t="e">
        <f>AND(#REF!,"AAAAAFT/zNo=")</f>
        <v>#REF!</v>
      </c>
      <c r="HL153" t="e">
        <f>AND(#REF!,"AAAAAFT/zNs=")</f>
        <v>#REF!</v>
      </c>
      <c r="HM153" t="e">
        <f>IF(#REF!,"AAAAAFT/zNw=",0)</f>
        <v>#REF!</v>
      </c>
      <c r="HN153" t="e">
        <f>AND(#REF!,"AAAAAFT/zN0=")</f>
        <v>#REF!</v>
      </c>
      <c r="HO153" t="e">
        <f>AND(#REF!,"AAAAAFT/zN4=")</f>
        <v>#REF!</v>
      </c>
      <c r="HP153" t="e">
        <f>AND(#REF!,"AAAAAFT/zN8=")</f>
        <v>#REF!</v>
      </c>
      <c r="HQ153" t="e">
        <f>AND(#REF!,"AAAAAFT/zOA=")</f>
        <v>#REF!</v>
      </c>
      <c r="HR153" t="e">
        <f>AND(#REF!,"AAAAAFT/zOE=")</f>
        <v>#REF!</v>
      </c>
      <c r="HS153" t="e">
        <f>AND(#REF!,"AAAAAFT/zOI=")</f>
        <v>#REF!</v>
      </c>
      <c r="HT153" t="e">
        <f>AND(#REF!,"AAAAAFT/zOM=")</f>
        <v>#REF!</v>
      </c>
      <c r="HU153" t="e">
        <f>AND(#REF!,"AAAAAFT/zOQ=")</f>
        <v>#REF!</v>
      </c>
      <c r="HV153" t="e">
        <f>AND(#REF!,"AAAAAFT/zOU=")</f>
        <v>#REF!</v>
      </c>
      <c r="HW153" t="e">
        <f>AND(#REF!,"AAAAAFT/zOY=")</f>
        <v>#REF!</v>
      </c>
      <c r="HX153" t="e">
        <f>IF(#REF!,"AAAAAFT/zOc=",0)</f>
        <v>#REF!</v>
      </c>
      <c r="HY153" t="e">
        <f>AND(#REF!,"AAAAAFT/zOg=")</f>
        <v>#REF!</v>
      </c>
      <c r="HZ153" t="e">
        <f>AND(#REF!,"AAAAAFT/zOk=")</f>
        <v>#REF!</v>
      </c>
      <c r="IA153" t="e">
        <f>AND(#REF!,"AAAAAFT/zOo=")</f>
        <v>#REF!</v>
      </c>
      <c r="IB153" t="e">
        <f>AND(#REF!,"AAAAAFT/zOs=")</f>
        <v>#REF!</v>
      </c>
      <c r="IC153" t="e">
        <f>AND(#REF!,"AAAAAFT/zOw=")</f>
        <v>#REF!</v>
      </c>
      <c r="ID153" t="e">
        <f>AND(#REF!,"AAAAAFT/zO0=")</f>
        <v>#REF!</v>
      </c>
      <c r="IE153" t="e">
        <f>AND(#REF!,"AAAAAFT/zO4=")</f>
        <v>#REF!</v>
      </c>
      <c r="IF153" t="e">
        <f>AND(#REF!,"AAAAAFT/zO8=")</f>
        <v>#REF!</v>
      </c>
      <c r="IG153" t="e">
        <f>AND(#REF!,"AAAAAFT/zPA=")</f>
        <v>#REF!</v>
      </c>
      <c r="IH153" t="e">
        <f>AND(#REF!,"AAAAAFT/zPE=")</f>
        <v>#REF!</v>
      </c>
      <c r="II153" t="e">
        <f>IF(#REF!,"AAAAAFT/zPI=",0)</f>
        <v>#REF!</v>
      </c>
      <c r="IJ153" t="e">
        <f>AND(#REF!,"AAAAAFT/zPM=")</f>
        <v>#REF!</v>
      </c>
      <c r="IK153" t="e">
        <f>AND(#REF!,"AAAAAFT/zPQ=")</f>
        <v>#REF!</v>
      </c>
      <c r="IL153" t="e">
        <f>AND(#REF!,"AAAAAFT/zPU=")</f>
        <v>#REF!</v>
      </c>
      <c r="IM153" t="e">
        <f>AND(#REF!,"AAAAAFT/zPY=")</f>
        <v>#REF!</v>
      </c>
      <c r="IN153" t="e">
        <f>AND(#REF!,"AAAAAFT/zPc=")</f>
        <v>#REF!</v>
      </c>
      <c r="IO153" t="e">
        <f>AND(#REF!,"AAAAAFT/zPg=")</f>
        <v>#REF!</v>
      </c>
      <c r="IP153" t="e">
        <f>AND(#REF!,"AAAAAFT/zPk=")</f>
        <v>#REF!</v>
      </c>
      <c r="IQ153" t="e">
        <f>AND(#REF!,"AAAAAFT/zPo=")</f>
        <v>#REF!</v>
      </c>
      <c r="IR153" t="e">
        <f>AND(#REF!,"AAAAAFT/zPs=")</f>
        <v>#REF!</v>
      </c>
      <c r="IS153" t="e">
        <f>AND(#REF!,"AAAAAFT/zPw=")</f>
        <v>#REF!</v>
      </c>
      <c r="IT153" t="e">
        <f>IF(#REF!,"AAAAAFT/zP0=",0)</f>
        <v>#REF!</v>
      </c>
      <c r="IU153" t="e">
        <f>AND(#REF!,"AAAAAFT/zP4=")</f>
        <v>#REF!</v>
      </c>
      <c r="IV153" t="e">
        <f>AND(#REF!,"AAAAAFT/zP8=")</f>
        <v>#REF!</v>
      </c>
    </row>
    <row r="154" spans="1:256" x14ac:dyDescent="0.25">
      <c r="A154" t="e">
        <f>AND(#REF!,"AAAAAH0f3gA=")</f>
        <v>#REF!</v>
      </c>
      <c r="B154" t="e">
        <f>AND(#REF!,"AAAAAH0f3gE=")</f>
        <v>#REF!</v>
      </c>
      <c r="C154" t="e">
        <f>AND(#REF!,"AAAAAH0f3gI=")</f>
        <v>#REF!</v>
      </c>
      <c r="D154" t="e">
        <f>AND(#REF!,"AAAAAH0f3gM=")</f>
        <v>#REF!</v>
      </c>
      <c r="E154" t="e">
        <f>AND(#REF!,"AAAAAH0f3gQ=")</f>
        <v>#REF!</v>
      </c>
      <c r="F154" t="e">
        <f>AND(#REF!,"AAAAAH0f3gU=")</f>
        <v>#REF!</v>
      </c>
      <c r="G154" t="e">
        <f>AND(#REF!,"AAAAAH0f3gY=")</f>
        <v>#REF!</v>
      </c>
      <c r="H154" t="e">
        <f>AND(#REF!,"AAAAAH0f3gc=")</f>
        <v>#REF!</v>
      </c>
      <c r="I154" t="e">
        <f>IF(#REF!,"AAAAAH0f3gg=",0)</f>
        <v>#REF!</v>
      </c>
      <c r="J154" t="e">
        <f>AND(#REF!,"AAAAAH0f3gk=")</f>
        <v>#REF!</v>
      </c>
      <c r="K154" t="e">
        <f>AND(#REF!,"AAAAAH0f3go=")</f>
        <v>#REF!</v>
      </c>
      <c r="L154" t="e">
        <f>AND(#REF!,"AAAAAH0f3gs=")</f>
        <v>#REF!</v>
      </c>
      <c r="M154" t="e">
        <f>AND(#REF!,"AAAAAH0f3gw=")</f>
        <v>#REF!</v>
      </c>
      <c r="N154" t="e">
        <f>AND(#REF!,"AAAAAH0f3g0=")</f>
        <v>#REF!</v>
      </c>
      <c r="O154" t="e">
        <f>AND(#REF!,"AAAAAH0f3g4=")</f>
        <v>#REF!</v>
      </c>
      <c r="P154" t="e">
        <f>AND(#REF!,"AAAAAH0f3g8=")</f>
        <v>#REF!</v>
      </c>
      <c r="Q154" t="e">
        <f>AND(#REF!,"AAAAAH0f3hA=")</f>
        <v>#REF!</v>
      </c>
      <c r="R154" t="e">
        <f>AND(#REF!,"AAAAAH0f3hE=")</f>
        <v>#REF!</v>
      </c>
      <c r="S154" t="e">
        <f>AND(#REF!,"AAAAAH0f3hI=")</f>
        <v>#REF!</v>
      </c>
      <c r="T154" t="e">
        <f>IF(#REF!,"AAAAAH0f3hM=",0)</f>
        <v>#REF!</v>
      </c>
      <c r="U154" t="e">
        <f>AND(#REF!,"AAAAAH0f3hQ=")</f>
        <v>#REF!</v>
      </c>
      <c r="V154" t="e">
        <f>AND(#REF!,"AAAAAH0f3hU=")</f>
        <v>#REF!</v>
      </c>
      <c r="W154" t="e">
        <f>AND(#REF!,"AAAAAH0f3hY=")</f>
        <v>#REF!</v>
      </c>
      <c r="X154" t="e">
        <f>AND(#REF!,"AAAAAH0f3hc=")</f>
        <v>#REF!</v>
      </c>
      <c r="Y154" t="e">
        <f>AND(#REF!,"AAAAAH0f3hg=")</f>
        <v>#REF!</v>
      </c>
      <c r="Z154" t="e">
        <f>AND(#REF!,"AAAAAH0f3hk=")</f>
        <v>#REF!</v>
      </c>
      <c r="AA154" t="e">
        <f>AND(#REF!,"AAAAAH0f3ho=")</f>
        <v>#REF!</v>
      </c>
      <c r="AB154" t="e">
        <f>AND(#REF!,"AAAAAH0f3hs=")</f>
        <v>#REF!</v>
      </c>
      <c r="AC154" t="e">
        <f>AND(#REF!,"AAAAAH0f3hw=")</f>
        <v>#REF!</v>
      </c>
      <c r="AD154" t="e">
        <f>AND(#REF!,"AAAAAH0f3h0=")</f>
        <v>#REF!</v>
      </c>
      <c r="AE154" t="e">
        <f>IF(#REF!,"AAAAAH0f3h4=",0)</f>
        <v>#REF!</v>
      </c>
      <c r="AF154" t="e">
        <f>AND(#REF!,"AAAAAH0f3h8=")</f>
        <v>#REF!</v>
      </c>
      <c r="AG154" t="e">
        <f>AND(#REF!,"AAAAAH0f3iA=")</f>
        <v>#REF!</v>
      </c>
      <c r="AH154" t="e">
        <f>AND(#REF!,"AAAAAH0f3iE=")</f>
        <v>#REF!</v>
      </c>
      <c r="AI154" t="e">
        <f>AND(#REF!,"AAAAAH0f3iI=")</f>
        <v>#REF!</v>
      </c>
      <c r="AJ154" t="e">
        <f>AND(#REF!,"AAAAAH0f3iM=")</f>
        <v>#REF!</v>
      </c>
      <c r="AK154" t="e">
        <f>AND(#REF!,"AAAAAH0f3iQ=")</f>
        <v>#REF!</v>
      </c>
      <c r="AL154" t="e">
        <f>AND(#REF!,"AAAAAH0f3iU=")</f>
        <v>#REF!</v>
      </c>
      <c r="AM154" t="e">
        <f>AND(#REF!,"AAAAAH0f3iY=")</f>
        <v>#REF!</v>
      </c>
      <c r="AN154" t="e">
        <f>AND(#REF!,"AAAAAH0f3ic=")</f>
        <v>#REF!</v>
      </c>
      <c r="AO154" t="e">
        <f>AND(#REF!,"AAAAAH0f3ig=")</f>
        <v>#REF!</v>
      </c>
      <c r="AP154" t="e">
        <f>IF(#REF!,"AAAAAH0f3ik=",0)</f>
        <v>#REF!</v>
      </c>
      <c r="AQ154" t="e">
        <f>AND(#REF!,"AAAAAH0f3io=")</f>
        <v>#REF!</v>
      </c>
      <c r="AR154" t="e">
        <f>AND(#REF!,"AAAAAH0f3is=")</f>
        <v>#REF!</v>
      </c>
      <c r="AS154" t="e">
        <f>AND(#REF!,"AAAAAH0f3iw=")</f>
        <v>#REF!</v>
      </c>
      <c r="AT154" t="e">
        <f>AND(#REF!,"AAAAAH0f3i0=")</f>
        <v>#REF!</v>
      </c>
      <c r="AU154" t="e">
        <f>AND(#REF!,"AAAAAH0f3i4=")</f>
        <v>#REF!</v>
      </c>
      <c r="AV154" t="e">
        <f>AND(#REF!,"AAAAAH0f3i8=")</f>
        <v>#REF!</v>
      </c>
      <c r="AW154" t="e">
        <f>AND(#REF!,"AAAAAH0f3jA=")</f>
        <v>#REF!</v>
      </c>
      <c r="AX154" t="e">
        <f>AND(#REF!,"AAAAAH0f3jE=")</f>
        <v>#REF!</v>
      </c>
      <c r="AY154" t="e">
        <f>AND(#REF!,"AAAAAH0f3jI=")</f>
        <v>#REF!</v>
      </c>
      <c r="AZ154" t="e">
        <f>AND(#REF!,"AAAAAH0f3jM=")</f>
        <v>#REF!</v>
      </c>
      <c r="BA154" t="e">
        <f>IF(#REF!,"AAAAAH0f3jQ=",0)</f>
        <v>#REF!</v>
      </c>
      <c r="BB154" t="e">
        <f>AND(#REF!,"AAAAAH0f3jU=")</f>
        <v>#REF!</v>
      </c>
      <c r="BC154" t="e">
        <f>AND(#REF!,"AAAAAH0f3jY=")</f>
        <v>#REF!</v>
      </c>
      <c r="BD154" t="e">
        <f>AND(#REF!,"AAAAAH0f3jc=")</f>
        <v>#REF!</v>
      </c>
      <c r="BE154" t="e">
        <f>AND(#REF!,"AAAAAH0f3jg=")</f>
        <v>#REF!</v>
      </c>
      <c r="BF154" t="e">
        <f>AND(#REF!,"AAAAAH0f3jk=")</f>
        <v>#REF!</v>
      </c>
      <c r="BG154" t="e">
        <f>AND(#REF!,"AAAAAH0f3jo=")</f>
        <v>#REF!</v>
      </c>
      <c r="BH154" t="e">
        <f>AND(#REF!,"AAAAAH0f3js=")</f>
        <v>#REF!</v>
      </c>
      <c r="BI154" t="e">
        <f>AND(#REF!,"AAAAAH0f3jw=")</f>
        <v>#REF!</v>
      </c>
      <c r="BJ154" t="e">
        <f>AND(#REF!,"AAAAAH0f3j0=")</f>
        <v>#REF!</v>
      </c>
      <c r="BK154" t="e">
        <f>AND(#REF!,"AAAAAH0f3j4=")</f>
        <v>#REF!</v>
      </c>
      <c r="BL154" t="e">
        <f>IF(#REF!,"AAAAAH0f3j8=",0)</f>
        <v>#REF!</v>
      </c>
      <c r="BM154" t="e">
        <f>AND(#REF!,"AAAAAH0f3kA=")</f>
        <v>#REF!</v>
      </c>
      <c r="BN154" t="e">
        <f>AND(#REF!,"AAAAAH0f3kE=")</f>
        <v>#REF!</v>
      </c>
      <c r="BO154" t="e">
        <f>AND(#REF!,"AAAAAH0f3kI=")</f>
        <v>#REF!</v>
      </c>
      <c r="BP154" t="e">
        <f>AND(#REF!,"AAAAAH0f3kM=")</f>
        <v>#REF!</v>
      </c>
      <c r="BQ154" t="e">
        <f>AND(#REF!,"AAAAAH0f3kQ=")</f>
        <v>#REF!</v>
      </c>
      <c r="BR154" t="e">
        <f>AND(#REF!,"AAAAAH0f3kU=")</f>
        <v>#REF!</v>
      </c>
      <c r="BS154" t="e">
        <f>AND(#REF!,"AAAAAH0f3kY=")</f>
        <v>#REF!</v>
      </c>
      <c r="BT154" t="e">
        <f>AND(#REF!,"AAAAAH0f3kc=")</f>
        <v>#REF!</v>
      </c>
      <c r="BU154" t="e">
        <f>AND(#REF!,"AAAAAH0f3kg=")</f>
        <v>#REF!</v>
      </c>
      <c r="BV154" t="e">
        <f>AND(#REF!,"AAAAAH0f3kk=")</f>
        <v>#REF!</v>
      </c>
      <c r="BW154" t="e">
        <f>IF(#REF!,"AAAAAH0f3ko=",0)</f>
        <v>#REF!</v>
      </c>
      <c r="BX154" t="e">
        <f>AND(#REF!,"AAAAAH0f3ks=")</f>
        <v>#REF!</v>
      </c>
      <c r="BY154" t="e">
        <f>AND(#REF!,"AAAAAH0f3kw=")</f>
        <v>#REF!</v>
      </c>
      <c r="BZ154" t="e">
        <f>AND(#REF!,"AAAAAH0f3k0=")</f>
        <v>#REF!</v>
      </c>
      <c r="CA154" t="e">
        <f>AND(#REF!,"AAAAAH0f3k4=")</f>
        <v>#REF!</v>
      </c>
      <c r="CB154" t="e">
        <f>AND(#REF!,"AAAAAH0f3k8=")</f>
        <v>#REF!</v>
      </c>
      <c r="CC154" t="e">
        <f>AND(#REF!,"AAAAAH0f3lA=")</f>
        <v>#REF!</v>
      </c>
      <c r="CD154" t="e">
        <f>AND(#REF!,"AAAAAH0f3lE=")</f>
        <v>#REF!</v>
      </c>
      <c r="CE154" t="e">
        <f>AND(#REF!,"AAAAAH0f3lI=")</f>
        <v>#REF!</v>
      </c>
      <c r="CF154" t="e">
        <f>AND(#REF!,"AAAAAH0f3lM=")</f>
        <v>#REF!</v>
      </c>
      <c r="CG154" t="e">
        <f>AND(#REF!,"AAAAAH0f3lQ=")</f>
        <v>#REF!</v>
      </c>
      <c r="CH154" t="e">
        <f>IF(#REF!,"AAAAAH0f3lU=",0)</f>
        <v>#REF!</v>
      </c>
      <c r="CI154" t="e">
        <f>AND(#REF!,"AAAAAH0f3lY=")</f>
        <v>#REF!</v>
      </c>
      <c r="CJ154" t="e">
        <f>AND(#REF!,"AAAAAH0f3lc=")</f>
        <v>#REF!</v>
      </c>
      <c r="CK154" t="e">
        <f>AND(#REF!,"AAAAAH0f3lg=")</f>
        <v>#REF!</v>
      </c>
      <c r="CL154" t="e">
        <f>AND(#REF!,"AAAAAH0f3lk=")</f>
        <v>#REF!</v>
      </c>
      <c r="CM154" t="e">
        <f>AND(#REF!,"AAAAAH0f3lo=")</f>
        <v>#REF!</v>
      </c>
      <c r="CN154" t="e">
        <f>AND(#REF!,"AAAAAH0f3ls=")</f>
        <v>#REF!</v>
      </c>
      <c r="CO154" t="e">
        <f>AND(#REF!,"AAAAAH0f3lw=")</f>
        <v>#REF!</v>
      </c>
      <c r="CP154" t="e">
        <f>AND(#REF!,"AAAAAH0f3l0=")</f>
        <v>#REF!</v>
      </c>
      <c r="CQ154" t="e">
        <f>AND(#REF!,"AAAAAH0f3l4=")</f>
        <v>#REF!</v>
      </c>
      <c r="CR154" t="e">
        <f>AND(#REF!,"AAAAAH0f3l8=")</f>
        <v>#REF!</v>
      </c>
      <c r="CS154" t="e">
        <f>IF(#REF!,"AAAAAH0f3mA=",0)</f>
        <v>#REF!</v>
      </c>
      <c r="CT154" t="e">
        <f>AND(#REF!,"AAAAAH0f3mE=")</f>
        <v>#REF!</v>
      </c>
      <c r="CU154" t="e">
        <f>AND(#REF!,"AAAAAH0f3mI=")</f>
        <v>#REF!</v>
      </c>
      <c r="CV154" t="e">
        <f>AND(#REF!,"AAAAAH0f3mM=")</f>
        <v>#REF!</v>
      </c>
      <c r="CW154" t="e">
        <f>AND(#REF!,"AAAAAH0f3mQ=")</f>
        <v>#REF!</v>
      </c>
      <c r="CX154" t="e">
        <f>AND(#REF!,"AAAAAH0f3mU=")</f>
        <v>#REF!</v>
      </c>
      <c r="CY154" t="e">
        <f>AND(#REF!,"AAAAAH0f3mY=")</f>
        <v>#REF!</v>
      </c>
      <c r="CZ154" t="e">
        <f>AND(#REF!,"AAAAAH0f3mc=")</f>
        <v>#REF!</v>
      </c>
      <c r="DA154" t="e">
        <f>AND(#REF!,"AAAAAH0f3mg=")</f>
        <v>#REF!</v>
      </c>
      <c r="DB154" t="e">
        <f>AND(#REF!,"AAAAAH0f3mk=")</f>
        <v>#REF!</v>
      </c>
      <c r="DC154" t="e">
        <f>AND(#REF!,"AAAAAH0f3mo=")</f>
        <v>#REF!</v>
      </c>
      <c r="DD154" t="e">
        <f>IF(#REF!,"AAAAAH0f3ms=",0)</f>
        <v>#REF!</v>
      </c>
      <c r="DE154" t="e">
        <f>AND(#REF!,"AAAAAH0f3mw=")</f>
        <v>#REF!</v>
      </c>
      <c r="DF154" t="e">
        <f>AND(#REF!,"AAAAAH0f3m0=")</f>
        <v>#REF!</v>
      </c>
      <c r="DG154" t="e">
        <f>AND(#REF!,"AAAAAH0f3m4=")</f>
        <v>#REF!</v>
      </c>
      <c r="DH154" t="e">
        <f>AND(#REF!,"AAAAAH0f3m8=")</f>
        <v>#REF!</v>
      </c>
      <c r="DI154" t="e">
        <f>AND(#REF!,"AAAAAH0f3nA=")</f>
        <v>#REF!</v>
      </c>
      <c r="DJ154" t="e">
        <f>AND(#REF!,"AAAAAH0f3nE=")</f>
        <v>#REF!</v>
      </c>
      <c r="DK154" t="e">
        <f>AND(#REF!,"AAAAAH0f3nI=")</f>
        <v>#REF!</v>
      </c>
      <c r="DL154" t="e">
        <f>AND(#REF!,"AAAAAH0f3nM=")</f>
        <v>#REF!</v>
      </c>
      <c r="DM154" t="e">
        <f>AND(#REF!,"AAAAAH0f3nQ=")</f>
        <v>#REF!</v>
      </c>
      <c r="DN154" t="e">
        <f>AND(#REF!,"AAAAAH0f3nU=")</f>
        <v>#REF!</v>
      </c>
      <c r="DO154" t="e">
        <f>IF(#REF!,"AAAAAH0f3nY=",0)</f>
        <v>#REF!</v>
      </c>
      <c r="DP154" t="e">
        <f>AND(#REF!,"AAAAAH0f3nc=")</f>
        <v>#REF!</v>
      </c>
      <c r="DQ154" t="e">
        <f>AND(#REF!,"AAAAAH0f3ng=")</f>
        <v>#REF!</v>
      </c>
      <c r="DR154" t="e">
        <f>AND(#REF!,"AAAAAH0f3nk=")</f>
        <v>#REF!</v>
      </c>
      <c r="DS154" t="e">
        <f>AND(#REF!,"AAAAAH0f3no=")</f>
        <v>#REF!</v>
      </c>
      <c r="DT154" t="e">
        <f>AND(#REF!,"AAAAAH0f3ns=")</f>
        <v>#REF!</v>
      </c>
      <c r="DU154" t="e">
        <f>AND(#REF!,"AAAAAH0f3nw=")</f>
        <v>#REF!</v>
      </c>
      <c r="DV154" t="e">
        <f>AND(#REF!,"AAAAAH0f3n0=")</f>
        <v>#REF!</v>
      </c>
      <c r="DW154" t="e">
        <f>AND(#REF!,"AAAAAH0f3n4=")</f>
        <v>#REF!</v>
      </c>
      <c r="DX154" t="e">
        <f>AND(#REF!,"AAAAAH0f3n8=")</f>
        <v>#REF!</v>
      </c>
      <c r="DY154" t="e">
        <f>AND(#REF!,"AAAAAH0f3oA=")</f>
        <v>#REF!</v>
      </c>
      <c r="DZ154" t="e">
        <f>IF(#REF!,"AAAAAH0f3oE=",0)</f>
        <v>#REF!</v>
      </c>
      <c r="EA154" t="e">
        <f>AND(#REF!,"AAAAAH0f3oI=")</f>
        <v>#REF!</v>
      </c>
      <c r="EB154" t="e">
        <f>AND(#REF!,"AAAAAH0f3oM=")</f>
        <v>#REF!</v>
      </c>
      <c r="EC154" t="e">
        <f>AND(#REF!,"AAAAAH0f3oQ=")</f>
        <v>#REF!</v>
      </c>
      <c r="ED154" t="e">
        <f>AND(#REF!,"AAAAAH0f3oU=")</f>
        <v>#REF!</v>
      </c>
      <c r="EE154" t="e">
        <f>AND(#REF!,"AAAAAH0f3oY=")</f>
        <v>#REF!</v>
      </c>
      <c r="EF154" t="e">
        <f>AND(#REF!,"AAAAAH0f3oc=")</f>
        <v>#REF!</v>
      </c>
      <c r="EG154" t="e">
        <f>AND(#REF!,"AAAAAH0f3og=")</f>
        <v>#REF!</v>
      </c>
      <c r="EH154" t="e">
        <f>AND(#REF!,"AAAAAH0f3ok=")</f>
        <v>#REF!</v>
      </c>
      <c r="EI154" t="e">
        <f>AND(#REF!,"AAAAAH0f3oo=")</f>
        <v>#REF!</v>
      </c>
      <c r="EJ154" t="e">
        <f>AND(#REF!,"AAAAAH0f3os=")</f>
        <v>#REF!</v>
      </c>
      <c r="EK154" t="e">
        <f>IF(#REF!,"AAAAAH0f3ow=",0)</f>
        <v>#REF!</v>
      </c>
      <c r="EL154" t="e">
        <f>AND(#REF!,"AAAAAH0f3o0=")</f>
        <v>#REF!</v>
      </c>
      <c r="EM154" t="e">
        <f>AND(#REF!,"AAAAAH0f3o4=")</f>
        <v>#REF!</v>
      </c>
      <c r="EN154" t="e">
        <f>AND(#REF!,"AAAAAH0f3o8=")</f>
        <v>#REF!</v>
      </c>
      <c r="EO154" t="e">
        <f>AND(#REF!,"AAAAAH0f3pA=")</f>
        <v>#REF!</v>
      </c>
      <c r="EP154" t="e">
        <f>AND(#REF!,"AAAAAH0f3pE=")</f>
        <v>#REF!</v>
      </c>
      <c r="EQ154" t="e">
        <f>AND(#REF!,"AAAAAH0f3pI=")</f>
        <v>#REF!</v>
      </c>
      <c r="ER154" t="e">
        <f>AND(#REF!,"AAAAAH0f3pM=")</f>
        <v>#REF!</v>
      </c>
      <c r="ES154" t="e">
        <f>AND(#REF!,"AAAAAH0f3pQ=")</f>
        <v>#REF!</v>
      </c>
      <c r="ET154" t="e">
        <f>AND(#REF!,"AAAAAH0f3pU=")</f>
        <v>#REF!</v>
      </c>
      <c r="EU154" t="e">
        <f>AND(#REF!,"AAAAAH0f3pY=")</f>
        <v>#REF!</v>
      </c>
      <c r="EV154" t="e">
        <f>IF(#REF!,"AAAAAH0f3pc=",0)</f>
        <v>#REF!</v>
      </c>
      <c r="EW154" t="e">
        <f>AND(#REF!,"AAAAAH0f3pg=")</f>
        <v>#REF!</v>
      </c>
      <c r="EX154" t="e">
        <f>AND(#REF!,"AAAAAH0f3pk=")</f>
        <v>#REF!</v>
      </c>
      <c r="EY154" t="e">
        <f>AND(#REF!,"AAAAAH0f3po=")</f>
        <v>#REF!</v>
      </c>
      <c r="EZ154" t="e">
        <f>AND(#REF!,"AAAAAH0f3ps=")</f>
        <v>#REF!</v>
      </c>
      <c r="FA154" t="e">
        <f>AND(#REF!,"AAAAAH0f3pw=")</f>
        <v>#REF!</v>
      </c>
      <c r="FB154" t="e">
        <f>AND(#REF!,"AAAAAH0f3p0=")</f>
        <v>#REF!</v>
      </c>
      <c r="FC154" t="e">
        <f>AND(#REF!,"AAAAAH0f3p4=")</f>
        <v>#REF!</v>
      </c>
      <c r="FD154" t="e">
        <f>AND(#REF!,"AAAAAH0f3p8=")</f>
        <v>#REF!</v>
      </c>
      <c r="FE154" t="e">
        <f>AND(#REF!,"AAAAAH0f3qA=")</f>
        <v>#REF!</v>
      </c>
      <c r="FF154" t="e">
        <f>AND(#REF!,"AAAAAH0f3qE=")</f>
        <v>#REF!</v>
      </c>
      <c r="FG154" t="e">
        <f>IF(#REF!,"AAAAAH0f3qI=",0)</f>
        <v>#REF!</v>
      </c>
      <c r="FH154" t="e">
        <f>AND(#REF!,"AAAAAH0f3qM=")</f>
        <v>#REF!</v>
      </c>
      <c r="FI154" t="e">
        <f>AND(#REF!,"AAAAAH0f3qQ=")</f>
        <v>#REF!</v>
      </c>
      <c r="FJ154" t="e">
        <f>AND(#REF!,"AAAAAH0f3qU=")</f>
        <v>#REF!</v>
      </c>
      <c r="FK154" t="e">
        <f>AND(#REF!,"AAAAAH0f3qY=")</f>
        <v>#REF!</v>
      </c>
      <c r="FL154" t="e">
        <f>AND(#REF!,"AAAAAH0f3qc=")</f>
        <v>#REF!</v>
      </c>
      <c r="FM154" t="e">
        <f>AND(#REF!,"AAAAAH0f3qg=")</f>
        <v>#REF!</v>
      </c>
      <c r="FN154" t="e">
        <f>AND(#REF!,"AAAAAH0f3qk=")</f>
        <v>#REF!</v>
      </c>
      <c r="FO154" t="e">
        <f>AND(#REF!,"AAAAAH0f3qo=")</f>
        <v>#REF!</v>
      </c>
      <c r="FP154" t="e">
        <f>AND(#REF!,"AAAAAH0f3qs=")</f>
        <v>#REF!</v>
      </c>
      <c r="FQ154" t="e">
        <f>AND(#REF!,"AAAAAH0f3qw=")</f>
        <v>#REF!</v>
      </c>
      <c r="FR154" t="e">
        <f>IF(#REF!,"AAAAAH0f3q0=",0)</f>
        <v>#REF!</v>
      </c>
      <c r="FS154" t="e">
        <f>AND(#REF!,"AAAAAH0f3q4=")</f>
        <v>#REF!</v>
      </c>
      <c r="FT154" t="e">
        <f>AND(#REF!,"AAAAAH0f3q8=")</f>
        <v>#REF!</v>
      </c>
      <c r="FU154" t="e">
        <f>AND(#REF!,"AAAAAH0f3rA=")</f>
        <v>#REF!</v>
      </c>
      <c r="FV154" t="e">
        <f>AND(#REF!,"AAAAAH0f3rE=")</f>
        <v>#REF!</v>
      </c>
      <c r="FW154" t="e">
        <f>AND(#REF!,"AAAAAH0f3rI=")</f>
        <v>#REF!</v>
      </c>
      <c r="FX154" t="e">
        <f>AND(#REF!,"AAAAAH0f3rM=")</f>
        <v>#REF!</v>
      </c>
      <c r="FY154" t="e">
        <f>AND(#REF!,"AAAAAH0f3rQ=")</f>
        <v>#REF!</v>
      </c>
      <c r="FZ154" t="e">
        <f>AND(#REF!,"AAAAAH0f3rU=")</f>
        <v>#REF!</v>
      </c>
      <c r="GA154" t="e">
        <f>AND(#REF!,"AAAAAH0f3rY=")</f>
        <v>#REF!</v>
      </c>
      <c r="GB154" t="e">
        <f>AND(#REF!,"AAAAAH0f3rc=")</f>
        <v>#REF!</v>
      </c>
      <c r="GC154" t="e">
        <f>IF(#REF!,"AAAAAH0f3rg=",0)</f>
        <v>#REF!</v>
      </c>
      <c r="GD154" t="e">
        <f>AND(#REF!,"AAAAAH0f3rk=")</f>
        <v>#REF!</v>
      </c>
      <c r="GE154" t="e">
        <f>AND(#REF!,"AAAAAH0f3ro=")</f>
        <v>#REF!</v>
      </c>
      <c r="GF154" t="e">
        <f>AND(#REF!,"AAAAAH0f3rs=")</f>
        <v>#REF!</v>
      </c>
      <c r="GG154" t="e">
        <f>AND(#REF!,"AAAAAH0f3rw=")</f>
        <v>#REF!</v>
      </c>
      <c r="GH154" t="e">
        <f>AND(#REF!,"AAAAAH0f3r0=")</f>
        <v>#REF!</v>
      </c>
      <c r="GI154" t="e">
        <f>AND(#REF!,"AAAAAH0f3r4=")</f>
        <v>#REF!</v>
      </c>
      <c r="GJ154" t="e">
        <f>AND(#REF!,"AAAAAH0f3r8=")</f>
        <v>#REF!</v>
      </c>
      <c r="GK154" t="e">
        <f>AND(#REF!,"AAAAAH0f3sA=")</f>
        <v>#REF!</v>
      </c>
      <c r="GL154" t="e">
        <f>AND(#REF!,"AAAAAH0f3sE=")</f>
        <v>#REF!</v>
      </c>
      <c r="GM154" t="e">
        <f>AND(#REF!,"AAAAAH0f3sI=")</f>
        <v>#REF!</v>
      </c>
      <c r="GN154" t="e">
        <f>IF(#REF!,"AAAAAH0f3sM=",0)</f>
        <v>#REF!</v>
      </c>
      <c r="GO154" t="e">
        <f>AND(#REF!,"AAAAAH0f3sQ=")</f>
        <v>#REF!</v>
      </c>
      <c r="GP154" t="e">
        <f>AND(#REF!,"AAAAAH0f3sU=")</f>
        <v>#REF!</v>
      </c>
      <c r="GQ154" t="e">
        <f>AND(#REF!,"AAAAAH0f3sY=")</f>
        <v>#REF!</v>
      </c>
      <c r="GR154" t="e">
        <f>AND(#REF!,"AAAAAH0f3sc=")</f>
        <v>#REF!</v>
      </c>
      <c r="GS154" t="e">
        <f>AND(#REF!,"AAAAAH0f3sg=")</f>
        <v>#REF!</v>
      </c>
      <c r="GT154" t="e">
        <f>AND(#REF!,"AAAAAH0f3sk=")</f>
        <v>#REF!</v>
      </c>
      <c r="GU154" t="e">
        <f>AND(#REF!,"AAAAAH0f3so=")</f>
        <v>#REF!</v>
      </c>
      <c r="GV154" t="e">
        <f>AND(#REF!,"AAAAAH0f3ss=")</f>
        <v>#REF!</v>
      </c>
      <c r="GW154" t="e">
        <f>AND(#REF!,"AAAAAH0f3sw=")</f>
        <v>#REF!</v>
      </c>
      <c r="GX154" t="e">
        <f>AND(#REF!,"AAAAAH0f3s0=")</f>
        <v>#REF!</v>
      </c>
      <c r="GY154" t="e">
        <f>IF(#REF!,"AAAAAH0f3s4=",0)</f>
        <v>#REF!</v>
      </c>
      <c r="GZ154" t="e">
        <f>AND(#REF!,"AAAAAH0f3s8=")</f>
        <v>#REF!</v>
      </c>
      <c r="HA154" t="e">
        <f>AND(#REF!,"AAAAAH0f3tA=")</f>
        <v>#REF!</v>
      </c>
      <c r="HB154" t="e">
        <f>AND(#REF!,"AAAAAH0f3tE=")</f>
        <v>#REF!</v>
      </c>
      <c r="HC154" t="e">
        <f>AND(#REF!,"AAAAAH0f3tI=")</f>
        <v>#REF!</v>
      </c>
      <c r="HD154" t="e">
        <f>AND(#REF!,"AAAAAH0f3tM=")</f>
        <v>#REF!</v>
      </c>
      <c r="HE154" t="e">
        <f>AND(#REF!,"AAAAAH0f3tQ=")</f>
        <v>#REF!</v>
      </c>
      <c r="HF154" t="e">
        <f>AND(#REF!,"AAAAAH0f3tU=")</f>
        <v>#REF!</v>
      </c>
      <c r="HG154" t="e">
        <f>AND(#REF!,"AAAAAH0f3tY=")</f>
        <v>#REF!</v>
      </c>
      <c r="HH154" t="e">
        <f>AND(#REF!,"AAAAAH0f3tc=")</f>
        <v>#REF!</v>
      </c>
      <c r="HI154" t="e">
        <f>AND(#REF!,"AAAAAH0f3tg=")</f>
        <v>#REF!</v>
      </c>
      <c r="HJ154" t="e">
        <f>IF(#REF!,"AAAAAH0f3tk=",0)</f>
        <v>#REF!</v>
      </c>
      <c r="HK154" t="e">
        <f>AND(#REF!,"AAAAAH0f3to=")</f>
        <v>#REF!</v>
      </c>
      <c r="HL154" t="e">
        <f>AND(#REF!,"AAAAAH0f3ts=")</f>
        <v>#REF!</v>
      </c>
      <c r="HM154" t="e">
        <f>AND(#REF!,"AAAAAH0f3tw=")</f>
        <v>#REF!</v>
      </c>
      <c r="HN154" t="e">
        <f>AND(#REF!,"AAAAAH0f3t0=")</f>
        <v>#REF!</v>
      </c>
      <c r="HO154" t="e">
        <f>AND(#REF!,"AAAAAH0f3t4=")</f>
        <v>#REF!</v>
      </c>
      <c r="HP154" t="e">
        <f>AND(#REF!,"AAAAAH0f3t8=")</f>
        <v>#REF!</v>
      </c>
      <c r="HQ154" t="e">
        <f>AND(#REF!,"AAAAAH0f3uA=")</f>
        <v>#REF!</v>
      </c>
      <c r="HR154" t="e">
        <f>AND(#REF!,"AAAAAH0f3uE=")</f>
        <v>#REF!</v>
      </c>
      <c r="HS154" t="e">
        <f>AND(#REF!,"AAAAAH0f3uI=")</f>
        <v>#REF!</v>
      </c>
      <c r="HT154" t="e">
        <f>AND(#REF!,"AAAAAH0f3uM=")</f>
        <v>#REF!</v>
      </c>
      <c r="HU154" t="e">
        <f>IF(#REF!,"AAAAAH0f3uQ=",0)</f>
        <v>#REF!</v>
      </c>
      <c r="HV154" t="e">
        <f>AND(#REF!,"AAAAAH0f3uU=")</f>
        <v>#REF!</v>
      </c>
      <c r="HW154" t="e">
        <f>AND(#REF!,"AAAAAH0f3uY=")</f>
        <v>#REF!</v>
      </c>
      <c r="HX154" t="e">
        <f>AND(#REF!,"AAAAAH0f3uc=")</f>
        <v>#REF!</v>
      </c>
      <c r="HY154" t="e">
        <f>AND(#REF!,"AAAAAH0f3ug=")</f>
        <v>#REF!</v>
      </c>
      <c r="HZ154" t="e">
        <f>AND(#REF!,"AAAAAH0f3uk=")</f>
        <v>#REF!</v>
      </c>
      <c r="IA154" t="e">
        <f>AND(#REF!,"AAAAAH0f3uo=")</f>
        <v>#REF!</v>
      </c>
      <c r="IB154" t="e">
        <f>AND(#REF!,"AAAAAH0f3us=")</f>
        <v>#REF!</v>
      </c>
      <c r="IC154" t="e">
        <f>AND(#REF!,"AAAAAH0f3uw=")</f>
        <v>#REF!</v>
      </c>
      <c r="ID154" t="e">
        <f>AND(#REF!,"AAAAAH0f3u0=")</f>
        <v>#REF!</v>
      </c>
      <c r="IE154" t="e">
        <f>AND(#REF!,"AAAAAH0f3u4=")</f>
        <v>#REF!</v>
      </c>
      <c r="IF154" t="e">
        <f>IF(#REF!,"AAAAAH0f3u8=",0)</f>
        <v>#REF!</v>
      </c>
      <c r="IG154" t="e">
        <f>AND(#REF!,"AAAAAH0f3vA=")</f>
        <v>#REF!</v>
      </c>
      <c r="IH154" t="e">
        <f>AND(#REF!,"AAAAAH0f3vE=")</f>
        <v>#REF!</v>
      </c>
      <c r="II154" t="e">
        <f>AND(#REF!,"AAAAAH0f3vI=")</f>
        <v>#REF!</v>
      </c>
      <c r="IJ154" t="e">
        <f>AND(#REF!,"AAAAAH0f3vM=")</f>
        <v>#REF!</v>
      </c>
      <c r="IK154" t="e">
        <f>AND(#REF!,"AAAAAH0f3vQ=")</f>
        <v>#REF!</v>
      </c>
      <c r="IL154" t="e">
        <f>AND(#REF!,"AAAAAH0f3vU=")</f>
        <v>#REF!</v>
      </c>
      <c r="IM154" t="e">
        <f>AND(#REF!,"AAAAAH0f3vY=")</f>
        <v>#REF!</v>
      </c>
      <c r="IN154" t="e">
        <f>AND(#REF!,"AAAAAH0f3vc=")</f>
        <v>#REF!</v>
      </c>
      <c r="IO154" t="e">
        <f>AND(#REF!,"AAAAAH0f3vg=")</f>
        <v>#REF!</v>
      </c>
      <c r="IP154" t="e">
        <f>AND(#REF!,"AAAAAH0f3vk=")</f>
        <v>#REF!</v>
      </c>
      <c r="IQ154" t="e">
        <f>IF(#REF!,"AAAAAH0f3vo=",0)</f>
        <v>#REF!</v>
      </c>
      <c r="IR154" t="e">
        <f>AND(#REF!,"AAAAAH0f3vs=")</f>
        <v>#REF!</v>
      </c>
      <c r="IS154" t="e">
        <f>AND(#REF!,"AAAAAH0f3vw=")</f>
        <v>#REF!</v>
      </c>
      <c r="IT154" t="e">
        <f>AND(#REF!,"AAAAAH0f3v0=")</f>
        <v>#REF!</v>
      </c>
      <c r="IU154" t="e">
        <f>AND(#REF!,"AAAAAH0f3v4=")</f>
        <v>#REF!</v>
      </c>
      <c r="IV154" t="e">
        <f>AND(#REF!,"AAAAAH0f3v8=")</f>
        <v>#REF!</v>
      </c>
    </row>
    <row r="155" spans="1:256" x14ac:dyDescent="0.25">
      <c r="A155" t="e">
        <f>AND(#REF!,"AAAAAH/q/wA=")</f>
        <v>#REF!</v>
      </c>
      <c r="B155" t="e">
        <f>AND(#REF!,"AAAAAH/q/wE=")</f>
        <v>#REF!</v>
      </c>
      <c r="C155" t="e">
        <f>AND(#REF!,"AAAAAH/q/wI=")</f>
        <v>#REF!</v>
      </c>
      <c r="D155" t="e">
        <f>AND(#REF!,"AAAAAH/q/wM=")</f>
        <v>#REF!</v>
      </c>
      <c r="E155" t="e">
        <f>AND(#REF!,"AAAAAH/q/wQ=")</f>
        <v>#REF!</v>
      </c>
      <c r="F155" t="e">
        <f>IF(#REF!,"AAAAAH/q/wU=",0)</f>
        <v>#REF!</v>
      </c>
      <c r="G155" t="e">
        <f>AND(#REF!,"AAAAAH/q/wY=")</f>
        <v>#REF!</v>
      </c>
      <c r="H155" t="e">
        <f>AND(#REF!,"AAAAAH/q/wc=")</f>
        <v>#REF!</v>
      </c>
      <c r="I155" t="e">
        <f>AND(#REF!,"AAAAAH/q/wg=")</f>
        <v>#REF!</v>
      </c>
      <c r="J155" t="e">
        <f>AND(#REF!,"AAAAAH/q/wk=")</f>
        <v>#REF!</v>
      </c>
      <c r="K155" t="e">
        <f>AND(#REF!,"AAAAAH/q/wo=")</f>
        <v>#REF!</v>
      </c>
      <c r="L155" t="e">
        <f>AND(#REF!,"AAAAAH/q/ws=")</f>
        <v>#REF!</v>
      </c>
      <c r="M155" t="e">
        <f>AND(#REF!,"AAAAAH/q/ww=")</f>
        <v>#REF!</v>
      </c>
      <c r="N155" t="e">
        <f>AND(#REF!,"AAAAAH/q/w0=")</f>
        <v>#REF!</v>
      </c>
      <c r="O155" t="e">
        <f>AND(#REF!,"AAAAAH/q/w4=")</f>
        <v>#REF!</v>
      </c>
      <c r="P155" t="e">
        <f>AND(#REF!,"AAAAAH/q/w8=")</f>
        <v>#REF!</v>
      </c>
      <c r="Q155" t="e">
        <f>IF(#REF!,"AAAAAH/q/xA=",0)</f>
        <v>#REF!</v>
      </c>
      <c r="R155" t="e">
        <f>AND(#REF!,"AAAAAH/q/xE=")</f>
        <v>#REF!</v>
      </c>
      <c r="S155" t="e">
        <f>AND(#REF!,"AAAAAH/q/xI=")</f>
        <v>#REF!</v>
      </c>
      <c r="T155" t="e">
        <f>AND(#REF!,"AAAAAH/q/xM=")</f>
        <v>#REF!</v>
      </c>
      <c r="U155" t="e">
        <f>AND(#REF!,"AAAAAH/q/xQ=")</f>
        <v>#REF!</v>
      </c>
      <c r="V155" t="e">
        <f>AND(#REF!,"AAAAAH/q/xU=")</f>
        <v>#REF!</v>
      </c>
      <c r="W155" t="e">
        <f>AND(#REF!,"AAAAAH/q/xY=")</f>
        <v>#REF!</v>
      </c>
      <c r="X155" t="e">
        <f>AND(#REF!,"AAAAAH/q/xc=")</f>
        <v>#REF!</v>
      </c>
      <c r="Y155" t="e">
        <f>AND(#REF!,"AAAAAH/q/xg=")</f>
        <v>#REF!</v>
      </c>
      <c r="Z155" t="e">
        <f>AND(#REF!,"AAAAAH/q/xk=")</f>
        <v>#REF!</v>
      </c>
      <c r="AA155" t="e">
        <f>AND(#REF!,"AAAAAH/q/xo=")</f>
        <v>#REF!</v>
      </c>
      <c r="AB155" t="e">
        <f>IF(#REF!,"AAAAAH/q/xs=",0)</f>
        <v>#REF!</v>
      </c>
      <c r="AC155" t="e">
        <f>AND(#REF!,"AAAAAH/q/xw=")</f>
        <v>#REF!</v>
      </c>
      <c r="AD155" t="e">
        <f>AND(#REF!,"AAAAAH/q/x0=")</f>
        <v>#REF!</v>
      </c>
      <c r="AE155" t="e">
        <f>AND(#REF!,"AAAAAH/q/x4=")</f>
        <v>#REF!</v>
      </c>
      <c r="AF155" t="e">
        <f>AND(#REF!,"AAAAAH/q/x8=")</f>
        <v>#REF!</v>
      </c>
      <c r="AG155" t="e">
        <f>AND(#REF!,"AAAAAH/q/yA=")</f>
        <v>#REF!</v>
      </c>
      <c r="AH155" t="e">
        <f>AND(#REF!,"AAAAAH/q/yE=")</f>
        <v>#REF!</v>
      </c>
      <c r="AI155" t="e">
        <f>AND(#REF!,"AAAAAH/q/yI=")</f>
        <v>#REF!</v>
      </c>
      <c r="AJ155" t="e">
        <f>AND(#REF!,"AAAAAH/q/yM=")</f>
        <v>#REF!</v>
      </c>
      <c r="AK155" t="e">
        <f>AND(#REF!,"AAAAAH/q/yQ=")</f>
        <v>#REF!</v>
      </c>
      <c r="AL155" t="e">
        <f>AND(#REF!,"AAAAAH/q/yU=")</f>
        <v>#REF!</v>
      </c>
      <c r="AM155" t="e">
        <f>IF(#REF!,"AAAAAH/q/yY=",0)</f>
        <v>#REF!</v>
      </c>
      <c r="AN155" t="e">
        <f>AND(#REF!,"AAAAAH/q/yc=")</f>
        <v>#REF!</v>
      </c>
      <c r="AO155" t="e">
        <f>AND(#REF!,"AAAAAH/q/yg=")</f>
        <v>#REF!</v>
      </c>
      <c r="AP155" t="e">
        <f>AND(#REF!,"AAAAAH/q/yk=")</f>
        <v>#REF!</v>
      </c>
      <c r="AQ155" t="e">
        <f>AND(#REF!,"AAAAAH/q/yo=")</f>
        <v>#REF!</v>
      </c>
      <c r="AR155" t="e">
        <f>AND(#REF!,"AAAAAH/q/ys=")</f>
        <v>#REF!</v>
      </c>
      <c r="AS155" t="e">
        <f>AND(#REF!,"AAAAAH/q/yw=")</f>
        <v>#REF!</v>
      </c>
      <c r="AT155" t="e">
        <f>AND(#REF!,"AAAAAH/q/y0=")</f>
        <v>#REF!</v>
      </c>
      <c r="AU155" t="e">
        <f>AND(#REF!,"AAAAAH/q/y4=")</f>
        <v>#REF!</v>
      </c>
      <c r="AV155" t="e">
        <f>AND(#REF!,"AAAAAH/q/y8=")</f>
        <v>#REF!</v>
      </c>
      <c r="AW155" t="e">
        <f>AND(#REF!,"AAAAAH/q/zA=")</f>
        <v>#REF!</v>
      </c>
      <c r="AX155" t="e">
        <f>IF(#REF!,"AAAAAH/q/zE=",0)</f>
        <v>#REF!</v>
      </c>
      <c r="AY155" t="e">
        <f>AND(#REF!,"AAAAAH/q/zI=")</f>
        <v>#REF!</v>
      </c>
      <c r="AZ155" t="e">
        <f>AND(#REF!,"AAAAAH/q/zM=")</f>
        <v>#REF!</v>
      </c>
      <c r="BA155" t="e">
        <f>AND(#REF!,"AAAAAH/q/zQ=")</f>
        <v>#REF!</v>
      </c>
      <c r="BB155" t="e">
        <f>AND(#REF!,"AAAAAH/q/zU=")</f>
        <v>#REF!</v>
      </c>
      <c r="BC155" t="e">
        <f>AND(#REF!,"AAAAAH/q/zY=")</f>
        <v>#REF!</v>
      </c>
      <c r="BD155" t="e">
        <f>AND(#REF!,"AAAAAH/q/zc=")</f>
        <v>#REF!</v>
      </c>
      <c r="BE155" t="e">
        <f>AND(#REF!,"AAAAAH/q/zg=")</f>
        <v>#REF!</v>
      </c>
      <c r="BF155" t="e">
        <f>AND(#REF!,"AAAAAH/q/zk=")</f>
        <v>#REF!</v>
      </c>
      <c r="BG155" t="e">
        <f>AND(#REF!,"AAAAAH/q/zo=")</f>
        <v>#REF!</v>
      </c>
      <c r="BH155" t="e">
        <f>AND(#REF!,"AAAAAH/q/zs=")</f>
        <v>#REF!</v>
      </c>
      <c r="BI155" t="e">
        <f>IF(#REF!,"AAAAAH/q/zw=",0)</f>
        <v>#REF!</v>
      </c>
      <c r="BJ155" t="e">
        <f>AND(#REF!,"AAAAAH/q/z0=")</f>
        <v>#REF!</v>
      </c>
      <c r="BK155" t="e">
        <f>AND(#REF!,"AAAAAH/q/z4=")</f>
        <v>#REF!</v>
      </c>
      <c r="BL155" t="e">
        <f>AND(#REF!,"AAAAAH/q/z8=")</f>
        <v>#REF!</v>
      </c>
      <c r="BM155" t="e">
        <f>AND(#REF!,"AAAAAH/q/0A=")</f>
        <v>#REF!</v>
      </c>
      <c r="BN155" t="e">
        <f>AND(#REF!,"AAAAAH/q/0E=")</f>
        <v>#REF!</v>
      </c>
      <c r="BO155" t="e">
        <f>AND(#REF!,"AAAAAH/q/0I=")</f>
        <v>#REF!</v>
      </c>
      <c r="BP155" t="e">
        <f>AND(#REF!,"AAAAAH/q/0M=")</f>
        <v>#REF!</v>
      </c>
      <c r="BQ155" t="e">
        <f>AND(#REF!,"AAAAAH/q/0Q=")</f>
        <v>#REF!</v>
      </c>
      <c r="BR155" t="e">
        <f>AND(#REF!,"AAAAAH/q/0U=")</f>
        <v>#REF!</v>
      </c>
      <c r="BS155" t="e">
        <f>AND(#REF!,"AAAAAH/q/0Y=")</f>
        <v>#REF!</v>
      </c>
      <c r="BT155" t="e">
        <f>IF(#REF!,"AAAAAH/q/0c=",0)</f>
        <v>#REF!</v>
      </c>
      <c r="BU155" t="e">
        <f>AND(#REF!,"AAAAAH/q/0g=")</f>
        <v>#REF!</v>
      </c>
      <c r="BV155" t="e">
        <f>AND(#REF!,"AAAAAH/q/0k=")</f>
        <v>#REF!</v>
      </c>
      <c r="BW155" t="e">
        <f>AND(#REF!,"AAAAAH/q/0o=")</f>
        <v>#REF!</v>
      </c>
      <c r="BX155" t="e">
        <f>AND(#REF!,"AAAAAH/q/0s=")</f>
        <v>#REF!</v>
      </c>
      <c r="BY155" t="e">
        <f>AND(#REF!,"AAAAAH/q/0w=")</f>
        <v>#REF!</v>
      </c>
      <c r="BZ155" t="e">
        <f>AND(#REF!,"AAAAAH/q/00=")</f>
        <v>#REF!</v>
      </c>
      <c r="CA155" t="e">
        <f>AND(#REF!,"AAAAAH/q/04=")</f>
        <v>#REF!</v>
      </c>
      <c r="CB155" t="e">
        <f>AND(#REF!,"AAAAAH/q/08=")</f>
        <v>#REF!</v>
      </c>
      <c r="CC155" t="e">
        <f>AND(#REF!,"AAAAAH/q/1A=")</f>
        <v>#REF!</v>
      </c>
      <c r="CD155" t="e">
        <f>AND(#REF!,"AAAAAH/q/1E=")</f>
        <v>#REF!</v>
      </c>
      <c r="CE155" t="e">
        <f>IF(#REF!,"AAAAAH/q/1I=",0)</f>
        <v>#REF!</v>
      </c>
      <c r="CF155" t="e">
        <f>AND(#REF!,"AAAAAH/q/1M=")</f>
        <v>#REF!</v>
      </c>
      <c r="CG155" t="e">
        <f>AND(#REF!,"AAAAAH/q/1Q=")</f>
        <v>#REF!</v>
      </c>
      <c r="CH155" t="e">
        <f>AND(#REF!,"AAAAAH/q/1U=")</f>
        <v>#REF!</v>
      </c>
      <c r="CI155" t="e">
        <f>AND(#REF!,"AAAAAH/q/1Y=")</f>
        <v>#REF!</v>
      </c>
      <c r="CJ155" t="e">
        <f>AND(#REF!,"AAAAAH/q/1c=")</f>
        <v>#REF!</v>
      </c>
      <c r="CK155" t="e">
        <f>AND(#REF!,"AAAAAH/q/1g=")</f>
        <v>#REF!</v>
      </c>
      <c r="CL155" t="e">
        <f>AND(#REF!,"AAAAAH/q/1k=")</f>
        <v>#REF!</v>
      </c>
      <c r="CM155" t="e">
        <f>AND(#REF!,"AAAAAH/q/1o=")</f>
        <v>#REF!</v>
      </c>
      <c r="CN155" t="e">
        <f>AND(#REF!,"AAAAAH/q/1s=")</f>
        <v>#REF!</v>
      </c>
      <c r="CO155" t="e">
        <f>AND(#REF!,"AAAAAH/q/1w=")</f>
        <v>#REF!</v>
      </c>
      <c r="CP155" t="e">
        <f>IF(#REF!,"AAAAAH/q/10=",0)</f>
        <v>#REF!</v>
      </c>
      <c r="CQ155" t="e">
        <f>AND(#REF!,"AAAAAH/q/14=")</f>
        <v>#REF!</v>
      </c>
      <c r="CR155" t="e">
        <f>AND(#REF!,"AAAAAH/q/18=")</f>
        <v>#REF!</v>
      </c>
      <c r="CS155" t="e">
        <f>AND(#REF!,"AAAAAH/q/2A=")</f>
        <v>#REF!</v>
      </c>
      <c r="CT155" t="e">
        <f>AND(#REF!,"AAAAAH/q/2E=")</f>
        <v>#REF!</v>
      </c>
      <c r="CU155" t="e">
        <f>AND(#REF!,"AAAAAH/q/2I=")</f>
        <v>#REF!</v>
      </c>
      <c r="CV155" t="e">
        <f>AND(#REF!,"AAAAAH/q/2M=")</f>
        <v>#REF!</v>
      </c>
      <c r="CW155" t="e">
        <f>AND(#REF!,"AAAAAH/q/2Q=")</f>
        <v>#REF!</v>
      </c>
      <c r="CX155" t="e">
        <f>AND(#REF!,"AAAAAH/q/2U=")</f>
        <v>#REF!</v>
      </c>
      <c r="CY155" t="e">
        <f>AND(#REF!,"AAAAAH/q/2Y=")</f>
        <v>#REF!</v>
      </c>
      <c r="CZ155" t="e">
        <f>AND(#REF!,"AAAAAH/q/2c=")</f>
        <v>#REF!</v>
      </c>
      <c r="DA155" t="e">
        <f>IF(#REF!,"AAAAAH/q/2g=",0)</f>
        <v>#REF!</v>
      </c>
      <c r="DB155" t="e">
        <f>AND(#REF!,"AAAAAH/q/2k=")</f>
        <v>#REF!</v>
      </c>
      <c r="DC155" t="e">
        <f>AND(#REF!,"AAAAAH/q/2o=")</f>
        <v>#REF!</v>
      </c>
      <c r="DD155" t="e">
        <f>AND(#REF!,"AAAAAH/q/2s=")</f>
        <v>#REF!</v>
      </c>
      <c r="DE155" t="e">
        <f>AND(#REF!,"AAAAAH/q/2w=")</f>
        <v>#REF!</v>
      </c>
      <c r="DF155" t="e">
        <f>AND(#REF!,"AAAAAH/q/20=")</f>
        <v>#REF!</v>
      </c>
      <c r="DG155" t="e">
        <f>AND(#REF!,"AAAAAH/q/24=")</f>
        <v>#REF!</v>
      </c>
      <c r="DH155" t="e">
        <f>AND(#REF!,"AAAAAH/q/28=")</f>
        <v>#REF!</v>
      </c>
      <c r="DI155" t="e">
        <f>AND(#REF!,"AAAAAH/q/3A=")</f>
        <v>#REF!</v>
      </c>
      <c r="DJ155" t="e">
        <f>AND(#REF!,"AAAAAH/q/3E=")</f>
        <v>#REF!</v>
      </c>
      <c r="DK155" t="e">
        <f>AND(#REF!,"AAAAAH/q/3I=")</f>
        <v>#REF!</v>
      </c>
      <c r="DL155" t="e">
        <f>IF(#REF!,"AAAAAH/q/3M=",0)</f>
        <v>#REF!</v>
      </c>
      <c r="DM155" t="e">
        <f>AND(#REF!,"AAAAAH/q/3Q=")</f>
        <v>#REF!</v>
      </c>
      <c r="DN155" t="e">
        <f>AND(#REF!,"AAAAAH/q/3U=")</f>
        <v>#REF!</v>
      </c>
      <c r="DO155" t="e">
        <f>AND(#REF!,"AAAAAH/q/3Y=")</f>
        <v>#REF!</v>
      </c>
      <c r="DP155" t="e">
        <f>AND(#REF!,"AAAAAH/q/3c=")</f>
        <v>#REF!</v>
      </c>
      <c r="DQ155" t="e">
        <f>AND(#REF!,"AAAAAH/q/3g=")</f>
        <v>#REF!</v>
      </c>
      <c r="DR155" t="e">
        <f>AND(#REF!,"AAAAAH/q/3k=")</f>
        <v>#REF!</v>
      </c>
      <c r="DS155" t="e">
        <f>AND(#REF!,"AAAAAH/q/3o=")</f>
        <v>#REF!</v>
      </c>
      <c r="DT155" t="e">
        <f>AND(#REF!,"AAAAAH/q/3s=")</f>
        <v>#REF!</v>
      </c>
      <c r="DU155" t="e">
        <f>AND(#REF!,"AAAAAH/q/3w=")</f>
        <v>#REF!</v>
      </c>
      <c r="DV155" t="e">
        <f>AND(#REF!,"AAAAAH/q/30=")</f>
        <v>#REF!</v>
      </c>
      <c r="DW155" t="e">
        <f>IF(#REF!,"AAAAAH/q/34=",0)</f>
        <v>#REF!</v>
      </c>
      <c r="DX155" t="e">
        <f>AND(#REF!,"AAAAAH/q/38=")</f>
        <v>#REF!</v>
      </c>
      <c r="DY155" t="e">
        <f>AND(#REF!,"AAAAAH/q/4A=")</f>
        <v>#REF!</v>
      </c>
      <c r="DZ155" t="e">
        <f>AND(#REF!,"AAAAAH/q/4E=")</f>
        <v>#REF!</v>
      </c>
      <c r="EA155" t="e">
        <f>AND(#REF!,"AAAAAH/q/4I=")</f>
        <v>#REF!</v>
      </c>
      <c r="EB155" t="e">
        <f>AND(#REF!,"AAAAAH/q/4M=")</f>
        <v>#REF!</v>
      </c>
      <c r="EC155" t="e">
        <f>AND(#REF!,"AAAAAH/q/4Q=")</f>
        <v>#REF!</v>
      </c>
      <c r="ED155" t="e">
        <f>AND(#REF!,"AAAAAH/q/4U=")</f>
        <v>#REF!</v>
      </c>
      <c r="EE155" t="e">
        <f>AND(#REF!,"AAAAAH/q/4Y=")</f>
        <v>#REF!</v>
      </c>
      <c r="EF155" t="e">
        <f>AND(#REF!,"AAAAAH/q/4c=")</f>
        <v>#REF!</v>
      </c>
      <c r="EG155" t="e">
        <f>AND(#REF!,"AAAAAH/q/4g=")</f>
        <v>#REF!</v>
      </c>
      <c r="EH155" t="e">
        <f>IF(#REF!,"AAAAAH/q/4k=",0)</f>
        <v>#REF!</v>
      </c>
      <c r="EI155" t="e">
        <f>AND(#REF!,"AAAAAH/q/4o=")</f>
        <v>#REF!</v>
      </c>
      <c r="EJ155" t="e">
        <f>AND(#REF!,"AAAAAH/q/4s=")</f>
        <v>#REF!</v>
      </c>
      <c r="EK155" t="e">
        <f>AND(#REF!,"AAAAAH/q/4w=")</f>
        <v>#REF!</v>
      </c>
      <c r="EL155" t="e">
        <f>AND(#REF!,"AAAAAH/q/40=")</f>
        <v>#REF!</v>
      </c>
      <c r="EM155" t="e">
        <f>AND(#REF!,"AAAAAH/q/44=")</f>
        <v>#REF!</v>
      </c>
      <c r="EN155" t="e">
        <f>AND(#REF!,"AAAAAH/q/48=")</f>
        <v>#REF!</v>
      </c>
      <c r="EO155" t="e">
        <f>AND(#REF!,"AAAAAH/q/5A=")</f>
        <v>#REF!</v>
      </c>
      <c r="EP155" t="e">
        <f>AND(#REF!,"AAAAAH/q/5E=")</f>
        <v>#REF!</v>
      </c>
      <c r="EQ155" t="e">
        <f>AND(#REF!,"AAAAAH/q/5I=")</f>
        <v>#REF!</v>
      </c>
      <c r="ER155" t="e">
        <f>AND(#REF!,"AAAAAH/q/5M=")</f>
        <v>#REF!</v>
      </c>
      <c r="ES155" t="e">
        <f>IF(#REF!,"AAAAAH/q/5Q=",0)</f>
        <v>#REF!</v>
      </c>
      <c r="ET155" t="e">
        <f>AND(#REF!,"AAAAAH/q/5U=")</f>
        <v>#REF!</v>
      </c>
      <c r="EU155" t="e">
        <f>AND(#REF!,"AAAAAH/q/5Y=")</f>
        <v>#REF!</v>
      </c>
      <c r="EV155" t="e">
        <f>AND(#REF!,"AAAAAH/q/5c=")</f>
        <v>#REF!</v>
      </c>
      <c r="EW155" t="e">
        <f>AND(#REF!,"AAAAAH/q/5g=")</f>
        <v>#REF!</v>
      </c>
      <c r="EX155" t="e">
        <f>AND(#REF!,"AAAAAH/q/5k=")</f>
        <v>#REF!</v>
      </c>
      <c r="EY155" t="e">
        <f>AND(#REF!,"AAAAAH/q/5o=")</f>
        <v>#REF!</v>
      </c>
      <c r="EZ155" t="e">
        <f>AND(#REF!,"AAAAAH/q/5s=")</f>
        <v>#REF!</v>
      </c>
      <c r="FA155" t="e">
        <f>AND(#REF!,"AAAAAH/q/5w=")</f>
        <v>#REF!</v>
      </c>
      <c r="FB155" t="e">
        <f>AND(#REF!,"AAAAAH/q/50=")</f>
        <v>#REF!</v>
      </c>
      <c r="FC155" t="e">
        <f>AND(#REF!,"AAAAAH/q/54=")</f>
        <v>#REF!</v>
      </c>
      <c r="FD155" t="e">
        <f>IF(#REF!,"AAAAAH/q/58=",0)</f>
        <v>#REF!</v>
      </c>
      <c r="FE155" t="e">
        <f>AND(#REF!,"AAAAAH/q/6A=")</f>
        <v>#REF!</v>
      </c>
      <c r="FF155" t="e">
        <f>AND(#REF!,"AAAAAH/q/6E=")</f>
        <v>#REF!</v>
      </c>
      <c r="FG155" t="e">
        <f>AND(#REF!,"AAAAAH/q/6I=")</f>
        <v>#REF!</v>
      </c>
      <c r="FH155" t="e">
        <f>AND(#REF!,"AAAAAH/q/6M=")</f>
        <v>#REF!</v>
      </c>
      <c r="FI155" t="e">
        <f>AND(#REF!,"AAAAAH/q/6Q=")</f>
        <v>#REF!</v>
      </c>
      <c r="FJ155" t="e">
        <f>AND(#REF!,"AAAAAH/q/6U=")</f>
        <v>#REF!</v>
      </c>
      <c r="FK155" t="e">
        <f>AND(#REF!,"AAAAAH/q/6Y=")</f>
        <v>#REF!</v>
      </c>
      <c r="FL155" t="e">
        <f>AND(#REF!,"AAAAAH/q/6c=")</f>
        <v>#REF!</v>
      </c>
      <c r="FM155" t="e">
        <f>AND(#REF!,"AAAAAH/q/6g=")</f>
        <v>#REF!</v>
      </c>
      <c r="FN155" t="e">
        <f>AND(#REF!,"AAAAAH/q/6k=")</f>
        <v>#REF!</v>
      </c>
      <c r="FO155" t="e">
        <f>IF(#REF!,"AAAAAH/q/6o=",0)</f>
        <v>#REF!</v>
      </c>
      <c r="FP155" t="e">
        <f>AND(#REF!,"AAAAAH/q/6s=")</f>
        <v>#REF!</v>
      </c>
      <c r="FQ155" t="e">
        <f>AND(#REF!,"AAAAAH/q/6w=")</f>
        <v>#REF!</v>
      </c>
      <c r="FR155" t="e">
        <f>AND(#REF!,"AAAAAH/q/60=")</f>
        <v>#REF!</v>
      </c>
      <c r="FS155" t="e">
        <f>AND(#REF!,"AAAAAH/q/64=")</f>
        <v>#REF!</v>
      </c>
      <c r="FT155" t="e">
        <f>AND(#REF!,"AAAAAH/q/68=")</f>
        <v>#REF!</v>
      </c>
      <c r="FU155" t="e">
        <f>AND(#REF!,"AAAAAH/q/7A=")</f>
        <v>#REF!</v>
      </c>
      <c r="FV155" t="e">
        <f>AND(#REF!,"AAAAAH/q/7E=")</f>
        <v>#REF!</v>
      </c>
      <c r="FW155" t="e">
        <f>AND(#REF!,"AAAAAH/q/7I=")</f>
        <v>#REF!</v>
      </c>
      <c r="FX155" t="e">
        <f>AND(#REF!,"AAAAAH/q/7M=")</f>
        <v>#REF!</v>
      </c>
      <c r="FY155" t="e">
        <f>AND(#REF!,"AAAAAH/q/7Q=")</f>
        <v>#REF!</v>
      </c>
      <c r="FZ155" t="e">
        <f>IF(#REF!,"AAAAAH/q/7U=",0)</f>
        <v>#REF!</v>
      </c>
      <c r="GA155" t="e">
        <f>AND(#REF!,"AAAAAH/q/7Y=")</f>
        <v>#REF!</v>
      </c>
      <c r="GB155" t="e">
        <f>AND(#REF!,"AAAAAH/q/7c=")</f>
        <v>#REF!</v>
      </c>
      <c r="GC155" t="e">
        <f>AND(#REF!,"AAAAAH/q/7g=")</f>
        <v>#REF!</v>
      </c>
      <c r="GD155" t="e">
        <f>AND(#REF!,"AAAAAH/q/7k=")</f>
        <v>#REF!</v>
      </c>
      <c r="GE155" t="e">
        <f>AND(#REF!,"AAAAAH/q/7o=")</f>
        <v>#REF!</v>
      </c>
      <c r="GF155" t="e">
        <f>AND(#REF!,"AAAAAH/q/7s=")</f>
        <v>#REF!</v>
      </c>
      <c r="GG155" t="e">
        <f>AND(#REF!,"AAAAAH/q/7w=")</f>
        <v>#REF!</v>
      </c>
      <c r="GH155" t="e">
        <f>AND(#REF!,"AAAAAH/q/70=")</f>
        <v>#REF!</v>
      </c>
      <c r="GI155" t="e">
        <f>AND(#REF!,"AAAAAH/q/74=")</f>
        <v>#REF!</v>
      </c>
      <c r="GJ155" t="e">
        <f>AND(#REF!,"AAAAAH/q/78=")</f>
        <v>#REF!</v>
      </c>
      <c r="GK155" t="e">
        <f>IF(#REF!,"AAAAAH/q/8A=",0)</f>
        <v>#REF!</v>
      </c>
      <c r="GL155" t="e">
        <f>AND(#REF!,"AAAAAH/q/8E=")</f>
        <v>#REF!</v>
      </c>
      <c r="GM155" t="e">
        <f>AND(#REF!,"AAAAAH/q/8I=")</f>
        <v>#REF!</v>
      </c>
      <c r="GN155" t="e">
        <f>AND(#REF!,"AAAAAH/q/8M=")</f>
        <v>#REF!</v>
      </c>
      <c r="GO155" t="e">
        <f>AND(#REF!,"AAAAAH/q/8Q=")</f>
        <v>#REF!</v>
      </c>
      <c r="GP155" t="e">
        <f>AND(#REF!,"AAAAAH/q/8U=")</f>
        <v>#REF!</v>
      </c>
      <c r="GQ155" t="e">
        <f>AND(#REF!,"AAAAAH/q/8Y=")</f>
        <v>#REF!</v>
      </c>
      <c r="GR155" t="e">
        <f>AND(#REF!,"AAAAAH/q/8c=")</f>
        <v>#REF!</v>
      </c>
      <c r="GS155" t="e">
        <f>AND(#REF!,"AAAAAH/q/8g=")</f>
        <v>#REF!</v>
      </c>
      <c r="GT155" t="e">
        <f>AND(#REF!,"AAAAAH/q/8k=")</f>
        <v>#REF!</v>
      </c>
      <c r="GU155" t="e">
        <f>AND(#REF!,"AAAAAH/q/8o=")</f>
        <v>#REF!</v>
      </c>
      <c r="GV155" t="e">
        <f>IF(#REF!,"AAAAAH/q/8s=",0)</f>
        <v>#REF!</v>
      </c>
      <c r="GW155" t="e">
        <f>AND(#REF!,"AAAAAH/q/8w=")</f>
        <v>#REF!</v>
      </c>
      <c r="GX155" t="e">
        <f>AND(#REF!,"AAAAAH/q/80=")</f>
        <v>#REF!</v>
      </c>
      <c r="GY155" t="e">
        <f>AND(#REF!,"AAAAAH/q/84=")</f>
        <v>#REF!</v>
      </c>
      <c r="GZ155" t="e">
        <f>AND(#REF!,"AAAAAH/q/88=")</f>
        <v>#REF!</v>
      </c>
      <c r="HA155" t="e">
        <f>AND(#REF!,"AAAAAH/q/9A=")</f>
        <v>#REF!</v>
      </c>
      <c r="HB155" t="e">
        <f>AND(#REF!,"AAAAAH/q/9E=")</f>
        <v>#REF!</v>
      </c>
      <c r="HC155" t="e">
        <f>AND(#REF!,"AAAAAH/q/9I=")</f>
        <v>#REF!</v>
      </c>
      <c r="HD155" t="e">
        <f>AND(#REF!,"AAAAAH/q/9M=")</f>
        <v>#REF!</v>
      </c>
      <c r="HE155" t="e">
        <f>AND(#REF!,"AAAAAH/q/9Q=")</f>
        <v>#REF!</v>
      </c>
      <c r="HF155" t="e">
        <f>AND(#REF!,"AAAAAH/q/9U=")</f>
        <v>#REF!</v>
      </c>
      <c r="HG155" t="e">
        <f>IF(#REF!,"AAAAAH/q/9Y=",0)</f>
        <v>#REF!</v>
      </c>
      <c r="HH155" t="e">
        <f>AND(#REF!,"AAAAAH/q/9c=")</f>
        <v>#REF!</v>
      </c>
      <c r="HI155" t="e">
        <f>AND(#REF!,"AAAAAH/q/9g=")</f>
        <v>#REF!</v>
      </c>
      <c r="HJ155" t="e">
        <f>AND(#REF!,"AAAAAH/q/9k=")</f>
        <v>#REF!</v>
      </c>
      <c r="HK155" t="e">
        <f>AND(#REF!,"AAAAAH/q/9o=")</f>
        <v>#REF!</v>
      </c>
      <c r="HL155" t="e">
        <f>AND(#REF!,"AAAAAH/q/9s=")</f>
        <v>#REF!</v>
      </c>
      <c r="HM155" t="e">
        <f>AND(#REF!,"AAAAAH/q/9w=")</f>
        <v>#REF!</v>
      </c>
      <c r="HN155" t="e">
        <f>AND(#REF!,"AAAAAH/q/90=")</f>
        <v>#REF!</v>
      </c>
      <c r="HO155" t="e">
        <f>AND(#REF!,"AAAAAH/q/94=")</f>
        <v>#REF!</v>
      </c>
      <c r="HP155" t="e">
        <f>AND(#REF!,"AAAAAH/q/98=")</f>
        <v>#REF!</v>
      </c>
      <c r="HQ155" t="e">
        <f>AND(#REF!,"AAAAAH/q/+A=")</f>
        <v>#REF!</v>
      </c>
      <c r="HR155" t="e">
        <f>IF(#REF!,"AAAAAH/q/+E=",0)</f>
        <v>#REF!</v>
      </c>
      <c r="HS155" t="e">
        <f>AND(#REF!,"AAAAAH/q/+I=")</f>
        <v>#REF!</v>
      </c>
      <c r="HT155" t="e">
        <f>AND(#REF!,"AAAAAH/q/+M=")</f>
        <v>#REF!</v>
      </c>
      <c r="HU155" t="e">
        <f>AND(#REF!,"AAAAAH/q/+Q=")</f>
        <v>#REF!</v>
      </c>
      <c r="HV155" t="e">
        <f>AND(#REF!,"AAAAAH/q/+U=")</f>
        <v>#REF!</v>
      </c>
      <c r="HW155" t="e">
        <f>AND(#REF!,"AAAAAH/q/+Y=")</f>
        <v>#REF!</v>
      </c>
      <c r="HX155" t="e">
        <f>AND(#REF!,"AAAAAH/q/+c=")</f>
        <v>#REF!</v>
      </c>
      <c r="HY155" t="e">
        <f>AND(#REF!,"AAAAAH/q/+g=")</f>
        <v>#REF!</v>
      </c>
      <c r="HZ155" t="e">
        <f>AND(#REF!,"AAAAAH/q/+k=")</f>
        <v>#REF!</v>
      </c>
      <c r="IA155" t="e">
        <f>AND(#REF!,"AAAAAH/q/+o=")</f>
        <v>#REF!</v>
      </c>
      <c r="IB155" t="e">
        <f>AND(#REF!,"AAAAAH/q/+s=")</f>
        <v>#REF!</v>
      </c>
      <c r="IC155" t="e">
        <f>IF(#REF!,"AAAAAH/q/+w=",0)</f>
        <v>#REF!</v>
      </c>
      <c r="ID155" t="e">
        <f>AND(#REF!,"AAAAAH/q/+0=")</f>
        <v>#REF!</v>
      </c>
      <c r="IE155" t="e">
        <f>AND(#REF!,"AAAAAH/q/+4=")</f>
        <v>#REF!</v>
      </c>
      <c r="IF155" t="e">
        <f>AND(#REF!,"AAAAAH/q/+8=")</f>
        <v>#REF!</v>
      </c>
      <c r="IG155" t="e">
        <f>AND(#REF!,"AAAAAH/q//A=")</f>
        <v>#REF!</v>
      </c>
      <c r="IH155" t="e">
        <f>AND(#REF!,"AAAAAH/q//E=")</f>
        <v>#REF!</v>
      </c>
      <c r="II155" t="e">
        <f>AND(#REF!,"AAAAAH/q//I=")</f>
        <v>#REF!</v>
      </c>
      <c r="IJ155" t="e">
        <f>AND(#REF!,"AAAAAH/q//M=")</f>
        <v>#REF!</v>
      </c>
      <c r="IK155" t="e">
        <f>AND(#REF!,"AAAAAH/q//Q=")</f>
        <v>#REF!</v>
      </c>
      <c r="IL155" t="e">
        <f>AND(#REF!,"AAAAAH/q//U=")</f>
        <v>#REF!</v>
      </c>
      <c r="IM155" t="e">
        <f>AND(#REF!,"AAAAAH/q//Y=")</f>
        <v>#REF!</v>
      </c>
      <c r="IN155" t="e">
        <f>IF(#REF!,"AAAAAH/q//c=",0)</f>
        <v>#REF!</v>
      </c>
      <c r="IO155" t="e">
        <f>AND(#REF!,"AAAAAH/q//g=")</f>
        <v>#REF!</v>
      </c>
      <c r="IP155" t="e">
        <f>AND(#REF!,"AAAAAH/q//k=")</f>
        <v>#REF!</v>
      </c>
      <c r="IQ155" t="e">
        <f>AND(#REF!,"AAAAAH/q//o=")</f>
        <v>#REF!</v>
      </c>
      <c r="IR155" t="e">
        <f>AND(#REF!,"AAAAAH/q//s=")</f>
        <v>#REF!</v>
      </c>
      <c r="IS155" t="e">
        <f>AND(#REF!,"AAAAAH/q//w=")</f>
        <v>#REF!</v>
      </c>
      <c r="IT155" t="e">
        <f>AND(#REF!,"AAAAAH/q//0=")</f>
        <v>#REF!</v>
      </c>
      <c r="IU155" t="e">
        <f>AND(#REF!,"AAAAAH/q//4=")</f>
        <v>#REF!</v>
      </c>
      <c r="IV155" t="e">
        <f>AND(#REF!,"AAAAAH/q//8=")</f>
        <v>#REF!</v>
      </c>
    </row>
    <row r="156" spans="1:256" x14ac:dyDescent="0.25">
      <c r="A156" t="e">
        <f>AND(#REF!,"AAAAAF/fXgA=")</f>
        <v>#REF!</v>
      </c>
      <c r="B156" t="e">
        <f>AND(#REF!,"AAAAAF/fXgE=")</f>
        <v>#REF!</v>
      </c>
      <c r="C156" t="e">
        <f>IF(#REF!,"AAAAAF/fXgI=",0)</f>
        <v>#REF!</v>
      </c>
      <c r="D156" t="e">
        <f>AND(#REF!,"AAAAAF/fXgM=")</f>
        <v>#REF!</v>
      </c>
      <c r="E156" t="e">
        <f>AND(#REF!,"AAAAAF/fXgQ=")</f>
        <v>#REF!</v>
      </c>
      <c r="F156" t="e">
        <f>AND(#REF!,"AAAAAF/fXgU=")</f>
        <v>#REF!</v>
      </c>
      <c r="G156" t="e">
        <f>AND(#REF!,"AAAAAF/fXgY=")</f>
        <v>#REF!</v>
      </c>
      <c r="H156" t="e">
        <f>AND(#REF!,"AAAAAF/fXgc=")</f>
        <v>#REF!</v>
      </c>
      <c r="I156" t="e">
        <f>AND(#REF!,"AAAAAF/fXgg=")</f>
        <v>#REF!</v>
      </c>
      <c r="J156" t="e">
        <f>AND(#REF!,"AAAAAF/fXgk=")</f>
        <v>#REF!</v>
      </c>
      <c r="K156" t="e">
        <f>AND(#REF!,"AAAAAF/fXgo=")</f>
        <v>#REF!</v>
      </c>
      <c r="L156" t="e">
        <f>AND(#REF!,"AAAAAF/fXgs=")</f>
        <v>#REF!</v>
      </c>
      <c r="M156" t="e">
        <f>AND(#REF!,"AAAAAF/fXgw=")</f>
        <v>#REF!</v>
      </c>
      <c r="N156" t="e">
        <f>IF(#REF!,"AAAAAF/fXg0=",0)</f>
        <v>#REF!</v>
      </c>
      <c r="O156" t="e">
        <f>AND(#REF!,"AAAAAF/fXg4=")</f>
        <v>#REF!</v>
      </c>
      <c r="P156" t="e">
        <f>AND(#REF!,"AAAAAF/fXg8=")</f>
        <v>#REF!</v>
      </c>
      <c r="Q156" t="e">
        <f>AND(#REF!,"AAAAAF/fXhA=")</f>
        <v>#REF!</v>
      </c>
      <c r="R156" t="e">
        <f>AND(#REF!,"AAAAAF/fXhE=")</f>
        <v>#REF!</v>
      </c>
      <c r="S156" t="e">
        <f>AND(#REF!,"AAAAAF/fXhI=")</f>
        <v>#REF!</v>
      </c>
      <c r="T156" t="e">
        <f>AND(#REF!,"AAAAAF/fXhM=")</f>
        <v>#REF!</v>
      </c>
      <c r="U156" t="e">
        <f>AND(#REF!,"AAAAAF/fXhQ=")</f>
        <v>#REF!</v>
      </c>
      <c r="V156" t="e">
        <f>AND(#REF!,"AAAAAF/fXhU=")</f>
        <v>#REF!</v>
      </c>
      <c r="W156" t="e">
        <f>AND(#REF!,"AAAAAF/fXhY=")</f>
        <v>#REF!</v>
      </c>
      <c r="X156" t="e">
        <f>AND(#REF!,"AAAAAF/fXhc=")</f>
        <v>#REF!</v>
      </c>
      <c r="Y156" t="e">
        <f>IF(#REF!,"AAAAAF/fXhg=",0)</f>
        <v>#REF!</v>
      </c>
      <c r="Z156" t="e">
        <f>AND(#REF!,"AAAAAF/fXhk=")</f>
        <v>#REF!</v>
      </c>
      <c r="AA156" t="e">
        <f>AND(#REF!,"AAAAAF/fXho=")</f>
        <v>#REF!</v>
      </c>
      <c r="AB156" t="e">
        <f>AND(#REF!,"AAAAAF/fXhs=")</f>
        <v>#REF!</v>
      </c>
      <c r="AC156" t="e">
        <f>AND(#REF!,"AAAAAF/fXhw=")</f>
        <v>#REF!</v>
      </c>
      <c r="AD156" t="e">
        <f>AND(#REF!,"AAAAAF/fXh0=")</f>
        <v>#REF!</v>
      </c>
      <c r="AE156" t="e">
        <f>AND(#REF!,"AAAAAF/fXh4=")</f>
        <v>#REF!</v>
      </c>
      <c r="AF156" t="e">
        <f>AND(#REF!,"AAAAAF/fXh8=")</f>
        <v>#REF!</v>
      </c>
      <c r="AG156" t="e">
        <f>AND(#REF!,"AAAAAF/fXiA=")</f>
        <v>#REF!</v>
      </c>
      <c r="AH156" t="e">
        <f>AND(#REF!,"AAAAAF/fXiE=")</f>
        <v>#REF!</v>
      </c>
      <c r="AI156" t="e">
        <f>AND(#REF!,"AAAAAF/fXiI=")</f>
        <v>#REF!</v>
      </c>
      <c r="AJ156" t="e">
        <f>IF(#REF!,"AAAAAF/fXiM=",0)</f>
        <v>#REF!</v>
      </c>
      <c r="AK156" t="e">
        <f>AND(#REF!,"AAAAAF/fXiQ=")</f>
        <v>#REF!</v>
      </c>
      <c r="AL156" t="e">
        <f>AND(#REF!,"AAAAAF/fXiU=")</f>
        <v>#REF!</v>
      </c>
      <c r="AM156" t="e">
        <f>AND(#REF!,"AAAAAF/fXiY=")</f>
        <v>#REF!</v>
      </c>
      <c r="AN156" t="e">
        <f>AND(#REF!,"AAAAAF/fXic=")</f>
        <v>#REF!</v>
      </c>
      <c r="AO156" t="e">
        <f>AND(#REF!,"AAAAAF/fXig=")</f>
        <v>#REF!</v>
      </c>
      <c r="AP156" t="e">
        <f>AND(#REF!,"AAAAAF/fXik=")</f>
        <v>#REF!</v>
      </c>
      <c r="AQ156" t="e">
        <f>AND(#REF!,"AAAAAF/fXio=")</f>
        <v>#REF!</v>
      </c>
      <c r="AR156" t="e">
        <f>AND(#REF!,"AAAAAF/fXis=")</f>
        <v>#REF!</v>
      </c>
      <c r="AS156" t="e">
        <f>AND(#REF!,"AAAAAF/fXiw=")</f>
        <v>#REF!</v>
      </c>
      <c r="AT156" t="e">
        <f>AND(#REF!,"AAAAAF/fXi0=")</f>
        <v>#REF!</v>
      </c>
      <c r="AU156" t="e">
        <f>IF(#REF!,"AAAAAF/fXi4=",0)</f>
        <v>#REF!</v>
      </c>
      <c r="AV156" t="e">
        <f>AND(#REF!,"AAAAAF/fXi8=")</f>
        <v>#REF!</v>
      </c>
      <c r="AW156" t="e">
        <f>AND(#REF!,"AAAAAF/fXjA=")</f>
        <v>#REF!</v>
      </c>
      <c r="AX156" t="e">
        <f>AND(#REF!,"AAAAAF/fXjE=")</f>
        <v>#REF!</v>
      </c>
      <c r="AY156" t="e">
        <f>AND(#REF!,"AAAAAF/fXjI=")</f>
        <v>#REF!</v>
      </c>
      <c r="AZ156" t="e">
        <f>AND(#REF!,"AAAAAF/fXjM=")</f>
        <v>#REF!</v>
      </c>
      <c r="BA156" t="e">
        <f>AND(#REF!,"AAAAAF/fXjQ=")</f>
        <v>#REF!</v>
      </c>
      <c r="BB156" t="e">
        <f>AND(#REF!,"AAAAAF/fXjU=")</f>
        <v>#REF!</v>
      </c>
      <c r="BC156" t="e">
        <f>AND(#REF!,"AAAAAF/fXjY=")</f>
        <v>#REF!</v>
      </c>
      <c r="BD156" t="e">
        <f>AND(#REF!,"AAAAAF/fXjc=")</f>
        <v>#REF!</v>
      </c>
      <c r="BE156" t="e">
        <f>AND(#REF!,"AAAAAF/fXjg=")</f>
        <v>#REF!</v>
      </c>
      <c r="BF156" t="e">
        <f>IF(#REF!,"AAAAAF/fXjk=",0)</f>
        <v>#REF!</v>
      </c>
      <c r="BG156" t="e">
        <f>AND(#REF!,"AAAAAF/fXjo=")</f>
        <v>#REF!</v>
      </c>
      <c r="BH156" t="e">
        <f>AND(#REF!,"AAAAAF/fXjs=")</f>
        <v>#REF!</v>
      </c>
      <c r="BI156" t="e">
        <f>AND(#REF!,"AAAAAF/fXjw=")</f>
        <v>#REF!</v>
      </c>
      <c r="BJ156" t="e">
        <f>AND(#REF!,"AAAAAF/fXj0=")</f>
        <v>#REF!</v>
      </c>
      <c r="BK156" t="e">
        <f>AND(#REF!,"AAAAAF/fXj4=")</f>
        <v>#REF!</v>
      </c>
      <c r="BL156" t="e">
        <f>AND(#REF!,"AAAAAF/fXj8=")</f>
        <v>#REF!</v>
      </c>
      <c r="BM156" t="e">
        <f>AND(#REF!,"AAAAAF/fXkA=")</f>
        <v>#REF!</v>
      </c>
      <c r="BN156" t="e">
        <f>AND(#REF!,"AAAAAF/fXkE=")</f>
        <v>#REF!</v>
      </c>
      <c r="BO156" t="e">
        <f>AND(#REF!,"AAAAAF/fXkI=")</f>
        <v>#REF!</v>
      </c>
      <c r="BP156" t="e">
        <f>AND(#REF!,"AAAAAF/fXkM=")</f>
        <v>#REF!</v>
      </c>
      <c r="BQ156" t="e">
        <f>IF(#REF!,"AAAAAF/fXkQ=",0)</f>
        <v>#REF!</v>
      </c>
      <c r="BR156" t="e">
        <f>AND(#REF!,"AAAAAF/fXkU=")</f>
        <v>#REF!</v>
      </c>
      <c r="BS156" t="e">
        <f>AND(#REF!,"AAAAAF/fXkY=")</f>
        <v>#REF!</v>
      </c>
      <c r="BT156" t="e">
        <f>AND(#REF!,"AAAAAF/fXkc=")</f>
        <v>#REF!</v>
      </c>
      <c r="BU156" t="e">
        <f>AND(#REF!,"AAAAAF/fXkg=")</f>
        <v>#REF!</v>
      </c>
      <c r="BV156" t="e">
        <f>AND(#REF!,"AAAAAF/fXkk=")</f>
        <v>#REF!</v>
      </c>
      <c r="BW156" t="e">
        <f>AND(#REF!,"AAAAAF/fXko=")</f>
        <v>#REF!</v>
      </c>
      <c r="BX156" t="e">
        <f>AND(#REF!,"AAAAAF/fXks=")</f>
        <v>#REF!</v>
      </c>
      <c r="BY156" t="e">
        <f>AND(#REF!,"AAAAAF/fXkw=")</f>
        <v>#REF!</v>
      </c>
      <c r="BZ156" t="e">
        <f>AND(#REF!,"AAAAAF/fXk0=")</f>
        <v>#REF!</v>
      </c>
      <c r="CA156" t="e">
        <f>AND(#REF!,"AAAAAF/fXk4=")</f>
        <v>#REF!</v>
      </c>
      <c r="CB156" t="e">
        <f>IF(#REF!,"AAAAAF/fXk8=",0)</f>
        <v>#REF!</v>
      </c>
      <c r="CC156" t="e">
        <f>AND(#REF!,"AAAAAF/fXlA=")</f>
        <v>#REF!</v>
      </c>
      <c r="CD156" t="e">
        <f>AND(#REF!,"AAAAAF/fXlE=")</f>
        <v>#REF!</v>
      </c>
      <c r="CE156" t="e">
        <f>AND(#REF!,"AAAAAF/fXlI=")</f>
        <v>#REF!</v>
      </c>
      <c r="CF156" t="e">
        <f>AND(#REF!,"AAAAAF/fXlM=")</f>
        <v>#REF!</v>
      </c>
      <c r="CG156" t="e">
        <f>AND(#REF!,"AAAAAF/fXlQ=")</f>
        <v>#REF!</v>
      </c>
      <c r="CH156" t="e">
        <f>AND(#REF!,"AAAAAF/fXlU=")</f>
        <v>#REF!</v>
      </c>
      <c r="CI156" t="e">
        <f>AND(#REF!,"AAAAAF/fXlY=")</f>
        <v>#REF!</v>
      </c>
      <c r="CJ156" t="e">
        <f>AND(#REF!,"AAAAAF/fXlc=")</f>
        <v>#REF!</v>
      </c>
      <c r="CK156" t="e">
        <f>AND(#REF!,"AAAAAF/fXlg=")</f>
        <v>#REF!</v>
      </c>
      <c r="CL156" t="e">
        <f>AND(#REF!,"AAAAAF/fXlk=")</f>
        <v>#REF!</v>
      </c>
      <c r="CM156" t="e">
        <f>IF(#REF!,"AAAAAF/fXlo=",0)</f>
        <v>#REF!</v>
      </c>
      <c r="CN156" t="e">
        <f>AND(#REF!,"AAAAAF/fXls=")</f>
        <v>#REF!</v>
      </c>
      <c r="CO156" t="e">
        <f>AND(#REF!,"AAAAAF/fXlw=")</f>
        <v>#REF!</v>
      </c>
      <c r="CP156" t="e">
        <f>AND(#REF!,"AAAAAF/fXl0=")</f>
        <v>#REF!</v>
      </c>
      <c r="CQ156" t="e">
        <f>AND(#REF!,"AAAAAF/fXl4=")</f>
        <v>#REF!</v>
      </c>
      <c r="CR156" t="e">
        <f>AND(#REF!,"AAAAAF/fXl8=")</f>
        <v>#REF!</v>
      </c>
      <c r="CS156" t="e">
        <f>AND(#REF!,"AAAAAF/fXmA=")</f>
        <v>#REF!</v>
      </c>
      <c r="CT156" t="e">
        <f>AND(#REF!,"AAAAAF/fXmE=")</f>
        <v>#REF!</v>
      </c>
      <c r="CU156" t="e">
        <f>AND(#REF!,"AAAAAF/fXmI=")</f>
        <v>#REF!</v>
      </c>
      <c r="CV156" t="e">
        <f>AND(#REF!,"AAAAAF/fXmM=")</f>
        <v>#REF!</v>
      </c>
      <c r="CW156" t="e">
        <f>AND(#REF!,"AAAAAF/fXmQ=")</f>
        <v>#REF!</v>
      </c>
      <c r="CX156" t="e">
        <f>IF(#REF!,"AAAAAF/fXmU=",0)</f>
        <v>#REF!</v>
      </c>
      <c r="CY156" t="e">
        <f>AND(#REF!,"AAAAAF/fXmY=")</f>
        <v>#REF!</v>
      </c>
      <c r="CZ156" t="e">
        <f>AND(#REF!,"AAAAAF/fXmc=")</f>
        <v>#REF!</v>
      </c>
      <c r="DA156" t="e">
        <f>AND(#REF!,"AAAAAF/fXmg=")</f>
        <v>#REF!</v>
      </c>
      <c r="DB156" t="e">
        <f>AND(#REF!,"AAAAAF/fXmk=")</f>
        <v>#REF!</v>
      </c>
      <c r="DC156" t="e">
        <f>AND(#REF!,"AAAAAF/fXmo=")</f>
        <v>#REF!</v>
      </c>
      <c r="DD156" t="e">
        <f>AND(#REF!,"AAAAAF/fXms=")</f>
        <v>#REF!</v>
      </c>
      <c r="DE156" t="e">
        <f>AND(#REF!,"AAAAAF/fXmw=")</f>
        <v>#REF!</v>
      </c>
      <c r="DF156" t="e">
        <f>AND(#REF!,"AAAAAF/fXm0=")</f>
        <v>#REF!</v>
      </c>
      <c r="DG156" t="e">
        <f>AND(#REF!,"AAAAAF/fXm4=")</f>
        <v>#REF!</v>
      </c>
      <c r="DH156" t="e">
        <f>AND(#REF!,"AAAAAF/fXm8=")</f>
        <v>#REF!</v>
      </c>
      <c r="DI156" t="e">
        <f>IF(#REF!,"AAAAAF/fXnA=",0)</f>
        <v>#REF!</v>
      </c>
      <c r="DJ156" t="e">
        <f>AND(#REF!,"AAAAAF/fXnE=")</f>
        <v>#REF!</v>
      </c>
      <c r="DK156" t="e">
        <f>AND(#REF!,"AAAAAF/fXnI=")</f>
        <v>#REF!</v>
      </c>
      <c r="DL156" t="e">
        <f>AND(#REF!,"AAAAAF/fXnM=")</f>
        <v>#REF!</v>
      </c>
      <c r="DM156" t="e">
        <f>AND(#REF!,"AAAAAF/fXnQ=")</f>
        <v>#REF!</v>
      </c>
      <c r="DN156" t="e">
        <f>AND(#REF!,"AAAAAF/fXnU=")</f>
        <v>#REF!</v>
      </c>
      <c r="DO156" t="e">
        <f>AND(#REF!,"AAAAAF/fXnY=")</f>
        <v>#REF!</v>
      </c>
      <c r="DP156" t="e">
        <f>AND(#REF!,"AAAAAF/fXnc=")</f>
        <v>#REF!</v>
      </c>
      <c r="DQ156" t="e">
        <f>AND(#REF!,"AAAAAF/fXng=")</f>
        <v>#REF!</v>
      </c>
      <c r="DR156" t="e">
        <f>AND(#REF!,"AAAAAF/fXnk=")</f>
        <v>#REF!</v>
      </c>
      <c r="DS156" t="e">
        <f>AND(#REF!,"AAAAAF/fXno=")</f>
        <v>#REF!</v>
      </c>
      <c r="DT156" t="e">
        <f>IF(#REF!,"AAAAAF/fXns=",0)</f>
        <v>#REF!</v>
      </c>
      <c r="DU156" t="e">
        <f>AND(#REF!,"AAAAAF/fXnw=")</f>
        <v>#REF!</v>
      </c>
      <c r="DV156" t="e">
        <f>AND(#REF!,"AAAAAF/fXn0=")</f>
        <v>#REF!</v>
      </c>
      <c r="DW156" t="e">
        <f>AND(#REF!,"AAAAAF/fXn4=")</f>
        <v>#REF!</v>
      </c>
      <c r="DX156" t="e">
        <f>AND(#REF!,"AAAAAF/fXn8=")</f>
        <v>#REF!</v>
      </c>
      <c r="DY156" t="e">
        <f>AND(#REF!,"AAAAAF/fXoA=")</f>
        <v>#REF!</v>
      </c>
      <c r="DZ156" t="e">
        <f>AND(#REF!,"AAAAAF/fXoE=")</f>
        <v>#REF!</v>
      </c>
      <c r="EA156" t="e">
        <f>AND(#REF!,"AAAAAF/fXoI=")</f>
        <v>#REF!</v>
      </c>
      <c r="EB156" t="e">
        <f>AND(#REF!,"AAAAAF/fXoM=")</f>
        <v>#REF!</v>
      </c>
      <c r="EC156" t="e">
        <f>AND(#REF!,"AAAAAF/fXoQ=")</f>
        <v>#REF!</v>
      </c>
      <c r="ED156" t="e">
        <f>AND(#REF!,"AAAAAF/fXoU=")</f>
        <v>#REF!</v>
      </c>
      <c r="EE156" t="e">
        <f>IF(#REF!,"AAAAAF/fXoY=",0)</f>
        <v>#REF!</v>
      </c>
      <c r="EF156" t="e">
        <f>AND(#REF!,"AAAAAF/fXoc=")</f>
        <v>#REF!</v>
      </c>
      <c r="EG156" t="e">
        <f>AND(#REF!,"AAAAAF/fXog=")</f>
        <v>#REF!</v>
      </c>
      <c r="EH156" t="e">
        <f>AND(#REF!,"AAAAAF/fXok=")</f>
        <v>#REF!</v>
      </c>
      <c r="EI156" t="e">
        <f>AND(#REF!,"AAAAAF/fXoo=")</f>
        <v>#REF!</v>
      </c>
      <c r="EJ156" t="e">
        <f>AND(#REF!,"AAAAAF/fXos=")</f>
        <v>#REF!</v>
      </c>
      <c r="EK156" t="e">
        <f>AND(#REF!,"AAAAAF/fXow=")</f>
        <v>#REF!</v>
      </c>
      <c r="EL156" t="e">
        <f>AND(#REF!,"AAAAAF/fXo0=")</f>
        <v>#REF!</v>
      </c>
      <c r="EM156" t="e">
        <f>AND(#REF!,"AAAAAF/fXo4=")</f>
        <v>#REF!</v>
      </c>
      <c r="EN156" t="e">
        <f>AND(#REF!,"AAAAAF/fXo8=")</f>
        <v>#REF!</v>
      </c>
      <c r="EO156" t="e">
        <f>AND(#REF!,"AAAAAF/fXpA=")</f>
        <v>#REF!</v>
      </c>
      <c r="EP156" t="e">
        <f>IF(#REF!,"AAAAAF/fXpE=",0)</f>
        <v>#REF!</v>
      </c>
      <c r="EQ156" t="e">
        <f>AND(#REF!,"AAAAAF/fXpI=")</f>
        <v>#REF!</v>
      </c>
      <c r="ER156" t="e">
        <f>AND(#REF!,"AAAAAF/fXpM=")</f>
        <v>#REF!</v>
      </c>
      <c r="ES156" t="e">
        <f>AND(#REF!,"AAAAAF/fXpQ=")</f>
        <v>#REF!</v>
      </c>
      <c r="ET156" t="e">
        <f>AND(#REF!,"AAAAAF/fXpU=")</f>
        <v>#REF!</v>
      </c>
      <c r="EU156" t="e">
        <f>AND(#REF!,"AAAAAF/fXpY=")</f>
        <v>#REF!</v>
      </c>
      <c r="EV156" t="e">
        <f>AND(#REF!,"AAAAAF/fXpc=")</f>
        <v>#REF!</v>
      </c>
      <c r="EW156" t="e">
        <f>AND(#REF!,"AAAAAF/fXpg=")</f>
        <v>#REF!</v>
      </c>
      <c r="EX156" t="e">
        <f>AND(#REF!,"AAAAAF/fXpk=")</f>
        <v>#REF!</v>
      </c>
      <c r="EY156" t="e">
        <f>AND(#REF!,"AAAAAF/fXpo=")</f>
        <v>#REF!</v>
      </c>
      <c r="EZ156" t="e">
        <f>AND(#REF!,"AAAAAF/fXps=")</f>
        <v>#REF!</v>
      </c>
      <c r="FA156" t="e">
        <f>IF(#REF!,"AAAAAF/fXpw=",0)</f>
        <v>#REF!</v>
      </c>
      <c r="FB156" t="e">
        <f>AND(#REF!,"AAAAAF/fXp0=")</f>
        <v>#REF!</v>
      </c>
      <c r="FC156" t="e">
        <f>AND(#REF!,"AAAAAF/fXp4=")</f>
        <v>#REF!</v>
      </c>
      <c r="FD156" t="e">
        <f>AND(#REF!,"AAAAAF/fXp8=")</f>
        <v>#REF!</v>
      </c>
      <c r="FE156" t="e">
        <f>AND(#REF!,"AAAAAF/fXqA=")</f>
        <v>#REF!</v>
      </c>
      <c r="FF156" t="e">
        <f>AND(#REF!,"AAAAAF/fXqE=")</f>
        <v>#REF!</v>
      </c>
      <c r="FG156" t="e">
        <f>AND(#REF!,"AAAAAF/fXqI=")</f>
        <v>#REF!</v>
      </c>
      <c r="FH156" t="e">
        <f>AND(#REF!,"AAAAAF/fXqM=")</f>
        <v>#REF!</v>
      </c>
      <c r="FI156" t="e">
        <f>AND(#REF!,"AAAAAF/fXqQ=")</f>
        <v>#REF!</v>
      </c>
      <c r="FJ156" t="e">
        <f>AND(#REF!,"AAAAAF/fXqU=")</f>
        <v>#REF!</v>
      </c>
      <c r="FK156" t="e">
        <f>AND(#REF!,"AAAAAF/fXqY=")</f>
        <v>#REF!</v>
      </c>
      <c r="FL156" t="e">
        <f>IF(#REF!,"AAAAAF/fXqc=",0)</f>
        <v>#REF!</v>
      </c>
      <c r="FM156" t="e">
        <f>AND(#REF!,"AAAAAF/fXqg=")</f>
        <v>#REF!</v>
      </c>
      <c r="FN156" t="e">
        <f>AND(#REF!,"AAAAAF/fXqk=")</f>
        <v>#REF!</v>
      </c>
      <c r="FO156" t="e">
        <f>AND(#REF!,"AAAAAF/fXqo=")</f>
        <v>#REF!</v>
      </c>
      <c r="FP156" t="e">
        <f>AND(#REF!,"AAAAAF/fXqs=")</f>
        <v>#REF!</v>
      </c>
      <c r="FQ156" t="e">
        <f>AND(#REF!,"AAAAAF/fXqw=")</f>
        <v>#REF!</v>
      </c>
      <c r="FR156" t="e">
        <f>AND(#REF!,"AAAAAF/fXq0=")</f>
        <v>#REF!</v>
      </c>
      <c r="FS156" t="e">
        <f>AND(#REF!,"AAAAAF/fXq4=")</f>
        <v>#REF!</v>
      </c>
      <c r="FT156" t="e">
        <f>AND(#REF!,"AAAAAF/fXq8=")</f>
        <v>#REF!</v>
      </c>
      <c r="FU156" t="e">
        <f>AND(#REF!,"AAAAAF/fXrA=")</f>
        <v>#REF!</v>
      </c>
      <c r="FV156" t="e">
        <f>AND(#REF!,"AAAAAF/fXrE=")</f>
        <v>#REF!</v>
      </c>
      <c r="FW156" t="e">
        <f>IF(#REF!,"AAAAAF/fXrI=",0)</f>
        <v>#REF!</v>
      </c>
      <c r="FX156" t="e">
        <f>AND(#REF!,"AAAAAF/fXrM=")</f>
        <v>#REF!</v>
      </c>
      <c r="FY156" t="e">
        <f>AND(#REF!,"AAAAAF/fXrQ=")</f>
        <v>#REF!</v>
      </c>
      <c r="FZ156" t="e">
        <f>AND(#REF!,"AAAAAF/fXrU=")</f>
        <v>#REF!</v>
      </c>
      <c r="GA156" t="e">
        <f>AND(#REF!,"AAAAAF/fXrY=")</f>
        <v>#REF!</v>
      </c>
      <c r="GB156" t="e">
        <f>AND(#REF!,"AAAAAF/fXrc=")</f>
        <v>#REF!</v>
      </c>
      <c r="GC156" t="e">
        <f>AND(#REF!,"AAAAAF/fXrg=")</f>
        <v>#REF!</v>
      </c>
      <c r="GD156" t="e">
        <f>AND(#REF!,"AAAAAF/fXrk=")</f>
        <v>#REF!</v>
      </c>
      <c r="GE156" t="e">
        <f>AND(#REF!,"AAAAAF/fXro=")</f>
        <v>#REF!</v>
      </c>
      <c r="GF156" t="e">
        <f>AND(#REF!,"AAAAAF/fXrs=")</f>
        <v>#REF!</v>
      </c>
      <c r="GG156" t="e">
        <f>AND(#REF!,"AAAAAF/fXrw=")</f>
        <v>#REF!</v>
      </c>
      <c r="GH156" t="e">
        <f>IF(#REF!,"AAAAAF/fXr0=",0)</f>
        <v>#REF!</v>
      </c>
      <c r="GI156" t="e">
        <f>AND(#REF!,"AAAAAF/fXr4=")</f>
        <v>#REF!</v>
      </c>
      <c r="GJ156" t="e">
        <f>AND(#REF!,"AAAAAF/fXr8=")</f>
        <v>#REF!</v>
      </c>
      <c r="GK156" t="e">
        <f>AND(#REF!,"AAAAAF/fXsA=")</f>
        <v>#REF!</v>
      </c>
      <c r="GL156" t="e">
        <f>AND(#REF!,"AAAAAF/fXsE=")</f>
        <v>#REF!</v>
      </c>
      <c r="GM156" t="e">
        <f>AND(#REF!,"AAAAAF/fXsI=")</f>
        <v>#REF!</v>
      </c>
      <c r="GN156" t="e">
        <f>AND(#REF!,"AAAAAF/fXsM=")</f>
        <v>#REF!</v>
      </c>
      <c r="GO156" t="e">
        <f>AND(#REF!,"AAAAAF/fXsQ=")</f>
        <v>#REF!</v>
      </c>
      <c r="GP156" t="e">
        <f>AND(#REF!,"AAAAAF/fXsU=")</f>
        <v>#REF!</v>
      </c>
      <c r="GQ156" t="e">
        <f>AND(#REF!,"AAAAAF/fXsY=")</f>
        <v>#REF!</v>
      </c>
      <c r="GR156" t="e">
        <f>AND(#REF!,"AAAAAF/fXsc=")</f>
        <v>#REF!</v>
      </c>
      <c r="GS156" t="e">
        <f>IF(#REF!,"AAAAAF/fXsg=",0)</f>
        <v>#REF!</v>
      </c>
      <c r="GT156" t="e">
        <f>AND(#REF!,"AAAAAF/fXsk=")</f>
        <v>#REF!</v>
      </c>
      <c r="GU156" t="e">
        <f>AND(#REF!,"AAAAAF/fXso=")</f>
        <v>#REF!</v>
      </c>
      <c r="GV156" t="e">
        <f>AND(#REF!,"AAAAAF/fXss=")</f>
        <v>#REF!</v>
      </c>
      <c r="GW156" t="e">
        <f>AND(#REF!,"AAAAAF/fXsw=")</f>
        <v>#REF!</v>
      </c>
      <c r="GX156" t="e">
        <f>AND(#REF!,"AAAAAF/fXs0=")</f>
        <v>#REF!</v>
      </c>
      <c r="GY156" t="e">
        <f>AND(#REF!,"AAAAAF/fXs4=")</f>
        <v>#REF!</v>
      </c>
      <c r="GZ156" t="e">
        <f>AND(#REF!,"AAAAAF/fXs8=")</f>
        <v>#REF!</v>
      </c>
      <c r="HA156" t="e">
        <f>AND(#REF!,"AAAAAF/fXtA=")</f>
        <v>#REF!</v>
      </c>
      <c r="HB156" t="e">
        <f>AND(#REF!,"AAAAAF/fXtE=")</f>
        <v>#REF!</v>
      </c>
      <c r="HC156" t="e">
        <f>AND(#REF!,"AAAAAF/fXtI=")</f>
        <v>#REF!</v>
      </c>
      <c r="HD156" t="e">
        <f>IF(#REF!,"AAAAAF/fXtM=",0)</f>
        <v>#REF!</v>
      </c>
      <c r="HE156" t="e">
        <f>AND(#REF!,"AAAAAF/fXtQ=")</f>
        <v>#REF!</v>
      </c>
      <c r="HF156" t="e">
        <f>AND(#REF!,"AAAAAF/fXtU=")</f>
        <v>#REF!</v>
      </c>
      <c r="HG156" t="e">
        <f>AND(#REF!,"AAAAAF/fXtY=")</f>
        <v>#REF!</v>
      </c>
      <c r="HH156" t="e">
        <f>AND(#REF!,"AAAAAF/fXtc=")</f>
        <v>#REF!</v>
      </c>
      <c r="HI156" t="e">
        <f>AND(#REF!,"AAAAAF/fXtg=")</f>
        <v>#REF!</v>
      </c>
      <c r="HJ156" t="e">
        <f>AND(#REF!,"AAAAAF/fXtk=")</f>
        <v>#REF!</v>
      </c>
      <c r="HK156" t="e">
        <f>AND(#REF!,"AAAAAF/fXto=")</f>
        <v>#REF!</v>
      </c>
      <c r="HL156" t="e">
        <f>AND(#REF!,"AAAAAF/fXts=")</f>
        <v>#REF!</v>
      </c>
      <c r="HM156" t="e">
        <f>AND(#REF!,"AAAAAF/fXtw=")</f>
        <v>#REF!</v>
      </c>
      <c r="HN156" t="e">
        <f>AND(#REF!,"AAAAAF/fXt0=")</f>
        <v>#REF!</v>
      </c>
      <c r="HO156" t="e">
        <f>IF(#REF!,"AAAAAF/fXt4=",0)</f>
        <v>#REF!</v>
      </c>
      <c r="HP156" t="e">
        <f>AND(#REF!,"AAAAAF/fXt8=")</f>
        <v>#REF!</v>
      </c>
      <c r="HQ156" t="e">
        <f>AND(#REF!,"AAAAAF/fXuA=")</f>
        <v>#REF!</v>
      </c>
      <c r="HR156" t="e">
        <f>AND(#REF!,"AAAAAF/fXuE=")</f>
        <v>#REF!</v>
      </c>
      <c r="HS156" t="e">
        <f>AND(#REF!,"AAAAAF/fXuI=")</f>
        <v>#REF!</v>
      </c>
      <c r="HT156" t="e">
        <f>AND(#REF!,"AAAAAF/fXuM=")</f>
        <v>#REF!</v>
      </c>
      <c r="HU156" t="e">
        <f>AND(#REF!,"AAAAAF/fXuQ=")</f>
        <v>#REF!</v>
      </c>
      <c r="HV156" t="e">
        <f>AND(#REF!,"AAAAAF/fXuU=")</f>
        <v>#REF!</v>
      </c>
      <c r="HW156" t="e">
        <f>AND(#REF!,"AAAAAF/fXuY=")</f>
        <v>#REF!</v>
      </c>
      <c r="HX156" t="e">
        <f>AND(#REF!,"AAAAAF/fXuc=")</f>
        <v>#REF!</v>
      </c>
      <c r="HY156" t="e">
        <f>AND(#REF!,"AAAAAF/fXug=")</f>
        <v>#REF!</v>
      </c>
      <c r="HZ156" t="e">
        <f>IF(#REF!,"AAAAAF/fXuk=",0)</f>
        <v>#REF!</v>
      </c>
      <c r="IA156" t="e">
        <f>AND(#REF!,"AAAAAF/fXuo=")</f>
        <v>#REF!</v>
      </c>
      <c r="IB156" t="e">
        <f>AND(#REF!,"AAAAAF/fXus=")</f>
        <v>#REF!</v>
      </c>
      <c r="IC156" t="e">
        <f>AND(#REF!,"AAAAAF/fXuw=")</f>
        <v>#REF!</v>
      </c>
      <c r="ID156" t="e">
        <f>AND(#REF!,"AAAAAF/fXu0=")</f>
        <v>#REF!</v>
      </c>
      <c r="IE156" t="e">
        <f>AND(#REF!,"AAAAAF/fXu4=")</f>
        <v>#REF!</v>
      </c>
      <c r="IF156" t="e">
        <f>AND(#REF!,"AAAAAF/fXu8=")</f>
        <v>#REF!</v>
      </c>
      <c r="IG156" t="e">
        <f>AND(#REF!,"AAAAAF/fXvA=")</f>
        <v>#REF!</v>
      </c>
      <c r="IH156" t="e">
        <f>AND(#REF!,"AAAAAF/fXvE=")</f>
        <v>#REF!</v>
      </c>
      <c r="II156" t="e">
        <f>AND(#REF!,"AAAAAF/fXvI=")</f>
        <v>#REF!</v>
      </c>
      <c r="IJ156" t="e">
        <f>AND(#REF!,"AAAAAF/fXvM=")</f>
        <v>#REF!</v>
      </c>
      <c r="IK156" t="e">
        <f>IF(#REF!,"AAAAAF/fXvQ=",0)</f>
        <v>#REF!</v>
      </c>
      <c r="IL156" t="e">
        <f>AND(#REF!,"AAAAAF/fXvU=")</f>
        <v>#REF!</v>
      </c>
      <c r="IM156" t="e">
        <f>AND(#REF!,"AAAAAF/fXvY=")</f>
        <v>#REF!</v>
      </c>
      <c r="IN156" t="e">
        <f>AND(#REF!,"AAAAAF/fXvc=")</f>
        <v>#REF!</v>
      </c>
      <c r="IO156" t="e">
        <f>AND(#REF!,"AAAAAF/fXvg=")</f>
        <v>#REF!</v>
      </c>
      <c r="IP156" t="e">
        <f>AND(#REF!,"AAAAAF/fXvk=")</f>
        <v>#REF!</v>
      </c>
      <c r="IQ156" t="e">
        <f>AND(#REF!,"AAAAAF/fXvo=")</f>
        <v>#REF!</v>
      </c>
      <c r="IR156" t="e">
        <f>AND(#REF!,"AAAAAF/fXvs=")</f>
        <v>#REF!</v>
      </c>
      <c r="IS156" t="e">
        <f>AND(#REF!,"AAAAAF/fXvw=")</f>
        <v>#REF!</v>
      </c>
      <c r="IT156" t="e">
        <f>AND(#REF!,"AAAAAF/fXv0=")</f>
        <v>#REF!</v>
      </c>
      <c r="IU156" t="e">
        <f>AND(#REF!,"AAAAAF/fXv4=")</f>
        <v>#REF!</v>
      </c>
      <c r="IV156" t="e">
        <f>IF(#REF!,"AAAAAF/fXv8=",0)</f>
        <v>#REF!</v>
      </c>
    </row>
    <row r="157" spans="1:256" x14ac:dyDescent="0.25">
      <c r="A157" t="e">
        <f>AND(#REF!,"AAAAAG+/qwA=")</f>
        <v>#REF!</v>
      </c>
      <c r="B157" t="e">
        <f>AND(#REF!,"AAAAAG+/qwE=")</f>
        <v>#REF!</v>
      </c>
      <c r="C157" t="e">
        <f>AND(#REF!,"AAAAAG+/qwI=")</f>
        <v>#REF!</v>
      </c>
      <c r="D157" t="e">
        <f>AND(#REF!,"AAAAAG+/qwM=")</f>
        <v>#REF!</v>
      </c>
      <c r="E157" t="e">
        <f>AND(#REF!,"AAAAAG+/qwQ=")</f>
        <v>#REF!</v>
      </c>
      <c r="F157" t="e">
        <f>AND(#REF!,"AAAAAG+/qwU=")</f>
        <v>#REF!</v>
      </c>
      <c r="G157" t="e">
        <f>AND(#REF!,"AAAAAG+/qwY=")</f>
        <v>#REF!</v>
      </c>
      <c r="H157" t="e">
        <f>AND(#REF!,"AAAAAG+/qwc=")</f>
        <v>#REF!</v>
      </c>
      <c r="I157" t="e">
        <f>AND(#REF!,"AAAAAG+/qwg=")</f>
        <v>#REF!</v>
      </c>
      <c r="J157" t="e">
        <f>AND(#REF!,"AAAAAG+/qwk=")</f>
        <v>#REF!</v>
      </c>
      <c r="K157" t="e">
        <f>IF(#REF!,"AAAAAG+/qwo=",0)</f>
        <v>#REF!</v>
      </c>
      <c r="L157" t="e">
        <f>AND(#REF!,"AAAAAG+/qws=")</f>
        <v>#REF!</v>
      </c>
      <c r="M157" t="e">
        <f>AND(#REF!,"AAAAAG+/qww=")</f>
        <v>#REF!</v>
      </c>
      <c r="N157" t="e">
        <f>AND(#REF!,"AAAAAG+/qw0=")</f>
        <v>#REF!</v>
      </c>
      <c r="O157" t="e">
        <f>AND(#REF!,"AAAAAG+/qw4=")</f>
        <v>#REF!</v>
      </c>
      <c r="P157" t="e">
        <f>AND(#REF!,"AAAAAG+/qw8=")</f>
        <v>#REF!</v>
      </c>
      <c r="Q157" t="e">
        <f>AND(#REF!,"AAAAAG+/qxA=")</f>
        <v>#REF!</v>
      </c>
      <c r="R157" t="e">
        <f>AND(#REF!,"AAAAAG+/qxE=")</f>
        <v>#REF!</v>
      </c>
      <c r="S157" t="e">
        <f>AND(#REF!,"AAAAAG+/qxI=")</f>
        <v>#REF!</v>
      </c>
      <c r="T157" t="e">
        <f>AND(#REF!,"AAAAAG+/qxM=")</f>
        <v>#REF!</v>
      </c>
      <c r="U157" t="e">
        <f>AND(#REF!,"AAAAAG+/qxQ=")</f>
        <v>#REF!</v>
      </c>
      <c r="V157" t="e">
        <f>IF(#REF!,"AAAAAG+/qxU=",0)</f>
        <v>#REF!</v>
      </c>
      <c r="W157" t="e">
        <f>AND(#REF!,"AAAAAG+/qxY=")</f>
        <v>#REF!</v>
      </c>
      <c r="X157" t="e">
        <f>AND(#REF!,"AAAAAG+/qxc=")</f>
        <v>#REF!</v>
      </c>
      <c r="Y157" t="e">
        <f>AND(#REF!,"AAAAAG+/qxg=")</f>
        <v>#REF!</v>
      </c>
      <c r="Z157" t="e">
        <f>AND(#REF!,"AAAAAG+/qxk=")</f>
        <v>#REF!</v>
      </c>
      <c r="AA157" t="e">
        <f>AND(#REF!,"AAAAAG+/qxo=")</f>
        <v>#REF!</v>
      </c>
      <c r="AB157" t="e">
        <f>AND(#REF!,"AAAAAG+/qxs=")</f>
        <v>#REF!</v>
      </c>
      <c r="AC157" t="e">
        <f>AND(#REF!,"AAAAAG+/qxw=")</f>
        <v>#REF!</v>
      </c>
      <c r="AD157" t="e">
        <f>AND(#REF!,"AAAAAG+/qx0=")</f>
        <v>#REF!</v>
      </c>
      <c r="AE157" t="e">
        <f>AND(#REF!,"AAAAAG+/qx4=")</f>
        <v>#REF!</v>
      </c>
      <c r="AF157" t="e">
        <f>AND(#REF!,"AAAAAG+/qx8=")</f>
        <v>#REF!</v>
      </c>
      <c r="AG157" t="e">
        <f>IF(#REF!,"AAAAAG+/qyA=",0)</f>
        <v>#REF!</v>
      </c>
      <c r="AH157" t="e">
        <f>AND(#REF!,"AAAAAG+/qyE=")</f>
        <v>#REF!</v>
      </c>
      <c r="AI157" t="e">
        <f>AND(#REF!,"AAAAAG+/qyI=")</f>
        <v>#REF!</v>
      </c>
      <c r="AJ157" t="e">
        <f>AND(#REF!,"AAAAAG+/qyM=")</f>
        <v>#REF!</v>
      </c>
      <c r="AK157" t="e">
        <f>AND(#REF!,"AAAAAG+/qyQ=")</f>
        <v>#REF!</v>
      </c>
      <c r="AL157" t="e">
        <f>AND(#REF!,"AAAAAG+/qyU=")</f>
        <v>#REF!</v>
      </c>
      <c r="AM157" t="e">
        <f>AND(#REF!,"AAAAAG+/qyY=")</f>
        <v>#REF!</v>
      </c>
      <c r="AN157" t="e">
        <f>AND(#REF!,"AAAAAG+/qyc=")</f>
        <v>#REF!</v>
      </c>
      <c r="AO157" t="e">
        <f>AND(#REF!,"AAAAAG+/qyg=")</f>
        <v>#REF!</v>
      </c>
      <c r="AP157" t="e">
        <f>AND(#REF!,"AAAAAG+/qyk=")</f>
        <v>#REF!</v>
      </c>
      <c r="AQ157" t="e">
        <f>AND(#REF!,"AAAAAG+/qyo=")</f>
        <v>#REF!</v>
      </c>
      <c r="AR157" t="e">
        <f>IF(#REF!,"AAAAAG+/qys=",0)</f>
        <v>#REF!</v>
      </c>
      <c r="AS157" t="e">
        <f>AND(#REF!,"AAAAAG+/qyw=")</f>
        <v>#REF!</v>
      </c>
      <c r="AT157" t="e">
        <f>AND(#REF!,"AAAAAG+/qy0=")</f>
        <v>#REF!</v>
      </c>
      <c r="AU157" t="e">
        <f>AND(#REF!,"AAAAAG+/qy4=")</f>
        <v>#REF!</v>
      </c>
      <c r="AV157" t="e">
        <f>AND(#REF!,"AAAAAG+/qy8=")</f>
        <v>#REF!</v>
      </c>
      <c r="AW157" t="e">
        <f>AND(#REF!,"AAAAAG+/qzA=")</f>
        <v>#REF!</v>
      </c>
      <c r="AX157" t="e">
        <f>AND(#REF!,"AAAAAG+/qzE=")</f>
        <v>#REF!</v>
      </c>
      <c r="AY157" t="e">
        <f>AND(#REF!,"AAAAAG+/qzI=")</f>
        <v>#REF!</v>
      </c>
      <c r="AZ157" t="e">
        <f>AND(#REF!,"AAAAAG+/qzM=")</f>
        <v>#REF!</v>
      </c>
      <c r="BA157" t="e">
        <f>AND(#REF!,"AAAAAG+/qzQ=")</f>
        <v>#REF!</v>
      </c>
      <c r="BB157" t="e">
        <f>AND(#REF!,"AAAAAG+/qzU=")</f>
        <v>#REF!</v>
      </c>
      <c r="BC157" t="e">
        <f>IF(#REF!,"AAAAAG+/qzY=",0)</f>
        <v>#REF!</v>
      </c>
      <c r="BD157" t="e">
        <f>AND(#REF!,"AAAAAG+/qzc=")</f>
        <v>#REF!</v>
      </c>
      <c r="BE157" t="e">
        <f>AND(#REF!,"AAAAAG+/qzg=")</f>
        <v>#REF!</v>
      </c>
      <c r="BF157" t="e">
        <f>AND(#REF!,"AAAAAG+/qzk=")</f>
        <v>#REF!</v>
      </c>
      <c r="BG157" t="e">
        <f>AND(#REF!,"AAAAAG+/qzo=")</f>
        <v>#REF!</v>
      </c>
      <c r="BH157" t="e">
        <f>AND(#REF!,"AAAAAG+/qzs=")</f>
        <v>#REF!</v>
      </c>
      <c r="BI157" t="e">
        <f>AND(#REF!,"AAAAAG+/qzw=")</f>
        <v>#REF!</v>
      </c>
      <c r="BJ157" t="e">
        <f>AND(#REF!,"AAAAAG+/qz0=")</f>
        <v>#REF!</v>
      </c>
      <c r="BK157" t="e">
        <f>AND(#REF!,"AAAAAG+/qz4=")</f>
        <v>#REF!</v>
      </c>
      <c r="BL157" t="e">
        <f>AND(#REF!,"AAAAAG+/qz8=")</f>
        <v>#REF!</v>
      </c>
      <c r="BM157" t="e">
        <f>AND(#REF!,"AAAAAG+/q0A=")</f>
        <v>#REF!</v>
      </c>
      <c r="BN157" t="e">
        <f>IF(#REF!,"AAAAAG+/q0E=",0)</f>
        <v>#REF!</v>
      </c>
      <c r="BO157" t="e">
        <f>AND(#REF!,"AAAAAG+/q0I=")</f>
        <v>#REF!</v>
      </c>
      <c r="BP157" t="e">
        <f>AND(#REF!,"AAAAAG+/q0M=")</f>
        <v>#REF!</v>
      </c>
      <c r="BQ157" t="e">
        <f>AND(#REF!,"AAAAAG+/q0Q=")</f>
        <v>#REF!</v>
      </c>
      <c r="BR157" t="e">
        <f>AND(#REF!,"AAAAAG+/q0U=")</f>
        <v>#REF!</v>
      </c>
      <c r="BS157" t="e">
        <f>AND(#REF!,"AAAAAG+/q0Y=")</f>
        <v>#REF!</v>
      </c>
      <c r="BT157" t="e">
        <f>AND(#REF!,"AAAAAG+/q0c=")</f>
        <v>#REF!</v>
      </c>
      <c r="BU157" t="e">
        <f>AND(#REF!,"AAAAAG+/q0g=")</f>
        <v>#REF!</v>
      </c>
      <c r="BV157" t="e">
        <f>AND(#REF!,"AAAAAG+/q0k=")</f>
        <v>#REF!</v>
      </c>
      <c r="BW157" t="e">
        <f>AND(#REF!,"AAAAAG+/q0o=")</f>
        <v>#REF!</v>
      </c>
      <c r="BX157" t="e">
        <f>AND(#REF!,"AAAAAG+/q0s=")</f>
        <v>#REF!</v>
      </c>
      <c r="BY157" t="e">
        <f>IF(#REF!,"AAAAAG+/q0w=",0)</f>
        <v>#REF!</v>
      </c>
      <c r="BZ157" t="e">
        <f>AND(#REF!,"AAAAAG+/q00=")</f>
        <v>#REF!</v>
      </c>
      <c r="CA157" t="e">
        <f>AND(#REF!,"AAAAAG+/q04=")</f>
        <v>#REF!</v>
      </c>
      <c r="CB157" t="e">
        <f>AND(#REF!,"AAAAAG+/q08=")</f>
        <v>#REF!</v>
      </c>
      <c r="CC157" t="e">
        <f>AND(#REF!,"AAAAAG+/q1A=")</f>
        <v>#REF!</v>
      </c>
      <c r="CD157" t="e">
        <f>AND(#REF!,"AAAAAG+/q1E=")</f>
        <v>#REF!</v>
      </c>
      <c r="CE157" t="e">
        <f>AND(#REF!,"AAAAAG+/q1I=")</f>
        <v>#REF!</v>
      </c>
      <c r="CF157" t="e">
        <f>AND(#REF!,"AAAAAG+/q1M=")</f>
        <v>#REF!</v>
      </c>
      <c r="CG157" t="e">
        <f>AND(#REF!,"AAAAAG+/q1Q=")</f>
        <v>#REF!</v>
      </c>
      <c r="CH157" t="e">
        <f>AND(#REF!,"AAAAAG+/q1U=")</f>
        <v>#REF!</v>
      </c>
      <c r="CI157" t="e">
        <f>AND(#REF!,"AAAAAG+/q1Y=")</f>
        <v>#REF!</v>
      </c>
      <c r="CJ157" t="e">
        <f>IF(#REF!,"AAAAAG+/q1c=",0)</f>
        <v>#REF!</v>
      </c>
      <c r="CK157" t="e">
        <f>AND(#REF!,"AAAAAG+/q1g=")</f>
        <v>#REF!</v>
      </c>
      <c r="CL157" t="e">
        <f>AND(#REF!,"AAAAAG+/q1k=")</f>
        <v>#REF!</v>
      </c>
      <c r="CM157" t="e">
        <f>AND(#REF!,"AAAAAG+/q1o=")</f>
        <v>#REF!</v>
      </c>
      <c r="CN157" t="e">
        <f>AND(#REF!,"AAAAAG+/q1s=")</f>
        <v>#REF!</v>
      </c>
      <c r="CO157" t="e">
        <f>AND(#REF!,"AAAAAG+/q1w=")</f>
        <v>#REF!</v>
      </c>
      <c r="CP157" t="e">
        <f>AND(#REF!,"AAAAAG+/q10=")</f>
        <v>#REF!</v>
      </c>
      <c r="CQ157" t="e">
        <f>AND(#REF!,"AAAAAG+/q14=")</f>
        <v>#REF!</v>
      </c>
      <c r="CR157" t="e">
        <f>AND(#REF!,"AAAAAG+/q18=")</f>
        <v>#REF!</v>
      </c>
      <c r="CS157" t="e">
        <f>AND(#REF!,"AAAAAG+/q2A=")</f>
        <v>#REF!</v>
      </c>
      <c r="CT157" t="e">
        <f>AND(#REF!,"AAAAAG+/q2E=")</f>
        <v>#REF!</v>
      </c>
      <c r="CU157" t="e">
        <f>IF(#REF!,"AAAAAG+/q2I=",0)</f>
        <v>#REF!</v>
      </c>
      <c r="CV157" t="e">
        <f>AND(#REF!,"AAAAAG+/q2M=")</f>
        <v>#REF!</v>
      </c>
      <c r="CW157" t="e">
        <f>AND(#REF!,"AAAAAG+/q2Q=")</f>
        <v>#REF!</v>
      </c>
      <c r="CX157" t="e">
        <f>AND(#REF!,"AAAAAG+/q2U=")</f>
        <v>#REF!</v>
      </c>
      <c r="CY157" t="e">
        <f>AND(#REF!,"AAAAAG+/q2Y=")</f>
        <v>#REF!</v>
      </c>
      <c r="CZ157" t="e">
        <f>AND(#REF!,"AAAAAG+/q2c=")</f>
        <v>#REF!</v>
      </c>
      <c r="DA157" t="e">
        <f>AND(#REF!,"AAAAAG+/q2g=")</f>
        <v>#REF!</v>
      </c>
      <c r="DB157" t="e">
        <f>AND(#REF!,"AAAAAG+/q2k=")</f>
        <v>#REF!</v>
      </c>
      <c r="DC157" t="e">
        <f>AND(#REF!,"AAAAAG+/q2o=")</f>
        <v>#REF!</v>
      </c>
      <c r="DD157" t="e">
        <f>AND(#REF!,"AAAAAG+/q2s=")</f>
        <v>#REF!</v>
      </c>
      <c r="DE157" t="e">
        <f>AND(#REF!,"AAAAAG+/q2w=")</f>
        <v>#REF!</v>
      </c>
      <c r="DF157" t="e">
        <f>IF(#REF!,"AAAAAG+/q20=",0)</f>
        <v>#REF!</v>
      </c>
      <c r="DG157" t="e">
        <f>AND(#REF!,"AAAAAG+/q24=")</f>
        <v>#REF!</v>
      </c>
      <c r="DH157" t="e">
        <f>AND(#REF!,"AAAAAG+/q28=")</f>
        <v>#REF!</v>
      </c>
      <c r="DI157" t="e">
        <f>AND(#REF!,"AAAAAG+/q3A=")</f>
        <v>#REF!</v>
      </c>
      <c r="DJ157" t="e">
        <f>AND(#REF!,"AAAAAG+/q3E=")</f>
        <v>#REF!</v>
      </c>
      <c r="DK157" t="e">
        <f>AND(#REF!,"AAAAAG+/q3I=")</f>
        <v>#REF!</v>
      </c>
      <c r="DL157" t="e">
        <f>AND(#REF!,"AAAAAG+/q3M=")</f>
        <v>#REF!</v>
      </c>
      <c r="DM157" t="e">
        <f>AND(#REF!,"AAAAAG+/q3Q=")</f>
        <v>#REF!</v>
      </c>
      <c r="DN157" t="e">
        <f>AND(#REF!,"AAAAAG+/q3U=")</f>
        <v>#REF!</v>
      </c>
      <c r="DO157" t="e">
        <f>AND(#REF!,"AAAAAG+/q3Y=")</f>
        <v>#REF!</v>
      </c>
      <c r="DP157" t="e">
        <f>AND(#REF!,"AAAAAG+/q3c=")</f>
        <v>#REF!</v>
      </c>
      <c r="DQ157" t="e">
        <f>IF(#REF!,"AAAAAG+/q3g=",0)</f>
        <v>#REF!</v>
      </c>
      <c r="DR157" t="e">
        <f>AND(#REF!,"AAAAAG+/q3k=")</f>
        <v>#REF!</v>
      </c>
      <c r="DS157" t="e">
        <f>AND(#REF!,"AAAAAG+/q3o=")</f>
        <v>#REF!</v>
      </c>
      <c r="DT157" t="e">
        <f>AND(#REF!,"AAAAAG+/q3s=")</f>
        <v>#REF!</v>
      </c>
      <c r="DU157" t="e">
        <f>AND(#REF!,"AAAAAG+/q3w=")</f>
        <v>#REF!</v>
      </c>
      <c r="DV157" t="e">
        <f>AND(#REF!,"AAAAAG+/q30=")</f>
        <v>#REF!</v>
      </c>
      <c r="DW157" t="e">
        <f>AND(#REF!,"AAAAAG+/q34=")</f>
        <v>#REF!</v>
      </c>
      <c r="DX157" t="e">
        <f>AND(#REF!,"AAAAAG+/q38=")</f>
        <v>#REF!</v>
      </c>
      <c r="DY157" t="e">
        <f>AND(#REF!,"AAAAAG+/q4A=")</f>
        <v>#REF!</v>
      </c>
      <c r="DZ157" t="e">
        <f>AND(#REF!,"AAAAAG+/q4E=")</f>
        <v>#REF!</v>
      </c>
      <c r="EA157" t="e">
        <f>AND(#REF!,"AAAAAG+/q4I=")</f>
        <v>#REF!</v>
      </c>
      <c r="EB157" t="e">
        <f>IF(#REF!,"AAAAAG+/q4M=",0)</f>
        <v>#REF!</v>
      </c>
      <c r="EC157" t="e">
        <f>AND(#REF!,"AAAAAG+/q4Q=")</f>
        <v>#REF!</v>
      </c>
      <c r="ED157" t="e">
        <f>AND(#REF!,"AAAAAG+/q4U=")</f>
        <v>#REF!</v>
      </c>
      <c r="EE157" t="e">
        <f>AND(#REF!,"AAAAAG+/q4Y=")</f>
        <v>#REF!</v>
      </c>
      <c r="EF157" t="e">
        <f>AND(#REF!,"AAAAAG+/q4c=")</f>
        <v>#REF!</v>
      </c>
      <c r="EG157" t="e">
        <f>AND(#REF!,"AAAAAG+/q4g=")</f>
        <v>#REF!</v>
      </c>
      <c r="EH157" t="e">
        <f>AND(#REF!,"AAAAAG+/q4k=")</f>
        <v>#REF!</v>
      </c>
      <c r="EI157" t="e">
        <f>AND(#REF!,"AAAAAG+/q4o=")</f>
        <v>#REF!</v>
      </c>
      <c r="EJ157" t="e">
        <f>AND(#REF!,"AAAAAG+/q4s=")</f>
        <v>#REF!</v>
      </c>
      <c r="EK157" t="e">
        <f>AND(#REF!,"AAAAAG+/q4w=")</f>
        <v>#REF!</v>
      </c>
      <c r="EL157" t="e">
        <f>AND(#REF!,"AAAAAG+/q40=")</f>
        <v>#REF!</v>
      </c>
      <c r="EM157" t="e">
        <f>IF(#REF!,"AAAAAG+/q44=",0)</f>
        <v>#REF!</v>
      </c>
      <c r="EN157" t="e">
        <f>AND(#REF!,"AAAAAG+/q48=")</f>
        <v>#REF!</v>
      </c>
      <c r="EO157" t="e">
        <f>AND(#REF!,"AAAAAG+/q5A=")</f>
        <v>#REF!</v>
      </c>
      <c r="EP157" t="e">
        <f>AND(#REF!,"AAAAAG+/q5E=")</f>
        <v>#REF!</v>
      </c>
      <c r="EQ157" t="e">
        <f>AND(#REF!,"AAAAAG+/q5I=")</f>
        <v>#REF!</v>
      </c>
      <c r="ER157" t="e">
        <f>AND(#REF!,"AAAAAG+/q5M=")</f>
        <v>#REF!</v>
      </c>
      <c r="ES157" t="e">
        <f>AND(#REF!,"AAAAAG+/q5Q=")</f>
        <v>#REF!</v>
      </c>
      <c r="ET157" t="e">
        <f>AND(#REF!,"AAAAAG+/q5U=")</f>
        <v>#REF!</v>
      </c>
      <c r="EU157" t="e">
        <f>AND(#REF!,"AAAAAG+/q5Y=")</f>
        <v>#REF!</v>
      </c>
      <c r="EV157" t="e">
        <f>AND(#REF!,"AAAAAG+/q5c=")</f>
        <v>#REF!</v>
      </c>
      <c r="EW157" t="e">
        <f>AND(#REF!,"AAAAAG+/q5g=")</f>
        <v>#REF!</v>
      </c>
      <c r="EX157" t="e">
        <f>IF(#REF!,"AAAAAG+/q5k=",0)</f>
        <v>#REF!</v>
      </c>
      <c r="EY157" t="e">
        <f>AND(#REF!,"AAAAAG+/q5o=")</f>
        <v>#REF!</v>
      </c>
      <c r="EZ157" t="e">
        <f>AND(#REF!,"AAAAAG+/q5s=")</f>
        <v>#REF!</v>
      </c>
      <c r="FA157" t="e">
        <f>AND(#REF!,"AAAAAG+/q5w=")</f>
        <v>#REF!</v>
      </c>
      <c r="FB157" t="e">
        <f>AND(#REF!,"AAAAAG+/q50=")</f>
        <v>#REF!</v>
      </c>
      <c r="FC157" t="e">
        <f>AND(#REF!,"AAAAAG+/q54=")</f>
        <v>#REF!</v>
      </c>
      <c r="FD157" t="e">
        <f>AND(#REF!,"AAAAAG+/q58=")</f>
        <v>#REF!</v>
      </c>
      <c r="FE157" t="e">
        <f>AND(#REF!,"AAAAAG+/q6A=")</f>
        <v>#REF!</v>
      </c>
      <c r="FF157" t="e">
        <f>AND(#REF!,"AAAAAG+/q6E=")</f>
        <v>#REF!</v>
      </c>
      <c r="FG157" t="e">
        <f>AND(#REF!,"AAAAAG+/q6I=")</f>
        <v>#REF!</v>
      </c>
      <c r="FH157" t="e">
        <f>AND(#REF!,"AAAAAG+/q6M=")</f>
        <v>#REF!</v>
      </c>
      <c r="FI157" t="e">
        <f>IF(#REF!,"AAAAAG+/q6Q=",0)</f>
        <v>#REF!</v>
      </c>
      <c r="FJ157" t="e">
        <f>AND(#REF!,"AAAAAG+/q6U=")</f>
        <v>#REF!</v>
      </c>
      <c r="FK157" t="e">
        <f>AND(#REF!,"AAAAAG+/q6Y=")</f>
        <v>#REF!</v>
      </c>
      <c r="FL157" t="e">
        <f>AND(#REF!,"AAAAAG+/q6c=")</f>
        <v>#REF!</v>
      </c>
      <c r="FM157" t="e">
        <f>AND(#REF!,"AAAAAG+/q6g=")</f>
        <v>#REF!</v>
      </c>
      <c r="FN157" t="e">
        <f>AND(#REF!,"AAAAAG+/q6k=")</f>
        <v>#REF!</v>
      </c>
      <c r="FO157" t="e">
        <f>AND(#REF!,"AAAAAG+/q6o=")</f>
        <v>#REF!</v>
      </c>
      <c r="FP157" t="e">
        <f>AND(#REF!,"AAAAAG+/q6s=")</f>
        <v>#REF!</v>
      </c>
      <c r="FQ157" t="e">
        <f>AND(#REF!,"AAAAAG+/q6w=")</f>
        <v>#REF!</v>
      </c>
      <c r="FR157" t="e">
        <f>AND(#REF!,"AAAAAG+/q60=")</f>
        <v>#REF!</v>
      </c>
      <c r="FS157" t="e">
        <f>AND(#REF!,"AAAAAG+/q64=")</f>
        <v>#REF!</v>
      </c>
      <c r="FT157" t="e">
        <f>IF(#REF!,"AAAAAG+/q68=",0)</f>
        <v>#REF!</v>
      </c>
      <c r="FU157" t="e">
        <f>AND(#REF!,"AAAAAG+/q7A=")</f>
        <v>#REF!</v>
      </c>
      <c r="FV157" t="e">
        <f>AND(#REF!,"AAAAAG+/q7E=")</f>
        <v>#REF!</v>
      </c>
      <c r="FW157" t="e">
        <f>AND(#REF!,"AAAAAG+/q7I=")</f>
        <v>#REF!</v>
      </c>
      <c r="FX157" t="e">
        <f>AND(#REF!,"AAAAAG+/q7M=")</f>
        <v>#REF!</v>
      </c>
      <c r="FY157" t="e">
        <f>AND(#REF!,"AAAAAG+/q7Q=")</f>
        <v>#REF!</v>
      </c>
      <c r="FZ157" t="e">
        <f>AND(#REF!,"AAAAAG+/q7U=")</f>
        <v>#REF!</v>
      </c>
      <c r="GA157" t="e">
        <f>AND(#REF!,"AAAAAG+/q7Y=")</f>
        <v>#REF!</v>
      </c>
      <c r="GB157" t="e">
        <f>AND(#REF!,"AAAAAG+/q7c=")</f>
        <v>#REF!</v>
      </c>
      <c r="GC157" t="e">
        <f>AND(#REF!,"AAAAAG+/q7g=")</f>
        <v>#REF!</v>
      </c>
      <c r="GD157" t="e">
        <f>AND(#REF!,"AAAAAG+/q7k=")</f>
        <v>#REF!</v>
      </c>
      <c r="GE157" t="e">
        <f>IF(#REF!,"AAAAAG+/q7o=",0)</f>
        <v>#REF!</v>
      </c>
      <c r="GF157" t="e">
        <f>AND(#REF!,"AAAAAG+/q7s=")</f>
        <v>#REF!</v>
      </c>
      <c r="GG157" t="e">
        <f>AND(#REF!,"AAAAAG+/q7w=")</f>
        <v>#REF!</v>
      </c>
      <c r="GH157" t="e">
        <f>AND(#REF!,"AAAAAG+/q70=")</f>
        <v>#REF!</v>
      </c>
      <c r="GI157" t="e">
        <f>AND(#REF!,"AAAAAG+/q74=")</f>
        <v>#REF!</v>
      </c>
      <c r="GJ157" t="e">
        <f>AND(#REF!,"AAAAAG+/q78=")</f>
        <v>#REF!</v>
      </c>
      <c r="GK157" t="e">
        <f>AND(#REF!,"AAAAAG+/q8A=")</f>
        <v>#REF!</v>
      </c>
      <c r="GL157" t="e">
        <f>AND(#REF!,"AAAAAG+/q8E=")</f>
        <v>#REF!</v>
      </c>
      <c r="GM157" t="e">
        <f>AND(#REF!,"AAAAAG+/q8I=")</f>
        <v>#REF!</v>
      </c>
      <c r="GN157" t="e">
        <f>AND(#REF!,"AAAAAG+/q8M=")</f>
        <v>#REF!</v>
      </c>
      <c r="GO157" t="e">
        <f>AND(#REF!,"AAAAAG+/q8Q=")</f>
        <v>#REF!</v>
      </c>
      <c r="GP157" t="e">
        <f>IF(#REF!,"AAAAAG+/q8U=",0)</f>
        <v>#REF!</v>
      </c>
      <c r="GQ157" t="e">
        <f>AND(#REF!,"AAAAAG+/q8Y=")</f>
        <v>#REF!</v>
      </c>
      <c r="GR157" t="e">
        <f>AND(#REF!,"AAAAAG+/q8c=")</f>
        <v>#REF!</v>
      </c>
      <c r="GS157" t="e">
        <f>AND(#REF!,"AAAAAG+/q8g=")</f>
        <v>#REF!</v>
      </c>
      <c r="GT157" t="e">
        <f>AND(#REF!,"AAAAAG+/q8k=")</f>
        <v>#REF!</v>
      </c>
      <c r="GU157" t="e">
        <f>AND(#REF!,"AAAAAG+/q8o=")</f>
        <v>#REF!</v>
      </c>
      <c r="GV157" t="e">
        <f>AND(#REF!,"AAAAAG+/q8s=")</f>
        <v>#REF!</v>
      </c>
      <c r="GW157" t="e">
        <f>AND(#REF!,"AAAAAG+/q8w=")</f>
        <v>#REF!</v>
      </c>
      <c r="GX157" t="e">
        <f>AND(#REF!,"AAAAAG+/q80=")</f>
        <v>#REF!</v>
      </c>
      <c r="GY157" t="e">
        <f>AND(#REF!,"AAAAAG+/q84=")</f>
        <v>#REF!</v>
      </c>
      <c r="GZ157" t="e">
        <f>AND(#REF!,"AAAAAG+/q88=")</f>
        <v>#REF!</v>
      </c>
      <c r="HA157" t="e">
        <f>IF(#REF!,"AAAAAG+/q9A=",0)</f>
        <v>#REF!</v>
      </c>
      <c r="HB157" t="e">
        <f>AND(#REF!,"AAAAAG+/q9E=")</f>
        <v>#REF!</v>
      </c>
      <c r="HC157" t="e">
        <f>AND(#REF!,"AAAAAG+/q9I=")</f>
        <v>#REF!</v>
      </c>
      <c r="HD157" t="e">
        <f>AND(#REF!,"AAAAAG+/q9M=")</f>
        <v>#REF!</v>
      </c>
      <c r="HE157" t="e">
        <f>AND(#REF!,"AAAAAG+/q9Q=")</f>
        <v>#REF!</v>
      </c>
      <c r="HF157" t="e">
        <f>AND(#REF!,"AAAAAG+/q9U=")</f>
        <v>#REF!</v>
      </c>
      <c r="HG157" t="e">
        <f>AND(#REF!,"AAAAAG+/q9Y=")</f>
        <v>#REF!</v>
      </c>
      <c r="HH157" t="e">
        <f>AND(#REF!,"AAAAAG+/q9c=")</f>
        <v>#REF!</v>
      </c>
      <c r="HI157" t="e">
        <f>AND(#REF!,"AAAAAG+/q9g=")</f>
        <v>#REF!</v>
      </c>
      <c r="HJ157" t="e">
        <f>AND(#REF!,"AAAAAG+/q9k=")</f>
        <v>#REF!</v>
      </c>
      <c r="HK157" t="e">
        <f>AND(#REF!,"AAAAAG+/q9o=")</f>
        <v>#REF!</v>
      </c>
      <c r="HL157" t="e">
        <f>IF(#REF!,"AAAAAG+/q9s=",0)</f>
        <v>#REF!</v>
      </c>
      <c r="HM157" t="e">
        <f>AND(#REF!,"AAAAAG+/q9w=")</f>
        <v>#REF!</v>
      </c>
      <c r="HN157" t="e">
        <f>AND(#REF!,"AAAAAG+/q90=")</f>
        <v>#REF!</v>
      </c>
      <c r="HO157" t="e">
        <f>AND(#REF!,"AAAAAG+/q94=")</f>
        <v>#REF!</v>
      </c>
      <c r="HP157" t="e">
        <f>AND(#REF!,"AAAAAG+/q98=")</f>
        <v>#REF!</v>
      </c>
      <c r="HQ157" t="e">
        <f>AND(#REF!,"AAAAAG+/q+A=")</f>
        <v>#REF!</v>
      </c>
      <c r="HR157" t="e">
        <f>AND(#REF!,"AAAAAG+/q+E=")</f>
        <v>#REF!</v>
      </c>
      <c r="HS157" t="e">
        <f>AND(#REF!,"AAAAAG+/q+I=")</f>
        <v>#REF!</v>
      </c>
      <c r="HT157" t="e">
        <f>AND(#REF!,"AAAAAG+/q+M=")</f>
        <v>#REF!</v>
      </c>
      <c r="HU157" t="e">
        <f>AND(#REF!,"AAAAAG+/q+Q=")</f>
        <v>#REF!</v>
      </c>
      <c r="HV157" t="e">
        <f>AND(#REF!,"AAAAAG+/q+U=")</f>
        <v>#REF!</v>
      </c>
      <c r="HW157" t="e">
        <f>IF(#REF!,"AAAAAG+/q+Y=",0)</f>
        <v>#REF!</v>
      </c>
      <c r="HX157" t="e">
        <f>AND(#REF!,"AAAAAG+/q+c=")</f>
        <v>#REF!</v>
      </c>
      <c r="HY157" t="e">
        <f>AND(#REF!,"AAAAAG+/q+g=")</f>
        <v>#REF!</v>
      </c>
      <c r="HZ157" t="e">
        <f>AND(#REF!,"AAAAAG+/q+k=")</f>
        <v>#REF!</v>
      </c>
      <c r="IA157" t="e">
        <f>AND(#REF!,"AAAAAG+/q+o=")</f>
        <v>#REF!</v>
      </c>
      <c r="IB157" t="e">
        <f>AND(#REF!,"AAAAAG+/q+s=")</f>
        <v>#REF!</v>
      </c>
      <c r="IC157" t="e">
        <f>AND(#REF!,"AAAAAG+/q+w=")</f>
        <v>#REF!</v>
      </c>
      <c r="ID157" t="e">
        <f>AND(#REF!,"AAAAAG+/q+0=")</f>
        <v>#REF!</v>
      </c>
      <c r="IE157" t="e">
        <f>AND(#REF!,"AAAAAG+/q+4=")</f>
        <v>#REF!</v>
      </c>
      <c r="IF157" t="e">
        <f>AND(#REF!,"AAAAAG+/q+8=")</f>
        <v>#REF!</v>
      </c>
      <c r="IG157" t="e">
        <f>AND(#REF!,"AAAAAG+/q/A=")</f>
        <v>#REF!</v>
      </c>
      <c r="IH157" t="e">
        <f>IF(#REF!,"AAAAAG+/q/E=",0)</f>
        <v>#REF!</v>
      </c>
      <c r="II157" t="e">
        <f>AND(#REF!,"AAAAAG+/q/I=")</f>
        <v>#REF!</v>
      </c>
      <c r="IJ157" t="e">
        <f>AND(#REF!,"AAAAAG+/q/M=")</f>
        <v>#REF!</v>
      </c>
      <c r="IK157" t="e">
        <f>AND(#REF!,"AAAAAG+/q/Q=")</f>
        <v>#REF!</v>
      </c>
      <c r="IL157" t="e">
        <f>AND(#REF!,"AAAAAG+/q/U=")</f>
        <v>#REF!</v>
      </c>
      <c r="IM157" t="e">
        <f>AND(#REF!,"AAAAAG+/q/Y=")</f>
        <v>#REF!</v>
      </c>
      <c r="IN157" t="e">
        <f>AND(#REF!,"AAAAAG+/q/c=")</f>
        <v>#REF!</v>
      </c>
      <c r="IO157" t="e">
        <f>AND(#REF!,"AAAAAG+/q/g=")</f>
        <v>#REF!</v>
      </c>
      <c r="IP157" t="e">
        <f>AND(#REF!,"AAAAAG+/q/k=")</f>
        <v>#REF!</v>
      </c>
      <c r="IQ157" t="e">
        <f>AND(#REF!,"AAAAAG+/q/o=")</f>
        <v>#REF!</v>
      </c>
      <c r="IR157" t="e">
        <f>AND(#REF!,"AAAAAG+/q/s=")</f>
        <v>#REF!</v>
      </c>
      <c r="IS157" t="e">
        <f>IF(#REF!,"AAAAAG+/q/w=",0)</f>
        <v>#REF!</v>
      </c>
      <c r="IT157" t="e">
        <f>AND(#REF!,"AAAAAG+/q/0=")</f>
        <v>#REF!</v>
      </c>
      <c r="IU157" t="e">
        <f>AND(#REF!,"AAAAAG+/q/4=")</f>
        <v>#REF!</v>
      </c>
      <c r="IV157" t="e">
        <f>AND(#REF!,"AAAAAG+/q/8=")</f>
        <v>#REF!</v>
      </c>
    </row>
    <row r="158" spans="1:256" x14ac:dyDescent="0.25">
      <c r="A158" t="e">
        <f>AND(#REF!,"AAAAAF58/wA=")</f>
        <v>#REF!</v>
      </c>
      <c r="B158" t="e">
        <f>AND(#REF!,"AAAAAF58/wE=")</f>
        <v>#REF!</v>
      </c>
      <c r="C158" t="e">
        <f>AND(#REF!,"AAAAAF58/wI=")</f>
        <v>#REF!</v>
      </c>
      <c r="D158" t="e">
        <f>AND(#REF!,"AAAAAF58/wM=")</f>
        <v>#REF!</v>
      </c>
      <c r="E158" t="e">
        <f>AND(#REF!,"AAAAAF58/wQ=")</f>
        <v>#REF!</v>
      </c>
      <c r="F158" t="e">
        <f>AND(#REF!,"AAAAAF58/wU=")</f>
        <v>#REF!</v>
      </c>
      <c r="G158" t="e">
        <f>AND(#REF!,"AAAAAF58/wY=")</f>
        <v>#REF!</v>
      </c>
      <c r="H158" t="e">
        <f>IF(#REF!,"AAAAAF58/wc=",0)</f>
        <v>#REF!</v>
      </c>
      <c r="I158" t="e">
        <f>AND(#REF!,"AAAAAF58/wg=")</f>
        <v>#REF!</v>
      </c>
      <c r="J158" t="e">
        <f>AND(#REF!,"AAAAAF58/wk=")</f>
        <v>#REF!</v>
      </c>
      <c r="K158" t="e">
        <f>AND(#REF!,"AAAAAF58/wo=")</f>
        <v>#REF!</v>
      </c>
      <c r="L158" t="e">
        <f>AND(#REF!,"AAAAAF58/ws=")</f>
        <v>#REF!</v>
      </c>
      <c r="M158" t="e">
        <f>AND(#REF!,"AAAAAF58/ww=")</f>
        <v>#REF!</v>
      </c>
      <c r="N158" t="e">
        <f>AND(#REF!,"AAAAAF58/w0=")</f>
        <v>#REF!</v>
      </c>
      <c r="O158" t="e">
        <f>AND(#REF!,"AAAAAF58/w4=")</f>
        <v>#REF!</v>
      </c>
      <c r="P158" t="e">
        <f>AND(#REF!,"AAAAAF58/w8=")</f>
        <v>#REF!</v>
      </c>
      <c r="Q158" t="e">
        <f>AND(#REF!,"AAAAAF58/xA=")</f>
        <v>#REF!</v>
      </c>
      <c r="R158" t="e">
        <f>AND(#REF!,"AAAAAF58/xE=")</f>
        <v>#REF!</v>
      </c>
      <c r="S158" t="e">
        <f>IF(#REF!,"AAAAAF58/xI=",0)</f>
        <v>#REF!</v>
      </c>
      <c r="T158" t="e">
        <f>AND(#REF!,"AAAAAF58/xM=")</f>
        <v>#REF!</v>
      </c>
      <c r="U158" t="e">
        <f>AND(#REF!,"AAAAAF58/xQ=")</f>
        <v>#REF!</v>
      </c>
      <c r="V158" t="e">
        <f>AND(#REF!,"AAAAAF58/xU=")</f>
        <v>#REF!</v>
      </c>
      <c r="W158" t="e">
        <f>AND(#REF!,"AAAAAF58/xY=")</f>
        <v>#REF!</v>
      </c>
      <c r="X158" t="e">
        <f>AND(#REF!,"AAAAAF58/xc=")</f>
        <v>#REF!</v>
      </c>
      <c r="Y158" t="e">
        <f>AND(#REF!,"AAAAAF58/xg=")</f>
        <v>#REF!</v>
      </c>
      <c r="Z158" t="e">
        <f>AND(#REF!,"AAAAAF58/xk=")</f>
        <v>#REF!</v>
      </c>
      <c r="AA158" t="e">
        <f>AND(#REF!,"AAAAAF58/xo=")</f>
        <v>#REF!</v>
      </c>
      <c r="AB158" t="e">
        <f>AND(#REF!,"AAAAAF58/xs=")</f>
        <v>#REF!</v>
      </c>
      <c r="AC158" t="e">
        <f>AND(#REF!,"AAAAAF58/xw=")</f>
        <v>#REF!</v>
      </c>
      <c r="AD158" t="e">
        <f>IF(#REF!,"AAAAAF58/x0=",0)</f>
        <v>#REF!</v>
      </c>
      <c r="AE158" t="e">
        <f>AND(#REF!,"AAAAAF58/x4=")</f>
        <v>#REF!</v>
      </c>
      <c r="AF158" t="e">
        <f>AND(#REF!,"AAAAAF58/x8=")</f>
        <v>#REF!</v>
      </c>
      <c r="AG158" t="e">
        <f>AND(#REF!,"AAAAAF58/yA=")</f>
        <v>#REF!</v>
      </c>
      <c r="AH158" t="e">
        <f>AND(#REF!,"AAAAAF58/yE=")</f>
        <v>#REF!</v>
      </c>
      <c r="AI158" t="e">
        <f>AND(#REF!,"AAAAAF58/yI=")</f>
        <v>#REF!</v>
      </c>
      <c r="AJ158" t="e">
        <f>AND(#REF!,"AAAAAF58/yM=")</f>
        <v>#REF!</v>
      </c>
      <c r="AK158" t="e">
        <f>AND(#REF!,"AAAAAF58/yQ=")</f>
        <v>#REF!</v>
      </c>
      <c r="AL158" t="e">
        <f>AND(#REF!,"AAAAAF58/yU=")</f>
        <v>#REF!</v>
      </c>
      <c r="AM158" t="e">
        <f>AND(#REF!,"AAAAAF58/yY=")</f>
        <v>#REF!</v>
      </c>
      <c r="AN158" t="e">
        <f>AND(#REF!,"AAAAAF58/yc=")</f>
        <v>#REF!</v>
      </c>
      <c r="AO158" t="e">
        <f>IF(#REF!,"AAAAAF58/yg=",0)</f>
        <v>#REF!</v>
      </c>
      <c r="AP158" t="e">
        <f>AND(#REF!,"AAAAAF58/yk=")</f>
        <v>#REF!</v>
      </c>
      <c r="AQ158" t="e">
        <f>AND(#REF!,"AAAAAF58/yo=")</f>
        <v>#REF!</v>
      </c>
      <c r="AR158" t="e">
        <f>AND(#REF!,"AAAAAF58/ys=")</f>
        <v>#REF!</v>
      </c>
      <c r="AS158" t="e">
        <f>AND(#REF!,"AAAAAF58/yw=")</f>
        <v>#REF!</v>
      </c>
      <c r="AT158" t="e">
        <f>AND(#REF!,"AAAAAF58/y0=")</f>
        <v>#REF!</v>
      </c>
      <c r="AU158" t="e">
        <f>AND(#REF!,"AAAAAF58/y4=")</f>
        <v>#REF!</v>
      </c>
      <c r="AV158" t="e">
        <f>AND(#REF!,"AAAAAF58/y8=")</f>
        <v>#REF!</v>
      </c>
      <c r="AW158" t="e">
        <f>AND(#REF!,"AAAAAF58/zA=")</f>
        <v>#REF!</v>
      </c>
      <c r="AX158" t="e">
        <f>AND(#REF!,"AAAAAF58/zE=")</f>
        <v>#REF!</v>
      </c>
      <c r="AY158" t="e">
        <f>AND(#REF!,"AAAAAF58/zI=")</f>
        <v>#REF!</v>
      </c>
      <c r="AZ158" t="e">
        <f>IF(#REF!,"AAAAAF58/zM=",0)</f>
        <v>#REF!</v>
      </c>
      <c r="BA158" t="e">
        <f>AND(#REF!,"AAAAAF58/zQ=")</f>
        <v>#REF!</v>
      </c>
      <c r="BB158" t="e">
        <f>AND(#REF!,"AAAAAF58/zU=")</f>
        <v>#REF!</v>
      </c>
      <c r="BC158" t="e">
        <f>AND(#REF!,"AAAAAF58/zY=")</f>
        <v>#REF!</v>
      </c>
      <c r="BD158" t="e">
        <f>AND(#REF!,"AAAAAF58/zc=")</f>
        <v>#REF!</v>
      </c>
      <c r="BE158" t="e">
        <f>AND(#REF!,"AAAAAF58/zg=")</f>
        <v>#REF!</v>
      </c>
      <c r="BF158" t="e">
        <f>AND(#REF!,"AAAAAF58/zk=")</f>
        <v>#REF!</v>
      </c>
      <c r="BG158" t="e">
        <f>AND(#REF!,"AAAAAF58/zo=")</f>
        <v>#REF!</v>
      </c>
      <c r="BH158" t="e">
        <f>AND(#REF!,"AAAAAF58/zs=")</f>
        <v>#REF!</v>
      </c>
      <c r="BI158" t="e">
        <f>AND(#REF!,"AAAAAF58/zw=")</f>
        <v>#REF!</v>
      </c>
      <c r="BJ158" t="e">
        <f>AND(#REF!,"AAAAAF58/z0=")</f>
        <v>#REF!</v>
      </c>
      <c r="BK158" t="e">
        <f>IF(#REF!,"AAAAAF58/z4=",0)</f>
        <v>#REF!</v>
      </c>
      <c r="BL158" t="e">
        <f>AND(#REF!,"AAAAAF58/z8=")</f>
        <v>#REF!</v>
      </c>
      <c r="BM158" t="e">
        <f>AND(#REF!,"AAAAAF58/0A=")</f>
        <v>#REF!</v>
      </c>
      <c r="BN158" t="e">
        <f>AND(#REF!,"AAAAAF58/0E=")</f>
        <v>#REF!</v>
      </c>
      <c r="BO158" t="e">
        <f>AND(#REF!,"AAAAAF58/0I=")</f>
        <v>#REF!</v>
      </c>
      <c r="BP158" t="e">
        <f>AND(#REF!,"AAAAAF58/0M=")</f>
        <v>#REF!</v>
      </c>
      <c r="BQ158" t="e">
        <f>AND(#REF!,"AAAAAF58/0Q=")</f>
        <v>#REF!</v>
      </c>
      <c r="BR158" t="e">
        <f>AND(#REF!,"AAAAAF58/0U=")</f>
        <v>#REF!</v>
      </c>
      <c r="BS158" t="e">
        <f>AND(#REF!,"AAAAAF58/0Y=")</f>
        <v>#REF!</v>
      </c>
      <c r="BT158" t="e">
        <f>AND(#REF!,"AAAAAF58/0c=")</f>
        <v>#REF!</v>
      </c>
      <c r="BU158" t="e">
        <f>AND(#REF!,"AAAAAF58/0g=")</f>
        <v>#REF!</v>
      </c>
      <c r="BV158" t="e">
        <f>IF(#REF!,"AAAAAF58/0k=",0)</f>
        <v>#REF!</v>
      </c>
      <c r="BW158" t="e">
        <f>AND(#REF!,"AAAAAF58/0o=")</f>
        <v>#REF!</v>
      </c>
      <c r="BX158" t="e">
        <f>AND(#REF!,"AAAAAF58/0s=")</f>
        <v>#REF!</v>
      </c>
      <c r="BY158" t="e">
        <f>AND(#REF!,"AAAAAF58/0w=")</f>
        <v>#REF!</v>
      </c>
      <c r="BZ158" t="e">
        <f>AND(#REF!,"AAAAAF58/00=")</f>
        <v>#REF!</v>
      </c>
      <c r="CA158" t="e">
        <f>AND(#REF!,"AAAAAF58/04=")</f>
        <v>#REF!</v>
      </c>
      <c r="CB158" t="e">
        <f>AND(#REF!,"AAAAAF58/08=")</f>
        <v>#REF!</v>
      </c>
      <c r="CC158" t="e">
        <f>AND(#REF!,"AAAAAF58/1A=")</f>
        <v>#REF!</v>
      </c>
      <c r="CD158" t="e">
        <f>AND(#REF!,"AAAAAF58/1E=")</f>
        <v>#REF!</v>
      </c>
      <c r="CE158" t="e">
        <f>AND(#REF!,"AAAAAF58/1I=")</f>
        <v>#REF!</v>
      </c>
      <c r="CF158" t="e">
        <f>AND(#REF!,"AAAAAF58/1M=")</f>
        <v>#REF!</v>
      </c>
      <c r="CG158" t="e">
        <f>IF(#REF!,"AAAAAF58/1Q=",0)</f>
        <v>#REF!</v>
      </c>
      <c r="CH158" t="e">
        <f>AND(#REF!,"AAAAAF58/1U=")</f>
        <v>#REF!</v>
      </c>
      <c r="CI158" t="e">
        <f>AND(#REF!,"AAAAAF58/1Y=")</f>
        <v>#REF!</v>
      </c>
      <c r="CJ158" t="e">
        <f>AND(#REF!,"AAAAAF58/1c=")</f>
        <v>#REF!</v>
      </c>
      <c r="CK158" t="e">
        <f>AND(#REF!,"AAAAAF58/1g=")</f>
        <v>#REF!</v>
      </c>
      <c r="CL158" t="e">
        <f>AND(#REF!,"AAAAAF58/1k=")</f>
        <v>#REF!</v>
      </c>
      <c r="CM158" t="e">
        <f>AND(#REF!,"AAAAAF58/1o=")</f>
        <v>#REF!</v>
      </c>
      <c r="CN158" t="e">
        <f>AND(#REF!,"AAAAAF58/1s=")</f>
        <v>#REF!</v>
      </c>
      <c r="CO158" t="e">
        <f>AND(#REF!,"AAAAAF58/1w=")</f>
        <v>#REF!</v>
      </c>
      <c r="CP158" t="e">
        <f>AND(#REF!,"AAAAAF58/10=")</f>
        <v>#REF!</v>
      </c>
      <c r="CQ158" t="e">
        <f>AND(#REF!,"AAAAAF58/14=")</f>
        <v>#REF!</v>
      </c>
      <c r="CR158" t="e">
        <f>IF(#REF!,"AAAAAF58/18=",0)</f>
        <v>#REF!</v>
      </c>
      <c r="CS158" t="e">
        <f>AND(#REF!,"AAAAAF58/2A=")</f>
        <v>#REF!</v>
      </c>
      <c r="CT158" t="e">
        <f>AND(#REF!,"AAAAAF58/2E=")</f>
        <v>#REF!</v>
      </c>
      <c r="CU158" t="e">
        <f>AND(#REF!,"AAAAAF58/2I=")</f>
        <v>#REF!</v>
      </c>
      <c r="CV158" t="e">
        <f>AND(#REF!,"AAAAAF58/2M=")</f>
        <v>#REF!</v>
      </c>
      <c r="CW158" t="e">
        <f>AND(#REF!,"AAAAAF58/2Q=")</f>
        <v>#REF!</v>
      </c>
      <c r="CX158" t="e">
        <f>AND(#REF!,"AAAAAF58/2U=")</f>
        <v>#REF!</v>
      </c>
      <c r="CY158" t="e">
        <f>AND(#REF!,"AAAAAF58/2Y=")</f>
        <v>#REF!</v>
      </c>
      <c r="CZ158" t="e">
        <f>AND(#REF!,"AAAAAF58/2c=")</f>
        <v>#REF!</v>
      </c>
      <c r="DA158" t="e">
        <f>AND(#REF!,"AAAAAF58/2g=")</f>
        <v>#REF!</v>
      </c>
      <c r="DB158" t="e">
        <f>AND(#REF!,"AAAAAF58/2k=")</f>
        <v>#REF!</v>
      </c>
      <c r="DC158" t="e">
        <f>IF(#REF!,"AAAAAF58/2o=",0)</f>
        <v>#REF!</v>
      </c>
      <c r="DD158" t="e">
        <f>AND(#REF!,"AAAAAF58/2s=")</f>
        <v>#REF!</v>
      </c>
      <c r="DE158" t="e">
        <f>AND(#REF!,"AAAAAF58/2w=")</f>
        <v>#REF!</v>
      </c>
      <c r="DF158" t="e">
        <f>AND(#REF!,"AAAAAF58/20=")</f>
        <v>#REF!</v>
      </c>
      <c r="DG158" t="e">
        <f>AND(#REF!,"AAAAAF58/24=")</f>
        <v>#REF!</v>
      </c>
      <c r="DH158" t="e">
        <f>AND(#REF!,"AAAAAF58/28=")</f>
        <v>#REF!</v>
      </c>
      <c r="DI158" t="e">
        <f>AND(#REF!,"AAAAAF58/3A=")</f>
        <v>#REF!</v>
      </c>
      <c r="DJ158" t="e">
        <f>AND(#REF!,"AAAAAF58/3E=")</f>
        <v>#REF!</v>
      </c>
      <c r="DK158" t="e">
        <f>AND(#REF!,"AAAAAF58/3I=")</f>
        <v>#REF!</v>
      </c>
      <c r="DL158" t="e">
        <f>AND(#REF!,"AAAAAF58/3M=")</f>
        <v>#REF!</v>
      </c>
      <c r="DM158" t="e">
        <f>AND(#REF!,"AAAAAF58/3Q=")</f>
        <v>#REF!</v>
      </c>
      <c r="DN158" t="e">
        <f>IF(#REF!,"AAAAAF58/3U=",0)</f>
        <v>#REF!</v>
      </c>
      <c r="DO158" t="e">
        <f>AND(#REF!,"AAAAAF58/3Y=")</f>
        <v>#REF!</v>
      </c>
      <c r="DP158" t="e">
        <f>AND(#REF!,"AAAAAF58/3c=")</f>
        <v>#REF!</v>
      </c>
      <c r="DQ158" t="e">
        <f>AND(#REF!,"AAAAAF58/3g=")</f>
        <v>#REF!</v>
      </c>
      <c r="DR158" t="e">
        <f>AND(#REF!,"AAAAAF58/3k=")</f>
        <v>#REF!</v>
      </c>
      <c r="DS158" t="e">
        <f>AND(#REF!,"AAAAAF58/3o=")</f>
        <v>#REF!</v>
      </c>
      <c r="DT158" t="e">
        <f>AND(#REF!,"AAAAAF58/3s=")</f>
        <v>#REF!</v>
      </c>
      <c r="DU158" t="e">
        <f>AND(#REF!,"AAAAAF58/3w=")</f>
        <v>#REF!</v>
      </c>
      <c r="DV158" t="e">
        <f>AND(#REF!,"AAAAAF58/30=")</f>
        <v>#REF!</v>
      </c>
      <c r="DW158" t="e">
        <f>AND(#REF!,"AAAAAF58/34=")</f>
        <v>#REF!</v>
      </c>
      <c r="DX158" t="e">
        <f>AND(#REF!,"AAAAAF58/38=")</f>
        <v>#REF!</v>
      </c>
      <c r="DY158" t="e">
        <f>IF(#REF!,"AAAAAF58/4A=",0)</f>
        <v>#REF!</v>
      </c>
      <c r="DZ158" t="e">
        <f>AND(#REF!,"AAAAAF58/4E=")</f>
        <v>#REF!</v>
      </c>
      <c r="EA158" t="e">
        <f>AND(#REF!,"AAAAAF58/4I=")</f>
        <v>#REF!</v>
      </c>
      <c r="EB158" t="e">
        <f>AND(#REF!,"AAAAAF58/4M=")</f>
        <v>#REF!</v>
      </c>
      <c r="EC158" t="e">
        <f>AND(#REF!,"AAAAAF58/4Q=")</f>
        <v>#REF!</v>
      </c>
      <c r="ED158" t="e">
        <f>AND(#REF!,"AAAAAF58/4U=")</f>
        <v>#REF!</v>
      </c>
      <c r="EE158" t="e">
        <f>AND(#REF!,"AAAAAF58/4Y=")</f>
        <v>#REF!</v>
      </c>
      <c r="EF158" t="e">
        <f>AND(#REF!,"AAAAAF58/4c=")</f>
        <v>#REF!</v>
      </c>
      <c r="EG158" t="e">
        <f>AND(#REF!,"AAAAAF58/4g=")</f>
        <v>#REF!</v>
      </c>
      <c r="EH158" t="e">
        <f>AND(#REF!,"AAAAAF58/4k=")</f>
        <v>#REF!</v>
      </c>
      <c r="EI158" t="e">
        <f>AND(#REF!,"AAAAAF58/4o=")</f>
        <v>#REF!</v>
      </c>
      <c r="EJ158" t="e">
        <f>IF(#REF!,"AAAAAF58/4s=",0)</f>
        <v>#REF!</v>
      </c>
      <c r="EK158" t="e">
        <f>AND(#REF!,"AAAAAF58/4w=")</f>
        <v>#REF!</v>
      </c>
      <c r="EL158" t="e">
        <f>AND(#REF!,"AAAAAF58/40=")</f>
        <v>#REF!</v>
      </c>
      <c r="EM158" t="e">
        <f>AND(#REF!,"AAAAAF58/44=")</f>
        <v>#REF!</v>
      </c>
      <c r="EN158" t="e">
        <f>AND(#REF!,"AAAAAF58/48=")</f>
        <v>#REF!</v>
      </c>
      <c r="EO158" t="e">
        <f>AND(#REF!,"AAAAAF58/5A=")</f>
        <v>#REF!</v>
      </c>
      <c r="EP158" t="e">
        <f>AND(#REF!,"AAAAAF58/5E=")</f>
        <v>#REF!</v>
      </c>
      <c r="EQ158" t="e">
        <f>AND(#REF!,"AAAAAF58/5I=")</f>
        <v>#REF!</v>
      </c>
      <c r="ER158" t="e">
        <f>AND(#REF!,"AAAAAF58/5M=")</f>
        <v>#REF!</v>
      </c>
      <c r="ES158" t="e">
        <f>AND(#REF!,"AAAAAF58/5Q=")</f>
        <v>#REF!</v>
      </c>
      <c r="ET158" t="e">
        <f>AND(#REF!,"AAAAAF58/5U=")</f>
        <v>#REF!</v>
      </c>
      <c r="EU158" t="e">
        <f>IF(#REF!,"AAAAAF58/5Y=",0)</f>
        <v>#REF!</v>
      </c>
      <c r="EV158" t="e">
        <f>AND(#REF!,"AAAAAF58/5c=")</f>
        <v>#REF!</v>
      </c>
      <c r="EW158" t="e">
        <f>AND(#REF!,"AAAAAF58/5g=")</f>
        <v>#REF!</v>
      </c>
      <c r="EX158" t="e">
        <f>AND(#REF!,"AAAAAF58/5k=")</f>
        <v>#REF!</v>
      </c>
      <c r="EY158" t="e">
        <f>AND(#REF!,"AAAAAF58/5o=")</f>
        <v>#REF!</v>
      </c>
      <c r="EZ158" t="e">
        <f>AND(#REF!,"AAAAAF58/5s=")</f>
        <v>#REF!</v>
      </c>
      <c r="FA158" t="e">
        <f>AND(#REF!,"AAAAAF58/5w=")</f>
        <v>#REF!</v>
      </c>
      <c r="FB158" t="e">
        <f>AND(#REF!,"AAAAAF58/50=")</f>
        <v>#REF!</v>
      </c>
      <c r="FC158" t="e">
        <f>AND(#REF!,"AAAAAF58/54=")</f>
        <v>#REF!</v>
      </c>
      <c r="FD158" t="e">
        <f>AND(#REF!,"AAAAAF58/58=")</f>
        <v>#REF!</v>
      </c>
      <c r="FE158" t="e">
        <f>AND(#REF!,"AAAAAF58/6A=")</f>
        <v>#REF!</v>
      </c>
      <c r="FF158" t="e">
        <f>IF(#REF!,"AAAAAF58/6E=",0)</f>
        <v>#REF!</v>
      </c>
      <c r="FG158" t="e">
        <f>AND(#REF!,"AAAAAF58/6I=")</f>
        <v>#REF!</v>
      </c>
      <c r="FH158" t="e">
        <f>AND(#REF!,"AAAAAF58/6M=")</f>
        <v>#REF!</v>
      </c>
      <c r="FI158" t="e">
        <f>AND(#REF!,"AAAAAF58/6Q=")</f>
        <v>#REF!</v>
      </c>
      <c r="FJ158" t="e">
        <f>AND(#REF!,"AAAAAF58/6U=")</f>
        <v>#REF!</v>
      </c>
      <c r="FK158" t="e">
        <f>AND(#REF!,"AAAAAF58/6Y=")</f>
        <v>#REF!</v>
      </c>
      <c r="FL158" t="e">
        <f>AND(#REF!,"AAAAAF58/6c=")</f>
        <v>#REF!</v>
      </c>
      <c r="FM158" t="e">
        <f>AND(#REF!,"AAAAAF58/6g=")</f>
        <v>#REF!</v>
      </c>
      <c r="FN158" t="e">
        <f>AND(#REF!,"AAAAAF58/6k=")</f>
        <v>#REF!</v>
      </c>
      <c r="FO158" t="e">
        <f>AND(#REF!,"AAAAAF58/6o=")</f>
        <v>#REF!</v>
      </c>
      <c r="FP158" t="e">
        <f>AND(#REF!,"AAAAAF58/6s=")</f>
        <v>#REF!</v>
      </c>
      <c r="FQ158" t="e">
        <f>IF(#REF!,"AAAAAF58/6w=",0)</f>
        <v>#REF!</v>
      </c>
      <c r="FR158" t="e">
        <f>AND(#REF!,"AAAAAF58/60=")</f>
        <v>#REF!</v>
      </c>
      <c r="FS158" t="e">
        <f>AND(#REF!,"AAAAAF58/64=")</f>
        <v>#REF!</v>
      </c>
      <c r="FT158" t="e">
        <f>AND(#REF!,"AAAAAF58/68=")</f>
        <v>#REF!</v>
      </c>
      <c r="FU158" t="e">
        <f>AND(#REF!,"AAAAAF58/7A=")</f>
        <v>#REF!</v>
      </c>
      <c r="FV158" t="e">
        <f>AND(#REF!,"AAAAAF58/7E=")</f>
        <v>#REF!</v>
      </c>
      <c r="FW158" t="e">
        <f>AND(#REF!,"AAAAAF58/7I=")</f>
        <v>#REF!</v>
      </c>
      <c r="FX158" t="e">
        <f>AND(#REF!,"AAAAAF58/7M=")</f>
        <v>#REF!</v>
      </c>
      <c r="FY158" t="e">
        <f>AND(#REF!,"AAAAAF58/7Q=")</f>
        <v>#REF!</v>
      </c>
      <c r="FZ158" t="e">
        <f>AND(#REF!,"AAAAAF58/7U=")</f>
        <v>#REF!</v>
      </c>
      <c r="GA158" t="e">
        <f>AND(#REF!,"AAAAAF58/7Y=")</f>
        <v>#REF!</v>
      </c>
      <c r="GB158" t="e">
        <f>IF(#REF!,"AAAAAF58/7c=",0)</f>
        <v>#REF!</v>
      </c>
      <c r="GC158" t="e">
        <f>AND(#REF!,"AAAAAF58/7g=")</f>
        <v>#REF!</v>
      </c>
      <c r="GD158" t="e">
        <f>AND(#REF!,"AAAAAF58/7k=")</f>
        <v>#REF!</v>
      </c>
      <c r="GE158" t="e">
        <f>AND(#REF!,"AAAAAF58/7o=")</f>
        <v>#REF!</v>
      </c>
      <c r="GF158" t="e">
        <f>AND(#REF!,"AAAAAF58/7s=")</f>
        <v>#REF!</v>
      </c>
      <c r="GG158" t="e">
        <f>AND(#REF!,"AAAAAF58/7w=")</f>
        <v>#REF!</v>
      </c>
      <c r="GH158" t="e">
        <f>AND(#REF!,"AAAAAF58/70=")</f>
        <v>#REF!</v>
      </c>
      <c r="GI158" t="e">
        <f>AND(#REF!,"AAAAAF58/74=")</f>
        <v>#REF!</v>
      </c>
      <c r="GJ158" t="e">
        <f>AND(#REF!,"AAAAAF58/78=")</f>
        <v>#REF!</v>
      </c>
      <c r="GK158" t="e">
        <f>AND(#REF!,"AAAAAF58/8A=")</f>
        <v>#REF!</v>
      </c>
      <c r="GL158" t="e">
        <f>AND(#REF!,"AAAAAF58/8E=")</f>
        <v>#REF!</v>
      </c>
      <c r="GM158" t="e">
        <f>IF(#REF!,"AAAAAF58/8I=",0)</f>
        <v>#REF!</v>
      </c>
      <c r="GN158" t="e">
        <f>AND(#REF!,"AAAAAF58/8M=")</f>
        <v>#REF!</v>
      </c>
      <c r="GO158" t="e">
        <f>AND(#REF!,"AAAAAF58/8Q=")</f>
        <v>#REF!</v>
      </c>
      <c r="GP158" t="e">
        <f>AND(#REF!,"AAAAAF58/8U=")</f>
        <v>#REF!</v>
      </c>
      <c r="GQ158" t="e">
        <f>AND(#REF!,"AAAAAF58/8Y=")</f>
        <v>#REF!</v>
      </c>
      <c r="GR158" t="e">
        <f>AND(#REF!,"AAAAAF58/8c=")</f>
        <v>#REF!</v>
      </c>
      <c r="GS158" t="e">
        <f>AND(#REF!,"AAAAAF58/8g=")</f>
        <v>#REF!</v>
      </c>
      <c r="GT158" t="e">
        <f>AND(#REF!,"AAAAAF58/8k=")</f>
        <v>#REF!</v>
      </c>
      <c r="GU158" t="e">
        <f>AND(#REF!,"AAAAAF58/8o=")</f>
        <v>#REF!</v>
      </c>
      <c r="GV158" t="e">
        <f>AND(#REF!,"AAAAAF58/8s=")</f>
        <v>#REF!</v>
      </c>
      <c r="GW158" t="e">
        <f>AND(#REF!,"AAAAAF58/8w=")</f>
        <v>#REF!</v>
      </c>
      <c r="GX158" t="e">
        <f>IF(#REF!,"AAAAAF58/80=",0)</f>
        <v>#REF!</v>
      </c>
      <c r="GY158" t="e">
        <f>AND(#REF!,"AAAAAF58/84=")</f>
        <v>#REF!</v>
      </c>
      <c r="GZ158" t="e">
        <f>AND(#REF!,"AAAAAF58/88=")</f>
        <v>#REF!</v>
      </c>
      <c r="HA158" t="e">
        <f>AND(#REF!,"AAAAAF58/9A=")</f>
        <v>#REF!</v>
      </c>
      <c r="HB158" t="e">
        <f>AND(#REF!,"AAAAAF58/9E=")</f>
        <v>#REF!</v>
      </c>
      <c r="HC158" t="e">
        <f>AND(#REF!,"AAAAAF58/9I=")</f>
        <v>#REF!</v>
      </c>
      <c r="HD158" t="e">
        <f>AND(#REF!,"AAAAAF58/9M=")</f>
        <v>#REF!</v>
      </c>
      <c r="HE158" t="e">
        <f>AND(#REF!,"AAAAAF58/9Q=")</f>
        <v>#REF!</v>
      </c>
      <c r="HF158" t="e">
        <f>AND(#REF!,"AAAAAF58/9U=")</f>
        <v>#REF!</v>
      </c>
      <c r="HG158" t="e">
        <f>AND(#REF!,"AAAAAF58/9Y=")</f>
        <v>#REF!</v>
      </c>
      <c r="HH158" t="e">
        <f>AND(#REF!,"AAAAAF58/9c=")</f>
        <v>#REF!</v>
      </c>
      <c r="HI158" t="e">
        <f>IF(#REF!,"AAAAAF58/9g=",0)</f>
        <v>#REF!</v>
      </c>
      <c r="HJ158" t="e">
        <f>AND(#REF!,"AAAAAF58/9k=")</f>
        <v>#REF!</v>
      </c>
      <c r="HK158" t="e">
        <f>AND(#REF!,"AAAAAF58/9o=")</f>
        <v>#REF!</v>
      </c>
      <c r="HL158" t="e">
        <f>AND(#REF!,"AAAAAF58/9s=")</f>
        <v>#REF!</v>
      </c>
      <c r="HM158" t="e">
        <f>AND(#REF!,"AAAAAF58/9w=")</f>
        <v>#REF!</v>
      </c>
      <c r="HN158" t="e">
        <f>AND(#REF!,"AAAAAF58/90=")</f>
        <v>#REF!</v>
      </c>
      <c r="HO158" t="e">
        <f>AND(#REF!,"AAAAAF58/94=")</f>
        <v>#REF!</v>
      </c>
      <c r="HP158" t="e">
        <f>AND(#REF!,"AAAAAF58/98=")</f>
        <v>#REF!</v>
      </c>
      <c r="HQ158" t="e">
        <f>AND(#REF!,"AAAAAF58/+A=")</f>
        <v>#REF!</v>
      </c>
      <c r="HR158" t="e">
        <f>AND(#REF!,"AAAAAF58/+E=")</f>
        <v>#REF!</v>
      </c>
      <c r="HS158" t="e">
        <f>AND(#REF!,"AAAAAF58/+I=")</f>
        <v>#REF!</v>
      </c>
      <c r="HT158" t="e">
        <f>IF(#REF!,"AAAAAF58/+M=",0)</f>
        <v>#REF!</v>
      </c>
      <c r="HU158" t="e">
        <f>AND(#REF!,"AAAAAF58/+Q=")</f>
        <v>#REF!</v>
      </c>
      <c r="HV158" t="e">
        <f>AND(#REF!,"AAAAAF58/+U=")</f>
        <v>#REF!</v>
      </c>
      <c r="HW158" t="e">
        <f>AND(#REF!,"AAAAAF58/+Y=")</f>
        <v>#REF!</v>
      </c>
      <c r="HX158" t="e">
        <f>AND(#REF!,"AAAAAF58/+c=")</f>
        <v>#REF!</v>
      </c>
      <c r="HY158" t="e">
        <f>AND(#REF!,"AAAAAF58/+g=")</f>
        <v>#REF!</v>
      </c>
      <c r="HZ158" t="e">
        <f>AND(#REF!,"AAAAAF58/+k=")</f>
        <v>#REF!</v>
      </c>
      <c r="IA158" t="e">
        <f>AND(#REF!,"AAAAAF58/+o=")</f>
        <v>#REF!</v>
      </c>
      <c r="IB158" t="e">
        <f>AND(#REF!,"AAAAAF58/+s=")</f>
        <v>#REF!</v>
      </c>
      <c r="IC158" t="e">
        <f>AND(#REF!,"AAAAAF58/+w=")</f>
        <v>#REF!</v>
      </c>
      <c r="ID158" t="e">
        <f>AND(#REF!,"AAAAAF58/+0=")</f>
        <v>#REF!</v>
      </c>
      <c r="IE158" t="e">
        <f>IF(#REF!,"AAAAAF58/+4=",0)</f>
        <v>#REF!</v>
      </c>
      <c r="IF158" t="e">
        <f>AND(#REF!,"AAAAAF58/+8=")</f>
        <v>#REF!</v>
      </c>
      <c r="IG158" t="e">
        <f>AND(#REF!,"AAAAAF58//A=")</f>
        <v>#REF!</v>
      </c>
      <c r="IH158" t="e">
        <f>AND(#REF!,"AAAAAF58//E=")</f>
        <v>#REF!</v>
      </c>
      <c r="II158" t="e">
        <f>AND(#REF!,"AAAAAF58//I=")</f>
        <v>#REF!</v>
      </c>
      <c r="IJ158" t="e">
        <f>AND(#REF!,"AAAAAF58//M=")</f>
        <v>#REF!</v>
      </c>
      <c r="IK158" t="e">
        <f>AND(#REF!,"AAAAAF58//Q=")</f>
        <v>#REF!</v>
      </c>
      <c r="IL158" t="e">
        <f>AND(#REF!,"AAAAAF58//U=")</f>
        <v>#REF!</v>
      </c>
      <c r="IM158" t="e">
        <f>AND(#REF!,"AAAAAF58//Y=")</f>
        <v>#REF!</v>
      </c>
      <c r="IN158" t="e">
        <f>AND(#REF!,"AAAAAF58//c=")</f>
        <v>#REF!</v>
      </c>
      <c r="IO158" t="e">
        <f>AND(#REF!,"AAAAAF58//g=")</f>
        <v>#REF!</v>
      </c>
      <c r="IP158" t="e">
        <f>IF(#REF!,"AAAAAF58//k=",0)</f>
        <v>#REF!</v>
      </c>
      <c r="IQ158" t="e">
        <f>AND(#REF!,"AAAAAF58//o=")</f>
        <v>#REF!</v>
      </c>
      <c r="IR158" t="e">
        <f>AND(#REF!,"AAAAAF58//s=")</f>
        <v>#REF!</v>
      </c>
      <c r="IS158" t="e">
        <f>AND(#REF!,"AAAAAF58//w=")</f>
        <v>#REF!</v>
      </c>
      <c r="IT158" t="e">
        <f>AND(#REF!,"AAAAAF58//0=")</f>
        <v>#REF!</v>
      </c>
      <c r="IU158" t="e">
        <f>AND(#REF!,"AAAAAF58//4=")</f>
        <v>#REF!</v>
      </c>
      <c r="IV158" t="e">
        <f>AND(#REF!,"AAAAAF58//8=")</f>
        <v>#REF!</v>
      </c>
    </row>
    <row r="159" spans="1:256" x14ac:dyDescent="0.25">
      <c r="A159" t="e">
        <f>AND(#REF!,"AAAAAH+N+AA=")</f>
        <v>#REF!</v>
      </c>
      <c r="B159" t="e">
        <f>AND(#REF!,"AAAAAH+N+AE=")</f>
        <v>#REF!</v>
      </c>
      <c r="C159" t="e">
        <f>AND(#REF!,"AAAAAH+N+AI=")</f>
        <v>#REF!</v>
      </c>
      <c r="D159" t="e">
        <f>AND(#REF!,"AAAAAH+N+AM=")</f>
        <v>#REF!</v>
      </c>
      <c r="E159" t="e">
        <f>IF(#REF!,"AAAAAH+N+AQ=",0)</f>
        <v>#REF!</v>
      </c>
      <c r="F159" t="e">
        <f>AND(#REF!,"AAAAAH+N+AU=")</f>
        <v>#REF!</v>
      </c>
      <c r="G159" t="e">
        <f>AND(#REF!,"AAAAAH+N+AY=")</f>
        <v>#REF!</v>
      </c>
      <c r="H159" t="e">
        <f>AND(#REF!,"AAAAAH+N+Ac=")</f>
        <v>#REF!</v>
      </c>
      <c r="I159" t="e">
        <f>AND(#REF!,"AAAAAH+N+Ag=")</f>
        <v>#REF!</v>
      </c>
      <c r="J159" t="e">
        <f>AND(#REF!,"AAAAAH+N+Ak=")</f>
        <v>#REF!</v>
      </c>
      <c r="K159" t="e">
        <f>AND(#REF!,"AAAAAH+N+Ao=")</f>
        <v>#REF!</v>
      </c>
      <c r="L159" t="e">
        <f>AND(#REF!,"AAAAAH+N+As=")</f>
        <v>#REF!</v>
      </c>
      <c r="M159" t="e">
        <f>AND(#REF!,"AAAAAH+N+Aw=")</f>
        <v>#REF!</v>
      </c>
      <c r="N159" t="e">
        <f>AND(#REF!,"AAAAAH+N+A0=")</f>
        <v>#REF!</v>
      </c>
      <c r="O159" t="e">
        <f>AND(#REF!,"AAAAAH+N+A4=")</f>
        <v>#REF!</v>
      </c>
      <c r="P159" t="e">
        <f>IF(#REF!,"AAAAAH+N+A8=",0)</f>
        <v>#REF!</v>
      </c>
      <c r="Q159" t="e">
        <f>AND(#REF!,"AAAAAH+N+BA=")</f>
        <v>#REF!</v>
      </c>
      <c r="R159" t="e">
        <f>AND(#REF!,"AAAAAH+N+BE=")</f>
        <v>#REF!</v>
      </c>
      <c r="S159" t="e">
        <f>AND(#REF!,"AAAAAH+N+BI=")</f>
        <v>#REF!</v>
      </c>
      <c r="T159" t="e">
        <f>AND(#REF!,"AAAAAH+N+BM=")</f>
        <v>#REF!</v>
      </c>
      <c r="U159" t="e">
        <f>AND(#REF!,"AAAAAH+N+BQ=")</f>
        <v>#REF!</v>
      </c>
      <c r="V159" t="e">
        <f>AND(#REF!,"AAAAAH+N+BU=")</f>
        <v>#REF!</v>
      </c>
      <c r="W159" t="e">
        <f>AND(#REF!,"AAAAAH+N+BY=")</f>
        <v>#REF!</v>
      </c>
      <c r="X159" t="e">
        <f>AND(#REF!,"AAAAAH+N+Bc=")</f>
        <v>#REF!</v>
      </c>
      <c r="Y159" t="e">
        <f>AND(#REF!,"AAAAAH+N+Bg=")</f>
        <v>#REF!</v>
      </c>
      <c r="Z159" t="e">
        <f>AND(#REF!,"AAAAAH+N+Bk=")</f>
        <v>#REF!</v>
      </c>
      <c r="AA159" t="e">
        <f>IF(#REF!,"AAAAAH+N+Bo=",0)</f>
        <v>#REF!</v>
      </c>
      <c r="AB159" t="e">
        <f>AND(#REF!,"AAAAAH+N+Bs=")</f>
        <v>#REF!</v>
      </c>
      <c r="AC159" t="e">
        <f>AND(#REF!,"AAAAAH+N+Bw=")</f>
        <v>#REF!</v>
      </c>
      <c r="AD159" t="e">
        <f>AND(#REF!,"AAAAAH+N+B0=")</f>
        <v>#REF!</v>
      </c>
      <c r="AE159" t="e">
        <f>AND(#REF!,"AAAAAH+N+B4=")</f>
        <v>#REF!</v>
      </c>
      <c r="AF159" t="e">
        <f>AND(#REF!,"AAAAAH+N+B8=")</f>
        <v>#REF!</v>
      </c>
      <c r="AG159" t="e">
        <f>AND(#REF!,"AAAAAH+N+CA=")</f>
        <v>#REF!</v>
      </c>
      <c r="AH159" t="e">
        <f>AND(#REF!,"AAAAAH+N+CE=")</f>
        <v>#REF!</v>
      </c>
      <c r="AI159" t="e">
        <f>AND(#REF!,"AAAAAH+N+CI=")</f>
        <v>#REF!</v>
      </c>
      <c r="AJ159" t="e">
        <f>AND(#REF!,"AAAAAH+N+CM=")</f>
        <v>#REF!</v>
      </c>
      <c r="AK159" t="e">
        <f>AND(#REF!,"AAAAAH+N+CQ=")</f>
        <v>#REF!</v>
      </c>
      <c r="AL159" t="e">
        <f>IF(#REF!,"AAAAAH+N+CU=",0)</f>
        <v>#REF!</v>
      </c>
      <c r="AM159" t="e">
        <f>AND(#REF!,"AAAAAH+N+CY=")</f>
        <v>#REF!</v>
      </c>
      <c r="AN159" t="e">
        <f>AND(#REF!,"AAAAAH+N+Cc=")</f>
        <v>#REF!</v>
      </c>
      <c r="AO159" t="e">
        <f>AND(#REF!,"AAAAAH+N+Cg=")</f>
        <v>#REF!</v>
      </c>
      <c r="AP159" t="e">
        <f>AND(#REF!,"AAAAAH+N+Ck=")</f>
        <v>#REF!</v>
      </c>
      <c r="AQ159" t="e">
        <f>AND(#REF!,"AAAAAH+N+Co=")</f>
        <v>#REF!</v>
      </c>
      <c r="AR159" t="e">
        <f>AND(#REF!,"AAAAAH+N+Cs=")</f>
        <v>#REF!</v>
      </c>
      <c r="AS159" t="e">
        <f>AND(#REF!,"AAAAAH+N+Cw=")</f>
        <v>#REF!</v>
      </c>
      <c r="AT159" t="e">
        <f>AND(#REF!,"AAAAAH+N+C0=")</f>
        <v>#REF!</v>
      </c>
      <c r="AU159" t="e">
        <f>AND(#REF!,"AAAAAH+N+C4=")</f>
        <v>#REF!</v>
      </c>
      <c r="AV159" t="e">
        <f>AND(#REF!,"AAAAAH+N+C8=")</f>
        <v>#REF!</v>
      </c>
      <c r="AW159" t="e">
        <f>IF(#REF!,"AAAAAH+N+DA=",0)</f>
        <v>#REF!</v>
      </c>
      <c r="AX159" t="e">
        <f>AND(#REF!,"AAAAAH+N+DE=")</f>
        <v>#REF!</v>
      </c>
      <c r="AY159" t="e">
        <f>AND(#REF!,"AAAAAH+N+DI=")</f>
        <v>#REF!</v>
      </c>
      <c r="AZ159" t="e">
        <f>AND(#REF!,"AAAAAH+N+DM=")</f>
        <v>#REF!</v>
      </c>
      <c r="BA159" t="e">
        <f>AND(#REF!,"AAAAAH+N+DQ=")</f>
        <v>#REF!</v>
      </c>
      <c r="BB159" t="e">
        <f>AND(#REF!,"AAAAAH+N+DU=")</f>
        <v>#REF!</v>
      </c>
      <c r="BC159" t="e">
        <f>AND(#REF!,"AAAAAH+N+DY=")</f>
        <v>#REF!</v>
      </c>
      <c r="BD159" t="e">
        <f>AND(#REF!,"AAAAAH+N+Dc=")</f>
        <v>#REF!</v>
      </c>
      <c r="BE159" t="e">
        <f>AND(#REF!,"AAAAAH+N+Dg=")</f>
        <v>#REF!</v>
      </c>
      <c r="BF159" t="e">
        <f>AND(#REF!,"AAAAAH+N+Dk=")</f>
        <v>#REF!</v>
      </c>
      <c r="BG159" t="e">
        <f>AND(#REF!,"AAAAAH+N+Do=")</f>
        <v>#REF!</v>
      </c>
      <c r="BH159" t="e">
        <f>IF(#REF!,"AAAAAH+N+Ds=",0)</f>
        <v>#REF!</v>
      </c>
      <c r="BI159" t="e">
        <f>AND(#REF!,"AAAAAH+N+Dw=")</f>
        <v>#REF!</v>
      </c>
      <c r="BJ159" t="e">
        <f>AND(#REF!,"AAAAAH+N+D0=")</f>
        <v>#REF!</v>
      </c>
      <c r="BK159" t="e">
        <f>AND(#REF!,"AAAAAH+N+D4=")</f>
        <v>#REF!</v>
      </c>
      <c r="BL159" t="e">
        <f>AND(#REF!,"AAAAAH+N+D8=")</f>
        <v>#REF!</v>
      </c>
      <c r="BM159" t="e">
        <f>AND(#REF!,"AAAAAH+N+EA=")</f>
        <v>#REF!</v>
      </c>
      <c r="BN159" t="e">
        <f>AND(#REF!,"AAAAAH+N+EE=")</f>
        <v>#REF!</v>
      </c>
      <c r="BO159" t="e">
        <f>AND(#REF!,"AAAAAH+N+EI=")</f>
        <v>#REF!</v>
      </c>
      <c r="BP159" t="e">
        <f>AND(#REF!,"AAAAAH+N+EM=")</f>
        <v>#REF!</v>
      </c>
      <c r="BQ159" t="e">
        <f>AND(#REF!,"AAAAAH+N+EQ=")</f>
        <v>#REF!</v>
      </c>
      <c r="BR159" t="e">
        <f>AND(#REF!,"AAAAAH+N+EU=")</f>
        <v>#REF!</v>
      </c>
      <c r="BS159" t="e">
        <f>IF(#REF!,"AAAAAH+N+EY=",0)</f>
        <v>#REF!</v>
      </c>
      <c r="BT159" t="e">
        <f>AND(#REF!,"AAAAAH+N+Ec=")</f>
        <v>#REF!</v>
      </c>
      <c r="BU159" t="e">
        <f>AND(#REF!,"AAAAAH+N+Eg=")</f>
        <v>#REF!</v>
      </c>
      <c r="BV159" t="e">
        <f>AND(#REF!,"AAAAAH+N+Ek=")</f>
        <v>#REF!</v>
      </c>
      <c r="BW159" t="e">
        <f>AND(#REF!,"AAAAAH+N+Eo=")</f>
        <v>#REF!</v>
      </c>
      <c r="BX159" t="e">
        <f>AND(#REF!,"AAAAAH+N+Es=")</f>
        <v>#REF!</v>
      </c>
      <c r="BY159" t="e">
        <f>AND(#REF!,"AAAAAH+N+Ew=")</f>
        <v>#REF!</v>
      </c>
      <c r="BZ159" t="e">
        <f>AND(#REF!,"AAAAAH+N+E0=")</f>
        <v>#REF!</v>
      </c>
      <c r="CA159" t="e">
        <f>AND(#REF!,"AAAAAH+N+E4=")</f>
        <v>#REF!</v>
      </c>
      <c r="CB159" t="e">
        <f>AND(#REF!,"AAAAAH+N+E8=")</f>
        <v>#REF!</v>
      </c>
      <c r="CC159" t="e">
        <f>AND(#REF!,"AAAAAH+N+FA=")</f>
        <v>#REF!</v>
      </c>
      <c r="CD159" t="e">
        <f>IF(#REF!,"AAAAAH+N+FE=",0)</f>
        <v>#REF!</v>
      </c>
      <c r="CE159" t="e">
        <f>AND(#REF!,"AAAAAH+N+FI=")</f>
        <v>#REF!</v>
      </c>
      <c r="CF159" t="e">
        <f>AND(#REF!,"AAAAAH+N+FM=")</f>
        <v>#REF!</v>
      </c>
      <c r="CG159" t="e">
        <f>AND(#REF!,"AAAAAH+N+FQ=")</f>
        <v>#REF!</v>
      </c>
      <c r="CH159" t="e">
        <f>AND(#REF!,"AAAAAH+N+FU=")</f>
        <v>#REF!</v>
      </c>
      <c r="CI159" t="e">
        <f>AND(#REF!,"AAAAAH+N+FY=")</f>
        <v>#REF!</v>
      </c>
      <c r="CJ159" t="e">
        <f>AND(#REF!,"AAAAAH+N+Fc=")</f>
        <v>#REF!</v>
      </c>
      <c r="CK159" t="e">
        <f>AND(#REF!,"AAAAAH+N+Fg=")</f>
        <v>#REF!</v>
      </c>
      <c r="CL159" t="e">
        <f>AND(#REF!,"AAAAAH+N+Fk=")</f>
        <v>#REF!</v>
      </c>
      <c r="CM159" t="e">
        <f>AND(#REF!,"AAAAAH+N+Fo=")</f>
        <v>#REF!</v>
      </c>
      <c r="CN159" t="e">
        <f>AND(#REF!,"AAAAAH+N+Fs=")</f>
        <v>#REF!</v>
      </c>
      <c r="CO159" t="e">
        <f>IF(#REF!,"AAAAAH+N+Fw=",0)</f>
        <v>#REF!</v>
      </c>
      <c r="CP159" t="e">
        <f>AND(#REF!,"AAAAAH+N+F0=")</f>
        <v>#REF!</v>
      </c>
      <c r="CQ159" t="e">
        <f>AND(#REF!,"AAAAAH+N+F4=")</f>
        <v>#REF!</v>
      </c>
      <c r="CR159" t="e">
        <f>AND(#REF!,"AAAAAH+N+F8=")</f>
        <v>#REF!</v>
      </c>
      <c r="CS159" t="e">
        <f>AND(#REF!,"AAAAAH+N+GA=")</f>
        <v>#REF!</v>
      </c>
      <c r="CT159" t="e">
        <f>AND(#REF!,"AAAAAH+N+GE=")</f>
        <v>#REF!</v>
      </c>
      <c r="CU159" t="e">
        <f>AND(#REF!,"AAAAAH+N+GI=")</f>
        <v>#REF!</v>
      </c>
      <c r="CV159" t="e">
        <f>AND(#REF!,"AAAAAH+N+GM=")</f>
        <v>#REF!</v>
      </c>
      <c r="CW159" t="e">
        <f>AND(#REF!,"AAAAAH+N+GQ=")</f>
        <v>#REF!</v>
      </c>
      <c r="CX159" t="e">
        <f>AND(#REF!,"AAAAAH+N+GU=")</f>
        <v>#REF!</v>
      </c>
      <c r="CY159" t="e">
        <f>AND(#REF!,"AAAAAH+N+GY=")</f>
        <v>#REF!</v>
      </c>
      <c r="CZ159" t="e">
        <f>IF(#REF!,"AAAAAH+N+Gc=",0)</f>
        <v>#REF!</v>
      </c>
      <c r="DA159" t="e">
        <f>AND(#REF!,"AAAAAH+N+Gg=")</f>
        <v>#REF!</v>
      </c>
      <c r="DB159" t="e">
        <f>AND(#REF!,"AAAAAH+N+Gk=")</f>
        <v>#REF!</v>
      </c>
      <c r="DC159" t="e">
        <f>AND(#REF!,"AAAAAH+N+Go=")</f>
        <v>#REF!</v>
      </c>
      <c r="DD159" t="e">
        <f>AND(#REF!,"AAAAAH+N+Gs=")</f>
        <v>#REF!</v>
      </c>
      <c r="DE159" t="e">
        <f>AND(#REF!,"AAAAAH+N+Gw=")</f>
        <v>#REF!</v>
      </c>
      <c r="DF159" t="e">
        <f>AND(#REF!,"AAAAAH+N+G0=")</f>
        <v>#REF!</v>
      </c>
      <c r="DG159" t="e">
        <f>AND(#REF!,"AAAAAH+N+G4=")</f>
        <v>#REF!</v>
      </c>
      <c r="DH159" t="e">
        <f>AND(#REF!,"AAAAAH+N+G8=")</f>
        <v>#REF!</v>
      </c>
      <c r="DI159" t="e">
        <f>AND(#REF!,"AAAAAH+N+HA=")</f>
        <v>#REF!</v>
      </c>
      <c r="DJ159" t="e">
        <f>AND(#REF!,"AAAAAH+N+HE=")</f>
        <v>#REF!</v>
      </c>
      <c r="DK159" t="e">
        <f>IF(#REF!,"AAAAAH+N+HI=",0)</f>
        <v>#REF!</v>
      </c>
      <c r="DL159" t="e">
        <f>AND(#REF!,"AAAAAH+N+HM=")</f>
        <v>#REF!</v>
      </c>
      <c r="DM159" t="e">
        <f>AND(#REF!,"AAAAAH+N+HQ=")</f>
        <v>#REF!</v>
      </c>
      <c r="DN159" t="e">
        <f>AND(#REF!,"AAAAAH+N+HU=")</f>
        <v>#REF!</v>
      </c>
      <c r="DO159" t="e">
        <f>AND(#REF!,"AAAAAH+N+HY=")</f>
        <v>#REF!</v>
      </c>
      <c r="DP159" t="e">
        <f>AND(#REF!,"AAAAAH+N+Hc=")</f>
        <v>#REF!</v>
      </c>
      <c r="DQ159" t="e">
        <f>AND(#REF!,"AAAAAH+N+Hg=")</f>
        <v>#REF!</v>
      </c>
      <c r="DR159" t="e">
        <f>AND(#REF!,"AAAAAH+N+Hk=")</f>
        <v>#REF!</v>
      </c>
      <c r="DS159" t="e">
        <f>AND(#REF!,"AAAAAH+N+Ho=")</f>
        <v>#REF!</v>
      </c>
      <c r="DT159" t="e">
        <f>AND(#REF!,"AAAAAH+N+Hs=")</f>
        <v>#REF!</v>
      </c>
      <c r="DU159" t="e">
        <f>AND(#REF!,"AAAAAH+N+Hw=")</f>
        <v>#REF!</v>
      </c>
      <c r="DV159" t="e">
        <f>IF(#REF!,"AAAAAH+N+H0=",0)</f>
        <v>#REF!</v>
      </c>
      <c r="DW159" t="e">
        <f>AND(#REF!,"AAAAAH+N+H4=")</f>
        <v>#REF!</v>
      </c>
      <c r="DX159" t="e">
        <f>AND(#REF!,"AAAAAH+N+H8=")</f>
        <v>#REF!</v>
      </c>
      <c r="DY159" t="e">
        <f>AND(#REF!,"AAAAAH+N+IA=")</f>
        <v>#REF!</v>
      </c>
      <c r="DZ159" t="e">
        <f>AND(#REF!,"AAAAAH+N+IE=")</f>
        <v>#REF!</v>
      </c>
      <c r="EA159" t="e">
        <f>AND(#REF!,"AAAAAH+N+II=")</f>
        <v>#REF!</v>
      </c>
      <c r="EB159" t="e">
        <f>AND(#REF!,"AAAAAH+N+IM=")</f>
        <v>#REF!</v>
      </c>
      <c r="EC159" t="e">
        <f>AND(#REF!,"AAAAAH+N+IQ=")</f>
        <v>#REF!</v>
      </c>
      <c r="ED159" t="e">
        <f>AND(#REF!,"AAAAAH+N+IU=")</f>
        <v>#REF!</v>
      </c>
      <c r="EE159" t="e">
        <f>AND(#REF!,"AAAAAH+N+IY=")</f>
        <v>#REF!</v>
      </c>
      <c r="EF159" t="e">
        <f>AND(#REF!,"AAAAAH+N+Ic=")</f>
        <v>#REF!</v>
      </c>
      <c r="EG159" t="e">
        <f>IF(#REF!,"AAAAAH+N+Ig=",0)</f>
        <v>#REF!</v>
      </c>
      <c r="EH159" t="e">
        <f>AND(#REF!,"AAAAAH+N+Ik=")</f>
        <v>#REF!</v>
      </c>
      <c r="EI159" t="e">
        <f>AND(#REF!,"AAAAAH+N+Io=")</f>
        <v>#REF!</v>
      </c>
      <c r="EJ159" t="e">
        <f>AND(#REF!,"AAAAAH+N+Is=")</f>
        <v>#REF!</v>
      </c>
      <c r="EK159" t="e">
        <f>AND(#REF!,"AAAAAH+N+Iw=")</f>
        <v>#REF!</v>
      </c>
      <c r="EL159" t="e">
        <f>AND(#REF!,"AAAAAH+N+I0=")</f>
        <v>#REF!</v>
      </c>
      <c r="EM159" t="e">
        <f>AND(#REF!,"AAAAAH+N+I4=")</f>
        <v>#REF!</v>
      </c>
      <c r="EN159" t="e">
        <f>AND(#REF!,"AAAAAH+N+I8=")</f>
        <v>#REF!</v>
      </c>
      <c r="EO159" t="e">
        <f>AND(#REF!,"AAAAAH+N+JA=")</f>
        <v>#REF!</v>
      </c>
      <c r="EP159" t="e">
        <f>AND(#REF!,"AAAAAH+N+JE=")</f>
        <v>#REF!</v>
      </c>
      <c r="EQ159" t="e">
        <f>AND(#REF!,"AAAAAH+N+JI=")</f>
        <v>#REF!</v>
      </c>
      <c r="ER159" t="e">
        <f>IF(#REF!,"AAAAAH+N+JM=",0)</f>
        <v>#REF!</v>
      </c>
      <c r="ES159" t="e">
        <f>AND(#REF!,"AAAAAH+N+JQ=")</f>
        <v>#REF!</v>
      </c>
      <c r="ET159" t="e">
        <f>AND(#REF!,"AAAAAH+N+JU=")</f>
        <v>#REF!</v>
      </c>
      <c r="EU159" t="e">
        <f>AND(#REF!,"AAAAAH+N+JY=")</f>
        <v>#REF!</v>
      </c>
      <c r="EV159" t="e">
        <f>AND(#REF!,"AAAAAH+N+Jc=")</f>
        <v>#REF!</v>
      </c>
      <c r="EW159" t="e">
        <f>AND(#REF!,"AAAAAH+N+Jg=")</f>
        <v>#REF!</v>
      </c>
      <c r="EX159" t="e">
        <f>AND(#REF!,"AAAAAH+N+Jk=")</f>
        <v>#REF!</v>
      </c>
      <c r="EY159" t="e">
        <f>AND(#REF!,"AAAAAH+N+Jo=")</f>
        <v>#REF!</v>
      </c>
      <c r="EZ159" t="e">
        <f>AND(#REF!,"AAAAAH+N+Js=")</f>
        <v>#REF!</v>
      </c>
      <c r="FA159" t="e">
        <f>AND(#REF!,"AAAAAH+N+Jw=")</f>
        <v>#REF!</v>
      </c>
      <c r="FB159" t="e">
        <f>AND(#REF!,"AAAAAH+N+J0=")</f>
        <v>#REF!</v>
      </c>
      <c r="FC159" t="e">
        <f>IF(#REF!,"AAAAAH+N+J4=",0)</f>
        <v>#REF!</v>
      </c>
      <c r="FD159" t="e">
        <f>AND(#REF!,"AAAAAH+N+J8=")</f>
        <v>#REF!</v>
      </c>
      <c r="FE159" t="e">
        <f>AND(#REF!,"AAAAAH+N+KA=")</f>
        <v>#REF!</v>
      </c>
      <c r="FF159" t="e">
        <f>AND(#REF!,"AAAAAH+N+KE=")</f>
        <v>#REF!</v>
      </c>
      <c r="FG159" t="e">
        <f>AND(#REF!,"AAAAAH+N+KI=")</f>
        <v>#REF!</v>
      </c>
      <c r="FH159" t="e">
        <f>AND(#REF!,"AAAAAH+N+KM=")</f>
        <v>#REF!</v>
      </c>
      <c r="FI159" t="e">
        <f>AND(#REF!,"AAAAAH+N+KQ=")</f>
        <v>#REF!</v>
      </c>
      <c r="FJ159" t="e">
        <f>AND(#REF!,"AAAAAH+N+KU=")</f>
        <v>#REF!</v>
      </c>
      <c r="FK159" t="e">
        <f>AND(#REF!,"AAAAAH+N+KY=")</f>
        <v>#REF!</v>
      </c>
      <c r="FL159" t="e">
        <f>AND(#REF!,"AAAAAH+N+Kc=")</f>
        <v>#REF!</v>
      </c>
      <c r="FM159" t="e">
        <f>AND(#REF!,"AAAAAH+N+Kg=")</f>
        <v>#REF!</v>
      </c>
      <c r="FN159" t="e">
        <f>IF(#REF!,"AAAAAH+N+Kk=",0)</f>
        <v>#REF!</v>
      </c>
      <c r="FO159" t="e">
        <f>AND(#REF!,"AAAAAH+N+Ko=")</f>
        <v>#REF!</v>
      </c>
      <c r="FP159" t="e">
        <f>AND(#REF!,"AAAAAH+N+Ks=")</f>
        <v>#REF!</v>
      </c>
      <c r="FQ159" t="e">
        <f>AND(#REF!,"AAAAAH+N+Kw=")</f>
        <v>#REF!</v>
      </c>
      <c r="FR159" t="e">
        <f>AND(#REF!,"AAAAAH+N+K0=")</f>
        <v>#REF!</v>
      </c>
      <c r="FS159" t="e">
        <f>AND(#REF!,"AAAAAH+N+K4=")</f>
        <v>#REF!</v>
      </c>
      <c r="FT159" t="e">
        <f>AND(#REF!,"AAAAAH+N+K8=")</f>
        <v>#REF!</v>
      </c>
      <c r="FU159" t="e">
        <f>AND(#REF!,"AAAAAH+N+LA=")</f>
        <v>#REF!</v>
      </c>
      <c r="FV159" t="e">
        <f>AND(#REF!,"AAAAAH+N+LE=")</f>
        <v>#REF!</v>
      </c>
      <c r="FW159" t="e">
        <f>AND(#REF!,"AAAAAH+N+LI=")</f>
        <v>#REF!</v>
      </c>
      <c r="FX159" t="e">
        <f>AND(#REF!,"AAAAAH+N+LM=")</f>
        <v>#REF!</v>
      </c>
      <c r="FY159" t="e">
        <f>IF(#REF!,"AAAAAH+N+LQ=",0)</f>
        <v>#REF!</v>
      </c>
      <c r="FZ159" t="e">
        <f>AND(#REF!,"AAAAAH+N+LU=")</f>
        <v>#REF!</v>
      </c>
      <c r="GA159" t="e">
        <f>AND(#REF!,"AAAAAH+N+LY=")</f>
        <v>#REF!</v>
      </c>
      <c r="GB159" t="e">
        <f>AND(#REF!,"AAAAAH+N+Lc=")</f>
        <v>#REF!</v>
      </c>
      <c r="GC159" t="e">
        <f>AND(#REF!,"AAAAAH+N+Lg=")</f>
        <v>#REF!</v>
      </c>
      <c r="GD159" t="e">
        <f>AND(#REF!,"AAAAAH+N+Lk=")</f>
        <v>#REF!</v>
      </c>
      <c r="GE159" t="e">
        <f>AND(#REF!,"AAAAAH+N+Lo=")</f>
        <v>#REF!</v>
      </c>
      <c r="GF159" t="e">
        <f>AND(#REF!,"AAAAAH+N+Ls=")</f>
        <v>#REF!</v>
      </c>
      <c r="GG159" t="e">
        <f>AND(#REF!,"AAAAAH+N+Lw=")</f>
        <v>#REF!</v>
      </c>
      <c r="GH159" t="e">
        <f>AND(#REF!,"AAAAAH+N+L0=")</f>
        <v>#REF!</v>
      </c>
      <c r="GI159" t="e">
        <f>AND(#REF!,"AAAAAH+N+L4=")</f>
        <v>#REF!</v>
      </c>
      <c r="GJ159" t="e">
        <f>IF(#REF!,"AAAAAH+N+L8=",0)</f>
        <v>#REF!</v>
      </c>
      <c r="GK159" t="e">
        <f>AND(#REF!,"AAAAAH+N+MA=")</f>
        <v>#REF!</v>
      </c>
      <c r="GL159" t="e">
        <f>AND(#REF!,"AAAAAH+N+ME=")</f>
        <v>#REF!</v>
      </c>
      <c r="GM159" t="e">
        <f>AND(#REF!,"AAAAAH+N+MI=")</f>
        <v>#REF!</v>
      </c>
      <c r="GN159" t="e">
        <f>AND(#REF!,"AAAAAH+N+MM=")</f>
        <v>#REF!</v>
      </c>
      <c r="GO159" t="e">
        <f>AND(#REF!,"AAAAAH+N+MQ=")</f>
        <v>#REF!</v>
      </c>
      <c r="GP159" t="e">
        <f>AND(#REF!,"AAAAAH+N+MU=")</f>
        <v>#REF!</v>
      </c>
      <c r="GQ159" t="e">
        <f>AND(#REF!,"AAAAAH+N+MY=")</f>
        <v>#REF!</v>
      </c>
      <c r="GR159" t="e">
        <f>AND(#REF!,"AAAAAH+N+Mc=")</f>
        <v>#REF!</v>
      </c>
      <c r="GS159" t="e">
        <f>AND(#REF!,"AAAAAH+N+Mg=")</f>
        <v>#REF!</v>
      </c>
      <c r="GT159" t="e">
        <f>AND(#REF!,"AAAAAH+N+Mk=")</f>
        <v>#REF!</v>
      </c>
      <c r="GU159" t="e">
        <f>IF(#REF!,"AAAAAH+N+Mo=",0)</f>
        <v>#REF!</v>
      </c>
      <c r="GV159" t="e">
        <f>AND(#REF!,"AAAAAH+N+Ms=")</f>
        <v>#REF!</v>
      </c>
      <c r="GW159" t="e">
        <f>AND(#REF!,"AAAAAH+N+Mw=")</f>
        <v>#REF!</v>
      </c>
      <c r="GX159" t="e">
        <f>AND(#REF!,"AAAAAH+N+M0=")</f>
        <v>#REF!</v>
      </c>
      <c r="GY159" t="e">
        <f>AND(#REF!,"AAAAAH+N+M4=")</f>
        <v>#REF!</v>
      </c>
      <c r="GZ159" t="e">
        <f>AND(#REF!,"AAAAAH+N+M8=")</f>
        <v>#REF!</v>
      </c>
      <c r="HA159" t="e">
        <f>AND(#REF!,"AAAAAH+N+NA=")</f>
        <v>#REF!</v>
      </c>
      <c r="HB159" t="e">
        <f>AND(#REF!,"AAAAAH+N+NE=")</f>
        <v>#REF!</v>
      </c>
      <c r="HC159" t="e">
        <f>AND(#REF!,"AAAAAH+N+NI=")</f>
        <v>#REF!</v>
      </c>
      <c r="HD159" t="e">
        <f>AND(#REF!,"AAAAAH+N+NM=")</f>
        <v>#REF!</v>
      </c>
      <c r="HE159" t="e">
        <f>AND(#REF!,"AAAAAH+N+NQ=")</f>
        <v>#REF!</v>
      </c>
      <c r="HF159" t="e">
        <f>IF(#REF!,"AAAAAH+N+NU=",0)</f>
        <v>#REF!</v>
      </c>
      <c r="HG159" t="e">
        <f>AND(#REF!,"AAAAAH+N+NY=")</f>
        <v>#REF!</v>
      </c>
      <c r="HH159" t="e">
        <f>AND(#REF!,"AAAAAH+N+Nc=")</f>
        <v>#REF!</v>
      </c>
      <c r="HI159" t="e">
        <f>AND(#REF!,"AAAAAH+N+Ng=")</f>
        <v>#REF!</v>
      </c>
      <c r="HJ159" t="e">
        <f>AND(#REF!,"AAAAAH+N+Nk=")</f>
        <v>#REF!</v>
      </c>
      <c r="HK159" t="e">
        <f>AND(#REF!,"AAAAAH+N+No=")</f>
        <v>#REF!</v>
      </c>
      <c r="HL159" t="e">
        <f>AND(#REF!,"AAAAAH+N+Ns=")</f>
        <v>#REF!</v>
      </c>
      <c r="HM159" t="e">
        <f>AND(#REF!,"AAAAAH+N+Nw=")</f>
        <v>#REF!</v>
      </c>
      <c r="HN159" t="e">
        <f>AND(#REF!,"AAAAAH+N+N0=")</f>
        <v>#REF!</v>
      </c>
      <c r="HO159" t="e">
        <f>AND(#REF!,"AAAAAH+N+N4=")</f>
        <v>#REF!</v>
      </c>
      <c r="HP159" t="e">
        <f>AND(#REF!,"AAAAAH+N+N8=")</f>
        <v>#REF!</v>
      </c>
      <c r="HQ159" t="e">
        <f>IF(#REF!,"AAAAAH+N+OA=",0)</f>
        <v>#REF!</v>
      </c>
      <c r="HR159" t="e">
        <f>AND(#REF!,"AAAAAH+N+OE=")</f>
        <v>#REF!</v>
      </c>
      <c r="HS159" t="e">
        <f>AND(#REF!,"AAAAAH+N+OI=")</f>
        <v>#REF!</v>
      </c>
      <c r="HT159" t="e">
        <f>AND(#REF!,"AAAAAH+N+OM=")</f>
        <v>#REF!</v>
      </c>
      <c r="HU159" t="e">
        <f>AND(#REF!,"AAAAAH+N+OQ=")</f>
        <v>#REF!</v>
      </c>
      <c r="HV159" t="e">
        <f>AND(#REF!,"AAAAAH+N+OU=")</f>
        <v>#REF!</v>
      </c>
      <c r="HW159" t="e">
        <f>AND(#REF!,"AAAAAH+N+OY=")</f>
        <v>#REF!</v>
      </c>
      <c r="HX159" t="e">
        <f>AND(#REF!,"AAAAAH+N+Oc=")</f>
        <v>#REF!</v>
      </c>
      <c r="HY159" t="e">
        <f>AND(#REF!,"AAAAAH+N+Og=")</f>
        <v>#REF!</v>
      </c>
      <c r="HZ159" t="e">
        <f>AND(#REF!,"AAAAAH+N+Ok=")</f>
        <v>#REF!</v>
      </c>
      <c r="IA159" t="e">
        <f>AND(#REF!,"AAAAAH+N+Oo=")</f>
        <v>#REF!</v>
      </c>
      <c r="IB159" t="e">
        <f>IF(#REF!,"AAAAAH+N+Os=",0)</f>
        <v>#REF!</v>
      </c>
      <c r="IC159" t="e">
        <f>AND(#REF!,"AAAAAH+N+Ow=")</f>
        <v>#REF!</v>
      </c>
      <c r="ID159" t="e">
        <f>AND(#REF!,"AAAAAH+N+O0=")</f>
        <v>#REF!</v>
      </c>
      <c r="IE159" t="e">
        <f>AND(#REF!,"AAAAAH+N+O4=")</f>
        <v>#REF!</v>
      </c>
      <c r="IF159" t="e">
        <f>AND(#REF!,"AAAAAH+N+O8=")</f>
        <v>#REF!</v>
      </c>
      <c r="IG159" t="e">
        <f>AND(#REF!,"AAAAAH+N+PA=")</f>
        <v>#REF!</v>
      </c>
      <c r="IH159" t="e">
        <f>AND(#REF!,"AAAAAH+N+PE=")</f>
        <v>#REF!</v>
      </c>
      <c r="II159" t="e">
        <f>AND(#REF!,"AAAAAH+N+PI=")</f>
        <v>#REF!</v>
      </c>
      <c r="IJ159" t="e">
        <f>AND(#REF!,"AAAAAH+N+PM=")</f>
        <v>#REF!</v>
      </c>
      <c r="IK159" t="e">
        <f>AND(#REF!,"AAAAAH+N+PQ=")</f>
        <v>#REF!</v>
      </c>
      <c r="IL159" t="e">
        <f>AND(#REF!,"AAAAAH+N+PU=")</f>
        <v>#REF!</v>
      </c>
      <c r="IM159" t="e">
        <f>IF(#REF!,"AAAAAH+N+PY=",0)</f>
        <v>#REF!</v>
      </c>
      <c r="IN159" t="e">
        <f>AND(#REF!,"AAAAAH+N+Pc=")</f>
        <v>#REF!</v>
      </c>
      <c r="IO159" t="e">
        <f>AND(#REF!,"AAAAAH+N+Pg=")</f>
        <v>#REF!</v>
      </c>
      <c r="IP159" t="e">
        <f>AND(#REF!,"AAAAAH+N+Pk=")</f>
        <v>#REF!</v>
      </c>
      <c r="IQ159" t="e">
        <f>AND(#REF!,"AAAAAH+N+Po=")</f>
        <v>#REF!</v>
      </c>
      <c r="IR159" t="e">
        <f>AND(#REF!,"AAAAAH+N+Ps=")</f>
        <v>#REF!</v>
      </c>
      <c r="IS159" t="e">
        <f>AND(#REF!,"AAAAAH+N+Pw=")</f>
        <v>#REF!</v>
      </c>
      <c r="IT159" t="e">
        <f>AND(#REF!,"AAAAAH+N+P0=")</f>
        <v>#REF!</v>
      </c>
      <c r="IU159" t="e">
        <f>AND(#REF!,"AAAAAH+N+P4=")</f>
        <v>#REF!</v>
      </c>
      <c r="IV159" t="e">
        <f>AND(#REF!,"AAAAAH+N+P8=")</f>
        <v>#REF!</v>
      </c>
    </row>
    <row r="160" spans="1:256" x14ac:dyDescent="0.25">
      <c r="A160" t="e">
        <f>AND(#REF!,"AAAAAH/9+wA=")</f>
        <v>#REF!</v>
      </c>
      <c r="B160" t="e">
        <f>IF(#REF!,"AAAAAH/9+wE=",0)</f>
        <v>#REF!</v>
      </c>
      <c r="C160" t="e">
        <f>AND(#REF!,"AAAAAH/9+wI=")</f>
        <v>#REF!</v>
      </c>
      <c r="D160" t="e">
        <f>AND(#REF!,"AAAAAH/9+wM=")</f>
        <v>#REF!</v>
      </c>
      <c r="E160" t="e">
        <f>AND(#REF!,"AAAAAH/9+wQ=")</f>
        <v>#REF!</v>
      </c>
      <c r="F160" t="e">
        <f>AND(#REF!,"AAAAAH/9+wU=")</f>
        <v>#REF!</v>
      </c>
      <c r="G160" t="e">
        <f>AND(#REF!,"AAAAAH/9+wY=")</f>
        <v>#REF!</v>
      </c>
      <c r="H160" t="e">
        <f>AND(#REF!,"AAAAAH/9+wc=")</f>
        <v>#REF!</v>
      </c>
      <c r="I160" t="e">
        <f>AND(#REF!,"AAAAAH/9+wg=")</f>
        <v>#REF!</v>
      </c>
      <c r="J160" t="e">
        <f>AND(#REF!,"AAAAAH/9+wk=")</f>
        <v>#REF!</v>
      </c>
      <c r="K160" t="e">
        <f>AND(#REF!,"AAAAAH/9+wo=")</f>
        <v>#REF!</v>
      </c>
      <c r="L160" t="e">
        <f>AND(#REF!,"AAAAAH/9+ws=")</f>
        <v>#REF!</v>
      </c>
      <c r="M160" t="e">
        <f>IF(#REF!,"AAAAAH/9+ww=",0)</f>
        <v>#REF!</v>
      </c>
      <c r="N160" t="e">
        <f>AND(#REF!,"AAAAAH/9+w0=")</f>
        <v>#REF!</v>
      </c>
      <c r="O160" t="e">
        <f>AND(#REF!,"AAAAAH/9+w4=")</f>
        <v>#REF!</v>
      </c>
      <c r="P160" t="e">
        <f>AND(#REF!,"AAAAAH/9+w8=")</f>
        <v>#REF!</v>
      </c>
      <c r="Q160" t="e">
        <f>AND(#REF!,"AAAAAH/9+xA=")</f>
        <v>#REF!</v>
      </c>
      <c r="R160" t="e">
        <f>AND(#REF!,"AAAAAH/9+xE=")</f>
        <v>#REF!</v>
      </c>
      <c r="S160" t="e">
        <f>AND(#REF!,"AAAAAH/9+xI=")</f>
        <v>#REF!</v>
      </c>
      <c r="T160" t="e">
        <f>AND(#REF!,"AAAAAH/9+xM=")</f>
        <v>#REF!</v>
      </c>
      <c r="U160" t="e">
        <f>AND(#REF!,"AAAAAH/9+xQ=")</f>
        <v>#REF!</v>
      </c>
      <c r="V160" t="e">
        <f>AND(#REF!,"AAAAAH/9+xU=")</f>
        <v>#REF!</v>
      </c>
      <c r="W160" t="e">
        <f>AND(#REF!,"AAAAAH/9+xY=")</f>
        <v>#REF!</v>
      </c>
      <c r="X160" t="e">
        <f>IF(#REF!,"AAAAAH/9+xc=",0)</f>
        <v>#REF!</v>
      </c>
      <c r="Y160" t="e">
        <f>AND(#REF!,"AAAAAH/9+xg=")</f>
        <v>#REF!</v>
      </c>
      <c r="Z160" t="e">
        <f>AND(#REF!,"AAAAAH/9+xk=")</f>
        <v>#REF!</v>
      </c>
      <c r="AA160" t="e">
        <f>AND(#REF!,"AAAAAH/9+xo=")</f>
        <v>#REF!</v>
      </c>
      <c r="AB160" t="e">
        <f>AND(#REF!,"AAAAAH/9+xs=")</f>
        <v>#REF!</v>
      </c>
      <c r="AC160" t="e">
        <f>AND(#REF!,"AAAAAH/9+xw=")</f>
        <v>#REF!</v>
      </c>
      <c r="AD160" t="e">
        <f>AND(#REF!,"AAAAAH/9+x0=")</f>
        <v>#REF!</v>
      </c>
      <c r="AE160" t="e">
        <f>AND(#REF!,"AAAAAH/9+x4=")</f>
        <v>#REF!</v>
      </c>
      <c r="AF160" t="e">
        <f>AND(#REF!,"AAAAAH/9+x8=")</f>
        <v>#REF!</v>
      </c>
      <c r="AG160" t="e">
        <f>AND(#REF!,"AAAAAH/9+yA=")</f>
        <v>#REF!</v>
      </c>
      <c r="AH160" t="e">
        <f>AND(#REF!,"AAAAAH/9+yE=")</f>
        <v>#REF!</v>
      </c>
      <c r="AI160" t="e">
        <f>IF(#REF!,"AAAAAH/9+yI=",0)</f>
        <v>#REF!</v>
      </c>
      <c r="AJ160" t="e">
        <f>AND(#REF!,"AAAAAH/9+yM=")</f>
        <v>#REF!</v>
      </c>
      <c r="AK160" t="e">
        <f>AND(#REF!,"AAAAAH/9+yQ=")</f>
        <v>#REF!</v>
      </c>
      <c r="AL160" t="e">
        <f>AND(#REF!,"AAAAAH/9+yU=")</f>
        <v>#REF!</v>
      </c>
      <c r="AM160" t="e">
        <f>AND(#REF!,"AAAAAH/9+yY=")</f>
        <v>#REF!</v>
      </c>
      <c r="AN160" t="e">
        <f>AND(#REF!,"AAAAAH/9+yc=")</f>
        <v>#REF!</v>
      </c>
      <c r="AO160" t="e">
        <f>AND(#REF!,"AAAAAH/9+yg=")</f>
        <v>#REF!</v>
      </c>
      <c r="AP160" t="e">
        <f>AND(#REF!,"AAAAAH/9+yk=")</f>
        <v>#REF!</v>
      </c>
      <c r="AQ160" t="e">
        <f>AND(#REF!,"AAAAAH/9+yo=")</f>
        <v>#REF!</v>
      </c>
      <c r="AR160" t="e">
        <f>AND(#REF!,"AAAAAH/9+ys=")</f>
        <v>#REF!</v>
      </c>
      <c r="AS160" t="e">
        <f>AND(#REF!,"AAAAAH/9+yw=")</f>
        <v>#REF!</v>
      </c>
      <c r="AT160" t="e">
        <f>IF(#REF!,"AAAAAH/9+y0=",0)</f>
        <v>#REF!</v>
      </c>
      <c r="AU160" t="e">
        <f>AND(#REF!,"AAAAAH/9+y4=")</f>
        <v>#REF!</v>
      </c>
      <c r="AV160" t="e">
        <f>AND(#REF!,"AAAAAH/9+y8=")</f>
        <v>#REF!</v>
      </c>
      <c r="AW160" t="e">
        <f>AND(#REF!,"AAAAAH/9+zA=")</f>
        <v>#REF!</v>
      </c>
      <c r="AX160" t="e">
        <f>AND(#REF!,"AAAAAH/9+zE=")</f>
        <v>#REF!</v>
      </c>
      <c r="AY160" t="e">
        <f>AND(#REF!,"AAAAAH/9+zI=")</f>
        <v>#REF!</v>
      </c>
      <c r="AZ160" t="e">
        <f>AND(#REF!,"AAAAAH/9+zM=")</f>
        <v>#REF!</v>
      </c>
      <c r="BA160" t="e">
        <f>AND(#REF!,"AAAAAH/9+zQ=")</f>
        <v>#REF!</v>
      </c>
      <c r="BB160" t="e">
        <f>AND(#REF!,"AAAAAH/9+zU=")</f>
        <v>#REF!</v>
      </c>
      <c r="BC160" t="e">
        <f>AND(#REF!,"AAAAAH/9+zY=")</f>
        <v>#REF!</v>
      </c>
      <c r="BD160" t="e">
        <f>AND(#REF!,"AAAAAH/9+zc=")</f>
        <v>#REF!</v>
      </c>
      <c r="BE160" t="e">
        <f>IF(#REF!,"AAAAAH/9+zg=",0)</f>
        <v>#REF!</v>
      </c>
      <c r="BF160" t="e">
        <f>AND(#REF!,"AAAAAH/9+zk=")</f>
        <v>#REF!</v>
      </c>
      <c r="BG160" t="e">
        <f>AND(#REF!,"AAAAAH/9+zo=")</f>
        <v>#REF!</v>
      </c>
      <c r="BH160" t="e">
        <f>AND(#REF!,"AAAAAH/9+zs=")</f>
        <v>#REF!</v>
      </c>
      <c r="BI160" t="e">
        <f>AND(#REF!,"AAAAAH/9+zw=")</f>
        <v>#REF!</v>
      </c>
      <c r="BJ160" t="e">
        <f>AND(#REF!,"AAAAAH/9+z0=")</f>
        <v>#REF!</v>
      </c>
      <c r="BK160" t="e">
        <f>AND(#REF!,"AAAAAH/9+z4=")</f>
        <v>#REF!</v>
      </c>
      <c r="BL160" t="e">
        <f>AND(#REF!,"AAAAAH/9+z8=")</f>
        <v>#REF!</v>
      </c>
      <c r="BM160" t="e">
        <f>AND(#REF!,"AAAAAH/9+0A=")</f>
        <v>#REF!</v>
      </c>
      <c r="BN160" t="e">
        <f>AND(#REF!,"AAAAAH/9+0E=")</f>
        <v>#REF!</v>
      </c>
      <c r="BO160" t="e">
        <f>AND(#REF!,"AAAAAH/9+0I=")</f>
        <v>#REF!</v>
      </c>
      <c r="BP160" t="e">
        <f>IF(#REF!,"AAAAAH/9+0M=",0)</f>
        <v>#REF!</v>
      </c>
      <c r="BQ160" t="e">
        <f>AND(#REF!,"AAAAAH/9+0Q=")</f>
        <v>#REF!</v>
      </c>
      <c r="BR160" t="e">
        <f>AND(#REF!,"AAAAAH/9+0U=")</f>
        <v>#REF!</v>
      </c>
      <c r="BS160" t="e">
        <f>AND(#REF!,"AAAAAH/9+0Y=")</f>
        <v>#REF!</v>
      </c>
      <c r="BT160" t="e">
        <f>AND(#REF!,"AAAAAH/9+0c=")</f>
        <v>#REF!</v>
      </c>
      <c r="BU160" t="e">
        <f>AND(#REF!,"AAAAAH/9+0g=")</f>
        <v>#REF!</v>
      </c>
      <c r="BV160" t="e">
        <f>AND(#REF!,"AAAAAH/9+0k=")</f>
        <v>#REF!</v>
      </c>
      <c r="BW160" t="e">
        <f>AND(#REF!,"AAAAAH/9+0o=")</f>
        <v>#REF!</v>
      </c>
      <c r="BX160" t="e">
        <f>AND(#REF!,"AAAAAH/9+0s=")</f>
        <v>#REF!</v>
      </c>
      <c r="BY160" t="e">
        <f>AND(#REF!,"AAAAAH/9+0w=")</f>
        <v>#REF!</v>
      </c>
      <c r="BZ160" t="e">
        <f>AND(#REF!,"AAAAAH/9+00=")</f>
        <v>#REF!</v>
      </c>
      <c r="CA160" t="e">
        <f>IF(#REF!,"AAAAAH/9+04=",0)</f>
        <v>#REF!</v>
      </c>
      <c r="CB160" t="e">
        <f>AND(#REF!,"AAAAAH/9+08=")</f>
        <v>#REF!</v>
      </c>
      <c r="CC160" t="e">
        <f>AND(#REF!,"AAAAAH/9+1A=")</f>
        <v>#REF!</v>
      </c>
      <c r="CD160" t="e">
        <f>AND(#REF!,"AAAAAH/9+1E=")</f>
        <v>#REF!</v>
      </c>
      <c r="CE160" t="e">
        <f>AND(#REF!,"AAAAAH/9+1I=")</f>
        <v>#REF!</v>
      </c>
      <c r="CF160" t="e">
        <f>AND(#REF!,"AAAAAH/9+1M=")</f>
        <v>#REF!</v>
      </c>
      <c r="CG160" t="e">
        <f>AND(#REF!,"AAAAAH/9+1Q=")</f>
        <v>#REF!</v>
      </c>
      <c r="CH160" t="e">
        <f>AND(#REF!,"AAAAAH/9+1U=")</f>
        <v>#REF!</v>
      </c>
      <c r="CI160" t="e">
        <f>AND(#REF!,"AAAAAH/9+1Y=")</f>
        <v>#REF!</v>
      </c>
      <c r="CJ160" t="e">
        <f>AND(#REF!,"AAAAAH/9+1c=")</f>
        <v>#REF!</v>
      </c>
      <c r="CK160" t="e">
        <f>AND(#REF!,"AAAAAH/9+1g=")</f>
        <v>#REF!</v>
      </c>
      <c r="CL160" t="e">
        <f>IF(#REF!,"AAAAAH/9+1k=",0)</f>
        <v>#REF!</v>
      </c>
      <c r="CM160" t="e">
        <f>AND(#REF!,"AAAAAH/9+1o=")</f>
        <v>#REF!</v>
      </c>
      <c r="CN160" t="e">
        <f>AND(#REF!,"AAAAAH/9+1s=")</f>
        <v>#REF!</v>
      </c>
      <c r="CO160" t="e">
        <f>AND(#REF!,"AAAAAH/9+1w=")</f>
        <v>#REF!</v>
      </c>
      <c r="CP160" t="e">
        <f>AND(#REF!,"AAAAAH/9+10=")</f>
        <v>#REF!</v>
      </c>
      <c r="CQ160" t="e">
        <f>AND(#REF!,"AAAAAH/9+14=")</f>
        <v>#REF!</v>
      </c>
      <c r="CR160" t="e">
        <f>AND(#REF!,"AAAAAH/9+18=")</f>
        <v>#REF!</v>
      </c>
      <c r="CS160" t="e">
        <f>AND(#REF!,"AAAAAH/9+2A=")</f>
        <v>#REF!</v>
      </c>
      <c r="CT160" t="e">
        <f>AND(#REF!,"AAAAAH/9+2E=")</f>
        <v>#REF!</v>
      </c>
      <c r="CU160" t="e">
        <f>AND(#REF!,"AAAAAH/9+2I=")</f>
        <v>#REF!</v>
      </c>
      <c r="CV160" t="e">
        <f>AND(#REF!,"AAAAAH/9+2M=")</f>
        <v>#REF!</v>
      </c>
      <c r="CW160" t="e">
        <f>IF(#REF!,"AAAAAH/9+2Q=",0)</f>
        <v>#REF!</v>
      </c>
      <c r="CX160" t="e">
        <f>AND(#REF!,"AAAAAH/9+2U=")</f>
        <v>#REF!</v>
      </c>
      <c r="CY160" t="e">
        <f>AND(#REF!,"AAAAAH/9+2Y=")</f>
        <v>#REF!</v>
      </c>
      <c r="CZ160" t="e">
        <f>AND(#REF!,"AAAAAH/9+2c=")</f>
        <v>#REF!</v>
      </c>
      <c r="DA160" t="e">
        <f>AND(#REF!,"AAAAAH/9+2g=")</f>
        <v>#REF!</v>
      </c>
      <c r="DB160" t="e">
        <f>AND(#REF!,"AAAAAH/9+2k=")</f>
        <v>#REF!</v>
      </c>
      <c r="DC160" t="e">
        <f>AND(#REF!,"AAAAAH/9+2o=")</f>
        <v>#REF!</v>
      </c>
      <c r="DD160" t="e">
        <f>AND(#REF!,"AAAAAH/9+2s=")</f>
        <v>#REF!</v>
      </c>
      <c r="DE160" t="e">
        <f>AND(#REF!,"AAAAAH/9+2w=")</f>
        <v>#REF!</v>
      </c>
      <c r="DF160" t="e">
        <f>AND(#REF!,"AAAAAH/9+20=")</f>
        <v>#REF!</v>
      </c>
      <c r="DG160" t="e">
        <f>AND(#REF!,"AAAAAH/9+24=")</f>
        <v>#REF!</v>
      </c>
      <c r="DH160" t="e">
        <f>IF(#REF!,"AAAAAH/9+28=",0)</f>
        <v>#REF!</v>
      </c>
      <c r="DI160" t="e">
        <f>AND(#REF!,"AAAAAH/9+3A=")</f>
        <v>#REF!</v>
      </c>
      <c r="DJ160" t="e">
        <f>AND(#REF!,"AAAAAH/9+3E=")</f>
        <v>#REF!</v>
      </c>
      <c r="DK160" t="e">
        <f>AND(#REF!,"AAAAAH/9+3I=")</f>
        <v>#REF!</v>
      </c>
      <c r="DL160" t="e">
        <f>AND(#REF!,"AAAAAH/9+3M=")</f>
        <v>#REF!</v>
      </c>
      <c r="DM160" t="e">
        <f>AND(#REF!,"AAAAAH/9+3Q=")</f>
        <v>#REF!</v>
      </c>
      <c r="DN160" t="e">
        <f>AND(#REF!,"AAAAAH/9+3U=")</f>
        <v>#REF!</v>
      </c>
      <c r="DO160" t="e">
        <f>AND(#REF!,"AAAAAH/9+3Y=")</f>
        <v>#REF!</v>
      </c>
      <c r="DP160" t="e">
        <f>AND(#REF!,"AAAAAH/9+3c=")</f>
        <v>#REF!</v>
      </c>
      <c r="DQ160" t="e">
        <f>AND(#REF!,"AAAAAH/9+3g=")</f>
        <v>#REF!</v>
      </c>
      <c r="DR160" t="e">
        <f>AND(#REF!,"AAAAAH/9+3k=")</f>
        <v>#REF!</v>
      </c>
      <c r="DS160" t="e">
        <f>IF(#REF!,"AAAAAH/9+3o=",0)</f>
        <v>#REF!</v>
      </c>
      <c r="DT160" t="e">
        <f>AND(#REF!,"AAAAAH/9+3s=")</f>
        <v>#REF!</v>
      </c>
      <c r="DU160" t="e">
        <f>AND(#REF!,"AAAAAH/9+3w=")</f>
        <v>#REF!</v>
      </c>
      <c r="DV160" t="e">
        <f>AND(#REF!,"AAAAAH/9+30=")</f>
        <v>#REF!</v>
      </c>
      <c r="DW160" t="e">
        <f>AND(#REF!,"AAAAAH/9+34=")</f>
        <v>#REF!</v>
      </c>
      <c r="DX160" t="e">
        <f>AND(#REF!,"AAAAAH/9+38=")</f>
        <v>#REF!</v>
      </c>
      <c r="DY160" t="e">
        <f>AND(#REF!,"AAAAAH/9+4A=")</f>
        <v>#REF!</v>
      </c>
      <c r="DZ160" t="e">
        <f>AND(#REF!,"AAAAAH/9+4E=")</f>
        <v>#REF!</v>
      </c>
      <c r="EA160" t="e">
        <f>AND(#REF!,"AAAAAH/9+4I=")</f>
        <v>#REF!</v>
      </c>
      <c r="EB160" t="e">
        <f>AND(#REF!,"AAAAAH/9+4M=")</f>
        <v>#REF!</v>
      </c>
      <c r="EC160" t="e">
        <f>AND(#REF!,"AAAAAH/9+4Q=")</f>
        <v>#REF!</v>
      </c>
      <c r="ED160" t="e">
        <f>IF(#REF!,"AAAAAH/9+4U=",0)</f>
        <v>#REF!</v>
      </c>
      <c r="EE160" t="e">
        <f>AND(#REF!,"AAAAAH/9+4Y=")</f>
        <v>#REF!</v>
      </c>
      <c r="EF160" t="e">
        <f>AND(#REF!,"AAAAAH/9+4c=")</f>
        <v>#REF!</v>
      </c>
      <c r="EG160" t="e">
        <f>AND(#REF!,"AAAAAH/9+4g=")</f>
        <v>#REF!</v>
      </c>
      <c r="EH160" t="e">
        <f>AND(#REF!,"AAAAAH/9+4k=")</f>
        <v>#REF!</v>
      </c>
      <c r="EI160" t="e">
        <f>AND(#REF!,"AAAAAH/9+4o=")</f>
        <v>#REF!</v>
      </c>
      <c r="EJ160" t="e">
        <f>AND(#REF!,"AAAAAH/9+4s=")</f>
        <v>#REF!</v>
      </c>
      <c r="EK160" t="e">
        <f>AND(#REF!,"AAAAAH/9+4w=")</f>
        <v>#REF!</v>
      </c>
      <c r="EL160" t="e">
        <f>AND(#REF!,"AAAAAH/9+40=")</f>
        <v>#REF!</v>
      </c>
      <c r="EM160" t="e">
        <f>AND(#REF!,"AAAAAH/9+44=")</f>
        <v>#REF!</v>
      </c>
      <c r="EN160" t="e">
        <f>AND(#REF!,"AAAAAH/9+48=")</f>
        <v>#REF!</v>
      </c>
      <c r="EO160" t="e">
        <f>IF(#REF!,"AAAAAH/9+5A=",0)</f>
        <v>#REF!</v>
      </c>
      <c r="EP160" t="e">
        <f>AND(#REF!,"AAAAAH/9+5E=")</f>
        <v>#REF!</v>
      </c>
      <c r="EQ160" t="e">
        <f>AND(#REF!,"AAAAAH/9+5I=")</f>
        <v>#REF!</v>
      </c>
      <c r="ER160" t="e">
        <f>AND(#REF!,"AAAAAH/9+5M=")</f>
        <v>#REF!</v>
      </c>
      <c r="ES160" t="e">
        <f>AND(#REF!,"AAAAAH/9+5Q=")</f>
        <v>#REF!</v>
      </c>
      <c r="ET160" t="e">
        <f>AND(#REF!,"AAAAAH/9+5U=")</f>
        <v>#REF!</v>
      </c>
      <c r="EU160" t="e">
        <f>AND(#REF!,"AAAAAH/9+5Y=")</f>
        <v>#REF!</v>
      </c>
      <c r="EV160" t="e">
        <f>AND(#REF!,"AAAAAH/9+5c=")</f>
        <v>#REF!</v>
      </c>
      <c r="EW160" t="e">
        <f>AND(#REF!,"AAAAAH/9+5g=")</f>
        <v>#REF!</v>
      </c>
      <c r="EX160" t="e">
        <f>AND(#REF!,"AAAAAH/9+5k=")</f>
        <v>#REF!</v>
      </c>
      <c r="EY160" t="e">
        <f>AND(#REF!,"AAAAAH/9+5o=")</f>
        <v>#REF!</v>
      </c>
      <c r="EZ160" t="e">
        <f>IF(#REF!,"AAAAAH/9+5s=",0)</f>
        <v>#REF!</v>
      </c>
      <c r="FA160" t="e">
        <f>AND(#REF!,"AAAAAH/9+5w=")</f>
        <v>#REF!</v>
      </c>
      <c r="FB160" t="e">
        <f>AND(#REF!,"AAAAAH/9+50=")</f>
        <v>#REF!</v>
      </c>
      <c r="FC160" t="e">
        <f>AND(#REF!,"AAAAAH/9+54=")</f>
        <v>#REF!</v>
      </c>
      <c r="FD160" t="e">
        <f>AND(#REF!,"AAAAAH/9+58=")</f>
        <v>#REF!</v>
      </c>
      <c r="FE160" t="e">
        <f>AND(#REF!,"AAAAAH/9+6A=")</f>
        <v>#REF!</v>
      </c>
      <c r="FF160" t="e">
        <f>AND(#REF!,"AAAAAH/9+6E=")</f>
        <v>#REF!</v>
      </c>
      <c r="FG160" t="e">
        <f>AND(#REF!,"AAAAAH/9+6I=")</f>
        <v>#REF!</v>
      </c>
      <c r="FH160" t="e">
        <f>AND(#REF!,"AAAAAH/9+6M=")</f>
        <v>#REF!</v>
      </c>
      <c r="FI160" t="e">
        <f>AND(#REF!,"AAAAAH/9+6Q=")</f>
        <v>#REF!</v>
      </c>
      <c r="FJ160" t="e">
        <f>AND(#REF!,"AAAAAH/9+6U=")</f>
        <v>#REF!</v>
      </c>
      <c r="FK160" t="e">
        <f>IF(#REF!,"AAAAAH/9+6Y=",0)</f>
        <v>#REF!</v>
      </c>
      <c r="FL160" t="e">
        <f>AND(#REF!,"AAAAAH/9+6c=")</f>
        <v>#REF!</v>
      </c>
      <c r="FM160" t="e">
        <f>AND(#REF!,"AAAAAH/9+6g=")</f>
        <v>#REF!</v>
      </c>
      <c r="FN160" t="e">
        <f>AND(#REF!,"AAAAAH/9+6k=")</f>
        <v>#REF!</v>
      </c>
      <c r="FO160" t="e">
        <f>AND(#REF!,"AAAAAH/9+6o=")</f>
        <v>#REF!</v>
      </c>
      <c r="FP160" t="e">
        <f>AND(#REF!,"AAAAAH/9+6s=")</f>
        <v>#REF!</v>
      </c>
      <c r="FQ160" t="e">
        <f>AND(#REF!,"AAAAAH/9+6w=")</f>
        <v>#REF!</v>
      </c>
      <c r="FR160" t="e">
        <f>AND(#REF!,"AAAAAH/9+60=")</f>
        <v>#REF!</v>
      </c>
      <c r="FS160" t="e">
        <f>AND(#REF!,"AAAAAH/9+64=")</f>
        <v>#REF!</v>
      </c>
      <c r="FT160" t="e">
        <f>AND(#REF!,"AAAAAH/9+68=")</f>
        <v>#REF!</v>
      </c>
      <c r="FU160" t="e">
        <f>AND(#REF!,"AAAAAH/9+7A=")</f>
        <v>#REF!</v>
      </c>
      <c r="FV160" t="e">
        <f>IF(#REF!,"AAAAAH/9+7E=",0)</f>
        <v>#REF!</v>
      </c>
      <c r="FW160" t="e">
        <f>AND(#REF!,"AAAAAH/9+7I=")</f>
        <v>#REF!</v>
      </c>
      <c r="FX160" t="e">
        <f>AND(#REF!,"AAAAAH/9+7M=")</f>
        <v>#REF!</v>
      </c>
      <c r="FY160" t="e">
        <f>AND(#REF!,"AAAAAH/9+7Q=")</f>
        <v>#REF!</v>
      </c>
      <c r="FZ160" t="e">
        <f>AND(#REF!,"AAAAAH/9+7U=")</f>
        <v>#REF!</v>
      </c>
      <c r="GA160" t="e">
        <f>AND(#REF!,"AAAAAH/9+7Y=")</f>
        <v>#REF!</v>
      </c>
      <c r="GB160" t="e">
        <f>AND(#REF!,"AAAAAH/9+7c=")</f>
        <v>#REF!</v>
      </c>
      <c r="GC160" t="e">
        <f>AND(#REF!,"AAAAAH/9+7g=")</f>
        <v>#REF!</v>
      </c>
      <c r="GD160" t="e">
        <f>AND(#REF!,"AAAAAH/9+7k=")</f>
        <v>#REF!</v>
      </c>
      <c r="GE160" t="e">
        <f>AND(#REF!,"AAAAAH/9+7o=")</f>
        <v>#REF!</v>
      </c>
      <c r="GF160" t="e">
        <f>AND(#REF!,"AAAAAH/9+7s=")</f>
        <v>#REF!</v>
      </c>
      <c r="GG160" t="e">
        <f>IF(#REF!,"AAAAAH/9+7w=",0)</f>
        <v>#REF!</v>
      </c>
      <c r="GH160" t="e">
        <f>AND(#REF!,"AAAAAH/9+70=")</f>
        <v>#REF!</v>
      </c>
      <c r="GI160" t="e">
        <f>AND(#REF!,"AAAAAH/9+74=")</f>
        <v>#REF!</v>
      </c>
      <c r="GJ160" t="e">
        <f>AND(#REF!,"AAAAAH/9+78=")</f>
        <v>#REF!</v>
      </c>
      <c r="GK160" t="e">
        <f>AND(#REF!,"AAAAAH/9+8A=")</f>
        <v>#REF!</v>
      </c>
      <c r="GL160" t="e">
        <f>AND(#REF!,"AAAAAH/9+8E=")</f>
        <v>#REF!</v>
      </c>
      <c r="GM160" t="e">
        <f>AND(#REF!,"AAAAAH/9+8I=")</f>
        <v>#REF!</v>
      </c>
      <c r="GN160" t="e">
        <f>AND(#REF!,"AAAAAH/9+8M=")</f>
        <v>#REF!</v>
      </c>
      <c r="GO160" t="e">
        <f>AND(#REF!,"AAAAAH/9+8Q=")</f>
        <v>#REF!</v>
      </c>
      <c r="GP160" t="e">
        <f>AND(#REF!,"AAAAAH/9+8U=")</f>
        <v>#REF!</v>
      </c>
      <c r="GQ160" t="e">
        <f>AND(#REF!,"AAAAAH/9+8Y=")</f>
        <v>#REF!</v>
      </c>
      <c r="GR160" t="e">
        <f>IF(#REF!,"AAAAAH/9+8c=",0)</f>
        <v>#REF!</v>
      </c>
      <c r="GS160" t="e">
        <f>AND(#REF!,"AAAAAH/9+8g=")</f>
        <v>#REF!</v>
      </c>
      <c r="GT160" t="e">
        <f>AND(#REF!,"AAAAAH/9+8k=")</f>
        <v>#REF!</v>
      </c>
      <c r="GU160" t="e">
        <f>AND(#REF!,"AAAAAH/9+8o=")</f>
        <v>#REF!</v>
      </c>
      <c r="GV160" t="e">
        <f>AND(#REF!,"AAAAAH/9+8s=")</f>
        <v>#REF!</v>
      </c>
      <c r="GW160" t="e">
        <f>AND(#REF!,"AAAAAH/9+8w=")</f>
        <v>#REF!</v>
      </c>
      <c r="GX160" t="e">
        <f>AND(#REF!,"AAAAAH/9+80=")</f>
        <v>#REF!</v>
      </c>
      <c r="GY160" t="e">
        <f>AND(#REF!,"AAAAAH/9+84=")</f>
        <v>#REF!</v>
      </c>
      <c r="GZ160" t="e">
        <f>AND(#REF!,"AAAAAH/9+88=")</f>
        <v>#REF!</v>
      </c>
      <c r="HA160" t="e">
        <f>AND(#REF!,"AAAAAH/9+9A=")</f>
        <v>#REF!</v>
      </c>
      <c r="HB160" t="e">
        <f>AND(#REF!,"AAAAAH/9+9E=")</f>
        <v>#REF!</v>
      </c>
      <c r="HC160" t="e">
        <f>IF(#REF!,"AAAAAH/9+9I=",0)</f>
        <v>#REF!</v>
      </c>
      <c r="HD160" t="e">
        <f>AND(#REF!,"AAAAAH/9+9M=")</f>
        <v>#REF!</v>
      </c>
      <c r="HE160" t="e">
        <f>AND(#REF!,"AAAAAH/9+9Q=")</f>
        <v>#REF!</v>
      </c>
      <c r="HF160" t="e">
        <f>AND(#REF!,"AAAAAH/9+9U=")</f>
        <v>#REF!</v>
      </c>
      <c r="HG160" t="e">
        <f>AND(#REF!,"AAAAAH/9+9Y=")</f>
        <v>#REF!</v>
      </c>
      <c r="HH160" t="e">
        <f>AND(#REF!,"AAAAAH/9+9c=")</f>
        <v>#REF!</v>
      </c>
      <c r="HI160" t="e">
        <f>AND(#REF!,"AAAAAH/9+9g=")</f>
        <v>#REF!</v>
      </c>
      <c r="HJ160" t="e">
        <f>AND(#REF!,"AAAAAH/9+9k=")</f>
        <v>#REF!</v>
      </c>
      <c r="HK160" t="e">
        <f>AND(#REF!,"AAAAAH/9+9o=")</f>
        <v>#REF!</v>
      </c>
      <c r="HL160" t="e">
        <f>AND(#REF!,"AAAAAH/9+9s=")</f>
        <v>#REF!</v>
      </c>
      <c r="HM160" t="e">
        <f>AND(#REF!,"AAAAAH/9+9w=")</f>
        <v>#REF!</v>
      </c>
      <c r="HN160" t="e">
        <f>IF(#REF!,"AAAAAH/9+90=",0)</f>
        <v>#REF!</v>
      </c>
      <c r="HO160" t="e">
        <f>AND(#REF!,"AAAAAH/9+94=")</f>
        <v>#REF!</v>
      </c>
      <c r="HP160" t="e">
        <f>AND(#REF!,"AAAAAH/9+98=")</f>
        <v>#REF!</v>
      </c>
      <c r="HQ160" t="e">
        <f>AND(#REF!,"AAAAAH/9++A=")</f>
        <v>#REF!</v>
      </c>
      <c r="HR160" t="e">
        <f>AND(#REF!,"AAAAAH/9++E=")</f>
        <v>#REF!</v>
      </c>
      <c r="HS160" t="e">
        <f>AND(#REF!,"AAAAAH/9++I=")</f>
        <v>#REF!</v>
      </c>
      <c r="HT160" t="e">
        <f>AND(#REF!,"AAAAAH/9++M=")</f>
        <v>#REF!</v>
      </c>
      <c r="HU160" t="e">
        <f>AND(#REF!,"AAAAAH/9++Q=")</f>
        <v>#REF!</v>
      </c>
      <c r="HV160" t="e">
        <f>AND(#REF!,"AAAAAH/9++U=")</f>
        <v>#REF!</v>
      </c>
      <c r="HW160" t="e">
        <f>AND(#REF!,"AAAAAH/9++Y=")</f>
        <v>#REF!</v>
      </c>
      <c r="HX160" t="e">
        <f>AND(#REF!,"AAAAAH/9++c=")</f>
        <v>#REF!</v>
      </c>
      <c r="HY160" t="e">
        <f>IF(#REF!,"AAAAAH/9++g=",0)</f>
        <v>#REF!</v>
      </c>
      <c r="HZ160" t="e">
        <f>AND(#REF!,"AAAAAH/9++k=")</f>
        <v>#REF!</v>
      </c>
      <c r="IA160" t="e">
        <f>AND(#REF!,"AAAAAH/9++o=")</f>
        <v>#REF!</v>
      </c>
      <c r="IB160" t="e">
        <f>AND(#REF!,"AAAAAH/9++s=")</f>
        <v>#REF!</v>
      </c>
      <c r="IC160" t="e">
        <f>AND(#REF!,"AAAAAH/9++w=")</f>
        <v>#REF!</v>
      </c>
      <c r="ID160" t="e">
        <f>AND(#REF!,"AAAAAH/9++0=")</f>
        <v>#REF!</v>
      </c>
      <c r="IE160" t="e">
        <f>AND(#REF!,"AAAAAH/9++4=")</f>
        <v>#REF!</v>
      </c>
      <c r="IF160" t="e">
        <f>AND(#REF!,"AAAAAH/9++8=")</f>
        <v>#REF!</v>
      </c>
      <c r="IG160" t="e">
        <f>AND(#REF!,"AAAAAH/9+/A=")</f>
        <v>#REF!</v>
      </c>
      <c r="IH160" t="e">
        <f>AND(#REF!,"AAAAAH/9+/E=")</f>
        <v>#REF!</v>
      </c>
      <c r="II160" t="e">
        <f>AND(#REF!,"AAAAAH/9+/I=")</f>
        <v>#REF!</v>
      </c>
      <c r="IJ160" t="e">
        <f>IF(#REF!,"AAAAAH/9+/M=",0)</f>
        <v>#REF!</v>
      </c>
      <c r="IK160" t="e">
        <f>AND(#REF!,"AAAAAH/9+/Q=")</f>
        <v>#REF!</v>
      </c>
      <c r="IL160" t="e">
        <f>AND(#REF!,"AAAAAH/9+/U=")</f>
        <v>#REF!</v>
      </c>
      <c r="IM160" t="e">
        <f>AND(#REF!,"AAAAAH/9+/Y=")</f>
        <v>#REF!</v>
      </c>
      <c r="IN160" t="e">
        <f>AND(#REF!,"AAAAAH/9+/c=")</f>
        <v>#REF!</v>
      </c>
      <c r="IO160" t="e">
        <f>AND(#REF!,"AAAAAH/9+/g=")</f>
        <v>#REF!</v>
      </c>
      <c r="IP160" t="e">
        <f>AND(#REF!,"AAAAAH/9+/k=")</f>
        <v>#REF!</v>
      </c>
      <c r="IQ160" t="e">
        <f>AND(#REF!,"AAAAAH/9+/o=")</f>
        <v>#REF!</v>
      </c>
      <c r="IR160" t="e">
        <f>AND(#REF!,"AAAAAH/9+/s=")</f>
        <v>#REF!</v>
      </c>
      <c r="IS160" t="e">
        <f>AND(#REF!,"AAAAAH/9+/w=")</f>
        <v>#REF!</v>
      </c>
      <c r="IT160" t="e">
        <f>AND(#REF!,"AAAAAH/9+/0=")</f>
        <v>#REF!</v>
      </c>
      <c r="IU160" t="e">
        <f>IF(#REF!,"AAAAAH/9+/4=",0)</f>
        <v>#REF!</v>
      </c>
      <c r="IV160" t="e">
        <f>AND(#REF!,"AAAAAH/9+/8=")</f>
        <v>#REF!</v>
      </c>
    </row>
    <row r="161" spans="1:256" x14ac:dyDescent="0.25">
      <c r="A161" t="e">
        <f>AND(#REF!,"AAAAAFuWnwA=")</f>
        <v>#REF!</v>
      </c>
      <c r="B161" t="e">
        <f>AND(#REF!,"AAAAAFuWnwE=")</f>
        <v>#REF!</v>
      </c>
      <c r="C161" t="e">
        <f>AND(#REF!,"AAAAAFuWnwI=")</f>
        <v>#REF!</v>
      </c>
      <c r="D161" t="e">
        <f>AND(#REF!,"AAAAAFuWnwM=")</f>
        <v>#REF!</v>
      </c>
      <c r="E161" t="e">
        <f>AND(#REF!,"AAAAAFuWnwQ=")</f>
        <v>#REF!</v>
      </c>
      <c r="F161" t="e">
        <f>AND(#REF!,"AAAAAFuWnwU=")</f>
        <v>#REF!</v>
      </c>
      <c r="G161" t="e">
        <f>AND(#REF!,"AAAAAFuWnwY=")</f>
        <v>#REF!</v>
      </c>
      <c r="H161" t="e">
        <f>AND(#REF!,"AAAAAFuWnwc=")</f>
        <v>#REF!</v>
      </c>
      <c r="I161" t="e">
        <f>AND(#REF!,"AAAAAFuWnwg=")</f>
        <v>#REF!</v>
      </c>
      <c r="J161" t="e">
        <f>IF(#REF!,"AAAAAFuWnwk=",0)</f>
        <v>#REF!</v>
      </c>
      <c r="K161" t="e">
        <f>AND(#REF!,"AAAAAFuWnwo=")</f>
        <v>#REF!</v>
      </c>
      <c r="L161" t="e">
        <f>AND(#REF!,"AAAAAFuWnws=")</f>
        <v>#REF!</v>
      </c>
      <c r="M161" t="e">
        <f>AND(#REF!,"AAAAAFuWnww=")</f>
        <v>#REF!</v>
      </c>
      <c r="N161" t="e">
        <f>AND(#REF!,"AAAAAFuWnw0=")</f>
        <v>#REF!</v>
      </c>
      <c r="O161" t="e">
        <f>AND(#REF!,"AAAAAFuWnw4=")</f>
        <v>#REF!</v>
      </c>
      <c r="P161" t="e">
        <f>AND(#REF!,"AAAAAFuWnw8=")</f>
        <v>#REF!</v>
      </c>
      <c r="Q161" t="e">
        <f>AND(#REF!,"AAAAAFuWnxA=")</f>
        <v>#REF!</v>
      </c>
      <c r="R161" t="e">
        <f>AND(#REF!,"AAAAAFuWnxE=")</f>
        <v>#REF!</v>
      </c>
      <c r="S161" t="e">
        <f>AND(#REF!,"AAAAAFuWnxI=")</f>
        <v>#REF!</v>
      </c>
      <c r="T161" t="e">
        <f>AND(#REF!,"AAAAAFuWnxM=")</f>
        <v>#REF!</v>
      </c>
      <c r="U161" t="e">
        <f>IF(#REF!,"AAAAAFuWnxQ=",0)</f>
        <v>#REF!</v>
      </c>
      <c r="V161" t="e">
        <f>AND(#REF!,"AAAAAFuWnxU=")</f>
        <v>#REF!</v>
      </c>
      <c r="W161" t="e">
        <f>AND(#REF!,"AAAAAFuWnxY=")</f>
        <v>#REF!</v>
      </c>
      <c r="X161" t="e">
        <f>AND(#REF!,"AAAAAFuWnxc=")</f>
        <v>#REF!</v>
      </c>
      <c r="Y161" t="e">
        <f>AND(#REF!,"AAAAAFuWnxg=")</f>
        <v>#REF!</v>
      </c>
      <c r="Z161" t="e">
        <f>AND(#REF!,"AAAAAFuWnxk=")</f>
        <v>#REF!</v>
      </c>
      <c r="AA161" t="e">
        <f>AND(#REF!,"AAAAAFuWnxo=")</f>
        <v>#REF!</v>
      </c>
      <c r="AB161" t="e">
        <f>AND(#REF!,"AAAAAFuWnxs=")</f>
        <v>#REF!</v>
      </c>
      <c r="AC161" t="e">
        <f>AND(#REF!,"AAAAAFuWnxw=")</f>
        <v>#REF!</v>
      </c>
      <c r="AD161" t="e">
        <f>AND(#REF!,"AAAAAFuWnx0=")</f>
        <v>#REF!</v>
      </c>
      <c r="AE161" t="e">
        <f>AND(#REF!,"AAAAAFuWnx4=")</f>
        <v>#REF!</v>
      </c>
      <c r="AF161" t="e">
        <f>IF(#REF!,"AAAAAFuWnx8=",0)</f>
        <v>#REF!</v>
      </c>
      <c r="AG161" t="e">
        <f>AND(#REF!,"AAAAAFuWnyA=")</f>
        <v>#REF!</v>
      </c>
      <c r="AH161" t="e">
        <f>AND(#REF!,"AAAAAFuWnyE=")</f>
        <v>#REF!</v>
      </c>
      <c r="AI161" t="e">
        <f>AND(#REF!,"AAAAAFuWnyI=")</f>
        <v>#REF!</v>
      </c>
      <c r="AJ161" t="e">
        <f>AND(#REF!,"AAAAAFuWnyM=")</f>
        <v>#REF!</v>
      </c>
      <c r="AK161" t="e">
        <f>AND(#REF!,"AAAAAFuWnyQ=")</f>
        <v>#REF!</v>
      </c>
      <c r="AL161" t="e">
        <f>AND(#REF!,"AAAAAFuWnyU=")</f>
        <v>#REF!</v>
      </c>
      <c r="AM161" t="e">
        <f>AND(#REF!,"AAAAAFuWnyY=")</f>
        <v>#REF!</v>
      </c>
      <c r="AN161" t="e">
        <f>AND(#REF!,"AAAAAFuWnyc=")</f>
        <v>#REF!</v>
      </c>
      <c r="AO161" t="e">
        <f>AND(#REF!,"AAAAAFuWnyg=")</f>
        <v>#REF!</v>
      </c>
      <c r="AP161" t="e">
        <f>AND(#REF!,"AAAAAFuWnyk=")</f>
        <v>#REF!</v>
      </c>
      <c r="AQ161" t="e">
        <f>IF(#REF!,"AAAAAFuWnyo=",0)</f>
        <v>#REF!</v>
      </c>
      <c r="AR161" t="e">
        <f>AND(#REF!,"AAAAAFuWnys=")</f>
        <v>#REF!</v>
      </c>
      <c r="AS161" t="e">
        <f>AND(#REF!,"AAAAAFuWnyw=")</f>
        <v>#REF!</v>
      </c>
      <c r="AT161" t="e">
        <f>AND(#REF!,"AAAAAFuWny0=")</f>
        <v>#REF!</v>
      </c>
      <c r="AU161" t="e">
        <f>AND(#REF!,"AAAAAFuWny4=")</f>
        <v>#REF!</v>
      </c>
      <c r="AV161" t="e">
        <f>AND(#REF!,"AAAAAFuWny8=")</f>
        <v>#REF!</v>
      </c>
      <c r="AW161" t="e">
        <f>AND(#REF!,"AAAAAFuWnzA=")</f>
        <v>#REF!</v>
      </c>
      <c r="AX161" t="e">
        <f>AND(#REF!,"AAAAAFuWnzE=")</f>
        <v>#REF!</v>
      </c>
      <c r="AY161" t="e">
        <f>AND(#REF!,"AAAAAFuWnzI=")</f>
        <v>#REF!</v>
      </c>
      <c r="AZ161" t="e">
        <f>AND(#REF!,"AAAAAFuWnzM=")</f>
        <v>#REF!</v>
      </c>
      <c r="BA161" t="e">
        <f>AND(#REF!,"AAAAAFuWnzQ=")</f>
        <v>#REF!</v>
      </c>
      <c r="BB161" t="e">
        <f>IF(#REF!,"AAAAAFuWnzU=",0)</f>
        <v>#REF!</v>
      </c>
      <c r="BC161" t="e">
        <f>AND(#REF!,"AAAAAFuWnzY=")</f>
        <v>#REF!</v>
      </c>
      <c r="BD161" t="e">
        <f>AND(#REF!,"AAAAAFuWnzc=")</f>
        <v>#REF!</v>
      </c>
      <c r="BE161" t="e">
        <f>AND(#REF!,"AAAAAFuWnzg=")</f>
        <v>#REF!</v>
      </c>
      <c r="BF161" t="e">
        <f>AND(#REF!,"AAAAAFuWnzk=")</f>
        <v>#REF!</v>
      </c>
      <c r="BG161" t="e">
        <f>AND(#REF!,"AAAAAFuWnzo=")</f>
        <v>#REF!</v>
      </c>
      <c r="BH161" t="e">
        <f>AND(#REF!,"AAAAAFuWnzs=")</f>
        <v>#REF!</v>
      </c>
      <c r="BI161" t="e">
        <f>AND(#REF!,"AAAAAFuWnzw=")</f>
        <v>#REF!</v>
      </c>
      <c r="BJ161" t="e">
        <f>AND(#REF!,"AAAAAFuWnz0=")</f>
        <v>#REF!</v>
      </c>
      <c r="BK161" t="e">
        <f>AND(#REF!,"AAAAAFuWnz4=")</f>
        <v>#REF!</v>
      </c>
      <c r="BL161" t="e">
        <f>AND(#REF!,"AAAAAFuWnz8=")</f>
        <v>#REF!</v>
      </c>
      <c r="BM161" t="e">
        <f>IF(#REF!,"AAAAAFuWn0A=",0)</f>
        <v>#REF!</v>
      </c>
      <c r="BN161" t="e">
        <f>AND(#REF!,"AAAAAFuWn0E=")</f>
        <v>#REF!</v>
      </c>
      <c r="BO161" t="e">
        <f>AND(#REF!,"AAAAAFuWn0I=")</f>
        <v>#REF!</v>
      </c>
      <c r="BP161" t="e">
        <f>AND(#REF!,"AAAAAFuWn0M=")</f>
        <v>#REF!</v>
      </c>
      <c r="BQ161" t="e">
        <f>AND(#REF!,"AAAAAFuWn0Q=")</f>
        <v>#REF!</v>
      </c>
      <c r="BR161" t="e">
        <f>AND(#REF!,"AAAAAFuWn0U=")</f>
        <v>#REF!</v>
      </c>
      <c r="BS161" t="e">
        <f>AND(#REF!,"AAAAAFuWn0Y=")</f>
        <v>#REF!</v>
      </c>
      <c r="BT161" t="e">
        <f>AND(#REF!,"AAAAAFuWn0c=")</f>
        <v>#REF!</v>
      </c>
      <c r="BU161" t="e">
        <f>AND(#REF!,"AAAAAFuWn0g=")</f>
        <v>#REF!</v>
      </c>
      <c r="BV161" t="e">
        <f>AND(#REF!,"AAAAAFuWn0k=")</f>
        <v>#REF!</v>
      </c>
      <c r="BW161" t="e">
        <f>AND(#REF!,"AAAAAFuWn0o=")</f>
        <v>#REF!</v>
      </c>
      <c r="BX161" t="e">
        <f>IF(#REF!,"AAAAAFuWn0s=",0)</f>
        <v>#REF!</v>
      </c>
      <c r="BY161" t="e">
        <f>AND(#REF!,"AAAAAFuWn0w=")</f>
        <v>#REF!</v>
      </c>
      <c r="BZ161" t="e">
        <f>AND(#REF!,"AAAAAFuWn00=")</f>
        <v>#REF!</v>
      </c>
      <c r="CA161" t="e">
        <f>AND(#REF!,"AAAAAFuWn04=")</f>
        <v>#REF!</v>
      </c>
      <c r="CB161" t="e">
        <f>AND(#REF!,"AAAAAFuWn08=")</f>
        <v>#REF!</v>
      </c>
      <c r="CC161" t="e">
        <f>AND(#REF!,"AAAAAFuWn1A=")</f>
        <v>#REF!</v>
      </c>
      <c r="CD161" t="e">
        <f>AND(#REF!,"AAAAAFuWn1E=")</f>
        <v>#REF!</v>
      </c>
      <c r="CE161" t="e">
        <f>AND(#REF!,"AAAAAFuWn1I=")</f>
        <v>#REF!</v>
      </c>
      <c r="CF161" t="e">
        <f>AND(#REF!,"AAAAAFuWn1M=")</f>
        <v>#REF!</v>
      </c>
      <c r="CG161" t="e">
        <f>AND(#REF!,"AAAAAFuWn1Q=")</f>
        <v>#REF!</v>
      </c>
      <c r="CH161" t="e">
        <f>AND(#REF!,"AAAAAFuWn1U=")</f>
        <v>#REF!</v>
      </c>
      <c r="CI161" t="e">
        <f>IF(#REF!,"AAAAAFuWn1Y=",0)</f>
        <v>#REF!</v>
      </c>
      <c r="CJ161" t="e">
        <f>AND(#REF!,"AAAAAFuWn1c=")</f>
        <v>#REF!</v>
      </c>
      <c r="CK161" t="e">
        <f>AND(#REF!,"AAAAAFuWn1g=")</f>
        <v>#REF!</v>
      </c>
      <c r="CL161" t="e">
        <f>AND(#REF!,"AAAAAFuWn1k=")</f>
        <v>#REF!</v>
      </c>
      <c r="CM161" t="e">
        <f>AND(#REF!,"AAAAAFuWn1o=")</f>
        <v>#REF!</v>
      </c>
      <c r="CN161" t="e">
        <f>AND(#REF!,"AAAAAFuWn1s=")</f>
        <v>#REF!</v>
      </c>
      <c r="CO161" t="e">
        <f>AND(#REF!,"AAAAAFuWn1w=")</f>
        <v>#REF!</v>
      </c>
      <c r="CP161" t="e">
        <f>AND(#REF!,"AAAAAFuWn10=")</f>
        <v>#REF!</v>
      </c>
      <c r="CQ161" t="e">
        <f>AND(#REF!,"AAAAAFuWn14=")</f>
        <v>#REF!</v>
      </c>
      <c r="CR161" t="e">
        <f>AND(#REF!,"AAAAAFuWn18=")</f>
        <v>#REF!</v>
      </c>
      <c r="CS161" t="e">
        <f>AND(#REF!,"AAAAAFuWn2A=")</f>
        <v>#REF!</v>
      </c>
      <c r="CT161" t="e">
        <f>IF(#REF!,"AAAAAFuWn2E=",0)</f>
        <v>#REF!</v>
      </c>
      <c r="CU161" t="e">
        <f>AND(#REF!,"AAAAAFuWn2I=")</f>
        <v>#REF!</v>
      </c>
      <c r="CV161" t="e">
        <f>AND(#REF!,"AAAAAFuWn2M=")</f>
        <v>#REF!</v>
      </c>
      <c r="CW161" t="e">
        <f>AND(#REF!,"AAAAAFuWn2Q=")</f>
        <v>#REF!</v>
      </c>
      <c r="CX161" t="e">
        <f>AND(#REF!,"AAAAAFuWn2U=")</f>
        <v>#REF!</v>
      </c>
      <c r="CY161" t="e">
        <f>AND(#REF!,"AAAAAFuWn2Y=")</f>
        <v>#REF!</v>
      </c>
      <c r="CZ161" t="e">
        <f>AND(#REF!,"AAAAAFuWn2c=")</f>
        <v>#REF!</v>
      </c>
      <c r="DA161" t="e">
        <f>AND(#REF!,"AAAAAFuWn2g=")</f>
        <v>#REF!</v>
      </c>
      <c r="DB161" t="e">
        <f>AND(#REF!,"AAAAAFuWn2k=")</f>
        <v>#REF!</v>
      </c>
      <c r="DC161" t="e">
        <f>AND(#REF!,"AAAAAFuWn2o=")</f>
        <v>#REF!</v>
      </c>
      <c r="DD161" t="e">
        <f>AND(#REF!,"AAAAAFuWn2s=")</f>
        <v>#REF!</v>
      </c>
      <c r="DE161" t="e">
        <f>IF(#REF!,"AAAAAFuWn2w=",0)</f>
        <v>#REF!</v>
      </c>
      <c r="DF161" t="e">
        <f>AND(#REF!,"AAAAAFuWn20=")</f>
        <v>#REF!</v>
      </c>
      <c r="DG161" t="e">
        <f>AND(#REF!,"AAAAAFuWn24=")</f>
        <v>#REF!</v>
      </c>
      <c r="DH161" t="e">
        <f>AND(#REF!,"AAAAAFuWn28=")</f>
        <v>#REF!</v>
      </c>
      <c r="DI161" t="e">
        <f>AND(#REF!,"AAAAAFuWn3A=")</f>
        <v>#REF!</v>
      </c>
      <c r="DJ161" t="e">
        <f>AND(#REF!,"AAAAAFuWn3E=")</f>
        <v>#REF!</v>
      </c>
      <c r="DK161" t="e">
        <f>AND(#REF!,"AAAAAFuWn3I=")</f>
        <v>#REF!</v>
      </c>
      <c r="DL161" t="e">
        <f>AND(#REF!,"AAAAAFuWn3M=")</f>
        <v>#REF!</v>
      </c>
      <c r="DM161" t="e">
        <f>AND(#REF!,"AAAAAFuWn3Q=")</f>
        <v>#REF!</v>
      </c>
      <c r="DN161" t="e">
        <f>AND(#REF!,"AAAAAFuWn3U=")</f>
        <v>#REF!</v>
      </c>
      <c r="DO161" t="e">
        <f>AND(#REF!,"AAAAAFuWn3Y=")</f>
        <v>#REF!</v>
      </c>
      <c r="DP161" t="e">
        <f>IF(#REF!,"AAAAAFuWn3c=",0)</f>
        <v>#REF!</v>
      </c>
      <c r="DQ161" t="e">
        <f>AND(#REF!,"AAAAAFuWn3g=")</f>
        <v>#REF!</v>
      </c>
      <c r="DR161" t="e">
        <f>AND(#REF!,"AAAAAFuWn3k=")</f>
        <v>#REF!</v>
      </c>
      <c r="DS161" t="e">
        <f>AND(#REF!,"AAAAAFuWn3o=")</f>
        <v>#REF!</v>
      </c>
      <c r="DT161" t="e">
        <f>AND(#REF!,"AAAAAFuWn3s=")</f>
        <v>#REF!</v>
      </c>
      <c r="DU161" t="e">
        <f>AND(#REF!,"AAAAAFuWn3w=")</f>
        <v>#REF!</v>
      </c>
      <c r="DV161" t="e">
        <f>AND(#REF!,"AAAAAFuWn30=")</f>
        <v>#REF!</v>
      </c>
      <c r="DW161" t="e">
        <f>AND(#REF!,"AAAAAFuWn34=")</f>
        <v>#REF!</v>
      </c>
      <c r="DX161" t="e">
        <f>AND(#REF!,"AAAAAFuWn38=")</f>
        <v>#REF!</v>
      </c>
      <c r="DY161" t="e">
        <f>AND(#REF!,"AAAAAFuWn4A=")</f>
        <v>#REF!</v>
      </c>
      <c r="DZ161" t="e">
        <f>AND(#REF!,"AAAAAFuWn4E=")</f>
        <v>#REF!</v>
      </c>
      <c r="EA161" t="e">
        <f>IF(#REF!,"AAAAAFuWn4I=",0)</f>
        <v>#REF!</v>
      </c>
      <c r="EB161" t="e">
        <f>AND(#REF!,"AAAAAFuWn4M=")</f>
        <v>#REF!</v>
      </c>
      <c r="EC161" t="e">
        <f>AND(#REF!,"AAAAAFuWn4Q=")</f>
        <v>#REF!</v>
      </c>
      <c r="ED161" t="e">
        <f>AND(#REF!,"AAAAAFuWn4U=")</f>
        <v>#REF!</v>
      </c>
      <c r="EE161" t="e">
        <f>AND(#REF!,"AAAAAFuWn4Y=")</f>
        <v>#REF!</v>
      </c>
      <c r="EF161" t="e">
        <f>AND(#REF!,"AAAAAFuWn4c=")</f>
        <v>#REF!</v>
      </c>
      <c r="EG161" t="e">
        <f>AND(#REF!,"AAAAAFuWn4g=")</f>
        <v>#REF!</v>
      </c>
      <c r="EH161" t="e">
        <f>AND(#REF!,"AAAAAFuWn4k=")</f>
        <v>#REF!</v>
      </c>
      <c r="EI161" t="e">
        <f>AND(#REF!,"AAAAAFuWn4o=")</f>
        <v>#REF!</v>
      </c>
      <c r="EJ161" t="e">
        <f>AND(#REF!,"AAAAAFuWn4s=")</f>
        <v>#REF!</v>
      </c>
      <c r="EK161" t="e">
        <f>AND(#REF!,"AAAAAFuWn4w=")</f>
        <v>#REF!</v>
      </c>
      <c r="EL161" t="e">
        <f>IF(#REF!,"AAAAAFuWn40=",0)</f>
        <v>#REF!</v>
      </c>
      <c r="EM161" t="e">
        <f>AND(#REF!,"AAAAAFuWn44=")</f>
        <v>#REF!</v>
      </c>
      <c r="EN161" t="e">
        <f>AND(#REF!,"AAAAAFuWn48=")</f>
        <v>#REF!</v>
      </c>
      <c r="EO161" t="e">
        <f>AND(#REF!,"AAAAAFuWn5A=")</f>
        <v>#REF!</v>
      </c>
      <c r="EP161" t="e">
        <f>AND(#REF!,"AAAAAFuWn5E=")</f>
        <v>#REF!</v>
      </c>
      <c r="EQ161" t="e">
        <f>AND(#REF!,"AAAAAFuWn5I=")</f>
        <v>#REF!</v>
      </c>
      <c r="ER161" t="e">
        <f>AND(#REF!,"AAAAAFuWn5M=")</f>
        <v>#REF!</v>
      </c>
      <c r="ES161" t="e">
        <f>AND(#REF!,"AAAAAFuWn5Q=")</f>
        <v>#REF!</v>
      </c>
      <c r="ET161" t="e">
        <f>AND(#REF!,"AAAAAFuWn5U=")</f>
        <v>#REF!</v>
      </c>
      <c r="EU161" t="e">
        <f>AND(#REF!,"AAAAAFuWn5Y=")</f>
        <v>#REF!</v>
      </c>
      <c r="EV161" t="e">
        <f>AND(#REF!,"AAAAAFuWn5c=")</f>
        <v>#REF!</v>
      </c>
      <c r="EW161" t="e">
        <f>IF(#REF!,"AAAAAFuWn5g=",0)</f>
        <v>#REF!</v>
      </c>
      <c r="EX161" t="e">
        <f>AND(#REF!,"AAAAAFuWn5k=")</f>
        <v>#REF!</v>
      </c>
      <c r="EY161" t="e">
        <f>AND(#REF!,"AAAAAFuWn5o=")</f>
        <v>#REF!</v>
      </c>
      <c r="EZ161" t="e">
        <f>AND(#REF!,"AAAAAFuWn5s=")</f>
        <v>#REF!</v>
      </c>
      <c r="FA161" t="e">
        <f>AND(#REF!,"AAAAAFuWn5w=")</f>
        <v>#REF!</v>
      </c>
      <c r="FB161" t="e">
        <f>AND(#REF!,"AAAAAFuWn50=")</f>
        <v>#REF!</v>
      </c>
      <c r="FC161" t="e">
        <f>AND(#REF!,"AAAAAFuWn54=")</f>
        <v>#REF!</v>
      </c>
      <c r="FD161" t="e">
        <f>AND(#REF!,"AAAAAFuWn58=")</f>
        <v>#REF!</v>
      </c>
      <c r="FE161" t="e">
        <f>AND(#REF!,"AAAAAFuWn6A=")</f>
        <v>#REF!</v>
      </c>
      <c r="FF161" t="e">
        <f>AND(#REF!,"AAAAAFuWn6E=")</f>
        <v>#REF!</v>
      </c>
      <c r="FG161" t="e">
        <f>AND(#REF!,"AAAAAFuWn6I=")</f>
        <v>#REF!</v>
      </c>
      <c r="FH161" t="e">
        <f>IF(#REF!,"AAAAAFuWn6M=",0)</f>
        <v>#REF!</v>
      </c>
      <c r="FI161" t="e">
        <f>AND(#REF!,"AAAAAFuWn6Q=")</f>
        <v>#REF!</v>
      </c>
      <c r="FJ161" t="e">
        <f>AND(#REF!,"AAAAAFuWn6U=")</f>
        <v>#REF!</v>
      </c>
      <c r="FK161" t="e">
        <f>AND(#REF!,"AAAAAFuWn6Y=")</f>
        <v>#REF!</v>
      </c>
      <c r="FL161" t="e">
        <f>AND(#REF!,"AAAAAFuWn6c=")</f>
        <v>#REF!</v>
      </c>
      <c r="FM161" t="e">
        <f>AND(#REF!,"AAAAAFuWn6g=")</f>
        <v>#REF!</v>
      </c>
      <c r="FN161" t="e">
        <f>AND(#REF!,"AAAAAFuWn6k=")</f>
        <v>#REF!</v>
      </c>
      <c r="FO161" t="e">
        <f>AND(#REF!,"AAAAAFuWn6o=")</f>
        <v>#REF!</v>
      </c>
      <c r="FP161" t="e">
        <f>AND(#REF!,"AAAAAFuWn6s=")</f>
        <v>#REF!</v>
      </c>
      <c r="FQ161" t="e">
        <f>AND(#REF!,"AAAAAFuWn6w=")</f>
        <v>#REF!</v>
      </c>
      <c r="FR161" t="e">
        <f>AND(#REF!,"AAAAAFuWn60=")</f>
        <v>#REF!</v>
      </c>
      <c r="FS161" t="e">
        <f>IF(#REF!,"AAAAAFuWn64=",0)</f>
        <v>#REF!</v>
      </c>
      <c r="FT161" t="e">
        <f>AND(#REF!,"AAAAAFuWn68=")</f>
        <v>#REF!</v>
      </c>
      <c r="FU161" t="e">
        <f>AND(#REF!,"AAAAAFuWn7A=")</f>
        <v>#REF!</v>
      </c>
      <c r="FV161" t="e">
        <f>AND(#REF!,"AAAAAFuWn7E=")</f>
        <v>#REF!</v>
      </c>
      <c r="FW161" t="e">
        <f>AND(#REF!,"AAAAAFuWn7I=")</f>
        <v>#REF!</v>
      </c>
      <c r="FX161" t="e">
        <f>AND(#REF!,"AAAAAFuWn7M=")</f>
        <v>#REF!</v>
      </c>
      <c r="FY161" t="e">
        <f>AND(#REF!,"AAAAAFuWn7Q=")</f>
        <v>#REF!</v>
      </c>
      <c r="FZ161" t="e">
        <f>AND(#REF!,"AAAAAFuWn7U=")</f>
        <v>#REF!</v>
      </c>
      <c r="GA161" t="e">
        <f>AND(#REF!,"AAAAAFuWn7Y=")</f>
        <v>#REF!</v>
      </c>
      <c r="GB161" t="e">
        <f>AND(#REF!,"AAAAAFuWn7c=")</f>
        <v>#REF!</v>
      </c>
      <c r="GC161" t="e">
        <f>AND(#REF!,"AAAAAFuWn7g=")</f>
        <v>#REF!</v>
      </c>
      <c r="GD161" t="e">
        <f>IF(#REF!,"AAAAAFuWn7k=",0)</f>
        <v>#REF!</v>
      </c>
      <c r="GE161" t="e">
        <f>AND(#REF!,"AAAAAFuWn7o=")</f>
        <v>#REF!</v>
      </c>
      <c r="GF161" t="e">
        <f>AND(#REF!,"AAAAAFuWn7s=")</f>
        <v>#REF!</v>
      </c>
      <c r="GG161" t="e">
        <f>AND(#REF!,"AAAAAFuWn7w=")</f>
        <v>#REF!</v>
      </c>
      <c r="GH161" t="e">
        <f>AND(#REF!,"AAAAAFuWn70=")</f>
        <v>#REF!</v>
      </c>
      <c r="GI161" t="e">
        <f>AND(#REF!,"AAAAAFuWn74=")</f>
        <v>#REF!</v>
      </c>
      <c r="GJ161" t="e">
        <f>AND(#REF!,"AAAAAFuWn78=")</f>
        <v>#REF!</v>
      </c>
      <c r="GK161" t="e">
        <f>AND(#REF!,"AAAAAFuWn8A=")</f>
        <v>#REF!</v>
      </c>
      <c r="GL161" t="e">
        <f>AND(#REF!,"AAAAAFuWn8E=")</f>
        <v>#REF!</v>
      </c>
      <c r="GM161" t="e">
        <f>AND(#REF!,"AAAAAFuWn8I=")</f>
        <v>#REF!</v>
      </c>
      <c r="GN161" t="e">
        <f>AND(#REF!,"AAAAAFuWn8M=")</f>
        <v>#REF!</v>
      </c>
      <c r="GO161" t="e">
        <f>IF(#REF!,"AAAAAFuWn8Q=",0)</f>
        <v>#REF!</v>
      </c>
      <c r="GP161" t="e">
        <f>AND(#REF!,"AAAAAFuWn8U=")</f>
        <v>#REF!</v>
      </c>
      <c r="GQ161" t="e">
        <f>AND(#REF!,"AAAAAFuWn8Y=")</f>
        <v>#REF!</v>
      </c>
      <c r="GR161" t="e">
        <f>AND(#REF!,"AAAAAFuWn8c=")</f>
        <v>#REF!</v>
      </c>
      <c r="GS161" t="e">
        <f>AND(#REF!,"AAAAAFuWn8g=")</f>
        <v>#REF!</v>
      </c>
      <c r="GT161" t="e">
        <f>AND(#REF!,"AAAAAFuWn8k=")</f>
        <v>#REF!</v>
      </c>
      <c r="GU161" t="e">
        <f>AND(#REF!,"AAAAAFuWn8o=")</f>
        <v>#REF!</v>
      </c>
      <c r="GV161" t="e">
        <f>AND(#REF!,"AAAAAFuWn8s=")</f>
        <v>#REF!</v>
      </c>
      <c r="GW161" t="e">
        <f>AND(#REF!,"AAAAAFuWn8w=")</f>
        <v>#REF!</v>
      </c>
      <c r="GX161" t="e">
        <f>AND(#REF!,"AAAAAFuWn80=")</f>
        <v>#REF!</v>
      </c>
      <c r="GY161" t="e">
        <f>AND(#REF!,"AAAAAFuWn84=")</f>
        <v>#REF!</v>
      </c>
      <c r="GZ161" t="e">
        <f>IF(#REF!,"AAAAAFuWn88=",0)</f>
        <v>#REF!</v>
      </c>
      <c r="HA161" t="e">
        <f>AND(#REF!,"AAAAAFuWn9A=")</f>
        <v>#REF!</v>
      </c>
      <c r="HB161" t="e">
        <f>AND(#REF!,"AAAAAFuWn9E=")</f>
        <v>#REF!</v>
      </c>
      <c r="HC161" t="e">
        <f>AND(#REF!,"AAAAAFuWn9I=")</f>
        <v>#REF!</v>
      </c>
      <c r="HD161" t="e">
        <f>AND(#REF!,"AAAAAFuWn9M=")</f>
        <v>#REF!</v>
      </c>
      <c r="HE161" t="e">
        <f>AND(#REF!,"AAAAAFuWn9Q=")</f>
        <v>#REF!</v>
      </c>
      <c r="HF161" t="e">
        <f>AND(#REF!,"AAAAAFuWn9U=")</f>
        <v>#REF!</v>
      </c>
      <c r="HG161" t="e">
        <f>AND(#REF!,"AAAAAFuWn9Y=")</f>
        <v>#REF!</v>
      </c>
      <c r="HH161" t="e">
        <f>AND(#REF!,"AAAAAFuWn9c=")</f>
        <v>#REF!</v>
      </c>
      <c r="HI161" t="e">
        <f>AND(#REF!,"AAAAAFuWn9g=")</f>
        <v>#REF!</v>
      </c>
      <c r="HJ161" t="e">
        <f>AND(#REF!,"AAAAAFuWn9k=")</f>
        <v>#REF!</v>
      </c>
      <c r="HK161" t="e">
        <f>IF(#REF!,"AAAAAFuWn9o=",0)</f>
        <v>#REF!</v>
      </c>
      <c r="HL161" t="e">
        <f>AND(#REF!,"AAAAAFuWn9s=")</f>
        <v>#REF!</v>
      </c>
      <c r="HM161" t="e">
        <f>AND(#REF!,"AAAAAFuWn9w=")</f>
        <v>#REF!</v>
      </c>
      <c r="HN161" t="e">
        <f>AND(#REF!,"AAAAAFuWn90=")</f>
        <v>#REF!</v>
      </c>
      <c r="HO161" t="e">
        <f>AND(#REF!,"AAAAAFuWn94=")</f>
        <v>#REF!</v>
      </c>
      <c r="HP161" t="e">
        <f>AND(#REF!,"AAAAAFuWn98=")</f>
        <v>#REF!</v>
      </c>
      <c r="HQ161" t="e">
        <f>AND(#REF!,"AAAAAFuWn+A=")</f>
        <v>#REF!</v>
      </c>
      <c r="HR161" t="e">
        <f>AND(#REF!,"AAAAAFuWn+E=")</f>
        <v>#REF!</v>
      </c>
      <c r="HS161" t="e">
        <f>AND(#REF!,"AAAAAFuWn+I=")</f>
        <v>#REF!</v>
      </c>
      <c r="HT161" t="e">
        <f>AND(#REF!,"AAAAAFuWn+M=")</f>
        <v>#REF!</v>
      </c>
      <c r="HU161" t="e">
        <f>AND(#REF!,"AAAAAFuWn+Q=")</f>
        <v>#REF!</v>
      </c>
      <c r="HV161" t="e">
        <f>IF(#REF!,"AAAAAFuWn+U=",0)</f>
        <v>#REF!</v>
      </c>
      <c r="HW161" t="e">
        <f>AND(#REF!,"AAAAAFuWn+Y=")</f>
        <v>#REF!</v>
      </c>
      <c r="HX161" t="e">
        <f>AND(#REF!,"AAAAAFuWn+c=")</f>
        <v>#REF!</v>
      </c>
      <c r="HY161" t="e">
        <f>AND(#REF!,"AAAAAFuWn+g=")</f>
        <v>#REF!</v>
      </c>
      <c r="HZ161" t="e">
        <f>AND(#REF!,"AAAAAFuWn+k=")</f>
        <v>#REF!</v>
      </c>
      <c r="IA161" t="e">
        <f>AND(#REF!,"AAAAAFuWn+o=")</f>
        <v>#REF!</v>
      </c>
      <c r="IB161" t="e">
        <f>AND(#REF!,"AAAAAFuWn+s=")</f>
        <v>#REF!</v>
      </c>
      <c r="IC161" t="e">
        <f>AND(#REF!,"AAAAAFuWn+w=")</f>
        <v>#REF!</v>
      </c>
      <c r="ID161" t="e">
        <f>AND(#REF!,"AAAAAFuWn+0=")</f>
        <v>#REF!</v>
      </c>
      <c r="IE161" t="e">
        <f>AND(#REF!,"AAAAAFuWn+4=")</f>
        <v>#REF!</v>
      </c>
      <c r="IF161" t="e">
        <f>AND(#REF!,"AAAAAFuWn+8=")</f>
        <v>#REF!</v>
      </c>
      <c r="IG161" t="e">
        <f>IF(#REF!,"AAAAAFuWn/A=",0)</f>
        <v>#REF!</v>
      </c>
      <c r="IH161" t="e">
        <f>AND(#REF!,"AAAAAFuWn/E=")</f>
        <v>#REF!</v>
      </c>
      <c r="II161" t="e">
        <f>AND(#REF!,"AAAAAFuWn/I=")</f>
        <v>#REF!</v>
      </c>
      <c r="IJ161" t="e">
        <f>AND(#REF!,"AAAAAFuWn/M=")</f>
        <v>#REF!</v>
      </c>
      <c r="IK161" t="e">
        <f>AND(#REF!,"AAAAAFuWn/Q=")</f>
        <v>#REF!</v>
      </c>
      <c r="IL161" t="e">
        <f>AND(#REF!,"AAAAAFuWn/U=")</f>
        <v>#REF!</v>
      </c>
      <c r="IM161" t="e">
        <f>AND(#REF!,"AAAAAFuWn/Y=")</f>
        <v>#REF!</v>
      </c>
      <c r="IN161" t="e">
        <f>AND(#REF!,"AAAAAFuWn/c=")</f>
        <v>#REF!</v>
      </c>
      <c r="IO161" t="e">
        <f>AND(#REF!,"AAAAAFuWn/g=")</f>
        <v>#REF!</v>
      </c>
      <c r="IP161" t="e">
        <f>AND(#REF!,"AAAAAFuWn/k=")</f>
        <v>#REF!</v>
      </c>
      <c r="IQ161" t="e">
        <f>AND(#REF!,"AAAAAFuWn/o=")</f>
        <v>#REF!</v>
      </c>
      <c r="IR161" t="e">
        <f>IF(#REF!,"AAAAAFuWn/s=",0)</f>
        <v>#REF!</v>
      </c>
      <c r="IS161" t="e">
        <f>AND(#REF!,"AAAAAFuWn/w=")</f>
        <v>#REF!</v>
      </c>
      <c r="IT161" t="e">
        <f>AND(#REF!,"AAAAAFuWn/0=")</f>
        <v>#REF!</v>
      </c>
      <c r="IU161" t="e">
        <f>AND(#REF!,"AAAAAFuWn/4=")</f>
        <v>#REF!</v>
      </c>
      <c r="IV161" t="e">
        <f>AND(#REF!,"AAAAAFuWn/8=")</f>
        <v>#REF!</v>
      </c>
    </row>
    <row r="162" spans="1:256" x14ac:dyDescent="0.25">
      <c r="A162" t="e">
        <f>AND(#REF!,"AAAAAGf1dAA=")</f>
        <v>#REF!</v>
      </c>
      <c r="B162" t="e">
        <f>AND(#REF!,"AAAAAGf1dAE=")</f>
        <v>#REF!</v>
      </c>
      <c r="C162" t="e">
        <f>AND(#REF!,"AAAAAGf1dAI=")</f>
        <v>#REF!</v>
      </c>
      <c r="D162" t="e">
        <f>AND(#REF!,"AAAAAGf1dAM=")</f>
        <v>#REF!</v>
      </c>
      <c r="E162" t="e">
        <f>AND(#REF!,"AAAAAGf1dAQ=")</f>
        <v>#REF!</v>
      </c>
      <c r="F162" t="e">
        <f>AND(#REF!,"AAAAAGf1dAU=")</f>
        <v>#REF!</v>
      </c>
      <c r="G162" t="e">
        <f>IF(#REF!,"AAAAAGf1dAY=",0)</f>
        <v>#REF!</v>
      </c>
      <c r="H162" t="e">
        <f>AND(#REF!,"AAAAAGf1dAc=")</f>
        <v>#REF!</v>
      </c>
      <c r="I162" t="e">
        <f>AND(#REF!,"AAAAAGf1dAg=")</f>
        <v>#REF!</v>
      </c>
      <c r="J162" t="e">
        <f>AND(#REF!,"AAAAAGf1dAk=")</f>
        <v>#REF!</v>
      </c>
      <c r="K162" t="e">
        <f>AND(#REF!,"AAAAAGf1dAo=")</f>
        <v>#REF!</v>
      </c>
      <c r="L162" t="e">
        <f>AND(#REF!,"AAAAAGf1dAs=")</f>
        <v>#REF!</v>
      </c>
      <c r="M162" t="e">
        <f>AND(#REF!,"AAAAAGf1dAw=")</f>
        <v>#REF!</v>
      </c>
      <c r="N162" t="e">
        <f>AND(#REF!,"AAAAAGf1dA0=")</f>
        <v>#REF!</v>
      </c>
      <c r="O162" t="e">
        <f>AND(#REF!,"AAAAAGf1dA4=")</f>
        <v>#REF!</v>
      </c>
      <c r="P162" t="e">
        <f>AND(#REF!,"AAAAAGf1dA8=")</f>
        <v>#REF!</v>
      </c>
      <c r="Q162" t="e">
        <f>AND(#REF!,"AAAAAGf1dBA=")</f>
        <v>#REF!</v>
      </c>
      <c r="R162" t="e">
        <f>IF(#REF!,"AAAAAGf1dBE=",0)</f>
        <v>#REF!</v>
      </c>
      <c r="S162" t="e">
        <f>AND(#REF!,"AAAAAGf1dBI=")</f>
        <v>#REF!</v>
      </c>
      <c r="T162" t="e">
        <f>AND(#REF!,"AAAAAGf1dBM=")</f>
        <v>#REF!</v>
      </c>
      <c r="U162" t="e">
        <f>AND(#REF!,"AAAAAGf1dBQ=")</f>
        <v>#REF!</v>
      </c>
      <c r="V162" t="e">
        <f>AND(#REF!,"AAAAAGf1dBU=")</f>
        <v>#REF!</v>
      </c>
      <c r="W162" t="e">
        <f>AND(#REF!,"AAAAAGf1dBY=")</f>
        <v>#REF!</v>
      </c>
      <c r="X162" t="e">
        <f>AND(#REF!,"AAAAAGf1dBc=")</f>
        <v>#REF!</v>
      </c>
      <c r="Y162" t="e">
        <f>AND(#REF!,"AAAAAGf1dBg=")</f>
        <v>#REF!</v>
      </c>
      <c r="Z162" t="e">
        <f>AND(#REF!,"AAAAAGf1dBk=")</f>
        <v>#REF!</v>
      </c>
      <c r="AA162" t="e">
        <f>AND(#REF!,"AAAAAGf1dBo=")</f>
        <v>#REF!</v>
      </c>
      <c r="AB162" t="e">
        <f>AND(#REF!,"AAAAAGf1dBs=")</f>
        <v>#REF!</v>
      </c>
      <c r="AC162" t="e">
        <f>IF(#REF!,"AAAAAGf1dBw=",0)</f>
        <v>#REF!</v>
      </c>
      <c r="AD162" t="e">
        <f>AND(#REF!,"AAAAAGf1dB0=")</f>
        <v>#REF!</v>
      </c>
      <c r="AE162" t="e">
        <f>AND(#REF!,"AAAAAGf1dB4=")</f>
        <v>#REF!</v>
      </c>
      <c r="AF162" t="e">
        <f>AND(#REF!,"AAAAAGf1dB8=")</f>
        <v>#REF!</v>
      </c>
      <c r="AG162" t="e">
        <f>AND(#REF!,"AAAAAGf1dCA=")</f>
        <v>#REF!</v>
      </c>
      <c r="AH162" t="e">
        <f>AND(#REF!,"AAAAAGf1dCE=")</f>
        <v>#REF!</v>
      </c>
      <c r="AI162" t="e">
        <f>AND(#REF!,"AAAAAGf1dCI=")</f>
        <v>#REF!</v>
      </c>
      <c r="AJ162" t="e">
        <f>AND(#REF!,"AAAAAGf1dCM=")</f>
        <v>#REF!</v>
      </c>
      <c r="AK162" t="e">
        <f>AND(#REF!,"AAAAAGf1dCQ=")</f>
        <v>#REF!</v>
      </c>
      <c r="AL162" t="e">
        <f>AND(#REF!,"AAAAAGf1dCU=")</f>
        <v>#REF!</v>
      </c>
      <c r="AM162" t="e">
        <f>AND(#REF!,"AAAAAGf1dCY=")</f>
        <v>#REF!</v>
      </c>
      <c r="AN162" t="e">
        <f>IF(#REF!,"AAAAAGf1dCc=",0)</f>
        <v>#REF!</v>
      </c>
      <c r="AO162" t="e">
        <f>AND(#REF!,"AAAAAGf1dCg=")</f>
        <v>#REF!</v>
      </c>
      <c r="AP162" t="e">
        <f>AND(#REF!,"AAAAAGf1dCk=")</f>
        <v>#REF!</v>
      </c>
      <c r="AQ162" t="e">
        <f>AND(#REF!,"AAAAAGf1dCo=")</f>
        <v>#REF!</v>
      </c>
      <c r="AR162" t="e">
        <f>AND(#REF!,"AAAAAGf1dCs=")</f>
        <v>#REF!</v>
      </c>
      <c r="AS162" t="e">
        <f>AND(#REF!,"AAAAAGf1dCw=")</f>
        <v>#REF!</v>
      </c>
      <c r="AT162" t="e">
        <f>AND(#REF!,"AAAAAGf1dC0=")</f>
        <v>#REF!</v>
      </c>
      <c r="AU162" t="e">
        <f>AND(#REF!,"AAAAAGf1dC4=")</f>
        <v>#REF!</v>
      </c>
      <c r="AV162" t="e">
        <f>AND(#REF!,"AAAAAGf1dC8=")</f>
        <v>#REF!</v>
      </c>
      <c r="AW162" t="e">
        <f>AND(#REF!,"AAAAAGf1dDA=")</f>
        <v>#REF!</v>
      </c>
      <c r="AX162" t="e">
        <f>AND(#REF!,"AAAAAGf1dDE=")</f>
        <v>#REF!</v>
      </c>
      <c r="AY162" t="e">
        <f>IF(#REF!,"AAAAAGf1dDI=",0)</f>
        <v>#REF!</v>
      </c>
      <c r="AZ162" t="e">
        <f>AND(#REF!,"AAAAAGf1dDM=")</f>
        <v>#REF!</v>
      </c>
      <c r="BA162" t="e">
        <f>AND(#REF!,"AAAAAGf1dDQ=")</f>
        <v>#REF!</v>
      </c>
      <c r="BB162" t="e">
        <f>AND(#REF!,"AAAAAGf1dDU=")</f>
        <v>#REF!</v>
      </c>
      <c r="BC162" t="e">
        <f>AND(#REF!,"AAAAAGf1dDY=")</f>
        <v>#REF!</v>
      </c>
      <c r="BD162" t="e">
        <f>AND(#REF!,"AAAAAGf1dDc=")</f>
        <v>#REF!</v>
      </c>
      <c r="BE162" t="e">
        <f>AND(#REF!,"AAAAAGf1dDg=")</f>
        <v>#REF!</v>
      </c>
      <c r="BF162" t="e">
        <f>AND(#REF!,"AAAAAGf1dDk=")</f>
        <v>#REF!</v>
      </c>
      <c r="BG162" t="e">
        <f>AND(#REF!,"AAAAAGf1dDo=")</f>
        <v>#REF!</v>
      </c>
      <c r="BH162" t="e">
        <f>AND(#REF!,"AAAAAGf1dDs=")</f>
        <v>#REF!</v>
      </c>
      <c r="BI162" t="e">
        <f>AND(#REF!,"AAAAAGf1dDw=")</f>
        <v>#REF!</v>
      </c>
      <c r="BJ162" t="e">
        <f>IF(#REF!,"AAAAAGf1dD0=",0)</f>
        <v>#REF!</v>
      </c>
      <c r="BK162" t="e">
        <f>AND(#REF!,"AAAAAGf1dD4=")</f>
        <v>#REF!</v>
      </c>
      <c r="BL162" t="e">
        <f>AND(#REF!,"AAAAAGf1dD8=")</f>
        <v>#REF!</v>
      </c>
      <c r="BM162" t="e">
        <f>AND(#REF!,"AAAAAGf1dEA=")</f>
        <v>#REF!</v>
      </c>
      <c r="BN162" t="e">
        <f>AND(#REF!,"AAAAAGf1dEE=")</f>
        <v>#REF!</v>
      </c>
      <c r="BO162" t="e">
        <f>AND(#REF!,"AAAAAGf1dEI=")</f>
        <v>#REF!</v>
      </c>
      <c r="BP162" t="e">
        <f>AND(#REF!,"AAAAAGf1dEM=")</f>
        <v>#REF!</v>
      </c>
      <c r="BQ162" t="e">
        <f>AND(#REF!,"AAAAAGf1dEQ=")</f>
        <v>#REF!</v>
      </c>
      <c r="BR162" t="e">
        <f>AND(#REF!,"AAAAAGf1dEU=")</f>
        <v>#REF!</v>
      </c>
      <c r="BS162" t="e">
        <f>AND(#REF!,"AAAAAGf1dEY=")</f>
        <v>#REF!</v>
      </c>
      <c r="BT162" t="e">
        <f>AND(#REF!,"AAAAAGf1dEc=")</f>
        <v>#REF!</v>
      </c>
      <c r="BU162" t="e">
        <f>IF(#REF!,"AAAAAGf1dEg=",0)</f>
        <v>#REF!</v>
      </c>
      <c r="BV162" t="e">
        <f>AND(#REF!,"AAAAAGf1dEk=")</f>
        <v>#REF!</v>
      </c>
      <c r="BW162" t="e">
        <f>AND(#REF!,"AAAAAGf1dEo=")</f>
        <v>#REF!</v>
      </c>
      <c r="BX162" t="e">
        <f>AND(#REF!,"AAAAAGf1dEs=")</f>
        <v>#REF!</v>
      </c>
      <c r="BY162" t="e">
        <f>AND(#REF!,"AAAAAGf1dEw=")</f>
        <v>#REF!</v>
      </c>
      <c r="BZ162" t="e">
        <f>AND(#REF!,"AAAAAGf1dE0=")</f>
        <v>#REF!</v>
      </c>
      <c r="CA162" t="e">
        <f>AND(#REF!,"AAAAAGf1dE4=")</f>
        <v>#REF!</v>
      </c>
      <c r="CB162" t="e">
        <f>AND(#REF!,"AAAAAGf1dE8=")</f>
        <v>#REF!</v>
      </c>
      <c r="CC162" t="e">
        <f>AND(#REF!,"AAAAAGf1dFA=")</f>
        <v>#REF!</v>
      </c>
      <c r="CD162" t="e">
        <f>AND(#REF!,"AAAAAGf1dFE=")</f>
        <v>#REF!</v>
      </c>
      <c r="CE162" t="e">
        <f>AND(#REF!,"AAAAAGf1dFI=")</f>
        <v>#REF!</v>
      </c>
      <c r="CF162" t="e">
        <f>IF(#REF!,"AAAAAGf1dFM=",0)</f>
        <v>#REF!</v>
      </c>
      <c r="CG162" t="e">
        <f>AND(#REF!,"AAAAAGf1dFQ=")</f>
        <v>#REF!</v>
      </c>
      <c r="CH162" t="e">
        <f>AND(#REF!,"AAAAAGf1dFU=")</f>
        <v>#REF!</v>
      </c>
      <c r="CI162" t="e">
        <f>AND(#REF!,"AAAAAGf1dFY=")</f>
        <v>#REF!</v>
      </c>
      <c r="CJ162" t="e">
        <f>AND(#REF!,"AAAAAGf1dFc=")</f>
        <v>#REF!</v>
      </c>
      <c r="CK162" t="e">
        <f>AND(#REF!,"AAAAAGf1dFg=")</f>
        <v>#REF!</v>
      </c>
      <c r="CL162" t="e">
        <f>AND(#REF!,"AAAAAGf1dFk=")</f>
        <v>#REF!</v>
      </c>
      <c r="CM162" t="e">
        <f>AND(#REF!,"AAAAAGf1dFo=")</f>
        <v>#REF!</v>
      </c>
      <c r="CN162" t="e">
        <f>AND(#REF!,"AAAAAGf1dFs=")</f>
        <v>#REF!</v>
      </c>
      <c r="CO162" t="e">
        <f>AND(#REF!,"AAAAAGf1dFw=")</f>
        <v>#REF!</v>
      </c>
      <c r="CP162" t="e">
        <f>AND(#REF!,"AAAAAGf1dF0=")</f>
        <v>#REF!</v>
      </c>
      <c r="CQ162" t="e">
        <f>IF(#REF!,"AAAAAGf1dF4=",0)</f>
        <v>#REF!</v>
      </c>
      <c r="CR162" t="e">
        <f>AND(#REF!,"AAAAAGf1dF8=")</f>
        <v>#REF!</v>
      </c>
      <c r="CS162" t="e">
        <f>AND(#REF!,"AAAAAGf1dGA=")</f>
        <v>#REF!</v>
      </c>
      <c r="CT162" t="e">
        <f>AND(#REF!,"AAAAAGf1dGE=")</f>
        <v>#REF!</v>
      </c>
      <c r="CU162" t="e">
        <f>AND(#REF!,"AAAAAGf1dGI=")</f>
        <v>#REF!</v>
      </c>
      <c r="CV162" t="e">
        <f>AND(#REF!,"AAAAAGf1dGM=")</f>
        <v>#REF!</v>
      </c>
      <c r="CW162" t="e">
        <f>AND(#REF!,"AAAAAGf1dGQ=")</f>
        <v>#REF!</v>
      </c>
      <c r="CX162" t="e">
        <f>AND(#REF!,"AAAAAGf1dGU=")</f>
        <v>#REF!</v>
      </c>
      <c r="CY162" t="e">
        <f>AND(#REF!,"AAAAAGf1dGY=")</f>
        <v>#REF!</v>
      </c>
      <c r="CZ162" t="e">
        <f>AND(#REF!,"AAAAAGf1dGc=")</f>
        <v>#REF!</v>
      </c>
      <c r="DA162" t="e">
        <f>AND(#REF!,"AAAAAGf1dGg=")</f>
        <v>#REF!</v>
      </c>
      <c r="DB162" t="e">
        <f>IF(#REF!,"AAAAAGf1dGk=",0)</f>
        <v>#REF!</v>
      </c>
      <c r="DC162" t="e">
        <f>AND(#REF!,"AAAAAGf1dGo=")</f>
        <v>#REF!</v>
      </c>
      <c r="DD162" t="e">
        <f>AND(#REF!,"AAAAAGf1dGs=")</f>
        <v>#REF!</v>
      </c>
      <c r="DE162" t="e">
        <f>AND(#REF!,"AAAAAGf1dGw=")</f>
        <v>#REF!</v>
      </c>
      <c r="DF162" t="e">
        <f>AND(#REF!,"AAAAAGf1dG0=")</f>
        <v>#REF!</v>
      </c>
      <c r="DG162" t="e">
        <f>AND(#REF!,"AAAAAGf1dG4=")</f>
        <v>#REF!</v>
      </c>
      <c r="DH162" t="e">
        <f>AND(#REF!,"AAAAAGf1dG8=")</f>
        <v>#REF!</v>
      </c>
      <c r="DI162" t="e">
        <f>AND(#REF!,"AAAAAGf1dHA=")</f>
        <v>#REF!</v>
      </c>
      <c r="DJ162" t="e">
        <f>AND(#REF!,"AAAAAGf1dHE=")</f>
        <v>#REF!</v>
      </c>
      <c r="DK162" t="e">
        <f>AND(#REF!,"AAAAAGf1dHI=")</f>
        <v>#REF!</v>
      </c>
      <c r="DL162" t="e">
        <f>AND(#REF!,"AAAAAGf1dHM=")</f>
        <v>#REF!</v>
      </c>
      <c r="DM162" t="e">
        <f>IF(#REF!,"AAAAAGf1dHQ=",0)</f>
        <v>#REF!</v>
      </c>
      <c r="DN162" t="e">
        <f>AND(#REF!,"AAAAAGf1dHU=")</f>
        <v>#REF!</v>
      </c>
      <c r="DO162" t="e">
        <f>AND(#REF!,"AAAAAGf1dHY=")</f>
        <v>#REF!</v>
      </c>
      <c r="DP162" t="e">
        <f>AND(#REF!,"AAAAAGf1dHc=")</f>
        <v>#REF!</v>
      </c>
      <c r="DQ162" t="e">
        <f>AND(#REF!,"AAAAAGf1dHg=")</f>
        <v>#REF!</v>
      </c>
      <c r="DR162" t="e">
        <f>AND(#REF!,"AAAAAGf1dHk=")</f>
        <v>#REF!</v>
      </c>
      <c r="DS162" t="e">
        <f>AND(#REF!,"AAAAAGf1dHo=")</f>
        <v>#REF!</v>
      </c>
      <c r="DT162" t="e">
        <f>AND(#REF!,"AAAAAGf1dHs=")</f>
        <v>#REF!</v>
      </c>
      <c r="DU162" t="e">
        <f>AND(#REF!,"AAAAAGf1dHw=")</f>
        <v>#REF!</v>
      </c>
      <c r="DV162" t="e">
        <f>AND(#REF!,"AAAAAGf1dH0=")</f>
        <v>#REF!</v>
      </c>
      <c r="DW162" t="e">
        <f>AND(#REF!,"AAAAAGf1dH4=")</f>
        <v>#REF!</v>
      </c>
      <c r="DX162" t="e">
        <f>IF(#REF!,"AAAAAGf1dH8=",0)</f>
        <v>#REF!</v>
      </c>
      <c r="DY162" t="e">
        <f>AND(#REF!,"AAAAAGf1dIA=")</f>
        <v>#REF!</v>
      </c>
      <c r="DZ162" t="e">
        <f>AND(#REF!,"AAAAAGf1dIE=")</f>
        <v>#REF!</v>
      </c>
      <c r="EA162" t="e">
        <f>AND(#REF!,"AAAAAGf1dII=")</f>
        <v>#REF!</v>
      </c>
      <c r="EB162" t="e">
        <f>AND(#REF!,"AAAAAGf1dIM=")</f>
        <v>#REF!</v>
      </c>
      <c r="EC162" t="e">
        <f>AND(#REF!,"AAAAAGf1dIQ=")</f>
        <v>#REF!</v>
      </c>
      <c r="ED162" t="e">
        <f>AND(#REF!,"AAAAAGf1dIU=")</f>
        <v>#REF!</v>
      </c>
      <c r="EE162" t="e">
        <f>AND(#REF!,"AAAAAGf1dIY=")</f>
        <v>#REF!</v>
      </c>
      <c r="EF162" t="e">
        <f>AND(#REF!,"AAAAAGf1dIc=")</f>
        <v>#REF!</v>
      </c>
      <c r="EG162" t="e">
        <f>AND(#REF!,"AAAAAGf1dIg=")</f>
        <v>#REF!</v>
      </c>
      <c r="EH162" t="e">
        <f>AND(#REF!,"AAAAAGf1dIk=")</f>
        <v>#REF!</v>
      </c>
      <c r="EI162" t="e">
        <f>IF(#REF!,"AAAAAGf1dIo=",0)</f>
        <v>#REF!</v>
      </c>
      <c r="EJ162" t="e">
        <f>AND(#REF!,"AAAAAGf1dIs=")</f>
        <v>#REF!</v>
      </c>
      <c r="EK162" t="e">
        <f>AND(#REF!,"AAAAAGf1dIw=")</f>
        <v>#REF!</v>
      </c>
      <c r="EL162" t="e">
        <f>AND(#REF!,"AAAAAGf1dI0=")</f>
        <v>#REF!</v>
      </c>
      <c r="EM162" t="e">
        <f>AND(#REF!,"AAAAAGf1dI4=")</f>
        <v>#REF!</v>
      </c>
      <c r="EN162" t="e">
        <f>AND(#REF!,"AAAAAGf1dI8=")</f>
        <v>#REF!</v>
      </c>
      <c r="EO162" t="e">
        <f>AND(#REF!,"AAAAAGf1dJA=")</f>
        <v>#REF!</v>
      </c>
      <c r="EP162" t="e">
        <f>AND(#REF!,"AAAAAGf1dJE=")</f>
        <v>#REF!</v>
      </c>
      <c r="EQ162" t="e">
        <f>AND(#REF!,"AAAAAGf1dJI=")</f>
        <v>#REF!</v>
      </c>
      <c r="ER162" t="e">
        <f>AND(#REF!,"AAAAAGf1dJM=")</f>
        <v>#REF!</v>
      </c>
      <c r="ES162" t="e">
        <f>AND(#REF!,"AAAAAGf1dJQ=")</f>
        <v>#REF!</v>
      </c>
      <c r="ET162" t="e">
        <f>IF(#REF!,"AAAAAGf1dJU=",0)</f>
        <v>#REF!</v>
      </c>
      <c r="EU162" t="e">
        <f>AND(#REF!,"AAAAAGf1dJY=")</f>
        <v>#REF!</v>
      </c>
      <c r="EV162" t="e">
        <f>AND(#REF!,"AAAAAGf1dJc=")</f>
        <v>#REF!</v>
      </c>
      <c r="EW162" t="e">
        <f>AND(#REF!,"AAAAAGf1dJg=")</f>
        <v>#REF!</v>
      </c>
      <c r="EX162" t="e">
        <f>AND(#REF!,"AAAAAGf1dJk=")</f>
        <v>#REF!</v>
      </c>
      <c r="EY162" t="e">
        <f>AND(#REF!,"AAAAAGf1dJo=")</f>
        <v>#REF!</v>
      </c>
      <c r="EZ162" t="e">
        <f>AND(#REF!,"AAAAAGf1dJs=")</f>
        <v>#REF!</v>
      </c>
      <c r="FA162" t="e">
        <f>AND(#REF!,"AAAAAGf1dJw=")</f>
        <v>#REF!</v>
      </c>
      <c r="FB162" t="e">
        <f>AND(#REF!,"AAAAAGf1dJ0=")</f>
        <v>#REF!</v>
      </c>
      <c r="FC162" t="e">
        <f>AND(#REF!,"AAAAAGf1dJ4=")</f>
        <v>#REF!</v>
      </c>
      <c r="FD162" t="e">
        <f>AND(#REF!,"AAAAAGf1dJ8=")</f>
        <v>#REF!</v>
      </c>
      <c r="FE162" t="e">
        <f>IF(#REF!,"AAAAAGf1dKA=",0)</f>
        <v>#REF!</v>
      </c>
      <c r="FF162" t="e">
        <f>AND(#REF!,"AAAAAGf1dKE=")</f>
        <v>#REF!</v>
      </c>
      <c r="FG162" t="e">
        <f>AND(#REF!,"AAAAAGf1dKI=")</f>
        <v>#REF!</v>
      </c>
      <c r="FH162" t="e">
        <f>AND(#REF!,"AAAAAGf1dKM=")</f>
        <v>#REF!</v>
      </c>
      <c r="FI162" t="e">
        <f>AND(#REF!,"AAAAAGf1dKQ=")</f>
        <v>#REF!</v>
      </c>
      <c r="FJ162" t="e">
        <f>AND(#REF!,"AAAAAGf1dKU=")</f>
        <v>#REF!</v>
      </c>
      <c r="FK162" t="e">
        <f>AND(#REF!,"AAAAAGf1dKY=")</f>
        <v>#REF!</v>
      </c>
      <c r="FL162" t="e">
        <f>AND(#REF!,"AAAAAGf1dKc=")</f>
        <v>#REF!</v>
      </c>
      <c r="FM162" t="e">
        <f>AND(#REF!,"AAAAAGf1dKg=")</f>
        <v>#REF!</v>
      </c>
      <c r="FN162" t="e">
        <f>AND(#REF!,"AAAAAGf1dKk=")</f>
        <v>#REF!</v>
      </c>
      <c r="FO162" t="e">
        <f>AND(#REF!,"AAAAAGf1dKo=")</f>
        <v>#REF!</v>
      </c>
      <c r="FP162" t="e">
        <f>IF(#REF!,"AAAAAGf1dKs=",0)</f>
        <v>#REF!</v>
      </c>
      <c r="FQ162" t="e">
        <f>AND(#REF!,"AAAAAGf1dKw=")</f>
        <v>#REF!</v>
      </c>
      <c r="FR162" t="e">
        <f>AND(#REF!,"AAAAAGf1dK0=")</f>
        <v>#REF!</v>
      </c>
      <c r="FS162" t="e">
        <f>AND(#REF!,"AAAAAGf1dK4=")</f>
        <v>#REF!</v>
      </c>
      <c r="FT162" t="e">
        <f>AND(#REF!,"AAAAAGf1dK8=")</f>
        <v>#REF!</v>
      </c>
      <c r="FU162" t="e">
        <f>AND(#REF!,"AAAAAGf1dLA=")</f>
        <v>#REF!</v>
      </c>
      <c r="FV162" t="e">
        <f>AND(#REF!,"AAAAAGf1dLE=")</f>
        <v>#REF!</v>
      </c>
      <c r="FW162" t="e">
        <f>AND(#REF!,"AAAAAGf1dLI=")</f>
        <v>#REF!</v>
      </c>
      <c r="FX162" t="e">
        <f>AND(#REF!,"AAAAAGf1dLM=")</f>
        <v>#REF!</v>
      </c>
      <c r="FY162" t="e">
        <f>AND(#REF!,"AAAAAGf1dLQ=")</f>
        <v>#REF!</v>
      </c>
      <c r="FZ162" t="e">
        <f>AND(#REF!,"AAAAAGf1dLU=")</f>
        <v>#REF!</v>
      </c>
      <c r="GA162" t="e">
        <f>IF(#REF!,"AAAAAGf1dLY=",0)</f>
        <v>#REF!</v>
      </c>
      <c r="GB162" t="e">
        <f>AND(#REF!,"AAAAAGf1dLc=")</f>
        <v>#REF!</v>
      </c>
      <c r="GC162" t="e">
        <f>AND(#REF!,"AAAAAGf1dLg=")</f>
        <v>#REF!</v>
      </c>
      <c r="GD162" t="e">
        <f>AND(#REF!,"AAAAAGf1dLk=")</f>
        <v>#REF!</v>
      </c>
      <c r="GE162" t="e">
        <f>AND(#REF!,"AAAAAGf1dLo=")</f>
        <v>#REF!</v>
      </c>
      <c r="GF162" t="e">
        <f>AND(#REF!,"AAAAAGf1dLs=")</f>
        <v>#REF!</v>
      </c>
      <c r="GG162" t="e">
        <f>AND(#REF!,"AAAAAGf1dLw=")</f>
        <v>#REF!</v>
      </c>
      <c r="GH162" t="e">
        <f>AND(#REF!,"AAAAAGf1dL0=")</f>
        <v>#REF!</v>
      </c>
      <c r="GI162" t="e">
        <f>AND(#REF!,"AAAAAGf1dL4=")</f>
        <v>#REF!</v>
      </c>
      <c r="GJ162" t="e">
        <f>AND(#REF!,"AAAAAGf1dL8=")</f>
        <v>#REF!</v>
      </c>
      <c r="GK162" t="e">
        <f>AND(#REF!,"AAAAAGf1dMA=")</f>
        <v>#REF!</v>
      </c>
      <c r="GL162" t="e">
        <f>IF(#REF!,"AAAAAGf1dME=",0)</f>
        <v>#REF!</v>
      </c>
      <c r="GM162" t="e">
        <f>AND(#REF!,"AAAAAGf1dMI=")</f>
        <v>#REF!</v>
      </c>
      <c r="GN162" t="e">
        <f>AND(#REF!,"AAAAAGf1dMM=")</f>
        <v>#REF!</v>
      </c>
      <c r="GO162" t="e">
        <f>AND(#REF!,"AAAAAGf1dMQ=")</f>
        <v>#REF!</v>
      </c>
      <c r="GP162" t="e">
        <f>AND(#REF!,"AAAAAGf1dMU=")</f>
        <v>#REF!</v>
      </c>
      <c r="GQ162" t="e">
        <f>AND(#REF!,"AAAAAGf1dMY=")</f>
        <v>#REF!</v>
      </c>
      <c r="GR162" t="e">
        <f>AND(#REF!,"AAAAAGf1dMc=")</f>
        <v>#REF!</v>
      </c>
      <c r="GS162" t="e">
        <f>AND(#REF!,"AAAAAGf1dMg=")</f>
        <v>#REF!</v>
      </c>
      <c r="GT162" t="e">
        <f>AND(#REF!,"AAAAAGf1dMk=")</f>
        <v>#REF!</v>
      </c>
      <c r="GU162" t="e">
        <f>AND(#REF!,"AAAAAGf1dMo=")</f>
        <v>#REF!</v>
      </c>
      <c r="GV162" t="e">
        <f>AND(#REF!,"AAAAAGf1dMs=")</f>
        <v>#REF!</v>
      </c>
      <c r="GW162" t="e">
        <f>IF(#REF!,"AAAAAGf1dMw=",0)</f>
        <v>#REF!</v>
      </c>
      <c r="GX162" t="e">
        <f>AND(#REF!,"AAAAAGf1dM0=")</f>
        <v>#REF!</v>
      </c>
      <c r="GY162" t="e">
        <f>AND(#REF!,"AAAAAGf1dM4=")</f>
        <v>#REF!</v>
      </c>
      <c r="GZ162" t="e">
        <f>AND(#REF!,"AAAAAGf1dM8=")</f>
        <v>#REF!</v>
      </c>
      <c r="HA162" t="e">
        <f>AND(#REF!,"AAAAAGf1dNA=")</f>
        <v>#REF!</v>
      </c>
      <c r="HB162" t="e">
        <f>AND(#REF!,"AAAAAGf1dNE=")</f>
        <v>#REF!</v>
      </c>
      <c r="HC162" t="e">
        <f>AND(#REF!,"AAAAAGf1dNI=")</f>
        <v>#REF!</v>
      </c>
      <c r="HD162" t="e">
        <f>AND(#REF!,"AAAAAGf1dNM=")</f>
        <v>#REF!</v>
      </c>
      <c r="HE162" t="e">
        <f>AND(#REF!,"AAAAAGf1dNQ=")</f>
        <v>#REF!</v>
      </c>
      <c r="HF162" t="e">
        <f>AND(#REF!,"AAAAAGf1dNU=")</f>
        <v>#REF!</v>
      </c>
      <c r="HG162" t="e">
        <f>AND(#REF!,"AAAAAGf1dNY=")</f>
        <v>#REF!</v>
      </c>
      <c r="HH162" t="e">
        <f>IF(#REF!,"AAAAAGf1dNc=",0)</f>
        <v>#REF!</v>
      </c>
      <c r="HI162" t="e">
        <f>AND(#REF!,"AAAAAGf1dNg=")</f>
        <v>#REF!</v>
      </c>
      <c r="HJ162" t="e">
        <f>AND(#REF!,"AAAAAGf1dNk=")</f>
        <v>#REF!</v>
      </c>
      <c r="HK162" t="e">
        <f>AND(#REF!,"AAAAAGf1dNo=")</f>
        <v>#REF!</v>
      </c>
      <c r="HL162" t="e">
        <f>AND(#REF!,"AAAAAGf1dNs=")</f>
        <v>#REF!</v>
      </c>
      <c r="HM162" t="e">
        <f>AND(#REF!,"AAAAAGf1dNw=")</f>
        <v>#REF!</v>
      </c>
      <c r="HN162" t="e">
        <f>AND(#REF!,"AAAAAGf1dN0=")</f>
        <v>#REF!</v>
      </c>
      <c r="HO162" t="e">
        <f>AND(#REF!,"AAAAAGf1dN4=")</f>
        <v>#REF!</v>
      </c>
      <c r="HP162" t="e">
        <f>AND(#REF!,"AAAAAGf1dN8=")</f>
        <v>#REF!</v>
      </c>
      <c r="HQ162" t="e">
        <f>AND(#REF!,"AAAAAGf1dOA=")</f>
        <v>#REF!</v>
      </c>
      <c r="HR162" t="e">
        <f>AND(#REF!,"AAAAAGf1dOE=")</f>
        <v>#REF!</v>
      </c>
      <c r="HS162" t="e">
        <f>IF(#REF!,"AAAAAGf1dOI=",0)</f>
        <v>#REF!</v>
      </c>
      <c r="HT162" t="e">
        <f>AND(#REF!,"AAAAAGf1dOM=")</f>
        <v>#REF!</v>
      </c>
      <c r="HU162" t="e">
        <f>AND(#REF!,"AAAAAGf1dOQ=")</f>
        <v>#REF!</v>
      </c>
      <c r="HV162" t="e">
        <f>AND(#REF!,"AAAAAGf1dOU=")</f>
        <v>#REF!</v>
      </c>
      <c r="HW162" t="e">
        <f>AND(#REF!,"AAAAAGf1dOY=")</f>
        <v>#REF!</v>
      </c>
      <c r="HX162" t="e">
        <f>AND(#REF!,"AAAAAGf1dOc=")</f>
        <v>#REF!</v>
      </c>
      <c r="HY162" t="e">
        <f>AND(#REF!,"AAAAAGf1dOg=")</f>
        <v>#REF!</v>
      </c>
      <c r="HZ162" t="e">
        <f>AND(#REF!,"AAAAAGf1dOk=")</f>
        <v>#REF!</v>
      </c>
      <c r="IA162" t="e">
        <f>AND(#REF!,"AAAAAGf1dOo=")</f>
        <v>#REF!</v>
      </c>
      <c r="IB162" t="e">
        <f>AND(#REF!,"AAAAAGf1dOs=")</f>
        <v>#REF!</v>
      </c>
      <c r="IC162" t="e">
        <f>AND(#REF!,"AAAAAGf1dOw=")</f>
        <v>#REF!</v>
      </c>
      <c r="ID162" t="e">
        <f>IF(#REF!,"AAAAAGf1dO0=",0)</f>
        <v>#REF!</v>
      </c>
      <c r="IE162" t="e">
        <f>AND(#REF!,"AAAAAGf1dO4=")</f>
        <v>#REF!</v>
      </c>
      <c r="IF162" t="e">
        <f>AND(#REF!,"AAAAAGf1dO8=")</f>
        <v>#REF!</v>
      </c>
      <c r="IG162" t="e">
        <f>AND(#REF!,"AAAAAGf1dPA=")</f>
        <v>#REF!</v>
      </c>
      <c r="IH162" t="e">
        <f>AND(#REF!,"AAAAAGf1dPE=")</f>
        <v>#REF!</v>
      </c>
      <c r="II162" t="e">
        <f>AND(#REF!,"AAAAAGf1dPI=")</f>
        <v>#REF!</v>
      </c>
      <c r="IJ162" t="e">
        <f>AND(#REF!,"AAAAAGf1dPM=")</f>
        <v>#REF!</v>
      </c>
      <c r="IK162" t="e">
        <f>AND(#REF!,"AAAAAGf1dPQ=")</f>
        <v>#REF!</v>
      </c>
      <c r="IL162" t="e">
        <f>AND(#REF!,"AAAAAGf1dPU=")</f>
        <v>#REF!</v>
      </c>
      <c r="IM162" t="e">
        <f>AND(#REF!,"AAAAAGf1dPY=")</f>
        <v>#REF!</v>
      </c>
      <c r="IN162" t="e">
        <f>AND(#REF!,"AAAAAGf1dPc=")</f>
        <v>#REF!</v>
      </c>
      <c r="IO162" t="e">
        <f>IF(#REF!,"AAAAAGf1dPg=",0)</f>
        <v>#REF!</v>
      </c>
      <c r="IP162" t="e">
        <f>AND(#REF!,"AAAAAGf1dPk=")</f>
        <v>#REF!</v>
      </c>
      <c r="IQ162" t="e">
        <f>AND(#REF!,"AAAAAGf1dPo=")</f>
        <v>#REF!</v>
      </c>
      <c r="IR162" t="e">
        <f>AND(#REF!,"AAAAAGf1dPs=")</f>
        <v>#REF!</v>
      </c>
      <c r="IS162" t="e">
        <f>AND(#REF!,"AAAAAGf1dPw=")</f>
        <v>#REF!</v>
      </c>
      <c r="IT162" t="e">
        <f>AND(#REF!,"AAAAAGf1dP0=")</f>
        <v>#REF!</v>
      </c>
      <c r="IU162" t="e">
        <f>AND(#REF!,"AAAAAGf1dP4=")</f>
        <v>#REF!</v>
      </c>
      <c r="IV162" t="e">
        <f>AND(#REF!,"AAAAAGf1dP8=")</f>
        <v>#REF!</v>
      </c>
    </row>
    <row r="163" spans="1:256" x14ac:dyDescent="0.25">
      <c r="A163" t="e">
        <f>AND(#REF!,"AAAAAHrz/QA=")</f>
        <v>#REF!</v>
      </c>
      <c r="B163" t="e">
        <f>AND(#REF!,"AAAAAHrz/QE=")</f>
        <v>#REF!</v>
      </c>
      <c r="C163" t="e">
        <f>AND(#REF!,"AAAAAHrz/QI=")</f>
        <v>#REF!</v>
      </c>
      <c r="D163" t="e">
        <f>IF(#REF!,"AAAAAHrz/QM=",0)</f>
        <v>#REF!</v>
      </c>
      <c r="E163" t="e">
        <f>AND(#REF!,"AAAAAHrz/QQ=")</f>
        <v>#REF!</v>
      </c>
      <c r="F163" t="e">
        <f>AND(#REF!,"AAAAAHrz/QU=")</f>
        <v>#REF!</v>
      </c>
      <c r="G163" t="e">
        <f>AND(#REF!,"AAAAAHrz/QY=")</f>
        <v>#REF!</v>
      </c>
      <c r="H163" t="e">
        <f>AND(#REF!,"AAAAAHrz/Qc=")</f>
        <v>#REF!</v>
      </c>
      <c r="I163" t="e">
        <f>AND(#REF!,"AAAAAHrz/Qg=")</f>
        <v>#REF!</v>
      </c>
      <c r="J163" t="e">
        <f>AND(#REF!,"AAAAAHrz/Qk=")</f>
        <v>#REF!</v>
      </c>
      <c r="K163" t="e">
        <f>AND(#REF!,"AAAAAHrz/Qo=")</f>
        <v>#REF!</v>
      </c>
      <c r="L163" t="e">
        <f>AND(#REF!,"AAAAAHrz/Qs=")</f>
        <v>#REF!</v>
      </c>
      <c r="M163" t="e">
        <f>AND(#REF!,"AAAAAHrz/Qw=")</f>
        <v>#REF!</v>
      </c>
      <c r="N163" t="e">
        <f>AND(#REF!,"AAAAAHrz/Q0=")</f>
        <v>#REF!</v>
      </c>
      <c r="O163" t="e">
        <f>IF(#REF!,"AAAAAHrz/Q4=",0)</f>
        <v>#REF!</v>
      </c>
      <c r="P163" t="e">
        <f>AND(#REF!,"AAAAAHrz/Q8=")</f>
        <v>#REF!</v>
      </c>
      <c r="Q163" t="e">
        <f>AND(#REF!,"AAAAAHrz/RA=")</f>
        <v>#REF!</v>
      </c>
      <c r="R163" t="e">
        <f>AND(#REF!,"AAAAAHrz/RE=")</f>
        <v>#REF!</v>
      </c>
      <c r="S163" t="e">
        <f>AND(#REF!,"AAAAAHrz/RI=")</f>
        <v>#REF!</v>
      </c>
      <c r="T163" t="e">
        <f>AND(#REF!,"AAAAAHrz/RM=")</f>
        <v>#REF!</v>
      </c>
      <c r="U163" t="e">
        <f>AND(#REF!,"AAAAAHrz/RQ=")</f>
        <v>#REF!</v>
      </c>
      <c r="V163" t="e">
        <f>AND(#REF!,"AAAAAHrz/RU=")</f>
        <v>#REF!</v>
      </c>
      <c r="W163" t="e">
        <f>AND(#REF!,"AAAAAHrz/RY=")</f>
        <v>#REF!</v>
      </c>
      <c r="X163" t="e">
        <f>AND(#REF!,"AAAAAHrz/Rc=")</f>
        <v>#REF!</v>
      </c>
      <c r="Y163" t="e">
        <f>AND(#REF!,"AAAAAHrz/Rg=")</f>
        <v>#REF!</v>
      </c>
      <c r="Z163" t="e">
        <f>IF(#REF!,"AAAAAHrz/Rk=",0)</f>
        <v>#REF!</v>
      </c>
      <c r="AA163" t="e">
        <f>AND(#REF!,"AAAAAHrz/Ro=")</f>
        <v>#REF!</v>
      </c>
      <c r="AB163" t="e">
        <f>AND(#REF!,"AAAAAHrz/Rs=")</f>
        <v>#REF!</v>
      </c>
      <c r="AC163" t="e">
        <f>AND(#REF!,"AAAAAHrz/Rw=")</f>
        <v>#REF!</v>
      </c>
      <c r="AD163" t="e">
        <f>AND(#REF!,"AAAAAHrz/R0=")</f>
        <v>#REF!</v>
      </c>
      <c r="AE163" t="e">
        <f>AND(#REF!,"AAAAAHrz/R4=")</f>
        <v>#REF!</v>
      </c>
      <c r="AF163" t="e">
        <f>AND(#REF!,"AAAAAHrz/R8=")</f>
        <v>#REF!</v>
      </c>
      <c r="AG163" t="e">
        <f>AND(#REF!,"AAAAAHrz/SA=")</f>
        <v>#REF!</v>
      </c>
      <c r="AH163" t="e">
        <f>AND(#REF!,"AAAAAHrz/SE=")</f>
        <v>#REF!</v>
      </c>
      <c r="AI163" t="e">
        <f>AND(#REF!,"AAAAAHrz/SI=")</f>
        <v>#REF!</v>
      </c>
      <c r="AJ163" t="e">
        <f>AND(#REF!,"AAAAAHrz/SM=")</f>
        <v>#REF!</v>
      </c>
      <c r="AK163" t="e">
        <f>IF(#REF!,"AAAAAHrz/SQ=",0)</f>
        <v>#REF!</v>
      </c>
      <c r="AL163" t="e">
        <f>AND(#REF!,"AAAAAHrz/SU=")</f>
        <v>#REF!</v>
      </c>
      <c r="AM163" t="e">
        <f>AND(#REF!,"AAAAAHrz/SY=")</f>
        <v>#REF!</v>
      </c>
      <c r="AN163" t="e">
        <f>AND(#REF!,"AAAAAHrz/Sc=")</f>
        <v>#REF!</v>
      </c>
      <c r="AO163" t="e">
        <f>AND(#REF!,"AAAAAHrz/Sg=")</f>
        <v>#REF!</v>
      </c>
      <c r="AP163" t="e">
        <f>AND(#REF!,"AAAAAHrz/Sk=")</f>
        <v>#REF!</v>
      </c>
      <c r="AQ163" t="e">
        <f>AND(#REF!,"AAAAAHrz/So=")</f>
        <v>#REF!</v>
      </c>
      <c r="AR163" t="e">
        <f>AND(#REF!,"AAAAAHrz/Ss=")</f>
        <v>#REF!</v>
      </c>
      <c r="AS163" t="e">
        <f>AND(#REF!,"AAAAAHrz/Sw=")</f>
        <v>#REF!</v>
      </c>
      <c r="AT163" t="e">
        <f>AND(#REF!,"AAAAAHrz/S0=")</f>
        <v>#REF!</v>
      </c>
      <c r="AU163" t="e">
        <f>AND(#REF!,"AAAAAHrz/S4=")</f>
        <v>#REF!</v>
      </c>
      <c r="AV163" t="e">
        <f>IF(#REF!,"AAAAAHrz/S8=",0)</f>
        <v>#REF!</v>
      </c>
      <c r="AW163" t="e">
        <f>AND(#REF!,"AAAAAHrz/TA=")</f>
        <v>#REF!</v>
      </c>
      <c r="AX163" t="e">
        <f>AND(#REF!,"AAAAAHrz/TE=")</f>
        <v>#REF!</v>
      </c>
      <c r="AY163" t="e">
        <f>AND(#REF!,"AAAAAHrz/TI=")</f>
        <v>#REF!</v>
      </c>
      <c r="AZ163" t="e">
        <f>AND(#REF!,"AAAAAHrz/TM=")</f>
        <v>#REF!</v>
      </c>
      <c r="BA163" t="e">
        <f>AND(#REF!,"AAAAAHrz/TQ=")</f>
        <v>#REF!</v>
      </c>
      <c r="BB163" t="e">
        <f>AND(#REF!,"AAAAAHrz/TU=")</f>
        <v>#REF!</v>
      </c>
      <c r="BC163" t="e">
        <f>AND(#REF!,"AAAAAHrz/TY=")</f>
        <v>#REF!</v>
      </c>
      <c r="BD163" t="e">
        <f>AND(#REF!,"AAAAAHrz/Tc=")</f>
        <v>#REF!</v>
      </c>
      <c r="BE163" t="e">
        <f>AND(#REF!,"AAAAAHrz/Tg=")</f>
        <v>#REF!</v>
      </c>
      <c r="BF163" t="e">
        <f>AND(#REF!,"AAAAAHrz/Tk=")</f>
        <v>#REF!</v>
      </c>
      <c r="BG163" t="e">
        <f>IF(#REF!,"AAAAAHrz/To=",0)</f>
        <v>#REF!</v>
      </c>
      <c r="BH163" t="e">
        <f>AND(#REF!,"AAAAAHrz/Ts=")</f>
        <v>#REF!</v>
      </c>
      <c r="BI163" t="e">
        <f>AND(#REF!,"AAAAAHrz/Tw=")</f>
        <v>#REF!</v>
      </c>
      <c r="BJ163" t="e">
        <f>AND(#REF!,"AAAAAHrz/T0=")</f>
        <v>#REF!</v>
      </c>
      <c r="BK163" t="e">
        <f>AND(#REF!,"AAAAAHrz/T4=")</f>
        <v>#REF!</v>
      </c>
      <c r="BL163" t="e">
        <f>AND(#REF!,"AAAAAHrz/T8=")</f>
        <v>#REF!</v>
      </c>
      <c r="BM163" t="e">
        <f>AND(#REF!,"AAAAAHrz/UA=")</f>
        <v>#REF!</v>
      </c>
      <c r="BN163" t="e">
        <f>AND(#REF!,"AAAAAHrz/UE=")</f>
        <v>#REF!</v>
      </c>
      <c r="BO163" t="e">
        <f>AND(#REF!,"AAAAAHrz/UI=")</f>
        <v>#REF!</v>
      </c>
      <c r="BP163" t="e">
        <f>AND(#REF!,"AAAAAHrz/UM=")</f>
        <v>#REF!</v>
      </c>
      <c r="BQ163" t="e">
        <f>AND(#REF!,"AAAAAHrz/UQ=")</f>
        <v>#REF!</v>
      </c>
      <c r="BR163" t="e">
        <f>IF(#REF!,"AAAAAHrz/UU=",0)</f>
        <v>#REF!</v>
      </c>
      <c r="BS163" t="e">
        <f>AND(#REF!,"AAAAAHrz/UY=")</f>
        <v>#REF!</v>
      </c>
      <c r="BT163" t="e">
        <f>AND(#REF!,"AAAAAHrz/Uc=")</f>
        <v>#REF!</v>
      </c>
      <c r="BU163" t="e">
        <f>AND(#REF!,"AAAAAHrz/Ug=")</f>
        <v>#REF!</v>
      </c>
      <c r="BV163" t="e">
        <f>AND(#REF!,"AAAAAHrz/Uk=")</f>
        <v>#REF!</v>
      </c>
      <c r="BW163" t="e">
        <f>AND(#REF!,"AAAAAHrz/Uo=")</f>
        <v>#REF!</v>
      </c>
      <c r="BX163" t="e">
        <f>AND(#REF!,"AAAAAHrz/Us=")</f>
        <v>#REF!</v>
      </c>
      <c r="BY163" t="e">
        <f>AND(#REF!,"AAAAAHrz/Uw=")</f>
        <v>#REF!</v>
      </c>
      <c r="BZ163" t="e">
        <f>AND(#REF!,"AAAAAHrz/U0=")</f>
        <v>#REF!</v>
      </c>
      <c r="CA163" t="e">
        <f>AND(#REF!,"AAAAAHrz/U4=")</f>
        <v>#REF!</v>
      </c>
      <c r="CB163" t="e">
        <f>AND(#REF!,"AAAAAHrz/U8=")</f>
        <v>#REF!</v>
      </c>
      <c r="CC163" t="e">
        <f>IF(#REF!,"AAAAAHrz/VA=",0)</f>
        <v>#REF!</v>
      </c>
      <c r="CD163" t="e">
        <f>AND(#REF!,"AAAAAHrz/VE=")</f>
        <v>#REF!</v>
      </c>
      <c r="CE163" t="e">
        <f>AND(#REF!,"AAAAAHrz/VI=")</f>
        <v>#REF!</v>
      </c>
      <c r="CF163" t="e">
        <f>AND(#REF!,"AAAAAHrz/VM=")</f>
        <v>#REF!</v>
      </c>
      <c r="CG163" t="e">
        <f>AND(#REF!,"AAAAAHrz/VQ=")</f>
        <v>#REF!</v>
      </c>
      <c r="CH163" t="e">
        <f>AND(#REF!,"AAAAAHrz/VU=")</f>
        <v>#REF!</v>
      </c>
      <c r="CI163" t="e">
        <f>AND(#REF!,"AAAAAHrz/VY=")</f>
        <v>#REF!</v>
      </c>
      <c r="CJ163" t="e">
        <f>AND(#REF!,"AAAAAHrz/Vc=")</f>
        <v>#REF!</v>
      </c>
      <c r="CK163" t="e">
        <f>AND(#REF!,"AAAAAHrz/Vg=")</f>
        <v>#REF!</v>
      </c>
      <c r="CL163" t="e">
        <f>AND(#REF!,"AAAAAHrz/Vk=")</f>
        <v>#REF!</v>
      </c>
      <c r="CM163" t="e">
        <f>AND(#REF!,"AAAAAHrz/Vo=")</f>
        <v>#REF!</v>
      </c>
      <c r="CN163" t="e">
        <f>IF(#REF!,"AAAAAHrz/Vs=",0)</f>
        <v>#REF!</v>
      </c>
      <c r="CO163" t="e">
        <f>AND(#REF!,"AAAAAHrz/Vw=")</f>
        <v>#REF!</v>
      </c>
      <c r="CP163" t="e">
        <f>AND(#REF!,"AAAAAHrz/V0=")</f>
        <v>#REF!</v>
      </c>
      <c r="CQ163" t="e">
        <f>AND(#REF!,"AAAAAHrz/V4=")</f>
        <v>#REF!</v>
      </c>
      <c r="CR163" t="e">
        <f>AND(#REF!,"AAAAAHrz/V8=")</f>
        <v>#REF!</v>
      </c>
      <c r="CS163" t="e">
        <f>AND(#REF!,"AAAAAHrz/WA=")</f>
        <v>#REF!</v>
      </c>
      <c r="CT163" t="e">
        <f>AND(#REF!,"AAAAAHrz/WE=")</f>
        <v>#REF!</v>
      </c>
      <c r="CU163" t="e">
        <f>AND(#REF!,"AAAAAHrz/WI=")</f>
        <v>#REF!</v>
      </c>
      <c r="CV163" t="e">
        <f>AND(#REF!,"AAAAAHrz/WM=")</f>
        <v>#REF!</v>
      </c>
      <c r="CW163" t="e">
        <f>AND(#REF!,"AAAAAHrz/WQ=")</f>
        <v>#REF!</v>
      </c>
      <c r="CX163" t="e">
        <f>AND(#REF!,"AAAAAHrz/WU=")</f>
        <v>#REF!</v>
      </c>
      <c r="CY163" t="e">
        <f>IF(#REF!,"AAAAAHrz/WY=",0)</f>
        <v>#REF!</v>
      </c>
      <c r="CZ163" t="e">
        <f>AND(#REF!,"AAAAAHrz/Wc=")</f>
        <v>#REF!</v>
      </c>
      <c r="DA163" t="e">
        <f>AND(#REF!,"AAAAAHrz/Wg=")</f>
        <v>#REF!</v>
      </c>
      <c r="DB163" t="e">
        <f>AND(#REF!,"AAAAAHrz/Wk=")</f>
        <v>#REF!</v>
      </c>
      <c r="DC163" t="e">
        <f>AND(#REF!,"AAAAAHrz/Wo=")</f>
        <v>#REF!</v>
      </c>
      <c r="DD163" t="e">
        <f>AND(#REF!,"AAAAAHrz/Ws=")</f>
        <v>#REF!</v>
      </c>
      <c r="DE163" t="e">
        <f>AND(#REF!,"AAAAAHrz/Ww=")</f>
        <v>#REF!</v>
      </c>
      <c r="DF163" t="e">
        <f>AND(#REF!,"AAAAAHrz/W0=")</f>
        <v>#REF!</v>
      </c>
      <c r="DG163" t="e">
        <f>AND(#REF!,"AAAAAHrz/W4=")</f>
        <v>#REF!</v>
      </c>
      <c r="DH163" t="e">
        <f>AND(#REF!,"AAAAAHrz/W8=")</f>
        <v>#REF!</v>
      </c>
      <c r="DI163" t="e">
        <f>AND(#REF!,"AAAAAHrz/XA=")</f>
        <v>#REF!</v>
      </c>
      <c r="DJ163" t="e">
        <f>IF(#REF!,"AAAAAHrz/XE=",0)</f>
        <v>#REF!</v>
      </c>
      <c r="DK163" t="e">
        <f>AND(#REF!,"AAAAAHrz/XI=")</f>
        <v>#REF!</v>
      </c>
      <c r="DL163" t="e">
        <f>AND(#REF!,"AAAAAHrz/XM=")</f>
        <v>#REF!</v>
      </c>
      <c r="DM163" t="e">
        <f>AND(#REF!,"AAAAAHrz/XQ=")</f>
        <v>#REF!</v>
      </c>
      <c r="DN163" t="e">
        <f>AND(#REF!,"AAAAAHrz/XU=")</f>
        <v>#REF!</v>
      </c>
      <c r="DO163" t="e">
        <f>AND(#REF!,"AAAAAHrz/XY=")</f>
        <v>#REF!</v>
      </c>
      <c r="DP163" t="e">
        <f>AND(#REF!,"AAAAAHrz/Xc=")</f>
        <v>#REF!</v>
      </c>
      <c r="DQ163" t="e">
        <f>AND(#REF!,"AAAAAHrz/Xg=")</f>
        <v>#REF!</v>
      </c>
      <c r="DR163" t="e">
        <f>AND(#REF!,"AAAAAHrz/Xk=")</f>
        <v>#REF!</v>
      </c>
      <c r="DS163" t="e">
        <f>AND(#REF!,"AAAAAHrz/Xo=")</f>
        <v>#REF!</v>
      </c>
      <c r="DT163" t="e">
        <f>AND(#REF!,"AAAAAHrz/Xs=")</f>
        <v>#REF!</v>
      </c>
      <c r="DU163" t="e">
        <f>IF(#REF!,"AAAAAHrz/Xw=",0)</f>
        <v>#REF!</v>
      </c>
      <c r="DV163" t="e">
        <f>AND(#REF!,"AAAAAHrz/X0=")</f>
        <v>#REF!</v>
      </c>
      <c r="DW163" t="e">
        <f>AND(#REF!,"AAAAAHrz/X4=")</f>
        <v>#REF!</v>
      </c>
      <c r="DX163" t="e">
        <f>AND(#REF!,"AAAAAHrz/X8=")</f>
        <v>#REF!</v>
      </c>
      <c r="DY163" t="e">
        <f>AND(#REF!,"AAAAAHrz/YA=")</f>
        <v>#REF!</v>
      </c>
      <c r="DZ163" t="e">
        <f>AND(#REF!,"AAAAAHrz/YE=")</f>
        <v>#REF!</v>
      </c>
      <c r="EA163" t="e">
        <f>AND(#REF!,"AAAAAHrz/YI=")</f>
        <v>#REF!</v>
      </c>
      <c r="EB163" t="e">
        <f>AND(#REF!,"AAAAAHrz/YM=")</f>
        <v>#REF!</v>
      </c>
      <c r="EC163" t="e">
        <f>AND(#REF!,"AAAAAHrz/YQ=")</f>
        <v>#REF!</v>
      </c>
      <c r="ED163" t="e">
        <f>AND(#REF!,"AAAAAHrz/YU=")</f>
        <v>#REF!</v>
      </c>
      <c r="EE163" t="e">
        <f>AND(#REF!,"AAAAAHrz/YY=")</f>
        <v>#REF!</v>
      </c>
      <c r="EF163" t="e">
        <f>IF(#REF!,"AAAAAHrz/Yc=",0)</f>
        <v>#REF!</v>
      </c>
      <c r="EG163" t="e">
        <f>AND(#REF!,"AAAAAHrz/Yg=")</f>
        <v>#REF!</v>
      </c>
      <c r="EH163" t="e">
        <f>AND(#REF!,"AAAAAHrz/Yk=")</f>
        <v>#REF!</v>
      </c>
      <c r="EI163" t="e">
        <f>AND(#REF!,"AAAAAHrz/Yo=")</f>
        <v>#REF!</v>
      </c>
      <c r="EJ163" t="e">
        <f>AND(#REF!,"AAAAAHrz/Ys=")</f>
        <v>#REF!</v>
      </c>
      <c r="EK163" t="e">
        <f>AND(#REF!,"AAAAAHrz/Yw=")</f>
        <v>#REF!</v>
      </c>
      <c r="EL163" t="e">
        <f>AND(#REF!,"AAAAAHrz/Y0=")</f>
        <v>#REF!</v>
      </c>
      <c r="EM163" t="e">
        <f>AND(#REF!,"AAAAAHrz/Y4=")</f>
        <v>#REF!</v>
      </c>
      <c r="EN163" t="e">
        <f>AND(#REF!,"AAAAAHrz/Y8=")</f>
        <v>#REF!</v>
      </c>
      <c r="EO163" t="e">
        <f>AND(#REF!,"AAAAAHrz/ZA=")</f>
        <v>#REF!</v>
      </c>
      <c r="EP163" t="e">
        <f>AND(#REF!,"AAAAAHrz/ZE=")</f>
        <v>#REF!</v>
      </c>
      <c r="EQ163" t="e">
        <f>IF(#REF!,"AAAAAHrz/ZI=",0)</f>
        <v>#REF!</v>
      </c>
      <c r="ER163" t="e">
        <f>AND(#REF!,"AAAAAHrz/ZM=")</f>
        <v>#REF!</v>
      </c>
      <c r="ES163" t="e">
        <f>AND(#REF!,"AAAAAHrz/ZQ=")</f>
        <v>#REF!</v>
      </c>
      <c r="ET163" t="e">
        <f>AND(#REF!,"AAAAAHrz/ZU=")</f>
        <v>#REF!</v>
      </c>
      <c r="EU163" t="e">
        <f>AND(#REF!,"AAAAAHrz/ZY=")</f>
        <v>#REF!</v>
      </c>
      <c r="EV163" t="e">
        <f>AND(#REF!,"AAAAAHrz/Zc=")</f>
        <v>#REF!</v>
      </c>
      <c r="EW163" t="e">
        <f>AND(#REF!,"AAAAAHrz/Zg=")</f>
        <v>#REF!</v>
      </c>
      <c r="EX163" t="e">
        <f>AND(#REF!,"AAAAAHrz/Zk=")</f>
        <v>#REF!</v>
      </c>
      <c r="EY163" t="e">
        <f>AND(#REF!,"AAAAAHrz/Zo=")</f>
        <v>#REF!</v>
      </c>
      <c r="EZ163" t="e">
        <f>AND(#REF!,"AAAAAHrz/Zs=")</f>
        <v>#REF!</v>
      </c>
      <c r="FA163" t="e">
        <f>AND(#REF!,"AAAAAHrz/Zw=")</f>
        <v>#REF!</v>
      </c>
      <c r="FB163" t="e">
        <f>IF(#REF!,"AAAAAHrz/Z0=",0)</f>
        <v>#REF!</v>
      </c>
      <c r="FC163" t="e">
        <f>AND(#REF!,"AAAAAHrz/Z4=")</f>
        <v>#REF!</v>
      </c>
      <c r="FD163" t="e">
        <f>AND(#REF!,"AAAAAHrz/Z8=")</f>
        <v>#REF!</v>
      </c>
      <c r="FE163" t="e">
        <f>AND(#REF!,"AAAAAHrz/aA=")</f>
        <v>#REF!</v>
      </c>
      <c r="FF163" t="e">
        <f>AND(#REF!,"AAAAAHrz/aE=")</f>
        <v>#REF!</v>
      </c>
      <c r="FG163" t="e">
        <f>AND(#REF!,"AAAAAHrz/aI=")</f>
        <v>#REF!</v>
      </c>
      <c r="FH163" t="e">
        <f>AND(#REF!,"AAAAAHrz/aM=")</f>
        <v>#REF!</v>
      </c>
      <c r="FI163" t="e">
        <f>AND(#REF!,"AAAAAHrz/aQ=")</f>
        <v>#REF!</v>
      </c>
      <c r="FJ163" t="e">
        <f>AND(#REF!,"AAAAAHrz/aU=")</f>
        <v>#REF!</v>
      </c>
      <c r="FK163" t="e">
        <f>AND(#REF!,"AAAAAHrz/aY=")</f>
        <v>#REF!</v>
      </c>
      <c r="FL163" t="e">
        <f>AND(#REF!,"AAAAAHrz/ac=")</f>
        <v>#REF!</v>
      </c>
      <c r="FM163" t="e">
        <f>IF(#REF!,"AAAAAHrz/ag=",0)</f>
        <v>#REF!</v>
      </c>
      <c r="FN163" t="e">
        <f>AND(#REF!,"AAAAAHrz/ak=")</f>
        <v>#REF!</v>
      </c>
      <c r="FO163" t="e">
        <f>AND(#REF!,"AAAAAHrz/ao=")</f>
        <v>#REF!</v>
      </c>
      <c r="FP163" t="e">
        <f>AND(#REF!,"AAAAAHrz/as=")</f>
        <v>#REF!</v>
      </c>
      <c r="FQ163" t="e">
        <f>AND(#REF!,"AAAAAHrz/aw=")</f>
        <v>#REF!</v>
      </c>
      <c r="FR163" t="e">
        <f>AND(#REF!,"AAAAAHrz/a0=")</f>
        <v>#REF!</v>
      </c>
      <c r="FS163" t="e">
        <f>AND(#REF!,"AAAAAHrz/a4=")</f>
        <v>#REF!</v>
      </c>
      <c r="FT163" t="e">
        <f>AND(#REF!,"AAAAAHrz/a8=")</f>
        <v>#REF!</v>
      </c>
      <c r="FU163" t="e">
        <f>AND(#REF!,"AAAAAHrz/bA=")</f>
        <v>#REF!</v>
      </c>
      <c r="FV163" t="e">
        <f>AND(#REF!,"AAAAAHrz/bE=")</f>
        <v>#REF!</v>
      </c>
      <c r="FW163" t="e">
        <f>AND(#REF!,"AAAAAHrz/bI=")</f>
        <v>#REF!</v>
      </c>
      <c r="FX163" t="e">
        <f>IF(#REF!,"AAAAAHrz/bM=",0)</f>
        <v>#REF!</v>
      </c>
      <c r="FY163" t="e">
        <f>AND(#REF!,"AAAAAHrz/bQ=")</f>
        <v>#REF!</v>
      </c>
      <c r="FZ163" t="e">
        <f>AND(#REF!,"AAAAAHrz/bU=")</f>
        <v>#REF!</v>
      </c>
      <c r="GA163" t="e">
        <f>AND(#REF!,"AAAAAHrz/bY=")</f>
        <v>#REF!</v>
      </c>
      <c r="GB163" t="e">
        <f>AND(#REF!,"AAAAAHrz/bc=")</f>
        <v>#REF!</v>
      </c>
      <c r="GC163" t="e">
        <f>AND(#REF!,"AAAAAHrz/bg=")</f>
        <v>#REF!</v>
      </c>
      <c r="GD163" t="e">
        <f>AND(#REF!,"AAAAAHrz/bk=")</f>
        <v>#REF!</v>
      </c>
      <c r="GE163" t="e">
        <f>AND(#REF!,"AAAAAHrz/bo=")</f>
        <v>#REF!</v>
      </c>
      <c r="GF163" t="e">
        <f>AND(#REF!,"AAAAAHrz/bs=")</f>
        <v>#REF!</v>
      </c>
      <c r="GG163" t="e">
        <f>AND(#REF!,"AAAAAHrz/bw=")</f>
        <v>#REF!</v>
      </c>
      <c r="GH163" t="e">
        <f>AND(#REF!,"AAAAAHrz/b0=")</f>
        <v>#REF!</v>
      </c>
      <c r="GI163" t="e">
        <f>IF(#REF!,"AAAAAHrz/b4=",0)</f>
        <v>#REF!</v>
      </c>
      <c r="GJ163" t="e">
        <f>AND(#REF!,"AAAAAHrz/b8=")</f>
        <v>#REF!</v>
      </c>
      <c r="GK163" t="e">
        <f>AND(#REF!,"AAAAAHrz/cA=")</f>
        <v>#REF!</v>
      </c>
      <c r="GL163" t="e">
        <f>AND(#REF!,"AAAAAHrz/cE=")</f>
        <v>#REF!</v>
      </c>
      <c r="GM163" t="e">
        <f>AND(#REF!,"AAAAAHrz/cI=")</f>
        <v>#REF!</v>
      </c>
      <c r="GN163" t="e">
        <f>AND(#REF!,"AAAAAHrz/cM=")</f>
        <v>#REF!</v>
      </c>
      <c r="GO163" t="e">
        <f>AND(#REF!,"AAAAAHrz/cQ=")</f>
        <v>#REF!</v>
      </c>
      <c r="GP163" t="e">
        <f>AND(#REF!,"AAAAAHrz/cU=")</f>
        <v>#REF!</v>
      </c>
      <c r="GQ163" t="e">
        <f>AND(#REF!,"AAAAAHrz/cY=")</f>
        <v>#REF!</v>
      </c>
      <c r="GR163" t="e">
        <f>AND(#REF!,"AAAAAHrz/cc=")</f>
        <v>#REF!</v>
      </c>
      <c r="GS163" t="e">
        <f>AND(#REF!,"AAAAAHrz/cg=")</f>
        <v>#REF!</v>
      </c>
      <c r="GT163" t="e">
        <f>IF(#REF!,"AAAAAHrz/ck=",0)</f>
        <v>#REF!</v>
      </c>
      <c r="GU163" t="e">
        <f>AND(#REF!,"AAAAAHrz/co=")</f>
        <v>#REF!</v>
      </c>
      <c r="GV163" t="e">
        <f>AND(#REF!,"AAAAAHrz/cs=")</f>
        <v>#REF!</v>
      </c>
      <c r="GW163" t="e">
        <f>AND(#REF!,"AAAAAHrz/cw=")</f>
        <v>#REF!</v>
      </c>
      <c r="GX163" t="e">
        <f>AND(#REF!,"AAAAAHrz/c0=")</f>
        <v>#REF!</v>
      </c>
      <c r="GY163" t="e">
        <f>AND(#REF!,"AAAAAHrz/c4=")</f>
        <v>#REF!</v>
      </c>
      <c r="GZ163" t="e">
        <f>AND(#REF!,"AAAAAHrz/c8=")</f>
        <v>#REF!</v>
      </c>
      <c r="HA163" t="e">
        <f>AND(#REF!,"AAAAAHrz/dA=")</f>
        <v>#REF!</v>
      </c>
      <c r="HB163" t="e">
        <f>AND(#REF!,"AAAAAHrz/dE=")</f>
        <v>#REF!</v>
      </c>
      <c r="HC163" t="e">
        <f>AND(#REF!,"AAAAAHrz/dI=")</f>
        <v>#REF!</v>
      </c>
      <c r="HD163" t="e">
        <f>AND(#REF!,"AAAAAHrz/dM=")</f>
        <v>#REF!</v>
      </c>
      <c r="HE163" t="e">
        <f>IF(#REF!,"AAAAAHrz/dQ=",0)</f>
        <v>#REF!</v>
      </c>
      <c r="HF163" t="e">
        <f>AND(#REF!,"AAAAAHrz/dU=")</f>
        <v>#REF!</v>
      </c>
      <c r="HG163" t="e">
        <f>AND(#REF!,"AAAAAHrz/dY=")</f>
        <v>#REF!</v>
      </c>
      <c r="HH163" t="e">
        <f>AND(#REF!,"AAAAAHrz/dc=")</f>
        <v>#REF!</v>
      </c>
      <c r="HI163" t="e">
        <f>AND(#REF!,"AAAAAHrz/dg=")</f>
        <v>#REF!</v>
      </c>
      <c r="HJ163" t="e">
        <f>AND(#REF!,"AAAAAHrz/dk=")</f>
        <v>#REF!</v>
      </c>
      <c r="HK163" t="e">
        <f>AND(#REF!,"AAAAAHrz/do=")</f>
        <v>#REF!</v>
      </c>
      <c r="HL163" t="e">
        <f>AND(#REF!,"AAAAAHrz/ds=")</f>
        <v>#REF!</v>
      </c>
      <c r="HM163" t="e">
        <f>AND(#REF!,"AAAAAHrz/dw=")</f>
        <v>#REF!</v>
      </c>
      <c r="HN163" t="e">
        <f>AND(#REF!,"AAAAAHrz/d0=")</f>
        <v>#REF!</v>
      </c>
      <c r="HO163" t="e">
        <f>AND(#REF!,"AAAAAHrz/d4=")</f>
        <v>#REF!</v>
      </c>
      <c r="HP163" t="e">
        <f>IF(#REF!,"AAAAAHrz/d8=",0)</f>
        <v>#REF!</v>
      </c>
      <c r="HQ163" t="e">
        <f>AND(#REF!,"AAAAAHrz/eA=")</f>
        <v>#REF!</v>
      </c>
      <c r="HR163" t="e">
        <f>AND(#REF!,"AAAAAHrz/eE=")</f>
        <v>#REF!</v>
      </c>
      <c r="HS163" t="e">
        <f>AND(#REF!,"AAAAAHrz/eI=")</f>
        <v>#REF!</v>
      </c>
      <c r="HT163" t="e">
        <f>AND(#REF!,"AAAAAHrz/eM=")</f>
        <v>#REF!</v>
      </c>
      <c r="HU163" t="e">
        <f>AND(#REF!,"AAAAAHrz/eQ=")</f>
        <v>#REF!</v>
      </c>
      <c r="HV163" t="e">
        <f>AND(#REF!,"AAAAAHrz/eU=")</f>
        <v>#REF!</v>
      </c>
      <c r="HW163" t="e">
        <f>AND(#REF!,"AAAAAHrz/eY=")</f>
        <v>#REF!</v>
      </c>
      <c r="HX163" t="e">
        <f>AND(#REF!,"AAAAAHrz/ec=")</f>
        <v>#REF!</v>
      </c>
      <c r="HY163" t="e">
        <f>AND(#REF!,"AAAAAHrz/eg=")</f>
        <v>#REF!</v>
      </c>
      <c r="HZ163" t="e">
        <f>AND(#REF!,"AAAAAHrz/ek=")</f>
        <v>#REF!</v>
      </c>
      <c r="IA163" t="e">
        <f>IF(#REF!,"AAAAAHrz/eo=",0)</f>
        <v>#REF!</v>
      </c>
      <c r="IB163" t="e">
        <f>AND(#REF!,"AAAAAHrz/es=")</f>
        <v>#REF!</v>
      </c>
      <c r="IC163" t="e">
        <f>AND(#REF!,"AAAAAHrz/ew=")</f>
        <v>#REF!</v>
      </c>
      <c r="ID163" t="e">
        <f>AND(#REF!,"AAAAAHrz/e0=")</f>
        <v>#REF!</v>
      </c>
      <c r="IE163" t="e">
        <f>AND(#REF!,"AAAAAHrz/e4=")</f>
        <v>#REF!</v>
      </c>
      <c r="IF163" t="e">
        <f>AND(#REF!,"AAAAAHrz/e8=")</f>
        <v>#REF!</v>
      </c>
      <c r="IG163" t="e">
        <f>AND(#REF!,"AAAAAHrz/fA=")</f>
        <v>#REF!</v>
      </c>
      <c r="IH163" t="e">
        <f>AND(#REF!,"AAAAAHrz/fE=")</f>
        <v>#REF!</v>
      </c>
      <c r="II163" t="e">
        <f>AND(#REF!,"AAAAAHrz/fI=")</f>
        <v>#REF!</v>
      </c>
      <c r="IJ163" t="e">
        <f>AND(#REF!,"AAAAAHrz/fM=")</f>
        <v>#REF!</v>
      </c>
      <c r="IK163" t="e">
        <f>AND(#REF!,"AAAAAHrz/fQ=")</f>
        <v>#REF!</v>
      </c>
      <c r="IL163" t="e">
        <f>IF(#REF!,"AAAAAHrz/fU=",0)</f>
        <v>#REF!</v>
      </c>
      <c r="IM163" t="e">
        <f>AND(#REF!,"AAAAAHrz/fY=")</f>
        <v>#REF!</v>
      </c>
      <c r="IN163" t="e">
        <f>AND(#REF!,"AAAAAHrz/fc=")</f>
        <v>#REF!</v>
      </c>
      <c r="IO163" t="e">
        <f>AND(#REF!,"AAAAAHrz/fg=")</f>
        <v>#REF!</v>
      </c>
      <c r="IP163" t="e">
        <f>AND(#REF!,"AAAAAHrz/fk=")</f>
        <v>#REF!</v>
      </c>
      <c r="IQ163" t="e">
        <f>AND(#REF!,"AAAAAHrz/fo=")</f>
        <v>#REF!</v>
      </c>
      <c r="IR163" t="e">
        <f>AND(#REF!,"AAAAAHrz/fs=")</f>
        <v>#REF!</v>
      </c>
      <c r="IS163" t="e">
        <f>AND(#REF!,"AAAAAHrz/fw=")</f>
        <v>#REF!</v>
      </c>
      <c r="IT163" t="e">
        <f>AND(#REF!,"AAAAAHrz/f0=")</f>
        <v>#REF!</v>
      </c>
      <c r="IU163" t="e">
        <f>AND(#REF!,"AAAAAHrz/f4=")</f>
        <v>#REF!</v>
      </c>
      <c r="IV163" t="e">
        <f>AND(#REF!,"AAAAAHrz/f8=")</f>
        <v>#REF!</v>
      </c>
    </row>
    <row r="164" spans="1:256" x14ac:dyDescent="0.25">
      <c r="A164" t="e">
        <f>IF(#REF!,"AAAAAH/vdwA=",0)</f>
        <v>#REF!</v>
      </c>
      <c r="B164" t="e">
        <f>AND(#REF!,"AAAAAH/vdwE=")</f>
        <v>#REF!</v>
      </c>
      <c r="C164" t="e">
        <f>AND(#REF!,"AAAAAH/vdwI=")</f>
        <v>#REF!</v>
      </c>
      <c r="D164" t="e">
        <f>AND(#REF!,"AAAAAH/vdwM=")</f>
        <v>#REF!</v>
      </c>
      <c r="E164" t="e">
        <f>AND(#REF!,"AAAAAH/vdwQ=")</f>
        <v>#REF!</v>
      </c>
      <c r="F164" t="e">
        <f>AND(#REF!,"AAAAAH/vdwU=")</f>
        <v>#REF!</v>
      </c>
      <c r="G164" t="e">
        <f>AND(#REF!,"AAAAAH/vdwY=")</f>
        <v>#REF!</v>
      </c>
      <c r="H164" t="e">
        <f>AND(#REF!,"AAAAAH/vdwc=")</f>
        <v>#REF!</v>
      </c>
      <c r="I164" t="e">
        <f>AND(#REF!,"AAAAAH/vdwg=")</f>
        <v>#REF!</v>
      </c>
      <c r="J164" t="e">
        <f>AND(#REF!,"AAAAAH/vdwk=")</f>
        <v>#REF!</v>
      </c>
      <c r="K164" t="e">
        <f>AND(#REF!,"AAAAAH/vdwo=")</f>
        <v>#REF!</v>
      </c>
      <c r="L164" t="e">
        <f>IF(#REF!,"AAAAAH/vdws=",0)</f>
        <v>#REF!</v>
      </c>
      <c r="M164" t="e">
        <f>AND(#REF!,"AAAAAH/vdww=")</f>
        <v>#REF!</v>
      </c>
      <c r="N164" t="e">
        <f>AND(#REF!,"AAAAAH/vdw0=")</f>
        <v>#REF!</v>
      </c>
      <c r="O164" t="e">
        <f>AND(#REF!,"AAAAAH/vdw4=")</f>
        <v>#REF!</v>
      </c>
      <c r="P164" t="e">
        <f>AND(#REF!,"AAAAAH/vdw8=")</f>
        <v>#REF!</v>
      </c>
      <c r="Q164" t="e">
        <f>AND(#REF!,"AAAAAH/vdxA=")</f>
        <v>#REF!</v>
      </c>
      <c r="R164" t="e">
        <f>AND(#REF!,"AAAAAH/vdxE=")</f>
        <v>#REF!</v>
      </c>
      <c r="S164" t="e">
        <f>AND(#REF!,"AAAAAH/vdxI=")</f>
        <v>#REF!</v>
      </c>
      <c r="T164" t="e">
        <f>AND(#REF!,"AAAAAH/vdxM=")</f>
        <v>#REF!</v>
      </c>
      <c r="U164" t="e">
        <f>AND(#REF!,"AAAAAH/vdxQ=")</f>
        <v>#REF!</v>
      </c>
      <c r="V164" t="e">
        <f>AND(#REF!,"AAAAAH/vdxU=")</f>
        <v>#REF!</v>
      </c>
      <c r="W164" t="e">
        <f>IF(#REF!,"AAAAAH/vdxY=",0)</f>
        <v>#REF!</v>
      </c>
      <c r="X164" t="e">
        <f>AND(#REF!,"AAAAAH/vdxc=")</f>
        <v>#REF!</v>
      </c>
      <c r="Y164" t="e">
        <f>AND(#REF!,"AAAAAH/vdxg=")</f>
        <v>#REF!</v>
      </c>
      <c r="Z164" t="e">
        <f>AND(#REF!,"AAAAAH/vdxk=")</f>
        <v>#REF!</v>
      </c>
      <c r="AA164" t="e">
        <f>AND(#REF!,"AAAAAH/vdxo=")</f>
        <v>#REF!</v>
      </c>
      <c r="AB164" t="e">
        <f>AND(#REF!,"AAAAAH/vdxs=")</f>
        <v>#REF!</v>
      </c>
      <c r="AC164" t="e">
        <f>AND(#REF!,"AAAAAH/vdxw=")</f>
        <v>#REF!</v>
      </c>
      <c r="AD164" t="e">
        <f>AND(#REF!,"AAAAAH/vdx0=")</f>
        <v>#REF!</v>
      </c>
      <c r="AE164" t="e">
        <f>AND(#REF!,"AAAAAH/vdx4=")</f>
        <v>#REF!</v>
      </c>
      <c r="AF164" t="e">
        <f>AND(#REF!,"AAAAAH/vdx8=")</f>
        <v>#REF!</v>
      </c>
      <c r="AG164" t="e">
        <f>AND(#REF!,"AAAAAH/vdyA=")</f>
        <v>#REF!</v>
      </c>
      <c r="AH164" t="e">
        <f>IF(#REF!,"AAAAAH/vdyE=",0)</f>
        <v>#REF!</v>
      </c>
      <c r="AI164" t="e">
        <f>AND(#REF!,"AAAAAH/vdyI=")</f>
        <v>#REF!</v>
      </c>
      <c r="AJ164" t="e">
        <f>AND(#REF!,"AAAAAH/vdyM=")</f>
        <v>#REF!</v>
      </c>
      <c r="AK164" t="e">
        <f>AND(#REF!,"AAAAAH/vdyQ=")</f>
        <v>#REF!</v>
      </c>
      <c r="AL164" t="e">
        <f>AND(#REF!,"AAAAAH/vdyU=")</f>
        <v>#REF!</v>
      </c>
      <c r="AM164" t="e">
        <f>AND(#REF!,"AAAAAH/vdyY=")</f>
        <v>#REF!</v>
      </c>
      <c r="AN164" t="e">
        <f>AND(#REF!,"AAAAAH/vdyc=")</f>
        <v>#REF!</v>
      </c>
      <c r="AO164" t="e">
        <f>AND(#REF!,"AAAAAH/vdyg=")</f>
        <v>#REF!</v>
      </c>
      <c r="AP164" t="e">
        <f>AND(#REF!,"AAAAAH/vdyk=")</f>
        <v>#REF!</v>
      </c>
      <c r="AQ164" t="e">
        <f>AND(#REF!,"AAAAAH/vdyo=")</f>
        <v>#REF!</v>
      </c>
      <c r="AR164" t="e">
        <f>AND(#REF!,"AAAAAH/vdys=")</f>
        <v>#REF!</v>
      </c>
      <c r="AS164" t="e">
        <f>IF(#REF!,"AAAAAH/vdyw=",0)</f>
        <v>#REF!</v>
      </c>
      <c r="AT164" t="e">
        <f>AND(#REF!,"AAAAAH/vdy0=")</f>
        <v>#REF!</v>
      </c>
      <c r="AU164" t="e">
        <f>AND(#REF!,"AAAAAH/vdy4=")</f>
        <v>#REF!</v>
      </c>
      <c r="AV164" t="e">
        <f>AND(#REF!,"AAAAAH/vdy8=")</f>
        <v>#REF!</v>
      </c>
      <c r="AW164" t="e">
        <f>AND(#REF!,"AAAAAH/vdzA=")</f>
        <v>#REF!</v>
      </c>
      <c r="AX164" t="e">
        <f>AND(#REF!,"AAAAAH/vdzE=")</f>
        <v>#REF!</v>
      </c>
      <c r="AY164" t="e">
        <f>AND(#REF!,"AAAAAH/vdzI=")</f>
        <v>#REF!</v>
      </c>
      <c r="AZ164" t="e">
        <f>AND(#REF!,"AAAAAH/vdzM=")</f>
        <v>#REF!</v>
      </c>
      <c r="BA164" t="e">
        <f>AND(#REF!,"AAAAAH/vdzQ=")</f>
        <v>#REF!</v>
      </c>
      <c r="BB164" t="e">
        <f>AND(#REF!,"AAAAAH/vdzU=")</f>
        <v>#REF!</v>
      </c>
      <c r="BC164" t="e">
        <f>AND(#REF!,"AAAAAH/vdzY=")</f>
        <v>#REF!</v>
      </c>
      <c r="BD164" t="e">
        <f>IF(#REF!,"AAAAAH/vdzc=",0)</f>
        <v>#REF!</v>
      </c>
      <c r="BE164" t="e">
        <f>AND(#REF!,"AAAAAH/vdzg=")</f>
        <v>#REF!</v>
      </c>
      <c r="BF164" t="e">
        <f>AND(#REF!,"AAAAAH/vdzk=")</f>
        <v>#REF!</v>
      </c>
      <c r="BG164" t="e">
        <f>AND(#REF!,"AAAAAH/vdzo=")</f>
        <v>#REF!</v>
      </c>
      <c r="BH164" t="e">
        <f>AND(#REF!,"AAAAAH/vdzs=")</f>
        <v>#REF!</v>
      </c>
      <c r="BI164" t="e">
        <f>AND(#REF!,"AAAAAH/vdzw=")</f>
        <v>#REF!</v>
      </c>
      <c r="BJ164" t="e">
        <f>AND(#REF!,"AAAAAH/vdz0=")</f>
        <v>#REF!</v>
      </c>
      <c r="BK164" t="e">
        <f>AND(#REF!,"AAAAAH/vdz4=")</f>
        <v>#REF!</v>
      </c>
      <c r="BL164" t="e">
        <f>AND(#REF!,"AAAAAH/vdz8=")</f>
        <v>#REF!</v>
      </c>
      <c r="BM164" t="e">
        <f>AND(#REF!,"AAAAAH/vd0A=")</f>
        <v>#REF!</v>
      </c>
      <c r="BN164" t="e">
        <f>AND(#REF!,"AAAAAH/vd0E=")</f>
        <v>#REF!</v>
      </c>
      <c r="BO164" t="e">
        <f>IF(#REF!,"AAAAAH/vd0I=",0)</f>
        <v>#REF!</v>
      </c>
      <c r="BP164" t="e">
        <f>AND(#REF!,"AAAAAH/vd0M=")</f>
        <v>#REF!</v>
      </c>
      <c r="BQ164" t="e">
        <f>AND(#REF!,"AAAAAH/vd0Q=")</f>
        <v>#REF!</v>
      </c>
      <c r="BR164" t="e">
        <f>AND(#REF!,"AAAAAH/vd0U=")</f>
        <v>#REF!</v>
      </c>
      <c r="BS164" t="e">
        <f>AND(#REF!,"AAAAAH/vd0Y=")</f>
        <v>#REF!</v>
      </c>
      <c r="BT164" t="e">
        <f>AND(#REF!,"AAAAAH/vd0c=")</f>
        <v>#REF!</v>
      </c>
      <c r="BU164" t="e">
        <f>AND(#REF!,"AAAAAH/vd0g=")</f>
        <v>#REF!</v>
      </c>
      <c r="BV164" t="e">
        <f>AND(#REF!,"AAAAAH/vd0k=")</f>
        <v>#REF!</v>
      </c>
      <c r="BW164" t="e">
        <f>AND(#REF!,"AAAAAH/vd0o=")</f>
        <v>#REF!</v>
      </c>
      <c r="BX164" t="e">
        <f>AND(#REF!,"AAAAAH/vd0s=")</f>
        <v>#REF!</v>
      </c>
      <c r="BY164" t="e">
        <f>AND(#REF!,"AAAAAH/vd0w=")</f>
        <v>#REF!</v>
      </c>
      <c r="BZ164" t="e">
        <f>IF(#REF!,"AAAAAH/vd00=",0)</f>
        <v>#REF!</v>
      </c>
      <c r="CA164" t="e">
        <f>AND(#REF!,"AAAAAH/vd04=")</f>
        <v>#REF!</v>
      </c>
      <c r="CB164" t="e">
        <f>AND(#REF!,"AAAAAH/vd08=")</f>
        <v>#REF!</v>
      </c>
      <c r="CC164" t="e">
        <f>AND(#REF!,"AAAAAH/vd1A=")</f>
        <v>#REF!</v>
      </c>
      <c r="CD164" t="e">
        <f>AND(#REF!,"AAAAAH/vd1E=")</f>
        <v>#REF!</v>
      </c>
      <c r="CE164" t="e">
        <f>AND(#REF!,"AAAAAH/vd1I=")</f>
        <v>#REF!</v>
      </c>
      <c r="CF164" t="e">
        <f>AND(#REF!,"AAAAAH/vd1M=")</f>
        <v>#REF!</v>
      </c>
      <c r="CG164" t="e">
        <f>AND(#REF!,"AAAAAH/vd1Q=")</f>
        <v>#REF!</v>
      </c>
      <c r="CH164" t="e">
        <f>AND(#REF!,"AAAAAH/vd1U=")</f>
        <v>#REF!</v>
      </c>
      <c r="CI164" t="e">
        <f>AND(#REF!,"AAAAAH/vd1Y=")</f>
        <v>#REF!</v>
      </c>
      <c r="CJ164" t="e">
        <f>AND(#REF!,"AAAAAH/vd1c=")</f>
        <v>#REF!</v>
      </c>
      <c r="CK164" t="e">
        <f>IF(#REF!,"AAAAAH/vd1g=",0)</f>
        <v>#REF!</v>
      </c>
      <c r="CL164" t="e">
        <f>AND(#REF!,"AAAAAH/vd1k=")</f>
        <v>#REF!</v>
      </c>
      <c r="CM164" t="e">
        <f>AND(#REF!,"AAAAAH/vd1o=")</f>
        <v>#REF!</v>
      </c>
      <c r="CN164" t="e">
        <f>AND(#REF!,"AAAAAH/vd1s=")</f>
        <v>#REF!</v>
      </c>
      <c r="CO164" t="e">
        <f>AND(#REF!,"AAAAAH/vd1w=")</f>
        <v>#REF!</v>
      </c>
      <c r="CP164" t="e">
        <f>AND(#REF!,"AAAAAH/vd10=")</f>
        <v>#REF!</v>
      </c>
      <c r="CQ164" t="e">
        <f>AND(#REF!,"AAAAAH/vd14=")</f>
        <v>#REF!</v>
      </c>
      <c r="CR164" t="e">
        <f>AND(#REF!,"AAAAAH/vd18=")</f>
        <v>#REF!</v>
      </c>
      <c r="CS164" t="e">
        <f>AND(#REF!,"AAAAAH/vd2A=")</f>
        <v>#REF!</v>
      </c>
      <c r="CT164" t="e">
        <f>AND(#REF!,"AAAAAH/vd2E=")</f>
        <v>#REF!</v>
      </c>
      <c r="CU164" t="e">
        <f>AND(#REF!,"AAAAAH/vd2I=")</f>
        <v>#REF!</v>
      </c>
      <c r="CV164" t="e">
        <f>IF(#REF!,"AAAAAH/vd2M=",0)</f>
        <v>#REF!</v>
      </c>
      <c r="CW164" t="e">
        <f>AND(#REF!,"AAAAAH/vd2Q=")</f>
        <v>#REF!</v>
      </c>
      <c r="CX164" t="e">
        <f>AND(#REF!,"AAAAAH/vd2U=")</f>
        <v>#REF!</v>
      </c>
      <c r="CY164" t="e">
        <f>AND(#REF!,"AAAAAH/vd2Y=")</f>
        <v>#REF!</v>
      </c>
      <c r="CZ164" t="e">
        <f>AND(#REF!,"AAAAAH/vd2c=")</f>
        <v>#REF!</v>
      </c>
      <c r="DA164" t="e">
        <f>AND(#REF!,"AAAAAH/vd2g=")</f>
        <v>#REF!</v>
      </c>
      <c r="DB164" t="e">
        <f>AND(#REF!,"AAAAAH/vd2k=")</f>
        <v>#REF!</v>
      </c>
      <c r="DC164" t="e">
        <f>AND(#REF!,"AAAAAH/vd2o=")</f>
        <v>#REF!</v>
      </c>
      <c r="DD164" t="e">
        <f>AND(#REF!,"AAAAAH/vd2s=")</f>
        <v>#REF!</v>
      </c>
      <c r="DE164" t="e">
        <f>AND(#REF!,"AAAAAH/vd2w=")</f>
        <v>#REF!</v>
      </c>
      <c r="DF164" t="e">
        <f>AND(#REF!,"AAAAAH/vd20=")</f>
        <v>#REF!</v>
      </c>
      <c r="DG164" t="e">
        <f>IF(#REF!,"AAAAAH/vd24=",0)</f>
        <v>#REF!</v>
      </c>
      <c r="DH164" t="e">
        <f>AND(#REF!,"AAAAAH/vd28=")</f>
        <v>#REF!</v>
      </c>
      <c r="DI164" t="e">
        <f>AND(#REF!,"AAAAAH/vd3A=")</f>
        <v>#REF!</v>
      </c>
      <c r="DJ164" t="e">
        <f>AND(#REF!,"AAAAAH/vd3E=")</f>
        <v>#REF!</v>
      </c>
      <c r="DK164" t="e">
        <f>AND(#REF!,"AAAAAH/vd3I=")</f>
        <v>#REF!</v>
      </c>
      <c r="DL164" t="e">
        <f>AND(#REF!,"AAAAAH/vd3M=")</f>
        <v>#REF!</v>
      </c>
      <c r="DM164" t="e">
        <f>AND(#REF!,"AAAAAH/vd3Q=")</f>
        <v>#REF!</v>
      </c>
      <c r="DN164" t="e">
        <f>AND(#REF!,"AAAAAH/vd3U=")</f>
        <v>#REF!</v>
      </c>
      <c r="DO164" t="e">
        <f>AND(#REF!,"AAAAAH/vd3Y=")</f>
        <v>#REF!</v>
      </c>
      <c r="DP164" t="e">
        <f>AND(#REF!,"AAAAAH/vd3c=")</f>
        <v>#REF!</v>
      </c>
      <c r="DQ164" t="e">
        <f>AND(#REF!,"AAAAAH/vd3g=")</f>
        <v>#REF!</v>
      </c>
      <c r="DR164" t="e">
        <f>IF(#REF!,"AAAAAH/vd3k=",0)</f>
        <v>#REF!</v>
      </c>
      <c r="DS164" t="e">
        <f>AND(#REF!,"AAAAAH/vd3o=")</f>
        <v>#REF!</v>
      </c>
      <c r="DT164" t="e">
        <f>AND(#REF!,"AAAAAH/vd3s=")</f>
        <v>#REF!</v>
      </c>
      <c r="DU164" t="e">
        <f>AND(#REF!,"AAAAAH/vd3w=")</f>
        <v>#REF!</v>
      </c>
      <c r="DV164" t="e">
        <f>AND(#REF!,"AAAAAH/vd30=")</f>
        <v>#REF!</v>
      </c>
      <c r="DW164" t="e">
        <f>AND(#REF!,"AAAAAH/vd34=")</f>
        <v>#REF!</v>
      </c>
      <c r="DX164" t="e">
        <f>AND(#REF!,"AAAAAH/vd38=")</f>
        <v>#REF!</v>
      </c>
      <c r="DY164" t="e">
        <f>AND(#REF!,"AAAAAH/vd4A=")</f>
        <v>#REF!</v>
      </c>
      <c r="DZ164" t="e">
        <f>AND(#REF!,"AAAAAH/vd4E=")</f>
        <v>#REF!</v>
      </c>
      <c r="EA164" t="e">
        <f>AND(#REF!,"AAAAAH/vd4I=")</f>
        <v>#REF!</v>
      </c>
      <c r="EB164" t="e">
        <f>AND(#REF!,"AAAAAH/vd4M=")</f>
        <v>#REF!</v>
      </c>
      <c r="EC164" t="e">
        <f>IF(#REF!,"AAAAAH/vd4Q=",0)</f>
        <v>#REF!</v>
      </c>
      <c r="ED164" t="e">
        <f>AND(#REF!,"AAAAAH/vd4U=")</f>
        <v>#REF!</v>
      </c>
      <c r="EE164" t="e">
        <f>AND(#REF!,"AAAAAH/vd4Y=")</f>
        <v>#REF!</v>
      </c>
      <c r="EF164" t="e">
        <f>AND(#REF!,"AAAAAH/vd4c=")</f>
        <v>#REF!</v>
      </c>
      <c r="EG164" t="e">
        <f>AND(#REF!,"AAAAAH/vd4g=")</f>
        <v>#REF!</v>
      </c>
      <c r="EH164" t="e">
        <f>AND(#REF!,"AAAAAH/vd4k=")</f>
        <v>#REF!</v>
      </c>
      <c r="EI164" t="e">
        <f>AND(#REF!,"AAAAAH/vd4o=")</f>
        <v>#REF!</v>
      </c>
      <c r="EJ164" t="e">
        <f>AND(#REF!,"AAAAAH/vd4s=")</f>
        <v>#REF!</v>
      </c>
      <c r="EK164" t="e">
        <f>AND(#REF!,"AAAAAH/vd4w=")</f>
        <v>#REF!</v>
      </c>
      <c r="EL164" t="e">
        <f>AND(#REF!,"AAAAAH/vd40=")</f>
        <v>#REF!</v>
      </c>
      <c r="EM164" t="e">
        <f>AND(#REF!,"AAAAAH/vd44=")</f>
        <v>#REF!</v>
      </c>
      <c r="EN164" t="e">
        <f>IF(#REF!,"AAAAAH/vd48=",0)</f>
        <v>#REF!</v>
      </c>
      <c r="EO164" t="e">
        <f>AND(#REF!,"AAAAAH/vd5A=")</f>
        <v>#REF!</v>
      </c>
      <c r="EP164" t="e">
        <f>AND(#REF!,"AAAAAH/vd5E=")</f>
        <v>#REF!</v>
      </c>
      <c r="EQ164" t="e">
        <f>AND(#REF!,"AAAAAH/vd5I=")</f>
        <v>#REF!</v>
      </c>
      <c r="ER164" t="e">
        <f>AND(#REF!,"AAAAAH/vd5M=")</f>
        <v>#REF!</v>
      </c>
      <c r="ES164" t="e">
        <f>AND(#REF!,"AAAAAH/vd5Q=")</f>
        <v>#REF!</v>
      </c>
      <c r="ET164" t="e">
        <f>AND(#REF!,"AAAAAH/vd5U=")</f>
        <v>#REF!</v>
      </c>
      <c r="EU164" t="e">
        <f>AND(#REF!,"AAAAAH/vd5Y=")</f>
        <v>#REF!</v>
      </c>
      <c r="EV164" t="e">
        <f>AND(#REF!,"AAAAAH/vd5c=")</f>
        <v>#REF!</v>
      </c>
      <c r="EW164" t="e">
        <f>AND(#REF!,"AAAAAH/vd5g=")</f>
        <v>#REF!</v>
      </c>
      <c r="EX164" t="e">
        <f>AND(#REF!,"AAAAAH/vd5k=")</f>
        <v>#REF!</v>
      </c>
      <c r="EY164" t="e">
        <f>IF(#REF!,"AAAAAH/vd5o=",0)</f>
        <v>#REF!</v>
      </c>
      <c r="EZ164" t="e">
        <f>AND(#REF!,"AAAAAH/vd5s=")</f>
        <v>#REF!</v>
      </c>
      <c r="FA164" t="e">
        <f>AND(#REF!,"AAAAAH/vd5w=")</f>
        <v>#REF!</v>
      </c>
      <c r="FB164" t="e">
        <f>AND(#REF!,"AAAAAH/vd50=")</f>
        <v>#REF!</v>
      </c>
      <c r="FC164" t="e">
        <f>AND(#REF!,"AAAAAH/vd54=")</f>
        <v>#REF!</v>
      </c>
      <c r="FD164" t="e">
        <f>AND(#REF!,"AAAAAH/vd58=")</f>
        <v>#REF!</v>
      </c>
      <c r="FE164" t="e">
        <f>AND(#REF!,"AAAAAH/vd6A=")</f>
        <v>#REF!</v>
      </c>
      <c r="FF164" t="e">
        <f>AND(#REF!,"AAAAAH/vd6E=")</f>
        <v>#REF!</v>
      </c>
      <c r="FG164" t="e">
        <f>AND(#REF!,"AAAAAH/vd6I=")</f>
        <v>#REF!</v>
      </c>
      <c r="FH164" t="e">
        <f>AND(#REF!,"AAAAAH/vd6M=")</f>
        <v>#REF!</v>
      </c>
      <c r="FI164" t="e">
        <f>AND(#REF!,"AAAAAH/vd6Q=")</f>
        <v>#REF!</v>
      </c>
      <c r="FJ164" t="e">
        <f>IF(#REF!,"AAAAAH/vd6U=",0)</f>
        <v>#REF!</v>
      </c>
      <c r="FK164" t="e">
        <f>AND(#REF!,"AAAAAH/vd6Y=")</f>
        <v>#REF!</v>
      </c>
      <c r="FL164" t="e">
        <f>AND(#REF!,"AAAAAH/vd6c=")</f>
        <v>#REF!</v>
      </c>
      <c r="FM164" t="e">
        <f>AND(#REF!,"AAAAAH/vd6g=")</f>
        <v>#REF!</v>
      </c>
      <c r="FN164" t="e">
        <f>AND(#REF!,"AAAAAH/vd6k=")</f>
        <v>#REF!</v>
      </c>
      <c r="FO164" t="e">
        <f>AND(#REF!,"AAAAAH/vd6o=")</f>
        <v>#REF!</v>
      </c>
      <c r="FP164" t="e">
        <f>AND(#REF!,"AAAAAH/vd6s=")</f>
        <v>#REF!</v>
      </c>
      <c r="FQ164" t="e">
        <f>AND(#REF!,"AAAAAH/vd6w=")</f>
        <v>#REF!</v>
      </c>
      <c r="FR164" t="e">
        <f>AND(#REF!,"AAAAAH/vd60=")</f>
        <v>#REF!</v>
      </c>
      <c r="FS164" t="e">
        <f>AND(#REF!,"AAAAAH/vd64=")</f>
        <v>#REF!</v>
      </c>
      <c r="FT164" t="e">
        <f>AND(#REF!,"AAAAAH/vd68=")</f>
        <v>#REF!</v>
      </c>
      <c r="FU164" t="e">
        <f>IF(#REF!,"AAAAAH/vd7A=",0)</f>
        <v>#REF!</v>
      </c>
      <c r="FV164" t="e">
        <f>AND(#REF!,"AAAAAH/vd7E=")</f>
        <v>#REF!</v>
      </c>
      <c r="FW164" t="e">
        <f>AND(#REF!,"AAAAAH/vd7I=")</f>
        <v>#REF!</v>
      </c>
      <c r="FX164" t="e">
        <f>AND(#REF!,"AAAAAH/vd7M=")</f>
        <v>#REF!</v>
      </c>
      <c r="FY164" t="e">
        <f>AND(#REF!,"AAAAAH/vd7Q=")</f>
        <v>#REF!</v>
      </c>
      <c r="FZ164" t="e">
        <f>AND(#REF!,"AAAAAH/vd7U=")</f>
        <v>#REF!</v>
      </c>
      <c r="GA164" t="e">
        <f>AND(#REF!,"AAAAAH/vd7Y=")</f>
        <v>#REF!</v>
      </c>
      <c r="GB164" t="e">
        <f>AND(#REF!,"AAAAAH/vd7c=")</f>
        <v>#REF!</v>
      </c>
      <c r="GC164" t="e">
        <f>AND(#REF!,"AAAAAH/vd7g=")</f>
        <v>#REF!</v>
      </c>
      <c r="GD164" t="e">
        <f>AND(#REF!,"AAAAAH/vd7k=")</f>
        <v>#REF!</v>
      </c>
      <c r="GE164" t="e">
        <f>AND(#REF!,"AAAAAH/vd7o=")</f>
        <v>#REF!</v>
      </c>
      <c r="GF164" t="e">
        <f>IF(#REF!,"AAAAAH/vd7s=",0)</f>
        <v>#REF!</v>
      </c>
      <c r="GG164" t="e">
        <f>AND(#REF!,"AAAAAH/vd7w=")</f>
        <v>#REF!</v>
      </c>
      <c r="GH164" t="e">
        <f>AND(#REF!,"AAAAAH/vd70=")</f>
        <v>#REF!</v>
      </c>
      <c r="GI164" t="e">
        <f>AND(#REF!,"AAAAAH/vd74=")</f>
        <v>#REF!</v>
      </c>
      <c r="GJ164" t="e">
        <f>AND(#REF!,"AAAAAH/vd78=")</f>
        <v>#REF!</v>
      </c>
      <c r="GK164" t="e">
        <f>AND(#REF!,"AAAAAH/vd8A=")</f>
        <v>#REF!</v>
      </c>
      <c r="GL164" t="e">
        <f>AND(#REF!,"AAAAAH/vd8E=")</f>
        <v>#REF!</v>
      </c>
      <c r="GM164" t="e">
        <f>AND(#REF!,"AAAAAH/vd8I=")</f>
        <v>#REF!</v>
      </c>
      <c r="GN164" t="e">
        <f>AND(#REF!,"AAAAAH/vd8M=")</f>
        <v>#REF!</v>
      </c>
      <c r="GO164" t="e">
        <f>AND(#REF!,"AAAAAH/vd8Q=")</f>
        <v>#REF!</v>
      </c>
      <c r="GP164" t="e">
        <f>AND(#REF!,"AAAAAH/vd8U=")</f>
        <v>#REF!</v>
      </c>
      <c r="GQ164" t="e">
        <f>IF(#REF!,"AAAAAH/vd8Y=",0)</f>
        <v>#REF!</v>
      </c>
      <c r="GR164" t="e">
        <f>AND(#REF!,"AAAAAH/vd8c=")</f>
        <v>#REF!</v>
      </c>
      <c r="GS164" t="e">
        <f>AND(#REF!,"AAAAAH/vd8g=")</f>
        <v>#REF!</v>
      </c>
      <c r="GT164" t="e">
        <f>AND(#REF!,"AAAAAH/vd8k=")</f>
        <v>#REF!</v>
      </c>
      <c r="GU164" t="e">
        <f>AND(#REF!,"AAAAAH/vd8o=")</f>
        <v>#REF!</v>
      </c>
      <c r="GV164" t="e">
        <f>AND(#REF!,"AAAAAH/vd8s=")</f>
        <v>#REF!</v>
      </c>
      <c r="GW164" t="e">
        <f>AND(#REF!,"AAAAAH/vd8w=")</f>
        <v>#REF!</v>
      </c>
      <c r="GX164" t="e">
        <f>AND(#REF!,"AAAAAH/vd80=")</f>
        <v>#REF!</v>
      </c>
      <c r="GY164" t="e">
        <f>AND(#REF!,"AAAAAH/vd84=")</f>
        <v>#REF!</v>
      </c>
      <c r="GZ164" t="e">
        <f>AND(#REF!,"AAAAAH/vd88=")</f>
        <v>#REF!</v>
      </c>
      <c r="HA164" t="e">
        <f>AND(#REF!,"AAAAAH/vd9A=")</f>
        <v>#REF!</v>
      </c>
      <c r="HB164" t="e">
        <f>IF(#REF!,"AAAAAH/vd9E=",0)</f>
        <v>#REF!</v>
      </c>
      <c r="HC164" t="e">
        <f>AND(#REF!,"AAAAAH/vd9I=")</f>
        <v>#REF!</v>
      </c>
      <c r="HD164" t="e">
        <f>AND(#REF!,"AAAAAH/vd9M=")</f>
        <v>#REF!</v>
      </c>
      <c r="HE164" t="e">
        <f>AND(#REF!,"AAAAAH/vd9Q=")</f>
        <v>#REF!</v>
      </c>
      <c r="HF164" t="e">
        <f>AND(#REF!,"AAAAAH/vd9U=")</f>
        <v>#REF!</v>
      </c>
      <c r="HG164" t="e">
        <f>AND(#REF!,"AAAAAH/vd9Y=")</f>
        <v>#REF!</v>
      </c>
      <c r="HH164" t="e">
        <f>AND(#REF!,"AAAAAH/vd9c=")</f>
        <v>#REF!</v>
      </c>
      <c r="HI164" t="e">
        <f>AND(#REF!,"AAAAAH/vd9g=")</f>
        <v>#REF!</v>
      </c>
      <c r="HJ164" t="e">
        <f>AND(#REF!,"AAAAAH/vd9k=")</f>
        <v>#REF!</v>
      </c>
      <c r="HK164" t="e">
        <f>AND(#REF!,"AAAAAH/vd9o=")</f>
        <v>#REF!</v>
      </c>
      <c r="HL164" t="e">
        <f>AND(#REF!,"AAAAAH/vd9s=")</f>
        <v>#REF!</v>
      </c>
      <c r="HM164" t="e">
        <f>IF(#REF!,"AAAAAH/vd9w=",0)</f>
        <v>#REF!</v>
      </c>
      <c r="HN164" t="e">
        <f>AND(#REF!,"AAAAAH/vd90=")</f>
        <v>#REF!</v>
      </c>
      <c r="HO164" t="e">
        <f>AND(#REF!,"AAAAAH/vd94=")</f>
        <v>#REF!</v>
      </c>
      <c r="HP164" t="e">
        <f>AND(#REF!,"AAAAAH/vd98=")</f>
        <v>#REF!</v>
      </c>
      <c r="HQ164" t="e">
        <f>AND(#REF!,"AAAAAH/vd+A=")</f>
        <v>#REF!</v>
      </c>
      <c r="HR164" t="e">
        <f>AND(#REF!,"AAAAAH/vd+E=")</f>
        <v>#REF!</v>
      </c>
      <c r="HS164" t="e">
        <f>AND(#REF!,"AAAAAH/vd+I=")</f>
        <v>#REF!</v>
      </c>
      <c r="HT164" t="e">
        <f>AND(#REF!,"AAAAAH/vd+M=")</f>
        <v>#REF!</v>
      </c>
      <c r="HU164" t="e">
        <f>AND(#REF!,"AAAAAH/vd+Q=")</f>
        <v>#REF!</v>
      </c>
      <c r="HV164" t="e">
        <f>AND(#REF!,"AAAAAH/vd+U=")</f>
        <v>#REF!</v>
      </c>
      <c r="HW164" t="e">
        <f>AND(#REF!,"AAAAAH/vd+Y=")</f>
        <v>#REF!</v>
      </c>
      <c r="HX164" t="e">
        <f>IF(#REF!,"AAAAAH/vd+c=",0)</f>
        <v>#REF!</v>
      </c>
      <c r="HY164" t="e">
        <f>AND(#REF!,"AAAAAH/vd+g=")</f>
        <v>#REF!</v>
      </c>
      <c r="HZ164" t="e">
        <f>AND(#REF!,"AAAAAH/vd+k=")</f>
        <v>#REF!</v>
      </c>
      <c r="IA164" t="e">
        <f>AND(#REF!,"AAAAAH/vd+o=")</f>
        <v>#REF!</v>
      </c>
      <c r="IB164" t="e">
        <f>AND(#REF!,"AAAAAH/vd+s=")</f>
        <v>#REF!</v>
      </c>
      <c r="IC164" t="e">
        <f>AND(#REF!,"AAAAAH/vd+w=")</f>
        <v>#REF!</v>
      </c>
      <c r="ID164" t="e">
        <f>AND(#REF!,"AAAAAH/vd+0=")</f>
        <v>#REF!</v>
      </c>
      <c r="IE164" t="e">
        <f>AND(#REF!,"AAAAAH/vd+4=")</f>
        <v>#REF!</v>
      </c>
      <c r="IF164" t="e">
        <f>AND(#REF!,"AAAAAH/vd+8=")</f>
        <v>#REF!</v>
      </c>
      <c r="IG164" t="e">
        <f>AND(#REF!,"AAAAAH/vd/A=")</f>
        <v>#REF!</v>
      </c>
      <c r="IH164" t="e">
        <f>AND(#REF!,"AAAAAH/vd/E=")</f>
        <v>#REF!</v>
      </c>
      <c r="II164" t="e">
        <f>IF(#REF!,"AAAAAH/vd/I=",0)</f>
        <v>#REF!</v>
      </c>
      <c r="IJ164" t="e">
        <f>AND(#REF!,"AAAAAH/vd/M=")</f>
        <v>#REF!</v>
      </c>
      <c r="IK164" t="e">
        <f>AND(#REF!,"AAAAAH/vd/Q=")</f>
        <v>#REF!</v>
      </c>
      <c r="IL164" t="e">
        <f>AND(#REF!,"AAAAAH/vd/U=")</f>
        <v>#REF!</v>
      </c>
      <c r="IM164" t="e">
        <f>AND(#REF!,"AAAAAH/vd/Y=")</f>
        <v>#REF!</v>
      </c>
      <c r="IN164" t="e">
        <f>AND(#REF!,"AAAAAH/vd/c=")</f>
        <v>#REF!</v>
      </c>
      <c r="IO164" t="e">
        <f>AND(#REF!,"AAAAAH/vd/g=")</f>
        <v>#REF!</v>
      </c>
      <c r="IP164" t="e">
        <f>AND(#REF!,"AAAAAH/vd/k=")</f>
        <v>#REF!</v>
      </c>
      <c r="IQ164" t="e">
        <f>AND(#REF!,"AAAAAH/vd/o=")</f>
        <v>#REF!</v>
      </c>
      <c r="IR164" t="e">
        <f>AND(#REF!,"AAAAAH/vd/s=")</f>
        <v>#REF!</v>
      </c>
      <c r="IS164" t="e">
        <f>AND(#REF!,"AAAAAH/vd/w=")</f>
        <v>#REF!</v>
      </c>
      <c r="IT164" t="e">
        <f>IF(#REF!,"AAAAAH/vd/0=",0)</f>
        <v>#REF!</v>
      </c>
      <c r="IU164" t="e">
        <f>AND(#REF!,"AAAAAH/vd/4=")</f>
        <v>#REF!</v>
      </c>
      <c r="IV164" t="e">
        <f>AND(#REF!,"AAAAAH/vd/8=")</f>
        <v>#REF!</v>
      </c>
    </row>
    <row r="165" spans="1:256" x14ac:dyDescent="0.25">
      <c r="A165" t="e">
        <f>AND(#REF!,"AAAAAH2f+wA=")</f>
        <v>#REF!</v>
      </c>
      <c r="B165" t="e">
        <f>AND(#REF!,"AAAAAH2f+wE=")</f>
        <v>#REF!</v>
      </c>
      <c r="C165" t="e">
        <f>AND(#REF!,"AAAAAH2f+wI=")</f>
        <v>#REF!</v>
      </c>
      <c r="D165" t="e">
        <f>AND(#REF!,"AAAAAH2f+wM=")</f>
        <v>#REF!</v>
      </c>
      <c r="E165" t="e">
        <f>AND(#REF!,"AAAAAH2f+wQ=")</f>
        <v>#REF!</v>
      </c>
      <c r="F165" t="e">
        <f>AND(#REF!,"AAAAAH2f+wU=")</f>
        <v>#REF!</v>
      </c>
      <c r="G165" t="e">
        <f>AND(#REF!,"AAAAAH2f+wY=")</f>
        <v>#REF!</v>
      </c>
      <c r="H165" t="e">
        <f>AND(#REF!,"AAAAAH2f+wc=")</f>
        <v>#REF!</v>
      </c>
      <c r="I165" t="e">
        <f>IF(#REF!,"AAAAAH2f+wg=",0)</f>
        <v>#REF!</v>
      </c>
      <c r="J165" t="e">
        <f>AND(#REF!,"AAAAAH2f+wk=")</f>
        <v>#REF!</v>
      </c>
      <c r="K165" t="e">
        <f>AND(#REF!,"AAAAAH2f+wo=")</f>
        <v>#REF!</v>
      </c>
      <c r="L165" t="e">
        <f>AND(#REF!,"AAAAAH2f+ws=")</f>
        <v>#REF!</v>
      </c>
      <c r="M165" t="e">
        <f>AND(#REF!,"AAAAAH2f+ww=")</f>
        <v>#REF!</v>
      </c>
      <c r="N165" t="e">
        <f>AND(#REF!,"AAAAAH2f+w0=")</f>
        <v>#REF!</v>
      </c>
      <c r="O165" t="e">
        <f>AND(#REF!,"AAAAAH2f+w4=")</f>
        <v>#REF!</v>
      </c>
      <c r="P165" t="e">
        <f>AND(#REF!,"AAAAAH2f+w8=")</f>
        <v>#REF!</v>
      </c>
      <c r="Q165" t="e">
        <f>AND(#REF!,"AAAAAH2f+xA=")</f>
        <v>#REF!</v>
      </c>
      <c r="R165" t="e">
        <f>AND(#REF!,"AAAAAH2f+xE=")</f>
        <v>#REF!</v>
      </c>
      <c r="S165" t="e">
        <f>AND(#REF!,"AAAAAH2f+xI=")</f>
        <v>#REF!</v>
      </c>
      <c r="T165" t="e">
        <f>IF(#REF!,"AAAAAH2f+xM=",0)</f>
        <v>#REF!</v>
      </c>
      <c r="U165" t="e">
        <f>AND(#REF!,"AAAAAH2f+xQ=")</f>
        <v>#REF!</v>
      </c>
      <c r="V165" t="e">
        <f>AND(#REF!,"AAAAAH2f+xU=")</f>
        <v>#REF!</v>
      </c>
      <c r="W165" t="e">
        <f>AND(#REF!,"AAAAAH2f+xY=")</f>
        <v>#REF!</v>
      </c>
      <c r="X165" t="e">
        <f>AND(#REF!,"AAAAAH2f+xc=")</f>
        <v>#REF!</v>
      </c>
      <c r="Y165" t="e">
        <f>AND(#REF!,"AAAAAH2f+xg=")</f>
        <v>#REF!</v>
      </c>
      <c r="Z165" t="e">
        <f>AND(#REF!,"AAAAAH2f+xk=")</f>
        <v>#REF!</v>
      </c>
      <c r="AA165" t="e">
        <f>AND(#REF!,"AAAAAH2f+xo=")</f>
        <v>#REF!</v>
      </c>
      <c r="AB165" t="e">
        <f>AND(#REF!,"AAAAAH2f+xs=")</f>
        <v>#REF!</v>
      </c>
      <c r="AC165" t="e">
        <f>AND(#REF!,"AAAAAH2f+xw=")</f>
        <v>#REF!</v>
      </c>
      <c r="AD165" t="e">
        <f>AND(#REF!,"AAAAAH2f+x0=")</f>
        <v>#REF!</v>
      </c>
      <c r="AE165" t="e">
        <f>IF(#REF!,"AAAAAH2f+x4=",0)</f>
        <v>#REF!</v>
      </c>
      <c r="AF165" t="e">
        <f>AND(#REF!,"AAAAAH2f+x8=")</f>
        <v>#REF!</v>
      </c>
      <c r="AG165" t="e">
        <f>AND(#REF!,"AAAAAH2f+yA=")</f>
        <v>#REF!</v>
      </c>
      <c r="AH165" t="e">
        <f>AND(#REF!,"AAAAAH2f+yE=")</f>
        <v>#REF!</v>
      </c>
      <c r="AI165" t="e">
        <f>AND(#REF!,"AAAAAH2f+yI=")</f>
        <v>#REF!</v>
      </c>
      <c r="AJ165" t="e">
        <f>AND(#REF!,"AAAAAH2f+yM=")</f>
        <v>#REF!</v>
      </c>
      <c r="AK165" t="e">
        <f>AND(#REF!,"AAAAAH2f+yQ=")</f>
        <v>#REF!</v>
      </c>
      <c r="AL165" t="e">
        <f>AND(#REF!,"AAAAAH2f+yU=")</f>
        <v>#REF!</v>
      </c>
      <c r="AM165" t="e">
        <f>AND(#REF!,"AAAAAH2f+yY=")</f>
        <v>#REF!</v>
      </c>
      <c r="AN165" t="e">
        <f>AND(#REF!,"AAAAAH2f+yc=")</f>
        <v>#REF!</v>
      </c>
      <c r="AO165" t="e">
        <f>AND(#REF!,"AAAAAH2f+yg=")</f>
        <v>#REF!</v>
      </c>
      <c r="AP165" t="e">
        <f>IF(#REF!,"AAAAAH2f+yk=",0)</f>
        <v>#REF!</v>
      </c>
      <c r="AQ165" t="e">
        <f>AND(#REF!,"AAAAAH2f+yo=")</f>
        <v>#REF!</v>
      </c>
      <c r="AR165" t="e">
        <f>AND(#REF!,"AAAAAH2f+ys=")</f>
        <v>#REF!</v>
      </c>
      <c r="AS165" t="e">
        <f>AND(#REF!,"AAAAAH2f+yw=")</f>
        <v>#REF!</v>
      </c>
      <c r="AT165" t="e">
        <f>AND(#REF!,"AAAAAH2f+y0=")</f>
        <v>#REF!</v>
      </c>
      <c r="AU165" t="e">
        <f>AND(#REF!,"AAAAAH2f+y4=")</f>
        <v>#REF!</v>
      </c>
      <c r="AV165" t="e">
        <f>AND(#REF!,"AAAAAH2f+y8=")</f>
        <v>#REF!</v>
      </c>
      <c r="AW165" t="e">
        <f>AND(#REF!,"AAAAAH2f+zA=")</f>
        <v>#REF!</v>
      </c>
      <c r="AX165" t="e">
        <f>AND(#REF!,"AAAAAH2f+zE=")</f>
        <v>#REF!</v>
      </c>
      <c r="AY165" t="e">
        <f>AND(#REF!,"AAAAAH2f+zI=")</f>
        <v>#REF!</v>
      </c>
      <c r="AZ165" t="e">
        <f>AND(#REF!,"AAAAAH2f+zM=")</f>
        <v>#REF!</v>
      </c>
      <c r="BA165" t="e">
        <f>IF(#REF!,"AAAAAH2f+zQ=",0)</f>
        <v>#REF!</v>
      </c>
      <c r="BB165" t="e">
        <f>AND(#REF!,"AAAAAH2f+zU=")</f>
        <v>#REF!</v>
      </c>
      <c r="BC165" t="e">
        <f>AND(#REF!,"AAAAAH2f+zY=")</f>
        <v>#REF!</v>
      </c>
      <c r="BD165" t="e">
        <f>AND(#REF!,"AAAAAH2f+zc=")</f>
        <v>#REF!</v>
      </c>
      <c r="BE165" t="e">
        <f>AND(#REF!,"AAAAAH2f+zg=")</f>
        <v>#REF!</v>
      </c>
      <c r="BF165" t="e">
        <f>AND(#REF!,"AAAAAH2f+zk=")</f>
        <v>#REF!</v>
      </c>
      <c r="BG165" t="e">
        <f>AND(#REF!,"AAAAAH2f+zo=")</f>
        <v>#REF!</v>
      </c>
      <c r="BH165" t="e">
        <f>AND(#REF!,"AAAAAH2f+zs=")</f>
        <v>#REF!</v>
      </c>
      <c r="BI165" t="e">
        <f>AND(#REF!,"AAAAAH2f+zw=")</f>
        <v>#REF!</v>
      </c>
      <c r="BJ165" t="e">
        <f>AND(#REF!,"AAAAAH2f+z0=")</f>
        <v>#REF!</v>
      </c>
      <c r="BK165" t="e">
        <f>AND(#REF!,"AAAAAH2f+z4=")</f>
        <v>#REF!</v>
      </c>
      <c r="BL165" t="e">
        <f>IF(#REF!,"AAAAAH2f+z8=",0)</f>
        <v>#REF!</v>
      </c>
      <c r="BM165" t="e">
        <f>AND(#REF!,"AAAAAH2f+0A=")</f>
        <v>#REF!</v>
      </c>
      <c r="BN165" t="e">
        <f>AND(#REF!,"AAAAAH2f+0E=")</f>
        <v>#REF!</v>
      </c>
      <c r="BO165" t="e">
        <f>AND(#REF!,"AAAAAH2f+0I=")</f>
        <v>#REF!</v>
      </c>
      <c r="BP165" t="e">
        <f>AND(#REF!,"AAAAAH2f+0M=")</f>
        <v>#REF!</v>
      </c>
      <c r="BQ165" t="e">
        <f>AND(#REF!,"AAAAAH2f+0Q=")</f>
        <v>#REF!</v>
      </c>
      <c r="BR165" t="e">
        <f>AND(#REF!,"AAAAAH2f+0U=")</f>
        <v>#REF!</v>
      </c>
      <c r="BS165" t="e">
        <f>AND(#REF!,"AAAAAH2f+0Y=")</f>
        <v>#REF!</v>
      </c>
      <c r="BT165" t="e">
        <f>AND(#REF!,"AAAAAH2f+0c=")</f>
        <v>#REF!</v>
      </c>
      <c r="BU165" t="e">
        <f>AND(#REF!,"AAAAAH2f+0g=")</f>
        <v>#REF!</v>
      </c>
      <c r="BV165" t="e">
        <f>AND(#REF!,"AAAAAH2f+0k=")</f>
        <v>#REF!</v>
      </c>
      <c r="BW165" t="e">
        <f>IF(#REF!,"AAAAAH2f+0o=",0)</f>
        <v>#REF!</v>
      </c>
      <c r="BX165" t="e">
        <f>AND(#REF!,"AAAAAH2f+0s=")</f>
        <v>#REF!</v>
      </c>
      <c r="BY165" t="e">
        <f>AND(#REF!,"AAAAAH2f+0w=")</f>
        <v>#REF!</v>
      </c>
      <c r="BZ165" t="e">
        <f>AND(#REF!,"AAAAAH2f+00=")</f>
        <v>#REF!</v>
      </c>
      <c r="CA165" t="e">
        <f>AND(#REF!,"AAAAAH2f+04=")</f>
        <v>#REF!</v>
      </c>
      <c r="CB165" t="e">
        <f>AND(#REF!,"AAAAAH2f+08=")</f>
        <v>#REF!</v>
      </c>
      <c r="CC165" t="e">
        <f>AND(#REF!,"AAAAAH2f+1A=")</f>
        <v>#REF!</v>
      </c>
      <c r="CD165" t="e">
        <f>AND(#REF!,"AAAAAH2f+1E=")</f>
        <v>#REF!</v>
      </c>
      <c r="CE165" t="e">
        <f>AND(#REF!,"AAAAAH2f+1I=")</f>
        <v>#REF!</v>
      </c>
      <c r="CF165" t="e">
        <f>AND(#REF!,"AAAAAH2f+1M=")</f>
        <v>#REF!</v>
      </c>
      <c r="CG165" t="e">
        <f>AND(#REF!,"AAAAAH2f+1Q=")</f>
        <v>#REF!</v>
      </c>
      <c r="CH165" t="e">
        <f>IF(#REF!,"AAAAAH2f+1U=",0)</f>
        <v>#REF!</v>
      </c>
      <c r="CI165" t="e">
        <f>AND(#REF!,"AAAAAH2f+1Y=")</f>
        <v>#REF!</v>
      </c>
      <c r="CJ165" t="e">
        <f>AND(#REF!,"AAAAAH2f+1c=")</f>
        <v>#REF!</v>
      </c>
      <c r="CK165" t="e">
        <f>AND(#REF!,"AAAAAH2f+1g=")</f>
        <v>#REF!</v>
      </c>
      <c r="CL165" t="e">
        <f>AND(#REF!,"AAAAAH2f+1k=")</f>
        <v>#REF!</v>
      </c>
      <c r="CM165" t="e">
        <f>AND(#REF!,"AAAAAH2f+1o=")</f>
        <v>#REF!</v>
      </c>
      <c r="CN165" t="e">
        <f>AND(#REF!,"AAAAAH2f+1s=")</f>
        <v>#REF!</v>
      </c>
      <c r="CO165" t="e">
        <f>AND(#REF!,"AAAAAH2f+1w=")</f>
        <v>#REF!</v>
      </c>
      <c r="CP165" t="e">
        <f>AND(#REF!,"AAAAAH2f+10=")</f>
        <v>#REF!</v>
      </c>
      <c r="CQ165" t="e">
        <f>AND(#REF!,"AAAAAH2f+14=")</f>
        <v>#REF!</v>
      </c>
      <c r="CR165" t="e">
        <f>AND(#REF!,"AAAAAH2f+18=")</f>
        <v>#REF!</v>
      </c>
      <c r="CS165" t="e">
        <f>IF(#REF!,"AAAAAH2f+2A=",0)</f>
        <v>#REF!</v>
      </c>
      <c r="CT165" t="e">
        <f>AND(#REF!,"AAAAAH2f+2E=")</f>
        <v>#REF!</v>
      </c>
      <c r="CU165" t="e">
        <f>AND(#REF!,"AAAAAH2f+2I=")</f>
        <v>#REF!</v>
      </c>
      <c r="CV165" t="e">
        <f>AND(#REF!,"AAAAAH2f+2M=")</f>
        <v>#REF!</v>
      </c>
      <c r="CW165" t="e">
        <f>AND(#REF!,"AAAAAH2f+2Q=")</f>
        <v>#REF!</v>
      </c>
      <c r="CX165" t="e">
        <f>AND(#REF!,"AAAAAH2f+2U=")</f>
        <v>#REF!</v>
      </c>
      <c r="CY165" t="e">
        <f>AND(#REF!,"AAAAAH2f+2Y=")</f>
        <v>#REF!</v>
      </c>
      <c r="CZ165" t="e">
        <f>AND(#REF!,"AAAAAH2f+2c=")</f>
        <v>#REF!</v>
      </c>
      <c r="DA165" t="e">
        <f>AND(#REF!,"AAAAAH2f+2g=")</f>
        <v>#REF!</v>
      </c>
      <c r="DB165" t="e">
        <f>AND(#REF!,"AAAAAH2f+2k=")</f>
        <v>#REF!</v>
      </c>
      <c r="DC165" t="e">
        <f>AND(#REF!,"AAAAAH2f+2o=")</f>
        <v>#REF!</v>
      </c>
      <c r="DD165" t="e">
        <f>IF(#REF!,"AAAAAH2f+2s=",0)</f>
        <v>#REF!</v>
      </c>
      <c r="DE165" t="e">
        <f>AND(#REF!,"AAAAAH2f+2w=")</f>
        <v>#REF!</v>
      </c>
      <c r="DF165" t="e">
        <f>AND(#REF!,"AAAAAH2f+20=")</f>
        <v>#REF!</v>
      </c>
      <c r="DG165" t="e">
        <f>AND(#REF!,"AAAAAH2f+24=")</f>
        <v>#REF!</v>
      </c>
      <c r="DH165" t="e">
        <f>AND(#REF!,"AAAAAH2f+28=")</f>
        <v>#REF!</v>
      </c>
      <c r="DI165" t="e">
        <f>AND(#REF!,"AAAAAH2f+3A=")</f>
        <v>#REF!</v>
      </c>
      <c r="DJ165" t="e">
        <f>AND(#REF!,"AAAAAH2f+3E=")</f>
        <v>#REF!</v>
      </c>
      <c r="DK165" t="e">
        <f>AND(#REF!,"AAAAAH2f+3I=")</f>
        <v>#REF!</v>
      </c>
      <c r="DL165" t="e">
        <f>AND(#REF!,"AAAAAH2f+3M=")</f>
        <v>#REF!</v>
      </c>
      <c r="DM165" t="e">
        <f>AND(#REF!,"AAAAAH2f+3Q=")</f>
        <v>#REF!</v>
      </c>
      <c r="DN165" t="e">
        <f>AND(#REF!,"AAAAAH2f+3U=")</f>
        <v>#REF!</v>
      </c>
      <c r="DO165" t="e">
        <f>IF(#REF!,"AAAAAH2f+3Y=",0)</f>
        <v>#REF!</v>
      </c>
      <c r="DP165" t="e">
        <f>AND(#REF!,"AAAAAH2f+3c=")</f>
        <v>#REF!</v>
      </c>
      <c r="DQ165" t="e">
        <f>AND(#REF!,"AAAAAH2f+3g=")</f>
        <v>#REF!</v>
      </c>
      <c r="DR165" t="e">
        <f>AND(#REF!,"AAAAAH2f+3k=")</f>
        <v>#REF!</v>
      </c>
      <c r="DS165" t="e">
        <f>AND(#REF!,"AAAAAH2f+3o=")</f>
        <v>#REF!</v>
      </c>
      <c r="DT165" t="e">
        <f>AND(#REF!,"AAAAAH2f+3s=")</f>
        <v>#REF!</v>
      </c>
      <c r="DU165" t="e">
        <f>AND(#REF!,"AAAAAH2f+3w=")</f>
        <v>#REF!</v>
      </c>
      <c r="DV165" t="e">
        <f>AND(#REF!,"AAAAAH2f+30=")</f>
        <v>#REF!</v>
      </c>
      <c r="DW165" t="e">
        <f>AND(#REF!,"AAAAAH2f+34=")</f>
        <v>#REF!</v>
      </c>
      <c r="DX165" t="e">
        <f>AND(#REF!,"AAAAAH2f+38=")</f>
        <v>#REF!</v>
      </c>
      <c r="DY165" t="e">
        <f>AND(#REF!,"AAAAAH2f+4A=")</f>
        <v>#REF!</v>
      </c>
      <c r="DZ165" t="e">
        <f>IF(#REF!,"AAAAAH2f+4E=",0)</f>
        <v>#REF!</v>
      </c>
      <c r="EA165" t="e">
        <f>AND(#REF!,"AAAAAH2f+4I=")</f>
        <v>#REF!</v>
      </c>
      <c r="EB165" t="e">
        <f>AND(#REF!,"AAAAAH2f+4M=")</f>
        <v>#REF!</v>
      </c>
      <c r="EC165" t="e">
        <f>AND(#REF!,"AAAAAH2f+4Q=")</f>
        <v>#REF!</v>
      </c>
      <c r="ED165" t="e">
        <f>AND(#REF!,"AAAAAH2f+4U=")</f>
        <v>#REF!</v>
      </c>
      <c r="EE165" t="e">
        <f>AND(#REF!,"AAAAAH2f+4Y=")</f>
        <v>#REF!</v>
      </c>
      <c r="EF165" t="e">
        <f>AND(#REF!,"AAAAAH2f+4c=")</f>
        <v>#REF!</v>
      </c>
      <c r="EG165" t="e">
        <f>AND(#REF!,"AAAAAH2f+4g=")</f>
        <v>#REF!</v>
      </c>
      <c r="EH165" t="e">
        <f>AND(#REF!,"AAAAAH2f+4k=")</f>
        <v>#REF!</v>
      </c>
      <c r="EI165" t="e">
        <f>AND(#REF!,"AAAAAH2f+4o=")</f>
        <v>#REF!</v>
      </c>
      <c r="EJ165" t="e">
        <f>AND(#REF!,"AAAAAH2f+4s=")</f>
        <v>#REF!</v>
      </c>
      <c r="EK165" t="e">
        <f>IF(#REF!,"AAAAAH2f+4w=",0)</f>
        <v>#REF!</v>
      </c>
      <c r="EL165" t="e">
        <f>AND(#REF!,"AAAAAH2f+40=")</f>
        <v>#REF!</v>
      </c>
      <c r="EM165" t="e">
        <f>AND(#REF!,"AAAAAH2f+44=")</f>
        <v>#REF!</v>
      </c>
      <c r="EN165" t="e">
        <f>AND(#REF!,"AAAAAH2f+48=")</f>
        <v>#REF!</v>
      </c>
      <c r="EO165" t="e">
        <f>AND(#REF!,"AAAAAH2f+5A=")</f>
        <v>#REF!</v>
      </c>
      <c r="EP165" t="e">
        <f>AND(#REF!,"AAAAAH2f+5E=")</f>
        <v>#REF!</v>
      </c>
      <c r="EQ165" t="e">
        <f>AND(#REF!,"AAAAAH2f+5I=")</f>
        <v>#REF!</v>
      </c>
      <c r="ER165" t="e">
        <f>AND(#REF!,"AAAAAH2f+5M=")</f>
        <v>#REF!</v>
      </c>
      <c r="ES165" t="e">
        <f>AND(#REF!,"AAAAAH2f+5Q=")</f>
        <v>#REF!</v>
      </c>
      <c r="ET165" t="e">
        <f>AND(#REF!,"AAAAAH2f+5U=")</f>
        <v>#REF!</v>
      </c>
      <c r="EU165" t="e">
        <f>AND(#REF!,"AAAAAH2f+5Y=")</f>
        <v>#REF!</v>
      </c>
      <c r="EV165" t="e">
        <f>IF(#REF!,"AAAAAH2f+5c=",0)</f>
        <v>#REF!</v>
      </c>
      <c r="EW165" t="e">
        <f>AND(#REF!,"AAAAAH2f+5g=")</f>
        <v>#REF!</v>
      </c>
      <c r="EX165" t="e">
        <f>AND(#REF!,"AAAAAH2f+5k=")</f>
        <v>#REF!</v>
      </c>
      <c r="EY165" t="e">
        <f>AND(#REF!,"AAAAAH2f+5o=")</f>
        <v>#REF!</v>
      </c>
      <c r="EZ165" t="e">
        <f>AND(#REF!,"AAAAAH2f+5s=")</f>
        <v>#REF!</v>
      </c>
      <c r="FA165" t="e">
        <f>AND(#REF!,"AAAAAH2f+5w=")</f>
        <v>#REF!</v>
      </c>
      <c r="FB165" t="e">
        <f>AND(#REF!,"AAAAAH2f+50=")</f>
        <v>#REF!</v>
      </c>
      <c r="FC165" t="e">
        <f>AND(#REF!,"AAAAAH2f+54=")</f>
        <v>#REF!</v>
      </c>
      <c r="FD165" t="e">
        <f>AND(#REF!,"AAAAAH2f+58=")</f>
        <v>#REF!</v>
      </c>
      <c r="FE165" t="e">
        <f>AND(#REF!,"AAAAAH2f+6A=")</f>
        <v>#REF!</v>
      </c>
      <c r="FF165" t="e">
        <f>AND(#REF!,"AAAAAH2f+6E=")</f>
        <v>#REF!</v>
      </c>
      <c r="FG165" t="e">
        <f>IF(#REF!,"AAAAAH2f+6I=",0)</f>
        <v>#REF!</v>
      </c>
      <c r="FH165" t="e">
        <f>AND(#REF!,"AAAAAH2f+6M=")</f>
        <v>#REF!</v>
      </c>
      <c r="FI165" t="e">
        <f>AND(#REF!,"AAAAAH2f+6Q=")</f>
        <v>#REF!</v>
      </c>
      <c r="FJ165" t="e">
        <f>AND(#REF!,"AAAAAH2f+6U=")</f>
        <v>#REF!</v>
      </c>
      <c r="FK165" t="e">
        <f>AND(#REF!,"AAAAAH2f+6Y=")</f>
        <v>#REF!</v>
      </c>
      <c r="FL165" t="e">
        <f>AND(#REF!,"AAAAAH2f+6c=")</f>
        <v>#REF!</v>
      </c>
      <c r="FM165" t="e">
        <f>AND(#REF!,"AAAAAH2f+6g=")</f>
        <v>#REF!</v>
      </c>
      <c r="FN165" t="e">
        <f>AND(#REF!,"AAAAAH2f+6k=")</f>
        <v>#REF!</v>
      </c>
      <c r="FO165" t="e">
        <f>AND(#REF!,"AAAAAH2f+6o=")</f>
        <v>#REF!</v>
      </c>
      <c r="FP165" t="e">
        <f>AND(#REF!,"AAAAAH2f+6s=")</f>
        <v>#REF!</v>
      </c>
      <c r="FQ165" t="e">
        <f>AND(#REF!,"AAAAAH2f+6w=")</f>
        <v>#REF!</v>
      </c>
      <c r="FR165" t="e">
        <f>IF(#REF!,"AAAAAH2f+60=",0)</f>
        <v>#REF!</v>
      </c>
      <c r="FS165" t="e">
        <f>AND(#REF!,"AAAAAH2f+64=")</f>
        <v>#REF!</v>
      </c>
      <c r="FT165" t="e">
        <f>AND(#REF!,"AAAAAH2f+68=")</f>
        <v>#REF!</v>
      </c>
      <c r="FU165" t="e">
        <f>AND(#REF!,"AAAAAH2f+7A=")</f>
        <v>#REF!</v>
      </c>
      <c r="FV165" t="e">
        <f>AND(#REF!,"AAAAAH2f+7E=")</f>
        <v>#REF!</v>
      </c>
      <c r="FW165" t="e">
        <f>AND(#REF!,"AAAAAH2f+7I=")</f>
        <v>#REF!</v>
      </c>
      <c r="FX165" t="e">
        <f>AND(#REF!,"AAAAAH2f+7M=")</f>
        <v>#REF!</v>
      </c>
      <c r="FY165" t="e">
        <f>AND(#REF!,"AAAAAH2f+7Q=")</f>
        <v>#REF!</v>
      </c>
      <c r="FZ165" t="e">
        <f>AND(#REF!,"AAAAAH2f+7U=")</f>
        <v>#REF!</v>
      </c>
      <c r="GA165" t="e">
        <f>AND(#REF!,"AAAAAH2f+7Y=")</f>
        <v>#REF!</v>
      </c>
      <c r="GB165" t="e">
        <f>AND(#REF!,"AAAAAH2f+7c=")</f>
        <v>#REF!</v>
      </c>
      <c r="GC165" t="e">
        <f>IF(#REF!,"AAAAAH2f+7g=",0)</f>
        <v>#REF!</v>
      </c>
      <c r="GD165" t="e">
        <f>AND(#REF!,"AAAAAH2f+7k=")</f>
        <v>#REF!</v>
      </c>
      <c r="GE165" t="e">
        <f>AND(#REF!,"AAAAAH2f+7o=")</f>
        <v>#REF!</v>
      </c>
      <c r="GF165" t="e">
        <f>AND(#REF!,"AAAAAH2f+7s=")</f>
        <v>#REF!</v>
      </c>
      <c r="GG165" t="e">
        <f>AND(#REF!,"AAAAAH2f+7w=")</f>
        <v>#REF!</v>
      </c>
      <c r="GH165" t="e">
        <f>AND(#REF!,"AAAAAH2f+70=")</f>
        <v>#REF!</v>
      </c>
      <c r="GI165" t="e">
        <f>AND(#REF!,"AAAAAH2f+74=")</f>
        <v>#REF!</v>
      </c>
      <c r="GJ165" t="e">
        <f>AND(#REF!,"AAAAAH2f+78=")</f>
        <v>#REF!</v>
      </c>
      <c r="GK165" t="e">
        <f>AND(#REF!,"AAAAAH2f+8A=")</f>
        <v>#REF!</v>
      </c>
      <c r="GL165" t="e">
        <f>AND(#REF!,"AAAAAH2f+8E=")</f>
        <v>#REF!</v>
      </c>
      <c r="GM165" t="e">
        <f>AND(#REF!,"AAAAAH2f+8I=")</f>
        <v>#REF!</v>
      </c>
      <c r="GN165" t="e">
        <f>IF(#REF!,"AAAAAH2f+8M=",0)</f>
        <v>#REF!</v>
      </c>
      <c r="GO165" t="e">
        <f>AND(#REF!,"AAAAAH2f+8Q=")</f>
        <v>#REF!</v>
      </c>
      <c r="GP165" t="e">
        <f>AND(#REF!,"AAAAAH2f+8U=")</f>
        <v>#REF!</v>
      </c>
      <c r="GQ165" t="e">
        <f>AND(#REF!,"AAAAAH2f+8Y=")</f>
        <v>#REF!</v>
      </c>
      <c r="GR165" t="e">
        <f>AND(#REF!,"AAAAAH2f+8c=")</f>
        <v>#REF!</v>
      </c>
      <c r="GS165" t="e">
        <f>AND(#REF!,"AAAAAH2f+8g=")</f>
        <v>#REF!</v>
      </c>
      <c r="GT165" t="e">
        <f>AND(#REF!,"AAAAAH2f+8k=")</f>
        <v>#REF!</v>
      </c>
      <c r="GU165" t="e">
        <f>AND(#REF!,"AAAAAH2f+8o=")</f>
        <v>#REF!</v>
      </c>
      <c r="GV165" t="e">
        <f>AND(#REF!,"AAAAAH2f+8s=")</f>
        <v>#REF!</v>
      </c>
      <c r="GW165" t="e">
        <f>AND(#REF!,"AAAAAH2f+8w=")</f>
        <v>#REF!</v>
      </c>
      <c r="GX165" t="e">
        <f>AND(#REF!,"AAAAAH2f+80=")</f>
        <v>#REF!</v>
      </c>
      <c r="GY165" t="e">
        <f>IF(#REF!,"AAAAAH2f+84=",0)</f>
        <v>#REF!</v>
      </c>
      <c r="GZ165" t="e">
        <f>AND(#REF!,"AAAAAH2f+88=")</f>
        <v>#REF!</v>
      </c>
      <c r="HA165" t="e">
        <f>AND(#REF!,"AAAAAH2f+9A=")</f>
        <v>#REF!</v>
      </c>
      <c r="HB165" t="e">
        <f>AND(#REF!,"AAAAAH2f+9E=")</f>
        <v>#REF!</v>
      </c>
      <c r="HC165" t="e">
        <f>AND(#REF!,"AAAAAH2f+9I=")</f>
        <v>#REF!</v>
      </c>
      <c r="HD165" t="e">
        <f>AND(#REF!,"AAAAAH2f+9M=")</f>
        <v>#REF!</v>
      </c>
      <c r="HE165" t="e">
        <f>AND(#REF!,"AAAAAH2f+9Q=")</f>
        <v>#REF!</v>
      </c>
      <c r="HF165" t="e">
        <f>AND(#REF!,"AAAAAH2f+9U=")</f>
        <v>#REF!</v>
      </c>
      <c r="HG165" t="e">
        <f>AND(#REF!,"AAAAAH2f+9Y=")</f>
        <v>#REF!</v>
      </c>
      <c r="HH165" t="e">
        <f>AND(#REF!,"AAAAAH2f+9c=")</f>
        <v>#REF!</v>
      </c>
      <c r="HI165" t="e">
        <f>AND(#REF!,"AAAAAH2f+9g=")</f>
        <v>#REF!</v>
      </c>
      <c r="HJ165" t="e">
        <f>IF(#REF!,"AAAAAH2f+9k=",0)</f>
        <v>#REF!</v>
      </c>
      <c r="HK165" t="e">
        <f>AND(#REF!,"AAAAAH2f+9o=")</f>
        <v>#REF!</v>
      </c>
      <c r="HL165" t="e">
        <f>AND(#REF!,"AAAAAH2f+9s=")</f>
        <v>#REF!</v>
      </c>
      <c r="HM165" t="e">
        <f>AND(#REF!,"AAAAAH2f+9w=")</f>
        <v>#REF!</v>
      </c>
      <c r="HN165" t="e">
        <f>AND(#REF!,"AAAAAH2f+90=")</f>
        <v>#REF!</v>
      </c>
      <c r="HO165" t="e">
        <f>AND(#REF!,"AAAAAH2f+94=")</f>
        <v>#REF!</v>
      </c>
      <c r="HP165" t="e">
        <f>AND(#REF!,"AAAAAH2f+98=")</f>
        <v>#REF!</v>
      </c>
      <c r="HQ165" t="e">
        <f>AND(#REF!,"AAAAAH2f++A=")</f>
        <v>#REF!</v>
      </c>
      <c r="HR165" t="e">
        <f>AND(#REF!,"AAAAAH2f++E=")</f>
        <v>#REF!</v>
      </c>
      <c r="HS165" t="e">
        <f>AND(#REF!,"AAAAAH2f++I=")</f>
        <v>#REF!</v>
      </c>
      <c r="HT165" t="e">
        <f>AND(#REF!,"AAAAAH2f++M=")</f>
        <v>#REF!</v>
      </c>
      <c r="HU165" t="e">
        <f>IF(#REF!,"AAAAAH2f++Q=",0)</f>
        <v>#REF!</v>
      </c>
      <c r="HV165" t="e">
        <f>AND(#REF!,"AAAAAH2f++U=")</f>
        <v>#REF!</v>
      </c>
      <c r="HW165" t="e">
        <f>AND(#REF!,"AAAAAH2f++Y=")</f>
        <v>#REF!</v>
      </c>
      <c r="HX165" t="e">
        <f>AND(#REF!,"AAAAAH2f++c=")</f>
        <v>#REF!</v>
      </c>
      <c r="HY165" t="e">
        <f>AND(#REF!,"AAAAAH2f++g=")</f>
        <v>#REF!</v>
      </c>
      <c r="HZ165" t="e">
        <f>AND(#REF!,"AAAAAH2f++k=")</f>
        <v>#REF!</v>
      </c>
      <c r="IA165" t="e">
        <f>AND(#REF!,"AAAAAH2f++o=")</f>
        <v>#REF!</v>
      </c>
      <c r="IB165" t="e">
        <f>AND(#REF!,"AAAAAH2f++s=")</f>
        <v>#REF!</v>
      </c>
      <c r="IC165" t="e">
        <f>AND(#REF!,"AAAAAH2f++w=")</f>
        <v>#REF!</v>
      </c>
      <c r="ID165" t="e">
        <f>AND(#REF!,"AAAAAH2f++0=")</f>
        <v>#REF!</v>
      </c>
      <c r="IE165" t="e">
        <f>AND(#REF!,"AAAAAH2f++4=")</f>
        <v>#REF!</v>
      </c>
      <c r="IF165" t="e">
        <f>IF(#REF!,"AAAAAH2f++8=",0)</f>
        <v>#REF!</v>
      </c>
      <c r="IG165" t="e">
        <f>AND(#REF!,"AAAAAH2f+/A=")</f>
        <v>#REF!</v>
      </c>
      <c r="IH165" t="e">
        <f>AND(#REF!,"AAAAAH2f+/E=")</f>
        <v>#REF!</v>
      </c>
      <c r="II165" t="e">
        <f>AND(#REF!,"AAAAAH2f+/I=")</f>
        <v>#REF!</v>
      </c>
      <c r="IJ165" t="e">
        <f>AND(#REF!,"AAAAAH2f+/M=")</f>
        <v>#REF!</v>
      </c>
      <c r="IK165" t="e">
        <f>AND(#REF!,"AAAAAH2f+/Q=")</f>
        <v>#REF!</v>
      </c>
      <c r="IL165" t="e">
        <f>AND(#REF!,"AAAAAH2f+/U=")</f>
        <v>#REF!</v>
      </c>
      <c r="IM165" t="e">
        <f>AND(#REF!,"AAAAAH2f+/Y=")</f>
        <v>#REF!</v>
      </c>
      <c r="IN165" t="e">
        <f>AND(#REF!,"AAAAAH2f+/c=")</f>
        <v>#REF!</v>
      </c>
      <c r="IO165" t="e">
        <f>AND(#REF!,"AAAAAH2f+/g=")</f>
        <v>#REF!</v>
      </c>
      <c r="IP165" t="e">
        <f>AND(#REF!,"AAAAAH2f+/k=")</f>
        <v>#REF!</v>
      </c>
      <c r="IQ165" t="e">
        <f>IF(#REF!,"AAAAAH2f+/o=",0)</f>
        <v>#REF!</v>
      </c>
      <c r="IR165" t="e">
        <f>AND(#REF!,"AAAAAH2f+/s=")</f>
        <v>#REF!</v>
      </c>
      <c r="IS165" t="e">
        <f>AND(#REF!,"AAAAAH2f+/w=")</f>
        <v>#REF!</v>
      </c>
      <c r="IT165" t="e">
        <f>AND(#REF!,"AAAAAH2f+/0=")</f>
        <v>#REF!</v>
      </c>
      <c r="IU165" t="e">
        <f>AND(#REF!,"AAAAAH2f+/4=")</f>
        <v>#REF!</v>
      </c>
      <c r="IV165" t="e">
        <f>AND(#REF!,"AAAAAH2f+/8=")</f>
        <v>#REF!</v>
      </c>
    </row>
    <row r="166" spans="1:256" x14ac:dyDescent="0.25">
      <c r="A166" t="e">
        <f>AND(#REF!,"AAAAAGvuvwA=")</f>
        <v>#REF!</v>
      </c>
      <c r="B166" t="e">
        <f>AND(#REF!,"AAAAAGvuvwE=")</f>
        <v>#REF!</v>
      </c>
      <c r="C166" t="e">
        <f>AND(#REF!,"AAAAAGvuvwI=")</f>
        <v>#REF!</v>
      </c>
      <c r="D166" t="e">
        <f>AND(#REF!,"AAAAAGvuvwM=")</f>
        <v>#REF!</v>
      </c>
      <c r="E166" t="e">
        <f>AND(#REF!,"AAAAAGvuvwQ=")</f>
        <v>#REF!</v>
      </c>
      <c r="F166" t="e">
        <f>IF(#REF!,"AAAAAGvuvwU=",0)</f>
        <v>#REF!</v>
      </c>
      <c r="G166" t="e">
        <f>AND(#REF!,"AAAAAGvuvwY=")</f>
        <v>#REF!</v>
      </c>
      <c r="H166" t="e">
        <f>AND(#REF!,"AAAAAGvuvwc=")</f>
        <v>#REF!</v>
      </c>
      <c r="I166" t="e">
        <f>AND(#REF!,"AAAAAGvuvwg=")</f>
        <v>#REF!</v>
      </c>
      <c r="J166" t="e">
        <f>AND(#REF!,"AAAAAGvuvwk=")</f>
        <v>#REF!</v>
      </c>
      <c r="K166" t="e">
        <f>AND(#REF!,"AAAAAGvuvwo=")</f>
        <v>#REF!</v>
      </c>
      <c r="L166" t="e">
        <f>AND(#REF!,"AAAAAGvuvws=")</f>
        <v>#REF!</v>
      </c>
      <c r="M166" t="e">
        <f>AND(#REF!,"AAAAAGvuvww=")</f>
        <v>#REF!</v>
      </c>
      <c r="N166" t="e">
        <f>AND(#REF!,"AAAAAGvuvw0=")</f>
        <v>#REF!</v>
      </c>
      <c r="O166" t="e">
        <f>AND(#REF!,"AAAAAGvuvw4=")</f>
        <v>#REF!</v>
      </c>
      <c r="P166" t="e">
        <f>AND(#REF!,"AAAAAGvuvw8=")</f>
        <v>#REF!</v>
      </c>
      <c r="Q166" t="e">
        <f>IF(#REF!,"AAAAAGvuvxA=",0)</f>
        <v>#REF!</v>
      </c>
      <c r="R166" t="e">
        <f>AND(#REF!,"AAAAAGvuvxE=")</f>
        <v>#REF!</v>
      </c>
      <c r="S166" t="e">
        <f>AND(#REF!,"AAAAAGvuvxI=")</f>
        <v>#REF!</v>
      </c>
      <c r="T166" t="e">
        <f>AND(#REF!,"AAAAAGvuvxM=")</f>
        <v>#REF!</v>
      </c>
      <c r="U166" t="e">
        <f>AND(#REF!,"AAAAAGvuvxQ=")</f>
        <v>#REF!</v>
      </c>
      <c r="V166" t="e">
        <f>AND(#REF!,"AAAAAGvuvxU=")</f>
        <v>#REF!</v>
      </c>
      <c r="W166" t="e">
        <f>AND(#REF!,"AAAAAGvuvxY=")</f>
        <v>#REF!</v>
      </c>
      <c r="X166" t="e">
        <f>AND(#REF!,"AAAAAGvuvxc=")</f>
        <v>#REF!</v>
      </c>
      <c r="Y166" t="e">
        <f>AND(#REF!,"AAAAAGvuvxg=")</f>
        <v>#REF!</v>
      </c>
      <c r="Z166" t="e">
        <f>AND(#REF!,"AAAAAGvuvxk=")</f>
        <v>#REF!</v>
      </c>
      <c r="AA166" t="e">
        <f>AND(#REF!,"AAAAAGvuvxo=")</f>
        <v>#REF!</v>
      </c>
      <c r="AB166" t="e">
        <f>IF(#REF!,"AAAAAGvuvxs=",0)</f>
        <v>#REF!</v>
      </c>
      <c r="AC166" t="e">
        <f>AND(#REF!,"AAAAAGvuvxw=")</f>
        <v>#REF!</v>
      </c>
      <c r="AD166" t="e">
        <f>AND(#REF!,"AAAAAGvuvx0=")</f>
        <v>#REF!</v>
      </c>
      <c r="AE166" t="e">
        <f>AND(#REF!,"AAAAAGvuvx4=")</f>
        <v>#REF!</v>
      </c>
      <c r="AF166" t="e">
        <f>AND(#REF!,"AAAAAGvuvx8=")</f>
        <v>#REF!</v>
      </c>
      <c r="AG166" t="e">
        <f>AND(#REF!,"AAAAAGvuvyA=")</f>
        <v>#REF!</v>
      </c>
      <c r="AH166" t="e">
        <f>AND(#REF!,"AAAAAGvuvyE=")</f>
        <v>#REF!</v>
      </c>
      <c r="AI166" t="e">
        <f>AND(#REF!,"AAAAAGvuvyI=")</f>
        <v>#REF!</v>
      </c>
      <c r="AJ166" t="e">
        <f>AND(#REF!,"AAAAAGvuvyM=")</f>
        <v>#REF!</v>
      </c>
      <c r="AK166" t="e">
        <f>AND(#REF!,"AAAAAGvuvyQ=")</f>
        <v>#REF!</v>
      </c>
      <c r="AL166" t="e">
        <f>AND(#REF!,"AAAAAGvuvyU=")</f>
        <v>#REF!</v>
      </c>
      <c r="AM166" t="e">
        <f>IF(#REF!,"AAAAAGvuvyY=",0)</f>
        <v>#REF!</v>
      </c>
      <c r="AN166" t="e">
        <f>AND(#REF!,"AAAAAGvuvyc=")</f>
        <v>#REF!</v>
      </c>
      <c r="AO166" t="e">
        <f>AND(#REF!,"AAAAAGvuvyg=")</f>
        <v>#REF!</v>
      </c>
      <c r="AP166" t="e">
        <f>AND(#REF!,"AAAAAGvuvyk=")</f>
        <v>#REF!</v>
      </c>
      <c r="AQ166" t="e">
        <f>AND(#REF!,"AAAAAGvuvyo=")</f>
        <v>#REF!</v>
      </c>
      <c r="AR166" t="e">
        <f>AND(#REF!,"AAAAAGvuvys=")</f>
        <v>#REF!</v>
      </c>
      <c r="AS166" t="e">
        <f>AND(#REF!,"AAAAAGvuvyw=")</f>
        <v>#REF!</v>
      </c>
      <c r="AT166" t="e">
        <f>AND(#REF!,"AAAAAGvuvy0=")</f>
        <v>#REF!</v>
      </c>
      <c r="AU166" t="e">
        <f>AND(#REF!,"AAAAAGvuvy4=")</f>
        <v>#REF!</v>
      </c>
      <c r="AV166" t="e">
        <f>AND(#REF!,"AAAAAGvuvy8=")</f>
        <v>#REF!</v>
      </c>
      <c r="AW166" t="e">
        <f>AND(#REF!,"AAAAAGvuvzA=")</f>
        <v>#REF!</v>
      </c>
      <c r="AX166" t="e">
        <f>IF(#REF!,"AAAAAGvuvzE=",0)</f>
        <v>#REF!</v>
      </c>
      <c r="AY166" t="e">
        <f>AND(#REF!,"AAAAAGvuvzI=")</f>
        <v>#REF!</v>
      </c>
      <c r="AZ166" t="e">
        <f>AND(#REF!,"AAAAAGvuvzM=")</f>
        <v>#REF!</v>
      </c>
      <c r="BA166" t="e">
        <f>AND(#REF!,"AAAAAGvuvzQ=")</f>
        <v>#REF!</v>
      </c>
      <c r="BB166" t="e">
        <f>AND(#REF!,"AAAAAGvuvzU=")</f>
        <v>#REF!</v>
      </c>
      <c r="BC166" t="e">
        <f>AND(#REF!,"AAAAAGvuvzY=")</f>
        <v>#REF!</v>
      </c>
      <c r="BD166" t="e">
        <f>AND(#REF!,"AAAAAGvuvzc=")</f>
        <v>#REF!</v>
      </c>
      <c r="BE166" t="e">
        <f>AND(#REF!,"AAAAAGvuvzg=")</f>
        <v>#REF!</v>
      </c>
      <c r="BF166" t="e">
        <f>AND(#REF!,"AAAAAGvuvzk=")</f>
        <v>#REF!</v>
      </c>
      <c r="BG166" t="e">
        <f>AND(#REF!,"AAAAAGvuvzo=")</f>
        <v>#REF!</v>
      </c>
      <c r="BH166" t="e">
        <f>AND(#REF!,"AAAAAGvuvzs=")</f>
        <v>#REF!</v>
      </c>
      <c r="BI166" t="e">
        <f>IF(#REF!,"AAAAAGvuvzw=",0)</f>
        <v>#REF!</v>
      </c>
      <c r="BJ166" t="e">
        <f>AND(#REF!,"AAAAAGvuvz0=")</f>
        <v>#REF!</v>
      </c>
      <c r="BK166" t="e">
        <f>AND(#REF!,"AAAAAGvuvz4=")</f>
        <v>#REF!</v>
      </c>
      <c r="BL166" t="e">
        <f>AND(#REF!,"AAAAAGvuvz8=")</f>
        <v>#REF!</v>
      </c>
      <c r="BM166" t="e">
        <f>AND(#REF!,"AAAAAGvuv0A=")</f>
        <v>#REF!</v>
      </c>
      <c r="BN166" t="e">
        <f>AND(#REF!,"AAAAAGvuv0E=")</f>
        <v>#REF!</v>
      </c>
      <c r="BO166" t="e">
        <f>AND(#REF!,"AAAAAGvuv0I=")</f>
        <v>#REF!</v>
      </c>
      <c r="BP166" t="e">
        <f>AND(#REF!,"AAAAAGvuv0M=")</f>
        <v>#REF!</v>
      </c>
      <c r="BQ166" t="e">
        <f>AND(#REF!,"AAAAAGvuv0Q=")</f>
        <v>#REF!</v>
      </c>
      <c r="BR166" t="e">
        <f>AND(#REF!,"AAAAAGvuv0U=")</f>
        <v>#REF!</v>
      </c>
      <c r="BS166" t="e">
        <f>AND(#REF!,"AAAAAGvuv0Y=")</f>
        <v>#REF!</v>
      </c>
      <c r="BT166" t="e">
        <f>IF(#REF!,"AAAAAGvuv0c=",0)</f>
        <v>#REF!</v>
      </c>
      <c r="BU166" t="e">
        <f>AND(#REF!,"AAAAAGvuv0g=")</f>
        <v>#REF!</v>
      </c>
      <c r="BV166" t="e">
        <f>AND(#REF!,"AAAAAGvuv0k=")</f>
        <v>#REF!</v>
      </c>
      <c r="BW166" t="e">
        <f>AND(#REF!,"AAAAAGvuv0o=")</f>
        <v>#REF!</v>
      </c>
      <c r="BX166" t="e">
        <f>AND(#REF!,"AAAAAGvuv0s=")</f>
        <v>#REF!</v>
      </c>
      <c r="BY166" t="e">
        <f>AND(#REF!,"AAAAAGvuv0w=")</f>
        <v>#REF!</v>
      </c>
      <c r="BZ166" t="e">
        <f>AND(#REF!,"AAAAAGvuv00=")</f>
        <v>#REF!</v>
      </c>
      <c r="CA166" t="e">
        <f>AND(#REF!,"AAAAAGvuv04=")</f>
        <v>#REF!</v>
      </c>
      <c r="CB166" t="e">
        <f>AND(#REF!,"AAAAAGvuv08=")</f>
        <v>#REF!</v>
      </c>
      <c r="CC166" t="e">
        <f>AND(#REF!,"AAAAAGvuv1A=")</f>
        <v>#REF!</v>
      </c>
      <c r="CD166" t="e">
        <f>AND(#REF!,"AAAAAGvuv1E=")</f>
        <v>#REF!</v>
      </c>
      <c r="CE166" t="e">
        <f>IF(#REF!,"AAAAAGvuv1I=",0)</f>
        <v>#REF!</v>
      </c>
      <c r="CF166" t="e">
        <f>AND(#REF!,"AAAAAGvuv1M=")</f>
        <v>#REF!</v>
      </c>
      <c r="CG166" t="e">
        <f>AND(#REF!,"AAAAAGvuv1Q=")</f>
        <v>#REF!</v>
      </c>
      <c r="CH166" t="e">
        <f>AND(#REF!,"AAAAAGvuv1U=")</f>
        <v>#REF!</v>
      </c>
      <c r="CI166" t="e">
        <f>AND(#REF!,"AAAAAGvuv1Y=")</f>
        <v>#REF!</v>
      </c>
      <c r="CJ166" t="e">
        <f>AND(#REF!,"AAAAAGvuv1c=")</f>
        <v>#REF!</v>
      </c>
      <c r="CK166" t="e">
        <f>AND(#REF!,"AAAAAGvuv1g=")</f>
        <v>#REF!</v>
      </c>
      <c r="CL166" t="e">
        <f>AND(#REF!,"AAAAAGvuv1k=")</f>
        <v>#REF!</v>
      </c>
      <c r="CM166" t="e">
        <f>AND(#REF!,"AAAAAGvuv1o=")</f>
        <v>#REF!</v>
      </c>
      <c r="CN166" t="e">
        <f>AND(#REF!,"AAAAAGvuv1s=")</f>
        <v>#REF!</v>
      </c>
      <c r="CO166" t="e">
        <f>AND(#REF!,"AAAAAGvuv1w=")</f>
        <v>#REF!</v>
      </c>
      <c r="CP166" t="e">
        <f>IF(#REF!,"AAAAAGvuv10=",0)</f>
        <v>#REF!</v>
      </c>
      <c r="CQ166" t="e">
        <f>AND(#REF!,"AAAAAGvuv14=")</f>
        <v>#REF!</v>
      </c>
      <c r="CR166" t="e">
        <f>AND(#REF!,"AAAAAGvuv18=")</f>
        <v>#REF!</v>
      </c>
      <c r="CS166" t="e">
        <f>AND(#REF!,"AAAAAGvuv2A=")</f>
        <v>#REF!</v>
      </c>
      <c r="CT166" t="e">
        <f>AND(#REF!,"AAAAAGvuv2E=")</f>
        <v>#REF!</v>
      </c>
      <c r="CU166" t="e">
        <f>AND(#REF!,"AAAAAGvuv2I=")</f>
        <v>#REF!</v>
      </c>
      <c r="CV166" t="e">
        <f>AND(#REF!,"AAAAAGvuv2M=")</f>
        <v>#REF!</v>
      </c>
      <c r="CW166" t="e">
        <f>AND(#REF!,"AAAAAGvuv2Q=")</f>
        <v>#REF!</v>
      </c>
      <c r="CX166" t="e">
        <f>AND(#REF!,"AAAAAGvuv2U=")</f>
        <v>#REF!</v>
      </c>
      <c r="CY166" t="e">
        <f>AND(#REF!,"AAAAAGvuv2Y=")</f>
        <v>#REF!</v>
      </c>
      <c r="CZ166" t="e">
        <f>AND(#REF!,"AAAAAGvuv2c=")</f>
        <v>#REF!</v>
      </c>
      <c r="DA166" t="e">
        <f>IF(#REF!,"AAAAAGvuv2g=",0)</f>
        <v>#REF!</v>
      </c>
      <c r="DB166" t="e">
        <f>AND(#REF!,"AAAAAGvuv2k=")</f>
        <v>#REF!</v>
      </c>
      <c r="DC166" t="e">
        <f>AND(#REF!,"AAAAAGvuv2o=")</f>
        <v>#REF!</v>
      </c>
      <c r="DD166" t="e">
        <f>AND(#REF!,"AAAAAGvuv2s=")</f>
        <v>#REF!</v>
      </c>
      <c r="DE166" t="e">
        <f>AND(#REF!,"AAAAAGvuv2w=")</f>
        <v>#REF!</v>
      </c>
      <c r="DF166" t="e">
        <f>AND(#REF!,"AAAAAGvuv20=")</f>
        <v>#REF!</v>
      </c>
      <c r="DG166" t="e">
        <f>AND(#REF!,"AAAAAGvuv24=")</f>
        <v>#REF!</v>
      </c>
      <c r="DH166" t="e">
        <f>AND(#REF!,"AAAAAGvuv28=")</f>
        <v>#REF!</v>
      </c>
      <c r="DI166" t="e">
        <f>AND(#REF!,"AAAAAGvuv3A=")</f>
        <v>#REF!</v>
      </c>
      <c r="DJ166" t="e">
        <f>AND(#REF!,"AAAAAGvuv3E=")</f>
        <v>#REF!</v>
      </c>
      <c r="DK166" t="e">
        <f>AND(#REF!,"AAAAAGvuv3I=")</f>
        <v>#REF!</v>
      </c>
      <c r="DL166" t="e">
        <f>IF(#REF!,"AAAAAGvuv3M=",0)</f>
        <v>#REF!</v>
      </c>
      <c r="DM166" t="e">
        <f>AND(#REF!,"AAAAAGvuv3Q=")</f>
        <v>#REF!</v>
      </c>
      <c r="DN166" t="e">
        <f>AND(#REF!,"AAAAAGvuv3U=")</f>
        <v>#REF!</v>
      </c>
      <c r="DO166" t="e">
        <f>AND(#REF!,"AAAAAGvuv3Y=")</f>
        <v>#REF!</v>
      </c>
      <c r="DP166" t="e">
        <f>AND(#REF!,"AAAAAGvuv3c=")</f>
        <v>#REF!</v>
      </c>
      <c r="DQ166" t="e">
        <f>AND(#REF!,"AAAAAGvuv3g=")</f>
        <v>#REF!</v>
      </c>
      <c r="DR166" t="e">
        <f>AND(#REF!,"AAAAAGvuv3k=")</f>
        <v>#REF!</v>
      </c>
      <c r="DS166" t="e">
        <f>AND(#REF!,"AAAAAGvuv3o=")</f>
        <v>#REF!</v>
      </c>
      <c r="DT166" t="e">
        <f>AND(#REF!,"AAAAAGvuv3s=")</f>
        <v>#REF!</v>
      </c>
      <c r="DU166" t="e">
        <f>AND(#REF!,"AAAAAGvuv3w=")</f>
        <v>#REF!</v>
      </c>
      <c r="DV166" t="e">
        <f>AND(#REF!,"AAAAAGvuv30=")</f>
        <v>#REF!</v>
      </c>
      <c r="DW166" t="e">
        <f>IF(#REF!,"AAAAAGvuv34=",0)</f>
        <v>#REF!</v>
      </c>
      <c r="DX166" t="e">
        <f>AND(#REF!,"AAAAAGvuv38=")</f>
        <v>#REF!</v>
      </c>
      <c r="DY166" t="e">
        <f>AND(#REF!,"AAAAAGvuv4A=")</f>
        <v>#REF!</v>
      </c>
      <c r="DZ166" t="e">
        <f>AND(#REF!,"AAAAAGvuv4E=")</f>
        <v>#REF!</v>
      </c>
      <c r="EA166" t="e">
        <f>AND(#REF!,"AAAAAGvuv4I=")</f>
        <v>#REF!</v>
      </c>
      <c r="EB166" t="e">
        <f>AND(#REF!,"AAAAAGvuv4M=")</f>
        <v>#REF!</v>
      </c>
      <c r="EC166" t="e">
        <f>AND(#REF!,"AAAAAGvuv4Q=")</f>
        <v>#REF!</v>
      </c>
      <c r="ED166" t="e">
        <f>AND(#REF!,"AAAAAGvuv4U=")</f>
        <v>#REF!</v>
      </c>
      <c r="EE166" t="e">
        <f>AND(#REF!,"AAAAAGvuv4Y=")</f>
        <v>#REF!</v>
      </c>
      <c r="EF166" t="e">
        <f>AND(#REF!,"AAAAAGvuv4c=")</f>
        <v>#REF!</v>
      </c>
      <c r="EG166" t="e">
        <f>AND(#REF!,"AAAAAGvuv4g=")</f>
        <v>#REF!</v>
      </c>
      <c r="EH166" t="e">
        <f>IF(#REF!,"AAAAAGvuv4k=",0)</f>
        <v>#REF!</v>
      </c>
      <c r="EI166" t="e">
        <f>AND(#REF!,"AAAAAGvuv4o=")</f>
        <v>#REF!</v>
      </c>
      <c r="EJ166" t="e">
        <f>AND(#REF!,"AAAAAGvuv4s=")</f>
        <v>#REF!</v>
      </c>
      <c r="EK166" t="e">
        <f>AND(#REF!,"AAAAAGvuv4w=")</f>
        <v>#REF!</v>
      </c>
      <c r="EL166" t="e">
        <f>AND(#REF!,"AAAAAGvuv40=")</f>
        <v>#REF!</v>
      </c>
      <c r="EM166" t="e">
        <f>AND(#REF!,"AAAAAGvuv44=")</f>
        <v>#REF!</v>
      </c>
      <c r="EN166" t="e">
        <f>AND(#REF!,"AAAAAGvuv48=")</f>
        <v>#REF!</v>
      </c>
      <c r="EO166" t="e">
        <f>AND(#REF!,"AAAAAGvuv5A=")</f>
        <v>#REF!</v>
      </c>
      <c r="EP166" t="e">
        <f>AND(#REF!,"AAAAAGvuv5E=")</f>
        <v>#REF!</v>
      </c>
      <c r="EQ166" t="e">
        <f>AND(#REF!,"AAAAAGvuv5I=")</f>
        <v>#REF!</v>
      </c>
      <c r="ER166" t="e">
        <f>AND(#REF!,"AAAAAGvuv5M=")</f>
        <v>#REF!</v>
      </c>
      <c r="ES166" t="e">
        <f>IF(#REF!,"AAAAAGvuv5Q=",0)</f>
        <v>#REF!</v>
      </c>
      <c r="ET166" t="e">
        <f>AND(#REF!,"AAAAAGvuv5U=")</f>
        <v>#REF!</v>
      </c>
      <c r="EU166" t="e">
        <f>AND(#REF!,"AAAAAGvuv5Y=")</f>
        <v>#REF!</v>
      </c>
      <c r="EV166" t="e">
        <f>AND(#REF!,"AAAAAGvuv5c=")</f>
        <v>#REF!</v>
      </c>
      <c r="EW166" t="e">
        <f>AND(#REF!,"AAAAAGvuv5g=")</f>
        <v>#REF!</v>
      </c>
      <c r="EX166" t="e">
        <f>AND(#REF!,"AAAAAGvuv5k=")</f>
        <v>#REF!</v>
      </c>
      <c r="EY166" t="e">
        <f>AND(#REF!,"AAAAAGvuv5o=")</f>
        <v>#REF!</v>
      </c>
      <c r="EZ166" t="e">
        <f>AND(#REF!,"AAAAAGvuv5s=")</f>
        <v>#REF!</v>
      </c>
      <c r="FA166" t="e">
        <f>AND(#REF!,"AAAAAGvuv5w=")</f>
        <v>#REF!</v>
      </c>
      <c r="FB166" t="e">
        <f>AND(#REF!,"AAAAAGvuv50=")</f>
        <v>#REF!</v>
      </c>
      <c r="FC166" t="e">
        <f>AND(#REF!,"AAAAAGvuv54=")</f>
        <v>#REF!</v>
      </c>
      <c r="FD166" t="e">
        <f>IF(#REF!,"AAAAAGvuv58=",0)</f>
        <v>#REF!</v>
      </c>
      <c r="FE166" t="e">
        <f>AND(#REF!,"AAAAAGvuv6A=")</f>
        <v>#REF!</v>
      </c>
      <c r="FF166" t="e">
        <f>AND(#REF!,"AAAAAGvuv6E=")</f>
        <v>#REF!</v>
      </c>
      <c r="FG166" t="e">
        <f>AND(#REF!,"AAAAAGvuv6I=")</f>
        <v>#REF!</v>
      </c>
      <c r="FH166" t="e">
        <f>AND(#REF!,"AAAAAGvuv6M=")</f>
        <v>#REF!</v>
      </c>
      <c r="FI166" t="e">
        <f>AND(#REF!,"AAAAAGvuv6Q=")</f>
        <v>#REF!</v>
      </c>
      <c r="FJ166" t="e">
        <f>AND(#REF!,"AAAAAGvuv6U=")</f>
        <v>#REF!</v>
      </c>
      <c r="FK166" t="e">
        <f>AND(#REF!,"AAAAAGvuv6Y=")</f>
        <v>#REF!</v>
      </c>
      <c r="FL166" t="e">
        <f>AND(#REF!,"AAAAAGvuv6c=")</f>
        <v>#REF!</v>
      </c>
      <c r="FM166" t="e">
        <f>AND(#REF!,"AAAAAGvuv6g=")</f>
        <v>#REF!</v>
      </c>
      <c r="FN166" t="e">
        <f>AND(#REF!,"AAAAAGvuv6k=")</f>
        <v>#REF!</v>
      </c>
      <c r="FO166" t="e">
        <f>IF(#REF!,"AAAAAGvuv6o=",0)</f>
        <v>#REF!</v>
      </c>
      <c r="FP166" t="e">
        <f>AND(#REF!,"AAAAAGvuv6s=")</f>
        <v>#REF!</v>
      </c>
      <c r="FQ166" t="e">
        <f>AND(#REF!,"AAAAAGvuv6w=")</f>
        <v>#REF!</v>
      </c>
      <c r="FR166" t="e">
        <f>AND(#REF!,"AAAAAGvuv60=")</f>
        <v>#REF!</v>
      </c>
      <c r="FS166" t="e">
        <f>AND(#REF!,"AAAAAGvuv64=")</f>
        <v>#REF!</v>
      </c>
      <c r="FT166" t="e">
        <f>AND(#REF!,"AAAAAGvuv68=")</f>
        <v>#REF!</v>
      </c>
      <c r="FU166" t="e">
        <f>AND(#REF!,"AAAAAGvuv7A=")</f>
        <v>#REF!</v>
      </c>
      <c r="FV166" t="e">
        <f>AND(#REF!,"AAAAAGvuv7E=")</f>
        <v>#REF!</v>
      </c>
      <c r="FW166" t="e">
        <f>AND(#REF!,"AAAAAGvuv7I=")</f>
        <v>#REF!</v>
      </c>
      <c r="FX166" t="e">
        <f>AND(#REF!,"AAAAAGvuv7M=")</f>
        <v>#REF!</v>
      </c>
      <c r="FY166" t="e">
        <f>AND(#REF!,"AAAAAGvuv7Q=")</f>
        <v>#REF!</v>
      </c>
      <c r="FZ166" t="e">
        <f>IF(#REF!,"AAAAAGvuv7U=",0)</f>
        <v>#REF!</v>
      </c>
      <c r="GA166" t="e">
        <f>AND(#REF!,"AAAAAGvuv7Y=")</f>
        <v>#REF!</v>
      </c>
      <c r="GB166" t="e">
        <f>AND(#REF!,"AAAAAGvuv7c=")</f>
        <v>#REF!</v>
      </c>
      <c r="GC166" t="e">
        <f>AND(#REF!,"AAAAAGvuv7g=")</f>
        <v>#REF!</v>
      </c>
      <c r="GD166" t="e">
        <f>AND(#REF!,"AAAAAGvuv7k=")</f>
        <v>#REF!</v>
      </c>
      <c r="GE166" t="e">
        <f>AND(#REF!,"AAAAAGvuv7o=")</f>
        <v>#REF!</v>
      </c>
      <c r="GF166" t="e">
        <f>AND(#REF!,"AAAAAGvuv7s=")</f>
        <v>#REF!</v>
      </c>
      <c r="GG166" t="e">
        <f>AND(#REF!,"AAAAAGvuv7w=")</f>
        <v>#REF!</v>
      </c>
      <c r="GH166" t="e">
        <f>AND(#REF!,"AAAAAGvuv70=")</f>
        <v>#REF!</v>
      </c>
      <c r="GI166" t="e">
        <f>AND(#REF!,"AAAAAGvuv74=")</f>
        <v>#REF!</v>
      </c>
      <c r="GJ166" t="e">
        <f>AND(#REF!,"AAAAAGvuv78=")</f>
        <v>#REF!</v>
      </c>
      <c r="GK166" t="e">
        <f>IF(#REF!,"AAAAAGvuv8A=",0)</f>
        <v>#REF!</v>
      </c>
      <c r="GL166" t="e">
        <f>AND(#REF!,"AAAAAGvuv8E=")</f>
        <v>#REF!</v>
      </c>
      <c r="GM166" t="e">
        <f>AND(#REF!,"AAAAAGvuv8I=")</f>
        <v>#REF!</v>
      </c>
      <c r="GN166" t="e">
        <f>AND(#REF!,"AAAAAGvuv8M=")</f>
        <v>#REF!</v>
      </c>
      <c r="GO166" t="e">
        <f>AND(#REF!,"AAAAAGvuv8Q=")</f>
        <v>#REF!</v>
      </c>
      <c r="GP166" t="e">
        <f>AND(#REF!,"AAAAAGvuv8U=")</f>
        <v>#REF!</v>
      </c>
      <c r="GQ166" t="e">
        <f>AND(#REF!,"AAAAAGvuv8Y=")</f>
        <v>#REF!</v>
      </c>
      <c r="GR166" t="e">
        <f>AND(#REF!,"AAAAAGvuv8c=")</f>
        <v>#REF!</v>
      </c>
      <c r="GS166" t="e">
        <f>AND(#REF!,"AAAAAGvuv8g=")</f>
        <v>#REF!</v>
      </c>
      <c r="GT166" t="e">
        <f>AND(#REF!,"AAAAAGvuv8k=")</f>
        <v>#REF!</v>
      </c>
      <c r="GU166" t="e">
        <f>AND(#REF!,"AAAAAGvuv8o=")</f>
        <v>#REF!</v>
      </c>
      <c r="GV166" t="e">
        <f>IF(#REF!,"AAAAAGvuv8s=",0)</f>
        <v>#REF!</v>
      </c>
      <c r="GW166" t="e">
        <f>AND(#REF!,"AAAAAGvuv8w=")</f>
        <v>#REF!</v>
      </c>
      <c r="GX166" t="e">
        <f>AND(#REF!,"AAAAAGvuv80=")</f>
        <v>#REF!</v>
      </c>
      <c r="GY166" t="e">
        <f>AND(#REF!,"AAAAAGvuv84=")</f>
        <v>#REF!</v>
      </c>
      <c r="GZ166" t="e">
        <f>AND(#REF!,"AAAAAGvuv88=")</f>
        <v>#REF!</v>
      </c>
      <c r="HA166" t="e">
        <f>AND(#REF!,"AAAAAGvuv9A=")</f>
        <v>#REF!</v>
      </c>
      <c r="HB166" t="e">
        <f>AND(#REF!,"AAAAAGvuv9E=")</f>
        <v>#REF!</v>
      </c>
      <c r="HC166" t="e">
        <f>AND(#REF!,"AAAAAGvuv9I=")</f>
        <v>#REF!</v>
      </c>
      <c r="HD166" t="e">
        <f>AND(#REF!,"AAAAAGvuv9M=")</f>
        <v>#REF!</v>
      </c>
      <c r="HE166" t="e">
        <f>AND(#REF!,"AAAAAGvuv9Q=")</f>
        <v>#REF!</v>
      </c>
      <c r="HF166" t="e">
        <f>AND(#REF!,"AAAAAGvuv9U=")</f>
        <v>#REF!</v>
      </c>
      <c r="HG166" t="e">
        <f>IF(#REF!,"AAAAAGvuv9Y=",0)</f>
        <v>#REF!</v>
      </c>
      <c r="HH166" t="e">
        <f>AND(#REF!,"AAAAAGvuv9c=")</f>
        <v>#REF!</v>
      </c>
      <c r="HI166" t="e">
        <f>AND(#REF!,"AAAAAGvuv9g=")</f>
        <v>#REF!</v>
      </c>
      <c r="HJ166" t="e">
        <f>AND(#REF!,"AAAAAGvuv9k=")</f>
        <v>#REF!</v>
      </c>
      <c r="HK166" t="e">
        <f>AND(#REF!,"AAAAAGvuv9o=")</f>
        <v>#REF!</v>
      </c>
      <c r="HL166" t="e">
        <f>AND(#REF!,"AAAAAGvuv9s=")</f>
        <v>#REF!</v>
      </c>
      <c r="HM166" t="e">
        <f>AND(#REF!,"AAAAAGvuv9w=")</f>
        <v>#REF!</v>
      </c>
      <c r="HN166" t="e">
        <f>AND(#REF!,"AAAAAGvuv90=")</f>
        <v>#REF!</v>
      </c>
      <c r="HO166" t="e">
        <f>AND(#REF!,"AAAAAGvuv94=")</f>
        <v>#REF!</v>
      </c>
      <c r="HP166" t="e">
        <f>AND(#REF!,"AAAAAGvuv98=")</f>
        <v>#REF!</v>
      </c>
      <c r="HQ166" t="e">
        <f>AND(#REF!,"AAAAAGvuv+A=")</f>
        <v>#REF!</v>
      </c>
      <c r="HR166" t="e">
        <f>IF(#REF!,"AAAAAGvuv+E=",0)</f>
        <v>#REF!</v>
      </c>
      <c r="HS166" t="e">
        <f>AND(#REF!,"AAAAAGvuv+I=")</f>
        <v>#REF!</v>
      </c>
      <c r="HT166" t="e">
        <f>AND(#REF!,"AAAAAGvuv+M=")</f>
        <v>#REF!</v>
      </c>
      <c r="HU166" t="e">
        <f>AND(#REF!,"AAAAAGvuv+Q=")</f>
        <v>#REF!</v>
      </c>
      <c r="HV166" t="e">
        <f>AND(#REF!,"AAAAAGvuv+U=")</f>
        <v>#REF!</v>
      </c>
      <c r="HW166" t="e">
        <f>AND(#REF!,"AAAAAGvuv+Y=")</f>
        <v>#REF!</v>
      </c>
      <c r="HX166" t="e">
        <f>AND(#REF!,"AAAAAGvuv+c=")</f>
        <v>#REF!</v>
      </c>
      <c r="HY166" t="e">
        <f>AND(#REF!,"AAAAAGvuv+g=")</f>
        <v>#REF!</v>
      </c>
      <c r="HZ166" t="e">
        <f>AND(#REF!,"AAAAAGvuv+k=")</f>
        <v>#REF!</v>
      </c>
      <c r="IA166" t="e">
        <f>AND(#REF!,"AAAAAGvuv+o=")</f>
        <v>#REF!</v>
      </c>
      <c r="IB166" t="e">
        <f>AND(#REF!,"AAAAAGvuv+s=")</f>
        <v>#REF!</v>
      </c>
      <c r="IC166" t="e">
        <f>IF(#REF!,"AAAAAGvuv+w=",0)</f>
        <v>#REF!</v>
      </c>
      <c r="ID166" t="e">
        <f>AND(#REF!,"AAAAAGvuv+0=")</f>
        <v>#REF!</v>
      </c>
      <c r="IE166" t="e">
        <f>AND(#REF!,"AAAAAGvuv+4=")</f>
        <v>#REF!</v>
      </c>
      <c r="IF166" t="e">
        <f>AND(#REF!,"AAAAAGvuv+8=")</f>
        <v>#REF!</v>
      </c>
      <c r="IG166" t="e">
        <f>AND(#REF!,"AAAAAGvuv/A=")</f>
        <v>#REF!</v>
      </c>
      <c r="IH166" t="e">
        <f>AND(#REF!,"AAAAAGvuv/E=")</f>
        <v>#REF!</v>
      </c>
      <c r="II166" t="e">
        <f>AND(#REF!,"AAAAAGvuv/I=")</f>
        <v>#REF!</v>
      </c>
      <c r="IJ166" t="e">
        <f>AND(#REF!,"AAAAAGvuv/M=")</f>
        <v>#REF!</v>
      </c>
      <c r="IK166" t="e">
        <f>AND(#REF!,"AAAAAGvuv/Q=")</f>
        <v>#REF!</v>
      </c>
      <c r="IL166" t="e">
        <f>AND(#REF!,"AAAAAGvuv/U=")</f>
        <v>#REF!</v>
      </c>
      <c r="IM166" t="e">
        <f>AND(#REF!,"AAAAAGvuv/Y=")</f>
        <v>#REF!</v>
      </c>
      <c r="IN166" t="e">
        <f>IF(#REF!,"AAAAAGvuv/c=",0)</f>
        <v>#REF!</v>
      </c>
      <c r="IO166" t="e">
        <f>AND(#REF!,"AAAAAGvuv/g=")</f>
        <v>#REF!</v>
      </c>
      <c r="IP166" t="e">
        <f>AND(#REF!,"AAAAAGvuv/k=")</f>
        <v>#REF!</v>
      </c>
      <c r="IQ166" t="e">
        <f>AND(#REF!,"AAAAAGvuv/o=")</f>
        <v>#REF!</v>
      </c>
      <c r="IR166" t="e">
        <f>AND(#REF!,"AAAAAGvuv/s=")</f>
        <v>#REF!</v>
      </c>
      <c r="IS166" t="e">
        <f>AND(#REF!,"AAAAAGvuv/w=")</f>
        <v>#REF!</v>
      </c>
      <c r="IT166" t="e">
        <f>AND(#REF!,"AAAAAGvuv/0=")</f>
        <v>#REF!</v>
      </c>
      <c r="IU166" t="e">
        <f>AND(#REF!,"AAAAAGvuv/4=")</f>
        <v>#REF!</v>
      </c>
      <c r="IV166" t="e">
        <f>AND(#REF!,"AAAAAGvuv/8=")</f>
        <v>#REF!</v>
      </c>
    </row>
    <row r="167" spans="1:256" x14ac:dyDescent="0.25">
      <c r="A167" t="e">
        <f>AND(#REF!,"AAAAADUrzwA=")</f>
        <v>#REF!</v>
      </c>
      <c r="B167" t="e">
        <f>AND(#REF!,"AAAAADUrzwE=")</f>
        <v>#REF!</v>
      </c>
      <c r="C167" t="e">
        <f>IF(#REF!,"AAAAADUrzwI=",0)</f>
        <v>#REF!</v>
      </c>
      <c r="D167" t="e">
        <f>AND(#REF!,"AAAAADUrzwM=")</f>
        <v>#REF!</v>
      </c>
      <c r="E167" t="e">
        <f>AND(#REF!,"AAAAADUrzwQ=")</f>
        <v>#REF!</v>
      </c>
      <c r="F167" t="e">
        <f>AND(#REF!,"AAAAADUrzwU=")</f>
        <v>#REF!</v>
      </c>
      <c r="G167" t="e">
        <f>AND(#REF!,"AAAAADUrzwY=")</f>
        <v>#REF!</v>
      </c>
      <c r="H167" t="e">
        <f>AND(#REF!,"AAAAADUrzwc=")</f>
        <v>#REF!</v>
      </c>
      <c r="I167" t="e">
        <f>AND(#REF!,"AAAAADUrzwg=")</f>
        <v>#REF!</v>
      </c>
      <c r="J167" t="e">
        <f>AND(#REF!,"AAAAADUrzwk=")</f>
        <v>#REF!</v>
      </c>
      <c r="K167" t="e">
        <f>AND(#REF!,"AAAAADUrzwo=")</f>
        <v>#REF!</v>
      </c>
      <c r="L167" t="e">
        <f>AND(#REF!,"AAAAADUrzws=")</f>
        <v>#REF!</v>
      </c>
      <c r="M167" t="e">
        <f>AND(#REF!,"AAAAADUrzww=")</f>
        <v>#REF!</v>
      </c>
      <c r="N167" t="e">
        <f>IF(#REF!,"AAAAADUrzw0=",0)</f>
        <v>#REF!</v>
      </c>
      <c r="O167" t="e">
        <f>AND(#REF!,"AAAAADUrzw4=")</f>
        <v>#REF!</v>
      </c>
      <c r="P167" t="e">
        <f>AND(#REF!,"AAAAADUrzw8=")</f>
        <v>#REF!</v>
      </c>
      <c r="Q167" t="e">
        <f>AND(#REF!,"AAAAADUrzxA=")</f>
        <v>#REF!</v>
      </c>
      <c r="R167" t="e">
        <f>AND(#REF!,"AAAAADUrzxE=")</f>
        <v>#REF!</v>
      </c>
      <c r="S167" t="e">
        <f>AND(#REF!,"AAAAADUrzxI=")</f>
        <v>#REF!</v>
      </c>
      <c r="T167" t="e">
        <f>AND(#REF!,"AAAAADUrzxM=")</f>
        <v>#REF!</v>
      </c>
      <c r="U167" t="e">
        <f>AND(#REF!,"AAAAADUrzxQ=")</f>
        <v>#REF!</v>
      </c>
      <c r="V167" t="e">
        <f>AND(#REF!,"AAAAADUrzxU=")</f>
        <v>#REF!</v>
      </c>
      <c r="W167" t="e">
        <f>AND(#REF!,"AAAAADUrzxY=")</f>
        <v>#REF!</v>
      </c>
      <c r="X167" t="e">
        <f>AND(#REF!,"AAAAADUrzxc=")</f>
        <v>#REF!</v>
      </c>
      <c r="Y167" t="e">
        <f>IF(#REF!,"AAAAADUrzxg=",0)</f>
        <v>#REF!</v>
      </c>
      <c r="Z167" t="e">
        <f>AND(#REF!,"AAAAADUrzxk=")</f>
        <v>#REF!</v>
      </c>
      <c r="AA167" t="e">
        <f>AND(#REF!,"AAAAADUrzxo=")</f>
        <v>#REF!</v>
      </c>
      <c r="AB167" t="e">
        <f>AND(#REF!,"AAAAADUrzxs=")</f>
        <v>#REF!</v>
      </c>
      <c r="AC167" t="e">
        <f>AND(#REF!,"AAAAADUrzxw=")</f>
        <v>#REF!</v>
      </c>
      <c r="AD167" t="e">
        <f>AND(#REF!,"AAAAADUrzx0=")</f>
        <v>#REF!</v>
      </c>
      <c r="AE167" t="e">
        <f>AND(#REF!,"AAAAADUrzx4=")</f>
        <v>#REF!</v>
      </c>
      <c r="AF167" t="e">
        <f>AND(#REF!,"AAAAADUrzx8=")</f>
        <v>#REF!</v>
      </c>
      <c r="AG167" t="e">
        <f>AND(#REF!,"AAAAADUrzyA=")</f>
        <v>#REF!</v>
      </c>
      <c r="AH167" t="e">
        <f>AND(#REF!,"AAAAADUrzyE=")</f>
        <v>#REF!</v>
      </c>
      <c r="AI167" t="e">
        <f>AND(#REF!,"AAAAADUrzyI=")</f>
        <v>#REF!</v>
      </c>
      <c r="AJ167" t="e">
        <f>IF(#REF!,"AAAAADUrzyM=",0)</f>
        <v>#REF!</v>
      </c>
      <c r="AK167" t="e">
        <f>AND(#REF!,"AAAAADUrzyQ=")</f>
        <v>#REF!</v>
      </c>
      <c r="AL167" t="e">
        <f>AND(#REF!,"AAAAADUrzyU=")</f>
        <v>#REF!</v>
      </c>
      <c r="AM167" t="e">
        <f>AND(#REF!,"AAAAADUrzyY=")</f>
        <v>#REF!</v>
      </c>
      <c r="AN167" t="e">
        <f>AND(#REF!,"AAAAADUrzyc=")</f>
        <v>#REF!</v>
      </c>
      <c r="AO167" t="e">
        <f>AND(#REF!,"AAAAADUrzyg=")</f>
        <v>#REF!</v>
      </c>
      <c r="AP167" t="e">
        <f>AND(#REF!,"AAAAADUrzyk=")</f>
        <v>#REF!</v>
      </c>
      <c r="AQ167" t="e">
        <f>AND(#REF!,"AAAAADUrzyo=")</f>
        <v>#REF!</v>
      </c>
      <c r="AR167" t="e">
        <f>AND(#REF!,"AAAAADUrzys=")</f>
        <v>#REF!</v>
      </c>
      <c r="AS167" t="e">
        <f>AND(#REF!,"AAAAADUrzyw=")</f>
        <v>#REF!</v>
      </c>
      <c r="AT167" t="e">
        <f>AND(#REF!,"AAAAADUrzy0=")</f>
        <v>#REF!</v>
      </c>
      <c r="AU167" t="e">
        <f>IF(#REF!,"AAAAADUrzy4=",0)</f>
        <v>#REF!</v>
      </c>
      <c r="AV167" t="e">
        <f>AND(#REF!,"AAAAADUrzy8=")</f>
        <v>#REF!</v>
      </c>
      <c r="AW167" t="e">
        <f>AND(#REF!,"AAAAADUrzzA=")</f>
        <v>#REF!</v>
      </c>
      <c r="AX167" t="e">
        <f>AND(#REF!,"AAAAADUrzzE=")</f>
        <v>#REF!</v>
      </c>
      <c r="AY167" t="e">
        <f>AND(#REF!,"AAAAADUrzzI=")</f>
        <v>#REF!</v>
      </c>
      <c r="AZ167" t="e">
        <f>AND(#REF!,"AAAAADUrzzM=")</f>
        <v>#REF!</v>
      </c>
      <c r="BA167" t="e">
        <f>AND(#REF!,"AAAAADUrzzQ=")</f>
        <v>#REF!</v>
      </c>
      <c r="BB167" t="e">
        <f>AND(#REF!,"AAAAADUrzzU=")</f>
        <v>#REF!</v>
      </c>
      <c r="BC167" t="e">
        <f>AND(#REF!,"AAAAADUrzzY=")</f>
        <v>#REF!</v>
      </c>
      <c r="BD167" t="e">
        <f>AND(#REF!,"AAAAADUrzzc=")</f>
        <v>#REF!</v>
      </c>
      <c r="BE167" t="e">
        <f>AND(#REF!,"AAAAADUrzzg=")</f>
        <v>#REF!</v>
      </c>
      <c r="BF167" t="e">
        <f>IF(#REF!,"AAAAADUrzzk=",0)</f>
        <v>#REF!</v>
      </c>
      <c r="BG167" t="e">
        <f>AND(#REF!,"AAAAADUrzzo=")</f>
        <v>#REF!</v>
      </c>
      <c r="BH167" t="e">
        <f>AND(#REF!,"AAAAADUrzzs=")</f>
        <v>#REF!</v>
      </c>
      <c r="BI167" t="e">
        <f>AND(#REF!,"AAAAADUrzzw=")</f>
        <v>#REF!</v>
      </c>
      <c r="BJ167" t="e">
        <f>AND(#REF!,"AAAAADUrzz0=")</f>
        <v>#REF!</v>
      </c>
      <c r="BK167" t="e">
        <f>AND(#REF!,"AAAAADUrzz4=")</f>
        <v>#REF!</v>
      </c>
      <c r="BL167" t="e">
        <f>AND(#REF!,"AAAAADUrzz8=")</f>
        <v>#REF!</v>
      </c>
      <c r="BM167" t="e">
        <f>AND(#REF!,"AAAAADUrz0A=")</f>
        <v>#REF!</v>
      </c>
      <c r="BN167" t="e">
        <f>AND(#REF!,"AAAAADUrz0E=")</f>
        <v>#REF!</v>
      </c>
      <c r="BO167" t="e">
        <f>AND(#REF!,"AAAAADUrz0I=")</f>
        <v>#REF!</v>
      </c>
      <c r="BP167" t="e">
        <f>AND(#REF!,"AAAAADUrz0M=")</f>
        <v>#REF!</v>
      </c>
      <c r="BQ167" t="e">
        <f>IF(#REF!,"AAAAADUrz0Q=",0)</f>
        <v>#REF!</v>
      </c>
      <c r="BR167" t="e">
        <f>AND(#REF!,"AAAAADUrz0U=")</f>
        <v>#REF!</v>
      </c>
      <c r="BS167" t="e">
        <f>AND(#REF!,"AAAAADUrz0Y=")</f>
        <v>#REF!</v>
      </c>
      <c r="BT167" t="e">
        <f>AND(#REF!,"AAAAADUrz0c=")</f>
        <v>#REF!</v>
      </c>
      <c r="BU167" t="e">
        <f>AND(#REF!,"AAAAADUrz0g=")</f>
        <v>#REF!</v>
      </c>
      <c r="BV167" t="e">
        <f>AND(#REF!,"AAAAADUrz0k=")</f>
        <v>#REF!</v>
      </c>
      <c r="BW167" t="e">
        <f>AND(#REF!,"AAAAADUrz0o=")</f>
        <v>#REF!</v>
      </c>
      <c r="BX167" t="e">
        <f>AND(#REF!,"AAAAADUrz0s=")</f>
        <v>#REF!</v>
      </c>
      <c r="BY167" t="e">
        <f>AND(#REF!,"AAAAADUrz0w=")</f>
        <v>#REF!</v>
      </c>
      <c r="BZ167" t="e">
        <f>AND(#REF!,"AAAAADUrz00=")</f>
        <v>#REF!</v>
      </c>
      <c r="CA167" t="e">
        <f>AND(#REF!,"AAAAADUrz04=")</f>
        <v>#REF!</v>
      </c>
      <c r="CB167" t="e">
        <f>IF(#REF!,"AAAAADUrz08=",0)</f>
        <v>#REF!</v>
      </c>
      <c r="CC167" t="e">
        <f>AND(#REF!,"AAAAADUrz1A=")</f>
        <v>#REF!</v>
      </c>
      <c r="CD167" t="e">
        <f>AND(#REF!,"AAAAADUrz1E=")</f>
        <v>#REF!</v>
      </c>
      <c r="CE167" t="e">
        <f>AND(#REF!,"AAAAADUrz1I=")</f>
        <v>#REF!</v>
      </c>
      <c r="CF167" t="e">
        <f>AND(#REF!,"AAAAADUrz1M=")</f>
        <v>#REF!</v>
      </c>
      <c r="CG167" t="e">
        <f>AND(#REF!,"AAAAADUrz1Q=")</f>
        <v>#REF!</v>
      </c>
      <c r="CH167" t="e">
        <f>AND(#REF!,"AAAAADUrz1U=")</f>
        <v>#REF!</v>
      </c>
      <c r="CI167" t="e">
        <f>AND(#REF!,"AAAAADUrz1Y=")</f>
        <v>#REF!</v>
      </c>
      <c r="CJ167" t="e">
        <f>AND(#REF!,"AAAAADUrz1c=")</f>
        <v>#REF!</v>
      </c>
      <c r="CK167" t="e">
        <f>AND(#REF!,"AAAAADUrz1g=")</f>
        <v>#REF!</v>
      </c>
      <c r="CL167" t="e">
        <f>AND(#REF!,"AAAAADUrz1k=")</f>
        <v>#REF!</v>
      </c>
      <c r="CM167" t="e">
        <f>IF(#REF!,"AAAAADUrz1o=",0)</f>
        <v>#REF!</v>
      </c>
      <c r="CN167" t="e">
        <f>AND(#REF!,"AAAAADUrz1s=")</f>
        <v>#REF!</v>
      </c>
      <c r="CO167" t="e">
        <f>AND(#REF!,"AAAAADUrz1w=")</f>
        <v>#REF!</v>
      </c>
      <c r="CP167" t="e">
        <f>AND(#REF!,"AAAAADUrz10=")</f>
        <v>#REF!</v>
      </c>
      <c r="CQ167" t="e">
        <f>AND(#REF!,"AAAAADUrz14=")</f>
        <v>#REF!</v>
      </c>
      <c r="CR167" t="e">
        <f>AND(#REF!,"AAAAADUrz18=")</f>
        <v>#REF!</v>
      </c>
      <c r="CS167" t="e">
        <f>AND(#REF!,"AAAAADUrz2A=")</f>
        <v>#REF!</v>
      </c>
      <c r="CT167" t="e">
        <f>AND(#REF!,"AAAAADUrz2E=")</f>
        <v>#REF!</v>
      </c>
      <c r="CU167" t="e">
        <f>AND(#REF!,"AAAAADUrz2I=")</f>
        <v>#REF!</v>
      </c>
      <c r="CV167" t="e">
        <f>AND(#REF!,"AAAAADUrz2M=")</f>
        <v>#REF!</v>
      </c>
      <c r="CW167" t="e">
        <f>AND(#REF!,"AAAAADUrz2Q=")</f>
        <v>#REF!</v>
      </c>
      <c r="CX167" t="e">
        <f>IF(#REF!,"AAAAADUrz2U=",0)</f>
        <v>#REF!</v>
      </c>
      <c r="CY167" t="e">
        <f>AND(#REF!,"AAAAADUrz2Y=")</f>
        <v>#REF!</v>
      </c>
      <c r="CZ167" t="e">
        <f>AND(#REF!,"AAAAADUrz2c=")</f>
        <v>#REF!</v>
      </c>
      <c r="DA167" t="e">
        <f>AND(#REF!,"AAAAADUrz2g=")</f>
        <v>#REF!</v>
      </c>
      <c r="DB167" t="e">
        <f>AND(#REF!,"AAAAADUrz2k=")</f>
        <v>#REF!</v>
      </c>
      <c r="DC167" t="e">
        <f>AND(#REF!,"AAAAADUrz2o=")</f>
        <v>#REF!</v>
      </c>
      <c r="DD167" t="e">
        <f>AND(#REF!,"AAAAADUrz2s=")</f>
        <v>#REF!</v>
      </c>
      <c r="DE167" t="e">
        <f>AND(#REF!,"AAAAADUrz2w=")</f>
        <v>#REF!</v>
      </c>
      <c r="DF167" t="e">
        <f>AND(#REF!,"AAAAADUrz20=")</f>
        <v>#REF!</v>
      </c>
      <c r="DG167" t="e">
        <f>AND(#REF!,"AAAAADUrz24=")</f>
        <v>#REF!</v>
      </c>
      <c r="DH167" t="e">
        <f>AND(#REF!,"AAAAADUrz28=")</f>
        <v>#REF!</v>
      </c>
      <c r="DI167" t="e">
        <f>IF(#REF!,"AAAAADUrz3A=",0)</f>
        <v>#REF!</v>
      </c>
      <c r="DJ167" t="e">
        <f>AND(#REF!,"AAAAADUrz3E=")</f>
        <v>#REF!</v>
      </c>
      <c r="DK167" t="e">
        <f>AND(#REF!,"AAAAADUrz3I=")</f>
        <v>#REF!</v>
      </c>
      <c r="DL167" t="e">
        <f>AND(#REF!,"AAAAADUrz3M=")</f>
        <v>#REF!</v>
      </c>
      <c r="DM167" t="e">
        <f>AND(#REF!,"AAAAADUrz3Q=")</f>
        <v>#REF!</v>
      </c>
      <c r="DN167" t="e">
        <f>AND(#REF!,"AAAAADUrz3U=")</f>
        <v>#REF!</v>
      </c>
      <c r="DO167" t="e">
        <f>AND(#REF!,"AAAAADUrz3Y=")</f>
        <v>#REF!</v>
      </c>
      <c r="DP167" t="e">
        <f>AND(#REF!,"AAAAADUrz3c=")</f>
        <v>#REF!</v>
      </c>
      <c r="DQ167" t="e">
        <f>AND(#REF!,"AAAAADUrz3g=")</f>
        <v>#REF!</v>
      </c>
      <c r="DR167" t="e">
        <f>AND(#REF!,"AAAAADUrz3k=")</f>
        <v>#REF!</v>
      </c>
      <c r="DS167" t="e">
        <f>AND(#REF!,"AAAAADUrz3o=")</f>
        <v>#REF!</v>
      </c>
      <c r="DT167" t="e">
        <f>IF(#REF!,"AAAAADUrz3s=",0)</f>
        <v>#REF!</v>
      </c>
      <c r="DU167" t="e">
        <f>AND(#REF!,"AAAAADUrz3w=")</f>
        <v>#REF!</v>
      </c>
      <c r="DV167" t="e">
        <f>AND(#REF!,"AAAAADUrz30=")</f>
        <v>#REF!</v>
      </c>
      <c r="DW167" t="e">
        <f>AND(#REF!,"AAAAADUrz34=")</f>
        <v>#REF!</v>
      </c>
      <c r="DX167" t="e">
        <f>AND(#REF!,"AAAAADUrz38=")</f>
        <v>#REF!</v>
      </c>
      <c r="DY167" t="e">
        <f>AND(#REF!,"AAAAADUrz4A=")</f>
        <v>#REF!</v>
      </c>
      <c r="DZ167" t="e">
        <f>AND(#REF!,"AAAAADUrz4E=")</f>
        <v>#REF!</v>
      </c>
      <c r="EA167" t="e">
        <f>AND(#REF!,"AAAAADUrz4I=")</f>
        <v>#REF!</v>
      </c>
      <c r="EB167" t="e">
        <f>AND(#REF!,"AAAAADUrz4M=")</f>
        <v>#REF!</v>
      </c>
      <c r="EC167" t="e">
        <f>AND(#REF!,"AAAAADUrz4Q=")</f>
        <v>#REF!</v>
      </c>
      <c r="ED167" t="e">
        <f>AND(#REF!,"AAAAADUrz4U=")</f>
        <v>#REF!</v>
      </c>
      <c r="EE167" t="e">
        <f>IF(#REF!,"AAAAADUrz4Y=",0)</f>
        <v>#REF!</v>
      </c>
      <c r="EF167" t="e">
        <f>AND(#REF!,"AAAAADUrz4c=")</f>
        <v>#REF!</v>
      </c>
      <c r="EG167" t="e">
        <f>AND(#REF!,"AAAAADUrz4g=")</f>
        <v>#REF!</v>
      </c>
      <c r="EH167" t="e">
        <f>AND(#REF!,"AAAAADUrz4k=")</f>
        <v>#REF!</v>
      </c>
      <c r="EI167" t="e">
        <f>AND(#REF!,"AAAAADUrz4o=")</f>
        <v>#REF!</v>
      </c>
      <c r="EJ167" t="e">
        <f>AND(#REF!,"AAAAADUrz4s=")</f>
        <v>#REF!</v>
      </c>
      <c r="EK167" t="e">
        <f>AND(#REF!,"AAAAADUrz4w=")</f>
        <v>#REF!</v>
      </c>
      <c r="EL167" t="e">
        <f>AND(#REF!,"AAAAADUrz40=")</f>
        <v>#REF!</v>
      </c>
      <c r="EM167" t="e">
        <f>AND(#REF!,"AAAAADUrz44=")</f>
        <v>#REF!</v>
      </c>
      <c r="EN167" t="e">
        <f>AND(#REF!,"AAAAADUrz48=")</f>
        <v>#REF!</v>
      </c>
      <c r="EO167" t="e">
        <f>AND(#REF!,"AAAAADUrz5A=")</f>
        <v>#REF!</v>
      </c>
      <c r="EP167" t="e">
        <f>IF(#REF!,"AAAAADUrz5E=",0)</f>
        <v>#REF!</v>
      </c>
      <c r="EQ167" t="e">
        <f>AND(#REF!,"AAAAADUrz5I=")</f>
        <v>#REF!</v>
      </c>
      <c r="ER167" t="e">
        <f>AND(#REF!,"AAAAADUrz5M=")</f>
        <v>#REF!</v>
      </c>
      <c r="ES167" t="e">
        <f>AND(#REF!,"AAAAADUrz5Q=")</f>
        <v>#REF!</v>
      </c>
      <c r="ET167" t="e">
        <f>AND(#REF!,"AAAAADUrz5U=")</f>
        <v>#REF!</v>
      </c>
      <c r="EU167" t="e">
        <f>AND(#REF!,"AAAAADUrz5Y=")</f>
        <v>#REF!</v>
      </c>
      <c r="EV167" t="e">
        <f>AND(#REF!,"AAAAADUrz5c=")</f>
        <v>#REF!</v>
      </c>
      <c r="EW167" t="e">
        <f>AND(#REF!,"AAAAADUrz5g=")</f>
        <v>#REF!</v>
      </c>
      <c r="EX167" t="e">
        <f>AND(#REF!,"AAAAADUrz5k=")</f>
        <v>#REF!</v>
      </c>
      <c r="EY167" t="e">
        <f>AND(#REF!,"AAAAADUrz5o=")</f>
        <v>#REF!</v>
      </c>
      <c r="EZ167" t="e">
        <f>AND(#REF!,"AAAAADUrz5s=")</f>
        <v>#REF!</v>
      </c>
      <c r="FA167" t="e">
        <f>IF(#REF!,"AAAAADUrz5w=",0)</f>
        <v>#REF!</v>
      </c>
      <c r="FB167" t="e">
        <f>AND(#REF!,"AAAAADUrz50=")</f>
        <v>#REF!</v>
      </c>
      <c r="FC167" t="e">
        <f>AND(#REF!,"AAAAADUrz54=")</f>
        <v>#REF!</v>
      </c>
      <c r="FD167" t="e">
        <f>AND(#REF!,"AAAAADUrz58=")</f>
        <v>#REF!</v>
      </c>
      <c r="FE167" t="e">
        <f>AND(#REF!,"AAAAADUrz6A=")</f>
        <v>#REF!</v>
      </c>
      <c r="FF167" t="e">
        <f>AND(#REF!,"AAAAADUrz6E=")</f>
        <v>#REF!</v>
      </c>
      <c r="FG167" t="e">
        <f>AND(#REF!,"AAAAADUrz6I=")</f>
        <v>#REF!</v>
      </c>
      <c r="FH167" t="e">
        <f>AND(#REF!,"AAAAADUrz6M=")</f>
        <v>#REF!</v>
      </c>
      <c r="FI167" t="e">
        <f>AND(#REF!,"AAAAADUrz6Q=")</f>
        <v>#REF!</v>
      </c>
      <c r="FJ167" t="e">
        <f>AND(#REF!,"AAAAADUrz6U=")</f>
        <v>#REF!</v>
      </c>
      <c r="FK167" t="e">
        <f>AND(#REF!,"AAAAADUrz6Y=")</f>
        <v>#REF!</v>
      </c>
      <c r="FL167" t="e">
        <f>IF(#REF!,"AAAAADUrz6c=",0)</f>
        <v>#REF!</v>
      </c>
      <c r="FM167" t="e">
        <f>AND(#REF!,"AAAAADUrz6g=")</f>
        <v>#REF!</v>
      </c>
      <c r="FN167" t="e">
        <f>AND(#REF!,"AAAAADUrz6k=")</f>
        <v>#REF!</v>
      </c>
      <c r="FO167" t="e">
        <f>AND(#REF!,"AAAAADUrz6o=")</f>
        <v>#REF!</v>
      </c>
      <c r="FP167" t="e">
        <f>AND(#REF!,"AAAAADUrz6s=")</f>
        <v>#REF!</v>
      </c>
      <c r="FQ167" t="e">
        <f>AND(#REF!,"AAAAADUrz6w=")</f>
        <v>#REF!</v>
      </c>
      <c r="FR167" t="e">
        <f>AND(#REF!,"AAAAADUrz60=")</f>
        <v>#REF!</v>
      </c>
      <c r="FS167" t="e">
        <f>AND(#REF!,"AAAAADUrz64=")</f>
        <v>#REF!</v>
      </c>
      <c r="FT167" t="e">
        <f>AND(#REF!,"AAAAADUrz68=")</f>
        <v>#REF!</v>
      </c>
      <c r="FU167" t="e">
        <f>AND(#REF!,"AAAAADUrz7A=")</f>
        <v>#REF!</v>
      </c>
      <c r="FV167" t="e">
        <f>AND(#REF!,"AAAAADUrz7E=")</f>
        <v>#REF!</v>
      </c>
      <c r="FW167" t="e">
        <f>IF(#REF!,"AAAAADUrz7I=",0)</f>
        <v>#REF!</v>
      </c>
      <c r="FX167" t="e">
        <f>AND(#REF!,"AAAAADUrz7M=")</f>
        <v>#REF!</v>
      </c>
      <c r="FY167" t="e">
        <f>AND(#REF!,"AAAAADUrz7Q=")</f>
        <v>#REF!</v>
      </c>
      <c r="FZ167" t="e">
        <f>AND(#REF!,"AAAAADUrz7U=")</f>
        <v>#REF!</v>
      </c>
      <c r="GA167" t="e">
        <f>AND(#REF!,"AAAAADUrz7Y=")</f>
        <v>#REF!</v>
      </c>
      <c r="GB167" t="e">
        <f>AND(#REF!,"AAAAADUrz7c=")</f>
        <v>#REF!</v>
      </c>
      <c r="GC167" t="e">
        <f>AND(#REF!,"AAAAADUrz7g=")</f>
        <v>#REF!</v>
      </c>
      <c r="GD167" t="e">
        <f>AND(#REF!,"AAAAADUrz7k=")</f>
        <v>#REF!</v>
      </c>
      <c r="GE167" t="e">
        <f>AND(#REF!,"AAAAADUrz7o=")</f>
        <v>#REF!</v>
      </c>
      <c r="GF167" t="e">
        <f>AND(#REF!,"AAAAADUrz7s=")</f>
        <v>#REF!</v>
      </c>
      <c r="GG167" t="e">
        <f>AND(#REF!,"AAAAADUrz7w=")</f>
        <v>#REF!</v>
      </c>
      <c r="GH167" t="e">
        <f>IF(#REF!,"AAAAADUrz70=",0)</f>
        <v>#REF!</v>
      </c>
      <c r="GI167" t="e">
        <f>AND(#REF!,"AAAAADUrz74=")</f>
        <v>#REF!</v>
      </c>
      <c r="GJ167" t="e">
        <f>AND(#REF!,"AAAAADUrz78=")</f>
        <v>#REF!</v>
      </c>
      <c r="GK167" t="e">
        <f>AND(#REF!,"AAAAADUrz8A=")</f>
        <v>#REF!</v>
      </c>
      <c r="GL167" t="e">
        <f>AND(#REF!,"AAAAADUrz8E=")</f>
        <v>#REF!</v>
      </c>
      <c r="GM167" t="e">
        <f>AND(#REF!,"AAAAADUrz8I=")</f>
        <v>#REF!</v>
      </c>
      <c r="GN167" t="e">
        <f>AND(#REF!,"AAAAADUrz8M=")</f>
        <v>#REF!</v>
      </c>
      <c r="GO167" t="e">
        <f>AND(#REF!,"AAAAADUrz8Q=")</f>
        <v>#REF!</v>
      </c>
      <c r="GP167" t="e">
        <f>AND(#REF!,"AAAAADUrz8U=")</f>
        <v>#REF!</v>
      </c>
      <c r="GQ167" t="e">
        <f>AND(#REF!,"AAAAADUrz8Y=")</f>
        <v>#REF!</v>
      </c>
      <c r="GR167" t="e">
        <f>AND(#REF!,"AAAAADUrz8c=")</f>
        <v>#REF!</v>
      </c>
      <c r="GS167" t="e">
        <f>IF(#REF!,"AAAAADUrz8g=",0)</f>
        <v>#REF!</v>
      </c>
      <c r="GT167" t="e">
        <f>AND(#REF!,"AAAAADUrz8k=")</f>
        <v>#REF!</v>
      </c>
      <c r="GU167" t="e">
        <f>AND(#REF!,"AAAAADUrz8o=")</f>
        <v>#REF!</v>
      </c>
      <c r="GV167" t="e">
        <f>AND(#REF!,"AAAAADUrz8s=")</f>
        <v>#REF!</v>
      </c>
      <c r="GW167" t="e">
        <f>AND(#REF!,"AAAAADUrz8w=")</f>
        <v>#REF!</v>
      </c>
      <c r="GX167" t="e">
        <f>AND(#REF!,"AAAAADUrz80=")</f>
        <v>#REF!</v>
      </c>
      <c r="GY167" t="e">
        <f>AND(#REF!,"AAAAADUrz84=")</f>
        <v>#REF!</v>
      </c>
      <c r="GZ167" t="e">
        <f>AND(#REF!,"AAAAADUrz88=")</f>
        <v>#REF!</v>
      </c>
      <c r="HA167" t="e">
        <f>AND(#REF!,"AAAAADUrz9A=")</f>
        <v>#REF!</v>
      </c>
      <c r="HB167" t="e">
        <f>AND(#REF!,"AAAAADUrz9E=")</f>
        <v>#REF!</v>
      </c>
      <c r="HC167" t="e">
        <f>AND(#REF!,"AAAAADUrz9I=")</f>
        <v>#REF!</v>
      </c>
      <c r="HD167" t="e">
        <f>IF(#REF!,"AAAAADUrz9M=",0)</f>
        <v>#REF!</v>
      </c>
      <c r="HE167" t="e">
        <f>AND(#REF!,"AAAAADUrz9Q=")</f>
        <v>#REF!</v>
      </c>
      <c r="HF167" t="e">
        <f>AND(#REF!,"AAAAADUrz9U=")</f>
        <v>#REF!</v>
      </c>
      <c r="HG167" t="e">
        <f>AND(#REF!,"AAAAADUrz9Y=")</f>
        <v>#REF!</v>
      </c>
      <c r="HH167" t="e">
        <f>AND(#REF!,"AAAAADUrz9c=")</f>
        <v>#REF!</v>
      </c>
      <c r="HI167" t="e">
        <f>AND(#REF!,"AAAAADUrz9g=")</f>
        <v>#REF!</v>
      </c>
      <c r="HJ167" t="e">
        <f>AND(#REF!,"AAAAADUrz9k=")</f>
        <v>#REF!</v>
      </c>
      <c r="HK167" t="e">
        <f>AND(#REF!,"AAAAADUrz9o=")</f>
        <v>#REF!</v>
      </c>
      <c r="HL167" t="e">
        <f>AND(#REF!,"AAAAADUrz9s=")</f>
        <v>#REF!</v>
      </c>
      <c r="HM167" t="e">
        <f>AND(#REF!,"AAAAADUrz9w=")</f>
        <v>#REF!</v>
      </c>
      <c r="HN167" t="e">
        <f>AND(#REF!,"AAAAADUrz90=")</f>
        <v>#REF!</v>
      </c>
      <c r="HO167" t="e">
        <f>IF(#REF!,"AAAAADUrz94=",0)</f>
        <v>#REF!</v>
      </c>
      <c r="HP167" t="e">
        <f>AND(#REF!,"AAAAADUrz98=")</f>
        <v>#REF!</v>
      </c>
      <c r="HQ167" t="e">
        <f>AND(#REF!,"AAAAADUrz+A=")</f>
        <v>#REF!</v>
      </c>
      <c r="HR167" t="e">
        <f>AND(#REF!,"AAAAADUrz+E=")</f>
        <v>#REF!</v>
      </c>
      <c r="HS167" t="e">
        <f>AND(#REF!,"AAAAADUrz+I=")</f>
        <v>#REF!</v>
      </c>
      <c r="HT167" t="e">
        <f>AND(#REF!,"AAAAADUrz+M=")</f>
        <v>#REF!</v>
      </c>
      <c r="HU167" t="e">
        <f>AND(#REF!,"AAAAADUrz+Q=")</f>
        <v>#REF!</v>
      </c>
      <c r="HV167" t="e">
        <f>AND(#REF!,"AAAAADUrz+U=")</f>
        <v>#REF!</v>
      </c>
      <c r="HW167" t="e">
        <f>AND(#REF!,"AAAAADUrz+Y=")</f>
        <v>#REF!</v>
      </c>
      <c r="HX167" t="e">
        <f>AND(#REF!,"AAAAADUrz+c=")</f>
        <v>#REF!</v>
      </c>
      <c r="HY167" t="e">
        <f>AND(#REF!,"AAAAADUrz+g=")</f>
        <v>#REF!</v>
      </c>
      <c r="HZ167" t="e">
        <f>IF(#REF!,"AAAAADUrz+k=",0)</f>
        <v>#REF!</v>
      </c>
      <c r="IA167" t="e">
        <f>AND(#REF!,"AAAAADUrz+o=")</f>
        <v>#REF!</v>
      </c>
      <c r="IB167" t="e">
        <f>AND(#REF!,"AAAAADUrz+s=")</f>
        <v>#REF!</v>
      </c>
      <c r="IC167" t="e">
        <f>AND(#REF!,"AAAAADUrz+w=")</f>
        <v>#REF!</v>
      </c>
      <c r="ID167" t="e">
        <f>AND(#REF!,"AAAAADUrz+0=")</f>
        <v>#REF!</v>
      </c>
      <c r="IE167" t="e">
        <f>AND(#REF!,"AAAAADUrz+4=")</f>
        <v>#REF!</v>
      </c>
      <c r="IF167" t="e">
        <f>AND(#REF!,"AAAAADUrz+8=")</f>
        <v>#REF!</v>
      </c>
      <c r="IG167" t="e">
        <f>AND(#REF!,"AAAAADUrz/A=")</f>
        <v>#REF!</v>
      </c>
      <c r="IH167" t="e">
        <f>AND(#REF!,"AAAAADUrz/E=")</f>
        <v>#REF!</v>
      </c>
      <c r="II167" t="e">
        <f>AND(#REF!,"AAAAADUrz/I=")</f>
        <v>#REF!</v>
      </c>
      <c r="IJ167" t="e">
        <f>AND(#REF!,"AAAAADUrz/M=")</f>
        <v>#REF!</v>
      </c>
      <c r="IK167" t="e">
        <f>IF(#REF!,"AAAAADUrz/Q=",0)</f>
        <v>#REF!</v>
      </c>
      <c r="IL167" t="e">
        <f>AND(#REF!,"AAAAADUrz/U=")</f>
        <v>#REF!</v>
      </c>
      <c r="IM167" t="e">
        <f>AND(#REF!,"AAAAADUrz/Y=")</f>
        <v>#REF!</v>
      </c>
      <c r="IN167" t="e">
        <f>AND(#REF!,"AAAAADUrz/c=")</f>
        <v>#REF!</v>
      </c>
      <c r="IO167" t="e">
        <f>AND(#REF!,"AAAAADUrz/g=")</f>
        <v>#REF!</v>
      </c>
      <c r="IP167" t="e">
        <f>AND(#REF!,"AAAAADUrz/k=")</f>
        <v>#REF!</v>
      </c>
      <c r="IQ167" t="e">
        <f>AND(#REF!,"AAAAADUrz/o=")</f>
        <v>#REF!</v>
      </c>
      <c r="IR167" t="e">
        <f>AND(#REF!,"AAAAADUrz/s=")</f>
        <v>#REF!</v>
      </c>
      <c r="IS167" t="e">
        <f>AND(#REF!,"AAAAADUrz/w=")</f>
        <v>#REF!</v>
      </c>
      <c r="IT167" t="e">
        <f>AND(#REF!,"AAAAADUrz/0=")</f>
        <v>#REF!</v>
      </c>
      <c r="IU167" t="e">
        <f>AND(#REF!,"AAAAADUrz/4=")</f>
        <v>#REF!</v>
      </c>
      <c r="IV167" t="e">
        <f>IF(#REF!,"AAAAADUrz/8=",0)</f>
        <v>#REF!</v>
      </c>
    </row>
    <row r="168" spans="1:256" x14ac:dyDescent="0.25">
      <c r="A168" t="e">
        <f>AND(#REF!,"AAAAAH++7AA=")</f>
        <v>#REF!</v>
      </c>
      <c r="B168" t="e">
        <f>AND(#REF!,"AAAAAH++7AE=")</f>
        <v>#REF!</v>
      </c>
      <c r="C168" t="e">
        <f>AND(#REF!,"AAAAAH++7AI=")</f>
        <v>#REF!</v>
      </c>
      <c r="D168" t="e">
        <f>AND(#REF!,"AAAAAH++7AM=")</f>
        <v>#REF!</v>
      </c>
      <c r="E168" t="e">
        <f>AND(#REF!,"AAAAAH++7AQ=")</f>
        <v>#REF!</v>
      </c>
      <c r="F168" t="e">
        <f>AND(#REF!,"AAAAAH++7AU=")</f>
        <v>#REF!</v>
      </c>
      <c r="G168" t="e">
        <f>AND(#REF!,"AAAAAH++7AY=")</f>
        <v>#REF!</v>
      </c>
      <c r="H168" t="e">
        <f>AND(#REF!,"AAAAAH++7Ac=")</f>
        <v>#REF!</v>
      </c>
      <c r="I168" t="e">
        <f>AND(#REF!,"AAAAAH++7Ag=")</f>
        <v>#REF!</v>
      </c>
      <c r="J168" t="e">
        <f>AND(#REF!,"AAAAAH++7Ak=")</f>
        <v>#REF!</v>
      </c>
      <c r="K168" t="e">
        <f>IF(#REF!,"AAAAAH++7Ao=",0)</f>
        <v>#REF!</v>
      </c>
      <c r="L168" t="e">
        <f>AND(#REF!,"AAAAAH++7As=")</f>
        <v>#REF!</v>
      </c>
      <c r="M168" t="e">
        <f>AND(#REF!,"AAAAAH++7Aw=")</f>
        <v>#REF!</v>
      </c>
      <c r="N168" t="e">
        <f>AND(#REF!,"AAAAAH++7A0=")</f>
        <v>#REF!</v>
      </c>
      <c r="O168" t="e">
        <f>AND(#REF!,"AAAAAH++7A4=")</f>
        <v>#REF!</v>
      </c>
      <c r="P168" t="e">
        <f>AND(#REF!,"AAAAAH++7A8=")</f>
        <v>#REF!</v>
      </c>
      <c r="Q168" t="e">
        <f>AND(#REF!,"AAAAAH++7BA=")</f>
        <v>#REF!</v>
      </c>
      <c r="R168" t="e">
        <f>AND(#REF!,"AAAAAH++7BE=")</f>
        <v>#REF!</v>
      </c>
      <c r="S168" t="e">
        <f>AND(#REF!,"AAAAAH++7BI=")</f>
        <v>#REF!</v>
      </c>
      <c r="T168" t="e">
        <f>AND(#REF!,"AAAAAH++7BM=")</f>
        <v>#REF!</v>
      </c>
      <c r="U168" t="e">
        <f>AND(#REF!,"AAAAAH++7BQ=")</f>
        <v>#REF!</v>
      </c>
      <c r="V168" t="e">
        <f>IF(#REF!,"AAAAAH++7BU=",0)</f>
        <v>#REF!</v>
      </c>
      <c r="W168" t="e">
        <f>AND(#REF!,"AAAAAH++7BY=")</f>
        <v>#REF!</v>
      </c>
      <c r="X168" t="e">
        <f>AND(#REF!,"AAAAAH++7Bc=")</f>
        <v>#REF!</v>
      </c>
      <c r="Y168" t="e">
        <f>AND(#REF!,"AAAAAH++7Bg=")</f>
        <v>#REF!</v>
      </c>
      <c r="Z168" t="e">
        <f>AND(#REF!,"AAAAAH++7Bk=")</f>
        <v>#REF!</v>
      </c>
      <c r="AA168" t="e">
        <f>AND(#REF!,"AAAAAH++7Bo=")</f>
        <v>#REF!</v>
      </c>
      <c r="AB168" t="e">
        <f>AND(#REF!,"AAAAAH++7Bs=")</f>
        <v>#REF!</v>
      </c>
      <c r="AC168" t="e">
        <f>AND(#REF!,"AAAAAH++7Bw=")</f>
        <v>#REF!</v>
      </c>
      <c r="AD168" t="e">
        <f>AND(#REF!,"AAAAAH++7B0=")</f>
        <v>#REF!</v>
      </c>
      <c r="AE168" t="e">
        <f>AND(#REF!,"AAAAAH++7B4=")</f>
        <v>#REF!</v>
      </c>
      <c r="AF168" t="e">
        <f>AND(#REF!,"AAAAAH++7B8=")</f>
        <v>#REF!</v>
      </c>
      <c r="AG168" t="e">
        <f>IF(#REF!,"AAAAAH++7CA=",0)</f>
        <v>#REF!</v>
      </c>
      <c r="AH168" t="e">
        <f>AND(#REF!,"AAAAAH++7CE=")</f>
        <v>#REF!</v>
      </c>
      <c r="AI168" t="e">
        <f>AND(#REF!,"AAAAAH++7CI=")</f>
        <v>#REF!</v>
      </c>
      <c r="AJ168" t="e">
        <f>AND(#REF!,"AAAAAH++7CM=")</f>
        <v>#REF!</v>
      </c>
      <c r="AK168" t="e">
        <f>AND(#REF!,"AAAAAH++7CQ=")</f>
        <v>#REF!</v>
      </c>
      <c r="AL168" t="e">
        <f>AND(#REF!,"AAAAAH++7CU=")</f>
        <v>#REF!</v>
      </c>
      <c r="AM168" t="e">
        <f>AND(#REF!,"AAAAAH++7CY=")</f>
        <v>#REF!</v>
      </c>
      <c r="AN168" t="e">
        <f>AND(#REF!,"AAAAAH++7Cc=")</f>
        <v>#REF!</v>
      </c>
      <c r="AO168" t="e">
        <f>AND(#REF!,"AAAAAH++7Cg=")</f>
        <v>#REF!</v>
      </c>
      <c r="AP168" t="e">
        <f>AND(#REF!,"AAAAAH++7Ck=")</f>
        <v>#REF!</v>
      </c>
      <c r="AQ168" t="e">
        <f>AND(#REF!,"AAAAAH++7Co=")</f>
        <v>#REF!</v>
      </c>
      <c r="AR168" t="e">
        <f>IF(#REF!,"AAAAAH++7Cs=",0)</f>
        <v>#REF!</v>
      </c>
      <c r="AS168" t="e">
        <f>AND(#REF!,"AAAAAH++7Cw=")</f>
        <v>#REF!</v>
      </c>
      <c r="AT168" t="e">
        <f>AND(#REF!,"AAAAAH++7C0=")</f>
        <v>#REF!</v>
      </c>
      <c r="AU168" t="e">
        <f>AND(#REF!,"AAAAAH++7C4=")</f>
        <v>#REF!</v>
      </c>
      <c r="AV168" t="e">
        <f>AND(#REF!,"AAAAAH++7C8=")</f>
        <v>#REF!</v>
      </c>
      <c r="AW168" t="e">
        <f>AND(#REF!,"AAAAAH++7DA=")</f>
        <v>#REF!</v>
      </c>
      <c r="AX168" t="e">
        <f>AND(#REF!,"AAAAAH++7DE=")</f>
        <v>#REF!</v>
      </c>
      <c r="AY168" t="e">
        <f>AND(#REF!,"AAAAAH++7DI=")</f>
        <v>#REF!</v>
      </c>
      <c r="AZ168" t="e">
        <f>AND(#REF!,"AAAAAH++7DM=")</f>
        <v>#REF!</v>
      </c>
      <c r="BA168" t="e">
        <f>AND(#REF!,"AAAAAH++7DQ=")</f>
        <v>#REF!</v>
      </c>
      <c r="BB168" t="e">
        <f>AND(#REF!,"AAAAAH++7DU=")</f>
        <v>#REF!</v>
      </c>
      <c r="BC168" t="e">
        <f>IF(#REF!,"AAAAAH++7DY=",0)</f>
        <v>#REF!</v>
      </c>
      <c r="BD168" t="e">
        <f>AND(#REF!,"AAAAAH++7Dc=")</f>
        <v>#REF!</v>
      </c>
      <c r="BE168" t="e">
        <f>AND(#REF!,"AAAAAH++7Dg=")</f>
        <v>#REF!</v>
      </c>
      <c r="BF168" t="e">
        <f>AND(#REF!,"AAAAAH++7Dk=")</f>
        <v>#REF!</v>
      </c>
      <c r="BG168" t="e">
        <f>AND(#REF!,"AAAAAH++7Do=")</f>
        <v>#REF!</v>
      </c>
      <c r="BH168" t="e">
        <f>AND(#REF!,"AAAAAH++7Ds=")</f>
        <v>#REF!</v>
      </c>
      <c r="BI168" t="e">
        <f>AND(#REF!,"AAAAAH++7Dw=")</f>
        <v>#REF!</v>
      </c>
      <c r="BJ168" t="e">
        <f>AND(#REF!,"AAAAAH++7D0=")</f>
        <v>#REF!</v>
      </c>
      <c r="BK168" t="e">
        <f>AND(#REF!,"AAAAAH++7D4=")</f>
        <v>#REF!</v>
      </c>
      <c r="BL168" t="e">
        <f>AND(#REF!,"AAAAAH++7D8=")</f>
        <v>#REF!</v>
      </c>
      <c r="BM168" t="e">
        <f>AND(#REF!,"AAAAAH++7EA=")</f>
        <v>#REF!</v>
      </c>
      <c r="BN168" t="e">
        <f>IF(#REF!,"AAAAAH++7EE=",0)</f>
        <v>#REF!</v>
      </c>
      <c r="BO168" t="e">
        <f>AND(#REF!,"AAAAAH++7EI=")</f>
        <v>#REF!</v>
      </c>
      <c r="BP168" t="e">
        <f>AND(#REF!,"AAAAAH++7EM=")</f>
        <v>#REF!</v>
      </c>
      <c r="BQ168" t="e">
        <f>AND(#REF!,"AAAAAH++7EQ=")</f>
        <v>#REF!</v>
      </c>
      <c r="BR168" t="e">
        <f>AND(#REF!,"AAAAAH++7EU=")</f>
        <v>#REF!</v>
      </c>
      <c r="BS168" t="e">
        <f>AND(#REF!,"AAAAAH++7EY=")</f>
        <v>#REF!</v>
      </c>
      <c r="BT168" t="e">
        <f>AND(#REF!,"AAAAAH++7Ec=")</f>
        <v>#REF!</v>
      </c>
      <c r="BU168" t="e">
        <f>AND(#REF!,"AAAAAH++7Eg=")</f>
        <v>#REF!</v>
      </c>
      <c r="BV168" t="e">
        <f>AND(#REF!,"AAAAAH++7Ek=")</f>
        <v>#REF!</v>
      </c>
      <c r="BW168" t="e">
        <f>AND(#REF!,"AAAAAH++7Eo=")</f>
        <v>#REF!</v>
      </c>
      <c r="BX168" t="e">
        <f>AND(#REF!,"AAAAAH++7Es=")</f>
        <v>#REF!</v>
      </c>
      <c r="BY168" t="e">
        <f>IF(#REF!,"AAAAAH++7Ew=",0)</f>
        <v>#REF!</v>
      </c>
      <c r="BZ168" t="e">
        <f>AND(#REF!,"AAAAAH++7E0=")</f>
        <v>#REF!</v>
      </c>
      <c r="CA168" t="e">
        <f>AND(#REF!,"AAAAAH++7E4=")</f>
        <v>#REF!</v>
      </c>
      <c r="CB168" t="e">
        <f>AND(#REF!,"AAAAAH++7E8=")</f>
        <v>#REF!</v>
      </c>
      <c r="CC168" t="e">
        <f>AND(#REF!,"AAAAAH++7FA=")</f>
        <v>#REF!</v>
      </c>
      <c r="CD168" t="e">
        <f>AND(#REF!,"AAAAAH++7FE=")</f>
        <v>#REF!</v>
      </c>
      <c r="CE168" t="e">
        <f>AND(#REF!,"AAAAAH++7FI=")</f>
        <v>#REF!</v>
      </c>
      <c r="CF168" t="e">
        <f>AND(#REF!,"AAAAAH++7FM=")</f>
        <v>#REF!</v>
      </c>
      <c r="CG168" t="e">
        <f>AND(#REF!,"AAAAAH++7FQ=")</f>
        <v>#REF!</v>
      </c>
      <c r="CH168" t="e">
        <f>AND(#REF!,"AAAAAH++7FU=")</f>
        <v>#REF!</v>
      </c>
      <c r="CI168" t="e">
        <f>AND(#REF!,"AAAAAH++7FY=")</f>
        <v>#REF!</v>
      </c>
      <c r="CJ168" t="e">
        <f>IF(#REF!,"AAAAAH++7Fc=",0)</f>
        <v>#REF!</v>
      </c>
      <c r="CK168" t="e">
        <f>AND(#REF!,"AAAAAH++7Fg=")</f>
        <v>#REF!</v>
      </c>
      <c r="CL168" t="e">
        <f>AND(#REF!,"AAAAAH++7Fk=")</f>
        <v>#REF!</v>
      </c>
      <c r="CM168" t="e">
        <f>AND(#REF!,"AAAAAH++7Fo=")</f>
        <v>#REF!</v>
      </c>
      <c r="CN168" t="e">
        <f>AND(#REF!,"AAAAAH++7Fs=")</f>
        <v>#REF!</v>
      </c>
      <c r="CO168" t="e">
        <f>AND(#REF!,"AAAAAH++7Fw=")</f>
        <v>#REF!</v>
      </c>
      <c r="CP168" t="e">
        <f>AND(#REF!,"AAAAAH++7F0=")</f>
        <v>#REF!</v>
      </c>
      <c r="CQ168" t="e">
        <f>AND(#REF!,"AAAAAH++7F4=")</f>
        <v>#REF!</v>
      </c>
      <c r="CR168" t="e">
        <f>AND(#REF!,"AAAAAH++7F8=")</f>
        <v>#REF!</v>
      </c>
      <c r="CS168" t="e">
        <f>AND(#REF!,"AAAAAH++7GA=")</f>
        <v>#REF!</v>
      </c>
      <c r="CT168" t="e">
        <f>AND(#REF!,"AAAAAH++7GE=")</f>
        <v>#REF!</v>
      </c>
      <c r="CU168" t="e">
        <f>IF(#REF!,"AAAAAH++7GI=",0)</f>
        <v>#REF!</v>
      </c>
      <c r="CV168" t="e">
        <f>AND(#REF!,"AAAAAH++7GM=")</f>
        <v>#REF!</v>
      </c>
      <c r="CW168" t="e">
        <f>AND(#REF!,"AAAAAH++7GQ=")</f>
        <v>#REF!</v>
      </c>
      <c r="CX168" t="e">
        <f>AND(#REF!,"AAAAAH++7GU=")</f>
        <v>#REF!</v>
      </c>
      <c r="CY168" t="e">
        <f>AND(#REF!,"AAAAAH++7GY=")</f>
        <v>#REF!</v>
      </c>
      <c r="CZ168" t="e">
        <f>AND(#REF!,"AAAAAH++7Gc=")</f>
        <v>#REF!</v>
      </c>
      <c r="DA168" t="e">
        <f>AND(#REF!,"AAAAAH++7Gg=")</f>
        <v>#REF!</v>
      </c>
      <c r="DB168" t="e">
        <f>AND(#REF!,"AAAAAH++7Gk=")</f>
        <v>#REF!</v>
      </c>
      <c r="DC168" t="e">
        <f>AND(#REF!,"AAAAAH++7Go=")</f>
        <v>#REF!</v>
      </c>
      <c r="DD168" t="e">
        <f>AND(#REF!,"AAAAAH++7Gs=")</f>
        <v>#REF!</v>
      </c>
      <c r="DE168" t="e">
        <f>AND(#REF!,"AAAAAH++7Gw=")</f>
        <v>#REF!</v>
      </c>
      <c r="DF168" t="e">
        <f>IF(#REF!,"AAAAAH++7G0=",0)</f>
        <v>#REF!</v>
      </c>
      <c r="DG168" t="e">
        <f>AND(#REF!,"AAAAAH++7G4=")</f>
        <v>#REF!</v>
      </c>
      <c r="DH168" t="e">
        <f>AND(#REF!,"AAAAAH++7G8=")</f>
        <v>#REF!</v>
      </c>
      <c r="DI168" t="e">
        <f>AND(#REF!,"AAAAAH++7HA=")</f>
        <v>#REF!</v>
      </c>
      <c r="DJ168" t="e">
        <f>AND(#REF!,"AAAAAH++7HE=")</f>
        <v>#REF!</v>
      </c>
      <c r="DK168" t="e">
        <f>AND(#REF!,"AAAAAH++7HI=")</f>
        <v>#REF!</v>
      </c>
      <c r="DL168" t="e">
        <f>AND(#REF!,"AAAAAH++7HM=")</f>
        <v>#REF!</v>
      </c>
      <c r="DM168" t="e">
        <f>AND(#REF!,"AAAAAH++7HQ=")</f>
        <v>#REF!</v>
      </c>
      <c r="DN168" t="e">
        <f>AND(#REF!,"AAAAAH++7HU=")</f>
        <v>#REF!</v>
      </c>
      <c r="DO168" t="e">
        <f>AND(#REF!,"AAAAAH++7HY=")</f>
        <v>#REF!</v>
      </c>
      <c r="DP168" t="e">
        <f>AND(#REF!,"AAAAAH++7Hc=")</f>
        <v>#REF!</v>
      </c>
      <c r="DQ168" t="e">
        <f>IF(#REF!,"AAAAAH++7Hg=",0)</f>
        <v>#REF!</v>
      </c>
      <c r="DR168" t="e">
        <f>AND(#REF!,"AAAAAH++7Hk=")</f>
        <v>#REF!</v>
      </c>
      <c r="DS168" t="e">
        <f>AND(#REF!,"AAAAAH++7Ho=")</f>
        <v>#REF!</v>
      </c>
      <c r="DT168" t="e">
        <f>AND(#REF!,"AAAAAH++7Hs=")</f>
        <v>#REF!</v>
      </c>
      <c r="DU168" t="e">
        <f>AND(#REF!,"AAAAAH++7Hw=")</f>
        <v>#REF!</v>
      </c>
      <c r="DV168" t="e">
        <f>AND(#REF!,"AAAAAH++7H0=")</f>
        <v>#REF!</v>
      </c>
      <c r="DW168" t="e">
        <f>AND(#REF!,"AAAAAH++7H4=")</f>
        <v>#REF!</v>
      </c>
      <c r="DX168" t="e">
        <f>AND(#REF!,"AAAAAH++7H8=")</f>
        <v>#REF!</v>
      </c>
      <c r="DY168" t="e">
        <f>AND(#REF!,"AAAAAH++7IA=")</f>
        <v>#REF!</v>
      </c>
      <c r="DZ168" t="e">
        <f>AND(#REF!,"AAAAAH++7IE=")</f>
        <v>#REF!</v>
      </c>
      <c r="EA168" t="e">
        <f>AND(#REF!,"AAAAAH++7II=")</f>
        <v>#REF!</v>
      </c>
      <c r="EB168" t="e">
        <f>IF(#REF!,"AAAAAH++7IM=",0)</f>
        <v>#REF!</v>
      </c>
      <c r="EC168" t="e">
        <f>AND(#REF!,"AAAAAH++7IQ=")</f>
        <v>#REF!</v>
      </c>
      <c r="ED168" t="e">
        <f>AND(#REF!,"AAAAAH++7IU=")</f>
        <v>#REF!</v>
      </c>
      <c r="EE168" t="e">
        <f>AND(#REF!,"AAAAAH++7IY=")</f>
        <v>#REF!</v>
      </c>
      <c r="EF168" t="e">
        <f>AND(#REF!,"AAAAAH++7Ic=")</f>
        <v>#REF!</v>
      </c>
      <c r="EG168" t="e">
        <f>AND(#REF!,"AAAAAH++7Ig=")</f>
        <v>#REF!</v>
      </c>
      <c r="EH168" t="e">
        <f>AND(#REF!,"AAAAAH++7Ik=")</f>
        <v>#REF!</v>
      </c>
      <c r="EI168" t="e">
        <f>AND(#REF!,"AAAAAH++7Io=")</f>
        <v>#REF!</v>
      </c>
      <c r="EJ168" t="e">
        <f>AND(#REF!,"AAAAAH++7Is=")</f>
        <v>#REF!</v>
      </c>
      <c r="EK168" t="e">
        <f>AND(#REF!,"AAAAAH++7Iw=")</f>
        <v>#REF!</v>
      </c>
      <c r="EL168" t="e">
        <f>AND(#REF!,"AAAAAH++7I0=")</f>
        <v>#REF!</v>
      </c>
      <c r="EM168" t="e">
        <f>IF(#REF!,"AAAAAH++7I4=",0)</f>
        <v>#REF!</v>
      </c>
      <c r="EN168" t="e">
        <f>AND(#REF!,"AAAAAH++7I8=")</f>
        <v>#REF!</v>
      </c>
      <c r="EO168" t="e">
        <f>AND(#REF!,"AAAAAH++7JA=")</f>
        <v>#REF!</v>
      </c>
      <c r="EP168" t="e">
        <f>AND(#REF!,"AAAAAH++7JE=")</f>
        <v>#REF!</v>
      </c>
      <c r="EQ168" t="e">
        <f>AND(#REF!,"AAAAAH++7JI=")</f>
        <v>#REF!</v>
      </c>
      <c r="ER168" t="e">
        <f>AND(#REF!,"AAAAAH++7JM=")</f>
        <v>#REF!</v>
      </c>
      <c r="ES168" t="e">
        <f>AND(#REF!,"AAAAAH++7JQ=")</f>
        <v>#REF!</v>
      </c>
      <c r="ET168" t="e">
        <f>AND(#REF!,"AAAAAH++7JU=")</f>
        <v>#REF!</v>
      </c>
      <c r="EU168" t="e">
        <f>AND(#REF!,"AAAAAH++7JY=")</f>
        <v>#REF!</v>
      </c>
      <c r="EV168" t="e">
        <f>AND(#REF!,"AAAAAH++7Jc=")</f>
        <v>#REF!</v>
      </c>
      <c r="EW168" t="e">
        <f>AND(#REF!,"AAAAAH++7Jg=")</f>
        <v>#REF!</v>
      </c>
      <c r="EX168" t="e">
        <f>IF(#REF!,"AAAAAH++7Jk=",0)</f>
        <v>#REF!</v>
      </c>
      <c r="EY168" t="e">
        <f>AND(#REF!,"AAAAAH++7Jo=")</f>
        <v>#REF!</v>
      </c>
      <c r="EZ168" t="e">
        <f>AND(#REF!,"AAAAAH++7Js=")</f>
        <v>#REF!</v>
      </c>
      <c r="FA168" t="e">
        <f>AND(#REF!,"AAAAAH++7Jw=")</f>
        <v>#REF!</v>
      </c>
      <c r="FB168" t="e">
        <f>AND(#REF!,"AAAAAH++7J0=")</f>
        <v>#REF!</v>
      </c>
      <c r="FC168" t="e">
        <f>AND(#REF!,"AAAAAH++7J4=")</f>
        <v>#REF!</v>
      </c>
      <c r="FD168" t="e">
        <f>AND(#REF!,"AAAAAH++7J8=")</f>
        <v>#REF!</v>
      </c>
      <c r="FE168" t="e">
        <f>AND(#REF!,"AAAAAH++7KA=")</f>
        <v>#REF!</v>
      </c>
      <c r="FF168" t="e">
        <f>AND(#REF!,"AAAAAH++7KE=")</f>
        <v>#REF!</v>
      </c>
      <c r="FG168" t="e">
        <f>AND(#REF!,"AAAAAH++7KI=")</f>
        <v>#REF!</v>
      </c>
      <c r="FH168" t="e">
        <f>AND(#REF!,"AAAAAH++7KM=")</f>
        <v>#REF!</v>
      </c>
      <c r="FI168" t="e">
        <f>IF(#REF!,"AAAAAH++7KQ=",0)</f>
        <v>#REF!</v>
      </c>
      <c r="FJ168" t="e">
        <f>AND(#REF!,"AAAAAH++7KU=")</f>
        <v>#REF!</v>
      </c>
      <c r="FK168" t="e">
        <f>AND(#REF!,"AAAAAH++7KY=")</f>
        <v>#REF!</v>
      </c>
      <c r="FL168" t="e">
        <f>AND(#REF!,"AAAAAH++7Kc=")</f>
        <v>#REF!</v>
      </c>
      <c r="FM168" t="e">
        <f>AND(#REF!,"AAAAAH++7Kg=")</f>
        <v>#REF!</v>
      </c>
      <c r="FN168" t="e">
        <f>AND(#REF!,"AAAAAH++7Kk=")</f>
        <v>#REF!</v>
      </c>
      <c r="FO168" t="e">
        <f>AND(#REF!,"AAAAAH++7Ko=")</f>
        <v>#REF!</v>
      </c>
      <c r="FP168" t="e">
        <f>AND(#REF!,"AAAAAH++7Ks=")</f>
        <v>#REF!</v>
      </c>
      <c r="FQ168" t="e">
        <f>AND(#REF!,"AAAAAH++7Kw=")</f>
        <v>#REF!</v>
      </c>
      <c r="FR168" t="e">
        <f>AND(#REF!,"AAAAAH++7K0=")</f>
        <v>#REF!</v>
      </c>
      <c r="FS168" t="e">
        <f>AND(#REF!,"AAAAAH++7K4=")</f>
        <v>#REF!</v>
      </c>
      <c r="FT168" t="e">
        <f>IF(#REF!,"AAAAAH++7K8=",0)</f>
        <v>#REF!</v>
      </c>
      <c r="FU168" t="e">
        <f>AND(#REF!,"AAAAAH++7LA=")</f>
        <v>#REF!</v>
      </c>
      <c r="FV168" t="e">
        <f>AND(#REF!,"AAAAAH++7LE=")</f>
        <v>#REF!</v>
      </c>
      <c r="FW168" t="e">
        <f>AND(#REF!,"AAAAAH++7LI=")</f>
        <v>#REF!</v>
      </c>
      <c r="FX168" t="e">
        <f>AND(#REF!,"AAAAAH++7LM=")</f>
        <v>#REF!</v>
      </c>
      <c r="FY168" t="e">
        <f>AND(#REF!,"AAAAAH++7LQ=")</f>
        <v>#REF!</v>
      </c>
      <c r="FZ168" t="e">
        <f>AND(#REF!,"AAAAAH++7LU=")</f>
        <v>#REF!</v>
      </c>
      <c r="GA168" t="e">
        <f>AND(#REF!,"AAAAAH++7LY=")</f>
        <v>#REF!</v>
      </c>
      <c r="GB168" t="e">
        <f>AND(#REF!,"AAAAAH++7Lc=")</f>
        <v>#REF!</v>
      </c>
      <c r="GC168" t="e">
        <f>AND(#REF!,"AAAAAH++7Lg=")</f>
        <v>#REF!</v>
      </c>
      <c r="GD168" t="e">
        <f>AND(#REF!,"AAAAAH++7Lk=")</f>
        <v>#REF!</v>
      </c>
      <c r="GE168" t="e">
        <f>IF(#REF!,"AAAAAH++7Lo=",0)</f>
        <v>#REF!</v>
      </c>
      <c r="GF168" t="e">
        <f>AND(#REF!,"AAAAAH++7Ls=")</f>
        <v>#REF!</v>
      </c>
      <c r="GG168" t="e">
        <f>AND(#REF!,"AAAAAH++7Lw=")</f>
        <v>#REF!</v>
      </c>
      <c r="GH168" t="e">
        <f>AND(#REF!,"AAAAAH++7L0=")</f>
        <v>#REF!</v>
      </c>
      <c r="GI168" t="e">
        <f>AND(#REF!,"AAAAAH++7L4=")</f>
        <v>#REF!</v>
      </c>
      <c r="GJ168" t="e">
        <f>AND(#REF!,"AAAAAH++7L8=")</f>
        <v>#REF!</v>
      </c>
      <c r="GK168" t="e">
        <f>AND(#REF!,"AAAAAH++7MA=")</f>
        <v>#REF!</v>
      </c>
      <c r="GL168" t="e">
        <f>AND(#REF!,"AAAAAH++7ME=")</f>
        <v>#REF!</v>
      </c>
      <c r="GM168" t="e">
        <f>AND(#REF!,"AAAAAH++7MI=")</f>
        <v>#REF!</v>
      </c>
      <c r="GN168" t="e">
        <f>AND(#REF!,"AAAAAH++7MM=")</f>
        <v>#REF!</v>
      </c>
      <c r="GO168" t="e">
        <f>AND(#REF!,"AAAAAH++7MQ=")</f>
        <v>#REF!</v>
      </c>
      <c r="GP168" t="e">
        <f>IF(#REF!,"AAAAAH++7MU=",0)</f>
        <v>#REF!</v>
      </c>
      <c r="GQ168" t="e">
        <f>AND(#REF!,"AAAAAH++7MY=")</f>
        <v>#REF!</v>
      </c>
      <c r="GR168" t="e">
        <f>AND(#REF!,"AAAAAH++7Mc=")</f>
        <v>#REF!</v>
      </c>
      <c r="GS168" t="e">
        <f>AND(#REF!,"AAAAAH++7Mg=")</f>
        <v>#REF!</v>
      </c>
      <c r="GT168" t="e">
        <f>AND(#REF!,"AAAAAH++7Mk=")</f>
        <v>#REF!</v>
      </c>
      <c r="GU168" t="e">
        <f>AND(#REF!,"AAAAAH++7Mo=")</f>
        <v>#REF!</v>
      </c>
      <c r="GV168" t="e">
        <f>AND(#REF!,"AAAAAH++7Ms=")</f>
        <v>#REF!</v>
      </c>
      <c r="GW168" t="e">
        <f>AND(#REF!,"AAAAAH++7Mw=")</f>
        <v>#REF!</v>
      </c>
      <c r="GX168" t="e">
        <f>AND(#REF!,"AAAAAH++7M0=")</f>
        <v>#REF!</v>
      </c>
      <c r="GY168" t="e">
        <f>AND(#REF!,"AAAAAH++7M4=")</f>
        <v>#REF!</v>
      </c>
      <c r="GZ168" t="e">
        <f>AND(#REF!,"AAAAAH++7M8=")</f>
        <v>#REF!</v>
      </c>
      <c r="HA168" t="e">
        <f>IF(#REF!,"AAAAAH++7NA=",0)</f>
        <v>#REF!</v>
      </c>
      <c r="HB168" t="e">
        <f>AND(#REF!,"AAAAAH++7NE=")</f>
        <v>#REF!</v>
      </c>
      <c r="HC168" t="e">
        <f>AND(#REF!,"AAAAAH++7NI=")</f>
        <v>#REF!</v>
      </c>
      <c r="HD168" t="e">
        <f>AND(#REF!,"AAAAAH++7NM=")</f>
        <v>#REF!</v>
      </c>
      <c r="HE168" t="e">
        <f>AND(#REF!,"AAAAAH++7NQ=")</f>
        <v>#REF!</v>
      </c>
      <c r="HF168" t="e">
        <f>AND(#REF!,"AAAAAH++7NU=")</f>
        <v>#REF!</v>
      </c>
      <c r="HG168" t="e">
        <f>AND(#REF!,"AAAAAH++7NY=")</f>
        <v>#REF!</v>
      </c>
      <c r="HH168" t="e">
        <f>AND(#REF!,"AAAAAH++7Nc=")</f>
        <v>#REF!</v>
      </c>
      <c r="HI168" t="e">
        <f>AND(#REF!,"AAAAAH++7Ng=")</f>
        <v>#REF!</v>
      </c>
      <c r="HJ168" t="e">
        <f>AND(#REF!,"AAAAAH++7Nk=")</f>
        <v>#REF!</v>
      </c>
      <c r="HK168" t="e">
        <f>AND(#REF!,"AAAAAH++7No=")</f>
        <v>#REF!</v>
      </c>
      <c r="HL168" t="e">
        <f>IF(#REF!,"AAAAAH++7Ns=",0)</f>
        <v>#REF!</v>
      </c>
      <c r="HM168" t="e">
        <f>AND(#REF!,"AAAAAH++7Nw=")</f>
        <v>#REF!</v>
      </c>
      <c r="HN168" t="e">
        <f>AND(#REF!,"AAAAAH++7N0=")</f>
        <v>#REF!</v>
      </c>
      <c r="HO168" t="e">
        <f>AND(#REF!,"AAAAAH++7N4=")</f>
        <v>#REF!</v>
      </c>
      <c r="HP168" t="e">
        <f>AND(#REF!,"AAAAAH++7N8=")</f>
        <v>#REF!</v>
      </c>
      <c r="HQ168" t="e">
        <f>AND(#REF!,"AAAAAH++7OA=")</f>
        <v>#REF!</v>
      </c>
      <c r="HR168" t="e">
        <f>AND(#REF!,"AAAAAH++7OE=")</f>
        <v>#REF!</v>
      </c>
      <c r="HS168" t="e">
        <f>AND(#REF!,"AAAAAH++7OI=")</f>
        <v>#REF!</v>
      </c>
      <c r="HT168" t="e">
        <f>AND(#REF!,"AAAAAH++7OM=")</f>
        <v>#REF!</v>
      </c>
      <c r="HU168" t="e">
        <f>AND(#REF!,"AAAAAH++7OQ=")</f>
        <v>#REF!</v>
      </c>
      <c r="HV168" t="e">
        <f>AND(#REF!,"AAAAAH++7OU=")</f>
        <v>#REF!</v>
      </c>
      <c r="HW168" t="e">
        <f>IF(#REF!,"AAAAAH++7OY=",0)</f>
        <v>#REF!</v>
      </c>
      <c r="HX168" t="e">
        <f>AND(#REF!,"AAAAAH++7Oc=")</f>
        <v>#REF!</v>
      </c>
      <c r="HY168" t="e">
        <f>AND(#REF!,"AAAAAH++7Og=")</f>
        <v>#REF!</v>
      </c>
      <c r="HZ168" t="e">
        <f>AND(#REF!,"AAAAAH++7Ok=")</f>
        <v>#REF!</v>
      </c>
      <c r="IA168" t="e">
        <f>AND(#REF!,"AAAAAH++7Oo=")</f>
        <v>#REF!</v>
      </c>
      <c r="IB168" t="e">
        <f>AND(#REF!,"AAAAAH++7Os=")</f>
        <v>#REF!</v>
      </c>
      <c r="IC168" t="e">
        <f>AND(#REF!,"AAAAAH++7Ow=")</f>
        <v>#REF!</v>
      </c>
      <c r="ID168" t="e">
        <f>AND(#REF!,"AAAAAH++7O0=")</f>
        <v>#REF!</v>
      </c>
      <c r="IE168" t="e">
        <f>AND(#REF!,"AAAAAH++7O4=")</f>
        <v>#REF!</v>
      </c>
      <c r="IF168" t="e">
        <f>AND(#REF!,"AAAAAH++7O8=")</f>
        <v>#REF!</v>
      </c>
      <c r="IG168" t="e">
        <f>AND(#REF!,"AAAAAH++7PA=")</f>
        <v>#REF!</v>
      </c>
      <c r="IH168" t="e">
        <f>IF(#REF!,"AAAAAH++7PE=",0)</f>
        <v>#REF!</v>
      </c>
      <c r="II168" t="e">
        <f>AND(#REF!,"AAAAAH++7PI=")</f>
        <v>#REF!</v>
      </c>
      <c r="IJ168" t="e">
        <f>AND(#REF!,"AAAAAH++7PM=")</f>
        <v>#REF!</v>
      </c>
      <c r="IK168" t="e">
        <f>AND(#REF!,"AAAAAH++7PQ=")</f>
        <v>#REF!</v>
      </c>
      <c r="IL168" t="e">
        <f>AND(#REF!,"AAAAAH++7PU=")</f>
        <v>#REF!</v>
      </c>
      <c r="IM168" t="e">
        <f>AND(#REF!,"AAAAAH++7PY=")</f>
        <v>#REF!</v>
      </c>
      <c r="IN168" t="e">
        <f>AND(#REF!,"AAAAAH++7Pc=")</f>
        <v>#REF!</v>
      </c>
      <c r="IO168" t="e">
        <f>AND(#REF!,"AAAAAH++7Pg=")</f>
        <v>#REF!</v>
      </c>
      <c r="IP168" t="e">
        <f>AND(#REF!,"AAAAAH++7Pk=")</f>
        <v>#REF!</v>
      </c>
      <c r="IQ168" t="e">
        <f>AND(#REF!,"AAAAAH++7Po=")</f>
        <v>#REF!</v>
      </c>
      <c r="IR168" t="e">
        <f>AND(#REF!,"AAAAAH++7Ps=")</f>
        <v>#REF!</v>
      </c>
      <c r="IS168" t="e">
        <f>IF(#REF!,"AAAAAH++7Pw=",0)</f>
        <v>#REF!</v>
      </c>
      <c r="IT168" t="e">
        <f>AND(#REF!,"AAAAAH++7P0=")</f>
        <v>#REF!</v>
      </c>
      <c r="IU168" t="e">
        <f>AND(#REF!,"AAAAAH++7P4=")</f>
        <v>#REF!</v>
      </c>
      <c r="IV168" t="e">
        <f>AND(#REF!,"AAAAAH++7P8=")</f>
        <v>#REF!</v>
      </c>
    </row>
    <row r="169" spans="1:256" x14ac:dyDescent="0.25">
      <c r="A169" t="e">
        <f>AND(#REF!,"AAAAAH/n9gA=")</f>
        <v>#REF!</v>
      </c>
      <c r="B169" t="e">
        <f>AND(#REF!,"AAAAAH/n9gE=")</f>
        <v>#REF!</v>
      </c>
      <c r="C169" t="e">
        <f>AND(#REF!,"AAAAAH/n9gI=")</f>
        <v>#REF!</v>
      </c>
      <c r="D169" t="e">
        <f>AND(#REF!,"AAAAAH/n9gM=")</f>
        <v>#REF!</v>
      </c>
      <c r="E169" t="e">
        <f>AND(#REF!,"AAAAAH/n9gQ=")</f>
        <v>#REF!</v>
      </c>
      <c r="F169" t="e">
        <f>AND(#REF!,"AAAAAH/n9gU=")</f>
        <v>#REF!</v>
      </c>
      <c r="G169" t="e">
        <f>AND(#REF!,"AAAAAH/n9gY=")</f>
        <v>#REF!</v>
      </c>
      <c r="H169" t="e">
        <f>IF(#REF!,"AAAAAH/n9gc=",0)</f>
        <v>#REF!</v>
      </c>
      <c r="I169" t="e">
        <f>AND(#REF!,"AAAAAH/n9gg=")</f>
        <v>#REF!</v>
      </c>
      <c r="J169" t="e">
        <f>AND(#REF!,"AAAAAH/n9gk=")</f>
        <v>#REF!</v>
      </c>
      <c r="K169" t="e">
        <f>AND(#REF!,"AAAAAH/n9go=")</f>
        <v>#REF!</v>
      </c>
      <c r="L169" t="e">
        <f>AND(#REF!,"AAAAAH/n9gs=")</f>
        <v>#REF!</v>
      </c>
      <c r="M169" t="e">
        <f>AND(#REF!,"AAAAAH/n9gw=")</f>
        <v>#REF!</v>
      </c>
      <c r="N169" t="e">
        <f>AND(#REF!,"AAAAAH/n9g0=")</f>
        <v>#REF!</v>
      </c>
      <c r="O169" t="e">
        <f>AND(#REF!,"AAAAAH/n9g4=")</f>
        <v>#REF!</v>
      </c>
      <c r="P169" t="e">
        <f>AND(#REF!,"AAAAAH/n9g8=")</f>
        <v>#REF!</v>
      </c>
      <c r="Q169" t="e">
        <f>AND(#REF!,"AAAAAH/n9hA=")</f>
        <v>#REF!</v>
      </c>
      <c r="R169" t="e">
        <f>AND(#REF!,"AAAAAH/n9hE=")</f>
        <v>#REF!</v>
      </c>
      <c r="S169" t="e">
        <f>IF(#REF!,"AAAAAH/n9hI=",0)</f>
        <v>#REF!</v>
      </c>
      <c r="T169" t="e">
        <f>AND(#REF!,"AAAAAH/n9hM=")</f>
        <v>#REF!</v>
      </c>
      <c r="U169" t="e">
        <f>AND(#REF!,"AAAAAH/n9hQ=")</f>
        <v>#REF!</v>
      </c>
      <c r="V169" t="e">
        <f>AND(#REF!,"AAAAAH/n9hU=")</f>
        <v>#REF!</v>
      </c>
      <c r="W169" t="e">
        <f>AND(#REF!,"AAAAAH/n9hY=")</f>
        <v>#REF!</v>
      </c>
      <c r="X169" t="e">
        <f>AND(#REF!,"AAAAAH/n9hc=")</f>
        <v>#REF!</v>
      </c>
      <c r="Y169" t="e">
        <f>AND(#REF!,"AAAAAH/n9hg=")</f>
        <v>#REF!</v>
      </c>
      <c r="Z169" t="e">
        <f>AND(#REF!,"AAAAAH/n9hk=")</f>
        <v>#REF!</v>
      </c>
      <c r="AA169" t="e">
        <f>AND(#REF!,"AAAAAH/n9ho=")</f>
        <v>#REF!</v>
      </c>
      <c r="AB169" t="e">
        <f>AND(#REF!,"AAAAAH/n9hs=")</f>
        <v>#REF!</v>
      </c>
      <c r="AC169" t="e">
        <f>AND(#REF!,"AAAAAH/n9hw=")</f>
        <v>#REF!</v>
      </c>
      <c r="AD169" t="e">
        <f>IF(#REF!,"AAAAAH/n9h0=",0)</f>
        <v>#REF!</v>
      </c>
      <c r="AE169" t="e">
        <f>AND(#REF!,"AAAAAH/n9h4=")</f>
        <v>#REF!</v>
      </c>
      <c r="AF169" t="e">
        <f>AND(#REF!,"AAAAAH/n9h8=")</f>
        <v>#REF!</v>
      </c>
      <c r="AG169" t="e">
        <f>AND(#REF!,"AAAAAH/n9iA=")</f>
        <v>#REF!</v>
      </c>
      <c r="AH169" t="e">
        <f>AND(#REF!,"AAAAAH/n9iE=")</f>
        <v>#REF!</v>
      </c>
      <c r="AI169" t="e">
        <f>AND(#REF!,"AAAAAH/n9iI=")</f>
        <v>#REF!</v>
      </c>
      <c r="AJ169" t="e">
        <f>AND(#REF!,"AAAAAH/n9iM=")</f>
        <v>#REF!</v>
      </c>
      <c r="AK169" t="e">
        <f>AND(#REF!,"AAAAAH/n9iQ=")</f>
        <v>#REF!</v>
      </c>
      <c r="AL169" t="e">
        <f>AND(#REF!,"AAAAAH/n9iU=")</f>
        <v>#REF!</v>
      </c>
      <c r="AM169" t="e">
        <f>AND(#REF!,"AAAAAH/n9iY=")</f>
        <v>#REF!</v>
      </c>
      <c r="AN169" t="e">
        <f>AND(#REF!,"AAAAAH/n9ic=")</f>
        <v>#REF!</v>
      </c>
      <c r="AO169" t="e">
        <f>IF(#REF!,"AAAAAH/n9ig=",0)</f>
        <v>#REF!</v>
      </c>
      <c r="AP169" t="e">
        <f>AND(#REF!,"AAAAAH/n9ik=")</f>
        <v>#REF!</v>
      </c>
      <c r="AQ169" t="e">
        <f>AND(#REF!,"AAAAAH/n9io=")</f>
        <v>#REF!</v>
      </c>
      <c r="AR169" t="e">
        <f>AND(#REF!,"AAAAAH/n9is=")</f>
        <v>#REF!</v>
      </c>
      <c r="AS169" t="e">
        <f>AND(#REF!,"AAAAAH/n9iw=")</f>
        <v>#REF!</v>
      </c>
      <c r="AT169" t="e">
        <f>AND(#REF!,"AAAAAH/n9i0=")</f>
        <v>#REF!</v>
      </c>
      <c r="AU169" t="e">
        <f>AND(#REF!,"AAAAAH/n9i4=")</f>
        <v>#REF!</v>
      </c>
      <c r="AV169" t="e">
        <f>AND(#REF!,"AAAAAH/n9i8=")</f>
        <v>#REF!</v>
      </c>
      <c r="AW169" t="e">
        <f>AND(#REF!,"AAAAAH/n9jA=")</f>
        <v>#REF!</v>
      </c>
      <c r="AX169" t="e">
        <f>AND(#REF!,"AAAAAH/n9jE=")</f>
        <v>#REF!</v>
      </c>
      <c r="AY169" t="e">
        <f>AND(#REF!,"AAAAAH/n9jI=")</f>
        <v>#REF!</v>
      </c>
      <c r="AZ169" t="e">
        <f>IF(#REF!,"AAAAAH/n9jM=",0)</f>
        <v>#REF!</v>
      </c>
      <c r="BA169" t="e">
        <f>AND(#REF!,"AAAAAH/n9jQ=")</f>
        <v>#REF!</v>
      </c>
      <c r="BB169" t="e">
        <f>AND(#REF!,"AAAAAH/n9jU=")</f>
        <v>#REF!</v>
      </c>
      <c r="BC169" t="e">
        <f>AND(#REF!,"AAAAAH/n9jY=")</f>
        <v>#REF!</v>
      </c>
      <c r="BD169" t="e">
        <f>AND(#REF!,"AAAAAH/n9jc=")</f>
        <v>#REF!</v>
      </c>
      <c r="BE169" t="e">
        <f>AND(#REF!,"AAAAAH/n9jg=")</f>
        <v>#REF!</v>
      </c>
      <c r="BF169" t="e">
        <f>AND(#REF!,"AAAAAH/n9jk=")</f>
        <v>#REF!</v>
      </c>
      <c r="BG169" t="e">
        <f>AND(#REF!,"AAAAAH/n9jo=")</f>
        <v>#REF!</v>
      </c>
      <c r="BH169" t="e">
        <f>AND(#REF!,"AAAAAH/n9js=")</f>
        <v>#REF!</v>
      </c>
      <c r="BI169" t="e">
        <f>AND(#REF!,"AAAAAH/n9jw=")</f>
        <v>#REF!</v>
      </c>
      <c r="BJ169" t="e">
        <f>AND(#REF!,"AAAAAH/n9j0=")</f>
        <v>#REF!</v>
      </c>
      <c r="BK169" t="e">
        <f>IF(#REF!,"AAAAAH/n9j4=",0)</f>
        <v>#REF!</v>
      </c>
      <c r="BL169" t="e">
        <f>AND(#REF!,"AAAAAH/n9j8=")</f>
        <v>#REF!</v>
      </c>
      <c r="BM169" t="e">
        <f>AND(#REF!,"AAAAAH/n9kA=")</f>
        <v>#REF!</v>
      </c>
      <c r="BN169" t="e">
        <f>AND(#REF!,"AAAAAH/n9kE=")</f>
        <v>#REF!</v>
      </c>
      <c r="BO169" t="e">
        <f>AND(#REF!,"AAAAAH/n9kI=")</f>
        <v>#REF!</v>
      </c>
      <c r="BP169" t="e">
        <f>AND(#REF!,"AAAAAH/n9kM=")</f>
        <v>#REF!</v>
      </c>
      <c r="BQ169" t="e">
        <f>AND(#REF!,"AAAAAH/n9kQ=")</f>
        <v>#REF!</v>
      </c>
      <c r="BR169" t="e">
        <f>AND(#REF!,"AAAAAH/n9kU=")</f>
        <v>#REF!</v>
      </c>
      <c r="BS169" t="e">
        <f>AND(#REF!,"AAAAAH/n9kY=")</f>
        <v>#REF!</v>
      </c>
      <c r="BT169" t="e">
        <f>AND(#REF!,"AAAAAH/n9kc=")</f>
        <v>#REF!</v>
      </c>
      <c r="BU169" t="e">
        <f>AND(#REF!,"AAAAAH/n9kg=")</f>
        <v>#REF!</v>
      </c>
      <c r="BV169" t="e">
        <f>IF(#REF!,"AAAAAH/n9kk=",0)</f>
        <v>#REF!</v>
      </c>
      <c r="BW169" t="e">
        <f>AND(#REF!,"AAAAAH/n9ko=")</f>
        <v>#REF!</v>
      </c>
      <c r="BX169" t="e">
        <f>AND(#REF!,"AAAAAH/n9ks=")</f>
        <v>#REF!</v>
      </c>
      <c r="BY169" t="e">
        <f>AND(#REF!,"AAAAAH/n9kw=")</f>
        <v>#REF!</v>
      </c>
      <c r="BZ169" t="e">
        <f>AND(#REF!,"AAAAAH/n9k0=")</f>
        <v>#REF!</v>
      </c>
      <c r="CA169" t="e">
        <f>AND(#REF!,"AAAAAH/n9k4=")</f>
        <v>#REF!</v>
      </c>
      <c r="CB169" t="e">
        <f>AND(#REF!,"AAAAAH/n9k8=")</f>
        <v>#REF!</v>
      </c>
      <c r="CC169" t="e">
        <f>AND(#REF!,"AAAAAH/n9lA=")</f>
        <v>#REF!</v>
      </c>
      <c r="CD169" t="e">
        <f>AND(#REF!,"AAAAAH/n9lE=")</f>
        <v>#REF!</v>
      </c>
      <c r="CE169" t="e">
        <f>AND(#REF!,"AAAAAH/n9lI=")</f>
        <v>#REF!</v>
      </c>
      <c r="CF169" t="e">
        <f>AND(#REF!,"AAAAAH/n9lM=")</f>
        <v>#REF!</v>
      </c>
      <c r="CG169" t="e">
        <f>IF(#REF!,"AAAAAH/n9lQ=",0)</f>
        <v>#REF!</v>
      </c>
      <c r="CH169" t="e">
        <f>AND(#REF!,"AAAAAH/n9lU=")</f>
        <v>#REF!</v>
      </c>
      <c r="CI169" t="e">
        <f>AND(#REF!,"AAAAAH/n9lY=")</f>
        <v>#REF!</v>
      </c>
      <c r="CJ169" t="e">
        <f>AND(#REF!,"AAAAAH/n9lc=")</f>
        <v>#REF!</v>
      </c>
      <c r="CK169" t="e">
        <f>AND(#REF!,"AAAAAH/n9lg=")</f>
        <v>#REF!</v>
      </c>
      <c r="CL169" t="e">
        <f>AND(#REF!,"AAAAAH/n9lk=")</f>
        <v>#REF!</v>
      </c>
      <c r="CM169" t="e">
        <f>AND(#REF!,"AAAAAH/n9lo=")</f>
        <v>#REF!</v>
      </c>
      <c r="CN169" t="e">
        <f>AND(#REF!,"AAAAAH/n9ls=")</f>
        <v>#REF!</v>
      </c>
      <c r="CO169" t="e">
        <f>AND(#REF!,"AAAAAH/n9lw=")</f>
        <v>#REF!</v>
      </c>
      <c r="CP169" t="e">
        <f>AND(#REF!,"AAAAAH/n9l0=")</f>
        <v>#REF!</v>
      </c>
      <c r="CQ169" t="e">
        <f>AND(#REF!,"AAAAAH/n9l4=")</f>
        <v>#REF!</v>
      </c>
      <c r="CR169" t="e">
        <f>IF(#REF!,"AAAAAH/n9l8=",0)</f>
        <v>#REF!</v>
      </c>
      <c r="CS169" t="e">
        <f>AND(#REF!,"AAAAAH/n9mA=")</f>
        <v>#REF!</v>
      </c>
      <c r="CT169" t="e">
        <f>AND(#REF!,"AAAAAH/n9mE=")</f>
        <v>#REF!</v>
      </c>
      <c r="CU169" t="e">
        <f>AND(#REF!,"AAAAAH/n9mI=")</f>
        <v>#REF!</v>
      </c>
      <c r="CV169" t="e">
        <f>AND(#REF!,"AAAAAH/n9mM=")</f>
        <v>#REF!</v>
      </c>
      <c r="CW169" t="e">
        <f>AND(#REF!,"AAAAAH/n9mQ=")</f>
        <v>#REF!</v>
      </c>
      <c r="CX169" t="e">
        <f>AND(#REF!,"AAAAAH/n9mU=")</f>
        <v>#REF!</v>
      </c>
      <c r="CY169" t="e">
        <f>AND(#REF!,"AAAAAH/n9mY=")</f>
        <v>#REF!</v>
      </c>
      <c r="CZ169" t="e">
        <f>AND(#REF!,"AAAAAH/n9mc=")</f>
        <v>#REF!</v>
      </c>
      <c r="DA169" t="e">
        <f>AND(#REF!,"AAAAAH/n9mg=")</f>
        <v>#REF!</v>
      </c>
      <c r="DB169" t="e">
        <f>AND(#REF!,"AAAAAH/n9mk=")</f>
        <v>#REF!</v>
      </c>
      <c r="DC169" t="e">
        <f>IF(#REF!,"AAAAAH/n9mo=",0)</f>
        <v>#REF!</v>
      </c>
      <c r="DD169" t="e">
        <f>AND(#REF!,"AAAAAH/n9ms=")</f>
        <v>#REF!</v>
      </c>
      <c r="DE169" t="e">
        <f>AND(#REF!,"AAAAAH/n9mw=")</f>
        <v>#REF!</v>
      </c>
      <c r="DF169" t="e">
        <f>AND(#REF!,"AAAAAH/n9m0=")</f>
        <v>#REF!</v>
      </c>
      <c r="DG169" t="e">
        <f>AND(#REF!,"AAAAAH/n9m4=")</f>
        <v>#REF!</v>
      </c>
      <c r="DH169" t="e">
        <f>AND(#REF!,"AAAAAH/n9m8=")</f>
        <v>#REF!</v>
      </c>
      <c r="DI169" t="e">
        <f>AND(#REF!,"AAAAAH/n9nA=")</f>
        <v>#REF!</v>
      </c>
      <c r="DJ169" t="e">
        <f>AND(#REF!,"AAAAAH/n9nE=")</f>
        <v>#REF!</v>
      </c>
      <c r="DK169" t="e">
        <f>AND(#REF!,"AAAAAH/n9nI=")</f>
        <v>#REF!</v>
      </c>
      <c r="DL169" t="e">
        <f>AND(#REF!,"AAAAAH/n9nM=")</f>
        <v>#REF!</v>
      </c>
      <c r="DM169" t="e">
        <f>AND(#REF!,"AAAAAH/n9nQ=")</f>
        <v>#REF!</v>
      </c>
      <c r="DN169" t="e">
        <f>IF(#REF!,"AAAAAH/n9nU=",0)</f>
        <v>#REF!</v>
      </c>
      <c r="DO169" t="e">
        <f>AND(#REF!,"AAAAAH/n9nY=")</f>
        <v>#REF!</v>
      </c>
      <c r="DP169" t="e">
        <f>AND(#REF!,"AAAAAH/n9nc=")</f>
        <v>#REF!</v>
      </c>
      <c r="DQ169" t="e">
        <f>AND(#REF!,"AAAAAH/n9ng=")</f>
        <v>#REF!</v>
      </c>
      <c r="DR169" t="e">
        <f>AND(#REF!,"AAAAAH/n9nk=")</f>
        <v>#REF!</v>
      </c>
      <c r="DS169" t="e">
        <f>AND(#REF!,"AAAAAH/n9no=")</f>
        <v>#REF!</v>
      </c>
      <c r="DT169" t="e">
        <f>AND(#REF!,"AAAAAH/n9ns=")</f>
        <v>#REF!</v>
      </c>
      <c r="DU169" t="e">
        <f>AND(#REF!,"AAAAAH/n9nw=")</f>
        <v>#REF!</v>
      </c>
      <c r="DV169" t="e">
        <f>AND(#REF!,"AAAAAH/n9n0=")</f>
        <v>#REF!</v>
      </c>
      <c r="DW169" t="e">
        <f>AND(#REF!,"AAAAAH/n9n4=")</f>
        <v>#REF!</v>
      </c>
      <c r="DX169" t="e">
        <f>AND(#REF!,"AAAAAH/n9n8=")</f>
        <v>#REF!</v>
      </c>
      <c r="DY169" t="e">
        <f>IF(#REF!,"AAAAAH/n9oA=",0)</f>
        <v>#REF!</v>
      </c>
      <c r="DZ169" t="e">
        <f>AND(#REF!,"AAAAAH/n9oE=")</f>
        <v>#REF!</v>
      </c>
      <c r="EA169" t="e">
        <f>AND(#REF!,"AAAAAH/n9oI=")</f>
        <v>#REF!</v>
      </c>
      <c r="EB169" t="e">
        <f>AND(#REF!,"AAAAAH/n9oM=")</f>
        <v>#REF!</v>
      </c>
      <c r="EC169" t="e">
        <f>AND(#REF!,"AAAAAH/n9oQ=")</f>
        <v>#REF!</v>
      </c>
      <c r="ED169" t="e">
        <f>AND(#REF!,"AAAAAH/n9oU=")</f>
        <v>#REF!</v>
      </c>
      <c r="EE169" t="e">
        <f>AND(#REF!,"AAAAAH/n9oY=")</f>
        <v>#REF!</v>
      </c>
      <c r="EF169" t="e">
        <f>AND(#REF!,"AAAAAH/n9oc=")</f>
        <v>#REF!</v>
      </c>
      <c r="EG169" t="e">
        <f>AND(#REF!,"AAAAAH/n9og=")</f>
        <v>#REF!</v>
      </c>
      <c r="EH169" t="e">
        <f>AND(#REF!,"AAAAAH/n9ok=")</f>
        <v>#REF!</v>
      </c>
      <c r="EI169" t="e">
        <f>AND(#REF!,"AAAAAH/n9oo=")</f>
        <v>#REF!</v>
      </c>
      <c r="EJ169" t="e">
        <f>IF(#REF!,"AAAAAH/n9os=",0)</f>
        <v>#REF!</v>
      </c>
      <c r="EK169" t="e">
        <f>AND(#REF!,"AAAAAH/n9ow=")</f>
        <v>#REF!</v>
      </c>
      <c r="EL169" t="e">
        <f>AND(#REF!,"AAAAAH/n9o0=")</f>
        <v>#REF!</v>
      </c>
      <c r="EM169" t="e">
        <f>AND(#REF!,"AAAAAH/n9o4=")</f>
        <v>#REF!</v>
      </c>
      <c r="EN169" t="e">
        <f>AND(#REF!,"AAAAAH/n9o8=")</f>
        <v>#REF!</v>
      </c>
      <c r="EO169" t="e">
        <f>AND(#REF!,"AAAAAH/n9pA=")</f>
        <v>#REF!</v>
      </c>
      <c r="EP169" t="e">
        <f>AND(#REF!,"AAAAAH/n9pE=")</f>
        <v>#REF!</v>
      </c>
      <c r="EQ169" t="e">
        <f>AND(#REF!,"AAAAAH/n9pI=")</f>
        <v>#REF!</v>
      </c>
      <c r="ER169" t="e">
        <f>AND(#REF!,"AAAAAH/n9pM=")</f>
        <v>#REF!</v>
      </c>
      <c r="ES169" t="e">
        <f>AND(#REF!,"AAAAAH/n9pQ=")</f>
        <v>#REF!</v>
      </c>
      <c r="ET169" t="e">
        <f>AND(#REF!,"AAAAAH/n9pU=")</f>
        <v>#REF!</v>
      </c>
      <c r="EU169" t="e">
        <f>IF(#REF!,"AAAAAH/n9pY=",0)</f>
        <v>#REF!</v>
      </c>
      <c r="EV169" t="e">
        <f>AND(#REF!,"AAAAAH/n9pc=")</f>
        <v>#REF!</v>
      </c>
      <c r="EW169" t="e">
        <f>AND(#REF!,"AAAAAH/n9pg=")</f>
        <v>#REF!</v>
      </c>
      <c r="EX169" t="e">
        <f>AND(#REF!,"AAAAAH/n9pk=")</f>
        <v>#REF!</v>
      </c>
      <c r="EY169" t="e">
        <f>AND(#REF!,"AAAAAH/n9po=")</f>
        <v>#REF!</v>
      </c>
      <c r="EZ169" t="e">
        <f>AND(#REF!,"AAAAAH/n9ps=")</f>
        <v>#REF!</v>
      </c>
      <c r="FA169" t="e">
        <f>AND(#REF!,"AAAAAH/n9pw=")</f>
        <v>#REF!</v>
      </c>
      <c r="FB169" t="e">
        <f>AND(#REF!,"AAAAAH/n9p0=")</f>
        <v>#REF!</v>
      </c>
      <c r="FC169" t="e">
        <f>AND(#REF!,"AAAAAH/n9p4=")</f>
        <v>#REF!</v>
      </c>
      <c r="FD169" t="e">
        <f>AND(#REF!,"AAAAAH/n9p8=")</f>
        <v>#REF!</v>
      </c>
      <c r="FE169" t="e">
        <f>AND(#REF!,"AAAAAH/n9qA=")</f>
        <v>#REF!</v>
      </c>
      <c r="FF169" t="e">
        <f>IF(#REF!,"AAAAAH/n9qE=",0)</f>
        <v>#REF!</v>
      </c>
      <c r="FG169" t="e">
        <f>AND(#REF!,"AAAAAH/n9qI=")</f>
        <v>#REF!</v>
      </c>
      <c r="FH169" t="e">
        <f>AND(#REF!,"AAAAAH/n9qM=")</f>
        <v>#REF!</v>
      </c>
      <c r="FI169" t="e">
        <f>AND(#REF!,"AAAAAH/n9qQ=")</f>
        <v>#REF!</v>
      </c>
      <c r="FJ169" t="e">
        <f>AND(#REF!,"AAAAAH/n9qU=")</f>
        <v>#REF!</v>
      </c>
      <c r="FK169" t="e">
        <f>AND(#REF!,"AAAAAH/n9qY=")</f>
        <v>#REF!</v>
      </c>
      <c r="FL169" t="e">
        <f>AND(#REF!,"AAAAAH/n9qc=")</f>
        <v>#REF!</v>
      </c>
      <c r="FM169" t="e">
        <f>AND(#REF!,"AAAAAH/n9qg=")</f>
        <v>#REF!</v>
      </c>
      <c r="FN169" t="e">
        <f>AND(#REF!,"AAAAAH/n9qk=")</f>
        <v>#REF!</v>
      </c>
      <c r="FO169" t="e">
        <f>AND(#REF!,"AAAAAH/n9qo=")</f>
        <v>#REF!</v>
      </c>
      <c r="FP169" t="e">
        <f>AND(#REF!,"AAAAAH/n9qs=")</f>
        <v>#REF!</v>
      </c>
      <c r="FQ169" t="e">
        <f>IF(#REF!,"AAAAAH/n9qw=",0)</f>
        <v>#REF!</v>
      </c>
      <c r="FR169" t="e">
        <f>AND(#REF!,"AAAAAH/n9q0=")</f>
        <v>#REF!</v>
      </c>
      <c r="FS169" t="e">
        <f>AND(#REF!,"AAAAAH/n9q4=")</f>
        <v>#REF!</v>
      </c>
      <c r="FT169" t="e">
        <f>AND(#REF!,"AAAAAH/n9q8=")</f>
        <v>#REF!</v>
      </c>
      <c r="FU169" t="e">
        <f>AND(#REF!,"AAAAAH/n9rA=")</f>
        <v>#REF!</v>
      </c>
      <c r="FV169" t="e">
        <f>AND(#REF!,"AAAAAH/n9rE=")</f>
        <v>#REF!</v>
      </c>
      <c r="FW169" t="e">
        <f>AND(#REF!,"AAAAAH/n9rI=")</f>
        <v>#REF!</v>
      </c>
      <c r="FX169" t="e">
        <f>AND(#REF!,"AAAAAH/n9rM=")</f>
        <v>#REF!</v>
      </c>
      <c r="FY169" t="e">
        <f>AND(#REF!,"AAAAAH/n9rQ=")</f>
        <v>#REF!</v>
      </c>
      <c r="FZ169" t="e">
        <f>AND(#REF!,"AAAAAH/n9rU=")</f>
        <v>#REF!</v>
      </c>
      <c r="GA169" t="e">
        <f>AND(#REF!,"AAAAAH/n9rY=")</f>
        <v>#REF!</v>
      </c>
      <c r="GB169" t="e">
        <f>IF(#REF!,"AAAAAH/n9rc=",0)</f>
        <v>#REF!</v>
      </c>
      <c r="GC169" t="e">
        <f>AND(#REF!,"AAAAAH/n9rg=")</f>
        <v>#REF!</v>
      </c>
      <c r="GD169" t="e">
        <f>AND(#REF!,"AAAAAH/n9rk=")</f>
        <v>#REF!</v>
      </c>
      <c r="GE169" t="e">
        <f>AND(#REF!,"AAAAAH/n9ro=")</f>
        <v>#REF!</v>
      </c>
      <c r="GF169" t="e">
        <f>AND(#REF!,"AAAAAH/n9rs=")</f>
        <v>#REF!</v>
      </c>
      <c r="GG169" t="e">
        <f>AND(#REF!,"AAAAAH/n9rw=")</f>
        <v>#REF!</v>
      </c>
      <c r="GH169" t="e">
        <f>AND(#REF!,"AAAAAH/n9r0=")</f>
        <v>#REF!</v>
      </c>
      <c r="GI169" t="e">
        <f>AND(#REF!,"AAAAAH/n9r4=")</f>
        <v>#REF!</v>
      </c>
      <c r="GJ169" t="e">
        <f>AND(#REF!,"AAAAAH/n9r8=")</f>
        <v>#REF!</v>
      </c>
      <c r="GK169" t="e">
        <f>AND(#REF!,"AAAAAH/n9sA=")</f>
        <v>#REF!</v>
      </c>
      <c r="GL169" t="e">
        <f>AND(#REF!,"AAAAAH/n9sE=")</f>
        <v>#REF!</v>
      </c>
      <c r="GM169" t="e">
        <f>IF(#REF!,"AAAAAH/n9sI=",0)</f>
        <v>#REF!</v>
      </c>
      <c r="GN169" t="e">
        <f>AND(#REF!,"AAAAAH/n9sM=")</f>
        <v>#REF!</v>
      </c>
      <c r="GO169" t="e">
        <f>AND(#REF!,"AAAAAH/n9sQ=")</f>
        <v>#REF!</v>
      </c>
      <c r="GP169" t="e">
        <f>AND(#REF!,"AAAAAH/n9sU=")</f>
        <v>#REF!</v>
      </c>
      <c r="GQ169" t="e">
        <f>AND(#REF!,"AAAAAH/n9sY=")</f>
        <v>#REF!</v>
      </c>
      <c r="GR169" t="e">
        <f>AND(#REF!,"AAAAAH/n9sc=")</f>
        <v>#REF!</v>
      </c>
      <c r="GS169" t="e">
        <f>AND(#REF!,"AAAAAH/n9sg=")</f>
        <v>#REF!</v>
      </c>
      <c r="GT169" t="e">
        <f>AND(#REF!,"AAAAAH/n9sk=")</f>
        <v>#REF!</v>
      </c>
      <c r="GU169" t="e">
        <f>AND(#REF!,"AAAAAH/n9so=")</f>
        <v>#REF!</v>
      </c>
      <c r="GV169" t="e">
        <f>AND(#REF!,"AAAAAH/n9ss=")</f>
        <v>#REF!</v>
      </c>
      <c r="GW169" t="e">
        <f>AND(#REF!,"AAAAAH/n9sw=")</f>
        <v>#REF!</v>
      </c>
      <c r="GX169" t="e">
        <f>IF(#REF!,"AAAAAH/n9s0=",0)</f>
        <v>#REF!</v>
      </c>
      <c r="GY169" t="e">
        <f>AND(#REF!,"AAAAAH/n9s4=")</f>
        <v>#REF!</v>
      </c>
      <c r="GZ169" t="e">
        <f>AND(#REF!,"AAAAAH/n9s8=")</f>
        <v>#REF!</v>
      </c>
      <c r="HA169" t="e">
        <f>AND(#REF!,"AAAAAH/n9tA=")</f>
        <v>#REF!</v>
      </c>
      <c r="HB169" t="e">
        <f>AND(#REF!,"AAAAAH/n9tE=")</f>
        <v>#REF!</v>
      </c>
      <c r="HC169" t="e">
        <f>AND(#REF!,"AAAAAH/n9tI=")</f>
        <v>#REF!</v>
      </c>
      <c r="HD169" t="e">
        <f>AND(#REF!,"AAAAAH/n9tM=")</f>
        <v>#REF!</v>
      </c>
      <c r="HE169" t="e">
        <f>AND(#REF!,"AAAAAH/n9tQ=")</f>
        <v>#REF!</v>
      </c>
      <c r="HF169" t="e">
        <f>AND(#REF!,"AAAAAH/n9tU=")</f>
        <v>#REF!</v>
      </c>
      <c r="HG169" t="e">
        <f>AND(#REF!,"AAAAAH/n9tY=")</f>
        <v>#REF!</v>
      </c>
      <c r="HH169" t="e">
        <f>AND(#REF!,"AAAAAH/n9tc=")</f>
        <v>#REF!</v>
      </c>
      <c r="HI169" t="e">
        <f>IF(#REF!,"AAAAAH/n9tg=",0)</f>
        <v>#REF!</v>
      </c>
      <c r="HJ169" t="e">
        <f>AND(#REF!,"AAAAAH/n9tk=")</f>
        <v>#REF!</v>
      </c>
      <c r="HK169" t="e">
        <f>AND(#REF!,"AAAAAH/n9to=")</f>
        <v>#REF!</v>
      </c>
      <c r="HL169" t="e">
        <f>AND(#REF!,"AAAAAH/n9ts=")</f>
        <v>#REF!</v>
      </c>
      <c r="HM169" t="e">
        <f>AND(#REF!,"AAAAAH/n9tw=")</f>
        <v>#REF!</v>
      </c>
      <c r="HN169" t="e">
        <f>AND(#REF!,"AAAAAH/n9t0=")</f>
        <v>#REF!</v>
      </c>
      <c r="HO169" t="e">
        <f>AND(#REF!,"AAAAAH/n9t4=")</f>
        <v>#REF!</v>
      </c>
      <c r="HP169" t="e">
        <f>AND(#REF!,"AAAAAH/n9t8=")</f>
        <v>#REF!</v>
      </c>
      <c r="HQ169" t="e">
        <f>AND(#REF!,"AAAAAH/n9uA=")</f>
        <v>#REF!</v>
      </c>
      <c r="HR169" t="e">
        <f>AND(#REF!,"AAAAAH/n9uE=")</f>
        <v>#REF!</v>
      </c>
      <c r="HS169" t="e">
        <f>AND(#REF!,"AAAAAH/n9uI=")</f>
        <v>#REF!</v>
      </c>
      <c r="HT169" t="e">
        <f>IF(#REF!,"AAAAAH/n9uM=",0)</f>
        <v>#REF!</v>
      </c>
      <c r="HU169" t="e">
        <f>AND(#REF!,"AAAAAH/n9uQ=")</f>
        <v>#REF!</v>
      </c>
      <c r="HV169" t="e">
        <f>AND(#REF!,"AAAAAH/n9uU=")</f>
        <v>#REF!</v>
      </c>
      <c r="HW169" t="e">
        <f>AND(#REF!,"AAAAAH/n9uY=")</f>
        <v>#REF!</v>
      </c>
      <c r="HX169" t="e">
        <f>AND(#REF!,"AAAAAH/n9uc=")</f>
        <v>#REF!</v>
      </c>
      <c r="HY169" t="e">
        <f>AND(#REF!,"AAAAAH/n9ug=")</f>
        <v>#REF!</v>
      </c>
      <c r="HZ169" t="e">
        <f>AND(#REF!,"AAAAAH/n9uk=")</f>
        <v>#REF!</v>
      </c>
      <c r="IA169" t="e">
        <f>AND(#REF!,"AAAAAH/n9uo=")</f>
        <v>#REF!</v>
      </c>
      <c r="IB169" t="e">
        <f>AND(#REF!,"AAAAAH/n9us=")</f>
        <v>#REF!</v>
      </c>
      <c r="IC169" t="e">
        <f>AND(#REF!,"AAAAAH/n9uw=")</f>
        <v>#REF!</v>
      </c>
      <c r="ID169" t="e">
        <f>AND(#REF!,"AAAAAH/n9u0=")</f>
        <v>#REF!</v>
      </c>
      <c r="IE169" t="e">
        <f>IF(#REF!,"AAAAAH/n9u4=",0)</f>
        <v>#REF!</v>
      </c>
      <c r="IF169" t="e">
        <f>AND(#REF!,"AAAAAH/n9u8=")</f>
        <v>#REF!</v>
      </c>
      <c r="IG169" t="e">
        <f>AND(#REF!,"AAAAAH/n9vA=")</f>
        <v>#REF!</v>
      </c>
      <c r="IH169" t="e">
        <f>AND(#REF!,"AAAAAH/n9vE=")</f>
        <v>#REF!</v>
      </c>
      <c r="II169" t="e">
        <f>AND(#REF!,"AAAAAH/n9vI=")</f>
        <v>#REF!</v>
      </c>
      <c r="IJ169" t="e">
        <f>AND(#REF!,"AAAAAH/n9vM=")</f>
        <v>#REF!</v>
      </c>
      <c r="IK169" t="e">
        <f>AND(#REF!,"AAAAAH/n9vQ=")</f>
        <v>#REF!</v>
      </c>
      <c r="IL169" t="e">
        <f>AND(#REF!,"AAAAAH/n9vU=")</f>
        <v>#REF!</v>
      </c>
      <c r="IM169" t="e">
        <f>AND(#REF!,"AAAAAH/n9vY=")</f>
        <v>#REF!</v>
      </c>
      <c r="IN169" t="e">
        <f>AND(#REF!,"AAAAAH/n9vc=")</f>
        <v>#REF!</v>
      </c>
      <c r="IO169" t="e">
        <f>AND(#REF!,"AAAAAH/n9vg=")</f>
        <v>#REF!</v>
      </c>
      <c r="IP169" t="e">
        <f>IF(#REF!,"AAAAAH/n9vk=",0)</f>
        <v>#REF!</v>
      </c>
      <c r="IQ169" t="e">
        <f>AND(#REF!,"AAAAAH/n9vo=")</f>
        <v>#REF!</v>
      </c>
      <c r="IR169" t="e">
        <f>AND(#REF!,"AAAAAH/n9vs=")</f>
        <v>#REF!</v>
      </c>
      <c r="IS169" t="e">
        <f>AND(#REF!,"AAAAAH/n9vw=")</f>
        <v>#REF!</v>
      </c>
      <c r="IT169" t="e">
        <f>AND(#REF!,"AAAAAH/n9v0=")</f>
        <v>#REF!</v>
      </c>
      <c r="IU169" t="e">
        <f>AND(#REF!,"AAAAAH/n9v4=")</f>
        <v>#REF!</v>
      </c>
      <c r="IV169" t="e">
        <f>AND(#REF!,"AAAAAH/n9v8=")</f>
        <v>#REF!</v>
      </c>
    </row>
    <row r="170" spans="1:256" x14ac:dyDescent="0.25">
      <c r="A170" t="e">
        <f>AND(#REF!,"AAAAAHfe3wA=")</f>
        <v>#REF!</v>
      </c>
      <c r="B170" t="e">
        <f>AND(#REF!,"AAAAAHfe3wE=")</f>
        <v>#REF!</v>
      </c>
      <c r="C170" t="e">
        <f>AND(#REF!,"AAAAAHfe3wI=")</f>
        <v>#REF!</v>
      </c>
      <c r="D170" t="e">
        <f>AND(#REF!,"AAAAAHfe3wM=")</f>
        <v>#REF!</v>
      </c>
      <c r="E170" t="e">
        <f>IF(#REF!,"AAAAAHfe3wQ=",0)</f>
        <v>#REF!</v>
      </c>
      <c r="F170" t="e">
        <f>AND(#REF!,"AAAAAHfe3wU=")</f>
        <v>#REF!</v>
      </c>
      <c r="G170" t="e">
        <f>AND(#REF!,"AAAAAHfe3wY=")</f>
        <v>#REF!</v>
      </c>
      <c r="H170" t="e">
        <f>AND(#REF!,"AAAAAHfe3wc=")</f>
        <v>#REF!</v>
      </c>
      <c r="I170" t="e">
        <f>AND(#REF!,"AAAAAHfe3wg=")</f>
        <v>#REF!</v>
      </c>
      <c r="J170" t="e">
        <f>AND(#REF!,"AAAAAHfe3wk=")</f>
        <v>#REF!</v>
      </c>
      <c r="K170" t="e">
        <f>AND(#REF!,"AAAAAHfe3wo=")</f>
        <v>#REF!</v>
      </c>
      <c r="L170" t="e">
        <f>AND(#REF!,"AAAAAHfe3ws=")</f>
        <v>#REF!</v>
      </c>
      <c r="M170" t="e">
        <f>AND(#REF!,"AAAAAHfe3ww=")</f>
        <v>#REF!</v>
      </c>
      <c r="N170" t="e">
        <f>AND(#REF!,"AAAAAHfe3w0=")</f>
        <v>#REF!</v>
      </c>
      <c r="O170" t="e">
        <f>AND(#REF!,"AAAAAHfe3w4=")</f>
        <v>#REF!</v>
      </c>
      <c r="P170" t="e">
        <f>IF(#REF!,"AAAAAHfe3w8=",0)</f>
        <v>#REF!</v>
      </c>
      <c r="Q170" t="e">
        <f>AND(#REF!,"AAAAAHfe3xA=")</f>
        <v>#REF!</v>
      </c>
      <c r="R170" t="e">
        <f>AND(#REF!,"AAAAAHfe3xE=")</f>
        <v>#REF!</v>
      </c>
      <c r="S170" t="e">
        <f>AND(#REF!,"AAAAAHfe3xI=")</f>
        <v>#REF!</v>
      </c>
      <c r="T170" t="e">
        <f>AND(#REF!,"AAAAAHfe3xM=")</f>
        <v>#REF!</v>
      </c>
      <c r="U170" t="e">
        <f>AND(#REF!,"AAAAAHfe3xQ=")</f>
        <v>#REF!</v>
      </c>
      <c r="V170" t="e">
        <f>AND(#REF!,"AAAAAHfe3xU=")</f>
        <v>#REF!</v>
      </c>
      <c r="W170" t="e">
        <f>AND(#REF!,"AAAAAHfe3xY=")</f>
        <v>#REF!</v>
      </c>
      <c r="X170" t="e">
        <f>AND(#REF!,"AAAAAHfe3xc=")</f>
        <v>#REF!</v>
      </c>
      <c r="Y170" t="e">
        <f>AND(#REF!,"AAAAAHfe3xg=")</f>
        <v>#REF!</v>
      </c>
      <c r="Z170" t="e">
        <f>AND(#REF!,"AAAAAHfe3xk=")</f>
        <v>#REF!</v>
      </c>
      <c r="AA170" t="e">
        <f>IF(#REF!,"AAAAAHfe3xo=",0)</f>
        <v>#REF!</v>
      </c>
      <c r="AB170" t="e">
        <f>AND(#REF!,"AAAAAHfe3xs=")</f>
        <v>#REF!</v>
      </c>
      <c r="AC170" t="e">
        <f>AND(#REF!,"AAAAAHfe3xw=")</f>
        <v>#REF!</v>
      </c>
      <c r="AD170" t="e">
        <f>AND(#REF!,"AAAAAHfe3x0=")</f>
        <v>#REF!</v>
      </c>
      <c r="AE170" t="e">
        <f>AND(#REF!,"AAAAAHfe3x4=")</f>
        <v>#REF!</v>
      </c>
      <c r="AF170" t="e">
        <f>AND(#REF!,"AAAAAHfe3x8=")</f>
        <v>#REF!</v>
      </c>
      <c r="AG170" t="e">
        <f>AND(#REF!,"AAAAAHfe3yA=")</f>
        <v>#REF!</v>
      </c>
      <c r="AH170" t="e">
        <f>AND(#REF!,"AAAAAHfe3yE=")</f>
        <v>#REF!</v>
      </c>
      <c r="AI170" t="e">
        <f>AND(#REF!,"AAAAAHfe3yI=")</f>
        <v>#REF!</v>
      </c>
      <c r="AJ170" t="e">
        <f>AND(#REF!,"AAAAAHfe3yM=")</f>
        <v>#REF!</v>
      </c>
      <c r="AK170" t="e">
        <f>AND(#REF!,"AAAAAHfe3yQ=")</f>
        <v>#REF!</v>
      </c>
      <c r="AL170" t="e">
        <f>IF(#REF!,"AAAAAHfe3yU=",0)</f>
        <v>#REF!</v>
      </c>
      <c r="AM170" t="e">
        <f>AND(#REF!,"AAAAAHfe3yY=")</f>
        <v>#REF!</v>
      </c>
      <c r="AN170" t="e">
        <f>AND(#REF!,"AAAAAHfe3yc=")</f>
        <v>#REF!</v>
      </c>
      <c r="AO170" t="e">
        <f>AND(#REF!,"AAAAAHfe3yg=")</f>
        <v>#REF!</v>
      </c>
      <c r="AP170" t="e">
        <f>AND(#REF!,"AAAAAHfe3yk=")</f>
        <v>#REF!</v>
      </c>
      <c r="AQ170" t="e">
        <f>AND(#REF!,"AAAAAHfe3yo=")</f>
        <v>#REF!</v>
      </c>
      <c r="AR170" t="e">
        <f>AND(#REF!,"AAAAAHfe3ys=")</f>
        <v>#REF!</v>
      </c>
      <c r="AS170" t="e">
        <f>AND(#REF!,"AAAAAHfe3yw=")</f>
        <v>#REF!</v>
      </c>
      <c r="AT170" t="e">
        <f>AND(#REF!,"AAAAAHfe3y0=")</f>
        <v>#REF!</v>
      </c>
      <c r="AU170" t="e">
        <f>AND(#REF!,"AAAAAHfe3y4=")</f>
        <v>#REF!</v>
      </c>
      <c r="AV170" t="e">
        <f>AND(#REF!,"AAAAAHfe3y8=")</f>
        <v>#REF!</v>
      </c>
      <c r="AW170" t="e">
        <f>IF(#REF!,"AAAAAHfe3zA=",0)</f>
        <v>#REF!</v>
      </c>
      <c r="AX170" t="e">
        <f>AND(#REF!,"AAAAAHfe3zE=")</f>
        <v>#REF!</v>
      </c>
      <c r="AY170" t="e">
        <f>AND(#REF!,"AAAAAHfe3zI=")</f>
        <v>#REF!</v>
      </c>
      <c r="AZ170" t="e">
        <f>AND(#REF!,"AAAAAHfe3zM=")</f>
        <v>#REF!</v>
      </c>
      <c r="BA170" t="e">
        <f>AND(#REF!,"AAAAAHfe3zQ=")</f>
        <v>#REF!</v>
      </c>
      <c r="BB170" t="e">
        <f>AND(#REF!,"AAAAAHfe3zU=")</f>
        <v>#REF!</v>
      </c>
      <c r="BC170" t="e">
        <f>AND(#REF!,"AAAAAHfe3zY=")</f>
        <v>#REF!</v>
      </c>
      <c r="BD170" t="e">
        <f>AND(#REF!,"AAAAAHfe3zc=")</f>
        <v>#REF!</v>
      </c>
      <c r="BE170" t="e">
        <f>AND(#REF!,"AAAAAHfe3zg=")</f>
        <v>#REF!</v>
      </c>
      <c r="BF170" t="e">
        <f>AND(#REF!,"AAAAAHfe3zk=")</f>
        <v>#REF!</v>
      </c>
      <c r="BG170" t="e">
        <f>AND(#REF!,"AAAAAHfe3zo=")</f>
        <v>#REF!</v>
      </c>
      <c r="BH170" t="e">
        <f>IF(#REF!,"AAAAAHfe3zs=",0)</f>
        <v>#REF!</v>
      </c>
      <c r="BI170" t="e">
        <f>AND(#REF!,"AAAAAHfe3zw=")</f>
        <v>#REF!</v>
      </c>
      <c r="BJ170" t="e">
        <f>AND(#REF!,"AAAAAHfe3z0=")</f>
        <v>#REF!</v>
      </c>
      <c r="BK170" t="e">
        <f>AND(#REF!,"AAAAAHfe3z4=")</f>
        <v>#REF!</v>
      </c>
      <c r="BL170" t="e">
        <f>AND(#REF!,"AAAAAHfe3z8=")</f>
        <v>#REF!</v>
      </c>
      <c r="BM170" t="e">
        <f>AND(#REF!,"AAAAAHfe30A=")</f>
        <v>#REF!</v>
      </c>
      <c r="BN170" t="e">
        <f>AND(#REF!,"AAAAAHfe30E=")</f>
        <v>#REF!</v>
      </c>
      <c r="BO170" t="e">
        <f>AND(#REF!,"AAAAAHfe30I=")</f>
        <v>#REF!</v>
      </c>
      <c r="BP170" t="e">
        <f>AND(#REF!,"AAAAAHfe30M=")</f>
        <v>#REF!</v>
      </c>
      <c r="BQ170" t="e">
        <f>AND(#REF!,"AAAAAHfe30Q=")</f>
        <v>#REF!</v>
      </c>
      <c r="BR170" t="e">
        <f>AND(#REF!,"AAAAAHfe30U=")</f>
        <v>#REF!</v>
      </c>
      <c r="BS170" t="e">
        <f>IF(#REF!,"AAAAAHfe30Y=",0)</f>
        <v>#REF!</v>
      </c>
      <c r="BT170" t="e">
        <f>AND(#REF!,"AAAAAHfe30c=")</f>
        <v>#REF!</v>
      </c>
      <c r="BU170" t="e">
        <f>AND(#REF!,"AAAAAHfe30g=")</f>
        <v>#REF!</v>
      </c>
      <c r="BV170" t="e">
        <f>AND(#REF!,"AAAAAHfe30k=")</f>
        <v>#REF!</v>
      </c>
      <c r="BW170" t="e">
        <f>AND(#REF!,"AAAAAHfe30o=")</f>
        <v>#REF!</v>
      </c>
      <c r="BX170" t="e">
        <f>AND(#REF!,"AAAAAHfe30s=")</f>
        <v>#REF!</v>
      </c>
      <c r="BY170" t="e">
        <f>AND(#REF!,"AAAAAHfe30w=")</f>
        <v>#REF!</v>
      </c>
      <c r="BZ170" t="e">
        <f>AND(#REF!,"AAAAAHfe300=")</f>
        <v>#REF!</v>
      </c>
      <c r="CA170" t="e">
        <f>AND(#REF!,"AAAAAHfe304=")</f>
        <v>#REF!</v>
      </c>
      <c r="CB170" t="e">
        <f>AND(#REF!,"AAAAAHfe308=")</f>
        <v>#REF!</v>
      </c>
      <c r="CC170" t="e">
        <f>AND(#REF!,"AAAAAHfe31A=")</f>
        <v>#REF!</v>
      </c>
      <c r="CD170" t="e">
        <f>IF(#REF!,"AAAAAHfe31E=",0)</f>
        <v>#REF!</v>
      </c>
      <c r="CE170" t="e">
        <f>AND(#REF!,"AAAAAHfe31I=")</f>
        <v>#REF!</v>
      </c>
      <c r="CF170" t="e">
        <f>AND(#REF!,"AAAAAHfe31M=")</f>
        <v>#REF!</v>
      </c>
      <c r="CG170" t="e">
        <f>AND(#REF!,"AAAAAHfe31Q=")</f>
        <v>#REF!</v>
      </c>
      <c r="CH170" t="e">
        <f>AND(#REF!,"AAAAAHfe31U=")</f>
        <v>#REF!</v>
      </c>
      <c r="CI170" t="e">
        <f>AND(#REF!,"AAAAAHfe31Y=")</f>
        <v>#REF!</v>
      </c>
      <c r="CJ170" t="e">
        <f>AND(#REF!,"AAAAAHfe31c=")</f>
        <v>#REF!</v>
      </c>
      <c r="CK170" t="e">
        <f>AND(#REF!,"AAAAAHfe31g=")</f>
        <v>#REF!</v>
      </c>
      <c r="CL170" t="e">
        <f>AND(#REF!,"AAAAAHfe31k=")</f>
        <v>#REF!</v>
      </c>
      <c r="CM170" t="e">
        <f>AND(#REF!,"AAAAAHfe31o=")</f>
        <v>#REF!</v>
      </c>
      <c r="CN170" t="e">
        <f>AND(#REF!,"AAAAAHfe31s=")</f>
        <v>#REF!</v>
      </c>
      <c r="CO170" t="e">
        <f>IF(#REF!,"AAAAAHfe31w=",0)</f>
        <v>#REF!</v>
      </c>
      <c r="CP170" t="e">
        <f>AND(#REF!,"AAAAAHfe310=")</f>
        <v>#REF!</v>
      </c>
      <c r="CQ170" t="e">
        <f>AND(#REF!,"AAAAAHfe314=")</f>
        <v>#REF!</v>
      </c>
      <c r="CR170" t="e">
        <f>AND(#REF!,"AAAAAHfe318=")</f>
        <v>#REF!</v>
      </c>
      <c r="CS170" t="e">
        <f>AND(#REF!,"AAAAAHfe32A=")</f>
        <v>#REF!</v>
      </c>
      <c r="CT170" t="e">
        <f>AND(#REF!,"AAAAAHfe32E=")</f>
        <v>#REF!</v>
      </c>
      <c r="CU170" t="e">
        <f>AND(#REF!,"AAAAAHfe32I=")</f>
        <v>#REF!</v>
      </c>
      <c r="CV170" t="e">
        <f>AND(#REF!,"AAAAAHfe32M=")</f>
        <v>#REF!</v>
      </c>
      <c r="CW170" t="e">
        <f>AND(#REF!,"AAAAAHfe32Q=")</f>
        <v>#REF!</v>
      </c>
      <c r="CX170" t="e">
        <f>AND(#REF!,"AAAAAHfe32U=")</f>
        <v>#REF!</v>
      </c>
      <c r="CY170" t="e">
        <f>AND(#REF!,"AAAAAHfe32Y=")</f>
        <v>#REF!</v>
      </c>
      <c r="CZ170" t="e">
        <f>IF(#REF!,"AAAAAHfe32c=",0)</f>
        <v>#REF!</v>
      </c>
      <c r="DA170" t="e">
        <f>AND(#REF!,"AAAAAHfe32g=")</f>
        <v>#REF!</v>
      </c>
      <c r="DB170" t="e">
        <f>AND(#REF!,"AAAAAHfe32k=")</f>
        <v>#REF!</v>
      </c>
      <c r="DC170" t="e">
        <f>AND(#REF!,"AAAAAHfe32o=")</f>
        <v>#REF!</v>
      </c>
      <c r="DD170" t="e">
        <f>AND(#REF!,"AAAAAHfe32s=")</f>
        <v>#REF!</v>
      </c>
      <c r="DE170" t="e">
        <f>AND(#REF!,"AAAAAHfe32w=")</f>
        <v>#REF!</v>
      </c>
      <c r="DF170" t="e">
        <f>AND(#REF!,"AAAAAHfe320=")</f>
        <v>#REF!</v>
      </c>
      <c r="DG170" t="e">
        <f>AND(#REF!,"AAAAAHfe324=")</f>
        <v>#REF!</v>
      </c>
      <c r="DH170" t="e">
        <f>AND(#REF!,"AAAAAHfe328=")</f>
        <v>#REF!</v>
      </c>
      <c r="DI170" t="e">
        <f>AND(#REF!,"AAAAAHfe33A=")</f>
        <v>#REF!</v>
      </c>
      <c r="DJ170" t="e">
        <f>AND(#REF!,"AAAAAHfe33E=")</f>
        <v>#REF!</v>
      </c>
      <c r="DK170" t="e">
        <f>IF(#REF!,"AAAAAHfe33I=",0)</f>
        <v>#REF!</v>
      </c>
      <c r="DL170" t="e">
        <f>AND(#REF!,"AAAAAHfe33M=")</f>
        <v>#REF!</v>
      </c>
      <c r="DM170" t="e">
        <f>AND(#REF!,"AAAAAHfe33Q=")</f>
        <v>#REF!</v>
      </c>
      <c r="DN170" t="e">
        <f>AND(#REF!,"AAAAAHfe33U=")</f>
        <v>#REF!</v>
      </c>
      <c r="DO170" t="e">
        <f>AND(#REF!,"AAAAAHfe33Y=")</f>
        <v>#REF!</v>
      </c>
      <c r="DP170" t="e">
        <f>AND(#REF!,"AAAAAHfe33c=")</f>
        <v>#REF!</v>
      </c>
      <c r="DQ170" t="e">
        <f>AND(#REF!,"AAAAAHfe33g=")</f>
        <v>#REF!</v>
      </c>
      <c r="DR170" t="e">
        <f>AND(#REF!,"AAAAAHfe33k=")</f>
        <v>#REF!</v>
      </c>
      <c r="DS170" t="e">
        <f>AND(#REF!,"AAAAAHfe33o=")</f>
        <v>#REF!</v>
      </c>
      <c r="DT170" t="e">
        <f>AND(#REF!,"AAAAAHfe33s=")</f>
        <v>#REF!</v>
      </c>
      <c r="DU170" t="e">
        <f>AND(#REF!,"AAAAAHfe33w=")</f>
        <v>#REF!</v>
      </c>
      <c r="DV170" t="e">
        <f>IF(#REF!,"AAAAAHfe330=",0)</f>
        <v>#REF!</v>
      </c>
      <c r="DW170" t="e">
        <f>AND(#REF!,"AAAAAHfe334=")</f>
        <v>#REF!</v>
      </c>
      <c r="DX170" t="e">
        <f>AND(#REF!,"AAAAAHfe338=")</f>
        <v>#REF!</v>
      </c>
      <c r="DY170" t="e">
        <f>AND(#REF!,"AAAAAHfe34A=")</f>
        <v>#REF!</v>
      </c>
      <c r="DZ170" t="e">
        <f>AND(#REF!,"AAAAAHfe34E=")</f>
        <v>#REF!</v>
      </c>
      <c r="EA170" t="e">
        <f>AND(#REF!,"AAAAAHfe34I=")</f>
        <v>#REF!</v>
      </c>
      <c r="EB170" t="e">
        <f>AND(#REF!,"AAAAAHfe34M=")</f>
        <v>#REF!</v>
      </c>
      <c r="EC170" t="e">
        <f>AND(#REF!,"AAAAAHfe34Q=")</f>
        <v>#REF!</v>
      </c>
      <c r="ED170" t="e">
        <f>AND(#REF!,"AAAAAHfe34U=")</f>
        <v>#REF!</v>
      </c>
      <c r="EE170" t="e">
        <f>AND(#REF!,"AAAAAHfe34Y=")</f>
        <v>#REF!</v>
      </c>
      <c r="EF170" t="e">
        <f>AND(#REF!,"AAAAAHfe34c=")</f>
        <v>#REF!</v>
      </c>
      <c r="EG170" t="e">
        <f>IF(#REF!,"AAAAAHfe34g=",0)</f>
        <v>#REF!</v>
      </c>
      <c r="EH170" t="e">
        <f>AND(#REF!,"AAAAAHfe34k=")</f>
        <v>#REF!</v>
      </c>
      <c r="EI170" t="e">
        <f>AND(#REF!,"AAAAAHfe34o=")</f>
        <v>#REF!</v>
      </c>
      <c r="EJ170" t="e">
        <f>AND(#REF!,"AAAAAHfe34s=")</f>
        <v>#REF!</v>
      </c>
      <c r="EK170" t="e">
        <f>AND(#REF!,"AAAAAHfe34w=")</f>
        <v>#REF!</v>
      </c>
      <c r="EL170" t="e">
        <f>AND(#REF!,"AAAAAHfe340=")</f>
        <v>#REF!</v>
      </c>
      <c r="EM170" t="e">
        <f>AND(#REF!,"AAAAAHfe344=")</f>
        <v>#REF!</v>
      </c>
      <c r="EN170" t="e">
        <f>AND(#REF!,"AAAAAHfe348=")</f>
        <v>#REF!</v>
      </c>
      <c r="EO170" t="e">
        <f>AND(#REF!,"AAAAAHfe35A=")</f>
        <v>#REF!</v>
      </c>
      <c r="EP170" t="e">
        <f>AND(#REF!,"AAAAAHfe35E=")</f>
        <v>#REF!</v>
      </c>
      <c r="EQ170" t="e">
        <f>AND(#REF!,"AAAAAHfe35I=")</f>
        <v>#REF!</v>
      </c>
      <c r="ER170" t="e">
        <f>IF(#REF!,"AAAAAHfe35M=",0)</f>
        <v>#REF!</v>
      </c>
      <c r="ES170" t="e">
        <f>AND(#REF!,"AAAAAHfe35Q=")</f>
        <v>#REF!</v>
      </c>
      <c r="ET170" t="e">
        <f>AND(#REF!,"AAAAAHfe35U=")</f>
        <v>#REF!</v>
      </c>
      <c r="EU170" t="e">
        <f>AND(#REF!,"AAAAAHfe35Y=")</f>
        <v>#REF!</v>
      </c>
      <c r="EV170" t="e">
        <f>AND(#REF!,"AAAAAHfe35c=")</f>
        <v>#REF!</v>
      </c>
      <c r="EW170" t="e">
        <f>AND(#REF!,"AAAAAHfe35g=")</f>
        <v>#REF!</v>
      </c>
      <c r="EX170" t="e">
        <f>AND(#REF!,"AAAAAHfe35k=")</f>
        <v>#REF!</v>
      </c>
      <c r="EY170" t="e">
        <f>AND(#REF!,"AAAAAHfe35o=")</f>
        <v>#REF!</v>
      </c>
      <c r="EZ170" t="e">
        <f>AND(#REF!,"AAAAAHfe35s=")</f>
        <v>#REF!</v>
      </c>
      <c r="FA170" t="e">
        <f>AND(#REF!,"AAAAAHfe35w=")</f>
        <v>#REF!</v>
      </c>
      <c r="FB170" t="e">
        <f>AND(#REF!,"AAAAAHfe350=")</f>
        <v>#REF!</v>
      </c>
      <c r="FC170" t="e">
        <f>IF(#REF!,"AAAAAHfe354=",0)</f>
        <v>#REF!</v>
      </c>
      <c r="FD170" t="e">
        <f>AND(#REF!,"AAAAAHfe358=")</f>
        <v>#REF!</v>
      </c>
      <c r="FE170" t="e">
        <f>AND(#REF!,"AAAAAHfe36A=")</f>
        <v>#REF!</v>
      </c>
      <c r="FF170" t="e">
        <f>AND(#REF!,"AAAAAHfe36E=")</f>
        <v>#REF!</v>
      </c>
      <c r="FG170" t="e">
        <f>AND(#REF!,"AAAAAHfe36I=")</f>
        <v>#REF!</v>
      </c>
      <c r="FH170" t="e">
        <f>AND(#REF!,"AAAAAHfe36M=")</f>
        <v>#REF!</v>
      </c>
      <c r="FI170" t="e">
        <f>AND(#REF!,"AAAAAHfe36Q=")</f>
        <v>#REF!</v>
      </c>
      <c r="FJ170" t="e">
        <f>AND(#REF!,"AAAAAHfe36U=")</f>
        <v>#REF!</v>
      </c>
      <c r="FK170" t="e">
        <f>AND(#REF!,"AAAAAHfe36Y=")</f>
        <v>#REF!</v>
      </c>
      <c r="FL170" t="e">
        <f>AND(#REF!,"AAAAAHfe36c=")</f>
        <v>#REF!</v>
      </c>
      <c r="FM170" t="e">
        <f>AND(#REF!,"AAAAAHfe36g=")</f>
        <v>#REF!</v>
      </c>
      <c r="FN170" t="e">
        <f>IF(#REF!,"AAAAAHfe36k=",0)</f>
        <v>#REF!</v>
      </c>
      <c r="FO170" t="e">
        <f>AND(#REF!,"AAAAAHfe36o=")</f>
        <v>#REF!</v>
      </c>
      <c r="FP170" t="e">
        <f>AND(#REF!,"AAAAAHfe36s=")</f>
        <v>#REF!</v>
      </c>
      <c r="FQ170" t="e">
        <f>AND(#REF!,"AAAAAHfe36w=")</f>
        <v>#REF!</v>
      </c>
      <c r="FR170" t="e">
        <f>AND(#REF!,"AAAAAHfe360=")</f>
        <v>#REF!</v>
      </c>
      <c r="FS170" t="e">
        <f>AND(#REF!,"AAAAAHfe364=")</f>
        <v>#REF!</v>
      </c>
      <c r="FT170" t="e">
        <f>AND(#REF!,"AAAAAHfe368=")</f>
        <v>#REF!</v>
      </c>
      <c r="FU170" t="e">
        <f>AND(#REF!,"AAAAAHfe37A=")</f>
        <v>#REF!</v>
      </c>
      <c r="FV170" t="e">
        <f>AND(#REF!,"AAAAAHfe37E=")</f>
        <v>#REF!</v>
      </c>
      <c r="FW170" t="e">
        <f>AND(#REF!,"AAAAAHfe37I=")</f>
        <v>#REF!</v>
      </c>
      <c r="FX170" t="e">
        <f>AND(#REF!,"AAAAAHfe37M=")</f>
        <v>#REF!</v>
      </c>
      <c r="FY170" t="e">
        <f>IF(#REF!,"AAAAAHfe37Q=",0)</f>
        <v>#REF!</v>
      </c>
      <c r="FZ170" t="e">
        <f>AND(#REF!,"AAAAAHfe37U=")</f>
        <v>#REF!</v>
      </c>
      <c r="GA170" t="e">
        <f>AND(#REF!,"AAAAAHfe37Y=")</f>
        <v>#REF!</v>
      </c>
      <c r="GB170" t="e">
        <f>AND(#REF!,"AAAAAHfe37c=")</f>
        <v>#REF!</v>
      </c>
      <c r="GC170" t="e">
        <f>AND(#REF!,"AAAAAHfe37g=")</f>
        <v>#REF!</v>
      </c>
      <c r="GD170" t="e">
        <f>AND(#REF!,"AAAAAHfe37k=")</f>
        <v>#REF!</v>
      </c>
      <c r="GE170" t="e">
        <f>AND(#REF!,"AAAAAHfe37o=")</f>
        <v>#REF!</v>
      </c>
      <c r="GF170" t="e">
        <f>AND(#REF!,"AAAAAHfe37s=")</f>
        <v>#REF!</v>
      </c>
      <c r="GG170" t="e">
        <f>AND(#REF!,"AAAAAHfe37w=")</f>
        <v>#REF!</v>
      </c>
      <c r="GH170" t="e">
        <f>AND(#REF!,"AAAAAHfe370=")</f>
        <v>#REF!</v>
      </c>
      <c r="GI170" t="e">
        <f>AND(#REF!,"AAAAAHfe374=")</f>
        <v>#REF!</v>
      </c>
      <c r="GJ170" t="e">
        <f>IF(#REF!,"AAAAAHfe378=",0)</f>
        <v>#REF!</v>
      </c>
      <c r="GK170" t="e">
        <f>AND(#REF!,"AAAAAHfe38A=")</f>
        <v>#REF!</v>
      </c>
      <c r="GL170" t="e">
        <f>AND(#REF!,"AAAAAHfe38E=")</f>
        <v>#REF!</v>
      </c>
      <c r="GM170" t="e">
        <f>AND(#REF!,"AAAAAHfe38I=")</f>
        <v>#REF!</v>
      </c>
      <c r="GN170" t="e">
        <f>AND(#REF!,"AAAAAHfe38M=")</f>
        <v>#REF!</v>
      </c>
      <c r="GO170" t="e">
        <f>AND(#REF!,"AAAAAHfe38Q=")</f>
        <v>#REF!</v>
      </c>
      <c r="GP170" t="e">
        <f>AND(#REF!,"AAAAAHfe38U=")</f>
        <v>#REF!</v>
      </c>
      <c r="GQ170" t="e">
        <f>AND(#REF!,"AAAAAHfe38Y=")</f>
        <v>#REF!</v>
      </c>
      <c r="GR170" t="e">
        <f>AND(#REF!,"AAAAAHfe38c=")</f>
        <v>#REF!</v>
      </c>
      <c r="GS170" t="e">
        <f>AND(#REF!,"AAAAAHfe38g=")</f>
        <v>#REF!</v>
      </c>
      <c r="GT170" t="e">
        <f>AND(#REF!,"AAAAAHfe38k=")</f>
        <v>#REF!</v>
      </c>
      <c r="GU170" t="e">
        <f>IF(#REF!,"AAAAAHfe38o=",0)</f>
        <v>#REF!</v>
      </c>
      <c r="GV170" t="e">
        <f>AND(#REF!,"AAAAAHfe38s=")</f>
        <v>#REF!</v>
      </c>
      <c r="GW170" t="e">
        <f>AND(#REF!,"AAAAAHfe38w=")</f>
        <v>#REF!</v>
      </c>
      <c r="GX170" t="e">
        <f>AND(#REF!,"AAAAAHfe380=")</f>
        <v>#REF!</v>
      </c>
      <c r="GY170" t="e">
        <f>AND(#REF!,"AAAAAHfe384=")</f>
        <v>#REF!</v>
      </c>
      <c r="GZ170" t="e">
        <f>AND(#REF!,"AAAAAHfe388=")</f>
        <v>#REF!</v>
      </c>
      <c r="HA170" t="e">
        <f>AND(#REF!,"AAAAAHfe39A=")</f>
        <v>#REF!</v>
      </c>
      <c r="HB170" t="e">
        <f>AND(#REF!,"AAAAAHfe39E=")</f>
        <v>#REF!</v>
      </c>
      <c r="HC170" t="e">
        <f>AND(#REF!,"AAAAAHfe39I=")</f>
        <v>#REF!</v>
      </c>
      <c r="HD170" t="e">
        <f>AND(#REF!,"AAAAAHfe39M=")</f>
        <v>#REF!</v>
      </c>
      <c r="HE170" t="e">
        <f>AND(#REF!,"AAAAAHfe39Q=")</f>
        <v>#REF!</v>
      </c>
      <c r="HF170" t="e">
        <f>IF(#REF!,"AAAAAHfe39U=",0)</f>
        <v>#REF!</v>
      </c>
      <c r="HG170" t="e">
        <f>AND(#REF!,"AAAAAHfe39Y=")</f>
        <v>#REF!</v>
      </c>
      <c r="HH170" t="e">
        <f>AND(#REF!,"AAAAAHfe39c=")</f>
        <v>#REF!</v>
      </c>
      <c r="HI170" t="e">
        <f>AND(#REF!,"AAAAAHfe39g=")</f>
        <v>#REF!</v>
      </c>
      <c r="HJ170" t="e">
        <f>AND(#REF!,"AAAAAHfe39k=")</f>
        <v>#REF!</v>
      </c>
      <c r="HK170" t="e">
        <f>AND(#REF!,"AAAAAHfe39o=")</f>
        <v>#REF!</v>
      </c>
      <c r="HL170" t="e">
        <f>AND(#REF!,"AAAAAHfe39s=")</f>
        <v>#REF!</v>
      </c>
      <c r="HM170" t="e">
        <f>AND(#REF!,"AAAAAHfe39w=")</f>
        <v>#REF!</v>
      </c>
      <c r="HN170" t="e">
        <f>AND(#REF!,"AAAAAHfe390=")</f>
        <v>#REF!</v>
      </c>
      <c r="HO170" t="e">
        <f>AND(#REF!,"AAAAAHfe394=")</f>
        <v>#REF!</v>
      </c>
      <c r="HP170" t="e">
        <f>AND(#REF!,"AAAAAHfe398=")</f>
        <v>#REF!</v>
      </c>
      <c r="HQ170" t="e">
        <f>IF(#REF!,"AAAAAHfe3+A=",0)</f>
        <v>#REF!</v>
      </c>
      <c r="HR170" t="e">
        <f>AND(#REF!,"AAAAAHfe3+E=")</f>
        <v>#REF!</v>
      </c>
      <c r="HS170" t="e">
        <f>AND(#REF!,"AAAAAHfe3+I=")</f>
        <v>#REF!</v>
      </c>
      <c r="HT170" t="e">
        <f>AND(#REF!,"AAAAAHfe3+M=")</f>
        <v>#REF!</v>
      </c>
      <c r="HU170" t="e">
        <f>AND(#REF!,"AAAAAHfe3+Q=")</f>
        <v>#REF!</v>
      </c>
      <c r="HV170" t="e">
        <f>AND(#REF!,"AAAAAHfe3+U=")</f>
        <v>#REF!</v>
      </c>
      <c r="HW170" t="e">
        <f>AND(#REF!,"AAAAAHfe3+Y=")</f>
        <v>#REF!</v>
      </c>
      <c r="HX170" t="e">
        <f>AND(#REF!,"AAAAAHfe3+c=")</f>
        <v>#REF!</v>
      </c>
      <c r="HY170" t="e">
        <f>AND(#REF!,"AAAAAHfe3+g=")</f>
        <v>#REF!</v>
      </c>
      <c r="HZ170" t="e">
        <f>AND(#REF!,"AAAAAHfe3+k=")</f>
        <v>#REF!</v>
      </c>
      <c r="IA170" t="e">
        <f>AND(#REF!,"AAAAAHfe3+o=")</f>
        <v>#REF!</v>
      </c>
      <c r="IB170" t="e">
        <f>IF(#REF!,"AAAAAHfe3+s=",0)</f>
        <v>#REF!</v>
      </c>
      <c r="IC170" t="e">
        <f>AND(#REF!,"AAAAAHfe3+w=")</f>
        <v>#REF!</v>
      </c>
      <c r="ID170" t="e">
        <f>AND(#REF!,"AAAAAHfe3+0=")</f>
        <v>#REF!</v>
      </c>
      <c r="IE170" t="e">
        <f>AND(#REF!,"AAAAAHfe3+4=")</f>
        <v>#REF!</v>
      </c>
      <c r="IF170" t="e">
        <f>AND(#REF!,"AAAAAHfe3+8=")</f>
        <v>#REF!</v>
      </c>
      <c r="IG170" t="e">
        <f>AND(#REF!,"AAAAAHfe3/A=")</f>
        <v>#REF!</v>
      </c>
      <c r="IH170" t="e">
        <f>AND(#REF!,"AAAAAHfe3/E=")</f>
        <v>#REF!</v>
      </c>
      <c r="II170" t="e">
        <f>AND(#REF!,"AAAAAHfe3/I=")</f>
        <v>#REF!</v>
      </c>
      <c r="IJ170" t="e">
        <f>AND(#REF!,"AAAAAHfe3/M=")</f>
        <v>#REF!</v>
      </c>
      <c r="IK170" t="e">
        <f>AND(#REF!,"AAAAAHfe3/Q=")</f>
        <v>#REF!</v>
      </c>
      <c r="IL170" t="e">
        <f>AND(#REF!,"AAAAAHfe3/U=")</f>
        <v>#REF!</v>
      </c>
      <c r="IM170" t="e">
        <f>IF(#REF!,"AAAAAHfe3/Y=",0)</f>
        <v>#REF!</v>
      </c>
      <c r="IN170" t="e">
        <f>AND(#REF!,"AAAAAHfe3/c=")</f>
        <v>#REF!</v>
      </c>
      <c r="IO170" t="e">
        <f>AND(#REF!,"AAAAAHfe3/g=")</f>
        <v>#REF!</v>
      </c>
      <c r="IP170" t="e">
        <f>AND(#REF!,"AAAAAHfe3/k=")</f>
        <v>#REF!</v>
      </c>
      <c r="IQ170" t="e">
        <f>AND(#REF!,"AAAAAHfe3/o=")</f>
        <v>#REF!</v>
      </c>
      <c r="IR170" t="e">
        <f>AND(#REF!,"AAAAAHfe3/s=")</f>
        <v>#REF!</v>
      </c>
      <c r="IS170" t="e">
        <f>AND(#REF!,"AAAAAHfe3/w=")</f>
        <v>#REF!</v>
      </c>
      <c r="IT170" t="e">
        <f>AND(#REF!,"AAAAAHfe3/0=")</f>
        <v>#REF!</v>
      </c>
      <c r="IU170" t="e">
        <f>AND(#REF!,"AAAAAHfe3/4=")</f>
        <v>#REF!</v>
      </c>
      <c r="IV170" t="e">
        <f>AND(#REF!,"AAAAAHfe3/8=")</f>
        <v>#REF!</v>
      </c>
    </row>
    <row r="171" spans="1:256" x14ac:dyDescent="0.25">
      <c r="A171" t="e">
        <f>AND(#REF!,"AAAAAFbPbgA=")</f>
        <v>#REF!</v>
      </c>
      <c r="B171" t="e">
        <f>IF(#REF!,"AAAAAFbPbgE=",0)</f>
        <v>#REF!</v>
      </c>
      <c r="C171" t="e">
        <f>AND(#REF!,"AAAAAFbPbgI=")</f>
        <v>#REF!</v>
      </c>
      <c r="D171" t="e">
        <f>AND(#REF!,"AAAAAFbPbgM=")</f>
        <v>#REF!</v>
      </c>
      <c r="E171" t="e">
        <f>AND(#REF!,"AAAAAFbPbgQ=")</f>
        <v>#REF!</v>
      </c>
      <c r="F171" t="e">
        <f>AND(#REF!,"AAAAAFbPbgU=")</f>
        <v>#REF!</v>
      </c>
      <c r="G171" t="e">
        <f>AND(#REF!,"AAAAAFbPbgY=")</f>
        <v>#REF!</v>
      </c>
      <c r="H171" t="e">
        <f>AND(#REF!,"AAAAAFbPbgc=")</f>
        <v>#REF!</v>
      </c>
      <c r="I171" t="e">
        <f>AND(#REF!,"AAAAAFbPbgg=")</f>
        <v>#REF!</v>
      </c>
      <c r="J171" t="e">
        <f>AND(#REF!,"AAAAAFbPbgk=")</f>
        <v>#REF!</v>
      </c>
      <c r="K171" t="e">
        <f>AND(#REF!,"AAAAAFbPbgo=")</f>
        <v>#REF!</v>
      </c>
      <c r="L171" t="e">
        <f>AND(#REF!,"AAAAAFbPbgs=")</f>
        <v>#REF!</v>
      </c>
      <c r="M171" t="e">
        <f>IF(#REF!,"AAAAAFbPbgw=",0)</f>
        <v>#REF!</v>
      </c>
      <c r="N171" t="e">
        <f>AND(#REF!,"AAAAAFbPbg0=")</f>
        <v>#REF!</v>
      </c>
      <c r="O171" t="e">
        <f>AND(#REF!,"AAAAAFbPbg4=")</f>
        <v>#REF!</v>
      </c>
      <c r="P171" t="e">
        <f>AND(#REF!,"AAAAAFbPbg8=")</f>
        <v>#REF!</v>
      </c>
      <c r="Q171" t="e">
        <f>AND(#REF!,"AAAAAFbPbhA=")</f>
        <v>#REF!</v>
      </c>
      <c r="R171" t="e">
        <f>AND(#REF!,"AAAAAFbPbhE=")</f>
        <v>#REF!</v>
      </c>
      <c r="S171" t="e">
        <f>AND(#REF!,"AAAAAFbPbhI=")</f>
        <v>#REF!</v>
      </c>
      <c r="T171" t="e">
        <f>AND(#REF!,"AAAAAFbPbhM=")</f>
        <v>#REF!</v>
      </c>
      <c r="U171" t="e">
        <f>AND(#REF!,"AAAAAFbPbhQ=")</f>
        <v>#REF!</v>
      </c>
      <c r="V171" t="e">
        <f>AND(#REF!,"AAAAAFbPbhU=")</f>
        <v>#REF!</v>
      </c>
      <c r="W171" t="e">
        <f>AND(#REF!,"AAAAAFbPbhY=")</f>
        <v>#REF!</v>
      </c>
      <c r="X171" t="e">
        <f>IF(#REF!,"AAAAAFbPbhc=",0)</f>
        <v>#REF!</v>
      </c>
      <c r="Y171" t="e">
        <f>AND(#REF!,"AAAAAFbPbhg=")</f>
        <v>#REF!</v>
      </c>
      <c r="Z171" t="e">
        <f>AND(#REF!,"AAAAAFbPbhk=")</f>
        <v>#REF!</v>
      </c>
      <c r="AA171" t="e">
        <f>AND(#REF!,"AAAAAFbPbho=")</f>
        <v>#REF!</v>
      </c>
      <c r="AB171" t="e">
        <f>AND(#REF!,"AAAAAFbPbhs=")</f>
        <v>#REF!</v>
      </c>
      <c r="AC171" t="e">
        <f>AND(#REF!,"AAAAAFbPbhw=")</f>
        <v>#REF!</v>
      </c>
      <c r="AD171" t="e">
        <f>AND(#REF!,"AAAAAFbPbh0=")</f>
        <v>#REF!</v>
      </c>
      <c r="AE171" t="e">
        <f>AND(#REF!,"AAAAAFbPbh4=")</f>
        <v>#REF!</v>
      </c>
      <c r="AF171" t="e">
        <f>AND(#REF!,"AAAAAFbPbh8=")</f>
        <v>#REF!</v>
      </c>
      <c r="AG171" t="e">
        <f>AND(#REF!,"AAAAAFbPbiA=")</f>
        <v>#REF!</v>
      </c>
      <c r="AH171" t="e">
        <f>AND(#REF!,"AAAAAFbPbiE=")</f>
        <v>#REF!</v>
      </c>
      <c r="AI171" t="e">
        <f>IF(#REF!,"AAAAAFbPbiI=",0)</f>
        <v>#REF!</v>
      </c>
      <c r="AJ171" t="e">
        <f>AND(#REF!,"AAAAAFbPbiM=")</f>
        <v>#REF!</v>
      </c>
      <c r="AK171" t="e">
        <f>AND(#REF!,"AAAAAFbPbiQ=")</f>
        <v>#REF!</v>
      </c>
      <c r="AL171" t="e">
        <f>AND(#REF!,"AAAAAFbPbiU=")</f>
        <v>#REF!</v>
      </c>
      <c r="AM171" t="e">
        <f>AND(#REF!,"AAAAAFbPbiY=")</f>
        <v>#REF!</v>
      </c>
      <c r="AN171" t="e">
        <f>AND(#REF!,"AAAAAFbPbic=")</f>
        <v>#REF!</v>
      </c>
      <c r="AO171" t="e">
        <f>AND(#REF!,"AAAAAFbPbig=")</f>
        <v>#REF!</v>
      </c>
      <c r="AP171" t="e">
        <f>AND(#REF!,"AAAAAFbPbik=")</f>
        <v>#REF!</v>
      </c>
      <c r="AQ171" t="e">
        <f>AND(#REF!,"AAAAAFbPbio=")</f>
        <v>#REF!</v>
      </c>
      <c r="AR171" t="e">
        <f>AND(#REF!,"AAAAAFbPbis=")</f>
        <v>#REF!</v>
      </c>
      <c r="AS171" t="e">
        <f>AND(#REF!,"AAAAAFbPbiw=")</f>
        <v>#REF!</v>
      </c>
      <c r="AT171" t="e">
        <f>IF(#REF!,"AAAAAFbPbi0=",0)</f>
        <v>#REF!</v>
      </c>
      <c r="AU171" t="e">
        <f>AND(#REF!,"AAAAAFbPbi4=")</f>
        <v>#REF!</v>
      </c>
      <c r="AV171" t="e">
        <f>AND(#REF!,"AAAAAFbPbi8=")</f>
        <v>#REF!</v>
      </c>
      <c r="AW171" t="e">
        <f>AND(#REF!,"AAAAAFbPbjA=")</f>
        <v>#REF!</v>
      </c>
      <c r="AX171" t="e">
        <f>AND(#REF!,"AAAAAFbPbjE=")</f>
        <v>#REF!</v>
      </c>
      <c r="AY171" t="e">
        <f>AND(#REF!,"AAAAAFbPbjI=")</f>
        <v>#REF!</v>
      </c>
      <c r="AZ171" t="e">
        <f>AND(#REF!,"AAAAAFbPbjM=")</f>
        <v>#REF!</v>
      </c>
      <c r="BA171" t="e">
        <f>AND(#REF!,"AAAAAFbPbjQ=")</f>
        <v>#REF!</v>
      </c>
      <c r="BB171" t="e">
        <f>AND(#REF!,"AAAAAFbPbjU=")</f>
        <v>#REF!</v>
      </c>
      <c r="BC171" t="e">
        <f>AND(#REF!,"AAAAAFbPbjY=")</f>
        <v>#REF!</v>
      </c>
      <c r="BD171" t="e">
        <f>AND(#REF!,"AAAAAFbPbjc=")</f>
        <v>#REF!</v>
      </c>
      <c r="BE171" t="e">
        <f>IF(#REF!,"AAAAAFbPbjg=",0)</f>
        <v>#REF!</v>
      </c>
      <c r="BF171" t="e">
        <f>AND(#REF!,"AAAAAFbPbjk=")</f>
        <v>#REF!</v>
      </c>
      <c r="BG171" t="e">
        <f>AND(#REF!,"AAAAAFbPbjo=")</f>
        <v>#REF!</v>
      </c>
      <c r="BH171" t="e">
        <f>AND(#REF!,"AAAAAFbPbjs=")</f>
        <v>#REF!</v>
      </c>
      <c r="BI171" t="e">
        <f>AND(#REF!,"AAAAAFbPbjw=")</f>
        <v>#REF!</v>
      </c>
      <c r="BJ171" t="e">
        <f>AND(#REF!,"AAAAAFbPbj0=")</f>
        <v>#REF!</v>
      </c>
      <c r="BK171" t="e">
        <f>AND(#REF!,"AAAAAFbPbj4=")</f>
        <v>#REF!</v>
      </c>
      <c r="BL171" t="e">
        <f>AND(#REF!,"AAAAAFbPbj8=")</f>
        <v>#REF!</v>
      </c>
      <c r="BM171" t="e">
        <f>AND(#REF!,"AAAAAFbPbkA=")</f>
        <v>#REF!</v>
      </c>
      <c r="BN171" t="e">
        <f>AND(#REF!,"AAAAAFbPbkE=")</f>
        <v>#REF!</v>
      </c>
      <c r="BO171" t="e">
        <f>AND(#REF!,"AAAAAFbPbkI=")</f>
        <v>#REF!</v>
      </c>
      <c r="BP171" t="e">
        <f>IF(#REF!,"AAAAAFbPbkM=",0)</f>
        <v>#REF!</v>
      </c>
      <c r="BQ171" t="e">
        <f>AND(#REF!,"AAAAAFbPbkQ=")</f>
        <v>#REF!</v>
      </c>
      <c r="BR171" t="e">
        <f>AND(#REF!,"AAAAAFbPbkU=")</f>
        <v>#REF!</v>
      </c>
      <c r="BS171" t="e">
        <f>AND(#REF!,"AAAAAFbPbkY=")</f>
        <v>#REF!</v>
      </c>
      <c r="BT171" t="e">
        <f>AND(#REF!,"AAAAAFbPbkc=")</f>
        <v>#REF!</v>
      </c>
      <c r="BU171" t="e">
        <f>AND(#REF!,"AAAAAFbPbkg=")</f>
        <v>#REF!</v>
      </c>
      <c r="BV171" t="e">
        <f>AND(#REF!,"AAAAAFbPbkk=")</f>
        <v>#REF!</v>
      </c>
      <c r="BW171" t="e">
        <f>AND(#REF!,"AAAAAFbPbko=")</f>
        <v>#REF!</v>
      </c>
      <c r="BX171" t="e">
        <f>AND(#REF!,"AAAAAFbPbks=")</f>
        <v>#REF!</v>
      </c>
      <c r="BY171" t="e">
        <f>AND(#REF!,"AAAAAFbPbkw=")</f>
        <v>#REF!</v>
      </c>
      <c r="BZ171" t="e">
        <f>AND(#REF!,"AAAAAFbPbk0=")</f>
        <v>#REF!</v>
      </c>
      <c r="CA171" t="e">
        <f>IF(#REF!,"AAAAAFbPbk4=",0)</f>
        <v>#REF!</v>
      </c>
      <c r="CB171" t="e">
        <f>AND(#REF!,"AAAAAFbPbk8=")</f>
        <v>#REF!</v>
      </c>
      <c r="CC171" t="e">
        <f>AND(#REF!,"AAAAAFbPblA=")</f>
        <v>#REF!</v>
      </c>
      <c r="CD171" t="e">
        <f>AND(#REF!,"AAAAAFbPblE=")</f>
        <v>#REF!</v>
      </c>
      <c r="CE171" t="e">
        <f>AND(#REF!,"AAAAAFbPblI=")</f>
        <v>#REF!</v>
      </c>
      <c r="CF171" t="e">
        <f>AND(#REF!,"AAAAAFbPblM=")</f>
        <v>#REF!</v>
      </c>
      <c r="CG171" t="e">
        <f>AND(#REF!,"AAAAAFbPblQ=")</f>
        <v>#REF!</v>
      </c>
      <c r="CH171" t="e">
        <f>AND(#REF!,"AAAAAFbPblU=")</f>
        <v>#REF!</v>
      </c>
      <c r="CI171" t="e">
        <f>AND(#REF!,"AAAAAFbPblY=")</f>
        <v>#REF!</v>
      </c>
      <c r="CJ171" t="e">
        <f>AND(#REF!,"AAAAAFbPblc=")</f>
        <v>#REF!</v>
      </c>
      <c r="CK171" t="e">
        <f>AND(#REF!,"AAAAAFbPblg=")</f>
        <v>#REF!</v>
      </c>
      <c r="CL171" t="e">
        <f>IF(#REF!,"AAAAAFbPblk=",0)</f>
        <v>#REF!</v>
      </c>
      <c r="CM171" t="e">
        <f>AND(#REF!,"AAAAAFbPblo=")</f>
        <v>#REF!</v>
      </c>
      <c r="CN171" t="e">
        <f>AND(#REF!,"AAAAAFbPbls=")</f>
        <v>#REF!</v>
      </c>
      <c r="CO171" t="e">
        <f>AND(#REF!,"AAAAAFbPblw=")</f>
        <v>#REF!</v>
      </c>
      <c r="CP171" t="e">
        <f>AND(#REF!,"AAAAAFbPbl0=")</f>
        <v>#REF!</v>
      </c>
      <c r="CQ171" t="e">
        <f>AND(#REF!,"AAAAAFbPbl4=")</f>
        <v>#REF!</v>
      </c>
      <c r="CR171" t="e">
        <f>AND(#REF!,"AAAAAFbPbl8=")</f>
        <v>#REF!</v>
      </c>
      <c r="CS171" t="e">
        <f>AND(#REF!,"AAAAAFbPbmA=")</f>
        <v>#REF!</v>
      </c>
      <c r="CT171" t="e">
        <f>AND(#REF!,"AAAAAFbPbmE=")</f>
        <v>#REF!</v>
      </c>
      <c r="CU171" t="e">
        <f>AND(#REF!,"AAAAAFbPbmI=")</f>
        <v>#REF!</v>
      </c>
      <c r="CV171" t="e">
        <f>AND(#REF!,"AAAAAFbPbmM=")</f>
        <v>#REF!</v>
      </c>
      <c r="CW171" t="e">
        <f>IF(#REF!,"AAAAAFbPbmQ=",0)</f>
        <v>#REF!</v>
      </c>
      <c r="CX171" t="e">
        <f>AND(#REF!,"AAAAAFbPbmU=")</f>
        <v>#REF!</v>
      </c>
      <c r="CY171" t="e">
        <f>AND(#REF!,"AAAAAFbPbmY=")</f>
        <v>#REF!</v>
      </c>
      <c r="CZ171" t="e">
        <f>AND(#REF!,"AAAAAFbPbmc=")</f>
        <v>#REF!</v>
      </c>
      <c r="DA171" t="e">
        <f>AND(#REF!,"AAAAAFbPbmg=")</f>
        <v>#REF!</v>
      </c>
      <c r="DB171" t="e">
        <f>AND(#REF!,"AAAAAFbPbmk=")</f>
        <v>#REF!</v>
      </c>
      <c r="DC171" t="e">
        <f>AND(#REF!,"AAAAAFbPbmo=")</f>
        <v>#REF!</v>
      </c>
      <c r="DD171" t="e">
        <f>AND(#REF!,"AAAAAFbPbms=")</f>
        <v>#REF!</v>
      </c>
      <c r="DE171" t="e">
        <f>AND(#REF!,"AAAAAFbPbmw=")</f>
        <v>#REF!</v>
      </c>
      <c r="DF171" t="e">
        <f>AND(#REF!,"AAAAAFbPbm0=")</f>
        <v>#REF!</v>
      </c>
      <c r="DG171" t="e">
        <f>AND(#REF!,"AAAAAFbPbm4=")</f>
        <v>#REF!</v>
      </c>
      <c r="DH171" t="e">
        <f>IF(#REF!,"AAAAAFbPbm8=",0)</f>
        <v>#REF!</v>
      </c>
      <c r="DI171" t="e">
        <f>AND(#REF!,"AAAAAFbPbnA=")</f>
        <v>#REF!</v>
      </c>
      <c r="DJ171" t="e">
        <f>AND(#REF!,"AAAAAFbPbnE=")</f>
        <v>#REF!</v>
      </c>
      <c r="DK171" t="e">
        <f>AND(#REF!,"AAAAAFbPbnI=")</f>
        <v>#REF!</v>
      </c>
      <c r="DL171" t="e">
        <f>AND(#REF!,"AAAAAFbPbnM=")</f>
        <v>#REF!</v>
      </c>
      <c r="DM171" t="e">
        <f>AND(#REF!,"AAAAAFbPbnQ=")</f>
        <v>#REF!</v>
      </c>
      <c r="DN171" t="e">
        <f>AND(#REF!,"AAAAAFbPbnU=")</f>
        <v>#REF!</v>
      </c>
      <c r="DO171" t="e">
        <f>AND(#REF!,"AAAAAFbPbnY=")</f>
        <v>#REF!</v>
      </c>
      <c r="DP171" t="e">
        <f>AND(#REF!,"AAAAAFbPbnc=")</f>
        <v>#REF!</v>
      </c>
      <c r="DQ171" t="e">
        <f>AND(#REF!,"AAAAAFbPbng=")</f>
        <v>#REF!</v>
      </c>
      <c r="DR171" t="e">
        <f>AND(#REF!,"AAAAAFbPbnk=")</f>
        <v>#REF!</v>
      </c>
      <c r="DS171" t="e">
        <f>IF(#REF!,"AAAAAFbPbno=",0)</f>
        <v>#REF!</v>
      </c>
      <c r="DT171" t="e">
        <f>AND(#REF!,"AAAAAFbPbns=")</f>
        <v>#REF!</v>
      </c>
      <c r="DU171" t="e">
        <f>AND(#REF!,"AAAAAFbPbnw=")</f>
        <v>#REF!</v>
      </c>
      <c r="DV171" t="e">
        <f>AND(#REF!,"AAAAAFbPbn0=")</f>
        <v>#REF!</v>
      </c>
      <c r="DW171" t="e">
        <f>AND(#REF!,"AAAAAFbPbn4=")</f>
        <v>#REF!</v>
      </c>
      <c r="DX171" t="e">
        <f>AND(#REF!,"AAAAAFbPbn8=")</f>
        <v>#REF!</v>
      </c>
      <c r="DY171" t="e">
        <f>AND(#REF!,"AAAAAFbPboA=")</f>
        <v>#REF!</v>
      </c>
      <c r="DZ171" t="e">
        <f>AND(#REF!,"AAAAAFbPboE=")</f>
        <v>#REF!</v>
      </c>
      <c r="EA171" t="e">
        <f>AND(#REF!,"AAAAAFbPboI=")</f>
        <v>#REF!</v>
      </c>
      <c r="EB171" t="e">
        <f>AND(#REF!,"AAAAAFbPboM=")</f>
        <v>#REF!</v>
      </c>
      <c r="EC171" t="e">
        <f>AND(#REF!,"AAAAAFbPboQ=")</f>
        <v>#REF!</v>
      </c>
      <c r="ED171" t="e">
        <f>IF(#REF!,"AAAAAFbPboU=",0)</f>
        <v>#REF!</v>
      </c>
      <c r="EE171" t="e">
        <f>AND(#REF!,"AAAAAFbPboY=")</f>
        <v>#REF!</v>
      </c>
      <c r="EF171" t="e">
        <f>AND(#REF!,"AAAAAFbPboc=")</f>
        <v>#REF!</v>
      </c>
      <c r="EG171" t="e">
        <f>AND(#REF!,"AAAAAFbPbog=")</f>
        <v>#REF!</v>
      </c>
      <c r="EH171" t="e">
        <f>AND(#REF!,"AAAAAFbPbok=")</f>
        <v>#REF!</v>
      </c>
      <c r="EI171" t="e">
        <f>AND(#REF!,"AAAAAFbPboo=")</f>
        <v>#REF!</v>
      </c>
      <c r="EJ171" t="e">
        <f>AND(#REF!,"AAAAAFbPbos=")</f>
        <v>#REF!</v>
      </c>
      <c r="EK171" t="e">
        <f>AND(#REF!,"AAAAAFbPbow=")</f>
        <v>#REF!</v>
      </c>
      <c r="EL171" t="e">
        <f>AND(#REF!,"AAAAAFbPbo0=")</f>
        <v>#REF!</v>
      </c>
      <c r="EM171" t="e">
        <f>AND(#REF!,"AAAAAFbPbo4=")</f>
        <v>#REF!</v>
      </c>
      <c r="EN171" t="e">
        <f>AND(#REF!,"AAAAAFbPbo8=")</f>
        <v>#REF!</v>
      </c>
      <c r="EO171" t="e">
        <f>IF(#REF!,"AAAAAFbPbpA=",0)</f>
        <v>#REF!</v>
      </c>
      <c r="EP171" t="e">
        <f>AND(#REF!,"AAAAAFbPbpE=")</f>
        <v>#REF!</v>
      </c>
      <c r="EQ171" t="e">
        <f>AND(#REF!,"AAAAAFbPbpI=")</f>
        <v>#REF!</v>
      </c>
      <c r="ER171" t="e">
        <f>AND(#REF!,"AAAAAFbPbpM=")</f>
        <v>#REF!</v>
      </c>
      <c r="ES171" t="e">
        <f>AND(#REF!,"AAAAAFbPbpQ=")</f>
        <v>#REF!</v>
      </c>
      <c r="ET171" t="e">
        <f>AND(#REF!,"AAAAAFbPbpU=")</f>
        <v>#REF!</v>
      </c>
      <c r="EU171" t="e">
        <f>AND(#REF!,"AAAAAFbPbpY=")</f>
        <v>#REF!</v>
      </c>
      <c r="EV171" t="e">
        <f>AND(#REF!,"AAAAAFbPbpc=")</f>
        <v>#REF!</v>
      </c>
      <c r="EW171" t="e">
        <f>AND(#REF!,"AAAAAFbPbpg=")</f>
        <v>#REF!</v>
      </c>
      <c r="EX171" t="e">
        <f>AND(#REF!,"AAAAAFbPbpk=")</f>
        <v>#REF!</v>
      </c>
      <c r="EY171" t="e">
        <f>AND(#REF!,"AAAAAFbPbpo=")</f>
        <v>#REF!</v>
      </c>
      <c r="EZ171" t="e">
        <f>IF(#REF!,"AAAAAFbPbps=",0)</f>
        <v>#REF!</v>
      </c>
      <c r="FA171" t="e">
        <f>AND(#REF!,"AAAAAFbPbpw=")</f>
        <v>#REF!</v>
      </c>
      <c r="FB171" t="e">
        <f>AND(#REF!,"AAAAAFbPbp0=")</f>
        <v>#REF!</v>
      </c>
      <c r="FC171" t="e">
        <f>AND(#REF!,"AAAAAFbPbp4=")</f>
        <v>#REF!</v>
      </c>
      <c r="FD171" t="e">
        <f>AND(#REF!,"AAAAAFbPbp8=")</f>
        <v>#REF!</v>
      </c>
      <c r="FE171" t="e">
        <f>AND(#REF!,"AAAAAFbPbqA=")</f>
        <v>#REF!</v>
      </c>
      <c r="FF171" t="e">
        <f>AND(#REF!,"AAAAAFbPbqE=")</f>
        <v>#REF!</v>
      </c>
      <c r="FG171" t="e">
        <f>AND(#REF!,"AAAAAFbPbqI=")</f>
        <v>#REF!</v>
      </c>
      <c r="FH171" t="e">
        <f>AND(#REF!,"AAAAAFbPbqM=")</f>
        <v>#REF!</v>
      </c>
      <c r="FI171" t="e">
        <f>AND(#REF!,"AAAAAFbPbqQ=")</f>
        <v>#REF!</v>
      </c>
      <c r="FJ171" t="e">
        <f>AND(#REF!,"AAAAAFbPbqU=")</f>
        <v>#REF!</v>
      </c>
      <c r="FK171" t="e">
        <f>IF(#REF!,"AAAAAFbPbqY=",0)</f>
        <v>#REF!</v>
      </c>
      <c r="FL171" t="e">
        <f>AND(#REF!,"AAAAAFbPbqc=")</f>
        <v>#REF!</v>
      </c>
      <c r="FM171" t="e">
        <f>AND(#REF!,"AAAAAFbPbqg=")</f>
        <v>#REF!</v>
      </c>
      <c r="FN171" t="e">
        <f>AND(#REF!,"AAAAAFbPbqk=")</f>
        <v>#REF!</v>
      </c>
      <c r="FO171" t="e">
        <f>AND(#REF!,"AAAAAFbPbqo=")</f>
        <v>#REF!</v>
      </c>
      <c r="FP171" t="e">
        <f>AND(#REF!,"AAAAAFbPbqs=")</f>
        <v>#REF!</v>
      </c>
      <c r="FQ171" t="e">
        <f>AND(#REF!,"AAAAAFbPbqw=")</f>
        <v>#REF!</v>
      </c>
      <c r="FR171" t="e">
        <f>AND(#REF!,"AAAAAFbPbq0=")</f>
        <v>#REF!</v>
      </c>
      <c r="FS171" t="e">
        <f>AND(#REF!,"AAAAAFbPbq4=")</f>
        <v>#REF!</v>
      </c>
      <c r="FT171" t="e">
        <f>AND(#REF!,"AAAAAFbPbq8=")</f>
        <v>#REF!</v>
      </c>
      <c r="FU171" t="e">
        <f>AND(#REF!,"AAAAAFbPbrA=")</f>
        <v>#REF!</v>
      </c>
      <c r="FV171" t="e">
        <f>IF(#REF!,"AAAAAFbPbrE=",0)</f>
        <v>#REF!</v>
      </c>
      <c r="FW171" t="e">
        <f>AND(#REF!,"AAAAAFbPbrI=")</f>
        <v>#REF!</v>
      </c>
      <c r="FX171" t="e">
        <f>AND(#REF!,"AAAAAFbPbrM=")</f>
        <v>#REF!</v>
      </c>
      <c r="FY171" t="e">
        <f>AND(#REF!,"AAAAAFbPbrQ=")</f>
        <v>#REF!</v>
      </c>
      <c r="FZ171" t="e">
        <f>AND(#REF!,"AAAAAFbPbrU=")</f>
        <v>#REF!</v>
      </c>
      <c r="GA171" t="e">
        <f>AND(#REF!,"AAAAAFbPbrY=")</f>
        <v>#REF!</v>
      </c>
      <c r="GB171" t="e">
        <f>AND(#REF!,"AAAAAFbPbrc=")</f>
        <v>#REF!</v>
      </c>
      <c r="GC171" t="e">
        <f>AND(#REF!,"AAAAAFbPbrg=")</f>
        <v>#REF!</v>
      </c>
      <c r="GD171" t="e">
        <f>AND(#REF!,"AAAAAFbPbrk=")</f>
        <v>#REF!</v>
      </c>
      <c r="GE171" t="e">
        <f>AND(#REF!,"AAAAAFbPbro=")</f>
        <v>#REF!</v>
      </c>
      <c r="GF171" t="e">
        <f>AND(#REF!,"AAAAAFbPbrs=")</f>
        <v>#REF!</v>
      </c>
      <c r="GG171" t="e">
        <f>IF(#REF!,"AAAAAFbPbrw=",0)</f>
        <v>#REF!</v>
      </c>
      <c r="GH171" t="e">
        <f>AND(#REF!,"AAAAAFbPbr0=")</f>
        <v>#REF!</v>
      </c>
      <c r="GI171" t="e">
        <f>AND(#REF!,"AAAAAFbPbr4=")</f>
        <v>#REF!</v>
      </c>
      <c r="GJ171" t="e">
        <f>AND(#REF!,"AAAAAFbPbr8=")</f>
        <v>#REF!</v>
      </c>
      <c r="GK171" t="e">
        <f>AND(#REF!,"AAAAAFbPbsA=")</f>
        <v>#REF!</v>
      </c>
      <c r="GL171" t="e">
        <f>AND(#REF!,"AAAAAFbPbsE=")</f>
        <v>#REF!</v>
      </c>
      <c r="GM171" t="e">
        <f>AND(#REF!,"AAAAAFbPbsI=")</f>
        <v>#REF!</v>
      </c>
      <c r="GN171" t="e">
        <f>AND(#REF!,"AAAAAFbPbsM=")</f>
        <v>#REF!</v>
      </c>
      <c r="GO171" t="e">
        <f>AND(#REF!,"AAAAAFbPbsQ=")</f>
        <v>#REF!</v>
      </c>
      <c r="GP171" t="e">
        <f>AND(#REF!,"AAAAAFbPbsU=")</f>
        <v>#REF!</v>
      </c>
      <c r="GQ171" t="e">
        <f>AND(#REF!,"AAAAAFbPbsY=")</f>
        <v>#REF!</v>
      </c>
      <c r="GR171" t="e">
        <f>IF(#REF!,"AAAAAFbPbsc=",0)</f>
        <v>#REF!</v>
      </c>
      <c r="GS171" t="e">
        <f>AND(#REF!,"AAAAAFbPbsg=")</f>
        <v>#REF!</v>
      </c>
      <c r="GT171" t="e">
        <f>AND(#REF!,"AAAAAFbPbsk=")</f>
        <v>#REF!</v>
      </c>
      <c r="GU171" t="e">
        <f>AND(#REF!,"AAAAAFbPbso=")</f>
        <v>#REF!</v>
      </c>
      <c r="GV171" t="e">
        <f>AND(#REF!,"AAAAAFbPbss=")</f>
        <v>#REF!</v>
      </c>
      <c r="GW171" t="e">
        <f>AND(#REF!,"AAAAAFbPbsw=")</f>
        <v>#REF!</v>
      </c>
      <c r="GX171" t="e">
        <f>AND(#REF!,"AAAAAFbPbs0=")</f>
        <v>#REF!</v>
      </c>
      <c r="GY171" t="e">
        <f>AND(#REF!,"AAAAAFbPbs4=")</f>
        <v>#REF!</v>
      </c>
      <c r="GZ171" t="e">
        <f>AND(#REF!,"AAAAAFbPbs8=")</f>
        <v>#REF!</v>
      </c>
      <c r="HA171" t="e">
        <f>AND(#REF!,"AAAAAFbPbtA=")</f>
        <v>#REF!</v>
      </c>
      <c r="HB171" t="e">
        <f>AND(#REF!,"AAAAAFbPbtE=")</f>
        <v>#REF!</v>
      </c>
      <c r="HC171" t="e">
        <f>IF(#REF!,"AAAAAFbPbtI=",0)</f>
        <v>#REF!</v>
      </c>
      <c r="HD171" t="e">
        <f>AND(#REF!,"AAAAAFbPbtM=")</f>
        <v>#REF!</v>
      </c>
      <c r="HE171" t="e">
        <f>AND(#REF!,"AAAAAFbPbtQ=")</f>
        <v>#REF!</v>
      </c>
      <c r="HF171" t="e">
        <f>AND(#REF!,"AAAAAFbPbtU=")</f>
        <v>#REF!</v>
      </c>
      <c r="HG171" t="e">
        <f>AND(#REF!,"AAAAAFbPbtY=")</f>
        <v>#REF!</v>
      </c>
      <c r="HH171" t="e">
        <f>AND(#REF!,"AAAAAFbPbtc=")</f>
        <v>#REF!</v>
      </c>
      <c r="HI171" t="e">
        <f>AND(#REF!,"AAAAAFbPbtg=")</f>
        <v>#REF!</v>
      </c>
      <c r="HJ171" t="e">
        <f>AND(#REF!,"AAAAAFbPbtk=")</f>
        <v>#REF!</v>
      </c>
      <c r="HK171" t="e">
        <f>AND(#REF!,"AAAAAFbPbto=")</f>
        <v>#REF!</v>
      </c>
      <c r="HL171" t="e">
        <f>AND(#REF!,"AAAAAFbPbts=")</f>
        <v>#REF!</v>
      </c>
      <c r="HM171" t="e">
        <f>AND(#REF!,"AAAAAFbPbtw=")</f>
        <v>#REF!</v>
      </c>
      <c r="HN171" t="e">
        <f>IF(#REF!,"AAAAAFbPbt0=",0)</f>
        <v>#REF!</v>
      </c>
      <c r="HO171" t="e">
        <f>AND(#REF!,"AAAAAFbPbt4=")</f>
        <v>#REF!</v>
      </c>
      <c r="HP171" t="e">
        <f>AND(#REF!,"AAAAAFbPbt8=")</f>
        <v>#REF!</v>
      </c>
      <c r="HQ171" t="e">
        <f>AND(#REF!,"AAAAAFbPbuA=")</f>
        <v>#REF!</v>
      </c>
      <c r="HR171" t="e">
        <f>AND(#REF!,"AAAAAFbPbuE=")</f>
        <v>#REF!</v>
      </c>
      <c r="HS171" t="e">
        <f>AND(#REF!,"AAAAAFbPbuI=")</f>
        <v>#REF!</v>
      </c>
      <c r="HT171" t="e">
        <f>AND(#REF!,"AAAAAFbPbuM=")</f>
        <v>#REF!</v>
      </c>
      <c r="HU171" t="e">
        <f>AND(#REF!,"AAAAAFbPbuQ=")</f>
        <v>#REF!</v>
      </c>
      <c r="HV171" t="e">
        <f>AND(#REF!,"AAAAAFbPbuU=")</f>
        <v>#REF!</v>
      </c>
      <c r="HW171" t="e">
        <f>AND(#REF!,"AAAAAFbPbuY=")</f>
        <v>#REF!</v>
      </c>
      <c r="HX171" t="e">
        <f>AND(#REF!,"AAAAAFbPbuc=")</f>
        <v>#REF!</v>
      </c>
      <c r="HY171" t="e">
        <f>IF(#REF!,"AAAAAFbPbug=",0)</f>
        <v>#REF!</v>
      </c>
      <c r="HZ171" t="e">
        <f>AND(#REF!,"AAAAAFbPbuk=")</f>
        <v>#REF!</v>
      </c>
      <c r="IA171" t="e">
        <f>AND(#REF!,"AAAAAFbPbuo=")</f>
        <v>#REF!</v>
      </c>
      <c r="IB171" t="e">
        <f>AND(#REF!,"AAAAAFbPbus=")</f>
        <v>#REF!</v>
      </c>
      <c r="IC171" t="e">
        <f>AND(#REF!,"AAAAAFbPbuw=")</f>
        <v>#REF!</v>
      </c>
      <c r="ID171" t="e">
        <f>AND(#REF!,"AAAAAFbPbu0=")</f>
        <v>#REF!</v>
      </c>
      <c r="IE171" t="e">
        <f>AND(#REF!,"AAAAAFbPbu4=")</f>
        <v>#REF!</v>
      </c>
      <c r="IF171" t="e">
        <f>AND(#REF!,"AAAAAFbPbu8=")</f>
        <v>#REF!</v>
      </c>
      <c r="IG171" t="e">
        <f>AND(#REF!,"AAAAAFbPbvA=")</f>
        <v>#REF!</v>
      </c>
      <c r="IH171" t="e">
        <f>AND(#REF!,"AAAAAFbPbvE=")</f>
        <v>#REF!</v>
      </c>
      <c r="II171" t="e">
        <f>AND(#REF!,"AAAAAFbPbvI=")</f>
        <v>#REF!</v>
      </c>
      <c r="IJ171" t="e">
        <f>IF(#REF!,"AAAAAFbPbvM=",0)</f>
        <v>#REF!</v>
      </c>
      <c r="IK171" t="e">
        <f>AND(#REF!,"AAAAAFbPbvQ=")</f>
        <v>#REF!</v>
      </c>
      <c r="IL171" t="e">
        <f>AND(#REF!,"AAAAAFbPbvU=")</f>
        <v>#REF!</v>
      </c>
      <c r="IM171" t="e">
        <f>AND(#REF!,"AAAAAFbPbvY=")</f>
        <v>#REF!</v>
      </c>
      <c r="IN171" t="e">
        <f>AND(#REF!,"AAAAAFbPbvc=")</f>
        <v>#REF!</v>
      </c>
      <c r="IO171" t="e">
        <f>AND(#REF!,"AAAAAFbPbvg=")</f>
        <v>#REF!</v>
      </c>
      <c r="IP171" t="e">
        <f>AND(#REF!,"AAAAAFbPbvk=")</f>
        <v>#REF!</v>
      </c>
      <c r="IQ171" t="e">
        <f>AND(#REF!,"AAAAAFbPbvo=")</f>
        <v>#REF!</v>
      </c>
      <c r="IR171" t="e">
        <f>AND(#REF!,"AAAAAFbPbvs=")</f>
        <v>#REF!</v>
      </c>
      <c r="IS171" t="e">
        <f>AND(#REF!,"AAAAAFbPbvw=")</f>
        <v>#REF!</v>
      </c>
      <c r="IT171" t="e">
        <f>AND(#REF!,"AAAAAFbPbv0=")</f>
        <v>#REF!</v>
      </c>
      <c r="IU171" t="e">
        <f>IF(#REF!,"AAAAAFbPbv4=",0)</f>
        <v>#REF!</v>
      </c>
      <c r="IV171" t="e">
        <f>AND(#REF!,"AAAAAFbPbv8=")</f>
        <v>#REF!</v>
      </c>
    </row>
    <row r="172" spans="1:256" x14ac:dyDescent="0.25">
      <c r="A172" t="e">
        <f>AND(#REF!,"AAAAAD/+3QA=")</f>
        <v>#REF!</v>
      </c>
      <c r="B172" t="e">
        <f>AND(#REF!,"AAAAAD/+3QE=")</f>
        <v>#REF!</v>
      </c>
      <c r="C172" t="e">
        <f>AND(#REF!,"AAAAAD/+3QI=")</f>
        <v>#REF!</v>
      </c>
      <c r="D172" t="e">
        <f>AND(#REF!,"AAAAAD/+3QM=")</f>
        <v>#REF!</v>
      </c>
      <c r="E172" t="e">
        <f>AND(#REF!,"AAAAAD/+3QQ=")</f>
        <v>#REF!</v>
      </c>
      <c r="F172" t="e">
        <f>AND(#REF!,"AAAAAD/+3QU=")</f>
        <v>#REF!</v>
      </c>
      <c r="G172" t="e">
        <f>AND(#REF!,"AAAAAD/+3QY=")</f>
        <v>#REF!</v>
      </c>
      <c r="H172" t="e">
        <f>AND(#REF!,"AAAAAD/+3Qc=")</f>
        <v>#REF!</v>
      </c>
      <c r="I172" t="e">
        <f>AND(#REF!,"AAAAAD/+3Qg=")</f>
        <v>#REF!</v>
      </c>
      <c r="J172" t="e">
        <f>IF(#REF!,"AAAAAD/+3Qk=",0)</f>
        <v>#REF!</v>
      </c>
      <c r="K172" t="e">
        <f>AND(#REF!,"AAAAAD/+3Qo=")</f>
        <v>#REF!</v>
      </c>
      <c r="L172" t="e">
        <f>AND(#REF!,"AAAAAD/+3Qs=")</f>
        <v>#REF!</v>
      </c>
      <c r="M172" t="e">
        <f>AND(#REF!,"AAAAAD/+3Qw=")</f>
        <v>#REF!</v>
      </c>
      <c r="N172" t="e">
        <f>AND(#REF!,"AAAAAD/+3Q0=")</f>
        <v>#REF!</v>
      </c>
      <c r="O172" t="e">
        <f>AND(#REF!,"AAAAAD/+3Q4=")</f>
        <v>#REF!</v>
      </c>
      <c r="P172" t="e">
        <f>AND(#REF!,"AAAAAD/+3Q8=")</f>
        <v>#REF!</v>
      </c>
      <c r="Q172" t="e">
        <f>AND(#REF!,"AAAAAD/+3RA=")</f>
        <v>#REF!</v>
      </c>
      <c r="R172" t="e">
        <f>AND(#REF!,"AAAAAD/+3RE=")</f>
        <v>#REF!</v>
      </c>
      <c r="S172" t="e">
        <f>AND(#REF!,"AAAAAD/+3RI=")</f>
        <v>#REF!</v>
      </c>
      <c r="T172" t="e">
        <f>AND(#REF!,"AAAAAD/+3RM=")</f>
        <v>#REF!</v>
      </c>
      <c r="U172" t="e">
        <f>IF(#REF!,"AAAAAD/+3RQ=",0)</f>
        <v>#REF!</v>
      </c>
      <c r="V172" t="e">
        <f>AND(#REF!,"AAAAAD/+3RU=")</f>
        <v>#REF!</v>
      </c>
      <c r="W172" t="e">
        <f>AND(#REF!,"AAAAAD/+3RY=")</f>
        <v>#REF!</v>
      </c>
      <c r="X172" t="e">
        <f>AND(#REF!,"AAAAAD/+3Rc=")</f>
        <v>#REF!</v>
      </c>
      <c r="Y172" t="e">
        <f>AND(#REF!,"AAAAAD/+3Rg=")</f>
        <v>#REF!</v>
      </c>
      <c r="Z172" t="e">
        <f>AND(#REF!,"AAAAAD/+3Rk=")</f>
        <v>#REF!</v>
      </c>
      <c r="AA172" t="e">
        <f>AND(#REF!,"AAAAAD/+3Ro=")</f>
        <v>#REF!</v>
      </c>
      <c r="AB172" t="e">
        <f>AND(#REF!,"AAAAAD/+3Rs=")</f>
        <v>#REF!</v>
      </c>
      <c r="AC172" t="e">
        <f>AND(#REF!,"AAAAAD/+3Rw=")</f>
        <v>#REF!</v>
      </c>
      <c r="AD172" t="e">
        <f>AND(#REF!,"AAAAAD/+3R0=")</f>
        <v>#REF!</v>
      </c>
      <c r="AE172" t="e">
        <f>AND(#REF!,"AAAAAD/+3R4=")</f>
        <v>#REF!</v>
      </c>
      <c r="AF172" t="e">
        <f>IF(#REF!,"AAAAAD/+3R8=",0)</f>
        <v>#REF!</v>
      </c>
      <c r="AG172" t="e">
        <f>AND(#REF!,"AAAAAD/+3SA=")</f>
        <v>#REF!</v>
      </c>
      <c r="AH172" t="e">
        <f>AND(#REF!,"AAAAAD/+3SE=")</f>
        <v>#REF!</v>
      </c>
      <c r="AI172" t="e">
        <f>AND(#REF!,"AAAAAD/+3SI=")</f>
        <v>#REF!</v>
      </c>
      <c r="AJ172" t="e">
        <f>AND(#REF!,"AAAAAD/+3SM=")</f>
        <v>#REF!</v>
      </c>
      <c r="AK172" t="e">
        <f>AND(#REF!,"AAAAAD/+3SQ=")</f>
        <v>#REF!</v>
      </c>
      <c r="AL172" t="e">
        <f>AND(#REF!,"AAAAAD/+3SU=")</f>
        <v>#REF!</v>
      </c>
      <c r="AM172" t="e">
        <f>AND(#REF!,"AAAAAD/+3SY=")</f>
        <v>#REF!</v>
      </c>
      <c r="AN172" t="e">
        <f>AND(#REF!,"AAAAAD/+3Sc=")</f>
        <v>#REF!</v>
      </c>
      <c r="AO172" t="e">
        <f>AND(#REF!,"AAAAAD/+3Sg=")</f>
        <v>#REF!</v>
      </c>
      <c r="AP172" t="e">
        <f>AND(#REF!,"AAAAAD/+3Sk=")</f>
        <v>#REF!</v>
      </c>
      <c r="AQ172" t="e">
        <f>IF(#REF!,"AAAAAD/+3So=",0)</f>
        <v>#REF!</v>
      </c>
      <c r="AR172" t="e">
        <f>AND(#REF!,"AAAAAD/+3Ss=")</f>
        <v>#REF!</v>
      </c>
      <c r="AS172" t="e">
        <f>AND(#REF!,"AAAAAD/+3Sw=")</f>
        <v>#REF!</v>
      </c>
      <c r="AT172" t="e">
        <f>AND(#REF!,"AAAAAD/+3S0=")</f>
        <v>#REF!</v>
      </c>
      <c r="AU172" t="e">
        <f>AND(#REF!,"AAAAAD/+3S4=")</f>
        <v>#REF!</v>
      </c>
      <c r="AV172" t="e">
        <f>AND(#REF!,"AAAAAD/+3S8=")</f>
        <v>#REF!</v>
      </c>
      <c r="AW172" t="e">
        <f>AND(#REF!,"AAAAAD/+3TA=")</f>
        <v>#REF!</v>
      </c>
      <c r="AX172" t="e">
        <f>AND(#REF!,"AAAAAD/+3TE=")</f>
        <v>#REF!</v>
      </c>
      <c r="AY172" t="e">
        <f>AND(#REF!,"AAAAAD/+3TI=")</f>
        <v>#REF!</v>
      </c>
      <c r="AZ172" t="e">
        <f>AND(#REF!,"AAAAAD/+3TM=")</f>
        <v>#REF!</v>
      </c>
      <c r="BA172" t="e">
        <f>AND(#REF!,"AAAAAD/+3TQ=")</f>
        <v>#REF!</v>
      </c>
      <c r="BB172" t="e">
        <f>IF(#REF!,"AAAAAD/+3TU=",0)</f>
        <v>#REF!</v>
      </c>
      <c r="BC172" t="e">
        <f>AND(#REF!,"AAAAAD/+3TY=")</f>
        <v>#REF!</v>
      </c>
      <c r="BD172" t="e">
        <f>AND(#REF!,"AAAAAD/+3Tc=")</f>
        <v>#REF!</v>
      </c>
      <c r="BE172" t="e">
        <f>AND(#REF!,"AAAAAD/+3Tg=")</f>
        <v>#REF!</v>
      </c>
      <c r="BF172" t="e">
        <f>AND(#REF!,"AAAAAD/+3Tk=")</f>
        <v>#REF!</v>
      </c>
      <c r="BG172" t="e">
        <f>AND(#REF!,"AAAAAD/+3To=")</f>
        <v>#REF!</v>
      </c>
      <c r="BH172" t="e">
        <f>AND(#REF!,"AAAAAD/+3Ts=")</f>
        <v>#REF!</v>
      </c>
      <c r="BI172" t="e">
        <f>AND(#REF!,"AAAAAD/+3Tw=")</f>
        <v>#REF!</v>
      </c>
      <c r="BJ172" t="e">
        <f>AND(#REF!,"AAAAAD/+3T0=")</f>
        <v>#REF!</v>
      </c>
      <c r="BK172" t="e">
        <f>AND(#REF!,"AAAAAD/+3T4=")</f>
        <v>#REF!</v>
      </c>
      <c r="BL172" t="e">
        <f>AND(#REF!,"AAAAAD/+3T8=")</f>
        <v>#REF!</v>
      </c>
      <c r="BM172" t="e">
        <f>IF(#REF!,"AAAAAD/+3UA=",0)</f>
        <v>#REF!</v>
      </c>
      <c r="BN172" t="e">
        <f>AND(#REF!,"AAAAAD/+3UE=")</f>
        <v>#REF!</v>
      </c>
      <c r="BO172" t="e">
        <f>AND(#REF!,"AAAAAD/+3UI=")</f>
        <v>#REF!</v>
      </c>
      <c r="BP172" t="e">
        <f>AND(#REF!,"AAAAAD/+3UM=")</f>
        <v>#REF!</v>
      </c>
      <c r="BQ172" t="e">
        <f>AND(#REF!,"AAAAAD/+3UQ=")</f>
        <v>#REF!</v>
      </c>
      <c r="BR172" t="e">
        <f>AND(#REF!,"AAAAAD/+3UU=")</f>
        <v>#REF!</v>
      </c>
      <c r="BS172" t="e">
        <f>AND(#REF!,"AAAAAD/+3UY=")</f>
        <v>#REF!</v>
      </c>
      <c r="BT172" t="e">
        <f>AND(#REF!,"AAAAAD/+3Uc=")</f>
        <v>#REF!</v>
      </c>
      <c r="BU172" t="e">
        <f>AND(#REF!,"AAAAAD/+3Ug=")</f>
        <v>#REF!</v>
      </c>
      <c r="BV172" t="e">
        <f>AND(#REF!,"AAAAAD/+3Uk=")</f>
        <v>#REF!</v>
      </c>
      <c r="BW172" t="e">
        <f>AND(#REF!,"AAAAAD/+3Uo=")</f>
        <v>#REF!</v>
      </c>
      <c r="BX172" t="e">
        <f>IF(#REF!,"AAAAAD/+3Us=",0)</f>
        <v>#REF!</v>
      </c>
      <c r="BY172" t="e">
        <f>AND(#REF!,"AAAAAD/+3Uw=")</f>
        <v>#REF!</v>
      </c>
      <c r="BZ172" t="e">
        <f>AND(#REF!,"AAAAAD/+3U0=")</f>
        <v>#REF!</v>
      </c>
      <c r="CA172" t="e">
        <f>AND(#REF!,"AAAAAD/+3U4=")</f>
        <v>#REF!</v>
      </c>
      <c r="CB172" t="e">
        <f>AND(#REF!,"AAAAAD/+3U8=")</f>
        <v>#REF!</v>
      </c>
      <c r="CC172" t="e">
        <f>AND(#REF!,"AAAAAD/+3VA=")</f>
        <v>#REF!</v>
      </c>
      <c r="CD172" t="e">
        <f>AND(#REF!,"AAAAAD/+3VE=")</f>
        <v>#REF!</v>
      </c>
      <c r="CE172" t="e">
        <f>AND(#REF!,"AAAAAD/+3VI=")</f>
        <v>#REF!</v>
      </c>
      <c r="CF172" t="e">
        <f>AND(#REF!,"AAAAAD/+3VM=")</f>
        <v>#REF!</v>
      </c>
      <c r="CG172" t="e">
        <f>AND(#REF!,"AAAAAD/+3VQ=")</f>
        <v>#REF!</v>
      </c>
      <c r="CH172" t="e">
        <f>AND(#REF!,"AAAAAD/+3VU=")</f>
        <v>#REF!</v>
      </c>
      <c r="CI172" t="e">
        <f>IF(#REF!,"AAAAAD/+3VY=",0)</f>
        <v>#REF!</v>
      </c>
      <c r="CJ172" t="e">
        <f>AND(#REF!,"AAAAAD/+3Vc=")</f>
        <v>#REF!</v>
      </c>
      <c r="CK172" t="e">
        <f>AND(#REF!,"AAAAAD/+3Vg=")</f>
        <v>#REF!</v>
      </c>
      <c r="CL172" t="e">
        <f>AND(#REF!,"AAAAAD/+3Vk=")</f>
        <v>#REF!</v>
      </c>
      <c r="CM172" t="e">
        <f>AND(#REF!,"AAAAAD/+3Vo=")</f>
        <v>#REF!</v>
      </c>
      <c r="CN172" t="e">
        <f>AND(#REF!,"AAAAAD/+3Vs=")</f>
        <v>#REF!</v>
      </c>
      <c r="CO172" t="e">
        <f>AND(#REF!,"AAAAAD/+3Vw=")</f>
        <v>#REF!</v>
      </c>
      <c r="CP172" t="e">
        <f>AND(#REF!,"AAAAAD/+3V0=")</f>
        <v>#REF!</v>
      </c>
      <c r="CQ172" t="e">
        <f>AND(#REF!,"AAAAAD/+3V4=")</f>
        <v>#REF!</v>
      </c>
      <c r="CR172" t="e">
        <f>AND(#REF!,"AAAAAD/+3V8=")</f>
        <v>#REF!</v>
      </c>
      <c r="CS172" t="e">
        <f>AND(#REF!,"AAAAAD/+3WA=")</f>
        <v>#REF!</v>
      </c>
      <c r="CT172" t="e">
        <f>IF(#REF!,"AAAAAD/+3WE=",0)</f>
        <v>#REF!</v>
      </c>
      <c r="CU172" t="e">
        <f>AND(#REF!,"AAAAAD/+3WI=")</f>
        <v>#REF!</v>
      </c>
      <c r="CV172" t="e">
        <f>AND(#REF!,"AAAAAD/+3WM=")</f>
        <v>#REF!</v>
      </c>
      <c r="CW172" t="e">
        <f>AND(#REF!,"AAAAAD/+3WQ=")</f>
        <v>#REF!</v>
      </c>
      <c r="CX172" t="e">
        <f>AND(#REF!,"AAAAAD/+3WU=")</f>
        <v>#REF!</v>
      </c>
      <c r="CY172" t="e">
        <f>AND(#REF!,"AAAAAD/+3WY=")</f>
        <v>#REF!</v>
      </c>
      <c r="CZ172" t="e">
        <f>AND(#REF!,"AAAAAD/+3Wc=")</f>
        <v>#REF!</v>
      </c>
      <c r="DA172" t="e">
        <f>AND(#REF!,"AAAAAD/+3Wg=")</f>
        <v>#REF!</v>
      </c>
      <c r="DB172" t="e">
        <f>AND(#REF!,"AAAAAD/+3Wk=")</f>
        <v>#REF!</v>
      </c>
      <c r="DC172" t="e">
        <f>AND(#REF!,"AAAAAD/+3Wo=")</f>
        <v>#REF!</v>
      </c>
      <c r="DD172" t="e">
        <f>AND(#REF!,"AAAAAD/+3Ws=")</f>
        <v>#REF!</v>
      </c>
      <c r="DE172" t="e">
        <f>IF(#REF!,"AAAAAD/+3Ww=",0)</f>
        <v>#REF!</v>
      </c>
      <c r="DF172" t="e">
        <f>AND(#REF!,"AAAAAD/+3W0=")</f>
        <v>#REF!</v>
      </c>
      <c r="DG172" t="e">
        <f>AND(#REF!,"AAAAAD/+3W4=")</f>
        <v>#REF!</v>
      </c>
      <c r="DH172" t="e">
        <f>AND(#REF!,"AAAAAD/+3W8=")</f>
        <v>#REF!</v>
      </c>
      <c r="DI172" t="e">
        <f>AND(#REF!,"AAAAAD/+3XA=")</f>
        <v>#REF!</v>
      </c>
      <c r="DJ172" t="e">
        <f>AND(#REF!,"AAAAAD/+3XE=")</f>
        <v>#REF!</v>
      </c>
      <c r="DK172" t="e">
        <f>AND(#REF!,"AAAAAD/+3XI=")</f>
        <v>#REF!</v>
      </c>
      <c r="DL172" t="e">
        <f>AND(#REF!,"AAAAAD/+3XM=")</f>
        <v>#REF!</v>
      </c>
      <c r="DM172" t="e">
        <f>AND(#REF!,"AAAAAD/+3XQ=")</f>
        <v>#REF!</v>
      </c>
      <c r="DN172" t="e">
        <f>AND(#REF!,"AAAAAD/+3XU=")</f>
        <v>#REF!</v>
      </c>
      <c r="DO172" t="e">
        <f>AND(#REF!,"AAAAAD/+3XY=")</f>
        <v>#REF!</v>
      </c>
      <c r="DP172" t="e">
        <f>IF(#REF!,"AAAAAD/+3Xc=",0)</f>
        <v>#REF!</v>
      </c>
      <c r="DQ172" t="e">
        <f>AND(#REF!,"AAAAAD/+3Xg=")</f>
        <v>#REF!</v>
      </c>
      <c r="DR172" t="e">
        <f>AND(#REF!,"AAAAAD/+3Xk=")</f>
        <v>#REF!</v>
      </c>
      <c r="DS172" t="e">
        <f>AND(#REF!,"AAAAAD/+3Xo=")</f>
        <v>#REF!</v>
      </c>
      <c r="DT172" t="e">
        <f>AND(#REF!,"AAAAAD/+3Xs=")</f>
        <v>#REF!</v>
      </c>
      <c r="DU172" t="e">
        <f>AND(#REF!,"AAAAAD/+3Xw=")</f>
        <v>#REF!</v>
      </c>
      <c r="DV172" t="e">
        <f>AND(#REF!,"AAAAAD/+3X0=")</f>
        <v>#REF!</v>
      </c>
      <c r="DW172" t="e">
        <f>AND(#REF!,"AAAAAD/+3X4=")</f>
        <v>#REF!</v>
      </c>
      <c r="DX172" t="e">
        <f>AND(#REF!,"AAAAAD/+3X8=")</f>
        <v>#REF!</v>
      </c>
      <c r="DY172" t="e">
        <f>AND(#REF!,"AAAAAD/+3YA=")</f>
        <v>#REF!</v>
      </c>
      <c r="DZ172" t="e">
        <f>AND(#REF!,"AAAAAD/+3YE=")</f>
        <v>#REF!</v>
      </c>
      <c r="EA172" t="e">
        <f>IF(#REF!,"AAAAAD/+3YI=",0)</f>
        <v>#REF!</v>
      </c>
      <c r="EB172" t="e">
        <f>AND(#REF!,"AAAAAD/+3YM=")</f>
        <v>#REF!</v>
      </c>
      <c r="EC172" t="e">
        <f>AND(#REF!,"AAAAAD/+3YQ=")</f>
        <v>#REF!</v>
      </c>
      <c r="ED172" t="e">
        <f>AND(#REF!,"AAAAAD/+3YU=")</f>
        <v>#REF!</v>
      </c>
      <c r="EE172" t="e">
        <f>AND(#REF!,"AAAAAD/+3YY=")</f>
        <v>#REF!</v>
      </c>
      <c r="EF172" t="e">
        <f>AND(#REF!,"AAAAAD/+3Yc=")</f>
        <v>#REF!</v>
      </c>
      <c r="EG172" t="e">
        <f>AND(#REF!,"AAAAAD/+3Yg=")</f>
        <v>#REF!</v>
      </c>
      <c r="EH172" t="e">
        <f>AND(#REF!,"AAAAAD/+3Yk=")</f>
        <v>#REF!</v>
      </c>
      <c r="EI172" t="e">
        <f>AND(#REF!,"AAAAAD/+3Yo=")</f>
        <v>#REF!</v>
      </c>
      <c r="EJ172" t="e">
        <f>AND(#REF!,"AAAAAD/+3Ys=")</f>
        <v>#REF!</v>
      </c>
      <c r="EK172" t="e">
        <f>AND(#REF!,"AAAAAD/+3Yw=")</f>
        <v>#REF!</v>
      </c>
      <c r="EL172" t="e">
        <f>IF(#REF!,"AAAAAD/+3Y0=",0)</f>
        <v>#REF!</v>
      </c>
      <c r="EM172" t="e">
        <f>AND(#REF!,"AAAAAD/+3Y4=")</f>
        <v>#REF!</v>
      </c>
      <c r="EN172" t="e">
        <f>AND(#REF!,"AAAAAD/+3Y8=")</f>
        <v>#REF!</v>
      </c>
      <c r="EO172" t="e">
        <f>AND(#REF!,"AAAAAD/+3ZA=")</f>
        <v>#REF!</v>
      </c>
      <c r="EP172" t="e">
        <f>AND(#REF!,"AAAAAD/+3ZE=")</f>
        <v>#REF!</v>
      </c>
      <c r="EQ172" t="e">
        <f>AND(#REF!,"AAAAAD/+3ZI=")</f>
        <v>#REF!</v>
      </c>
      <c r="ER172" t="e">
        <f>AND(#REF!,"AAAAAD/+3ZM=")</f>
        <v>#REF!</v>
      </c>
      <c r="ES172" t="e">
        <f>AND(#REF!,"AAAAAD/+3ZQ=")</f>
        <v>#REF!</v>
      </c>
      <c r="ET172" t="e">
        <f>AND(#REF!,"AAAAAD/+3ZU=")</f>
        <v>#REF!</v>
      </c>
      <c r="EU172" t="e">
        <f>AND(#REF!,"AAAAAD/+3ZY=")</f>
        <v>#REF!</v>
      </c>
      <c r="EV172" t="e">
        <f>AND(#REF!,"AAAAAD/+3Zc=")</f>
        <v>#REF!</v>
      </c>
      <c r="EW172" t="e">
        <f>IF(#REF!,"AAAAAD/+3Zg=",0)</f>
        <v>#REF!</v>
      </c>
      <c r="EX172" t="e">
        <f>AND(#REF!,"AAAAAD/+3Zk=")</f>
        <v>#REF!</v>
      </c>
      <c r="EY172" t="e">
        <f>AND(#REF!,"AAAAAD/+3Zo=")</f>
        <v>#REF!</v>
      </c>
      <c r="EZ172" t="e">
        <f>AND(#REF!,"AAAAAD/+3Zs=")</f>
        <v>#REF!</v>
      </c>
      <c r="FA172" t="e">
        <f>AND(#REF!,"AAAAAD/+3Zw=")</f>
        <v>#REF!</v>
      </c>
      <c r="FB172" t="e">
        <f>AND(#REF!,"AAAAAD/+3Z0=")</f>
        <v>#REF!</v>
      </c>
      <c r="FC172" t="e">
        <f>AND(#REF!,"AAAAAD/+3Z4=")</f>
        <v>#REF!</v>
      </c>
      <c r="FD172" t="e">
        <f>AND(#REF!,"AAAAAD/+3Z8=")</f>
        <v>#REF!</v>
      </c>
      <c r="FE172" t="e">
        <f>AND(#REF!,"AAAAAD/+3aA=")</f>
        <v>#REF!</v>
      </c>
      <c r="FF172" t="e">
        <f>AND(#REF!,"AAAAAD/+3aE=")</f>
        <v>#REF!</v>
      </c>
      <c r="FG172" t="e">
        <f>AND(#REF!,"AAAAAD/+3aI=")</f>
        <v>#REF!</v>
      </c>
      <c r="FH172" t="e">
        <f>IF(#REF!,"AAAAAD/+3aM=",0)</f>
        <v>#REF!</v>
      </c>
      <c r="FI172" t="e">
        <f>AND(#REF!,"AAAAAD/+3aQ=")</f>
        <v>#REF!</v>
      </c>
      <c r="FJ172" t="e">
        <f>AND(#REF!,"AAAAAD/+3aU=")</f>
        <v>#REF!</v>
      </c>
      <c r="FK172" t="e">
        <f>AND(#REF!,"AAAAAD/+3aY=")</f>
        <v>#REF!</v>
      </c>
      <c r="FL172" t="e">
        <f>AND(#REF!,"AAAAAD/+3ac=")</f>
        <v>#REF!</v>
      </c>
      <c r="FM172" t="e">
        <f>AND(#REF!,"AAAAAD/+3ag=")</f>
        <v>#REF!</v>
      </c>
      <c r="FN172" t="e">
        <f>AND(#REF!,"AAAAAD/+3ak=")</f>
        <v>#REF!</v>
      </c>
      <c r="FO172" t="e">
        <f>AND(#REF!,"AAAAAD/+3ao=")</f>
        <v>#REF!</v>
      </c>
      <c r="FP172" t="e">
        <f>AND(#REF!,"AAAAAD/+3as=")</f>
        <v>#REF!</v>
      </c>
      <c r="FQ172" t="e">
        <f>AND(#REF!,"AAAAAD/+3aw=")</f>
        <v>#REF!</v>
      </c>
      <c r="FR172" t="e">
        <f>AND(#REF!,"AAAAAD/+3a0=")</f>
        <v>#REF!</v>
      </c>
      <c r="FS172" t="e">
        <f>IF(#REF!,"AAAAAD/+3a4=",0)</f>
        <v>#REF!</v>
      </c>
      <c r="FT172" t="e">
        <f>AND(#REF!,"AAAAAD/+3a8=")</f>
        <v>#REF!</v>
      </c>
      <c r="FU172" t="e">
        <f>AND(#REF!,"AAAAAD/+3bA=")</f>
        <v>#REF!</v>
      </c>
      <c r="FV172" t="e">
        <f>AND(#REF!,"AAAAAD/+3bE=")</f>
        <v>#REF!</v>
      </c>
      <c r="FW172" t="e">
        <f>AND(#REF!,"AAAAAD/+3bI=")</f>
        <v>#REF!</v>
      </c>
      <c r="FX172" t="e">
        <f>AND(#REF!,"AAAAAD/+3bM=")</f>
        <v>#REF!</v>
      </c>
      <c r="FY172" t="e">
        <f>AND(#REF!,"AAAAAD/+3bQ=")</f>
        <v>#REF!</v>
      </c>
      <c r="FZ172" t="e">
        <f>AND(#REF!,"AAAAAD/+3bU=")</f>
        <v>#REF!</v>
      </c>
      <c r="GA172" t="e">
        <f>AND(#REF!,"AAAAAD/+3bY=")</f>
        <v>#REF!</v>
      </c>
      <c r="GB172" t="e">
        <f>AND(#REF!,"AAAAAD/+3bc=")</f>
        <v>#REF!</v>
      </c>
      <c r="GC172" t="e">
        <f>AND(#REF!,"AAAAAD/+3bg=")</f>
        <v>#REF!</v>
      </c>
      <c r="GD172" t="e">
        <f>IF(#REF!,"AAAAAD/+3bk=",0)</f>
        <v>#REF!</v>
      </c>
      <c r="GE172" t="e">
        <f>AND(#REF!,"AAAAAD/+3bo=")</f>
        <v>#REF!</v>
      </c>
      <c r="GF172" t="e">
        <f>AND(#REF!,"AAAAAD/+3bs=")</f>
        <v>#REF!</v>
      </c>
      <c r="GG172" t="e">
        <f>AND(#REF!,"AAAAAD/+3bw=")</f>
        <v>#REF!</v>
      </c>
      <c r="GH172" t="e">
        <f>AND(#REF!,"AAAAAD/+3b0=")</f>
        <v>#REF!</v>
      </c>
      <c r="GI172" t="e">
        <f>AND(#REF!,"AAAAAD/+3b4=")</f>
        <v>#REF!</v>
      </c>
      <c r="GJ172" t="e">
        <f>AND(#REF!,"AAAAAD/+3b8=")</f>
        <v>#REF!</v>
      </c>
      <c r="GK172" t="e">
        <f>AND(#REF!,"AAAAAD/+3cA=")</f>
        <v>#REF!</v>
      </c>
      <c r="GL172" t="e">
        <f>AND(#REF!,"AAAAAD/+3cE=")</f>
        <v>#REF!</v>
      </c>
      <c r="GM172" t="e">
        <f>AND(#REF!,"AAAAAD/+3cI=")</f>
        <v>#REF!</v>
      </c>
      <c r="GN172" t="e">
        <f>AND(#REF!,"AAAAAD/+3cM=")</f>
        <v>#REF!</v>
      </c>
      <c r="GO172" t="e">
        <f>IF(#REF!,"AAAAAD/+3cQ=",0)</f>
        <v>#REF!</v>
      </c>
      <c r="GP172" t="e">
        <f>AND(#REF!,"AAAAAD/+3cU=")</f>
        <v>#REF!</v>
      </c>
      <c r="GQ172" t="e">
        <f>AND(#REF!,"AAAAAD/+3cY=")</f>
        <v>#REF!</v>
      </c>
      <c r="GR172" t="e">
        <f>AND(#REF!,"AAAAAD/+3cc=")</f>
        <v>#REF!</v>
      </c>
      <c r="GS172" t="e">
        <f>AND(#REF!,"AAAAAD/+3cg=")</f>
        <v>#REF!</v>
      </c>
      <c r="GT172" t="e">
        <f>AND(#REF!,"AAAAAD/+3ck=")</f>
        <v>#REF!</v>
      </c>
      <c r="GU172" t="e">
        <f>AND(#REF!,"AAAAAD/+3co=")</f>
        <v>#REF!</v>
      </c>
      <c r="GV172" t="e">
        <f>AND(#REF!,"AAAAAD/+3cs=")</f>
        <v>#REF!</v>
      </c>
      <c r="GW172" t="e">
        <f>AND(#REF!,"AAAAAD/+3cw=")</f>
        <v>#REF!</v>
      </c>
      <c r="GX172" t="e">
        <f>AND(#REF!,"AAAAAD/+3c0=")</f>
        <v>#REF!</v>
      </c>
      <c r="GY172" t="e">
        <f>AND(#REF!,"AAAAAD/+3c4=")</f>
        <v>#REF!</v>
      </c>
      <c r="GZ172" t="e">
        <f>IF(#REF!,"AAAAAD/+3c8=",0)</f>
        <v>#REF!</v>
      </c>
      <c r="HA172" t="e">
        <f>AND(#REF!,"AAAAAD/+3dA=")</f>
        <v>#REF!</v>
      </c>
      <c r="HB172" t="e">
        <f>AND(#REF!,"AAAAAD/+3dE=")</f>
        <v>#REF!</v>
      </c>
      <c r="HC172" t="e">
        <f>AND(#REF!,"AAAAAD/+3dI=")</f>
        <v>#REF!</v>
      </c>
      <c r="HD172" t="e">
        <f>AND(#REF!,"AAAAAD/+3dM=")</f>
        <v>#REF!</v>
      </c>
      <c r="HE172" t="e">
        <f>AND(#REF!,"AAAAAD/+3dQ=")</f>
        <v>#REF!</v>
      </c>
      <c r="HF172" t="e">
        <f>AND(#REF!,"AAAAAD/+3dU=")</f>
        <v>#REF!</v>
      </c>
      <c r="HG172" t="e">
        <f>AND(#REF!,"AAAAAD/+3dY=")</f>
        <v>#REF!</v>
      </c>
      <c r="HH172" t="e">
        <f>AND(#REF!,"AAAAAD/+3dc=")</f>
        <v>#REF!</v>
      </c>
      <c r="HI172" t="e">
        <f>AND(#REF!,"AAAAAD/+3dg=")</f>
        <v>#REF!</v>
      </c>
      <c r="HJ172" t="e">
        <f>AND(#REF!,"AAAAAD/+3dk=")</f>
        <v>#REF!</v>
      </c>
      <c r="HK172" t="e">
        <f>IF(#REF!,"AAAAAD/+3do=",0)</f>
        <v>#REF!</v>
      </c>
      <c r="HL172" t="e">
        <f>AND(#REF!,"AAAAAD/+3ds=")</f>
        <v>#REF!</v>
      </c>
      <c r="HM172" t="e">
        <f>AND(#REF!,"AAAAAD/+3dw=")</f>
        <v>#REF!</v>
      </c>
      <c r="HN172" t="e">
        <f>AND(#REF!,"AAAAAD/+3d0=")</f>
        <v>#REF!</v>
      </c>
      <c r="HO172" t="e">
        <f>AND(#REF!,"AAAAAD/+3d4=")</f>
        <v>#REF!</v>
      </c>
      <c r="HP172" t="e">
        <f>AND(#REF!,"AAAAAD/+3d8=")</f>
        <v>#REF!</v>
      </c>
      <c r="HQ172" t="e">
        <f>AND(#REF!,"AAAAAD/+3eA=")</f>
        <v>#REF!</v>
      </c>
      <c r="HR172" t="e">
        <f>AND(#REF!,"AAAAAD/+3eE=")</f>
        <v>#REF!</v>
      </c>
      <c r="HS172" t="e">
        <f>AND(#REF!,"AAAAAD/+3eI=")</f>
        <v>#REF!</v>
      </c>
      <c r="HT172" t="e">
        <f>AND(#REF!,"AAAAAD/+3eM=")</f>
        <v>#REF!</v>
      </c>
      <c r="HU172" t="e">
        <f>AND(#REF!,"AAAAAD/+3eQ=")</f>
        <v>#REF!</v>
      </c>
      <c r="HV172" t="e">
        <f>IF(#REF!,"AAAAAD/+3eU=",0)</f>
        <v>#REF!</v>
      </c>
      <c r="HW172" t="e">
        <f>AND(#REF!,"AAAAAD/+3eY=")</f>
        <v>#REF!</v>
      </c>
      <c r="HX172" t="e">
        <f>AND(#REF!,"AAAAAD/+3ec=")</f>
        <v>#REF!</v>
      </c>
      <c r="HY172" t="e">
        <f>AND(#REF!,"AAAAAD/+3eg=")</f>
        <v>#REF!</v>
      </c>
      <c r="HZ172" t="e">
        <f>AND(#REF!,"AAAAAD/+3ek=")</f>
        <v>#REF!</v>
      </c>
      <c r="IA172" t="e">
        <f>AND(#REF!,"AAAAAD/+3eo=")</f>
        <v>#REF!</v>
      </c>
      <c r="IB172" t="e">
        <f>AND(#REF!,"AAAAAD/+3es=")</f>
        <v>#REF!</v>
      </c>
      <c r="IC172" t="e">
        <f>AND(#REF!,"AAAAAD/+3ew=")</f>
        <v>#REF!</v>
      </c>
      <c r="ID172" t="e">
        <f>AND(#REF!,"AAAAAD/+3e0=")</f>
        <v>#REF!</v>
      </c>
      <c r="IE172" t="e">
        <f>AND(#REF!,"AAAAAD/+3e4=")</f>
        <v>#REF!</v>
      </c>
      <c r="IF172" t="e">
        <f>AND(#REF!,"AAAAAD/+3e8=")</f>
        <v>#REF!</v>
      </c>
      <c r="IG172" t="e">
        <f>IF(#REF!,"AAAAAD/+3fA=",0)</f>
        <v>#REF!</v>
      </c>
      <c r="IH172" t="e">
        <f>AND(#REF!,"AAAAAD/+3fE=")</f>
        <v>#REF!</v>
      </c>
      <c r="II172" t="e">
        <f>AND(#REF!,"AAAAAD/+3fI=")</f>
        <v>#REF!</v>
      </c>
      <c r="IJ172" t="e">
        <f>AND(#REF!,"AAAAAD/+3fM=")</f>
        <v>#REF!</v>
      </c>
      <c r="IK172" t="e">
        <f>AND(#REF!,"AAAAAD/+3fQ=")</f>
        <v>#REF!</v>
      </c>
      <c r="IL172" t="e">
        <f>AND(#REF!,"AAAAAD/+3fU=")</f>
        <v>#REF!</v>
      </c>
      <c r="IM172" t="e">
        <f>AND(#REF!,"AAAAAD/+3fY=")</f>
        <v>#REF!</v>
      </c>
      <c r="IN172" t="e">
        <f>AND(#REF!,"AAAAAD/+3fc=")</f>
        <v>#REF!</v>
      </c>
      <c r="IO172" t="e">
        <f>AND(#REF!,"AAAAAD/+3fg=")</f>
        <v>#REF!</v>
      </c>
      <c r="IP172" t="e">
        <f>AND(#REF!,"AAAAAD/+3fk=")</f>
        <v>#REF!</v>
      </c>
      <c r="IQ172" t="e">
        <f>AND(#REF!,"AAAAAD/+3fo=")</f>
        <v>#REF!</v>
      </c>
      <c r="IR172" t="e">
        <f>IF(#REF!,"AAAAAD/+3fs=",0)</f>
        <v>#REF!</v>
      </c>
      <c r="IS172" t="e">
        <f>AND(#REF!,"AAAAAD/+3fw=")</f>
        <v>#REF!</v>
      </c>
      <c r="IT172" t="e">
        <f>AND(#REF!,"AAAAAD/+3f0=")</f>
        <v>#REF!</v>
      </c>
      <c r="IU172" t="e">
        <f>AND(#REF!,"AAAAAD/+3f4=")</f>
        <v>#REF!</v>
      </c>
      <c r="IV172" t="e">
        <f>AND(#REF!,"AAAAAD/+3f8=")</f>
        <v>#REF!</v>
      </c>
    </row>
    <row r="173" spans="1:256" x14ac:dyDescent="0.25">
      <c r="A173" t="e">
        <f>AND(#REF!,"AAAAAHd3zQA=")</f>
        <v>#REF!</v>
      </c>
      <c r="B173" t="e">
        <f>AND(#REF!,"AAAAAHd3zQE=")</f>
        <v>#REF!</v>
      </c>
      <c r="C173" t="e">
        <f>AND(#REF!,"AAAAAHd3zQI=")</f>
        <v>#REF!</v>
      </c>
      <c r="D173" t="e">
        <f>AND(#REF!,"AAAAAHd3zQM=")</f>
        <v>#REF!</v>
      </c>
      <c r="E173" t="e">
        <f>AND(#REF!,"AAAAAHd3zQQ=")</f>
        <v>#REF!</v>
      </c>
      <c r="F173" t="e">
        <f>AND(#REF!,"AAAAAHd3zQU=")</f>
        <v>#REF!</v>
      </c>
      <c r="G173" t="e">
        <f>IF(#REF!,"AAAAAHd3zQY=",0)</f>
        <v>#REF!</v>
      </c>
      <c r="H173" t="e">
        <f>AND(#REF!,"AAAAAHd3zQc=")</f>
        <v>#REF!</v>
      </c>
      <c r="I173" t="e">
        <f>AND(#REF!,"AAAAAHd3zQg=")</f>
        <v>#REF!</v>
      </c>
      <c r="J173" t="e">
        <f>AND(#REF!,"AAAAAHd3zQk=")</f>
        <v>#REF!</v>
      </c>
      <c r="K173" t="e">
        <f>AND(#REF!,"AAAAAHd3zQo=")</f>
        <v>#REF!</v>
      </c>
      <c r="L173" t="e">
        <f>AND(#REF!,"AAAAAHd3zQs=")</f>
        <v>#REF!</v>
      </c>
      <c r="M173" t="e">
        <f>AND(#REF!,"AAAAAHd3zQw=")</f>
        <v>#REF!</v>
      </c>
      <c r="N173" t="e">
        <f>AND(#REF!,"AAAAAHd3zQ0=")</f>
        <v>#REF!</v>
      </c>
      <c r="O173" t="e">
        <f>AND(#REF!,"AAAAAHd3zQ4=")</f>
        <v>#REF!</v>
      </c>
      <c r="P173" t="e">
        <f>AND(#REF!,"AAAAAHd3zQ8=")</f>
        <v>#REF!</v>
      </c>
      <c r="Q173" t="e">
        <f>AND(#REF!,"AAAAAHd3zRA=")</f>
        <v>#REF!</v>
      </c>
      <c r="R173" t="e">
        <f>IF(#REF!,"AAAAAHd3zRE=",0)</f>
        <v>#REF!</v>
      </c>
      <c r="S173" t="e">
        <f>AND(#REF!,"AAAAAHd3zRI=")</f>
        <v>#REF!</v>
      </c>
      <c r="T173" t="e">
        <f>AND(#REF!,"AAAAAHd3zRM=")</f>
        <v>#REF!</v>
      </c>
      <c r="U173" t="e">
        <f>AND(#REF!,"AAAAAHd3zRQ=")</f>
        <v>#REF!</v>
      </c>
      <c r="V173" t="e">
        <f>AND(#REF!,"AAAAAHd3zRU=")</f>
        <v>#REF!</v>
      </c>
      <c r="W173" t="e">
        <f>AND(#REF!,"AAAAAHd3zRY=")</f>
        <v>#REF!</v>
      </c>
      <c r="X173" t="e">
        <f>AND(#REF!,"AAAAAHd3zRc=")</f>
        <v>#REF!</v>
      </c>
      <c r="Y173" t="e">
        <f>AND(#REF!,"AAAAAHd3zRg=")</f>
        <v>#REF!</v>
      </c>
      <c r="Z173" t="e">
        <f>AND(#REF!,"AAAAAHd3zRk=")</f>
        <v>#REF!</v>
      </c>
      <c r="AA173" t="e">
        <f>AND(#REF!,"AAAAAHd3zRo=")</f>
        <v>#REF!</v>
      </c>
      <c r="AB173" t="e">
        <f>AND(#REF!,"AAAAAHd3zRs=")</f>
        <v>#REF!</v>
      </c>
      <c r="AC173" t="e">
        <f>IF(#REF!,"AAAAAHd3zRw=",0)</f>
        <v>#REF!</v>
      </c>
      <c r="AD173" t="e">
        <f>AND(#REF!,"AAAAAHd3zR0=")</f>
        <v>#REF!</v>
      </c>
      <c r="AE173" t="e">
        <f>AND(#REF!,"AAAAAHd3zR4=")</f>
        <v>#REF!</v>
      </c>
      <c r="AF173" t="e">
        <f>AND(#REF!,"AAAAAHd3zR8=")</f>
        <v>#REF!</v>
      </c>
      <c r="AG173" t="e">
        <f>AND(#REF!,"AAAAAHd3zSA=")</f>
        <v>#REF!</v>
      </c>
      <c r="AH173" t="e">
        <f>AND(#REF!,"AAAAAHd3zSE=")</f>
        <v>#REF!</v>
      </c>
      <c r="AI173" t="e">
        <f>AND(#REF!,"AAAAAHd3zSI=")</f>
        <v>#REF!</v>
      </c>
      <c r="AJ173" t="e">
        <f>AND(#REF!,"AAAAAHd3zSM=")</f>
        <v>#REF!</v>
      </c>
      <c r="AK173" t="e">
        <f>AND(#REF!,"AAAAAHd3zSQ=")</f>
        <v>#REF!</v>
      </c>
      <c r="AL173" t="e">
        <f>AND(#REF!,"AAAAAHd3zSU=")</f>
        <v>#REF!</v>
      </c>
      <c r="AM173" t="e">
        <f>AND(#REF!,"AAAAAHd3zSY=")</f>
        <v>#REF!</v>
      </c>
      <c r="AN173" t="e">
        <f>IF(#REF!,"AAAAAHd3zSc=",0)</f>
        <v>#REF!</v>
      </c>
      <c r="AO173" t="e">
        <f>AND(#REF!,"AAAAAHd3zSg=")</f>
        <v>#REF!</v>
      </c>
      <c r="AP173" t="e">
        <f>AND(#REF!,"AAAAAHd3zSk=")</f>
        <v>#REF!</v>
      </c>
      <c r="AQ173" t="e">
        <f>AND(#REF!,"AAAAAHd3zSo=")</f>
        <v>#REF!</v>
      </c>
      <c r="AR173" t="e">
        <f>AND(#REF!,"AAAAAHd3zSs=")</f>
        <v>#REF!</v>
      </c>
      <c r="AS173" t="e">
        <f>AND(#REF!,"AAAAAHd3zSw=")</f>
        <v>#REF!</v>
      </c>
      <c r="AT173" t="e">
        <f>AND(#REF!,"AAAAAHd3zS0=")</f>
        <v>#REF!</v>
      </c>
      <c r="AU173" t="e">
        <f>AND(#REF!,"AAAAAHd3zS4=")</f>
        <v>#REF!</v>
      </c>
      <c r="AV173" t="e">
        <f>AND(#REF!,"AAAAAHd3zS8=")</f>
        <v>#REF!</v>
      </c>
      <c r="AW173" t="e">
        <f>AND(#REF!,"AAAAAHd3zTA=")</f>
        <v>#REF!</v>
      </c>
      <c r="AX173" t="e">
        <f>AND(#REF!,"AAAAAHd3zTE=")</f>
        <v>#REF!</v>
      </c>
      <c r="AY173" t="e">
        <f>IF(#REF!,"AAAAAHd3zTI=",0)</f>
        <v>#REF!</v>
      </c>
      <c r="AZ173" t="e">
        <f>AND(#REF!,"AAAAAHd3zTM=")</f>
        <v>#REF!</v>
      </c>
      <c r="BA173" t="e">
        <f>AND(#REF!,"AAAAAHd3zTQ=")</f>
        <v>#REF!</v>
      </c>
      <c r="BB173" t="e">
        <f>AND(#REF!,"AAAAAHd3zTU=")</f>
        <v>#REF!</v>
      </c>
      <c r="BC173" t="e">
        <f>AND(#REF!,"AAAAAHd3zTY=")</f>
        <v>#REF!</v>
      </c>
      <c r="BD173" t="e">
        <f>AND(#REF!,"AAAAAHd3zTc=")</f>
        <v>#REF!</v>
      </c>
      <c r="BE173" t="e">
        <f>AND(#REF!,"AAAAAHd3zTg=")</f>
        <v>#REF!</v>
      </c>
      <c r="BF173" t="e">
        <f>AND(#REF!,"AAAAAHd3zTk=")</f>
        <v>#REF!</v>
      </c>
      <c r="BG173" t="e">
        <f>AND(#REF!,"AAAAAHd3zTo=")</f>
        <v>#REF!</v>
      </c>
      <c r="BH173" t="e">
        <f>AND(#REF!,"AAAAAHd3zTs=")</f>
        <v>#REF!</v>
      </c>
      <c r="BI173" t="e">
        <f>AND(#REF!,"AAAAAHd3zTw=")</f>
        <v>#REF!</v>
      </c>
      <c r="BJ173" t="e">
        <f>IF(#REF!,"AAAAAHd3zT0=",0)</f>
        <v>#REF!</v>
      </c>
      <c r="BK173" t="e">
        <f>AND(#REF!,"AAAAAHd3zT4=")</f>
        <v>#REF!</v>
      </c>
      <c r="BL173" t="e">
        <f>AND(#REF!,"AAAAAHd3zT8=")</f>
        <v>#REF!</v>
      </c>
      <c r="BM173" t="e">
        <f>AND(#REF!,"AAAAAHd3zUA=")</f>
        <v>#REF!</v>
      </c>
      <c r="BN173" t="e">
        <f>AND(#REF!,"AAAAAHd3zUE=")</f>
        <v>#REF!</v>
      </c>
      <c r="BO173" t="e">
        <f>AND(#REF!,"AAAAAHd3zUI=")</f>
        <v>#REF!</v>
      </c>
      <c r="BP173" t="e">
        <f>AND(#REF!,"AAAAAHd3zUM=")</f>
        <v>#REF!</v>
      </c>
      <c r="BQ173" t="e">
        <f>AND(#REF!,"AAAAAHd3zUQ=")</f>
        <v>#REF!</v>
      </c>
      <c r="BR173" t="e">
        <f>AND(#REF!,"AAAAAHd3zUU=")</f>
        <v>#REF!</v>
      </c>
      <c r="BS173" t="e">
        <f>AND(#REF!,"AAAAAHd3zUY=")</f>
        <v>#REF!</v>
      </c>
      <c r="BT173" t="e">
        <f>AND(#REF!,"AAAAAHd3zUc=")</f>
        <v>#REF!</v>
      </c>
      <c r="BU173" t="e">
        <f>IF(#REF!,"AAAAAHd3zUg=",0)</f>
        <v>#REF!</v>
      </c>
      <c r="BV173" t="e">
        <f>AND(#REF!,"AAAAAHd3zUk=")</f>
        <v>#REF!</v>
      </c>
      <c r="BW173" t="e">
        <f>AND(#REF!,"AAAAAHd3zUo=")</f>
        <v>#REF!</v>
      </c>
      <c r="BX173" t="e">
        <f>AND(#REF!,"AAAAAHd3zUs=")</f>
        <v>#REF!</v>
      </c>
      <c r="BY173" t="e">
        <f>AND(#REF!,"AAAAAHd3zUw=")</f>
        <v>#REF!</v>
      </c>
      <c r="BZ173" t="e">
        <f>AND(#REF!,"AAAAAHd3zU0=")</f>
        <v>#REF!</v>
      </c>
      <c r="CA173" t="e">
        <f>AND(#REF!,"AAAAAHd3zU4=")</f>
        <v>#REF!</v>
      </c>
      <c r="CB173" t="e">
        <f>AND(#REF!,"AAAAAHd3zU8=")</f>
        <v>#REF!</v>
      </c>
      <c r="CC173" t="e">
        <f>AND(#REF!,"AAAAAHd3zVA=")</f>
        <v>#REF!</v>
      </c>
      <c r="CD173" t="e">
        <f>AND(#REF!,"AAAAAHd3zVE=")</f>
        <v>#REF!</v>
      </c>
      <c r="CE173" t="e">
        <f>AND(#REF!,"AAAAAHd3zVI=")</f>
        <v>#REF!</v>
      </c>
      <c r="CF173" t="e">
        <f>IF(#REF!,"AAAAAHd3zVM=",0)</f>
        <v>#REF!</v>
      </c>
      <c r="CG173" t="e">
        <f>AND(#REF!,"AAAAAHd3zVQ=")</f>
        <v>#REF!</v>
      </c>
      <c r="CH173" t="e">
        <f>AND(#REF!,"AAAAAHd3zVU=")</f>
        <v>#REF!</v>
      </c>
      <c r="CI173" t="e">
        <f>AND(#REF!,"AAAAAHd3zVY=")</f>
        <v>#REF!</v>
      </c>
      <c r="CJ173" t="e">
        <f>AND(#REF!,"AAAAAHd3zVc=")</f>
        <v>#REF!</v>
      </c>
      <c r="CK173" t="e">
        <f>AND(#REF!,"AAAAAHd3zVg=")</f>
        <v>#REF!</v>
      </c>
      <c r="CL173" t="e">
        <f>AND(#REF!,"AAAAAHd3zVk=")</f>
        <v>#REF!</v>
      </c>
      <c r="CM173" t="e">
        <f>AND(#REF!,"AAAAAHd3zVo=")</f>
        <v>#REF!</v>
      </c>
      <c r="CN173" t="e">
        <f>AND(#REF!,"AAAAAHd3zVs=")</f>
        <v>#REF!</v>
      </c>
      <c r="CO173" t="e">
        <f>AND(#REF!,"AAAAAHd3zVw=")</f>
        <v>#REF!</v>
      </c>
      <c r="CP173" t="e">
        <f>AND(#REF!,"AAAAAHd3zV0=")</f>
        <v>#REF!</v>
      </c>
      <c r="CQ173" t="e">
        <f>IF(#REF!,"AAAAAHd3zV4=",0)</f>
        <v>#REF!</v>
      </c>
      <c r="CR173" t="e">
        <f>AND(#REF!,"AAAAAHd3zV8=")</f>
        <v>#REF!</v>
      </c>
      <c r="CS173" t="e">
        <f>AND(#REF!,"AAAAAHd3zWA=")</f>
        <v>#REF!</v>
      </c>
      <c r="CT173" t="e">
        <f>AND(#REF!,"AAAAAHd3zWE=")</f>
        <v>#REF!</v>
      </c>
      <c r="CU173" t="e">
        <f>AND(#REF!,"AAAAAHd3zWI=")</f>
        <v>#REF!</v>
      </c>
      <c r="CV173" t="e">
        <f>AND(#REF!,"AAAAAHd3zWM=")</f>
        <v>#REF!</v>
      </c>
      <c r="CW173" t="e">
        <f>AND(#REF!,"AAAAAHd3zWQ=")</f>
        <v>#REF!</v>
      </c>
      <c r="CX173" t="e">
        <f>AND(#REF!,"AAAAAHd3zWU=")</f>
        <v>#REF!</v>
      </c>
      <c r="CY173" t="e">
        <f>AND(#REF!,"AAAAAHd3zWY=")</f>
        <v>#REF!</v>
      </c>
      <c r="CZ173" t="e">
        <f>AND(#REF!,"AAAAAHd3zWc=")</f>
        <v>#REF!</v>
      </c>
      <c r="DA173" t="e">
        <f>AND(#REF!,"AAAAAHd3zWg=")</f>
        <v>#REF!</v>
      </c>
      <c r="DB173" t="e">
        <f>IF(#REF!,"AAAAAHd3zWk=",0)</f>
        <v>#REF!</v>
      </c>
      <c r="DC173" t="e">
        <f>AND(#REF!,"AAAAAHd3zWo=")</f>
        <v>#REF!</v>
      </c>
      <c r="DD173" t="e">
        <f>AND(#REF!,"AAAAAHd3zWs=")</f>
        <v>#REF!</v>
      </c>
      <c r="DE173" t="e">
        <f>AND(#REF!,"AAAAAHd3zWw=")</f>
        <v>#REF!</v>
      </c>
      <c r="DF173" t="e">
        <f>AND(#REF!,"AAAAAHd3zW0=")</f>
        <v>#REF!</v>
      </c>
      <c r="DG173" t="e">
        <f>AND(#REF!,"AAAAAHd3zW4=")</f>
        <v>#REF!</v>
      </c>
      <c r="DH173" t="e">
        <f>AND(#REF!,"AAAAAHd3zW8=")</f>
        <v>#REF!</v>
      </c>
      <c r="DI173" t="e">
        <f>AND(#REF!,"AAAAAHd3zXA=")</f>
        <v>#REF!</v>
      </c>
      <c r="DJ173" t="e">
        <f>AND(#REF!,"AAAAAHd3zXE=")</f>
        <v>#REF!</v>
      </c>
      <c r="DK173" t="e">
        <f>AND(#REF!,"AAAAAHd3zXI=")</f>
        <v>#REF!</v>
      </c>
      <c r="DL173" t="e">
        <f>AND(#REF!,"AAAAAHd3zXM=")</f>
        <v>#REF!</v>
      </c>
      <c r="DM173" t="e">
        <f>IF(#REF!,"AAAAAHd3zXQ=",0)</f>
        <v>#REF!</v>
      </c>
      <c r="DN173" t="e">
        <f>AND(#REF!,"AAAAAHd3zXU=")</f>
        <v>#REF!</v>
      </c>
      <c r="DO173" t="e">
        <f>AND(#REF!,"AAAAAHd3zXY=")</f>
        <v>#REF!</v>
      </c>
      <c r="DP173" t="e">
        <f>AND(#REF!,"AAAAAHd3zXc=")</f>
        <v>#REF!</v>
      </c>
      <c r="DQ173" t="e">
        <f>AND(#REF!,"AAAAAHd3zXg=")</f>
        <v>#REF!</v>
      </c>
      <c r="DR173" t="e">
        <f>AND(#REF!,"AAAAAHd3zXk=")</f>
        <v>#REF!</v>
      </c>
      <c r="DS173" t="e">
        <f>AND(#REF!,"AAAAAHd3zXo=")</f>
        <v>#REF!</v>
      </c>
      <c r="DT173" t="e">
        <f>AND(#REF!,"AAAAAHd3zXs=")</f>
        <v>#REF!</v>
      </c>
      <c r="DU173" t="e">
        <f>AND(#REF!,"AAAAAHd3zXw=")</f>
        <v>#REF!</v>
      </c>
      <c r="DV173" t="e">
        <f>AND(#REF!,"AAAAAHd3zX0=")</f>
        <v>#REF!</v>
      </c>
      <c r="DW173" t="e">
        <f>AND(#REF!,"AAAAAHd3zX4=")</f>
        <v>#REF!</v>
      </c>
      <c r="DX173" t="e">
        <f>IF(#REF!,"AAAAAHd3zX8=",0)</f>
        <v>#REF!</v>
      </c>
      <c r="DY173" t="e">
        <f>AND(#REF!,"AAAAAHd3zYA=")</f>
        <v>#REF!</v>
      </c>
      <c r="DZ173" t="e">
        <f>AND(#REF!,"AAAAAHd3zYE=")</f>
        <v>#REF!</v>
      </c>
      <c r="EA173" t="e">
        <f>AND(#REF!,"AAAAAHd3zYI=")</f>
        <v>#REF!</v>
      </c>
      <c r="EB173" t="e">
        <f>AND(#REF!,"AAAAAHd3zYM=")</f>
        <v>#REF!</v>
      </c>
      <c r="EC173" t="e">
        <f>AND(#REF!,"AAAAAHd3zYQ=")</f>
        <v>#REF!</v>
      </c>
      <c r="ED173" t="e">
        <f>AND(#REF!,"AAAAAHd3zYU=")</f>
        <v>#REF!</v>
      </c>
      <c r="EE173" t="e">
        <f>AND(#REF!,"AAAAAHd3zYY=")</f>
        <v>#REF!</v>
      </c>
      <c r="EF173" t="e">
        <f>AND(#REF!,"AAAAAHd3zYc=")</f>
        <v>#REF!</v>
      </c>
      <c r="EG173" t="e">
        <f>AND(#REF!,"AAAAAHd3zYg=")</f>
        <v>#REF!</v>
      </c>
      <c r="EH173" t="e">
        <f>AND(#REF!,"AAAAAHd3zYk=")</f>
        <v>#REF!</v>
      </c>
      <c r="EI173" t="e">
        <f>IF(#REF!,"AAAAAHd3zYo=",0)</f>
        <v>#REF!</v>
      </c>
      <c r="EJ173" t="e">
        <f>AND(#REF!,"AAAAAHd3zYs=")</f>
        <v>#REF!</v>
      </c>
      <c r="EK173" t="e">
        <f>AND(#REF!,"AAAAAHd3zYw=")</f>
        <v>#REF!</v>
      </c>
      <c r="EL173" t="e">
        <f>AND(#REF!,"AAAAAHd3zY0=")</f>
        <v>#REF!</v>
      </c>
      <c r="EM173" t="e">
        <f>AND(#REF!,"AAAAAHd3zY4=")</f>
        <v>#REF!</v>
      </c>
      <c r="EN173" t="e">
        <f>AND(#REF!,"AAAAAHd3zY8=")</f>
        <v>#REF!</v>
      </c>
      <c r="EO173" t="e">
        <f>AND(#REF!,"AAAAAHd3zZA=")</f>
        <v>#REF!</v>
      </c>
      <c r="EP173" t="e">
        <f>AND(#REF!,"AAAAAHd3zZE=")</f>
        <v>#REF!</v>
      </c>
      <c r="EQ173" t="e">
        <f>AND(#REF!,"AAAAAHd3zZI=")</f>
        <v>#REF!</v>
      </c>
      <c r="ER173" t="e">
        <f>AND(#REF!,"AAAAAHd3zZM=")</f>
        <v>#REF!</v>
      </c>
      <c r="ES173" t="e">
        <f>AND(#REF!,"AAAAAHd3zZQ=")</f>
        <v>#REF!</v>
      </c>
      <c r="ET173" t="e">
        <f>IF(#REF!,"AAAAAHd3zZU=",0)</f>
        <v>#REF!</v>
      </c>
      <c r="EU173" t="e">
        <f>AND(#REF!,"AAAAAHd3zZY=")</f>
        <v>#REF!</v>
      </c>
      <c r="EV173" t="e">
        <f>AND(#REF!,"AAAAAHd3zZc=")</f>
        <v>#REF!</v>
      </c>
      <c r="EW173" t="e">
        <f>AND(#REF!,"AAAAAHd3zZg=")</f>
        <v>#REF!</v>
      </c>
      <c r="EX173" t="e">
        <f>AND(#REF!,"AAAAAHd3zZk=")</f>
        <v>#REF!</v>
      </c>
      <c r="EY173" t="e">
        <f>AND(#REF!,"AAAAAHd3zZo=")</f>
        <v>#REF!</v>
      </c>
      <c r="EZ173" t="e">
        <f>AND(#REF!,"AAAAAHd3zZs=")</f>
        <v>#REF!</v>
      </c>
      <c r="FA173" t="e">
        <f>AND(#REF!,"AAAAAHd3zZw=")</f>
        <v>#REF!</v>
      </c>
      <c r="FB173" t="e">
        <f>AND(#REF!,"AAAAAHd3zZ0=")</f>
        <v>#REF!</v>
      </c>
      <c r="FC173" t="e">
        <f>AND(#REF!,"AAAAAHd3zZ4=")</f>
        <v>#REF!</v>
      </c>
      <c r="FD173" t="e">
        <f>AND(#REF!,"AAAAAHd3zZ8=")</f>
        <v>#REF!</v>
      </c>
      <c r="FE173" t="e">
        <f>IF(#REF!,"AAAAAHd3zaA=",0)</f>
        <v>#REF!</v>
      </c>
      <c r="FF173" t="e">
        <f>AND(#REF!,"AAAAAHd3zaE=")</f>
        <v>#REF!</v>
      </c>
      <c r="FG173" t="e">
        <f>AND(#REF!,"AAAAAHd3zaI=")</f>
        <v>#REF!</v>
      </c>
      <c r="FH173" t="e">
        <f>AND(#REF!,"AAAAAHd3zaM=")</f>
        <v>#REF!</v>
      </c>
      <c r="FI173" t="e">
        <f>AND(#REF!,"AAAAAHd3zaQ=")</f>
        <v>#REF!</v>
      </c>
      <c r="FJ173" t="e">
        <f>AND(#REF!,"AAAAAHd3zaU=")</f>
        <v>#REF!</v>
      </c>
      <c r="FK173" t="e">
        <f>AND(#REF!,"AAAAAHd3zaY=")</f>
        <v>#REF!</v>
      </c>
      <c r="FL173" t="e">
        <f>AND(#REF!,"AAAAAHd3zac=")</f>
        <v>#REF!</v>
      </c>
      <c r="FM173" t="e">
        <f>AND(#REF!,"AAAAAHd3zag=")</f>
        <v>#REF!</v>
      </c>
      <c r="FN173" t="e">
        <f>AND(#REF!,"AAAAAHd3zak=")</f>
        <v>#REF!</v>
      </c>
      <c r="FO173" t="e">
        <f>AND(#REF!,"AAAAAHd3zao=")</f>
        <v>#REF!</v>
      </c>
      <c r="FP173" t="e">
        <f>IF(#REF!,"AAAAAHd3zas=",0)</f>
        <v>#REF!</v>
      </c>
      <c r="FQ173" t="e">
        <f>AND(#REF!,"AAAAAHd3zaw=")</f>
        <v>#REF!</v>
      </c>
      <c r="FR173" t="e">
        <f>AND(#REF!,"AAAAAHd3za0=")</f>
        <v>#REF!</v>
      </c>
      <c r="FS173" t="e">
        <f>AND(#REF!,"AAAAAHd3za4=")</f>
        <v>#REF!</v>
      </c>
      <c r="FT173" t="e">
        <f>AND(#REF!,"AAAAAHd3za8=")</f>
        <v>#REF!</v>
      </c>
      <c r="FU173" t="e">
        <f>AND(#REF!,"AAAAAHd3zbA=")</f>
        <v>#REF!</v>
      </c>
      <c r="FV173" t="e">
        <f>AND(#REF!,"AAAAAHd3zbE=")</f>
        <v>#REF!</v>
      </c>
      <c r="FW173" t="e">
        <f>AND(#REF!,"AAAAAHd3zbI=")</f>
        <v>#REF!</v>
      </c>
      <c r="FX173" t="e">
        <f>AND(#REF!,"AAAAAHd3zbM=")</f>
        <v>#REF!</v>
      </c>
      <c r="FY173" t="e">
        <f>AND(#REF!,"AAAAAHd3zbQ=")</f>
        <v>#REF!</v>
      </c>
      <c r="FZ173" t="e">
        <f>AND(#REF!,"AAAAAHd3zbU=")</f>
        <v>#REF!</v>
      </c>
      <c r="GA173" t="e">
        <f>IF(#REF!,"AAAAAHd3zbY=",0)</f>
        <v>#REF!</v>
      </c>
      <c r="GB173" t="e">
        <f>AND(#REF!,"AAAAAHd3zbc=")</f>
        <v>#REF!</v>
      </c>
      <c r="GC173" t="e">
        <f>AND(#REF!,"AAAAAHd3zbg=")</f>
        <v>#REF!</v>
      </c>
      <c r="GD173" t="e">
        <f>AND(#REF!,"AAAAAHd3zbk=")</f>
        <v>#REF!</v>
      </c>
      <c r="GE173" t="e">
        <f>AND(#REF!,"AAAAAHd3zbo=")</f>
        <v>#REF!</v>
      </c>
      <c r="GF173" t="e">
        <f>AND(#REF!,"AAAAAHd3zbs=")</f>
        <v>#REF!</v>
      </c>
      <c r="GG173" t="e">
        <f>AND(#REF!,"AAAAAHd3zbw=")</f>
        <v>#REF!</v>
      </c>
      <c r="GH173" t="e">
        <f>AND(#REF!,"AAAAAHd3zb0=")</f>
        <v>#REF!</v>
      </c>
      <c r="GI173" t="e">
        <f>AND(#REF!,"AAAAAHd3zb4=")</f>
        <v>#REF!</v>
      </c>
      <c r="GJ173" t="e">
        <f>AND(#REF!,"AAAAAHd3zb8=")</f>
        <v>#REF!</v>
      </c>
      <c r="GK173" t="e">
        <f>AND(#REF!,"AAAAAHd3zcA=")</f>
        <v>#REF!</v>
      </c>
      <c r="GL173" t="e">
        <f>IF(#REF!,"AAAAAHd3zcE=",0)</f>
        <v>#REF!</v>
      </c>
      <c r="GM173" t="e">
        <f>AND(#REF!,"AAAAAHd3zcI=")</f>
        <v>#REF!</v>
      </c>
      <c r="GN173" t="e">
        <f>AND(#REF!,"AAAAAHd3zcM=")</f>
        <v>#REF!</v>
      </c>
      <c r="GO173" t="e">
        <f>AND(#REF!,"AAAAAHd3zcQ=")</f>
        <v>#REF!</v>
      </c>
      <c r="GP173" t="e">
        <f>AND(#REF!,"AAAAAHd3zcU=")</f>
        <v>#REF!</v>
      </c>
      <c r="GQ173" t="e">
        <f>AND(#REF!,"AAAAAHd3zcY=")</f>
        <v>#REF!</v>
      </c>
      <c r="GR173" t="e">
        <f>AND(#REF!,"AAAAAHd3zcc=")</f>
        <v>#REF!</v>
      </c>
      <c r="GS173" t="e">
        <f>AND(#REF!,"AAAAAHd3zcg=")</f>
        <v>#REF!</v>
      </c>
      <c r="GT173" t="e">
        <f>AND(#REF!,"AAAAAHd3zck=")</f>
        <v>#REF!</v>
      </c>
      <c r="GU173" t="e">
        <f>AND(#REF!,"AAAAAHd3zco=")</f>
        <v>#REF!</v>
      </c>
      <c r="GV173" t="e">
        <f>AND(#REF!,"AAAAAHd3zcs=")</f>
        <v>#REF!</v>
      </c>
      <c r="GW173" t="e">
        <f>IF(#REF!,"AAAAAHd3zcw=",0)</f>
        <v>#REF!</v>
      </c>
      <c r="GX173" t="e">
        <f>AND(#REF!,"AAAAAHd3zc0=")</f>
        <v>#REF!</v>
      </c>
      <c r="GY173" t="e">
        <f>AND(#REF!,"AAAAAHd3zc4=")</f>
        <v>#REF!</v>
      </c>
      <c r="GZ173" t="e">
        <f>AND(#REF!,"AAAAAHd3zc8=")</f>
        <v>#REF!</v>
      </c>
      <c r="HA173" t="e">
        <f>AND(#REF!,"AAAAAHd3zdA=")</f>
        <v>#REF!</v>
      </c>
      <c r="HB173" t="e">
        <f>AND(#REF!,"AAAAAHd3zdE=")</f>
        <v>#REF!</v>
      </c>
      <c r="HC173" t="e">
        <f>AND(#REF!,"AAAAAHd3zdI=")</f>
        <v>#REF!</v>
      </c>
      <c r="HD173" t="e">
        <f>AND(#REF!,"AAAAAHd3zdM=")</f>
        <v>#REF!</v>
      </c>
      <c r="HE173" t="e">
        <f>AND(#REF!,"AAAAAHd3zdQ=")</f>
        <v>#REF!</v>
      </c>
      <c r="HF173" t="e">
        <f>AND(#REF!,"AAAAAHd3zdU=")</f>
        <v>#REF!</v>
      </c>
      <c r="HG173" t="e">
        <f>AND(#REF!,"AAAAAHd3zdY=")</f>
        <v>#REF!</v>
      </c>
      <c r="HH173" t="e">
        <f>IF(#REF!,"AAAAAHd3zdc=",0)</f>
        <v>#REF!</v>
      </c>
      <c r="HI173" t="e">
        <f>AND(#REF!,"AAAAAHd3zdg=")</f>
        <v>#REF!</v>
      </c>
      <c r="HJ173" t="e">
        <f>AND(#REF!,"AAAAAHd3zdk=")</f>
        <v>#REF!</v>
      </c>
      <c r="HK173" t="e">
        <f>AND(#REF!,"AAAAAHd3zdo=")</f>
        <v>#REF!</v>
      </c>
      <c r="HL173" t="e">
        <f>AND(#REF!,"AAAAAHd3zds=")</f>
        <v>#REF!</v>
      </c>
      <c r="HM173" t="e">
        <f>AND(#REF!,"AAAAAHd3zdw=")</f>
        <v>#REF!</v>
      </c>
      <c r="HN173" t="e">
        <f>AND(#REF!,"AAAAAHd3zd0=")</f>
        <v>#REF!</v>
      </c>
      <c r="HO173" t="e">
        <f>AND(#REF!,"AAAAAHd3zd4=")</f>
        <v>#REF!</v>
      </c>
      <c r="HP173" t="e">
        <f>AND(#REF!,"AAAAAHd3zd8=")</f>
        <v>#REF!</v>
      </c>
      <c r="HQ173" t="e">
        <f>AND(#REF!,"AAAAAHd3zeA=")</f>
        <v>#REF!</v>
      </c>
      <c r="HR173" t="e">
        <f>AND(#REF!,"AAAAAHd3zeE=")</f>
        <v>#REF!</v>
      </c>
      <c r="HS173" t="e">
        <f>IF(#REF!,"AAAAAHd3zeI=",0)</f>
        <v>#REF!</v>
      </c>
      <c r="HT173" t="e">
        <f>AND(#REF!,"AAAAAHd3zeM=")</f>
        <v>#REF!</v>
      </c>
      <c r="HU173" t="e">
        <f>AND(#REF!,"AAAAAHd3zeQ=")</f>
        <v>#REF!</v>
      </c>
      <c r="HV173" t="e">
        <f>AND(#REF!,"AAAAAHd3zeU=")</f>
        <v>#REF!</v>
      </c>
      <c r="HW173" t="e">
        <f>AND(#REF!,"AAAAAHd3zeY=")</f>
        <v>#REF!</v>
      </c>
      <c r="HX173" t="e">
        <f>AND(#REF!,"AAAAAHd3zec=")</f>
        <v>#REF!</v>
      </c>
      <c r="HY173" t="e">
        <f>AND(#REF!,"AAAAAHd3zeg=")</f>
        <v>#REF!</v>
      </c>
      <c r="HZ173" t="e">
        <f>AND(#REF!,"AAAAAHd3zek=")</f>
        <v>#REF!</v>
      </c>
      <c r="IA173" t="e">
        <f>AND(#REF!,"AAAAAHd3zeo=")</f>
        <v>#REF!</v>
      </c>
      <c r="IB173" t="e">
        <f>AND(#REF!,"AAAAAHd3zes=")</f>
        <v>#REF!</v>
      </c>
      <c r="IC173" t="e">
        <f>AND(#REF!,"AAAAAHd3zew=")</f>
        <v>#REF!</v>
      </c>
      <c r="ID173" t="e">
        <f>IF(#REF!,"AAAAAHd3ze0=",0)</f>
        <v>#REF!</v>
      </c>
      <c r="IE173" t="e">
        <f>AND(#REF!,"AAAAAHd3ze4=")</f>
        <v>#REF!</v>
      </c>
      <c r="IF173" t="e">
        <f>AND(#REF!,"AAAAAHd3ze8=")</f>
        <v>#REF!</v>
      </c>
      <c r="IG173" t="e">
        <f>AND(#REF!,"AAAAAHd3zfA=")</f>
        <v>#REF!</v>
      </c>
      <c r="IH173" t="e">
        <f>AND(#REF!,"AAAAAHd3zfE=")</f>
        <v>#REF!</v>
      </c>
      <c r="II173" t="e">
        <f>AND(#REF!,"AAAAAHd3zfI=")</f>
        <v>#REF!</v>
      </c>
      <c r="IJ173" t="e">
        <f>AND(#REF!,"AAAAAHd3zfM=")</f>
        <v>#REF!</v>
      </c>
      <c r="IK173" t="e">
        <f>AND(#REF!,"AAAAAHd3zfQ=")</f>
        <v>#REF!</v>
      </c>
      <c r="IL173" t="e">
        <f>AND(#REF!,"AAAAAHd3zfU=")</f>
        <v>#REF!</v>
      </c>
      <c r="IM173" t="e">
        <f>AND(#REF!,"AAAAAHd3zfY=")</f>
        <v>#REF!</v>
      </c>
      <c r="IN173" t="e">
        <f>AND(#REF!,"AAAAAHd3zfc=")</f>
        <v>#REF!</v>
      </c>
      <c r="IO173" t="e">
        <f>IF(#REF!,"AAAAAHd3zfg=",0)</f>
        <v>#REF!</v>
      </c>
      <c r="IP173" t="e">
        <f>AND(#REF!,"AAAAAHd3zfk=")</f>
        <v>#REF!</v>
      </c>
      <c r="IQ173" t="e">
        <f>AND(#REF!,"AAAAAHd3zfo=")</f>
        <v>#REF!</v>
      </c>
      <c r="IR173" t="e">
        <f>AND(#REF!,"AAAAAHd3zfs=")</f>
        <v>#REF!</v>
      </c>
      <c r="IS173" t="e">
        <f>AND(#REF!,"AAAAAHd3zfw=")</f>
        <v>#REF!</v>
      </c>
      <c r="IT173" t="e">
        <f>AND(#REF!,"AAAAAHd3zf0=")</f>
        <v>#REF!</v>
      </c>
      <c r="IU173" t="e">
        <f>AND(#REF!,"AAAAAHd3zf4=")</f>
        <v>#REF!</v>
      </c>
      <c r="IV173" t="e">
        <f>AND(#REF!,"AAAAAHd3zf8=")</f>
        <v>#REF!</v>
      </c>
    </row>
    <row r="174" spans="1:256" x14ac:dyDescent="0.25">
      <c r="A174" t="e">
        <f>AND(#REF!,"AAAAAH03+wA=")</f>
        <v>#REF!</v>
      </c>
      <c r="B174" t="e">
        <f>AND(#REF!,"AAAAAH03+wE=")</f>
        <v>#REF!</v>
      </c>
      <c r="C174" t="e">
        <f>AND(#REF!,"AAAAAH03+wI=")</f>
        <v>#REF!</v>
      </c>
      <c r="D174" t="e">
        <f>IF(#REF!,"AAAAAH03+wM=",0)</f>
        <v>#REF!</v>
      </c>
      <c r="E174" t="e">
        <f>AND(#REF!,"AAAAAH03+wQ=")</f>
        <v>#REF!</v>
      </c>
      <c r="F174" t="e">
        <f>AND(#REF!,"AAAAAH03+wU=")</f>
        <v>#REF!</v>
      </c>
      <c r="G174" t="e">
        <f>AND(#REF!,"AAAAAH03+wY=")</f>
        <v>#REF!</v>
      </c>
      <c r="H174" t="e">
        <f>AND(#REF!,"AAAAAH03+wc=")</f>
        <v>#REF!</v>
      </c>
      <c r="I174" t="e">
        <f>AND(#REF!,"AAAAAH03+wg=")</f>
        <v>#REF!</v>
      </c>
      <c r="J174" t="e">
        <f>AND(#REF!,"AAAAAH03+wk=")</f>
        <v>#REF!</v>
      </c>
      <c r="K174" t="e">
        <f>AND(#REF!,"AAAAAH03+wo=")</f>
        <v>#REF!</v>
      </c>
      <c r="L174" t="e">
        <f>AND(#REF!,"AAAAAH03+ws=")</f>
        <v>#REF!</v>
      </c>
      <c r="M174" t="e">
        <f>AND(#REF!,"AAAAAH03+ww=")</f>
        <v>#REF!</v>
      </c>
      <c r="N174" t="e">
        <f>AND(#REF!,"AAAAAH03+w0=")</f>
        <v>#REF!</v>
      </c>
      <c r="O174" t="e">
        <f>IF(#REF!,"AAAAAH03+w4=",0)</f>
        <v>#REF!</v>
      </c>
      <c r="P174" t="e">
        <f>AND(#REF!,"AAAAAH03+w8=")</f>
        <v>#REF!</v>
      </c>
      <c r="Q174" t="e">
        <f>AND(#REF!,"AAAAAH03+xA=")</f>
        <v>#REF!</v>
      </c>
      <c r="R174" t="e">
        <f>AND(#REF!,"AAAAAH03+xE=")</f>
        <v>#REF!</v>
      </c>
      <c r="S174" t="e">
        <f>AND(#REF!,"AAAAAH03+xI=")</f>
        <v>#REF!</v>
      </c>
      <c r="T174" t="e">
        <f>AND(#REF!,"AAAAAH03+xM=")</f>
        <v>#REF!</v>
      </c>
      <c r="U174" t="e">
        <f>AND(#REF!,"AAAAAH03+xQ=")</f>
        <v>#REF!</v>
      </c>
      <c r="V174" t="e">
        <f>AND(#REF!,"AAAAAH03+xU=")</f>
        <v>#REF!</v>
      </c>
      <c r="W174" t="e">
        <f>AND(#REF!,"AAAAAH03+xY=")</f>
        <v>#REF!</v>
      </c>
      <c r="X174" t="e">
        <f>AND(#REF!,"AAAAAH03+xc=")</f>
        <v>#REF!</v>
      </c>
      <c r="Y174" t="e">
        <f>AND(#REF!,"AAAAAH03+xg=")</f>
        <v>#REF!</v>
      </c>
      <c r="Z174" t="e">
        <f>IF(#REF!,"AAAAAH03+xk=",0)</f>
        <v>#REF!</v>
      </c>
      <c r="AA174" t="e">
        <f>AND(#REF!,"AAAAAH03+xo=")</f>
        <v>#REF!</v>
      </c>
      <c r="AB174" t="e">
        <f>AND(#REF!,"AAAAAH03+xs=")</f>
        <v>#REF!</v>
      </c>
      <c r="AC174" t="e">
        <f>AND(#REF!,"AAAAAH03+xw=")</f>
        <v>#REF!</v>
      </c>
      <c r="AD174" t="e">
        <f>AND(#REF!,"AAAAAH03+x0=")</f>
        <v>#REF!</v>
      </c>
      <c r="AE174" t="e">
        <f>AND(#REF!,"AAAAAH03+x4=")</f>
        <v>#REF!</v>
      </c>
      <c r="AF174" t="e">
        <f>AND(#REF!,"AAAAAH03+x8=")</f>
        <v>#REF!</v>
      </c>
      <c r="AG174" t="e">
        <f>AND(#REF!,"AAAAAH03+yA=")</f>
        <v>#REF!</v>
      </c>
      <c r="AH174" t="e">
        <f>AND(#REF!,"AAAAAH03+yE=")</f>
        <v>#REF!</v>
      </c>
      <c r="AI174" t="e">
        <f>AND(#REF!,"AAAAAH03+yI=")</f>
        <v>#REF!</v>
      </c>
      <c r="AJ174" t="e">
        <f>AND(#REF!,"AAAAAH03+yM=")</f>
        <v>#REF!</v>
      </c>
      <c r="AK174" t="e">
        <f>IF(#REF!,"AAAAAH03+yQ=",0)</f>
        <v>#REF!</v>
      </c>
      <c r="AL174" t="e">
        <f>AND(#REF!,"AAAAAH03+yU=")</f>
        <v>#REF!</v>
      </c>
      <c r="AM174" t="e">
        <f>AND(#REF!,"AAAAAH03+yY=")</f>
        <v>#REF!</v>
      </c>
      <c r="AN174" t="e">
        <f>AND(#REF!,"AAAAAH03+yc=")</f>
        <v>#REF!</v>
      </c>
      <c r="AO174" t="e">
        <f>AND(#REF!,"AAAAAH03+yg=")</f>
        <v>#REF!</v>
      </c>
      <c r="AP174" t="e">
        <f>AND(#REF!,"AAAAAH03+yk=")</f>
        <v>#REF!</v>
      </c>
      <c r="AQ174" t="e">
        <f>AND(#REF!,"AAAAAH03+yo=")</f>
        <v>#REF!</v>
      </c>
      <c r="AR174" t="e">
        <f>AND(#REF!,"AAAAAH03+ys=")</f>
        <v>#REF!</v>
      </c>
      <c r="AS174" t="e">
        <f>AND(#REF!,"AAAAAH03+yw=")</f>
        <v>#REF!</v>
      </c>
      <c r="AT174" t="e">
        <f>AND(#REF!,"AAAAAH03+y0=")</f>
        <v>#REF!</v>
      </c>
      <c r="AU174" t="e">
        <f>AND(#REF!,"AAAAAH03+y4=")</f>
        <v>#REF!</v>
      </c>
      <c r="AV174" t="e">
        <f>IF(#REF!,"AAAAAH03+y8=",0)</f>
        <v>#REF!</v>
      </c>
      <c r="AW174" t="e">
        <f>AND(#REF!,"AAAAAH03+zA=")</f>
        <v>#REF!</v>
      </c>
      <c r="AX174" t="e">
        <f>AND(#REF!,"AAAAAH03+zE=")</f>
        <v>#REF!</v>
      </c>
      <c r="AY174" t="e">
        <f>AND(#REF!,"AAAAAH03+zI=")</f>
        <v>#REF!</v>
      </c>
      <c r="AZ174" t="e">
        <f>AND(#REF!,"AAAAAH03+zM=")</f>
        <v>#REF!</v>
      </c>
      <c r="BA174" t="e">
        <f>AND(#REF!,"AAAAAH03+zQ=")</f>
        <v>#REF!</v>
      </c>
      <c r="BB174" t="e">
        <f>AND(#REF!,"AAAAAH03+zU=")</f>
        <v>#REF!</v>
      </c>
      <c r="BC174" t="e">
        <f>AND(#REF!,"AAAAAH03+zY=")</f>
        <v>#REF!</v>
      </c>
      <c r="BD174" t="e">
        <f>AND(#REF!,"AAAAAH03+zc=")</f>
        <v>#REF!</v>
      </c>
      <c r="BE174" t="e">
        <f>AND(#REF!,"AAAAAH03+zg=")</f>
        <v>#REF!</v>
      </c>
      <c r="BF174" t="e">
        <f>AND(#REF!,"AAAAAH03+zk=")</f>
        <v>#REF!</v>
      </c>
      <c r="BG174" t="e">
        <f>IF(#REF!,"AAAAAH03+zo=",0)</f>
        <v>#REF!</v>
      </c>
      <c r="BH174" t="e">
        <f>AND(#REF!,"AAAAAH03+zs=")</f>
        <v>#REF!</v>
      </c>
      <c r="BI174" t="e">
        <f>AND(#REF!,"AAAAAH03+zw=")</f>
        <v>#REF!</v>
      </c>
      <c r="BJ174" t="e">
        <f>AND(#REF!,"AAAAAH03+z0=")</f>
        <v>#REF!</v>
      </c>
      <c r="BK174" t="e">
        <f>AND(#REF!,"AAAAAH03+z4=")</f>
        <v>#REF!</v>
      </c>
      <c r="BL174" t="e">
        <f>AND(#REF!,"AAAAAH03+z8=")</f>
        <v>#REF!</v>
      </c>
      <c r="BM174" t="e">
        <f>AND(#REF!,"AAAAAH03+0A=")</f>
        <v>#REF!</v>
      </c>
      <c r="BN174" t="e">
        <f>AND(#REF!,"AAAAAH03+0E=")</f>
        <v>#REF!</v>
      </c>
      <c r="BO174" t="e">
        <f>AND(#REF!,"AAAAAH03+0I=")</f>
        <v>#REF!</v>
      </c>
      <c r="BP174" t="e">
        <f>AND(#REF!,"AAAAAH03+0M=")</f>
        <v>#REF!</v>
      </c>
      <c r="BQ174" t="e">
        <f>AND(#REF!,"AAAAAH03+0Q=")</f>
        <v>#REF!</v>
      </c>
      <c r="BR174" t="e">
        <f>IF(#REF!,"AAAAAH03+0U=",0)</f>
        <v>#REF!</v>
      </c>
      <c r="BS174" t="e">
        <f>AND(#REF!,"AAAAAH03+0Y=")</f>
        <v>#REF!</v>
      </c>
      <c r="BT174" t="e">
        <f>AND(#REF!,"AAAAAH03+0c=")</f>
        <v>#REF!</v>
      </c>
      <c r="BU174" t="e">
        <f>AND(#REF!,"AAAAAH03+0g=")</f>
        <v>#REF!</v>
      </c>
      <c r="BV174" t="e">
        <f>AND(#REF!,"AAAAAH03+0k=")</f>
        <v>#REF!</v>
      </c>
      <c r="BW174" t="e">
        <f>AND(#REF!,"AAAAAH03+0o=")</f>
        <v>#REF!</v>
      </c>
      <c r="BX174" t="e">
        <f>AND(#REF!,"AAAAAH03+0s=")</f>
        <v>#REF!</v>
      </c>
      <c r="BY174" t="e">
        <f>AND(#REF!,"AAAAAH03+0w=")</f>
        <v>#REF!</v>
      </c>
      <c r="BZ174" t="e">
        <f>AND(#REF!,"AAAAAH03+00=")</f>
        <v>#REF!</v>
      </c>
      <c r="CA174" t="e">
        <f>AND(#REF!,"AAAAAH03+04=")</f>
        <v>#REF!</v>
      </c>
      <c r="CB174" t="e">
        <f>AND(#REF!,"AAAAAH03+08=")</f>
        <v>#REF!</v>
      </c>
      <c r="CC174" t="e">
        <f>IF(#REF!,"AAAAAH03+1A=",0)</f>
        <v>#REF!</v>
      </c>
      <c r="CD174" t="e">
        <f>AND(#REF!,"AAAAAH03+1E=")</f>
        <v>#REF!</v>
      </c>
      <c r="CE174" t="e">
        <f>AND(#REF!,"AAAAAH03+1I=")</f>
        <v>#REF!</v>
      </c>
      <c r="CF174" t="e">
        <f>AND(#REF!,"AAAAAH03+1M=")</f>
        <v>#REF!</v>
      </c>
      <c r="CG174" t="e">
        <f>AND(#REF!,"AAAAAH03+1Q=")</f>
        <v>#REF!</v>
      </c>
      <c r="CH174" t="e">
        <f>AND(#REF!,"AAAAAH03+1U=")</f>
        <v>#REF!</v>
      </c>
      <c r="CI174" t="e">
        <f>AND(#REF!,"AAAAAH03+1Y=")</f>
        <v>#REF!</v>
      </c>
      <c r="CJ174" t="e">
        <f>AND(#REF!,"AAAAAH03+1c=")</f>
        <v>#REF!</v>
      </c>
      <c r="CK174" t="e">
        <f>AND(#REF!,"AAAAAH03+1g=")</f>
        <v>#REF!</v>
      </c>
      <c r="CL174" t="e">
        <f>AND(#REF!,"AAAAAH03+1k=")</f>
        <v>#REF!</v>
      </c>
      <c r="CM174" t="e">
        <f>AND(#REF!,"AAAAAH03+1o=")</f>
        <v>#REF!</v>
      </c>
      <c r="CN174" t="e">
        <f>IF(#REF!,"AAAAAH03+1s=",0)</f>
        <v>#REF!</v>
      </c>
      <c r="CO174" t="e">
        <f>AND(#REF!,"AAAAAH03+1w=")</f>
        <v>#REF!</v>
      </c>
      <c r="CP174" t="e">
        <f>AND(#REF!,"AAAAAH03+10=")</f>
        <v>#REF!</v>
      </c>
      <c r="CQ174" t="e">
        <f>AND(#REF!,"AAAAAH03+14=")</f>
        <v>#REF!</v>
      </c>
      <c r="CR174" t="e">
        <f>AND(#REF!,"AAAAAH03+18=")</f>
        <v>#REF!</v>
      </c>
      <c r="CS174" t="e">
        <f>AND(#REF!,"AAAAAH03+2A=")</f>
        <v>#REF!</v>
      </c>
      <c r="CT174" t="e">
        <f>AND(#REF!,"AAAAAH03+2E=")</f>
        <v>#REF!</v>
      </c>
      <c r="CU174" t="e">
        <f>AND(#REF!,"AAAAAH03+2I=")</f>
        <v>#REF!</v>
      </c>
      <c r="CV174" t="e">
        <f>AND(#REF!,"AAAAAH03+2M=")</f>
        <v>#REF!</v>
      </c>
      <c r="CW174" t="e">
        <f>AND(#REF!,"AAAAAH03+2Q=")</f>
        <v>#REF!</v>
      </c>
      <c r="CX174" t="e">
        <f>AND(#REF!,"AAAAAH03+2U=")</f>
        <v>#REF!</v>
      </c>
      <c r="CY174" t="e">
        <f>IF(#REF!,"AAAAAH03+2Y=",0)</f>
        <v>#REF!</v>
      </c>
      <c r="CZ174" t="e">
        <f>AND(#REF!,"AAAAAH03+2c=")</f>
        <v>#REF!</v>
      </c>
      <c r="DA174" t="e">
        <f>AND(#REF!,"AAAAAH03+2g=")</f>
        <v>#REF!</v>
      </c>
      <c r="DB174" t="e">
        <f>AND(#REF!,"AAAAAH03+2k=")</f>
        <v>#REF!</v>
      </c>
      <c r="DC174" t="e">
        <f>AND(#REF!,"AAAAAH03+2o=")</f>
        <v>#REF!</v>
      </c>
      <c r="DD174" t="e">
        <f>AND(#REF!,"AAAAAH03+2s=")</f>
        <v>#REF!</v>
      </c>
      <c r="DE174" t="e">
        <f>AND(#REF!,"AAAAAH03+2w=")</f>
        <v>#REF!</v>
      </c>
      <c r="DF174" t="e">
        <f>AND(#REF!,"AAAAAH03+20=")</f>
        <v>#REF!</v>
      </c>
      <c r="DG174" t="e">
        <f>AND(#REF!,"AAAAAH03+24=")</f>
        <v>#REF!</v>
      </c>
      <c r="DH174" t="e">
        <f>AND(#REF!,"AAAAAH03+28=")</f>
        <v>#REF!</v>
      </c>
      <c r="DI174" t="e">
        <f>AND(#REF!,"AAAAAH03+3A=")</f>
        <v>#REF!</v>
      </c>
      <c r="DJ174" t="e">
        <f>IF(#REF!,"AAAAAH03+3E=",0)</f>
        <v>#REF!</v>
      </c>
      <c r="DK174" t="e">
        <f>AND(#REF!,"AAAAAH03+3I=")</f>
        <v>#REF!</v>
      </c>
      <c r="DL174" t="e">
        <f>AND(#REF!,"AAAAAH03+3M=")</f>
        <v>#REF!</v>
      </c>
      <c r="DM174" t="e">
        <f>AND(#REF!,"AAAAAH03+3Q=")</f>
        <v>#REF!</v>
      </c>
      <c r="DN174" t="e">
        <f>AND(#REF!,"AAAAAH03+3U=")</f>
        <v>#REF!</v>
      </c>
      <c r="DO174" t="e">
        <f>AND(#REF!,"AAAAAH03+3Y=")</f>
        <v>#REF!</v>
      </c>
      <c r="DP174" t="e">
        <f>AND(#REF!,"AAAAAH03+3c=")</f>
        <v>#REF!</v>
      </c>
      <c r="DQ174" t="e">
        <f>AND(#REF!,"AAAAAH03+3g=")</f>
        <v>#REF!</v>
      </c>
      <c r="DR174" t="e">
        <f>AND(#REF!,"AAAAAH03+3k=")</f>
        <v>#REF!</v>
      </c>
      <c r="DS174" t="e">
        <f>AND(#REF!,"AAAAAH03+3o=")</f>
        <v>#REF!</v>
      </c>
      <c r="DT174" t="e">
        <f>AND(#REF!,"AAAAAH03+3s=")</f>
        <v>#REF!</v>
      </c>
      <c r="DU174" t="e">
        <f>IF(#REF!,"AAAAAH03+3w=",0)</f>
        <v>#REF!</v>
      </c>
      <c r="DV174" t="e">
        <f>AND(#REF!,"AAAAAH03+30=")</f>
        <v>#REF!</v>
      </c>
      <c r="DW174" t="e">
        <f>AND(#REF!,"AAAAAH03+34=")</f>
        <v>#REF!</v>
      </c>
      <c r="DX174" t="e">
        <f>AND(#REF!,"AAAAAH03+38=")</f>
        <v>#REF!</v>
      </c>
      <c r="DY174" t="e">
        <f>AND(#REF!,"AAAAAH03+4A=")</f>
        <v>#REF!</v>
      </c>
      <c r="DZ174" t="e">
        <f>AND(#REF!,"AAAAAH03+4E=")</f>
        <v>#REF!</v>
      </c>
      <c r="EA174" t="e">
        <f>AND(#REF!,"AAAAAH03+4I=")</f>
        <v>#REF!</v>
      </c>
      <c r="EB174" t="e">
        <f>AND(#REF!,"AAAAAH03+4M=")</f>
        <v>#REF!</v>
      </c>
      <c r="EC174" t="e">
        <f>AND(#REF!,"AAAAAH03+4Q=")</f>
        <v>#REF!</v>
      </c>
      <c r="ED174" t="e">
        <f>AND(#REF!,"AAAAAH03+4U=")</f>
        <v>#REF!</v>
      </c>
      <c r="EE174" t="e">
        <f>AND(#REF!,"AAAAAH03+4Y=")</f>
        <v>#REF!</v>
      </c>
      <c r="EF174" t="e">
        <f>IF(#REF!,"AAAAAH03+4c=",0)</f>
        <v>#REF!</v>
      </c>
      <c r="EG174" t="e">
        <f>AND(#REF!,"AAAAAH03+4g=")</f>
        <v>#REF!</v>
      </c>
      <c r="EH174" t="e">
        <f>AND(#REF!,"AAAAAH03+4k=")</f>
        <v>#REF!</v>
      </c>
      <c r="EI174" t="e">
        <f>AND(#REF!,"AAAAAH03+4o=")</f>
        <v>#REF!</v>
      </c>
      <c r="EJ174" t="e">
        <f>AND(#REF!,"AAAAAH03+4s=")</f>
        <v>#REF!</v>
      </c>
      <c r="EK174" t="e">
        <f>AND(#REF!,"AAAAAH03+4w=")</f>
        <v>#REF!</v>
      </c>
      <c r="EL174" t="e">
        <f>AND(#REF!,"AAAAAH03+40=")</f>
        <v>#REF!</v>
      </c>
      <c r="EM174" t="e">
        <f>AND(#REF!,"AAAAAH03+44=")</f>
        <v>#REF!</v>
      </c>
      <c r="EN174" t="e">
        <f>AND(#REF!,"AAAAAH03+48=")</f>
        <v>#REF!</v>
      </c>
      <c r="EO174" t="e">
        <f>AND(#REF!,"AAAAAH03+5A=")</f>
        <v>#REF!</v>
      </c>
      <c r="EP174" t="e">
        <f>AND(#REF!,"AAAAAH03+5E=")</f>
        <v>#REF!</v>
      </c>
      <c r="EQ174" t="e">
        <f>IF(#REF!,"AAAAAH03+5I=",0)</f>
        <v>#REF!</v>
      </c>
      <c r="ER174" t="e">
        <f>AND(#REF!,"AAAAAH03+5M=")</f>
        <v>#REF!</v>
      </c>
      <c r="ES174" t="e">
        <f>AND(#REF!,"AAAAAH03+5Q=")</f>
        <v>#REF!</v>
      </c>
      <c r="ET174" t="e">
        <f>AND(#REF!,"AAAAAH03+5U=")</f>
        <v>#REF!</v>
      </c>
      <c r="EU174" t="e">
        <f>AND(#REF!,"AAAAAH03+5Y=")</f>
        <v>#REF!</v>
      </c>
      <c r="EV174" t="e">
        <f>AND(#REF!,"AAAAAH03+5c=")</f>
        <v>#REF!</v>
      </c>
      <c r="EW174" t="e">
        <f>AND(#REF!,"AAAAAH03+5g=")</f>
        <v>#REF!</v>
      </c>
      <c r="EX174" t="e">
        <f>AND(#REF!,"AAAAAH03+5k=")</f>
        <v>#REF!</v>
      </c>
      <c r="EY174" t="e">
        <f>AND(#REF!,"AAAAAH03+5o=")</f>
        <v>#REF!</v>
      </c>
      <c r="EZ174" t="e">
        <f>AND(#REF!,"AAAAAH03+5s=")</f>
        <v>#REF!</v>
      </c>
      <c r="FA174" t="e">
        <f>AND(#REF!,"AAAAAH03+5w=")</f>
        <v>#REF!</v>
      </c>
      <c r="FB174" t="e">
        <f>IF(#REF!,"AAAAAH03+50=",0)</f>
        <v>#REF!</v>
      </c>
      <c r="FC174" t="e">
        <f>AND(#REF!,"AAAAAH03+54=")</f>
        <v>#REF!</v>
      </c>
      <c r="FD174" t="e">
        <f>AND(#REF!,"AAAAAH03+58=")</f>
        <v>#REF!</v>
      </c>
      <c r="FE174" t="e">
        <f>AND(#REF!,"AAAAAH03+6A=")</f>
        <v>#REF!</v>
      </c>
      <c r="FF174" t="e">
        <f>AND(#REF!,"AAAAAH03+6E=")</f>
        <v>#REF!</v>
      </c>
      <c r="FG174" t="e">
        <f>AND(#REF!,"AAAAAH03+6I=")</f>
        <v>#REF!</v>
      </c>
      <c r="FH174" t="e">
        <f>AND(#REF!,"AAAAAH03+6M=")</f>
        <v>#REF!</v>
      </c>
      <c r="FI174" t="e">
        <f>AND(#REF!,"AAAAAH03+6Q=")</f>
        <v>#REF!</v>
      </c>
      <c r="FJ174" t="e">
        <f>AND(#REF!,"AAAAAH03+6U=")</f>
        <v>#REF!</v>
      </c>
      <c r="FK174" t="e">
        <f>AND(#REF!,"AAAAAH03+6Y=")</f>
        <v>#REF!</v>
      </c>
      <c r="FL174" t="e">
        <f>AND(#REF!,"AAAAAH03+6c=")</f>
        <v>#REF!</v>
      </c>
      <c r="FM174" t="e">
        <f>IF(#REF!,"AAAAAH03+6g=",0)</f>
        <v>#REF!</v>
      </c>
      <c r="FN174" t="e">
        <f>AND(#REF!,"AAAAAH03+6k=")</f>
        <v>#REF!</v>
      </c>
      <c r="FO174" t="e">
        <f>AND(#REF!,"AAAAAH03+6o=")</f>
        <v>#REF!</v>
      </c>
      <c r="FP174" t="e">
        <f>AND(#REF!,"AAAAAH03+6s=")</f>
        <v>#REF!</v>
      </c>
      <c r="FQ174" t="e">
        <f>AND(#REF!,"AAAAAH03+6w=")</f>
        <v>#REF!</v>
      </c>
      <c r="FR174" t="e">
        <f>AND(#REF!,"AAAAAH03+60=")</f>
        <v>#REF!</v>
      </c>
      <c r="FS174" t="e">
        <f>AND(#REF!,"AAAAAH03+64=")</f>
        <v>#REF!</v>
      </c>
      <c r="FT174" t="e">
        <f>AND(#REF!,"AAAAAH03+68=")</f>
        <v>#REF!</v>
      </c>
      <c r="FU174" t="e">
        <f>AND(#REF!,"AAAAAH03+7A=")</f>
        <v>#REF!</v>
      </c>
      <c r="FV174" t="e">
        <f>AND(#REF!,"AAAAAH03+7E=")</f>
        <v>#REF!</v>
      </c>
      <c r="FW174" t="e">
        <f>AND(#REF!,"AAAAAH03+7I=")</f>
        <v>#REF!</v>
      </c>
      <c r="FX174" t="e">
        <f>IF(#REF!,"AAAAAH03+7M=",0)</f>
        <v>#REF!</v>
      </c>
      <c r="FY174" t="e">
        <f>AND(#REF!,"AAAAAH03+7Q=")</f>
        <v>#REF!</v>
      </c>
      <c r="FZ174" t="e">
        <f>AND(#REF!,"AAAAAH03+7U=")</f>
        <v>#REF!</v>
      </c>
      <c r="GA174" t="e">
        <f>AND(#REF!,"AAAAAH03+7Y=")</f>
        <v>#REF!</v>
      </c>
      <c r="GB174" t="e">
        <f>AND(#REF!,"AAAAAH03+7c=")</f>
        <v>#REF!</v>
      </c>
      <c r="GC174" t="e">
        <f>AND(#REF!,"AAAAAH03+7g=")</f>
        <v>#REF!</v>
      </c>
      <c r="GD174" t="e">
        <f>AND(#REF!,"AAAAAH03+7k=")</f>
        <v>#REF!</v>
      </c>
      <c r="GE174" t="e">
        <f>AND(#REF!,"AAAAAH03+7o=")</f>
        <v>#REF!</v>
      </c>
      <c r="GF174" t="e">
        <f>AND(#REF!,"AAAAAH03+7s=")</f>
        <v>#REF!</v>
      </c>
      <c r="GG174" t="e">
        <f>AND(#REF!,"AAAAAH03+7w=")</f>
        <v>#REF!</v>
      </c>
      <c r="GH174" t="e">
        <f>AND(#REF!,"AAAAAH03+70=")</f>
        <v>#REF!</v>
      </c>
      <c r="GI174" t="e">
        <f>IF(#REF!,"AAAAAH03+74=",0)</f>
        <v>#REF!</v>
      </c>
      <c r="GJ174" t="e">
        <f>AND(#REF!,"AAAAAH03+78=")</f>
        <v>#REF!</v>
      </c>
      <c r="GK174" t="e">
        <f>AND(#REF!,"AAAAAH03+8A=")</f>
        <v>#REF!</v>
      </c>
      <c r="GL174" t="e">
        <f>AND(#REF!,"AAAAAH03+8E=")</f>
        <v>#REF!</v>
      </c>
      <c r="GM174" t="e">
        <f>AND(#REF!,"AAAAAH03+8I=")</f>
        <v>#REF!</v>
      </c>
      <c r="GN174" t="e">
        <f>AND(#REF!,"AAAAAH03+8M=")</f>
        <v>#REF!</v>
      </c>
      <c r="GO174" t="e">
        <f>AND(#REF!,"AAAAAH03+8Q=")</f>
        <v>#REF!</v>
      </c>
      <c r="GP174" t="e">
        <f>AND(#REF!,"AAAAAH03+8U=")</f>
        <v>#REF!</v>
      </c>
      <c r="GQ174" t="e">
        <f>AND(#REF!,"AAAAAH03+8Y=")</f>
        <v>#REF!</v>
      </c>
      <c r="GR174" t="e">
        <f>AND(#REF!,"AAAAAH03+8c=")</f>
        <v>#REF!</v>
      </c>
      <c r="GS174" t="e">
        <f>AND(#REF!,"AAAAAH03+8g=")</f>
        <v>#REF!</v>
      </c>
      <c r="GT174" t="e">
        <f>IF(#REF!,"AAAAAH03+8k=",0)</f>
        <v>#REF!</v>
      </c>
      <c r="GU174" t="e">
        <f>AND(#REF!,"AAAAAH03+8o=")</f>
        <v>#REF!</v>
      </c>
      <c r="GV174" t="e">
        <f>AND(#REF!,"AAAAAH03+8s=")</f>
        <v>#REF!</v>
      </c>
      <c r="GW174" t="e">
        <f>AND(#REF!,"AAAAAH03+8w=")</f>
        <v>#REF!</v>
      </c>
      <c r="GX174" t="e">
        <f>AND(#REF!,"AAAAAH03+80=")</f>
        <v>#REF!</v>
      </c>
      <c r="GY174" t="e">
        <f>AND(#REF!,"AAAAAH03+84=")</f>
        <v>#REF!</v>
      </c>
      <c r="GZ174" t="e">
        <f>AND(#REF!,"AAAAAH03+88=")</f>
        <v>#REF!</v>
      </c>
      <c r="HA174" t="e">
        <f>AND(#REF!,"AAAAAH03+9A=")</f>
        <v>#REF!</v>
      </c>
      <c r="HB174" t="e">
        <f>AND(#REF!,"AAAAAH03+9E=")</f>
        <v>#REF!</v>
      </c>
      <c r="HC174" t="e">
        <f>AND(#REF!,"AAAAAH03+9I=")</f>
        <v>#REF!</v>
      </c>
      <c r="HD174" t="e">
        <f>AND(#REF!,"AAAAAH03+9M=")</f>
        <v>#REF!</v>
      </c>
      <c r="HE174" t="e">
        <f>IF(#REF!,"AAAAAH03+9Q=",0)</f>
        <v>#REF!</v>
      </c>
      <c r="HF174" t="e">
        <f>AND(#REF!,"AAAAAH03+9U=")</f>
        <v>#REF!</v>
      </c>
      <c r="HG174" t="e">
        <f>AND(#REF!,"AAAAAH03+9Y=")</f>
        <v>#REF!</v>
      </c>
      <c r="HH174" t="e">
        <f>AND(#REF!,"AAAAAH03+9c=")</f>
        <v>#REF!</v>
      </c>
      <c r="HI174" t="e">
        <f>AND(#REF!,"AAAAAH03+9g=")</f>
        <v>#REF!</v>
      </c>
      <c r="HJ174" t="e">
        <f>AND(#REF!,"AAAAAH03+9k=")</f>
        <v>#REF!</v>
      </c>
      <c r="HK174" t="e">
        <f>AND(#REF!,"AAAAAH03+9o=")</f>
        <v>#REF!</v>
      </c>
      <c r="HL174" t="e">
        <f>AND(#REF!,"AAAAAH03+9s=")</f>
        <v>#REF!</v>
      </c>
      <c r="HM174" t="e">
        <f>AND(#REF!,"AAAAAH03+9w=")</f>
        <v>#REF!</v>
      </c>
      <c r="HN174" t="e">
        <f>AND(#REF!,"AAAAAH03+90=")</f>
        <v>#REF!</v>
      </c>
      <c r="HO174" t="e">
        <f>AND(#REF!,"AAAAAH03+94=")</f>
        <v>#REF!</v>
      </c>
      <c r="HP174" t="e">
        <f>IF(#REF!,"AAAAAH03+98=",0)</f>
        <v>#REF!</v>
      </c>
      <c r="HQ174" t="e">
        <f>AND(#REF!,"AAAAAH03++A=")</f>
        <v>#REF!</v>
      </c>
      <c r="HR174" t="e">
        <f>AND(#REF!,"AAAAAH03++E=")</f>
        <v>#REF!</v>
      </c>
      <c r="HS174" t="e">
        <f>AND(#REF!,"AAAAAH03++I=")</f>
        <v>#REF!</v>
      </c>
      <c r="HT174" t="e">
        <f>AND(#REF!,"AAAAAH03++M=")</f>
        <v>#REF!</v>
      </c>
      <c r="HU174" t="e">
        <f>AND(#REF!,"AAAAAH03++Q=")</f>
        <v>#REF!</v>
      </c>
      <c r="HV174" t="e">
        <f>AND(#REF!,"AAAAAH03++U=")</f>
        <v>#REF!</v>
      </c>
      <c r="HW174" t="e">
        <f>AND(#REF!,"AAAAAH03++Y=")</f>
        <v>#REF!</v>
      </c>
      <c r="HX174" t="e">
        <f>AND(#REF!,"AAAAAH03++c=")</f>
        <v>#REF!</v>
      </c>
      <c r="HY174" t="e">
        <f>AND(#REF!,"AAAAAH03++g=")</f>
        <v>#REF!</v>
      </c>
      <c r="HZ174" t="e">
        <f>AND(#REF!,"AAAAAH03++k=")</f>
        <v>#REF!</v>
      </c>
      <c r="IA174" t="e">
        <f>IF(#REF!,"AAAAAH03++o=",0)</f>
        <v>#REF!</v>
      </c>
      <c r="IB174" t="e">
        <f>AND(#REF!,"AAAAAH03++s=")</f>
        <v>#REF!</v>
      </c>
      <c r="IC174" t="e">
        <f>AND(#REF!,"AAAAAH03++w=")</f>
        <v>#REF!</v>
      </c>
      <c r="ID174" t="e">
        <f>AND(#REF!,"AAAAAH03++0=")</f>
        <v>#REF!</v>
      </c>
      <c r="IE174" t="e">
        <f>AND(#REF!,"AAAAAH03++4=")</f>
        <v>#REF!</v>
      </c>
      <c r="IF174" t="e">
        <f>AND(#REF!,"AAAAAH03++8=")</f>
        <v>#REF!</v>
      </c>
      <c r="IG174" t="e">
        <f>AND(#REF!,"AAAAAH03+/A=")</f>
        <v>#REF!</v>
      </c>
      <c r="IH174" t="e">
        <f>AND(#REF!,"AAAAAH03+/E=")</f>
        <v>#REF!</v>
      </c>
      <c r="II174" t="e">
        <f>AND(#REF!,"AAAAAH03+/I=")</f>
        <v>#REF!</v>
      </c>
      <c r="IJ174" t="e">
        <f>AND(#REF!,"AAAAAH03+/M=")</f>
        <v>#REF!</v>
      </c>
      <c r="IK174" t="e">
        <f>AND(#REF!,"AAAAAH03+/Q=")</f>
        <v>#REF!</v>
      </c>
      <c r="IL174" t="e">
        <f>IF(#REF!,"AAAAAH03+/U=",0)</f>
        <v>#REF!</v>
      </c>
      <c r="IM174" t="e">
        <f>AND(#REF!,"AAAAAH03+/Y=")</f>
        <v>#REF!</v>
      </c>
      <c r="IN174" t="e">
        <f>AND(#REF!,"AAAAAH03+/c=")</f>
        <v>#REF!</v>
      </c>
      <c r="IO174" t="e">
        <f>AND(#REF!,"AAAAAH03+/g=")</f>
        <v>#REF!</v>
      </c>
      <c r="IP174" t="e">
        <f>AND(#REF!,"AAAAAH03+/k=")</f>
        <v>#REF!</v>
      </c>
      <c r="IQ174" t="e">
        <f>AND(#REF!,"AAAAAH03+/o=")</f>
        <v>#REF!</v>
      </c>
      <c r="IR174" t="e">
        <f>AND(#REF!,"AAAAAH03+/s=")</f>
        <v>#REF!</v>
      </c>
      <c r="IS174" t="e">
        <f>AND(#REF!,"AAAAAH03+/w=")</f>
        <v>#REF!</v>
      </c>
      <c r="IT174" t="e">
        <f>AND(#REF!,"AAAAAH03+/0=")</f>
        <v>#REF!</v>
      </c>
      <c r="IU174" t="e">
        <f>AND(#REF!,"AAAAAH03+/4=")</f>
        <v>#REF!</v>
      </c>
      <c r="IV174" t="e">
        <f>AND(#REF!,"AAAAAH03+/8=")</f>
        <v>#REF!</v>
      </c>
    </row>
    <row r="175" spans="1:256" x14ac:dyDescent="0.25">
      <c r="A175" t="e">
        <f>IF(#REF!,"AAAAAB4+3gA=",0)</f>
        <v>#REF!</v>
      </c>
      <c r="B175" t="e">
        <f>AND(#REF!,"AAAAAB4+3gE=")</f>
        <v>#REF!</v>
      </c>
      <c r="C175" t="e">
        <f>AND(#REF!,"AAAAAB4+3gI=")</f>
        <v>#REF!</v>
      </c>
      <c r="D175" t="e">
        <f>AND(#REF!,"AAAAAB4+3gM=")</f>
        <v>#REF!</v>
      </c>
      <c r="E175" t="e">
        <f>AND(#REF!,"AAAAAB4+3gQ=")</f>
        <v>#REF!</v>
      </c>
      <c r="F175" t="e">
        <f>AND(#REF!,"AAAAAB4+3gU=")</f>
        <v>#REF!</v>
      </c>
      <c r="G175" t="e">
        <f>AND(#REF!,"AAAAAB4+3gY=")</f>
        <v>#REF!</v>
      </c>
      <c r="H175" t="e">
        <f>AND(#REF!,"AAAAAB4+3gc=")</f>
        <v>#REF!</v>
      </c>
      <c r="I175" t="e">
        <f>AND(#REF!,"AAAAAB4+3gg=")</f>
        <v>#REF!</v>
      </c>
      <c r="J175" t="e">
        <f>AND(#REF!,"AAAAAB4+3gk=")</f>
        <v>#REF!</v>
      </c>
      <c r="K175" t="e">
        <f>AND(#REF!,"AAAAAB4+3go=")</f>
        <v>#REF!</v>
      </c>
      <c r="L175" t="e">
        <f>IF(#REF!,"AAAAAB4+3gs=",0)</f>
        <v>#REF!</v>
      </c>
      <c r="M175" t="e">
        <f>AND(#REF!,"AAAAAB4+3gw=")</f>
        <v>#REF!</v>
      </c>
      <c r="N175" t="e">
        <f>AND(#REF!,"AAAAAB4+3g0=")</f>
        <v>#REF!</v>
      </c>
      <c r="O175" t="e">
        <f>AND(#REF!,"AAAAAB4+3g4=")</f>
        <v>#REF!</v>
      </c>
      <c r="P175" t="e">
        <f>AND(#REF!,"AAAAAB4+3g8=")</f>
        <v>#REF!</v>
      </c>
      <c r="Q175" t="e">
        <f>AND(#REF!,"AAAAAB4+3hA=")</f>
        <v>#REF!</v>
      </c>
      <c r="R175" t="e">
        <f>AND(#REF!,"AAAAAB4+3hE=")</f>
        <v>#REF!</v>
      </c>
      <c r="S175" t="e">
        <f>AND(#REF!,"AAAAAB4+3hI=")</f>
        <v>#REF!</v>
      </c>
      <c r="T175" t="e">
        <f>AND(#REF!,"AAAAAB4+3hM=")</f>
        <v>#REF!</v>
      </c>
      <c r="U175" t="e">
        <f>AND(#REF!,"AAAAAB4+3hQ=")</f>
        <v>#REF!</v>
      </c>
      <c r="V175" t="e">
        <f>AND(#REF!,"AAAAAB4+3hU=")</f>
        <v>#REF!</v>
      </c>
      <c r="W175" t="e">
        <f>IF(#REF!,"AAAAAB4+3hY=",0)</f>
        <v>#REF!</v>
      </c>
      <c r="X175" t="e">
        <f>AND(#REF!,"AAAAAB4+3hc=")</f>
        <v>#REF!</v>
      </c>
      <c r="Y175" t="e">
        <f>AND(#REF!,"AAAAAB4+3hg=")</f>
        <v>#REF!</v>
      </c>
      <c r="Z175" t="e">
        <f>AND(#REF!,"AAAAAB4+3hk=")</f>
        <v>#REF!</v>
      </c>
      <c r="AA175" t="e">
        <f>AND(#REF!,"AAAAAB4+3ho=")</f>
        <v>#REF!</v>
      </c>
      <c r="AB175" t="e">
        <f>AND(#REF!,"AAAAAB4+3hs=")</f>
        <v>#REF!</v>
      </c>
      <c r="AC175" t="e">
        <f>AND(#REF!,"AAAAAB4+3hw=")</f>
        <v>#REF!</v>
      </c>
      <c r="AD175" t="e">
        <f>AND(#REF!,"AAAAAB4+3h0=")</f>
        <v>#REF!</v>
      </c>
      <c r="AE175" t="e">
        <f>AND(#REF!,"AAAAAB4+3h4=")</f>
        <v>#REF!</v>
      </c>
      <c r="AF175" t="e">
        <f>AND(#REF!,"AAAAAB4+3h8=")</f>
        <v>#REF!</v>
      </c>
      <c r="AG175" t="e">
        <f>AND(#REF!,"AAAAAB4+3iA=")</f>
        <v>#REF!</v>
      </c>
      <c r="AH175" t="e">
        <f>IF(#REF!,"AAAAAB4+3iE=",0)</f>
        <v>#REF!</v>
      </c>
      <c r="AI175" t="e">
        <f>AND(#REF!,"AAAAAB4+3iI=")</f>
        <v>#REF!</v>
      </c>
      <c r="AJ175" t="e">
        <f>AND(#REF!,"AAAAAB4+3iM=")</f>
        <v>#REF!</v>
      </c>
      <c r="AK175" t="e">
        <f>AND(#REF!,"AAAAAB4+3iQ=")</f>
        <v>#REF!</v>
      </c>
      <c r="AL175" t="e">
        <f>AND(#REF!,"AAAAAB4+3iU=")</f>
        <v>#REF!</v>
      </c>
      <c r="AM175" t="e">
        <f>AND(#REF!,"AAAAAB4+3iY=")</f>
        <v>#REF!</v>
      </c>
      <c r="AN175" t="e">
        <f>AND(#REF!,"AAAAAB4+3ic=")</f>
        <v>#REF!</v>
      </c>
      <c r="AO175" t="e">
        <f>AND(#REF!,"AAAAAB4+3ig=")</f>
        <v>#REF!</v>
      </c>
      <c r="AP175" t="e">
        <f>AND(#REF!,"AAAAAB4+3ik=")</f>
        <v>#REF!</v>
      </c>
      <c r="AQ175" t="e">
        <f>AND(#REF!,"AAAAAB4+3io=")</f>
        <v>#REF!</v>
      </c>
      <c r="AR175" t="e">
        <f>AND(#REF!,"AAAAAB4+3is=")</f>
        <v>#REF!</v>
      </c>
      <c r="AS175" t="e">
        <f>IF(#REF!,"AAAAAB4+3iw=",0)</f>
        <v>#REF!</v>
      </c>
      <c r="AT175" t="e">
        <f>AND(#REF!,"AAAAAB4+3i0=")</f>
        <v>#REF!</v>
      </c>
      <c r="AU175" t="e">
        <f>AND(#REF!,"AAAAAB4+3i4=")</f>
        <v>#REF!</v>
      </c>
      <c r="AV175" t="e">
        <f>AND(#REF!,"AAAAAB4+3i8=")</f>
        <v>#REF!</v>
      </c>
      <c r="AW175" t="e">
        <f>AND(#REF!,"AAAAAB4+3jA=")</f>
        <v>#REF!</v>
      </c>
      <c r="AX175" t="e">
        <f>AND(#REF!,"AAAAAB4+3jE=")</f>
        <v>#REF!</v>
      </c>
      <c r="AY175" t="e">
        <f>AND(#REF!,"AAAAAB4+3jI=")</f>
        <v>#REF!</v>
      </c>
      <c r="AZ175" t="e">
        <f>AND(#REF!,"AAAAAB4+3jM=")</f>
        <v>#REF!</v>
      </c>
      <c r="BA175" t="e">
        <f>AND(#REF!,"AAAAAB4+3jQ=")</f>
        <v>#REF!</v>
      </c>
      <c r="BB175" t="e">
        <f>AND(#REF!,"AAAAAB4+3jU=")</f>
        <v>#REF!</v>
      </c>
      <c r="BC175" t="e">
        <f>AND(#REF!,"AAAAAB4+3jY=")</f>
        <v>#REF!</v>
      </c>
      <c r="BD175" t="e">
        <f>IF(#REF!,"AAAAAB4+3jc=",0)</f>
        <v>#REF!</v>
      </c>
      <c r="BE175" t="e">
        <f>AND(#REF!,"AAAAAB4+3jg=")</f>
        <v>#REF!</v>
      </c>
      <c r="BF175" t="e">
        <f>AND(#REF!,"AAAAAB4+3jk=")</f>
        <v>#REF!</v>
      </c>
      <c r="BG175" t="e">
        <f>AND(#REF!,"AAAAAB4+3jo=")</f>
        <v>#REF!</v>
      </c>
      <c r="BH175" t="e">
        <f>AND(#REF!,"AAAAAB4+3js=")</f>
        <v>#REF!</v>
      </c>
      <c r="BI175" t="e">
        <f>AND(#REF!,"AAAAAB4+3jw=")</f>
        <v>#REF!</v>
      </c>
      <c r="BJ175" t="e">
        <f>AND(#REF!,"AAAAAB4+3j0=")</f>
        <v>#REF!</v>
      </c>
      <c r="BK175" t="e">
        <f>AND(#REF!,"AAAAAB4+3j4=")</f>
        <v>#REF!</v>
      </c>
      <c r="BL175" t="e">
        <f>AND(#REF!,"AAAAAB4+3j8=")</f>
        <v>#REF!</v>
      </c>
      <c r="BM175" t="e">
        <f>AND(#REF!,"AAAAAB4+3kA=")</f>
        <v>#REF!</v>
      </c>
      <c r="BN175" t="e">
        <f>AND(#REF!,"AAAAAB4+3kE=")</f>
        <v>#REF!</v>
      </c>
      <c r="BO175" t="e">
        <f>IF(#REF!,"AAAAAB4+3kI=",0)</f>
        <v>#REF!</v>
      </c>
      <c r="BP175" t="e">
        <f>AND(#REF!,"AAAAAB4+3kM=")</f>
        <v>#REF!</v>
      </c>
      <c r="BQ175" t="e">
        <f>AND(#REF!,"AAAAAB4+3kQ=")</f>
        <v>#REF!</v>
      </c>
      <c r="BR175" t="e">
        <f>AND(#REF!,"AAAAAB4+3kU=")</f>
        <v>#REF!</v>
      </c>
      <c r="BS175" t="e">
        <f>AND(#REF!,"AAAAAB4+3kY=")</f>
        <v>#REF!</v>
      </c>
      <c r="BT175" t="e">
        <f>AND(#REF!,"AAAAAB4+3kc=")</f>
        <v>#REF!</v>
      </c>
      <c r="BU175" t="e">
        <f>AND(#REF!,"AAAAAB4+3kg=")</f>
        <v>#REF!</v>
      </c>
      <c r="BV175" t="e">
        <f>AND(#REF!,"AAAAAB4+3kk=")</f>
        <v>#REF!</v>
      </c>
      <c r="BW175" t="e">
        <f>AND(#REF!,"AAAAAB4+3ko=")</f>
        <v>#REF!</v>
      </c>
      <c r="BX175" t="e">
        <f>AND(#REF!,"AAAAAB4+3ks=")</f>
        <v>#REF!</v>
      </c>
      <c r="BY175" t="e">
        <f>AND(#REF!,"AAAAAB4+3kw=")</f>
        <v>#REF!</v>
      </c>
      <c r="BZ175" t="e">
        <f>IF(#REF!,"AAAAAB4+3k0=",0)</f>
        <v>#REF!</v>
      </c>
      <c r="CA175" t="e">
        <f>AND(#REF!,"AAAAAB4+3k4=")</f>
        <v>#REF!</v>
      </c>
      <c r="CB175" t="e">
        <f>AND(#REF!,"AAAAAB4+3k8=")</f>
        <v>#REF!</v>
      </c>
      <c r="CC175" t="e">
        <f>AND(#REF!,"AAAAAB4+3lA=")</f>
        <v>#REF!</v>
      </c>
      <c r="CD175" t="e">
        <f>AND(#REF!,"AAAAAB4+3lE=")</f>
        <v>#REF!</v>
      </c>
      <c r="CE175" t="e">
        <f>AND(#REF!,"AAAAAB4+3lI=")</f>
        <v>#REF!</v>
      </c>
      <c r="CF175" t="e">
        <f>AND(#REF!,"AAAAAB4+3lM=")</f>
        <v>#REF!</v>
      </c>
      <c r="CG175" t="e">
        <f>AND(#REF!,"AAAAAB4+3lQ=")</f>
        <v>#REF!</v>
      </c>
      <c r="CH175" t="e">
        <f>AND(#REF!,"AAAAAB4+3lU=")</f>
        <v>#REF!</v>
      </c>
      <c r="CI175" t="e">
        <f>AND(#REF!,"AAAAAB4+3lY=")</f>
        <v>#REF!</v>
      </c>
      <c r="CJ175" t="e">
        <f>AND(#REF!,"AAAAAB4+3lc=")</f>
        <v>#REF!</v>
      </c>
      <c r="CK175" t="e">
        <f>IF(#REF!,"AAAAAB4+3lg=",0)</f>
        <v>#REF!</v>
      </c>
      <c r="CL175" t="e">
        <f>AND(#REF!,"AAAAAB4+3lk=")</f>
        <v>#REF!</v>
      </c>
      <c r="CM175" t="e">
        <f>AND(#REF!,"AAAAAB4+3lo=")</f>
        <v>#REF!</v>
      </c>
      <c r="CN175" t="e">
        <f>AND(#REF!,"AAAAAB4+3ls=")</f>
        <v>#REF!</v>
      </c>
      <c r="CO175" t="e">
        <f>AND(#REF!,"AAAAAB4+3lw=")</f>
        <v>#REF!</v>
      </c>
      <c r="CP175" t="e">
        <f>AND(#REF!,"AAAAAB4+3l0=")</f>
        <v>#REF!</v>
      </c>
      <c r="CQ175" t="e">
        <f>AND(#REF!,"AAAAAB4+3l4=")</f>
        <v>#REF!</v>
      </c>
      <c r="CR175" t="e">
        <f>AND(#REF!,"AAAAAB4+3l8=")</f>
        <v>#REF!</v>
      </c>
      <c r="CS175" t="e">
        <f>AND(#REF!,"AAAAAB4+3mA=")</f>
        <v>#REF!</v>
      </c>
      <c r="CT175" t="e">
        <f>AND(#REF!,"AAAAAB4+3mE=")</f>
        <v>#REF!</v>
      </c>
      <c r="CU175" t="e">
        <f>AND(#REF!,"AAAAAB4+3mI=")</f>
        <v>#REF!</v>
      </c>
      <c r="CV175" t="e">
        <f>IF(#REF!,"AAAAAB4+3mM=",0)</f>
        <v>#REF!</v>
      </c>
      <c r="CW175" t="e">
        <f>AND(#REF!,"AAAAAB4+3mQ=")</f>
        <v>#REF!</v>
      </c>
      <c r="CX175" t="e">
        <f>AND(#REF!,"AAAAAB4+3mU=")</f>
        <v>#REF!</v>
      </c>
      <c r="CY175" t="e">
        <f>AND(#REF!,"AAAAAB4+3mY=")</f>
        <v>#REF!</v>
      </c>
      <c r="CZ175" t="e">
        <f>AND(#REF!,"AAAAAB4+3mc=")</f>
        <v>#REF!</v>
      </c>
      <c r="DA175" t="e">
        <f>AND(#REF!,"AAAAAB4+3mg=")</f>
        <v>#REF!</v>
      </c>
      <c r="DB175" t="e">
        <f>AND(#REF!,"AAAAAB4+3mk=")</f>
        <v>#REF!</v>
      </c>
      <c r="DC175" t="e">
        <f>AND(#REF!,"AAAAAB4+3mo=")</f>
        <v>#REF!</v>
      </c>
      <c r="DD175" t="e">
        <f>AND(#REF!,"AAAAAB4+3ms=")</f>
        <v>#REF!</v>
      </c>
      <c r="DE175" t="e">
        <f>AND(#REF!,"AAAAAB4+3mw=")</f>
        <v>#REF!</v>
      </c>
      <c r="DF175" t="e">
        <f>AND(#REF!,"AAAAAB4+3m0=")</f>
        <v>#REF!</v>
      </c>
      <c r="DG175" t="e">
        <f>IF(#REF!,"AAAAAB4+3m4=",0)</f>
        <v>#REF!</v>
      </c>
      <c r="DH175" t="e">
        <f>AND(#REF!,"AAAAAB4+3m8=")</f>
        <v>#REF!</v>
      </c>
      <c r="DI175" t="e">
        <f>AND(#REF!,"AAAAAB4+3nA=")</f>
        <v>#REF!</v>
      </c>
      <c r="DJ175" t="e">
        <f>AND(#REF!,"AAAAAB4+3nE=")</f>
        <v>#REF!</v>
      </c>
      <c r="DK175" t="e">
        <f>AND(#REF!,"AAAAAB4+3nI=")</f>
        <v>#REF!</v>
      </c>
      <c r="DL175" t="e">
        <f>AND(#REF!,"AAAAAB4+3nM=")</f>
        <v>#REF!</v>
      </c>
      <c r="DM175" t="e">
        <f>AND(#REF!,"AAAAAB4+3nQ=")</f>
        <v>#REF!</v>
      </c>
      <c r="DN175" t="e">
        <f>AND(#REF!,"AAAAAB4+3nU=")</f>
        <v>#REF!</v>
      </c>
      <c r="DO175" t="e">
        <f>AND(#REF!,"AAAAAB4+3nY=")</f>
        <v>#REF!</v>
      </c>
      <c r="DP175" t="e">
        <f>AND(#REF!,"AAAAAB4+3nc=")</f>
        <v>#REF!</v>
      </c>
      <c r="DQ175" t="e">
        <f>AND(#REF!,"AAAAAB4+3ng=")</f>
        <v>#REF!</v>
      </c>
      <c r="DR175" t="e">
        <f>IF(#REF!,"AAAAAB4+3nk=",0)</f>
        <v>#REF!</v>
      </c>
      <c r="DS175" t="e">
        <f>AND(#REF!,"AAAAAB4+3no=")</f>
        <v>#REF!</v>
      </c>
      <c r="DT175" t="e">
        <f>AND(#REF!,"AAAAAB4+3ns=")</f>
        <v>#REF!</v>
      </c>
      <c r="DU175" t="e">
        <f>AND(#REF!,"AAAAAB4+3nw=")</f>
        <v>#REF!</v>
      </c>
      <c r="DV175" t="e">
        <f>AND(#REF!,"AAAAAB4+3n0=")</f>
        <v>#REF!</v>
      </c>
      <c r="DW175" t="e">
        <f>AND(#REF!,"AAAAAB4+3n4=")</f>
        <v>#REF!</v>
      </c>
      <c r="DX175" t="e">
        <f>AND(#REF!,"AAAAAB4+3n8=")</f>
        <v>#REF!</v>
      </c>
      <c r="DY175" t="e">
        <f>AND(#REF!,"AAAAAB4+3oA=")</f>
        <v>#REF!</v>
      </c>
      <c r="DZ175" t="e">
        <f>AND(#REF!,"AAAAAB4+3oE=")</f>
        <v>#REF!</v>
      </c>
      <c r="EA175" t="e">
        <f>AND(#REF!,"AAAAAB4+3oI=")</f>
        <v>#REF!</v>
      </c>
      <c r="EB175" t="e">
        <f>AND(#REF!,"AAAAAB4+3oM=")</f>
        <v>#REF!</v>
      </c>
      <c r="EC175" t="e">
        <f>IF(#REF!,"AAAAAB4+3oQ=",0)</f>
        <v>#REF!</v>
      </c>
      <c r="ED175" t="e">
        <f>AND(#REF!,"AAAAAB4+3oU=")</f>
        <v>#REF!</v>
      </c>
      <c r="EE175" t="e">
        <f>AND(#REF!,"AAAAAB4+3oY=")</f>
        <v>#REF!</v>
      </c>
      <c r="EF175" t="e">
        <f>AND(#REF!,"AAAAAB4+3oc=")</f>
        <v>#REF!</v>
      </c>
      <c r="EG175" t="e">
        <f>AND(#REF!,"AAAAAB4+3og=")</f>
        <v>#REF!</v>
      </c>
      <c r="EH175" t="e">
        <f>AND(#REF!,"AAAAAB4+3ok=")</f>
        <v>#REF!</v>
      </c>
      <c r="EI175" t="e">
        <f>AND(#REF!,"AAAAAB4+3oo=")</f>
        <v>#REF!</v>
      </c>
      <c r="EJ175" t="e">
        <f>AND(#REF!,"AAAAAB4+3os=")</f>
        <v>#REF!</v>
      </c>
      <c r="EK175" t="e">
        <f>AND(#REF!,"AAAAAB4+3ow=")</f>
        <v>#REF!</v>
      </c>
      <c r="EL175" t="e">
        <f>AND(#REF!,"AAAAAB4+3o0=")</f>
        <v>#REF!</v>
      </c>
      <c r="EM175" t="e">
        <f>AND(#REF!,"AAAAAB4+3o4=")</f>
        <v>#REF!</v>
      </c>
      <c r="EN175" t="e">
        <f>IF(#REF!,"AAAAAB4+3o8=",0)</f>
        <v>#REF!</v>
      </c>
      <c r="EO175" t="e">
        <f>AND(#REF!,"AAAAAB4+3pA=")</f>
        <v>#REF!</v>
      </c>
      <c r="EP175" t="e">
        <f>AND(#REF!,"AAAAAB4+3pE=")</f>
        <v>#REF!</v>
      </c>
      <c r="EQ175" t="e">
        <f>AND(#REF!,"AAAAAB4+3pI=")</f>
        <v>#REF!</v>
      </c>
      <c r="ER175" t="e">
        <f>AND(#REF!,"AAAAAB4+3pM=")</f>
        <v>#REF!</v>
      </c>
      <c r="ES175" t="e">
        <f>AND(#REF!,"AAAAAB4+3pQ=")</f>
        <v>#REF!</v>
      </c>
      <c r="ET175" t="e">
        <f>AND(#REF!,"AAAAAB4+3pU=")</f>
        <v>#REF!</v>
      </c>
      <c r="EU175" t="e">
        <f>AND(#REF!,"AAAAAB4+3pY=")</f>
        <v>#REF!</v>
      </c>
      <c r="EV175" t="e">
        <f>AND(#REF!,"AAAAAB4+3pc=")</f>
        <v>#REF!</v>
      </c>
      <c r="EW175" t="e">
        <f>AND(#REF!,"AAAAAB4+3pg=")</f>
        <v>#REF!</v>
      </c>
      <c r="EX175" t="e">
        <f>AND(#REF!,"AAAAAB4+3pk=")</f>
        <v>#REF!</v>
      </c>
      <c r="EY175" t="e">
        <f>IF(#REF!,"AAAAAB4+3po=",0)</f>
        <v>#REF!</v>
      </c>
      <c r="EZ175" t="e">
        <f>AND(#REF!,"AAAAAB4+3ps=")</f>
        <v>#REF!</v>
      </c>
      <c r="FA175" t="e">
        <f>AND(#REF!,"AAAAAB4+3pw=")</f>
        <v>#REF!</v>
      </c>
      <c r="FB175" t="e">
        <f>AND(#REF!,"AAAAAB4+3p0=")</f>
        <v>#REF!</v>
      </c>
      <c r="FC175" t="e">
        <f>AND(#REF!,"AAAAAB4+3p4=")</f>
        <v>#REF!</v>
      </c>
      <c r="FD175" t="e">
        <f>AND(#REF!,"AAAAAB4+3p8=")</f>
        <v>#REF!</v>
      </c>
      <c r="FE175" t="e">
        <f>AND(#REF!,"AAAAAB4+3qA=")</f>
        <v>#REF!</v>
      </c>
      <c r="FF175" t="e">
        <f>AND(#REF!,"AAAAAB4+3qE=")</f>
        <v>#REF!</v>
      </c>
      <c r="FG175" t="e">
        <f>AND(#REF!,"AAAAAB4+3qI=")</f>
        <v>#REF!</v>
      </c>
      <c r="FH175" t="e">
        <f>AND(#REF!,"AAAAAB4+3qM=")</f>
        <v>#REF!</v>
      </c>
      <c r="FI175" t="e">
        <f>AND(#REF!,"AAAAAB4+3qQ=")</f>
        <v>#REF!</v>
      </c>
      <c r="FJ175" t="e">
        <f>IF(#REF!,"AAAAAB4+3qU=",0)</f>
        <v>#REF!</v>
      </c>
      <c r="FK175" t="e">
        <f>AND(#REF!,"AAAAAB4+3qY=")</f>
        <v>#REF!</v>
      </c>
      <c r="FL175" t="e">
        <f>AND(#REF!,"AAAAAB4+3qc=")</f>
        <v>#REF!</v>
      </c>
      <c r="FM175" t="e">
        <f>AND(#REF!,"AAAAAB4+3qg=")</f>
        <v>#REF!</v>
      </c>
      <c r="FN175" t="e">
        <f>AND(#REF!,"AAAAAB4+3qk=")</f>
        <v>#REF!</v>
      </c>
      <c r="FO175" t="e">
        <f>AND(#REF!,"AAAAAB4+3qo=")</f>
        <v>#REF!</v>
      </c>
      <c r="FP175" t="e">
        <f>AND(#REF!,"AAAAAB4+3qs=")</f>
        <v>#REF!</v>
      </c>
      <c r="FQ175" t="e">
        <f>AND(#REF!,"AAAAAB4+3qw=")</f>
        <v>#REF!</v>
      </c>
      <c r="FR175" t="e">
        <f>AND(#REF!,"AAAAAB4+3q0=")</f>
        <v>#REF!</v>
      </c>
      <c r="FS175" t="e">
        <f>AND(#REF!,"AAAAAB4+3q4=")</f>
        <v>#REF!</v>
      </c>
      <c r="FT175" t="e">
        <f>AND(#REF!,"AAAAAB4+3q8=")</f>
        <v>#REF!</v>
      </c>
      <c r="FU175" t="e">
        <f>IF(#REF!,"AAAAAB4+3rA=",0)</f>
        <v>#REF!</v>
      </c>
      <c r="FV175" t="e">
        <f>AND(#REF!,"AAAAAB4+3rE=")</f>
        <v>#REF!</v>
      </c>
      <c r="FW175" t="e">
        <f>AND(#REF!,"AAAAAB4+3rI=")</f>
        <v>#REF!</v>
      </c>
      <c r="FX175" t="e">
        <f>AND(#REF!,"AAAAAB4+3rM=")</f>
        <v>#REF!</v>
      </c>
      <c r="FY175" t="e">
        <f>AND(#REF!,"AAAAAB4+3rQ=")</f>
        <v>#REF!</v>
      </c>
      <c r="FZ175" t="e">
        <f>AND(#REF!,"AAAAAB4+3rU=")</f>
        <v>#REF!</v>
      </c>
      <c r="GA175" t="e">
        <f>AND(#REF!,"AAAAAB4+3rY=")</f>
        <v>#REF!</v>
      </c>
      <c r="GB175" t="e">
        <f>AND(#REF!,"AAAAAB4+3rc=")</f>
        <v>#REF!</v>
      </c>
      <c r="GC175" t="e">
        <f>AND(#REF!,"AAAAAB4+3rg=")</f>
        <v>#REF!</v>
      </c>
      <c r="GD175" t="e">
        <f>AND(#REF!,"AAAAAB4+3rk=")</f>
        <v>#REF!</v>
      </c>
      <c r="GE175" t="e">
        <f>AND(#REF!,"AAAAAB4+3ro=")</f>
        <v>#REF!</v>
      </c>
      <c r="GF175" t="e">
        <f>IF(#REF!,"AAAAAB4+3rs=",0)</f>
        <v>#REF!</v>
      </c>
      <c r="GG175" t="e">
        <f>AND(#REF!,"AAAAAB4+3rw=")</f>
        <v>#REF!</v>
      </c>
      <c r="GH175" t="e">
        <f>AND(#REF!,"AAAAAB4+3r0=")</f>
        <v>#REF!</v>
      </c>
      <c r="GI175" t="e">
        <f>AND(#REF!,"AAAAAB4+3r4=")</f>
        <v>#REF!</v>
      </c>
      <c r="GJ175" t="e">
        <f>AND(#REF!,"AAAAAB4+3r8=")</f>
        <v>#REF!</v>
      </c>
      <c r="GK175" t="e">
        <f>AND(#REF!,"AAAAAB4+3sA=")</f>
        <v>#REF!</v>
      </c>
      <c r="GL175" t="e">
        <f>AND(#REF!,"AAAAAB4+3sE=")</f>
        <v>#REF!</v>
      </c>
      <c r="GM175" t="e">
        <f>AND(#REF!,"AAAAAB4+3sI=")</f>
        <v>#REF!</v>
      </c>
      <c r="GN175" t="e">
        <f>AND(#REF!,"AAAAAB4+3sM=")</f>
        <v>#REF!</v>
      </c>
      <c r="GO175" t="e">
        <f>AND(#REF!,"AAAAAB4+3sQ=")</f>
        <v>#REF!</v>
      </c>
      <c r="GP175" t="e">
        <f>AND(#REF!,"AAAAAB4+3sU=")</f>
        <v>#REF!</v>
      </c>
      <c r="GQ175" t="e">
        <f>IF(#REF!,"AAAAAB4+3sY=",0)</f>
        <v>#REF!</v>
      </c>
      <c r="GR175" t="e">
        <f>AND(#REF!,"AAAAAB4+3sc=")</f>
        <v>#REF!</v>
      </c>
      <c r="GS175" t="e">
        <f>AND(#REF!,"AAAAAB4+3sg=")</f>
        <v>#REF!</v>
      </c>
      <c r="GT175" t="e">
        <f>AND(#REF!,"AAAAAB4+3sk=")</f>
        <v>#REF!</v>
      </c>
      <c r="GU175" t="e">
        <f>AND(#REF!,"AAAAAB4+3so=")</f>
        <v>#REF!</v>
      </c>
      <c r="GV175" t="e">
        <f>AND(#REF!,"AAAAAB4+3ss=")</f>
        <v>#REF!</v>
      </c>
      <c r="GW175" t="e">
        <f>AND(#REF!,"AAAAAB4+3sw=")</f>
        <v>#REF!</v>
      </c>
      <c r="GX175" t="e">
        <f>AND(#REF!,"AAAAAB4+3s0=")</f>
        <v>#REF!</v>
      </c>
      <c r="GY175" t="e">
        <f>AND(#REF!,"AAAAAB4+3s4=")</f>
        <v>#REF!</v>
      </c>
      <c r="GZ175" t="e">
        <f>AND(#REF!,"AAAAAB4+3s8=")</f>
        <v>#REF!</v>
      </c>
      <c r="HA175" t="e">
        <f>AND(#REF!,"AAAAAB4+3tA=")</f>
        <v>#REF!</v>
      </c>
      <c r="HB175" t="e">
        <f>IF(#REF!,"AAAAAB4+3tE=",0)</f>
        <v>#REF!</v>
      </c>
      <c r="HC175" t="e">
        <f>AND(#REF!,"AAAAAB4+3tI=")</f>
        <v>#REF!</v>
      </c>
      <c r="HD175" t="e">
        <f>AND(#REF!,"AAAAAB4+3tM=")</f>
        <v>#REF!</v>
      </c>
      <c r="HE175" t="e">
        <f>AND(#REF!,"AAAAAB4+3tQ=")</f>
        <v>#REF!</v>
      </c>
      <c r="HF175" t="e">
        <f>AND(#REF!,"AAAAAB4+3tU=")</f>
        <v>#REF!</v>
      </c>
      <c r="HG175" t="e">
        <f>AND(#REF!,"AAAAAB4+3tY=")</f>
        <v>#REF!</v>
      </c>
      <c r="HH175" t="e">
        <f>AND(#REF!,"AAAAAB4+3tc=")</f>
        <v>#REF!</v>
      </c>
      <c r="HI175" t="e">
        <f>AND(#REF!,"AAAAAB4+3tg=")</f>
        <v>#REF!</v>
      </c>
      <c r="HJ175" t="e">
        <f>AND(#REF!,"AAAAAB4+3tk=")</f>
        <v>#REF!</v>
      </c>
      <c r="HK175" t="e">
        <f>AND(#REF!,"AAAAAB4+3to=")</f>
        <v>#REF!</v>
      </c>
      <c r="HL175" t="e">
        <f>AND(#REF!,"AAAAAB4+3ts=")</f>
        <v>#REF!</v>
      </c>
      <c r="HM175" t="e">
        <f>IF(#REF!,"AAAAAB4+3tw=",0)</f>
        <v>#REF!</v>
      </c>
      <c r="HN175" t="e">
        <f>AND(#REF!,"AAAAAB4+3t0=")</f>
        <v>#REF!</v>
      </c>
      <c r="HO175" t="e">
        <f>AND(#REF!,"AAAAAB4+3t4=")</f>
        <v>#REF!</v>
      </c>
      <c r="HP175" t="e">
        <f>AND(#REF!,"AAAAAB4+3t8=")</f>
        <v>#REF!</v>
      </c>
      <c r="HQ175" t="e">
        <f>AND(#REF!,"AAAAAB4+3uA=")</f>
        <v>#REF!</v>
      </c>
      <c r="HR175" t="e">
        <f>AND(#REF!,"AAAAAB4+3uE=")</f>
        <v>#REF!</v>
      </c>
      <c r="HS175" t="e">
        <f>AND(#REF!,"AAAAAB4+3uI=")</f>
        <v>#REF!</v>
      </c>
      <c r="HT175" t="e">
        <f>AND(#REF!,"AAAAAB4+3uM=")</f>
        <v>#REF!</v>
      </c>
      <c r="HU175" t="e">
        <f>AND(#REF!,"AAAAAB4+3uQ=")</f>
        <v>#REF!</v>
      </c>
      <c r="HV175" t="e">
        <f>AND(#REF!,"AAAAAB4+3uU=")</f>
        <v>#REF!</v>
      </c>
      <c r="HW175" t="e">
        <f>AND(#REF!,"AAAAAB4+3uY=")</f>
        <v>#REF!</v>
      </c>
      <c r="HX175" t="e">
        <f>IF(#REF!,"AAAAAB4+3uc=",0)</f>
        <v>#REF!</v>
      </c>
      <c r="HY175" t="e">
        <f>AND(#REF!,"AAAAAB4+3ug=")</f>
        <v>#REF!</v>
      </c>
      <c r="HZ175" t="e">
        <f>AND(#REF!,"AAAAAB4+3uk=")</f>
        <v>#REF!</v>
      </c>
      <c r="IA175" t="e">
        <f>AND(#REF!,"AAAAAB4+3uo=")</f>
        <v>#REF!</v>
      </c>
      <c r="IB175" t="e">
        <f>AND(#REF!,"AAAAAB4+3us=")</f>
        <v>#REF!</v>
      </c>
      <c r="IC175" t="e">
        <f>AND(#REF!,"AAAAAB4+3uw=")</f>
        <v>#REF!</v>
      </c>
      <c r="ID175" t="e">
        <f>AND(#REF!,"AAAAAB4+3u0=")</f>
        <v>#REF!</v>
      </c>
      <c r="IE175" t="e">
        <f>AND(#REF!,"AAAAAB4+3u4=")</f>
        <v>#REF!</v>
      </c>
      <c r="IF175" t="e">
        <f>AND(#REF!,"AAAAAB4+3u8=")</f>
        <v>#REF!</v>
      </c>
      <c r="IG175" t="e">
        <f>AND(#REF!,"AAAAAB4+3vA=")</f>
        <v>#REF!</v>
      </c>
      <c r="IH175" t="e">
        <f>AND(#REF!,"AAAAAB4+3vE=")</f>
        <v>#REF!</v>
      </c>
      <c r="II175" t="e">
        <f>IF(#REF!,"AAAAAB4+3vI=",0)</f>
        <v>#REF!</v>
      </c>
      <c r="IJ175" t="e">
        <f>AND(#REF!,"AAAAAB4+3vM=")</f>
        <v>#REF!</v>
      </c>
      <c r="IK175" t="e">
        <f>AND(#REF!,"AAAAAB4+3vQ=")</f>
        <v>#REF!</v>
      </c>
      <c r="IL175" t="e">
        <f>AND(#REF!,"AAAAAB4+3vU=")</f>
        <v>#REF!</v>
      </c>
      <c r="IM175" t="e">
        <f>AND(#REF!,"AAAAAB4+3vY=")</f>
        <v>#REF!</v>
      </c>
      <c r="IN175" t="e">
        <f>AND(#REF!,"AAAAAB4+3vc=")</f>
        <v>#REF!</v>
      </c>
      <c r="IO175" t="e">
        <f>AND(#REF!,"AAAAAB4+3vg=")</f>
        <v>#REF!</v>
      </c>
      <c r="IP175" t="e">
        <f>AND(#REF!,"AAAAAB4+3vk=")</f>
        <v>#REF!</v>
      </c>
      <c r="IQ175" t="e">
        <f>AND(#REF!,"AAAAAB4+3vo=")</f>
        <v>#REF!</v>
      </c>
      <c r="IR175" t="e">
        <f>AND(#REF!,"AAAAAB4+3vs=")</f>
        <v>#REF!</v>
      </c>
      <c r="IS175" t="e">
        <f>AND(#REF!,"AAAAAB4+3vw=")</f>
        <v>#REF!</v>
      </c>
      <c r="IT175" t="e">
        <f>IF(#REF!,"AAAAAB4+3v0=",0)</f>
        <v>#REF!</v>
      </c>
      <c r="IU175" t="e">
        <f>AND(#REF!,"AAAAAB4+3v4=")</f>
        <v>#REF!</v>
      </c>
      <c r="IV175" t="e">
        <f>AND(#REF!,"AAAAAB4+3v8=")</f>
        <v>#REF!</v>
      </c>
    </row>
    <row r="176" spans="1:256" x14ac:dyDescent="0.25">
      <c r="A176" t="e">
        <f>AND(#REF!,"AAAAADdvMgA=")</f>
        <v>#REF!</v>
      </c>
      <c r="B176" t="e">
        <f>AND(#REF!,"AAAAADdvMgE=")</f>
        <v>#REF!</v>
      </c>
      <c r="C176" t="e">
        <f>AND(#REF!,"AAAAADdvMgI=")</f>
        <v>#REF!</v>
      </c>
      <c r="D176" t="e">
        <f>AND(#REF!,"AAAAADdvMgM=")</f>
        <v>#REF!</v>
      </c>
      <c r="E176" t="e">
        <f>AND(#REF!,"AAAAADdvMgQ=")</f>
        <v>#REF!</v>
      </c>
      <c r="F176" t="e">
        <f>AND(#REF!,"AAAAADdvMgU=")</f>
        <v>#REF!</v>
      </c>
      <c r="G176" t="e">
        <f>AND(#REF!,"AAAAADdvMgY=")</f>
        <v>#REF!</v>
      </c>
      <c r="H176" t="e">
        <f>AND(#REF!,"AAAAADdvMgc=")</f>
        <v>#REF!</v>
      </c>
      <c r="I176" t="e">
        <f>IF(#REF!,"AAAAADdvMgg=",0)</f>
        <v>#REF!</v>
      </c>
      <c r="J176" t="e">
        <f>AND(#REF!,"AAAAADdvMgk=")</f>
        <v>#REF!</v>
      </c>
      <c r="K176" t="e">
        <f>AND(#REF!,"AAAAADdvMgo=")</f>
        <v>#REF!</v>
      </c>
      <c r="L176" t="e">
        <f>AND(#REF!,"AAAAADdvMgs=")</f>
        <v>#REF!</v>
      </c>
      <c r="M176" t="e">
        <f>AND(#REF!,"AAAAADdvMgw=")</f>
        <v>#REF!</v>
      </c>
      <c r="N176" t="e">
        <f>AND(#REF!,"AAAAADdvMg0=")</f>
        <v>#REF!</v>
      </c>
      <c r="O176" t="e">
        <f>AND(#REF!,"AAAAADdvMg4=")</f>
        <v>#REF!</v>
      </c>
      <c r="P176" t="e">
        <f>AND(#REF!,"AAAAADdvMg8=")</f>
        <v>#REF!</v>
      </c>
      <c r="Q176" t="e">
        <f>AND(#REF!,"AAAAADdvMhA=")</f>
        <v>#REF!</v>
      </c>
      <c r="R176" t="e">
        <f>AND(#REF!,"AAAAADdvMhE=")</f>
        <v>#REF!</v>
      </c>
      <c r="S176" t="e">
        <f>AND(#REF!,"AAAAADdvMhI=")</f>
        <v>#REF!</v>
      </c>
      <c r="T176" t="e">
        <f>IF(#REF!,"AAAAADdvMhM=",0)</f>
        <v>#REF!</v>
      </c>
      <c r="U176" t="e">
        <f>AND(#REF!,"AAAAADdvMhQ=")</f>
        <v>#REF!</v>
      </c>
      <c r="V176" t="e">
        <f>AND(#REF!,"AAAAADdvMhU=")</f>
        <v>#REF!</v>
      </c>
      <c r="W176" t="e">
        <f>AND(#REF!,"AAAAADdvMhY=")</f>
        <v>#REF!</v>
      </c>
      <c r="X176" t="e">
        <f>AND(#REF!,"AAAAADdvMhc=")</f>
        <v>#REF!</v>
      </c>
      <c r="Y176" t="e">
        <f>AND(#REF!,"AAAAADdvMhg=")</f>
        <v>#REF!</v>
      </c>
      <c r="Z176" t="e">
        <f>AND(#REF!,"AAAAADdvMhk=")</f>
        <v>#REF!</v>
      </c>
      <c r="AA176" t="e">
        <f>AND(#REF!,"AAAAADdvMho=")</f>
        <v>#REF!</v>
      </c>
      <c r="AB176" t="e">
        <f>AND(#REF!,"AAAAADdvMhs=")</f>
        <v>#REF!</v>
      </c>
      <c r="AC176" t="e">
        <f>AND(#REF!,"AAAAADdvMhw=")</f>
        <v>#REF!</v>
      </c>
      <c r="AD176" t="e">
        <f>AND(#REF!,"AAAAADdvMh0=")</f>
        <v>#REF!</v>
      </c>
      <c r="AE176" t="e">
        <f>IF(#REF!,"AAAAADdvMh4=",0)</f>
        <v>#REF!</v>
      </c>
      <c r="AF176" t="e">
        <f>AND(#REF!,"AAAAADdvMh8=")</f>
        <v>#REF!</v>
      </c>
      <c r="AG176" t="e">
        <f>AND(#REF!,"AAAAADdvMiA=")</f>
        <v>#REF!</v>
      </c>
      <c r="AH176" t="e">
        <f>AND(#REF!,"AAAAADdvMiE=")</f>
        <v>#REF!</v>
      </c>
      <c r="AI176" t="e">
        <f>AND(#REF!,"AAAAADdvMiI=")</f>
        <v>#REF!</v>
      </c>
      <c r="AJ176" t="e">
        <f>AND(#REF!,"AAAAADdvMiM=")</f>
        <v>#REF!</v>
      </c>
      <c r="AK176" t="e">
        <f>AND(#REF!,"AAAAADdvMiQ=")</f>
        <v>#REF!</v>
      </c>
      <c r="AL176" t="e">
        <f>AND(#REF!,"AAAAADdvMiU=")</f>
        <v>#REF!</v>
      </c>
      <c r="AM176" t="e">
        <f>AND(#REF!,"AAAAADdvMiY=")</f>
        <v>#REF!</v>
      </c>
      <c r="AN176" t="e">
        <f>AND(#REF!,"AAAAADdvMic=")</f>
        <v>#REF!</v>
      </c>
      <c r="AO176" t="e">
        <f>AND(#REF!,"AAAAADdvMig=")</f>
        <v>#REF!</v>
      </c>
      <c r="AP176" t="e">
        <f>IF(#REF!,"AAAAADdvMik=",0)</f>
        <v>#REF!</v>
      </c>
      <c r="AQ176" t="e">
        <f>AND(#REF!,"AAAAADdvMio=")</f>
        <v>#REF!</v>
      </c>
      <c r="AR176" t="e">
        <f>AND(#REF!,"AAAAADdvMis=")</f>
        <v>#REF!</v>
      </c>
      <c r="AS176" t="e">
        <f>AND(#REF!,"AAAAADdvMiw=")</f>
        <v>#REF!</v>
      </c>
      <c r="AT176" t="e">
        <f>AND(#REF!,"AAAAADdvMi0=")</f>
        <v>#REF!</v>
      </c>
      <c r="AU176" t="e">
        <f>AND(#REF!,"AAAAADdvMi4=")</f>
        <v>#REF!</v>
      </c>
      <c r="AV176" t="e">
        <f>AND(#REF!,"AAAAADdvMi8=")</f>
        <v>#REF!</v>
      </c>
      <c r="AW176" t="e">
        <f>AND(#REF!,"AAAAADdvMjA=")</f>
        <v>#REF!</v>
      </c>
      <c r="AX176" t="e">
        <f>AND(#REF!,"AAAAADdvMjE=")</f>
        <v>#REF!</v>
      </c>
      <c r="AY176" t="e">
        <f>AND(#REF!,"AAAAADdvMjI=")</f>
        <v>#REF!</v>
      </c>
      <c r="AZ176" t="e">
        <f>AND(#REF!,"AAAAADdvMjM=")</f>
        <v>#REF!</v>
      </c>
      <c r="BA176" t="e">
        <f>IF(#REF!,"AAAAADdvMjQ=",0)</f>
        <v>#REF!</v>
      </c>
      <c r="BB176" t="e">
        <f>AND(#REF!,"AAAAADdvMjU=")</f>
        <v>#REF!</v>
      </c>
      <c r="BC176" t="e">
        <f>AND(#REF!,"AAAAADdvMjY=")</f>
        <v>#REF!</v>
      </c>
      <c r="BD176" t="e">
        <f>AND(#REF!,"AAAAADdvMjc=")</f>
        <v>#REF!</v>
      </c>
      <c r="BE176" t="e">
        <f>AND(#REF!,"AAAAADdvMjg=")</f>
        <v>#REF!</v>
      </c>
      <c r="BF176" t="e">
        <f>AND(#REF!,"AAAAADdvMjk=")</f>
        <v>#REF!</v>
      </c>
      <c r="BG176" t="e">
        <f>AND(#REF!,"AAAAADdvMjo=")</f>
        <v>#REF!</v>
      </c>
      <c r="BH176" t="e">
        <f>AND(#REF!,"AAAAADdvMjs=")</f>
        <v>#REF!</v>
      </c>
      <c r="BI176" t="e">
        <f>AND(#REF!,"AAAAADdvMjw=")</f>
        <v>#REF!</v>
      </c>
      <c r="BJ176" t="e">
        <f>AND(#REF!,"AAAAADdvMj0=")</f>
        <v>#REF!</v>
      </c>
      <c r="BK176" t="e">
        <f>AND(#REF!,"AAAAADdvMj4=")</f>
        <v>#REF!</v>
      </c>
      <c r="BL176" t="e">
        <f>IF(#REF!,"AAAAADdvMj8=",0)</f>
        <v>#REF!</v>
      </c>
      <c r="BM176" t="e">
        <f>AND(#REF!,"AAAAADdvMkA=")</f>
        <v>#REF!</v>
      </c>
      <c r="BN176" t="e">
        <f>AND(#REF!,"AAAAADdvMkE=")</f>
        <v>#REF!</v>
      </c>
      <c r="BO176" t="e">
        <f>AND(#REF!,"AAAAADdvMkI=")</f>
        <v>#REF!</v>
      </c>
      <c r="BP176" t="e">
        <f>AND(#REF!,"AAAAADdvMkM=")</f>
        <v>#REF!</v>
      </c>
      <c r="BQ176" t="e">
        <f>AND(#REF!,"AAAAADdvMkQ=")</f>
        <v>#REF!</v>
      </c>
      <c r="BR176" t="e">
        <f>AND(#REF!,"AAAAADdvMkU=")</f>
        <v>#REF!</v>
      </c>
      <c r="BS176" t="e">
        <f>AND(#REF!,"AAAAADdvMkY=")</f>
        <v>#REF!</v>
      </c>
      <c r="BT176" t="e">
        <f>AND(#REF!,"AAAAADdvMkc=")</f>
        <v>#REF!</v>
      </c>
      <c r="BU176" t="e">
        <f>AND(#REF!,"AAAAADdvMkg=")</f>
        <v>#REF!</v>
      </c>
      <c r="BV176" t="e">
        <f>AND(#REF!,"AAAAADdvMkk=")</f>
        <v>#REF!</v>
      </c>
      <c r="BW176" t="e">
        <f>IF(#REF!,"AAAAADdvMko=",0)</f>
        <v>#REF!</v>
      </c>
      <c r="BX176" t="e">
        <f>AND(#REF!,"AAAAADdvMks=")</f>
        <v>#REF!</v>
      </c>
      <c r="BY176" t="e">
        <f>AND(#REF!,"AAAAADdvMkw=")</f>
        <v>#REF!</v>
      </c>
      <c r="BZ176" t="e">
        <f>AND(#REF!,"AAAAADdvMk0=")</f>
        <v>#REF!</v>
      </c>
      <c r="CA176" t="e">
        <f>AND(#REF!,"AAAAADdvMk4=")</f>
        <v>#REF!</v>
      </c>
      <c r="CB176" t="e">
        <f>AND(#REF!,"AAAAADdvMk8=")</f>
        <v>#REF!</v>
      </c>
      <c r="CC176" t="e">
        <f>AND(#REF!,"AAAAADdvMlA=")</f>
        <v>#REF!</v>
      </c>
      <c r="CD176" t="e">
        <f>AND(#REF!,"AAAAADdvMlE=")</f>
        <v>#REF!</v>
      </c>
      <c r="CE176" t="e">
        <f>AND(#REF!,"AAAAADdvMlI=")</f>
        <v>#REF!</v>
      </c>
      <c r="CF176" t="e">
        <f>AND(#REF!,"AAAAADdvMlM=")</f>
        <v>#REF!</v>
      </c>
      <c r="CG176" t="e">
        <f>AND(#REF!,"AAAAADdvMlQ=")</f>
        <v>#REF!</v>
      </c>
      <c r="CH176" t="e">
        <f>IF(#REF!,"AAAAADdvMlU=",0)</f>
        <v>#REF!</v>
      </c>
      <c r="CI176" t="e">
        <f>AND(#REF!,"AAAAADdvMlY=")</f>
        <v>#REF!</v>
      </c>
      <c r="CJ176" t="e">
        <f>AND(#REF!,"AAAAADdvMlc=")</f>
        <v>#REF!</v>
      </c>
      <c r="CK176" t="e">
        <f>AND(#REF!,"AAAAADdvMlg=")</f>
        <v>#REF!</v>
      </c>
      <c r="CL176" t="e">
        <f>AND(#REF!,"AAAAADdvMlk=")</f>
        <v>#REF!</v>
      </c>
      <c r="CM176" t="e">
        <f>AND(#REF!,"AAAAADdvMlo=")</f>
        <v>#REF!</v>
      </c>
      <c r="CN176" t="e">
        <f>AND(#REF!,"AAAAADdvMls=")</f>
        <v>#REF!</v>
      </c>
      <c r="CO176" t="e">
        <f>AND(#REF!,"AAAAADdvMlw=")</f>
        <v>#REF!</v>
      </c>
      <c r="CP176" t="e">
        <f>AND(#REF!,"AAAAADdvMl0=")</f>
        <v>#REF!</v>
      </c>
      <c r="CQ176" t="e">
        <f>AND(#REF!,"AAAAADdvMl4=")</f>
        <v>#REF!</v>
      </c>
      <c r="CR176" t="e">
        <f>AND(#REF!,"AAAAADdvMl8=")</f>
        <v>#REF!</v>
      </c>
      <c r="CS176" t="e">
        <f>IF(#REF!,"AAAAADdvMmA=",0)</f>
        <v>#REF!</v>
      </c>
      <c r="CT176" t="e">
        <f>AND(#REF!,"AAAAADdvMmE=")</f>
        <v>#REF!</v>
      </c>
      <c r="CU176" t="e">
        <f>AND(#REF!,"AAAAADdvMmI=")</f>
        <v>#REF!</v>
      </c>
      <c r="CV176" t="e">
        <f>AND(#REF!,"AAAAADdvMmM=")</f>
        <v>#REF!</v>
      </c>
      <c r="CW176" t="e">
        <f>AND(#REF!,"AAAAADdvMmQ=")</f>
        <v>#REF!</v>
      </c>
      <c r="CX176" t="e">
        <f>AND(#REF!,"AAAAADdvMmU=")</f>
        <v>#REF!</v>
      </c>
      <c r="CY176" t="e">
        <f>AND(#REF!,"AAAAADdvMmY=")</f>
        <v>#REF!</v>
      </c>
      <c r="CZ176" t="e">
        <f>AND(#REF!,"AAAAADdvMmc=")</f>
        <v>#REF!</v>
      </c>
      <c r="DA176" t="e">
        <f>AND(#REF!,"AAAAADdvMmg=")</f>
        <v>#REF!</v>
      </c>
      <c r="DB176" t="e">
        <f>AND(#REF!,"AAAAADdvMmk=")</f>
        <v>#REF!</v>
      </c>
      <c r="DC176" t="e">
        <f>AND(#REF!,"AAAAADdvMmo=")</f>
        <v>#REF!</v>
      </c>
      <c r="DD176" t="e">
        <f>IF(#REF!,"AAAAADdvMms=",0)</f>
        <v>#REF!</v>
      </c>
      <c r="DE176" t="e">
        <f>AND(#REF!,"AAAAADdvMmw=")</f>
        <v>#REF!</v>
      </c>
      <c r="DF176" t="e">
        <f>AND(#REF!,"AAAAADdvMm0=")</f>
        <v>#REF!</v>
      </c>
      <c r="DG176" t="e">
        <f>AND(#REF!,"AAAAADdvMm4=")</f>
        <v>#REF!</v>
      </c>
      <c r="DH176" t="e">
        <f>AND(#REF!,"AAAAADdvMm8=")</f>
        <v>#REF!</v>
      </c>
      <c r="DI176" t="e">
        <f>AND(#REF!,"AAAAADdvMnA=")</f>
        <v>#REF!</v>
      </c>
      <c r="DJ176" t="e">
        <f>AND(#REF!,"AAAAADdvMnE=")</f>
        <v>#REF!</v>
      </c>
      <c r="DK176" t="e">
        <f>AND(#REF!,"AAAAADdvMnI=")</f>
        <v>#REF!</v>
      </c>
      <c r="DL176" t="e">
        <f>AND(#REF!,"AAAAADdvMnM=")</f>
        <v>#REF!</v>
      </c>
      <c r="DM176" t="e">
        <f>AND(#REF!,"AAAAADdvMnQ=")</f>
        <v>#REF!</v>
      </c>
      <c r="DN176" t="e">
        <f>AND(#REF!,"AAAAADdvMnU=")</f>
        <v>#REF!</v>
      </c>
      <c r="DO176" t="e">
        <f>IF(#REF!,"AAAAADdvMnY=",0)</f>
        <v>#REF!</v>
      </c>
      <c r="DP176" t="e">
        <f>AND(#REF!,"AAAAADdvMnc=")</f>
        <v>#REF!</v>
      </c>
      <c r="DQ176" t="e">
        <f>AND(#REF!,"AAAAADdvMng=")</f>
        <v>#REF!</v>
      </c>
      <c r="DR176" t="e">
        <f>AND(#REF!,"AAAAADdvMnk=")</f>
        <v>#REF!</v>
      </c>
      <c r="DS176" t="e">
        <f>AND(#REF!,"AAAAADdvMno=")</f>
        <v>#REF!</v>
      </c>
      <c r="DT176" t="e">
        <f>AND(#REF!,"AAAAADdvMns=")</f>
        <v>#REF!</v>
      </c>
      <c r="DU176" t="e">
        <f>AND(#REF!,"AAAAADdvMnw=")</f>
        <v>#REF!</v>
      </c>
      <c r="DV176" t="e">
        <f>AND(#REF!,"AAAAADdvMn0=")</f>
        <v>#REF!</v>
      </c>
      <c r="DW176" t="e">
        <f>AND(#REF!,"AAAAADdvMn4=")</f>
        <v>#REF!</v>
      </c>
      <c r="DX176" t="e">
        <f>AND(#REF!,"AAAAADdvMn8=")</f>
        <v>#REF!</v>
      </c>
      <c r="DY176" t="e">
        <f>AND(#REF!,"AAAAADdvMoA=")</f>
        <v>#REF!</v>
      </c>
      <c r="DZ176" t="e">
        <f>IF(#REF!,"AAAAADdvMoE=",0)</f>
        <v>#REF!</v>
      </c>
      <c r="EA176" t="e">
        <f>AND(#REF!,"AAAAADdvMoI=")</f>
        <v>#REF!</v>
      </c>
      <c r="EB176" t="e">
        <f>AND(#REF!,"AAAAADdvMoM=")</f>
        <v>#REF!</v>
      </c>
      <c r="EC176" t="e">
        <f>AND(#REF!,"AAAAADdvMoQ=")</f>
        <v>#REF!</v>
      </c>
      <c r="ED176" t="e">
        <f>AND(#REF!,"AAAAADdvMoU=")</f>
        <v>#REF!</v>
      </c>
      <c r="EE176" t="e">
        <f>AND(#REF!,"AAAAADdvMoY=")</f>
        <v>#REF!</v>
      </c>
      <c r="EF176" t="e">
        <f>AND(#REF!,"AAAAADdvMoc=")</f>
        <v>#REF!</v>
      </c>
      <c r="EG176" t="e">
        <f>AND(#REF!,"AAAAADdvMog=")</f>
        <v>#REF!</v>
      </c>
      <c r="EH176" t="e">
        <f>AND(#REF!,"AAAAADdvMok=")</f>
        <v>#REF!</v>
      </c>
      <c r="EI176" t="e">
        <f>AND(#REF!,"AAAAADdvMoo=")</f>
        <v>#REF!</v>
      </c>
      <c r="EJ176" t="e">
        <f>AND(#REF!,"AAAAADdvMos=")</f>
        <v>#REF!</v>
      </c>
      <c r="EK176" t="e">
        <f>IF(#REF!,"AAAAADdvMow=",0)</f>
        <v>#REF!</v>
      </c>
      <c r="EL176" t="e">
        <f>AND(#REF!,"AAAAADdvMo0=")</f>
        <v>#REF!</v>
      </c>
      <c r="EM176" t="e">
        <f>AND(#REF!,"AAAAADdvMo4=")</f>
        <v>#REF!</v>
      </c>
      <c r="EN176" t="e">
        <f>AND(#REF!,"AAAAADdvMo8=")</f>
        <v>#REF!</v>
      </c>
      <c r="EO176" t="e">
        <f>AND(#REF!,"AAAAADdvMpA=")</f>
        <v>#REF!</v>
      </c>
      <c r="EP176" t="e">
        <f>AND(#REF!,"AAAAADdvMpE=")</f>
        <v>#REF!</v>
      </c>
      <c r="EQ176" t="e">
        <f>AND(#REF!,"AAAAADdvMpI=")</f>
        <v>#REF!</v>
      </c>
      <c r="ER176" t="e">
        <f>AND(#REF!,"AAAAADdvMpM=")</f>
        <v>#REF!</v>
      </c>
      <c r="ES176" t="e">
        <f>AND(#REF!,"AAAAADdvMpQ=")</f>
        <v>#REF!</v>
      </c>
      <c r="ET176" t="e">
        <f>AND(#REF!,"AAAAADdvMpU=")</f>
        <v>#REF!</v>
      </c>
      <c r="EU176" t="e">
        <f>AND(#REF!,"AAAAADdvMpY=")</f>
        <v>#REF!</v>
      </c>
      <c r="EV176" t="e">
        <f>IF(#REF!,"AAAAADdvMpc=",0)</f>
        <v>#REF!</v>
      </c>
      <c r="EW176" t="e">
        <f>AND(#REF!,"AAAAADdvMpg=")</f>
        <v>#REF!</v>
      </c>
      <c r="EX176" t="e">
        <f>AND(#REF!,"AAAAADdvMpk=")</f>
        <v>#REF!</v>
      </c>
      <c r="EY176" t="e">
        <f>AND(#REF!,"AAAAADdvMpo=")</f>
        <v>#REF!</v>
      </c>
      <c r="EZ176" t="e">
        <f>AND(#REF!,"AAAAADdvMps=")</f>
        <v>#REF!</v>
      </c>
      <c r="FA176" t="e">
        <f>AND(#REF!,"AAAAADdvMpw=")</f>
        <v>#REF!</v>
      </c>
      <c r="FB176" t="e">
        <f>AND(#REF!,"AAAAADdvMp0=")</f>
        <v>#REF!</v>
      </c>
      <c r="FC176" t="e">
        <f>AND(#REF!,"AAAAADdvMp4=")</f>
        <v>#REF!</v>
      </c>
      <c r="FD176" t="e">
        <f>AND(#REF!,"AAAAADdvMp8=")</f>
        <v>#REF!</v>
      </c>
      <c r="FE176" t="e">
        <f>AND(#REF!,"AAAAADdvMqA=")</f>
        <v>#REF!</v>
      </c>
      <c r="FF176" t="e">
        <f>AND(#REF!,"AAAAADdvMqE=")</f>
        <v>#REF!</v>
      </c>
      <c r="FG176" t="e">
        <f>IF(#REF!,"AAAAADdvMqI=",0)</f>
        <v>#REF!</v>
      </c>
      <c r="FH176" t="e">
        <f>AND(#REF!,"AAAAADdvMqM=")</f>
        <v>#REF!</v>
      </c>
      <c r="FI176" t="e">
        <f>AND(#REF!,"AAAAADdvMqQ=")</f>
        <v>#REF!</v>
      </c>
      <c r="FJ176" t="e">
        <f>AND(#REF!,"AAAAADdvMqU=")</f>
        <v>#REF!</v>
      </c>
      <c r="FK176" t="e">
        <f>AND(#REF!,"AAAAADdvMqY=")</f>
        <v>#REF!</v>
      </c>
      <c r="FL176" t="e">
        <f>AND(#REF!,"AAAAADdvMqc=")</f>
        <v>#REF!</v>
      </c>
      <c r="FM176" t="e">
        <f>AND(#REF!,"AAAAADdvMqg=")</f>
        <v>#REF!</v>
      </c>
      <c r="FN176" t="e">
        <f>AND(#REF!,"AAAAADdvMqk=")</f>
        <v>#REF!</v>
      </c>
      <c r="FO176" t="e">
        <f>AND(#REF!,"AAAAADdvMqo=")</f>
        <v>#REF!</v>
      </c>
      <c r="FP176" t="e">
        <f>AND(#REF!,"AAAAADdvMqs=")</f>
        <v>#REF!</v>
      </c>
      <c r="FQ176" t="e">
        <f>AND(#REF!,"AAAAADdvMqw=")</f>
        <v>#REF!</v>
      </c>
      <c r="FR176" t="e">
        <f>IF(#REF!,"AAAAADdvMq0=",0)</f>
        <v>#REF!</v>
      </c>
      <c r="FS176" t="e">
        <f>AND(#REF!,"AAAAADdvMq4=")</f>
        <v>#REF!</v>
      </c>
      <c r="FT176" t="e">
        <f>AND(#REF!,"AAAAADdvMq8=")</f>
        <v>#REF!</v>
      </c>
      <c r="FU176" t="e">
        <f>AND(#REF!,"AAAAADdvMrA=")</f>
        <v>#REF!</v>
      </c>
      <c r="FV176" t="e">
        <f>AND(#REF!,"AAAAADdvMrE=")</f>
        <v>#REF!</v>
      </c>
      <c r="FW176" t="e">
        <f>AND(#REF!,"AAAAADdvMrI=")</f>
        <v>#REF!</v>
      </c>
      <c r="FX176" t="e">
        <f>AND(#REF!,"AAAAADdvMrM=")</f>
        <v>#REF!</v>
      </c>
      <c r="FY176" t="e">
        <f>AND(#REF!,"AAAAADdvMrQ=")</f>
        <v>#REF!</v>
      </c>
      <c r="FZ176" t="e">
        <f>AND(#REF!,"AAAAADdvMrU=")</f>
        <v>#REF!</v>
      </c>
      <c r="GA176" t="e">
        <f>AND(#REF!,"AAAAADdvMrY=")</f>
        <v>#REF!</v>
      </c>
      <c r="GB176" t="e">
        <f>AND(#REF!,"AAAAADdvMrc=")</f>
        <v>#REF!</v>
      </c>
      <c r="GC176" t="e">
        <f>IF(#REF!,"AAAAADdvMrg=",0)</f>
        <v>#REF!</v>
      </c>
      <c r="GD176" t="e">
        <f>AND(#REF!,"AAAAADdvMrk=")</f>
        <v>#REF!</v>
      </c>
      <c r="GE176" t="e">
        <f>AND(#REF!,"AAAAADdvMro=")</f>
        <v>#REF!</v>
      </c>
      <c r="GF176" t="e">
        <f>AND(#REF!,"AAAAADdvMrs=")</f>
        <v>#REF!</v>
      </c>
      <c r="GG176" t="e">
        <f>AND(#REF!,"AAAAADdvMrw=")</f>
        <v>#REF!</v>
      </c>
      <c r="GH176" t="e">
        <f>AND(#REF!,"AAAAADdvMr0=")</f>
        <v>#REF!</v>
      </c>
      <c r="GI176" t="e">
        <f>AND(#REF!,"AAAAADdvMr4=")</f>
        <v>#REF!</v>
      </c>
      <c r="GJ176" t="e">
        <f>AND(#REF!,"AAAAADdvMr8=")</f>
        <v>#REF!</v>
      </c>
      <c r="GK176" t="e">
        <f>AND(#REF!,"AAAAADdvMsA=")</f>
        <v>#REF!</v>
      </c>
      <c r="GL176" t="e">
        <f>AND(#REF!,"AAAAADdvMsE=")</f>
        <v>#REF!</v>
      </c>
      <c r="GM176" t="e">
        <f>AND(#REF!,"AAAAADdvMsI=")</f>
        <v>#REF!</v>
      </c>
      <c r="GN176" t="e">
        <f>IF(#REF!,"AAAAADdvMsM=",0)</f>
        <v>#REF!</v>
      </c>
      <c r="GO176" t="e">
        <f>AND(#REF!,"AAAAADdvMsQ=")</f>
        <v>#REF!</v>
      </c>
      <c r="GP176" t="e">
        <f>AND(#REF!,"AAAAADdvMsU=")</f>
        <v>#REF!</v>
      </c>
      <c r="GQ176" t="e">
        <f>AND(#REF!,"AAAAADdvMsY=")</f>
        <v>#REF!</v>
      </c>
      <c r="GR176" t="e">
        <f>AND(#REF!,"AAAAADdvMsc=")</f>
        <v>#REF!</v>
      </c>
      <c r="GS176" t="e">
        <f>AND(#REF!,"AAAAADdvMsg=")</f>
        <v>#REF!</v>
      </c>
      <c r="GT176" t="e">
        <f>AND(#REF!,"AAAAADdvMsk=")</f>
        <v>#REF!</v>
      </c>
      <c r="GU176" t="e">
        <f>AND(#REF!,"AAAAADdvMso=")</f>
        <v>#REF!</v>
      </c>
      <c r="GV176" t="e">
        <f>AND(#REF!,"AAAAADdvMss=")</f>
        <v>#REF!</v>
      </c>
      <c r="GW176" t="e">
        <f>AND(#REF!,"AAAAADdvMsw=")</f>
        <v>#REF!</v>
      </c>
      <c r="GX176" t="e">
        <f>AND(#REF!,"AAAAADdvMs0=")</f>
        <v>#REF!</v>
      </c>
      <c r="GY176" t="e">
        <f>IF(#REF!,"AAAAADdvMs4=",0)</f>
        <v>#REF!</v>
      </c>
      <c r="GZ176" t="e">
        <f>AND(#REF!,"AAAAADdvMs8=")</f>
        <v>#REF!</v>
      </c>
      <c r="HA176" t="e">
        <f>AND(#REF!,"AAAAADdvMtA=")</f>
        <v>#REF!</v>
      </c>
      <c r="HB176" t="e">
        <f>AND(#REF!,"AAAAADdvMtE=")</f>
        <v>#REF!</v>
      </c>
      <c r="HC176" t="e">
        <f>AND(#REF!,"AAAAADdvMtI=")</f>
        <v>#REF!</v>
      </c>
      <c r="HD176" t="e">
        <f>AND(#REF!,"AAAAADdvMtM=")</f>
        <v>#REF!</v>
      </c>
      <c r="HE176" t="e">
        <f>AND(#REF!,"AAAAADdvMtQ=")</f>
        <v>#REF!</v>
      </c>
      <c r="HF176" t="e">
        <f>AND(#REF!,"AAAAADdvMtU=")</f>
        <v>#REF!</v>
      </c>
      <c r="HG176" t="e">
        <f>AND(#REF!,"AAAAADdvMtY=")</f>
        <v>#REF!</v>
      </c>
      <c r="HH176" t="e">
        <f>AND(#REF!,"AAAAADdvMtc=")</f>
        <v>#REF!</v>
      </c>
      <c r="HI176" t="e">
        <f>AND(#REF!,"AAAAADdvMtg=")</f>
        <v>#REF!</v>
      </c>
      <c r="HJ176" t="e">
        <f>IF(#REF!,"AAAAADdvMtk=",0)</f>
        <v>#REF!</v>
      </c>
      <c r="HK176" t="e">
        <f>AND(#REF!,"AAAAADdvMto=")</f>
        <v>#REF!</v>
      </c>
      <c r="HL176" t="e">
        <f>AND(#REF!,"AAAAADdvMts=")</f>
        <v>#REF!</v>
      </c>
      <c r="HM176" t="e">
        <f>AND(#REF!,"AAAAADdvMtw=")</f>
        <v>#REF!</v>
      </c>
      <c r="HN176" t="e">
        <f>AND(#REF!,"AAAAADdvMt0=")</f>
        <v>#REF!</v>
      </c>
      <c r="HO176" t="e">
        <f>AND(#REF!,"AAAAADdvMt4=")</f>
        <v>#REF!</v>
      </c>
      <c r="HP176" t="e">
        <f>AND(#REF!,"AAAAADdvMt8=")</f>
        <v>#REF!</v>
      </c>
      <c r="HQ176" t="e">
        <f>AND(#REF!,"AAAAADdvMuA=")</f>
        <v>#REF!</v>
      </c>
      <c r="HR176" t="e">
        <f>AND(#REF!,"AAAAADdvMuE=")</f>
        <v>#REF!</v>
      </c>
      <c r="HS176" t="e">
        <f>AND(#REF!,"AAAAADdvMuI=")</f>
        <v>#REF!</v>
      </c>
      <c r="HT176" t="e">
        <f>AND(#REF!,"AAAAADdvMuM=")</f>
        <v>#REF!</v>
      </c>
      <c r="HU176" t="e">
        <f>IF(#REF!,"AAAAADdvMuQ=",0)</f>
        <v>#REF!</v>
      </c>
      <c r="HV176" t="e">
        <f>AND(#REF!,"AAAAADdvMuU=")</f>
        <v>#REF!</v>
      </c>
      <c r="HW176" t="e">
        <f>AND(#REF!,"AAAAADdvMuY=")</f>
        <v>#REF!</v>
      </c>
      <c r="HX176" t="e">
        <f>AND(#REF!,"AAAAADdvMuc=")</f>
        <v>#REF!</v>
      </c>
      <c r="HY176" t="e">
        <f>AND(#REF!,"AAAAADdvMug=")</f>
        <v>#REF!</v>
      </c>
      <c r="HZ176" t="e">
        <f>AND(#REF!,"AAAAADdvMuk=")</f>
        <v>#REF!</v>
      </c>
      <c r="IA176" t="e">
        <f>AND(#REF!,"AAAAADdvMuo=")</f>
        <v>#REF!</v>
      </c>
      <c r="IB176" t="e">
        <f>AND(#REF!,"AAAAADdvMus=")</f>
        <v>#REF!</v>
      </c>
      <c r="IC176" t="e">
        <f>AND(#REF!,"AAAAADdvMuw=")</f>
        <v>#REF!</v>
      </c>
      <c r="ID176" t="e">
        <f>AND(#REF!,"AAAAADdvMu0=")</f>
        <v>#REF!</v>
      </c>
      <c r="IE176" t="e">
        <f>AND(#REF!,"AAAAADdvMu4=")</f>
        <v>#REF!</v>
      </c>
      <c r="IF176" t="e">
        <f>IF(#REF!,"AAAAADdvMu8=",0)</f>
        <v>#REF!</v>
      </c>
      <c r="IG176" t="e">
        <f>AND(#REF!,"AAAAADdvMvA=")</f>
        <v>#REF!</v>
      </c>
      <c r="IH176" t="e">
        <f>AND(#REF!,"AAAAADdvMvE=")</f>
        <v>#REF!</v>
      </c>
      <c r="II176" t="e">
        <f>AND(#REF!,"AAAAADdvMvI=")</f>
        <v>#REF!</v>
      </c>
      <c r="IJ176" t="e">
        <f>AND(#REF!,"AAAAADdvMvM=")</f>
        <v>#REF!</v>
      </c>
      <c r="IK176" t="e">
        <f>AND(#REF!,"AAAAADdvMvQ=")</f>
        <v>#REF!</v>
      </c>
      <c r="IL176" t="e">
        <f>AND(#REF!,"AAAAADdvMvU=")</f>
        <v>#REF!</v>
      </c>
      <c r="IM176" t="e">
        <f>AND(#REF!,"AAAAADdvMvY=")</f>
        <v>#REF!</v>
      </c>
      <c r="IN176" t="e">
        <f>AND(#REF!,"AAAAADdvMvc=")</f>
        <v>#REF!</v>
      </c>
      <c r="IO176" t="e">
        <f>AND(#REF!,"AAAAADdvMvg=")</f>
        <v>#REF!</v>
      </c>
      <c r="IP176" t="e">
        <f>AND(#REF!,"AAAAADdvMvk=")</f>
        <v>#REF!</v>
      </c>
      <c r="IQ176" t="e">
        <f>IF(#REF!,"AAAAADdvMvo=",0)</f>
        <v>#REF!</v>
      </c>
      <c r="IR176" t="e">
        <f>AND(#REF!,"AAAAADdvMvs=")</f>
        <v>#REF!</v>
      </c>
      <c r="IS176" t="e">
        <f>AND(#REF!,"AAAAADdvMvw=")</f>
        <v>#REF!</v>
      </c>
      <c r="IT176" t="e">
        <f>AND(#REF!,"AAAAADdvMv0=")</f>
        <v>#REF!</v>
      </c>
      <c r="IU176" t="e">
        <f>AND(#REF!,"AAAAADdvMv4=")</f>
        <v>#REF!</v>
      </c>
      <c r="IV176" t="e">
        <f>AND(#REF!,"AAAAADdvMv8=")</f>
        <v>#REF!</v>
      </c>
    </row>
    <row r="177" spans="1:256" x14ac:dyDescent="0.25">
      <c r="A177" t="e">
        <f>AND(#REF!,"AAAAAHWv9AA=")</f>
        <v>#REF!</v>
      </c>
      <c r="B177" t="e">
        <f>AND(#REF!,"AAAAAHWv9AE=")</f>
        <v>#REF!</v>
      </c>
      <c r="C177" t="e">
        <f>AND(#REF!,"AAAAAHWv9AI=")</f>
        <v>#REF!</v>
      </c>
      <c r="D177" t="e">
        <f>AND(#REF!,"AAAAAHWv9AM=")</f>
        <v>#REF!</v>
      </c>
      <c r="E177" t="e">
        <f>AND(#REF!,"AAAAAHWv9AQ=")</f>
        <v>#REF!</v>
      </c>
      <c r="F177" t="e">
        <f>IF(#REF!,"AAAAAHWv9AU=",0)</f>
        <v>#REF!</v>
      </c>
      <c r="G177" t="e">
        <f>AND(#REF!,"AAAAAHWv9AY=")</f>
        <v>#REF!</v>
      </c>
      <c r="H177" t="e">
        <f>AND(#REF!,"AAAAAHWv9Ac=")</f>
        <v>#REF!</v>
      </c>
      <c r="I177" t="e">
        <f>AND(#REF!,"AAAAAHWv9Ag=")</f>
        <v>#REF!</v>
      </c>
      <c r="J177" t="e">
        <f>AND(#REF!,"AAAAAHWv9Ak=")</f>
        <v>#REF!</v>
      </c>
      <c r="K177" t="e">
        <f>AND(#REF!,"AAAAAHWv9Ao=")</f>
        <v>#REF!</v>
      </c>
      <c r="L177" t="e">
        <f>AND(#REF!,"AAAAAHWv9As=")</f>
        <v>#REF!</v>
      </c>
      <c r="M177" t="e">
        <f>AND(#REF!,"AAAAAHWv9Aw=")</f>
        <v>#REF!</v>
      </c>
      <c r="N177" t="e">
        <f>AND(#REF!,"AAAAAHWv9A0=")</f>
        <v>#REF!</v>
      </c>
      <c r="O177" t="e">
        <f>AND(#REF!,"AAAAAHWv9A4=")</f>
        <v>#REF!</v>
      </c>
      <c r="P177" t="e">
        <f>AND(#REF!,"AAAAAHWv9A8=")</f>
        <v>#REF!</v>
      </c>
      <c r="Q177" t="e">
        <f>IF(#REF!,"AAAAAHWv9BA=",0)</f>
        <v>#REF!</v>
      </c>
      <c r="R177" t="e">
        <f>AND(#REF!,"AAAAAHWv9BE=")</f>
        <v>#REF!</v>
      </c>
      <c r="S177" t="e">
        <f>AND(#REF!,"AAAAAHWv9BI=")</f>
        <v>#REF!</v>
      </c>
      <c r="T177" t="e">
        <f>AND(#REF!,"AAAAAHWv9BM=")</f>
        <v>#REF!</v>
      </c>
      <c r="U177" t="e">
        <f>AND(#REF!,"AAAAAHWv9BQ=")</f>
        <v>#REF!</v>
      </c>
      <c r="V177" t="e">
        <f>AND(#REF!,"AAAAAHWv9BU=")</f>
        <v>#REF!</v>
      </c>
      <c r="W177" t="e">
        <f>AND(#REF!,"AAAAAHWv9BY=")</f>
        <v>#REF!</v>
      </c>
      <c r="X177" t="e">
        <f>AND(#REF!,"AAAAAHWv9Bc=")</f>
        <v>#REF!</v>
      </c>
      <c r="Y177" t="e">
        <f>AND(#REF!,"AAAAAHWv9Bg=")</f>
        <v>#REF!</v>
      </c>
      <c r="Z177" t="e">
        <f>AND(#REF!,"AAAAAHWv9Bk=")</f>
        <v>#REF!</v>
      </c>
      <c r="AA177" t="e">
        <f>AND(#REF!,"AAAAAHWv9Bo=")</f>
        <v>#REF!</v>
      </c>
      <c r="AB177" t="e">
        <f>IF(#REF!,"AAAAAHWv9Bs=",0)</f>
        <v>#REF!</v>
      </c>
      <c r="AC177" t="e">
        <f>AND(#REF!,"AAAAAHWv9Bw=")</f>
        <v>#REF!</v>
      </c>
      <c r="AD177" t="e">
        <f>AND(#REF!,"AAAAAHWv9B0=")</f>
        <v>#REF!</v>
      </c>
      <c r="AE177" t="e">
        <f>AND(#REF!,"AAAAAHWv9B4=")</f>
        <v>#REF!</v>
      </c>
      <c r="AF177" t="e">
        <f>AND(#REF!,"AAAAAHWv9B8=")</f>
        <v>#REF!</v>
      </c>
      <c r="AG177" t="e">
        <f>AND(#REF!,"AAAAAHWv9CA=")</f>
        <v>#REF!</v>
      </c>
      <c r="AH177" t="e">
        <f>AND(#REF!,"AAAAAHWv9CE=")</f>
        <v>#REF!</v>
      </c>
      <c r="AI177" t="e">
        <f>AND(#REF!,"AAAAAHWv9CI=")</f>
        <v>#REF!</v>
      </c>
      <c r="AJ177" t="e">
        <f>AND(#REF!,"AAAAAHWv9CM=")</f>
        <v>#REF!</v>
      </c>
      <c r="AK177" t="e">
        <f>AND(#REF!,"AAAAAHWv9CQ=")</f>
        <v>#REF!</v>
      </c>
      <c r="AL177" t="e">
        <f>AND(#REF!,"AAAAAHWv9CU=")</f>
        <v>#REF!</v>
      </c>
      <c r="AM177" t="e">
        <f>IF(#REF!,"AAAAAHWv9CY=",0)</f>
        <v>#REF!</v>
      </c>
      <c r="AN177" t="e">
        <f>AND(#REF!,"AAAAAHWv9Cc=")</f>
        <v>#REF!</v>
      </c>
      <c r="AO177" t="e">
        <f>AND(#REF!,"AAAAAHWv9Cg=")</f>
        <v>#REF!</v>
      </c>
      <c r="AP177" t="e">
        <f>AND(#REF!,"AAAAAHWv9Ck=")</f>
        <v>#REF!</v>
      </c>
      <c r="AQ177" t="e">
        <f>AND(#REF!,"AAAAAHWv9Co=")</f>
        <v>#REF!</v>
      </c>
      <c r="AR177" t="e">
        <f>AND(#REF!,"AAAAAHWv9Cs=")</f>
        <v>#REF!</v>
      </c>
      <c r="AS177" t="e">
        <f>AND(#REF!,"AAAAAHWv9Cw=")</f>
        <v>#REF!</v>
      </c>
      <c r="AT177" t="e">
        <f>AND(#REF!,"AAAAAHWv9C0=")</f>
        <v>#REF!</v>
      </c>
      <c r="AU177" t="e">
        <f>AND(#REF!,"AAAAAHWv9C4=")</f>
        <v>#REF!</v>
      </c>
      <c r="AV177" t="e">
        <f>AND(#REF!,"AAAAAHWv9C8=")</f>
        <v>#REF!</v>
      </c>
      <c r="AW177" t="e">
        <f>AND(#REF!,"AAAAAHWv9DA=")</f>
        <v>#REF!</v>
      </c>
      <c r="AX177" t="e">
        <f>IF(#REF!,"AAAAAHWv9DE=",0)</f>
        <v>#REF!</v>
      </c>
      <c r="AY177" t="e">
        <f>AND(#REF!,"AAAAAHWv9DI=")</f>
        <v>#REF!</v>
      </c>
      <c r="AZ177" t="e">
        <f>AND(#REF!,"AAAAAHWv9DM=")</f>
        <v>#REF!</v>
      </c>
      <c r="BA177" t="e">
        <f>AND(#REF!,"AAAAAHWv9DQ=")</f>
        <v>#REF!</v>
      </c>
      <c r="BB177" t="e">
        <f>AND(#REF!,"AAAAAHWv9DU=")</f>
        <v>#REF!</v>
      </c>
      <c r="BC177" t="e">
        <f>AND(#REF!,"AAAAAHWv9DY=")</f>
        <v>#REF!</v>
      </c>
      <c r="BD177" t="e">
        <f>AND(#REF!,"AAAAAHWv9Dc=")</f>
        <v>#REF!</v>
      </c>
      <c r="BE177" t="e">
        <f>AND(#REF!,"AAAAAHWv9Dg=")</f>
        <v>#REF!</v>
      </c>
      <c r="BF177" t="e">
        <f>AND(#REF!,"AAAAAHWv9Dk=")</f>
        <v>#REF!</v>
      </c>
      <c r="BG177" t="e">
        <f>AND(#REF!,"AAAAAHWv9Do=")</f>
        <v>#REF!</v>
      </c>
      <c r="BH177" t="e">
        <f>AND(#REF!,"AAAAAHWv9Ds=")</f>
        <v>#REF!</v>
      </c>
      <c r="BI177" t="e">
        <f>IF(#REF!,"AAAAAHWv9Dw=",0)</f>
        <v>#REF!</v>
      </c>
      <c r="BJ177" t="e">
        <f>AND(#REF!,"AAAAAHWv9D0=")</f>
        <v>#REF!</v>
      </c>
      <c r="BK177" t="e">
        <f>AND(#REF!,"AAAAAHWv9D4=")</f>
        <v>#REF!</v>
      </c>
      <c r="BL177" t="e">
        <f>AND(#REF!,"AAAAAHWv9D8=")</f>
        <v>#REF!</v>
      </c>
      <c r="BM177" t="e">
        <f>AND(#REF!,"AAAAAHWv9EA=")</f>
        <v>#REF!</v>
      </c>
      <c r="BN177" t="e">
        <f>AND(#REF!,"AAAAAHWv9EE=")</f>
        <v>#REF!</v>
      </c>
      <c r="BO177" t="e">
        <f>AND(#REF!,"AAAAAHWv9EI=")</f>
        <v>#REF!</v>
      </c>
      <c r="BP177" t="e">
        <f>AND(#REF!,"AAAAAHWv9EM=")</f>
        <v>#REF!</v>
      </c>
      <c r="BQ177" t="e">
        <f>AND(#REF!,"AAAAAHWv9EQ=")</f>
        <v>#REF!</v>
      </c>
      <c r="BR177" t="e">
        <f>AND(#REF!,"AAAAAHWv9EU=")</f>
        <v>#REF!</v>
      </c>
      <c r="BS177" t="e">
        <f>AND(#REF!,"AAAAAHWv9EY=")</f>
        <v>#REF!</v>
      </c>
      <c r="BT177" t="e">
        <f>IF(#REF!,"AAAAAHWv9Ec=",0)</f>
        <v>#REF!</v>
      </c>
      <c r="BU177" t="e">
        <f>AND(#REF!,"AAAAAHWv9Eg=")</f>
        <v>#REF!</v>
      </c>
      <c r="BV177" t="e">
        <f>AND(#REF!,"AAAAAHWv9Ek=")</f>
        <v>#REF!</v>
      </c>
      <c r="BW177" t="e">
        <f>AND(#REF!,"AAAAAHWv9Eo=")</f>
        <v>#REF!</v>
      </c>
      <c r="BX177" t="e">
        <f>AND(#REF!,"AAAAAHWv9Es=")</f>
        <v>#REF!</v>
      </c>
      <c r="BY177" t="e">
        <f>AND(#REF!,"AAAAAHWv9Ew=")</f>
        <v>#REF!</v>
      </c>
      <c r="BZ177" t="e">
        <f>AND(#REF!,"AAAAAHWv9E0=")</f>
        <v>#REF!</v>
      </c>
      <c r="CA177" t="e">
        <f>AND(#REF!,"AAAAAHWv9E4=")</f>
        <v>#REF!</v>
      </c>
      <c r="CB177" t="e">
        <f>AND(#REF!,"AAAAAHWv9E8=")</f>
        <v>#REF!</v>
      </c>
      <c r="CC177" t="e">
        <f>AND(#REF!,"AAAAAHWv9FA=")</f>
        <v>#REF!</v>
      </c>
      <c r="CD177" t="e">
        <f>AND(#REF!,"AAAAAHWv9FE=")</f>
        <v>#REF!</v>
      </c>
      <c r="CE177" t="e">
        <f>IF(#REF!,"AAAAAHWv9FI=",0)</f>
        <v>#REF!</v>
      </c>
      <c r="CF177" t="e">
        <f>AND(#REF!,"AAAAAHWv9FM=")</f>
        <v>#REF!</v>
      </c>
      <c r="CG177" t="e">
        <f>AND(#REF!,"AAAAAHWv9FQ=")</f>
        <v>#REF!</v>
      </c>
      <c r="CH177" t="e">
        <f>AND(#REF!,"AAAAAHWv9FU=")</f>
        <v>#REF!</v>
      </c>
      <c r="CI177" t="e">
        <f>AND(#REF!,"AAAAAHWv9FY=")</f>
        <v>#REF!</v>
      </c>
      <c r="CJ177" t="e">
        <f>AND(#REF!,"AAAAAHWv9Fc=")</f>
        <v>#REF!</v>
      </c>
      <c r="CK177" t="e">
        <f>AND(#REF!,"AAAAAHWv9Fg=")</f>
        <v>#REF!</v>
      </c>
      <c r="CL177" t="e">
        <f>AND(#REF!,"AAAAAHWv9Fk=")</f>
        <v>#REF!</v>
      </c>
      <c r="CM177" t="e">
        <f>AND(#REF!,"AAAAAHWv9Fo=")</f>
        <v>#REF!</v>
      </c>
      <c r="CN177" t="e">
        <f>AND(#REF!,"AAAAAHWv9Fs=")</f>
        <v>#REF!</v>
      </c>
      <c r="CO177" t="e">
        <f>AND(#REF!,"AAAAAHWv9Fw=")</f>
        <v>#REF!</v>
      </c>
      <c r="CP177" t="e">
        <f>IF(#REF!,"AAAAAHWv9F0=",0)</f>
        <v>#REF!</v>
      </c>
      <c r="CQ177" t="e">
        <f>AND(#REF!,"AAAAAHWv9F4=")</f>
        <v>#REF!</v>
      </c>
      <c r="CR177" t="e">
        <f>AND(#REF!,"AAAAAHWv9F8=")</f>
        <v>#REF!</v>
      </c>
      <c r="CS177" t="e">
        <f>AND(#REF!,"AAAAAHWv9GA=")</f>
        <v>#REF!</v>
      </c>
      <c r="CT177" t="e">
        <f>AND(#REF!,"AAAAAHWv9GE=")</f>
        <v>#REF!</v>
      </c>
      <c r="CU177" t="e">
        <f>AND(#REF!,"AAAAAHWv9GI=")</f>
        <v>#REF!</v>
      </c>
      <c r="CV177" t="e">
        <f>AND(#REF!,"AAAAAHWv9GM=")</f>
        <v>#REF!</v>
      </c>
      <c r="CW177" t="e">
        <f>AND(#REF!,"AAAAAHWv9GQ=")</f>
        <v>#REF!</v>
      </c>
      <c r="CX177" t="e">
        <f>AND(#REF!,"AAAAAHWv9GU=")</f>
        <v>#REF!</v>
      </c>
      <c r="CY177" t="e">
        <f>AND(#REF!,"AAAAAHWv9GY=")</f>
        <v>#REF!</v>
      </c>
      <c r="CZ177" t="e">
        <f>AND(#REF!,"AAAAAHWv9Gc=")</f>
        <v>#REF!</v>
      </c>
      <c r="DA177" t="e">
        <f>IF(#REF!,"AAAAAHWv9Gg=",0)</f>
        <v>#REF!</v>
      </c>
      <c r="DB177" t="e">
        <f>AND(#REF!,"AAAAAHWv9Gk=")</f>
        <v>#REF!</v>
      </c>
      <c r="DC177" t="e">
        <f>AND(#REF!,"AAAAAHWv9Go=")</f>
        <v>#REF!</v>
      </c>
      <c r="DD177" t="e">
        <f>AND(#REF!,"AAAAAHWv9Gs=")</f>
        <v>#REF!</v>
      </c>
      <c r="DE177" t="e">
        <f>AND(#REF!,"AAAAAHWv9Gw=")</f>
        <v>#REF!</v>
      </c>
      <c r="DF177" t="e">
        <f>AND(#REF!,"AAAAAHWv9G0=")</f>
        <v>#REF!</v>
      </c>
      <c r="DG177" t="e">
        <f>AND(#REF!,"AAAAAHWv9G4=")</f>
        <v>#REF!</v>
      </c>
      <c r="DH177" t="e">
        <f>AND(#REF!,"AAAAAHWv9G8=")</f>
        <v>#REF!</v>
      </c>
      <c r="DI177" t="e">
        <f>AND(#REF!,"AAAAAHWv9HA=")</f>
        <v>#REF!</v>
      </c>
      <c r="DJ177" t="e">
        <f>AND(#REF!,"AAAAAHWv9HE=")</f>
        <v>#REF!</v>
      </c>
      <c r="DK177" t="e">
        <f>AND(#REF!,"AAAAAHWv9HI=")</f>
        <v>#REF!</v>
      </c>
      <c r="DL177" t="e">
        <f>IF(#REF!,"AAAAAHWv9HM=",0)</f>
        <v>#REF!</v>
      </c>
      <c r="DM177" t="e">
        <f>AND(#REF!,"AAAAAHWv9HQ=")</f>
        <v>#REF!</v>
      </c>
      <c r="DN177" t="e">
        <f>AND(#REF!,"AAAAAHWv9HU=")</f>
        <v>#REF!</v>
      </c>
      <c r="DO177" t="e">
        <f>AND(#REF!,"AAAAAHWv9HY=")</f>
        <v>#REF!</v>
      </c>
      <c r="DP177" t="e">
        <f>AND(#REF!,"AAAAAHWv9Hc=")</f>
        <v>#REF!</v>
      </c>
      <c r="DQ177" t="e">
        <f>AND(#REF!,"AAAAAHWv9Hg=")</f>
        <v>#REF!</v>
      </c>
      <c r="DR177" t="e">
        <f>AND(#REF!,"AAAAAHWv9Hk=")</f>
        <v>#REF!</v>
      </c>
      <c r="DS177" t="e">
        <f>AND(#REF!,"AAAAAHWv9Ho=")</f>
        <v>#REF!</v>
      </c>
      <c r="DT177" t="e">
        <f>AND(#REF!,"AAAAAHWv9Hs=")</f>
        <v>#REF!</v>
      </c>
      <c r="DU177" t="e">
        <f>AND(#REF!,"AAAAAHWv9Hw=")</f>
        <v>#REF!</v>
      </c>
      <c r="DV177" t="e">
        <f>AND(#REF!,"AAAAAHWv9H0=")</f>
        <v>#REF!</v>
      </c>
      <c r="DW177" t="e">
        <f>IF(#REF!,"AAAAAHWv9H4=",0)</f>
        <v>#REF!</v>
      </c>
      <c r="DX177" t="e">
        <f>AND(#REF!,"AAAAAHWv9H8=")</f>
        <v>#REF!</v>
      </c>
      <c r="DY177" t="e">
        <f>AND(#REF!,"AAAAAHWv9IA=")</f>
        <v>#REF!</v>
      </c>
      <c r="DZ177" t="e">
        <f>AND(#REF!,"AAAAAHWv9IE=")</f>
        <v>#REF!</v>
      </c>
      <c r="EA177" t="e">
        <f>AND(#REF!,"AAAAAHWv9II=")</f>
        <v>#REF!</v>
      </c>
      <c r="EB177" t="e">
        <f>AND(#REF!,"AAAAAHWv9IM=")</f>
        <v>#REF!</v>
      </c>
      <c r="EC177" t="e">
        <f>AND(#REF!,"AAAAAHWv9IQ=")</f>
        <v>#REF!</v>
      </c>
      <c r="ED177" t="e">
        <f>AND(#REF!,"AAAAAHWv9IU=")</f>
        <v>#REF!</v>
      </c>
      <c r="EE177" t="e">
        <f>AND(#REF!,"AAAAAHWv9IY=")</f>
        <v>#REF!</v>
      </c>
      <c r="EF177" t="e">
        <f>AND(#REF!,"AAAAAHWv9Ic=")</f>
        <v>#REF!</v>
      </c>
      <c r="EG177" t="e">
        <f>AND(#REF!,"AAAAAHWv9Ig=")</f>
        <v>#REF!</v>
      </c>
      <c r="EH177" t="e">
        <f>IF(#REF!,"AAAAAHWv9Ik=",0)</f>
        <v>#REF!</v>
      </c>
      <c r="EI177" t="e">
        <f>AND(#REF!,"AAAAAHWv9Io=")</f>
        <v>#REF!</v>
      </c>
      <c r="EJ177" t="e">
        <f>AND(#REF!,"AAAAAHWv9Is=")</f>
        <v>#REF!</v>
      </c>
      <c r="EK177" t="e">
        <f>AND(#REF!,"AAAAAHWv9Iw=")</f>
        <v>#REF!</v>
      </c>
      <c r="EL177" t="e">
        <f>AND(#REF!,"AAAAAHWv9I0=")</f>
        <v>#REF!</v>
      </c>
      <c r="EM177" t="e">
        <f>AND(#REF!,"AAAAAHWv9I4=")</f>
        <v>#REF!</v>
      </c>
      <c r="EN177" t="e">
        <f>AND(#REF!,"AAAAAHWv9I8=")</f>
        <v>#REF!</v>
      </c>
      <c r="EO177" t="e">
        <f>AND(#REF!,"AAAAAHWv9JA=")</f>
        <v>#REF!</v>
      </c>
      <c r="EP177" t="e">
        <f>AND(#REF!,"AAAAAHWv9JE=")</f>
        <v>#REF!</v>
      </c>
      <c r="EQ177" t="e">
        <f>AND(#REF!,"AAAAAHWv9JI=")</f>
        <v>#REF!</v>
      </c>
      <c r="ER177" t="e">
        <f>AND(#REF!,"AAAAAHWv9JM=")</f>
        <v>#REF!</v>
      </c>
      <c r="ES177" t="e">
        <f>IF(#REF!,"AAAAAHWv9JQ=",0)</f>
        <v>#REF!</v>
      </c>
      <c r="ET177" t="e">
        <f>AND(#REF!,"AAAAAHWv9JU=")</f>
        <v>#REF!</v>
      </c>
      <c r="EU177" t="e">
        <f>AND(#REF!,"AAAAAHWv9JY=")</f>
        <v>#REF!</v>
      </c>
      <c r="EV177" t="e">
        <f>AND(#REF!,"AAAAAHWv9Jc=")</f>
        <v>#REF!</v>
      </c>
      <c r="EW177" t="e">
        <f>AND(#REF!,"AAAAAHWv9Jg=")</f>
        <v>#REF!</v>
      </c>
      <c r="EX177" t="e">
        <f>AND(#REF!,"AAAAAHWv9Jk=")</f>
        <v>#REF!</v>
      </c>
      <c r="EY177" t="e">
        <f>AND(#REF!,"AAAAAHWv9Jo=")</f>
        <v>#REF!</v>
      </c>
      <c r="EZ177" t="e">
        <f>AND(#REF!,"AAAAAHWv9Js=")</f>
        <v>#REF!</v>
      </c>
      <c r="FA177" t="e">
        <f>AND(#REF!,"AAAAAHWv9Jw=")</f>
        <v>#REF!</v>
      </c>
      <c r="FB177" t="e">
        <f>AND(#REF!,"AAAAAHWv9J0=")</f>
        <v>#REF!</v>
      </c>
      <c r="FC177" t="e">
        <f>AND(#REF!,"AAAAAHWv9J4=")</f>
        <v>#REF!</v>
      </c>
      <c r="FD177" t="e">
        <f>IF(#REF!,"AAAAAHWv9J8=",0)</f>
        <v>#REF!</v>
      </c>
      <c r="FE177" t="e">
        <f>AND(#REF!,"AAAAAHWv9KA=")</f>
        <v>#REF!</v>
      </c>
      <c r="FF177" t="e">
        <f>AND(#REF!,"AAAAAHWv9KE=")</f>
        <v>#REF!</v>
      </c>
      <c r="FG177" t="e">
        <f>AND(#REF!,"AAAAAHWv9KI=")</f>
        <v>#REF!</v>
      </c>
      <c r="FH177" t="e">
        <f>AND(#REF!,"AAAAAHWv9KM=")</f>
        <v>#REF!</v>
      </c>
      <c r="FI177" t="e">
        <f>AND(#REF!,"AAAAAHWv9KQ=")</f>
        <v>#REF!</v>
      </c>
      <c r="FJ177" t="e">
        <f>AND(#REF!,"AAAAAHWv9KU=")</f>
        <v>#REF!</v>
      </c>
      <c r="FK177" t="e">
        <f>AND(#REF!,"AAAAAHWv9KY=")</f>
        <v>#REF!</v>
      </c>
      <c r="FL177" t="e">
        <f>AND(#REF!,"AAAAAHWv9Kc=")</f>
        <v>#REF!</v>
      </c>
      <c r="FM177" t="e">
        <f>AND(#REF!,"AAAAAHWv9Kg=")</f>
        <v>#REF!</v>
      </c>
      <c r="FN177" t="e">
        <f>AND(#REF!,"AAAAAHWv9Kk=")</f>
        <v>#REF!</v>
      </c>
      <c r="FO177" t="e">
        <f>IF(#REF!,"AAAAAHWv9Ko=",0)</f>
        <v>#REF!</v>
      </c>
      <c r="FP177" t="e">
        <f>AND(#REF!,"AAAAAHWv9Ks=")</f>
        <v>#REF!</v>
      </c>
      <c r="FQ177" t="e">
        <f>AND(#REF!,"AAAAAHWv9Kw=")</f>
        <v>#REF!</v>
      </c>
      <c r="FR177" t="e">
        <f>AND(#REF!,"AAAAAHWv9K0=")</f>
        <v>#REF!</v>
      </c>
      <c r="FS177" t="e">
        <f>AND(#REF!,"AAAAAHWv9K4=")</f>
        <v>#REF!</v>
      </c>
      <c r="FT177" t="e">
        <f>AND(#REF!,"AAAAAHWv9K8=")</f>
        <v>#REF!</v>
      </c>
      <c r="FU177" t="e">
        <f>AND(#REF!,"AAAAAHWv9LA=")</f>
        <v>#REF!</v>
      </c>
      <c r="FV177" t="e">
        <f>AND(#REF!,"AAAAAHWv9LE=")</f>
        <v>#REF!</v>
      </c>
      <c r="FW177" t="e">
        <f>AND(#REF!,"AAAAAHWv9LI=")</f>
        <v>#REF!</v>
      </c>
      <c r="FX177" t="e">
        <f>AND(#REF!,"AAAAAHWv9LM=")</f>
        <v>#REF!</v>
      </c>
      <c r="FY177" t="e">
        <f>AND(#REF!,"AAAAAHWv9LQ=")</f>
        <v>#REF!</v>
      </c>
      <c r="FZ177" t="e">
        <f>IF(#REF!,"AAAAAHWv9LU=",0)</f>
        <v>#REF!</v>
      </c>
      <c r="GA177" t="e">
        <f>AND(#REF!,"AAAAAHWv9LY=")</f>
        <v>#REF!</v>
      </c>
      <c r="GB177" t="e">
        <f>AND(#REF!,"AAAAAHWv9Lc=")</f>
        <v>#REF!</v>
      </c>
      <c r="GC177" t="e">
        <f>AND(#REF!,"AAAAAHWv9Lg=")</f>
        <v>#REF!</v>
      </c>
      <c r="GD177" t="e">
        <f>AND(#REF!,"AAAAAHWv9Lk=")</f>
        <v>#REF!</v>
      </c>
      <c r="GE177" t="e">
        <f>AND(#REF!,"AAAAAHWv9Lo=")</f>
        <v>#REF!</v>
      </c>
      <c r="GF177" t="e">
        <f>AND(#REF!,"AAAAAHWv9Ls=")</f>
        <v>#REF!</v>
      </c>
      <c r="GG177" t="e">
        <f>AND(#REF!,"AAAAAHWv9Lw=")</f>
        <v>#REF!</v>
      </c>
      <c r="GH177" t="e">
        <f>AND(#REF!,"AAAAAHWv9L0=")</f>
        <v>#REF!</v>
      </c>
      <c r="GI177" t="e">
        <f>AND(#REF!,"AAAAAHWv9L4=")</f>
        <v>#REF!</v>
      </c>
      <c r="GJ177" t="e">
        <f>AND(#REF!,"AAAAAHWv9L8=")</f>
        <v>#REF!</v>
      </c>
      <c r="GK177" t="e">
        <f>IF(#REF!,"AAAAAHWv9MA=",0)</f>
        <v>#REF!</v>
      </c>
      <c r="GL177" t="e">
        <f>AND(#REF!,"AAAAAHWv9ME=")</f>
        <v>#REF!</v>
      </c>
      <c r="GM177" t="e">
        <f>AND(#REF!,"AAAAAHWv9MI=")</f>
        <v>#REF!</v>
      </c>
      <c r="GN177" t="e">
        <f>AND(#REF!,"AAAAAHWv9MM=")</f>
        <v>#REF!</v>
      </c>
      <c r="GO177" t="e">
        <f>AND(#REF!,"AAAAAHWv9MQ=")</f>
        <v>#REF!</v>
      </c>
      <c r="GP177" t="e">
        <f>AND(#REF!,"AAAAAHWv9MU=")</f>
        <v>#REF!</v>
      </c>
      <c r="GQ177" t="e">
        <f>AND(#REF!,"AAAAAHWv9MY=")</f>
        <v>#REF!</v>
      </c>
      <c r="GR177" t="e">
        <f>AND(#REF!,"AAAAAHWv9Mc=")</f>
        <v>#REF!</v>
      </c>
      <c r="GS177" t="e">
        <f>AND(#REF!,"AAAAAHWv9Mg=")</f>
        <v>#REF!</v>
      </c>
      <c r="GT177" t="e">
        <f>AND(#REF!,"AAAAAHWv9Mk=")</f>
        <v>#REF!</v>
      </c>
      <c r="GU177" t="e">
        <f>AND(#REF!,"AAAAAHWv9Mo=")</f>
        <v>#REF!</v>
      </c>
      <c r="GV177" t="e">
        <f>IF(#REF!,"AAAAAHWv9Ms=",0)</f>
        <v>#REF!</v>
      </c>
      <c r="GW177" t="e">
        <f>AND(#REF!,"AAAAAHWv9Mw=")</f>
        <v>#REF!</v>
      </c>
      <c r="GX177" t="e">
        <f>AND(#REF!,"AAAAAHWv9M0=")</f>
        <v>#REF!</v>
      </c>
      <c r="GY177" t="e">
        <f>AND(#REF!,"AAAAAHWv9M4=")</f>
        <v>#REF!</v>
      </c>
      <c r="GZ177" t="e">
        <f>AND(#REF!,"AAAAAHWv9M8=")</f>
        <v>#REF!</v>
      </c>
      <c r="HA177" t="e">
        <f>AND(#REF!,"AAAAAHWv9NA=")</f>
        <v>#REF!</v>
      </c>
      <c r="HB177" t="e">
        <f>AND(#REF!,"AAAAAHWv9NE=")</f>
        <v>#REF!</v>
      </c>
      <c r="HC177" t="e">
        <f>AND(#REF!,"AAAAAHWv9NI=")</f>
        <v>#REF!</v>
      </c>
      <c r="HD177" t="e">
        <f>AND(#REF!,"AAAAAHWv9NM=")</f>
        <v>#REF!</v>
      </c>
      <c r="HE177" t="e">
        <f>AND(#REF!,"AAAAAHWv9NQ=")</f>
        <v>#REF!</v>
      </c>
      <c r="HF177" t="e">
        <f>AND(#REF!,"AAAAAHWv9NU=")</f>
        <v>#REF!</v>
      </c>
      <c r="HG177" t="e">
        <f>IF(#REF!,"AAAAAHWv9NY=",0)</f>
        <v>#REF!</v>
      </c>
      <c r="HH177" t="e">
        <f>AND(#REF!,"AAAAAHWv9Nc=")</f>
        <v>#REF!</v>
      </c>
      <c r="HI177" t="e">
        <f>AND(#REF!,"AAAAAHWv9Ng=")</f>
        <v>#REF!</v>
      </c>
      <c r="HJ177" t="e">
        <f>AND(#REF!,"AAAAAHWv9Nk=")</f>
        <v>#REF!</v>
      </c>
      <c r="HK177" t="e">
        <f>AND(#REF!,"AAAAAHWv9No=")</f>
        <v>#REF!</v>
      </c>
      <c r="HL177" t="e">
        <f>AND(#REF!,"AAAAAHWv9Ns=")</f>
        <v>#REF!</v>
      </c>
      <c r="HM177" t="e">
        <f>AND(#REF!,"AAAAAHWv9Nw=")</f>
        <v>#REF!</v>
      </c>
      <c r="HN177" t="e">
        <f>AND(#REF!,"AAAAAHWv9N0=")</f>
        <v>#REF!</v>
      </c>
      <c r="HO177" t="e">
        <f>AND(#REF!,"AAAAAHWv9N4=")</f>
        <v>#REF!</v>
      </c>
      <c r="HP177" t="e">
        <f>AND(#REF!,"AAAAAHWv9N8=")</f>
        <v>#REF!</v>
      </c>
      <c r="HQ177" t="e">
        <f>AND(#REF!,"AAAAAHWv9OA=")</f>
        <v>#REF!</v>
      </c>
      <c r="HR177" t="e">
        <f>IF(#REF!,"AAAAAHWv9OE=",0)</f>
        <v>#REF!</v>
      </c>
      <c r="HS177" t="e">
        <f>AND(#REF!,"AAAAAHWv9OI=")</f>
        <v>#REF!</v>
      </c>
      <c r="HT177" t="e">
        <f>AND(#REF!,"AAAAAHWv9OM=")</f>
        <v>#REF!</v>
      </c>
      <c r="HU177" t="e">
        <f>AND(#REF!,"AAAAAHWv9OQ=")</f>
        <v>#REF!</v>
      </c>
      <c r="HV177" t="e">
        <f>AND(#REF!,"AAAAAHWv9OU=")</f>
        <v>#REF!</v>
      </c>
      <c r="HW177" t="e">
        <f>AND(#REF!,"AAAAAHWv9OY=")</f>
        <v>#REF!</v>
      </c>
      <c r="HX177" t="e">
        <f>AND(#REF!,"AAAAAHWv9Oc=")</f>
        <v>#REF!</v>
      </c>
      <c r="HY177" t="e">
        <f>AND(#REF!,"AAAAAHWv9Og=")</f>
        <v>#REF!</v>
      </c>
      <c r="HZ177" t="e">
        <f>AND(#REF!,"AAAAAHWv9Ok=")</f>
        <v>#REF!</v>
      </c>
      <c r="IA177" t="e">
        <f>AND(#REF!,"AAAAAHWv9Oo=")</f>
        <v>#REF!</v>
      </c>
      <c r="IB177" t="e">
        <f>AND(#REF!,"AAAAAHWv9Os=")</f>
        <v>#REF!</v>
      </c>
      <c r="IC177" t="e">
        <f>IF(#REF!,"AAAAAHWv9Ow=",0)</f>
        <v>#REF!</v>
      </c>
      <c r="ID177" t="e">
        <f>AND(#REF!,"AAAAAHWv9O0=")</f>
        <v>#REF!</v>
      </c>
      <c r="IE177" t="e">
        <f>AND(#REF!,"AAAAAHWv9O4=")</f>
        <v>#REF!</v>
      </c>
      <c r="IF177" t="e">
        <f>AND(#REF!,"AAAAAHWv9O8=")</f>
        <v>#REF!</v>
      </c>
      <c r="IG177" t="e">
        <f>AND(#REF!,"AAAAAHWv9PA=")</f>
        <v>#REF!</v>
      </c>
      <c r="IH177" t="e">
        <f>AND(#REF!,"AAAAAHWv9PE=")</f>
        <v>#REF!</v>
      </c>
      <c r="II177" t="e">
        <f>AND(#REF!,"AAAAAHWv9PI=")</f>
        <v>#REF!</v>
      </c>
      <c r="IJ177" t="e">
        <f>AND(#REF!,"AAAAAHWv9PM=")</f>
        <v>#REF!</v>
      </c>
      <c r="IK177" t="e">
        <f>AND(#REF!,"AAAAAHWv9PQ=")</f>
        <v>#REF!</v>
      </c>
      <c r="IL177" t="e">
        <f>AND(#REF!,"AAAAAHWv9PU=")</f>
        <v>#REF!</v>
      </c>
      <c r="IM177" t="e">
        <f>AND(#REF!,"AAAAAHWv9PY=")</f>
        <v>#REF!</v>
      </c>
      <c r="IN177" t="e">
        <f>IF(#REF!,"AAAAAHWv9Pc=",0)</f>
        <v>#REF!</v>
      </c>
      <c r="IO177" t="e">
        <f>AND(#REF!,"AAAAAHWv9Pg=")</f>
        <v>#REF!</v>
      </c>
      <c r="IP177" t="e">
        <f>AND(#REF!,"AAAAAHWv9Pk=")</f>
        <v>#REF!</v>
      </c>
      <c r="IQ177" t="e">
        <f>AND(#REF!,"AAAAAHWv9Po=")</f>
        <v>#REF!</v>
      </c>
      <c r="IR177" t="e">
        <f>AND(#REF!,"AAAAAHWv9Ps=")</f>
        <v>#REF!</v>
      </c>
      <c r="IS177" t="e">
        <f>AND(#REF!,"AAAAAHWv9Pw=")</f>
        <v>#REF!</v>
      </c>
      <c r="IT177" t="e">
        <f>AND(#REF!,"AAAAAHWv9P0=")</f>
        <v>#REF!</v>
      </c>
      <c r="IU177" t="e">
        <f>AND(#REF!,"AAAAAHWv9P4=")</f>
        <v>#REF!</v>
      </c>
      <c r="IV177" t="e">
        <f>AND(#REF!,"AAAAAHWv9P8=")</f>
        <v>#REF!</v>
      </c>
    </row>
    <row r="178" spans="1:256" x14ac:dyDescent="0.25">
      <c r="A178" t="e">
        <f>AND(#REF!,"AAAAAG/y3wA=")</f>
        <v>#REF!</v>
      </c>
      <c r="B178" t="e">
        <f>AND(#REF!,"AAAAAG/y3wE=")</f>
        <v>#REF!</v>
      </c>
      <c r="C178" t="e">
        <f>IF(#REF!,"AAAAAG/y3wI=",0)</f>
        <v>#REF!</v>
      </c>
      <c r="D178" t="e">
        <f>AND(#REF!,"AAAAAG/y3wM=")</f>
        <v>#REF!</v>
      </c>
      <c r="E178" t="e">
        <f>AND(#REF!,"AAAAAG/y3wQ=")</f>
        <v>#REF!</v>
      </c>
      <c r="F178" t="e">
        <f>AND(#REF!,"AAAAAG/y3wU=")</f>
        <v>#REF!</v>
      </c>
      <c r="G178" t="e">
        <f>AND(#REF!,"AAAAAG/y3wY=")</f>
        <v>#REF!</v>
      </c>
      <c r="H178" t="e">
        <f>AND(#REF!,"AAAAAG/y3wc=")</f>
        <v>#REF!</v>
      </c>
      <c r="I178" t="e">
        <f>AND(#REF!,"AAAAAG/y3wg=")</f>
        <v>#REF!</v>
      </c>
      <c r="J178" t="e">
        <f>AND(#REF!,"AAAAAG/y3wk=")</f>
        <v>#REF!</v>
      </c>
      <c r="K178" t="e">
        <f>AND(#REF!,"AAAAAG/y3wo=")</f>
        <v>#REF!</v>
      </c>
      <c r="L178" t="e">
        <f>AND(#REF!,"AAAAAG/y3ws=")</f>
        <v>#REF!</v>
      </c>
      <c r="M178" t="e">
        <f>AND(#REF!,"AAAAAG/y3ww=")</f>
        <v>#REF!</v>
      </c>
      <c r="N178" t="e">
        <f>IF(#REF!,"AAAAAG/y3w0=",0)</f>
        <v>#REF!</v>
      </c>
      <c r="O178" t="e">
        <f>AND(#REF!,"AAAAAG/y3w4=")</f>
        <v>#REF!</v>
      </c>
      <c r="P178" t="e">
        <f>AND(#REF!,"AAAAAG/y3w8=")</f>
        <v>#REF!</v>
      </c>
      <c r="Q178" t="e">
        <f>AND(#REF!,"AAAAAG/y3xA=")</f>
        <v>#REF!</v>
      </c>
      <c r="R178" t="e">
        <f>AND(#REF!,"AAAAAG/y3xE=")</f>
        <v>#REF!</v>
      </c>
      <c r="S178" t="e">
        <f>AND(#REF!,"AAAAAG/y3xI=")</f>
        <v>#REF!</v>
      </c>
      <c r="T178" t="e">
        <f>AND(#REF!,"AAAAAG/y3xM=")</f>
        <v>#REF!</v>
      </c>
      <c r="U178" t="e">
        <f>AND(#REF!,"AAAAAG/y3xQ=")</f>
        <v>#REF!</v>
      </c>
      <c r="V178" t="e">
        <f>AND(#REF!,"AAAAAG/y3xU=")</f>
        <v>#REF!</v>
      </c>
      <c r="W178" t="e">
        <f>AND(#REF!,"AAAAAG/y3xY=")</f>
        <v>#REF!</v>
      </c>
      <c r="X178" t="e">
        <f>AND(#REF!,"AAAAAG/y3xc=")</f>
        <v>#REF!</v>
      </c>
      <c r="Y178" t="e">
        <f>IF(#REF!,"AAAAAG/y3xg=",0)</f>
        <v>#REF!</v>
      </c>
      <c r="Z178" t="e">
        <f>AND(#REF!,"AAAAAG/y3xk=")</f>
        <v>#REF!</v>
      </c>
      <c r="AA178" t="e">
        <f>AND(#REF!,"AAAAAG/y3xo=")</f>
        <v>#REF!</v>
      </c>
      <c r="AB178" t="e">
        <f>AND(#REF!,"AAAAAG/y3xs=")</f>
        <v>#REF!</v>
      </c>
      <c r="AC178" t="e">
        <f>AND(#REF!,"AAAAAG/y3xw=")</f>
        <v>#REF!</v>
      </c>
      <c r="AD178" t="e">
        <f>AND(#REF!,"AAAAAG/y3x0=")</f>
        <v>#REF!</v>
      </c>
      <c r="AE178" t="e">
        <f>AND(#REF!,"AAAAAG/y3x4=")</f>
        <v>#REF!</v>
      </c>
      <c r="AF178" t="e">
        <f>AND(#REF!,"AAAAAG/y3x8=")</f>
        <v>#REF!</v>
      </c>
      <c r="AG178" t="e">
        <f>AND(#REF!,"AAAAAG/y3yA=")</f>
        <v>#REF!</v>
      </c>
      <c r="AH178" t="e">
        <f>AND(#REF!,"AAAAAG/y3yE=")</f>
        <v>#REF!</v>
      </c>
      <c r="AI178" t="e">
        <f>AND(#REF!,"AAAAAG/y3yI=")</f>
        <v>#REF!</v>
      </c>
      <c r="AJ178" t="e">
        <f>IF(#REF!,"AAAAAG/y3yM=",0)</f>
        <v>#REF!</v>
      </c>
      <c r="AK178" t="e">
        <f>AND(#REF!,"AAAAAG/y3yQ=")</f>
        <v>#REF!</v>
      </c>
      <c r="AL178" t="e">
        <f>AND(#REF!,"AAAAAG/y3yU=")</f>
        <v>#REF!</v>
      </c>
      <c r="AM178" t="e">
        <f>AND(#REF!,"AAAAAG/y3yY=")</f>
        <v>#REF!</v>
      </c>
      <c r="AN178" t="e">
        <f>AND(#REF!,"AAAAAG/y3yc=")</f>
        <v>#REF!</v>
      </c>
      <c r="AO178" t="e">
        <f>AND(#REF!,"AAAAAG/y3yg=")</f>
        <v>#REF!</v>
      </c>
      <c r="AP178" t="e">
        <f>AND(#REF!,"AAAAAG/y3yk=")</f>
        <v>#REF!</v>
      </c>
      <c r="AQ178" t="e">
        <f>AND(#REF!,"AAAAAG/y3yo=")</f>
        <v>#REF!</v>
      </c>
      <c r="AR178" t="e">
        <f>AND(#REF!,"AAAAAG/y3ys=")</f>
        <v>#REF!</v>
      </c>
      <c r="AS178" t="e">
        <f>AND(#REF!,"AAAAAG/y3yw=")</f>
        <v>#REF!</v>
      </c>
      <c r="AT178" t="e">
        <f>AND(#REF!,"AAAAAG/y3y0=")</f>
        <v>#REF!</v>
      </c>
      <c r="AU178" t="e">
        <f>IF(#REF!,"AAAAAG/y3y4=",0)</f>
        <v>#REF!</v>
      </c>
      <c r="AV178" t="e">
        <f>AND(#REF!,"AAAAAG/y3y8=")</f>
        <v>#REF!</v>
      </c>
      <c r="AW178" t="e">
        <f>AND(#REF!,"AAAAAG/y3zA=")</f>
        <v>#REF!</v>
      </c>
      <c r="AX178" t="e">
        <f>AND(#REF!,"AAAAAG/y3zE=")</f>
        <v>#REF!</v>
      </c>
      <c r="AY178" t="e">
        <f>AND(#REF!,"AAAAAG/y3zI=")</f>
        <v>#REF!</v>
      </c>
      <c r="AZ178" t="e">
        <f>AND(#REF!,"AAAAAG/y3zM=")</f>
        <v>#REF!</v>
      </c>
      <c r="BA178" t="e">
        <f>AND(#REF!,"AAAAAG/y3zQ=")</f>
        <v>#REF!</v>
      </c>
      <c r="BB178" t="e">
        <f>AND(#REF!,"AAAAAG/y3zU=")</f>
        <v>#REF!</v>
      </c>
      <c r="BC178" t="e">
        <f>AND(#REF!,"AAAAAG/y3zY=")</f>
        <v>#REF!</v>
      </c>
      <c r="BD178" t="e">
        <f>AND(#REF!,"AAAAAG/y3zc=")</f>
        <v>#REF!</v>
      </c>
      <c r="BE178" t="e">
        <f>AND(#REF!,"AAAAAG/y3zg=")</f>
        <v>#REF!</v>
      </c>
      <c r="BF178" t="e">
        <f>IF(#REF!,"AAAAAG/y3zk=",0)</f>
        <v>#REF!</v>
      </c>
      <c r="BG178" t="e">
        <f>AND(#REF!,"AAAAAG/y3zo=")</f>
        <v>#REF!</v>
      </c>
      <c r="BH178" t="e">
        <f>AND(#REF!,"AAAAAG/y3zs=")</f>
        <v>#REF!</v>
      </c>
      <c r="BI178" t="e">
        <f>AND(#REF!,"AAAAAG/y3zw=")</f>
        <v>#REF!</v>
      </c>
      <c r="BJ178" t="e">
        <f>AND(#REF!,"AAAAAG/y3z0=")</f>
        <v>#REF!</v>
      </c>
      <c r="BK178" t="e">
        <f>AND(#REF!,"AAAAAG/y3z4=")</f>
        <v>#REF!</v>
      </c>
      <c r="BL178" t="e">
        <f>AND(#REF!,"AAAAAG/y3z8=")</f>
        <v>#REF!</v>
      </c>
      <c r="BM178" t="e">
        <f>AND(#REF!,"AAAAAG/y30A=")</f>
        <v>#REF!</v>
      </c>
      <c r="BN178" t="e">
        <f>AND(#REF!,"AAAAAG/y30E=")</f>
        <v>#REF!</v>
      </c>
      <c r="BO178" t="e">
        <f>AND(#REF!,"AAAAAG/y30I=")</f>
        <v>#REF!</v>
      </c>
      <c r="BP178" t="e">
        <f>AND(#REF!,"AAAAAG/y30M=")</f>
        <v>#REF!</v>
      </c>
      <c r="BQ178" t="e">
        <f>IF(#REF!,"AAAAAG/y30Q=",0)</f>
        <v>#REF!</v>
      </c>
      <c r="BR178" t="e">
        <f>AND(#REF!,"AAAAAG/y30U=")</f>
        <v>#REF!</v>
      </c>
      <c r="BS178" t="e">
        <f>AND(#REF!,"AAAAAG/y30Y=")</f>
        <v>#REF!</v>
      </c>
      <c r="BT178" t="e">
        <f>AND(#REF!,"AAAAAG/y30c=")</f>
        <v>#REF!</v>
      </c>
      <c r="BU178" t="e">
        <f>AND(#REF!,"AAAAAG/y30g=")</f>
        <v>#REF!</v>
      </c>
      <c r="BV178" t="e">
        <f>AND(#REF!,"AAAAAG/y30k=")</f>
        <v>#REF!</v>
      </c>
      <c r="BW178" t="e">
        <f>AND(#REF!,"AAAAAG/y30o=")</f>
        <v>#REF!</v>
      </c>
      <c r="BX178" t="e">
        <f>AND(#REF!,"AAAAAG/y30s=")</f>
        <v>#REF!</v>
      </c>
      <c r="BY178" t="e">
        <f>AND(#REF!,"AAAAAG/y30w=")</f>
        <v>#REF!</v>
      </c>
      <c r="BZ178" t="e">
        <f>AND(#REF!,"AAAAAG/y300=")</f>
        <v>#REF!</v>
      </c>
      <c r="CA178" t="e">
        <f>AND(#REF!,"AAAAAG/y304=")</f>
        <v>#REF!</v>
      </c>
      <c r="CB178" t="e">
        <f>IF(#REF!,"AAAAAG/y308=",0)</f>
        <v>#REF!</v>
      </c>
      <c r="CC178" t="e">
        <f>AND(#REF!,"AAAAAG/y31A=")</f>
        <v>#REF!</v>
      </c>
      <c r="CD178" t="e">
        <f>AND(#REF!,"AAAAAG/y31E=")</f>
        <v>#REF!</v>
      </c>
      <c r="CE178" t="e">
        <f>AND(#REF!,"AAAAAG/y31I=")</f>
        <v>#REF!</v>
      </c>
      <c r="CF178" t="e">
        <f>AND(#REF!,"AAAAAG/y31M=")</f>
        <v>#REF!</v>
      </c>
      <c r="CG178" t="e">
        <f>AND(#REF!,"AAAAAG/y31Q=")</f>
        <v>#REF!</v>
      </c>
      <c r="CH178" t="e">
        <f>AND(#REF!,"AAAAAG/y31U=")</f>
        <v>#REF!</v>
      </c>
      <c r="CI178" t="e">
        <f>AND(#REF!,"AAAAAG/y31Y=")</f>
        <v>#REF!</v>
      </c>
      <c r="CJ178" t="e">
        <f>AND(#REF!,"AAAAAG/y31c=")</f>
        <v>#REF!</v>
      </c>
      <c r="CK178" t="e">
        <f>AND(#REF!,"AAAAAG/y31g=")</f>
        <v>#REF!</v>
      </c>
      <c r="CL178" t="e">
        <f>AND(#REF!,"AAAAAG/y31k=")</f>
        <v>#REF!</v>
      </c>
      <c r="CM178" t="e">
        <f>IF(#REF!,"AAAAAG/y31o=",0)</f>
        <v>#REF!</v>
      </c>
      <c r="CN178" t="e">
        <f>AND(#REF!,"AAAAAG/y31s=")</f>
        <v>#REF!</v>
      </c>
      <c r="CO178" t="e">
        <f>AND(#REF!,"AAAAAG/y31w=")</f>
        <v>#REF!</v>
      </c>
      <c r="CP178" t="e">
        <f>AND(#REF!,"AAAAAG/y310=")</f>
        <v>#REF!</v>
      </c>
      <c r="CQ178" t="e">
        <f>AND(#REF!,"AAAAAG/y314=")</f>
        <v>#REF!</v>
      </c>
      <c r="CR178" t="e">
        <f>AND(#REF!,"AAAAAG/y318=")</f>
        <v>#REF!</v>
      </c>
      <c r="CS178" t="e">
        <f>AND(#REF!,"AAAAAG/y32A=")</f>
        <v>#REF!</v>
      </c>
      <c r="CT178" t="e">
        <f>AND(#REF!,"AAAAAG/y32E=")</f>
        <v>#REF!</v>
      </c>
      <c r="CU178" t="e">
        <f>AND(#REF!,"AAAAAG/y32I=")</f>
        <v>#REF!</v>
      </c>
      <c r="CV178" t="e">
        <f>AND(#REF!,"AAAAAG/y32M=")</f>
        <v>#REF!</v>
      </c>
      <c r="CW178" t="e">
        <f>AND(#REF!,"AAAAAG/y32Q=")</f>
        <v>#REF!</v>
      </c>
      <c r="CX178" t="e">
        <f>IF(#REF!,"AAAAAG/y32U=",0)</f>
        <v>#REF!</v>
      </c>
      <c r="CY178" t="e">
        <f>AND(#REF!,"AAAAAG/y32Y=")</f>
        <v>#REF!</v>
      </c>
      <c r="CZ178" t="e">
        <f>AND(#REF!,"AAAAAG/y32c=")</f>
        <v>#REF!</v>
      </c>
      <c r="DA178" t="e">
        <f>AND(#REF!,"AAAAAG/y32g=")</f>
        <v>#REF!</v>
      </c>
      <c r="DB178" t="e">
        <f>AND(#REF!,"AAAAAG/y32k=")</f>
        <v>#REF!</v>
      </c>
      <c r="DC178" t="e">
        <f>AND(#REF!,"AAAAAG/y32o=")</f>
        <v>#REF!</v>
      </c>
      <c r="DD178" t="e">
        <f>AND(#REF!,"AAAAAG/y32s=")</f>
        <v>#REF!</v>
      </c>
      <c r="DE178" t="e">
        <f>AND(#REF!,"AAAAAG/y32w=")</f>
        <v>#REF!</v>
      </c>
      <c r="DF178" t="e">
        <f>AND(#REF!,"AAAAAG/y320=")</f>
        <v>#REF!</v>
      </c>
      <c r="DG178" t="e">
        <f>AND(#REF!,"AAAAAG/y324=")</f>
        <v>#REF!</v>
      </c>
      <c r="DH178" t="e">
        <f>AND(#REF!,"AAAAAG/y328=")</f>
        <v>#REF!</v>
      </c>
      <c r="DI178" t="e">
        <f>IF(#REF!,"AAAAAG/y33A=",0)</f>
        <v>#REF!</v>
      </c>
      <c r="DJ178" t="e">
        <f>AND(#REF!,"AAAAAG/y33E=")</f>
        <v>#REF!</v>
      </c>
      <c r="DK178" t="e">
        <f>AND(#REF!,"AAAAAG/y33I=")</f>
        <v>#REF!</v>
      </c>
      <c r="DL178" t="e">
        <f>AND(#REF!,"AAAAAG/y33M=")</f>
        <v>#REF!</v>
      </c>
      <c r="DM178" t="e">
        <f>AND(#REF!,"AAAAAG/y33Q=")</f>
        <v>#REF!</v>
      </c>
      <c r="DN178" t="e">
        <f>AND(#REF!,"AAAAAG/y33U=")</f>
        <v>#REF!</v>
      </c>
      <c r="DO178" t="e">
        <f>AND(#REF!,"AAAAAG/y33Y=")</f>
        <v>#REF!</v>
      </c>
      <c r="DP178" t="e">
        <f>AND(#REF!,"AAAAAG/y33c=")</f>
        <v>#REF!</v>
      </c>
      <c r="DQ178" t="e">
        <f>AND(#REF!,"AAAAAG/y33g=")</f>
        <v>#REF!</v>
      </c>
      <c r="DR178" t="e">
        <f>AND(#REF!,"AAAAAG/y33k=")</f>
        <v>#REF!</v>
      </c>
      <c r="DS178" t="e">
        <f>AND(#REF!,"AAAAAG/y33o=")</f>
        <v>#REF!</v>
      </c>
      <c r="DT178" t="e">
        <f>IF(#REF!,"AAAAAG/y33s=",0)</f>
        <v>#REF!</v>
      </c>
      <c r="DU178" t="e">
        <f>AND(#REF!,"AAAAAG/y33w=")</f>
        <v>#REF!</v>
      </c>
      <c r="DV178" t="e">
        <f>AND(#REF!,"AAAAAG/y330=")</f>
        <v>#REF!</v>
      </c>
      <c r="DW178" t="e">
        <f>AND(#REF!,"AAAAAG/y334=")</f>
        <v>#REF!</v>
      </c>
      <c r="DX178" t="e">
        <f>AND(#REF!,"AAAAAG/y338=")</f>
        <v>#REF!</v>
      </c>
      <c r="DY178" t="e">
        <f>AND(#REF!,"AAAAAG/y34A=")</f>
        <v>#REF!</v>
      </c>
      <c r="DZ178" t="e">
        <f>AND(#REF!,"AAAAAG/y34E=")</f>
        <v>#REF!</v>
      </c>
      <c r="EA178" t="e">
        <f>AND(#REF!,"AAAAAG/y34I=")</f>
        <v>#REF!</v>
      </c>
      <c r="EB178" t="e">
        <f>AND(#REF!,"AAAAAG/y34M=")</f>
        <v>#REF!</v>
      </c>
      <c r="EC178" t="e">
        <f>AND(#REF!,"AAAAAG/y34Q=")</f>
        <v>#REF!</v>
      </c>
      <c r="ED178" t="e">
        <f>AND(#REF!,"AAAAAG/y34U=")</f>
        <v>#REF!</v>
      </c>
      <c r="EE178" t="e">
        <f>IF(#REF!,"AAAAAG/y34Y=",0)</f>
        <v>#REF!</v>
      </c>
      <c r="EF178" t="e">
        <f>AND(#REF!,"AAAAAG/y34c=")</f>
        <v>#REF!</v>
      </c>
      <c r="EG178" t="e">
        <f>AND(#REF!,"AAAAAG/y34g=")</f>
        <v>#REF!</v>
      </c>
      <c r="EH178" t="e">
        <f>AND(#REF!,"AAAAAG/y34k=")</f>
        <v>#REF!</v>
      </c>
      <c r="EI178" t="e">
        <f>AND(#REF!,"AAAAAG/y34o=")</f>
        <v>#REF!</v>
      </c>
      <c r="EJ178" t="e">
        <f>AND(#REF!,"AAAAAG/y34s=")</f>
        <v>#REF!</v>
      </c>
      <c r="EK178" t="e">
        <f>AND(#REF!,"AAAAAG/y34w=")</f>
        <v>#REF!</v>
      </c>
      <c r="EL178" t="e">
        <f>AND(#REF!,"AAAAAG/y340=")</f>
        <v>#REF!</v>
      </c>
      <c r="EM178" t="e">
        <f>AND(#REF!,"AAAAAG/y344=")</f>
        <v>#REF!</v>
      </c>
      <c r="EN178" t="e">
        <f>AND(#REF!,"AAAAAG/y348=")</f>
        <v>#REF!</v>
      </c>
      <c r="EO178" t="e">
        <f>AND(#REF!,"AAAAAG/y35A=")</f>
        <v>#REF!</v>
      </c>
      <c r="EP178" t="e">
        <f>IF(#REF!,"AAAAAG/y35E=",0)</f>
        <v>#REF!</v>
      </c>
      <c r="EQ178" t="e">
        <f>AND(#REF!,"AAAAAG/y35I=")</f>
        <v>#REF!</v>
      </c>
      <c r="ER178" t="e">
        <f>AND(#REF!,"AAAAAG/y35M=")</f>
        <v>#REF!</v>
      </c>
      <c r="ES178" t="e">
        <f>AND(#REF!,"AAAAAG/y35Q=")</f>
        <v>#REF!</v>
      </c>
      <c r="ET178" t="e">
        <f>AND(#REF!,"AAAAAG/y35U=")</f>
        <v>#REF!</v>
      </c>
      <c r="EU178" t="e">
        <f>AND(#REF!,"AAAAAG/y35Y=")</f>
        <v>#REF!</v>
      </c>
      <c r="EV178" t="e">
        <f>AND(#REF!,"AAAAAG/y35c=")</f>
        <v>#REF!</v>
      </c>
      <c r="EW178" t="e">
        <f>AND(#REF!,"AAAAAG/y35g=")</f>
        <v>#REF!</v>
      </c>
      <c r="EX178" t="e">
        <f>AND(#REF!,"AAAAAG/y35k=")</f>
        <v>#REF!</v>
      </c>
      <c r="EY178" t="e">
        <f>AND(#REF!,"AAAAAG/y35o=")</f>
        <v>#REF!</v>
      </c>
      <c r="EZ178" t="e">
        <f>AND(#REF!,"AAAAAG/y35s=")</f>
        <v>#REF!</v>
      </c>
      <c r="FA178" t="e">
        <f>IF(#REF!,"AAAAAG/y35w=",0)</f>
        <v>#REF!</v>
      </c>
      <c r="FB178" t="e">
        <f>AND(#REF!,"AAAAAG/y350=")</f>
        <v>#REF!</v>
      </c>
      <c r="FC178" t="e">
        <f>AND(#REF!,"AAAAAG/y354=")</f>
        <v>#REF!</v>
      </c>
      <c r="FD178" t="e">
        <f>AND(#REF!,"AAAAAG/y358=")</f>
        <v>#REF!</v>
      </c>
      <c r="FE178" t="e">
        <f>AND(#REF!,"AAAAAG/y36A=")</f>
        <v>#REF!</v>
      </c>
      <c r="FF178" t="e">
        <f>AND(#REF!,"AAAAAG/y36E=")</f>
        <v>#REF!</v>
      </c>
      <c r="FG178" t="e">
        <f>AND(#REF!,"AAAAAG/y36I=")</f>
        <v>#REF!</v>
      </c>
      <c r="FH178" t="e">
        <f>AND(#REF!,"AAAAAG/y36M=")</f>
        <v>#REF!</v>
      </c>
      <c r="FI178" t="e">
        <f>AND(#REF!,"AAAAAG/y36Q=")</f>
        <v>#REF!</v>
      </c>
      <c r="FJ178" t="e">
        <f>AND(#REF!,"AAAAAG/y36U=")</f>
        <v>#REF!</v>
      </c>
      <c r="FK178" t="e">
        <f>AND(#REF!,"AAAAAG/y36Y=")</f>
        <v>#REF!</v>
      </c>
      <c r="FL178" t="e">
        <f>IF(#REF!,"AAAAAG/y36c=",0)</f>
        <v>#REF!</v>
      </c>
      <c r="FM178" t="e">
        <f>AND(#REF!,"AAAAAG/y36g=")</f>
        <v>#REF!</v>
      </c>
      <c r="FN178" t="e">
        <f>AND(#REF!,"AAAAAG/y36k=")</f>
        <v>#REF!</v>
      </c>
      <c r="FO178" t="e">
        <f>AND(#REF!,"AAAAAG/y36o=")</f>
        <v>#REF!</v>
      </c>
      <c r="FP178" t="e">
        <f>AND(#REF!,"AAAAAG/y36s=")</f>
        <v>#REF!</v>
      </c>
      <c r="FQ178" t="e">
        <f>AND(#REF!,"AAAAAG/y36w=")</f>
        <v>#REF!</v>
      </c>
      <c r="FR178" t="e">
        <f>AND(#REF!,"AAAAAG/y360=")</f>
        <v>#REF!</v>
      </c>
      <c r="FS178" t="e">
        <f>AND(#REF!,"AAAAAG/y364=")</f>
        <v>#REF!</v>
      </c>
      <c r="FT178" t="e">
        <f>AND(#REF!,"AAAAAG/y368=")</f>
        <v>#REF!</v>
      </c>
      <c r="FU178" t="e">
        <f>AND(#REF!,"AAAAAG/y37A=")</f>
        <v>#REF!</v>
      </c>
      <c r="FV178" t="e">
        <f>AND(#REF!,"AAAAAG/y37E=")</f>
        <v>#REF!</v>
      </c>
      <c r="FW178" t="e">
        <f>IF(#REF!,"AAAAAG/y37I=",0)</f>
        <v>#REF!</v>
      </c>
      <c r="FX178" t="e">
        <f>AND(#REF!,"AAAAAG/y37M=")</f>
        <v>#REF!</v>
      </c>
      <c r="FY178" t="e">
        <f>AND(#REF!,"AAAAAG/y37Q=")</f>
        <v>#REF!</v>
      </c>
      <c r="FZ178" t="e">
        <f>AND(#REF!,"AAAAAG/y37U=")</f>
        <v>#REF!</v>
      </c>
      <c r="GA178" t="e">
        <f>AND(#REF!,"AAAAAG/y37Y=")</f>
        <v>#REF!</v>
      </c>
      <c r="GB178" t="e">
        <f>AND(#REF!,"AAAAAG/y37c=")</f>
        <v>#REF!</v>
      </c>
      <c r="GC178" t="e">
        <f>AND(#REF!,"AAAAAG/y37g=")</f>
        <v>#REF!</v>
      </c>
      <c r="GD178" t="e">
        <f>AND(#REF!,"AAAAAG/y37k=")</f>
        <v>#REF!</v>
      </c>
      <c r="GE178" t="e">
        <f>AND(#REF!,"AAAAAG/y37o=")</f>
        <v>#REF!</v>
      </c>
      <c r="GF178" t="e">
        <f>AND(#REF!,"AAAAAG/y37s=")</f>
        <v>#REF!</v>
      </c>
      <c r="GG178" t="e">
        <f>AND(#REF!,"AAAAAG/y37w=")</f>
        <v>#REF!</v>
      </c>
      <c r="GH178" t="e">
        <f>IF(#REF!,"AAAAAG/y370=",0)</f>
        <v>#REF!</v>
      </c>
      <c r="GI178" t="e">
        <f>AND(#REF!,"AAAAAG/y374=")</f>
        <v>#REF!</v>
      </c>
      <c r="GJ178" t="e">
        <f>AND(#REF!,"AAAAAG/y378=")</f>
        <v>#REF!</v>
      </c>
      <c r="GK178" t="e">
        <f>AND(#REF!,"AAAAAG/y38A=")</f>
        <v>#REF!</v>
      </c>
      <c r="GL178" t="e">
        <f>AND(#REF!,"AAAAAG/y38E=")</f>
        <v>#REF!</v>
      </c>
      <c r="GM178" t="e">
        <f>AND(#REF!,"AAAAAG/y38I=")</f>
        <v>#REF!</v>
      </c>
      <c r="GN178" t="e">
        <f>AND(#REF!,"AAAAAG/y38M=")</f>
        <v>#REF!</v>
      </c>
      <c r="GO178" t="e">
        <f>AND(#REF!,"AAAAAG/y38Q=")</f>
        <v>#REF!</v>
      </c>
      <c r="GP178" t="e">
        <f>AND(#REF!,"AAAAAG/y38U=")</f>
        <v>#REF!</v>
      </c>
      <c r="GQ178" t="e">
        <f>AND(#REF!,"AAAAAG/y38Y=")</f>
        <v>#REF!</v>
      </c>
      <c r="GR178" t="e">
        <f>AND(#REF!,"AAAAAG/y38c=")</f>
        <v>#REF!</v>
      </c>
      <c r="GS178" t="e">
        <f>IF(#REF!,"AAAAAG/y38g=",0)</f>
        <v>#REF!</v>
      </c>
      <c r="GT178" t="e">
        <f>AND(#REF!,"AAAAAG/y38k=")</f>
        <v>#REF!</v>
      </c>
      <c r="GU178" t="e">
        <f>AND(#REF!,"AAAAAG/y38o=")</f>
        <v>#REF!</v>
      </c>
      <c r="GV178" t="e">
        <f>AND(#REF!,"AAAAAG/y38s=")</f>
        <v>#REF!</v>
      </c>
      <c r="GW178" t="e">
        <f>AND(#REF!,"AAAAAG/y38w=")</f>
        <v>#REF!</v>
      </c>
      <c r="GX178" t="e">
        <f>AND(#REF!,"AAAAAG/y380=")</f>
        <v>#REF!</v>
      </c>
      <c r="GY178" t="e">
        <f>AND(#REF!,"AAAAAG/y384=")</f>
        <v>#REF!</v>
      </c>
      <c r="GZ178" t="e">
        <f>AND(#REF!,"AAAAAG/y388=")</f>
        <v>#REF!</v>
      </c>
      <c r="HA178" t="e">
        <f>AND(#REF!,"AAAAAG/y39A=")</f>
        <v>#REF!</v>
      </c>
      <c r="HB178" t="e">
        <f>AND(#REF!,"AAAAAG/y39E=")</f>
        <v>#REF!</v>
      </c>
      <c r="HC178" t="e">
        <f>AND(#REF!,"AAAAAG/y39I=")</f>
        <v>#REF!</v>
      </c>
      <c r="HD178" t="e">
        <f>IF(#REF!,"AAAAAG/y39M=",0)</f>
        <v>#REF!</v>
      </c>
      <c r="HE178" t="e">
        <f>AND(#REF!,"AAAAAG/y39Q=")</f>
        <v>#REF!</v>
      </c>
      <c r="HF178" t="e">
        <f>AND(#REF!,"AAAAAG/y39U=")</f>
        <v>#REF!</v>
      </c>
      <c r="HG178" t="e">
        <f>AND(#REF!,"AAAAAG/y39Y=")</f>
        <v>#REF!</v>
      </c>
      <c r="HH178" t="e">
        <f>AND(#REF!,"AAAAAG/y39c=")</f>
        <v>#REF!</v>
      </c>
      <c r="HI178" t="e">
        <f>AND(#REF!,"AAAAAG/y39g=")</f>
        <v>#REF!</v>
      </c>
      <c r="HJ178" t="e">
        <f>AND(#REF!,"AAAAAG/y39k=")</f>
        <v>#REF!</v>
      </c>
      <c r="HK178" t="e">
        <f>AND(#REF!,"AAAAAG/y39o=")</f>
        <v>#REF!</v>
      </c>
      <c r="HL178" t="e">
        <f>AND(#REF!,"AAAAAG/y39s=")</f>
        <v>#REF!</v>
      </c>
      <c r="HM178" t="e">
        <f>AND(#REF!,"AAAAAG/y39w=")</f>
        <v>#REF!</v>
      </c>
      <c r="HN178" t="e">
        <f>AND(#REF!,"AAAAAG/y390=")</f>
        <v>#REF!</v>
      </c>
      <c r="HO178" t="e">
        <f>IF(#REF!,"AAAAAG/y394=",0)</f>
        <v>#REF!</v>
      </c>
      <c r="HP178" t="e">
        <f>AND(#REF!,"AAAAAG/y398=")</f>
        <v>#REF!</v>
      </c>
      <c r="HQ178" t="e">
        <f>AND(#REF!,"AAAAAG/y3+A=")</f>
        <v>#REF!</v>
      </c>
      <c r="HR178" t="e">
        <f>AND(#REF!,"AAAAAG/y3+E=")</f>
        <v>#REF!</v>
      </c>
      <c r="HS178" t="e">
        <f>AND(#REF!,"AAAAAG/y3+I=")</f>
        <v>#REF!</v>
      </c>
      <c r="HT178" t="e">
        <f>AND(#REF!,"AAAAAG/y3+M=")</f>
        <v>#REF!</v>
      </c>
      <c r="HU178" t="e">
        <f>AND(#REF!,"AAAAAG/y3+Q=")</f>
        <v>#REF!</v>
      </c>
      <c r="HV178" t="e">
        <f>AND(#REF!,"AAAAAG/y3+U=")</f>
        <v>#REF!</v>
      </c>
      <c r="HW178" t="e">
        <f>AND(#REF!,"AAAAAG/y3+Y=")</f>
        <v>#REF!</v>
      </c>
      <c r="HX178" t="e">
        <f>AND(#REF!,"AAAAAG/y3+c=")</f>
        <v>#REF!</v>
      </c>
      <c r="HY178" t="e">
        <f>AND(#REF!,"AAAAAG/y3+g=")</f>
        <v>#REF!</v>
      </c>
      <c r="HZ178" t="e">
        <f>IF(#REF!,"AAAAAG/y3+k=",0)</f>
        <v>#REF!</v>
      </c>
      <c r="IA178" t="e">
        <f>AND(#REF!,"AAAAAG/y3+o=")</f>
        <v>#REF!</v>
      </c>
      <c r="IB178" t="e">
        <f>AND(#REF!,"AAAAAG/y3+s=")</f>
        <v>#REF!</v>
      </c>
      <c r="IC178" t="e">
        <f>AND(#REF!,"AAAAAG/y3+w=")</f>
        <v>#REF!</v>
      </c>
      <c r="ID178" t="e">
        <f>AND(#REF!,"AAAAAG/y3+0=")</f>
        <v>#REF!</v>
      </c>
      <c r="IE178" t="e">
        <f>AND(#REF!,"AAAAAG/y3+4=")</f>
        <v>#REF!</v>
      </c>
      <c r="IF178" t="e">
        <f>AND(#REF!,"AAAAAG/y3+8=")</f>
        <v>#REF!</v>
      </c>
      <c r="IG178" t="e">
        <f>AND(#REF!,"AAAAAG/y3/A=")</f>
        <v>#REF!</v>
      </c>
      <c r="IH178" t="e">
        <f>AND(#REF!,"AAAAAG/y3/E=")</f>
        <v>#REF!</v>
      </c>
      <c r="II178" t="e">
        <f>AND(#REF!,"AAAAAG/y3/I=")</f>
        <v>#REF!</v>
      </c>
      <c r="IJ178" t="e">
        <f>AND(#REF!,"AAAAAG/y3/M=")</f>
        <v>#REF!</v>
      </c>
      <c r="IK178" t="e">
        <f>IF(#REF!,"AAAAAG/y3/Q=",0)</f>
        <v>#REF!</v>
      </c>
      <c r="IL178" t="e">
        <f>AND(#REF!,"AAAAAG/y3/U=")</f>
        <v>#REF!</v>
      </c>
      <c r="IM178" t="e">
        <f>AND(#REF!,"AAAAAG/y3/Y=")</f>
        <v>#REF!</v>
      </c>
      <c r="IN178" t="e">
        <f>AND(#REF!,"AAAAAG/y3/c=")</f>
        <v>#REF!</v>
      </c>
      <c r="IO178" t="e">
        <f>AND(#REF!,"AAAAAG/y3/g=")</f>
        <v>#REF!</v>
      </c>
      <c r="IP178" t="e">
        <f>AND(#REF!,"AAAAAG/y3/k=")</f>
        <v>#REF!</v>
      </c>
      <c r="IQ178" t="e">
        <f>AND(#REF!,"AAAAAG/y3/o=")</f>
        <v>#REF!</v>
      </c>
      <c r="IR178" t="e">
        <f>AND(#REF!,"AAAAAG/y3/s=")</f>
        <v>#REF!</v>
      </c>
      <c r="IS178" t="e">
        <f>AND(#REF!,"AAAAAG/y3/w=")</f>
        <v>#REF!</v>
      </c>
      <c r="IT178" t="e">
        <f>AND(#REF!,"AAAAAG/y3/0=")</f>
        <v>#REF!</v>
      </c>
      <c r="IU178" t="e">
        <f>AND(#REF!,"AAAAAG/y3/4=")</f>
        <v>#REF!</v>
      </c>
      <c r="IV178" t="e">
        <f>IF(#REF!,"AAAAAG/y3/8=",0)</f>
        <v>#REF!</v>
      </c>
    </row>
    <row r="179" spans="1:256" x14ac:dyDescent="0.25">
      <c r="A179" t="e">
        <f>AND(#REF!,"AAAAAG29rwA=")</f>
        <v>#REF!</v>
      </c>
      <c r="B179" t="e">
        <f>AND(#REF!,"AAAAAG29rwE=")</f>
        <v>#REF!</v>
      </c>
      <c r="C179" t="e">
        <f>AND(#REF!,"AAAAAG29rwI=")</f>
        <v>#REF!</v>
      </c>
      <c r="D179" t="e">
        <f>AND(#REF!,"AAAAAG29rwM=")</f>
        <v>#REF!</v>
      </c>
      <c r="E179" t="e">
        <f>AND(#REF!,"AAAAAG29rwQ=")</f>
        <v>#REF!</v>
      </c>
      <c r="F179" t="e">
        <f>AND(#REF!,"AAAAAG29rwU=")</f>
        <v>#REF!</v>
      </c>
      <c r="G179" t="e">
        <f>AND(#REF!,"AAAAAG29rwY=")</f>
        <v>#REF!</v>
      </c>
      <c r="H179" t="e">
        <f>AND(#REF!,"AAAAAG29rwc=")</f>
        <v>#REF!</v>
      </c>
      <c r="I179" t="e">
        <f>AND(#REF!,"AAAAAG29rwg=")</f>
        <v>#REF!</v>
      </c>
      <c r="J179" t="e">
        <f>AND(#REF!,"AAAAAG29rwk=")</f>
        <v>#REF!</v>
      </c>
      <c r="K179" t="e">
        <f>IF(#REF!,"AAAAAG29rwo=",0)</f>
        <v>#REF!</v>
      </c>
      <c r="L179" t="e">
        <f>AND(#REF!,"AAAAAG29rws=")</f>
        <v>#REF!</v>
      </c>
      <c r="M179" t="e">
        <f>AND(#REF!,"AAAAAG29rww=")</f>
        <v>#REF!</v>
      </c>
      <c r="N179" t="e">
        <f>AND(#REF!,"AAAAAG29rw0=")</f>
        <v>#REF!</v>
      </c>
      <c r="O179" t="e">
        <f>AND(#REF!,"AAAAAG29rw4=")</f>
        <v>#REF!</v>
      </c>
      <c r="P179" t="e">
        <f>AND(#REF!,"AAAAAG29rw8=")</f>
        <v>#REF!</v>
      </c>
      <c r="Q179" t="e">
        <f>AND(#REF!,"AAAAAG29rxA=")</f>
        <v>#REF!</v>
      </c>
      <c r="R179" t="e">
        <f>AND(#REF!,"AAAAAG29rxE=")</f>
        <v>#REF!</v>
      </c>
      <c r="S179" t="e">
        <f>AND(#REF!,"AAAAAG29rxI=")</f>
        <v>#REF!</v>
      </c>
      <c r="T179" t="e">
        <f>AND(#REF!,"AAAAAG29rxM=")</f>
        <v>#REF!</v>
      </c>
      <c r="U179" t="e">
        <f>AND(#REF!,"AAAAAG29rxQ=")</f>
        <v>#REF!</v>
      </c>
      <c r="V179" t="e">
        <f>IF(#REF!,"AAAAAG29rxU=",0)</f>
        <v>#REF!</v>
      </c>
      <c r="W179" t="e">
        <f>AND(#REF!,"AAAAAG29rxY=")</f>
        <v>#REF!</v>
      </c>
      <c r="X179" t="e">
        <f>AND(#REF!,"AAAAAG29rxc=")</f>
        <v>#REF!</v>
      </c>
      <c r="Y179" t="e">
        <f>AND(#REF!,"AAAAAG29rxg=")</f>
        <v>#REF!</v>
      </c>
      <c r="Z179" t="e">
        <f>AND(#REF!,"AAAAAG29rxk=")</f>
        <v>#REF!</v>
      </c>
      <c r="AA179" t="e">
        <f>AND(#REF!,"AAAAAG29rxo=")</f>
        <v>#REF!</v>
      </c>
      <c r="AB179" t="e">
        <f>AND(#REF!,"AAAAAG29rxs=")</f>
        <v>#REF!</v>
      </c>
      <c r="AC179" t="e">
        <f>AND(#REF!,"AAAAAG29rxw=")</f>
        <v>#REF!</v>
      </c>
      <c r="AD179" t="e">
        <f>AND(#REF!,"AAAAAG29rx0=")</f>
        <v>#REF!</v>
      </c>
      <c r="AE179" t="e">
        <f>AND(#REF!,"AAAAAG29rx4=")</f>
        <v>#REF!</v>
      </c>
      <c r="AF179" t="e">
        <f>AND(#REF!,"AAAAAG29rx8=")</f>
        <v>#REF!</v>
      </c>
      <c r="AG179" t="e">
        <f>IF(#REF!,"AAAAAG29ryA=",0)</f>
        <v>#REF!</v>
      </c>
      <c r="AH179" t="e">
        <f>AND(#REF!,"AAAAAG29ryE=")</f>
        <v>#REF!</v>
      </c>
      <c r="AI179" t="e">
        <f>AND(#REF!,"AAAAAG29ryI=")</f>
        <v>#REF!</v>
      </c>
      <c r="AJ179" t="e">
        <f>AND(#REF!,"AAAAAG29ryM=")</f>
        <v>#REF!</v>
      </c>
      <c r="AK179" t="e">
        <f>AND(#REF!,"AAAAAG29ryQ=")</f>
        <v>#REF!</v>
      </c>
      <c r="AL179" t="e">
        <f>AND(#REF!,"AAAAAG29ryU=")</f>
        <v>#REF!</v>
      </c>
      <c r="AM179" t="e">
        <f>AND(#REF!,"AAAAAG29ryY=")</f>
        <v>#REF!</v>
      </c>
      <c r="AN179" t="e">
        <f>AND(#REF!,"AAAAAG29ryc=")</f>
        <v>#REF!</v>
      </c>
      <c r="AO179" t="e">
        <f>AND(#REF!,"AAAAAG29ryg=")</f>
        <v>#REF!</v>
      </c>
      <c r="AP179" t="e">
        <f>AND(#REF!,"AAAAAG29ryk=")</f>
        <v>#REF!</v>
      </c>
      <c r="AQ179" t="e">
        <f>AND(#REF!,"AAAAAG29ryo=")</f>
        <v>#REF!</v>
      </c>
      <c r="AR179" t="e">
        <f>IF(#REF!,"AAAAAG29rys=",0)</f>
        <v>#REF!</v>
      </c>
      <c r="AS179" t="e">
        <f>AND(#REF!,"AAAAAG29ryw=")</f>
        <v>#REF!</v>
      </c>
      <c r="AT179" t="e">
        <f>AND(#REF!,"AAAAAG29ry0=")</f>
        <v>#REF!</v>
      </c>
      <c r="AU179" t="e">
        <f>AND(#REF!,"AAAAAG29ry4=")</f>
        <v>#REF!</v>
      </c>
      <c r="AV179" t="e">
        <f>AND(#REF!,"AAAAAG29ry8=")</f>
        <v>#REF!</v>
      </c>
      <c r="AW179" t="e">
        <f>AND(#REF!,"AAAAAG29rzA=")</f>
        <v>#REF!</v>
      </c>
      <c r="AX179" t="e">
        <f>AND(#REF!,"AAAAAG29rzE=")</f>
        <v>#REF!</v>
      </c>
      <c r="AY179" t="e">
        <f>AND(#REF!,"AAAAAG29rzI=")</f>
        <v>#REF!</v>
      </c>
      <c r="AZ179" t="e">
        <f>AND(#REF!,"AAAAAG29rzM=")</f>
        <v>#REF!</v>
      </c>
      <c r="BA179" t="e">
        <f>AND(#REF!,"AAAAAG29rzQ=")</f>
        <v>#REF!</v>
      </c>
      <c r="BB179" t="e">
        <f>AND(#REF!,"AAAAAG29rzU=")</f>
        <v>#REF!</v>
      </c>
      <c r="BC179" t="e">
        <f>IF(#REF!,"AAAAAG29rzY=",0)</f>
        <v>#REF!</v>
      </c>
      <c r="BD179" t="e">
        <f>AND(#REF!,"AAAAAG29rzc=")</f>
        <v>#REF!</v>
      </c>
      <c r="BE179" t="e">
        <f>AND(#REF!,"AAAAAG29rzg=")</f>
        <v>#REF!</v>
      </c>
      <c r="BF179" t="e">
        <f>AND(#REF!,"AAAAAG29rzk=")</f>
        <v>#REF!</v>
      </c>
      <c r="BG179" t="e">
        <f>AND(#REF!,"AAAAAG29rzo=")</f>
        <v>#REF!</v>
      </c>
      <c r="BH179" t="e">
        <f>AND(#REF!,"AAAAAG29rzs=")</f>
        <v>#REF!</v>
      </c>
      <c r="BI179" t="e">
        <f>AND(#REF!,"AAAAAG29rzw=")</f>
        <v>#REF!</v>
      </c>
      <c r="BJ179" t="e">
        <f>AND(#REF!,"AAAAAG29rz0=")</f>
        <v>#REF!</v>
      </c>
      <c r="BK179" t="e">
        <f>AND(#REF!,"AAAAAG29rz4=")</f>
        <v>#REF!</v>
      </c>
      <c r="BL179" t="e">
        <f>AND(#REF!,"AAAAAG29rz8=")</f>
        <v>#REF!</v>
      </c>
      <c r="BM179" t="e">
        <f>AND(#REF!,"AAAAAG29r0A=")</f>
        <v>#REF!</v>
      </c>
      <c r="BN179" t="e">
        <f>IF(#REF!,"AAAAAG29r0E=",0)</f>
        <v>#REF!</v>
      </c>
      <c r="BO179" t="e">
        <f>AND(#REF!,"AAAAAG29r0I=")</f>
        <v>#REF!</v>
      </c>
      <c r="BP179" t="e">
        <f>AND(#REF!,"AAAAAG29r0M=")</f>
        <v>#REF!</v>
      </c>
      <c r="BQ179" t="e">
        <f>AND(#REF!,"AAAAAG29r0Q=")</f>
        <v>#REF!</v>
      </c>
      <c r="BR179" t="e">
        <f>AND(#REF!,"AAAAAG29r0U=")</f>
        <v>#REF!</v>
      </c>
      <c r="BS179" t="e">
        <f>AND(#REF!,"AAAAAG29r0Y=")</f>
        <v>#REF!</v>
      </c>
      <c r="BT179" t="e">
        <f>AND(#REF!,"AAAAAG29r0c=")</f>
        <v>#REF!</v>
      </c>
      <c r="BU179" t="e">
        <f>AND(#REF!,"AAAAAG29r0g=")</f>
        <v>#REF!</v>
      </c>
      <c r="BV179" t="e">
        <f>AND(#REF!,"AAAAAG29r0k=")</f>
        <v>#REF!</v>
      </c>
      <c r="BW179" t="e">
        <f>AND(#REF!,"AAAAAG29r0o=")</f>
        <v>#REF!</v>
      </c>
      <c r="BX179" t="e">
        <f>AND(#REF!,"AAAAAG29r0s=")</f>
        <v>#REF!</v>
      </c>
      <c r="BY179" t="e">
        <f>IF(#REF!,"AAAAAG29r0w=",0)</f>
        <v>#REF!</v>
      </c>
      <c r="BZ179" t="e">
        <f>AND(#REF!,"AAAAAG29r00=")</f>
        <v>#REF!</v>
      </c>
      <c r="CA179" t="e">
        <f>AND(#REF!,"AAAAAG29r04=")</f>
        <v>#REF!</v>
      </c>
      <c r="CB179" t="e">
        <f>AND(#REF!,"AAAAAG29r08=")</f>
        <v>#REF!</v>
      </c>
      <c r="CC179" t="e">
        <f>AND(#REF!,"AAAAAG29r1A=")</f>
        <v>#REF!</v>
      </c>
      <c r="CD179" t="e">
        <f>AND(#REF!,"AAAAAG29r1E=")</f>
        <v>#REF!</v>
      </c>
      <c r="CE179" t="e">
        <f>AND(#REF!,"AAAAAG29r1I=")</f>
        <v>#REF!</v>
      </c>
      <c r="CF179" t="e">
        <f>AND(#REF!,"AAAAAG29r1M=")</f>
        <v>#REF!</v>
      </c>
      <c r="CG179" t="e">
        <f>AND(#REF!,"AAAAAG29r1Q=")</f>
        <v>#REF!</v>
      </c>
      <c r="CH179" t="e">
        <f>AND(#REF!,"AAAAAG29r1U=")</f>
        <v>#REF!</v>
      </c>
      <c r="CI179" t="e">
        <f>AND(#REF!,"AAAAAG29r1Y=")</f>
        <v>#REF!</v>
      </c>
      <c r="CJ179" t="e">
        <f>IF(#REF!,"AAAAAG29r1c=",0)</f>
        <v>#REF!</v>
      </c>
      <c r="CK179" t="e">
        <f>AND(#REF!,"AAAAAG29r1g=")</f>
        <v>#REF!</v>
      </c>
      <c r="CL179" t="e">
        <f>AND(#REF!,"AAAAAG29r1k=")</f>
        <v>#REF!</v>
      </c>
      <c r="CM179" t="e">
        <f>AND(#REF!,"AAAAAG29r1o=")</f>
        <v>#REF!</v>
      </c>
      <c r="CN179" t="e">
        <f>AND(#REF!,"AAAAAG29r1s=")</f>
        <v>#REF!</v>
      </c>
      <c r="CO179" t="e">
        <f>AND(#REF!,"AAAAAG29r1w=")</f>
        <v>#REF!</v>
      </c>
      <c r="CP179" t="e">
        <f>AND(#REF!,"AAAAAG29r10=")</f>
        <v>#REF!</v>
      </c>
      <c r="CQ179" t="e">
        <f>AND(#REF!,"AAAAAG29r14=")</f>
        <v>#REF!</v>
      </c>
      <c r="CR179" t="e">
        <f>AND(#REF!,"AAAAAG29r18=")</f>
        <v>#REF!</v>
      </c>
      <c r="CS179" t="e">
        <f>AND(#REF!,"AAAAAG29r2A=")</f>
        <v>#REF!</v>
      </c>
      <c r="CT179" t="e">
        <f>AND(#REF!,"AAAAAG29r2E=")</f>
        <v>#REF!</v>
      </c>
      <c r="CU179" t="e">
        <f>IF(#REF!,"AAAAAG29r2I=",0)</f>
        <v>#REF!</v>
      </c>
      <c r="CV179" t="e">
        <f>AND(#REF!,"AAAAAG29r2M=")</f>
        <v>#REF!</v>
      </c>
      <c r="CW179" t="e">
        <f>AND(#REF!,"AAAAAG29r2Q=")</f>
        <v>#REF!</v>
      </c>
      <c r="CX179" t="e">
        <f>AND(#REF!,"AAAAAG29r2U=")</f>
        <v>#REF!</v>
      </c>
      <c r="CY179" t="e">
        <f>AND(#REF!,"AAAAAG29r2Y=")</f>
        <v>#REF!</v>
      </c>
      <c r="CZ179" t="e">
        <f>AND(#REF!,"AAAAAG29r2c=")</f>
        <v>#REF!</v>
      </c>
      <c r="DA179" t="e">
        <f>AND(#REF!,"AAAAAG29r2g=")</f>
        <v>#REF!</v>
      </c>
      <c r="DB179" t="e">
        <f>AND(#REF!,"AAAAAG29r2k=")</f>
        <v>#REF!</v>
      </c>
      <c r="DC179" t="e">
        <f>AND(#REF!,"AAAAAG29r2o=")</f>
        <v>#REF!</v>
      </c>
      <c r="DD179" t="e">
        <f>AND(#REF!,"AAAAAG29r2s=")</f>
        <v>#REF!</v>
      </c>
      <c r="DE179" t="e">
        <f>AND(#REF!,"AAAAAG29r2w=")</f>
        <v>#REF!</v>
      </c>
      <c r="DF179" t="e">
        <f>IF(#REF!,"AAAAAG29r20=",0)</f>
        <v>#REF!</v>
      </c>
      <c r="DG179" t="e">
        <f>AND(#REF!,"AAAAAG29r24=")</f>
        <v>#REF!</v>
      </c>
      <c r="DH179" t="e">
        <f>AND(#REF!,"AAAAAG29r28=")</f>
        <v>#REF!</v>
      </c>
      <c r="DI179" t="e">
        <f>AND(#REF!,"AAAAAG29r3A=")</f>
        <v>#REF!</v>
      </c>
      <c r="DJ179" t="e">
        <f>AND(#REF!,"AAAAAG29r3E=")</f>
        <v>#REF!</v>
      </c>
      <c r="DK179" t="e">
        <f>AND(#REF!,"AAAAAG29r3I=")</f>
        <v>#REF!</v>
      </c>
      <c r="DL179" t="e">
        <f>AND(#REF!,"AAAAAG29r3M=")</f>
        <v>#REF!</v>
      </c>
      <c r="DM179" t="e">
        <f>AND(#REF!,"AAAAAG29r3Q=")</f>
        <v>#REF!</v>
      </c>
      <c r="DN179" t="e">
        <f>AND(#REF!,"AAAAAG29r3U=")</f>
        <v>#REF!</v>
      </c>
      <c r="DO179" t="e">
        <f>AND(#REF!,"AAAAAG29r3Y=")</f>
        <v>#REF!</v>
      </c>
      <c r="DP179" t="e">
        <f>AND(#REF!,"AAAAAG29r3c=")</f>
        <v>#REF!</v>
      </c>
      <c r="DQ179" t="e">
        <f>IF(#REF!,"AAAAAG29r3g=",0)</f>
        <v>#REF!</v>
      </c>
      <c r="DR179" t="e">
        <f>AND(#REF!,"AAAAAG29r3k=")</f>
        <v>#REF!</v>
      </c>
      <c r="DS179" t="e">
        <f>AND(#REF!,"AAAAAG29r3o=")</f>
        <v>#REF!</v>
      </c>
      <c r="DT179" t="e">
        <f>AND(#REF!,"AAAAAG29r3s=")</f>
        <v>#REF!</v>
      </c>
      <c r="DU179" t="e">
        <f>AND(#REF!,"AAAAAG29r3w=")</f>
        <v>#REF!</v>
      </c>
      <c r="DV179" t="e">
        <f>AND(#REF!,"AAAAAG29r30=")</f>
        <v>#REF!</v>
      </c>
      <c r="DW179" t="e">
        <f>AND(#REF!,"AAAAAG29r34=")</f>
        <v>#REF!</v>
      </c>
      <c r="DX179" t="e">
        <f>AND(#REF!,"AAAAAG29r38=")</f>
        <v>#REF!</v>
      </c>
      <c r="DY179" t="e">
        <f>AND(#REF!,"AAAAAG29r4A=")</f>
        <v>#REF!</v>
      </c>
      <c r="DZ179" t="e">
        <f>AND(#REF!,"AAAAAG29r4E=")</f>
        <v>#REF!</v>
      </c>
      <c r="EA179" t="e">
        <f>AND(#REF!,"AAAAAG29r4I=")</f>
        <v>#REF!</v>
      </c>
      <c r="EB179" t="e">
        <f>IF(#REF!,"AAAAAG29r4M=",0)</f>
        <v>#REF!</v>
      </c>
      <c r="EC179" t="e">
        <f>AND(#REF!,"AAAAAG29r4Q=")</f>
        <v>#REF!</v>
      </c>
      <c r="ED179" t="e">
        <f>AND(#REF!,"AAAAAG29r4U=")</f>
        <v>#REF!</v>
      </c>
      <c r="EE179" t="e">
        <f>AND(#REF!,"AAAAAG29r4Y=")</f>
        <v>#REF!</v>
      </c>
      <c r="EF179" t="e">
        <f>AND(#REF!,"AAAAAG29r4c=")</f>
        <v>#REF!</v>
      </c>
      <c r="EG179" t="e">
        <f>AND(#REF!,"AAAAAG29r4g=")</f>
        <v>#REF!</v>
      </c>
      <c r="EH179" t="e">
        <f>AND(#REF!,"AAAAAG29r4k=")</f>
        <v>#REF!</v>
      </c>
      <c r="EI179" t="e">
        <f>AND(#REF!,"AAAAAG29r4o=")</f>
        <v>#REF!</v>
      </c>
      <c r="EJ179" t="e">
        <f>AND(#REF!,"AAAAAG29r4s=")</f>
        <v>#REF!</v>
      </c>
      <c r="EK179" t="e">
        <f>AND(#REF!,"AAAAAG29r4w=")</f>
        <v>#REF!</v>
      </c>
      <c r="EL179" t="e">
        <f>AND(#REF!,"AAAAAG29r40=")</f>
        <v>#REF!</v>
      </c>
      <c r="EM179" t="e">
        <f>IF(#REF!,"AAAAAG29r44=",0)</f>
        <v>#REF!</v>
      </c>
      <c r="EN179" t="e">
        <f>AND(#REF!,"AAAAAG29r48=")</f>
        <v>#REF!</v>
      </c>
      <c r="EO179" t="e">
        <f>AND(#REF!,"AAAAAG29r5A=")</f>
        <v>#REF!</v>
      </c>
      <c r="EP179" t="e">
        <f>AND(#REF!,"AAAAAG29r5E=")</f>
        <v>#REF!</v>
      </c>
      <c r="EQ179" t="e">
        <f>AND(#REF!,"AAAAAG29r5I=")</f>
        <v>#REF!</v>
      </c>
      <c r="ER179" t="e">
        <f>AND(#REF!,"AAAAAG29r5M=")</f>
        <v>#REF!</v>
      </c>
      <c r="ES179" t="e">
        <f>AND(#REF!,"AAAAAG29r5Q=")</f>
        <v>#REF!</v>
      </c>
      <c r="ET179" t="e">
        <f>AND(#REF!,"AAAAAG29r5U=")</f>
        <v>#REF!</v>
      </c>
      <c r="EU179" t="e">
        <f>AND(#REF!,"AAAAAG29r5Y=")</f>
        <v>#REF!</v>
      </c>
      <c r="EV179" t="e">
        <f>AND(#REF!,"AAAAAG29r5c=")</f>
        <v>#REF!</v>
      </c>
      <c r="EW179" t="e">
        <f>AND(#REF!,"AAAAAG29r5g=")</f>
        <v>#REF!</v>
      </c>
      <c r="EX179" t="e">
        <f>IF(#REF!,"AAAAAG29r5k=",0)</f>
        <v>#REF!</v>
      </c>
      <c r="EY179" t="e">
        <f>AND(#REF!,"AAAAAG29r5o=")</f>
        <v>#REF!</v>
      </c>
      <c r="EZ179" t="e">
        <f>AND(#REF!,"AAAAAG29r5s=")</f>
        <v>#REF!</v>
      </c>
      <c r="FA179" t="e">
        <f>AND(#REF!,"AAAAAG29r5w=")</f>
        <v>#REF!</v>
      </c>
      <c r="FB179" t="e">
        <f>AND(#REF!,"AAAAAG29r50=")</f>
        <v>#REF!</v>
      </c>
      <c r="FC179" t="e">
        <f>AND(#REF!,"AAAAAG29r54=")</f>
        <v>#REF!</v>
      </c>
      <c r="FD179" t="e">
        <f>AND(#REF!,"AAAAAG29r58=")</f>
        <v>#REF!</v>
      </c>
      <c r="FE179" t="e">
        <f>AND(#REF!,"AAAAAG29r6A=")</f>
        <v>#REF!</v>
      </c>
      <c r="FF179" t="e">
        <f>AND(#REF!,"AAAAAG29r6E=")</f>
        <v>#REF!</v>
      </c>
      <c r="FG179" t="e">
        <f>AND(#REF!,"AAAAAG29r6I=")</f>
        <v>#REF!</v>
      </c>
      <c r="FH179" t="e">
        <f>AND(#REF!,"AAAAAG29r6M=")</f>
        <v>#REF!</v>
      </c>
      <c r="FI179" t="e">
        <f>IF(#REF!,"AAAAAG29r6Q=",0)</f>
        <v>#REF!</v>
      </c>
      <c r="FJ179" t="e">
        <f>AND(#REF!,"AAAAAG29r6U=")</f>
        <v>#REF!</v>
      </c>
      <c r="FK179" t="e">
        <f>AND(#REF!,"AAAAAG29r6Y=")</f>
        <v>#REF!</v>
      </c>
      <c r="FL179" t="e">
        <f>AND(#REF!,"AAAAAG29r6c=")</f>
        <v>#REF!</v>
      </c>
      <c r="FM179" t="e">
        <f>AND(#REF!,"AAAAAG29r6g=")</f>
        <v>#REF!</v>
      </c>
      <c r="FN179" t="e">
        <f>AND(#REF!,"AAAAAG29r6k=")</f>
        <v>#REF!</v>
      </c>
      <c r="FO179" t="e">
        <f>AND(#REF!,"AAAAAG29r6o=")</f>
        <v>#REF!</v>
      </c>
      <c r="FP179" t="e">
        <f>AND(#REF!,"AAAAAG29r6s=")</f>
        <v>#REF!</v>
      </c>
      <c r="FQ179" t="e">
        <f>AND(#REF!,"AAAAAG29r6w=")</f>
        <v>#REF!</v>
      </c>
      <c r="FR179" t="e">
        <f>AND(#REF!,"AAAAAG29r60=")</f>
        <v>#REF!</v>
      </c>
      <c r="FS179" t="e">
        <f>AND(#REF!,"AAAAAG29r64=")</f>
        <v>#REF!</v>
      </c>
      <c r="FT179" t="e">
        <f>IF(#REF!,"AAAAAG29r68=",0)</f>
        <v>#REF!</v>
      </c>
      <c r="FU179" t="e">
        <f>AND(#REF!,"AAAAAG29r7A=")</f>
        <v>#REF!</v>
      </c>
      <c r="FV179" t="e">
        <f>AND(#REF!,"AAAAAG29r7E=")</f>
        <v>#REF!</v>
      </c>
      <c r="FW179" t="e">
        <f>AND(#REF!,"AAAAAG29r7I=")</f>
        <v>#REF!</v>
      </c>
      <c r="FX179" t="e">
        <f>AND(#REF!,"AAAAAG29r7M=")</f>
        <v>#REF!</v>
      </c>
      <c r="FY179" t="e">
        <f>AND(#REF!,"AAAAAG29r7Q=")</f>
        <v>#REF!</v>
      </c>
      <c r="FZ179" t="e">
        <f>AND(#REF!,"AAAAAG29r7U=")</f>
        <v>#REF!</v>
      </c>
      <c r="GA179" t="e">
        <f>AND(#REF!,"AAAAAG29r7Y=")</f>
        <v>#REF!</v>
      </c>
      <c r="GB179" t="e">
        <f>AND(#REF!,"AAAAAG29r7c=")</f>
        <v>#REF!</v>
      </c>
      <c r="GC179" t="e">
        <f>AND(#REF!,"AAAAAG29r7g=")</f>
        <v>#REF!</v>
      </c>
      <c r="GD179" t="e">
        <f>AND(#REF!,"AAAAAG29r7k=")</f>
        <v>#REF!</v>
      </c>
      <c r="GE179" t="e">
        <f>IF(#REF!,"AAAAAG29r7o=",0)</f>
        <v>#REF!</v>
      </c>
      <c r="GF179" t="e">
        <f>AND(#REF!,"AAAAAG29r7s=")</f>
        <v>#REF!</v>
      </c>
      <c r="GG179" t="e">
        <f>AND(#REF!,"AAAAAG29r7w=")</f>
        <v>#REF!</v>
      </c>
      <c r="GH179" t="e">
        <f>AND(#REF!,"AAAAAG29r70=")</f>
        <v>#REF!</v>
      </c>
      <c r="GI179" t="e">
        <f>AND(#REF!,"AAAAAG29r74=")</f>
        <v>#REF!</v>
      </c>
      <c r="GJ179" t="e">
        <f>AND(#REF!,"AAAAAG29r78=")</f>
        <v>#REF!</v>
      </c>
      <c r="GK179" t="e">
        <f>AND(#REF!,"AAAAAG29r8A=")</f>
        <v>#REF!</v>
      </c>
      <c r="GL179" t="e">
        <f>AND(#REF!,"AAAAAG29r8E=")</f>
        <v>#REF!</v>
      </c>
      <c r="GM179" t="e">
        <f>AND(#REF!,"AAAAAG29r8I=")</f>
        <v>#REF!</v>
      </c>
      <c r="GN179" t="e">
        <f>AND(#REF!,"AAAAAG29r8M=")</f>
        <v>#REF!</v>
      </c>
      <c r="GO179" t="e">
        <f>AND(#REF!,"AAAAAG29r8Q=")</f>
        <v>#REF!</v>
      </c>
      <c r="GP179" t="e">
        <f>IF(#REF!,"AAAAAG29r8U=",0)</f>
        <v>#REF!</v>
      </c>
      <c r="GQ179" t="e">
        <f>AND(#REF!,"AAAAAG29r8Y=")</f>
        <v>#REF!</v>
      </c>
      <c r="GR179" t="e">
        <f>AND(#REF!,"AAAAAG29r8c=")</f>
        <v>#REF!</v>
      </c>
      <c r="GS179" t="e">
        <f>AND(#REF!,"AAAAAG29r8g=")</f>
        <v>#REF!</v>
      </c>
      <c r="GT179" t="e">
        <f>AND(#REF!,"AAAAAG29r8k=")</f>
        <v>#REF!</v>
      </c>
      <c r="GU179" t="e">
        <f>AND(#REF!,"AAAAAG29r8o=")</f>
        <v>#REF!</v>
      </c>
      <c r="GV179" t="e">
        <f>AND(#REF!,"AAAAAG29r8s=")</f>
        <v>#REF!</v>
      </c>
      <c r="GW179" t="e">
        <f>AND(#REF!,"AAAAAG29r8w=")</f>
        <v>#REF!</v>
      </c>
      <c r="GX179" t="e">
        <f>AND(#REF!,"AAAAAG29r80=")</f>
        <v>#REF!</v>
      </c>
      <c r="GY179" t="e">
        <f>AND(#REF!,"AAAAAG29r84=")</f>
        <v>#REF!</v>
      </c>
      <c r="GZ179" t="e">
        <f>AND(#REF!,"AAAAAG29r88=")</f>
        <v>#REF!</v>
      </c>
      <c r="HA179" t="e">
        <f>IF(#REF!,"AAAAAG29r9A=",0)</f>
        <v>#REF!</v>
      </c>
      <c r="HB179" t="e">
        <f>AND(#REF!,"AAAAAG29r9E=")</f>
        <v>#REF!</v>
      </c>
      <c r="HC179" t="e">
        <f>AND(#REF!,"AAAAAG29r9I=")</f>
        <v>#REF!</v>
      </c>
      <c r="HD179" t="e">
        <f>AND(#REF!,"AAAAAG29r9M=")</f>
        <v>#REF!</v>
      </c>
      <c r="HE179" t="e">
        <f>AND(#REF!,"AAAAAG29r9Q=")</f>
        <v>#REF!</v>
      </c>
      <c r="HF179" t="e">
        <f>AND(#REF!,"AAAAAG29r9U=")</f>
        <v>#REF!</v>
      </c>
      <c r="HG179" t="e">
        <f>AND(#REF!,"AAAAAG29r9Y=")</f>
        <v>#REF!</v>
      </c>
      <c r="HH179" t="e">
        <f>AND(#REF!,"AAAAAG29r9c=")</f>
        <v>#REF!</v>
      </c>
      <c r="HI179" t="e">
        <f>AND(#REF!,"AAAAAG29r9g=")</f>
        <v>#REF!</v>
      </c>
      <c r="HJ179" t="e">
        <f>AND(#REF!,"AAAAAG29r9k=")</f>
        <v>#REF!</v>
      </c>
      <c r="HK179" t="e">
        <f>AND(#REF!,"AAAAAG29r9o=")</f>
        <v>#REF!</v>
      </c>
      <c r="HL179" t="e">
        <f>IF(#REF!,"AAAAAG29r9s=",0)</f>
        <v>#REF!</v>
      </c>
      <c r="HM179" t="e">
        <f>AND(#REF!,"AAAAAG29r9w=")</f>
        <v>#REF!</v>
      </c>
      <c r="HN179" t="e">
        <f>AND(#REF!,"AAAAAG29r90=")</f>
        <v>#REF!</v>
      </c>
      <c r="HO179" t="e">
        <f>AND(#REF!,"AAAAAG29r94=")</f>
        <v>#REF!</v>
      </c>
      <c r="HP179" t="e">
        <f>AND(#REF!,"AAAAAG29r98=")</f>
        <v>#REF!</v>
      </c>
      <c r="HQ179" t="e">
        <f>AND(#REF!,"AAAAAG29r+A=")</f>
        <v>#REF!</v>
      </c>
      <c r="HR179" t="e">
        <f>AND(#REF!,"AAAAAG29r+E=")</f>
        <v>#REF!</v>
      </c>
      <c r="HS179" t="e">
        <f>AND(#REF!,"AAAAAG29r+I=")</f>
        <v>#REF!</v>
      </c>
      <c r="HT179" t="e">
        <f>AND(#REF!,"AAAAAG29r+M=")</f>
        <v>#REF!</v>
      </c>
      <c r="HU179" t="e">
        <f>AND(#REF!,"AAAAAG29r+Q=")</f>
        <v>#REF!</v>
      </c>
      <c r="HV179" t="e">
        <f>AND(#REF!,"AAAAAG29r+U=")</f>
        <v>#REF!</v>
      </c>
      <c r="HW179" t="e">
        <f>IF(#REF!,"AAAAAG29r+Y=",0)</f>
        <v>#REF!</v>
      </c>
      <c r="HX179" t="e">
        <f>AND(#REF!,"AAAAAG29r+c=")</f>
        <v>#REF!</v>
      </c>
      <c r="HY179" t="e">
        <f>AND(#REF!,"AAAAAG29r+g=")</f>
        <v>#REF!</v>
      </c>
      <c r="HZ179" t="e">
        <f>AND(#REF!,"AAAAAG29r+k=")</f>
        <v>#REF!</v>
      </c>
      <c r="IA179" t="e">
        <f>AND(#REF!,"AAAAAG29r+o=")</f>
        <v>#REF!</v>
      </c>
      <c r="IB179" t="e">
        <f>AND(#REF!,"AAAAAG29r+s=")</f>
        <v>#REF!</v>
      </c>
      <c r="IC179" t="e">
        <f>AND(#REF!,"AAAAAG29r+w=")</f>
        <v>#REF!</v>
      </c>
      <c r="ID179" t="e">
        <f>AND(#REF!,"AAAAAG29r+0=")</f>
        <v>#REF!</v>
      </c>
      <c r="IE179" t="e">
        <f>AND(#REF!,"AAAAAG29r+4=")</f>
        <v>#REF!</v>
      </c>
      <c r="IF179" t="e">
        <f>AND(#REF!,"AAAAAG29r+8=")</f>
        <v>#REF!</v>
      </c>
      <c r="IG179" t="e">
        <f>AND(#REF!,"AAAAAG29r/A=")</f>
        <v>#REF!</v>
      </c>
      <c r="IH179" t="e">
        <f>IF(#REF!,"AAAAAG29r/E=",0)</f>
        <v>#REF!</v>
      </c>
      <c r="II179" t="e">
        <f>AND(#REF!,"AAAAAG29r/I=")</f>
        <v>#REF!</v>
      </c>
      <c r="IJ179" t="e">
        <f>AND(#REF!,"AAAAAG29r/M=")</f>
        <v>#REF!</v>
      </c>
      <c r="IK179" t="e">
        <f>AND(#REF!,"AAAAAG29r/Q=")</f>
        <v>#REF!</v>
      </c>
      <c r="IL179" t="e">
        <f>AND(#REF!,"AAAAAG29r/U=")</f>
        <v>#REF!</v>
      </c>
      <c r="IM179" t="e">
        <f>AND(#REF!,"AAAAAG29r/Y=")</f>
        <v>#REF!</v>
      </c>
      <c r="IN179" t="e">
        <f>AND(#REF!,"AAAAAG29r/c=")</f>
        <v>#REF!</v>
      </c>
      <c r="IO179" t="e">
        <f>AND(#REF!,"AAAAAG29r/g=")</f>
        <v>#REF!</v>
      </c>
      <c r="IP179" t="e">
        <f>AND(#REF!,"AAAAAG29r/k=")</f>
        <v>#REF!</v>
      </c>
      <c r="IQ179" t="e">
        <f>AND(#REF!,"AAAAAG29r/o=")</f>
        <v>#REF!</v>
      </c>
      <c r="IR179" t="e">
        <f>AND(#REF!,"AAAAAG29r/s=")</f>
        <v>#REF!</v>
      </c>
      <c r="IS179" t="e">
        <f>IF(#REF!,"AAAAAG29r/w=",0)</f>
        <v>#REF!</v>
      </c>
      <c r="IT179" t="e">
        <f>AND(#REF!,"AAAAAG29r/0=")</f>
        <v>#REF!</v>
      </c>
      <c r="IU179" t="e">
        <f>AND(#REF!,"AAAAAG29r/4=")</f>
        <v>#REF!</v>
      </c>
      <c r="IV179" t="e">
        <f>AND(#REF!,"AAAAAG29r/8=")</f>
        <v>#REF!</v>
      </c>
    </row>
    <row r="180" spans="1:256" x14ac:dyDescent="0.25">
      <c r="A180" t="e">
        <f>AND(#REF!,"AAAAAH+7/wA=")</f>
        <v>#REF!</v>
      </c>
      <c r="B180" t="e">
        <f>AND(#REF!,"AAAAAH+7/wE=")</f>
        <v>#REF!</v>
      </c>
      <c r="C180" t="e">
        <f>AND(#REF!,"AAAAAH+7/wI=")</f>
        <v>#REF!</v>
      </c>
      <c r="D180" t="e">
        <f>AND(#REF!,"AAAAAH+7/wM=")</f>
        <v>#REF!</v>
      </c>
      <c r="E180" t="e">
        <f>AND(#REF!,"AAAAAH+7/wQ=")</f>
        <v>#REF!</v>
      </c>
      <c r="F180" t="e">
        <f>AND(#REF!,"AAAAAH+7/wU=")</f>
        <v>#REF!</v>
      </c>
      <c r="G180" t="e">
        <f>AND(#REF!,"AAAAAH+7/wY=")</f>
        <v>#REF!</v>
      </c>
      <c r="H180" t="e">
        <f>IF(#REF!,"AAAAAH+7/wc=",0)</f>
        <v>#REF!</v>
      </c>
      <c r="I180" t="e">
        <f>AND(#REF!,"AAAAAH+7/wg=")</f>
        <v>#REF!</v>
      </c>
      <c r="J180" t="e">
        <f>AND(#REF!,"AAAAAH+7/wk=")</f>
        <v>#REF!</v>
      </c>
      <c r="K180" t="e">
        <f>AND(#REF!,"AAAAAH+7/wo=")</f>
        <v>#REF!</v>
      </c>
      <c r="L180" t="e">
        <f>AND(#REF!,"AAAAAH+7/ws=")</f>
        <v>#REF!</v>
      </c>
      <c r="M180" t="e">
        <f>AND(#REF!,"AAAAAH+7/ww=")</f>
        <v>#REF!</v>
      </c>
      <c r="N180" t="e">
        <f>AND(#REF!,"AAAAAH+7/w0=")</f>
        <v>#REF!</v>
      </c>
      <c r="O180" t="e">
        <f>AND(#REF!,"AAAAAH+7/w4=")</f>
        <v>#REF!</v>
      </c>
      <c r="P180" t="e">
        <f>AND(#REF!,"AAAAAH+7/w8=")</f>
        <v>#REF!</v>
      </c>
      <c r="Q180" t="e">
        <f>AND(#REF!,"AAAAAH+7/xA=")</f>
        <v>#REF!</v>
      </c>
      <c r="R180" t="e">
        <f>AND(#REF!,"AAAAAH+7/xE=")</f>
        <v>#REF!</v>
      </c>
      <c r="S180" t="e">
        <f>IF(#REF!,"AAAAAH+7/xI=",0)</f>
        <v>#REF!</v>
      </c>
      <c r="T180" t="e">
        <f>AND(#REF!,"AAAAAH+7/xM=")</f>
        <v>#REF!</v>
      </c>
      <c r="U180" t="e">
        <f>AND(#REF!,"AAAAAH+7/xQ=")</f>
        <v>#REF!</v>
      </c>
      <c r="V180" t="e">
        <f>AND(#REF!,"AAAAAH+7/xU=")</f>
        <v>#REF!</v>
      </c>
      <c r="W180" t="e">
        <f>AND(#REF!,"AAAAAH+7/xY=")</f>
        <v>#REF!</v>
      </c>
      <c r="X180" t="e">
        <f>AND(#REF!,"AAAAAH+7/xc=")</f>
        <v>#REF!</v>
      </c>
      <c r="Y180" t="e">
        <f>AND(#REF!,"AAAAAH+7/xg=")</f>
        <v>#REF!</v>
      </c>
      <c r="Z180" t="e">
        <f>AND(#REF!,"AAAAAH+7/xk=")</f>
        <v>#REF!</v>
      </c>
      <c r="AA180" t="e">
        <f>AND(#REF!,"AAAAAH+7/xo=")</f>
        <v>#REF!</v>
      </c>
      <c r="AB180" t="e">
        <f>AND(#REF!,"AAAAAH+7/xs=")</f>
        <v>#REF!</v>
      </c>
      <c r="AC180" t="e">
        <f>AND(#REF!,"AAAAAH+7/xw=")</f>
        <v>#REF!</v>
      </c>
      <c r="AD180" t="e">
        <f>IF(#REF!,"AAAAAH+7/x0=",0)</f>
        <v>#REF!</v>
      </c>
      <c r="AE180" t="e">
        <f>AND(#REF!,"AAAAAH+7/x4=")</f>
        <v>#REF!</v>
      </c>
      <c r="AF180" t="e">
        <f>AND(#REF!,"AAAAAH+7/x8=")</f>
        <v>#REF!</v>
      </c>
      <c r="AG180" t="e">
        <f>AND(#REF!,"AAAAAH+7/yA=")</f>
        <v>#REF!</v>
      </c>
      <c r="AH180" t="e">
        <f>AND(#REF!,"AAAAAH+7/yE=")</f>
        <v>#REF!</v>
      </c>
      <c r="AI180" t="e">
        <f>AND(#REF!,"AAAAAH+7/yI=")</f>
        <v>#REF!</v>
      </c>
      <c r="AJ180" t="e">
        <f>AND(#REF!,"AAAAAH+7/yM=")</f>
        <v>#REF!</v>
      </c>
      <c r="AK180" t="e">
        <f>AND(#REF!,"AAAAAH+7/yQ=")</f>
        <v>#REF!</v>
      </c>
      <c r="AL180" t="e">
        <f>AND(#REF!,"AAAAAH+7/yU=")</f>
        <v>#REF!</v>
      </c>
      <c r="AM180" t="e">
        <f>AND(#REF!,"AAAAAH+7/yY=")</f>
        <v>#REF!</v>
      </c>
      <c r="AN180" t="e">
        <f>AND(#REF!,"AAAAAH+7/yc=")</f>
        <v>#REF!</v>
      </c>
      <c r="AO180" t="e">
        <f>IF(#REF!,"AAAAAH+7/yg=",0)</f>
        <v>#REF!</v>
      </c>
      <c r="AP180" t="e">
        <f>AND(#REF!,"AAAAAH+7/yk=")</f>
        <v>#REF!</v>
      </c>
      <c r="AQ180" t="e">
        <f>AND(#REF!,"AAAAAH+7/yo=")</f>
        <v>#REF!</v>
      </c>
      <c r="AR180" t="e">
        <f>AND(#REF!,"AAAAAH+7/ys=")</f>
        <v>#REF!</v>
      </c>
      <c r="AS180" t="e">
        <f>AND(#REF!,"AAAAAH+7/yw=")</f>
        <v>#REF!</v>
      </c>
      <c r="AT180" t="e">
        <f>AND(#REF!,"AAAAAH+7/y0=")</f>
        <v>#REF!</v>
      </c>
      <c r="AU180" t="e">
        <f>AND(#REF!,"AAAAAH+7/y4=")</f>
        <v>#REF!</v>
      </c>
      <c r="AV180" t="e">
        <f>AND(#REF!,"AAAAAH+7/y8=")</f>
        <v>#REF!</v>
      </c>
      <c r="AW180" t="e">
        <f>AND(#REF!,"AAAAAH+7/zA=")</f>
        <v>#REF!</v>
      </c>
      <c r="AX180" t="e">
        <f>AND(#REF!,"AAAAAH+7/zE=")</f>
        <v>#REF!</v>
      </c>
      <c r="AY180" t="e">
        <f>AND(#REF!,"AAAAAH+7/zI=")</f>
        <v>#REF!</v>
      </c>
      <c r="AZ180" t="e">
        <f>IF(#REF!,"AAAAAH+7/zM=",0)</f>
        <v>#REF!</v>
      </c>
      <c r="BA180" t="e">
        <f>AND(#REF!,"AAAAAH+7/zQ=")</f>
        <v>#REF!</v>
      </c>
      <c r="BB180" t="e">
        <f>AND(#REF!,"AAAAAH+7/zU=")</f>
        <v>#REF!</v>
      </c>
      <c r="BC180" t="e">
        <f>AND(#REF!,"AAAAAH+7/zY=")</f>
        <v>#REF!</v>
      </c>
      <c r="BD180" t="e">
        <f>AND(#REF!,"AAAAAH+7/zc=")</f>
        <v>#REF!</v>
      </c>
      <c r="BE180" t="e">
        <f>AND(#REF!,"AAAAAH+7/zg=")</f>
        <v>#REF!</v>
      </c>
      <c r="BF180" t="e">
        <f>AND(#REF!,"AAAAAH+7/zk=")</f>
        <v>#REF!</v>
      </c>
      <c r="BG180" t="e">
        <f>AND(#REF!,"AAAAAH+7/zo=")</f>
        <v>#REF!</v>
      </c>
      <c r="BH180" t="e">
        <f>AND(#REF!,"AAAAAH+7/zs=")</f>
        <v>#REF!</v>
      </c>
      <c r="BI180" t="e">
        <f>AND(#REF!,"AAAAAH+7/zw=")</f>
        <v>#REF!</v>
      </c>
      <c r="BJ180" t="e">
        <f>AND(#REF!,"AAAAAH+7/z0=")</f>
        <v>#REF!</v>
      </c>
      <c r="BK180" t="e">
        <f>IF(#REF!,"AAAAAH+7/z4=",0)</f>
        <v>#REF!</v>
      </c>
      <c r="BL180" t="e">
        <f>AND(#REF!,"AAAAAH+7/z8=")</f>
        <v>#REF!</v>
      </c>
      <c r="BM180" t="e">
        <f>AND(#REF!,"AAAAAH+7/0A=")</f>
        <v>#REF!</v>
      </c>
      <c r="BN180" t="e">
        <f>AND(#REF!,"AAAAAH+7/0E=")</f>
        <v>#REF!</v>
      </c>
      <c r="BO180" t="e">
        <f>AND(#REF!,"AAAAAH+7/0I=")</f>
        <v>#REF!</v>
      </c>
      <c r="BP180" t="e">
        <f>AND(#REF!,"AAAAAH+7/0M=")</f>
        <v>#REF!</v>
      </c>
      <c r="BQ180" t="e">
        <f>AND(#REF!,"AAAAAH+7/0Q=")</f>
        <v>#REF!</v>
      </c>
      <c r="BR180" t="e">
        <f>AND(#REF!,"AAAAAH+7/0U=")</f>
        <v>#REF!</v>
      </c>
      <c r="BS180" t="e">
        <f>AND(#REF!,"AAAAAH+7/0Y=")</f>
        <v>#REF!</v>
      </c>
      <c r="BT180" t="e">
        <f>AND(#REF!,"AAAAAH+7/0c=")</f>
        <v>#REF!</v>
      </c>
      <c r="BU180" t="e">
        <f>AND(#REF!,"AAAAAH+7/0g=")</f>
        <v>#REF!</v>
      </c>
      <c r="BV180" t="e">
        <f>IF(#REF!,"AAAAAH+7/0k=",0)</f>
        <v>#REF!</v>
      </c>
      <c r="BW180" t="e">
        <f>AND(#REF!,"AAAAAH+7/0o=")</f>
        <v>#REF!</v>
      </c>
      <c r="BX180" t="e">
        <f>AND(#REF!,"AAAAAH+7/0s=")</f>
        <v>#REF!</v>
      </c>
      <c r="BY180" t="e">
        <f>AND(#REF!,"AAAAAH+7/0w=")</f>
        <v>#REF!</v>
      </c>
      <c r="BZ180" t="e">
        <f>AND(#REF!,"AAAAAH+7/00=")</f>
        <v>#REF!</v>
      </c>
      <c r="CA180" t="e">
        <f>AND(#REF!,"AAAAAH+7/04=")</f>
        <v>#REF!</v>
      </c>
      <c r="CB180" t="e">
        <f>AND(#REF!,"AAAAAH+7/08=")</f>
        <v>#REF!</v>
      </c>
      <c r="CC180" t="e">
        <f>AND(#REF!,"AAAAAH+7/1A=")</f>
        <v>#REF!</v>
      </c>
      <c r="CD180" t="e">
        <f>AND(#REF!,"AAAAAH+7/1E=")</f>
        <v>#REF!</v>
      </c>
      <c r="CE180" t="e">
        <f>AND(#REF!,"AAAAAH+7/1I=")</f>
        <v>#REF!</v>
      </c>
      <c r="CF180" t="e">
        <f>AND(#REF!,"AAAAAH+7/1M=")</f>
        <v>#REF!</v>
      </c>
      <c r="CG180" t="e">
        <f>IF(#REF!,"AAAAAH+7/1Q=",0)</f>
        <v>#REF!</v>
      </c>
      <c r="CH180" t="e">
        <f>AND(#REF!,"AAAAAH+7/1U=")</f>
        <v>#REF!</v>
      </c>
      <c r="CI180" t="e">
        <f>AND(#REF!,"AAAAAH+7/1Y=")</f>
        <v>#REF!</v>
      </c>
      <c r="CJ180" t="e">
        <f>AND(#REF!,"AAAAAH+7/1c=")</f>
        <v>#REF!</v>
      </c>
      <c r="CK180" t="e">
        <f>AND(#REF!,"AAAAAH+7/1g=")</f>
        <v>#REF!</v>
      </c>
      <c r="CL180" t="e">
        <f>AND(#REF!,"AAAAAH+7/1k=")</f>
        <v>#REF!</v>
      </c>
      <c r="CM180" t="e">
        <f>AND(#REF!,"AAAAAH+7/1o=")</f>
        <v>#REF!</v>
      </c>
      <c r="CN180" t="e">
        <f>AND(#REF!,"AAAAAH+7/1s=")</f>
        <v>#REF!</v>
      </c>
      <c r="CO180" t="e">
        <f>AND(#REF!,"AAAAAH+7/1w=")</f>
        <v>#REF!</v>
      </c>
      <c r="CP180" t="e">
        <f>AND(#REF!,"AAAAAH+7/10=")</f>
        <v>#REF!</v>
      </c>
      <c r="CQ180" t="e">
        <f>AND(#REF!,"AAAAAH+7/14=")</f>
        <v>#REF!</v>
      </c>
      <c r="CR180" t="e">
        <f>IF(#REF!,"AAAAAH+7/18=",0)</f>
        <v>#REF!</v>
      </c>
      <c r="CS180" t="e">
        <f>AND(#REF!,"AAAAAH+7/2A=")</f>
        <v>#REF!</v>
      </c>
      <c r="CT180" t="e">
        <f>AND(#REF!,"AAAAAH+7/2E=")</f>
        <v>#REF!</v>
      </c>
      <c r="CU180" t="e">
        <f>AND(#REF!,"AAAAAH+7/2I=")</f>
        <v>#REF!</v>
      </c>
      <c r="CV180" t="e">
        <f>AND(#REF!,"AAAAAH+7/2M=")</f>
        <v>#REF!</v>
      </c>
      <c r="CW180" t="e">
        <f>AND(#REF!,"AAAAAH+7/2Q=")</f>
        <v>#REF!</v>
      </c>
      <c r="CX180" t="e">
        <f>AND(#REF!,"AAAAAH+7/2U=")</f>
        <v>#REF!</v>
      </c>
      <c r="CY180" t="e">
        <f>AND(#REF!,"AAAAAH+7/2Y=")</f>
        <v>#REF!</v>
      </c>
      <c r="CZ180" t="e">
        <f>AND(#REF!,"AAAAAH+7/2c=")</f>
        <v>#REF!</v>
      </c>
      <c r="DA180" t="e">
        <f>AND(#REF!,"AAAAAH+7/2g=")</f>
        <v>#REF!</v>
      </c>
      <c r="DB180" t="e">
        <f>AND(#REF!,"AAAAAH+7/2k=")</f>
        <v>#REF!</v>
      </c>
      <c r="DC180" t="e">
        <f>IF(#REF!,"AAAAAH+7/2o=",0)</f>
        <v>#REF!</v>
      </c>
      <c r="DD180" t="e">
        <f>AND(#REF!,"AAAAAH+7/2s=")</f>
        <v>#REF!</v>
      </c>
      <c r="DE180" t="e">
        <f>AND(#REF!,"AAAAAH+7/2w=")</f>
        <v>#REF!</v>
      </c>
      <c r="DF180" t="e">
        <f>AND(#REF!,"AAAAAH+7/20=")</f>
        <v>#REF!</v>
      </c>
      <c r="DG180" t="e">
        <f>AND(#REF!,"AAAAAH+7/24=")</f>
        <v>#REF!</v>
      </c>
      <c r="DH180" t="e">
        <f>AND(#REF!,"AAAAAH+7/28=")</f>
        <v>#REF!</v>
      </c>
      <c r="DI180" t="e">
        <f>AND(#REF!,"AAAAAH+7/3A=")</f>
        <v>#REF!</v>
      </c>
      <c r="DJ180" t="e">
        <f>AND(#REF!,"AAAAAH+7/3E=")</f>
        <v>#REF!</v>
      </c>
      <c r="DK180" t="e">
        <f>AND(#REF!,"AAAAAH+7/3I=")</f>
        <v>#REF!</v>
      </c>
      <c r="DL180" t="e">
        <f>AND(#REF!,"AAAAAH+7/3M=")</f>
        <v>#REF!</v>
      </c>
      <c r="DM180" t="e">
        <f>AND(#REF!,"AAAAAH+7/3Q=")</f>
        <v>#REF!</v>
      </c>
      <c r="DN180" t="e">
        <f>IF(#REF!,"AAAAAH+7/3U=",0)</f>
        <v>#REF!</v>
      </c>
      <c r="DO180" t="e">
        <f>AND(#REF!,"AAAAAH+7/3Y=")</f>
        <v>#REF!</v>
      </c>
      <c r="DP180" t="e">
        <f>AND(#REF!,"AAAAAH+7/3c=")</f>
        <v>#REF!</v>
      </c>
      <c r="DQ180" t="e">
        <f>AND(#REF!,"AAAAAH+7/3g=")</f>
        <v>#REF!</v>
      </c>
      <c r="DR180" t="e">
        <f>AND(#REF!,"AAAAAH+7/3k=")</f>
        <v>#REF!</v>
      </c>
      <c r="DS180" t="e">
        <f>AND(#REF!,"AAAAAH+7/3o=")</f>
        <v>#REF!</v>
      </c>
      <c r="DT180" t="e">
        <f>AND(#REF!,"AAAAAH+7/3s=")</f>
        <v>#REF!</v>
      </c>
      <c r="DU180" t="e">
        <f>AND(#REF!,"AAAAAH+7/3w=")</f>
        <v>#REF!</v>
      </c>
      <c r="DV180" t="e">
        <f>AND(#REF!,"AAAAAH+7/30=")</f>
        <v>#REF!</v>
      </c>
      <c r="DW180" t="e">
        <f>AND(#REF!,"AAAAAH+7/34=")</f>
        <v>#REF!</v>
      </c>
      <c r="DX180" t="e">
        <f>AND(#REF!,"AAAAAH+7/38=")</f>
        <v>#REF!</v>
      </c>
      <c r="DY180" t="e">
        <f>IF(#REF!,"AAAAAH+7/4A=",0)</f>
        <v>#REF!</v>
      </c>
      <c r="DZ180" t="e">
        <f>AND(#REF!,"AAAAAH+7/4E=")</f>
        <v>#REF!</v>
      </c>
      <c r="EA180" t="e">
        <f>AND(#REF!,"AAAAAH+7/4I=")</f>
        <v>#REF!</v>
      </c>
      <c r="EB180" t="e">
        <f>AND(#REF!,"AAAAAH+7/4M=")</f>
        <v>#REF!</v>
      </c>
      <c r="EC180" t="e">
        <f>AND(#REF!,"AAAAAH+7/4Q=")</f>
        <v>#REF!</v>
      </c>
      <c r="ED180" t="e">
        <f>AND(#REF!,"AAAAAH+7/4U=")</f>
        <v>#REF!</v>
      </c>
      <c r="EE180" t="e">
        <f>AND(#REF!,"AAAAAH+7/4Y=")</f>
        <v>#REF!</v>
      </c>
      <c r="EF180" t="e">
        <f>AND(#REF!,"AAAAAH+7/4c=")</f>
        <v>#REF!</v>
      </c>
      <c r="EG180" t="e">
        <f>AND(#REF!,"AAAAAH+7/4g=")</f>
        <v>#REF!</v>
      </c>
      <c r="EH180" t="e">
        <f>AND(#REF!,"AAAAAH+7/4k=")</f>
        <v>#REF!</v>
      </c>
      <c r="EI180" t="e">
        <f>AND(#REF!,"AAAAAH+7/4o=")</f>
        <v>#REF!</v>
      </c>
      <c r="EJ180" t="e">
        <f>IF(#REF!,"AAAAAH+7/4s=",0)</f>
        <v>#REF!</v>
      </c>
      <c r="EK180" t="e">
        <f>AND(#REF!,"AAAAAH+7/4w=")</f>
        <v>#REF!</v>
      </c>
      <c r="EL180" t="e">
        <f>AND(#REF!,"AAAAAH+7/40=")</f>
        <v>#REF!</v>
      </c>
      <c r="EM180" t="e">
        <f>AND(#REF!,"AAAAAH+7/44=")</f>
        <v>#REF!</v>
      </c>
      <c r="EN180" t="e">
        <f>AND(#REF!,"AAAAAH+7/48=")</f>
        <v>#REF!</v>
      </c>
      <c r="EO180" t="e">
        <f>AND(#REF!,"AAAAAH+7/5A=")</f>
        <v>#REF!</v>
      </c>
      <c r="EP180" t="e">
        <f>AND(#REF!,"AAAAAH+7/5E=")</f>
        <v>#REF!</v>
      </c>
      <c r="EQ180" t="e">
        <f>AND(#REF!,"AAAAAH+7/5I=")</f>
        <v>#REF!</v>
      </c>
      <c r="ER180" t="e">
        <f>AND(#REF!,"AAAAAH+7/5M=")</f>
        <v>#REF!</v>
      </c>
      <c r="ES180" t="e">
        <f>AND(#REF!,"AAAAAH+7/5Q=")</f>
        <v>#REF!</v>
      </c>
      <c r="ET180" t="e">
        <f>AND(#REF!,"AAAAAH+7/5U=")</f>
        <v>#REF!</v>
      </c>
      <c r="EU180" t="e">
        <f>IF(#REF!,"AAAAAH+7/5Y=",0)</f>
        <v>#REF!</v>
      </c>
      <c r="EV180" t="e">
        <f>AND(#REF!,"AAAAAH+7/5c=")</f>
        <v>#REF!</v>
      </c>
      <c r="EW180" t="e">
        <f>AND(#REF!,"AAAAAH+7/5g=")</f>
        <v>#REF!</v>
      </c>
      <c r="EX180" t="e">
        <f>AND(#REF!,"AAAAAH+7/5k=")</f>
        <v>#REF!</v>
      </c>
      <c r="EY180" t="e">
        <f>AND(#REF!,"AAAAAH+7/5o=")</f>
        <v>#REF!</v>
      </c>
      <c r="EZ180" t="e">
        <f>AND(#REF!,"AAAAAH+7/5s=")</f>
        <v>#REF!</v>
      </c>
      <c r="FA180" t="e">
        <f>AND(#REF!,"AAAAAH+7/5w=")</f>
        <v>#REF!</v>
      </c>
      <c r="FB180" t="e">
        <f>AND(#REF!,"AAAAAH+7/50=")</f>
        <v>#REF!</v>
      </c>
      <c r="FC180" t="e">
        <f>AND(#REF!,"AAAAAH+7/54=")</f>
        <v>#REF!</v>
      </c>
      <c r="FD180" t="e">
        <f>AND(#REF!,"AAAAAH+7/58=")</f>
        <v>#REF!</v>
      </c>
      <c r="FE180" t="e">
        <f>AND(#REF!,"AAAAAH+7/6A=")</f>
        <v>#REF!</v>
      </c>
      <c r="FF180" t="e">
        <f>IF(#REF!,"AAAAAH+7/6E=",0)</f>
        <v>#REF!</v>
      </c>
      <c r="FG180" t="e">
        <f>AND(#REF!,"AAAAAH+7/6I=")</f>
        <v>#REF!</v>
      </c>
      <c r="FH180" t="e">
        <f>AND(#REF!,"AAAAAH+7/6M=")</f>
        <v>#REF!</v>
      </c>
      <c r="FI180" t="e">
        <f>AND(#REF!,"AAAAAH+7/6Q=")</f>
        <v>#REF!</v>
      </c>
      <c r="FJ180" t="e">
        <f>AND(#REF!,"AAAAAH+7/6U=")</f>
        <v>#REF!</v>
      </c>
      <c r="FK180" t="e">
        <f>AND(#REF!,"AAAAAH+7/6Y=")</f>
        <v>#REF!</v>
      </c>
      <c r="FL180" t="e">
        <f>AND(#REF!,"AAAAAH+7/6c=")</f>
        <v>#REF!</v>
      </c>
      <c r="FM180" t="e">
        <f>AND(#REF!,"AAAAAH+7/6g=")</f>
        <v>#REF!</v>
      </c>
      <c r="FN180" t="e">
        <f>AND(#REF!,"AAAAAH+7/6k=")</f>
        <v>#REF!</v>
      </c>
      <c r="FO180" t="e">
        <f>AND(#REF!,"AAAAAH+7/6o=")</f>
        <v>#REF!</v>
      </c>
      <c r="FP180" t="e">
        <f>AND(#REF!,"AAAAAH+7/6s=")</f>
        <v>#REF!</v>
      </c>
      <c r="FQ180" t="e">
        <f>IF(#REF!,"AAAAAH+7/6w=",0)</f>
        <v>#REF!</v>
      </c>
      <c r="FR180" t="e">
        <f>AND(#REF!,"AAAAAH+7/60=")</f>
        <v>#REF!</v>
      </c>
      <c r="FS180" t="e">
        <f>AND(#REF!,"AAAAAH+7/64=")</f>
        <v>#REF!</v>
      </c>
      <c r="FT180" t="e">
        <f>AND(#REF!,"AAAAAH+7/68=")</f>
        <v>#REF!</v>
      </c>
      <c r="FU180" t="e">
        <f>AND(#REF!,"AAAAAH+7/7A=")</f>
        <v>#REF!</v>
      </c>
      <c r="FV180" t="e">
        <f>AND(#REF!,"AAAAAH+7/7E=")</f>
        <v>#REF!</v>
      </c>
      <c r="FW180" t="e">
        <f>AND(#REF!,"AAAAAH+7/7I=")</f>
        <v>#REF!</v>
      </c>
      <c r="FX180" t="e">
        <f>AND(#REF!,"AAAAAH+7/7M=")</f>
        <v>#REF!</v>
      </c>
      <c r="FY180" t="e">
        <f>AND(#REF!,"AAAAAH+7/7Q=")</f>
        <v>#REF!</v>
      </c>
      <c r="FZ180" t="e">
        <f>AND(#REF!,"AAAAAH+7/7U=")</f>
        <v>#REF!</v>
      </c>
      <c r="GA180" t="e">
        <f>AND(#REF!,"AAAAAH+7/7Y=")</f>
        <v>#REF!</v>
      </c>
      <c r="GB180" t="e">
        <f>IF(#REF!,"AAAAAH+7/7c=",0)</f>
        <v>#REF!</v>
      </c>
      <c r="GC180" t="e">
        <f>AND(#REF!,"AAAAAH+7/7g=")</f>
        <v>#REF!</v>
      </c>
      <c r="GD180" t="e">
        <f>AND(#REF!,"AAAAAH+7/7k=")</f>
        <v>#REF!</v>
      </c>
      <c r="GE180" t="e">
        <f>AND(#REF!,"AAAAAH+7/7o=")</f>
        <v>#REF!</v>
      </c>
      <c r="GF180" t="e">
        <f>AND(#REF!,"AAAAAH+7/7s=")</f>
        <v>#REF!</v>
      </c>
      <c r="GG180" t="e">
        <f>AND(#REF!,"AAAAAH+7/7w=")</f>
        <v>#REF!</v>
      </c>
      <c r="GH180" t="e">
        <f>AND(#REF!,"AAAAAH+7/70=")</f>
        <v>#REF!</v>
      </c>
      <c r="GI180" t="e">
        <f>AND(#REF!,"AAAAAH+7/74=")</f>
        <v>#REF!</v>
      </c>
      <c r="GJ180" t="e">
        <f>AND(#REF!,"AAAAAH+7/78=")</f>
        <v>#REF!</v>
      </c>
      <c r="GK180" t="e">
        <f>AND(#REF!,"AAAAAH+7/8A=")</f>
        <v>#REF!</v>
      </c>
      <c r="GL180" t="e">
        <f>AND(#REF!,"AAAAAH+7/8E=")</f>
        <v>#REF!</v>
      </c>
      <c r="GM180" t="e">
        <f>IF(#REF!,"AAAAAH+7/8I=",0)</f>
        <v>#REF!</v>
      </c>
      <c r="GN180" t="e">
        <f>AND(#REF!,"AAAAAH+7/8M=")</f>
        <v>#REF!</v>
      </c>
      <c r="GO180" t="e">
        <f>AND(#REF!,"AAAAAH+7/8Q=")</f>
        <v>#REF!</v>
      </c>
      <c r="GP180" t="e">
        <f>AND(#REF!,"AAAAAH+7/8U=")</f>
        <v>#REF!</v>
      </c>
      <c r="GQ180" t="e">
        <f>AND(#REF!,"AAAAAH+7/8Y=")</f>
        <v>#REF!</v>
      </c>
      <c r="GR180" t="e">
        <f>AND(#REF!,"AAAAAH+7/8c=")</f>
        <v>#REF!</v>
      </c>
      <c r="GS180" t="e">
        <f>AND(#REF!,"AAAAAH+7/8g=")</f>
        <v>#REF!</v>
      </c>
      <c r="GT180" t="e">
        <f>AND(#REF!,"AAAAAH+7/8k=")</f>
        <v>#REF!</v>
      </c>
      <c r="GU180" t="e">
        <f>AND(#REF!,"AAAAAH+7/8o=")</f>
        <v>#REF!</v>
      </c>
      <c r="GV180" t="e">
        <f>AND(#REF!,"AAAAAH+7/8s=")</f>
        <v>#REF!</v>
      </c>
      <c r="GW180" t="e">
        <f>AND(#REF!,"AAAAAH+7/8w=")</f>
        <v>#REF!</v>
      </c>
      <c r="GX180" t="e">
        <f>IF(#REF!,"AAAAAH+7/80=",0)</f>
        <v>#REF!</v>
      </c>
      <c r="GY180" t="e">
        <f>AND(#REF!,"AAAAAH+7/84=")</f>
        <v>#REF!</v>
      </c>
      <c r="GZ180" t="e">
        <f>AND(#REF!,"AAAAAH+7/88=")</f>
        <v>#REF!</v>
      </c>
      <c r="HA180" t="e">
        <f>AND(#REF!,"AAAAAH+7/9A=")</f>
        <v>#REF!</v>
      </c>
      <c r="HB180" t="e">
        <f>AND(#REF!,"AAAAAH+7/9E=")</f>
        <v>#REF!</v>
      </c>
      <c r="HC180" t="e">
        <f>AND(#REF!,"AAAAAH+7/9I=")</f>
        <v>#REF!</v>
      </c>
      <c r="HD180" t="e">
        <f>AND(#REF!,"AAAAAH+7/9M=")</f>
        <v>#REF!</v>
      </c>
      <c r="HE180" t="e">
        <f>AND(#REF!,"AAAAAH+7/9Q=")</f>
        <v>#REF!</v>
      </c>
      <c r="HF180" t="e">
        <f>AND(#REF!,"AAAAAH+7/9U=")</f>
        <v>#REF!</v>
      </c>
      <c r="HG180" t="e">
        <f>AND(#REF!,"AAAAAH+7/9Y=")</f>
        <v>#REF!</v>
      </c>
      <c r="HH180" t="e">
        <f>AND(#REF!,"AAAAAH+7/9c=")</f>
        <v>#REF!</v>
      </c>
      <c r="HI180" t="e">
        <f>IF(#REF!,"AAAAAH+7/9g=",0)</f>
        <v>#REF!</v>
      </c>
      <c r="HJ180" t="e">
        <f>AND(#REF!,"AAAAAH+7/9k=")</f>
        <v>#REF!</v>
      </c>
      <c r="HK180" t="e">
        <f>AND(#REF!,"AAAAAH+7/9o=")</f>
        <v>#REF!</v>
      </c>
      <c r="HL180" t="e">
        <f>AND(#REF!,"AAAAAH+7/9s=")</f>
        <v>#REF!</v>
      </c>
      <c r="HM180" t="e">
        <f>AND(#REF!,"AAAAAH+7/9w=")</f>
        <v>#REF!</v>
      </c>
      <c r="HN180" t="e">
        <f>AND(#REF!,"AAAAAH+7/90=")</f>
        <v>#REF!</v>
      </c>
      <c r="HO180" t="e">
        <f>AND(#REF!,"AAAAAH+7/94=")</f>
        <v>#REF!</v>
      </c>
      <c r="HP180" t="e">
        <f>AND(#REF!,"AAAAAH+7/98=")</f>
        <v>#REF!</v>
      </c>
      <c r="HQ180" t="e">
        <f>AND(#REF!,"AAAAAH+7/+A=")</f>
        <v>#REF!</v>
      </c>
      <c r="HR180" t="e">
        <f>AND(#REF!,"AAAAAH+7/+E=")</f>
        <v>#REF!</v>
      </c>
      <c r="HS180" t="e">
        <f>AND(#REF!,"AAAAAH+7/+I=")</f>
        <v>#REF!</v>
      </c>
      <c r="HT180" t="e">
        <f>IF(#REF!,"AAAAAH+7/+M=",0)</f>
        <v>#REF!</v>
      </c>
      <c r="HU180" t="e">
        <f>AND(#REF!,"AAAAAH+7/+Q=")</f>
        <v>#REF!</v>
      </c>
      <c r="HV180" t="e">
        <f>AND(#REF!,"AAAAAH+7/+U=")</f>
        <v>#REF!</v>
      </c>
      <c r="HW180" t="e">
        <f>AND(#REF!,"AAAAAH+7/+Y=")</f>
        <v>#REF!</v>
      </c>
      <c r="HX180" t="e">
        <f>AND(#REF!,"AAAAAH+7/+c=")</f>
        <v>#REF!</v>
      </c>
      <c r="HY180" t="e">
        <f>AND(#REF!,"AAAAAH+7/+g=")</f>
        <v>#REF!</v>
      </c>
      <c r="HZ180" t="e">
        <f>AND(#REF!,"AAAAAH+7/+k=")</f>
        <v>#REF!</v>
      </c>
      <c r="IA180" t="e">
        <f>AND(#REF!,"AAAAAH+7/+o=")</f>
        <v>#REF!</v>
      </c>
      <c r="IB180" t="e">
        <f>AND(#REF!,"AAAAAH+7/+s=")</f>
        <v>#REF!</v>
      </c>
      <c r="IC180" t="e">
        <f>AND(#REF!,"AAAAAH+7/+w=")</f>
        <v>#REF!</v>
      </c>
      <c r="ID180" t="e">
        <f>AND(#REF!,"AAAAAH+7/+0=")</f>
        <v>#REF!</v>
      </c>
      <c r="IE180" t="e">
        <f>IF(#REF!,"AAAAAH+7/+4=",0)</f>
        <v>#REF!</v>
      </c>
      <c r="IF180" t="e">
        <f>AND(#REF!,"AAAAAH+7/+8=")</f>
        <v>#REF!</v>
      </c>
      <c r="IG180" t="e">
        <f>AND(#REF!,"AAAAAH+7//A=")</f>
        <v>#REF!</v>
      </c>
      <c r="IH180" t="e">
        <f>AND(#REF!,"AAAAAH+7//E=")</f>
        <v>#REF!</v>
      </c>
      <c r="II180" t="e">
        <f>AND(#REF!,"AAAAAH+7//I=")</f>
        <v>#REF!</v>
      </c>
      <c r="IJ180" t="e">
        <f>AND(#REF!,"AAAAAH+7//M=")</f>
        <v>#REF!</v>
      </c>
      <c r="IK180" t="e">
        <f>AND(#REF!,"AAAAAH+7//Q=")</f>
        <v>#REF!</v>
      </c>
      <c r="IL180" t="e">
        <f>AND(#REF!,"AAAAAH+7//U=")</f>
        <v>#REF!</v>
      </c>
      <c r="IM180" t="e">
        <f>AND(#REF!,"AAAAAH+7//Y=")</f>
        <v>#REF!</v>
      </c>
      <c r="IN180" t="e">
        <f>AND(#REF!,"AAAAAH+7//c=")</f>
        <v>#REF!</v>
      </c>
      <c r="IO180" t="e">
        <f>AND(#REF!,"AAAAAH+7//g=")</f>
        <v>#REF!</v>
      </c>
      <c r="IP180" t="e">
        <f>IF(#REF!,"AAAAAH+7//k=",0)</f>
        <v>#REF!</v>
      </c>
      <c r="IQ180" t="e">
        <f>AND(#REF!,"AAAAAH+7//o=")</f>
        <v>#REF!</v>
      </c>
      <c r="IR180" t="e">
        <f>AND(#REF!,"AAAAAH+7//s=")</f>
        <v>#REF!</v>
      </c>
      <c r="IS180" t="e">
        <f>AND(#REF!,"AAAAAH+7//w=")</f>
        <v>#REF!</v>
      </c>
      <c r="IT180" t="e">
        <f>AND(#REF!,"AAAAAH+7//0=")</f>
        <v>#REF!</v>
      </c>
      <c r="IU180" t="e">
        <f>AND(#REF!,"AAAAAH+7//4=")</f>
        <v>#REF!</v>
      </c>
      <c r="IV180" t="e">
        <f>AND(#REF!,"AAAAAH+7//8=")</f>
        <v>#REF!</v>
      </c>
    </row>
    <row r="181" spans="1:256" x14ac:dyDescent="0.25">
      <c r="A181" t="e">
        <f>AND(#REF!,"AAAAAHf+1QA=")</f>
        <v>#REF!</v>
      </c>
      <c r="B181" t="e">
        <f>AND(#REF!,"AAAAAHf+1QE=")</f>
        <v>#REF!</v>
      </c>
      <c r="C181" t="e">
        <f>AND(#REF!,"AAAAAHf+1QI=")</f>
        <v>#REF!</v>
      </c>
      <c r="D181" t="e">
        <f>AND(#REF!,"AAAAAHf+1QM=")</f>
        <v>#REF!</v>
      </c>
      <c r="E181" t="e">
        <f>IF(#REF!,"AAAAAHf+1QQ=",0)</f>
        <v>#REF!</v>
      </c>
      <c r="F181" t="e">
        <f>AND(#REF!,"AAAAAHf+1QU=")</f>
        <v>#REF!</v>
      </c>
      <c r="G181" t="e">
        <f>AND(#REF!,"AAAAAHf+1QY=")</f>
        <v>#REF!</v>
      </c>
      <c r="H181" t="e">
        <f>AND(#REF!,"AAAAAHf+1Qc=")</f>
        <v>#REF!</v>
      </c>
      <c r="I181" t="e">
        <f>AND(#REF!,"AAAAAHf+1Qg=")</f>
        <v>#REF!</v>
      </c>
      <c r="J181" t="e">
        <f>AND(#REF!,"AAAAAHf+1Qk=")</f>
        <v>#REF!</v>
      </c>
      <c r="K181" t="e">
        <f>AND(#REF!,"AAAAAHf+1Qo=")</f>
        <v>#REF!</v>
      </c>
      <c r="L181" t="e">
        <f>AND(#REF!,"AAAAAHf+1Qs=")</f>
        <v>#REF!</v>
      </c>
      <c r="M181" t="e">
        <f>AND(#REF!,"AAAAAHf+1Qw=")</f>
        <v>#REF!</v>
      </c>
      <c r="N181" t="e">
        <f>AND(#REF!,"AAAAAHf+1Q0=")</f>
        <v>#REF!</v>
      </c>
      <c r="O181" t="e">
        <f>AND(#REF!,"AAAAAHf+1Q4=")</f>
        <v>#REF!</v>
      </c>
      <c r="P181" t="e">
        <f>IF(#REF!,"AAAAAHf+1Q8=",0)</f>
        <v>#REF!</v>
      </c>
      <c r="Q181" t="e">
        <f>AND(#REF!,"AAAAAHf+1RA=")</f>
        <v>#REF!</v>
      </c>
      <c r="R181" t="e">
        <f>AND(#REF!,"AAAAAHf+1RE=")</f>
        <v>#REF!</v>
      </c>
      <c r="S181" t="e">
        <f>AND(#REF!,"AAAAAHf+1RI=")</f>
        <v>#REF!</v>
      </c>
      <c r="T181" t="e">
        <f>AND(#REF!,"AAAAAHf+1RM=")</f>
        <v>#REF!</v>
      </c>
      <c r="U181" t="e">
        <f>AND(#REF!,"AAAAAHf+1RQ=")</f>
        <v>#REF!</v>
      </c>
      <c r="V181" t="e">
        <f>AND(#REF!,"AAAAAHf+1RU=")</f>
        <v>#REF!</v>
      </c>
      <c r="W181" t="e">
        <f>AND(#REF!,"AAAAAHf+1RY=")</f>
        <v>#REF!</v>
      </c>
      <c r="X181" t="e">
        <f>AND(#REF!,"AAAAAHf+1Rc=")</f>
        <v>#REF!</v>
      </c>
      <c r="Y181" t="e">
        <f>AND(#REF!,"AAAAAHf+1Rg=")</f>
        <v>#REF!</v>
      </c>
      <c r="Z181" t="e">
        <f>AND(#REF!,"AAAAAHf+1Rk=")</f>
        <v>#REF!</v>
      </c>
      <c r="AA181" t="e">
        <f>IF(#REF!,"AAAAAHf+1Ro=",0)</f>
        <v>#REF!</v>
      </c>
      <c r="AB181" t="e">
        <f>AND(#REF!,"AAAAAHf+1Rs=")</f>
        <v>#REF!</v>
      </c>
      <c r="AC181" t="e">
        <f>AND(#REF!,"AAAAAHf+1Rw=")</f>
        <v>#REF!</v>
      </c>
      <c r="AD181" t="e">
        <f>AND(#REF!,"AAAAAHf+1R0=")</f>
        <v>#REF!</v>
      </c>
      <c r="AE181" t="e">
        <f>AND(#REF!,"AAAAAHf+1R4=")</f>
        <v>#REF!</v>
      </c>
      <c r="AF181" t="e">
        <f>AND(#REF!,"AAAAAHf+1R8=")</f>
        <v>#REF!</v>
      </c>
      <c r="AG181" t="e">
        <f>AND(#REF!,"AAAAAHf+1SA=")</f>
        <v>#REF!</v>
      </c>
      <c r="AH181" t="e">
        <f>AND(#REF!,"AAAAAHf+1SE=")</f>
        <v>#REF!</v>
      </c>
      <c r="AI181" t="e">
        <f>AND(#REF!,"AAAAAHf+1SI=")</f>
        <v>#REF!</v>
      </c>
      <c r="AJ181" t="e">
        <f>AND(#REF!,"AAAAAHf+1SM=")</f>
        <v>#REF!</v>
      </c>
      <c r="AK181" t="e">
        <f>AND(#REF!,"AAAAAHf+1SQ=")</f>
        <v>#REF!</v>
      </c>
      <c r="AL181" t="e">
        <f>IF(#REF!,"AAAAAHf+1SU=",0)</f>
        <v>#REF!</v>
      </c>
      <c r="AM181" t="e">
        <f>AND(#REF!,"AAAAAHf+1SY=")</f>
        <v>#REF!</v>
      </c>
      <c r="AN181" t="e">
        <f>AND(#REF!,"AAAAAHf+1Sc=")</f>
        <v>#REF!</v>
      </c>
      <c r="AO181" t="e">
        <f>AND(#REF!,"AAAAAHf+1Sg=")</f>
        <v>#REF!</v>
      </c>
      <c r="AP181" t="e">
        <f>AND(#REF!,"AAAAAHf+1Sk=")</f>
        <v>#REF!</v>
      </c>
      <c r="AQ181" t="e">
        <f>AND(#REF!,"AAAAAHf+1So=")</f>
        <v>#REF!</v>
      </c>
      <c r="AR181" t="e">
        <f>AND(#REF!,"AAAAAHf+1Ss=")</f>
        <v>#REF!</v>
      </c>
      <c r="AS181" t="e">
        <f>AND(#REF!,"AAAAAHf+1Sw=")</f>
        <v>#REF!</v>
      </c>
      <c r="AT181" t="e">
        <f>AND(#REF!,"AAAAAHf+1S0=")</f>
        <v>#REF!</v>
      </c>
      <c r="AU181" t="e">
        <f>AND(#REF!,"AAAAAHf+1S4=")</f>
        <v>#REF!</v>
      </c>
      <c r="AV181" t="e">
        <f>AND(#REF!,"AAAAAHf+1S8=")</f>
        <v>#REF!</v>
      </c>
      <c r="AW181" t="e">
        <f>IF(#REF!,"AAAAAHf+1TA=",0)</f>
        <v>#REF!</v>
      </c>
      <c r="AX181" t="e">
        <f>AND(#REF!,"AAAAAHf+1TE=")</f>
        <v>#REF!</v>
      </c>
      <c r="AY181" t="e">
        <f>AND(#REF!,"AAAAAHf+1TI=")</f>
        <v>#REF!</v>
      </c>
      <c r="AZ181" t="e">
        <f>AND(#REF!,"AAAAAHf+1TM=")</f>
        <v>#REF!</v>
      </c>
      <c r="BA181" t="e">
        <f>AND(#REF!,"AAAAAHf+1TQ=")</f>
        <v>#REF!</v>
      </c>
      <c r="BB181" t="e">
        <f>AND(#REF!,"AAAAAHf+1TU=")</f>
        <v>#REF!</v>
      </c>
      <c r="BC181" t="e">
        <f>AND(#REF!,"AAAAAHf+1TY=")</f>
        <v>#REF!</v>
      </c>
      <c r="BD181" t="e">
        <f>AND(#REF!,"AAAAAHf+1Tc=")</f>
        <v>#REF!</v>
      </c>
      <c r="BE181" t="e">
        <f>AND(#REF!,"AAAAAHf+1Tg=")</f>
        <v>#REF!</v>
      </c>
      <c r="BF181" t="e">
        <f>AND(#REF!,"AAAAAHf+1Tk=")</f>
        <v>#REF!</v>
      </c>
      <c r="BG181" t="e">
        <f>AND(#REF!,"AAAAAHf+1To=")</f>
        <v>#REF!</v>
      </c>
      <c r="BH181" t="e">
        <f>IF(#REF!,"AAAAAHf+1Ts=",0)</f>
        <v>#REF!</v>
      </c>
      <c r="BI181" t="e">
        <f>AND(#REF!,"AAAAAHf+1Tw=")</f>
        <v>#REF!</v>
      </c>
      <c r="BJ181" t="e">
        <f>AND(#REF!,"AAAAAHf+1T0=")</f>
        <v>#REF!</v>
      </c>
      <c r="BK181" t="e">
        <f>AND(#REF!,"AAAAAHf+1T4=")</f>
        <v>#REF!</v>
      </c>
      <c r="BL181" t="e">
        <f>AND(#REF!,"AAAAAHf+1T8=")</f>
        <v>#REF!</v>
      </c>
      <c r="BM181" t="e">
        <f>AND(#REF!,"AAAAAHf+1UA=")</f>
        <v>#REF!</v>
      </c>
      <c r="BN181" t="e">
        <f>AND(#REF!,"AAAAAHf+1UE=")</f>
        <v>#REF!</v>
      </c>
      <c r="BO181" t="e">
        <f>AND(#REF!,"AAAAAHf+1UI=")</f>
        <v>#REF!</v>
      </c>
      <c r="BP181" t="e">
        <f>AND(#REF!,"AAAAAHf+1UM=")</f>
        <v>#REF!</v>
      </c>
      <c r="BQ181" t="e">
        <f>AND(#REF!,"AAAAAHf+1UQ=")</f>
        <v>#REF!</v>
      </c>
      <c r="BR181" t="e">
        <f>AND(#REF!,"AAAAAHf+1UU=")</f>
        <v>#REF!</v>
      </c>
      <c r="BS181" t="e">
        <f>IF(#REF!,"AAAAAHf+1UY=",0)</f>
        <v>#REF!</v>
      </c>
      <c r="BT181" t="e">
        <f>AND(#REF!,"AAAAAHf+1Uc=")</f>
        <v>#REF!</v>
      </c>
      <c r="BU181" t="e">
        <f>AND(#REF!,"AAAAAHf+1Ug=")</f>
        <v>#REF!</v>
      </c>
      <c r="BV181" t="e">
        <f>AND(#REF!,"AAAAAHf+1Uk=")</f>
        <v>#REF!</v>
      </c>
      <c r="BW181" t="e">
        <f>AND(#REF!,"AAAAAHf+1Uo=")</f>
        <v>#REF!</v>
      </c>
      <c r="BX181" t="e">
        <f>AND(#REF!,"AAAAAHf+1Us=")</f>
        <v>#REF!</v>
      </c>
      <c r="BY181" t="e">
        <f>AND(#REF!,"AAAAAHf+1Uw=")</f>
        <v>#REF!</v>
      </c>
      <c r="BZ181" t="e">
        <f>AND(#REF!,"AAAAAHf+1U0=")</f>
        <v>#REF!</v>
      </c>
      <c r="CA181" t="e">
        <f>AND(#REF!,"AAAAAHf+1U4=")</f>
        <v>#REF!</v>
      </c>
      <c r="CB181" t="e">
        <f>AND(#REF!,"AAAAAHf+1U8=")</f>
        <v>#REF!</v>
      </c>
      <c r="CC181" t="e">
        <f>AND(#REF!,"AAAAAHf+1VA=")</f>
        <v>#REF!</v>
      </c>
      <c r="CD181" t="e">
        <f>IF(#REF!,"AAAAAHf+1VE=",0)</f>
        <v>#REF!</v>
      </c>
      <c r="CE181" t="e">
        <f>AND(#REF!,"AAAAAHf+1VI=")</f>
        <v>#REF!</v>
      </c>
      <c r="CF181" t="e">
        <f>AND(#REF!,"AAAAAHf+1VM=")</f>
        <v>#REF!</v>
      </c>
      <c r="CG181" t="e">
        <f>AND(#REF!,"AAAAAHf+1VQ=")</f>
        <v>#REF!</v>
      </c>
      <c r="CH181" t="e">
        <f>AND(#REF!,"AAAAAHf+1VU=")</f>
        <v>#REF!</v>
      </c>
      <c r="CI181" t="e">
        <f>AND(#REF!,"AAAAAHf+1VY=")</f>
        <v>#REF!</v>
      </c>
      <c r="CJ181" t="e">
        <f>AND(#REF!,"AAAAAHf+1Vc=")</f>
        <v>#REF!</v>
      </c>
      <c r="CK181" t="e">
        <f>AND(#REF!,"AAAAAHf+1Vg=")</f>
        <v>#REF!</v>
      </c>
      <c r="CL181" t="e">
        <f>AND(#REF!,"AAAAAHf+1Vk=")</f>
        <v>#REF!</v>
      </c>
      <c r="CM181" t="e">
        <f>AND(#REF!,"AAAAAHf+1Vo=")</f>
        <v>#REF!</v>
      </c>
      <c r="CN181" t="e">
        <f>AND(#REF!,"AAAAAHf+1Vs=")</f>
        <v>#REF!</v>
      </c>
      <c r="CO181" t="e">
        <f>IF(#REF!,"AAAAAHf+1Vw=",0)</f>
        <v>#REF!</v>
      </c>
      <c r="CP181" t="e">
        <f>AND(#REF!,"AAAAAHf+1V0=")</f>
        <v>#REF!</v>
      </c>
      <c r="CQ181" t="e">
        <f>AND(#REF!,"AAAAAHf+1V4=")</f>
        <v>#REF!</v>
      </c>
      <c r="CR181" t="e">
        <f>AND(#REF!,"AAAAAHf+1V8=")</f>
        <v>#REF!</v>
      </c>
      <c r="CS181" t="e">
        <f>AND(#REF!,"AAAAAHf+1WA=")</f>
        <v>#REF!</v>
      </c>
      <c r="CT181" t="e">
        <f>AND(#REF!,"AAAAAHf+1WE=")</f>
        <v>#REF!</v>
      </c>
      <c r="CU181" t="e">
        <f>AND(#REF!,"AAAAAHf+1WI=")</f>
        <v>#REF!</v>
      </c>
      <c r="CV181" t="e">
        <f>AND(#REF!,"AAAAAHf+1WM=")</f>
        <v>#REF!</v>
      </c>
      <c r="CW181" t="e">
        <f>AND(#REF!,"AAAAAHf+1WQ=")</f>
        <v>#REF!</v>
      </c>
      <c r="CX181" t="e">
        <f>AND(#REF!,"AAAAAHf+1WU=")</f>
        <v>#REF!</v>
      </c>
      <c r="CY181" t="e">
        <f>AND(#REF!,"AAAAAHf+1WY=")</f>
        <v>#REF!</v>
      </c>
      <c r="CZ181" t="e">
        <f>IF(#REF!,"AAAAAHf+1Wc=",0)</f>
        <v>#REF!</v>
      </c>
      <c r="DA181" t="e">
        <f>AND(#REF!,"AAAAAHf+1Wg=")</f>
        <v>#REF!</v>
      </c>
      <c r="DB181" t="e">
        <f>AND(#REF!,"AAAAAHf+1Wk=")</f>
        <v>#REF!</v>
      </c>
      <c r="DC181" t="e">
        <f>AND(#REF!,"AAAAAHf+1Wo=")</f>
        <v>#REF!</v>
      </c>
      <c r="DD181" t="e">
        <f>AND(#REF!,"AAAAAHf+1Ws=")</f>
        <v>#REF!</v>
      </c>
      <c r="DE181" t="e">
        <f>AND(#REF!,"AAAAAHf+1Ww=")</f>
        <v>#REF!</v>
      </c>
      <c r="DF181" t="e">
        <f>AND(#REF!,"AAAAAHf+1W0=")</f>
        <v>#REF!</v>
      </c>
      <c r="DG181" t="e">
        <f>AND(#REF!,"AAAAAHf+1W4=")</f>
        <v>#REF!</v>
      </c>
      <c r="DH181" t="e">
        <f>AND(#REF!,"AAAAAHf+1W8=")</f>
        <v>#REF!</v>
      </c>
      <c r="DI181" t="e">
        <f>AND(#REF!,"AAAAAHf+1XA=")</f>
        <v>#REF!</v>
      </c>
      <c r="DJ181" t="e">
        <f>AND(#REF!,"AAAAAHf+1XE=")</f>
        <v>#REF!</v>
      </c>
      <c r="DK181" t="e">
        <f>IF(#REF!,"AAAAAHf+1XI=",0)</f>
        <v>#REF!</v>
      </c>
      <c r="DL181" t="e">
        <f>AND(#REF!,"AAAAAHf+1XM=")</f>
        <v>#REF!</v>
      </c>
      <c r="DM181" t="e">
        <f>AND(#REF!,"AAAAAHf+1XQ=")</f>
        <v>#REF!</v>
      </c>
      <c r="DN181" t="e">
        <f>AND(#REF!,"AAAAAHf+1XU=")</f>
        <v>#REF!</v>
      </c>
      <c r="DO181" t="e">
        <f>AND(#REF!,"AAAAAHf+1XY=")</f>
        <v>#REF!</v>
      </c>
      <c r="DP181" t="e">
        <f>AND(#REF!,"AAAAAHf+1Xc=")</f>
        <v>#REF!</v>
      </c>
      <c r="DQ181" t="e">
        <f>AND(#REF!,"AAAAAHf+1Xg=")</f>
        <v>#REF!</v>
      </c>
      <c r="DR181" t="e">
        <f>AND(#REF!,"AAAAAHf+1Xk=")</f>
        <v>#REF!</v>
      </c>
      <c r="DS181" t="e">
        <f>AND(#REF!,"AAAAAHf+1Xo=")</f>
        <v>#REF!</v>
      </c>
      <c r="DT181" t="e">
        <f>AND(#REF!,"AAAAAHf+1Xs=")</f>
        <v>#REF!</v>
      </c>
      <c r="DU181" t="e">
        <f>AND(#REF!,"AAAAAHf+1Xw=")</f>
        <v>#REF!</v>
      </c>
      <c r="DV181" t="e">
        <f>IF(#REF!,"AAAAAHf+1X0=",0)</f>
        <v>#REF!</v>
      </c>
      <c r="DW181" t="e">
        <f>AND(#REF!,"AAAAAHf+1X4=")</f>
        <v>#REF!</v>
      </c>
      <c r="DX181" t="e">
        <f>AND(#REF!,"AAAAAHf+1X8=")</f>
        <v>#REF!</v>
      </c>
      <c r="DY181" t="e">
        <f>AND(#REF!,"AAAAAHf+1YA=")</f>
        <v>#REF!</v>
      </c>
      <c r="DZ181" t="e">
        <f>AND(#REF!,"AAAAAHf+1YE=")</f>
        <v>#REF!</v>
      </c>
      <c r="EA181" t="e">
        <f>AND(#REF!,"AAAAAHf+1YI=")</f>
        <v>#REF!</v>
      </c>
      <c r="EB181" t="e">
        <f>AND(#REF!,"AAAAAHf+1YM=")</f>
        <v>#REF!</v>
      </c>
      <c r="EC181" t="e">
        <f>AND(#REF!,"AAAAAHf+1YQ=")</f>
        <v>#REF!</v>
      </c>
      <c r="ED181" t="e">
        <f>AND(#REF!,"AAAAAHf+1YU=")</f>
        <v>#REF!</v>
      </c>
      <c r="EE181" t="e">
        <f>AND(#REF!,"AAAAAHf+1YY=")</f>
        <v>#REF!</v>
      </c>
      <c r="EF181" t="e">
        <f>AND(#REF!,"AAAAAHf+1Yc=")</f>
        <v>#REF!</v>
      </c>
      <c r="EG181" t="e">
        <f>IF(#REF!,"AAAAAHf+1Yg=",0)</f>
        <v>#REF!</v>
      </c>
      <c r="EH181" t="e">
        <f>AND(#REF!,"AAAAAHf+1Yk=")</f>
        <v>#REF!</v>
      </c>
      <c r="EI181" t="e">
        <f>AND(#REF!,"AAAAAHf+1Yo=")</f>
        <v>#REF!</v>
      </c>
      <c r="EJ181" t="e">
        <f>AND(#REF!,"AAAAAHf+1Ys=")</f>
        <v>#REF!</v>
      </c>
      <c r="EK181" t="e">
        <f>AND(#REF!,"AAAAAHf+1Yw=")</f>
        <v>#REF!</v>
      </c>
      <c r="EL181" t="e">
        <f>AND(#REF!,"AAAAAHf+1Y0=")</f>
        <v>#REF!</v>
      </c>
      <c r="EM181" t="e">
        <f>AND(#REF!,"AAAAAHf+1Y4=")</f>
        <v>#REF!</v>
      </c>
      <c r="EN181" t="e">
        <f>AND(#REF!,"AAAAAHf+1Y8=")</f>
        <v>#REF!</v>
      </c>
      <c r="EO181" t="e">
        <f>AND(#REF!,"AAAAAHf+1ZA=")</f>
        <v>#REF!</v>
      </c>
      <c r="EP181" t="e">
        <f>AND(#REF!,"AAAAAHf+1ZE=")</f>
        <v>#REF!</v>
      </c>
      <c r="EQ181" t="e">
        <f>AND(#REF!,"AAAAAHf+1ZI=")</f>
        <v>#REF!</v>
      </c>
      <c r="ER181" t="e">
        <f>IF(#REF!,"AAAAAHf+1ZM=",0)</f>
        <v>#REF!</v>
      </c>
      <c r="ES181" t="e">
        <f>AND(#REF!,"AAAAAHf+1ZQ=")</f>
        <v>#REF!</v>
      </c>
      <c r="ET181" t="e">
        <f>AND(#REF!,"AAAAAHf+1ZU=")</f>
        <v>#REF!</v>
      </c>
      <c r="EU181" t="e">
        <f>AND(#REF!,"AAAAAHf+1ZY=")</f>
        <v>#REF!</v>
      </c>
      <c r="EV181" t="e">
        <f>AND(#REF!,"AAAAAHf+1Zc=")</f>
        <v>#REF!</v>
      </c>
      <c r="EW181" t="e">
        <f>AND(#REF!,"AAAAAHf+1Zg=")</f>
        <v>#REF!</v>
      </c>
      <c r="EX181" t="e">
        <f>AND(#REF!,"AAAAAHf+1Zk=")</f>
        <v>#REF!</v>
      </c>
      <c r="EY181" t="e">
        <f>AND(#REF!,"AAAAAHf+1Zo=")</f>
        <v>#REF!</v>
      </c>
      <c r="EZ181" t="e">
        <f>AND(#REF!,"AAAAAHf+1Zs=")</f>
        <v>#REF!</v>
      </c>
      <c r="FA181" t="e">
        <f>AND(#REF!,"AAAAAHf+1Zw=")</f>
        <v>#REF!</v>
      </c>
      <c r="FB181" t="e">
        <f>AND(#REF!,"AAAAAHf+1Z0=")</f>
        <v>#REF!</v>
      </c>
      <c r="FC181" t="e">
        <f>IF(#REF!,"AAAAAHf+1Z4=",0)</f>
        <v>#REF!</v>
      </c>
      <c r="FD181" t="e">
        <f>AND(#REF!,"AAAAAHf+1Z8=")</f>
        <v>#REF!</v>
      </c>
      <c r="FE181" t="e">
        <f>AND(#REF!,"AAAAAHf+1aA=")</f>
        <v>#REF!</v>
      </c>
      <c r="FF181" t="e">
        <f>AND(#REF!,"AAAAAHf+1aE=")</f>
        <v>#REF!</v>
      </c>
      <c r="FG181" t="e">
        <f>AND(#REF!,"AAAAAHf+1aI=")</f>
        <v>#REF!</v>
      </c>
      <c r="FH181" t="e">
        <f>AND(#REF!,"AAAAAHf+1aM=")</f>
        <v>#REF!</v>
      </c>
      <c r="FI181" t="e">
        <f>AND(#REF!,"AAAAAHf+1aQ=")</f>
        <v>#REF!</v>
      </c>
      <c r="FJ181" t="e">
        <f>AND(#REF!,"AAAAAHf+1aU=")</f>
        <v>#REF!</v>
      </c>
      <c r="FK181" t="e">
        <f>AND(#REF!,"AAAAAHf+1aY=")</f>
        <v>#REF!</v>
      </c>
      <c r="FL181" t="e">
        <f>AND(#REF!,"AAAAAHf+1ac=")</f>
        <v>#REF!</v>
      </c>
      <c r="FM181" t="e">
        <f>AND(#REF!,"AAAAAHf+1ag=")</f>
        <v>#REF!</v>
      </c>
      <c r="FN181" t="e">
        <f>IF(#REF!,"AAAAAHf+1ak=",0)</f>
        <v>#REF!</v>
      </c>
      <c r="FO181" t="e">
        <f>AND(#REF!,"AAAAAHf+1ao=")</f>
        <v>#REF!</v>
      </c>
      <c r="FP181" t="e">
        <f>AND(#REF!,"AAAAAHf+1as=")</f>
        <v>#REF!</v>
      </c>
      <c r="FQ181" t="e">
        <f>AND(#REF!,"AAAAAHf+1aw=")</f>
        <v>#REF!</v>
      </c>
      <c r="FR181" t="e">
        <f>AND(#REF!,"AAAAAHf+1a0=")</f>
        <v>#REF!</v>
      </c>
      <c r="FS181" t="e">
        <f>AND(#REF!,"AAAAAHf+1a4=")</f>
        <v>#REF!</v>
      </c>
      <c r="FT181" t="e">
        <f>AND(#REF!,"AAAAAHf+1a8=")</f>
        <v>#REF!</v>
      </c>
      <c r="FU181" t="e">
        <f>AND(#REF!,"AAAAAHf+1bA=")</f>
        <v>#REF!</v>
      </c>
      <c r="FV181" t="e">
        <f>AND(#REF!,"AAAAAHf+1bE=")</f>
        <v>#REF!</v>
      </c>
      <c r="FW181" t="e">
        <f>AND(#REF!,"AAAAAHf+1bI=")</f>
        <v>#REF!</v>
      </c>
      <c r="FX181" t="e">
        <f>AND(#REF!,"AAAAAHf+1bM=")</f>
        <v>#REF!</v>
      </c>
      <c r="FY181" t="e">
        <f>IF(#REF!,"AAAAAHf+1bQ=",0)</f>
        <v>#REF!</v>
      </c>
      <c r="FZ181" t="e">
        <f>AND(#REF!,"AAAAAHf+1bU=")</f>
        <v>#REF!</v>
      </c>
      <c r="GA181" t="e">
        <f>AND(#REF!,"AAAAAHf+1bY=")</f>
        <v>#REF!</v>
      </c>
      <c r="GB181" t="e">
        <f>AND(#REF!,"AAAAAHf+1bc=")</f>
        <v>#REF!</v>
      </c>
      <c r="GC181" t="e">
        <f>AND(#REF!,"AAAAAHf+1bg=")</f>
        <v>#REF!</v>
      </c>
      <c r="GD181" t="e">
        <f>AND(#REF!,"AAAAAHf+1bk=")</f>
        <v>#REF!</v>
      </c>
      <c r="GE181" t="e">
        <f>AND(#REF!,"AAAAAHf+1bo=")</f>
        <v>#REF!</v>
      </c>
      <c r="GF181" t="e">
        <f>AND(#REF!,"AAAAAHf+1bs=")</f>
        <v>#REF!</v>
      </c>
      <c r="GG181" t="e">
        <f>AND(#REF!,"AAAAAHf+1bw=")</f>
        <v>#REF!</v>
      </c>
      <c r="GH181" t="e">
        <f>AND(#REF!,"AAAAAHf+1b0=")</f>
        <v>#REF!</v>
      </c>
      <c r="GI181" t="e">
        <f>AND(#REF!,"AAAAAHf+1b4=")</f>
        <v>#REF!</v>
      </c>
      <c r="GJ181" t="e">
        <f>IF(#REF!,"AAAAAHf+1b8=",0)</f>
        <v>#REF!</v>
      </c>
      <c r="GK181" t="e">
        <f>AND(#REF!,"AAAAAHf+1cA=")</f>
        <v>#REF!</v>
      </c>
      <c r="GL181" t="e">
        <f>AND(#REF!,"AAAAAHf+1cE=")</f>
        <v>#REF!</v>
      </c>
      <c r="GM181" t="e">
        <f>AND(#REF!,"AAAAAHf+1cI=")</f>
        <v>#REF!</v>
      </c>
      <c r="GN181" t="e">
        <f>AND(#REF!,"AAAAAHf+1cM=")</f>
        <v>#REF!</v>
      </c>
      <c r="GO181" t="e">
        <f>AND(#REF!,"AAAAAHf+1cQ=")</f>
        <v>#REF!</v>
      </c>
      <c r="GP181" t="e">
        <f>AND(#REF!,"AAAAAHf+1cU=")</f>
        <v>#REF!</v>
      </c>
      <c r="GQ181" t="e">
        <f>AND(#REF!,"AAAAAHf+1cY=")</f>
        <v>#REF!</v>
      </c>
      <c r="GR181" t="e">
        <f>AND(#REF!,"AAAAAHf+1cc=")</f>
        <v>#REF!</v>
      </c>
      <c r="GS181" t="e">
        <f>AND(#REF!,"AAAAAHf+1cg=")</f>
        <v>#REF!</v>
      </c>
      <c r="GT181" t="e">
        <f>AND(#REF!,"AAAAAHf+1ck=")</f>
        <v>#REF!</v>
      </c>
      <c r="GU181" t="e">
        <f>IF(#REF!,"AAAAAHf+1co=",0)</f>
        <v>#REF!</v>
      </c>
      <c r="GV181" t="e">
        <f>AND(#REF!,"AAAAAHf+1cs=")</f>
        <v>#REF!</v>
      </c>
      <c r="GW181" t="e">
        <f>AND(#REF!,"AAAAAHf+1cw=")</f>
        <v>#REF!</v>
      </c>
      <c r="GX181" t="e">
        <f>AND(#REF!,"AAAAAHf+1c0=")</f>
        <v>#REF!</v>
      </c>
      <c r="GY181" t="e">
        <f>AND(#REF!,"AAAAAHf+1c4=")</f>
        <v>#REF!</v>
      </c>
      <c r="GZ181" t="e">
        <f>AND(#REF!,"AAAAAHf+1c8=")</f>
        <v>#REF!</v>
      </c>
      <c r="HA181" t="e">
        <f>AND(#REF!,"AAAAAHf+1dA=")</f>
        <v>#REF!</v>
      </c>
      <c r="HB181" t="e">
        <f>AND(#REF!,"AAAAAHf+1dE=")</f>
        <v>#REF!</v>
      </c>
      <c r="HC181" t="e">
        <f>AND(#REF!,"AAAAAHf+1dI=")</f>
        <v>#REF!</v>
      </c>
      <c r="HD181" t="e">
        <f>AND(#REF!,"AAAAAHf+1dM=")</f>
        <v>#REF!</v>
      </c>
      <c r="HE181" t="e">
        <f>AND(#REF!,"AAAAAHf+1dQ=")</f>
        <v>#REF!</v>
      </c>
      <c r="HF181" t="e">
        <f>IF(#REF!,"AAAAAHf+1dU=",0)</f>
        <v>#REF!</v>
      </c>
      <c r="HG181" t="e">
        <f>AND(#REF!,"AAAAAHf+1dY=")</f>
        <v>#REF!</v>
      </c>
      <c r="HH181" t="e">
        <f>AND(#REF!,"AAAAAHf+1dc=")</f>
        <v>#REF!</v>
      </c>
      <c r="HI181" t="e">
        <f>AND(#REF!,"AAAAAHf+1dg=")</f>
        <v>#REF!</v>
      </c>
      <c r="HJ181" t="e">
        <f>AND(#REF!,"AAAAAHf+1dk=")</f>
        <v>#REF!</v>
      </c>
      <c r="HK181" t="e">
        <f>AND(#REF!,"AAAAAHf+1do=")</f>
        <v>#REF!</v>
      </c>
      <c r="HL181" t="e">
        <f>AND(#REF!,"AAAAAHf+1ds=")</f>
        <v>#REF!</v>
      </c>
      <c r="HM181" t="e">
        <f>AND(#REF!,"AAAAAHf+1dw=")</f>
        <v>#REF!</v>
      </c>
      <c r="HN181" t="e">
        <f>AND(#REF!,"AAAAAHf+1d0=")</f>
        <v>#REF!</v>
      </c>
      <c r="HO181" t="e">
        <f>AND(#REF!,"AAAAAHf+1d4=")</f>
        <v>#REF!</v>
      </c>
      <c r="HP181" t="e">
        <f>AND(#REF!,"AAAAAHf+1d8=")</f>
        <v>#REF!</v>
      </c>
      <c r="HQ181" t="e">
        <f>IF(#REF!,"AAAAAHf+1eA=",0)</f>
        <v>#REF!</v>
      </c>
      <c r="HR181" t="e">
        <f>AND(#REF!,"AAAAAHf+1eE=")</f>
        <v>#REF!</v>
      </c>
      <c r="HS181" t="e">
        <f>AND(#REF!,"AAAAAHf+1eI=")</f>
        <v>#REF!</v>
      </c>
      <c r="HT181" t="e">
        <f>AND(#REF!,"AAAAAHf+1eM=")</f>
        <v>#REF!</v>
      </c>
      <c r="HU181" t="e">
        <f>AND(#REF!,"AAAAAHf+1eQ=")</f>
        <v>#REF!</v>
      </c>
      <c r="HV181" t="e">
        <f>AND(#REF!,"AAAAAHf+1eU=")</f>
        <v>#REF!</v>
      </c>
      <c r="HW181" t="e">
        <f>AND(#REF!,"AAAAAHf+1eY=")</f>
        <v>#REF!</v>
      </c>
      <c r="HX181" t="e">
        <f>AND(#REF!,"AAAAAHf+1ec=")</f>
        <v>#REF!</v>
      </c>
      <c r="HY181" t="e">
        <f>AND(#REF!,"AAAAAHf+1eg=")</f>
        <v>#REF!</v>
      </c>
      <c r="HZ181" t="e">
        <f>AND(#REF!,"AAAAAHf+1ek=")</f>
        <v>#REF!</v>
      </c>
      <c r="IA181" t="e">
        <f>AND(#REF!,"AAAAAHf+1eo=")</f>
        <v>#REF!</v>
      </c>
      <c r="IB181" t="e">
        <f>IF(#REF!,"AAAAAHf+1es=",0)</f>
        <v>#REF!</v>
      </c>
      <c r="IC181" t="e">
        <f>AND(#REF!,"AAAAAHf+1ew=")</f>
        <v>#REF!</v>
      </c>
      <c r="ID181" t="e">
        <f>AND(#REF!,"AAAAAHf+1e0=")</f>
        <v>#REF!</v>
      </c>
      <c r="IE181" t="e">
        <f>AND(#REF!,"AAAAAHf+1e4=")</f>
        <v>#REF!</v>
      </c>
      <c r="IF181" t="e">
        <f>AND(#REF!,"AAAAAHf+1e8=")</f>
        <v>#REF!</v>
      </c>
      <c r="IG181" t="e">
        <f>AND(#REF!,"AAAAAHf+1fA=")</f>
        <v>#REF!</v>
      </c>
      <c r="IH181" t="e">
        <f>AND(#REF!,"AAAAAHf+1fE=")</f>
        <v>#REF!</v>
      </c>
      <c r="II181" t="e">
        <f>AND(#REF!,"AAAAAHf+1fI=")</f>
        <v>#REF!</v>
      </c>
      <c r="IJ181" t="e">
        <f>AND(#REF!,"AAAAAHf+1fM=")</f>
        <v>#REF!</v>
      </c>
      <c r="IK181" t="e">
        <f>AND(#REF!,"AAAAAHf+1fQ=")</f>
        <v>#REF!</v>
      </c>
      <c r="IL181" t="e">
        <f>AND(#REF!,"AAAAAHf+1fU=")</f>
        <v>#REF!</v>
      </c>
      <c r="IM181" t="e">
        <f>IF(#REF!,"AAAAAHf+1fY=",0)</f>
        <v>#REF!</v>
      </c>
      <c r="IN181" t="e">
        <f>AND(#REF!,"AAAAAHf+1fc=")</f>
        <v>#REF!</v>
      </c>
      <c r="IO181" t="e">
        <f>AND(#REF!,"AAAAAHf+1fg=")</f>
        <v>#REF!</v>
      </c>
      <c r="IP181" t="e">
        <f>AND(#REF!,"AAAAAHf+1fk=")</f>
        <v>#REF!</v>
      </c>
      <c r="IQ181" t="e">
        <f>AND(#REF!,"AAAAAHf+1fo=")</f>
        <v>#REF!</v>
      </c>
      <c r="IR181" t="e">
        <f>AND(#REF!,"AAAAAHf+1fs=")</f>
        <v>#REF!</v>
      </c>
      <c r="IS181" t="e">
        <f>AND(#REF!,"AAAAAHf+1fw=")</f>
        <v>#REF!</v>
      </c>
      <c r="IT181" t="e">
        <f>AND(#REF!,"AAAAAHf+1f0=")</f>
        <v>#REF!</v>
      </c>
      <c r="IU181" t="e">
        <f>AND(#REF!,"AAAAAHf+1f4=")</f>
        <v>#REF!</v>
      </c>
      <c r="IV181" t="e">
        <f>AND(#REF!,"AAAAAHf+1f8=")</f>
        <v>#REF!</v>
      </c>
    </row>
    <row r="182" spans="1:256" x14ac:dyDescent="0.25">
      <c r="A182" t="e">
        <f>AND(#REF!,"AAAAACxj/wA=")</f>
        <v>#REF!</v>
      </c>
      <c r="B182" t="e">
        <f>IF(#REF!,"AAAAACxj/wE=",0)</f>
        <v>#REF!</v>
      </c>
      <c r="C182" t="e">
        <f>AND(#REF!,"AAAAACxj/wI=")</f>
        <v>#REF!</v>
      </c>
      <c r="D182" t="e">
        <f>AND(#REF!,"AAAAACxj/wM=")</f>
        <v>#REF!</v>
      </c>
      <c r="E182" t="e">
        <f>AND(#REF!,"AAAAACxj/wQ=")</f>
        <v>#REF!</v>
      </c>
      <c r="F182" t="e">
        <f>AND(#REF!,"AAAAACxj/wU=")</f>
        <v>#REF!</v>
      </c>
      <c r="G182" t="e">
        <f>AND(#REF!,"AAAAACxj/wY=")</f>
        <v>#REF!</v>
      </c>
      <c r="H182" t="e">
        <f>AND(#REF!,"AAAAACxj/wc=")</f>
        <v>#REF!</v>
      </c>
      <c r="I182" t="e">
        <f>AND(#REF!,"AAAAACxj/wg=")</f>
        <v>#REF!</v>
      </c>
      <c r="J182" t="e">
        <f>AND(#REF!,"AAAAACxj/wk=")</f>
        <v>#REF!</v>
      </c>
      <c r="K182" t="e">
        <f>AND(#REF!,"AAAAACxj/wo=")</f>
        <v>#REF!</v>
      </c>
      <c r="L182" t="e">
        <f>AND(#REF!,"AAAAACxj/ws=")</f>
        <v>#REF!</v>
      </c>
      <c r="M182" t="e">
        <f>IF(#REF!,"AAAAACxj/ww=",0)</f>
        <v>#REF!</v>
      </c>
      <c r="N182" t="e">
        <f>AND(#REF!,"AAAAACxj/w0=")</f>
        <v>#REF!</v>
      </c>
      <c r="O182" t="e">
        <f>AND(#REF!,"AAAAACxj/w4=")</f>
        <v>#REF!</v>
      </c>
      <c r="P182" t="e">
        <f>AND(#REF!,"AAAAACxj/w8=")</f>
        <v>#REF!</v>
      </c>
      <c r="Q182" t="e">
        <f>AND(#REF!,"AAAAACxj/xA=")</f>
        <v>#REF!</v>
      </c>
      <c r="R182" t="e">
        <f>AND(#REF!,"AAAAACxj/xE=")</f>
        <v>#REF!</v>
      </c>
      <c r="S182" t="e">
        <f>AND(#REF!,"AAAAACxj/xI=")</f>
        <v>#REF!</v>
      </c>
      <c r="T182" t="e">
        <f>AND(#REF!,"AAAAACxj/xM=")</f>
        <v>#REF!</v>
      </c>
      <c r="U182" t="e">
        <f>AND(#REF!,"AAAAACxj/xQ=")</f>
        <v>#REF!</v>
      </c>
      <c r="V182" t="e">
        <f>AND(#REF!,"AAAAACxj/xU=")</f>
        <v>#REF!</v>
      </c>
      <c r="W182" t="e">
        <f>AND(#REF!,"AAAAACxj/xY=")</f>
        <v>#REF!</v>
      </c>
      <c r="X182" t="e">
        <f>IF(#REF!,"AAAAACxj/xc=",0)</f>
        <v>#REF!</v>
      </c>
      <c r="Y182" t="e">
        <f>IF(#REF!,"AAAAACxj/xg=",0)</f>
        <v>#REF!</v>
      </c>
      <c r="Z182" t="e">
        <f>IF(#REF!,"AAAAACxj/xk=",0)</f>
        <v>#REF!</v>
      </c>
      <c r="AA182" t="e">
        <f>IF(#REF!,"AAAAACxj/xo=",0)</f>
        <v>#REF!</v>
      </c>
      <c r="AB182" t="e">
        <f>IF(#REF!,"AAAAACxj/xs=",0)</f>
        <v>#REF!</v>
      </c>
      <c r="AC182" t="e">
        <f>IF(#REF!,"AAAAACxj/xw=",0)</f>
        <v>#REF!</v>
      </c>
      <c r="AD182" t="e">
        <f>IF(#REF!,"AAAAACxj/x0=",0)</f>
        <v>#REF!</v>
      </c>
      <c r="AE182" t="e">
        <f>IF(#REF!,"AAAAACxj/x4=",0)</f>
        <v>#REF!</v>
      </c>
      <c r="AF182" t="e">
        <f>IF(#REF!,"AAAAACxj/x8=",0)</f>
        <v>#REF!</v>
      </c>
      <c r="AG182" t="e">
        <f>IF(#REF!,"AAAAACxj/yA=",0)</f>
        <v>#REF!</v>
      </c>
      <c r="AH182" s="17" t="s">
        <v>181</v>
      </c>
      <c r="AI182" s="5" t="s">
        <v>182</v>
      </c>
      <c r="AJ182" t="e">
        <f>IF("N",Config!_xlnm._FilterDatabase,"AAAAACxj/yM=")</f>
        <v>#VALUE!</v>
      </c>
      <c r="AK182" t="e">
        <f>IF("N",Department!_xlnm._FilterDatabase,"AAAAACxj/yQ=")</f>
        <v>#VALUE!</v>
      </c>
      <c r="AL182" t="e">
        <f>IF("N",Employee!_xlnm._FilterDatabase,"AAAAACxj/yU=")</f>
        <v>#VALUE!</v>
      </c>
      <c r="AM182" t="e">
        <f>IF("N",GLCode!_xlnm._FilterDatabase,"AAAAACxj/yY=")</f>
        <v>#VALUE!</v>
      </c>
      <c r="AN182" t="e">
        <f>IF("N",JEItem!_xlnm._FilterDatabase,"AAAAACxj/yc=")</f>
        <v>#VALUE!</v>
      </c>
      <c r="AO182" t="e">
        <f>IF("N",Pay!_xlnm._FilterDatabase,"AAAAACxj/yg=")</f>
        <v>#VALUE!</v>
      </c>
      <c r="AP182" t="e">
        <f>IF("N",Options1,"AAAAACxj/yk=")</f>
        <v>#VALUE!</v>
      </c>
      <c r="AQ182" t="e">
        <f>_xlfn.SINGLE(IF("N",Main!_xlnm.Print_Area,"AAAAACxj/yo="))</f>
        <v>#VALUE!</v>
      </c>
      <c r="AR182" t="e">
        <f>IF("N",UserName,"AAAAACxj/ys=")</f>
        <v>#VALUE!</v>
      </c>
    </row>
    <row r="183" spans="1:256" x14ac:dyDescent="0.25">
      <c r="A183" t="e">
        <f>IF(#REF!,"AAAAAD+QrwA=",0)</f>
        <v>#REF!</v>
      </c>
      <c r="B183" t="e">
        <f>AND(#REF!,"AAAAAD+QrwE=")</f>
        <v>#REF!</v>
      </c>
      <c r="C183" t="e">
        <f>AND(#REF!,"AAAAAD+QrwI=")</f>
        <v>#REF!</v>
      </c>
      <c r="D183" t="e">
        <f>AND(#REF!,"AAAAAD+QrwM=")</f>
        <v>#REF!</v>
      </c>
      <c r="E183" t="e">
        <f>AND(#REF!,"AAAAAD+QrwQ=")</f>
        <v>#REF!</v>
      </c>
      <c r="F183" t="e">
        <f>AND(#REF!,"AAAAAD+QrwU=")</f>
        <v>#REF!</v>
      </c>
      <c r="G183" t="e">
        <f>AND(#REF!,"AAAAAD+QrwY=")</f>
        <v>#REF!</v>
      </c>
      <c r="H183" t="e">
        <f>AND(#REF!,"AAAAAD+Qrwc=")</f>
        <v>#REF!</v>
      </c>
      <c r="I183" t="e">
        <f>AND(#REF!,"AAAAAD+Qrwg=")</f>
        <v>#REF!</v>
      </c>
      <c r="J183" t="e">
        <f>AND(#REF!,"AAAAAD+Qrwk=")</f>
        <v>#REF!</v>
      </c>
      <c r="K183" t="e">
        <f>AND(#REF!,"AAAAAD+Qrwo=")</f>
        <v>#REF!</v>
      </c>
      <c r="L183" t="e">
        <f>IF(#REF!,"AAAAAD+Qrws=",0)</f>
        <v>#REF!</v>
      </c>
      <c r="M183" t="e">
        <f>AND(#REF!,"AAAAAD+Qrww=")</f>
        <v>#REF!</v>
      </c>
      <c r="N183" t="e">
        <f>AND(#REF!,"AAAAAD+Qrw0=")</f>
        <v>#REF!</v>
      </c>
      <c r="O183" t="e">
        <f>AND(#REF!,"AAAAAD+Qrw4=")</f>
        <v>#REF!</v>
      </c>
      <c r="P183" t="e">
        <f>AND(#REF!,"AAAAAD+Qrw8=")</f>
        <v>#REF!</v>
      </c>
      <c r="Q183" t="e">
        <f>AND(#REF!,"AAAAAD+QrxA=")</f>
        <v>#REF!</v>
      </c>
      <c r="R183" t="e">
        <f>AND(#REF!,"AAAAAD+QrxE=")</f>
        <v>#REF!</v>
      </c>
      <c r="S183" t="e">
        <f>AND(#REF!,"AAAAAD+QrxI=")</f>
        <v>#REF!</v>
      </c>
      <c r="T183" t="e">
        <f>AND(#REF!,"AAAAAD+QrxM=")</f>
        <v>#REF!</v>
      </c>
      <c r="U183" t="e">
        <f>AND(#REF!,"AAAAAD+QrxQ=")</f>
        <v>#REF!</v>
      </c>
      <c r="V183" t="e">
        <f>AND(#REF!,"AAAAAD+QrxU=")</f>
        <v>#REF!</v>
      </c>
      <c r="W183" t="e">
        <f>IF(#REF!,"AAAAAD+QrxY=",0)</f>
        <v>#REF!</v>
      </c>
      <c r="X183" t="e">
        <f>AND(#REF!,"AAAAAD+Qrxc=")</f>
        <v>#REF!</v>
      </c>
      <c r="Y183" t="e">
        <f>AND(#REF!,"AAAAAD+Qrxg=")</f>
        <v>#REF!</v>
      </c>
      <c r="Z183" t="e">
        <f>AND(#REF!,"AAAAAD+Qrxk=")</f>
        <v>#REF!</v>
      </c>
      <c r="AA183" t="e">
        <f>AND(#REF!,"AAAAAD+Qrxo=")</f>
        <v>#REF!</v>
      </c>
      <c r="AB183" t="e">
        <f>AND(#REF!,"AAAAAD+Qrxs=")</f>
        <v>#REF!</v>
      </c>
      <c r="AC183" t="e">
        <f>AND(#REF!,"AAAAAD+Qrxw=")</f>
        <v>#REF!</v>
      </c>
      <c r="AD183" t="e">
        <f>AND(#REF!,"AAAAAD+Qrx0=")</f>
        <v>#REF!</v>
      </c>
      <c r="AE183" t="e">
        <f>AND(#REF!,"AAAAAD+Qrx4=")</f>
        <v>#REF!</v>
      </c>
      <c r="AF183" t="e">
        <f>AND(#REF!,"AAAAAD+Qrx8=")</f>
        <v>#REF!</v>
      </c>
      <c r="AG183" t="e">
        <f>AND(#REF!,"AAAAAD+QryA=")</f>
        <v>#REF!</v>
      </c>
      <c r="AH183" t="e">
        <f>IF(#REF!,"AAAAAD+QryE=",0)</f>
        <v>#REF!</v>
      </c>
      <c r="AI183" t="e">
        <f>AND(#REF!,"AAAAAD+QryI=")</f>
        <v>#REF!</v>
      </c>
      <c r="AJ183" t="e">
        <f>AND(#REF!,"AAAAAD+QryM=")</f>
        <v>#REF!</v>
      </c>
      <c r="AK183" t="e">
        <f>AND(#REF!,"AAAAAD+QryQ=")</f>
        <v>#REF!</v>
      </c>
      <c r="AL183" t="e">
        <f>AND(#REF!,"AAAAAD+QryU=")</f>
        <v>#REF!</v>
      </c>
      <c r="AM183" t="e">
        <f>AND(#REF!,"AAAAAD+QryY=")</f>
        <v>#REF!</v>
      </c>
      <c r="AN183" t="e">
        <f>AND(#REF!,"AAAAAD+Qryc=")</f>
        <v>#REF!</v>
      </c>
      <c r="AO183" t="e">
        <f>AND(#REF!,"AAAAAD+Qryg=")</f>
        <v>#REF!</v>
      </c>
      <c r="AP183" t="e">
        <f>AND(#REF!,"AAAAAD+Qryk=")</f>
        <v>#REF!</v>
      </c>
      <c r="AQ183" t="e">
        <f>AND(#REF!,"AAAAAD+Qryo=")</f>
        <v>#REF!</v>
      </c>
      <c r="AR183" t="e">
        <f>AND(#REF!,"AAAAAD+Qrys=")</f>
        <v>#REF!</v>
      </c>
      <c r="AS183" t="e">
        <f>IF(#REF!,"AAAAAD+Qryw=",0)</f>
        <v>#REF!</v>
      </c>
      <c r="AT183" t="e">
        <f>AND(#REF!,"AAAAAD+Qry0=")</f>
        <v>#REF!</v>
      </c>
      <c r="AU183" t="e">
        <f>AND(#REF!,"AAAAAD+Qry4=")</f>
        <v>#REF!</v>
      </c>
      <c r="AV183" t="e">
        <f>AND(#REF!,"AAAAAD+Qry8=")</f>
        <v>#REF!</v>
      </c>
      <c r="AW183" t="e">
        <f>AND(#REF!,"AAAAAD+QrzA=")</f>
        <v>#REF!</v>
      </c>
      <c r="AX183" t="e">
        <f>AND(#REF!,"AAAAAD+QrzE=")</f>
        <v>#REF!</v>
      </c>
      <c r="AY183" t="e">
        <f>AND(#REF!,"AAAAAD+QrzI=")</f>
        <v>#REF!</v>
      </c>
      <c r="AZ183" t="e">
        <f>AND(#REF!,"AAAAAD+QrzM=")</f>
        <v>#REF!</v>
      </c>
      <c r="BA183" t="e">
        <f>AND(#REF!,"AAAAAD+QrzQ=")</f>
        <v>#REF!</v>
      </c>
      <c r="BB183" t="e">
        <f>AND(#REF!,"AAAAAD+QrzU=")</f>
        <v>#REF!</v>
      </c>
      <c r="BC183" t="e">
        <f>AND(#REF!,"AAAAAD+QrzY=")</f>
        <v>#REF!</v>
      </c>
      <c r="BD183" t="e">
        <f>IF(#REF!,"AAAAAD+Qrzc=",0)</f>
        <v>#REF!</v>
      </c>
      <c r="BE183" t="e">
        <f>AND(#REF!,"AAAAAD+Qrzg=")</f>
        <v>#REF!</v>
      </c>
      <c r="BF183" t="e">
        <f>AND(#REF!,"AAAAAD+Qrzk=")</f>
        <v>#REF!</v>
      </c>
      <c r="BG183" t="e">
        <f>AND(#REF!,"AAAAAD+Qrzo=")</f>
        <v>#REF!</v>
      </c>
      <c r="BH183" t="e">
        <f>AND(#REF!,"AAAAAD+Qrzs=")</f>
        <v>#REF!</v>
      </c>
      <c r="BI183" t="e">
        <f>AND(#REF!,"AAAAAD+Qrzw=")</f>
        <v>#REF!</v>
      </c>
      <c r="BJ183" t="e">
        <f>AND(#REF!,"AAAAAD+Qrz0=")</f>
        <v>#REF!</v>
      </c>
      <c r="BK183" t="e">
        <f>AND(#REF!,"AAAAAD+Qrz4=")</f>
        <v>#REF!</v>
      </c>
      <c r="BL183" t="e">
        <f>AND(#REF!,"AAAAAD+Qrz8=")</f>
        <v>#REF!</v>
      </c>
      <c r="BM183" t="e">
        <f>AND(#REF!,"AAAAAD+Qr0A=")</f>
        <v>#REF!</v>
      </c>
      <c r="BN183" t="e">
        <f>AND(#REF!,"AAAAAD+Qr0E=")</f>
        <v>#REF!</v>
      </c>
      <c r="BO183" t="e">
        <f>IF(#REF!,"AAAAAD+Qr0I=",0)</f>
        <v>#REF!</v>
      </c>
      <c r="BP183" t="e">
        <f>AND(#REF!,"AAAAAD+Qr0M=")</f>
        <v>#REF!</v>
      </c>
      <c r="BQ183" t="e">
        <f>AND(#REF!,"AAAAAD+Qr0Q=")</f>
        <v>#REF!</v>
      </c>
      <c r="BR183" t="e">
        <f>AND(#REF!,"AAAAAD+Qr0U=")</f>
        <v>#REF!</v>
      </c>
      <c r="BS183" t="e">
        <f>AND(#REF!,"AAAAAD+Qr0Y=")</f>
        <v>#REF!</v>
      </c>
      <c r="BT183" t="e">
        <f>AND(#REF!,"AAAAAD+Qr0c=")</f>
        <v>#REF!</v>
      </c>
      <c r="BU183" t="e">
        <f>AND(#REF!,"AAAAAD+Qr0g=")</f>
        <v>#REF!</v>
      </c>
      <c r="BV183" t="e">
        <f>AND(#REF!,"AAAAAD+Qr0k=")</f>
        <v>#REF!</v>
      </c>
      <c r="BW183" t="e">
        <f>AND(#REF!,"AAAAAD+Qr0o=")</f>
        <v>#REF!</v>
      </c>
      <c r="BX183" t="e">
        <f>AND(#REF!,"AAAAAD+Qr0s=")</f>
        <v>#REF!</v>
      </c>
      <c r="BY183" t="e">
        <f>AND(#REF!,"AAAAAD+Qr0w=")</f>
        <v>#REF!</v>
      </c>
      <c r="BZ183" t="e">
        <f>IF(#REF!,"AAAAAD+Qr00=",0)</f>
        <v>#REF!</v>
      </c>
      <c r="CA183" t="e">
        <f>AND(#REF!,"AAAAAD+Qr04=")</f>
        <v>#REF!</v>
      </c>
      <c r="CB183" t="e">
        <f>AND(#REF!,"AAAAAD+Qr08=")</f>
        <v>#REF!</v>
      </c>
      <c r="CC183" t="e">
        <f>AND(#REF!,"AAAAAD+Qr1A=")</f>
        <v>#REF!</v>
      </c>
      <c r="CD183" t="e">
        <f>AND(#REF!,"AAAAAD+Qr1E=")</f>
        <v>#REF!</v>
      </c>
      <c r="CE183" t="e">
        <f>AND(#REF!,"AAAAAD+Qr1I=")</f>
        <v>#REF!</v>
      </c>
      <c r="CF183" t="e">
        <f>AND(#REF!,"AAAAAD+Qr1M=")</f>
        <v>#REF!</v>
      </c>
      <c r="CG183" t="e">
        <f>AND(#REF!,"AAAAAD+Qr1Q=")</f>
        <v>#REF!</v>
      </c>
      <c r="CH183" t="e">
        <f>AND(#REF!,"AAAAAD+Qr1U=")</f>
        <v>#REF!</v>
      </c>
      <c r="CI183" t="e">
        <f>AND(#REF!,"AAAAAD+Qr1Y=")</f>
        <v>#REF!</v>
      </c>
      <c r="CJ183" t="e">
        <f>AND(#REF!,"AAAAAD+Qr1c=")</f>
        <v>#REF!</v>
      </c>
      <c r="CK183" t="e">
        <f>IF(#REF!,"AAAAAD+Qr1g=",0)</f>
        <v>#REF!</v>
      </c>
      <c r="CL183" t="e">
        <f>AND(#REF!,"AAAAAD+Qr1k=")</f>
        <v>#REF!</v>
      </c>
      <c r="CM183" t="e">
        <f>AND(#REF!,"AAAAAD+Qr1o=")</f>
        <v>#REF!</v>
      </c>
      <c r="CN183" t="e">
        <f>AND(#REF!,"AAAAAD+Qr1s=")</f>
        <v>#REF!</v>
      </c>
      <c r="CO183" t="e">
        <f>AND(#REF!,"AAAAAD+Qr1w=")</f>
        <v>#REF!</v>
      </c>
      <c r="CP183" t="e">
        <f>AND(#REF!,"AAAAAD+Qr10=")</f>
        <v>#REF!</v>
      </c>
      <c r="CQ183" t="e">
        <f>AND(#REF!,"AAAAAD+Qr14=")</f>
        <v>#REF!</v>
      </c>
      <c r="CR183" t="e">
        <f>AND(#REF!,"AAAAAD+Qr18=")</f>
        <v>#REF!</v>
      </c>
      <c r="CS183" t="e">
        <f>AND(#REF!,"AAAAAD+Qr2A=")</f>
        <v>#REF!</v>
      </c>
      <c r="CT183" t="e">
        <f>AND(#REF!,"AAAAAD+Qr2E=")</f>
        <v>#REF!</v>
      </c>
      <c r="CU183" t="e">
        <f>AND(#REF!,"AAAAAD+Qr2I=")</f>
        <v>#REF!</v>
      </c>
      <c r="CV183" t="e">
        <f>IF(#REF!,"AAAAAD+Qr2M=",0)</f>
        <v>#REF!</v>
      </c>
      <c r="CW183" t="e">
        <f>AND(#REF!,"AAAAAD+Qr2Q=")</f>
        <v>#REF!</v>
      </c>
      <c r="CX183" t="e">
        <f>AND(#REF!,"AAAAAD+Qr2U=")</f>
        <v>#REF!</v>
      </c>
      <c r="CY183" t="e">
        <f>AND(#REF!,"AAAAAD+Qr2Y=")</f>
        <v>#REF!</v>
      </c>
      <c r="CZ183" t="e">
        <f>AND(#REF!,"AAAAAD+Qr2c=")</f>
        <v>#REF!</v>
      </c>
      <c r="DA183" t="e">
        <f>AND(#REF!,"AAAAAD+Qr2g=")</f>
        <v>#REF!</v>
      </c>
      <c r="DB183" t="e">
        <f>AND(#REF!,"AAAAAD+Qr2k=")</f>
        <v>#REF!</v>
      </c>
      <c r="DC183" t="e">
        <f>AND(#REF!,"AAAAAD+Qr2o=")</f>
        <v>#REF!</v>
      </c>
      <c r="DD183" t="e">
        <f>AND(#REF!,"AAAAAD+Qr2s=")</f>
        <v>#REF!</v>
      </c>
      <c r="DE183" t="e">
        <f>AND(#REF!,"AAAAAD+Qr2w=")</f>
        <v>#REF!</v>
      </c>
      <c r="DF183" t="e">
        <f>AND(#REF!,"AAAAAD+Qr20=")</f>
        <v>#REF!</v>
      </c>
      <c r="DG183" t="e">
        <f>IF(#REF!,"AAAAAD+Qr24=",0)</f>
        <v>#REF!</v>
      </c>
      <c r="DH183" t="e">
        <f>AND(#REF!,"AAAAAD+Qr28=")</f>
        <v>#REF!</v>
      </c>
      <c r="DI183" t="e">
        <f>AND(#REF!,"AAAAAD+Qr3A=")</f>
        <v>#REF!</v>
      </c>
      <c r="DJ183" t="e">
        <f>AND(#REF!,"AAAAAD+Qr3E=")</f>
        <v>#REF!</v>
      </c>
      <c r="DK183" t="e">
        <f>AND(#REF!,"AAAAAD+Qr3I=")</f>
        <v>#REF!</v>
      </c>
      <c r="DL183" t="e">
        <f>AND(#REF!,"AAAAAD+Qr3M=")</f>
        <v>#REF!</v>
      </c>
      <c r="DM183" t="e">
        <f>AND(#REF!,"AAAAAD+Qr3Q=")</f>
        <v>#REF!</v>
      </c>
      <c r="DN183" t="e">
        <f>AND(#REF!,"AAAAAD+Qr3U=")</f>
        <v>#REF!</v>
      </c>
      <c r="DO183" t="e">
        <f>AND(#REF!,"AAAAAD+Qr3Y=")</f>
        <v>#REF!</v>
      </c>
      <c r="DP183" t="e">
        <f>AND(#REF!,"AAAAAD+Qr3c=")</f>
        <v>#REF!</v>
      </c>
      <c r="DQ183" t="e">
        <f>AND(#REF!,"AAAAAD+Qr3g=")</f>
        <v>#REF!</v>
      </c>
      <c r="DR183" t="e">
        <f>IF(#REF!,"AAAAAD+Qr3k=",0)</f>
        <v>#REF!</v>
      </c>
      <c r="DS183" t="e">
        <f>AND(#REF!,"AAAAAD+Qr3o=")</f>
        <v>#REF!</v>
      </c>
      <c r="DT183" t="e">
        <f>AND(#REF!,"AAAAAD+Qr3s=")</f>
        <v>#REF!</v>
      </c>
      <c r="DU183" t="e">
        <f>AND(#REF!,"AAAAAD+Qr3w=")</f>
        <v>#REF!</v>
      </c>
      <c r="DV183" t="e">
        <f>AND(#REF!,"AAAAAD+Qr30=")</f>
        <v>#REF!</v>
      </c>
      <c r="DW183" t="e">
        <f>AND(#REF!,"AAAAAD+Qr34=")</f>
        <v>#REF!</v>
      </c>
      <c r="DX183" t="e">
        <f>AND(#REF!,"AAAAAD+Qr38=")</f>
        <v>#REF!</v>
      </c>
      <c r="DY183" t="e">
        <f>AND(#REF!,"AAAAAD+Qr4A=")</f>
        <v>#REF!</v>
      </c>
      <c r="DZ183" t="e">
        <f>AND(#REF!,"AAAAAD+Qr4E=")</f>
        <v>#REF!</v>
      </c>
      <c r="EA183" t="e">
        <f>AND(#REF!,"AAAAAD+Qr4I=")</f>
        <v>#REF!</v>
      </c>
      <c r="EB183" t="e">
        <f>AND(#REF!,"AAAAAD+Qr4M=")</f>
        <v>#REF!</v>
      </c>
      <c r="EC183" t="e">
        <f>IF(#REF!,"AAAAAD+Qr4Q=",0)</f>
        <v>#REF!</v>
      </c>
      <c r="ED183" t="e">
        <f>AND(#REF!,"AAAAAD+Qr4U=")</f>
        <v>#REF!</v>
      </c>
      <c r="EE183" t="e">
        <f>AND(#REF!,"AAAAAD+Qr4Y=")</f>
        <v>#REF!</v>
      </c>
      <c r="EF183" t="e">
        <f>AND(#REF!,"AAAAAD+Qr4c=")</f>
        <v>#REF!</v>
      </c>
      <c r="EG183" t="e">
        <f>AND(#REF!,"AAAAAD+Qr4g=")</f>
        <v>#REF!</v>
      </c>
      <c r="EH183" t="e">
        <f>AND(#REF!,"AAAAAD+Qr4k=")</f>
        <v>#REF!</v>
      </c>
      <c r="EI183" t="e">
        <f>AND(#REF!,"AAAAAD+Qr4o=")</f>
        <v>#REF!</v>
      </c>
      <c r="EJ183" t="e">
        <f>AND(#REF!,"AAAAAD+Qr4s=")</f>
        <v>#REF!</v>
      </c>
      <c r="EK183" t="e">
        <f>AND(#REF!,"AAAAAD+Qr4w=")</f>
        <v>#REF!</v>
      </c>
      <c r="EL183" t="e">
        <f>AND(#REF!,"AAAAAD+Qr40=")</f>
        <v>#REF!</v>
      </c>
      <c r="EM183" t="e">
        <f>AND(#REF!,"AAAAAD+Qr44=")</f>
        <v>#REF!</v>
      </c>
      <c r="EN183" t="e">
        <f>IF(#REF!,"AAAAAD+Qr48=",0)</f>
        <v>#REF!</v>
      </c>
      <c r="EO183" t="e">
        <f>AND(#REF!,"AAAAAD+Qr5A=")</f>
        <v>#REF!</v>
      </c>
      <c r="EP183" t="e">
        <f>AND(#REF!,"AAAAAD+Qr5E=")</f>
        <v>#REF!</v>
      </c>
      <c r="EQ183" t="e">
        <f>AND(#REF!,"AAAAAD+Qr5I=")</f>
        <v>#REF!</v>
      </c>
      <c r="ER183" t="e">
        <f>AND(#REF!,"AAAAAD+Qr5M=")</f>
        <v>#REF!</v>
      </c>
      <c r="ES183" t="e">
        <f>AND(#REF!,"AAAAAD+Qr5Q=")</f>
        <v>#REF!</v>
      </c>
      <c r="ET183" t="e">
        <f>AND(#REF!,"AAAAAD+Qr5U=")</f>
        <v>#REF!</v>
      </c>
      <c r="EU183" t="e">
        <f>AND(#REF!,"AAAAAD+Qr5Y=")</f>
        <v>#REF!</v>
      </c>
      <c r="EV183" t="e">
        <f>AND(#REF!,"AAAAAD+Qr5c=")</f>
        <v>#REF!</v>
      </c>
      <c r="EW183" t="e">
        <f>AND(#REF!,"AAAAAD+Qr5g=")</f>
        <v>#REF!</v>
      </c>
      <c r="EX183" t="e">
        <f>AND(#REF!,"AAAAAD+Qr5k=")</f>
        <v>#REF!</v>
      </c>
      <c r="EY183" t="e">
        <f>IF(#REF!,"AAAAAD+Qr5o=",0)</f>
        <v>#REF!</v>
      </c>
      <c r="EZ183" t="e">
        <f>AND(#REF!,"AAAAAD+Qr5s=")</f>
        <v>#REF!</v>
      </c>
      <c r="FA183" t="e">
        <f>AND(#REF!,"AAAAAD+Qr5w=")</f>
        <v>#REF!</v>
      </c>
      <c r="FB183" t="e">
        <f>AND(#REF!,"AAAAAD+Qr50=")</f>
        <v>#REF!</v>
      </c>
      <c r="FC183" t="e">
        <f>AND(#REF!,"AAAAAD+Qr54=")</f>
        <v>#REF!</v>
      </c>
      <c r="FD183" t="e">
        <f>AND(#REF!,"AAAAAD+Qr58=")</f>
        <v>#REF!</v>
      </c>
      <c r="FE183" t="e">
        <f>AND(#REF!,"AAAAAD+Qr6A=")</f>
        <v>#REF!</v>
      </c>
      <c r="FF183" t="e">
        <f>AND(#REF!,"AAAAAD+Qr6E=")</f>
        <v>#REF!</v>
      </c>
      <c r="FG183" t="e">
        <f>AND(#REF!,"AAAAAD+Qr6I=")</f>
        <v>#REF!</v>
      </c>
      <c r="FH183" t="e">
        <f>AND(#REF!,"AAAAAD+Qr6M=")</f>
        <v>#REF!</v>
      </c>
      <c r="FI183" t="e">
        <f>AND(#REF!,"AAAAAD+Qr6Q=")</f>
        <v>#REF!</v>
      </c>
      <c r="FJ183" t="e">
        <f>IF(#REF!,"AAAAAD+Qr6U=",0)</f>
        <v>#REF!</v>
      </c>
      <c r="FK183" t="e">
        <f>AND(#REF!,"AAAAAD+Qr6Y=")</f>
        <v>#REF!</v>
      </c>
      <c r="FL183" t="e">
        <f>AND(#REF!,"AAAAAD+Qr6c=")</f>
        <v>#REF!</v>
      </c>
      <c r="FM183" t="e">
        <f>AND(#REF!,"AAAAAD+Qr6g=")</f>
        <v>#REF!</v>
      </c>
      <c r="FN183" t="e">
        <f>AND(#REF!,"AAAAAD+Qr6k=")</f>
        <v>#REF!</v>
      </c>
      <c r="FO183" t="e">
        <f>AND(#REF!,"AAAAAD+Qr6o=")</f>
        <v>#REF!</v>
      </c>
      <c r="FP183" t="e">
        <f>AND(#REF!,"AAAAAD+Qr6s=")</f>
        <v>#REF!</v>
      </c>
      <c r="FQ183" t="e">
        <f>AND(#REF!,"AAAAAD+Qr6w=")</f>
        <v>#REF!</v>
      </c>
      <c r="FR183" t="e">
        <f>AND(#REF!,"AAAAAD+Qr60=")</f>
        <v>#REF!</v>
      </c>
      <c r="FS183" t="e">
        <f>AND(#REF!,"AAAAAD+Qr64=")</f>
        <v>#REF!</v>
      </c>
      <c r="FT183" t="e">
        <f>AND(#REF!,"AAAAAD+Qr68=")</f>
        <v>#REF!</v>
      </c>
      <c r="FU183" t="e">
        <f>IF(#REF!,"AAAAAD+Qr7A=",0)</f>
        <v>#REF!</v>
      </c>
      <c r="FV183" t="e">
        <f>AND(#REF!,"AAAAAD+Qr7E=")</f>
        <v>#REF!</v>
      </c>
      <c r="FW183" t="e">
        <f>AND(#REF!,"AAAAAD+Qr7I=")</f>
        <v>#REF!</v>
      </c>
      <c r="FX183" t="e">
        <f>AND(#REF!,"AAAAAD+Qr7M=")</f>
        <v>#REF!</v>
      </c>
      <c r="FY183" t="e">
        <f>AND(#REF!,"AAAAAD+Qr7Q=")</f>
        <v>#REF!</v>
      </c>
      <c r="FZ183" t="e">
        <f>AND(#REF!,"AAAAAD+Qr7U=")</f>
        <v>#REF!</v>
      </c>
      <c r="GA183" t="e">
        <f>AND(#REF!,"AAAAAD+Qr7Y=")</f>
        <v>#REF!</v>
      </c>
      <c r="GB183" t="e">
        <f>AND(#REF!,"AAAAAD+Qr7c=")</f>
        <v>#REF!</v>
      </c>
      <c r="GC183" t="e">
        <f>AND(#REF!,"AAAAAD+Qr7g=")</f>
        <v>#REF!</v>
      </c>
      <c r="GD183" t="e">
        <f>AND(#REF!,"AAAAAD+Qr7k=")</f>
        <v>#REF!</v>
      </c>
      <c r="GE183" t="e">
        <f>AND(#REF!,"AAAAAD+Qr7o=")</f>
        <v>#REF!</v>
      </c>
      <c r="GF183" t="e">
        <f>IF(#REF!,"AAAAAD+Qr7s=",0)</f>
        <v>#REF!</v>
      </c>
      <c r="GG183" t="e">
        <f>AND(#REF!,"AAAAAD+Qr7w=")</f>
        <v>#REF!</v>
      </c>
      <c r="GH183" t="e">
        <f>AND(#REF!,"AAAAAD+Qr70=")</f>
        <v>#REF!</v>
      </c>
      <c r="GI183" t="e">
        <f>AND(#REF!,"AAAAAD+Qr74=")</f>
        <v>#REF!</v>
      </c>
      <c r="GJ183" t="e">
        <f>AND(#REF!,"AAAAAD+Qr78=")</f>
        <v>#REF!</v>
      </c>
      <c r="GK183" t="e">
        <f>AND(#REF!,"AAAAAD+Qr8A=")</f>
        <v>#REF!</v>
      </c>
      <c r="GL183" t="e">
        <f>AND(#REF!,"AAAAAD+Qr8E=")</f>
        <v>#REF!</v>
      </c>
      <c r="GM183" t="e">
        <f>AND(#REF!,"AAAAAD+Qr8I=")</f>
        <v>#REF!</v>
      </c>
      <c r="GN183" t="e">
        <f>AND(#REF!,"AAAAAD+Qr8M=")</f>
        <v>#REF!</v>
      </c>
      <c r="GO183" t="e">
        <f>AND(#REF!,"AAAAAD+Qr8Q=")</f>
        <v>#REF!</v>
      </c>
      <c r="GP183" t="e">
        <f>AND(#REF!,"AAAAAD+Qr8U=")</f>
        <v>#REF!</v>
      </c>
      <c r="GQ183" t="e">
        <f>IF(#REF!,"AAAAAD+Qr8Y=",0)</f>
        <v>#REF!</v>
      </c>
      <c r="GR183" t="e">
        <f>AND(#REF!,"AAAAAD+Qr8c=")</f>
        <v>#REF!</v>
      </c>
      <c r="GS183" t="e">
        <f>AND(#REF!,"AAAAAD+Qr8g=")</f>
        <v>#REF!</v>
      </c>
      <c r="GT183" t="e">
        <f>AND(#REF!,"AAAAAD+Qr8k=")</f>
        <v>#REF!</v>
      </c>
      <c r="GU183" t="e">
        <f>AND(#REF!,"AAAAAD+Qr8o=")</f>
        <v>#REF!</v>
      </c>
      <c r="GV183" t="e">
        <f>AND(#REF!,"AAAAAD+Qr8s=")</f>
        <v>#REF!</v>
      </c>
      <c r="GW183" t="e">
        <f>AND(#REF!,"AAAAAD+Qr8w=")</f>
        <v>#REF!</v>
      </c>
      <c r="GX183" t="e">
        <f>AND(#REF!,"AAAAAD+Qr80=")</f>
        <v>#REF!</v>
      </c>
      <c r="GY183" t="e">
        <f>AND(#REF!,"AAAAAD+Qr84=")</f>
        <v>#REF!</v>
      </c>
      <c r="GZ183" t="e">
        <f>AND(#REF!,"AAAAAD+Qr88=")</f>
        <v>#REF!</v>
      </c>
      <c r="HA183" t="e">
        <f>AND(#REF!,"AAAAAD+Qr9A=")</f>
        <v>#REF!</v>
      </c>
      <c r="HB183" t="e">
        <f>IF(#REF!,"AAAAAD+Qr9E=",0)</f>
        <v>#REF!</v>
      </c>
      <c r="HC183" t="e">
        <f>AND(#REF!,"AAAAAD+Qr9I=")</f>
        <v>#REF!</v>
      </c>
      <c r="HD183" t="e">
        <f>AND(#REF!,"AAAAAD+Qr9M=")</f>
        <v>#REF!</v>
      </c>
      <c r="HE183" t="e">
        <f>AND(#REF!,"AAAAAD+Qr9Q=")</f>
        <v>#REF!</v>
      </c>
      <c r="HF183" t="e">
        <f>AND(#REF!,"AAAAAD+Qr9U=")</f>
        <v>#REF!</v>
      </c>
      <c r="HG183" t="e">
        <f>AND(#REF!,"AAAAAD+Qr9Y=")</f>
        <v>#REF!</v>
      </c>
      <c r="HH183" t="e">
        <f>AND(#REF!,"AAAAAD+Qr9c=")</f>
        <v>#REF!</v>
      </c>
      <c r="HI183" t="e">
        <f>AND(#REF!,"AAAAAD+Qr9g=")</f>
        <v>#REF!</v>
      </c>
      <c r="HJ183" t="e">
        <f>AND(#REF!,"AAAAAD+Qr9k=")</f>
        <v>#REF!</v>
      </c>
      <c r="HK183" t="e">
        <f>AND(#REF!,"AAAAAD+Qr9o=")</f>
        <v>#REF!</v>
      </c>
      <c r="HL183" t="e">
        <f>AND(#REF!,"AAAAAD+Qr9s=")</f>
        <v>#REF!</v>
      </c>
      <c r="HM183" t="e">
        <f>IF(#REF!,"AAAAAD+Qr9w=",0)</f>
        <v>#REF!</v>
      </c>
      <c r="HN183" t="e">
        <f>AND(#REF!,"AAAAAD+Qr90=")</f>
        <v>#REF!</v>
      </c>
      <c r="HO183" t="e">
        <f>AND(#REF!,"AAAAAD+Qr94=")</f>
        <v>#REF!</v>
      </c>
      <c r="HP183" t="e">
        <f>AND(#REF!,"AAAAAD+Qr98=")</f>
        <v>#REF!</v>
      </c>
      <c r="HQ183" t="e">
        <f>AND(#REF!,"AAAAAD+Qr+A=")</f>
        <v>#REF!</v>
      </c>
      <c r="HR183" t="e">
        <f>AND(#REF!,"AAAAAD+Qr+E=")</f>
        <v>#REF!</v>
      </c>
      <c r="HS183" t="e">
        <f>AND(#REF!,"AAAAAD+Qr+I=")</f>
        <v>#REF!</v>
      </c>
      <c r="HT183" t="e">
        <f>AND(#REF!,"AAAAAD+Qr+M=")</f>
        <v>#REF!</v>
      </c>
      <c r="HU183" t="e">
        <f>AND(#REF!,"AAAAAD+Qr+Q=")</f>
        <v>#REF!</v>
      </c>
      <c r="HV183" t="e">
        <f>AND(#REF!,"AAAAAD+Qr+U=")</f>
        <v>#REF!</v>
      </c>
      <c r="HW183" t="e">
        <f>AND(#REF!,"AAAAAD+Qr+Y=")</f>
        <v>#REF!</v>
      </c>
      <c r="HX183" t="e">
        <f>IF(#REF!,"AAAAAD+Qr+c=",0)</f>
        <v>#REF!</v>
      </c>
      <c r="HY183" t="e">
        <f>AND(#REF!,"AAAAAD+Qr+g=")</f>
        <v>#REF!</v>
      </c>
      <c r="HZ183" t="e">
        <f>AND(#REF!,"AAAAAD+Qr+k=")</f>
        <v>#REF!</v>
      </c>
      <c r="IA183" t="e">
        <f>AND(#REF!,"AAAAAD+Qr+o=")</f>
        <v>#REF!</v>
      </c>
      <c r="IB183" t="e">
        <f>AND(#REF!,"AAAAAD+Qr+s=")</f>
        <v>#REF!</v>
      </c>
      <c r="IC183" t="e">
        <f>AND(#REF!,"AAAAAD+Qr+w=")</f>
        <v>#REF!</v>
      </c>
      <c r="ID183" t="e">
        <f>AND(#REF!,"AAAAAD+Qr+0=")</f>
        <v>#REF!</v>
      </c>
      <c r="IE183" t="e">
        <f>AND(#REF!,"AAAAAD+Qr+4=")</f>
        <v>#REF!</v>
      </c>
      <c r="IF183" t="e">
        <f>AND(#REF!,"AAAAAD+Qr+8=")</f>
        <v>#REF!</v>
      </c>
      <c r="IG183" t="e">
        <f>AND(#REF!,"AAAAAD+Qr/A=")</f>
        <v>#REF!</v>
      </c>
      <c r="IH183" t="e">
        <f>AND(#REF!,"AAAAAD+Qr/E=")</f>
        <v>#REF!</v>
      </c>
      <c r="II183" t="e">
        <f>IF(#REF!,"AAAAAD+Qr/I=",0)</f>
        <v>#REF!</v>
      </c>
      <c r="IJ183" t="e">
        <f>AND(#REF!,"AAAAAD+Qr/M=")</f>
        <v>#REF!</v>
      </c>
      <c r="IK183" t="e">
        <f>AND(#REF!,"AAAAAD+Qr/Q=")</f>
        <v>#REF!</v>
      </c>
      <c r="IL183" t="e">
        <f>AND(#REF!,"AAAAAD+Qr/U=")</f>
        <v>#REF!</v>
      </c>
      <c r="IM183" t="e">
        <f>AND(#REF!,"AAAAAD+Qr/Y=")</f>
        <v>#REF!</v>
      </c>
      <c r="IN183" t="e">
        <f>AND(#REF!,"AAAAAD+Qr/c=")</f>
        <v>#REF!</v>
      </c>
      <c r="IO183" t="e">
        <f>AND(#REF!,"AAAAAD+Qr/g=")</f>
        <v>#REF!</v>
      </c>
      <c r="IP183" t="e">
        <f>AND(#REF!,"AAAAAD+Qr/k=")</f>
        <v>#REF!</v>
      </c>
      <c r="IQ183" t="e">
        <f>AND(#REF!,"AAAAAD+Qr/o=")</f>
        <v>#REF!</v>
      </c>
      <c r="IR183" t="e">
        <f>AND(#REF!,"AAAAAD+Qr/s=")</f>
        <v>#REF!</v>
      </c>
      <c r="IS183" t="e">
        <f>AND(#REF!,"AAAAAD+Qr/w=")</f>
        <v>#REF!</v>
      </c>
      <c r="IT183" t="e">
        <f>IF(#REF!,"AAAAAD+Qr/0=",0)</f>
        <v>#REF!</v>
      </c>
      <c r="IU183" t="e">
        <f>AND(#REF!,"AAAAAD+Qr/4=")</f>
        <v>#REF!</v>
      </c>
      <c r="IV183" t="e">
        <f>AND(#REF!,"AAAAAD+Qr/8=")</f>
        <v>#REF!</v>
      </c>
    </row>
    <row r="184" spans="1:256" x14ac:dyDescent="0.25">
      <c r="A184" t="e">
        <f>AND(#REF!,"AAAAAG++twA=")</f>
        <v>#REF!</v>
      </c>
      <c r="B184" t="e">
        <f>AND(#REF!,"AAAAAG++twE=")</f>
        <v>#REF!</v>
      </c>
      <c r="C184" t="e">
        <f>AND(#REF!,"AAAAAG++twI=")</f>
        <v>#REF!</v>
      </c>
      <c r="D184" t="e">
        <f>AND(#REF!,"AAAAAG++twM=")</f>
        <v>#REF!</v>
      </c>
      <c r="E184" t="e">
        <f>AND(#REF!,"AAAAAG++twQ=")</f>
        <v>#REF!</v>
      </c>
      <c r="F184" t="e">
        <f>AND(#REF!,"AAAAAG++twU=")</f>
        <v>#REF!</v>
      </c>
      <c r="G184" t="e">
        <f>AND(#REF!,"AAAAAG++twY=")</f>
        <v>#REF!</v>
      </c>
      <c r="H184" t="e">
        <f>AND(#REF!,"AAAAAG++twc=")</f>
        <v>#REF!</v>
      </c>
      <c r="I184" t="e">
        <f>IF(#REF!,"AAAAAG++twg=",0)</f>
        <v>#REF!</v>
      </c>
      <c r="J184" t="e">
        <f>AND(#REF!,"AAAAAG++twk=")</f>
        <v>#REF!</v>
      </c>
      <c r="K184" t="e">
        <f>AND(#REF!,"AAAAAG++two=")</f>
        <v>#REF!</v>
      </c>
      <c r="L184" t="e">
        <f>AND(#REF!,"AAAAAG++tws=")</f>
        <v>#REF!</v>
      </c>
      <c r="M184" t="e">
        <f>AND(#REF!,"AAAAAG++tww=")</f>
        <v>#REF!</v>
      </c>
      <c r="N184" t="e">
        <f>AND(#REF!,"AAAAAG++tw0=")</f>
        <v>#REF!</v>
      </c>
      <c r="O184" t="e">
        <f>AND(#REF!,"AAAAAG++tw4=")</f>
        <v>#REF!</v>
      </c>
      <c r="P184" t="e">
        <f>AND(#REF!,"AAAAAG++tw8=")</f>
        <v>#REF!</v>
      </c>
      <c r="Q184" t="e">
        <f>AND(#REF!,"AAAAAG++txA=")</f>
        <v>#REF!</v>
      </c>
      <c r="R184" t="e">
        <f>AND(#REF!,"AAAAAG++txE=")</f>
        <v>#REF!</v>
      </c>
      <c r="S184" t="e">
        <f>AND(#REF!,"AAAAAG++txI=")</f>
        <v>#REF!</v>
      </c>
      <c r="T184" t="e">
        <f>IF(#REF!,"AAAAAG++txM=",0)</f>
        <v>#REF!</v>
      </c>
      <c r="U184" t="e">
        <f>AND(#REF!,"AAAAAG++txQ=")</f>
        <v>#REF!</v>
      </c>
      <c r="V184" t="e">
        <f>AND(#REF!,"AAAAAG++txU=")</f>
        <v>#REF!</v>
      </c>
      <c r="W184" t="e">
        <f>AND(#REF!,"AAAAAG++txY=")</f>
        <v>#REF!</v>
      </c>
      <c r="X184" t="e">
        <f>AND(#REF!,"AAAAAG++txc=")</f>
        <v>#REF!</v>
      </c>
      <c r="Y184" t="e">
        <f>AND(#REF!,"AAAAAG++txg=")</f>
        <v>#REF!</v>
      </c>
      <c r="Z184" t="e">
        <f>AND(#REF!,"AAAAAG++txk=")</f>
        <v>#REF!</v>
      </c>
      <c r="AA184" t="e">
        <f>AND(#REF!,"AAAAAG++txo=")</f>
        <v>#REF!</v>
      </c>
      <c r="AB184" t="e">
        <f>AND(#REF!,"AAAAAG++txs=")</f>
        <v>#REF!</v>
      </c>
      <c r="AC184" t="e">
        <f>AND(#REF!,"AAAAAG++txw=")</f>
        <v>#REF!</v>
      </c>
      <c r="AD184" t="e">
        <f>AND(#REF!,"AAAAAG++tx0=")</f>
        <v>#REF!</v>
      </c>
      <c r="AE184" t="e">
        <f>IF(#REF!,"AAAAAG++tx4=",0)</f>
        <v>#REF!</v>
      </c>
      <c r="AF184" t="e">
        <f>AND(#REF!,"AAAAAG++tx8=")</f>
        <v>#REF!</v>
      </c>
      <c r="AG184" t="e">
        <f>AND(#REF!,"AAAAAG++tyA=")</f>
        <v>#REF!</v>
      </c>
      <c r="AH184" t="e">
        <f>AND(#REF!,"AAAAAG++tyE=")</f>
        <v>#REF!</v>
      </c>
      <c r="AI184" t="e">
        <f>AND(#REF!,"AAAAAG++tyI=")</f>
        <v>#REF!</v>
      </c>
      <c r="AJ184" t="e">
        <f>AND(#REF!,"AAAAAG++tyM=")</f>
        <v>#REF!</v>
      </c>
      <c r="AK184" t="e">
        <f>AND(#REF!,"AAAAAG++tyQ=")</f>
        <v>#REF!</v>
      </c>
      <c r="AL184" t="e">
        <f>AND(#REF!,"AAAAAG++tyU=")</f>
        <v>#REF!</v>
      </c>
      <c r="AM184" t="e">
        <f>AND(#REF!,"AAAAAG++tyY=")</f>
        <v>#REF!</v>
      </c>
      <c r="AN184" t="e">
        <f>AND(#REF!,"AAAAAG++tyc=")</f>
        <v>#REF!</v>
      </c>
      <c r="AO184" t="e">
        <f>AND(#REF!,"AAAAAG++tyg=")</f>
        <v>#REF!</v>
      </c>
      <c r="AP184" t="e">
        <f>IF(#REF!,"AAAAAG++tyk=",0)</f>
        <v>#REF!</v>
      </c>
      <c r="AQ184" t="e">
        <f>AND(#REF!,"AAAAAG++tyo=")</f>
        <v>#REF!</v>
      </c>
      <c r="AR184" t="e">
        <f>AND(#REF!,"AAAAAG++tys=")</f>
        <v>#REF!</v>
      </c>
      <c r="AS184" t="e">
        <f>AND(#REF!,"AAAAAG++tyw=")</f>
        <v>#REF!</v>
      </c>
      <c r="AT184" t="e">
        <f>AND(#REF!,"AAAAAG++ty0=")</f>
        <v>#REF!</v>
      </c>
      <c r="AU184" t="e">
        <f>AND(#REF!,"AAAAAG++ty4=")</f>
        <v>#REF!</v>
      </c>
      <c r="AV184" t="e">
        <f>AND(#REF!,"AAAAAG++ty8=")</f>
        <v>#REF!</v>
      </c>
      <c r="AW184" t="e">
        <f>AND(#REF!,"AAAAAG++tzA=")</f>
        <v>#REF!</v>
      </c>
      <c r="AX184" t="e">
        <f>AND(#REF!,"AAAAAG++tzE=")</f>
        <v>#REF!</v>
      </c>
      <c r="AY184" t="e">
        <f>AND(#REF!,"AAAAAG++tzI=")</f>
        <v>#REF!</v>
      </c>
      <c r="AZ184" t="e">
        <f>AND(#REF!,"AAAAAG++tzM=")</f>
        <v>#REF!</v>
      </c>
      <c r="BA184" t="e">
        <f>IF(#REF!,"AAAAAG++tzQ=",0)</f>
        <v>#REF!</v>
      </c>
      <c r="BB184" t="e">
        <f>AND(#REF!,"AAAAAG++tzU=")</f>
        <v>#REF!</v>
      </c>
      <c r="BC184" t="e">
        <f>AND(#REF!,"AAAAAG++tzY=")</f>
        <v>#REF!</v>
      </c>
      <c r="BD184" t="e">
        <f>AND(#REF!,"AAAAAG++tzc=")</f>
        <v>#REF!</v>
      </c>
      <c r="BE184" t="e">
        <f>AND(#REF!,"AAAAAG++tzg=")</f>
        <v>#REF!</v>
      </c>
      <c r="BF184" t="e">
        <f>AND(#REF!,"AAAAAG++tzk=")</f>
        <v>#REF!</v>
      </c>
      <c r="BG184" t="e">
        <f>AND(#REF!,"AAAAAG++tzo=")</f>
        <v>#REF!</v>
      </c>
      <c r="BH184" t="e">
        <f>AND(#REF!,"AAAAAG++tzs=")</f>
        <v>#REF!</v>
      </c>
      <c r="BI184" t="e">
        <f>AND(#REF!,"AAAAAG++tzw=")</f>
        <v>#REF!</v>
      </c>
      <c r="BJ184" t="e">
        <f>AND(#REF!,"AAAAAG++tz0=")</f>
        <v>#REF!</v>
      </c>
      <c r="BK184" t="e">
        <f>AND(#REF!,"AAAAAG++tz4=")</f>
        <v>#REF!</v>
      </c>
      <c r="BL184" t="e">
        <f>IF(#REF!,"AAAAAG++tz8=",0)</f>
        <v>#REF!</v>
      </c>
      <c r="BM184" t="e">
        <f>AND(#REF!,"AAAAAG++t0A=")</f>
        <v>#REF!</v>
      </c>
      <c r="BN184" t="e">
        <f>AND(#REF!,"AAAAAG++t0E=")</f>
        <v>#REF!</v>
      </c>
      <c r="BO184" t="e">
        <f>AND(#REF!,"AAAAAG++t0I=")</f>
        <v>#REF!</v>
      </c>
      <c r="BP184" t="e">
        <f>AND(#REF!,"AAAAAG++t0M=")</f>
        <v>#REF!</v>
      </c>
      <c r="BQ184" t="e">
        <f>AND(#REF!,"AAAAAG++t0Q=")</f>
        <v>#REF!</v>
      </c>
      <c r="BR184" t="e">
        <f>AND(#REF!,"AAAAAG++t0U=")</f>
        <v>#REF!</v>
      </c>
      <c r="BS184" t="e">
        <f>AND(#REF!,"AAAAAG++t0Y=")</f>
        <v>#REF!</v>
      </c>
      <c r="BT184" t="e">
        <f>AND(#REF!,"AAAAAG++t0c=")</f>
        <v>#REF!</v>
      </c>
      <c r="BU184" t="e">
        <f>AND(#REF!,"AAAAAG++t0g=")</f>
        <v>#REF!</v>
      </c>
      <c r="BV184" t="e">
        <f>AND(#REF!,"AAAAAG++t0k=")</f>
        <v>#REF!</v>
      </c>
      <c r="BW184" t="e">
        <f>IF(#REF!,"AAAAAG++t0o=",0)</f>
        <v>#REF!</v>
      </c>
      <c r="BX184" t="e">
        <f>AND(#REF!,"AAAAAG++t0s=")</f>
        <v>#REF!</v>
      </c>
      <c r="BY184" t="e">
        <f>AND(#REF!,"AAAAAG++t0w=")</f>
        <v>#REF!</v>
      </c>
      <c r="BZ184" t="e">
        <f>AND(#REF!,"AAAAAG++t00=")</f>
        <v>#REF!</v>
      </c>
      <c r="CA184" t="e">
        <f>AND(#REF!,"AAAAAG++t04=")</f>
        <v>#REF!</v>
      </c>
      <c r="CB184" t="e">
        <f>AND(#REF!,"AAAAAG++t08=")</f>
        <v>#REF!</v>
      </c>
      <c r="CC184" t="e">
        <f>AND(#REF!,"AAAAAG++t1A=")</f>
        <v>#REF!</v>
      </c>
      <c r="CD184" t="e">
        <f>AND(#REF!,"AAAAAG++t1E=")</f>
        <v>#REF!</v>
      </c>
      <c r="CE184" t="e">
        <f>AND(#REF!,"AAAAAG++t1I=")</f>
        <v>#REF!</v>
      </c>
      <c r="CF184" t="e">
        <f>AND(#REF!,"AAAAAG++t1M=")</f>
        <v>#REF!</v>
      </c>
      <c r="CG184" t="e">
        <f>AND(#REF!,"AAAAAG++t1Q=")</f>
        <v>#REF!</v>
      </c>
      <c r="CH184" t="e">
        <f>IF(#REF!,"AAAAAG++t1U=",0)</f>
        <v>#REF!</v>
      </c>
      <c r="CI184" t="e">
        <f>AND(#REF!,"AAAAAG++t1Y=")</f>
        <v>#REF!</v>
      </c>
      <c r="CJ184" t="e">
        <f>AND(#REF!,"AAAAAG++t1c=")</f>
        <v>#REF!</v>
      </c>
      <c r="CK184" t="e">
        <f>AND(#REF!,"AAAAAG++t1g=")</f>
        <v>#REF!</v>
      </c>
      <c r="CL184" t="e">
        <f>AND(#REF!,"AAAAAG++t1k=")</f>
        <v>#REF!</v>
      </c>
      <c r="CM184" t="e">
        <f>AND(#REF!,"AAAAAG++t1o=")</f>
        <v>#REF!</v>
      </c>
      <c r="CN184" t="e">
        <f>AND(#REF!,"AAAAAG++t1s=")</f>
        <v>#REF!</v>
      </c>
      <c r="CO184" t="e">
        <f>AND(#REF!,"AAAAAG++t1w=")</f>
        <v>#REF!</v>
      </c>
      <c r="CP184" t="e">
        <f>AND(#REF!,"AAAAAG++t10=")</f>
        <v>#REF!</v>
      </c>
      <c r="CQ184" t="e">
        <f>AND(#REF!,"AAAAAG++t14=")</f>
        <v>#REF!</v>
      </c>
      <c r="CR184" t="e">
        <f>AND(#REF!,"AAAAAG++t18=")</f>
        <v>#REF!</v>
      </c>
      <c r="CS184" t="e">
        <f>IF(#REF!,"AAAAAG++t2A=",0)</f>
        <v>#REF!</v>
      </c>
      <c r="CT184" t="e">
        <f>AND(#REF!,"AAAAAG++t2E=")</f>
        <v>#REF!</v>
      </c>
      <c r="CU184" t="e">
        <f>AND(#REF!,"AAAAAG++t2I=")</f>
        <v>#REF!</v>
      </c>
      <c r="CV184" t="e">
        <f>AND(#REF!,"AAAAAG++t2M=")</f>
        <v>#REF!</v>
      </c>
      <c r="CW184" t="e">
        <f>AND(#REF!,"AAAAAG++t2Q=")</f>
        <v>#REF!</v>
      </c>
      <c r="CX184" t="e">
        <f>AND(#REF!,"AAAAAG++t2U=")</f>
        <v>#REF!</v>
      </c>
      <c r="CY184" t="e">
        <f>AND(#REF!,"AAAAAG++t2Y=")</f>
        <v>#REF!</v>
      </c>
      <c r="CZ184" t="e">
        <f>AND(#REF!,"AAAAAG++t2c=")</f>
        <v>#REF!</v>
      </c>
      <c r="DA184" t="e">
        <f>AND(#REF!,"AAAAAG++t2g=")</f>
        <v>#REF!</v>
      </c>
      <c r="DB184" t="e">
        <f>AND(#REF!,"AAAAAG++t2k=")</f>
        <v>#REF!</v>
      </c>
      <c r="DC184" t="e">
        <f>AND(#REF!,"AAAAAG++t2o=")</f>
        <v>#REF!</v>
      </c>
      <c r="DD184" t="e">
        <f>IF(#REF!,"AAAAAG++t2s=",0)</f>
        <v>#REF!</v>
      </c>
      <c r="DE184" t="e">
        <f>AND(#REF!,"AAAAAG++t2w=")</f>
        <v>#REF!</v>
      </c>
      <c r="DF184" t="e">
        <f>AND(#REF!,"AAAAAG++t20=")</f>
        <v>#REF!</v>
      </c>
      <c r="DG184" t="e">
        <f>AND(#REF!,"AAAAAG++t24=")</f>
        <v>#REF!</v>
      </c>
      <c r="DH184" t="e">
        <f>AND(#REF!,"AAAAAG++t28=")</f>
        <v>#REF!</v>
      </c>
      <c r="DI184" t="e">
        <f>AND(#REF!,"AAAAAG++t3A=")</f>
        <v>#REF!</v>
      </c>
      <c r="DJ184" t="e">
        <f>AND(#REF!,"AAAAAG++t3E=")</f>
        <v>#REF!</v>
      </c>
      <c r="DK184" t="e">
        <f>AND(#REF!,"AAAAAG++t3I=")</f>
        <v>#REF!</v>
      </c>
      <c r="DL184" t="e">
        <f>AND(#REF!,"AAAAAG++t3M=")</f>
        <v>#REF!</v>
      </c>
      <c r="DM184" t="e">
        <f>AND(#REF!,"AAAAAG++t3Q=")</f>
        <v>#REF!</v>
      </c>
      <c r="DN184" t="e">
        <f>AND(#REF!,"AAAAAG++t3U=")</f>
        <v>#REF!</v>
      </c>
      <c r="DO184" t="e">
        <f>IF(#REF!,"AAAAAG++t3Y=",0)</f>
        <v>#REF!</v>
      </c>
      <c r="DP184" t="e">
        <f>AND(#REF!,"AAAAAG++t3c=")</f>
        <v>#REF!</v>
      </c>
      <c r="DQ184" t="e">
        <f>AND(#REF!,"AAAAAG++t3g=")</f>
        <v>#REF!</v>
      </c>
      <c r="DR184" t="e">
        <f>AND(#REF!,"AAAAAG++t3k=")</f>
        <v>#REF!</v>
      </c>
      <c r="DS184" t="e">
        <f>AND(#REF!,"AAAAAG++t3o=")</f>
        <v>#REF!</v>
      </c>
      <c r="DT184" t="e">
        <f>AND(#REF!,"AAAAAG++t3s=")</f>
        <v>#REF!</v>
      </c>
      <c r="DU184" t="e">
        <f>AND(#REF!,"AAAAAG++t3w=")</f>
        <v>#REF!</v>
      </c>
      <c r="DV184" t="e">
        <f>AND(#REF!,"AAAAAG++t30=")</f>
        <v>#REF!</v>
      </c>
      <c r="DW184" t="e">
        <f>AND(#REF!,"AAAAAG++t34=")</f>
        <v>#REF!</v>
      </c>
      <c r="DX184" t="e">
        <f>AND(#REF!,"AAAAAG++t38=")</f>
        <v>#REF!</v>
      </c>
      <c r="DY184" t="e">
        <f>AND(#REF!,"AAAAAG++t4A=")</f>
        <v>#REF!</v>
      </c>
      <c r="DZ184" t="e">
        <f>IF(#REF!,"AAAAAG++t4E=",0)</f>
        <v>#REF!</v>
      </c>
      <c r="EA184" t="e">
        <f>AND(#REF!,"AAAAAG++t4I=")</f>
        <v>#REF!</v>
      </c>
      <c r="EB184" t="e">
        <f>AND(#REF!,"AAAAAG++t4M=")</f>
        <v>#REF!</v>
      </c>
      <c r="EC184" t="e">
        <f>AND(#REF!,"AAAAAG++t4Q=")</f>
        <v>#REF!</v>
      </c>
      <c r="ED184" t="e">
        <f>AND(#REF!,"AAAAAG++t4U=")</f>
        <v>#REF!</v>
      </c>
      <c r="EE184" t="e">
        <f>AND(#REF!,"AAAAAG++t4Y=")</f>
        <v>#REF!</v>
      </c>
      <c r="EF184" t="e">
        <f>AND(#REF!,"AAAAAG++t4c=")</f>
        <v>#REF!</v>
      </c>
      <c r="EG184" t="e">
        <f>AND(#REF!,"AAAAAG++t4g=")</f>
        <v>#REF!</v>
      </c>
      <c r="EH184" t="e">
        <f>AND(#REF!,"AAAAAG++t4k=")</f>
        <v>#REF!</v>
      </c>
      <c r="EI184" t="e">
        <f>AND(#REF!,"AAAAAG++t4o=")</f>
        <v>#REF!</v>
      </c>
      <c r="EJ184" t="e">
        <f>AND(#REF!,"AAAAAG++t4s=")</f>
        <v>#REF!</v>
      </c>
      <c r="EK184" t="e">
        <f>IF(#REF!,"AAAAAG++t4w=",0)</f>
        <v>#REF!</v>
      </c>
      <c r="EL184" t="e">
        <f>AND(#REF!,"AAAAAG++t40=")</f>
        <v>#REF!</v>
      </c>
      <c r="EM184" t="e">
        <f>AND(#REF!,"AAAAAG++t44=")</f>
        <v>#REF!</v>
      </c>
      <c r="EN184" t="e">
        <f>AND(#REF!,"AAAAAG++t48=")</f>
        <v>#REF!</v>
      </c>
      <c r="EO184" t="e">
        <f>AND(#REF!,"AAAAAG++t5A=")</f>
        <v>#REF!</v>
      </c>
      <c r="EP184" t="e">
        <f>AND(#REF!,"AAAAAG++t5E=")</f>
        <v>#REF!</v>
      </c>
      <c r="EQ184" t="e">
        <f>AND(#REF!,"AAAAAG++t5I=")</f>
        <v>#REF!</v>
      </c>
      <c r="ER184" t="e">
        <f>AND(#REF!,"AAAAAG++t5M=")</f>
        <v>#REF!</v>
      </c>
      <c r="ES184" t="e">
        <f>AND(#REF!,"AAAAAG++t5Q=")</f>
        <v>#REF!</v>
      </c>
      <c r="ET184" t="e">
        <f>AND(#REF!,"AAAAAG++t5U=")</f>
        <v>#REF!</v>
      </c>
      <c r="EU184" t="e">
        <f>AND(#REF!,"AAAAAG++t5Y=")</f>
        <v>#REF!</v>
      </c>
      <c r="EV184" t="e">
        <f>IF(#REF!,"AAAAAG++t5c=",0)</f>
        <v>#REF!</v>
      </c>
      <c r="EW184" t="e">
        <f>AND(#REF!,"AAAAAG++t5g=")</f>
        <v>#REF!</v>
      </c>
      <c r="EX184" t="e">
        <f>AND(#REF!,"AAAAAG++t5k=")</f>
        <v>#REF!</v>
      </c>
      <c r="EY184" t="e">
        <f>AND(#REF!,"AAAAAG++t5o=")</f>
        <v>#REF!</v>
      </c>
      <c r="EZ184" t="e">
        <f>AND(#REF!,"AAAAAG++t5s=")</f>
        <v>#REF!</v>
      </c>
      <c r="FA184" t="e">
        <f>AND(#REF!,"AAAAAG++t5w=")</f>
        <v>#REF!</v>
      </c>
      <c r="FB184" t="e">
        <f>AND(#REF!,"AAAAAG++t50=")</f>
        <v>#REF!</v>
      </c>
      <c r="FC184" t="e">
        <f>AND(#REF!,"AAAAAG++t54=")</f>
        <v>#REF!</v>
      </c>
      <c r="FD184" t="e">
        <f>AND(#REF!,"AAAAAG++t58=")</f>
        <v>#REF!</v>
      </c>
      <c r="FE184" t="e">
        <f>AND(#REF!,"AAAAAG++t6A=")</f>
        <v>#REF!</v>
      </c>
      <c r="FF184" t="e">
        <f>AND(#REF!,"AAAAAG++t6E=")</f>
        <v>#REF!</v>
      </c>
      <c r="FG184" t="e">
        <f>IF(#REF!,"AAAAAG++t6I=",0)</f>
        <v>#REF!</v>
      </c>
      <c r="FH184" t="e">
        <f>AND(#REF!,"AAAAAG++t6M=")</f>
        <v>#REF!</v>
      </c>
      <c r="FI184" t="e">
        <f>AND(#REF!,"AAAAAG++t6Q=")</f>
        <v>#REF!</v>
      </c>
      <c r="FJ184" t="e">
        <f>AND(#REF!,"AAAAAG++t6U=")</f>
        <v>#REF!</v>
      </c>
      <c r="FK184" t="e">
        <f>AND(#REF!,"AAAAAG++t6Y=")</f>
        <v>#REF!</v>
      </c>
      <c r="FL184" t="e">
        <f>AND(#REF!,"AAAAAG++t6c=")</f>
        <v>#REF!</v>
      </c>
      <c r="FM184" t="e">
        <f>AND(#REF!,"AAAAAG++t6g=")</f>
        <v>#REF!</v>
      </c>
      <c r="FN184" t="e">
        <f>AND(#REF!,"AAAAAG++t6k=")</f>
        <v>#REF!</v>
      </c>
      <c r="FO184" t="e">
        <f>AND(#REF!,"AAAAAG++t6o=")</f>
        <v>#REF!</v>
      </c>
      <c r="FP184" t="e">
        <f>AND(#REF!,"AAAAAG++t6s=")</f>
        <v>#REF!</v>
      </c>
      <c r="FQ184" t="e">
        <f>AND(#REF!,"AAAAAG++t6w=")</f>
        <v>#REF!</v>
      </c>
      <c r="FR184" t="e">
        <f>IF(#REF!,"AAAAAG++t60=",0)</f>
        <v>#REF!</v>
      </c>
      <c r="FS184" t="e">
        <f>AND(#REF!,"AAAAAG++t64=")</f>
        <v>#REF!</v>
      </c>
      <c r="FT184" t="e">
        <f>AND(#REF!,"AAAAAG++t68=")</f>
        <v>#REF!</v>
      </c>
      <c r="FU184" t="e">
        <f>AND(#REF!,"AAAAAG++t7A=")</f>
        <v>#REF!</v>
      </c>
      <c r="FV184" t="e">
        <f>AND(#REF!,"AAAAAG++t7E=")</f>
        <v>#REF!</v>
      </c>
      <c r="FW184" t="e">
        <f>AND(#REF!,"AAAAAG++t7I=")</f>
        <v>#REF!</v>
      </c>
      <c r="FX184" t="e">
        <f>AND(#REF!,"AAAAAG++t7M=")</f>
        <v>#REF!</v>
      </c>
      <c r="FY184" t="e">
        <f>AND(#REF!,"AAAAAG++t7Q=")</f>
        <v>#REF!</v>
      </c>
      <c r="FZ184" t="e">
        <f>AND(#REF!,"AAAAAG++t7U=")</f>
        <v>#REF!</v>
      </c>
      <c r="GA184" t="e">
        <f>AND(#REF!,"AAAAAG++t7Y=")</f>
        <v>#REF!</v>
      </c>
      <c r="GB184" t="e">
        <f>AND(#REF!,"AAAAAG++t7c=")</f>
        <v>#REF!</v>
      </c>
      <c r="GC184" t="e">
        <f>IF(#REF!,"AAAAAG++t7g=",0)</f>
        <v>#REF!</v>
      </c>
      <c r="GD184" t="e">
        <f>AND(#REF!,"AAAAAG++t7k=")</f>
        <v>#REF!</v>
      </c>
      <c r="GE184" t="e">
        <f>AND(#REF!,"AAAAAG++t7o=")</f>
        <v>#REF!</v>
      </c>
      <c r="GF184" t="e">
        <f>AND(#REF!,"AAAAAG++t7s=")</f>
        <v>#REF!</v>
      </c>
      <c r="GG184" t="e">
        <f>AND(#REF!,"AAAAAG++t7w=")</f>
        <v>#REF!</v>
      </c>
      <c r="GH184" t="e">
        <f>AND(#REF!,"AAAAAG++t70=")</f>
        <v>#REF!</v>
      </c>
      <c r="GI184" t="e">
        <f>AND(#REF!,"AAAAAG++t74=")</f>
        <v>#REF!</v>
      </c>
      <c r="GJ184" t="e">
        <f>AND(#REF!,"AAAAAG++t78=")</f>
        <v>#REF!</v>
      </c>
      <c r="GK184" t="e">
        <f>AND(#REF!,"AAAAAG++t8A=")</f>
        <v>#REF!</v>
      </c>
      <c r="GL184" t="e">
        <f>AND(#REF!,"AAAAAG++t8E=")</f>
        <v>#REF!</v>
      </c>
      <c r="GM184" t="e">
        <f>AND(#REF!,"AAAAAG++t8I=")</f>
        <v>#REF!</v>
      </c>
      <c r="GN184" t="e">
        <f>IF(#REF!,"AAAAAG++t8M=",0)</f>
        <v>#REF!</v>
      </c>
      <c r="GO184" t="e">
        <f>AND(#REF!,"AAAAAG++t8Q=")</f>
        <v>#REF!</v>
      </c>
      <c r="GP184" t="e">
        <f>AND(#REF!,"AAAAAG++t8U=")</f>
        <v>#REF!</v>
      </c>
      <c r="GQ184" t="e">
        <f>AND(#REF!,"AAAAAG++t8Y=")</f>
        <v>#REF!</v>
      </c>
      <c r="GR184" t="e">
        <f>AND(#REF!,"AAAAAG++t8c=")</f>
        <v>#REF!</v>
      </c>
      <c r="GS184" t="e">
        <f>AND(#REF!,"AAAAAG++t8g=")</f>
        <v>#REF!</v>
      </c>
      <c r="GT184" t="e">
        <f>AND(#REF!,"AAAAAG++t8k=")</f>
        <v>#REF!</v>
      </c>
      <c r="GU184" t="e">
        <f>AND(#REF!,"AAAAAG++t8o=")</f>
        <v>#REF!</v>
      </c>
      <c r="GV184" t="e">
        <f>AND(#REF!,"AAAAAG++t8s=")</f>
        <v>#REF!</v>
      </c>
      <c r="GW184" t="e">
        <f>AND(#REF!,"AAAAAG++t8w=")</f>
        <v>#REF!</v>
      </c>
      <c r="GX184" t="e">
        <f>AND(#REF!,"AAAAAG++t80=")</f>
        <v>#REF!</v>
      </c>
      <c r="GY184" t="e">
        <f>IF(#REF!,"AAAAAG++t84=",0)</f>
        <v>#REF!</v>
      </c>
      <c r="GZ184" t="e">
        <f>AND(#REF!,"AAAAAG++t88=")</f>
        <v>#REF!</v>
      </c>
      <c r="HA184" t="e">
        <f>AND(#REF!,"AAAAAG++t9A=")</f>
        <v>#REF!</v>
      </c>
      <c r="HB184" t="e">
        <f>AND(#REF!,"AAAAAG++t9E=")</f>
        <v>#REF!</v>
      </c>
      <c r="HC184" t="e">
        <f>AND(#REF!,"AAAAAG++t9I=")</f>
        <v>#REF!</v>
      </c>
      <c r="HD184" t="e">
        <f>AND(#REF!,"AAAAAG++t9M=")</f>
        <v>#REF!</v>
      </c>
      <c r="HE184" t="e">
        <f>AND(#REF!,"AAAAAG++t9Q=")</f>
        <v>#REF!</v>
      </c>
      <c r="HF184" t="e">
        <f>AND(#REF!,"AAAAAG++t9U=")</f>
        <v>#REF!</v>
      </c>
      <c r="HG184" t="e">
        <f>AND(#REF!,"AAAAAG++t9Y=")</f>
        <v>#REF!</v>
      </c>
      <c r="HH184" t="e">
        <f>AND(#REF!,"AAAAAG++t9c=")</f>
        <v>#REF!</v>
      </c>
      <c r="HI184" t="e">
        <f>AND(#REF!,"AAAAAG++t9g=")</f>
        <v>#REF!</v>
      </c>
      <c r="HJ184" t="e">
        <f>IF(#REF!,"AAAAAG++t9k=",0)</f>
        <v>#REF!</v>
      </c>
      <c r="HK184" t="e">
        <f>AND(#REF!,"AAAAAG++t9o=")</f>
        <v>#REF!</v>
      </c>
      <c r="HL184" t="e">
        <f>AND(#REF!,"AAAAAG++t9s=")</f>
        <v>#REF!</v>
      </c>
      <c r="HM184" t="e">
        <f>AND(#REF!,"AAAAAG++t9w=")</f>
        <v>#REF!</v>
      </c>
      <c r="HN184" t="e">
        <f>AND(#REF!,"AAAAAG++t90=")</f>
        <v>#REF!</v>
      </c>
      <c r="HO184" t="e">
        <f>AND(#REF!,"AAAAAG++t94=")</f>
        <v>#REF!</v>
      </c>
      <c r="HP184" t="e">
        <f>AND(#REF!,"AAAAAG++t98=")</f>
        <v>#REF!</v>
      </c>
      <c r="HQ184" t="e">
        <f>AND(#REF!,"AAAAAG++t+A=")</f>
        <v>#REF!</v>
      </c>
      <c r="HR184" t="e">
        <f>AND(#REF!,"AAAAAG++t+E=")</f>
        <v>#REF!</v>
      </c>
      <c r="HS184" t="e">
        <f>AND(#REF!,"AAAAAG++t+I=")</f>
        <v>#REF!</v>
      </c>
      <c r="HT184" t="e">
        <f>AND(#REF!,"AAAAAG++t+M=")</f>
        <v>#REF!</v>
      </c>
      <c r="HU184" t="e">
        <f>IF(#REF!,"AAAAAG++t+Q=",0)</f>
        <v>#REF!</v>
      </c>
      <c r="HV184" t="e">
        <f>AND(#REF!,"AAAAAG++t+U=")</f>
        <v>#REF!</v>
      </c>
      <c r="HW184" t="e">
        <f>AND(#REF!,"AAAAAG++t+Y=")</f>
        <v>#REF!</v>
      </c>
      <c r="HX184" t="e">
        <f>AND(#REF!,"AAAAAG++t+c=")</f>
        <v>#REF!</v>
      </c>
      <c r="HY184" t="e">
        <f>AND(#REF!,"AAAAAG++t+g=")</f>
        <v>#REF!</v>
      </c>
      <c r="HZ184" t="e">
        <f>AND(#REF!,"AAAAAG++t+k=")</f>
        <v>#REF!</v>
      </c>
      <c r="IA184" t="e">
        <f>AND(#REF!,"AAAAAG++t+o=")</f>
        <v>#REF!</v>
      </c>
      <c r="IB184" t="e">
        <f>AND(#REF!,"AAAAAG++t+s=")</f>
        <v>#REF!</v>
      </c>
      <c r="IC184" t="e">
        <f>AND(#REF!,"AAAAAG++t+w=")</f>
        <v>#REF!</v>
      </c>
      <c r="ID184" t="e">
        <f>AND(#REF!,"AAAAAG++t+0=")</f>
        <v>#REF!</v>
      </c>
      <c r="IE184" t="e">
        <f>AND(#REF!,"AAAAAG++t+4=")</f>
        <v>#REF!</v>
      </c>
      <c r="IF184" t="e">
        <f>IF(#REF!,"AAAAAG++t+8=",0)</f>
        <v>#REF!</v>
      </c>
      <c r="IG184" t="e">
        <f>AND(#REF!,"AAAAAG++t/A=")</f>
        <v>#REF!</v>
      </c>
      <c r="IH184" t="e">
        <f>AND(#REF!,"AAAAAG++t/E=")</f>
        <v>#REF!</v>
      </c>
      <c r="II184" t="e">
        <f>AND(#REF!,"AAAAAG++t/I=")</f>
        <v>#REF!</v>
      </c>
      <c r="IJ184" t="e">
        <f>AND(#REF!,"AAAAAG++t/M=")</f>
        <v>#REF!</v>
      </c>
      <c r="IK184" t="e">
        <f>AND(#REF!,"AAAAAG++t/Q=")</f>
        <v>#REF!</v>
      </c>
      <c r="IL184" t="e">
        <f>AND(#REF!,"AAAAAG++t/U=")</f>
        <v>#REF!</v>
      </c>
      <c r="IM184" t="e">
        <f>AND(#REF!,"AAAAAG++t/Y=")</f>
        <v>#REF!</v>
      </c>
      <c r="IN184" t="e">
        <f>AND(#REF!,"AAAAAG++t/c=")</f>
        <v>#REF!</v>
      </c>
      <c r="IO184" t="e">
        <f>AND(#REF!,"AAAAAG++t/g=")</f>
        <v>#REF!</v>
      </c>
      <c r="IP184" t="e">
        <f>AND(#REF!,"AAAAAG++t/k=")</f>
        <v>#REF!</v>
      </c>
      <c r="IQ184" t="e">
        <f>IF(#REF!,"AAAAAG++t/o=",0)</f>
        <v>#REF!</v>
      </c>
      <c r="IR184" t="e">
        <f>AND(#REF!,"AAAAAG++t/s=")</f>
        <v>#REF!</v>
      </c>
      <c r="IS184" t="e">
        <f>AND(#REF!,"AAAAAG++t/w=")</f>
        <v>#REF!</v>
      </c>
      <c r="IT184" t="e">
        <f>AND(#REF!,"AAAAAG++t/0=")</f>
        <v>#REF!</v>
      </c>
      <c r="IU184" t="e">
        <f>AND(#REF!,"AAAAAG++t/4=")</f>
        <v>#REF!</v>
      </c>
      <c r="IV184" t="e">
        <f>AND(#REF!,"AAAAAG++t/8=")</f>
        <v>#REF!</v>
      </c>
    </row>
    <row r="185" spans="1:256" x14ac:dyDescent="0.25">
      <c r="A185" t="e">
        <f>AND(#REF!,"AAAAAFP+6wA=")</f>
        <v>#REF!</v>
      </c>
      <c r="B185" t="e">
        <f>AND(#REF!,"AAAAAFP+6wE=")</f>
        <v>#REF!</v>
      </c>
      <c r="C185" t="e">
        <f>AND(#REF!,"AAAAAFP+6wI=")</f>
        <v>#REF!</v>
      </c>
      <c r="D185" t="e">
        <f>AND(#REF!,"AAAAAFP+6wM=")</f>
        <v>#REF!</v>
      </c>
      <c r="E185" t="e">
        <f>AND(#REF!,"AAAAAFP+6wQ=")</f>
        <v>#REF!</v>
      </c>
      <c r="F185" t="e">
        <f>IF(#REF!,"AAAAAFP+6wU=",0)</f>
        <v>#REF!</v>
      </c>
      <c r="G185" t="e">
        <f>AND(#REF!,"AAAAAFP+6wY=")</f>
        <v>#REF!</v>
      </c>
      <c r="H185" t="e">
        <f>AND(#REF!,"AAAAAFP+6wc=")</f>
        <v>#REF!</v>
      </c>
      <c r="I185" t="e">
        <f>AND(#REF!,"AAAAAFP+6wg=")</f>
        <v>#REF!</v>
      </c>
      <c r="J185" t="e">
        <f>AND(#REF!,"AAAAAFP+6wk=")</f>
        <v>#REF!</v>
      </c>
      <c r="K185" t="e">
        <f>AND(#REF!,"AAAAAFP+6wo=")</f>
        <v>#REF!</v>
      </c>
      <c r="L185" t="e">
        <f>AND(#REF!,"AAAAAFP+6ws=")</f>
        <v>#REF!</v>
      </c>
      <c r="M185" t="e">
        <f>AND(#REF!,"AAAAAFP+6ww=")</f>
        <v>#REF!</v>
      </c>
      <c r="N185" t="e">
        <f>AND(#REF!,"AAAAAFP+6w0=")</f>
        <v>#REF!</v>
      </c>
      <c r="O185" t="e">
        <f>AND(#REF!,"AAAAAFP+6w4=")</f>
        <v>#REF!</v>
      </c>
      <c r="P185" t="e">
        <f>AND(#REF!,"AAAAAFP+6w8=")</f>
        <v>#REF!</v>
      </c>
      <c r="Q185" t="e">
        <f>IF(#REF!,"AAAAAFP+6xA=",0)</f>
        <v>#REF!</v>
      </c>
      <c r="R185" t="e">
        <f>AND(#REF!,"AAAAAFP+6xE=")</f>
        <v>#REF!</v>
      </c>
      <c r="S185" t="e">
        <f>AND(#REF!,"AAAAAFP+6xI=")</f>
        <v>#REF!</v>
      </c>
      <c r="T185" t="e">
        <f>AND(#REF!,"AAAAAFP+6xM=")</f>
        <v>#REF!</v>
      </c>
      <c r="U185" t="e">
        <f>AND(#REF!,"AAAAAFP+6xQ=")</f>
        <v>#REF!</v>
      </c>
      <c r="V185" t="e">
        <f>AND(#REF!,"AAAAAFP+6xU=")</f>
        <v>#REF!</v>
      </c>
      <c r="W185" t="e">
        <f>AND(#REF!,"AAAAAFP+6xY=")</f>
        <v>#REF!</v>
      </c>
      <c r="X185" t="e">
        <f>AND(#REF!,"AAAAAFP+6xc=")</f>
        <v>#REF!</v>
      </c>
      <c r="Y185" t="e">
        <f>AND(#REF!,"AAAAAFP+6xg=")</f>
        <v>#REF!</v>
      </c>
      <c r="Z185" t="e">
        <f>AND(#REF!,"AAAAAFP+6xk=")</f>
        <v>#REF!</v>
      </c>
      <c r="AA185" t="e">
        <f>AND(#REF!,"AAAAAFP+6xo=")</f>
        <v>#REF!</v>
      </c>
      <c r="AB185" t="e">
        <f>IF(#REF!,"AAAAAFP+6xs=",0)</f>
        <v>#REF!</v>
      </c>
      <c r="AC185" t="e">
        <f>AND(#REF!,"AAAAAFP+6xw=")</f>
        <v>#REF!</v>
      </c>
      <c r="AD185" t="e">
        <f>AND(#REF!,"AAAAAFP+6x0=")</f>
        <v>#REF!</v>
      </c>
      <c r="AE185" t="e">
        <f>AND(#REF!,"AAAAAFP+6x4=")</f>
        <v>#REF!</v>
      </c>
      <c r="AF185" t="e">
        <f>AND(#REF!,"AAAAAFP+6x8=")</f>
        <v>#REF!</v>
      </c>
      <c r="AG185" t="e">
        <f>AND(#REF!,"AAAAAFP+6yA=")</f>
        <v>#REF!</v>
      </c>
      <c r="AH185" t="e">
        <f>AND(#REF!,"AAAAAFP+6yE=")</f>
        <v>#REF!</v>
      </c>
      <c r="AI185" t="e">
        <f>AND(#REF!,"AAAAAFP+6yI=")</f>
        <v>#REF!</v>
      </c>
      <c r="AJ185" t="e">
        <f>AND(#REF!,"AAAAAFP+6yM=")</f>
        <v>#REF!</v>
      </c>
      <c r="AK185" t="e">
        <f>AND(#REF!,"AAAAAFP+6yQ=")</f>
        <v>#REF!</v>
      </c>
      <c r="AL185" t="e">
        <f>AND(#REF!,"AAAAAFP+6yU=")</f>
        <v>#REF!</v>
      </c>
      <c r="AM185" t="e">
        <f>IF(#REF!,"AAAAAFP+6yY=",0)</f>
        <v>#REF!</v>
      </c>
      <c r="AN185" t="e">
        <f>AND(#REF!,"AAAAAFP+6yc=")</f>
        <v>#REF!</v>
      </c>
      <c r="AO185" t="e">
        <f>AND(#REF!,"AAAAAFP+6yg=")</f>
        <v>#REF!</v>
      </c>
      <c r="AP185" t="e">
        <f>AND(#REF!,"AAAAAFP+6yk=")</f>
        <v>#REF!</v>
      </c>
      <c r="AQ185" t="e">
        <f>AND(#REF!,"AAAAAFP+6yo=")</f>
        <v>#REF!</v>
      </c>
      <c r="AR185" t="e">
        <f>AND(#REF!,"AAAAAFP+6ys=")</f>
        <v>#REF!</v>
      </c>
      <c r="AS185" t="e">
        <f>AND(#REF!,"AAAAAFP+6yw=")</f>
        <v>#REF!</v>
      </c>
      <c r="AT185" t="e">
        <f>AND(#REF!,"AAAAAFP+6y0=")</f>
        <v>#REF!</v>
      </c>
      <c r="AU185" t="e">
        <f>AND(#REF!,"AAAAAFP+6y4=")</f>
        <v>#REF!</v>
      </c>
      <c r="AV185" t="e">
        <f>AND(#REF!,"AAAAAFP+6y8=")</f>
        <v>#REF!</v>
      </c>
      <c r="AW185" t="e">
        <f>AND(#REF!,"AAAAAFP+6zA=")</f>
        <v>#REF!</v>
      </c>
      <c r="AX185" t="e">
        <f>IF(#REF!,"AAAAAFP+6zE=",0)</f>
        <v>#REF!</v>
      </c>
      <c r="AY185" t="e">
        <f>AND(#REF!,"AAAAAFP+6zI=")</f>
        <v>#REF!</v>
      </c>
      <c r="AZ185" t="e">
        <f>AND(#REF!,"AAAAAFP+6zM=")</f>
        <v>#REF!</v>
      </c>
      <c r="BA185" t="e">
        <f>AND(#REF!,"AAAAAFP+6zQ=")</f>
        <v>#REF!</v>
      </c>
      <c r="BB185" t="e">
        <f>AND(#REF!,"AAAAAFP+6zU=")</f>
        <v>#REF!</v>
      </c>
      <c r="BC185" t="e">
        <f>AND(#REF!,"AAAAAFP+6zY=")</f>
        <v>#REF!</v>
      </c>
      <c r="BD185" t="e">
        <f>AND(#REF!,"AAAAAFP+6zc=")</f>
        <v>#REF!</v>
      </c>
      <c r="BE185" t="e">
        <f>AND(#REF!,"AAAAAFP+6zg=")</f>
        <v>#REF!</v>
      </c>
      <c r="BF185" t="e">
        <f>AND(#REF!,"AAAAAFP+6zk=")</f>
        <v>#REF!</v>
      </c>
      <c r="BG185" t="e">
        <f>AND(#REF!,"AAAAAFP+6zo=")</f>
        <v>#REF!</v>
      </c>
      <c r="BH185" t="e">
        <f>AND(#REF!,"AAAAAFP+6zs=")</f>
        <v>#REF!</v>
      </c>
      <c r="BI185" t="e">
        <f>IF(#REF!,"AAAAAFP+6zw=",0)</f>
        <v>#REF!</v>
      </c>
      <c r="BJ185" t="e">
        <f>AND(#REF!,"AAAAAFP+6z0=")</f>
        <v>#REF!</v>
      </c>
      <c r="BK185" t="e">
        <f>AND(#REF!,"AAAAAFP+6z4=")</f>
        <v>#REF!</v>
      </c>
      <c r="BL185" t="e">
        <f>AND(#REF!,"AAAAAFP+6z8=")</f>
        <v>#REF!</v>
      </c>
      <c r="BM185" t="e">
        <f>AND(#REF!,"AAAAAFP+60A=")</f>
        <v>#REF!</v>
      </c>
      <c r="BN185" t="e">
        <f>AND(#REF!,"AAAAAFP+60E=")</f>
        <v>#REF!</v>
      </c>
      <c r="BO185" t="e">
        <f>AND(#REF!,"AAAAAFP+60I=")</f>
        <v>#REF!</v>
      </c>
      <c r="BP185" t="e">
        <f>AND(#REF!,"AAAAAFP+60M=")</f>
        <v>#REF!</v>
      </c>
      <c r="BQ185" t="e">
        <f>AND(#REF!,"AAAAAFP+60Q=")</f>
        <v>#REF!</v>
      </c>
      <c r="BR185" t="e">
        <f>AND(#REF!,"AAAAAFP+60U=")</f>
        <v>#REF!</v>
      </c>
      <c r="BS185" t="e">
        <f>AND(#REF!,"AAAAAFP+60Y=")</f>
        <v>#REF!</v>
      </c>
      <c r="BT185" t="e">
        <f>IF(#REF!,"AAAAAFP+60c=",0)</f>
        <v>#REF!</v>
      </c>
      <c r="BU185" t="e">
        <f>AND(#REF!,"AAAAAFP+60g=")</f>
        <v>#REF!</v>
      </c>
      <c r="BV185" t="e">
        <f>AND(#REF!,"AAAAAFP+60k=")</f>
        <v>#REF!</v>
      </c>
      <c r="BW185" t="e">
        <f>AND(#REF!,"AAAAAFP+60o=")</f>
        <v>#REF!</v>
      </c>
      <c r="BX185" t="e">
        <f>AND(#REF!,"AAAAAFP+60s=")</f>
        <v>#REF!</v>
      </c>
      <c r="BY185" t="e">
        <f>AND(#REF!,"AAAAAFP+60w=")</f>
        <v>#REF!</v>
      </c>
      <c r="BZ185" t="e">
        <f>AND(#REF!,"AAAAAFP+600=")</f>
        <v>#REF!</v>
      </c>
      <c r="CA185" t="e">
        <f>AND(#REF!,"AAAAAFP+604=")</f>
        <v>#REF!</v>
      </c>
      <c r="CB185" t="e">
        <f>AND(#REF!,"AAAAAFP+608=")</f>
        <v>#REF!</v>
      </c>
      <c r="CC185" t="e">
        <f>AND(#REF!,"AAAAAFP+61A=")</f>
        <v>#REF!</v>
      </c>
      <c r="CD185" t="e">
        <f>AND(#REF!,"AAAAAFP+61E=")</f>
        <v>#REF!</v>
      </c>
      <c r="CE185" t="e">
        <f>IF(#REF!,"AAAAAFP+61I=",0)</f>
        <v>#REF!</v>
      </c>
      <c r="CF185" t="e">
        <f>AND(#REF!,"AAAAAFP+61M=")</f>
        <v>#REF!</v>
      </c>
      <c r="CG185" t="e">
        <f>AND(#REF!,"AAAAAFP+61Q=")</f>
        <v>#REF!</v>
      </c>
      <c r="CH185" t="e">
        <f>AND(#REF!,"AAAAAFP+61U=")</f>
        <v>#REF!</v>
      </c>
      <c r="CI185" t="e">
        <f>AND(#REF!,"AAAAAFP+61Y=")</f>
        <v>#REF!</v>
      </c>
      <c r="CJ185" t="e">
        <f>AND(#REF!,"AAAAAFP+61c=")</f>
        <v>#REF!</v>
      </c>
      <c r="CK185" t="e">
        <f>AND(#REF!,"AAAAAFP+61g=")</f>
        <v>#REF!</v>
      </c>
      <c r="CL185" t="e">
        <f>AND(#REF!,"AAAAAFP+61k=")</f>
        <v>#REF!</v>
      </c>
      <c r="CM185" t="e">
        <f>AND(#REF!,"AAAAAFP+61o=")</f>
        <v>#REF!</v>
      </c>
      <c r="CN185" t="e">
        <f>AND(#REF!,"AAAAAFP+61s=")</f>
        <v>#REF!</v>
      </c>
      <c r="CO185" t="e">
        <f>AND(#REF!,"AAAAAFP+61w=")</f>
        <v>#REF!</v>
      </c>
      <c r="CP185" t="e">
        <f>IF(#REF!,"AAAAAFP+610=",0)</f>
        <v>#REF!</v>
      </c>
      <c r="CQ185" t="e">
        <f>AND(#REF!,"AAAAAFP+614=")</f>
        <v>#REF!</v>
      </c>
      <c r="CR185" t="e">
        <f>AND(#REF!,"AAAAAFP+618=")</f>
        <v>#REF!</v>
      </c>
      <c r="CS185" t="e">
        <f>AND(#REF!,"AAAAAFP+62A=")</f>
        <v>#REF!</v>
      </c>
      <c r="CT185" t="e">
        <f>AND(#REF!,"AAAAAFP+62E=")</f>
        <v>#REF!</v>
      </c>
      <c r="CU185" t="e">
        <f>AND(#REF!,"AAAAAFP+62I=")</f>
        <v>#REF!</v>
      </c>
      <c r="CV185" t="e">
        <f>AND(#REF!,"AAAAAFP+62M=")</f>
        <v>#REF!</v>
      </c>
      <c r="CW185" t="e">
        <f>AND(#REF!,"AAAAAFP+62Q=")</f>
        <v>#REF!</v>
      </c>
      <c r="CX185" t="e">
        <f>AND(#REF!,"AAAAAFP+62U=")</f>
        <v>#REF!</v>
      </c>
      <c r="CY185" t="e">
        <f>AND(#REF!,"AAAAAFP+62Y=")</f>
        <v>#REF!</v>
      </c>
      <c r="CZ185" t="e">
        <f>AND(#REF!,"AAAAAFP+62c=")</f>
        <v>#REF!</v>
      </c>
      <c r="DA185" t="e">
        <f>IF(#REF!,"AAAAAFP+62g=",0)</f>
        <v>#REF!</v>
      </c>
      <c r="DB185" t="e">
        <f>AND(#REF!,"AAAAAFP+62k=")</f>
        <v>#REF!</v>
      </c>
      <c r="DC185" t="e">
        <f>AND(#REF!,"AAAAAFP+62o=")</f>
        <v>#REF!</v>
      </c>
      <c r="DD185" t="e">
        <f>AND(#REF!,"AAAAAFP+62s=")</f>
        <v>#REF!</v>
      </c>
      <c r="DE185" t="e">
        <f>AND(#REF!,"AAAAAFP+62w=")</f>
        <v>#REF!</v>
      </c>
      <c r="DF185" t="e">
        <f>AND(#REF!,"AAAAAFP+620=")</f>
        <v>#REF!</v>
      </c>
      <c r="DG185" t="e">
        <f>AND(#REF!,"AAAAAFP+624=")</f>
        <v>#REF!</v>
      </c>
      <c r="DH185" t="e">
        <f>AND(#REF!,"AAAAAFP+628=")</f>
        <v>#REF!</v>
      </c>
      <c r="DI185" t="e">
        <f>AND(#REF!,"AAAAAFP+63A=")</f>
        <v>#REF!</v>
      </c>
      <c r="DJ185" t="e">
        <f>AND(#REF!,"AAAAAFP+63E=")</f>
        <v>#REF!</v>
      </c>
      <c r="DK185" t="e">
        <f>AND(#REF!,"AAAAAFP+63I=")</f>
        <v>#REF!</v>
      </c>
      <c r="DL185" t="e">
        <f>IF(#REF!,"AAAAAFP+63M=",0)</f>
        <v>#REF!</v>
      </c>
      <c r="DM185" t="e">
        <f>AND(#REF!,"AAAAAFP+63Q=")</f>
        <v>#REF!</v>
      </c>
      <c r="DN185" t="e">
        <f>AND(#REF!,"AAAAAFP+63U=")</f>
        <v>#REF!</v>
      </c>
      <c r="DO185" t="e">
        <f>AND(#REF!,"AAAAAFP+63Y=")</f>
        <v>#REF!</v>
      </c>
      <c r="DP185" t="e">
        <f>AND(#REF!,"AAAAAFP+63c=")</f>
        <v>#REF!</v>
      </c>
      <c r="DQ185" t="e">
        <f>AND(#REF!,"AAAAAFP+63g=")</f>
        <v>#REF!</v>
      </c>
      <c r="DR185" t="e">
        <f>AND(#REF!,"AAAAAFP+63k=")</f>
        <v>#REF!</v>
      </c>
      <c r="DS185" t="e">
        <f>AND(#REF!,"AAAAAFP+63o=")</f>
        <v>#REF!</v>
      </c>
      <c r="DT185" t="e">
        <f>AND(#REF!,"AAAAAFP+63s=")</f>
        <v>#REF!</v>
      </c>
      <c r="DU185" t="e">
        <f>AND(#REF!,"AAAAAFP+63w=")</f>
        <v>#REF!</v>
      </c>
      <c r="DV185" t="e">
        <f>AND(#REF!,"AAAAAFP+630=")</f>
        <v>#REF!</v>
      </c>
      <c r="DW185" t="e">
        <f>IF(#REF!,"AAAAAFP+634=",0)</f>
        <v>#REF!</v>
      </c>
      <c r="DX185" t="e">
        <f>AND(#REF!,"AAAAAFP+638=")</f>
        <v>#REF!</v>
      </c>
      <c r="DY185" t="e">
        <f>AND(#REF!,"AAAAAFP+64A=")</f>
        <v>#REF!</v>
      </c>
      <c r="DZ185" t="e">
        <f>AND(#REF!,"AAAAAFP+64E=")</f>
        <v>#REF!</v>
      </c>
      <c r="EA185" t="e">
        <f>AND(#REF!,"AAAAAFP+64I=")</f>
        <v>#REF!</v>
      </c>
      <c r="EB185" t="e">
        <f>AND(#REF!,"AAAAAFP+64M=")</f>
        <v>#REF!</v>
      </c>
      <c r="EC185" t="e">
        <f>AND(#REF!,"AAAAAFP+64Q=")</f>
        <v>#REF!</v>
      </c>
      <c r="ED185" t="e">
        <f>AND(#REF!,"AAAAAFP+64U=")</f>
        <v>#REF!</v>
      </c>
      <c r="EE185" t="e">
        <f>AND(#REF!,"AAAAAFP+64Y=")</f>
        <v>#REF!</v>
      </c>
      <c r="EF185" t="e">
        <f>AND(#REF!,"AAAAAFP+64c=")</f>
        <v>#REF!</v>
      </c>
      <c r="EG185" t="e">
        <f>AND(#REF!,"AAAAAFP+64g=")</f>
        <v>#REF!</v>
      </c>
      <c r="EH185" t="e">
        <f>IF(#REF!,"AAAAAFP+64k=",0)</f>
        <v>#REF!</v>
      </c>
      <c r="EI185" t="e">
        <f>AND(#REF!,"AAAAAFP+64o=")</f>
        <v>#REF!</v>
      </c>
      <c r="EJ185" t="e">
        <f>AND(#REF!,"AAAAAFP+64s=")</f>
        <v>#REF!</v>
      </c>
      <c r="EK185" t="e">
        <f>AND(#REF!,"AAAAAFP+64w=")</f>
        <v>#REF!</v>
      </c>
      <c r="EL185" t="e">
        <f>AND(#REF!,"AAAAAFP+640=")</f>
        <v>#REF!</v>
      </c>
      <c r="EM185" t="e">
        <f>AND(#REF!,"AAAAAFP+644=")</f>
        <v>#REF!</v>
      </c>
      <c r="EN185" t="e">
        <f>AND(#REF!,"AAAAAFP+648=")</f>
        <v>#REF!</v>
      </c>
      <c r="EO185" t="e">
        <f>AND(#REF!,"AAAAAFP+65A=")</f>
        <v>#REF!</v>
      </c>
      <c r="EP185" t="e">
        <f>AND(#REF!,"AAAAAFP+65E=")</f>
        <v>#REF!</v>
      </c>
      <c r="EQ185" t="e">
        <f>AND(#REF!,"AAAAAFP+65I=")</f>
        <v>#REF!</v>
      </c>
      <c r="ER185" t="e">
        <f>AND(#REF!,"AAAAAFP+65M=")</f>
        <v>#REF!</v>
      </c>
      <c r="ES185" t="e">
        <f>IF(#REF!,"AAAAAFP+65Q=",0)</f>
        <v>#REF!</v>
      </c>
      <c r="ET185" t="e">
        <f>AND(#REF!,"AAAAAFP+65U=")</f>
        <v>#REF!</v>
      </c>
      <c r="EU185" t="e">
        <f>AND(#REF!,"AAAAAFP+65Y=")</f>
        <v>#REF!</v>
      </c>
      <c r="EV185" t="e">
        <f>AND(#REF!,"AAAAAFP+65c=")</f>
        <v>#REF!</v>
      </c>
      <c r="EW185" t="e">
        <f>AND(#REF!,"AAAAAFP+65g=")</f>
        <v>#REF!</v>
      </c>
      <c r="EX185" t="e">
        <f>AND(#REF!,"AAAAAFP+65k=")</f>
        <v>#REF!</v>
      </c>
      <c r="EY185" t="e">
        <f>AND(#REF!,"AAAAAFP+65o=")</f>
        <v>#REF!</v>
      </c>
      <c r="EZ185" t="e">
        <f>AND(#REF!,"AAAAAFP+65s=")</f>
        <v>#REF!</v>
      </c>
      <c r="FA185" t="e">
        <f>AND(#REF!,"AAAAAFP+65w=")</f>
        <v>#REF!</v>
      </c>
      <c r="FB185" t="e">
        <f>AND(#REF!,"AAAAAFP+650=")</f>
        <v>#REF!</v>
      </c>
      <c r="FC185" t="e">
        <f>AND(#REF!,"AAAAAFP+654=")</f>
        <v>#REF!</v>
      </c>
      <c r="FD185" t="e">
        <f>IF(#REF!,"AAAAAFP+658=",0)</f>
        <v>#REF!</v>
      </c>
      <c r="FE185" t="e">
        <f>AND(#REF!,"AAAAAFP+66A=")</f>
        <v>#REF!</v>
      </c>
      <c r="FF185" t="e">
        <f>AND(#REF!,"AAAAAFP+66E=")</f>
        <v>#REF!</v>
      </c>
      <c r="FG185" t="e">
        <f>AND(#REF!,"AAAAAFP+66I=")</f>
        <v>#REF!</v>
      </c>
      <c r="FH185" t="e">
        <f>AND(#REF!,"AAAAAFP+66M=")</f>
        <v>#REF!</v>
      </c>
      <c r="FI185" t="e">
        <f>AND(#REF!,"AAAAAFP+66Q=")</f>
        <v>#REF!</v>
      </c>
      <c r="FJ185" t="e">
        <f>AND(#REF!,"AAAAAFP+66U=")</f>
        <v>#REF!</v>
      </c>
      <c r="FK185" t="e">
        <f>AND(#REF!,"AAAAAFP+66Y=")</f>
        <v>#REF!</v>
      </c>
      <c r="FL185" t="e">
        <f>AND(#REF!,"AAAAAFP+66c=")</f>
        <v>#REF!</v>
      </c>
      <c r="FM185" t="e">
        <f>AND(#REF!,"AAAAAFP+66g=")</f>
        <v>#REF!</v>
      </c>
      <c r="FN185" t="e">
        <f>AND(#REF!,"AAAAAFP+66k=")</f>
        <v>#REF!</v>
      </c>
      <c r="FO185" t="e">
        <f>IF(#REF!,"AAAAAFP+66o=",0)</f>
        <v>#REF!</v>
      </c>
      <c r="FP185" t="e">
        <f>AND(#REF!,"AAAAAFP+66s=")</f>
        <v>#REF!</v>
      </c>
      <c r="FQ185" t="e">
        <f>AND(#REF!,"AAAAAFP+66w=")</f>
        <v>#REF!</v>
      </c>
      <c r="FR185" t="e">
        <f>AND(#REF!,"AAAAAFP+660=")</f>
        <v>#REF!</v>
      </c>
      <c r="FS185" t="e">
        <f>AND(#REF!,"AAAAAFP+664=")</f>
        <v>#REF!</v>
      </c>
      <c r="FT185" t="e">
        <f>AND(#REF!,"AAAAAFP+668=")</f>
        <v>#REF!</v>
      </c>
      <c r="FU185" t="e">
        <f>AND(#REF!,"AAAAAFP+67A=")</f>
        <v>#REF!</v>
      </c>
      <c r="FV185" t="e">
        <f>AND(#REF!,"AAAAAFP+67E=")</f>
        <v>#REF!</v>
      </c>
      <c r="FW185" t="e">
        <f>AND(#REF!,"AAAAAFP+67I=")</f>
        <v>#REF!</v>
      </c>
      <c r="FX185" t="e">
        <f>AND(#REF!,"AAAAAFP+67M=")</f>
        <v>#REF!</v>
      </c>
      <c r="FY185" t="e">
        <f>AND(#REF!,"AAAAAFP+67Q=")</f>
        <v>#REF!</v>
      </c>
      <c r="FZ185" t="e">
        <f>IF(#REF!,"AAAAAFP+67U=",0)</f>
        <v>#REF!</v>
      </c>
      <c r="GA185" t="e">
        <f>AND(#REF!,"AAAAAFP+67Y=")</f>
        <v>#REF!</v>
      </c>
      <c r="GB185" t="e">
        <f>AND(#REF!,"AAAAAFP+67c=")</f>
        <v>#REF!</v>
      </c>
      <c r="GC185" t="e">
        <f>AND(#REF!,"AAAAAFP+67g=")</f>
        <v>#REF!</v>
      </c>
      <c r="GD185" t="e">
        <f>AND(#REF!,"AAAAAFP+67k=")</f>
        <v>#REF!</v>
      </c>
      <c r="GE185" t="e">
        <f>AND(#REF!,"AAAAAFP+67o=")</f>
        <v>#REF!</v>
      </c>
      <c r="GF185" t="e">
        <f>AND(#REF!,"AAAAAFP+67s=")</f>
        <v>#REF!</v>
      </c>
      <c r="GG185" t="e">
        <f>AND(#REF!,"AAAAAFP+67w=")</f>
        <v>#REF!</v>
      </c>
      <c r="GH185" t="e">
        <f>AND(#REF!,"AAAAAFP+670=")</f>
        <v>#REF!</v>
      </c>
      <c r="GI185" t="e">
        <f>AND(#REF!,"AAAAAFP+674=")</f>
        <v>#REF!</v>
      </c>
      <c r="GJ185" t="e">
        <f>AND(#REF!,"AAAAAFP+678=")</f>
        <v>#REF!</v>
      </c>
      <c r="GK185" t="e">
        <f>IF(#REF!,"AAAAAFP+68A=",0)</f>
        <v>#REF!</v>
      </c>
      <c r="GL185" t="e">
        <f>AND(#REF!,"AAAAAFP+68E=")</f>
        <v>#REF!</v>
      </c>
      <c r="GM185" t="e">
        <f>AND(#REF!,"AAAAAFP+68I=")</f>
        <v>#REF!</v>
      </c>
      <c r="GN185" t="e">
        <f>AND(#REF!,"AAAAAFP+68M=")</f>
        <v>#REF!</v>
      </c>
      <c r="GO185" t="e">
        <f>AND(#REF!,"AAAAAFP+68Q=")</f>
        <v>#REF!</v>
      </c>
      <c r="GP185" t="e">
        <f>AND(#REF!,"AAAAAFP+68U=")</f>
        <v>#REF!</v>
      </c>
      <c r="GQ185" t="e">
        <f>AND(#REF!,"AAAAAFP+68Y=")</f>
        <v>#REF!</v>
      </c>
      <c r="GR185" t="e">
        <f>AND(#REF!,"AAAAAFP+68c=")</f>
        <v>#REF!</v>
      </c>
      <c r="GS185" t="e">
        <f>AND(#REF!,"AAAAAFP+68g=")</f>
        <v>#REF!</v>
      </c>
      <c r="GT185" t="e">
        <f>AND(#REF!,"AAAAAFP+68k=")</f>
        <v>#REF!</v>
      </c>
      <c r="GU185" t="e">
        <f>AND(#REF!,"AAAAAFP+68o=")</f>
        <v>#REF!</v>
      </c>
      <c r="GV185" t="e">
        <f>IF(#REF!,"AAAAAFP+68s=",0)</f>
        <v>#REF!</v>
      </c>
      <c r="GW185" t="e">
        <f>AND(#REF!,"AAAAAFP+68w=")</f>
        <v>#REF!</v>
      </c>
      <c r="GX185" t="e">
        <f>AND(#REF!,"AAAAAFP+680=")</f>
        <v>#REF!</v>
      </c>
      <c r="GY185" t="e">
        <f>AND(#REF!,"AAAAAFP+684=")</f>
        <v>#REF!</v>
      </c>
      <c r="GZ185" t="e">
        <f>AND(#REF!,"AAAAAFP+688=")</f>
        <v>#REF!</v>
      </c>
      <c r="HA185" t="e">
        <f>AND(#REF!,"AAAAAFP+69A=")</f>
        <v>#REF!</v>
      </c>
      <c r="HB185" t="e">
        <f>AND(#REF!,"AAAAAFP+69E=")</f>
        <v>#REF!</v>
      </c>
      <c r="HC185" t="e">
        <f>AND(#REF!,"AAAAAFP+69I=")</f>
        <v>#REF!</v>
      </c>
      <c r="HD185" t="e">
        <f>AND(#REF!,"AAAAAFP+69M=")</f>
        <v>#REF!</v>
      </c>
      <c r="HE185" t="e">
        <f>AND(#REF!,"AAAAAFP+69Q=")</f>
        <v>#REF!</v>
      </c>
      <c r="HF185" t="e">
        <f>AND(#REF!,"AAAAAFP+69U=")</f>
        <v>#REF!</v>
      </c>
      <c r="HG185" t="e">
        <f>IF(#REF!,"AAAAAFP+69Y=",0)</f>
        <v>#REF!</v>
      </c>
      <c r="HH185" t="e">
        <f>AND(#REF!,"AAAAAFP+69c=")</f>
        <v>#REF!</v>
      </c>
      <c r="HI185" t="e">
        <f>AND(#REF!,"AAAAAFP+69g=")</f>
        <v>#REF!</v>
      </c>
      <c r="HJ185" t="e">
        <f>AND(#REF!,"AAAAAFP+69k=")</f>
        <v>#REF!</v>
      </c>
      <c r="HK185" t="e">
        <f>AND(#REF!,"AAAAAFP+69o=")</f>
        <v>#REF!</v>
      </c>
      <c r="HL185" t="e">
        <f>AND(#REF!,"AAAAAFP+69s=")</f>
        <v>#REF!</v>
      </c>
      <c r="HM185" t="e">
        <f>AND(#REF!,"AAAAAFP+69w=")</f>
        <v>#REF!</v>
      </c>
      <c r="HN185" t="e">
        <f>AND(#REF!,"AAAAAFP+690=")</f>
        <v>#REF!</v>
      </c>
      <c r="HO185" t="e">
        <f>AND(#REF!,"AAAAAFP+694=")</f>
        <v>#REF!</v>
      </c>
      <c r="HP185" t="e">
        <f>AND(#REF!,"AAAAAFP+698=")</f>
        <v>#REF!</v>
      </c>
      <c r="HQ185" t="e">
        <f>AND(#REF!,"AAAAAFP+6+A=")</f>
        <v>#REF!</v>
      </c>
      <c r="HR185" t="e">
        <f>IF(#REF!,"AAAAAFP+6+E=",0)</f>
        <v>#REF!</v>
      </c>
      <c r="HS185" t="e">
        <f>AND(#REF!,"AAAAAFP+6+I=")</f>
        <v>#REF!</v>
      </c>
      <c r="HT185" t="e">
        <f>AND(#REF!,"AAAAAFP+6+M=")</f>
        <v>#REF!</v>
      </c>
      <c r="HU185" t="e">
        <f>AND(#REF!,"AAAAAFP+6+Q=")</f>
        <v>#REF!</v>
      </c>
      <c r="HV185" t="e">
        <f>AND(#REF!,"AAAAAFP+6+U=")</f>
        <v>#REF!</v>
      </c>
      <c r="HW185" t="e">
        <f>AND(#REF!,"AAAAAFP+6+Y=")</f>
        <v>#REF!</v>
      </c>
      <c r="HX185" t="e">
        <f>AND(#REF!,"AAAAAFP+6+c=")</f>
        <v>#REF!</v>
      </c>
      <c r="HY185" t="e">
        <f>AND(#REF!,"AAAAAFP+6+g=")</f>
        <v>#REF!</v>
      </c>
      <c r="HZ185" t="e">
        <f>AND(#REF!,"AAAAAFP+6+k=")</f>
        <v>#REF!</v>
      </c>
      <c r="IA185" t="e">
        <f>AND(#REF!,"AAAAAFP+6+o=")</f>
        <v>#REF!</v>
      </c>
      <c r="IB185" t="e">
        <f>AND(#REF!,"AAAAAFP+6+s=")</f>
        <v>#REF!</v>
      </c>
      <c r="IC185" t="e">
        <f>IF(#REF!,"AAAAAFP+6+w=",0)</f>
        <v>#REF!</v>
      </c>
      <c r="ID185" t="e">
        <f>AND(#REF!,"AAAAAFP+6+0=")</f>
        <v>#REF!</v>
      </c>
      <c r="IE185" t="e">
        <f>AND(#REF!,"AAAAAFP+6+4=")</f>
        <v>#REF!</v>
      </c>
      <c r="IF185" t="e">
        <f>AND(#REF!,"AAAAAFP+6+8=")</f>
        <v>#REF!</v>
      </c>
      <c r="IG185" t="e">
        <f>AND(#REF!,"AAAAAFP+6/A=")</f>
        <v>#REF!</v>
      </c>
      <c r="IH185" t="e">
        <f>AND(#REF!,"AAAAAFP+6/E=")</f>
        <v>#REF!</v>
      </c>
      <c r="II185" t="e">
        <f>AND(#REF!,"AAAAAFP+6/I=")</f>
        <v>#REF!</v>
      </c>
      <c r="IJ185" t="e">
        <f>AND(#REF!,"AAAAAFP+6/M=")</f>
        <v>#REF!</v>
      </c>
      <c r="IK185" t="e">
        <f>AND(#REF!,"AAAAAFP+6/Q=")</f>
        <v>#REF!</v>
      </c>
      <c r="IL185" t="e">
        <f>AND(#REF!,"AAAAAFP+6/U=")</f>
        <v>#REF!</v>
      </c>
      <c r="IM185" t="e">
        <f>AND(#REF!,"AAAAAFP+6/Y=")</f>
        <v>#REF!</v>
      </c>
      <c r="IN185" t="e">
        <f>IF(#REF!,"AAAAAFP+6/c=",0)</f>
        <v>#REF!</v>
      </c>
      <c r="IO185" t="e">
        <f>AND(#REF!,"AAAAAFP+6/g=")</f>
        <v>#REF!</v>
      </c>
      <c r="IP185" t="e">
        <f>AND(#REF!,"AAAAAFP+6/k=")</f>
        <v>#REF!</v>
      </c>
      <c r="IQ185" t="e">
        <f>AND(#REF!,"AAAAAFP+6/o=")</f>
        <v>#REF!</v>
      </c>
      <c r="IR185" t="e">
        <f>AND(#REF!,"AAAAAFP+6/s=")</f>
        <v>#REF!</v>
      </c>
      <c r="IS185" t="e">
        <f>AND(#REF!,"AAAAAFP+6/w=")</f>
        <v>#REF!</v>
      </c>
      <c r="IT185" t="e">
        <f>AND(#REF!,"AAAAAFP+6/0=")</f>
        <v>#REF!</v>
      </c>
      <c r="IU185" t="e">
        <f>AND(#REF!,"AAAAAFP+6/4=")</f>
        <v>#REF!</v>
      </c>
      <c r="IV185" t="e">
        <f>AND(#REF!,"AAAAAFP+6/8=")</f>
        <v>#REF!</v>
      </c>
    </row>
    <row r="186" spans="1:256" x14ac:dyDescent="0.25">
      <c r="A186" t="e">
        <f>AND(#REF!,"AAAAABzP/wA=")</f>
        <v>#REF!</v>
      </c>
      <c r="B186" t="e">
        <f>AND(#REF!,"AAAAABzP/wE=")</f>
        <v>#REF!</v>
      </c>
      <c r="C186" t="e">
        <f>IF(#REF!,"AAAAABzP/wI=",0)</f>
        <v>#REF!</v>
      </c>
      <c r="D186" t="e">
        <f>AND(#REF!,"AAAAABzP/wM=")</f>
        <v>#REF!</v>
      </c>
      <c r="E186" t="e">
        <f>AND(#REF!,"AAAAABzP/wQ=")</f>
        <v>#REF!</v>
      </c>
      <c r="F186" t="e">
        <f>AND(#REF!,"AAAAABzP/wU=")</f>
        <v>#REF!</v>
      </c>
      <c r="G186" t="e">
        <f>AND(#REF!,"AAAAABzP/wY=")</f>
        <v>#REF!</v>
      </c>
      <c r="H186" t="e">
        <f>AND(#REF!,"AAAAABzP/wc=")</f>
        <v>#REF!</v>
      </c>
      <c r="I186" t="e">
        <f>AND(#REF!,"AAAAABzP/wg=")</f>
        <v>#REF!</v>
      </c>
      <c r="J186" t="e">
        <f>AND(#REF!,"AAAAABzP/wk=")</f>
        <v>#REF!</v>
      </c>
      <c r="K186" t="e">
        <f>AND(#REF!,"AAAAABzP/wo=")</f>
        <v>#REF!</v>
      </c>
      <c r="L186" t="e">
        <f>AND(#REF!,"AAAAABzP/ws=")</f>
        <v>#REF!</v>
      </c>
      <c r="M186" t="e">
        <f>AND(#REF!,"AAAAABzP/ww=")</f>
        <v>#REF!</v>
      </c>
      <c r="N186" t="e">
        <f>IF(#REF!,"AAAAABzP/w0=",0)</f>
        <v>#REF!</v>
      </c>
      <c r="O186" t="e">
        <f>AND(#REF!,"AAAAABzP/w4=")</f>
        <v>#REF!</v>
      </c>
      <c r="P186" t="e">
        <f>AND(#REF!,"AAAAABzP/w8=")</f>
        <v>#REF!</v>
      </c>
      <c r="Q186" t="e">
        <f>AND(#REF!,"AAAAABzP/xA=")</f>
        <v>#REF!</v>
      </c>
      <c r="R186" t="e">
        <f>AND(#REF!,"AAAAABzP/xE=")</f>
        <v>#REF!</v>
      </c>
      <c r="S186" t="e">
        <f>AND(#REF!,"AAAAABzP/xI=")</f>
        <v>#REF!</v>
      </c>
      <c r="T186" t="e">
        <f>AND(#REF!,"AAAAABzP/xM=")</f>
        <v>#REF!</v>
      </c>
      <c r="U186" t="e">
        <f>AND(#REF!,"AAAAABzP/xQ=")</f>
        <v>#REF!</v>
      </c>
      <c r="V186" t="e">
        <f>AND(#REF!,"AAAAABzP/xU=")</f>
        <v>#REF!</v>
      </c>
      <c r="W186" t="e">
        <f>AND(#REF!,"AAAAABzP/xY=")</f>
        <v>#REF!</v>
      </c>
      <c r="X186" t="e">
        <f>AND(#REF!,"AAAAABzP/xc=")</f>
        <v>#REF!</v>
      </c>
      <c r="Y186" t="e">
        <f>IF(#REF!,"AAAAABzP/xg=",0)</f>
        <v>#REF!</v>
      </c>
      <c r="Z186" t="e">
        <f>AND(#REF!,"AAAAABzP/xk=")</f>
        <v>#REF!</v>
      </c>
      <c r="AA186" t="e">
        <f>AND(#REF!,"AAAAABzP/xo=")</f>
        <v>#REF!</v>
      </c>
      <c r="AB186" t="e">
        <f>AND(#REF!,"AAAAABzP/xs=")</f>
        <v>#REF!</v>
      </c>
      <c r="AC186" t="e">
        <f>AND(#REF!,"AAAAABzP/xw=")</f>
        <v>#REF!</v>
      </c>
      <c r="AD186" t="e">
        <f>AND(#REF!,"AAAAABzP/x0=")</f>
        <v>#REF!</v>
      </c>
      <c r="AE186" t="e">
        <f>AND(#REF!,"AAAAABzP/x4=")</f>
        <v>#REF!</v>
      </c>
      <c r="AF186" t="e">
        <f>AND(#REF!,"AAAAABzP/x8=")</f>
        <v>#REF!</v>
      </c>
      <c r="AG186" t="e">
        <f>AND(#REF!,"AAAAABzP/yA=")</f>
        <v>#REF!</v>
      </c>
      <c r="AH186" t="e">
        <f>AND(#REF!,"AAAAABzP/yE=")</f>
        <v>#REF!</v>
      </c>
      <c r="AI186" t="e">
        <f>AND(#REF!,"AAAAABzP/yI=")</f>
        <v>#REF!</v>
      </c>
      <c r="AJ186" t="e">
        <f>IF(#REF!,"AAAAABzP/yM=",0)</f>
        <v>#REF!</v>
      </c>
      <c r="AK186" t="e">
        <f>AND(#REF!,"AAAAABzP/yQ=")</f>
        <v>#REF!</v>
      </c>
      <c r="AL186" t="e">
        <f>AND(#REF!,"AAAAABzP/yU=")</f>
        <v>#REF!</v>
      </c>
      <c r="AM186" t="e">
        <f>AND(#REF!,"AAAAABzP/yY=")</f>
        <v>#REF!</v>
      </c>
      <c r="AN186" t="e">
        <f>AND(#REF!,"AAAAABzP/yc=")</f>
        <v>#REF!</v>
      </c>
      <c r="AO186" t="e">
        <f>AND(#REF!,"AAAAABzP/yg=")</f>
        <v>#REF!</v>
      </c>
      <c r="AP186" t="e">
        <f>AND(#REF!,"AAAAABzP/yk=")</f>
        <v>#REF!</v>
      </c>
      <c r="AQ186" t="e">
        <f>AND(#REF!,"AAAAABzP/yo=")</f>
        <v>#REF!</v>
      </c>
      <c r="AR186" t="e">
        <f>AND(#REF!,"AAAAABzP/ys=")</f>
        <v>#REF!</v>
      </c>
      <c r="AS186" t="e">
        <f>AND(#REF!,"AAAAABzP/yw=")</f>
        <v>#REF!</v>
      </c>
      <c r="AT186" t="e">
        <f>AND(#REF!,"AAAAABzP/y0=")</f>
        <v>#REF!</v>
      </c>
      <c r="AU186" t="e">
        <f>IF(#REF!,"AAAAABzP/y4=",0)</f>
        <v>#REF!</v>
      </c>
      <c r="AV186" t="e">
        <f>AND(#REF!,"AAAAABzP/y8=")</f>
        <v>#REF!</v>
      </c>
      <c r="AW186" t="e">
        <f>AND(#REF!,"AAAAABzP/zA=")</f>
        <v>#REF!</v>
      </c>
      <c r="AX186" t="e">
        <f>AND(#REF!,"AAAAABzP/zE=")</f>
        <v>#REF!</v>
      </c>
      <c r="AY186" t="e">
        <f>AND(#REF!,"AAAAABzP/zI=")</f>
        <v>#REF!</v>
      </c>
      <c r="AZ186" t="e">
        <f>AND(#REF!,"AAAAABzP/zM=")</f>
        <v>#REF!</v>
      </c>
      <c r="BA186" t="e">
        <f>AND(#REF!,"AAAAABzP/zQ=")</f>
        <v>#REF!</v>
      </c>
      <c r="BB186" t="e">
        <f>AND(#REF!,"AAAAABzP/zU=")</f>
        <v>#REF!</v>
      </c>
      <c r="BC186" t="e">
        <f>AND(#REF!,"AAAAABzP/zY=")</f>
        <v>#REF!</v>
      </c>
      <c r="BD186" t="e">
        <f>AND(#REF!,"AAAAABzP/zc=")</f>
        <v>#REF!</v>
      </c>
      <c r="BE186" t="e">
        <f>AND(#REF!,"AAAAABzP/zg=")</f>
        <v>#REF!</v>
      </c>
      <c r="BF186" t="e">
        <f>IF(#REF!,"AAAAABzP/zk=",0)</f>
        <v>#REF!</v>
      </c>
      <c r="BG186" t="e">
        <f>AND(#REF!,"AAAAABzP/zo=")</f>
        <v>#REF!</v>
      </c>
      <c r="BH186" t="e">
        <f>AND(#REF!,"AAAAABzP/zs=")</f>
        <v>#REF!</v>
      </c>
      <c r="BI186" t="e">
        <f>AND(#REF!,"AAAAABzP/zw=")</f>
        <v>#REF!</v>
      </c>
      <c r="BJ186" t="e">
        <f>AND(#REF!,"AAAAABzP/z0=")</f>
        <v>#REF!</v>
      </c>
      <c r="BK186" t="e">
        <f>AND(#REF!,"AAAAABzP/z4=")</f>
        <v>#REF!</v>
      </c>
      <c r="BL186" t="e">
        <f>AND(#REF!,"AAAAABzP/z8=")</f>
        <v>#REF!</v>
      </c>
      <c r="BM186" t="e">
        <f>AND(#REF!,"AAAAABzP/0A=")</f>
        <v>#REF!</v>
      </c>
      <c r="BN186" t="e">
        <f>AND(#REF!,"AAAAABzP/0E=")</f>
        <v>#REF!</v>
      </c>
      <c r="BO186" t="e">
        <f>AND(#REF!,"AAAAABzP/0I=")</f>
        <v>#REF!</v>
      </c>
      <c r="BP186" t="e">
        <f>AND(#REF!,"AAAAABzP/0M=")</f>
        <v>#REF!</v>
      </c>
      <c r="BQ186" t="e">
        <f>IF(#REF!,"AAAAABzP/0Q=",0)</f>
        <v>#REF!</v>
      </c>
      <c r="BR186" t="e">
        <f>AND(#REF!,"AAAAABzP/0U=")</f>
        <v>#REF!</v>
      </c>
      <c r="BS186" t="e">
        <f>AND(#REF!,"AAAAABzP/0Y=")</f>
        <v>#REF!</v>
      </c>
      <c r="BT186" t="e">
        <f>AND(#REF!,"AAAAABzP/0c=")</f>
        <v>#REF!</v>
      </c>
      <c r="BU186" t="e">
        <f>AND(#REF!,"AAAAABzP/0g=")</f>
        <v>#REF!</v>
      </c>
      <c r="BV186" t="e">
        <f>AND(#REF!,"AAAAABzP/0k=")</f>
        <v>#REF!</v>
      </c>
      <c r="BW186" t="e">
        <f>AND(#REF!,"AAAAABzP/0o=")</f>
        <v>#REF!</v>
      </c>
      <c r="BX186" t="e">
        <f>AND(#REF!,"AAAAABzP/0s=")</f>
        <v>#REF!</v>
      </c>
      <c r="BY186" t="e">
        <f>AND(#REF!,"AAAAABzP/0w=")</f>
        <v>#REF!</v>
      </c>
      <c r="BZ186" t="e">
        <f>AND(#REF!,"AAAAABzP/00=")</f>
        <v>#REF!</v>
      </c>
      <c r="CA186" t="e">
        <f>AND(#REF!,"AAAAABzP/04=")</f>
        <v>#REF!</v>
      </c>
      <c r="CB186" t="e">
        <f>IF(#REF!,"AAAAABzP/08=",0)</f>
        <v>#REF!</v>
      </c>
      <c r="CC186" t="e">
        <f>AND(#REF!,"AAAAABzP/1A=")</f>
        <v>#REF!</v>
      </c>
      <c r="CD186" t="e">
        <f>AND(#REF!,"AAAAABzP/1E=")</f>
        <v>#REF!</v>
      </c>
      <c r="CE186" t="e">
        <f>AND(#REF!,"AAAAABzP/1I=")</f>
        <v>#REF!</v>
      </c>
      <c r="CF186" t="e">
        <f>AND(#REF!,"AAAAABzP/1M=")</f>
        <v>#REF!</v>
      </c>
      <c r="CG186" t="e">
        <f>AND(#REF!,"AAAAABzP/1Q=")</f>
        <v>#REF!</v>
      </c>
      <c r="CH186" t="e">
        <f>AND(#REF!,"AAAAABzP/1U=")</f>
        <v>#REF!</v>
      </c>
      <c r="CI186" t="e">
        <f>AND(#REF!,"AAAAABzP/1Y=")</f>
        <v>#REF!</v>
      </c>
      <c r="CJ186" t="e">
        <f>AND(#REF!,"AAAAABzP/1c=")</f>
        <v>#REF!</v>
      </c>
      <c r="CK186" t="e">
        <f>AND(#REF!,"AAAAABzP/1g=")</f>
        <v>#REF!</v>
      </c>
      <c r="CL186" t="e">
        <f>AND(#REF!,"AAAAABzP/1k=")</f>
        <v>#REF!</v>
      </c>
      <c r="CM186" t="e">
        <f>IF(#REF!,"AAAAABzP/1o=",0)</f>
        <v>#REF!</v>
      </c>
      <c r="CN186" t="e">
        <f>AND(#REF!,"AAAAABzP/1s=")</f>
        <v>#REF!</v>
      </c>
      <c r="CO186" t="e">
        <f>AND(#REF!,"AAAAABzP/1w=")</f>
        <v>#REF!</v>
      </c>
      <c r="CP186" t="e">
        <f>AND(#REF!,"AAAAABzP/10=")</f>
        <v>#REF!</v>
      </c>
      <c r="CQ186" t="e">
        <f>AND(#REF!,"AAAAABzP/14=")</f>
        <v>#REF!</v>
      </c>
      <c r="CR186" t="e">
        <f>AND(#REF!,"AAAAABzP/18=")</f>
        <v>#REF!</v>
      </c>
      <c r="CS186" t="e">
        <f>AND(#REF!,"AAAAABzP/2A=")</f>
        <v>#REF!</v>
      </c>
      <c r="CT186" t="e">
        <f>AND(#REF!,"AAAAABzP/2E=")</f>
        <v>#REF!</v>
      </c>
      <c r="CU186" t="e">
        <f>AND(#REF!,"AAAAABzP/2I=")</f>
        <v>#REF!</v>
      </c>
      <c r="CV186" t="e">
        <f>AND(#REF!,"AAAAABzP/2M=")</f>
        <v>#REF!</v>
      </c>
      <c r="CW186" t="e">
        <f>AND(#REF!,"AAAAABzP/2Q=")</f>
        <v>#REF!</v>
      </c>
      <c r="CX186" t="e">
        <f>IF(#REF!,"AAAAABzP/2U=",0)</f>
        <v>#REF!</v>
      </c>
      <c r="CY186" t="e">
        <f>AND(#REF!,"AAAAABzP/2Y=")</f>
        <v>#REF!</v>
      </c>
      <c r="CZ186" t="e">
        <f>AND(#REF!,"AAAAABzP/2c=")</f>
        <v>#REF!</v>
      </c>
      <c r="DA186" t="e">
        <f>AND(#REF!,"AAAAABzP/2g=")</f>
        <v>#REF!</v>
      </c>
      <c r="DB186" t="e">
        <f>AND(#REF!,"AAAAABzP/2k=")</f>
        <v>#REF!</v>
      </c>
      <c r="DC186" t="e">
        <f>AND(#REF!,"AAAAABzP/2o=")</f>
        <v>#REF!</v>
      </c>
      <c r="DD186" t="e">
        <f>AND(#REF!,"AAAAABzP/2s=")</f>
        <v>#REF!</v>
      </c>
      <c r="DE186" t="e">
        <f>AND(#REF!,"AAAAABzP/2w=")</f>
        <v>#REF!</v>
      </c>
      <c r="DF186" t="e">
        <f>AND(#REF!,"AAAAABzP/20=")</f>
        <v>#REF!</v>
      </c>
      <c r="DG186" t="e">
        <f>AND(#REF!,"AAAAABzP/24=")</f>
        <v>#REF!</v>
      </c>
      <c r="DH186" t="e">
        <f>AND(#REF!,"AAAAABzP/28=")</f>
        <v>#REF!</v>
      </c>
      <c r="DI186" t="e">
        <f>IF(#REF!,"AAAAABzP/3A=",0)</f>
        <v>#REF!</v>
      </c>
      <c r="DJ186" t="e">
        <f>AND(#REF!,"AAAAABzP/3E=")</f>
        <v>#REF!</v>
      </c>
      <c r="DK186" t="e">
        <f>AND(#REF!,"AAAAABzP/3I=")</f>
        <v>#REF!</v>
      </c>
      <c r="DL186" t="e">
        <f>AND(#REF!,"AAAAABzP/3M=")</f>
        <v>#REF!</v>
      </c>
      <c r="DM186" t="e">
        <f>AND(#REF!,"AAAAABzP/3Q=")</f>
        <v>#REF!</v>
      </c>
      <c r="DN186" t="e">
        <f>AND(#REF!,"AAAAABzP/3U=")</f>
        <v>#REF!</v>
      </c>
      <c r="DO186" t="e">
        <f>AND(#REF!,"AAAAABzP/3Y=")</f>
        <v>#REF!</v>
      </c>
      <c r="DP186" t="e">
        <f>AND(#REF!,"AAAAABzP/3c=")</f>
        <v>#REF!</v>
      </c>
      <c r="DQ186" t="e">
        <f>AND(#REF!,"AAAAABzP/3g=")</f>
        <v>#REF!</v>
      </c>
      <c r="DR186" t="e">
        <f>AND(#REF!,"AAAAABzP/3k=")</f>
        <v>#REF!</v>
      </c>
      <c r="DS186" t="e">
        <f>AND(#REF!,"AAAAABzP/3o=")</f>
        <v>#REF!</v>
      </c>
      <c r="DT186" t="e">
        <f>IF(#REF!,"AAAAABzP/3s=",0)</f>
        <v>#REF!</v>
      </c>
      <c r="DU186" t="e">
        <f>AND(#REF!,"AAAAABzP/3w=")</f>
        <v>#REF!</v>
      </c>
      <c r="DV186" t="e">
        <f>AND(#REF!,"AAAAABzP/30=")</f>
        <v>#REF!</v>
      </c>
      <c r="DW186" t="e">
        <f>AND(#REF!,"AAAAABzP/34=")</f>
        <v>#REF!</v>
      </c>
      <c r="DX186" t="e">
        <f>AND(#REF!,"AAAAABzP/38=")</f>
        <v>#REF!</v>
      </c>
      <c r="DY186" t="e">
        <f>AND(#REF!,"AAAAABzP/4A=")</f>
        <v>#REF!</v>
      </c>
      <c r="DZ186" t="e">
        <f>AND(#REF!,"AAAAABzP/4E=")</f>
        <v>#REF!</v>
      </c>
      <c r="EA186" t="e">
        <f>AND(#REF!,"AAAAABzP/4I=")</f>
        <v>#REF!</v>
      </c>
      <c r="EB186" t="e">
        <f>AND(#REF!,"AAAAABzP/4M=")</f>
        <v>#REF!</v>
      </c>
      <c r="EC186" t="e">
        <f>AND(#REF!,"AAAAABzP/4Q=")</f>
        <v>#REF!</v>
      </c>
      <c r="ED186" t="e">
        <f>AND(#REF!,"AAAAABzP/4U=")</f>
        <v>#REF!</v>
      </c>
      <c r="EE186" t="e">
        <f>IF(#REF!,"AAAAABzP/4Y=",0)</f>
        <v>#REF!</v>
      </c>
      <c r="EF186" t="e">
        <f>AND(#REF!,"AAAAABzP/4c=")</f>
        <v>#REF!</v>
      </c>
      <c r="EG186" t="e">
        <f>AND(#REF!,"AAAAABzP/4g=")</f>
        <v>#REF!</v>
      </c>
      <c r="EH186" t="e">
        <f>AND(#REF!,"AAAAABzP/4k=")</f>
        <v>#REF!</v>
      </c>
      <c r="EI186" t="e">
        <f>AND(#REF!,"AAAAABzP/4o=")</f>
        <v>#REF!</v>
      </c>
      <c r="EJ186" t="e">
        <f>AND(#REF!,"AAAAABzP/4s=")</f>
        <v>#REF!</v>
      </c>
      <c r="EK186" t="e">
        <f>AND(#REF!,"AAAAABzP/4w=")</f>
        <v>#REF!</v>
      </c>
      <c r="EL186" t="e">
        <f>AND(#REF!,"AAAAABzP/40=")</f>
        <v>#REF!</v>
      </c>
      <c r="EM186" t="e">
        <f>AND(#REF!,"AAAAABzP/44=")</f>
        <v>#REF!</v>
      </c>
      <c r="EN186" t="e">
        <f>AND(#REF!,"AAAAABzP/48=")</f>
        <v>#REF!</v>
      </c>
      <c r="EO186" t="e">
        <f>AND(#REF!,"AAAAABzP/5A=")</f>
        <v>#REF!</v>
      </c>
      <c r="EP186" t="e">
        <f>IF(#REF!,"AAAAABzP/5E=",0)</f>
        <v>#REF!</v>
      </c>
      <c r="EQ186" t="e">
        <f>AND(#REF!,"AAAAABzP/5I=")</f>
        <v>#REF!</v>
      </c>
      <c r="ER186" t="e">
        <f>AND(#REF!,"AAAAABzP/5M=")</f>
        <v>#REF!</v>
      </c>
      <c r="ES186" t="e">
        <f>AND(#REF!,"AAAAABzP/5Q=")</f>
        <v>#REF!</v>
      </c>
      <c r="ET186" t="e">
        <f>AND(#REF!,"AAAAABzP/5U=")</f>
        <v>#REF!</v>
      </c>
      <c r="EU186" t="e">
        <f>AND(#REF!,"AAAAABzP/5Y=")</f>
        <v>#REF!</v>
      </c>
      <c r="EV186" t="e">
        <f>AND(#REF!,"AAAAABzP/5c=")</f>
        <v>#REF!</v>
      </c>
      <c r="EW186" t="e">
        <f>AND(#REF!,"AAAAABzP/5g=")</f>
        <v>#REF!</v>
      </c>
      <c r="EX186" t="e">
        <f>AND(#REF!,"AAAAABzP/5k=")</f>
        <v>#REF!</v>
      </c>
      <c r="EY186" t="e">
        <f>AND(#REF!,"AAAAABzP/5o=")</f>
        <v>#REF!</v>
      </c>
      <c r="EZ186" t="e">
        <f>AND(#REF!,"AAAAABzP/5s=")</f>
        <v>#REF!</v>
      </c>
      <c r="FA186" t="e">
        <f>IF(#REF!,"AAAAABzP/5w=",0)</f>
        <v>#REF!</v>
      </c>
      <c r="FB186" t="e">
        <f>AND(#REF!,"AAAAABzP/50=")</f>
        <v>#REF!</v>
      </c>
      <c r="FC186" t="e">
        <f>AND(#REF!,"AAAAABzP/54=")</f>
        <v>#REF!</v>
      </c>
      <c r="FD186" t="e">
        <f>AND(#REF!,"AAAAABzP/58=")</f>
        <v>#REF!</v>
      </c>
      <c r="FE186" t="e">
        <f>AND(#REF!,"AAAAABzP/6A=")</f>
        <v>#REF!</v>
      </c>
      <c r="FF186" t="e">
        <f>AND(#REF!,"AAAAABzP/6E=")</f>
        <v>#REF!</v>
      </c>
      <c r="FG186" t="e">
        <f>AND(#REF!,"AAAAABzP/6I=")</f>
        <v>#REF!</v>
      </c>
      <c r="FH186" t="e">
        <f>AND(#REF!,"AAAAABzP/6M=")</f>
        <v>#REF!</v>
      </c>
      <c r="FI186" t="e">
        <f>AND(#REF!,"AAAAABzP/6Q=")</f>
        <v>#REF!</v>
      </c>
      <c r="FJ186" t="e">
        <f>AND(#REF!,"AAAAABzP/6U=")</f>
        <v>#REF!</v>
      </c>
      <c r="FK186" t="e">
        <f>AND(#REF!,"AAAAABzP/6Y=")</f>
        <v>#REF!</v>
      </c>
      <c r="FL186" t="e">
        <f>IF(#REF!,"AAAAABzP/6c=",0)</f>
        <v>#REF!</v>
      </c>
      <c r="FM186" t="e">
        <f>AND(#REF!,"AAAAABzP/6g=")</f>
        <v>#REF!</v>
      </c>
      <c r="FN186" t="e">
        <f>AND(#REF!,"AAAAABzP/6k=")</f>
        <v>#REF!</v>
      </c>
      <c r="FO186" t="e">
        <f>AND(#REF!,"AAAAABzP/6o=")</f>
        <v>#REF!</v>
      </c>
      <c r="FP186" t="e">
        <f>AND(#REF!,"AAAAABzP/6s=")</f>
        <v>#REF!</v>
      </c>
      <c r="FQ186" t="e">
        <f>AND(#REF!,"AAAAABzP/6w=")</f>
        <v>#REF!</v>
      </c>
      <c r="FR186" t="e">
        <f>AND(#REF!,"AAAAABzP/60=")</f>
        <v>#REF!</v>
      </c>
      <c r="FS186" t="e">
        <f>AND(#REF!,"AAAAABzP/64=")</f>
        <v>#REF!</v>
      </c>
      <c r="FT186" t="e">
        <f>AND(#REF!,"AAAAABzP/68=")</f>
        <v>#REF!</v>
      </c>
      <c r="FU186" t="e">
        <f>AND(#REF!,"AAAAABzP/7A=")</f>
        <v>#REF!</v>
      </c>
      <c r="FV186" t="e">
        <f>AND(#REF!,"AAAAABzP/7E=")</f>
        <v>#REF!</v>
      </c>
      <c r="FW186" t="e">
        <f>IF(#REF!,"AAAAABzP/7I=",0)</f>
        <v>#REF!</v>
      </c>
      <c r="FX186" t="e">
        <f>AND(#REF!,"AAAAABzP/7M=")</f>
        <v>#REF!</v>
      </c>
      <c r="FY186" t="e">
        <f>AND(#REF!,"AAAAABzP/7Q=")</f>
        <v>#REF!</v>
      </c>
      <c r="FZ186" t="e">
        <f>AND(#REF!,"AAAAABzP/7U=")</f>
        <v>#REF!</v>
      </c>
      <c r="GA186" t="e">
        <f>AND(#REF!,"AAAAABzP/7Y=")</f>
        <v>#REF!</v>
      </c>
      <c r="GB186" t="e">
        <f>AND(#REF!,"AAAAABzP/7c=")</f>
        <v>#REF!</v>
      </c>
      <c r="GC186" t="e">
        <f>AND(#REF!,"AAAAABzP/7g=")</f>
        <v>#REF!</v>
      </c>
      <c r="GD186" t="e">
        <f>AND(#REF!,"AAAAABzP/7k=")</f>
        <v>#REF!</v>
      </c>
      <c r="GE186" t="e">
        <f>AND(#REF!,"AAAAABzP/7o=")</f>
        <v>#REF!</v>
      </c>
      <c r="GF186" t="e">
        <f>AND(#REF!,"AAAAABzP/7s=")</f>
        <v>#REF!</v>
      </c>
      <c r="GG186" t="e">
        <f>AND(#REF!,"AAAAABzP/7w=")</f>
        <v>#REF!</v>
      </c>
      <c r="GH186" t="e">
        <f>IF(#REF!,"AAAAABzP/70=",0)</f>
        <v>#REF!</v>
      </c>
      <c r="GI186" t="e">
        <f>AND(#REF!,"AAAAABzP/74=")</f>
        <v>#REF!</v>
      </c>
      <c r="GJ186" t="e">
        <f>AND(#REF!,"AAAAABzP/78=")</f>
        <v>#REF!</v>
      </c>
      <c r="GK186" t="e">
        <f>AND(#REF!,"AAAAABzP/8A=")</f>
        <v>#REF!</v>
      </c>
      <c r="GL186" t="e">
        <f>AND(#REF!,"AAAAABzP/8E=")</f>
        <v>#REF!</v>
      </c>
      <c r="GM186" t="e">
        <f>AND(#REF!,"AAAAABzP/8I=")</f>
        <v>#REF!</v>
      </c>
      <c r="GN186" t="e">
        <f>AND(#REF!,"AAAAABzP/8M=")</f>
        <v>#REF!</v>
      </c>
      <c r="GO186" t="e">
        <f>AND(#REF!,"AAAAABzP/8Q=")</f>
        <v>#REF!</v>
      </c>
      <c r="GP186" t="e">
        <f>AND(#REF!,"AAAAABzP/8U=")</f>
        <v>#REF!</v>
      </c>
      <c r="GQ186" t="e">
        <f>AND(#REF!,"AAAAABzP/8Y=")</f>
        <v>#REF!</v>
      </c>
      <c r="GR186" t="e">
        <f>AND(#REF!,"AAAAABzP/8c=")</f>
        <v>#REF!</v>
      </c>
      <c r="GS186" t="e">
        <f>IF(#REF!,"AAAAABzP/8g=",0)</f>
        <v>#REF!</v>
      </c>
      <c r="GT186" t="e">
        <f>AND(#REF!,"AAAAABzP/8k=")</f>
        <v>#REF!</v>
      </c>
      <c r="GU186" t="e">
        <f>AND(#REF!,"AAAAABzP/8o=")</f>
        <v>#REF!</v>
      </c>
      <c r="GV186" t="e">
        <f>AND(#REF!,"AAAAABzP/8s=")</f>
        <v>#REF!</v>
      </c>
      <c r="GW186" t="e">
        <f>AND(#REF!,"AAAAABzP/8w=")</f>
        <v>#REF!</v>
      </c>
      <c r="GX186" t="e">
        <f>AND(#REF!,"AAAAABzP/80=")</f>
        <v>#REF!</v>
      </c>
      <c r="GY186" t="e">
        <f>AND(#REF!,"AAAAABzP/84=")</f>
        <v>#REF!</v>
      </c>
      <c r="GZ186" t="e">
        <f>AND(#REF!,"AAAAABzP/88=")</f>
        <v>#REF!</v>
      </c>
      <c r="HA186" t="e">
        <f>AND(#REF!,"AAAAABzP/9A=")</f>
        <v>#REF!</v>
      </c>
      <c r="HB186" t="e">
        <f>AND(#REF!,"AAAAABzP/9E=")</f>
        <v>#REF!</v>
      </c>
      <c r="HC186" t="e">
        <f>AND(#REF!,"AAAAABzP/9I=")</f>
        <v>#REF!</v>
      </c>
      <c r="HD186" t="e">
        <f>IF(#REF!,"AAAAABzP/9M=",0)</f>
        <v>#REF!</v>
      </c>
      <c r="HE186" t="e">
        <f>AND(#REF!,"AAAAABzP/9Q=")</f>
        <v>#REF!</v>
      </c>
      <c r="HF186" t="e">
        <f>AND(#REF!,"AAAAABzP/9U=")</f>
        <v>#REF!</v>
      </c>
      <c r="HG186" t="e">
        <f>AND(#REF!,"AAAAABzP/9Y=")</f>
        <v>#REF!</v>
      </c>
      <c r="HH186" t="e">
        <f>AND(#REF!,"AAAAABzP/9c=")</f>
        <v>#REF!</v>
      </c>
      <c r="HI186" t="e">
        <f>AND(#REF!,"AAAAABzP/9g=")</f>
        <v>#REF!</v>
      </c>
      <c r="HJ186" t="e">
        <f>AND(#REF!,"AAAAABzP/9k=")</f>
        <v>#REF!</v>
      </c>
      <c r="HK186" t="e">
        <f>AND(#REF!,"AAAAABzP/9o=")</f>
        <v>#REF!</v>
      </c>
      <c r="HL186" t="e">
        <f>AND(#REF!,"AAAAABzP/9s=")</f>
        <v>#REF!</v>
      </c>
      <c r="HM186" t="e">
        <f>AND(#REF!,"AAAAABzP/9w=")</f>
        <v>#REF!</v>
      </c>
      <c r="HN186" t="e">
        <f>AND(#REF!,"AAAAABzP/90=")</f>
        <v>#REF!</v>
      </c>
      <c r="HO186" t="e">
        <f>IF(#REF!,"AAAAABzP/94=",0)</f>
        <v>#REF!</v>
      </c>
      <c r="HP186" t="e">
        <f>AND(#REF!,"AAAAABzP/98=")</f>
        <v>#REF!</v>
      </c>
      <c r="HQ186" t="e">
        <f>AND(#REF!,"AAAAABzP/+A=")</f>
        <v>#REF!</v>
      </c>
      <c r="HR186" t="e">
        <f>AND(#REF!,"AAAAABzP/+E=")</f>
        <v>#REF!</v>
      </c>
      <c r="HS186" t="e">
        <f>AND(#REF!,"AAAAABzP/+I=")</f>
        <v>#REF!</v>
      </c>
      <c r="HT186" t="e">
        <f>AND(#REF!,"AAAAABzP/+M=")</f>
        <v>#REF!</v>
      </c>
      <c r="HU186" t="e">
        <f>AND(#REF!,"AAAAABzP/+Q=")</f>
        <v>#REF!</v>
      </c>
      <c r="HV186" t="e">
        <f>AND(#REF!,"AAAAABzP/+U=")</f>
        <v>#REF!</v>
      </c>
      <c r="HW186" t="e">
        <f>AND(#REF!,"AAAAABzP/+Y=")</f>
        <v>#REF!</v>
      </c>
      <c r="HX186" t="e">
        <f>AND(#REF!,"AAAAABzP/+c=")</f>
        <v>#REF!</v>
      </c>
      <c r="HY186" t="e">
        <f>AND(#REF!,"AAAAABzP/+g=")</f>
        <v>#REF!</v>
      </c>
      <c r="HZ186" t="e">
        <f>IF(#REF!,"AAAAABzP/+k=",0)</f>
        <v>#REF!</v>
      </c>
      <c r="IA186" t="e">
        <f>AND(#REF!,"AAAAABzP/+o=")</f>
        <v>#REF!</v>
      </c>
      <c r="IB186" t="e">
        <f>AND(#REF!,"AAAAABzP/+s=")</f>
        <v>#REF!</v>
      </c>
      <c r="IC186" t="e">
        <f>AND(#REF!,"AAAAABzP/+w=")</f>
        <v>#REF!</v>
      </c>
      <c r="ID186" t="e">
        <f>AND(#REF!,"AAAAABzP/+0=")</f>
        <v>#REF!</v>
      </c>
      <c r="IE186" t="e">
        <f>AND(#REF!,"AAAAABzP/+4=")</f>
        <v>#REF!</v>
      </c>
      <c r="IF186" t="e">
        <f>AND(#REF!,"AAAAABzP/+8=")</f>
        <v>#REF!</v>
      </c>
      <c r="IG186" t="e">
        <f>AND(#REF!,"AAAAABzP//A=")</f>
        <v>#REF!</v>
      </c>
      <c r="IH186" t="e">
        <f>AND(#REF!,"AAAAABzP//E=")</f>
        <v>#REF!</v>
      </c>
      <c r="II186" t="e">
        <f>AND(#REF!,"AAAAABzP//I=")</f>
        <v>#REF!</v>
      </c>
      <c r="IJ186" t="e">
        <f>AND(#REF!,"AAAAABzP//M=")</f>
        <v>#REF!</v>
      </c>
      <c r="IK186" t="e">
        <f>IF(#REF!,"AAAAABzP//Q=",0)</f>
        <v>#REF!</v>
      </c>
      <c r="IL186" t="e">
        <f>AND(#REF!,"AAAAABzP//U=")</f>
        <v>#REF!</v>
      </c>
      <c r="IM186" t="e">
        <f>AND(#REF!,"AAAAABzP//Y=")</f>
        <v>#REF!</v>
      </c>
      <c r="IN186" t="e">
        <f>AND(#REF!,"AAAAABzP//c=")</f>
        <v>#REF!</v>
      </c>
      <c r="IO186" t="e">
        <f>AND(#REF!,"AAAAABzP//g=")</f>
        <v>#REF!</v>
      </c>
      <c r="IP186" t="e">
        <f>AND(#REF!,"AAAAABzP//k=")</f>
        <v>#REF!</v>
      </c>
      <c r="IQ186" t="e">
        <f>AND(#REF!,"AAAAABzP//o=")</f>
        <v>#REF!</v>
      </c>
      <c r="IR186" t="e">
        <f>AND(#REF!,"AAAAABzP//s=")</f>
        <v>#REF!</v>
      </c>
      <c r="IS186" t="e">
        <f>AND(#REF!,"AAAAABzP//w=")</f>
        <v>#REF!</v>
      </c>
      <c r="IT186" t="e">
        <f>AND(#REF!,"AAAAABzP//0=")</f>
        <v>#REF!</v>
      </c>
      <c r="IU186" t="e">
        <f>AND(#REF!,"AAAAABzP//4=")</f>
        <v>#REF!</v>
      </c>
      <c r="IV186" t="e">
        <f>IF(#REF!,"AAAAABzP//8=",0)</f>
        <v>#REF!</v>
      </c>
    </row>
    <row r="187" spans="1:256" x14ac:dyDescent="0.25">
      <c r="A187" t="e">
        <f>AND(#REF!,"AAAAAHd/XwA=")</f>
        <v>#REF!</v>
      </c>
      <c r="B187" t="e">
        <f>AND(#REF!,"AAAAAHd/XwE=")</f>
        <v>#REF!</v>
      </c>
      <c r="C187" t="e">
        <f>AND(#REF!,"AAAAAHd/XwI=")</f>
        <v>#REF!</v>
      </c>
      <c r="D187" t="e">
        <f>AND(#REF!,"AAAAAHd/XwM=")</f>
        <v>#REF!</v>
      </c>
      <c r="E187" t="e">
        <f>AND(#REF!,"AAAAAHd/XwQ=")</f>
        <v>#REF!</v>
      </c>
      <c r="F187" t="e">
        <f>AND(#REF!,"AAAAAHd/XwU=")</f>
        <v>#REF!</v>
      </c>
      <c r="G187" t="e">
        <f>AND(#REF!,"AAAAAHd/XwY=")</f>
        <v>#REF!</v>
      </c>
      <c r="H187" t="e">
        <f>AND(#REF!,"AAAAAHd/Xwc=")</f>
        <v>#REF!</v>
      </c>
      <c r="I187" t="e">
        <f>AND(#REF!,"AAAAAHd/Xwg=")</f>
        <v>#REF!</v>
      </c>
      <c r="J187" t="e">
        <f>AND(#REF!,"AAAAAHd/Xwk=")</f>
        <v>#REF!</v>
      </c>
      <c r="K187" t="e">
        <f>IF(#REF!,"AAAAAHd/Xwo=",0)</f>
        <v>#REF!</v>
      </c>
      <c r="L187" t="e">
        <f>AND(#REF!,"AAAAAHd/Xws=")</f>
        <v>#REF!</v>
      </c>
      <c r="M187" t="e">
        <f>AND(#REF!,"AAAAAHd/Xww=")</f>
        <v>#REF!</v>
      </c>
      <c r="N187" t="e">
        <f>AND(#REF!,"AAAAAHd/Xw0=")</f>
        <v>#REF!</v>
      </c>
      <c r="O187" t="e">
        <f>AND(#REF!,"AAAAAHd/Xw4=")</f>
        <v>#REF!</v>
      </c>
      <c r="P187" t="e">
        <f>AND(#REF!,"AAAAAHd/Xw8=")</f>
        <v>#REF!</v>
      </c>
      <c r="Q187" t="e">
        <f>AND(#REF!,"AAAAAHd/XxA=")</f>
        <v>#REF!</v>
      </c>
      <c r="R187" t="e">
        <f>AND(#REF!,"AAAAAHd/XxE=")</f>
        <v>#REF!</v>
      </c>
      <c r="S187" t="e">
        <f>AND(#REF!,"AAAAAHd/XxI=")</f>
        <v>#REF!</v>
      </c>
      <c r="T187" t="e">
        <f>AND(#REF!,"AAAAAHd/XxM=")</f>
        <v>#REF!</v>
      </c>
      <c r="U187" t="e">
        <f>AND(#REF!,"AAAAAHd/XxQ=")</f>
        <v>#REF!</v>
      </c>
      <c r="V187" t="e">
        <f>IF(#REF!,"AAAAAHd/XxU=",0)</f>
        <v>#REF!</v>
      </c>
      <c r="W187" t="e">
        <f>AND(#REF!,"AAAAAHd/XxY=")</f>
        <v>#REF!</v>
      </c>
      <c r="X187" t="e">
        <f>AND(#REF!,"AAAAAHd/Xxc=")</f>
        <v>#REF!</v>
      </c>
      <c r="Y187" t="e">
        <f>AND(#REF!,"AAAAAHd/Xxg=")</f>
        <v>#REF!</v>
      </c>
      <c r="Z187" t="e">
        <f>AND(#REF!,"AAAAAHd/Xxk=")</f>
        <v>#REF!</v>
      </c>
      <c r="AA187" t="e">
        <f>AND(#REF!,"AAAAAHd/Xxo=")</f>
        <v>#REF!</v>
      </c>
      <c r="AB187" t="e">
        <f>AND(#REF!,"AAAAAHd/Xxs=")</f>
        <v>#REF!</v>
      </c>
      <c r="AC187" t="e">
        <f>AND(#REF!,"AAAAAHd/Xxw=")</f>
        <v>#REF!</v>
      </c>
      <c r="AD187" t="e">
        <f>AND(#REF!,"AAAAAHd/Xx0=")</f>
        <v>#REF!</v>
      </c>
      <c r="AE187" t="e">
        <f>AND(#REF!,"AAAAAHd/Xx4=")</f>
        <v>#REF!</v>
      </c>
      <c r="AF187" t="e">
        <f>AND(#REF!,"AAAAAHd/Xx8=")</f>
        <v>#REF!</v>
      </c>
      <c r="AG187" t="e">
        <f>IF(#REF!,"AAAAAHd/XyA=",0)</f>
        <v>#REF!</v>
      </c>
      <c r="AH187" t="e">
        <f>AND(#REF!,"AAAAAHd/XyE=")</f>
        <v>#REF!</v>
      </c>
      <c r="AI187" t="e">
        <f>AND(#REF!,"AAAAAHd/XyI=")</f>
        <v>#REF!</v>
      </c>
      <c r="AJ187" t="e">
        <f>AND(#REF!,"AAAAAHd/XyM=")</f>
        <v>#REF!</v>
      </c>
      <c r="AK187" t="e">
        <f>AND(#REF!,"AAAAAHd/XyQ=")</f>
        <v>#REF!</v>
      </c>
      <c r="AL187" t="e">
        <f>AND(#REF!,"AAAAAHd/XyU=")</f>
        <v>#REF!</v>
      </c>
      <c r="AM187" t="e">
        <f>AND(#REF!,"AAAAAHd/XyY=")</f>
        <v>#REF!</v>
      </c>
      <c r="AN187" t="e">
        <f>AND(#REF!,"AAAAAHd/Xyc=")</f>
        <v>#REF!</v>
      </c>
      <c r="AO187" t="e">
        <f>AND(#REF!,"AAAAAHd/Xyg=")</f>
        <v>#REF!</v>
      </c>
      <c r="AP187" t="e">
        <f>AND(#REF!,"AAAAAHd/Xyk=")</f>
        <v>#REF!</v>
      </c>
      <c r="AQ187" t="e">
        <f>AND(#REF!,"AAAAAHd/Xyo=")</f>
        <v>#REF!</v>
      </c>
      <c r="AR187" t="e">
        <f>IF(#REF!,"AAAAAHd/Xys=",0)</f>
        <v>#REF!</v>
      </c>
      <c r="AS187" t="e">
        <f>AND(#REF!,"AAAAAHd/Xyw=")</f>
        <v>#REF!</v>
      </c>
      <c r="AT187" t="e">
        <f>AND(#REF!,"AAAAAHd/Xy0=")</f>
        <v>#REF!</v>
      </c>
      <c r="AU187" t="e">
        <f>AND(#REF!,"AAAAAHd/Xy4=")</f>
        <v>#REF!</v>
      </c>
      <c r="AV187" t="e">
        <f>AND(#REF!,"AAAAAHd/Xy8=")</f>
        <v>#REF!</v>
      </c>
      <c r="AW187" t="e">
        <f>AND(#REF!,"AAAAAHd/XzA=")</f>
        <v>#REF!</v>
      </c>
      <c r="AX187" t="e">
        <f>AND(#REF!,"AAAAAHd/XzE=")</f>
        <v>#REF!</v>
      </c>
      <c r="AY187" t="e">
        <f>AND(#REF!,"AAAAAHd/XzI=")</f>
        <v>#REF!</v>
      </c>
      <c r="AZ187" t="e">
        <f>AND(#REF!,"AAAAAHd/XzM=")</f>
        <v>#REF!</v>
      </c>
      <c r="BA187" t="e">
        <f>AND(#REF!,"AAAAAHd/XzQ=")</f>
        <v>#REF!</v>
      </c>
      <c r="BB187" t="e">
        <f>AND(#REF!,"AAAAAHd/XzU=")</f>
        <v>#REF!</v>
      </c>
      <c r="BC187" t="e">
        <f>IF(#REF!,"AAAAAHd/XzY=",0)</f>
        <v>#REF!</v>
      </c>
      <c r="BD187" t="e">
        <f>AND(#REF!,"AAAAAHd/Xzc=")</f>
        <v>#REF!</v>
      </c>
      <c r="BE187" t="e">
        <f>AND(#REF!,"AAAAAHd/Xzg=")</f>
        <v>#REF!</v>
      </c>
      <c r="BF187" t="e">
        <f>AND(#REF!,"AAAAAHd/Xzk=")</f>
        <v>#REF!</v>
      </c>
      <c r="BG187" t="e">
        <f>AND(#REF!,"AAAAAHd/Xzo=")</f>
        <v>#REF!</v>
      </c>
      <c r="BH187" t="e">
        <f>AND(#REF!,"AAAAAHd/Xzs=")</f>
        <v>#REF!</v>
      </c>
      <c r="BI187" t="e">
        <f>AND(#REF!,"AAAAAHd/Xzw=")</f>
        <v>#REF!</v>
      </c>
      <c r="BJ187" t="e">
        <f>AND(#REF!,"AAAAAHd/Xz0=")</f>
        <v>#REF!</v>
      </c>
      <c r="BK187" t="e">
        <f>AND(#REF!,"AAAAAHd/Xz4=")</f>
        <v>#REF!</v>
      </c>
      <c r="BL187" t="e">
        <f>AND(#REF!,"AAAAAHd/Xz8=")</f>
        <v>#REF!</v>
      </c>
      <c r="BM187" t="e">
        <f>AND(#REF!,"AAAAAHd/X0A=")</f>
        <v>#REF!</v>
      </c>
      <c r="BN187" t="e">
        <f>IF(#REF!,"AAAAAHd/X0E=",0)</f>
        <v>#REF!</v>
      </c>
      <c r="BO187" t="e">
        <f>AND(#REF!,"AAAAAHd/X0I=")</f>
        <v>#REF!</v>
      </c>
      <c r="BP187" t="e">
        <f>AND(#REF!,"AAAAAHd/X0M=")</f>
        <v>#REF!</v>
      </c>
      <c r="BQ187" t="e">
        <f>AND(#REF!,"AAAAAHd/X0Q=")</f>
        <v>#REF!</v>
      </c>
      <c r="BR187" t="e">
        <f>AND(#REF!,"AAAAAHd/X0U=")</f>
        <v>#REF!</v>
      </c>
      <c r="BS187" t="e">
        <f>AND(#REF!,"AAAAAHd/X0Y=")</f>
        <v>#REF!</v>
      </c>
      <c r="BT187" t="e">
        <f>AND(#REF!,"AAAAAHd/X0c=")</f>
        <v>#REF!</v>
      </c>
      <c r="BU187" t="e">
        <f>AND(#REF!,"AAAAAHd/X0g=")</f>
        <v>#REF!</v>
      </c>
      <c r="BV187" t="e">
        <f>AND(#REF!,"AAAAAHd/X0k=")</f>
        <v>#REF!</v>
      </c>
      <c r="BW187" t="e">
        <f>AND(#REF!,"AAAAAHd/X0o=")</f>
        <v>#REF!</v>
      </c>
      <c r="BX187" t="e">
        <f>AND(#REF!,"AAAAAHd/X0s=")</f>
        <v>#REF!</v>
      </c>
      <c r="BY187" t="e">
        <f>IF(#REF!,"AAAAAHd/X0w=",0)</f>
        <v>#REF!</v>
      </c>
      <c r="BZ187" t="e">
        <f>AND(#REF!,"AAAAAHd/X00=")</f>
        <v>#REF!</v>
      </c>
      <c r="CA187" t="e">
        <f>AND(#REF!,"AAAAAHd/X04=")</f>
        <v>#REF!</v>
      </c>
      <c r="CB187" t="e">
        <f>AND(#REF!,"AAAAAHd/X08=")</f>
        <v>#REF!</v>
      </c>
      <c r="CC187" t="e">
        <f>AND(#REF!,"AAAAAHd/X1A=")</f>
        <v>#REF!</v>
      </c>
      <c r="CD187" t="e">
        <f>AND(#REF!,"AAAAAHd/X1E=")</f>
        <v>#REF!</v>
      </c>
      <c r="CE187" t="e">
        <f>AND(#REF!,"AAAAAHd/X1I=")</f>
        <v>#REF!</v>
      </c>
      <c r="CF187" t="e">
        <f>AND(#REF!,"AAAAAHd/X1M=")</f>
        <v>#REF!</v>
      </c>
      <c r="CG187" t="e">
        <f>AND(#REF!,"AAAAAHd/X1Q=")</f>
        <v>#REF!</v>
      </c>
      <c r="CH187" t="e">
        <f>AND(#REF!,"AAAAAHd/X1U=")</f>
        <v>#REF!</v>
      </c>
      <c r="CI187" t="e">
        <f>AND(#REF!,"AAAAAHd/X1Y=")</f>
        <v>#REF!</v>
      </c>
      <c r="CJ187" t="e">
        <f>IF(#REF!,"AAAAAHd/X1c=",0)</f>
        <v>#REF!</v>
      </c>
      <c r="CK187" t="e">
        <f>AND(#REF!,"AAAAAHd/X1g=")</f>
        <v>#REF!</v>
      </c>
      <c r="CL187" t="e">
        <f>AND(#REF!,"AAAAAHd/X1k=")</f>
        <v>#REF!</v>
      </c>
      <c r="CM187" t="e">
        <f>AND(#REF!,"AAAAAHd/X1o=")</f>
        <v>#REF!</v>
      </c>
      <c r="CN187" t="e">
        <f>AND(#REF!,"AAAAAHd/X1s=")</f>
        <v>#REF!</v>
      </c>
      <c r="CO187" t="e">
        <f>AND(#REF!,"AAAAAHd/X1w=")</f>
        <v>#REF!</v>
      </c>
      <c r="CP187" t="e">
        <f>AND(#REF!,"AAAAAHd/X10=")</f>
        <v>#REF!</v>
      </c>
      <c r="CQ187" t="e">
        <f>AND(#REF!,"AAAAAHd/X14=")</f>
        <v>#REF!</v>
      </c>
      <c r="CR187" t="e">
        <f>AND(#REF!,"AAAAAHd/X18=")</f>
        <v>#REF!</v>
      </c>
      <c r="CS187" t="e">
        <f>AND(#REF!,"AAAAAHd/X2A=")</f>
        <v>#REF!</v>
      </c>
      <c r="CT187" t="e">
        <f>AND(#REF!,"AAAAAHd/X2E=")</f>
        <v>#REF!</v>
      </c>
      <c r="CU187" t="e">
        <f>IF(#REF!,"AAAAAHd/X2I=",0)</f>
        <v>#REF!</v>
      </c>
      <c r="CV187" t="e">
        <f>AND(#REF!,"AAAAAHd/X2M=")</f>
        <v>#REF!</v>
      </c>
      <c r="CW187" t="e">
        <f>AND(#REF!,"AAAAAHd/X2Q=")</f>
        <v>#REF!</v>
      </c>
      <c r="CX187" t="e">
        <f>AND(#REF!,"AAAAAHd/X2U=")</f>
        <v>#REF!</v>
      </c>
      <c r="CY187" t="e">
        <f>AND(#REF!,"AAAAAHd/X2Y=")</f>
        <v>#REF!</v>
      </c>
      <c r="CZ187" t="e">
        <f>AND(#REF!,"AAAAAHd/X2c=")</f>
        <v>#REF!</v>
      </c>
      <c r="DA187" t="e">
        <f>AND(#REF!,"AAAAAHd/X2g=")</f>
        <v>#REF!</v>
      </c>
      <c r="DB187" t="e">
        <f>AND(#REF!,"AAAAAHd/X2k=")</f>
        <v>#REF!</v>
      </c>
      <c r="DC187" t="e">
        <f>AND(#REF!,"AAAAAHd/X2o=")</f>
        <v>#REF!</v>
      </c>
      <c r="DD187" t="e">
        <f>AND(#REF!,"AAAAAHd/X2s=")</f>
        <v>#REF!</v>
      </c>
      <c r="DE187" t="e">
        <f>AND(#REF!,"AAAAAHd/X2w=")</f>
        <v>#REF!</v>
      </c>
      <c r="DF187" t="e">
        <f>IF(#REF!,"AAAAAHd/X20=",0)</f>
        <v>#REF!</v>
      </c>
      <c r="DG187" t="e">
        <f>AND(#REF!,"AAAAAHd/X24=")</f>
        <v>#REF!</v>
      </c>
      <c r="DH187" t="e">
        <f>AND(#REF!,"AAAAAHd/X28=")</f>
        <v>#REF!</v>
      </c>
      <c r="DI187" t="e">
        <f>AND(#REF!,"AAAAAHd/X3A=")</f>
        <v>#REF!</v>
      </c>
      <c r="DJ187" t="e">
        <f>AND(#REF!,"AAAAAHd/X3E=")</f>
        <v>#REF!</v>
      </c>
      <c r="DK187" t="e">
        <f>AND(#REF!,"AAAAAHd/X3I=")</f>
        <v>#REF!</v>
      </c>
      <c r="DL187" t="e">
        <f>AND(#REF!,"AAAAAHd/X3M=")</f>
        <v>#REF!</v>
      </c>
      <c r="DM187" t="e">
        <f>AND(#REF!,"AAAAAHd/X3Q=")</f>
        <v>#REF!</v>
      </c>
      <c r="DN187" t="e">
        <f>AND(#REF!,"AAAAAHd/X3U=")</f>
        <v>#REF!</v>
      </c>
      <c r="DO187" t="e">
        <f>AND(#REF!,"AAAAAHd/X3Y=")</f>
        <v>#REF!</v>
      </c>
      <c r="DP187" t="e">
        <f>AND(#REF!,"AAAAAHd/X3c=")</f>
        <v>#REF!</v>
      </c>
      <c r="DQ187" t="e">
        <f>IF(#REF!,"AAAAAHd/X3g=",0)</f>
        <v>#REF!</v>
      </c>
      <c r="DR187" t="e">
        <f>AND(#REF!,"AAAAAHd/X3k=")</f>
        <v>#REF!</v>
      </c>
      <c r="DS187" t="e">
        <f>AND(#REF!,"AAAAAHd/X3o=")</f>
        <v>#REF!</v>
      </c>
      <c r="DT187" t="e">
        <f>AND(#REF!,"AAAAAHd/X3s=")</f>
        <v>#REF!</v>
      </c>
      <c r="DU187" t="e">
        <f>AND(#REF!,"AAAAAHd/X3w=")</f>
        <v>#REF!</v>
      </c>
      <c r="DV187" t="e">
        <f>AND(#REF!,"AAAAAHd/X30=")</f>
        <v>#REF!</v>
      </c>
      <c r="DW187" t="e">
        <f>AND(#REF!,"AAAAAHd/X34=")</f>
        <v>#REF!</v>
      </c>
      <c r="DX187" t="e">
        <f>AND(#REF!,"AAAAAHd/X38=")</f>
        <v>#REF!</v>
      </c>
      <c r="DY187" t="e">
        <f>AND(#REF!,"AAAAAHd/X4A=")</f>
        <v>#REF!</v>
      </c>
      <c r="DZ187" t="e">
        <f>AND(#REF!,"AAAAAHd/X4E=")</f>
        <v>#REF!</v>
      </c>
      <c r="EA187" t="e">
        <f>AND(#REF!,"AAAAAHd/X4I=")</f>
        <v>#REF!</v>
      </c>
      <c r="EB187" t="e">
        <f>IF(#REF!,"AAAAAHd/X4M=",0)</f>
        <v>#REF!</v>
      </c>
      <c r="EC187" t="e">
        <f>AND(#REF!,"AAAAAHd/X4Q=")</f>
        <v>#REF!</v>
      </c>
      <c r="ED187" t="e">
        <f>AND(#REF!,"AAAAAHd/X4U=")</f>
        <v>#REF!</v>
      </c>
      <c r="EE187" t="e">
        <f>AND(#REF!,"AAAAAHd/X4Y=")</f>
        <v>#REF!</v>
      </c>
      <c r="EF187" t="e">
        <f>AND(#REF!,"AAAAAHd/X4c=")</f>
        <v>#REF!</v>
      </c>
      <c r="EG187" t="e">
        <f>AND(#REF!,"AAAAAHd/X4g=")</f>
        <v>#REF!</v>
      </c>
      <c r="EH187" t="e">
        <f>AND(#REF!,"AAAAAHd/X4k=")</f>
        <v>#REF!</v>
      </c>
      <c r="EI187" t="e">
        <f>AND(#REF!,"AAAAAHd/X4o=")</f>
        <v>#REF!</v>
      </c>
      <c r="EJ187" t="e">
        <f>AND(#REF!,"AAAAAHd/X4s=")</f>
        <v>#REF!</v>
      </c>
      <c r="EK187" t="e">
        <f>AND(#REF!,"AAAAAHd/X4w=")</f>
        <v>#REF!</v>
      </c>
      <c r="EL187" t="e">
        <f>AND(#REF!,"AAAAAHd/X40=")</f>
        <v>#REF!</v>
      </c>
      <c r="EM187" t="e">
        <f>IF(#REF!,"AAAAAHd/X44=",0)</f>
        <v>#REF!</v>
      </c>
      <c r="EN187" t="e">
        <f>AND(#REF!,"AAAAAHd/X48=")</f>
        <v>#REF!</v>
      </c>
      <c r="EO187" t="e">
        <f>AND(#REF!,"AAAAAHd/X5A=")</f>
        <v>#REF!</v>
      </c>
      <c r="EP187" t="e">
        <f>AND(#REF!,"AAAAAHd/X5E=")</f>
        <v>#REF!</v>
      </c>
      <c r="EQ187" t="e">
        <f>AND(#REF!,"AAAAAHd/X5I=")</f>
        <v>#REF!</v>
      </c>
      <c r="ER187" t="e">
        <f>AND(#REF!,"AAAAAHd/X5M=")</f>
        <v>#REF!</v>
      </c>
      <c r="ES187" t="e">
        <f>AND(#REF!,"AAAAAHd/X5Q=")</f>
        <v>#REF!</v>
      </c>
      <c r="ET187" t="e">
        <f>AND(#REF!,"AAAAAHd/X5U=")</f>
        <v>#REF!</v>
      </c>
      <c r="EU187" t="e">
        <f>AND(#REF!,"AAAAAHd/X5Y=")</f>
        <v>#REF!</v>
      </c>
      <c r="EV187" t="e">
        <f>AND(#REF!,"AAAAAHd/X5c=")</f>
        <v>#REF!</v>
      </c>
      <c r="EW187" t="e">
        <f>AND(#REF!,"AAAAAHd/X5g=")</f>
        <v>#REF!</v>
      </c>
      <c r="EX187" t="e">
        <f>IF(#REF!,"AAAAAHd/X5k=",0)</f>
        <v>#REF!</v>
      </c>
      <c r="EY187" t="e">
        <f>AND(#REF!,"AAAAAHd/X5o=")</f>
        <v>#REF!</v>
      </c>
      <c r="EZ187" t="e">
        <f>AND(#REF!,"AAAAAHd/X5s=")</f>
        <v>#REF!</v>
      </c>
      <c r="FA187" t="e">
        <f>AND(#REF!,"AAAAAHd/X5w=")</f>
        <v>#REF!</v>
      </c>
      <c r="FB187" t="e">
        <f>AND(#REF!,"AAAAAHd/X50=")</f>
        <v>#REF!</v>
      </c>
      <c r="FC187" t="e">
        <f>AND(#REF!,"AAAAAHd/X54=")</f>
        <v>#REF!</v>
      </c>
      <c r="FD187" t="e">
        <f>AND(#REF!,"AAAAAHd/X58=")</f>
        <v>#REF!</v>
      </c>
      <c r="FE187" t="e">
        <f>AND(#REF!,"AAAAAHd/X6A=")</f>
        <v>#REF!</v>
      </c>
      <c r="FF187" t="e">
        <f>AND(#REF!,"AAAAAHd/X6E=")</f>
        <v>#REF!</v>
      </c>
      <c r="FG187" t="e">
        <f>AND(#REF!,"AAAAAHd/X6I=")</f>
        <v>#REF!</v>
      </c>
      <c r="FH187" t="e">
        <f>AND(#REF!,"AAAAAHd/X6M=")</f>
        <v>#REF!</v>
      </c>
      <c r="FI187" t="e">
        <f>IF(#REF!,"AAAAAHd/X6Q=",0)</f>
        <v>#REF!</v>
      </c>
      <c r="FJ187" t="e">
        <f>AND(#REF!,"AAAAAHd/X6U=")</f>
        <v>#REF!</v>
      </c>
      <c r="FK187" t="e">
        <f>AND(#REF!,"AAAAAHd/X6Y=")</f>
        <v>#REF!</v>
      </c>
      <c r="FL187" t="e">
        <f>AND(#REF!,"AAAAAHd/X6c=")</f>
        <v>#REF!</v>
      </c>
      <c r="FM187" t="e">
        <f>AND(#REF!,"AAAAAHd/X6g=")</f>
        <v>#REF!</v>
      </c>
      <c r="FN187" t="e">
        <f>AND(#REF!,"AAAAAHd/X6k=")</f>
        <v>#REF!</v>
      </c>
      <c r="FO187" t="e">
        <f>AND(#REF!,"AAAAAHd/X6o=")</f>
        <v>#REF!</v>
      </c>
      <c r="FP187" t="e">
        <f>AND(#REF!,"AAAAAHd/X6s=")</f>
        <v>#REF!</v>
      </c>
      <c r="FQ187" t="e">
        <f>AND(#REF!,"AAAAAHd/X6w=")</f>
        <v>#REF!</v>
      </c>
      <c r="FR187" t="e">
        <f>AND(#REF!,"AAAAAHd/X60=")</f>
        <v>#REF!</v>
      </c>
      <c r="FS187" t="e">
        <f>AND(#REF!,"AAAAAHd/X64=")</f>
        <v>#REF!</v>
      </c>
      <c r="FT187" t="e">
        <f>IF(#REF!,"AAAAAHd/X68=",0)</f>
        <v>#REF!</v>
      </c>
      <c r="FU187" t="e">
        <f>AND(#REF!,"AAAAAHd/X7A=")</f>
        <v>#REF!</v>
      </c>
      <c r="FV187" t="e">
        <f>AND(#REF!,"AAAAAHd/X7E=")</f>
        <v>#REF!</v>
      </c>
      <c r="FW187" t="e">
        <f>AND(#REF!,"AAAAAHd/X7I=")</f>
        <v>#REF!</v>
      </c>
      <c r="FX187" t="e">
        <f>AND(#REF!,"AAAAAHd/X7M=")</f>
        <v>#REF!</v>
      </c>
      <c r="FY187" t="e">
        <f>AND(#REF!,"AAAAAHd/X7Q=")</f>
        <v>#REF!</v>
      </c>
      <c r="FZ187" t="e">
        <f>AND(#REF!,"AAAAAHd/X7U=")</f>
        <v>#REF!</v>
      </c>
      <c r="GA187" t="e">
        <f>AND(#REF!,"AAAAAHd/X7Y=")</f>
        <v>#REF!</v>
      </c>
      <c r="GB187" t="e">
        <f>AND(#REF!,"AAAAAHd/X7c=")</f>
        <v>#REF!</v>
      </c>
      <c r="GC187" t="e">
        <f>AND(#REF!,"AAAAAHd/X7g=")</f>
        <v>#REF!</v>
      </c>
      <c r="GD187" t="e">
        <f>AND(#REF!,"AAAAAHd/X7k=")</f>
        <v>#REF!</v>
      </c>
      <c r="GE187" t="e">
        <f>IF(#REF!,"AAAAAHd/X7o=",0)</f>
        <v>#REF!</v>
      </c>
      <c r="GF187" t="e">
        <f>AND(#REF!,"AAAAAHd/X7s=")</f>
        <v>#REF!</v>
      </c>
      <c r="GG187" t="e">
        <f>AND(#REF!,"AAAAAHd/X7w=")</f>
        <v>#REF!</v>
      </c>
      <c r="GH187" t="e">
        <f>AND(#REF!,"AAAAAHd/X70=")</f>
        <v>#REF!</v>
      </c>
      <c r="GI187" t="e">
        <f>AND(#REF!,"AAAAAHd/X74=")</f>
        <v>#REF!</v>
      </c>
      <c r="GJ187" t="e">
        <f>AND(#REF!,"AAAAAHd/X78=")</f>
        <v>#REF!</v>
      </c>
      <c r="GK187" t="e">
        <f>AND(#REF!,"AAAAAHd/X8A=")</f>
        <v>#REF!</v>
      </c>
      <c r="GL187" t="e">
        <f>AND(#REF!,"AAAAAHd/X8E=")</f>
        <v>#REF!</v>
      </c>
      <c r="GM187" t="e">
        <f>AND(#REF!,"AAAAAHd/X8I=")</f>
        <v>#REF!</v>
      </c>
      <c r="GN187" t="e">
        <f>AND(#REF!,"AAAAAHd/X8M=")</f>
        <v>#REF!</v>
      </c>
      <c r="GO187" t="e">
        <f>AND(#REF!,"AAAAAHd/X8Q=")</f>
        <v>#REF!</v>
      </c>
      <c r="GP187" t="e">
        <f>IF(#REF!,"AAAAAHd/X8U=",0)</f>
        <v>#REF!</v>
      </c>
      <c r="GQ187" t="e">
        <f>AND(#REF!,"AAAAAHd/X8Y=")</f>
        <v>#REF!</v>
      </c>
      <c r="GR187" t="e">
        <f>AND(#REF!,"AAAAAHd/X8c=")</f>
        <v>#REF!</v>
      </c>
      <c r="GS187" t="e">
        <f>AND(#REF!,"AAAAAHd/X8g=")</f>
        <v>#REF!</v>
      </c>
      <c r="GT187" t="e">
        <f>AND(#REF!,"AAAAAHd/X8k=")</f>
        <v>#REF!</v>
      </c>
      <c r="GU187" t="e">
        <f>AND(#REF!,"AAAAAHd/X8o=")</f>
        <v>#REF!</v>
      </c>
      <c r="GV187" t="e">
        <f>AND(#REF!,"AAAAAHd/X8s=")</f>
        <v>#REF!</v>
      </c>
      <c r="GW187" t="e">
        <f>AND(#REF!,"AAAAAHd/X8w=")</f>
        <v>#REF!</v>
      </c>
      <c r="GX187" t="e">
        <f>AND(#REF!,"AAAAAHd/X80=")</f>
        <v>#REF!</v>
      </c>
      <c r="GY187" t="e">
        <f>AND(#REF!,"AAAAAHd/X84=")</f>
        <v>#REF!</v>
      </c>
      <c r="GZ187" t="e">
        <f>AND(#REF!,"AAAAAHd/X88=")</f>
        <v>#REF!</v>
      </c>
      <c r="HA187" t="e">
        <f>IF(#REF!,"AAAAAHd/X9A=",0)</f>
        <v>#REF!</v>
      </c>
      <c r="HB187" t="e">
        <f>AND(#REF!,"AAAAAHd/X9E=")</f>
        <v>#REF!</v>
      </c>
      <c r="HC187" t="e">
        <f>AND(#REF!,"AAAAAHd/X9I=")</f>
        <v>#REF!</v>
      </c>
      <c r="HD187" t="e">
        <f>AND(#REF!,"AAAAAHd/X9M=")</f>
        <v>#REF!</v>
      </c>
      <c r="HE187" t="e">
        <f>AND(#REF!,"AAAAAHd/X9Q=")</f>
        <v>#REF!</v>
      </c>
      <c r="HF187" t="e">
        <f>AND(#REF!,"AAAAAHd/X9U=")</f>
        <v>#REF!</v>
      </c>
      <c r="HG187" t="e">
        <f>AND(#REF!,"AAAAAHd/X9Y=")</f>
        <v>#REF!</v>
      </c>
      <c r="HH187" t="e">
        <f>AND(#REF!,"AAAAAHd/X9c=")</f>
        <v>#REF!</v>
      </c>
      <c r="HI187" t="e">
        <f>AND(#REF!,"AAAAAHd/X9g=")</f>
        <v>#REF!</v>
      </c>
      <c r="HJ187" t="e">
        <f>AND(#REF!,"AAAAAHd/X9k=")</f>
        <v>#REF!</v>
      </c>
      <c r="HK187" t="e">
        <f>AND(#REF!,"AAAAAHd/X9o=")</f>
        <v>#REF!</v>
      </c>
      <c r="HL187" t="e">
        <f>IF(#REF!,"AAAAAHd/X9s=",0)</f>
        <v>#REF!</v>
      </c>
      <c r="HM187" t="e">
        <f>AND(#REF!,"AAAAAHd/X9w=")</f>
        <v>#REF!</v>
      </c>
      <c r="HN187" t="e">
        <f>AND(#REF!,"AAAAAHd/X90=")</f>
        <v>#REF!</v>
      </c>
      <c r="HO187" t="e">
        <f>AND(#REF!,"AAAAAHd/X94=")</f>
        <v>#REF!</v>
      </c>
      <c r="HP187" t="e">
        <f>AND(#REF!,"AAAAAHd/X98=")</f>
        <v>#REF!</v>
      </c>
      <c r="HQ187" t="e">
        <f>AND(#REF!,"AAAAAHd/X+A=")</f>
        <v>#REF!</v>
      </c>
      <c r="HR187" t="e">
        <f>AND(#REF!,"AAAAAHd/X+E=")</f>
        <v>#REF!</v>
      </c>
      <c r="HS187" t="e">
        <f>AND(#REF!,"AAAAAHd/X+I=")</f>
        <v>#REF!</v>
      </c>
      <c r="HT187" t="e">
        <f>AND(#REF!,"AAAAAHd/X+M=")</f>
        <v>#REF!</v>
      </c>
      <c r="HU187" t="e">
        <f>AND(#REF!,"AAAAAHd/X+Q=")</f>
        <v>#REF!</v>
      </c>
      <c r="HV187" t="e">
        <f>AND(#REF!,"AAAAAHd/X+U=")</f>
        <v>#REF!</v>
      </c>
      <c r="HW187" t="e">
        <f>IF(#REF!,"AAAAAHd/X+Y=",0)</f>
        <v>#REF!</v>
      </c>
      <c r="HX187" t="e">
        <f>AND(#REF!,"AAAAAHd/X+c=")</f>
        <v>#REF!</v>
      </c>
      <c r="HY187" t="e">
        <f>AND(#REF!,"AAAAAHd/X+g=")</f>
        <v>#REF!</v>
      </c>
      <c r="HZ187" t="e">
        <f>AND(#REF!,"AAAAAHd/X+k=")</f>
        <v>#REF!</v>
      </c>
      <c r="IA187" t="e">
        <f>AND(#REF!,"AAAAAHd/X+o=")</f>
        <v>#REF!</v>
      </c>
      <c r="IB187" t="e">
        <f>AND(#REF!,"AAAAAHd/X+s=")</f>
        <v>#REF!</v>
      </c>
      <c r="IC187" t="e">
        <f>AND(#REF!,"AAAAAHd/X+w=")</f>
        <v>#REF!</v>
      </c>
      <c r="ID187" t="e">
        <f>AND(#REF!,"AAAAAHd/X+0=")</f>
        <v>#REF!</v>
      </c>
      <c r="IE187" t="e">
        <f>AND(#REF!,"AAAAAHd/X+4=")</f>
        <v>#REF!</v>
      </c>
      <c r="IF187" t="e">
        <f>AND(#REF!,"AAAAAHd/X+8=")</f>
        <v>#REF!</v>
      </c>
      <c r="IG187" t="e">
        <f>AND(#REF!,"AAAAAHd/X/A=")</f>
        <v>#REF!</v>
      </c>
      <c r="IH187" t="e">
        <f>IF(#REF!,"AAAAAHd/X/E=",0)</f>
        <v>#REF!</v>
      </c>
      <c r="II187" t="e">
        <f>AND(#REF!,"AAAAAHd/X/I=")</f>
        <v>#REF!</v>
      </c>
      <c r="IJ187" t="e">
        <f>AND(#REF!,"AAAAAHd/X/M=")</f>
        <v>#REF!</v>
      </c>
      <c r="IK187" t="e">
        <f>AND(#REF!,"AAAAAHd/X/Q=")</f>
        <v>#REF!</v>
      </c>
      <c r="IL187" t="e">
        <f>AND(#REF!,"AAAAAHd/X/U=")</f>
        <v>#REF!</v>
      </c>
      <c r="IM187" t="e">
        <f>AND(#REF!,"AAAAAHd/X/Y=")</f>
        <v>#REF!</v>
      </c>
      <c r="IN187" t="e">
        <f>AND(#REF!,"AAAAAHd/X/c=")</f>
        <v>#REF!</v>
      </c>
      <c r="IO187" t="e">
        <f>AND(#REF!,"AAAAAHd/X/g=")</f>
        <v>#REF!</v>
      </c>
      <c r="IP187" t="e">
        <f>AND(#REF!,"AAAAAHd/X/k=")</f>
        <v>#REF!</v>
      </c>
      <c r="IQ187" t="e">
        <f>AND(#REF!,"AAAAAHd/X/o=")</f>
        <v>#REF!</v>
      </c>
      <c r="IR187" t="e">
        <f>AND(#REF!,"AAAAAHd/X/s=")</f>
        <v>#REF!</v>
      </c>
      <c r="IS187" t="e">
        <f>IF(#REF!,"AAAAAHd/X/w=",0)</f>
        <v>#REF!</v>
      </c>
      <c r="IT187" t="e">
        <f>AND(#REF!,"AAAAAHd/X/0=")</f>
        <v>#REF!</v>
      </c>
      <c r="IU187" t="e">
        <f>AND(#REF!,"AAAAAHd/X/4=")</f>
        <v>#REF!</v>
      </c>
      <c r="IV187" t="e">
        <f>AND(#REF!,"AAAAAHd/X/8=")</f>
        <v>#REF!</v>
      </c>
    </row>
    <row r="188" spans="1:256" x14ac:dyDescent="0.25">
      <c r="A188" t="e">
        <f>AND(#REF!,"AAAAAG7n+wA=")</f>
        <v>#REF!</v>
      </c>
      <c r="B188" t="e">
        <f>AND(#REF!,"AAAAAG7n+wE=")</f>
        <v>#REF!</v>
      </c>
      <c r="C188" t="e">
        <f>AND(#REF!,"AAAAAG7n+wI=")</f>
        <v>#REF!</v>
      </c>
      <c r="D188" t="e">
        <f>AND(#REF!,"AAAAAG7n+wM=")</f>
        <v>#REF!</v>
      </c>
      <c r="E188" t="e">
        <f>AND(#REF!,"AAAAAG7n+wQ=")</f>
        <v>#REF!</v>
      </c>
      <c r="F188" t="e">
        <f>AND(#REF!,"AAAAAG7n+wU=")</f>
        <v>#REF!</v>
      </c>
      <c r="G188" t="e">
        <f>AND(#REF!,"AAAAAG7n+wY=")</f>
        <v>#REF!</v>
      </c>
      <c r="H188" t="e">
        <f>IF(#REF!,"AAAAAG7n+wc=",0)</f>
        <v>#REF!</v>
      </c>
      <c r="I188" t="e">
        <f>AND(#REF!,"AAAAAG7n+wg=")</f>
        <v>#REF!</v>
      </c>
      <c r="J188" t="e">
        <f>AND(#REF!,"AAAAAG7n+wk=")</f>
        <v>#REF!</v>
      </c>
      <c r="K188" t="e">
        <f>AND(#REF!,"AAAAAG7n+wo=")</f>
        <v>#REF!</v>
      </c>
      <c r="L188" t="e">
        <f>AND(#REF!,"AAAAAG7n+ws=")</f>
        <v>#REF!</v>
      </c>
      <c r="M188" t="e">
        <f>AND(#REF!,"AAAAAG7n+ww=")</f>
        <v>#REF!</v>
      </c>
      <c r="N188" t="e">
        <f>AND(#REF!,"AAAAAG7n+w0=")</f>
        <v>#REF!</v>
      </c>
      <c r="O188" t="e">
        <f>AND(#REF!,"AAAAAG7n+w4=")</f>
        <v>#REF!</v>
      </c>
      <c r="P188" t="e">
        <f>AND(#REF!,"AAAAAG7n+w8=")</f>
        <v>#REF!</v>
      </c>
      <c r="Q188" t="e">
        <f>AND(#REF!,"AAAAAG7n+xA=")</f>
        <v>#REF!</v>
      </c>
      <c r="R188" t="e">
        <f>AND(#REF!,"AAAAAG7n+xE=")</f>
        <v>#REF!</v>
      </c>
      <c r="S188" t="e">
        <f>IF(#REF!,"AAAAAG7n+xI=",0)</f>
        <v>#REF!</v>
      </c>
      <c r="T188" t="e">
        <f>AND(#REF!,"AAAAAG7n+xM=")</f>
        <v>#REF!</v>
      </c>
      <c r="U188" t="e">
        <f>AND(#REF!,"AAAAAG7n+xQ=")</f>
        <v>#REF!</v>
      </c>
      <c r="V188" t="e">
        <f>AND(#REF!,"AAAAAG7n+xU=")</f>
        <v>#REF!</v>
      </c>
      <c r="W188" t="e">
        <f>AND(#REF!,"AAAAAG7n+xY=")</f>
        <v>#REF!</v>
      </c>
      <c r="X188" t="e">
        <f>AND(#REF!,"AAAAAG7n+xc=")</f>
        <v>#REF!</v>
      </c>
      <c r="Y188" t="e">
        <f>AND(#REF!,"AAAAAG7n+xg=")</f>
        <v>#REF!</v>
      </c>
      <c r="Z188" t="e">
        <f>AND(#REF!,"AAAAAG7n+xk=")</f>
        <v>#REF!</v>
      </c>
      <c r="AA188" t="e">
        <f>AND(#REF!,"AAAAAG7n+xo=")</f>
        <v>#REF!</v>
      </c>
      <c r="AB188" t="e">
        <f>AND(#REF!,"AAAAAG7n+xs=")</f>
        <v>#REF!</v>
      </c>
      <c r="AC188" t="e">
        <f>AND(#REF!,"AAAAAG7n+xw=")</f>
        <v>#REF!</v>
      </c>
      <c r="AD188" t="e">
        <f>IF(#REF!,"AAAAAG7n+x0=",0)</f>
        <v>#REF!</v>
      </c>
      <c r="AE188" t="e">
        <f>AND(#REF!,"AAAAAG7n+x4=")</f>
        <v>#REF!</v>
      </c>
      <c r="AF188" t="e">
        <f>AND(#REF!,"AAAAAG7n+x8=")</f>
        <v>#REF!</v>
      </c>
      <c r="AG188" t="e">
        <f>AND(#REF!,"AAAAAG7n+yA=")</f>
        <v>#REF!</v>
      </c>
      <c r="AH188" t="e">
        <f>AND(#REF!,"AAAAAG7n+yE=")</f>
        <v>#REF!</v>
      </c>
      <c r="AI188" t="e">
        <f>AND(#REF!,"AAAAAG7n+yI=")</f>
        <v>#REF!</v>
      </c>
      <c r="AJ188" t="e">
        <f>AND(#REF!,"AAAAAG7n+yM=")</f>
        <v>#REF!</v>
      </c>
      <c r="AK188" t="e">
        <f>AND(#REF!,"AAAAAG7n+yQ=")</f>
        <v>#REF!</v>
      </c>
      <c r="AL188" t="e">
        <f>AND(#REF!,"AAAAAG7n+yU=")</f>
        <v>#REF!</v>
      </c>
      <c r="AM188" t="e">
        <f>AND(#REF!,"AAAAAG7n+yY=")</f>
        <v>#REF!</v>
      </c>
      <c r="AN188" t="e">
        <f>AND(#REF!,"AAAAAG7n+yc=")</f>
        <v>#REF!</v>
      </c>
      <c r="AO188" t="e">
        <f>IF(#REF!,"AAAAAG7n+yg=",0)</f>
        <v>#REF!</v>
      </c>
      <c r="AP188" t="e">
        <f>AND(#REF!,"AAAAAG7n+yk=")</f>
        <v>#REF!</v>
      </c>
      <c r="AQ188" t="e">
        <f>AND(#REF!,"AAAAAG7n+yo=")</f>
        <v>#REF!</v>
      </c>
      <c r="AR188" t="e">
        <f>AND(#REF!,"AAAAAG7n+ys=")</f>
        <v>#REF!</v>
      </c>
      <c r="AS188" t="e">
        <f>AND(#REF!,"AAAAAG7n+yw=")</f>
        <v>#REF!</v>
      </c>
      <c r="AT188" t="e">
        <f>AND(#REF!,"AAAAAG7n+y0=")</f>
        <v>#REF!</v>
      </c>
      <c r="AU188" t="e">
        <f>AND(#REF!,"AAAAAG7n+y4=")</f>
        <v>#REF!</v>
      </c>
      <c r="AV188" t="e">
        <f>AND(#REF!,"AAAAAG7n+y8=")</f>
        <v>#REF!</v>
      </c>
      <c r="AW188" t="e">
        <f>AND(#REF!,"AAAAAG7n+zA=")</f>
        <v>#REF!</v>
      </c>
      <c r="AX188" t="e">
        <f>AND(#REF!,"AAAAAG7n+zE=")</f>
        <v>#REF!</v>
      </c>
      <c r="AY188" t="e">
        <f>AND(#REF!,"AAAAAG7n+zI=")</f>
        <v>#REF!</v>
      </c>
      <c r="AZ188" t="e">
        <f>IF(#REF!,"AAAAAG7n+zM=",0)</f>
        <v>#REF!</v>
      </c>
      <c r="BA188" t="e">
        <f>AND(#REF!,"AAAAAG7n+zQ=")</f>
        <v>#REF!</v>
      </c>
      <c r="BB188" t="e">
        <f>AND(#REF!,"AAAAAG7n+zU=")</f>
        <v>#REF!</v>
      </c>
      <c r="BC188" t="e">
        <f>AND(#REF!,"AAAAAG7n+zY=")</f>
        <v>#REF!</v>
      </c>
      <c r="BD188" t="e">
        <f>AND(#REF!,"AAAAAG7n+zc=")</f>
        <v>#REF!</v>
      </c>
      <c r="BE188" t="e">
        <f>AND(#REF!,"AAAAAG7n+zg=")</f>
        <v>#REF!</v>
      </c>
      <c r="BF188" t="e">
        <f>AND(#REF!,"AAAAAG7n+zk=")</f>
        <v>#REF!</v>
      </c>
      <c r="BG188" t="e">
        <f>AND(#REF!,"AAAAAG7n+zo=")</f>
        <v>#REF!</v>
      </c>
      <c r="BH188" t="e">
        <f>AND(#REF!,"AAAAAG7n+zs=")</f>
        <v>#REF!</v>
      </c>
      <c r="BI188" t="e">
        <f>AND(#REF!,"AAAAAG7n+zw=")</f>
        <v>#REF!</v>
      </c>
      <c r="BJ188" t="e">
        <f>AND(#REF!,"AAAAAG7n+z0=")</f>
        <v>#REF!</v>
      </c>
      <c r="BK188" t="e">
        <f>IF(#REF!,"AAAAAG7n+z4=",0)</f>
        <v>#REF!</v>
      </c>
      <c r="BL188" t="e">
        <f>AND(#REF!,"AAAAAG7n+z8=")</f>
        <v>#REF!</v>
      </c>
      <c r="BM188" t="e">
        <f>AND(#REF!,"AAAAAG7n+0A=")</f>
        <v>#REF!</v>
      </c>
      <c r="BN188" t="e">
        <f>AND(#REF!,"AAAAAG7n+0E=")</f>
        <v>#REF!</v>
      </c>
      <c r="BO188" t="e">
        <f>AND(#REF!,"AAAAAG7n+0I=")</f>
        <v>#REF!</v>
      </c>
      <c r="BP188" t="e">
        <f>AND(#REF!,"AAAAAG7n+0M=")</f>
        <v>#REF!</v>
      </c>
      <c r="BQ188" t="e">
        <f>AND(#REF!,"AAAAAG7n+0Q=")</f>
        <v>#REF!</v>
      </c>
      <c r="BR188" t="e">
        <f>AND(#REF!,"AAAAAG7n+0U=")</f>
        <v>#REF!</v>
      </c>
      <c r="BS188" t="e">
        <f>AND(#REF!,"AAAAAG7n+0Y=")</f>
        <v>#REF!</v>
      </c>
      <c r="BT188" t="e">
        <f>AND(#REF!,"AAAAAG7n+0c=")</f>
        <v>#REF!</v>
      </c>
      <c r="BU188" t="e">
        <f>AND(#REF!,"AAAAAG7n+0g=")</f>
        <v>#REF!</v>
      </c>
      <c r="BV188" t="e">
        <f>IF(#REF!,"AAAAAG7n+0k=",0)</f>
        <v>#REF!</v>
      </c>
      <c r="BW188" t="e">
        <f>AND(#REF!,"AAAAAG7n+0o=")</f>
        <v>#REF!</v>
      </c>
      <c r="BX188" t="e">
        <f>AND(#REF!,"AAAAAG7n+0s=")</f>
        <v>#REF!</v>
      </c>
      <c r="BY188" t="e">
        <f>AND(#REF!,"AAAAAG7n+0w=")</f>
        <v>#REF!</v>
      </c>
      <c r="BZ188" t="e">
        <f>AND(#REF!,"AAAAAG7n+00=")</f>
        <v>#REF!</v>
      </c>
      <c r="CA188" t="e">
        <f>AND(#REF!,"AAAAAG7n+04=")</f>
        <v>#REF!</v>
      </c>
      <c r="CB188" t="e">
        <f>AND(#REF!,"AAAAAG7n+08=")</f>
        <v>#REF!</v>
      </c>
      <c r="CC188" t="e">
        <f>AND(#REF!,"AAAAAG7n+1A=")</f>
        <v>#REF!</v>
      </c>
      <c r="CD188" t="e">
        <f>AND(#REF!,"AAAAAG7n+1E=")</f>
        <v>#REF!</v>
      </c>
      <c r="CE188" t="e">
        <f>AND(#REF!,"AAAAAG7n+1I=")</f>
        <v>#REF!</v>
      </c>
      <c r="CF188" t="e">
        <f>AND(#REF!,"AAAAAG7n+1M=")</f>
        <v>#REF!</v>
      </c>
      <c r="CG188" t="e">
        <f>IF(#REF!,"AAAAAG7n+1Q=",0)</f>
        <v>#REF!</v>
      </c>
      <c r="CH188" t="e">
        <f>AND(#REF!,"AAAAAG7n+1U=")</f>
        <v>#REF!</v>
      </c>
      <c r="CI188" t="e">
        <f>AND(#REF!,"AAAAAG7n+1Y=")</f>
        <v>#REF!</v>
      </c>
      <c r="CJ188" t="e">
        <f>AND(#REF!,"AAAAAG7n+1c=")</f>
        <v>#REF!</v>
      </c>
      <c r="CK188" t="e">
        <f>AND(#REF!,"AAAAAG7n+1g=")</f>
        <v>#REF!</v>
      </c>
      <c r="CL188" t="e">
        <f>AND(#REF!,"AAAAAG7n+1k=")</f>
        <v>#REF!</v>
      </c>
      <c r="CM188" t="e">
        <f>AND(#REF!,"AAAAAG7n+1o=")</f>
        <v>#REF!</v>
      </c>
      <c r="CN188" t="e">
        <f>AND(#REF!,"AAAAAG7n+1s=")</f>
        <v>#REF!</v>
      </c>
      <c r="CO188" t="e">
        <f>AND(#REF!,"AAAAAG7n+1w=")</f>
        <v>#REF!</v>
      </c>
      <c r="CP188" t="e">
        <f>AND(#REF!,"AAAAAG7n+10=")</f>
        <v>#REF!</v>
      </c>
      <c r="CQ188" t="e">
        <f>AND(#REF!,"AAAAAG7n+14=")</f>
        <v>#REF!</v>
      </c>
      <c r="CR188" t="e">
        <f>IF(#REF!,"AAAAAG7n+18=",0)</f>
        <v>#REF!</v>
      </c>
      <c r="CS188" t="e">
        <f>AND(#REF!,"AAAAAG7n+2A=")</f>
        <v>#REF!</v>
      </c>
      <c r="CT188" t="e">
        <f>AND(#REF!,"AAAAAG7n+2E=")</f>
        <v>#REF!</v>
      </c>
      <c r="CU188" t="e">
        <f>AND(#REF!,"AAAAAG7n+2I=")</f>
        <v>#REF!</v>
      </c>
      <c r="CV188" t="e">
        <f>AND(#REF!,"AAAAAG7n+2M=")</f>
        <v>#REF!</v>
      </c>
      <c r="CW188" t="e">
        <f>AND(#REF!,"AAAAAG7n+2Q=")</f>
        <v>#REF!</v>
      </c>
      <c r="CX188" t="e">
        <f>AND(#REF!,"AAAAAG7n+2U=")</f>
        <v>#REF!</v>
      </c>
      <c r="CY188" t="e">
        <f>AND(#REF!,"AAAAAG7n+2Y=")</f>
        <v>#REF!</v>
      </c>
      <c r="CZ188" t="e">
        <f>AND(#REF!,"AAAAAG7n+2c=")</f>
        <v>#REF!</v>
      </c>
      <c r="DA188" t="e">
        <f>AND(#REF!,"AAAAAG7n+2g=")</f>
        <v>#REF!</v>
      </c>
      <c r="DB188" t="e">
        <f>AND(#REF!,"AAAAAG7n+2k=")</f>
        <v>#REF!</v>
      </c>
      <c r="DC188" t="e">
        <f>IF(#REF!,"AAAAAG7n+2o=",0)</f>
        <v>#REF!</v>
      </c>
      <c r="DD188" t="e">
        <f>AND(#REF!,"AAAAAG7n+2s=")</f>
        <v>#REF!</v>
      </c>
      <c r="DE188" t="e">
        <f>AND(#REF!,"AAAAAG7n+2w=")</f>
        <v>#REF!</v>
      </c>
      <c r="DF188" t="e">
        <f>AND(#REF!,"AAAAAG7n+20=")</f>
        <v>#REF!</v>
      </c>
      <c r="DG188" t="e">
        <f>AND(#REF!,"AAAAAG7n+24=")</f>
        <v>#REF!</v>
      </c>
      <c r="DH188" t="e">
        <f>AND(#REF!,"AAAAAG7n+28=")</f>
        <v>#REF!</v>
      </c>
      <c r="DI188" t="e">
        <f>AND(#REF!,"AAAAAG7n+3A=")</f>
        <v>#REF!</v>
      </c>
      <c r="DJ188" t="e">
        <f>AND(#REF!,"AAAAAG7n+3E=")</f>
        <v>#REF!</v>
      </c>
      <c r="DK188" t="e">
        <f>AND(#REF!,"AAAAAG7n+3I=")</f>
        <v>#REF!</v>
      </c>
      <c r="DL188" t="e">
        <f>AND(#REF!,"AAAAAG7n+3M=")</f>
        <v>#REF!</v>
      </c>
      <c r="DM188" t="e">
        <f>AND(#REF!,"AAAAAG7n+3Q=")</f>
        <v>#REF!</v>
      </c>
      <c r="DN188" t="e">
        <f>IF(#REF!,"AAAAAG7n+3U=",0)</f>
        <v>#REF!</v>
      </c>
      <c r="DO188" t="e">
        <f>AND(#REF!,"AAAAAG7n+3Y=")</f>
        <v>#REF!</v>
      </c>
      <c r="DP188" t="e">
        <f>AND(#REF!,"AAAAAG7n+3c=")</f>
        <v>#REF!</v>
      </c>
      <c r="DQ188" t="e">
        <f>AND(#REF!,"AAAAAG7n+3g=")</f>
        <v>#REF!</v>
      </c>
      <c r="DR188" t="e">
        <f>AND(#REF!,"AAAAAG7n+3k=")</f>
        <v>#REF!</v>
      </c>
      <c r="DS188" t="e">
        <f>AND(#REF!,"AAAAAG7n+3o=")</f>
        <v>#REF!</v>
      </c>
      <c r="DT188" t="e">
        <f>AND(#REF!,"AAAAAG7n+3s=")</f>
        <v>#REF!</v>
      </c>
      <c r="DU188" t="e">
        <f>AND(#REF!,"AAAAAG7n+3w=")</f>
        <v>#REF!</v>
      </c>
      <c r="DV188" t="e">
        <f>AND(#REF!,"AAAAAG7n+30=")</f>
        <v>#REF!</v>
      </c>
      <c r="DW188" t="e">
        <f>AND(#REF!,"AAAAAG7n+34=")</f>
        <v>#REF!</v>
      </c>
      <c r="DX188" t="e">
        <f>AND(#REF!,"AAAAAG7n+38=")</f>
        <v>#REF!</v>
      </c>
      <c r="DY188" t="e">
        <f>IF(#REF!,"AAAAAG7n+4A=",0)</f>
        <v>#REF!</v>
      </c>
      <c r="DZ188" t="e">
        <f>AND(#REF!,"AAAAAG7n+4E=")</f>
        <v>#REF!</v>
      </c>
      <c r="EA188" t="e">
        <f>AND(#REF!,"AAAAAG7n+4I=")</f>
        <v>#REF!</v>
      </c>
      <c r="EB188" t="e">
        <f>AND(#REF!,"AAAAAG7n+4M=")</f>
        <v>#REF!</v>
      </c>
      <c r="EC188" t="e">
        <f>AND(#REF!,"AAAAAG7n+4Q=")</f>
        <v>#REF!</v>
      </c>
      <c r="ED188" t="e">
        <f>AND(#REF!,"AAAAAG7n+4U=")</f>
        <v>#REF!</v>
      </c>
      <c r="EE188" t="e">
        <f>AND(#REF!,"AAAAAG7n+4Y=")</f>
        <v>#REF!</v>
      </c>
      <c r="EF188" t="e">
        <f>AND(#REF!,"AAAAAG7n+4c=")</f>
        <v>#REF!</v>
      </c>
      <c r="EG188" t="e">
        <f>AND(#REF!,"AAAAAG7n+4g=")</f>
        <v>#REF!</v>
      </c>
      <c r="EH188" t="e">
        <f>AND(#REF!,"AAAAAG7n+4k=")</f>
        <v>#REF!</v>
      </c>
      <c r="EI188" t="e">
        <f>AND(#REF!,"AAAAAG7n+4o=")</f>
        <v>#REF!</v>
      </c>
      <c r="EJ188" t="e">
        <f>IF(#REF!,"AAAAAG7n+4s=",0)</f>
        <v>#REF!</v>
      </c>
      <c r="EK188" t="e">
        <f>AND(#REF!,"AAAAAG7n+4w=")</f>
        <v>#REF!</v>
      </c>
      <c r="EL188" t="e">
        <f>AND(#REF!,"AAAAAG7n+40=")</f>
        <v>#REF!</v>
      </c>
      <c r="EM188" t="e">
        <f>AND(#REF!,"AAAAAG7n+44=")</f>
        <v>#REF!</v>
      </c>
      <c r="EN188" t="e">
        <f>AND(#REF!,"AAAAAG7n+48=")</f>
        <v>#REF!</v>
      </c>
      <c r="EO188" t="e">
        <f>AND(#REF!,"AAAAAG7n+5A=")</f>
        <v>#REF!</v>
      </c>
      <c r="EP188" t="e">
        <f>AND(#REF!,"AAAAAG7n+5E=")</f>
        <v>#REF!</v>
      </c>
      <c r="EQ188" t="e">
        <f>AND(#REF!,"AAAAAG7n+5I=")</f>
        <v>#REF!</v>
      </c>
      <c r="ER188" t="e">
        <f>AND(#REF!,"AAAAAG7n+5M=")</f>
        <v>#REF!</v>
      </c>
      <c r="ES188" t="e">
        <f>AND(#REF!,"AAAAAG7n+5Q=")</f>
        <v>#REF!</v>
      </c>
      <c r="ET188" t="e">
        <f>AND(#REF!,"AAAAAG7n+5U=")</f>
        <v>#REF!</v>
      </c>
      <c r="EU188" t="e">
        <f>IF(#REF!,"AAAAAG7n+5Y=",0)</f>
        <v>#REF!</v>
      </c>
      <c r="EV188" t="e">
        <f>AND(#REF!,"AAAAAG7n+5c=")</f>
        <v>#REF!</v>
      </c>
      <c r="EW188" t="e">
        <f>AND(#REF!,"AAAAAG7n+5g=")</f>
        <v>#REF!</v>
      </c>
      <c r="EX188" t="e">
        <f>AND(#REF!,"AAAAAG7n+5k=")</f>
        <v>#REF!</v>
      </c>
      <c r="EY188" t="e">
        <f>AND(#REF!,"AAAAAG7n+5o=")</f>
        <v>#REF!</v>
      </c>
      <c r="EZ188" t="e">
        <f>AND(#REF!,"AAAAAG7n+5s=")</f>
        <v>#REF!</v>
      </c>
      <c r="FA188" t="e">
        <f>AND(#REF!,"AAAAAG7n+5w=")</f>
        <v>#REF!</v>
      </c>
      <c r="FB188" t="e">
        <f>AND(#REF!,"AAAAAG7n+50=")</f>
        <v>#REF!</v>
      </c>
      <c r="FC188" t="e">
        <f>AND(#REF!,"AAAAAG7n+54=")</f>
        <v>#REF!</v>
      </c>
      <c r="FD188" t="e">
        <f>AND(#REF!,"AAAAAG7n+58=")</f>
        <v>#REF!</v>
      </c>
      <c r="FE188" t="e">
        <f>AND(#REF!,"AAAAAG7n+6A=")</f>
        <v>#REF!</v>
      </c>
      <c r="FF188" t="e">
        <f>IF(#REF!,"AAAAAG7n+6E=",0)</f>
        <v>#REF!</v>
      </c>
      <c r="FG188" t="e">
        <f>AND(#REF!,"AAAAAG7n+6I=")</f>
        <v>#REF!</v>
      </c>
      <c r="FH188" t="e">
        <f>AND(#REF!,"AAAAAG7n+6M=")</f>
        <v>#REF!</v>
      </c>
      <c r="FI188" t="e">
        <f>AND(#REF!,"AAAAAG7n+6Q=")</f>
        <v>#REF!</v>
      </c>
      <c r="FJ188" t="e">
        <f>AND(#REF!,"AAAAAG7n+6U=")</f>
        <v>#REF!</v>
      </c>
      <c r="FK188" t="e">
        <f>AND(#REF!,"AAAAAG7n+6Y=")</f>
        <v>#REF!</v>
      </c>
      <c r="FL188" t="e">
        <f>AND(#REF!,"AAAAAG7n+6c=")</f>
        <v>#REF!</v>
      </c>
      <c r="FM188" t="e">
        <f>AND(#REF!,"AAAAAG7n+6g=")</f>
        <v>#REF!</v>
      </c>
      <c r="FN188" t="e">
        <f>AND(#REF!,"AAAAAG7n+6k=")</f>
        <v>#REF!</v>
      </c>
      <c r="FO188" t="e">
        <f>AND(#REF!,"AAAAAG7n+6o=")</f>
        <v>#REF!</v>
      </c>
      <c r="FP188" t="e">
        <f>AND(#REF!,"AAAAAG7n+6s=")</f>
        <v>#REF!</v>
      </c>
      <c r="FQ188" t="e">
        <f>IF(#REF!,"AAAAAG7n+6w=",0)</f>
        <v>#REF!</v>
      </c>
      <c r="FR188" t="e">
        <f>AND(#REF!,"AAAAAG7n+60=")</f>
        <v>#REF!</v>
      </c>
      <c r="FS188" t="e">
        <f>AND(#REF!,"AAAAAG7n+64=")</f>
        <v>#REF!</v>
      </c>
      <c r="FT188" t="e">
        <f>AND(#REF!,"AAAAAG7n+68=")</f>
        <v>#REF!</v>
      </c>
      <c r="FU188" t="e">
        <f>AND(#REF!,"AAAAAG7n+7A=")</f>
        <v>#REF!</v>
      </c>
      <c r="FV188" t="e">
        <f>AND(#REF!,"AAAAAG7n+7E=")</f>
        <v>#REF!</v>
      </c>
      <c r="FW188" t="e">
        <f>AND(#REF!,"AAAAAG7n+7I=")</f>
        <v>#REF!</v>
      </c>
      <c r="FX188" t="e">
        <f>AND(#REF!,"AAAAAG7n+7M=")</f>
        <v>#REF!</v>
      </c>
      <c r="FY188" t="e">
        <f>AND(#REF!,"AAAAAG7n+7Q=")</f>
        <v>#REF!</v>
      </c>
      <c r="FZ188" t="e">
        <f>AND(#REF!,"AAAAAG7n+7U=")</f>
        <v>#REF!</v>
      </c>
      <c r="GA188" t="e">
        <f>AND(#REF!,"AAAAAG7n+7Y=")</f>
        <v>#REF!</v>
      </c>
      <c r="GB188" t="e">
        <f>IF(#REF!,"AAAAAG7n+7c=",0)</f>
        <v>#REF!</v>
      </c>
      <c r="GC188" t="e">
        <f>AND(#REF!,"AAAAAG7n+7g=")</f>
        <v>#REF!</v>
      </c>
      <c r="GD188" t="e">
        <f>AND(#REF!,"AAAAAG7n+7k=")</f>
        <v>#REF!</v>
      </c>
      <c r="GE188" t="e">
        <f>AND(#REF!,"AAAAAG7n+7o=")</f>
        <v>#REF!</v>
      </c>
      <c r="GF188" t="e">
        <f>AND(#REF!,"AAAAAG7n+7s=")</f>
        <v>#REF!</v>
      </c>
      <c r="GG188" t="e">
        <f>AND(#REF!,"AAAAAG7n+7w=")</f>
        <v>#REF!</v>
      </c>
      <c r="GH188" t="e">
        <f>AND(#REF!,"AAAAAG7n+70=")</f>
        <v>#REF!</v>
      </c>
      <c r="GI188" t="e">
        <f>AND(#REF!,"AAAAAG7n+74=")</f>
        <v>#REF!</v>
      </c>
      <c r="GJ188" t="e">
        <f>AND(#REF!,"AAAAAG7n+78=")</f>
        <v>#REF!</v>
      </c>
      <c r="GK188" t="e">
        <f>AND(#REF!,"AAAAAG7n+8A=")</f>
        <v>#REF!</v>
      </c>
      <c r="GL188" t="e">
        <f>AND(#REF!,"AAAAAG7n+8E=")</f>
        <v>#REF!</v>
      </c>
      <c r="GM188" t="e">
        <f>IF(#REF!,"AAAAAG7n+8I=",0)</f>
        <v>#REF!</v>
      </c>
      <c r="GN188" t="e">
        <f>AND(#REF!,"AAAAAG7n+8M=")</f>
        <v>#REF!</v>
      </c>
      <c r="GO188" t="e">
        <f>AND(#REF!,"AAAAAG7n+8Q=")</f>
        <v>#REF!</v>
      </c>
      <c r="GP188" t="e">
        <f>AND(#REF!,"AAAAAG7n+8U=")</f>
        <v>#REF!</v>
      </c>
      <c r="GQ188" t="e">
        <f>AND(#REF!,"AAAAAG7n+8Y=")</f>
        <v>#REF!</v>
      </c>
      <c r="GR188" t="e">
        <f>AND(#REF!,"AAAAAG7n+8c=")</f>
        <v>#REF!</v>
      </c>
      <c r="GS188" t="e">
        <f>AND(#REF!,"AAAAAG7n+8g=")</f>
        <v>#REF!</v>
      </c>
      <c r="GT188" t="e">
        <f>AND(#REF!,"AAAAAG7n+8k=")</f>
        <v>#REF!</v>
      </c>
      <c r="GU188" t="e">
        <f>AND(#REF!,"AAAAAG7n+8o=")</f>
        <v>#REF!</v>
      </c>
      <c r="GV188" t="e">
        <f>AND(#REF!,"AAAAAG7n+8s=")</f>
        <v>#REF!</v>
      </c>
      <c r="GW188" t="e">
        <f>AND(#REF!,"AAAAAG7n+8w=")</f>
        <v>#REF!</v>
      </c>
      <c r="GX188" t="e">
        <f>IF(#REF!,"AAAAAG7n+80=",0)</f>
        <v>#REF!</v>
      </c>
      <c r="GY188" t="e">
        <f>AND(#REF!,"AAAAAG7n+84=")</f>
        <v>#REF!</v>
      </c>
      <c r="GZ188" t="e">
        <f>AND(#REF!,"AAAAAG7n+88=")</f>
        <v>#REF!</v>
      </c>
      <c r="HA188" t="e">
        <f>AND(#REF!,"AAAAAG7n+9A=")</f>
        <v>#REF!</v>
      </c>
      <c r="HB188" t="e">
        <f>AND(#REF!,"AAAAAG7n+9E=")</f>
        <v>#REF!</v>
      </c>
      <c r="HC188" t="e">
        <f>AND(#REF!,"AAAAAG7n+9I=")</f>
        <v>#REF!</v>
      </c>
      <c r="HD188" t="e">
        <f>AND(#REF!,"AAAAAG7n+9M=")</f>
        <v>#REF!</v>
      </c>
      <c r="HE188" t="e">
        <f>AND(#REF!,"AAAAAG7n+9Q=")</f>
        <v>#REF!</v>
      </c>
      <c r="HF188" t="e">
        <f>AND(#REF!,"AAAAAG7n+9U=")</f>
        <v>#REF!</v>
      </c>
      <c r="HG188" t="e">
        <f>AND(#REF!,"AAAAAG7n+9Y=")</f>
        <v>#REF!</v>
      </c>
      <c r="HH188" t="e">
        <f>AND(#REF!,"AAAAAG7n+9c=")</f>
        <v>#REF!</v>
      </c>
      <c r="HI188" t="e">
        <f>IF(#REF!,"AAAAAG7n+9g=",0)</f>
        <v>#REF!</v>
      </c>
      <c r="HJ188" t="e">
        <f>AND(#REF!,"AAAAAG7n+9k=")</f>
        <v>#REF!</v>
      </c>
      <c r="HK188" t="e">
        <f>AND(#REF!,"AAAAAG7n+9o=")</f>
        <v>#REF!</v>
      </c>
      <c r="HL188" t="e">
        <f>AND(#REF!,"AAAAAG7n+9s=")</f>
        <v>#REF!</v>
      </c>
      <c r="HM188" t="e">
        <f>AND(#REF!,"AAAAAG7n+9w=")</f>
        <v>#REF!</v>
      </c>
      <c r="HN188" t="e">
        <f>AND(#REF!,"AAAAAG7n+90=")</f>
        <v>#REF!</v>
      </c>
      <c r="HO188" t="e">
        <f>AND(#REF!,"AAAAAG7n+94=")</f>
        <v>#REF!</v>
      </c>
      <c r="HP188" t="e">
        <f>AND(#REF!,"AAAAAG7n+98=")</f>
        <v>#REF!</v>
      </c>
      <c r="HQ188" t="e">
        <f>AND(#REF!,"AAAAAG7n++A=")</f>
        <v>#REF!</v>
      </c>
      <c r="HR188" t="e">
        <f>AND(#REF!,"AAAAAG7n++E=")</f>
        <v>#REF!</v>
      </c>
      <c r="HS188" t="e">
        <f>AND(#REF!,"AAAAAG7n++I=")</f>
        <v>#REF!</v>
      </c>
      <c r="HT188" t="e">
        <f>IF(#REF!,"AAAAAG7n++M=",0)</f>
        <v>#REF!</v>
      </c>
      <c r="HU188" t="e">
        <f>AND(#REF!,"AAAAAG7n++Q=")</f>
        <v>#REF!</v>
      </c>
      <c r="HV188" t="e">
        <f>AND(#REF!,"AAAAAG7n++U=")</f>
        <v>#REF!</v>
      </c>
      <c r="HW188" t="e">
        <f>AND(#REF!,"AAAAAG7n++Y=")</f>
        <v>#REF!</v>
      </c>
      <c r="HX188" t="e">
        <f>AND(#REF!,"AAAAAG7n++c=")</f>
        <v>#REF!</v>
      </c>
      <c r="HY188" t="e">
        <f>AND(#REF!,"AAAAAG7n++g=")</f>
        <v>#REF!</v>
      </c>
      <c r="HZ188" t="e">
        <f>AND(#REF!,"AAAAAG7n++k=")</f>
        <v>#REF!</v>
      </c>
      <c r="IA188" t="e">
        <f>AND(#REF!,"AAAAAG7n++o=")</f>
        <v>#REF!</v>
      </c>
      <c r="IB188" t="e">
        <f>AND(#REF!,"AAAAAG7n++s=")</f>
        <v>#REF!</v>
      </c>
      <c r="IC188" t="e">
        <f>AND(#REF!,"AAAAAG7n++w=")</f>
        <v>#REF!</v>
      </c>
      <c r="ID188" t="e">
        <f>AND(#REF!,"AAAAAG7n++0=")</f>
        <v>#REF!</v>
      </c>
      <c r="IE188" t="e">
        <f>IF(#REF!,"AAAAAG7n++4=",0)</f>
        <v>#REF!</v>
      </c>
      <c r="IF188" t="e">
        <f>AND(#REF!,"AAAAAG7n++8=")</f>
        <v>#REF!</v>
      </c>
      <c r="IG188" t="e">
        <f>AND(#REF!,"AAAAAG7n+/A=")</f>
        <v>#REF!</v>
      </c>
      <c r="IH188" t="e">
        <f>AND(#REF!,"AAAAAG7n+/E=")</f>
        <v>#REF!</v>
      </c>
      <c r="II188" t="e">
        <f>AND(#REF!,"AAAAAG7n+/I=")</f>
        <v>#REF!</v>
      </c>
      <c r="IJ188" t="e">
        <f>AND(#REF!,"AAAAAG7n+/M=")</f>
        <v>#REF!</v>
      </c>
      <c r="IK188" t="e">
        <f>AND(#REF!,"AAAAAG7n+/Q=")</f>
        <v>#REF!</v>
      </c>
      <c r="IL188" t="e">
        <f>AND(#REF!,"AAAAAG7n+/U=")</f>
        <v>#REF!</v>
      </c>
      <c r="IM188" t="e">
        <f>AND(#REF!,"AAAAAG7n+/Y=")</f>
        <v>#REF!</v>
      </c>
      <c r="IN188" t="e">
        <f>AND(#REF!,"AAAAAG7n+/c=")</f>
        <v>#REF!</v>
      </c>
      <c r="IO188" t="e">
        <f>AND(#REF!,"AAAAAG7n+/g=")</f>
        <v>#REF!</v>
      </c>
      <c r="IP188" t="e">
        <f>IF(#REF!,"AAAAAG7n+/k=",0)</f>
        <v>#REF!</v>
      </c>
      <c r="IQ188" t="e">
        <f>AND(#REF!,"AAAAAG7n+/o=")</f>
        <v>#REF!</v>
      </c>
      <c r="IR188" t="e">
        <f>AND(#REF!,"AAAAAG7n+/s=")</f>
        <v>#REF!</v>
      </c>
      <c r="IS188" t="e">
        <f>AND(#REF!,"AAAAAG7n+/w=")</f>
        <v>#REF!</v>
      </c>
      <c r="IT188" t="e">
        <f>AND(#REF!,"AAAAAG7n+/0=")</f>
        <v>#REF!</v>
      </c>
      <c r="IU188" t="e">
        <f>AND(#REF!,"AAAAAG7n+/4=")</f>
        <v>#REF!</v>
      </c>
      <c r="IV188" t="e">
        <f>AND(#REF!,"AAAAAG7n+/8=")</f>
        <v>#REF!</v>
      </c>
    </row>
    <row r="189" spans="1:256" x14ac:dyDescent="0.25">
      <c r="A189" t="e">
        <f>AND(#REF!,"AAAAAD3/5gA=")</f>
        <v>#REF!</v>
      </c>
      <c r="B189" t="e">
        <f>AND(#REF!,"AAAAAD3/5gE=")</f>
        <v>#REF!</v>
      </c>
      <c r="C189" t="e">
        <f>AND(#REF!,"AAAAAD3/5gI=")</f>
        <v>#REF!</v>
      </c>
      <c r="D189" t="e">
        <f>AND(#REF!,"AAAAAD3/5gM=")</f>
        <v>#REF!</v>
      </c>
      <c r="E189" t="e">
        <f>IF(#REF!,"AAAAAD3/5gQ=",0)</f>
        <v>#REF!</v>
      </c>
      <c r="F189" t="e">
        <f>AND(#REF!,"AAAAAD3/5gU=")</f>
        <v>#REF!</v>
      </c>
      <c r="G189" t="e">
        <f>AND(#REF!,"AAAAAD3/5gY=")</f>
        <v>#REF!</v>
      </c>
      <c r="H189" t="e">
        <f>AND(#REF!,"AAAAAD3/5gc=")</f>
        <v>#REF!</v>
      </c>
      <c r="I189" t="e">
        <f>AND(#REF!,"AAAAAD3/5gg=")</f>
        <v>#REF!</v>
      </c>
      <c r="J189" t="e">
        <f>AND(#REF!,"AAAAAD3/5gk=")</f>
        <v>#REF!</v>
      </c>
      <c r="K189" t="e">
        <f>AND(#REF!,"AAAAAD3/5go=")</f>
        <v>#REF!</v>
      </c>
      <c r="L189" t="e">
        <f>AND(#REF!,"AAAAAD3/5gs=")</f>
        <v>#REF!</v>
      </c>
      <c r="M189" t="e">
        <f>AND(#REF!,"AAAAAD3/5gw=")</f>
        <v>#REF!</v>
      </c>
      <c r="N189" t="e">
        <f>AND(#REF!,"AAAAAD3/5g0=")</f>
        <v>#REF!</v>
      </c>
      <c r="O189" t="e">
        <f>AND(#REF!,"AAAAAD3/5g4=")</f>
        <v>#REF!</v>
      </c>
      <c r="P189" t="e">
        <f>IF(#REF!,"AAAAAD3/5g8=",0)</f>
        <v>#REF!</v>
      </c>
      <c r="Q189" t="e">
        <f>AND(#REF!,"AAAAAD3/5hA=")</f>
        <v>#REF!</v>
      </c>
      <c r="R189" t="e">
        <f>AND(#REF!,"AAAAAD3/5hE=")</f>
        <v>#REF!</v>
      </c>
      <c r="S189" t="e">
        <f>AND(#REF!,"AAAAAD3/5hI=")</f>
        <v>#REF!</v>
      </c>
      <c r="T189" t="e">
        <f>AND(#REF!,"AAAAAD3/5hM=")</f>
        <v>#REF!</v>
      </c>
      <c r="U189" t="e">
        <f>AND(#REF!,"AAAAAD3/5hQ=")</f>
        <v>#REF!</v>
      </c>
      <c r="V189" t="e">
        <f>AND(#REF!,"AAAAAD3/5hU=")</f>
        <v>#REF!</v>
      </c>
      <c r="W189" t="e">
        <f>AND(#REF!,"AAAAAD3/5hY=")</f>
        <v>#REF!</v>
      </c>
      <c r="X189" t="e">
        <f>AND(#REF!,"AAAAAD3/5hc=")</f>
        <v>#REF!</v>
      </c>
      <c r="Y189" t="e">
        <f>AND(#REF!,"AAAAAD3/5hg=")</f>
        <v>#REF!</v>
      </c>
      <c r="Z189" t="e">
        <f>AND(#REF!,"AAAAAD3/5hk=")</f>
        <v>#REF!</v>
      </c>
      <c r="AA189" t="e">
        <f>IF(#REF!,"AAAAAD3/5ho=",0)</f>
        <v>#REF!</v>
      </c>
      <c r="AB189" t="e">
        <f>AND(#REF!,"AAAAAD3/5hs=")</f>
        <v>#REF!</v>
      </c>
      <c r="AC189" t="e">
        <f>AND(#REF!,"AAAAAD3/5hw=")</f>
        <v>#REF!</v>
      </c>
      <c r="AD189" t="e">
        <f>AND(#REF!,"AAAAAD3/5h0=")</f>
        <v>#REF!</v>
      </c>
      <c r="AE189" t="e">
        <f>AND(#REF!,"AAAAAD3/5h4=")</f>
        <v>#REF!</v>
      </c>
      <c r="AF189" t="e">
        <f>AND(#REF!,"AAAAAD3/5h8=")</f>
        <v>#REF!</v>
      </c>
      <c r="AG189" t="e">
        <f>AND(#REF!,"AAAAAD3/5iA=")</f>
        <v>#REF!</v>
      </c>
      <c r="AH189" t="e">
        <f>AND(#REF!,"AAAAAD3/5iE=")</f>
        <v>#REF!</v>
      </c>
      <c r="AI189" t="e">
        <f>AND(#REF!,"AAAAAD3/5iI=")</f>
        <v>#REF!</v>
      </c>
      <c r="AJ189" t="e">
        <f>AND(#REF!,"AAAAAD3/5iM=")</f>
        <v>#REF!</v>
      </c>
      <c r="AK189" t="e">
        <f>AND(#REF!,"AAAAAD3/5iQ=")</f>
        <v>#REF!</v>
      </c>
      <c r="AL189" t="e">
        <f>IF(#REF!,"AAAAAD3/5iU=",0)</f>
        <v>#REF!</v>
      </c>
      <c r="AM189" t="e">
        <f>AND(#REF!,"AAAAAD3/5iY=")</f>
        <v>#REF!</v>
      </c>
      <c r="AN189" t="e">
        <f>AND(#REF!,"AAAAAD3/5ic=")</f>
        <v>#REF!</v>
      </c>
      <c r="AO189" t="e">
        <f>AND(#REF!,"AAAAAD3/5ig=")</f>
        <v>#REF!</v>
      </c>
      <c r="AP189" t="e">
        <f>AND(#REF!,"AAAAAD3/5ik=")</f>
        <v>#REF!</v>
      </c>
      <c r="AQ189" t="e">
        <f>AND(#REF!,"AAAAAD3/5io=")</f>
        <v>#REF!</v>
      </c>
      <c r="AR189" t="e">
        <f>AND(#REF!,"AAAAAD3/5is=")</f>
        <v>#REF!</v>
      </c>
      <c r="AS189" t="e">
        <f>AND(#REF!,"AAAAAD3/5iw=")</f>
        <v>#REF!</v>
      </c>
      <c r="AT189" t="e">
        <f>AND(#REF!,"AAAAAD3/5i0=")</f>
        <v>#REF!</v>
      </c>
      <c r="AU189" t="e">
        <f>AND(#REF!,"AAAAAD3/5i4=")</f>
        <v>#REF!</v>
      </c>
      <c r="AV189" t="e">
        <f>AND(#REF!,"AAAAAD3/5i8=")</f>
        <v>#REF!</v>
      </c>
      <c r="AW189" t="e">
        <f>IF(#REF!,"AAAAAD3/5jA=",0)</f>
        <v>#REF!</v>
      </c>
      <c r="AX189" t="e">
        <f>AND(#REF!,"AAAAAD3/5jE=")</f>
        <v>#REF!</v>
      </c>
      <c r="AY189" t="e">
        <f>AND(#REF!,"AAAAAD3/5jI=")</f>
        <v>#REF!</v>
      </c>
      <c r="AZ189" t="e">
        <f>AND(#REF!,"AAAAAD3/5jM=")</f>
        <v>#REF!</v>
      </c>
      <c r="BA189" t="e">
        <f>AND(#REF!,"AAAAAD3/5jQ=")</f>
        <v>#REF!</v>
      </c>
      <c r="BB189" t="e">
        <f>AND(#REF!,"AAAAAD3/5jU=")</f>
        <v>#REF!</v>
      </c>
      <c r="BC189" t="e">
        <f>AND(#REF!,"AAAAAD3/5jY=")</f>
        <v>#REF!</v>
      </c>
      <c r="BD189" t="e">
        <f>AND(#REF!,"AAAAAD3/5jc=")</f>
        <v>#REF!</v>
      </c>
      <c r="BE189" t="e">
        <f>AND(#REF!,"AAAAAD3/5jg=")</f>
        <v>#REF!</v>
      </c>
      <c r="BF189" t="e">
        <f>AND(#REF!,"AAAAAD3/5jk=")</f>
        <v>#REF!</v>
      </c>
      <c r="BG189" t="e">
        <f>AND(#REF!,"AAAAAD3/5jo=")</f>
        <v>#REF!</v>
      </c>
      <c r="BH189" t="e">
        <f>IF(#REF!,"AAAAAD3/5js=",0)</f>
        <v>#REF!</v>
      </c>
      <c r="BI189" t="e">
        <f>AND(#REF!,"AAAAAD3/5jw=")</f>
        <v>#REF!</v>
      </c>
      <c r="BJ189" t="e">
        <f>AND(#REF!,"AAAAAD3/5j0=")</f>
        <v>#REF!</v>
      </c>
      <c r="BK189" t="e">
        <f>AND(#REF!,"AAAAAD3/5j4=")</f>
        <v>#REF!</v>
      </c>
      <c r="BL189" t="e">
        <f>AND(#REF!,"AAAAAD3/5j8=")</f>
        <v>#REF!</v>
      </c>
      <c r="BM189" t="e">
        <f>AND(#REF!,"AAAAAD3/5kA=")</f>
        <v>#REF!</v>
      </c>
      <c r="BN189" t="e">
        <f>AND(#REF!,"AAAAAD3/5kE=")</f>
        <v>#REF!</v>
      </c>
      <c r="BO189" t="e">
        <f>AND(#REF!,"AAAAAD3/5kI=")</f>
        <v>#REF!</v>
      </c>
      <c r="BP189" t="e">
        <f>AND(#REF!,"AAAAAD3/5kM=")</f>
        <v>#REF!</v>
      </c>
      <c r="BQ189" t="e">
        <f>AND(#REF!,"AAAAAD3/5kQ=")</f>
        <v>#REF!</v>
      </c>
      <c r="BR189" t="e">
        <f>AND(#REF!,"AAAAAD3/5kU=")</f>
        <v>#REF!</v>
      </c>
      <c r="BS189" t="e">
        <f>IF(#REF!,"AAAAAD3/5kY=",0)</f>
        <v>#REF!</v>
      </c>
      <c r="BT189" t="e">
        <f>AND(#REF!,"AAAAAD3/5kc=")</f>
        <v>#REF!</v>
      </c>
      <c r="BU189" t="e">
        <f>AND(#REF!,"AAAAAD3/5kg=")</f>
        <v>#REF!</v>
      </c>
      <c r="BV189" t="e">
        <f>AND(#REF!,"AAAAAD3/5kk=")</f>
        <v>#REF!</v>
      </c>
      <c r="BW189" t="e">
        <f>AND(#REF!,"AAAAAD3/5ko=")</f>
        <v>#REF!</v>
      </c>
      <c r="BX189" t="e">
        <f>AND(#REF!,"AAAAAD3/5ks=")</f>
        <v>#REF!</v>
      </c>
      <c r="BY189" t="e">
        <f>AND(#REF!,"AAAAAD3/5kw=")</f>
        <v>#REF!</v>
      </c>
      <c r="BZ189" t="e">
        <f>AND(#REF!,"AAAAAD3/5k0=")</f>
        <v>#REF!</v>
      </c>
      <c r="CA189" t="e">
        <f>AND(#REF!,"AAAAAD3/5k4=")</f>
        <v>#REF!</v>
      </c>
      <c r="CB189" t="e">
        <f>AND(#REF!,"AAAAAD3/5k8=")</f>
        <v>#REF!</v>
      </c>
      <c r="CC189" t="e">
        <f>AND(#REF!,"AAAAAD3/5lA=")</f>
        <v>#REF!</v>
      </c>
      <c r="CD189" t="e">
        <f>IF(#REF!,"AAAAAD3/5lE=",0)</f>
        <v>#REF!</v>
      </c>
      <c r="CE189" t="e">
        <f>AND(#REF!,"AAAAAD3/5lI=")</f>
        <v>#REF!</v>
      </c>
      <c r="CF189" t="e">
        <f>AND(#REF!,"AAAAAD3/5lM=")</f>
        <v>#REF!</v>
      </c>
      <c r="CG189" t="e">
        <f>AND(#REF!,"AAAAAD3/5lQ=")</f>
        <v>#REF!</v>
      </c>
      <c r="CH189" t="e">
        <f>AND(#REF!,"AAAAAD3/5lU=")</f>
        <v>#REF!</v>
      </c>
      <c r="CI189" t="e">
        <f>AND(#REF!,"AAAAAD3/5lY=")</f>
        <v>#REF!</v>
      </c>
      <c r="CJ189" t="e">
        <f>AND(#REF!,"AAAAAD3/5lc=")</f>
        <v>#REF!</v>
      </c>
      <c r="CK189" t="e">
        <f>AND(#REF!,"AAAAAD3/5lg=")</f>
        <v>#REF!</v>
      </c>
      <c r="CL189" t="e">
        <f>AND(#REF!,"AAAAAD3/5lk=")</f>
        <v>#REF!</v>
      </c>
      <c r="CM189" t="e">
        <f>AND(#REF!,"AAAAAD3/5lo=")</f>
        <v>#REF!</v>
      </c>
      <c r="CN189" t="e">
        <f>AND(#REF!,"AAAAAD3/5ls=")</f>
        <v>#REF!</v>
      </c>
      <c r="CO189" t="e">
        <f>IF(#REF!,"AAAAAD3/5lw=",0)</f>
        <v>#REF!</v>
      </c>
      <c r="CP189" t="e">
        <f>AND(#REF!,"AAAAAD3/5l0=")</f>
        <v>#REF!</v>
      </c>
      <c r="CQ189" t="e">
        <f>AND(#REF!,"AAAAAD3/5l4=")</f>
        <v>#REF!</v>
      </c>
      <c r="CR189" t="e">
        <f>AND(#REF!,"AAAAAD3/5l8=")</f>
        <v>#REF!</v>
      </c>
      <c r="CS189" t="e">
        <f>AND(#REF!,"AAAAAD3/5mA=")</f>
        <v>#REF!</v>
      </c>
      <c r="CT189" t="e">
        <f>AND(#REF!,"AAAAAD3/5mE=")</f>
        <v>#REF!</v>
      </c>
      <c r="CU189" t="e">
        <f>AND(#REF!,"AAAAAD3/5mI=")</f>
        <v>#REF!</v>
      </c>
      <c r="CV189" t="e">
        <f>AND(#REF!,"AAAAAD3/5mM=")</f>
        <v>#REF!</v>
      </c>
      <c r="CW189" t="e">
        <f>AND(#REF!,"AAAAAD3/5mQ=")</f>
        <v>#REF!</v>
      </c>
      <c r="CX189" t="e">
        <f>AND(#REF!,"AAAAAD3/5mU=")</f>
        <v>#REF!</v>
      </c>
      <c r="CY189" t="e">
        <f>AND(#REF!,"AAAAAD3/5mY=")</f>
        <v>#REF!</v>
      </c>
      <c r="CZ189" t="e">
        <f>IF(#REF!,"AAAAAD3/5mc=",0)</f>
        <v>#REF!</v>
      </c>
      <c r="DA189" t="e">
        <f>AND(#REF!,"AAAAAD3/5mg=")</f>
        <v>#REF!</v>
      </c>
      <c r="DB189" t="e">
        <f>AND(#REF!,"AAAAAD3/5mk=")</f>
        <v>#REF!</v>
      </c>
      <c r="DC189" t="e">
        <f>AND(#REF!,"AAAAAD3/5mo=")</f>
        <v>#REF!</v>
      </c>
      <c r="DD189" t="e">
        <f>AND(#REF!,"AAAAAD3/5ms=")</f>
        <v>#REF!</v>
      </c>
      <c r="DE189" t="e">
        <f>AND(#REF!,"AAAAAD3/5mw=")</f>
        <v>#REF!</v>
      </c>
      <c r="DF189" t="e">
        <f>AND(#REF!,"AAAAAD3/5m0=")</f>
        <v>#REF!</v>
      </c>
      <c r="DG189" t="e">
        <f>AND(#REF!,"AAAAAD3/5m4=")</f>
        <v>#REF!</v>
      </c>
      <c r="DH189" t="e">
        <f>AND(#REF!,"AAAAAD3/5m8=")</f>
        <v>#REF!</v>
      </c>
      <c r="DI189" t="e">
        <f>AND(#REF!,"AAAAAD3/5nA=")</f>
        <v>#REF!</v>
      </c>
      <c r="DJ189" t="e">
        <f>AND(#REF!,"AAAAAD3/5nE=")</f>
        <v>#REF!</v>
      </c>
      <c r="DK189" t="e">
        <f>IF(#REF!,"AAAAAD3/5nI=",0)</f>
        <v>#REF!</v>
      </c>
      <c r="DL189" t="e">
        <f>AND(#REF!,"AAAAAD3/5nM=")</f>
        <v>#REF!</v>
      </c>
      <c r="DM189" t="e">
        <f>AND(#REF!,"AAAAAD3/5nQ=")</f>
        <v>#REF!</v>
      </c>
      <c r="DN189" t="e">
        <f>AND(#REF!,"AAAAAD3/5nU=")</f>
        <v>#REF!</v>
      </c>
      <c r="DO189" t="e">
        <f>AND(#REF!,"AAAAAD3/5nY=")</f>
        <v>#REF!</v>
      </c>
      <c r="DP189" t="e">
        <f>AND(#REF!,"AAAAAD3/5nc=")</f>
        <v>#REF!</v>
      </c>
      <c r="DQ189" t="e">
        <f>AND(#REF!,"AAAAAD3/5ng=")</f>
        <v>#REF!</v>
      </c>
      <c r="DR189" t="e">
        <f>AND(#REF!,"AAAAAD3/5nk=")</f>
        <v>#REF!</v>
      </c>
      <c r="DS189" t="e">
        <f>AND(#REF!,"AAAAAD3/5no=")</f>
        <v>#REF!</v>
      </c>
      <c r="DT189" t="e">
        <f>AND(#REF!,"AAAAAD3/5ns=")</f>
        <v>#REF!</v>
      </c>
      <c r="DU189" t="e">
        <f>AND(#REF!,"AAAAAD3/5nw=")</f>
        <v>#REF!</v>
      </c>
      <c r="DV189" t="e">
        <f>IF(#REF!,"AAAAAD3/5n0=",0)</f>
        <v>#REF!</v>
      </c>
      <c r="DW189" t="e">
        <f>AND(#REF!,"AAAAAD3/5n4=")</f>
        <v>#REF!</v>
      </c>
      <c r="DX189" t="e">
        <f>AND(#REF!,"AAAAAD3/5n8=")</f>
        <v>#REF!</v>
      </c>
      <c r="DY189" t="e">
        <f>AND(#REF!,"AAAAAD3/5oA=")</f>
        <v>#REF!</v>
      </c>
      <c r="DZ189" t="e">
        <f>AND(#REF!,"AAAAAD3/5oE=")</f>
        <v>#REF!</v>
      </c>
      <c r="EA189" t="e">
        <f>AND(#REF!,"AAAAAD3/5oI=")</f>
        <v>#REF!</v>
      </c>
      <c r="EB189" t="e">
        <f>AND(#REF!,"AAAAAD3/5oM=")</f>
        <v>#REF!</v>
      </c>
      <c r="EC189" t="e">
        <f>AND(#REF!,"AAAAAD3/5oQ=")</f>
        <v>#REF!</v>
      </c>
      <c r="ED189" t="e">
        <f>AND(#REF!,"AAAAAD3/5oU=")</f>
        <v>#REF!</v>
      </c>
      <c r="EE189" t="e">
        <f>AND(#REF!,"AAAAAD3/5oY=")</f>
        <v>#REF!</v>
      </c>
      <c r="EF189" t="e">
        <f>AND(#REF!,"AAAAAD3/5oc=")</f>
        <v>#REF!</v>
      </c>
      <c r="EG189" t="e">
        <f>IF(#REF!,"AAAAAD3/5og=",0)</f>
        <v>#REF!</v>
      </c>
      <c r="EH189" t="e">
        <f>AND(#REF!,"AAAAAD3/5ok=")</f>
        <v>#REF!</v>
      </c>
      <c r="EI189" t="e">
        <f>AND(#REF!,"AAAAAD3/5oo=")</f>
        <v>#REF!</v>
      </c>
      <c r="EJ189" t="e">
        <f>AND(#REF!,"AAAAAD3/5os=")</f>
        <v>#REF!</v>
      </c>
      <c r="EK189" t="e">
        <f>AND(#REF!,"AAAAAD3/5ow=")</f>
        <v>#REF!</v>
      </c>
      <c r="EL189" t="e">
        <f>AND(#REF!,"AAAAAD3/5o0=")</f>
        <v>#REF!</v>
      </c>
      <c r="EM189" t="e">
        <f>AND(#REF!,"AAAAAD3/5o4=")</f>
        <v>#REF!</v>
      </c>
      <c r="EN189" t="e">
        <f>AND(#REF!,"AAAAAD3/5o8=")</f>
        <v>#REF!</v>
      </c>
      <c r="EO189" t="e">
        <f>AND(#REF!,"AAAAAD3/5pA=")</f>
        <v>#REF!</v>
      </c>
      <c r="EP189" t="e">
        <f>AND(#REF!,"AAAAAD3/5pE=")</f>
        <v>#REF!</v>
      </c>
      <c r="EQ189" t="e">
        <f>AND(#REF!,"AAAAAD3/5pI=")</f>
        <v>#REF!</v>
      </c>
      <c r="ER189" t="e">
        <f>IF(#REF!,"AAAAAD3/5pM=",0)</f>
        <v>#REF!</v>
      </c>
      <c r="ES189" t="e">
        <f>AND(#REF!,"AAAAAD3/5pQ=")</f>
        <v>#REF!</v>
      </c>
      <c r="ET189" t="e">
        <f>AND(#REF!,"AAAAAD3/5pU=")</f>
        <v>#REF!</v>
      </c>
      <c r="EU189" t="e">
        <f>AND(#REF!,"AAAAAD3/5pY=")</f>
        <v>#REF!</v>
      </c>
      <c r="EV189" t="e">
        <f>AND(#REF!,"AAAAAD3/5pc=")</f>
        <v>#REF!</v>
      </c>
      <c r="EW189" t="e">
        <f>AND(#REF!,"AAAAAD3/5pg=")</f>
        <v>#REF!</v>
      </c>
      <c r="EX189" t="e">
        <f>AND(#REF!,"AAAAAD3/5pk=")</f>
        <v>#REF!</v>
      </c>
      <c r="EY189" t="e">
        <f>AND(#REF!,"AAAAAD3/5po=")</f>
        <v>#REF!</v>
      </c>
      <c r="EZ189" t="e">
        <f>AND(#REF!,"AAAAAD3/5ps=")</f>
        <v>#REF!</v>
      </c>
      <c r="FA189" t="e">
        <f>AND(#REF!,"AAAAAD3/5pw=")</f>
        <v>#REF!</v>
      </c>
      <c r="FB189" t="e">
        <f>AND(#REF!,"AAAAAD3/5p0=")</f>
        <v>#REF!</v>
      </c>
      <c r="FC189" t="e">
        <f>IF(#REF!,"AAAAAD3/5p4=",0)</f>
        <v>#REF!</v>
      </c>
      <c r="FD189" t="e">
        <f>AND(#REF!,"AAAAAD3/5p8=")</f>
        <v>#REF!</v>
      </c>
      <c r="FE189" t="e">
        <f>AND(#REF!,"AAAAAD3/5qA=")</f>
        <v>#REF!</v>
      </c>
      <c r="FF189" t="e">
        <f>AND(#REF!,"AAAAAD3/5qE=")</f>
        <v>#REF!</v>
      </c>
      <c r="FG189" t="e">
        <f>AND(#REF!,"AAAAAD3/5qI=")</f>
        <v>#REF!</v>
      </c>
      <c r="FH189" t="e">
        <f>AND(#REF!,"AAAAAD3/5qM=")</f>
        <v>#REF!</v>
      </c>
      <c r="FI189" t="e">
        <f>AND(#REF!,"AAAAAD3/5qQ=")</f>
        <v>#REF!</v>
      </c>
      <c r="FJ189" t="e">
        <f>AND(#REF!,"AAAAAD3/5qU=")</f>
        <v>#REF!</v>
      </c>
      <c r="FK189" t="e">
        <f>AND(#REF!,"AAAAAD3/5qY=")</f>
        <v>#REF!</v>
      </c>
      <c r="FL189" t="e">
        <f>AND(#REF!,"AAAAAD3/5qc=")</f>
        <v>#REF!</v>
      </c>
      <c r="FM189" t="e">
        <f>AND(#REF!,"AAAAAD3/5qg=")</f>
        <v>#REF!</v>
      </c>
      <c r="FN189" t="e">
        <f>IF(#REF!,"AAAAAD3/5qk=",0)</f>
        <v>#REF!</v>
      </c>
      <c r="FO189" t="e">
        <f>AND(#REF!,"AAAAAD3/5qo=")</f>
        <v>#REF!</v>
      </c>
      <c r="FP189" t="e">
        <f>AND(#REF!,"AAAAAD3/5qs=")</f>
        <v>#REF!</v>
      </c>
      <c r="FQ189" t="e">
        <f>AND(#REF!,"AAAAAD3/5qw=")</f>
        <v>#REF!</v>
      </c>
      <c r="FR189" t="e">
        <f>AND(#REF!,"AAAAAD3/5q0=")</f>
        <v>#REF!</v>
      </c>
      <c r="FS189" t="e">
        <f>AND(#REF!,"AAAAAD3/5q4=")</f>
        <v>#REF!</v>
      </c>
      <c r="FT189" t="e">
        <f>AND(#REF!,"AAAAAD3/5q8=")</f>
        <v>#REF!</v>
      </c>
      <c r="FU189" t="e">
        <f>AND(#REF!,"AAAAAD3/5rA=")</f>
        <v>#REF!</v>
      </c>
      <c r="FV189" t="e">
        <f>AND(#REF!,"AAAAAD3/5rE=")</f>
        <v>#REF!</v>
      </c>
      <c r="FW189" t="e">
        <f>AND(#REF!,"AAAAAD3/5rI=")</f>
        <v>#REF!</v>
      </c>
      <c r="FX189" t="e">
        <f>AND(#REF!,"AAAAAD3/5rM=")</f>
        <v>#REF!</v>
      </c>
      <c r="FY189" t="e">
        <f>IF(#REF!,"AAAAAD3/5rQ=",0)</f>
        <v>#REF!</v>
      </c>
      <c r="FZ189" t="e">
        <f>AND(#REF!,"AAAAAD3/5rU=")</f>
        <v>#REF!</v>
      </c>
      <c r="GA189" t="e">
        <f>AND(#REF!,"AAAAAD3/5rY=")</f>
        <v>#REF!</v>
      </c>
      <c r="GB189" t="e">
        <f>AND(#REF!,"AAAAAD3/5rc=")</f>
        <v>#REF!</v>
      </c>
      <c r="GC189" t="e">
        <f>AND(#REF!,"AAAAAD3/5rg=")</f>
        <v>#REF!</v>
      </c>
      <c r="GD189" t="e">
        <f>AND(#REF!,"AAAAAD3/5rk=")</f>
        <v>#REF!</v>
      </c>
      <c r="GE189" t="e">
        <f>AND(#REF!,"AAAAAD3/5ro=")</f>
        <v>#REF!</v>
      </c>
      <c r="GF189" t="e">
        <f>AND(#REF!,"AAAAAD3/5rs=")</f>
        <v>#REF!</v>
      </c>
      <c r="GG189" t="e">
        <f>AND(#REF!,"AAAAAD3/5rw=")</f>
        <v>#REF!</v>
      </c>
      <c r="GH189" t="e">
        <f>AND(#REF!,"AAAAAD3/5r0=")</f>
        <v>#REF!</v>
      </c>
      <c r="GI189" t="e">
        <f>AND(#REF!,"AAAAAD3/5r4=")</f>
        <v>#REF!</v>
      </c>
      <c r="GJ189" t="e">
        <f>IF(#REF!,"AAAAAD3/5r8=",0)</f>
        <v>#REF!</v>
      </c>
      <c r="GK189" t="e">
        <f>AND(#REF!,"AAAAAD3/5sA=")</f>
        <v>#REF!</v>
      </c>
      <c r="GL189" t="e">
        <f>AND(#REF!,"AAAAAD3/5sE=")</f>
        <v>#REF!</v>
      </c>
      <c r="GM189" t="e">
        <f>AND(#REF!,"AAAAAD3/5sI=")</f>
        <v>#REF!</v>
      </c>
      <c r="GN189" t="e">
        <f>AND(#REF!,"AAAAAD3/5sM=")</f>
        <v>#REF!</v>
      </c>
      <c r="GO189" t="e">
        <f>AND(#REF!,"AAAAAD3/5sQ=")</f>
        <v>#REF!</v>
      </c>
      <c r="GP189" t="e">
        <f>AND(#REF!,"AAAAAD3/5sU=")</f>
        <v>#REF!</v>
      </c>
      <c r="GQ189" t="e">
        <f>AND(#REF!,"AAAAAD3/5sY=")</f>
        <v>#REF!</v>
      </c>
      <c r="GR189" t="e">
        <f>AND(#REF!,"AAAAAD3/5sc=")</f>
        <v>#REF!</v>
      </c>
      <c r="GS189" t="e">
        <f>AND(#REF!,"AAAAAD3/5sg=")</f>
        <v>#REF!</v>
      </c>
      <c r="GT189" t="e">
        <f>AND(#REF!,"AAAAAD3/5sk=")</f>
        <v>#REF!</v>
      </c>
      <c r="GU189" t="e">
        <f>IF(#REF!,"AAAAAD3/5so=",0)</f>
        <v>#REF!</v>
      </c>
      <c r="GV189" t="e">
        <f>AND(#REF!,"AAAAAD3/5ss=")</f>
        <v>#REF!</v>
      </c>
      <c r="GW189" t="e">
        <f>AND(#REF!,"AAAAAD3/5sw=")</f>
        <v>#REF!</v>
      </c>
      <c r="GX189" t="e">
        <f>AND(#REF!,"AAAAAD3/5s0=")</f>
        <v>#REF!</v>
      </c>
      <c r="GY189" t="e">
        <f>AND(#REF!,"AAAAAD3/5s4=")</f>
        <v>#REF!</v>
      </c>
      <c r="GZ189" t="e">
        <f>AND(#REF!,"AAAAAD3/5s8=")</f>
        <v>#REF!</v>
      </c>
      <c r="HA189" t="e">
        <f>AND(#REF!,"AAAAAD3/5tA=")</f>
        <v>#REF!</v>
      </c>
      <c r="HB189" t="e">
        <f>AND(#REF!,"AAAAAD3/5tE=")</f>
        <v>#REF!</v>
      </c>
      <c r="HC189" t="e">
        <f>AND(#REF!,"AAAAAD3/5tI=")</f>
        <v>#REF!</v>
      </c>
      <c r="HD189" t="e">
        <f>AND(#REF!,"AAAAAD3/5tM=")</f>
        <v>#REF!</v>
      </c>
      <c r="HE189" t="e">
        <f>AND(#REF!,"AAAAAD3/5tQ=")</f>
        <v>#REF!</v>
      </c>
      <c r="HF189" t="e">
        <f>IF(#REF!,"AAAAAD3/5tU=",0)</f>
        <v>#REF!</v>
      </c>
      <c r="HG189" t="e">
        <f>AND(#REF!,"AAAAAD3/5tY=")</f>
        <v>#REF!</v>
      </c>
      <c r="HH189" t="e">
        <f>AND(#REF!,"AAAAAD3/5tc=")</f>
        <v>#REF!</v>
      </c>
      <c r="HI189" t="e">
        <f>AND(#REF!,"AAAAAD3/5tg=")</f>
        <v>#REF!</v>
      </c>
      <c r="HJ189" t="e">
        <f>AND(#REF!,"AAAAAD3/5tk=")</f>
        <v>#REF!</v>
      </c>
      <c r="HK189" t="e">
        <f>AND(#REF!,"AAAAAD3/5to=")</f>
        <v>#REF!</v>
      </c>
      <c r="HL189" t="e">
        <f>AND(#REF!,"AAAAAD3/5ts=")</f>
        <v>#REF!</v>
      </c>
      <c r="HM189" t="e">
        <f>AND(#REF!,"AAAAAD3/5tw=")</f>
        <v>#REF!</v>
      </c>
      <c r="HN189" t="e">
        <f>AND(#REF!,"AAAAAD3/5t0=")</f>
        <v>#REF!</v>
      </c>
      <c r="HO189" t="e">
        <f>AND(#REF!,"AAAAAD3/5t4=")</f>
        <v>#REF!</v>
      </c>
      <c r="HP189" t="e">
        <f>AND(#REF!,"AAAAAD3/5t8=")</f>
        <v>#REF!</v>
      </c>
      <c r="HQ189" t="e">
        <f>IF(#REF!,"AAAAAD3/5uA=",0)</f>
        <v>#REF!</v>
      </c>
      <c r="HR189" t="e">
        <f>AND(#REF!,"AAAAAD3/5uE=")</f>
        <v>#REF!</v>
      </c>
      <c r="HS189" t="e">
        <f>AND(#REF!,"AAAAAD3/5uI=")</f>
        <v>#REF!</v>
      </c>
      <c r="HT189" t="e">
        <f>AND(#REF!,"AAAAAD3/5uM=")</f>
        <v>#REF!</v>
      </c>
      <c r="HU189" t="e">
        <f>AND(#REF!,"AAAAAD3/5uQ=")</f>
        <v>#REF!</v>
      </c>
      <c r="HV189" t="e">
        <f>AND(#REF!,"AAAAAD3/5uU=")</f>
        <v>#REF!</v>
      </c>
      <c r="HW189" t="e">
        <f>AND(#REF!,"AAAAAD3/5uY=")</f>
        <v>#REF!</v>
      </c>
      <c r="HX189" t="e">
        <f>AND(#REF!,"AAAAAD3/5uc=")</f>
        <v>#REF!</v>
      </c>
      <c r="HY189" t="e">
        <f>AND(#REF!,"AAAAAD3/5ug=")</f>
        <v>#REF!</v>
      </c>
      <c r="HZ189" t="e">
        <f>AND(#REF!,"AAAAAD3/5uk=")</f>
        <v>#REF!</v>
      </c>
      <c r="IA189" t="e">
        <f>AND(#REF!,"AAAAAD3/5uo=")</f>
        <v>#REF!</v>
      </c>
      <c r="IB189" t="e">
        <f>IF(#REF!,"AAAAAD3/5us=",0)</f>
        <v>#REF!</v>
      </c>
      <c r="IC189" t="e">
        <f>AND(#REF!,"AAAAAD3/5uw=")</f>
        <v>#REF!</v>
      </c>
      <c r="ID189" t="e">
        <f>AND(#REF!,"AAAAAD3/5u0=")</f>
        <v>#REF!</v>
      </c>
      <c r="IE189" t="e">
        <f>AND(#REF!,"AAAAAD3/5u4=")</f>
        <v>#REF!</v>
      </c>
      <c r="IF189" t="e">
        <f>AND(#REF!,"AAAAAD3/5u8=")</f>
        <v>#REF!</v>
      </c>
      <c r="IG189" t="e">
        <f>AND(#REF!,"AAAAAD3/5vA=")</f>
        <v>#REF!</v>
      </c>
      <c r="IH189" t="e">
        <f>AND(#REF!,"AAAAAD3/5vE=")</f>
        <v>#REF!</v>
      </c>
      <c r="II189" t="e">
        <f>AND(#REF!,"AAAAAD3/5vI=")</f>
        <v>#REF!</v>
      </c>
      <c r="IJ189" t="e">
        <f>AND(#REF!,"AAAAAD3/5vM=")</f>
        <v>#REF!</v>
      </c>
      <c r="IK189" t="e">
        <f>AND(#REF!,"AAAAAD3/5vQ=")</f>
        <v>#REF!</v>
      </c>
      <c r="IL189" t="e">
        <f>AND(#REF!,"AAAAAD3/5vU=")</f>
        <v>#REF!</v>
      </c>
      <c r="IM189" t="e">
        <f>IF(#REF!,"AAAAAD3/5vY=",0)</f>
        <v>#REF!</v>
      </c>
      <c r="IN189" t="e">
        <f>AND(#REF!,"AAAAAD3/5vc=")</f>
        <v>#REF!</v>
      </c>
      <c r="IO189" t="e">
        <f>AND(#REF!,"AAAAAD3/5vg=")</f>
        <v>#REF!</v>
      </c>
      <c r="IP189" t="e">
        <f>AND(#REF!,"AAAAAD3/5vk=")</f>
        <v>#REF!</v>
      </c>
      <c r="IQ189" t="e">
        <f>AND(#REF!,"AAAAAD3/5vo=")</f>
        <v>#REF!</v>
      </c>
      <c r="IR189" t="e">
        <f>AND(#REF!,"AAAAAD3/5vs=")</f>
        <v>#REF!</v>
      </c>
      <c r="IS189" t="e">
        <f>AND(#REF!,"AAAAAD3/5vw=")</f>
        <v>#REF!</v>
      </c>
      <c r="IT189" t="e">
        <f>AND(#REF!,"AAAAAD3/5v0=")</f>
        <v>#REF!</v>
      </c>
      <c r="IU189" t="e">
        <f>AND(#REF!,"AAAAAD3/5v4=")</f>
        <v>#REF!</v>
      </c>
      <c r="IV189" t="e">
        <f>AND(#REF!,"AAAAAD3/5v8=")</f>
        <v>#REF!</v>
      </c>
    </row>
    <row r="190" spans="1:256" x14ac:dyDescent="0.25">
      <c r="A190" t="e">
        <f>AND(#REF!,"AAAAABn2+wA=")</f>
        <v>#REF!</v>
      </c>
      <c r="B190" t="e">
        <f>IF(#REF!,"AAAAABn2+wE=",0)</f>
        <v>#REF!</v>
      </c>
      <c r="C190" t="e">
        <f>AND(#REF!,"AAAAABn2+wI=")</f>
        <v>#REF!</v>
      </c>
      <c r="D190" t="e">
        <f>AND(#REF!,"AAAAABn2+wM=")</f>
        <v>#REF!</v>
      </c>
      <c r="E190" t="e">
        <f>AND(#REF!,"AAAAABn2+wQ=")</f>
        <v>#REF!</v>
      </c>
      <c r="F190" t="e">
        <f>AND(#REF!,"AAAAABn2+wU=")</f>
        <v>#REF!</v>
      </c>
      <c r="G190" t="e">
        <f>AND(#REF!,"AAAAABn2+wY=")</f>
        <v>#REF!</v>
      </c>
      <c r="H190" t="e">
        <f>AND(#REF!,"AAAAABn2+wc=")</f>
        <v>#REF!</v>
      </c>
      <c r="I190" t="e">
        <f>AND(#REF!,"AAAAABn2+wg=")</f>
        <v>#REF!</v>
      </c>
      <c r="J190" t="e">
        <f>AND(#REF!,"AAAAABn2+wk=")</f>
        <v>#REF!</v>
      </c>
      <c r="K190" t="e">
        <f>AND(#REF!,"AAAAABn2+wo=")</f>
        <v>#REF!</v>
      </c>
      <c r="L190" t="e">
        <f>AND(#REF!,"AAAAABn2+ws=")</f>
        <v>#REF!</v>
      </c>
      <c r="M190" t="e">
        <f>IF(#REF!,"AAAAABn2+ww=",0)</f>
        <v>#REF!</v>
      </c>
      <c r="N190" t="e">
        <f>AND(#REF!,"AAAAABn2+w0=")</f>
        <v>#REF!</v>
      </c>
      <c r="O190" t="e">
        <f>AND(#REF!,"AAAAABn2+w4=")</f>
        <v>#REF!</v>
      </c>
      <c r="P190" t="e">
        <f>AND(#REF!,"AAAAABn2+w8=")</f>
        <v>#REF!</v>
      </c>
      <c r="Q190" t="e">
        <f>AND(#REF!,"AAAAABn2+xA=")</f>
        <v>#REF!</v>
      </c>
      <c r="R190" t="e">
        <f>AND(#REF!,"AAAAABn2+xE=")</f>
        <v>#REF!</v>
      </c>
      <c r="S190" t="e">
        <f>AND(#REF!,"AAAAABn2+xI=")</f>
        <v>#REF!</v>
      </c>
      <c r="T190" t="e">
        <f>AND(#REF!,"AAAAABn2+xM=")</f>
        <v>#REF!</v>
      </c>
      <c r="U190" t="e">
        <f>AND(#REF!,"AAAAABn2+xQ=")</f>
        <v>#REF!</v>
      </c>
      <c r="V190" t="e">
        <f>AND(#REF!,"AAAAABn2+xU=")</f>
        <v>#REF!</v>
      </c>
      <c r="W190" t="e">
        <f>AND(#REF!,"AAAAABn2+xY=")</f>
        <v>#REF!</v>
      </c>
      <c r="X190" t="e">
        <f>IF(#REF!,"AAAAABn2+xc=",0)</f>
        <v>#REF!</v>
      </c>
      <c r="Y190" t="e">
        <f>AND(#REF!,"AAAAABn2+xg=")</f>
        <v>#REF!</v>
      </c>
      <c r="Z190" t="e">
        <f>AND(#REF!,"AAAAABn2+xk=")</f>
        <v>#REF!</v>
      </c>
      <c r="AA190" t="e">
        <f>AND(#REF!,"AAAAABn2+xo=")</f>
        <v>#REF!</v>
      </c>
      <c r="AB190" t="e">
        <f>AND(#REF!,"AAAAABn2+xs=")</f>
        <v>#REF!</v>
      </c>
      <c r="AC190" t="e">
        <f>AND(#REF!,"AAAAABn2+xw=")</f>
        <v>#REF!</v>
      </c>
      <c r="AD190" t="e">
        <f>AND(#REF!,"AAAAABn2+x0=")</f>
        <v>#REF!</v>
      </c>
      <c r="AE190" t="e">
        <f>AND(#REF!,"AAAAABn2+x4=")</f>
        <v>#REF!</v>
      </c>
      <c r="AF190" t="e">
        <f>AND(#REF!,"AAAAABn2+x8=")</f>
        <v>#REF!</v>
      </c>
      <c r="AG190" t="e">
        <f>AND(#REF!,"AAAAABn2+yA=")</f>
        <v>#REF!</v>
      </c>
      <c r="AH190" t="e">
        <f>AND(#REF!,"AAAAABn2+yE=")</f>
        <v>#REF!</v>
      </c>
      <c r="AI190" t="e">
        <f>IF(#REF!,"AAAAABn2+yI=",0)</f>
        <v>#REF!</v>
      </c>
      <c r="AJ190" t="e">
        <f>AND(#REF!,"AAAAABn2+yM=")</f>
        <v>#REF!</v>
      </c>
      <c r="AK190" t="e">
        <f>AND(#REF!,"AAAAABn2+yQ=")</f>
        <v>#REF!</v>
      </c>
      <c r="AL190" t="e">
        <f>AND(#REF!,"AAAAABn2+yU=")</f>
        <v>#REF!</v>
      </c>
      <c r="AM190" t="e">
        <f>AND(#REF!,"AAAAABn2+yY=")</f>
        <v>#REF!</v>
      </c>
      <c r="AN190" t="e">
        <f>AND(#REF!,"AAAAABn2+yc=")</f>
        <v>#REF!</v>
      </c>
      <c r="AO190" t="e">
        <f>AND(#REF!,"AAAAABn2+yg=")</f>
        <v>#REF!</v>
      </c>
      <c r="AP190" t="e">
        <f>AND(#REF!,"AAAAABn2+yk=")</f>
        <v>#REF!</v>
      </c>
      <c r="AQ190" t="e">
        <f>AND(#REF!,"AAAAABn2+yo=")</f>
        <v>#REF!</v>
      </c>
      <c r="AR190" t="e">
        <f>AND(#REF!,"AAAAABn2+ys=")</f>
        <v>#REF!</v>
      </c>
      <c r="AS190" t="e">
        <f>AND(#REF!,"AAAAABn2+yw=")</f>
        <v>#REF!</v>
      </c>
      <c r="AT190" t="e">
        <f>IF(#REF!,"AAAAABn2+y0=",0)</f>
        <v>#REF!</v>
      </c>
      <c r="AU190" t="e">
        <f>AND(#REF!,"AAAAABn2+y4=")</f>
        <v>#REF!</v>
      </c>
      <c r="AV190" t="e">
        <f>AND(#REF!,"AAAAABn2+y8=")</f>
        <v>#REF!</v>
      </c>
      <c r="AW190" t="e">
        <f>AND(#REF!,"AAAAABn2+zA=")</f>
        <v>#REF!</v>
      </c>
      <c r="AX190" t="e">
        <f>AND(#REF!,"AAAAABn2+zE=")</f>
        <v>#REF!</v>
      </c>
      <c r="AY190" t="e">
        <f>AND(#REF!,"AAAAABn2+zI=")</f>
        <v>#REF!</v>
      </c>
      <c r="AZ190" t="e">
        <f>AND(#REF!,"AAAAABn2+zM=")</f>
        <v>#REF!</v>
      </c>
      <c r="BA190" t="e">
        <f>AND(#REF!,"AAAAABn2+zQ=")</f>
        <v>#REF!</v>
      </c>
      <c r="BB190" t="e">
        <f>AND(#REF!,"AAAAABn2+zU=")</f>
        <v>#REF!</v>
      </c>
      <c r="BC190" t="e">
        <f>AND(#REF!,"AAAAABn2+zY=")</f>
        <v>#REF!</v>
      </c>
      <c r="BD190" t="e">
        <f>AND(#REF!,"AAAAABn2+zc=")</f>
        <v>#REF!</v>
      </c>
      <c r="BE190" t="e">
        <f>IF(#REF!,"AAAAABn2+zg=",0)</f>
        <v>#REF!</v>
      </c>
      <c r="BF190" t="e">
        <f>AND(#REF!,"AAAAABn2+zk=")</f>
        <v>#REF!</v>
      </c>
      <c r="BG190" t="e">
        <f>AND(#REF!,"AAAAABn2+zo=")</f>
        <v>#REF!</v>
      </c>
      <c r="BH190" t="e">
        <f>AND(#REF!,"AAAAABn2+zs=")</f>
        <v>#REF!</v>
      </c>
      <c r="BI190" t="e">
        <f>AND(#REF!,"AAAAABn2+zw=")</f>
        <v>#REF!</v>
      </c>
      <c r="BJ190" t="e">
        <f>AND(#REF!,"AAAAABn2+z0=")</f>
        <v>#REF!</v>
      </c>
      <c r="BK190" t="e">
        <f>AND(#REF!,"AAAAABn2+z4=")</f>
        <v>#REF!</v>
      </c>
      <c r="BL190" t="e">
        <f>AND(#REF!,"AAAAABn2+z8=")</f>
        <v>#REF!</v>
      </c>
      <c r="BM190" t="e">
        <f>AND(#REF!,"AAAAABn2+0A=")</f>
        <v>#REF!</v>
      </c>
      <c r="BN190" t="e">
        <f>AND(#REF!,"AAAAABn2+0E=")</f>
        <v>#REF!</v>
      </c>
      <c r="BO190" t="e">
        <f>AND(#REF!,"AAAAABn2+0I=")</f>
        <v>#REF!</v>
      </c>
      <c r="BP190" t="e">
        <f>IF(#REF!,"AAAAABn2+0M=",0)</f>
        <v>#REF!</v>
      </c>
      <c r="BQ190" t="e">
        <f>AND(#REF!,"AAAAABn2+0Q=")</f>
        <v>#REF!</v>
      </c>
      <c r="BR190" t="e">
        <f>AND(#REF!,"AAAAABn2+0U=")</f>
        <v>#REF!</v>
      </c>
      <c r="BS190" t="e">
        <f>AND(#REF!,"AAAAABn2+0Y=")</f>
        <v>#REF!</v>
      </c>
      <c r="BT190" t="e">
        <f>AND(#REF!,"AAAAABn2+0c=")</f>
        <v>#REF!</v>
      </c>
      <c r="BU190" t="e">
        <f>AND(#REF!,"AAAAABn2+0g=")</f>
        <v>#REF!</v>
      </c>
      <c r="BV190" t="e">
        <f>AND(#REF!,"AAAAABn2+0k=")</f>
        <v>#REF!</v>
      </c>
      <c r="BW190" t="e">
        <f>AND(#REF!,"AAAAABn2+0o=")</f>
        <v>#REF!</v>
      </c>
      <c r="BX190" t="e">
        <f>AND(#REF!,"AAAAABn2+0s=")</f>
        <v>#REF!</v>
      </c>
      <c r="BY190" t="e">
        <f>AND(#REF!,"AAAAABn2+0w=")</f>
        <v>#REF!</v>
      </c>
      <c r="BZ190" t="e">
        <f>AND(#REF!,"AAAAABn2+00=")</f>
        <v>#REF!</v>
      </c>
      <c r="CA190" t="e">
        <f>IF(#REF!,"AAAAABn2+04=",0)</f>
        <v>#REF!</v>
      </c>
      <c r="CB190" t="e">
        <f>AND(#REF!,"AAAAABn2+08=")</f>
        <v>#REF!</v>
      </c>
      <c r="CC190" t="e">
        <f>AND(#REF!,"AAAAABn2+1A=")</f>
        <v>#REF!</v>
      </c>
      <c r="CD190" t="e">
        <f>AND(#REF!,"AAAAABn2+1E=")</f>
        <v>#REF!</v>
      </c>
      <c r="CE190" t="e">
        <f>AND(#REF!,"AAAAABn2+1I=")</f>
        <v>#REF!</v>
      </c>
      <c r="CF190" t="e">
        <f>AND(#REF!,"AAAAABn2+1M=")</f>
        <v>#REF!</v>
      </c>
      <c r="CG190" t="e">
        <f>AND(#REF!,"AAAAABn2+1Q=")</f>
        <v>#REF!</v>
      </c>
      <c r="CH190" t="e">
        <f>AND(#REF!,"AAAAABn2+1U=")</f>
        <v>#REF!</v>
      </c>
      <c r="CI190" t="e">
        <f>AND(#REF!,"AAAAABn2+1Y=")</f>
        <v>#REF!</v>
      </c>
      <c r="CJ190" t="e">
        <f>AND(#REF!,"AAAAABn2+1c=")</f>
        <v>#REF!</v>
      </c>
      <c r="CK190" t="e">
        <f>AND(#REF!,"AAAAABn2+1g=")</f>
        <v>#REF!</v>
      </c>
      <c r="CL190" t="e">
        <f>IF(#REF!,"AAAAABn2+1k=",0)</f>
        <v>#REF!</v>
      </c>
      <c r="CM190" t="e">
        <f>AND(#REF!,"AAAAABn2+1o=")</f>
        <v>#REF!</v>
      </c>
      <c r="CN190" t="e">
        <f>AND(#REF!,"AAAAABn2+1s=")</f>
        <v>#REF!</v>
      </c>
      <c r="CO190" t="e">
        <f>AND(#REF!,"AAAAABn2+1w=")</f>
        <v>#REF!</v>
      </c>
      <c r="CP190" t="e">
        <f>AND(#REF!,"AAAAABn2+10=")</f>
        <v>#REF!</v>
      </c>
      <c r="CQ190" t="e">
        <f>AND(#REF!,"AAAAABn2+14=")</f>
        <v>#REF!</v>
      </c>
      <c r="CR190" t="e">
        <f>AND(#REF!,"AAAAABn2+18=")</f>
        <v>#REF!</v>
      </c>
      <c r="CS190" t="e">
        <f>AND(#REF!,"AAAAABn2+2A=")</f>
        <v>#REF!</v>
      </c>
      <c r="CT190" t="e">
        <f>AND(#REF!,"AAAAABn2+2E=")</f>
        <v>#REF!</v>
      </c>
      <c r="CU190" t="e">
        <f>AND(#REF!,"AAAAABn2+2I=")</f>
        <v>#REF!</v>
      </c>
      <c r="CV190" t="e">
        <f>AND(#REF!,"AAAAABn2+2M=")</f>
        <v>#REF!</v>
      </c>
      <c r="CW190" t="e">
        <f>IF(#REF!,"AAAAABn2+2Q=",0)</f>
        <v>#REF!</v>
      </c>
      <c r="CX190" t="e">
        <f>AND(#REF!,"AAAAABn2+2U=")</f>
        <v>#REF!</v>
      </c>
      <c r="CY190" t="e">
        <f>AND(#REF!,"AAAAABn2+2Y=")</f>
        <v>#REF!</v>
      </c>
      <c r="CZ190" t="e">
        <f>AND(#REF!,"AAAAABn2+2c=")</f>
        <v>#REF!</v>
      </c>
      <c r="DA190" t="e">
        <f>AND(#REF!,"AAAAABn2+2g=")</f>
        <v>#REF!</v>
      </c>
      <c r="DB190" t="e">
        <f>AND(#REF!,"AAAAABn2+2k=")</f>
        <v>#REF!</v>
      </c>
      <c r="DC190" t="e">
        <f>AND(#REF!,"AAAAABn2+2o=")</f>
        <v>#REF!</v>
      </c>
      <c r="DD190" t="e">
        <f>AND(#REF!,"AAAAABn2+2s=")</f>
        <v>#REF!</v>
      </c>
      <c r="DE190" t="e">
        <f>AND(#REF!,"AAAAABn2+2w=")</f>
        <v>#REF!</v>
      </c>
      <c r="DF190" t="e">
        <f>AND(#REF!,"AAAAABn2+20=")</f>
        <v>#REF!</v>
      </c>
      <c r="DG190" t="e">
        <f>AND(#REF!,"AAAAABn2+24=")</f>
        <v>#REF!</v>
      </c>
      <c r="DH190" t="e">
        <f>IF(#REF!,"AAAAABn2+28=",0)</f>
        <v>#REF!</v>
      </c>
      <c r="DI190" t="e">
        <f>AND(#REF!,"AAAAABn2+3A=")</f>
        <v>#REF!</v>
      </c>
      <c r="DJ190" t="e">
        <f>AND(#REF!,"AAAAABn2+3E=")</f>
        <v>#REF!</v>
      </c>
      <c r="DK190" t="e">
        <f>AND(#REF!,"AAAAABn2+3I=")</f>
        <v>#REF!</v>
      </c>
      <c r="DL190" t="e">
        <f>AND(#REF!,"AAAAABn2+3M=")</f>
        <v>#REF!</v>
      </c>
      <c r="DM190" t="e">
        <f>AND(#REF!,"AAAAABn2+3Q=")</f>
        <v>#REF!</v>
      </c>
      <c r="DN190" t="e">
        <f>AND(#REF!,"AAAAABn2+3U=")</f>
        <v>#REF!</v>
      </c>
      <c r="DO190" t="e">
        <f>AND(#REF!,"AAAAABn2+3Y=")</f>
        <v>#REF!</v>
      </c>
      <c r="DP190" t="e">
        <f>AND(#REF!,"AAAAABn2+3c=")</f>
        <v>#REF!</v>
      </c>
      <c r="DQ190" t="e">
        <f>AND(#REF!,"AAAAABn2+3g=")</f>
        <v>#REF!</v>
      </c>
      <c r="DR190" t="e">
        <f>AND(#REF!,"AAAAABn2+3k=")</f>
        <v>#REF!</v>
      </c>
      <c r="DS190" t="e">
        <f>IF(#REF!,"AAAAABn2+3o=",0)</f>
        <v>#REF!</v>
      </c>
      <c r="DT190" t="e">
        <f>AND(#REF!,"AAAAABn2+3s=")</f>
        <v>#REF!</v>
      </c>
      <c r="DU190" t="e">
        <f>AND(#REF!,"AAAAABn2+3w=")</f>
        <v>#REF!</v>
      </c>
      <c r="DV190" t="e">
        <f>AND(#REF!,"AAAAABn2+30=")</f>
        <v>#REF!</v>
      </c>
      <c r="DW190" t="e">
        <f>AND(#REF!,"AAAAABn2+34=")</f>
        <v>#REF!</v>
      </c>
      <c r="DX190" t="e">
        <f>AND(#REF!,"AAAAABn2+38=")</f>
        <v>#REF!</v>
      </c>
      <c r="DY190" t="e">
        <f>AND(#REF!,"AAAAABn2+4A=")</f>
        <v>#REF!</v>
      </c>
      <c r="DZ190" t="e">
        <f>AND(#REF!,"AAAAABn2+4E=")</f>
        <v>#REF!</v>
      </c>
      <c r="EA190" t="e">
        <f>AND(#REF!,"AAAAABn2+4I=")</f>
        <v>#REF!</v>
      </c>
      <c r="EB190" t="e">
        <f>AND(#REF!,"AAAAABn2+4M=")</f>
        <v>#REF!</v>
      </c>
      <c r="EC190" t="e">
        <f>AND(#REF!,"AAAAABn2+4Q=")</f>
        <v>#REF!</v>
      </c>
      <c r="ED190" t="e">
        <f>IF(#REF!,"AAAAABn2+4U=",0)</f>
        <v>#REF!</v>
      </c>
      <c r="EE190" t="e">
        <f>AND(#REF!,"AAAAABn2+4Y=")</f>
        <v>#REF!</v>
      </c>
      <c r="EF190" t="e">
        <f>AND(#REF!,"AAAAABn2+4c=")</f>
        <v>#REF!</v>
      </c>
      <c r="EG190" t="e">
        <f>AND(#REF!,"AAAAABn2+4g=")</f>
        <v>#REF!</v>
      </c>
      <c r="EH190" t="e">
        <f>AND(#REF!,"AAAAABn2+4k=")</f>
        <v>#REF!</v>
      </c>
      <c r="EI190" t="e">
        <f>AND(#REF!,"AAAAABn2+4o=")</f>
        <v>#REF!</v>
      </c>
      <c r="EJ190" t="e">
        <f>AND(#REF!,"AAAAABn2+4s=")</f>
        <v>#REF!</v>
      </c>
      <c r="EK190" t="e">
        <f>AND(#REF!,"AAAAABn2+4w=")</f>
        <v>#REF!</v>
      </c>
      <c r="EL190" t="e">
        <f>AND(#REF!,"AAAAABn2+40=")</f>
        <v>#REF!</v>
      </c>
      <c r="EM190" t="e">
        <f>AND(#REF!,"AAAAABn2+44=")</f>
        <v>#REF!</v>
      </c>
      <c r="EN190" t="e">
        <f>AND(#REF!,"AAAAABn2+48=")</f>
        <v>#REF!</v>
      </c>
      <c r="EO190" t="e">
        <f>IF(#REF!,"AAAAABn2+5A=",0)</f>
        <v>#REF!</v>
      </c>
      <c r="EP190" t="e">
        <f>AND(#REF!,"AAAAABn2+5E=")</f>
        <v>#REF!</v>
      </c>
      <c r="EQ190" t="e">
        <f>AND(#REF!,"AAAAABn2+5I=")</f>
        <v>#REF!</v>
      </c>
      <c r="ER190" t="e">
        <f>AND(#REF!,"AAAAABn2+5M=")</f>
        <v>#REF!</v>
      </c>
      <c r="ES190" t="e">
        <f>AND(#REF!,"AAAAABn2+5Q=")</f>
        <v>#REF!</v>
      </c>
      <c r="ET190" t="e">
        <f>AND(#REF!,"AAAAABn2+5U=")</f>
        <v>#REF!</v>
      </c>
      <c r="EU190" t="e">
        <f>AND(#REF!,"AAAAABn2+5Y=")</f>
        <v>#REF!</v>
      </c>
      <c r="EV190" t="e">
        <f>AND(#REF!,"AAAAABn2+5c=")</f>
        <v>#REF!</v>
      </c>
      <c r="EW190" t="e">
        <f>AND(#REF!,"AAAAABn2+5g=")</f>
        <v>#REF!</v>
      </c>
      <c r="EX190" t="e">
        <f>AND(#REF!,"AAAAABn2+5k=")</f>
        <v>#REF!</v>
      </c>
      <c r="EY190" t="e">
        <f>AND(#REF!,"AAAAABn2+5o=")</f>
        <v>#REF!</v>
      </c>
      <c r="EZ190" t="e">
        <f>IF(#REF!,"AAAAABn2+5s=",0)</f>
        <v>#REF!</v>
      </c>
      <c r="FA190" t="e">
        <f>AND(#REF!,"AAAAABn2+5w=")</f>
        <v>#REF!</v>
      </c>
      <c r="FB190" t="e">
        <f>AND(#REF!,"AAAAABn2+50=")</f>
        <v>#REF!</v>
      </c>
      <c r="FC190" t="e">
        <f>AND(#REF!,"AAAAABn2+54=")</f>
        <v>#REF!</v>
      </c>
      <c r="FD190" t="e">
        <f>AND(#REF!,"AAAAABn2+58=")</f>
        <v>#REF!</v>
      </c>
      <c r="FE190" t="e">
        <f>AND(#REF!,"AAAAABn2+6A=")</f>
        <v>#REF!</v>
      </c>
      <c r="FF190" t="e">
        <f>AND(#REF!,"AAAAABn2+6E=")</f>
        <v>#REF!</v>
      </c>
      <c r="FG190" t="e">
        <f>AND(#REF!,"AAAAABn2+6I=")</f>
        <v>#REF!</v>
      </c>
      <c r="FH190" t="e">
        <f>AND(#REF!,"AAAAABn2+6M=")</f>
        <v>#REF!</v>
      </c>
      <c r="FI190" t="e">
        <f>AND(#REF!,"AAAAABn2+6Q=")</f>
        <v>#REF!</v>
      </c>
      <c r="FJ190" t="e">
        <f>AND(#REF!,"AAAAABn2+6U=")</f>
        <v>#REF!</v>
      </c>
      <c r="FK190" t="e">
        <f>IF(#REF!,"AAAAABn2+6Y=",0)</f>
        <v>#REF!</v>
      </c>
      <c r="FL190" t="e">
        <f>AND(#REF!,"AAAAABn2+6c=")</f>
        <v>#REF!</v>
      </c>
      <c r="FM190" t="e">
        <f>AND(#REF!,"AAAAABn2+6g=")</f>
        <v>#REF!</v>
      </c>
      <c r="FN190" t="e">
        <f>AND(#REF!,"AAAAABn2+6k=")</f>
        <v>#REF!</v>
      </c>
      <c r="FO190" t="e">
        <f>AND(#REF!,"AAAAABn2+6o=")</f>
        <v>#REF!</v>
      </c>
      <c r="FP190" t="e">
        <f>AND(#REF!,"AAAAABn2+6s=")</f>
        <v>#REF!</v>
      </c>
      <c r="FQ190" t="e">
        <f>AND(#REF!,"AAAAABn2+6w=")</f>
        <v>#REF!</v>
      </c>
      <c r="FR190" t="e">
        <f>AND(#REF!,"AAAAABn2+60=")</f>
        <v>#REF!</v>
      </c>
      <c r="FS190" t="e">
        <f>AND(#REF!,"AAAAABn2+64=")</f>
        <v>#REF!</v>
      </c>
      <c r="FT190" t="e">
        <f>AND(#REF!,"AAAAABn2+68=")</f>
        <v>#REF!</v>
      </c>
      <c r="FU190" t="e">
        <f>AND(#REF!,"AAAAABn2+7A=")</f>
        <v>#REF!</v>
      </c>
      <c r="FV190" t="e">
        <f>IF(#REF!,"AAAAABn2+7E=",0)</f>
        <v>#REF!</v>
      </c>
      <c r="FW190" t="e">
        <f>AND(#REF!,"AAAAABn2+7I=")</f>
        <v>#REF!</v>
      </c>
      <c r="FX190" t="e">
        <f>AND(#REF!,"AAAAABn2+7M=")</f>
        <v>#REF!</v>
      </c>
      <c r="FY190" t="e">
        <f>AND(#REF!,"AAAAABn2+7Q=")</f>
        <v>#REF!</v>
      </c>
      <c r="FZ190" t="e">
        <f>AND(#REF!,"AAAAABn2+7U=")</f>
        <v>#REF!</v>
      </c>
      <c r="GA190" t="e">
        <f>AND(#REF!,"AAAAABn2+7Y=")</f>
        <v>#REF!</v>
      </c>
      <c r="GB190" t="e">
        <f>AND(#REF!,"AAAAABn2+7c=")</f>
        <v>#REF!</v>
      </c>
      <c r="GC190" t="e">
        <f>AND(#REF!,"AAAAABn2+7g=")</f>
        <v>#REF!</v>
      </c>
      <c r="GD190" t="e">
        <f>AND(#REF!,"AAAAABn2+7k=")</f>
        <v>#REF!</v>
      </c>
      <c r="GE190" t="e">
        <f>AND(#REF!,"AAAAABn2+7o=")</f>
        <v>#REF!</v>
      </c>
      <c r="GF190" t="e">
        <f>AND(#REF!,"AAAAABn2+7s=")</f>
        <v>#REF!</v>
      </c>
      <c r="GG190" t="e">
        <f>IF(#REF!,"AAAAABn2+7w=",0)</f>
        <v>#REF!</v>
      </c>
      <c r="GH190" t="e">
        <f>AND(#REF!,"AAAAABn2+70=")</f>
        <v>#REF!</v>
      </c>
      <c r="GI190" t="e">
        <f>AND(#REF!,"AAAAABn2+74=")</f>
        <v>#REF!</v>
      </c>
      <c r="GJ190" t="e">
        <f>AND(#REF!,"AAAAABn2+78=")</f>
        <v>#REF!</v>
      </c>
      <c r="GK190" t="e">
        <f>AND(#REF!,"AAAAABn2+8A=")</f>
        <v>#REF!</v>
      </c>
      <c r="GL190" t="e">
        <f>AND(#REF!,"AAAAABn2+8E=")</f>
        <v>#REF!</v>
      </c>
      <c r="GM190" t="e">
        <f>AND(#REF!,"AAAAABn2+8I=")</f>
        <v>#REF!</v>
      </c>
      <c r="GN190" t="e">
        <f>AND(#REF!,"AAAAABn2+8M=")</f>
        <v>#REF!</v>
      </c>
      <c r="GO190" t="e">
        <f>AND(#REF!,"AAAAABn2+8Q=")</f>
        <v>#REF!</v>
      </c>
      <c r="GP190" t="e">
        <f>AND(#REF!,"AAAAABn2+8U=")</f>
        <v>#REF!</v>
      </c>
      <c r="GQ190" t="e">
        <f>AND(#REF!,"AAAAABn2+8Y=")</f>
        <v>#REF!</v>
      </c>
      <c r="GR190" t="e">
        <f>IF(#REF!,"AAAAABn2+8c=",0)</f>
        <v>#REF!</v>
      </c>
      <c r="GS190" t="e">
        <f>AND(#REF!,"AAAAABn2+8g=")</f>
        <v>#REF!</v>
      </c>
      <c r="GT190" t="e">
        <f>AND(#REF!,"AAAAABn2+8k=")</f>
        <v>#REF!</v>
      </c>
      <c r="GU190" t="e">
        <f>AND(#REF!,"AAAAABn2+8o=")</f>
        <v>#REF!</v>
      </c>
      <c r="GV190" t="e">
        <f>AND(#REF!,"AAAAABn2+8s=")</f>
        <v>#REF!</v>
      </c>
      <c r="GW190" t="e">
        <f>AND(#REF!,"AAAAABn2+8w=")</f>
        <v>#REF!</v>
      </c>
      <c r="GX190" t="e">
        <f>AND(#REF!,"AAAAABn2+80=")</f>
        <v>#REF!</v>
      </c>
      <c r="GY190" t="e">
        <f>AND(#REF!,"AAAAABn2+84=")</f>
        <v>#REF!</v>
      </c>
      <c r="GZ190" t="e">
        <f>AND(#REF!,"AAAAABn2+88=")</f>
        <v>#REF!</v>
      </c>
      <c r="HA190" t="e">
        <f>AND(#REF!,"AAAAABn2+9A=")</f>
        <v>#REF!</v>
      </c>
      <c r="HB190" t="e">
        <f>AND(#REF!,"AAAAABn2+9E=")</f>
        <v>#REF!</v>
      </c>
      <c r="HC190" t="e">
        <f>IF(#REF!,"AAAAABn2+9I=",0)</f>
        <v>#REF!</v>
      </c>
      <c r="HD190" t="e">
        <f>AND(#REF!,"AAAAABn2+9M=")</f>
        <v>#REF!</v>
      </c>
      <c r="HE190" t="e">
        <f>AND(#REF!,"AAAAABn2+9Q=")</f>
        <v>#REF!</v>
      </c>
      <c r="HF190" t="e">
        <f>AND(#REF!,"AAAAABn2+9U=")</f>
        <v>#REF!</v>
      </c>
      <c r="HG190" t="e">
        <f>AND(#REF!,"AAAAABn2+9Y=")</f>
        <v>#REF!</v>
      </c>
      <c r="HH190" t="e">
        <f>AND(#REF!,"AAAAABn2+9c=")</f>
        <v>#REF!</v>
      </c>
      <c r="HI190" t="e">
        <f>AND(#REF!,"AAAAABn2+9g=")</f>
        <v>#REF!</v>
      </c>
      <c r="HJ190" t="e">
        <f>AND(#REF!,"AAAAABn2+9k=")</f>
        <v>#REF!</v>
      </c>
      <c r="HK190" t="e">
        <f>AND(#REF!,"AAAAABn2+9o=")</f>
        <v>#REF!</v>
      </c>
      <c r="HL190" t="e">
        <f>AND(#REF!,"AAAAABn2+9s=")</f>
        <v>#REF!</v>
      </c>
      <c r="HM190" t="e">
        <f>AND(#REF!,"AAAAABn2+9w=")</f>
        <v>#REF!</v>
      </c>
      <c r="HN190" t="e">
        <f>IF(#REF!,"AAAAABn2+90=",0)</f>
        <v>#REF!</v>
      </c>
      <c r="HO190" t="e">
        <f>AND(#REF!,"AAAAABn2+94=")</f>
        <v>#REF!</v>
      </c>
      <c r="HP190" t="e">
        <f>AND(#REF!,"AAAAABn2+98=")</f>
        <v>#REF!</v>
      </c>
      <c r="HQ190" t="e">
        <f>AND(#REF!,"AAAAABn2++A=")</f>
        <v>#REF!</v>
      </c>
      <c r="HR190" t="e">
        <f>AND(#REF!,"AAAAABn2++E=")</f>
        <v>#REF!</v>
      </c>
      <c r="HS190" t="e">
        <f>AND(#REF!,"AAAAABn2++I=")</f>
        <v>#REF!</v>
      </c>
      <c r="HT190" t="e">
        <f>AND(#REF!,"AAAAABn2++M=")</f>
        <v>#REF!</v>
      </c>
      <c r="HU190" t="e">
        <f>AND(#REF!,"AAAAABn2++Q=")</f>
        <v>#REF!</v>
      </c>
      <c r="HV190" t="e">
        <f>AND(#REF!,"AAAAABn2++U=")</f>
        <v>#REF!</v>
      </c>
      <c r="HW190" t="e">
        <f>AND(#REF!,"AAAAABn2++Y=")</f>
        <v>#REF!</v>
      </c>
      <c r="HX190" t="e">
        <f>AND(#REF!,"AAAAABn2++c=")</f>
        <v>#REF!</v>
      </c>
      <c r="HY190" t="e">
        <f>IF(#REF!,"AAAAABn2++g=",0)</f>
        <v>#REF!</v>
      </c>
      <c r="HZ190" t="e">
        <f>AND(#REF!,"AAAAABn2++k=")</f>
        <v>#REF!</v>
      </c>
      <c r="IA190" t="e">
        <f>AND(#REF!,"AAAAABn2++o=")</f>
        <v>#REF!</v>
      </c>
      <c r="IB190" t="e">
        <f>AND(#REF!,"AAAAABn2++s=")</f>
        <v>#REF!</v>
      </c>
      <c r="IC190" t="e">
        <f>AND(#REF!,"AAAAABn2++w=")</f>
        <v>#REF!</v>
      </c>
      <c r="ID190" t="e">
        <f>AND(#REF!,"AAAAABn2++0=")</f>
        <v>#REF!</v>
      </c>
      <c r="IE190" t="e">
        <f>AND(#REF!,"AAAAABn2++4=")</f>
        <v>#REF!</v>
      </c>
      <c r="IF190" t="e">
        <f>AND(#REF!,"AAAAABn2++8=")</f>
        <v>#REF!</v>
      </c>
      <c r="IG190" t="e">
        <f>AND(#REF!,"AAAAABn2+/A=")</f>
        <v>#REF!</v>
      </c>
      <c r="IH190" t="e">
        <f>AND(#REF!,"AAAAABn2+/E=")</f>
        <v>#REF!</v>
      </c>
      <c r="II190" t="e">
        <f>AND(#REF!,"AAAAABn2+/I=")</f>
        <v>#REF!</v>
      </c>
      <c r="IJ190" t="e">
        <f>IF(#REF!,"AAAAABn2+/M=",0)</f>
        <v>#REF!</v>
      </c>
      <c r="IK190" t="e">
        <f>AND(#REF!,"AAAAABn2+/Q=")</f>
        <v>#REF!</v>
      </c>
      <c r="IL190" t="e">
        <f>AND(#REF!,"AAAAABn2+/U=")</f>
        <v>#REF!</v>
      </c>
      <c r="IM190" t="e">
        <f>AND(#REF!,"AAAAABn2+/Y=")</f>
        <v>#REF!</v>
      </c>
      <c r="IN190" t="e">
        <f>AND(#REF!,"AAAAABn2+/c=")</f>
        <v>#REF!</v>
      </c>
      <c r="IO190" t="e">
        <f>AND(#REF!,"AAAAABn2+/g=")</f>
        <v>#REF!</v>
      </c>
      <c r="IP190" t="e">
        <f>AND(#REF!,"AAAAABn2+/k=")</f>
        <v>#REF!</v>
      </c>
      <c r="IQ190" t="e">
        <f>AND(#REF!,"AAAAABn2+/o=")</f>
        <v>#REF!</v>
      </c>
      <c r="IR190" t="e">
        <f>AND(#REF!,"AAAAABn2+/s=")</f>
        <v>#REF!</v>
      </c>
      <c r="IS190" t="e">
        <f>AND(#REF!,"AAAAABn2+/w=")</f>
        <v>#REF!</v>
      </c>
      <c r="IT190" t="e">
        <f>AND(#REF!,"AAAAABn2+/0=")</f>
        <v>#REF!</v>
      </c>
      <c r="IU190" t="e">
        <f>IF(#REF!,"AAAAABn2+/4=",0)</f>
        <v>#REF!</v>
      </c>
      <c r="IV190" t="e">
        <f>AND(#REF!,"AAAAABn2+/8=")</f>
        <v>#REF!</v>
      </c>
    </row>
    <row r="191" spans="1:256" x14ac:dyDescent="0.25">
      <c r="A191" t="e">
        <f>AND(#REF!,"AAAAAHeb2QA=")</f>
        <v>#REF!</v>
      </c>
      <c r="B191" t="e">
        <f>AND(#REF!,"AAAAAHeb2QE=")</f>
        <v>#REF!</v>
      </c>
      <c r="C191" t="e">
        <f>AND(#REF!,"AAAAAHeb2QI=")</f>
        <v>#REF!</v>
      </c>
      <c r="D191" t="e">
        <f>AND(#REF!,"AAAAAHeb2QM=")</f>
        <v>#REF!</v>
      </c>
      <c r="E191" t="e">
        <f>AND(#REF!,"AAAAAHeb2QQ=")</f>
        <v>#REF!</v>
      </c>
      <c r="F191" t="e">
        <f>AND(#REF!,"AAAAAHeb2QU=")</f>
        <v>#REF!</v>
      </c>
      <c r="G191" t="e">
        <f>AND(#REF!,"AAAAAHeb2QY=")</f>
        <v>#REF!</v>
      </c>
      <c r="H191" t="e">
        <f>AND(#REF!,"AAAAAHeb2Qc=")</f>
        <v>#REF!</v>
      </c>
      <c r="I191" t="e">
        <f>AND(#REF!,"AAAAAHeb2Qg=")</f>
        <v>#REF!</v>
      </c>
      <c r="J191" t="e">
        <f>IF(#REF!,"AAAAAHeb2Qk=",0)</f>
        <v>#REF!</v>
      </c>
      <c r="K191" t="e">
        <f>AND(#REF!,"AAAAAHeb2Qo=")</f>
        <v>#REF!</v>
      </c>
      <c r="L191" t="e">
        <f>AND(#REF!,"AAAAAHeb2Qs=")</f>
        <v>#REF!</v>
      </c>
      <c r="M191" t="e">
        <f>AND(#REF!,"AAAAAHeb2Qw=")</f>
        <v>#REF!</v>
      </c>
      <c r="N191" t="e">
        <f>AND(#REF!,"AAAAAHeb2Q0=")</f>
        <v>#REF!</v>
      </c>
      <c r="O191" t="e">
        <f>AND(#REF!,"AAAAAHeb2Q4=")</f>
        <v>#REF!</v>
      </c>
      <c r="P191" t="e">
        <f>AND(#REF!,"AAAAAHeb2Q8=")</f>
        <v>#REF!</v>
      </c>
      <c r="Q191" t="e">
        <f>AND(#REF!,"AAAAAHeb2RA=")</f>
        <v>#REF!</v>
      </c>
      <c r="R191" t="e">
        <f>AND(#REF!,"AAAAAHeb2RE=")</f>
        <v>#REF!</v>
      </c>
      <c r="S191" t="e">
        <f>AND(#REF!,"AAAAAHeb2RI=")</f>
        <v>#REF!</v>
      </c>
      <c r="T191" t="e">
        <f>AND(#REF!,"AAAAAHeb2RM=")</f>
        <v>#REF!</v>
      </c>
      <c r="U191" t="e">
        <f>IF(#REF!,"AAAAAHeb2RQ=",0)</f>
        <v>#REF!</v>
      </c>
      <c r="V191" t="e">
        <f>AND(#REF!,"AAAAAHeb2RU=")</f>
        <v>#REF!</v>
      </c>
      <c r="W191" t="e">
        <f>AND(#REF!,"AAAAAHeb2RY=")</f>
        <v>#REF!</v>
      </c>
      <c r="X191" t="e">
        <f>AND(#REF!,"AAAAAHeb2Rc=")</f>
        <v>#REF!</v>
      </c>
      <c r="Y191" t="e">
        <f>AND(#REF!,"AAAAAHeb2Rg=")</f>
        <v>#REF!</v>
      </c>
      <c r="Z191" t="e">
        <f>AND(#REF!,"AAAAAHeb2Rk=")</f>
        <v>#REF!</v>
      </c>
      <c r="AA191" t="e">
        <f>AND(#REF!,"AAAAAHeb2Ro=")</f>
        <v>#REF!</v>
      </c>
      <c r="AB191" t="e">
        <f>AND(#REF!,"AAAAAHeb2Rs=")</f>
        <v>#REF!</v>
      </c>
      <c r="AC191" t="e">
        <f>AND(#REF!,"AAAAAHeb2Rw=")</f>
        <v>#REF!</v>
      </c>
      <c r="AD191" t="e">
        <f>AND(#REF!,"AAAAAHeb2R0=")</f>
        <v>#REF!</v>
      </c>
      <c r="AE191" t="e">
        <f>AND(#REF!,"AAAAAHeb2R4=")</f>
        <v>#REF!</v>
      </c>
      <c r="AF191" t="e">
        <f>IF(#REF!,"AAAAAHeb2R8=",0)</f>
        <v>#REF!</v>
      </c>
      <c r="AG191" t="e">
        <f>AND(#REF!,"AAAAAHeb2SA=")</f>
        <v>#REF!</v>
      </c>
      <c r="AH191" t="e">
        <f>AND(#REF!,"AAAAAHeb2SE=")</f>
        <v>#REF!</v>
      </c>
      <c r="AI191" t="e">
        <f>AND(#REF!,"AAAAAHeb2SI=")</f>
        <v>#REF!</v>
      </c>
      <c r="AJ191" t="e">
        <f>AND(#REF!,"AAAAAHeb2SM=")</f>
        <v>#REF!</v>
      </c>
      <c r="AK191" t="e">
        <f>AND(#REF!,"AAAAAHeb2SQ=")</f>
        <v>#REF!</v>
      </c>
      <c r="AL191" t="e">
        <f>AND(#REF!,"AAAAAHeb2SU=")</f>
        <v>#REF!</v>
      </c>
      <c r="AM191" t="e">
        <f>AND(#REF!,"AAAAAHeb2SY=")</f>
        <v>#REF!</v>
      </c>
      <c r="AN191" t="e">
        <f>AND(#REF!,"AAAAAHeb2Sc=")</f>
        <v>#REF!</v>
      </c>
      <c r="AO191" t="e">
        <f>AND(#REF!,"AAAAAHeb2Sg=")</f>
        <v>#REF!</v>
      </c>
      <c r="AP191" t="e">
        <f>AND(#REF!,"AAAAAHeb2Sk=")</f>
        <v>#REF!</v>
      </c>
      <c r="AQ191" t="e">
        <f>IF(#REF!,"AAAAAHeb2So=",0)</f>
        <v>#REF!</v>
      </c>
      <c r="AR191" t="e">
        <f>AND(#REF!,"AAAAAHeb2Ss=")</f>
        <v>#REF!</v>
      </c>
      <c r="AS191" t="e">
        <f>AND(#REF!,"AAAAAHeb2Sw=")</f>
        <v>#REF!</v>
      </c>
      <c r="AT191" t="e">
        <f>AND(#REF!,"AAAAAHeb2S0=")</f>
        <v>#REF!</v>
      </c>
      <c r="AU191" t="e">
        <f>AND(#REF!,"AAAAAHeb2S4=")</f>
        <v>#REF!</v>
      </c>
      <c r="AV191" t="e">
        <f>AND(#REF!,"AAAAAHeb2S8=")</f>
        <v>#REF!</v>
      </c>
      <c r="AW191" t="e">
        <f>AND(#REF!,"AAAAAHeb2TA=")</f>
        <v>#REF!</v>
      </c>
      <c r="AX191" t="e">
        <f>AND(#REF!,"AAAAAHeb2TE=")</f>
        <v>#REF!</v>
      </c>
      <c r="AY191" t="e">
        <f>AND(#REF!,"AAAAAHeb2TI=")</f>
        <v>#REF!</v>
      </c>
      <c r="AZ191" t="e">
        <f>AND(#REF!,"AAAAAHeb2TM=")</f>
        <v>#REF!</v>
      </c>
      <c r="BA191" t="e">
        <f>AND(#REF!,"AAAAAHeb2TQ=")</f>
        <v>#REF!</v>
      </c>
      <c r="BB191" t="e">
        <f>IF(#REF!,"AAAAAHeb2TU=",0)</f>
        <v>#REF!</v>
      </c>
      <c r="BC191" t="e">
        <f>AND(#REF!,"AAAAAHeb2TY=")</f>
        <v>#REF!</v>
      </c>
      <c r="BD191" t="e">
        <f>AND(#REF!,"AAAAAHeb2Tc=")</f>
        <v>#REF!</v>
      </c>
      <c r="BE191" t="e">
        <f>AND(#REF!,"AAAAAHeb2Tg=")</f>
        <v>#REF!</v>
      </c>
      <c r="BF191" t="e">
        <f>AND(#REF!,"AAAAAHeb2Tk=")</f>
        <v>#REF!</v>
      </c>
      <c r="BG191" t="e">
        <f>AND(#REF!,"AAAAAHeb2To=")</f>
        <v>#REF!</v>
      </c>
      <c r="BH191" t="e">
        <f>AND(#REF!,"AAAAAHeb2Ts=")</f>
        <v>#REF!</v>
      </c>
      <c r="BI191" t="e">
        <f>AND(#REF!,"AAAAAHeb2Tw=")</f>
        <v>#REF!</v>
      </c>
      <c r="BJ191" t="e">
        <f>AND(#REF!,"AAAAAHeb2T0=")</f>
        <v>#REF!</v>
      </c>
      <c r="BK191" t="e">
        <f>AND(#REF!,"AAAAAHeb2T4=")</f>
        <v>#REF!</v>
      </c>
      <c r="BL191" t="e">
        <f>AND(#REF!,"AAAAAHeb2T8=")</f>
        <v>#REF!</v>
      </c>
      <c r="BM191" t="e">
        <f>IF(#REF!,"AAAAAHeb2UA=",0)</f>
        <v>#REF!</v>
      </c>
      <c r="BN191" t="e">
        <f>AND(#REF!,"AAAAAHeb2UE=")</f>
        <v>#REF!</v>
      </c>
      <c r="BO191" t="e">
        <f>AND(#REF!,"AAAAAHeb2UI=")</f>
        <v>#REF!</v>
      </c>
      <c r="BP191" t="e">
        <f>AND(#REF!,"AAAAAHeb2UM=")</f>
        <v>#REF!</v>
      </c>
      <c r="BQ191" t="e">
        <f>AND(#REF!,"AAAAAHeb2UQ=")</f>
        <v>#REF!</v>
      </c>
      <c r="BR191" t="e">
        <f>AND(#REF!,"AAAAAHeb2UU=")</f>
        <v>#REF!</v>
      </c>
      <c r="BS191" t="e">
        <f>AND(#REF!,"AAAAAHeb2UY=")</f>
        <v>#REF!</v>
      </c>
      <c r="BT191" t="e">
        <f>AND(#REF!,"AAAAAHeb2Uc=")</f>
        <v>#REF!</v>
      </c>
      <c r="BU191" t="e">
        <f>AND(#REF!,"AAAAAHeb2Ug=")</f>
        <v>#REF!</v>
      </c>
      <c r="BV191" t="e">
        <f>AND(#REF!,"AAAAAHeb2Uk=")</f>
        <v>#REF!</v>
      </c>
      <c r="BW191" t="e">
        <f>AND(#REF!,"AAAAAHeb2Uo=")</f>
        <v>#REF!</v>
      </c>
      <c r="BX191" t="e">
        <f>IF(#REF!,"AAAAAHeb2Us=",0)</f>
        <v>#REF!</v>
      </c>
      <c r="BY191" t="e">
        <f>AND(#REF!,"AAAAAHeb2Uw=")</f>
        <v>#REF!</v>
      </c>
      <c r="BZ191" t="e">
        <f>AND(#REF!,"AAAAAHeb2U0=")</f>
        <v>#REF!</v>
      </c>
      <c r="CA191" t="e">
        <f>AND(#REF!,"AAAAAHeb2U4=")</f>
        <v>#REF!</v>
      </c>
      <c r="CB191" t="e">
        <f>AND(#REF!,"AAAAAHeb2U8=")</f>
        <v>#REF!</v>
      </c>
      <c r="CC191" t="e">
        <f>AND(#REF!,"AAAAAHeb2VA=")</f>
        <v>#REF!</v>
      </c>
      <c r="CD191" t="e">
        <f>AND(#REF!,"AAAAAHeb2VE=")</f>
        <v>#REF!</v>
      </c>
      <c r="CE191" t="e">
        <f>AND(#REF!,"AAAAAHeb2VI=")</f>
        <v>#REF!</v>
      </c>
      <c r="CF191" t="e">
        <f>AND(#REF!,"AAAAAHeb2VM=")</f>
        <v>#REF!</v>
      </c>
      <c r="CG191" t="e">
        <f>AND(#REF!,"AAAAAHeb2VQ=")</f>
        <v>#REF!</v>
      </c>
      <c r="CH191" t="e">
        <f>AND(#REF!,"AAAAAHeb2VU=")</f>
        <v>#REF!</v>
      </c>
      <c r="CI191" t="e">
        <f>IF(#REF!,"AAAAAHeb2VY=",0)</f>
        <v>#REF!</v>
      </c>
      <c r="CJ191" t="e">
        <f>AND(#REF!,"AAAAAHeb2Vc=")</f>
        <v>#REF!</v>
      </c>
      <c r="CK191" t="e">
        <f>AND(#REF!,"AAAAAHeb2Vg=")</f>
        <v>#REF!</v>
      </c>
      <c r="CL191" t="e">
        <f>AND(#REF!,"AAAAAHeb2Vk=")</f>
        <v>#REF!</v>
      </c>
      <c r="CM191" t="e">
        <f>AND(#REF!,"AAAAAHeb2Vo=")</f>
        <v>#REF!</v>
      </c>
      <c r="CN191" t="e">
        <f>AND(#REF!,"AAAAAHeb2Vs=")</f>
        <v>#REF!</v>
      </c>
      <c r="CO191" t="e">
        <f>AND(#REF!,"AAAAAHeb2Vw=")</f>
        <v>#REF!</v>
      </c>
      <c r="CP191" t="e">
        <f>AND(#REF!,"AAAAAHeb2V0=")</f>
        <v>#REF!</v>
      </c>
      <c r="CQ191" t="e">
        <f>AND(#REF!,"AAAAAHeb2V4=")</f>
        <v>#REF!</v>
      </c>
      <c r="CR191" t="e">
        <f>AND(#REF!,"AAAAAHeb2V8=")</f>
        <v>#REF!</v>
      </c>
      <c r="CS191" t="e">
        <f>AND(#REF!,"AAAAAHeb2WA=")</f>
        <v>#REF!</v>
      </c>
      <c r="CT191" t="e">
        <f>IF(#REF!,"AAAAAHeb2WE=",0)</f>
        <v>#REF!</v>
      </c>
      <c r="CU191" t="e">
        <f>AND(#REF!,"AAAAAHeb2WI=")</f>
        <v>#REF!</v>
      </c>
      <c r="CV191" t="e">
        <f>AND(#REF!,"AAAAAHeb2WM=")</f>
        <v>#REF!</v>
      </c>
      <c r="CW191" t="e">
        <f>AND(#REF!,"AAAAAHeb2WQ=")</f>
        <v>#REF!</v>
      </c>
      <c r="CX191" t="e">
        <f>AND(#REF!,"AAAAAHeb2WU=")</f>
        <v>#REF!</v>
      </c>
      <c r="CY191" t="e">
        <f>AND(#REF!,"AAAAAHeb2WY=")</f>
        <v>#REF!</v>
      </c>
      <c r="CZ191" t="e">
        <f>AND(#REF!,"AAAAAHeb2Wc=")</f>
        <v>#REF!</v>
      </c>
      <c r="DA191" t="e">
        <f>AND(#REF!,"AAAAAHeb2Wg=")</f>
        <v>#REF!</v>
      </c>
      <c r="DB191" t="e">
        <f>AND(#REF!,"AAAAAHeb2Wk=")</f>
        <v>#REF!</v>
      </c>
      <c r="DC191" t="e">
        <f>AND(#REF!,"AAAAAHeb2Wo=")</f>
        <v>#REF!</v>
      </c>
      <c r="DD191" t="e">
        <f>AND(#REF!,"AAAAAHeb2Ws=")</f>
        <v>#REF!</v>
      </c>
      <c r="DE191" t="e">
        <f>IF(#REF!,"AAAAAHeb2Ww=",0)</f>
        <v>#REF!</v>
      </c>
      <c r="DF191" t="e">
        <f>AND(#REF!,"AAAAAHeb2W0=")</f>
        <v>#REF!</v>
      </c>
      <c r="DG191" t="e">
        <f>AND(#REF!,"AAAAAHeb2W4=")</f>
        <v>#REF!</v>
      </c>
      <c r="DH191" t="e">
        <f>AND(#REF!,"AAAAAHeb2W8=")</f>
        <v>#REF!</v>
      </c>
      <c r="DI191" t="e">
        <f>AND(#REF!,"AAAAAHeb2XA=")</f>
        <v>#REF!</v>
      </c>
      <c r="DJ191" t="e">
        <f>AND(#REF!,"AAAAAHeb2XE=")</f>
        <v>#REF!</v>
      </c>
      <c r="DK191" t="e">
        <f>AND(#REF!,"AAAAAHeb2XI=")</f>
        <v>#REF!</v>
      </c>
      <c r="DL191" t="e">
        <f>AND(#REF!,"AAAAAHeb2XM=")</f>
        <v>#REF!</v>
      </c>
      <c r="DM191" t="e">
        <f>AND(#REF!,"AAAAAHeb2XQ=")</f>
        <v>#REF!</v>
      </c>
      <c r="DN191" t="e">
        <f>AND(#REF!,"AAAAAHeb2XU=")</f>
        <v>#REF!</v>
      </c>
      <c r="DO191" t="e">
        <f>AND(#REF!,"AAAAAHeb2XY=")</f>
        <v>#REF!</v>
      </c>
      <c r="DP191" t="e">
        <f>IF(#REF!,"AAAAAHeb2Xc=",0)</f>
        <v>#REF!</v>
      </c>
      <c r="DQ191" t="e">
        <f>AND(#REF!,"AAAAAHeb2Xg=")</f>
        <v>#REF!</v>
      </c>
      <c r="DR191" t="e">
        <f>AND(#REF!,"AAAAAHeb2Xk=")</f>
        <v>#REF!</v>
      </c>
      <c r="DS191" t="e">
        <f>AND(#REF!,"AAAAAHeb2Xo=")</f>
        <v>#REF!</v>
      </c>
      <c r="DT191" t="e">
        <f>AND(#REF!,"AAAAAHeb2Xs=")</f>
        <v>#REF!</v>
      </c>
      <c r="DU191" t="e">
        <f>AND(#REF!,"AAAAAHeb2Xw=")</f>
        <v>#REF!</v>
      </c>
      <c r="DV191" t="e">
        <f>AND(#REF!,"AAAAAHeb2X0=")</f>
        <v>#REF!</v>
      </c>
      <c r="DW191" t="e">
        <f>AND(#REF!,"AAAAAHeb2X4=")</f>
        <v>#REF!</v>
      </c>
      <c r="DX191" t="e">
        <f>AND(#REF!,"AAAAAHeb2X8=")</f>
        <v>#REF!</v>
      </c>
      <c r="DY191" t="e">
        <f>AND(#REF!,"AAAAAHeb2YA=")</f>
        <v>#REF!</v>
      </c>
      <c r="DZ191" t="e">
        <f>AND(#REF!,"AAAAAHeb2YE=")</f>
        <v>#REF!</v>
      </c>
      <c r="EA191" t="e">
        <f>IF(#REF!,"AAAAAHeb2YI=",0)</f>
        <v>#REF!</v>
      </c>
      <c r="EB191" t="e">
        <f>AND(#REF!,"AAAAAHeb2YM=")</f>
        <v>#REF!</v>
      </c>
      <c r="EC191" t="e">
        <f>AND(#REF!,"AAAAAHeb2YQ=")</f>
        <v>#REF!</v>
      </c>
      <c r="ED191" t="e">
        <f>AND(#REF!,"AAAAAHeb2YU=")</f>
        <v>#REF!</v>
      </c>
      <c r="EE191" t="e">
        <f>AND(#REF!,"AAAAAHeb2YY=")</f>
        <v>#REF!</v>
      </c>
      <c r="EF191" t="e">
        <f>AND(#REF!,"AAAAAHeb2Yc=")</f>
        <v>#REF!</v>
      </c>
      <c r="EG191" t="e">
        <f>AND(#REF!,"AAAAAHeb2Yg=")</f>
        <v>#REF!</v>
      </c>
      <c r="EH191" t="e">
        <f>AND(#REF!,"AAAAAHeb2Yk=")</f>
        <v>#REF!</v>
      </c>
      <c r="EI191" t="e">
        <f>AND(#REF!,"AAAAAHeb2Yo=")</f>
        <v>#REF!</v>
      </c>
      <c r="EJ191" t="e">
        <f>AND(#REF!,"AAAAAHeb2Ys=")</f>
        <v>#REF!</v>
      </c>
      <c r="EK191" t="e">
        <f>AND(#REF!,"AAAAAHeb2Yw=")</f>
        <v>#REF!</v>
      </c>
      <c r="EL191" t="e">
        <f>IF(#REF!,"AAAAAHeb2Y0=",0)</f>
        <v>#REF!</v>
      </c>
      <c r="EM191" t="e">
        <f>AND(#REF!,"AAAAAHeb2Y4=")</f>
        <v>#REF!</v>
      </c>
      <c r="EN191" t="e">
        <f>AND(#REF!,"AAAAAHeb2Y8=")</f>
        <v>#REF!</v>
      </c>
      <c r="EO191" t="e">
        <f>AND(#REF!,"AAAAAHeb2ZA=")</f>
        <v>#REF!</v>
      </c>
      <c r="EP191" t="e">
        <f>AND(#REF!,"AAAAAHeb2ZE=")</f>
        <v>#REF!</v>
      </c>
      <c r="EQ191" t="e">
        <f>AND(#REF!,"AAAAAHeb2ZI=")</f>
        <v>#REF!</v>
      </c>
      <c r="ER191" t="e">
        <f>AND(#REF!,"AAAAAHeb2ZM=")</f>
        <v>#REF!</v>
      </c>
      <c r="ES191" t="e">
        <f>AND(#REF!,"AAAAAHeb2ZQ=")</f>
        <v>#REF!</v>
      </c>
      <c r="ET191" t="e">
        <f>AND(#REF!,"AAAAAHeb2ZU=")</f>
        <v>#REF!</v>
      </c>
      <c r="EU191" t="e">
        <f>AND(#REF!,"AAAAAHeb2ZY=")</f>
        <v>#REF!</v>
      </c>
      <c r="EV191" t="e">
        <f>AND(#REF!,"AAAAAHeb2Zc=")</f>
        <v>#REF!</v>
      </c>
      <c r="EW191" t="e">
        <f>IF(#REF!,"AAAAAHeb2Zg=",0)</f>
        <v>#REF!</v>
      </c>
      <c r="EX191" t="e">
        <f>AND(#REF!,"AAAAAHeb2Zk=")</f>
        <v>#REF!</v>
      </c>
      <c r="EY191" t="e">
        <f>AND(#REF!,"AAAAAHeb2Zo=")</f>
        <v>#REF!</v>
      </c>
      <c r="EZ191" t="e">
        <f>AND(#REF!,"AAAAAHeb2Zs=")</f>
        <v>#REF!</v>
      </c>
      <c r="FA191" t="e">
        <f>AND(#REF!,"AAAAAHeb2Zw=")</f>
        <v>#REF!</v>
      </c>
      <c r="FB191" t="e">
        <f>AND(#REF!,"AAAAAHeb2Z0=")</f>
        <v>#REF!</v>
      </c>
      <c r="FC191" t="e">
        <f>AND(#REF!,"AAAAAHeb2Z4=")</f>
        <v>#REF!</v>
      </c>
      <c r="FD191" t="e">
        <f>AND(#REF!,"AAAAAHeb2Z8=")</f>
        <v>#REF!</v>
      </c>
      <c r="FE191" t="e">
        <f>AND(#REF!,"AAAAAHeb2aA=")</f>
        <v>#REF!</v>
      </c>
      <c r="FF191" t="e">
        <f>AND(#REF!,"AAAAAHeb2aE=")</f>
        <v>#REF!</v>
      </c>
      <c r="FG191" t="e">
        <f>AND(#REF!,"AAAAAHeb2aI=")</f>
        <v>#REF!</v>
      </c>
      <c r="FH191" t="e">
        <f>IF(#REF!,"AAAAAHeb2aM=",0)</f>
        <v>#REF!</v>
      </c>
      <c r="FI191" t="e">
        <f>AND(#REF!,"AAAAAHeb2aQ=")</f>
        <v>#REF!</v>
      </c>
      <c r="FJ191" t="e">
        <f>AND(#REF!,"AAAAAHeb2aU=")</f>
        <v>#REF!</v>
      </c>
      <c r="FK191" t="e">
        <f>AND(#REF!,"AAAAAHeb2aY=")</f>
        <v>#REF!</v>
      </c>
      <c r="FL191" t="e">
        <f>AND(#REF!,"AAAAAHeb2ac=")</f>
        <v>#REF!</v>
      </c>
      <c r="FM191" t="e">
        <f>AND(#REF!,"AAAAAHeb2ag=")</f>
        <v>#REF!</v>
      </c>
      <c r="FN191" t="e">
        <f>AND(#REF!,"AAAAAHeb2ak=")</f>
        <v>#REF!</v>
      </c>
      <c r="FO191" t="e">
        <f>AND(#REF!,"AAAAAHeb2ao=")</f>
        <v>#REF!</v>
      </c>
      <c r="FP191" t="e">
        <f>AND(#REF!,"AAAAAHeb2as=")</f>
        <v>#REF!</v>
      </c>
      <c r="FQ191" t="e">
        <f>AND(#REF!,"AAAAAHeb2aw=")</f>
        <v>#REF!</v>
      </c>
      <c r="FR191" t="e">
        <f>AND(#REF!,"AAAAAHeb2a0=")</f>
        <v>#REF!</v>
      </c>
      <c r="FS191" t="e">
        <f>IF(#REF!,"AAAAAHeb2a4=",0)</f>
        <v>#REF!</v>
      </c>
      <c r="FT191" t="e">
        <f>AND(#REF!,"AAAAAHeb2a8=")</f>
        <v>#REF!</v>
      </c>
      <c r="FU191" t="e">
        <f>AND(#REF!,"AAAAAHeb2bA=")</f>
        <v>#REF!</v>
      </c>
      <c r="FV191" t="e">
        <f>AND(#REF!,"AAAAAHeb2bE=")</f>
        <v>#REF!</v>
      </c>
      <c r="FW191" t="e">
        <f>AND(#REF!,"AAAAAHeb2bI=")</f>
        <v>#REF!</v>
      </c>
      <c r="FX191" t="e">
        <f>AND(#REF!,"AAAAAHeb2bM=")</f>
        <v>#REF!</v>
      </c>
      <c r="FY191" t="e">
        <f>AND(#REF!,"AAAAAHeb2bQ=")</f>
        <v>#REF!</v>
      </c>
      <c r="FZ191" t="e">
        <f>AND(#REF!,"AAAAAHeb2bU=")</f>
        <v>#REF!</v>
      </c>
      <c r="GA191" t="e">
        <f>AND(#REF!,"AAAAAHeb2bY=")</f>
        <v>#REF!</v>
      </c>
      <c r="GB191" t="e">
        <f>AND(#REF!,"AAAAAHeb2bc=")</f>
        <v>#REF!</v>
      </c>
      <c r="GC191" t="e">
        <f>AND(#REF!,"AAAAAHeb2bg=")</f>
        <v>#REF!</v>
      </c>
      <c r="GD191" t="e">
        <f>IF(#REF!,"AAAAAHeb2bk=",0)</f>
        <v>#REF!</v>
      </c>
      <c r="GE191" t="e">
        <f>AND(#REF!,"AAAAAHeb2bo=")</f>
        <v>#REF!</v>
      </c>
      <c r="GF191" t="e">
        <f>AND(#REF!,"AAAAAHeb2bs=")</f>
        <v>#REF!</v>
      </c>
      <c r="GG191" t="e">
        <f>AND(#REF!,"AAAAAHeb2bw=")</f>
        <v>#REF!</v>
      </c>
      <c r="GH191" t="e">
        <f>AND(#REF!,"AAAAAHeb2b0=")</f>
        <v>#REF!</v>
      </c>
      <c r="GI191" t="e">
        <f>AND(#REF!,"AAAAAHeb2b4=")</f>
        <v>#REF!</v>
      </c>
      <c r="GJ191" t="e">
        <f>AND(#REF!,"AAAAAHeb2b8=")</f>
        <v>#REF!</v>
      </c>
      <c r="GK191" t="e">
        <f>AND(#REF!,"AAAAAHeb2cA=")</f>
        <v>#REF!</v>
      </c>
      <c r="GL191" t="e">
        <f>AND(#REF!,"AAAAAHeb2cE=")</f>
        <v>#REF!</v>
      </c>
      <c r="GM191" t="e">
        <f>AND(#REF!,"AAAAAHeb2cI=")</f>
        <v>#REF!</v>
      </c>
      <c r="GN191" t="e">
        <f>AND(#REF!,"AAAAAHeb2cM=")</f>
        <v>#REF!</v>
      </c>
      <c r="GO191" t="e">
        <f>IF(#REF!,"AAAAAHeb2cQ=",0)</f>
        <v>#REF!</v>
      </c>
      <c r="GP191" t="e">
        <f>AND(#REF!,"AAAAAHeb2cU=")</f>
        <v>#REF!</v>
      </c>
      <c r="GQ191" t="e">
        <f>AND(#REF!,"AAAAAHeb2cY=")</f>
        <v>#REF!</v>
      </c>
      <c r="GR191" t="e">
        <f>AND(#REF!,"AAAAAHeb2cc=")</f>
        <v>#REF!</v>
      </c>
      <c r="GS191" t="e">
        <f>AND(#REF!,"AAAAAHeb2cg=")</f>
        <v>#REF!</v>
      </c>
      <c r="GT191" t="e">
        <f>AND(#REF!,"AAAAAHeb2ck=")</f>
        <v>#REF!</v>
      </c>
      <c r="GU191" t="e">
        <f>AND(#REF!,"AAAAAHeb2co=")</f>
        <v>#REF!</v>
      </c>
      <c r="GV191" t="e">
        <f>AND(#REF!,"AAAAAHeb2cs=")</f>
        <v>#REF!</v>
      </c>
      <c r="GW191" t="e">
        <f>AND(#REF!,"AAAAAHeb2cw=")</f>
        <v>#REF!</v>
      </c>
      <c r="GX191" t="e">
        <f>AND(#REF!,"AAAAAHeb2c0=")</f>
        <v>#REF!</v>
      </c>
      <c r="GY191" t="e">
        <f>AND(#REF!,"AAAAAHeb2c4=")</f>
        <v>#REF!</v>
      </c>
      <c r="GZ191" t="e">
        <f>IF(#REF!,"AAAAAHeb2c8=",0)</f>
        <v>#REF!</v>
      </c>
      <c r="HA191" t="e">
        <f>AND(#REF!,"AAAAAHeb2dA=")</f>
        <v>#REF!</v>
      </c>
      <c r="HB191" t="e">
        <f>AND(#REF!,"AAAAAHeb2dE=")</f>
        <v>#REF!</v>
      </c>
      <c r="HC191" t="e">
        <f>AND(#REF!,"AAAAAHeb2dI=")</f>
        <v>#REF!</v>
      </c>
      <c r="HD191" t="e">
        <f>AND(#REF!,"AAAAAHeb2dM=")</f>
        <v>#REF!</v>
      </c>
      <c r="HE191" t="e">
        <f>AND(#REF!,"AAAAAHeb2dQ=")</f>
        <v>#REF!</v>
      </c>
      <c r="HF191" t="e">
        <f>AND(#REF!,"AAAAAHeb2dU=")</f>
        <v>#REF!</v>
      </c>
      <c r="HG191" t="e">
        <f>AND(#REF!,"AAAAAHeb2dY=")</f>
        <v>#REF!</v>
      </c>
      <c r="HH191" t="e">
        <f>AND(#REF!,"AAAAAHeb2dc=")</f>
        <v>#REF!</v>
      </c>
      <c r="HI191" t="e">
        <f>AND(#REF!,"AAAAAHeb2dg=")</f>
        <v>#REF!</v>
      </c>
      <c r="HJ191" t="e">
        <f>AND(#REF!,"AAAAAHeb2dk=")</f>
        <v>#REF!</v>
      </c>
      <c r="HK191" t="e">
        <f>IF(#REF!,"AAAAAHeb2do=",0)</f>
        <v>#REF!</v>
      </c>
      <c r="HL191" t="e">
        <f>AND(#REF!,"AAAAAHeb2ds=")</f>
        <v>#REF!</v>
      </c>
      <c r="HM191" t="e">
        <f>AND(#REF!,"AAAAAHeb2dw=")</f>
        <v>#REF!</v>
      </c>
      <c r="HN191" t="e">
        <f>AND(#REF!,"AAAAAHeb2d0=")</f>
        <v>#REF!</v>
      </c>
      <c r="HO191" t="e">
        <f>AND(#REF!,"AAAAAHeb2d4=")</f>
        <v>#REF!</v>
      </c>
      <c r="HP191" t="e">
        <f>AND(#REF!,"AAAAAHeb2d8=")</f>
        <v>#REF!</v>
      </c>
      <c r="HQ191" t="e">
        <f>AND(#REF!,"AAAAAHeb2eA=")</f>
        <v>#REF!</v>
      </c>
      <c r="HR191" t="e">
        <f>AND(#REF!,"AAAAAHeb2eE=")</f>
        <v>#REF!</v>
      </c>
      <c r="HS191" t="e">
        <f>AND(#REF!,"AAAAAHeb2eI=")</f>
        <v>#REF!</v>
      </c>
      <c r="HT191" t="e">
        <f>AND(#REF!,"AAAAAHeb2eM=")</f>
        <v>#REF!</v>
      </c>
      <c r="HU191" t="e">
        <f>AND(#REF!,"AAAAAHeb2eQ=")</f>
        <v>#REF!</v>
      </c>
      <c r="HV191" t="e">
        <f>IF(#REF!,"AAAAAHeb2eU=",0)</f>
        <v>#REF!</v>
      </c>
      <c r="HW191" t="e">
        <f>AND(#REF!,"AAAAAHeb2eY=")</f>
        <v>#REF!</v>
      </c>
      <c r="HX191" t="e">
        <f>AND(#REF!,"AAAAAHeb2ec=")</f>
        <v>#REF!</v>
      </c>
      <c r="HY191" t="e">
        <f>AND(#REF!,"AAAAAHeb2eg=")</f>
        <v>#REF!</v>
      </c>
      <c r="HZ191" t="e">
        <f>AND(#REF!,"AAAAAHeb2ek=")</f>
        <v>#REF!</v>
      </c>
      <c r="IA191" t="e">
        <f>AND(#REF!,"AAAAAHeb2eo=")</f>
        <v>#REF!</v>
      </c>
      <c r="IB191" t="e">
        <f>AND(#REF!,"AAAAAHeb2es=")</f>
        <v>#REF!</v>
      </c>
      <c r="IC191" t="e">
        <f>AND(#REF!,"AAAAAHeb2ew=")</f>
        <v>#REF!</v>
      </c>
      <c r="ID191" t="e">
        <f>AND(#REF!,"AAAAAHeb2e0=")</f>
        <v>#REF!</v>
      </c>
      <c r="IE191" t="e">
        <f>AND(#REF!,"AAAAAHeb2e4=")</f>
        <v>#REF!</v>
      </c>
      <c r="IF191" t="e">
        <f>AND(#REF!,"AAAAAHeb2e8=")</f>
        <v>#REF!</v>
      </c>
      <c r="IG191" t="e">
        <f>IF(#REF!,"AAAAAHeb2fA=",0)</f>
        <v>#REF!</v>
      </c>
      <c r="IH191" t="e">
        <f>AND(#REF!,"AAAAAHeb2fE=")</f>
        <v>#REF!</v>
      </c>
      <c r="II191" t="e">
        <f>AND(#REF!,"AAAAAHeb2fI=")</f>
        <v>#REF!</v>
      </c>
      <c r="IJ191" t="e">
        <f>AND(#REF!,"AAAAAHeb2fM=")</f>
        <v>#REF!</v>
      </c>
      <c r="IK191" t="e">
        <f>AND(#REF!,"AAAAAHeb2fQ=")</f>
        <v>#REF!</v>
      </c>
      <c r="IL191" t="e">
        <f>AND(#REF!,"AAAAAHeb2fU=")</f>
        <v>#REF!</v>
      </c>
      <c r="IM191" t="e">
        <f>AND(#REF!,"AAAAAHeb2fY=")</f>
        <v>#REF!</v>
      </c>
      <c r="IN191" t="e">
        <f>AND(#REF!,"AAAAAHeb2fc=")</f>
        <v>#REF!</v>
      </c>
      <c r="IO191" t="e">
        <f>AND(#REF!,"AAAAAHeb2fg=")</f>
        <v>#REF!</v>
      </c>
      <c r="IP191" t="e">
        <f>AND(#REF!,"AAAAAHeb2fk=")</f>
        <v>#REF!</v>
      </c>
      <c r="IQ191" t="e">
        <f>AND(#REF!,"AAAAAHeb2fo=")</f>
        <v>#REF!</v>
      </c>
      <c r="IR191" t="e">
        <f>IF(#REF!,"AAAAAHeb2fs=",0)</f>
        <v>#REF!</v>
      </c>
      <c r="IS191" t="e">
        <f>AND(#REF!,"AAAAAHeb2fw=")</f>
        <v>#REF!</v>
      </c>
      <c r="IT191" t="e">
        <f>AND(#REF!,"AAAAAHeb2f0=")</f>
        <v>#REF!</v>
      </c>
      <c r="IU191" t="e">
        <f>AND(#REF!,"AAAAAHeb2f4=")</f>
        <v>#REF!</v>
      </c>
      <c r="IV191" t="e">
        <f>AND(#REF!,"AAAAAHeb2f8=")</f>
        <v>#REF!</v>
      </c>
    </row>
    <row r="192" spans="1:256" x14ac:dyDescent="0.25">
      <c r="A192" t="e">
        <f>AND(#REF!,"AAAAAC5/2wA=")</f>
        <v>#REF!</v>
      </c>
      <c r="B192" t="e">
        <f>AND(#REF!,"AAAAAC5/2wE=")</f>
        <v>#REF!</v>
      </c>
      <c r="C192" t="e">
        <f>AND(#REF!,"AAAAAC5/2wI=")</f>
        <v>#REF!</v>
      </c>
      <c r="D192" t="e">
        <f>AND(#REF!,"AAAAAC5/2wM=")</f>
        <v>#REF!</v>
      </c>
      <c r="E192" t="e">
        <f>AND(#REF!,"AAAAAC5/2wQ=")</f>
        <v>#REF!</v>
      </c>
      <c r="F192" t="e">
        <f>AND(#REF!,"AAAAAC5/2wU=")</f>
        <v>#REF!</v>
      </c>
      <c r="G192" t="e">
        <f>IF(#REF!,"AAAAAC5/2wY=",0)</f>
        <v>#REF!</v>
      </c>
      <c r="H192" t="e">
        <f>AND(#REF!,"AAAAAC5/2wc=")</f>
        <v>#REF!</v>
      </c>
      <c r="I192" t="e">
        <f>AND(#REF!,"AAAAAC5/2wg=")</f>
        <v>#REF!</v>
      </c>
      <c r="J192" t="e">
        <f>AND(#REF!,"AAAAAC5/2wk=")</f>
        <v>#REF!</v>
      </c>
      <c r="K192" t="e">
        <f>AND(#REF!,"AAAAAC5/2wo=")</f>
        <v>#REF!</v>
      </c>
      <c r="L192" t="e">
        <f>AND(#REF!,"AAAAAC5/2ws=")</f>
        <v>#REF!</v>
      </c>
      <c r="M192" t="e">
        <f>AND(#REF!,"AAAAAC5/2ww=")</f>
        <v>#REF!</v>
      </c>
      <c r="N192" t="e">
        <f>AND(#REF!,"AAAAAC5/2w0=")</f>
        <v>#REF!</v>
      </c>
      <c r="O192" t="e">
        <f>AND(#REF!,"AAAAAC5/2w4=")</f>
        <v>#REF!</v>
      </c>
      <c r="P192" t="e">
        <f>AND(#REF!,"AAAAAC5/2w8=")</f>
        <v>#REF!</v>
      </c>
      <c r="Q192" t="e">
        <f>AND(#REF!,"AAAAAC5/2xA=")</f>
        <v>#REF!</v>
      </c>
      <c r="R192" t="e">
        <f>IF(#REF!,"AAAAAC5/2xE=",0)</f>
        <v>#REF!</v>
      </c>
      <c r="S192" t="e">
        <f>AND(#REF!,"AAAAAC5/2xI=")</f>
        <v>#REF!</v>
      </c>
      <c r="T192" t="e">
        <f>AND(#REF!,"AAAAAC5/2xM=")</f>
        <v>#REF!</v>
      </c>
      <c r="U192" t="e">
        <f>AND(#REF!,"AAAAAC5/2xQ=")</f>
        <v>#REF!</v>
      </c>
      <c r="V192" t="e">
        <f>AND(#REF!,"AAAAAC5/2xU=")</f>
        <v>#REF!</v>
      </c>
      <c r="W192" t="e">
        <f>AND(#REF!,"AAAAAC5/2xY=")</f>
        <v>#REF!</v>
      </c>
      <c r="X192" t="e">
        <f>AND(#REF!,"AAAAAC5/2xc=")</f>
        <v>#REF!</v>
      </c>
      <c r="Y192" t="e">
        <f>AND(#REF!,"AAAAAC5/2xg=")</f>
        <v>#REF!</v>
      </c>
      <c r="Z192" t="e">
        <f>AND(#REF!,"AAAAAC5/2xk=")</f>
        <v>#REF!</v>
      </c>
      <c r="AA192" t="e">
        <f>AND(#REF!,"AAAAAC5/2xo=")</f>
        <v>#REF!</v>
      </c>
      <c r="AB192" t="e">
        <f>AND(#REF!,"AAAAAC5/2xs=")</f>
        <v>#REF!</v>
      </c>
      <c r="AC192" t="e">
        <f>IF(#REF!,"AAAAAC5/2xw=",0)</f>
        <v>#REF!</v>
      </c>
      <c r="AD192" t="e">
        <f>AND(#REF!,"AAAAAC5/2x0=")</f>
        <v>#REF!</v>
      </c>
      <c r="AE192" t="e">
        <f>AND(#REF!,"AAAAAC5/2x4=")</f>
        <v>#REF!</v>
      </c>
      <c r="AF192" t="e">
        <f>AND(#REF!,"AAAAAC5/2x8=")</f>
        <v>#REF!</v>
      </c>
      <c r="AG192" t="e">
        <f>AND(#REF!,"AAAAAC5/2yA=")</f>
        <v>#REF!</v>
      </c>
      <c r="AH192" t="e">
        <f>AND(#REF!,"AAAAAC5/2yE=")</f>
        <v>#REF!</v>
      </c>
      <c r="AI192" t="e">
        <f>AND(#REF!,"AAAAAC5/2yI=")</f>
        <v>#REF!</v>
      </c>
      <c r="AJ192" t="e">
        <f>AND(#REF!,"AAAAAC5/2yM=")</f>
        <v>#REF!</v>
      </c>
      <c r="AK192" t="e">
        <f>AND(#REF!,"AAAAAC5/2yQ=")</f>
        <v>#REF!</v>
      </c>
      <c r="AL192" t="e">
        <f>AND(#REF!,"AAAAAC5/2yU=")</f>
        <v>#REF!</v>
      </c>
      <c r="AM192" t="e">
        <f>AND(#REF!,"AAAAAC5/2yY=")</f>
        <v>#REF!</v>
      </c>
      <c r="AN192" t="e">
        <f>IF(#REF!,"AAAAAC5/2yc=",0)</f>
        <v>#REF!</v>
      </c>
      <c r="AO192" t="e">
        <f>AND(#REF!,"AAAAAC5/2yg=")</f>
        <v>#REF!</v>
      </c>
      <c r="AP192" t="e">
        <f>AND(#REF!,"AAAAAC5/2yk=")</f>
        <v>#REF!</v>
      </c>
      <c r="AQ192" t="e">
        <f>AND(#REF!,"AAAAAC5/2yo=")</f>
        <v>#REF!</v>
      </c>
      <c r="AR192" t="e">
        <f>AND(#REF!,"AAAAAC5/2ys=")</f>
        <v>#REF!</v>
      </c>
      <c r="AS192" t="e">
        <f>AND(#REF!,"AAAAAC5/2yw=")</f>
        <v>#REF!</v>
      </c>
      <c r="AT192" t="e">
        <f>AND(#REF!,"AAAAAC5/2y0=")</f>
        <v>#REF!</v>
      </c>
      <c r="AU192" t="e">
        <f>AND(#REF!,"AAAAAC5/2y4=")</f>
        <v>#REF!</v>
      </c>
      <c r="AV192" t="e">
        <f>AND(#REF!,"AAAAAC5/2y8=")</f>
        <v>#REF!</v>
      </c>
      <c r="AW192" t="e">
        <f>AND(#REF!,"AAAAAC5/2zA=")</f>
        <v>#REF!</v>
      </c>
      <c r="AX192" t="e">
        <f>AND(#REF!,"AAAAAC5/2zE=")</f>
        <v>#REF!</v>
      </c>
      <c r="AY192" t="e">
        <f>IF(#REF!,"AAAAAC5/2zI=",0)</f>
        <v>#REF!</v>
      </c>
      <c r="AZ192" t="e">
        <f>AND(#REF!,"AAAAAC5/2zM=")</f>
        <v>#REF!</v>
      </c>
      <c r="BA192" t="e">
        <f>AND(#REF!,"AAAAAC5/2zQ=")</f>
        <v>#REF!</v>
      </c>
      <c r="BB192" t="e">
        <f>AND(#REF!,"AAAAAC5/2zU=")</f>
        <v>#REF!</v>
      </c>
      <c r="BC192" t="e">
        <f>AND(#REF!,"AAAAAC5/2zY=")</f>
        <v>#REF!</v>
      </c>
      <c r="BD192" t="e">
        <f>AND(#REF!,"AAAAAC5/2zc=")</f>
        <v>#REF!</v>
      </c>
      <c r="BE192" t="e">
        <f>AND(#REF!,"AAAAAC5/2zg=")</f>
        <v>#REF!</v>
      </c>
      <c r="BF192" t="e">
        <f>AND(#REF!,"AAAAAC5/2zk=")</f>
        <v>#REF!</v>
      </c>
      <c r="BG192" t="e">
        <f>AND(#REF!,"AAAAAC5/2zo=")</f>
        <v>#REF!</v>
      </c>
      <c r="BH192" t="e">
        <f>AND(#REF!,"AAAAAC5/2zs=")</f>
        <v>#REF!</v>
      </c>
      <c r="BI192" t="e">
        <f>AND(#REF!,"AAAAAC5/2zw=")</f>
        <v>#REF!</v>
      </c>
      <c r="BJ192" t="e">
        <f>IF(#REF!,"AAAAAC5/2z0=",0)</f>
        <v>#REF!</v>
      </c>
      <c r="BK192" t="e">
        <f>AND(#REF!,"AAAAAC5/2z4=")</f>
        <v>#REF!</v>
      </c>
      <c r="BL192" t="e">
        <f>AND(#REF!,"AAAAAC5/2z8=")</f>
        <v>#REF!</v>
      </c>
      <c r="BM192" t="e">
        <f>AND(#REF!,"AAAAAC5/20A=")</f>
        <v>#REF!</v>
      </c>
      <c r="BN192" t="e">
        <f>AND(#REF!,"AAAAAC5/20E=")</f>
        <v>#REF!</v>
      </c>
      <c r="BO192" t="e">
        <f>AND(#REF!,"AAAAAC5/20I=")</f>
        <v>#REF!</v>
      </c>
      <c r="BP192" t="e">
        <f>AND(#REF!,"AAAAAC5/20M=")</f>
        <v>#REF!</v>
      </c>
      <c r="BQ192" t="e">
        <f>AND(#REF!,"AAAAAC5/20Q=")</f>
        <v>#REF!</v>
      </c>
      <c r="BR192" t="e">
        <f>AND(#REF!,"AAAAAC5/20U=")</f>
        <v>#REF!</v>
      </c>
      <c r="BS192" t="e">
        <f>AND(#REF!,"AAAAAC5/20Y=")</f>
        <v>#REF!</v>
      </c>
      <c r="BT192" t="e">
        <f>AND(#REF!,"AAAAAC5/20c=")</f>
        <v>#REF!</v>
      </c>
      <c r="BU192" t="e">
        <f>IF(#REF!,"AAAAAC5/20g=",0)</f>
        <v>#REF!</v>
      </c>
      <c r="BV192" t="e">
        <f>AND(#REF!,"AAAAAC5/20k=")</f>
        <v>#REF!</v>
      </c>
      <c r="BW192" t="e">
        <f>AND(#REF!,"AAAAAC5/20o=")</f>
        <v>#REF!</v>
      </c>
      <c r="BX192" t="e">
        <f>AND(#REF!,"AAAAAC5/20s=")</f>
        <v>#REF!</v>
      </c>
      <c r="BY192" t="e">
        <f>AND(#REF!,"AAAAAC5/20w=")</f>
        <v>#REF!</v>
      </c>
      <c r="BZ192" t="e">
        <f>AND(#REF!,"AAAAAC5/200=")</f>
        <v>#REF!</v>
      </c>
      <c r="CA192" t="e">
        <f>AND(#REF!,"AAAAAC5/204=")</f>
        <v>#REF!</v>
      </c>
      <c r="CB192" t="e">
        <f>AND(#REF!,"AAAAAC5/208=")</f>
        <v>#REF!</v>
      </c>
      <c r="CC192" t="e">
        <f>AND(#REF!,"AAAAAC5/21A=")</f>
        <v>#REF!</v>
      </c>
      <c r="CD192" t="e">
        <f>AND(#REF!,"AAAAAC5/21E=")</f>
        <v>#REF!</v>
      </c>
      <c r="CE192" t="e">
        <f>AND(#REF!,"AAAAAC5/21I=")</f>
        <v>#REF!</v>
      </c>
      <c r="CF192" t="e">
        <f>IF(#REF!,"AAAAAC5/21M=",0)</f>
        <v>#REF!</v>
      </c>
      <c r="CG192" t="e">
        <f>AND(#REF!,"AAAAAC5/21Q=")</f>
        <v>#REF!</v>
      </c>
      <c r="CH192" t="e">
        <f>AND(#REF!,"AAAAAC5/21U=")</f>
        <v>#REF!</v>
      </c>
      <c r="CI192" t="e">
        <f>AND(#REF!,"AAAAAC5/21Y=")</f>
        <v>#REF!</v>
      </c>
      <c r="CJ192" t="e">
        <f>AND(#REF!,"AAAAAC5/21c=")</f>
        <v>#REF!</v>
      </c>
      <c r="CK192" t="e">
        <f>AND(#REF!,"AAAAAC5/21g=")</f>
        <v>#REF!</v>
      </c>
      <c r="CL192" t="e">
        <f>AND(#REF!,"AAAAAC5/21k=")</f>
        <v>#REF!</v>
      </c>
      <c r="CM192" t="e">
        <f>AND(#REF!,"AAAAAC5/21o=")</f>
        <v>#REF!</v>
      </c>
      <c r="CN192" t="e">
        <f>AND(#REF!,"AAAAAC5/21s=")</f>
        <v>#REF!</v>
      </c>
      <c r="CO192" t="e">
        <f>AND(#REF!,"AAAAAC5/21w=")</f>
        <v>#REF!</v>
      </c>
      <c r="CP192" t="e">
        <f>AND(#REF!,"AAAAAC5/210=")</f>
        <v>#REF!</v>
      </c>
      <c r="CQ192" t="e">
        <f>IF(#REF!,"AAAAAC5/214=",0)</f>
        <v>#REF!</v>
      </c>
      <c r="CR192" t="e">
        <f>AND(#REF!,"AAAAAC5/218=")</f>
        <v>#REF!</v>
      </c>
      <c r="CS192" t="e">
        <f>AND(#REF!,"AAAAAC5/22A=")</f>
        <v>#REF!</v>
      </c>
      <c r="CT192" t="e">
        <f>AND(#REF!,"AAAAAC5/22E=")</f>
        <v>#REF!</v>
      </c>
      <c r="CU192" t="e">
        <f>AND(#REF!,"AAAAAC5/22I=")</f>
        <v>#REF!</v>
      </c>
      <c r="CV192" t="e">
        <f>AND(#REF!,"AAAAAC5/22M=")</f>
        <v>#REF!</v>
      </c>
      <c r="CW192" t="e">
        <f>AND(#REF!,"AAAAAC5/22Q=")</f>
        <v>#REF!</v>
      </c>
      <c r="CX192" t="e">
        <f>AND(#REF!,"AAAAAC5/22U=")</f>
        <v>#REF!</v>
      </c>
      <c r="CY192" t="e">
        <f>AND(#REF!,"AAAAAC5/22Y=")</f>
        <v>#REF!</v>
      </c>
      <c r="CZ192" t="e">
        <f>AND(#REF!,"AAAAAC5/22c=")</f>
        <v>#REF!</v>
      </c>
      <c r="DA192" t="e">
        <f>AND(#REF!,"AAAAAC5/22g=")</f>
        <v>#REF!</v>
      </c>
      <c r="DB192" t="e">
        <f>IF(#REF!,"AAAAAC5/22k=",0)</f>
        <v>#REF!</v>
      </c>
      <c r="DC192" t="e">
        <f>AND(#REF!,"AAAAAC5/22o=")</f>
        <v>#REF!</v>
      </c>
      <c r="DD192" t="e">
        <f>AND(#REF!,"AAAAAC5/22s=")</f>
        <v>#REF!</v>
      </c>
      <c r="DE192" t="e">
        <f>AND(#REF!,"AAAAAC5/22w=")</f>
        <v>#REF!</v>
      </c>
      <c r="DF192" t="e">
        <f>AND(#REF!,"AAAAAC5/220=")</f>
        <v>#REF!</v>
      </c>
      <c r="DG192" t="e">
        <f>AND(#REF!,"AAAAAC5/224=")</f>
        <v>#REF!</v>
      </c>
      <c r="DH192" t="e">
        <f>AND(#REF!,"AAAAAC5/228=")</f>
        <v>#REF!</v>
      </c>
      <c r="DI192" t="e">
        <f>AND(#REF!,"AAAAAC5/23A=")</f>
        <v>#REF!</v>
      </c>
      <c r="DJ192" t="e">
        <f>AND(#REF!,"AAAAAC5/23E=")</f>
        <v>#REF!</v>
      </c>
      <c r="DK192" t="e">
        <f>AND(#REF!,"AAAAAC5/23I=")</f>
        <v>#REF!</v>
      </c>
      <c r="DL192" t="e">
        <f>AND(#REF!,"AAAAAC5/23M=")</f>
        <v>#REF!</v>
      </c>
      <c r="DM192" t="e">
        <f>IF(#REF!,"AAAAAC5/23Q=",0)</f>
        <v>#REF!</v>
      </c>
      <c r="DN192" t="e">
        <f>AND(#REF!,"AAAAAC5/23U=")</f>
        <v>#REF!</v>
      </c>
      <c r="DO192" t="e">
        <f>AND(#REF!,"AAAAAC5/23Y=")</f>
        <v>#REF!</v>
      </c>
      <c r="DP192" t="e">
        <f>AND(#REF!,"AAAAAC5/23c=")</f>
        <v>#REF!</v>
      </c>
      <c r="DQ192" t="e">
        <f>AND(#REF!,"AAAAAC5/23g=")</f>
        <v>#REF!</v>
      </c>
      <c r="DR192" t="e">
        <f>AND(#REF!,"AAAAAC5/23k=")</f>
        <v>#REF!</v>
      </c>
      <c r="DS192" t="e">
        <f>AND(#REF!,"AAAAAC5/23o=")</f>
        <v>#REF!</v>
      </c>
      <c r="DT192" t="e">
        <f>AND(#REF!,"AAAAAC5/23s=")</f>
        <v>#REF!</v>
      </c>
      <c r="DU192" t="e">
        <f>AND(#REF!,"AAAAAC5/23w=")</f>
        <v>#REF!</v>
      </c>
      <c r="DV192" t="e">
        <f>AND(#REF!,"AAAAAC5/230=")</f>
        <v>#REF!</v>
      </c>
      <c r="DW192" t="e">
        <f>AND(#REF!,"AAAAAC5/234=")</f>
        <v>#REF!</v>
      </c>
      <c r="DX192" t="e">
        <f>IF(#REF!,"AAAAAC5/238=",0)</f>
        <v>#REF!</v>
      </c>
      <c r="DY192" t="e">
        <f>AND(#REF!,"AAAAAC5/24A=")</f>
        <v>#REF!</v>
      </c>
      <c r="DZ192" t="e">
        <f>AND(#REF!,"AAAAAC5/24E=")</f>
        <v>#REF!</v>
      </c>
      <c r="EA192" t="e">
        <f>AND(#REF!,"AAAAAC5/24I=")</f>
        <v>#REF!</v>
      </c>
      <c r="EB192" t="e">
        <f>AND(#REF!,"AAAAAC5/24M=")</f>
        <v>#REF!</v>
      </c>
      <c r="EC192" t="e">
        <f>AND(#REF!,"AAAAAC5/24Q=")</f>
        <v>#REF!</v>
      </c>
      <c r="ED192" t="e">
        <f>AND(#REF!,"AAAAAC5/24U=")</f>
        <v>#REF!</v>
      </c>
      <c r="EE192" t="e">
        <f>AND(#REF!,"AAAAAC5/24Y=")</f>
        <v>#REF!</v>
      </c>
      <c r="EF192" t="e">
        <f>AND(#REF!,"AAAAAC5/24c=")</f>
        <v>#REF!</v>
      </c>
      <c r="EG192" t="e">
        <f>AND(#REF!,"AAAAAC5/24g=")</f>
        <v>#REF!</v>
      </c>
      <c r="EH192" t="e">
        <f>AND(#REF!,"AAAAAC5/24k=")</f>
        <v>#REF!</v>
      </c>
      <c r="EI192" t="e">
        <f>IF(#REF!,"AAAAAC5/24o=",0)</f>
        <v>#REF!</v>
      </c>
      <c r="EJ192" t="e">
        <f>AND(#REF!,"AAAAAC5/24s=")</f>
        <v>#REF!</v>
      </c>
      <c r="EK192" t="e">
        <f>AND(#REF!,"AAAAAC5/24w=")</f>
        <v>#REF!</v>
      </c>
      <c r="EL192" t="e">
        <f>AND(#REF!,"AAAAAC5/240=")</f>
        <v>#REF!</v>
      </c>
      <c r="EM192" t="e">
        <f>AND(#REF!,"AAAAAC5/244=")</f>
        <v>#REF!</v>
      </c>
      <c r="EN192" t="e">
        <f>AND(#REF!,"AAAAAC5/248=")</f>
        <v>#REF!</v>
      </c>
      <c r="EO192" t="e">
        <f>AND(#REF!,"AAAAAC5/25A=")</f>
        <v>#REF!</v>
      </c>
      <c r="EP192" t="e">
        <f>AND(#REF!,"AAAAAC5/25E=")</f>
        <v>#REF!</v>
      </c>
      <c r="EQ192" t="e">
        <f>AND(#REF!,"AAAAAC5/25I=")</f>
        <v>#REF!</v>
      </c>
      <c r="ER192" t="e">
        <f>AND(#REF!,"AAAAAC5/25M=")</f>
        <v>#REF!</v>
      </c>
      <c r="ES192" t="e">
        <f>AND(#REF!,"AAAAAC5/25Q=")</f>
        <v>#REF!</v>
      </c>
      <c r="ET192" t="e">
        <f>IF(#REF!,"AAAAAC5/25U=",0)</f>
        <v>#REF!</v>
      </c>
      <c r="EU192" t="e">
        <f>AND(#REF!,"AAAAAC5/25Y=")</f>
        <v>#REF!</v>
      </c>
      <c r="EV192" t="e">
        <f>AND(#REF!,"AAAAAC5/25c=")</f>
        <v>#REF!</v>
      </c>
      <c r="EW192" t="e">
        <f>AND(#REF!,"AAAAAC5/25g=")</f>
        <v>#REF!</v>
      </c>
      <c r="EX192" t="e">
        <f>AND(#REF!,"AAAAAC5/25k=")</f>
        <v>#REF!</v>
      </c>
      <c r="EY192" t="e">
        <f>AND(#REF!,"AAAAAC5/25o=")</f>
        <v>#REF!</v>
      </c>
      <c r="EZ192" t="e">
        <f>AND(#REF!,"AAAAAC5/25s=")</f>
        <v>#REF!</v>
      </c>
      <c r="FA192" t="e">
        <f>AND(#REF!,"AAAAAC5/25w=")</f>
        <v>#REF!</v>
      </c>
      <c r="FB192" t="e">
        <f>AND(#REF!,"AAAAAC5/250=")</f>
        <v>#REF!</v>
      </c>
      <c r="FC192" t="e">
        <f>AND(#REF!,"AAAAAC5/254=")</f>
        <v>#REF!</v>
      </c>
      <c r="FD192" t="e">
        <f>AND(#REF!,"AAAAAC5/258=")</f>
        <v>#REF!</v>
      </c>
      <c r="FE192" t="e">
        <f>IF(#REF!,"AAAAAC5/26A=",0)</f>
        <v>#REF!</v>
      </c>
      <c r="FF192" t="e">
        <f>AND(#REF!,"AAAAAC5/26E=")</f>
        <v>#REF!</v>
      </c>
      <c r="FG192" t="e">
        <f>AND(#REF!,"AAAAAC5/26I=")</f>
        <v>#REF!</v>
      </c>
      <c r="FH192" t="e">
        <f>AND(#REF!,"AAAAAC5/26M=")</f>
        <v>#REF!</v>
      </c>
      <c r="FI192" t="e">
        <f>AND(#REF!,"AAAAAC5/26Q=")</f>
        <v>#REF!</v>
      </c>
      <c r="FJ192" t="e">
        <f>AND(#REF!,"AAAAAC5/26U=")</f>
        <v>#REF!</v>
      </c>
      <c r="FK192" t="e">
        <f>AND(#REF!,"AAAAAC5/26Y=")</f>
        <v>#REF!</v>
      </c>
      <c r="FL192" t="e">
        <f>AND(#REF!,"AAAAAC5/26c=")</f>
        <v>#REF!</v>
      </c>
      <c r="FM192" t="e">
        <f>AND(#REF!,"AAAAAC5/26g=")</f>
        <v>#REF!</v>
      </c>
      <c r="FN192" t="e">
        <f>AND(#REF!,"AAAAAC5/26k=")</f>
        <v>#REF!</v>
      </c>
      <c r="FO192" t="e">
        <f>AND(#REF!,"AAAAAC5/26o=")</f>
        <v>#REF!</v>
      </c>
      <c r="FP192" t="e">
        <f>IF(#REF!,"AAAAAC5/26s=",0)</f>
        <v>#REF!</v>
      </c>
      <c r="FQ192" t="e">
        <f>AND(#REF!,"AAAAAC5/26w=")</f>
        <v>#REF!</v>
      </c>
      <c r="FR192" t="e">
        <f>AND(#REF!,"AAAAAC5/260=")</f>
        <v>#REF!</v>
      </c>
      <c r="FS192" t="e">
        <f>AND(#REF!,"AAAAAC5/264=")</f>
        <v>#REF!</v>
      </c>
      <c r="FT192" t="e">
        <f>AND(#REF!,"AAAAAC5/268=")</f>
        <v>#REF!</v>
      </c>
      <c r="FU192" t="e">
        <f>AND(#REF!,"AAAAAC5/27A=")</f>
        <v>#REF!</v>
      </c>
      <c r="FV192" t="e">
        <f>AND(#REF!,"AAAAAC5/27E=")</f>
        <v>#REF!</v>
      </c>
      <c r="FW192" t="e">
        <f>AND(#REF!,"AAAAAC5/27I=")</f>
        <v>#REF!</v>
      </c>
      <c r="FX192" t="e">
        <f>AND(#REF!,"AAAAAC5/27M=")</f>
        <v>#REF!</v>
      </c>
      <c r="FY192" t="e">
        <f>AND(#REF!,"AAAAAC5/27Q=")</f>
        <v>#REF!</v>
      </c>
      <c r="FZ192" t="e">
        <f>AND(#REF!,"AAAAAC5/27U=")</f>
        <v>#REF!</v>
      </c>
      <c r="GA192" t="e">
        <f>IF(#REF!,"AAAAAC5/27Y=",0)</f>
        <v>#REF!</v>
      </c>
      <c r="GB192" t="e">
        <f>AND(#REF!,"AAAAAC5/27c=")</f>
        <v>#REF!</v>
      </c>
      <c r="GC192" t="e">
        <f>AND(#REF!,"AAAAAC5/27g=")</f>
        <v>#REF!</v>
      </c>
      <c r="GD192" t="e">
        <f>AND(#REF!,"AAAAAC5/27k=")</f>
        <v>#REF!</v>
      </c>
      <c r="GE192" t="e">
        <f>AND(#REF!,"AAAAAC5/27o=")</f>
        <v>#REF!</v>
      </c>
      <c r="GF192" t="e">
        <f>AND(#REF!,"AAAAAC5/27s=")</f>
        <v>#REF!</v>
      </c>
      <c r="GG192" t="e">
        <f>AND(#REF!,"AAAAAC5/27w=")</f>
        <v>#REF!</v>
      </c>
      <c r="GH192" t="e">
        <f>AND(#REF!,"AAAAAC5/270=")</f>
        <v>#REF!</v>
      </c>
      <c r="GI192" t="e">
        <f>AND(#REF!,"AAAAAC5/274=")</f>
        <v>#REF!</v>
      </c>
      <c r="GJ192" t="e">
        <f>AND(#REF!,"AAAAAC5/278=")</f>
        <v>#REF!</v>
      </c>
      <c r="GK192" t="e">
        <f>AND(#REF!,"AAAAAC5/28A=")</f>
        <v>#REF!</v>
      </c>
      <c r="GL192" t="e">
        <f>IF(#REF!,"AAAAAC5/28E=",0)</f>
        <v>#REF!</v>
      </c>
      <c r="GM192" t="e">
        <f>AND(#REF!,"AAAAAC5/28I=")</f>
        <v>#REF!</v>
      </c>
      <c r="GN192" t="e">
        <f>AND(#REF!,"AAAAAC5/28M=")</f>
        <v>#REF!</v>
      </c>
      <c r="GO192" t="e">
        <f>AND(#REF!,"AAAAAC5/28Q=")</f>
        <v>#REF!</v>
      </c>
      <c r="GP192" t="e">
        <f>AND(#REF!,"AAAAAC5/28U=")</f>
        <v>#REF!</v>
      </c>
      <c r="GQ192" t="e">
        <f>AND(#REF!,"AAAAAC5/28Y=")</f>
        <v>#REF!</v>
      </c>
      <c r="GR192" t="e">
        <f>AND(#REF!,"AAAAAC5/28c=")</f>
        <v>#REF!</v>
      </c>
      <c r="GS192" t="e">
        <f>AND(#REF!,"AAAAAC5/28g=")</f>
        <v>#REF!</v>
      </c>
      <c r="GT192" t="e">
        <f>AND(#REF!,"AAAAAC5/28k=")</f>
        <v>#REF!</v>
      </c>
      <c r="GU192" t="e">
        <f>AND(#REF!,"AAAAAC5/28o=")</f>
        <v>#REF!</v>
      </c>
      <c r="GV192" t="e">
        <f>AND(#REF!,"AAAAAC5/28s=")</f>
        <v>#REF!</v>
      </c>
      <c r="GW192" t="e">
        <f>IF(#REF!,"AAAAAC5/28w=",0)</f>
        <v>#REF!</v>
      </c>
      <c r="GX192" t="e">
        <f>AND(#REF!,"AAAAAC5/280=")</f>
        <v>#REF!</v>
      </c>
      <c r="GY192" t="e">
        <f>AND(#REF!,"AAAAAC5/284=")</f>
        <v>#REF!</v>
      </c>
      <c r="GZ192" t="e">
        <f>AND(#REF!,"AAAAAC5/288=")</f>
        <v>#REF!</v>
      </c>
      <c r="HA192" t="e">
        <f>AND(#REF!,"AAAAAC5/29A=")</f>
        <v>#REF!</v>
      </c>
      <c r="HB192" t="e">
        <f>AND(#REF!,"AAAAAC5/29E=")</f>
        <v>#REF!</v>
      </c>
      <c r="HC192" t="e">
        <f>AND(#REF!,"AAAAAC5/29I=")</f>
        <v>#REF!</v>
      </c>
      <c r="HD192" t="e">
        <f>AND(#REF!,"AAAAAC5/29M=")</f>
        <v>#REF!</v>
      </c>
      <c r="HE192" t="e">
        <f>AND(#REF!,"AAAAAC5/29Q=")</f>
        <v>#REF!</v>
      </c>
      <c r="HF192" t="e">
        <f>AND(#REF!,"AAAAAC5/29U=")</f>
        <v>#REF!</v>
      </c>
      <c r="HG192" t="e">
        <f>AND(#REF!,"AAAAAC5/29Y=")</f>
        <v>#REF!</v>
      </c>
      <c r="HH192" t="e">
        <f>IF(#REF!,"AAAAAC5/29c=",0)</f>
        <v>#REF!</v>
      </c>
      <c r="HI192" t="e">
        <f>AND(#REF!,"AAAAAC5/29g=")</f>
        <v>#REF!</v>
      </c>
      <c r="HJ192" t="e">
        <f>AND(#REF!,"AAAAAC5/29k=")</f>
        <v>#REF!</v>
      </c>
      <c r="HK192" t="e">
        <f>AND(#REF!,"AAAAAC5/29o=")</f>
        <v>#REF!</v>
      </c>
      <c r="HL192" t="e">
        <f>AND(#REF!,"AAAAAC5/29s=")</f>
        <v>#REF!</v>
      </c>
      <c r="HM192" t="e">
        <f>AND(#REF!,"AAAAAC5/29w=")</f>
        <v>#REF!</v>
      </c>
      <c r="HN192" t="e">
        <f>AND(#REF!,"AAAAAC5/290=")</f>
        <v>#REF!</v>
      </c>
      <c r="HO192" t="e">
        <f>AND(#REF!,"AAAAAC5/294=")</f>
        <v>#REF!</v>
      </c>
      <c r="HP192" t="e">
        <f>AND(#REF!,"AAAAAC5/298=")</f>
        <v>#REF!</v>
      </c>
      <c r="HQ192" t="e">
        <f>AND(#REF!,"AAAAAC5/2+A=")</f>
        <v>#REF!</v>
      </c>
      <c r="HR192" t="e">
        <f>AND(#REF!,"AAAAAC5/2+E=")</f>
        <v>#REF!</v>
      </c>
      <c r="HS192" t="e">
        <f>IF(#REF!,"AAAAAC5/2+I=",0)</f>
        <v>#REF!</v>
      </c>
      <c r="HT192" t="e">
        <f>AND(#REF!,"AAAAAC5/2+M=")</f>
        <v>#REF!</v>
      </c>
      <c r="HU192" t="e">
        <f>AND(#REF!,"AAAAAC5/2+Q=")</f>
        <v>#REF!</v>
      </c>
      <c r="HV192" t="e">
        <f>AND(#REF!,"AAAAAC5/2+U=")</f>
        <v>#REF!</v>
      </c>
      <c r="HW192" t="e">
        <f>AND(#REF!,"AAAAAC5/2+Y=")</f>
        <v>#REF!</v>
      </c>
      <c r="HX192" t="e">
        <f>AND(#REF!,"AAAAAC5/2+c=")</f>
        <v>#REF!</v>
      </c>
      <c r="HY192" t="e">
        <f>AND(#REF!,"AAAAAC5/2+g=")</f>
        <v>#REF!</v>
      </c>
      <c r="HZ192" t="e">
        <f>AND(#REF!,"AAAAAC5/2+k=")</f>
        <v>#REF!</v>
      </c>
      <c r="IA192" t="e">
        <f>AND(#REF!,"AAAAAC5/2+o=")</f>
        <v>#REF!</v>
      </c>
      <c r="IB192" t="e">
        <f>AND(#REF!,"AAAAAC5/2+s=")</f>
        <v>#REF!</v>
      </c>
      <c r="IC192" t="e">
        <f>AND(#REF!,"AAAAAC5/2+w=")</f>
        <v>#REF!</v>
      </c>
      <c r="ID192" t="e">
        <f>IF(#REF!,"AAAAAC5/2+0=",0)</f>
        <v>#REF!</v>
      </c>
      <c r="IE192" t="e">
        <f>AND(#REF!,"AAAAAC5/2+4=")</f>
        <v>#REF!</v>
      </c>
      <c r="IF192" t="e">
        <f>AND(#REF!,"AAAAAC5/2+8=")</f>
        <v>#REF!</v>
      </c>
      <c r="IG192" t="e">
        <f>AND(#REF!,"AAAAAC5/2/A=")</f>
        <v>#REF!</v>
      </c>
      <c r="IH192" t="e">
        <f>AND(#REF!,"AAAAAC5/2/E=")</f>
        <v>#REF!</v>
      </c>
      <c r="II192" t="e">
        <f>AND(#REF!,"AAAAAC5/2/I=")</f>
        <v>#REF!</v>
      </c>
      <c r="IJ192" t="e">
        <f>AND(#REF!,"AAAAAC5/2/M=")</f>
        <v>#REF!</v>
      </c>
      <c r="IK192" t="e">
        <f>AND(#REF!,"AAAAAC5/2/Q=")</f>
        <v>#REF!</v>
      </c>
      <c r="IL192" t="e">
        <f>AND(#REF!,"AAAAAC5/2/U=")</f>
        <v>#REF!</v>
      </c>
      <c r="IM192" t="e">
        <f>AND(#REF!,"AAAAAC5/2/Y=")</f>
        <v>#REF!</v>
      </c>
      <c r="IN192" t="e">
        <f>AND(#REF!,"AAAAAC5/2/c=")</f>
        <v>#REF!</v>
      </c>
      <c r="IO192" t="e">
        <f>IF(#REF!,"AAAAAC5/2/g=",0)</f>
        <v>#REF!</v>
      </c>
      <c r="IP192" t="e">
        <f>AND(#REF!,"AAAAAC5/2/k=")</f>
        <v>#REF!</v>
      </c>
      <c r="IQ192" t="e">
        <f>AND(#REF!,"AAAAAC5/2/o=")</f>
        <v>#REF!</v>
      </c>
      <c r="IR192" t="e">
        <f>AND(#REF!,"AAAAAC5/2/s=")</f>
        <v>#REF!</v>
      </c>
      <c r="IS192" t="e">
        <f>AND(#REF!,"AAAAAC5/2/w=")</f>
        <v>#REF!</v>
      </c>
      <c r="IT192" t="e">
        <f>AND(#REF!,"AAAAAC5/2/0=")</f>
        <v>#REF!</v>
      </c>
      <c r="IU192" t="e">
        <f>AND(#REF!,"AAAAAC5/2/4=")</f>
        <v>#REF!</v>
      </c>
      <c r="IV192" t="e">
        <f>AND(#REF!,"AAAAAC5/2/8=")</f>
        <v>#REF!</v>
      </c>
    </row>
    <row r="193" spans="1:256" x14ac:dyDescent="0.25">
      <c r="A193" t="e">
        <f>AND(#REF!,"AAAAAHD+/wA=")</f>
        <v>#REF!</v>
      </c>
      <c r="B193" t="e">
        <f>AND(#REF!,"AAAAAHD+/wE=")</f>
        <v>#REF!</v>
      </c>
      <c r="C193" t="e">
        <f>AND(#REF!,"AAAAAHD+/wI=")</f>
        <v>#REF!</v>
      </c>
      <c r="D193" t="e">
        <f>IF(#REF!,"AAAAAHD+/wM=",0)</f>
        <v>#REF!</v>
      </c>
      <c r="E193" t="e">
        <f>AND(#REF!,"AAAAAHD+/wQ=")</f>
        <v>#REF!</v>
      </c>
      <c r="F193" t="e">
        <f>AND(#REF!,"AAAAAHD+/wU=")</f>
        <v>#REF!</v>
      </c>
      <c r="G193" t="e">
        <f>AND(#REF!,"AAAAAHD+/wY=")</f>
        <v>#REF!</v>
      </c>
      <c r="H193" t="e">
        <f>AND(#REF!,"AAAAAHD+/wc=")</f>
        <v>#REF!</v>
      </c>
      <c r="I193" t="e">
        <f>AND(#REF!,"AAAAAHD+/wg=")</f>
        <v>#REF!</v>
      </c>
      <c r="J193" t="e">
        <f>AND(#REF!,"AAAAAHD+/wk=")</f>
        <v>#REF!</v>
      </c>
      <c r="K193" t="e">
        <f>AND(#REF!,"AAAAAHD+/wo=")</f>
        <v>#REF!</v>
      </c>
      <c r="L193" t="e">
        <f>AND(#REF!,"AAAAAHD+/ws=")</f>
        <v>#REF!</v>
      </c>
      <c r="M193" t="e">
        <f>AND(#REF!,"AAAAAHD+/ww=")</f>
        <v>#REF!</v>
      </c>
      <c r="N193" t="e">
        <f>AND(#REF!,"AAAAAHD+/w0=")</f>
        <v>#REF!</v>
      </c>
      <c r="O193" t="e">
        <f>IF(#REF!,"AAAAAHD+/w4=",0)</f>
        <v>#REF!</v>
      </c>
      <c r="P193" t="e">
        <f>AND(#REF!,"AAAAAHD+/w8=")</f>
        <v>#REF!</v>
      </c>
      <c r="Q193" t="e">
        <f>AND(#REF!,"AAAAAHD+/xA=")</f>
        <v>#REF!</v>
      </c>
      <c r="R193" t="e">
        <f>AND(#REF!,"AAAAAHD+/xE=")</f>
        <v>#REF!</v>
      </c>
      <c r="S193" t="e">
        <f>AND(#REF!,"AAAAAHD+/xI=")</f>
        <v>#REF!</v>
      </c>
      <c r="T193" t="e">
        <f>AND(#REF!,"AAAAAHD+/xM=")</f>
        <v>#REF!</v>
      </c>
      <c r="U193" t="e">
        <f>AND(#REF!,"AAAAAHD+/xQ=")</f>
        <v>#REF!</v>
      </c>
      <c r="V193" t="e">
        <f>AND(#REF!,"AAAAAHD+/xU=")</f>
        <v>#REF!</v>
      </c>
      <c r="W193" t="e">
        <f>AND(#REF!,"AAAAAHD+/xY=")</f>
        <v>#REF!</v>
      </c>
      <c r="X193" t="e">
        <f>AND(#REF!,"AAAAAHD+/xc=")</f>
        <v>#REF!</v>
      </c>
      <c r="Y193" t="e">
        <f>AND(#REF!,"AAAAAHD+/xg=")</f>
        <v>#REF!</v>
      </c>
      <c r="Z193" t="e">
        <f>IF(#REF!,"AAAAAHD+/xk=",0)</f>
        <v>#REF!</v>
      </c>
      <c r="AA193" t="e">
        <f>AND(#REF!,"AAAAAHD+/xo=")</f>
        <v>#REF!</v>
      </c>
      <c r="AB193" t="e">
        <f>AND(#REF!,"AAAAAHD+/xs=")</f>
        <v>#REF!</v>
      </c>
      <c r="AC193" t="e">
        <f>AND(#REF!,"AAAAAHD+/xw=")</f>
        <v>#REF!</v>
      </c>
      <c r="AD193" t="e">
        <f>AND(#REF!,"AAAAAHD+/x0=")</f>
        <v>#REF!</v>
      </c>
      <c r="AE193" t="e">
        <f>AND(#REF!,"AAAAAHD+/x4=")</f>
        <v>#REF!</v>
      </c>
      <c r="AF193" t="e">
        <f>AND(#REF!,"AAAAAHD+/x8=")</f>
        <v>#REF!</v>
      </c>
      <c r="AG193" t="e">
        <f>AND(#REF!,"AAAAAHD+/yA=")</f>
        <v>#REF!</v>
      </c>
      <c r="AH193" t="e">
        <f>AND(#REF!,"AAAAAHD+/yE=")</f>
        <v>#REF!</v>
      </c>
      <c r="AI193" t="e">
        <f>AND(#REF!,"AAAAAHD+/yI=")</f>
        <v>#REF!</v>
      </c>
      <c r="AJ193" t="e">
        <f>AND(#REF!,"AAAAAHD+/yM=")</f>
        <v>#REF!</v>
      </c>
      <c r="AK193" t="e">
        <f>IF(#REF!,"AAAAAHD+/yQ=",0)</f>
        <v>#REF!</v>
      </c>
      <c r="AL193" t="e">
        <f>AND(#REF!,"AAAAAHD+/yU=")</f>
        <v>#REF!</v>
      </c>
      <c r="AM193" t="e">
        <f>AND(#REF!,"AAAAAHD+/yY=")</f>
        <v>#REF!</v>
      </c>
      <c r="AN193" t="e">
        <f>AND(#REF!,"AAAAAHD+/yc=")</f>
        <v>#REF!</v>
      </c>
      <c r="AO193" t="e">
        <f>AND(#REF!,"AAAAAHD+/yg=")</f>
        <v>#REF!</v>
      </c>
      <c r="AP193" t="e">
        <f>AND(#REF!,"AAAAAHD+/yk=")</f>
        <v>#REF!</v>
      </c>
      <c r="AQ193" t="e">
        <f>AND(#REF!,"AAAAAHD+/yo=")</f>
        <v>#REF!</v>
      </c>
      <c r="AR193" t="e">
        <f>AND(#REF!,"AAAAAHD+/ys=")</f>
        <v>#REF!</v>
      </c>
      <c r="AS193" t="e">
        <f>AND(#REF!,"AAAAAHD+/yw=")</f>
        <v>#REF!</v>
      </c>
      <c r="AT193" t="e">
        <f>AND(#REF!,"AAAAAHD+/y0=")</f>
        <v>#REF!</v>
      </c>
      <c r="AU193" t="e">
        <f>AND(#REF!,"AAAAAHD+/y4=")</f>
        <v>#REF!</v>
      </c>
      <c r="AV193" t="e">
        <f>IF(#REF!,"AAAAAHD+/y8=",0)</f>
        <v>#REF!</v>
      </c>
      <c r="AW193" t="e">
        <f>AND(#REF!,"AAAAAHD+/zA=")</f>
        <v>#REF!</v>
      </c>
      <c r="AX193" t="e">
        <f>AND(#REF!,"AAAAAHD+/zE=")</f>
        <v>#REF!</v>
      </c>
      <c r="AY193" t="e">
        <f>AND(#REF!,"AAAAAHD+/zI=")</f>
        <v>#REF!</v>
      </c>
      <c r="AZ193" t="e">
        <f>AND(#REF!,"AAAAAHD+/zM=")</f>
        <v>#REF!</v>
      </c>
      <c r="BA193" t="e">
        <f>AND(#REF!,"AAAAAHD+/zQ=")</f>
        <v>#REF!</v>
      </c>
      <c r="BB193" t="e">
        <f>AND(#REF!,"AAAAAHD+/zU=")</f>
        <v>#REF!</v>
      </c>
      <c r="BC193" t="e">
        <f>AND(#REF!,"AAAAAHD+/zY=")</f>
        <v>#REF!</v>
      </c>
      <c r="BD193" t="e">
        <f>AND(#REF!,"AAAAAHD+/zc=")</f>
        <v>#REF!</v>
      </c>
      <c r="BE193" t="e">
        <f>AND(#REF!,"AAAAAHD+/zg=")</f>
        <v>#REF!</v>
      </c>
      <c r="BF193" t="e">
        <f>AND(#REF!,"AAAAAHD+/zk=")</f>
        <v>#REF!</v>
      </c>
      <c r="BG193" t="e">
        <f>IF(#REF!,"AAAAAHD+/zo=",0)</f>
        <v>#REF!</v>
      </c>
      <c r="BH193" t="e">
        <f>AND(#REF!,"AAAAAHD+/zs=")</f>
        <v>#REF!</v>
      </c>
      <c r="BI193" t="e">
        <f>AND(#REF!,"AAAAAHD+/zw=")</f>
        <v>#REF!</v>
      </c>
      <c r="BJ193" t="e">
        <f>AND(#REF!,"AAAAAHD+/z0=")</f>
        <v>#REF!</v>
      </c>
      <c r="BK193" t="e">
        <f>AND(#REF!,"AAAAAHD+/z4=")</f>
        <v>#REF!</v>
      </c>
      <c r="BL193" t="e">
        <f>AND(#REF!,"AAAAAHD+/z8=")</f>
        <v>#REF!</v>
      </c>
      <c r="BM193" t="e">
        <f>AND(#REF!,"AAAAAHD+/0A=")</f>
        <v>#REF!</v>
      </c>
      <c r="BN193" t="e">
        <f>AND(#REF!,"AAAAAHD+/0E=")</f>
        <v>#REF!</v>
      </c>
      <c r="BO193" t="e">
        <f>AND(#REF!,"AAAAAHD+/0I=")</f>
        <v>#REF!</v>
      </c>
      <c r="BP193" t="e">
        <f>AND(#REF!,"AAAAAHD+/0M=")</f>
        <v>#REF!</v>
      </c>
      <c r="BQ193" t="e">
        <f>AND(#REF!,"AAAAAHD+/0Q=")</f>
        <v>#REF!</v>
      </c>
      <c r="BR193" t="e">
        <f>IF(#REF!,"AAAAAHD+/0U=",0)</f>
        <v>#REF!</v>
      </c>
      <c r="BS193" t="e">
        <f>AND(#REF!,"AAAAAHD+/0Y=")</f>
        <v>#REF!</v>
      </c>
      <c r="BT193" t="e">
        <f>AND(#REF!,"AAAAAHD+/0c=")</f>
        <v>#REF!</v>
      </c>
      <c r="BU193" t="e">
        <f>AND(#REF!,"AAAAAHD+/0g=")</f>
        <v>#REF!</v>
      </c>
      <c r="BV193" t="e">
        <f>AND(#REF!,"AAAAAHD+/0k=")</f>
        <v>#REF!</v>
      </c>
      <c r="BW193" t="e">
        <f>AND(#REF!,"AAAAAHD+/0o=")</f>
        <v>#REF!</v>
      </c>
      <c r="BX193" t="e">
        <f>AND(#REF!,"AAAAAHD+/0s=")</f>
        <v>#REF!</v>
      </c>
      <c r="BY193" t="e">
        <f>AND(#REF!,"AAAAAHD+/0w=")</f>
        <v>#REF!</v>
      </c>
      <c r="BZ193" t="e">
        <f>AND(#REF!,"AAAAAHD+/00=")</f>
        <v>#REF!</v>
      </c>
      <c r="CA193" t="e">
        <f>AND(#REF!,"AAAAAHD+/04=")</f>
        <v>#REF!</v>
      </c>
      <c r="CB193" t="e">
        <f>AND(#REF!,"AAAAAHD+/08=")</f>
        <v>#REF!</v>
      </c>
      <c r="CC193" t="e">
        <f>IF(#REF!,"AAAAAHD+/1A=",0)</f>
        <v>#REF!</v>
      </c>
      <c r="CD193" t="e">
        <f>AND(#REF!,"AAAAAHD+/1E=")</f>
        <v>#REF!</v>
      </c>
      <c r="CE193" t="e">
        <f>AND(#REF!,"AAAAAHD+/1I=")</f>
        <v>#REF!</v>
      </c>
      <c r="CF193" t="e">
        <f>AND(#REF!,"AAAAAHD+/1M=")</f>
        <v>#REF!</v>
      </c>
      <c r="CG193" t="e">
        <f>AND(#REF!,"AAAAAHD+/1Q=")</f>
        <v>#REF!</v>
      </c>
      <c r="CH193" t="e">
        <f>AND(#REF!,"AAAAAHD+/1U=")</f>
        <v>#REF!</v>
      </c>
      <c r="CI193" t="e">
        <f>AND(#REF!,"AAAAAHD+/1Y=")</f>
        <v>#REF!</v>
      </c>
      <c r="CJ193" t="e">
        <f>AND(#REF!,"AAAAAHD+/1c=")</f>
        <v>#REF!</v>
      </c>
      <c r="CK193" t="e">
        <f>AND(#REF!,"AAAAAHD+/1g=")</f>
        <v>#REF!</v>
      </c>
      <c r="CL193" t="e">
        <f>AND(#REF!,"AAAAAHD+/1k=")</f>
        <v>#REF!</v>
      </c>
      <c r="CM193" t="e">
        <f>AND(#REF!,"AAAAAHD+/1o=")</f>
        <v>#REF!</v>
      </c>
      <c r="CN193" t="e">
        <f>IF(#REF!,"AAAAAHD+/1s=",0)</f>
        <v>#REF!</v>
      </c>
      <c r="CO193" t="e">
        <f>AND(#REF!,"AAAAAHD+/1w=")</f>
        <v>#REF!</v>
      </c>
      <c r="CP193" t="e">
        <f>AND(#REF!,"AAAAAHD+/10=")</f>
        <v>#REF!</v>
      </c>
      <c r="CQ193" t="e">
        <f>AND(#REF!,"AAAAAHD+/14=")</f>
        <v>#REF!</v>
      </c>
      <c r="CR193" t="e">
        <f>AND(#REF!,"AAAAAHD+/18=")</f>
        <v>#REF!</v>
      </c>
      <c r="CS193" t="e">
        <f>AND(#REF!,"AAAAAHD+/2A=")</f>
        <v>#REF!</v>
      </c>
      <c r="CT193" t="e">
        <f>AND(#REF!,"AAAAAHD+/2E=")</f>
        <v>#REF!</v>
      </c>
      <c r="CU193" t="e">
        <f>AND(#REF!,"AAAAAHD+/2I=")</f>
        <v>#REF!</v>
      </c>
      <c r="CV193" t="e">
        <f>AND(#REF!,"AAAAAHD+/2M=")</f>
        <v>#REF!</v>
      </c>
      <c r="CW193" t="e">
        <f>AND(#REF!,"AAAAAHD+/2Q=")</f>
        <v>#REF!</v>
      </c>
      <c r="CX193" t="e">
        <f>AND(#REF!,"AAAAAHD+/2U=")</f>
        <v>#REF!</v>
      </c>
      <c r="CY193" t="e">
        <f>IF(#REF!,"AAAAAHD+/2Y=",0)</f>
        <v>#REF!</v>
      </c>
      <c r="CZ193" t="e">
        <f>AND(#REF!,"AAAAAHD+/2c=")</f>
        <v>#REF!</v>
      </c>
      <c r="DA193" t="e">
        <f>AND(#REF!,"AAAAAHD+/2g=")</f>
        <v>#REF!</v>
      </c>
      <c r="DB193" t="e">
        <f>AND(#REF!,"AAAAAHD+/2k=")</f>
        <v>#REF!</v>
      </c>
      <c r="DC193" t="e">
        <f>AND(#REF!,"AAAAAHD+/2o=")</f>
        <v>#REF!</v>
      </c>
      <c r="DD193" t="e">
        <f>AND(#REF!,"AAAAAHD+/2s=")</f>
        <v>#REF!</v>
      </c>
      <c r="DE193" t="e">
        <f>AND(#REF!,"AAAAAHD+/2w=")</f>
        <v>#REF!</v>
      </c>
      <c r="DF193" t="e">
        <f>AND(#REF!,"AAAAAHD+/20=")</f>
        <v>#REF!</v>
      </c>
      <c r="DG193" t="e">
        <f>AND(#REF!,"AAAAAHD+/24=")</f>
        <v>#REF!</v>
      </c>
      <c r="DH193" t="e">
        <f>AND(#REF!,"AAAAAHD+/28=")</f>
        <v>#REF!</v>
      </c>
      <c r="DI193" t="e">
        <f>AND(#REF!,"AAAAAHD+/3A=")</f>
        <v>#REF!</v>
      </c>
      <c r="DJ193" t="e">
        <f>IF(#REF!,"AAAAAHD+/3E=",0)</f>
        <v>#REF!</v>
      </c>
      <c r="DK193" t="e">
        <f>AND(#REF!,"AAAAAHD+/3I=")</f>
        <v>#REF!</v>
      </c>
      <c r="DL193" t="e">
        <f>AND(#REF!,"AAAAAHD+/3M=")</f>
        <v>#REF!</v>
      </c>
      <c r="DM193" t="e">
        <f>AND(#REF!,"AAAAAHD+/3Q=")</f>
        <v>#REF!</v>
      </c>
      <c r="DN193" t="e">
        <f>AND(#REF!,"AAAAAHD+/3U=")</f>
        <v>#REF!</v>
      </c>
      <c r="DO193" t="e">
        <f>AND(#REF!,"AAAAAHD+/3Y=")</f>
        <v>#REF!</v>
      </c>
      <c r="DP193" t="e">
        <f>AND(#REF!,"AAAAAHD+/3c=")</f>
        <v>#REF!</v>
      </c>
      <c r="DQ193" t="e">
        <f>AND(#REF!,"AAAAAHD+/3g=")</f>
        <v>#REF!</v>
      </c>
      <c r="DR193" t="e">
        <f>AND(#REF!,"AAAAAHD+/3k=")</f>
        <v>#REF!</v>
      </c>
      <c r="DS193" t="e">
        <f>AND(#REF!,"AAAAAHD+/3o=")</f>
        <v>#REF!</v>
      </c>
      <c r="DT193" t="e">
        <f>AND(#REF!,"AAAAAHD+/3s=")</f>
        <v>#REF!</v>
      </c>
      <c r="DU193" t="e">
        <f>IF(#REF!,"AAAAAHD+/3w=",0)</f>
        <v>#REF!</v>
      </c>
      <c r="DV193" t="e">
        <f>AND(#REF!,"AAAAAHD+/30=")</f>
        <v>#REF!</v>
      </c>
      <c r="DW193" t="e">
        <f>AND(#REF!,"AAAAAHD+/34=")</f>
        <v>#REF!</v>
      </c>
      <c r="DX193" t="e">
        <f>AND(#REF!,"AAAAAHD+/38=")</f>
        <v>#REF!</v>
      </c>
      <c r="DY193" t="e">
        <f>AND(#REF!,"AAAAAHD+/4A=")</f>
        <v>#REF!</v>
      </c>
      <c r="DZ193" t="e">
        <f>AND(#REF!,"AAAAAHD+/4E=")</f>
        <v>#REF!</v>
      </c>
      <c r="EA193" t="e">
        <f>AND(#REF!,"AAAAAHD+/4I=")</f>
        <v>#REF!</v>
      </c>
      <c r="EB193" t="e">
        <f>AND(#REF!,"AAAAAHD+/4M=")</f>
        <v>#REF!</v>
      </c>
      <c r="EC193" t="e">
        <f>AND(#REF!,"AAAAAHD+/4Q=")</f>
        <v>#REF!</v>
      </c>
      <c r="ED193" t="e">
        <f>AND(#REF!,"AAAAAHD+/4U=")</f>
        <v>#REF!</v>
      </c>
      <c r="EE193" t="e">
        <f>AND(#REF!,"AAAAAHD+/4Y=")</f>
        <v>#REF!</v>
      </c>
      <c r="EF193" t="e">
        <f>IF(#REF!,"AAAAAHD+/4c=",0)</f>
        <v>#REF!</v>
      </c>
      <c r="EG193" t="e">
        <f>AND(#REF!,"AAAAAHD+/4g=")</f>
        <v>#REF!</v>
      </c>
      <c r="EH193" t="e">
        <f>AND(#REF!,"AAAAAHD+/4k=")</f>
        <v>#REF!</v>
      </c>
      <c r="EI193" t="e">
        <f>AND(#REF!,"AAAAAHD+/4o=")</f>
        <v>#REF!</v>
      </c>
      <c r="EJ193" t="e">
        <f>AND(#REF!,"AAAAAHD+/4s=")</f>
        <v>#REF!</v>
      </c>
      <c r="EK193" t="e">
        <f>AND(#REF!,"AAAAAHD+/4w=")</f>
        <v>#REF!</v>
      </c>
      <c r="EL193" t="e">
        <f>AND(#REF!,"AAAAAHD+/40=")</f>
        <v>#REF!</v>
      </c>
      <c r="EM193" t="e">
        <f>AND(#REF!,"AAAAAHD+/44=")</f>
        <v>#REF!</v>
      </c>
      <c r="EN193" t="e">
        <f>AND(#REF!,"AAAAAHD+/48=")</f>
        <v>#REF!</v>
      </c>
      <c r="EO193" t="e">
        <f>AND(#REF!,"AAAAAHD+/5A=")</f>
        <v>#REF!</v>
      </c>
      <c r="EP193" t="e">
        <f>AND(#REF!,"AAAAAHD+/5E=")</f>
        <v>#REF!</v>
      </c>
      <c r="EQ193" t="e">
        <f>IF(#REF!,"AAAAAHD+/5I=",0)</f>
        <v>#REF!</v>
      </c>
      <c r="ER193" t="e">
        <f>AND(#REF!,"AAAAAHD+/5M=")</f>
        <v>#REF!</v>
      </c>
      <c r="ES193" t="e">
        <f>AND(#REF!,"AAAAAHD+/5Q=")</f>
        <v>#REF!</v>
      </c>
      <c r="ET193" t="e">
        <f>AND(#REF!,"AAAAAHD+/5U=")</f>
        <v>#REF!</v>
      </c>
      <c r="EU193" t="e">
        <f>AND(#REF!,"AAAAAHD+/5Y=")</f>
        <v>#REF!</v>
      </c>
      <c r="EV193" t="e">
        <f>AND(#REF!,"AAAAAHD+/5c=")</f>
        <v>#REF!</v>
      </c>
      <c r="EW193" t="e">
        <f>AND(#REF!,"AAAAAHD+/5g=")</f>
        <v>#REF!</v>
      </c>
      <c r="EX193" t="e">
        <f>AND(#REF!,"AAAAAHD+/5k=")</f>
        <v>#REF!</v>
      </c>
      <c r="EY193" t="e">
        <f>AND(#REF!,"AAAAAHD+/5o=")</f>
        <v>#REF!</v>
      </c>
      <c r="EZ193" t="e">
        <f>AND(#REF!,"AAAAAHD+/5s=")</f>
        <v>#REF!</v>
      </c>
      <c r="FA193" t="e">
        <f>AND(#REF!,"AAAAAHD+/5w=")</f>
        <v>#REF!</v>
      </c>
      <c r="FB193" t="e">
        <f>IF(#REF!,"AAAAAHD+/50=",0)</f>
        <v>#REF!</v>
      </c>
      <c r="FC193" t="e">
        <f>AND(#REF!,"AAAAAHD+/54=")</f>
        <v>#REF!</v>
      </c>
      <c r="FD193" t="e">
        <f>AND(#REF!,"AAAAAHD+/58=")</f>
        <v>#REF!</v>
      </c>
      <c r="FE193" t="e">
        <f>AND(#REF!,"AAAAAHD+/6A=")</f>
        <v>#REF!</v>
      </c>
      <c r="FF193" t="e">
        <f>AND(#REF!,"AAAAAHD+/6E=")</f>
        <v>#REF!</v>
      </c>
      <c r="FG193" t="e">
        <f>AND(#REF!,"AAAAAHD+/6I=")</f>
        <v>#REF!</v>
      </c>
      <c r="FH193" t="e">
        <f>AND(#REF!,"AAAAAHD+/6M=")</f>
        <v>#REF!</v>
      </c>
      <c r="FI193" t="e">
        <f>AND(#REF!,"AAAAAHD+/6Q=")</f>
        <v>#REF!</v>
      </c>
      <c r="FJ193" t="e">
        <f>AND(#REF!,"AAAAAHD+/6U=")</f>
        <v>#REF!</v>
      </c>
      <c r="FK193" t="e">
        <f>AND(#REF!,"AAAAAHD+/6Y=")</f>
        <v>#REF!</v>
      </c>
      <c r="FL193" t="e">
        <f>AND(#REF!,"AAAAAHD+/6c=")</f>
        <v>#REF!</v>
      </c>
      <c r="FM193" t="e">
        <f>IF(#REF!,"AAAAAHD+/6g=",0)</f>
        <v>#REF!</v>
      </c>
      <c r="FN193" t="e">
        <f>AND(#REF!,"AAAAAHD+/6k=")</f>
        <v>#REF!</v>
      </c>
      <c r="FO193" t="e">
        <f>AND(#REF!,"AAAAAHD+/6o=")</f>
        <v>#REF!</v>
      </c>
      <c r="FP193" t="e">
        <f>AND(#REF!,"AAAAAHD+/6s=")</f>
        <v>#REF!</v>
      </c>
      <c r="FQ193" t="e">
        <f>AND(#REF!,"AAAAAHD+/6w=")</f>
        <v>#REF!</v>
      </c>
      <c r="FR193" t="e">
        <f>AND(#REF!,"AAAAAHD+/60=")</f>
        <v>#REF!</v>
      </c>
      <c r="FS193" t="e">
        <f>AND(#REF!,"AAAAAHD+/64=")</f>
        <v>#REF!</v>
      </c>
      <c r="FT193" t="e">
        <f>AND(#REF!,"AAAAAHD+/68=")</f>
        <v>#REF!</v>
      </c>
      <c r="FU193" t="e">
        <f>AND(#REF!,"AAAAAHD+/7A=")</f>
        <v>#REF!</v>
      </c>
      <c r="FV193" t="e">
        <f>AND(#REF!,"AAAAAHD+/7E=")</f>
        <v>#REF!</v>
      </c>
      <c r="FW193" t="e">
        <f>AND(#REF!,"AAAAAHD+/7I=")</f>
        <v>#REF!</v>
      </c>
      <c r="FX193" t="e">
        <f>IF(#REF!,"AAAAAHD+/7M=",0)</f>
        <v>#REF!</v>
      </c>
      <c r="FY193" t="e">
        <f>AND(#REF!,"AAAAAHD+/7Q=")</f>
        <v>#REF!</v>
      </c>
      <c r="FZ193" t="e">
        <f>AND(#REF!,"AAAAAHD+/7U=")</f>
        <v>#REF!</v>
      </c>
      <c r="GA193" t="e">
        <f>AND(#REF!,"AAAAAHD+/7Y=")</f>
        <v>#REF!</v>
      </c>
      <c r="GB193" t="e">
        <f>AND(#REF!,"AAAAAHD+/7c=")</f>
        <v>#REF!</v>
      </c>
      <c r="GC193" t="e">
        <f>AND(#REF!,"AAAAAHD+/7g=")</f>
        <v>#REF!</v>
      </c>
      <c r="GD193" t="e">
        <f>AND(#REF!,"AAAAAHD+/7k=")</f>
        <v>#REF!</v>
      </c>
      <c r="GE193" t="e">
        <f>AND(#REF!,"AAAAAHD+/7o=")</f>
        <v>#REF!</v>
      </c>
      <c r="GF193" t="e">
        <f>AND(#REF!,"AAAAAHD+/7s=")</f>
        <v>#REF!</v>
      </c>
      <c r="GG193" t="e">
        <f>AND(#REF!,"AAAAAHD+/7w=")</f>
        <v>#REF!</v>
      </c>
      <c r="GH193" t="e">
        <f>AND(#REF!,"AAAAAHD+/70=")</f>
        <v>#REF!</v>
      </c>
      <c r="GI193" t="e">
        <f>IF(#REF!,"AAAAAHD+/74=",0)</f>
        <v>#REF!</v>
      </c>
      <c r="GJ193" t="e">
        <f>AND(#REF!,"AAAAAHD+/78=")</f>
        <v>#REF!</v>
      </c>
      <c r="GK193" t="e">
        <f>AND(#REF!,"AAAAAHD+/8A=")</f>
        <v>#REF!</v>
      </c>
      <c r="GL193" t="e">
        <f>AND(#REF!,"AAAAAHD+/8E=")</f>
        <v>#REF!</v>
      </c>
      <c r="GM193" t="e">
        <f>AND(#REF!,"AAAAAHD+/8I=")</f>
        <v>#REF!</v>
      </c>
      <c r="GN193" t="e">
        <f>AND(#REF!,"AAAAAHD+/8M=")</f>
        <v>#REF!</v>
      </c>
      <c r="GO193" t="e">
        <f>AND(#REF!,"AAAAAHD+/8Q=")</f>
        <v>#REF!</v>
      </c>
      <c r="GP193" t="e">
        <f>AND(#REF!,"AAAAAHD+/8U=")</f>
        <v>#REF!</v>
      </c>
      <c r="GQ193" t="e">
        <f>AND(#REF!,"AAAAAHD+/8Y=")</f>
        <v>#REF!</v>
      </c>
      <c r="GR193" t="e">
        <f>AND(#REF!,"AAAAAHD+/8c=")</f>
        <v>#REF!</v>
      </c>
      <c r="GS193" t="e">
        <f>AND(#REF!,"AAAAAHD+/8g=")</f>
        <v>#REF!</v>
      </c>
      <c r="GT193" t="e">
        <f>IF(#REF!,"AAAAAHD+/8k=",0)</f>
        <v>#REF!</v>
      </c>
      <c r="GU193" t="e">
        <f>AND(#REF!,"AAAAAHD+/8o=")</f>
        <v>#REF!</v>
      </c>
      <c r="GV193" t="e">
        <f>AND(#REF!,"AAAAAHD+/8s=")</f>
        <v>#REF!</v>
      </c>
      <c r="GW193" t="e">
        <f>AND(#REF!,"AAAAAHD+/8w=")</f>
        <v>#REF!</v>
      </c>
      <c r="GX193" t="e">
        <f>AND(#REF!,"AAAAAHD+/80=")</f>
        <v>#REF!</v>
      </c>
      <c r="GY193" t="e">
        <f>AND(#REF!,"AAAAAHD+/84=")</f>
        <v>#REF!</v>
      </c>
      <c r="GZ193" t="e">
        <f>AND(#REF!,"AAAAAHD+/88=")</f>
        <v>#REF!</v>
      </c>
      <c r="HA193" t="e">
        <f>AND(#REF!,"AAAAAHD+/9A=")</f>
        <v>#REF!</v>
      </c>
      <c r="HB193" t="e">
        <f>AND(#REF!,"AAAAAHD+/9E=")</f>
        <v>#REF!</v>
      </c>
      <c r="HC193" t="e">
        <f>AND(#REF!,"AAAAAHD+/9I=")</f>
        <v>#REF!</v>
      </c>
      <c r="HD193" t="e">
        <f>AND(#REF!,"AAAAAHD+/9M=")</f>
        <v>#REF!</v>
      </c>
      <c r="HE193" t="e">
        <f>IF(#REF!,"AAAAAHD+/9Q=",0)</f>
        <v>#REF!</v>
      </c>
      <c r="HF193" t="e">
        <f>AND(#REF!,"AAAAAHD+/9U=")</f>
        <v>#REF!</v>
      </c>
      <c r="HG193" t="e">
        <f>AND(#REF!,"AAAAAHD+/9Y=")</f>
        <v>#REF!</v>
      </c>
      <c r="HH193" t="e">
        <f>AND(#REF!,"AAAAAHD+/9c=")</f>
        <v>#REF!</v>
      </c>
      <c r="HI193" t="e">
        <f>AND(#REF!,"AAAAAHD+/9g=")</f>
        <v>#REF!</v>
      </c>
      <c r="HJ193" t="e">
        <f>AND(#REF!,"AAAAAHD+/9k=")</f>
        <v>#REF!</v>
      </c>
      <c r="HK193" t="e">
        <f>AND(#REF!,"AAAAAHD+/9o=")</f>
        <v>#REF!</v>
      </c>
      <c r="HL193" t="e">
        <f>AND(#REF!,"AAAAAHD+/9s=")</f>
        <v>#REF!</v>
      </c>
      <c r="HM193" t="e">
        <f>AND(#REF!,"AAAAAHD+/9w=")</f>
        <v>#REF!</v>
      </c>
      <c r="HN193" t="e">
        <f>AND(#REF!,"AAAAAHD+/90=")</f>
        <v>#REF!</v>
      </c>
      <c r="HO193" t="e">
        <f>AND(#REF!,"AAAAAHD+/94=")</f>
        <v>#REF!</v>
      </c>
      <c r="HP193" t="e">
        <f>IF(#REF!,"AAAAAHD+/98=",0)</f>
        <v>#REF!</v>
      </c>
      <c r="HQ193" t="e">
        <f>AND(#REF!,"AAAAAHD+/+A=")</f>
        <v>#REF!</v>
      </c>
      <c r="HR193" t="e">
        <f>AND(#REF!,"AAAAAHD+/+E=")</f>
        <v>#REF!</v>
      </c>
      <c r="HS193" t="e">
        <f>AND(#REF!,"AAAAAHD+/+I=")</f>
        <v>#REF!</v>
      </c>
      <c r="HT193" t="e">
        <f>AND(#REF!,"AAAAAHD+/+M=")</f>
        <v>#REF!</v>
      </c>
      <c r="HU193" t="e">
        <f>AND(#REF!,"AAAAAHD+/+Q=")</f>
        <v>#REF!</v>
      </c>
      <c r="HV193" t="e">
        <f>AND(#REF!,"AAAAAHD+/+U=")</f>
        <v>#REF!</v>
      </c>
      <c r="HW193" t="e">
        <f>AND(#REF!,"AAAAAHD+/+Y=")</f>
        <v>#REF!</v>
      </c>
      <c r="HX193" t="e">
        <f>AND(#REF!,"AAAAAHD+/+c=")</f>
        <v>#REF!</v>
      </c>
      <c r="HY193" t="e">
        <f>AND(#REF!,"AAAAAHD+/+g=")</f>
        <v>#REF!</v>
      </c>
      <c r="HZ193" t="e">
        <f>AND(#REF!,"AAAAAHD+/+k=")</f>
        <v>#REF!</v>
      </c>
      <c r="IA193" t="e">
        <f>IF(#REF!,"AAAAAHD+/+o=",0)</f>
        <v>#REF!</v>
      </c>
      <c r="IB193" t="e">
        <f>AND(#REF!,"AAAAAHD+/+s=")</f>
        <v>#REF!</v>
      </c>
      <c r="IC193" t="e">
        <f>AND(#REF!,"AAAAAHD+/+w=")</f>
        <v>#REF!</v>
      </c>
      <c r="ID193" t="e">
        <f>AND(#REF!,"AAAAAHD+/+0=")</f>
        <v>#REF!</v>
      </c>
      <c r="IE193" t="e">
        <f>AND(#REF!,"AAAAAHD+/+4=")</f>
        <v>#REF!</v>
      </c>
      <c r="IF193" t="e">
        <f>AND(#REF!,"AAAAAHD+/+8=")</f>
        <v>#REF!</v>
      </c>
      <c r="IG193" t="e">
        <f>AND(#REF!,"AAAAAHD+//A=")</f>
        <v>#REF!</v>
      </c>
      <c r="IH193" t="e">
        <f>AND(#REF!,"AAAAAHD+//E=")</f>
        <v>#REF!</v>
      </c>
      <c r="II193" t="e">
        <f>AND(#REF!,"AAAAAHD+//I=")</f>
        <v>#REF!</v>
      </c>
      <c r="IJ193" t="e">
        <f>AND(#REF!,"AAAAAHD+//M=")</f>
        <v>#REF!</v>
      </c>
      <c r="IK193" t="e">
        <f>AND(#REF!,"AAAAAHD+//Q=")</f>
        <v>#REF!</v>
      </c>
      <c r="IL193" t="e">
        <f>IF(#REF!,"AAAAAHD+//U=",0)</f>
        <v>#REF!</v>
      </c>
      <c r="IM193" t="e">
        <f>AND(#REF!,"AAAAAHD+//Y=")</f>
        <v>#REF!</v>
      </c>
      <c r="IN193" t="e">
        <f>AND(#REF!,"AAAAAHD+//c=")</f>
        <v>#REF!</v>
      </c>
      <c r="IO193" t="e">
        <f>AND(#REF!,"AAAAAHD+//g=")</f>
        <v>#REF!</v>
      </c>
      <c r="IP193" t="e">
        <f>AND(#REF!,"AAAAAHD+//k=")</f>
        <v>#REF!</v>
      </c>
      <c r="IQ193" t="e">
        <f>AND(#REF!,"AAAAAHD+//o=")</f>
        <v>#REF!</v>
      </c>
      <c r="IR193" t="e">
        <f>AND(#REF!,"AAAAAHD+//s=")</f>
        <v>#REF!</v>
      </c>
      <c r="IS193" t="e">
        <f>AND(#REF!,"AAAAAHD+//w=")</f>
        <v>#REF!</v>
      </c>
      <c r="IT193" t="e">
        <f>AND(#REF!,"AAAAAHD+//0=")</f>
        <v>#REF!</v>
      </c>
      <c r="IU193" t="e">
        <f>AND(#REF!,"AAAAAHD+//4=")</f>
        <v>#REF!</v>
      </c>
      <c r="IV193" t="e">
        <f>AND(#REF!,"AAAAAHD+//8=")</f>
        <v>#REF!</v>
      </c>
    </row>
    <row r="194" spans="1:256" x14ac:dyDescent="0.25">
      <c r="A194" t="e">
        <f>IF(#REF!,"AAAAAHz/bwA=",0)</f>
        <v>#REF!</v>
      </c>
      <c r="B194" t="e">
        <f>AND(#REF!,"AAAAAHz/bwE=")</f>
        <v>#REF!</v>
      </c>
      <c r="C194" t="e">
        <f>AND(#REF!,"AAAAAHz/bwI=")</f>
        <v>#REF!</v>
      </c>
      <c r="D194" t="e">
        <f>AND(#REF!,"AAAAAHz/bwM=")</f>
        <v>#REF!</v>
      </c>
      <c r="E194" t="e">
        <f>AND(#REF!,"AAAAAHz/bwQ=")</f>
        <v>#REF!</v>
      </c>
      <c r="F194" t="e">
        <f>AND(#REF!,"AAAAAHz/bwU=")</f>
        <v>#REF!</v>
      </c>
      <c r="G194" t="e">
        <f>AND(#REF!,"AAAAAHz/bwY=")</f>
        <v>#REF!</v>
      </c>
      <c r="H194" t="e">
        <f>AND(#REF!,"AAAAAHz/bwc=")</f>
        <v>#REF!</v>
      </c>
      <c r="I194" t="e">
        <f>AND(#REF!,"AAAAAHz/bwg=")</f>
        <v>#REF!</v>
      </c>
      <c r="J194" t="e">
        <f>AND(#REF!,"AAAAAHz/bwk=")</f>
        <v>#REF!</v>
      </c>
      <c r="K194" t="e">
        <f>AND(#REF!,"AAAAAHz/bwo=")</f>
        <v>#REF!</v>
      </c>
      <c r="L194" t="e">
        <f>IF(#REF!,"AAAAAHz/bws=",0)</f>
        <v>#REF!</v>
      </c>
      <c r="M194" t="e">
        <f>AND(#REF!,"AAAAAHz/bww=")</f>
        <v>#REF!</v>
      </c>
      <c r="N194" t="e">
        <f>AND(#REF!,"AAAAAHz/bw0=")</f>
        <v>#REF!</v>
      </c>
      <c r="O194" t="e">
        <f>AND(#REF!,"AAAAAHz/bw4=")</f>
        <v>#REF!</v>
      </c>
      <c r="P194" t="e">
        <f>AND(#REF!,"AAAAAHz/bw8=")</f>
        <v>#REF!</v>
      </c>
      <c r="Q194" t="e">
        <f>AND(#REF!,"AAAAAHz/bxA=")</f>
        <v>#REF!</v>
      </c>
      <c r="R194" t="e">
        <f>AND(#REF!,"AAAAAHz/bxE=")</f>
        <v>#REF!</v>
      </c>
      <c r="S194" t="e">
        <f>AND(#REF!,"AAAAAHz/bxI=")</f>
        <v>#REF!</v>
      </c>
      <c r="T194" t="e">
        <f>AND(#REF!,"AAAAAHz/bxM=")</f>
        <v>#REF!</v>
      </c>
      <c r="U194" t="e">
        <f>AND(#REF!,"AAAAAHz/bxQ=")</f>
        <v>#REF!</v>
      </c>
      <c r="V194" t="e">
        <f>AND(#REF!,"AAAAAHz/bxU=")</f>
        <v>#REF!</v>
      </c>
      <c r="W194" t="e">
        <f>IF(#REF!,"AAAAAHz/bxY=",0)</f>
        <v>#REF!</v>
      </c>
      <c r="X194" t="e">
        <f>AND(#REF!,"AAAAAHz/bxc=")</f>
        <v>#REF!</v>
      </c>
      <c r="Y194" t="e">
        <f>AND(#REF!,"AAAAAHz/bxg=")</f>
        <v>#REF!</v>
      </c>
      <c r="Z194" t="e">
        <f>AND(#REF!,"AAAAAHz/bxk=")</f>
        <v>#REF!</v>
      </c>
      <c r="AA194" t="e">
        <f>AND(#REF!,"AAAAAHz/bxo=")</f>
        <v>#REF!</v>
      </c>
      <c r="AB194" t="e">
        <f>AND(#REF!,"AAAAAHz/bxs=")</f>
        <v>#REF!</v>
      </c>
      <c r="AC194" t="e">
        <f>AND(#REF!,"AAAAAHz/bxw=")</f>
        <v>#REF!</v>
      </c>
      <c r="AD194" t="e">
        <f>AND(#REF!,"AAAAAHz/bx0=")</f>
        <v>#REF!</v>
      </c>
      <c r="AE194" t="e">
        <f>AND(#REF!,"AAAAAHz/bx4=")</f>
        <v>#REF!</v>
      </c>
      <c r="AF194" t="e">
        <f>AND(#REF!,"AAAAAHz/bx8=")</f>
        <v>#REF!</v>
      </c>
      <c r="AG194" t="e">
        <f>AND(#REF!,"AAAAAHz/byA=")</f>
        <v>#REF!</v>
      </c>
      <c r="AH194" t="e">
        <f>IF(#REF!,"AAAAAHz/byE=",0)</f>
        <v>#REF!</v>
      </c>
      <c r="AI194" t="e">
        <f>AND(#REF!,"AAAAAHz/byI=")</f>
        <v>#REF!</v>
      </c>
      <c r="AJ194" t="e">
        <f>AND(#REF!,"AAAAAHz/byM=")</f>
        <v>#REF!</v>
      </c>
      <c r="AK194" t="e">
        <f>AND(#REF!,"AAAAAHz/byQ=")</f>
        <v>#REF!</v>
      </c>
      <c r="AL194" t="e">
        <f>AND(#REF!,"AAAAAHz/byU=")</f>
        <v>#REF!</v>
      </c>
      <c r="AM194" t="e">
        <f>AND(#REF!,"AAAAAHz/byY=")</f>
        <v>#REF!</v>
      </c>
      <c r="AN194" t="e">
        <f>AND(#REF!,"AAAAAHz/byc=")</f>
        <v>#REF!</v>
      </c>
      <c r="AO194" t="e">
        <f>AND(#REF!,"AAAAAHz/byg=")</f>
        <v>#REF!</v>
      </c>
      <c r="AP194" t="e">
        <f>AND(#REF!,"AAAAAHz/byk=")</f>
        <v>#REF!</v>
      </c>
      <c r="AQ194" t="e">
        <f>AND(#REF!,"AAAAAHz/byo=")</f>
        <v>#REF!</v>
      </c>
      <c r="AR194" t="e">
        <f>AND(#REF!,"AAAAAHz/bys=")</f>
        <v>#REF!</v>
      </c>
      <c r="AS194" t="e">
        <f>IF(#REF!,"AAAAAHz/byw=",0)</f>
        <v>#REF!</v>
      </c>
      <c r="AT194" t="e">
        <f>AND(#REF!,"AAAAAHz/by0=")</f>
        <v>#REF!</v>
      </c>
      <c r="AU194" t="e">
        <f>AND(#REF!,"AAAAAHz/by4=")</f>
        <v>#REF!</v>
      </c>
      <c r="AV194" t="e">
        <f>AND(#REF!,"AAAAAHz/by8=")</f>
        <v>#REF!</v>
      </c>
      <c r="AW194" t="e">
        <f>AND(#REF!,"AAAAAHz/bzA=")</f>
        <v>#REF!</v>
      </c>
      <c r="AX194" t="e">
        <f>AND(#REF!,"AAAAAHz/bzE=")</f>
        <v>#REF!</v>
      </c>
      <c r="AY194" t="e">
        <f>AND(#REF!,"AAAAAHz/bzI=")</f>
        <v>#REF!</v>
      </c>
      <c r="AZ194" t="e">
        <f>AND(#REF!,"AAAAAHz/bzM=")</f>
        <v>#REF!</v>
      </c>
      <c r="BA194" t="e">
        <f>AND(#REF!,"AAAAAHz/bzQ=")</f>
        <v>#REF!</v>
      </c>
      <c r="BB194" t="e">
        <f>AND(#REF!,"AAAAAHz/bzU=")</f>
        <v>#REF!</v>
      </c>
      <c r="BC194" t="e">
        <f>AND(#REF!,"AAAAAHz/bzY=")</f>
        <v>#REF!</v>
      </c>
      <c r="BD194" t="e">
        <f>IF(#REF!,"AAAAAHz/bzc=",0)</f>
        <v>#REF!</v>
      </c>
      <c r="BE194" t="e">
        <f>AND(#REF!,"AAAAAHz/bzg=")</f>
        <v>#REF!</v>
      </c>
      <c r="BF194" t="e">
        <f>AND(#REF!,"AAAAAHz/bzk=")</f>
        <v>#REF!</v>
      </c>
      <c r="BG194" t="e">
        <f>AND(#REF!,"AAAAAHz/bzo=")</f>
        <v>#REF!</v>
      </c>
      <c r="BH194" t="e">
        <f>AND(#REF!,"AAAAAHz/bzs=")</f>
        <v>#REF!</v>
      </c>
      <c r="BI194" t="e">
        <f>AND(#REF!,"AAAAAHz/bzw=")</f>
        <v>#REF!</v>
      </c>
      <c r="BJ194" t="e">
        <f>AND(#REF!,"AAAAAHz/bz0=")</f>
        <v>#REF!</v>
      </c>
      <c r="BK194" t="e">
        <f>AND(#REF!,"AAAAAHz/bz4=")</f>
        <v>#REF!</v>
      </c>
      <c r="BL194" t="e">
        <f>AND(#REF!,"AAAAAHz/bz8=")</f>
        <v>#REF!</v>
      </c>
      <c r="BM194" t="e">
        <f>AND(#REF!,"AAAAAHz/b0A=")</f>
        <v>#REF!</v>
      </c>
      <c r="BN194" t="e">
        <f>AND(#REF!,"AAAAAHz/b0E=")</f>
        <v>#REF!</v>
      </c>
      <c r="BO194" t="e">
        <f>IF(#REF!,"AAAAAHz/b0I=",0)</f>
        <v>#REF!</v>
      </c>
      <c r="BP194" t="e">
        <f>AND(#REF!,"AAAAAHz/b0M=")</f>
        <v>#REF!</v>
      </c>
      <c r="BQ194" t="e">
        <f>AND(#REF!,"AAAAAHz/b0Q=")</f>
        <v>#REF!</v>
      </c>
      <c r="BR194" t="e">
        <f>AND(#REF!,"AAAAAHz/b0U=")</f>
        <v>#REF!</v>
      </c>
      <c r="BS194" t="e">
        <f>AND(#REF!,"AAAAAHz/b0Y=")</f>
        <v>#REF!</v>
      </c>
      <c r="BT194" t="e">
        <f>AND(#REF!,"AAAAAHz/b0c=")</f>
        <v>#REF!</v>
      </c>
      <c r="BU194" t="e">
        <f>AND(#REF!,"AAAAAHz/b0g=")</f>
        <v>#REF!</v>
      </c>
      <c r="BV194" t="e">
        <f>AND(#REF!,"AAAAAHz/b0k=")</f>
        <v>#REF!</v>
      </c>
      <c r="BW194" t="e">
        <f>AND(#REF!,"AAAAAHz/b0o=")</f>
        <v>#REF!</v>
      </c>
      <c r="BX194" t="e">
        <f>AND(#REF!,"AAAAAHz/b0s=")</f>
        <v>#REF!</v>
      </c>
      <c r="BY194" t="e">
        <f>AND(#REF!,"AAAAAHz/b0w=")</f>
        <v>#REF!</v>
      </c>
      <c r="BZ194" t="e">
        <f>IF(#REF!,"AAAAAHz/b00=",0)</f>
        <v>#REF!</v>
      </c>
      <c r="CA194" t="e">
        <f>AND(#REF!,"AAAAAHz/b04=")</f>
        <v>#REF!</v>
      </c>
      <c r="CB194" t="e">
        <f>AND(#REF!,"AAAAAHz/b08=")</f>
        <v>#REF!</v>
      </c>
      <c r="CC194" t="e">
        <f>AND(#REF!,"AAAAAHz/b1A=")</f>
        <v>#REF!</v>
      </c>
      <c r="CD194" t="e">
        <f>AND(#REF!,"AAAAAHz/b1E=")</f>
        <v>#REF!</v>
      </c>
      <c r="CE194" t="e">
        <f>AND(#REF!,"AAAAAHz/b1I=")</f>
        <v>#REF!</v>
      </c>
      <c r="CF194" t="e">
        <f>AND(#REF!,"AAAAAHz/b1M=")</f>
        <v>#REF!</v>
      </c>
      <c r="CG194" t="e">
        <f>AND(#REF!,"AAAAAHz/b1Q=")</f>
        <v>#REF!</v>
      </c>
      <c r="CH194" t="e">
        <f>AND(#REF!,"AAAAAHz/b1U=")</f>
        <v>#REF!</v>
      </c>
      <c r="CI194" t="e">
        <f>AND(#REF!,"AAAAAHz/b1Y=")</f>
        <v>#REF!</v>
      </c>
      <c r="CJ194" t="e">
        <f>AND(#REF!,"AAAAAHz/b1c=")</f>
        <v>#REF!</v>
      </c>
      <c r="CK194" t="e">
        <f>IF(#REF!,"AAAAAHz/b1g=",0)</f>
        <v>#REF!</v>
      </c>
      <c r="CL194" t="e">
        <f>AND(#REF!,"AAAAAHz/b1k=")</f>
        <v>#REF!</v>
      </c>
      <c r="CM194" t="e">
        <f>AND(#REF!,"AAAAAHz/b1o=")</f>
        <v>#REF!</v>
      </c>
      <c r="CN194" t="e">
        <f>AND(#REF!,"AAAAAHz/b1s=")</f>
        <v>#REF!</v>
      </c>
      <c r="CO194" t="e">
        <f>AND(#REF!,"AAAAAHz/b1w=")</f>
        <v>#REF!</v>
      </c>
      <c r="CP194" t="e">
        <f>AND(#REF!,"AAAAAHz/b10=")</f>
        <v>#REF!</v>
      </c>
      <c r="CQ194" t="e">
        <f>AND(#REF!,"AAAAAHz/b14=")</f>
        <v>#REF!</v>
      </c>
      <c r="CR194" t="e">
        <f>AND(#REF!,"AAAAAHz/b18=")</f>
        <v>#REF!</v>
      </c>
      <c r="CS194" t="e">
        <f>AND(#REF!,"AAAAAHz/b2A=")</f>
        <v>#REF!</v>
      </c>
      <c r="CT194" t="e">
        <f>AND(#REF!,"AAAAAHz/b2E=")</f>
        <v>#REF!</v>
      </c>
      <c r="CU194" t="e">
        <f>AND(#REF!,"AAAAAHz/b2I=")</f>
        <v>#REF!</v>
      </c>
      <c r="CV194" t="e">
        <f>IF(#REF!,"AAAAAHz/b2M=",0)</f>
        <v>#REF!</v>
      </c>
      <c r="CW194" t="e">
        <f>AND(#REF!,"AAAAAHz/b2Q=")</f>
        <v>#REF!</v>
      </c>
      <c r="CX194" t="e">
        <f>AND(#REF!,"AAAAAHz/b2U=")</f>
        <v>#REF!</v>
      </c>
      <c r="CY194" t="e">
        <f>AND(#REF!,"AAAAAHz/b2Y=")</f>
        <v>#REF!</v>
      </c>
      <c r="CZ194" t="e">
        <f>AND(#REF!,"AAAAAHz/b2c=")</f>
        <v>#REF!</v>
      </c>
      <c r="DA194" t="e">
        <f>AND(#REF!,"AAAAAHz/b2g=")</f>
        <v>#REF!</v>
      </c>
      <c r="DB194" t="e">
        <f>AND(#REF!,"AAAAAHz/b2k=")</f>
        <v>#REF!</v>
      </c>
      <c r="DC194" t="e">
        <f>AND(#REF!,"AAAAAHz/b2o=")</f>
        <v>#REF!</v>
      </c>
      <c r="DD194" t="e">
        <f>AND(#REF!,"AAAAAHz/b2s=")</f>
        <v>#REF!</v>
      </c>
      <c r="DE194" t="e">
        <f>AND(#REF!,"AAAAAHz/b2w=")</f>
        <v>#REF!</v>
      </c>
      <c r="DF194" t="e">
        <f>AND(#REF!,"AAAAAHz/b20=")</f>
        <v>#REF!</v>
      </c>
      <c r="DG194" t="e">
        <f>IF(#REF!,"AAAAAHz/b24=",0)</f>
        <v>#REF!</v>
      </c>
      <c r="DH194" t="e">
        <f>AND(#REF!,"AAAAAHz/b28=")</f>
        <v>#REF!</v>
      </c>
      <c r="DI194" t="e">
        <f>AND(#REF!,"AAAAAHz/b3A=")</f>
        <v>#REF!</v>
      </c>
      <c r="DJ194" t="e">
        <f>AND(#REF!,"AAAAAHz/b3E=")</f>
        <v>#REF!</v>
      </c>
      <c r="DK194" t="e">
        <f>AND(#REF!,"AAAAAHz/b3I=")</f>
        <v>#REF!</v>
      </c>
      <c r="DL194" t="e">
        <f>AND(#REF!,"AAAAAHz/b3M=")</f>
        <v>#REF!</v>
      </c>
      <c r="DM194" t="e">
        <f>AND(#REF!,"AAAAAHz/b3Q=")</f>
        <v>#REF!</v>
      </c>
      <c r="DN194" t="e">
        <f>AND(#REF!,"AAAAAHz/b3U=")</f>
        <v>#REF!</v>
      </c>
      <c r="DO194" t="e">
        <f>AND(#REF!,"AAAAAHz/b3Y=")</f>
        <v>#REF!</v>
      </c>
      <c r="DP194" t="e">
        <f>AND(#REF!,"AAAAAHz/b3c=")</f>
        <v>#REF!</v>
      </c>
      <c r="DQ194" t="e">
        <f>AND(#REF!,"AAAAAHz/b3g=")</f>
        <v>#REF!</v>
      </c>
      <c r="DR194" t="e">
        <f>IF(#REF!,"AAAAAHz/b3k=",0)</f>
        <v>#REF!</v>
      </c>
      <c r="DS194" t="e">
        <f>AND(#REF!,"AAAAAHz/b3o=")</f>
        <v>#REF!</v>
      </c>
      <c r="DT194" t="e">
        <f>AND(#REF!,"AAAAAHz/b3s=")</f>
        <v>#REF!</v>
      </c>
      <c r="DU194" t="e">
        <f>AND(#REF!,"AAAAAHz/b3w=")</f>
        <v>#REF!</v>
      </c>
      <c r="DV194" t="e">
        <f>AND(#REF!,"AAAAAHz/b30=")</f>
        <v>#REF!</v>
      </c>
      <c r="DW194" t="e">
        <f>AND(#REF!,"AAAAAHz/b34=")</f>
        <v>#REF!</v>
      </c>
      <c r="DX194" t="e">
        <f>AND(#REF!,"AAAAAHz/b38=")</f>
        <v>#REF!</v>
      </c>
      <c r="DY194" t="e">
        <f>AND(#REF!,"AAAAAHz/b4A=")</f>
        <v>#REF!</v>
      </c>
      <c r="DZ194" t="e">
        <f>AND(#REF!,"AAAAAHz/b4E=")</f>
        <v>#REF!</v>
      </c>
      <c r="EA194" t="e">
        <f>AND(#REF!,"AAAAAHz/b4I=")</f>
        <v>#REF!</v>
      </c>
      <c r="EB194" t="e">
        <f>AND(#REF!,"AAAAAHz/b4M=")</f>
        <v>#REF!</v>
      </c>
      <c r="EC194" t="e">
        <f>IF(#REF!,"AAAAAHz/b4Q=",0)</f>
        <v>#REF!</v>
      </c>
      <c r="ED194" t="e">
        <f>AND(#REF!,"AAAAAHz/b4U=")</f>
        <v>#REF!</v>
      </c>
      <c r="EE194" t="e">
        <f>AND(#REF!,"AAAAAHz/b4Y=")</f>
        <v>#REF!</v>
      </c>
      <c r="EF194" t="e">
        <f>AND(#REF!,"AAAAAHz/b4c=")</f>
        <v>#REF!</v>
      </c>
      <c r="EG194" t="e">
        <f>AND(#REF!,"AAAAAHz/b4g=")</f>
        <v>#REF!</v>
      </c>
      <c r="EH194" t="e">
        <f>AND(#REF!,"AAAAAHz/b4k=")</f>
        <v>#REF!</v>
      </c>
      <c r="EI194" t="e">
        <f>AND(#REF!,"AAAAAHz/b4o=")</f>
        <v>#REF!</v>
      </c>
      <c r="EJ194" t="e">
        <f>AND(#REF!,"AAAAAHz/b4s=")</f>
        <v>#REF!</v>
      </c>
      <c r="EK194" t="e">
        <f>AND(#REF!,"AAAAAHz/b4w=")</f>
        <v>#REF!</v>
      </c>
      <c r="EL194" t="e">
        <f>AND(#REF!,"AAAAAHz/b40=")</f>
        <v>#REF!</v>
      </c>
      <c r="EM194" t="e">
        <f>AND(#REF!,"AAAAAHz/b44=")</f>
        <v>#REF!</v>
      </c>
      <c r="EN194" t="e">
        <f>IF(#REF!,"AAAAAHz/b48=",0)</f>
        <v>#REF!</v>
      </c>
      <c r="EO194" t="e">
        <f>AND(#REF!,"AAAAAHz/b5A=")</f>
        <v>#REF!</v>
      </c>
      <c r="EP194" t="e">
        <f>AND(#REF!,"AAAAAHz/b5E=")</f>
        <v>#REF!</v>
      </c>
      <c r="EQ194" t="e">
        <f>AND(#REF!,"AAAAAHz/b5I=")</f>
        <v>#REF!</v>
      </c>
      <c r="ER194" t="e">
        <f>AND(#REF!,"AAAAAHz/b5M=")</f>
        <v>#REF!</v>
      </c>
      <c r="ES194" t="e">
        <f>AND(#REF!,"AAAAAHz/b5Q=")</f>
        <v>#REF!</v>
      </c>
      <c r="ET194" t="e">
        <f>AND(#REF!,"AAAAAHz/b5U=")</f>
        <v>#REF!</v>
      </c>
      <c r="EU194" t="e">
        <f>AND(#REF!,"AAAAAHz/b5Y=")</f>
        <v>#REF!</v>
      </c>
      <c r="EV194" t="e">
        <f>AND(#REF!,"AAAAAHz/b5c=")</f>
        <v>#REF!</v>
      </c>
      <c r="EW194" t="e">
        <f>AND(#REF!,"AAAAAHz/b5g=")</f>
        <v>#REF!</v>
      </c>
      <c r="EX194" t="e">
        <f>AND(#REF!,"AAAAAHz/b5k=")</f>
        <v>#REF!</v>
      </c>
      <c r="EY194" t="e">
        <f>IF(#REF!,"AAAAAHz/b5o=",0)</f>
        <v>#REF!</v>
      </c>
      <c r="EZ194" t="e">
        <f>AND(#REF!,"AAAAAHz/b5s=")</f>
        <v>#REF!</v>
      </c>
      <c r="FA194" t="e">
        <f>AND(#REF!,"AAAAAHz/b5w=")</f>
        <v>#REF!</v>
      </c>
      <c r="FB194" t="e">
        <f>AND(#REF!,"AAAAAHz/b50=")</f>
        <v>#REF!</v>
      </c>
      <c r="FC194" t="e">
        <f>AND(#REF!,"AAAAAHz/b54=")</f>
        <v>#REF!</v>
      </c>
      <c r="FD194" t="e">
        <f>AND(#REF!,"AAAAAHz/b58=")</f>
        <v>#REF!</v>
      </c>
      <c r="FE194" t="e">
        <f>AND(#REF!,"AAAAAHz/b6A=")</f>
        <v>#REF!</v>
      </c>
      <c r="FF194" t="e">
        <f>AND(#REF!,"AAAAAHz/b6E=")</f>
        <v>#REF!</v>
      </c>
      <c r="FG194" t="e">
        <f>AND(#REF!,"AAAAAHz/b6I=")</f>
        <v>#REF!</v>
      </c>
      <c r="FH194" t="e">
        <f>AND(#REF!,"AAAAAHz/b6M=")</f>
        <v>#REF!</v>
      </c>
      <c r="FI194" t="e">
        <f>AND(#REF!,"AAAAAHz/b6Q=")</f>
        <v>#REF!</v>
      </c>
      <c r="FJ194" t="e">
        <f>IF(#REF!,"AAAAAHz/b6U=",0)</f>
        <v>#REF!</v>
      </c>
      <c r="FK194" t="e">
        <f>AND(#REF!,"AAAAAHz/b6Y=")</f>
        <v>#REF!</v>
      </c>
      <c r="FL194" t="e">
        <f>AND(#REF!,"AAAAAHz/b6c=")</f>
        <v>#REF!</v>
      </c>
      <c r="FM194" t="e">
        <f>AND(#REF!,"AAAAAHz/b6g=")</f>
        <v>#REF!</v>
      </c>
      <c r="FN194" t="e">
        <f>AND(#REF!,"AAAAAHz/b6k=")</f>
        <v>#REF!</v>
      </c>
      <c r="FO194" t="e">
        <f>AND(#REF!,"AAAAAHz/b6o=")</f>
        <v>#REF!</v>
      </c>
      <c r="FP194" t="e">
        <f>AND(#REF!,"AAAAAHz/b6s=")</f>
        <v>#REF!</v>
      </c>
      <c r="FQ194" t="e">
        <f>AND(#REF!,"AAAAAHz/b6w=")</f>
        <v>#REF!</v>
      </c>
      <c r="FR194" t="e">
        <f>AND(#REF!,"AAAAAHz/b60=")</f>
        <v>#REF!</v>
      </c>
      <c r="FS194" t="e">
        <f>AND(#REF!,"AAAAAHz/b64=")</f>
        <v>#REF!</v>
      </c>
      <c r="FT194" t="e">
        <f>AND(#REF!,"AAAAAHz/b68=")</f>
        <v>#REF!</v>
      </c>
      <c r="FU194" t="e">
        <f>IF(#REF!,"AAAAAHz/b7A=",0)</f>
        <v>#REF!</v>
      </c>
      <c r="FV194" t="e">
        <f>AND(#REF!,"AAAAAHz/b7E=")</f>
        <v>#REF!</v>
      </c>
      <c r="FW194" t="e">
        <f>AND(#REF!,"AAAAAHz/b7I=")</f>
        <v>#REF!</v>
      </c>
      <c r="FX194" t="e">
        <f>AND(#REF!,"AAAAAHz/b7M=")</f>
        <v>#REF!</v>
      </c>
      <c r="FY194" t="e">
        <f>AND(#REF!,"AAAAAHz/b7Q=")</f>
        <v>#REF!</v>
      </c>
      <c r="FZ194" t="e">
        <f>AND(#REF!,"AAAAAHz/b7U=")</f>
        <v>#REF!</v>
      </c>
      <c r="GA194" t="e">
        <f>AND(#REF!,"AAAAAHz/b7Y=")</f>
        <v>#REF!</v>
      </c>
      <c r="GB194" t="e">
        <f>AND(#REF!,"AAAAAHz/b7c=")</f>
        <v>#REF!</v>
      </c>
      <c r="GC194" t="e">
        <f>AND(#REF!,"AAAAAHz/b7g=")</f>
        <v>#REF!</v>
      </c>
      <c r="GD194" t="e">
        <f>AND(#REF!,"AAAAAHz/b7k=")</f>
        <v>#REF!</v>
      </c>
      <c r="GE194" t="e">
        <f>AND(#REF!,"AAAAAHz/b7o=")</f>
        <v>#REF!</v>
      </c>
      <c r="GF194" t="e">
        <f>IF(#REF!,"AAAAAHz/b7s=",0)</f>
        <v>#REF!</v>
      </c>
      <c r="GG194" t="e">
        <f>AND(#REF!,"AAAAAHz/b7w=")</f>
        <v>#REF!</v>
      </c>
      <c r="GH194" t="e">
        <f>AND(#REF!,"AAAAAHz/b70=")</f>
        <v>#REF!</v>
      </c>
      <c r="GI194" t="e">
        <f>AND(#REF!,"AAAAAHz/b74=")</f>
        <v>#REF!</v>
      </c>
      <c r="GJ194" t="e">
        <f>AND(#REF!,"AAAAAHz/b78=")</f>
        <v>#REF!</v>
      </c>
      <c r="GK194" t="e">
        <f>AND(#REF!,"AAAAAHz/b8A=")</f>
        <v>#REF!</v>
      </c>
      <c r="GL194" t="e">
        <f>AND(#REF!,"AAAAAHz/b8E=")</f>
        <v>#REF!</v>
      </c>
      <c r="GM194" t="e">
        <f>AND(#REF!,"AAAAAHz/b8I=")</f>
        <v>#REF!</v>
      </c>
      <c r="GN194" t="e">
        <f>AND(#REF!,"AAAAAHz/b8M=")</f>
        <v>#REF!</v>
      </c>
      <c r="GO194" t="e">
        <f>AND(#REF!,"AAAAAHz/b8Q=")</f>
        <v>#REF!</v>
      </c>
      <c r="GP194" t="e">
        <f>AND(#REF!,"AAAAAHz/b8U=")</f>
        <v>#REF!</v>
      </c>
      <c r="GQ194" t="e">
        <f>IF(#REF!,"AAAAAHz/b8Y=",0)</f>
        <v>#REF!</v>
      </c>
      <c r="GR194" t="e">
        <f>AND(#REF!,"AAAAAHz/b8c=")</f>
        <v>#REF!</v>
      </c>
      <c r="GS194" t="e">
        <f>AND(#REF!,"AAAAAHz/b8g=")</f>
        <v>#REF!</v>
      </c>
      <c r="GT194" t="e">
        <f>AND(#REF!,"AAAAAHz/b8k=")</f>
        <v>#REF!</v>
      </c>
      <c r="GU194" t="e">
        <f>AND(#REF!,"AAAAAHz/b8o=")</f>
        <v>#REF!</v>
      </c>
      <c r="GV194" t="e">
        <f>AND(#REF!,"AAAAAHz/b8s=")</f>
        <v>#REF!</v>
      </c>
      <c r="GW194" t="e">
        <f>AND(#REF!,"AAAAAHz/b8w=")</f>
        <v>#REF!</v>
      </c>
      <c r="GX194" t="e">
        <f>AND(#REF!,"AAAAAHz/b80=")</f>
        <v>#REF!</v>
      </c>
      <c r="GY194" t="e">
        <f>AND(#REF!,"AAAAAHz/b84=")</f>
        <v>#REF!</v>
      </c>
      <c r="GZ194" t="e">
        <f>AND(#REF!,"AAAAAHz/b88=")</f>
        <v>#REF!</v>
      </c>
      <c r="HA194" t="e">
        <f>AND(#REF!,"AAAAAHz/b9A=")</f>
        <v>#REF!</v>
      </c>
      <c r="HB194" t="e">
        <f>IF(#REF!,"AAAAAHz/b9E=",0)</f>
        <v>#REF!</v>
      </c>
      <c r="HC194" t="e">
        <f>AND(#REF!,"AAAAAHz/b9I=")</f>
        <v>#REF!</v>
      </c>
      <c r="HD194" t="e">
        <f>AND(#REF!,"AAAAAHz/b9M=")</f>
        <v>#REF!</v>
      </c>
      <c r="HE194" t="e">
        <f>AND(#REF!,"AAAAAHz/b9Q=")</f>
        <v>#REF!</v>
      </c>
      <c r="HF194" t="e">
        <f>AND(#REF!,"AAAAAHz/b9U=")</f>
        <v>#REF!</v>
      </c>
      <c r="HG194" t="e">
        <f>AND(#REF!,"AAAAAHz/b9Y=")</f>
        <v>#REF!</v>
      </c>
      <c r="HH194" t="e">
        <f>AND(#REF!,"AAAAAHz/b9c=")</f>
        <v>#REF!</v>
      </c>
      <c r="HI194" t="e">
        <f>AND(#REF!,"AAAAAHz/b9g=")</f>
        <v>#REF!</v>
      </c>
      <c r="HJ194" t="e">
        <f>AND(#REF!,"AAAAAHz/b9k=")</f>
        <v>#REF!</v>
      </c>
      <c r="HK194" t="e">
        <f>AND(#REF!,"AAAAAHz/b9o=")</f>
        <v>#REF!</v>
      </c>
      <c r="HL194" t="e">
        <f>AND(#REF!,"AAAAAHz/b9s=")</f>
        <v>#REF!</v>
      </c>
      <c r="HM194" t="e">
        <f>IF(#REF!,"AAAAAHz/b9w=",0)</f>
        <v>#REF!</v>
      </c>
      <c r="HN194" t="e">
        <f>AND(#REF!,"AAAAAHz/b90=")</f>
        <v>#REF!</v>
      </c>
      <c r="HO194" t="e">
        <f>AND(#REF!,"AAAAAHz/b94=")</f>
        <v>#REF!</v>
      </c>
      <c r="HP194" t="e">
        <f>AND(#REF!,"AAAAAHz/b98=")</f>
        <v>#REF!</v>
      </c>
      <c r="HQ194" t="e">
        <f>AND(#REF!,"AAAAAHz/b+A=")</f>
        <v>#REF!</v>
      </c>
      <c r="HR194" t="e">
        <f>AND(#REF!,"AAAAAHz/b+E=")</f>
        <v>#REF!</v>
      </c>
      <c r="HS194" t="e">
        <f>AND(#REF!,"AAAAAHz/b+I=")</f>
        <v>#REF!</v>
      </c>
      <c r="HT194" t="e">
        <f>AND(#REF!,"AAAAAHz/b+M=")</f>
        <v>#REF!</v>
      </c>
      <c r="HU194" t="e">
        <f>AND(#REF!,"AAAAAHz/b+Q=")</f>
        <v>#REF!</v>
      </c>
      <c r="HV194" t="e">
        <f>AND(#REF!,"AAAAAHz/b+U=")</f>
        <v>#REF!</v>
      </c>
      <c r="HW194" t="e">
        <f>AND(#REF!,"AAAAAHz/b+Y=")</f>
        <v>#REF!</v>
      </c>
      <c r="HX194" t="e">
        <f>IF(#REF!,"AAAAAHz/b+c=",0)</f>
        <v>#REF!</v>
      </c>
      <c r="HY194" t="e">
        <f>AND(#REF!,"AAAAAHz/b+g=")</f>
        <v>#REF!</v>
      </c>
      <c r="HZ194" t="e">
        <f>AND(#REF!,"AAAAAHz/b+k=")</f>
        <v>#REF!</v>
      </c>
      <c r="IA194" t="e">
        <f>AND(#REF!,"AAAAAHz/b+o=")</f>
        <v>#REF!</v>
      </c>
      <c r="IB194" t="e">
        <f>AND(#REF!,"AAAAAHz/b+s=")</f>
        <v>#REF!</v>
      </c>
      <c r="IC194" t="e">
        <f>AND(#REF!,"AAAAAHz/b+w=")</f>
        <v>#REF!</v>
      </c>
      <c r="ID194" t="e">
        <f>AND(#REF!,"AAAAAHz/b+0=")</f>
        <v>#REF!</v>
      </c>
      <c r="IE194" t="e">
        <f>AND(#REF!,"AAAAAHz/b+4=")</f>
        <v>#REF!</v>
      </c>
      <c r="IF194" t="e">
        <f>AND(#REF!,"AAAAAHz/b+8=")</f>
        <v>#REF!</v>
      </c>
      <c r="IG194" t="e">
        <f>AND(#REF!,"AAAAAHz/b/A=")</f>
        <v>#REF!</v>
      </c>
      <c r="IH194" t="e">
        <f>AND(#REF!,"AAAAAHz/b/E=")</f>
        <v>#REF!</v>
      </c>
      <c r="II194" t="e">
        <f>IF(#REF!,"AAAAAHz/b/I=",0)</f>
        <v>#REF!</v>
      </c>
      <c r="IJ194" t="e">
        <f>AND(#REF!,"AAAAAHz/b/M=")</f>
        <v>#REF!</v>
      </c>
      <c r="IK194" t="e">
        <f>AND(#REF!,"AAAAAHz/b/Q=")</f>
        <v>#REF!</v>
      </c>
      <c r="IL194" t="e">
        <f>AND(#REF!,"AAAAAHz/b/U=")</f>
        <v>#REF!</v>
      </c>
      <c r="IM194" t="e">
        <f>AND(#REF!,"AAAAAHz/b/Y=")</f>
        <v>#REF!</v>
      </c>
      <c r="IN194" t="e">
        <f>AND(#REF!,"AAAAAHz/b/c=")</f>
        <v>#REF!</v>
      </c>
      <c r="IO194" t="e">
        <f>AND(#REF!,"AAAAAHz/b/g=")</f>
        <v>#REF!</v>
      </c>
      <c r="IP194" t="e">
        <f>AND(#REF!,"AAAAAHz/b/k=")</f>
        <v>#REF!</v>
      </c>
      <c r="IQ194" t="e">
        <f>AND(#REF!,"AAAAAHz/b/o=")</f>
        <v>#REF!</v>
      </c>
      <c r="IR194" t="e">
        <f>AND(#REF!,"AAAAAHz/b/s=")</f>
        <v>#REF!</v>
      </c>
      <c r="IS194" t="e">
        <f>AND(#REF!,"AAAAAHz/b/w=")</f>
        <v>#REF!</v>
      </c>
      <c r="IT194" t="e">
        <f>IF(#REF!,"AAAAAHz/b/0=",0)</f>
        <v>#REF!</v>
      </c>
      <c r="IU194" t="e">
        <f>AND(#REF!,"AAAAAHz/b/4=")</f>
        <v>#REF!</v>
      </c>
      <c r="IV194" t="e">
        <f>AND(#REF!,"AAAAAHz/b/8=")</f>
        <v>#REF!</v>
      </c>
    </row>
    <row r="195" spans="1:256" x14ac:dyDescent="0.25">
      <c r="A195" t="e">
        <f>AND(#REF!,"AAAAAAvc/gA=")</f>
        <v>#REF!</v>
      </c>
      <c r="B195" t="e">
        <f>AND(#REF!,"AAAAAAvc/gE=")</f>
        <v>#REF!</v>
      </c>
      <c r="C195" t="e">
        <f>AND(#REF!,"AAAAAAvc/gI=")</f>
        <v>#REF!</v>
      </c>
      <c r="D195" t="e">
        <f>AND(#REF!,"AAAAAAvc/gM=")</f>
        <v>#REF!</v>
      </c>
      <c r="E195" t="e">
        <f>AND(#REF!,"AAAAAAvc/gQ=")</f>
        <v>#REF!</v>
      </c>
      <c r="F195" t="e">
        <f>AND(#REF!,"AAAAAAvc/gU=")</f>
        <v>#REF!</v>
      </c>
      <c r="G195" t="e">
        <f>AND(#REF!,"AAAAAAvc/gY=")</f>
        <v>#REF!</v>
      </c>
      <c r="H195" t="e">
        <f>AND(#REF!,"AAAAAAvc/gc=")</f>
        <v>#REF!</v>
      </c>
      <c r="I195" t="e">
        <f>IF(#REF!,"AAAAAAvc/gg=",0)</f>
        <v>#REF!</v>
      </c>
      <c r="J195" t="e">
        <f>AND(#REF!,"AAAAAAvc/gk=")</f>
        <v>#REF!</v>
      </c>
      <c r="K195" t="e">
        <f>AND(#REF!,"AAAAAAvc/go=")</f>
        <v>#REF!</v>
      </c>
      <c r="L195" t="e">
        <f>AND(#REF!,"AAAAAAvc/gs=")</f>
        <v>#REF!</v>
      </c>
      <c r="M195" t="e">
        <f>AND(#REF!,"AAAAAAvc/gw=")</f>
        <v>#REF!</v>
      </c>
      <c r="N195" t="e">
        <f>AND(#REF!,"AAAAAAvc/g0=")</f>
        <v>#REF!</v>
      </c>
      <c r="O195" t="e">
        <f>AND(#REF!,"AAAAAAvc/g4=")</f>
        <v>#REF!</v>
      </c>
      <c r="P195" t="e">
        <f>AND(#REF!,"AAAAAAvc/g8=")</f>
        <v>#REF!</v>
      </c>
      <c r="Q195" t="e">
        <f>AND(#REF!,"AAAAAAvc/hA=")</f>
        <v>#REF!</v>
      </c>
      <c r="R195" t="e">
        <f>AND(#REF!,"AAAAAAvc/hE=")</f>
        <v>#REF!</v>
      </c>
      <c r="S195" t="e">
        <f>AND(#REF!,"AAAAAAvc/hI=")</f>
        <v>#REF!</v>
      </c>
      <c r="T195" t="e">
        <f>IF(#REF!,"AAAAAAvc/hM=",0)</f>
        <v>#REF!</v>
      </c>
      <c r="U195" t="e">
        <f>AND(#REF!,"AAAAAAvc/hQ=")</f>
        <v>#REF!</v>
      </c>
      <c r="V195" t="e">
        <f>AND(#REF!,"AAAAAAvc/hU=")</f>
        <v>#REF!</v>
      </c>
      <c r="W195" t="e">
        <f>AND(#REF!,"AAAAAAvc/hY=")</f>
        <v>#REF!</v>
      </c>
      <c r="X195" t="e">
        <f>AND(#REF!,"AAAAAAvc/hc=")</f>
        <v>#REF!</v>
      </c>
      <c r="Y195" t="e">
        <f>AND(#REF!,"AAAAAAvc/hg=")</f>
        <v>#REF!</v>
      </c>
      <c r="Z195" t="e">
        <f>AND(#REF!,"AAAAAAvc/hk=")</f>
        <v>#REF!</v>
      </c>
      <c r="AA195" t="e">
        <f>AND(#REF!,"AAAAAAvc/ho=")</f>
        <v>#REF!</v>
      </c>
      <c r="AB195" t="e">
        <f>AND(#REF!,"AAAAAAvc/hs=")</f>
        <v>#REF!</v>
      </c>
      <c r="AC195" t="e">
        <f>AND(#REF!,"AAAAAAvc/hw=")</f>
        <v>#REF!</v>
      </c>
      <c r="AD195" t="e">
        <f>AND(#REF!,"AAAAAAvc/h0=")</f>
        <v>#REF!</v>
      </c>
      <c r="AE195" t="e">
        <f>IF(#REF!,"AAAAAAvc/h4=",0)</f>
        <v>#REF!</v>
      </c>
      <c r="AF195" t="e">
        <f>AND(#REF!,"AAAAAAvc/h8=")</f>
        <v>#REF!</v>
      </c>
      <c r="AG195" t="e">
        <f>AND(#REF!,"AAAAAAvc/iA=")</f>
        <v>#REF!</v>
      </c>
      <c r="AH195" t="e">
        <f>AND(#REF!,"AAAAAAvc/iE=")</f>
        <v>#REF!</v>
      </c>
      <c r="AI195" t="e">
        <f>AND(#REF!,"AAAAAAvc/iI=")</f>
        <v>#REF!</v>
      </c>
      <c r="AJ195" t="e">
        <f>AND(#REF!,"AAAAAAvc/iM=")</f>
        <v>#REF!</v>
      </c>
      <c r="AK195" t="e">
        <f>AND(#REF!,"AAAAAAvc/iQ=")</f>
        <v>#REF!</v>
      </c>
      <c r="AL195" t="e">
        <f>AND(#REF!,"AAAAAAvc/iU=")</f>
        <v>#REF!</v>
      </c>
      <c r="AM195" t="e">
        <f>AND(#REF!,"AAAAAAvc/iY=")</f>
        <v>#REF!</v>
      </c>
      <c r="AN195" t="e">
        <f>AND(#REF!,"AAAAAAvc/ic=")</f>
        <v>#REF!</v>
      </c>
      <c r="AO195" t="e">
        <f>AND(#REF!,"AAAAAAvc/ig=")</f>
        <v>#REF!</v>
      </c>
      <c r="AP195" t="e">
        <f>IF(#REF!,"AAAAAAvc/ik=",0)</f>
        <v>#REF!</v>
      </c>
      <c r="AQ195" t="e">
        <f>AND(#REF!,"AAAAAAvc/io=")</f>
        <v>#REF!</v>
      </c>
      <c r="AR195" t="e">
        <f>AND(#REF!,"AAAAAAvc/is=")</f>
        <v>#REF!</v>
      </c>
      <c r="AS195" t="e">
        <f>AND(#REF!,"AAAAAAvc/iw=")</f>
        <v>#REF!</v>
      </c>
      <c r="AT195" t="e">
        <f>AND(#REF!,"AAAAAAvc/i0=")</f>
        <v>#REF!</v>
      </c>
      <c r="AU195" t="e">
        <f>AND(#REF!,"AAAAAAvc/i4=")</f>
        <v>#REF!</v>
      </c>
      <c r="AV195" t="e">
        <f>AND(#REF!,"AAAAAAvc/i8=")</f>
        <v>#REF!</v>
      </c>
      <c r="AW195" t="e">
        <f>AND(#REF!,"AAAAAAvc/jA=")</f>
        <v>#REF!</v>
      </c>
      <c r="AX195" t="e">
        <f>AND(#REF!,"AAAAAAvc/jE=")</f>
        <v>#REF!</v>
      </c>
      <c r="AY195" t="e">
        <f>AND(#REF!,"AAAAAAvc/jI=")</f>
        <v>#REF!</v>
      </c>
      <c r="AZ195" t="e">
        <f>AND(#REF!,"AAAAAAvc/jM=")</f>
        <v>#REF!</v>
      </c>
      <c r="BA195" t="e">
        <f>IF(#REF!,"AAAAAAvc/jQ=",0)</f>
        <v>#REF!</v>
      </c>
      <c r="BB195" t="e">
        <f>AND(#REF!,"AAAAAAvc/jU=")</f>
        <v>#REF!</v>
      </c>
      <c r="BC195" t="e">
        <f>AND(#REF!,"AAAAAAvc/jY=")</f>
        <v>#REF!</v>
      </c>
      <c r="BD195" t="e">
        <f>AND(#REF!,"AAAAAAvc/jc=")</f>
        <v>#REF!</v>
      </c>
      <c r="BE195" t="e">
        <f>AND(#REF!,"AAAAAAvc/jg=")</f>
        <v>#REF!</v>
      </c>
      <c r="BF195" t="e">
        <f>AND(#REF!,"AAAAAAvc/jk=")</f>
        <v>#REF!</v>
      </c>
      <c r="BG195" t="e">
        <f>AND(#REF!,"AAAAAAvc/jo=")</f>
        <v>#REF!</v>
      </c>
      <c r="BH195" t="e">
        <f>AND(#REF!,"AAAAAAvc/js=")</f>
        <v>#REF!</v>
      </c>
      <c r="BI195" t="e">
        <f>AND(#REF!,"AAAAAAvc/jw=")</f>
        <v>#REF!</v>
      </c>
      <c r="BJ195" t="e">
        <f>AND(#REF!,"AAAAAAvc/j0=")</f>
        <v>#REF!</v>
      </c>
      <c r="BK195" t="e">
        <f>AND(#REF!,"AAAAAAvc/j4=")</f>
        <v>#REF!</v>
      </c>
      <c r="BL195" t="e">
        <f>IF(#REF!,"AAAAAAvc/j8=",0)</f>
        <v>#REF!</v>
      </c>
      <c r="BM195" t="e">
        <f>AND(#REF!,"AAAAAAvc/kA=")</f>
        <v>#REF!</v>
      </c>
      <c r="BN195" t="e">
        <f>AND(#REF!,"AAAAAAvc/kE=")</f>
        <v>#REF!</v>
      </c>
      <c r="BO195" t="e">
        <f>AND(#REF!,"AAAAAAvc/kI=")</f>
        <v>#REF!</v>
      </c>
      <c r="BP195" t="e">
        <f>AND(#REF!,"AAAAAAvc/kM=")</f>
        <v>#REF!</v>
      </c>
      <c r="BQ195" t="e">
        <f>AND(#REF!,"AAAAAAvc/kQ=")</f>
        <v>#REF!</v>
      </c>
      <c r="BR195" t="e">
        <f>AND(#REF!,"AAAAAAvc/kU=")</f>
        <v>#REF!</v>
      </c>
      <c r="BS195" t="e">
        <f>AND(#REF!,"AAAAAAvc/kY=")</f>
        <v>#REF!</v>
      </c>
      <c r="BT195" t="e">
        <f>AND(#REF!,"AAAAAAvc/kc=")</f>
        <v>#REF!</v>
      </c>
      <c r="BU195" t="e">
        <f>AND(#REF!,"AAAAAAvc/kg=")</f>
        <v>#REF!</v>
      </c>
      <c r="BV195" t="e">
        <f>AND(#REF!,"AAAAAAvc/kk=")</f>
        <v>#REF!</v>
      </c>
      <c r="BW195" t="e">
        <f>IF(#REF!,"AAAAAAvc/ko=",0)</f>
        <v>#REF!</v>
      </c>
      <c r="BX195" t="e">
        <f>AND(#REF!,"AAAAAAvc/ks=")</f>
        <v>#REF!</v>
      </c>
      <c r="BY195" t="e">
        <f>AND(#REF!,"AAAAAAvc/kw=")</f>
        <v>#REF!</v>
      </c>
      <c r="BZ195" t="e">
        <f>AND(#REF!,"AAAAAAvc/k0=")</f>
        <v>#REF!</v>
      </c>
      <c r="CA195" t="e">
        <f>AND(#REF!,"AAAAAAvc/k4=")</f>
        <v>#REF!</v>
      </c>
      <c r="CB195" t="e">
        <f>AND(#REF!,"AAAAAAvc/k8=")</f>
        <v>#REF!</v>
      </c>
      <c r="CC195" t="e">
        <f>AND(#REF!,"AAAAAAvc/lA=")</f>
        <v>#REF!</v>
      </c>
      <c r="CD195" t="e">
        <f>AND(#REF!,"AAAAAAvc/lE=")</f>
        <v>#REF!</v>
      </c>
      <c r="CE195" t="e">
        <f>AND(#REF!,"AAAAAAvc/lI=")</f>
        <v>#REF!</v>
      </c>
      <c r="CF195" t="e">
        <f>AND(#REF!,"AAAAAAvc/lM=")</f>
        <v>#REF!</v>
      </c>
      <c r="CG195" t="e">
        <f>AND(#REF!,"AAAAAAvc/lQ=")</f>
        <v>#REF!</v>
      </c>
      <c r="CH195" t="e">
        <f>IF(#REF!,"AAAAAAvc/lU=",0)</f>
        <v>#REF!</v>
      </c>
      <c r="CI195" t="e">
        <f>AND(#REF!,"AAAAAAvc/lY=")</f>
        <v>#REF!</v>
      </c>
      <c r="CJ195" t="e">
        <f>AND(#REF!,"AAAAAAvc/lc=")</f>
        <v>#REF!</v>
      </c>
      <c r="CK195" t="e">
        <f>AND(#REF!,"AAAAAAvc/lg=")</f>
        <v>#REF!</v>
      </c>
      <c r="CL195" t="e">
        <f>AND(#REF!,"AAAAAAvc/lk=")</f>
        <v>#REF!</v>
      </c>
      <c r="CM195" t="e">
        <f>AND(#REF!,"AAAAAAvc/lo=")</f>
        <v>#REF!</v>
      </c>
      <c r="CN195" t="e">
        <f>AND(#REF!,"AAAAAAvc/ls=")</f>
        <v>#REF!</v>
      </c>
      <c r="CO195" t="e">
        <f>AND(#REF!,"AAAAAAvc/lw=")</f>
        <v>#REF!</v>
      </c>
      <c r="CP195" t="e">
        <f>AND(#REF!,"AAAAAAvc/l0=")</f>
        <v>#REF!</v>
      </c>
      <c r="CQ195" t="e">
        <f>AND(#REF!,"AAAAAAvc/l4=")</f>
        <v>#REF!</v>
      </c>
      <c r="CR195" t="e">
        <f>AND(#REF!,"AAAAAAvc/l8=")</f>
        <v>#REF!</v>
      </c>
      <c r="CS195" t="e">
        <f>IF(#REF!,"AAAAAAvc/mA=",0)</f>
        <v>#REF!</v>
      </c>
      <c r="CT195" t="e">
        <f>AND(#REF!,"AAAAAAvc/mE=")</f>
        <v>#REF!</v>
      </c>
      <c r="CU195" t="e">
        <f>AND(#REF!,"AAAAAAvc/mI=")</f>
        <v>#REF!</v>
      </c>
      <c r="CV195" t="e">
        <f>AND(#REF!,"AAAAAAvc/mM=")</f>
        <v>#REF!</v>
      </c>
      <c r="CW195" t="e">
        <f>AND(#REF!,"AAAAAAvc/mQ=")</f>
        <v>#REF!</v>
      </c>
      <c r="CX195" t="e">
        <f>AND(#REF!,"AAAAAAvc/mU=")</f>
        <v>#REF!</v>
      </c>
      <c r="CY195" t="e">
        <f>AND(#REF!,"AAAAAAvc/mY=")</f>
        <v>#REF!</v>
      </c>
      <c r="CZ195" t="e">
        <f>AND(#REF!,"AAAAAAvc/mc=")</f>
        <v>#REF!</v>
      </c>
      <c r="DA195" t="e">
        <f>AND(#REF!,"AAAAAAvc/mg=")</f>
        <v>#REF!</v>
      </c>
      <c r="DB195" t="e">
        <f>AND(#REF!,"AAAAAAvc/mk=")</f>
        <v>#REF!</v>
      </c>
      <c r="DC195" t="e">
        <f>AND(#REF!,"AAAAAAvc/mo=")</f>
        <v>#REF!</v>
      </c>
      <c r="DD195" t="e">
        <f>IF(#REF!,"AAAAAAvc/ms=",0)</f>
        <v>#REF!</v>
      </c>
      <c r="DE195" t="e">
        <f>AND(#REF!,"AAAAAAvc/mw=")</f>
        <v>#REF!</v>
      </c>
      <c r="DF195" t="e">
        <f>AND(#REF!,"AAAAAAvc/m0=")</f>
        <v>#REF!</v>
      </c>
      <c r="DG195" t="e">
        <f>AND(#REF!,"AAAAAAvc/m4=")</f>
        <v>#REF!</v>
      </c>
      <c r="DH195" t="e">
        <f>AND(#REF!,"AAAAAAvc/m8=")</f>
        <v>#REF!</v>
      </c>
      <c r="DI195" t="e">
        <f>AND(#REF!,"AAAAAAvc/nA=")</f>
        <v>#REF!</v>
      </c>
      <c r="DJ195" t="e">
        <f>AND(#REF!,"AAAAAAvc/nE=")</f>
        <v>#REF!</v>
      </c>
      <c r="DK195" t="e">
        <f>AND(#REF!,"AAAAAAvc/nI=")</f>
        <v>#REF!</v>
      </c>
      <c r="DL195" t="e">
        <f>AND(#REF!,"AAAAAAvc/nM=")</f>
        <v>#REF!</v>
      </c>
      <c r="DM195" t="e">
        <f>AND(#REF!,"AAAAAAvc/nQ=")</f>
        <v>#REF!</v>
      </c>
      <c r="DN195" t="e">
        <f>AND(#REF!,"AAAAAAvc/nU=")</f>
        <v>#REF!</v>
      </c>
      <c r="DO195" t="e">
        <f>IF(#REF!,"AAAAAAvc/nY=",0)</f>
        <v>#REF!</v>
      </c>
      <c r="DP195" t="e">
        <f>AND(#REF!,"AAAAAAvc/nc=")</f>
        <v>#REF!</v>
      </c>
      <c r="DQ195" t="e">
        <f>AND(#REF!,"AAAAAAvc/ng=")</f>
        <v>#REF!</v>
      </c>
      <c r="DR195" t="e">
        <f>AND(#REF!,"AAAAAAvc/nk=")</f>
        <v>#REF!</v>
      </c>
      <c r="DS195" t="e">
        <f>AND(#REF!,"AAAAAAvc/no=")</f>
        <v>#REF!</v>
      </c>
      <c r="DT195" t="e">
        <f>AND(#REF!,"AAAAAAvc/ns=")</f>
        <v>#REF!</v>
      </c>
      <c r="DU195" t="e">
        <f>AND(#REF!,"AAAAAAvc/nw=")</f>
        <v>#REF!</v>
      </c>
      <c r="DV195" t="e">
        <f>AND(#REF!,"AAAAAAvc/n0=")</f>
        <v>#REF!</v>
      </c>
      <c r="DW195" t="e">
        <f>AND(#REF!,"AAAAAAvc/n4=")</f>
        <v>#REF!</v>
      </c>
      <c r="DX195" t="e">
        <f>AND(#REF!,"AAAAAAvc/n8=")</f>
        <v>#REF!</v>
      </c>
      <c r="DY195" t="e">
        <f>AND(#REF!,"AAAAAAvc/oA=")</f>
        <v>#REF!</v>
      </c>
      <c r="DZ195" t="e">
        <f>IF(#REF!,"AAAAAAvc/oE=",0)</f>
        <v>#REF!</v>
      </c>
      <c r="EA195" t="e">
        <f>AND(#REF!,"AAAAAAvc/oI=")</f>
        <v>#REF!</v>
      </c>
      <c r="EB195" t="e">
        <f>AND(#REF!,"AAAAAAvc/oM=")</f>
        <v>#REF!</v>
      </c>
      <c r="EC195" t="e">
        <f>AND(#REF!,"AAAAAAvc/oQ=")</f>
        <v>#REF!</v>
      </c>
      <c r="ED195" t="e">
        <f>AND(#REF!,"AAAAAAvc/oU=")</f>
        <v>#REF!</v>
      </c>
      <c r="EE195" t="e">
        <f>AND(#REF!,"AAAAAAvc/oY=")</f>
        <v>#REF!</v>
      </c>
      <c r="EF195" t="e">
        <f>AND(#REF!,"AAAAAAvc/oc=")</f>
        <v>#REF!</v>
      </c>
      <c r="EG195" t="e">
        <f>AND(#REF!,"AAAAAAvc/og=")</f>
        <v>#REF!</v>
      </c>
      <c r="EH195" t="e">
        <f>AND(#REF!,"AAAAAAvc/ok=")</f>
        <v>#REF!</v>
      </c>
      <c r="EI195" t="e">
        <f>AND(#REF!,"AAAAAAvc/oo=")</f>
        <v>#REF!</v>
      </c>
      <c r="EJ195" t="e">
        <f>AND(#REF!,"AAAAAAvc/os=")</f>
        <v>#REF!</v>
      </c>
      <c r="EK195" t="e">
        <f>IF(#REF!,"AAAAAAvc/ow=",0)</f>
        <v>#REF!</v>
      </c>
      <c r="EL195" t="e">
        <f>AND(#REF!,"AAAAAAvc/o0=")</f>
        <v>#REF!</v>
      </c>
      <c r="EM195" t="e">
        <f>AND(#REF!,"AAAAAAvc/o4=")</f>
        <v>#REF!</v>
      </c>
      <c r="EN195" t="e">
        <f>AND(#REF!,"AAAAAAvc/o8=")</f>
        <v>#REF!</v>
      </c>
      <c r="EO195" t="e">
        <f>AND(#REF!,"AAAAAAvc/pA=")</f>
        <v>#REF!</v>
      </c>
      <c r="EP195" t="e">
        <f>AND(#REF!,"AAAAAAvc/pE=")</f>
        <v>#REF!</v>
      </c>
      <c r="EQ195" t="e">
        <f>AND(#REF!,"AAAAAAvc/pI=")</f>
        <v>#REF!</v>
      </c>
      <c r="ER195" t="e">
        <f>AND(#REF!,"AAAAAAvc/pM=")</f>
        <v>#REF!</v>
      </c>
      <c r="ES195" t="e">
        <f>AND(#REF!,"AAAAAAvc/pQ=")</f>
        <v>#REF!</v>
      </c>
      <c r="ET195" t="e">
        <f>AND(#REF!,"AAAAAAvc/pU=")</f>
        <v>#REF!</v>
      </c>
      <c r="EU195" t="e">
        <f>AND(#REF!,"AAAAAAvc/pY=")</f>
        <v>#REF!</v>
      </c>
      <c r="EV195" t="e">
        <f>IF(#REF!,"AAAAAAvc/pc=",0)</f>
        <v>#REF!</v>
      </c>
      <c r="EW195" t="e">
        <f>AND(#REF!,"AAAAAAvc/pg=")</f>
        <v>#REF!</v>
      </c>
      <c r="EX195" t="e">
        <f>AND(#REF!,"AAAAAAvc/pk=")</f>
        <v>#REF!</v>
      </c>
      <c r="EY195" t="e">
        <f>AND(#REF!,"AAAAAAvc/po=")</f>
        <v>#REF!</v>
      </c>
      <c r="EZ195" t="e">
        <f>AND(#REF!,"AAAAAAvc/ps=")</f>
        <v>#REF!</v>
      </c>
      <c r="FA195" t="e">
        <f>AND(#REF!,"AAAAAAvc/pw=")</f>
        <v>#REF!</v>
      </c>
      <c r="FB195" t="e">
        <f>AND(#REF!,"AAAAAAvc/p0=")</f>
        <v>#REF!</v>
      </c>
      <c r="FC195" t="e">
        <f>AND(#REF!,"AAAAAAvc/p4=")</f>
        <v>#REF!</v>
      </c>
      <c r="FD195" t="e">
        <f>AND(#REF!,"AAAAAAvc/p8=")</f>
        <v>#REF!</v>
      </c>
      <c r="FE195" t="e">
        <f>AND(#REF!,"AAAAAAvc/qA=")</f>
        <v>#REF!</v>
      </c>
      <c r="FF195" t="e">
        <f>AND(#REF!,"AAAAAAvc/qE=")</f>
        <v>#REF!</v>
      </c>
      <c r="FG195" t="e">
        <f>IF(#REF!,"AAAAAAvc/qI=",0)</f>
        <v>#REF!</v>
      </c>
      <c r="FH195" t="e">
        <f>AND(#REF!,"AAAAAAvc/qM=")</f>
        <v>#REF!</v>
      </c>
      <c r="FI195" t="e">
        <f>AND(#REF!,"AAAAAAvc/qQ=")</f>
        <v>#REF!</v>
      </c>
      <c r="FJ195" t="e">
        <f>AND(#REF!,"AAAAAAvc/qU=")</f>
        <v>#REF!</v>
      </c>
      <c r="FK195" t="e">
        <f>AND(#REF!,"AAAAAAvc/qY=")</f>
        <v>#REF!</v>
      </c>
      <c r="FL195" t="e">
        <f>AND(#REF!,"AAAAAAvc/qc=")</f>
        <v>#REF!</v>
      </c>
      <c r="FM195" t="e">
        <f>AND(#REF!,"AAAAAAvc/qg=")</f>
        <v>#REF!</v>
      </c>
      <c r="FN195" t="e">
        <f>AND(#REF!,"AAAAAAvc/qk=")</f>
        <v>#REF!</v>
      </c>
      <c r="FO195" t="e">
        <f>AND(#REF!,"AAAAAAvc/qo=")</f>
        <v>#REF!</v>
      </c>
      <c r="FP195" t="e">
        <f>AND(#REF!,"AAAAAAvc/qs=")</f>
        <v>#REF!</v>
      </c>
      <c r="FQ195" t="e">
        <f>AND(#REF!,"AAAAAAvc/qw=")</f>
        <v>#REF!</v>
      </c>
      <c r="FR195" t="e">
        <f>IF(#REF!,"AAAAAAvc/q0=",0)</f>
        <v>#REF!</v>
      </c>
      <c r="FS195" t="e">
        <f>AND(#REF!,"AAAAAAvc/q4=")</f>
        <v>#REF!</v>
      </c>
      <c r="FT195" t="e">
        <f>AND(#REF!,"AAAAAAvc/q8=")</f>
        <v>#REF!</v>
      </c>
      <c r="FU195" t="e">
        <f>AND(#REF!,"AAAAAAvc/rA=")</f>
        <v>#REF!</v>
      </c>
      <c r="FV195" t="e">
        <f>AND(#REF!,"AAAAAAvc/rE=")</f>
        <v>#REF!</v>
      </c>
      <c r="FW195" t="e">
        <f>AND(#REF!,"AAAAAAvc/rI=")</f>
        <v>#REF!</v>
      </c>
      <c r="FX195" t="e">
        <f>AND(#REF!,"AAAAAAvc/rM=")</f>
        <v>#REF!</v>
      </c>
      <c r="FY195" t="e">
        <f>AND(#REF!,"AAAAAAvc/rQ=")</f>
        <v>#REF!</v>
      </c>
      <c r="FZ195" t="e">
        <f>AND(#REF!,"AAAAAAvc/rU=")</f>
        <v>#REF!</v>
      </c>
      <c r="GA195" t="e">
        <f>AND(#REF!,"AAAAAAvc/rY=")</f>
        <v>#REF!</v>
      </c>
      <c r="GB195" t="e">
        <f>AND(#REF!,"AAAAAAvc/rc=")</f>
        <v>#REF!</v>
      </c>
      <c r="GC195" t="e">
        <f>IF(#REF!,"AAAAAAvc/rg=",0)</f>
        <v>#REF!</v>
      </c>
      <c r="GD195" t="e">
        <f>AND(#REF!,"AAAAAAvc/rk=")</f>
        <v>#REF!</v>
      </c>
      <c r="GE195" t="e">
        <f>AND(#REF!,"AAAAAAvc/ro=")</f>
        <v>#REF!</v>
      </c>
      <c r="GF195" t="e">
        <f>AND(#REF!,"AAAAAAvc/rs=")</f>
        <v>#REF!</v>
      </c>
      <c r="GG195" t="e">
        <f>AND(#REF!,"AAAAAAvc/rw=")</f>
        <v>#REF!</v>
      </c>
      <c r="GH195" t="e">
        <f>AND(#REF!,"AAAAAAvc/r0=")</f>
        <v>#REF!</v>
      </c>
      <c r="GI195" t="e">
        <f>AND(#REF!,"AAAAAAvc/r4=")</f>
        <v>#REF!</v>
      </c>
      <c r="GJ195" t="e">
        <f>AND(#REF!,"AAAAAAvc/r8=")</f>
        <v>#REF!</v>
      </c>
      <c r="GK195" t="e">
        <f>AND(#REF!,"AAAAAAvc/sA=")</f>
        <v>#REF!</v>
      </c>
      <c r="GL195" t="e">
        <f>AND(#REF!,"AAAAAAvc/sE=")</f>
        <v>#REF!</v>
      </c>
      <c r="GM195" t="e">
        <f>AND(#REF!,"AAAAAAvc/sI=")</f>
        <v>#REF!</v>
      </c>
      <c r="GN195" t="e">
        <f>IF(#REF!,"AAAAAAvc/sM=",0)</f>
        <v>#REF!</v>
      </c>
      <c r="GO195" t="e">
        <f>AND(#REF!,"AAAAAAvc/sQ=")</f>
        <v>#REF!</v>
      </c>
      <c r="GP195" t="e">
        <f>AND(#REF!,"AAAAAAvc/sU=")</f>
        <v>#REF!</v>
      </c>
      <c r="GQ195" t="e">
        <f>AND(#REF!,"AAAAAAvc/sY=")</f>
        <v>#REF!</v>
      </c>
      <c r="GR195" t="e">
        <f>AND(#REF!,"AAAAAAvc/sc=")</f>
        <v>#REF!</v>
      </c>
      <c r="GS195" t="e">
        <f>AND(#REF!,"AAAAAAvc/sg=")</f>
        <v>#REF!</v>
      </c>
      <c r="GT195" t="e">
        <f>AND(#REF!,"AAAAAAvc/sk=")</f>
        <v>#REF!</v>
      </c>
      <c r="GU195" t="e">
        <f>AND(#REF!,"AAAAAAvc/so=")</f>
        <v>#REF!</v>
      </c>
      <c r="GV195" t="e">
        <f>AND(#REF!,"AAAAAAvc/ss=")</f>
        <v>#REF!</v>
      </c>
      <c r="GW195" t="e">
        <f>AND(#REF!,"AAAAAAvc/sw=")</f>
        <v>#REF!</v>
      </c>
      <c r="GX195" t="e">
        <f>AND(#REF!,"AAAAAAvc/s0=")</f>
        <v>#REF!</v>
      </c>
      <c r="GY195" t="e">
        <f>IF(#REF!,"AAAAAAvc/s4=",0)</f>
        <v>#REF!</v>
      </c>
      <c r="GZ195" t="e">
        <f>AND(#REF!,"AAAAAAvc/s8=")</f>
        <v>#REF!</v>
      </c>
      <c r="HA195" t="e">
        <f>AND(#REF!,"AAAAAAvc/tA=")</f>
        <v>#REF!</v>
      </c>
      <c r="HB195" t="e">
        <f>AND(#REF!,"AAAAAAvc/tE=")</f>
        <v>#REF!</v>
      </c>
      <c r="HC195" t="e">
        <f>AND(#REF!,"AAAAAAvc/tI=")</f>
        <v>#REF!</v>
      </c>
      <c r="HD195" t="e">
        <f>AND(#REF!,"AAAAAAvc/tM=")</f>
        <v>#REF!</v>
      </c>
      <c r="HE195" t="e">
        <f>AND(#REF!,"AAAAAAvc/tQ=")</f>
        <v>#REF!</v>
      </c>
      <c r="HF195" t="e">
        <f>AND(#REF!,"AAAAAAvc/tU=")</f>
        <v>#REF!</v>
      </c>
      <c r="HG195" t="e">
        <f>AND(#REF!,"AAAAAAvc/tY=")</f>
        <v>#REF!</v>
      </c>
      <c r="HH195" t="e">
        <f>AND(#REF!,"AAAAAAvc/tc=")</f>
        <v>#REF!</v>
      </c>
      <c r="HI195" t="e">
        <f>AND(#REF!,"AAAAAAvc/tg=")</f>
        <v>#REF!</v>
      </c>
      <c r="HJ195" t="e">
        <f>IF(#REF!,"AAAAAAvc/tk=",0)</f>
        <v>#REF!</v>
      </c>
      <c r="HK195" t="e">
        <f>AND(#REF!,"AAAAAAvc/to=")</f>
        <v>#REF!</v>
      </c>
      <c r="HL195" t="e">
        <f>AND(#REF!,"AAAAAAvc/ts=")</f>
        <v>#REF!</v>
      </c>
      <c r="HM195" t="e">
        <f>AND(#REF!,"AAAAAAvc/tw=")</f>
        <v>#REF!</v>
      </c>
      <c r="HN195" t="e">
        <f>AND(#REF!,"AAAAAAvc/t0=")</f>
        <v>#REF!</v>
      </c>
      <c r="HO195" t="e">
        <f>AND(#REF!,"AAAAAAvc/t4=")</f>
        <v>#REF!</v>
      </c>
      <c r="HP195" t="e">
        <f>AND(#REF!,"AAAAAAvc/t8=")</f>
        <v>#REF!</v>
      </c>
      <c r="HQ195" t="e">
        <f>AND(#REF!,"AAAAAAvc/uA=")</f>
        <v>#REF!</v>
      </c>
      <c r="HR195" t="e">
        <f>AND(#REF!,"AAAAAAvc/uE=")</f>
        <v>#REF!</v>
      </c>
      <c r="HS195" t="e">
        <f>AND(#REF!,"AAAAAAvc/uI=")</f>
        <v>#REF!</v>
      </c>
      <c r="HT195" t="e">
        <f>AND(#REF!,"AAAAAAvc/uM=")</f>
        <v>#REF!</v>
      </c>
      <c r="HU195" t="e">
        <f>IF(#REF!,"AAAAAAvc/uQ=",0)</f>
        <v>#REF!</v>
      </c>
      <c r="HV195" t="e">
        <f>AND(#REF!,"AAAAAAvc/uU=")</f>
        <v>#REF!</v>
      </c>
      <c r="HW195" t="e">
        <f>AND(#REF!,"AAAAAAvc/uY=")</f>
        <v>#REF!</v>
      </c>
      <c r="HX195" t="e">
        <f>AND(#REF!,"AAAAAAvc/uc=")</f>
        <v>#REF!</v>
      </c>
      <c r="HY195" t="e">
        <f>AND(#REF!,"AAAAAAvc/ug=")</f>
        <v>#REF!</v>
      </c>
      <c r="HZ195" t="e">
        <f>AND(#REF!,"AAAAAAvc/uk=")</f>
        <v>#REF!</v>
      </c>
      <c r="IA195" t="e">
        <f>AND(#REF!,"AAAAAAvc/uo=")</f>
        <v>#REF!</v>
      </c>
      <c r="IB195" t="e">
        <f>AND(#REF!,"AAAAAAvc/us=")</f>
        <v>#REF!</v>
      </c>
      <c r="IC195" t="e">
        <f>AND(#REF!,"AAAAAAvc/uw=")</f>
        <v>#REF!</v>
      </c>
      <c r="ID195" t="e">
        <f>AND(#REF!,"AAAAAAvc/u0=")</f>
        <v>#REF!</v>
      </c>
      <c r="IE195" t="e">
        <f>AND(#REF!,"AAAAAAvc/u4=")</f>
        <v>#REF!</v>
      </c>
      <c r="IF195" t="e">
        <f>IF(#REF!,"AAAAAAvc/u8=",0)</f>
        <v>#REF!</v>
      </c>
      <c r="IG195" t="e">
        <f>AND(#REF!,"AAAAAAvc/vA=")</f>
        <v>#REF!</v>
      </c>
      <c r="IH195" t="e">
        <f>AND(#REF!,"AAAAAAvc/vE=")</f>
        <v>#REF!</v>
      </c>
      <c r="II195" t="e">
        <f>AND(#REF!,"AAAAAAvc/vI=")</f>
        <v>#REF!</v>
      </c>
      <c r="IJ195" t="e">
        <f>AND(#REF!,"AAAAAAvc/vM=")</f>
        <v>#REF!</v>
      </c>
      <c r="IK195" t="e">
        <f>AND(#REF!,"AAAAAAvc/vQ=")</f>
        <v>#REF!</v>
      </c>
      <c r="IL195" t="e">
        <f>AND(#REF!,"AAAAAAvc/vU=")</f>
        <v>#REF!</v>
      </c>
      <c r="IM195" t="e">
        <f>AND(#REF!,"AAAAAAvc/vY=")</f>
        <v>#REF!</v>
      </c>
      <c r="IN195" t="e">
        <f>AND(#REF!,"AAAAAAvc/vc=")</f>
        <v>#REF!</v>
      </c>
      <c r="IO195" t="e">
        <f>AND(#REF!,"AAAAAAvc/vg=")</f>
        <v>#REF!</v>
      </c>
      <c r="IP195" t="e">
        <f>AND(#REF!,"AAAAAAvc/vk=")</f>
        <v>#REF!</v>
      </c>
      <c r="IQ195" t="e">
        <f>IF(#REF!,"AAAAAAvc/vo=",0)</f>
        <v>#REF!</v>
      </c>
      <c r="IR195" t="e">
        <f>AND(#REF!,"AAAAAAvc/vs=")</f>
        <v>#REF!</v>
      </c>
      <c r="IS195" t="e">
        <f>AND(#REF!,"AAAAAAvc/vw=")</f>
        <v>#REF!</v>
      </c>
      <c r="IT195" t="e">
        <f>AND(#REF!,"AAAAAAvc/v0=")</f>
        <v>#REF!</v>
      </c>
      <c r="IU195" t="e">
        <f>AND(#REF!,"AAAAAAvc/v4=")</f>
        <v>#REF!</v>
      </c>
      <c r="IV195" t="e">
        <f>AND(#REF!,"AAAAAAvc/v8=")</f>
        <v>#REF!</v>
      </c>
    </row>
    <row r="196" spans="1:256" x14ac:dyDescent="0.25">
      <c r="A196" t="e">
        <f>AND(#REF!,"AAAAAH36fgA=")</f>
        <v>#REF!</v>
      </c>
      <c r="B196" t="e">
        <f>AND(#REF!,"AAAAAH36fgE=")</f>
        <v>#REF!</v>
      </c>
      <c r="C196" t="e">
        <f>AND(#REF!,"AAAAAH36fgI=")</f>
        <v>#REF!</v>
      </c>
      <c r="D196" t="e">
        <f>AND(#REF!,"AAAAAH36fgM=")</f>
        <v>#REF!</v>
      </c>
      <c r="E196" t="e">
        <f>AND(#REF!,"AAAAAH36fgQ=")</f>
        <v>#REF!</v>
      </c>
      <c r="F196" t="e">
        <f>IF(#REF!,"AAAAAH36fgU=",0)</f>
        <v>#REF!</v>
      </c>
      <c r="G196" t="e">
        <f>AND(#REF!,"AAAAAH36fgY=")</f>
        <v>#REF!</v>
      </c>
      <c r="H196" t="e">
        <f>AND(#REF!,"AAAAAH36fgc=")</f>
        <v>#REF!</v>
      </c>
      <c r="I196" t="e">
        <f>AND(#REF!,"AAAAAH36fgg=")</f>
        <v>#REF!</v>
      </c>
      <c r="J196" t="e">
        <f>AND(#REF!,"AAAAAH36fgk=")</f>
        <v>#REF!</v>
      </c>
      <c r="K196" t="e">
        <f>AND(#REF!,"AAAAAH36fgo=")</f>
        <v>#REF!</v>
      </c>
      <c r="L196" t="e">
        <f>AND(#REF!,"AAAAAH36fgs=")</f>
        <v>#REF!</v>
      </c>
      <c r="M196" t="e">
        <f>AND(#REF!,"AAAAAH36fgw=")</f>
        <v>#REF!</v>
      </c>
      <c r="N196" t="e">
        <f>AND(#REF!,"AAAAAH36fg0=")</f>
        <v>#REF!</v>
      </c>
      <c r="O196" t="e">
        <f>AND(#REF!,"AAAAAH36fg4=")</f>
        <v>#REF!</v>
      </c>
      <c r="P196" t="e">
        <f>AND(#REF!,"AAAAAH36fg8=")</f>
        <v>#REF!</v>
      </c>
      <c r="Q196" t="e">
        <f>IF(#REF!,"AAAAAH36fhA=",0)</f>
        <v>#REF!</v>
      </c>
      <c r="R196" t="e">
        <f>AND(#REF!,"AAAAAH36fhE=")</f>
        <v>#REF!</v>
      </c>
      <c r="S196" t="e">
        <f>AND(#REF!,"AAAAAH36fhI=")</f>
        <v>#REF!</v>
      </c>
      <c r="T196" t="e">
        <f>AND(#REF!,"AAAAAH36fhM=")</f>
        <v>#REF!</v>
      </c>
      <c r="U196" t="e">
        <f>AND(#REF!,"AAAAAH36fhQ=")</f>
        <v>#REF!</v>
      </c>
      <c r="V196" t="e">
        <f>AND(#REF!,"AAAAAH36fhU=")</f>
        <v>#REF!</v>
      </c>
      <c r="W196" t="e">
        <f>AND(#REF!,"AAAAAH36fhY=")</f>
        <v>#REF!</v>
      </c>
      <c r="X196" t="e">
        <f>AND(#REF!,"AAAAAH36fhc=")</f>
        <v>#REF!</v>
      </c>
      <c r="Y196" t="e">
        <f>AND(#REF!,"AAAAAH36fhg=")</f>
        <v>#REF!</v>
      </c>
      <c r="Z196" t="e">
        <f>AND(#REF!,"AAAAAH36fhk=")</f>
        <v>#REF!</v>
      </c>
      <c r="AA196" t="e">
        <f>AND(#REF!,"AAAAAH36fho=")</f>
        <v>#REF!</v>
      </c>
      <c r="AB196" t="e">
        <f>IF(#REF!,"AAAAAH36fhs=",0)</f>
        <v>#REF!</v>
      </c>
      <c r="AC196" t="e">
        <f>AND(#REF!,"AAAAAH36fhw=")</f>
        <v>#REF!</v>
      </c>
      <c r="AD196" t="e">
        <f>AND(#REF!,"AAAAAH36fh0=")</f>
        <v>#REF!</v>
      </c>
      <c r="AE196" t="e">
        <f>AND(#REF!,"AAAAAH36fh4=")</f>
        <v>#REF!</v>
      </c>
      <c r="AF196" t="e">
        <f>AND(#REF!,"AAAAAH36fh8=")</f>
        <v>#REF!</v>
      </c>
      <c r="AG196" t="e">
        <f>AND(#REF!,"AAAAAH36fiA=")</f>
        <v>#REF!</v>
      </c>
      <c r="AH196" t="e">
        <f>AND(#REF!,"AAAAAH36fiE=")</f>
        <v>#REF!</v>
      </c>
      <c r="AI196" t="e">
        <f>AND(#REF!,"AAAAAH36fiI=")</f>
        <v>#REF!</v>
      </c>
      <c r="AJ196" t="e">
        <f>AND(#REF!,"AAAAAH36fiM=")</f>
        <v>#REF!</v>
      </c>
      <c r="AK196" t="e">
        <f>AND(#REF!,"AAAAAH36fiQ=")</f>
        <v>#REF!</v>
      </c>
      <c r="AL196" t="e">
        <f>AND(#REF!,"AAAAAH36fiU=")</f>
        <v>#REF!</v>
      </c>
      <c r="AM196" t="e">
        <f>IF(#REF!,"AAAAAH36fiY=",0)</f>
        <v>#REF!</v>
      </c>
      <c r="AN196" t="e">
        <f>AND(#REF!,"AAAAAH36fic=")</f>
        <v>#REF!</v>
      </c>
      <c r="AO196" t="e">
        <f>AND(#REF!,"AAAAAH36fig=")</f>
        <v>#REF!</v>
      </c>
      <c r="AP196" t="e">
        <f>AND(#REF!,"AAAAAH36fik=")</f>
        <v>#REF!</v>
      </c>
      <c r="AQ196" t="e">
        <f>AND(#REF!,"AAAAAH36fio=")</f>
        <v>#REF!</v>
      </c>
      <c r="AR196" t="e">
        <f>AND(#REF!,"AAAAAH36fis=")</f>
        <v>#REF!</v>
      </c>
      <c r="AS196" t="e">
        <f>AND(#REF!,"AAAAAH36fiw=")</f>
        <v>#REF!</v>
      </c>
      <c r="AT196" t="e">
        <f>AND(#REF!,"AAAAAH36fi0=")</f>
        <v>#REF!</v>
      </c>
      <c r="AU196" t="e">
        <f>AND(#REF!,"AAAAAH36fi4=")</f>
        <v>#REF!</v>
      </c>
      <c r="AV196" t="e">
        <f>AND(#REF!,"AAAAAH36fi8=")</f>
        <v>#REF!</v>
      </c>
      <c r="AW196" t="e">
        <f>AND(#REF!,"AAAAAH36fjA=")</f>
        <v>#REF!</v>
      </c>
      <c r="AX196" t="e">
        <f>IF(#REF!,"AAAAAH36fjE=",0)</f>
        <v>#REF!</v>
      </c>
      <c r="AY196" t="e">
        <f>AND(#REF!,"AAAAAH36fjI=")</f>
        <v>#REF!</v>
      </c>
      <c r="AZ196" t="e">
        <f>AND(#REF!,"AAAAAH36fjM=")</f>
        <v>#REF!</v>
      </c>
      <c r="BA196" t="e">
        <f>AND(#REF!,"AAAAAH36fjQ=")</f>
        <v>#REF!</v>
      </c>
      <c r="BB196" t="e">
        <f>AND(#REF!,"AAAAAH36fjU=")</f>
        <v>#REF!</v>
      </c>
      <c r="BC196" t="e">
        <f>AND(#REF!,"AAAAAH36fjY=")</f>
        <v>#REF!</v>
      </c>
      <c r="BD196" t="e">
        <f>AND(#REF!,"AAAAAH36fjc=")</f>
        <v>#REF!</v>
      </c>
      <c r="BE196" t="e">
        <f>AND(#REF!,"AAAAAH36fjg=")</f>
        <v>#REF!</v>
      </c>
      <c r="BF196" t="e">
        <f>AND(#REF!,"AAAAAH36fjk=")</f>
        <v>#REF!</v>
      </c>
      <c r="BG196" t="e">
        <f>AND(#REF!,"AAAAAH36fjo=")</f>
        <v>#REF!</v>
      </c>
      <c r="BH196" t="e">
        <f>AND(#REF!,"AAAAAH36fjs=")</f>
        <v>#REF!</v>
      </c>
      <c r="BI196" t="e">
        <f>IF(#REF!,"AAAAAH36fjw=",0)</f>
        <v>#REF!</v>
      </c>
      <c r="BJ196" t="e">
        <f>AND(#REF!,"AAAAAH36fj0=")</f>
        <v>#REF!</v>
      </c>
      <c r="BK196" t="e">
        <f>AND(#REF!,"AAAAAH36fj4=")</f>
        <v>#REF!</v>
      </c>
      <c r="BL196" t="e">
        <f>AND(#REF!,"AAAAAH36fj8=")</f>
        <v>#REF!</v>
      </c>
      <c r="BM196" t="e">
        <f>AND(#REF!,"AAAAAH36fkA=")</f>
        <v>#REF!</v>
      </c>
      <c r="BN196" t="e">
        <f>AND(#REF!,"AAAAAH36fkE=")</f>
        <v>#REF!</v>
      </c>
      <c r="BO196" t="e">
        <f>AND(#REF!,"AAAAAH36fkI=")</f>
        <v>#REF!</v>
      </c>
      <c r="BP196" t="e">
        <f>AND(#REF!,"AAAAAH36fkM=")</f>
        <v>#REF!</v>
      </c>
      <c r="BQ196" t="e">
        <f>AND(#REF!,"AAAAAH36fkQ=")</f>
        <v>#REF!</v>
      </c>
      <c r="BR196" t="e">
        <f>AND(#REF!,"AAAAAH36fkU=")</f>
        <v>#REF!</v>
      </c>
      <c r="BS196" t="e">
        <f>AND(#REF!,"AAAAAH36fkY=")</f>
        <v>#REF!</v>
      </c>
      <c r="BT196" t="e">
        <f>IF(#REF!,"AAAAAH36fkc=",0)</f>
        <v>#REF!</v>
      </c>
      <c r="BU196" t="e">
        <f>AND(#REF!,"AAAAAH36fkg=")</f>
        <v>#REF!</v>
      </c>
      <c r="BV196" t="e">
        <f>AND(#REF!,"AAAAAH36fkk=")</f>
        <v>#REF!</v>
      </c>
      <c r="BW196" t="e">
        <f>AND(#REF!,"AAAAAH36fko=")</f>
        <v>#REF!</v>
      </c>
      <c r="BX196" t="e">
        <f>AND(#REF!,"AAAAAH36fks=")</f>
        <v>#REF!</v>
      </c>
      <c r="BY196" t="e">
        <f>AND(#REF!,"AAAAAH36fkw=")</f>
        <v>#REF!</v>
      </c>
      <c r="BZ196" t="e">
        <f>AND(#REF!,"AAAAAH36fk0=")</f>
        <v>#REF!</v>
      </c>
      <c r="CA196" t="e">
        <f>AND(#REF!,"AAAAAH36fk4=")</f>
        <v>#REF!</v>
      </c>
      <c r="CB196" t="e">
        <f>AND(#REF!,"AAAAAH36fk8=")</f>
        <v>#REF!</v>
      </c>
      <c r="CC196" t="e">
        <f>AND(#REF!,"AAAAAH36flA=")</f>
        <v>#REF!</v>
      </c>
      <c r="CD196" t="e">
        <f>AND(#REF!,"AAAAAH36flE=")</f>
        <v>#REF!</v>
      </c>
      <c r="CE196" t="e">
        <f>IF(#REF!,"AAAAAH36flI=",0)</f>
        <v>#REF!</v>
      </c>
      <c r="CF196" t="e">
        <f>AND(#REF!,"AAAAAH36flM=")</f>
        <v>#REF!</v>
      </c>
      <c r="CG196" t="e">
        <f>AND(#REF!,"AAAAAH36flQ=")</f>
        <v>#REF!</v>
      </c>
      <c r="CH196" t="e">
        <f>AND(#REF!,"AAAAAH36flU=")</f>
        <v>#REF!</v>
      </c>
      <c r="CI196" t="e">
        <f>AND(#REF!,"AAAAAH36flY=")</f>
        <v>#REF!</v>
      </c>
      <c r="CJ196" t="e">
        <f>AND(#REF!,"AAAAAH36flc=")</f>
        <v>#REF!</v>
      </c>
      <c r="CK196" t="e">
        <f>AND(#REF!,"AAAAAH36flg=")</f>
        <v>#REF!</v>
      </c>
      <c r="CL196" t="e">
        <f>AND(#REF!,"AAAAAH36flk=")</f>
        <v>#REF!</v>
      </c>
      <c r="CM196" t="e">
        <f>AND(#REF!,"AAAAAH36flo=")</f>
        <v>#REF!</v>
      </c>
      <c r="CN196" t="e">
        <f>AND(#REF!,"AAAAAH36fls=")</f>
        <v>#REF!</v>
      </c>
      <c r="CO196" t="e">
        <f>AND(#REF!,"AAAAAH36flw=")</f>
        <v>#REF!</v>
      </c>
      <c r="CP196" t="e">
        <f>IF(#REF!,"AAAAAH36fl0=",0)</f>
        <v>#REF!</v>
      </c>
      <c r="CQ196" t="e">
        <f>AND(#REF!,"AAAAAH36fl4=")</f>
        <v>#REF!</v>
      </c>
      <c r="CR196" t="e">
        <f>AND(#REF!,"AAAAAH36fl8=")</f>
        <v>#REF!</v>
      </c>
      <c r="CS196" t="e">
        <f>AND(#REF!,"AAAAAH36fmA=")</f>
        <v>#REF!</v>
      </c>
      <c r="CT196" t="e">
        <f>AND(#REF!,"AAAAAH36fmE=")</f>
        <v>#REF!</v>
      </c>
      <c r="CU196" t="e">
        <f>AND(#REF!,"AAAAAH36fmI=")</f>
        <v>#REF!</v>
      </c>
      <c r="CV196" t="e">
        <f>AND(#REF!,"AAAAAH36fmM=")</f>
        <v>#REF!</v>
      </c>
      <c r="CW196" t="e">
        <f>AND(#REF!,"AAAAAH36fmQ=")</f>
        <v>#REF!</v>
      </c>
      <c r="CX196" t="e">
        <f>AND(#REF!,"AAAAAH36fmU=")</f>
        <v>#REF!</v>
      </c>
      <c r="CY196" t="e">
        <f>AND(#REF!,"AAAAAH36fmY=")</f>
        <v>#REF!</v>
      </c>
      <c r="CZ196" t="e">
        <f>AND(#REF!,"AAAAAH36fmc=")</f>
        <v>#REF!</v>
      </c>
      <c r="DA196" t="e">
        <f>IF(#REF!,"AAAAAH36fmg=",0)</f>
        <v>#REF!</v>
      </c>
      <c r="DB196" t="e">
        <f>AND(#REF!,"AAAAAH36fmk=")</f>
        <v>#REF!</v>
      </c>
      <c r="DC196" t="e">
        <f>AND(#REF!,"AAAAAH36fmo=")</f>
        <v>#REF!</v>
      </c>
      <c r="DD196" t="e">
        <f>AND(#REF!,"AAAAAH36fms=")</f>
        <v>#REF!</v>
      </c>
      <c r="DE196" t="e">
        <f>AND(#REF!,"AAAAAH36fmw=")</f>
        <v>#REF!</v>
      </c>
      <c r="DF196" t="e">
        <f>AND(#REF!,"AAAAAH36fm0=")</f>
        <v>#REF!</v>
      </c>
      <c r="DG196" t="e">
        <f>AND(#REF!,"AAAAAH36fm4=")</f>
        <v>#REF!</v>
      </c>
      <c r="DH196" t="e">
        <f>AND(#REF!,"AAAAAH36fm8=")</f>
        <v>#REF!</v>
      </c>
      <c r="DI196" t="e">
        <f>AND(#REF!,"AAAAAH36fnA=")</f>
        <v>#REF!</v>
      </c>
      <c r="DJ196" t="e">
        <f>AND(#REF!,"AAAAAH36fnE=")</f>
        <v>#REF!</v>
      </c>
      <c r="DK196" t="e">
        <f>AND(#REF!,"AAAAAH36fnI=")</f>
        <v>#REF!</v>
      </c>
      <c r="DL196" t="e">
        <f>IF(#REF!,"AAAAAH36fnM=",0)</f>
        <v>#REF!</v>
      </c>
      <c r="DM196" t="e">
        <f>AND(#REF!,"AAAAAH36fnQ=")</f>
        <v>#REF!</v>
      </c>
      <c r="DN196" t="e">
        <f>AND(#REF!,"AAAAAH36fnU=")</f>
        <v>#REF!</v>
      </c>
      <c r="DO196" t="e">
        <f>AND(#REF!,"AAAAAH36fnY=")</f>
        <v>#REF!</v>
      </c>
      <c r="DP196" t="e">
        <f>AND(#REF!,"AAAAAH36fnc=")</f>
        <v>#REF!</v>
      </c>
      <c r="DQ196" t="e">
        <f>AND(#REF!,"AAAAAH36fng=")</f>
        <v>#REF!</v>
      </c>
      <c r="DR196" t="e">
        <f>AND(#REF!,"AAAAAH36fnk=")</f>
        <v>#REF!</v>
      </c>
      <c r="DS196" t="e">
        <f>AND(#REF!,"AAAAAH36fno=")</f>
        <v>#REF!</v>
      </c>
      <c r="DT196" t="e">
        <f>AND(#REF!,"AAAAAH36fns=")</f>
        <v>#REF!</v>
      </c>
      <c r="DU196" t="e">
        <f>AND(#REF!,"AAAAAH36fnw=")</f>
        <v>#REF!</v>
      </c>
      <c r="DV196" t="e">
        <f>AND(#REF!,"AAAAAH36fn0=")</f>
        <v>#REF!</v>
      </c>
      <c r="DW196" t="e">
        <f>IF(#REF!,"AAAAAH36fn4=",0)</f>
        <v>#REF!</v>
      </c>
      <c r="DX196" t="e">
        <f>AND(#REF!,"AAAAAH36fn8=")</f>
        <v>#REF!</v>
      </c>
      <c r="DY196" t="e">
        <f>AND(#REF!,"AAAAAH36foA=")</f>
        <v>#REF!</v>
      </c>
      <c r="DZ196" t="e">
        <f>AND(#REF!,"AAAAAH36foE=")</f>
        <v>#REF!</v>
      </c>
      <c r="EA196" t="e">
        <f>AND(#REF!,"AAAAAH36foI=")</f>
        <v>#REF!</v>
      </c>
      <c r="EB196" t="e">
        <f>AND(#REF!,"AAAAAH36foM=")</f>
        <v>#REF!</v>
      </c>
      <c r="EC196" t="e">
        <f>AND(#REF!,"AAAAAH36foQ=")</f>
        <v>#REF!</v>
      </c>
      <c r="ED196" t="e">
        <f>AND(#REF!,"AAAAAH36foU=")</f>
        <v>#REF!</v>
      </c>
      <c r="EE196" t="e">
        <f>AND(#REF!,"AAAAAH36foY=")</f>
        <v>#REF!</v>
      </c>
      <c r="EF196" t="e">
        <f>AND(#REF!,"AAAAAH36foc=")</f>
        <v>#REF!</v>
      </c>
      <c r="EG196" t="e">
        <f>AND(#REF!,"AAAAAH36fog=")</f>
        <v>#REF!</v>
      </c>
      <c r="EH196" t="e">
        <f>IF(#REF!,"AAAAAH36fok=",0)</f>
        <v>#REF!</v>
      </c>
      <c r="EI196" t="e">
        <f>AND(#REF!,"AAAAAH36foo=")</f>
        <v>#REF!</v>
      </c>
      <c r="EJ196" t="e">
        <f>AND(#REF!,"AAAAAH36fos=")</f>
        <v>#REF!</v>
      </c>
      <c r="EK196" t="e">
        <f>AND(#REF!,"AAAAAH36fow=")</f>
        <v>#REF!</v>
      </c>
      <c r="EL196" t="e">
        <f>AND(#REF!,"AAAAAH36fo0=")</f>
        <v>#REF!</v>
      </c>
      <c r="EM196" t="e">
        <f>AND(#REF!,"AAAAAH36fo4=")</f>
        <v>#REF!</v>
      </c>
      <c r="EN196" t="e">
        <f>AND(#REF!,"AAAAAH36fo8=")</f>
        <v>#REF!</v>
      </c>
      <c r="EO196" t="e">
        <f>AND(#REF!,"AAAAAH36fpA=")</f>
        <v>#REF!</v>
      </c>
      <c r="EP196" t="e">
        <f>AND(#REF!,"AAAAAH36fpE=")</f>
        <v>#REF!</v>
      </c>
      <c r="EQ196" t="e">
        <f>AND(#REF!,"AAAAAH36fpI=")</f>
        <v>#REF!</v>
      </c>
      <c r="ER196" t="e">
        <f>AND(#REF!,"AAAAAH36fpM=")</f>
        <v>#REF!</v>
      </c>
      <c r="ES196" t="e">
        <f>IF(#REF!,"AAAAAH36fpQ=",0)</f>
        <v>#REF!</v>
      </c>
      <c r="ET196" t="e">
        <f>AND(#REF!,"AAAAAH36fpU=")</f>
        <v>#REF!</v>
      </c>
      <c r="EU196" t="e">
        <f>AND(#REF!,"AAAAAH36fpY=")</f>
        <v>#REF!</v>
      </c>
      <c r="EV196" t="e">
        <f>AND(#REF!,"AAAAAH36fpc=")</f>
        <v>#REF!</v>
      </c>
      <c r="EW196" t="e">
        <f>AND(#REF!,"AAAAAH36fpg=")</f>
        <v>#REF!</v>
      </c>
      <c r="EX196" t="e">
        <f>AND(#REF!,"AAAAAH36fpk=")</f>
        <v>#REF!</v>
      </c>
      <c r="EY196" t="e">
        <f>AND(#REF!,"AAAAAH36fpo=")</f>
        <v>#REF!</v>
      </c>
      <c r="EZ196" t="e">
        <f>AND(#REF!,"AAAAAH36fps=")</f>
        <v>#REF!</v>
      </c>
      <c r="FA196" t="e">
        <f>AND(#REF!,"AAAAAH36fpw=")</f>
        <v>#REF!</v>
      </c>
      <c r="FB196" t="e">
        <f>AND(#REF!,"AAAAAH36fp0=")</f>
        <v>#REF!</v>
      </c>
      <c r="FC196" t="e">
        <f>AND(#REF!,"AAAAAH36fp4=")</f>
        <v>#REF!</v>
      </c>
      <c r="FD196" t="e">
        <f>IF(#REF!,"AAAAAH36fp8=",0)</f>
        <v>#REF!</v>
      </c>
      <c r="FE196" t="e">
        <f>AND(#REF!,"AAAAAH36fqA=")</f>
        <v>#REF!</v>
      </c>
      <c r="FF196" t="e">
        <f>AND(#REF!,"AAAAAH36fqE=")</f>
        <v>#REF!</v>
      </c>
      <c r="FG196" t="e">
        <f>AND(#REF!,"AAAAAH36fqI=")</f>
        <v>#REF!</v>
      </c>
      <c r="FH196" t="e">
        <f>AND(#REF!,"AAAAAH36fqM=")</f>
        <v>#REF!</v>
      </c>
      <c r="FI196" t="e">
        <f>AND(#REF!,"AAAAAH36fqQ=")</f>
        <v>#REF!</v>
      </c>
      <c r="FJ196" t="e">
        <f>AND(#REF!,"AAAAAH36fqU=")</f>
        <v>#REF!</v>
      </c>
      <c r="FK196" t="e">
        <f>AND(#REF!,"AAAAAH36fqY=")</f>
        <v>#REF!</v>
      </c>
      <c r="FL196" t="e">
        <f>AND(#REF!,"AAAAAH36fqc=")</f>
        <v>#REF!</v>
      </c>
      <c r="FM196" t="e">
        <f>AND(#REF!,"AAAAAH36fqg=")</f>
        <v>#REF!</v>
      </c>
      <c r="FN196" t="e">
        <f>AND(#REF!,"AAAAAH36fqk=")</f>
        <v>#REF!</v>
      </c>
      <c r="FO196" t="e">
        <f>IF(#REF!,"AAAAAH36fqo=",0)</f>
        <v>#REF!</v>
      </c>
      <c r="FP196" t="e">
        <f>AND(#REF!,"AAAAAH36fqs=")</f>
        <v>#REF!</v>
      </c>
      <c r="FQ196" t="e">
        <f>AND(#REF!,"AAAAAH36fqw=")</f>
        <v>#REF!</v>
      </c>
      <c r="FR196" t="e">
        <f>AND(#REF!,"AAAAAH36fq0=")</f>
        <v>#REF!</v>
      </c>
      <c r="FS196" t="e">
        <f>AND(#REF!,"AAAAAH36fq4=")</f>
        <v>#REF!</v>
      </c>
      <c r="FT196" t="e">
        <f>AND(#REF!,"AAAAAH36fq8=")</f>
        <v>#REF!</v>
      </c>
      <c r="FU196" t="e">
        <f>AND(#REF!,"AAAAAH36frA=")</f>
        <v>#REF!</v>
      </c>
      <c r="FV196" t="e">
        <f>AND(#REF!,"AAAAAH36frE=")</f>
        <v>#REF!</v>
      </c>
      <c r="FW196" t="e">
        <f>AND(#REF!,"AAAAAH36frI=")</f>
        <v>#REF!</v>
      </c>
      <c r="FX196" t="e">
        <f>AND(#REF!,"AAAAAH36frM=")</f>
        <v>#REF!</v>
      </c>
      <c r="FY196" t="e">
        <f>AND(#REF!,"AAAAAH36frQ=")</f>
        <v>#REF!</v>
      </c>
      <c r="FZ196" t="e">
        <f>IF(#REF!,"AAAAAH36frU=",0)</f>
        <v>#REF!</v>
      </c>
      <c r="GA196" t="e">
        <f>AND(#REF!,"AAAAAH36frY=")</f>
        <v>#REF!</v>
      </c>
      <c r="GB196" t="e">
        <f>AND(#REF!,"AAAAAH36frc=")</f>
        <v>#REF!</v>
      </c>
      <c r="GC196" t="e">
        <f>AND(#REF!,"AAAAAH36frg=")</f>
        <v>#REF!</v>
      </c>
      <c r="GD196" t="e">
        <f>AND(#REF!,"AAAAAH36frk=")</f>
        <v>#REF!</v>
      </c>
      <c r="GE196" t="e">
        <f>AND(#REF!,"AAAAAH36fro=")</f>
        <v>#REF!</v>
      </c>
      <c r="GF196" t="e">
        <f>AND(#REF!,"AAAAAH36frs=")</f>
        <v>#REF!</v>
      </c>
      <c r="GG196" t="e">
        <f>AND(#REF!,"AAAAAH36frw=")</f>
        <v>#REF!</v>
      </c>
      <c r="GH196" t="e">
        <f>AND(#REF!,"AAAAAH36fr0=")</f>
        <v>#REF!</v>
      </c>
      <c r="GI196" t="e">
        <f>AND(#REF!,"AAAAAH36fr4=")</f>
        <v>#REF!</v>
      </c>
      <c r="GJ196" t="e">
        <f>AND(#REF!,"AAAAAH36fr8=")</f>
        <v>#REF!</v>
      </c>
      <c r="GK196" t="e">
        <f>IF(#REF!,"AAAAAH36fsA=",0)</f>
        <v>#REF!</v>
      </c>
      <c r="GL196" t="e">
        <f>AND(#REF!,"AAAAAH36fsE=")</f>
        <v>#REF!</v>
      </c>
      <c r="GM196" t="e">
        <f>AND(#REF!,"AAAAAH36fsI=")</f>
        <v>#REF!</v>
      </c>
      <c r="GN196" t="e">
        <f>AND(#REF!,"AAAAAH36fsM=")</f>
        <v>#REF!</v>
      </c>
      <c r="GO196" t="e">
        <f>AND(#REF!,"AAAAAH36fsQ=")</f>
        <v>#REF!</v>
      </c>
      <c r="GP196" t="e">
        <f>AND(#REF!,"AAAAAH36fsU=")</f>
        <v>#REF!</v>
      </c>
      <c r="GQ196" t="e">
        <f>AND(#REF!,"AAAAAH36fsY=")</f>
        <v>#REF!</v>
      </c>
      <c r="GR196" t="e">
        <f>AND(#REF!,"AAAAAH36fsc=")</f>
        <v>#REF!</v>
      </c>
      <c r="GS196" t="e">
        <f>AND(#REF!,"AAAAAH36fsg=")</f>
        <v>#REF!</v>
      </c>
      <c r="GT196" t="e">
        <f>AND(#REF!,"AAAAAH36fsk=")</f>
        <v>#REF!</v>
      </c>
      <c r="GU196" t="e">
        <f>AND(#REF!,"AAAAAH36fso=")</f>
        <v>#REF!</v>
      </c>
      <c r="GV196" t="e">
        <f>IF(#REF!,"AAAAAH36fss=",0)</f>
        <v>#REF!</v>
      </c>
      <c r="GW196" t="e">
        <f>AND(#REF!,"AAAAAH36fsw=")</f>
        <v>#REF!</v>
      </c>
      <c r="GX196" t="e">
        <f>AND(#REF!,"AAAAAH36fs0=")</f>
        <v>#REF!</v>
      </c>
      <c r="GY196" t="e">
        <f>AND(#REF!,"AAAAAH36fs4=")</f>
        <v>#REF!</v>
      </c>
      <c r="GZ196" t="e">
        <f>AND(#REF!,"AAAAAH36fs8=")</f>
        <v>#REF!</v>
      </c>
      <c r="HA196" t="e">
        <f>AND(#REF!,"AAAAAH36ftA=")</f>
        <v>#REF!</v>
      </c>
      <c r="HB196" t="e">
        <f>AND(#REF!,"AAAAAH36ftE=")</f>
        <v>#REF!</v>
      </c>
      <c r="HC196" t="e">
        <f>AND(#REF!,"AAAAAH36ftI=")</f>
        <v>#REF!</v>
      </c>
      <c r="HD196" t="e">
        <f>AND(#REF!,"AAAAAH36ftM=")</f>
        <v>#REF!</v>
      </c>
      <c r="HE196" t="e">
        <f>AND(#REF!,"AAAAAH36ftQ=")</f>
        <v>#REF!</v>
      </c>
      <c r="HF196" t="e">
        <f>AND(#REF!,"AAAAAH36ftU=")</f>
        <v>#REF!</v>
      </c>
      <c r="HG196" t="e">
        <f>IF(#REF!,"AAAAAH36ftY=",0)</f>
        <v>#REF!</v>
      </c>
      <c r="HH196" t="e">
        <f>AND(#REF!,"AAAAAH36ftc=")</f>
        <v>#REF!</v>
      </c>
      <c r="HI196" t="e">
        <f>AND(#REF!,"AAAAAH36ftg=")</f>
        <v>#REF!</v>
      </c>
      <c r="HJ196" t="e">
        <f>AND(#REF!,"AAAAAH36ftk=")</f>
        <v>#REF!</v>
      </c>
      <c r="HK196" t="e">
        <f>AND(#REF!,"AAAAAH36fto=")</f>
        <v>#REF!</v>
      </c>
      <c r="HL196" t="e">
        <f>AND(#REF!,"AAAAAH36fts=")</f>
        <v>#REF!</v>
      </c>
      <c r="HM196" t="e">
        <f>AND(#REF!,"AAAAAH36ftw=")</f>
        <v>#REF!</v>
      </c>
      <c r="HN196" t="e">
        <f>AND(#REF!,"AAAAAH36ft0=")</f>
        <v>#REF!</v>
      </c>
      <c r="HO196" t="e">
        <f>AND(#REF!,"AAAAAH36ft4=")</f>
        <v>#REF!</v>
      </c>
      <c r="HP196" t="e">
        <f>AND(#REF!,"AAAAAH36ft8=")</f>
        <v>#REF!</v>
      </c>
      <c r="HQ196" t="e">
        <f>AND(#REF!,"AAAAAH36fuA=")</f>
        <v>#REF!</v>
      </c>
      <c r="HR196" t="e">
        <f>IF(#REF!,"AAAAAH36fuE=",0)</f>
        <v>#REF!</v>
      </c>
      <c r="HS196" t="e">
        <f>AND(#REF!,"AAAAAH36fuI=")</f>
        <v>#REF!</v>
      </c>
      <c r="HT196" t="e">
        <f>AND(#REF!,"AAAAAH36fuM=")</f>
        <v>#REF!</v>
      </c>
      <c r="HU196" t="e">
        <f>AND(#REF!,"AAAAAH36fuQ=")</f>
        <v>#REF!</v>
      </c>
      <c r="HV196" t="e">
        <f>AND(#REF!,"AAAAAH36fuU=")</f>
        <v>#REF!</v>
      </c>
      <c r="HW196" t="e">
        <f>AND(#REF!,"AAAAAH36fuY=")</f>
        <v>#REF!</v>
      </c>
      <c r="HX196" t="e">
        <f>AND(#REF!,"AAAAAH36fuc=")</f>
        <v>#REF!</v>
      </c>
      <c r="HY196" t="e">
        <f>AND(#REF!,"AAAAAH36fug=")</f>
        <v>#REF!</v>
      </c>
      <c r="HZ196" t="e">
        <f>AND(#REF!,"AAAAAH36fuk=")</f>
        <v>#REF!</v>
      </c>
      <c r="IA196" t="e">
        <f>AND(#REF!,"AAAAAH36fuo=")</f>
        <v>#REF!</v>
      </c>
      <c r="IB196" t="e">
        <f>AND(#REF!,"AAAAAH36fus=")</f>
        <v>#REF!</v>
      </c>
      <c r="IC196" t="e">
        <f>IF(#REF!,"AAAAAH36fuw=",0)</f>
        <v>#REF!</v>
      </c>
      <c r="ID196" t="e">
        <f>AND(#REF!,"AAAAAH36fu0=")</f>
        <v>#REF!</v>
      </c>
      <c r="IE196" t="e">
        <f>AND(#REF!,"AAAAAH36fu4=")</f>
        <v>#REF!</v>
      </c>
      <c r="IF196" t="e">
        <f>AND(#REF!,"AAAAAH36fu8=")</f>
        <v>#REF!</v>
      </c>
      <c r="IG196" t="e">
        <f>AND(#REF!,"AAAAAH36fvA=")</f>
        <v>#REF!</v>
      </c>
      <c r="IH196" t="e">
        <f>AND(#REF!,"AAAAAH36fvE=")</f>
        <v>#REF!</v>
      </c>
      <c r="II196" t="e">
        <f>AND(#REF!,"AAAAAH36fvI=")</f>
        <v>#REF!</v>
      </c>
      <c r="IJ196" t="e">
        <f>AND(#REF!,"AAAAAH36fvM=")</f>
        <v>#REF!</v>
      </c>
      <c r="IK196" t="e">
        <f>AND(#REF!,"AAAAAH36fvQ=")</f>
        <v>#REF!</v>
      </c>
      <c r="IL196" t="e">
        <f>AND(#REF!,"AAAAAH36fvU=")</f>
        <v>#REF!</v>
      </c>
      <c r="IM196" t="e">
        <f>AND(#REF!,"AAAAAH36fvY=")</f>
        <v>#REF!</v>
      </c>
      <c r="IN196" t="e">
        <f>IF(#REF!,"AAAAAH36fvc=",0)</f>
        <v>#REF!</v>
      </c>
      <c r="IO196" t="e">
        <f>AND(#REF!,"AAAAAH36fvg=")</f>
        <v>#REF!</v>
      </c>
      <c r="IP196" t="e">
        <f>AND(#REF!,"AAAAAH36fvk=")</f>
        <v>#REF!</v>
      </c>
      <c r="IQ196" t="e">
        <f>AND(#REF!,"AAAAAH36fvo=")</f>
        <v>#REF!</v>
      </c>
      <c r="IR196" t="e">
        <f>AND(#REF!,"AAAAAH36fvs=")</f>
        <v>#REF!</v>
      </c>
      <c r="IS196" t="e">
        <f>AND(#REF!,"AAAAAH36fvw=")</f>
        <v>#REF!</v>
      </c>
      <c r="IT196" t="e">
        <f>AND(#REF!,"AAAAAH36fv0=")</f>
        <v>#REF!</v>
      </c>
      <c r="IU196" t="e">
        <f>AND(#REF!,"AAAAAH36fv4=")</f>
        <v>#REF!</v>
      </c>
      <c r="IV196" t="e">
        <f>AND(#REF!,"AAAAAH36fv8=")</f>
        <v>#REF!</v>
      </c>
    </row>
    <row r="197" spans="1:256" x14ac:dyDescent="0.25">
      <c r="A197" t="e">
        <f>AND(#REF!,"AAAAAGqf3QA=")</f>
        <v>#REF!</v>
      </c>
      <c r="B197" t="e">
        <f>AND(#REF!,"AAAAAGqf3QE=")</f>
        <v>#REF!</v>
      </c>
      <c r="C197" t="e">
        <f>IF(#REF!,"AAAAAGqf3QI=",0)</f>
        <v>#REF!</v>
      </c>
      <c r="D197" t="e">
        <f>AND(#REF!,"AAAAAGqf3QM=")</f>
        <v>#REF!</v>
      </c>
      <c r="E197" t="e">
        <f>AND(#REF!,"AAAAAGqf3QQ=")</f>
        <v>#REF!</v>
      </c>
      <c r="F197" t="e">
        <f>AND(#REF!,"AAAAAGqf3QU=")</f>
        <v>#REF!</v>
      </c>
      <c r="G197" t="e">
        <f>AND(#REF!,"AAAAAGqf3QY=")</f>
        <v>#REF!</v>
      </c>
      <c r="H197" t="e">
        <f>AND(#REF!,"AAAAAGqf3Qc=")</f>
        <v>#REF!</v>
      </c>
      <c r="I197" t="e">
        <f>AND(#REF!,"AAAAAGqf3Qg=")</f>
        <v>#REF!</v>
      </c>
      <c r="J197" t="e">
        <f>AND(#REF!,"AAAAAGqf3Qk=")</f>
        <v>#REF!</v>
      </c>
      <c r="K197" t="e">
        <f>AND(#REF!,"AAAAAGqf3Qo=")</f>
        <v>#REF!</v>
      </c>
      <c r="L197" t="e">
        <f>AND(#REF!,"AAAAAGqf3Qs=")</f>
        <v>#REF!</v>
      </c>
      <c r="M197" t="e">
        <f>AND(#REF!,"AAAAAGqf3Qw=")</f>
        <v>#REF!</v>
      </c>
      <c r="N197" t="e">
        <f>IF(#REF!,"AAAAAGqf3Q0=",0)</f>
        <v>#REF!</v>
      </c>
      <c r="O197" t="e">
        <f>AND(#REF!,"AAAAAGqf3Q4=")</f>
        <v>#REF!</v>
      </c>
      <c r="P197" t="e">
        <f>AND(#REF!,"AAAAAGqf3Q8=")</f>
        <v>#REF!</v>
      </c>
      <c r="Q197" t="e">
        <f>AND(#REF!,"AAAAAGqf3RA=")</f>
        <v>#REF!</v>
      </c>
      <c r="R197" t="e">
        <f>AND(#REF!,"AAAAAGqf3RE=")</f>
        <v>#REF!</v>
      </c>
      <c r="S197" t="e">
        <f>AND(#REF!,"AAAAAGqf3RI=")</f>
        <v>#REF!</v>
      </c>
      <c r="T197" t="e">
        <f>AND(#REF!,"AAAAAGqf3RM=")</f>
        <v>#REF!</v>
      </c>
      <c r="U197" t="e">
        <f>AND(#REF!,"AAAAAGqf3RQ=")</f>
        <v>#REF!</v>
      </c>
      <c r="V197" t="e">
        <f>AND(#REF!,"AAAAAGqf3RU=")</f>
        <v>#REF!</v>
      </c>
      <c r="W197" t="e">
        <f>AND(#REF!,"AAAAAGqf3RY=")</f>
        <v>#REF!</v>
      </c>
      <c r="X197" t="e">
        <f>AND(#REF!,"AAAAAGqf3Rc=")</f>
        <v>#REF!</v>
      </c>
      <c r="Y197" t="e">
        <f>IF(#REF!,"AAAAAGqf3Rg=",0)</f>
        <v>#REF!</v>
      </c>
      <c r="Z197" t="e">
        <f>AND(#REF!,"AAAAAGqf3Rk=")</f>
        <v>#REF!</v>
      </c>
      <c r="AA197" t="e">
        <f>AND(#REF!,"AAAAAGqf3Ro=")</f>
        <v>#REF!</v>
      </c>
      <c r="AB197" t="e">
        <f>AND(#REF!,"AAAAAGqf3Rs=")</f>
        <v>#REF!</v>
      </c>
      <c r="AC197" t="e">
        <f>AND(#REF!,"AAAAAGqf3Rw=")</f>
        <v>#REF!</v>
      </c>
      <c r="AD197" t="e">
        <f>AND(#REF!,"AAAAAGqf3R0=")</f>
        <v>#REF!</v>
      </c>
      <c r="AE197" t="e">
        <f>AND(#REF!,"AAAAAGqf3R4=")</f>
        <v>#REF!</v>
      </c>
      <c r="AF197" t="e">
        <f>AND(#REF!,"AAAAAGqf3R8=")</f>
        <v>#REF!</v>
      </c>
      <c r="AG197" t="e">
        <f>AND(#REF!,"AAAAAGqf3SA=")</f>
        <v>#REF!</v>
      </c>
      <c r="AH197" t="e">
        <f>AND(#REF!,"AAAAAGqf3SE=")</f>
        <v>#REF!</v>
      </c>
      <c r="AI197" t="e">
        <f>AND(#REF!,"AAAAAGqf3SI=")</f>
        <v>#REF!</v>
      </c>
      <c r="AJ197" t="e">
        <f>IF(#REF!,"AAAAAGqf3SM=",0)</f>
        <v>#REF!</v>
      </c>
      <c r="AK197" t="e">
        <f>AND(#REF!,"AAAAAGqf3SQ=")</f>
        <v>#REF!</v>
      </c>
      <c r="AL197" t="e">
        <f>AND(#REF!,"AAAAAGqf3SU=")</f>
        <v>#REF!</v>
      </c>
      <c r="AM197" t="e">
        <f>AND(#REF!,"AAAAAGqf3SY=")</f>
        <v>#REF!</v>
      </c>
      <c r="AN197" t="e">
        <f>AND(#REF!,"AAAAAGqf3Sc=")</f>
        <v>#REF!</v>
      </c>
      <c r="AO197" t="e">
        <f>AND(#REF!,"AAAAAGqf3Sg=")</f>
        <v>#REF!</v>
      </c>
      <c r="AP197" t="e">
        <f>AND(#REF!,"AAAAAGqf3Sk=")</f>
        <v>#REF!</v>
      </c>
      <c r="AQ197" t="e">
        <f>AND(#REF!,"AAAAAGqf3So=")</f>
        <v>#REF!</v>
      </c>
      <c r="AR197" t="e">
        <f>AND(#REF!,"AAAAAGqf3Ss=")</f>
        <v>#REF!</v>
      </c>
      <c r="AS197" t="e">
        <f>AND(#REF!,"AAAAAGqf3Sw=")</f>
        <v>#REF!</v>
      </c>
      <c r="AT197" t="e">
        <f>AND(#REF!,"AAAAAGqf3S0=")</f>
        <v>#REF!</v>
      </c>
      <c r="AU197" t="e">
        <f>IF(#REF!,"AAAAAGqf3S4=",0)</f>
        <v>#REF!</v>
      </c>
      <c r="AV197" t="e">
        <f>AND(#REF!,"AAAAAGqf3S8=")</f>
        <v>#REF!</v>
      </c>
      <c r="AW197" t="e">
        <f>AND(#REF!,"AAAAAGqf3TA=")</f>
        <v>#REF!</v>
      </c>
      <c r="AX197" t="e">
        <f>AND(#REF!,"AAAAAGqf3TE=")</f>
        <v>#REF!</v>
      </c>
      <c r="AY197" t="e">
        <f>AND(#REF!,"AAAAAGqf3TI=")</f>
        <v>#REF!</v>
      </c>
      <c r="AZ197" t="e">
        <f>AND(#REF!,"AAAAAGqf3TM=")</f>
        <v>#REF!</v>
      </c>
      <c r="BA197" t="e">
        <f>AND(#REF!,"AAAAAGqf3TQ=")</f>
        <v>#REF!</v>
      </c>
      <c r="BB197" t="e">
        <f>AND(#REF!,"AAAAAGqf3TU=")</f>
        <v>#REF!</v>
      </c>
      <c r="BC197" t="e">
        <f>AND(#REF!,"AAAAAGqf3TY=")</f>
        <v>#REF!</v>
      </c>
      <c r="BD197" t="e">
        <f>AND(#REF!,"AAAAAGqf3Tc=")</f>
        <v>#REF!</v>
      </c>
      <c r="BE197" t="e">
        <f>AND(#REF!,"AAAAAGqf3Tg=")</f>
        <v>#REF!</v>
      </c>
      <c r="BF197" t="e">
        <f>IF(#REF!,"AAAAAGqf3Tk=",0)</f>
        <v>#REF!</v>
      </c>
      <c r="BG197" t="e">
        <f>AND(#REF!,"AAAAAGqf3To=")</f>
        <v>#REF!</v>
      </c>
      <c r="BH197" t="e">
        <f>AND(#REF!,"AAAAAGqf3Ts=")</f>
        <v>#REF!</v>
      </c>
      <c r="BI197" t="e">
        <f>AND(#REF!,"AAAAAGqf3Tw=")</f>
        <v>#REF!</v>
      </c>
      <c r="BJ197" t="e">
        <f>AND(#REF!,"AAAAAGqf3T0=")</f>
        <v>#REF!</v>
      </c>
      <c r="BK197" t="e">
        <f>AND(#REF!,"AAAAAGqf3T4=")</f>
        <v>#REF!</v>
      </c>
      <c r="BL197" t="e">
        <f>AND(#REF!,"AAAAAGqf3T8=")</f>
        <v>#REF!</v>
      </c>
      <c r="BM197" t="e">
        <f>AND(#REF!,"AAAAAGqf3UA=")</f>
        <v>#REF!</v>
      </c>
      <c r="BN197" t="e">
        <f>AND(#REF!,"AAAAAGqf3UE=")</f>
        <v>#REF!</v>
      </c>
      <c r="BO197" t="e">
        <f>AND(#REF!,"AAAAAGqf3UI=")</f>
        <v>#REF!</v>
      </c>
      <c r="BP197" t="e">
        <f>AND(#REF!,"AAAAAGqf3UM=")</f>
        <v>#REF!</v>
      </c>
      <c r="BQ197" t="e">
        <f>IF(#REF!,"AAAAAGqf3UQ=",0)</f>
        <v>#REF!</v>
      </c>
      <c r="BR197" t="e">
        <f>AND(#REF!,"AAAAAGqf3UU=")</f>
        <v>#REF!</v>
      </c>
      <c r="BS197" t="e">
        <f>AND(#REF!,"AAAAAGqf3UY=")</f>
        <v>#REF!</v>
      </c>
      <c r="BT197" t="e">
        <f>AND(#REF!,"AAAAAGqf3Uc=")</f>
        <v>#REF!</v>
      </c>
      <c r="BU197" t="e">
        <f>AND(#REF!,"AAAAAGqf3Ug=")</f>
        <v>#REF!</v>
      </c>
      <c r="BV197" t="e">
        <f>AND(#REF!,"AAAAAGqf3Uk=")</f>
        <v>#REF!</v>
      </c>
      <c r="BW197" t="e">
        <f>AND(#REF!,"AAAAAGqf3Uo=")</f>
        <v>#REF!</v>
      </c>
      <c r="BX197" t="e">
        <f>AND(#REF!,"AAAAAGqf3Us=")</f>
        <v>#REF!</v>
      </c>
      <c r="BY197" t="e">
        <f>AND(#REF!,"AAAAAGqf3Uw=")</f>
        <v>#REF!</v>
      </c>
      <c r="BZ197" t="e">
        <f>AND(#REF!,"AAAAAGqf3U0=")</f>
        <v>#REF!</v>
      </c>
      <c r="CA197" t="e">
        <f>AND(#REF!,"AAAAAGqf3U4=")</f>
        <v>#REF!</v>
      </c>
      <c r="CB197" t="e">
        <f>IF(#REF!,"AAAAAGqf3U8=",0)</f>
        <v>#REF!</v>
      </c>
      <c r="CC197" t="e">
        <f>AND(#REF!,"AAAAAGqf3VA=")</f>
        <v>#REF!</v>
      </c>
      <c r="CD197" t="e">
        <f>AND(#REF!,"AAAAAGqf3VE=")</f>
        <v>#REF!</v>
      </c>
      <c r="CE197" t="e">
        <f>AND(#REF!,"AAAAAGqf3VI=")</f>
        <v>#REF!</v>
      </c>
      <c r="CF197" t="e">
        <f>AND(#REF!,"AAAAAGqf3VM=")</f>
        <v>#REF!</v>
      </c>
      <c r="CG197" t="e">
        <f>AND(#REF!,"AAAAAGqf3VQ=")</f>
        <v>#REF!</v>
      </c>
      <c r="CH197" t="e">
        <f>AND(#REF!,"AAAAAGqf3VU=")</f>
        <v>#REF!</v>
      </c>
      <c r="CI197" t="e">
        <f>AND(#REF!,"AAAAAGqf3VY=")</f>
        <v>#REF!</v>
      </c>
      <c r="CJ197" t="e">
        <f>AND(#REF!,"AAAAAGqf3Vc=")</f>
        <v>#REF!</v>
      </c>
      <c r="CK197" t="e">
        <f>AND(#REF!,"AAAAAGqf3Vg=")</f>
        <v>#REF!</v>
      </c>
      <c r="CL197" t="e">
        <f>AND(#REF!,"AAAAAGqf3Vk=")</f>
        <v>#REF!</v>
      </c>
      <c r="CM197" t="e">
        <f>IF(#REF!,"AAAAAGqf3Vo=",0)</f>
        <v>#REF!</v>
      </c>
      <c r="CN197" t="e">
        <f>AND(#REF!,"AAAAAGqf3Vs=")</f>
        <v>#REF!</v>
      </c>
      <c r="CO197" t="e">
        <f>AND(#REF!,"AAAAAGqf3Vw=")</f>
        <v>#REF!</v>
      </c>
      <c r="CP197" t="e">
        <f>AND(#REF!,"AAAAAGqf3V0=")</f>
        <v>#REF!</v>
      </c>
      <c r="CQ197" t="e">
        <f>AND(#REF!,"AAAAAGqf3V4=")</f>
        <v>#REF!</v>
      </c>
      <c r="CR197" t="e">
        <f>AND(#REF!,"AAAAAGqf3V8=")</f>
        <v>#REF!</v>
      </c>
      <c r="CS197" t="e">
        <f>AND(#REF!,"AAAAAGqf3WA=")</f>
        <v>#REF!</v>
      </c>
      <c r="CT197" t="e">
        <f>AND(#REF!,"AAAAAGqf3WE=")</f>
        <v>#REF!</v>
      </c>
      <c r="CU197" t="e">
        <f>AND(#REF!,"AAAAAGqf3WI=")</f>
        <v>#REF!</v>
      </c>
      <c r="CV197" t="e">
        <f>AND(#REF!,"AAAAAGqf3WM=")</f>
        <v>#REF!</v>
      </c>
      <c r="CW197" t="e">
        <f>AND(#REF!,"AAAAAGqf3WQ=")</f>
        <v>#REF!</v>
      </c>
      <c r="CX197" t="e">
        <f>IF(#REF!,"AAAAAGqf3WU=",0)</f>
        <v>#REF!</v>
      </c>
      <c r="CY197" t="e">
        <f>AND(#REF!,"AAAAAGqf3WY=")</f>
        <v>#REF!</v>
      </c>
      <c r="CZ197" t="e">
        <f>AND(#REF!,"AAAAAGqf3Wc=")</f>
        <v>#REF!</v>
      </c>
      <c r="DA197" t="e">
        <f>AND(#REF!,"AAAAAGqf3Wg=")</f>
        <v>#REF!</v>
      </c>
      <c r="DB197" t="e">
        <f>AND(#REF!,"AAAAAGqf3Wk=")</f>
        <v>#REF!</v>
      </c>
      <c r="DC197" t="e">
        <f>AND(#REF!,"AAAAAGqf3Wo=")</f>
        <v>#REF!</v>
      </c>
      <c r="DD197" t="e">
        <f>AND(#REF!,"AAAAAGqf3Ws=")</f>
        <v>#REF!</v>
      </c>
      <c r="DE197" t="e">
        <f>AND(#REF!,"AAAAAGqf3Ww=")</f>
        <v>#REF!</v>
      </c>
      <c r="DF197" t="e">
        <f>AND(#REF!,"AAAAAGqf3W0=")</f>
        <v>#REF!</v>
      </c>
      <c r="DG197" t="e">
        <f>AND(#REF!,"AAAAAGqf3W4=")</f>
        <v>#REF!</v>
      </c>
      <c r="DH197" t="e">
        <f>AND(#REF!,"AAAAAGqf3W8=")</f>
        <v>#REF!</v>
      </c>
      <c r="DI197" t="e">
        <f>IF(#REF!,"AAAAAGqf3XA=",0)</f>
        <v>#REF!</v>
      </c>
      <c r="DJ197" t="e">
        <f>AND(#REF!,"AAAAAGqf3XE=")</f>
        <v>#REF!</v>
      </c>
      <c r="DK197" t="e">
        <f>AND(#REF!,"AAAAAGqf3XI=")</f>
        <v>#REF!</v>
      </c>
      <c r="DL197" t="e">
        <f>AND(#REF!,"AAAAAGqf3XM=")</f>
        <v>#REF!</v>
      </c>
      <c r="DM197" t="e">
        <f>AND(#REF!,"AAAAAGqf3XQ=")</f>
        <v>#REF!</v>
      </c>
      <c r="DN197" t="e">
        <f>AND(#REF!,"AAAAAGqf3XU=")</f>
        <v>#REF!</v>
      </c>
      <c r="DO197" t="e">
        <f>AND(#REF!,"AAAAAGqf3XY=")</f>
        <v>#REF!</v>
      </c>
      <c r="DP197" t="e">
        <f>AND(#REF!,"AAAAAGqf3Xc=")</f>
        <v>#REF!</v>
      </c>
      <c r="DQ197" t="e">
        <f>AND(#REF!,"AAAAAGqf3Xg=")</f>
        <v>#REF!</v>
      </c>
      <c r="DR197" t="e">
        <f>AND(#REF!,"AAAAAGqf3Xk=")</f>
        <v>#REF!</v>
      </c>
      <c r="DS197" t="e">
        <f>AND(#REF!,"AAAAAGqf3Xo=")</f>
        <v>#REF!</v>
      </c>
      <c r="DT197" t="e">
        <f>IF(#REF!,"AAAAAGqf3Xs=",0)</f>
        <v>#REF!</v>
      </c>
      <c r="DU197" t="e">
        <f>AND(#REF!,"AAAAAGqf3Xw=")</f>
        <v>#REF!</v>
      </c>
      <c r="DV197" t="e">
        <f>AND(#REF!,"AAAAAGqf3X0=")</f>
        <v>#REF!</v>
      </c>
      <c r="DW197" t="e">
        <f>AND(#REF!,"AAAAAGqf3X4=")</f>
        <v>#REF!</v>
      </c>
      <c r="DX197" t="e">
        <f>AND(#REF!,"AAAAAGqf3X8=")</f>
        <v>#REF!</v>
      </c>
      <c r="DY197" t="e">
        <f>AND(#REF!,"AAAAAGqf3YA=")</f>
        <v>#REF!</v>
      </c>
      <c r="DZ197" t="e">
        <f>AND(#REF!,"AAAAAGqf3YE=")</f>
        <v>#REF!</v>
      </c>
      <c r="EA197" t="e">
        <f>AND(#REF!,"AAAAAGqf3YI=")</f>
        <v>#REF!</v>
      </c>
      <c r="EB197" t="e">
        <f>AND(#REF!,"AAAAAGqf3YM=")</f>
        <v>#REF!</v>
      </c>
      <c r="EC197" t="e">
        <f>AND(#REF!,"AAAAAGqf3YQ=")</f>
        <v>#REF!</v>
      </c>
      <c r="ED197" t="e">
        <f>AND(#REF!,"AAAAAGqf3YU=")</f>
        <v>#REF!</v>
      </c>
      <c r="EE197" t="e">
        <f>IF(#REF!,"AAAAAGqf3YY=",0)</f>
        <v>#REF!</v>
      </c>
      <c r="EF197" t="e">
        <f>AND(#REF!,"AAAAAGqf3Yc=")</f>
        <v>#REF!</v>
      </c>
      <c r="EG197" t="e">
        <f>AND(#REF!,"AAAAAGqf3Yg=")</f>
        <v>#REF!</v>
      </c>
      <c r="EH197" t="e">
        <f>AND(#REF!,"AAAAAGqf3Yk=")</f>
        <v>#REF!</v>
      </c>
      <c r="EI197" t="e">
        <f>AND(#REF!,"AAAAAGqf3Yo=")</f>
        <v>#REF!</v>
      </c>
      <c r="EJ197" t="e">
        <f>AND(#REF!,"AAAAAGqf3Ys=")</f>
        <v>#REF!</v>
      </c>
      <c r="EK197" t="e">
        <f>AND(#REF!,"AAAAAGqf3Yw=")</f>
        <v>#REF!</v>
      </c>
      <c r="EL197" t="e">
        <f>AND(#REF!,"AAAAAGqf3Y0=")</f>
        <v>#REF!</v>
      </c>
      <c r="EM197" t="e">
        <f>AND(#REF!,"AAAAAGqf3Y4=")</f>
        <v>#REF!</v>
      </c>
      <c r="EN197" t="e">
        <f>AND(#REF!,"AAAAAGqf3Y8=")</f>
        <v>#REF!</v>
      </c>
      <c r="EO197" t="e">
        <f>AND(#REF!,"AAAAAGqf3ZA=")</f>
        <v>#REF!</v>
      </c>
      <c r="EP197" t="e">
        <f>IF(#REF!,"AAAAAGqf3ZE=",0)</f>
        <v>#REF!</v>
      </c>
      <c r="EQ197" t="e">
        <f>AND(#REF!,"AAAAAGqf3ZI=")</f>
        <v>#REF!</v>
      </c>
      <c r="ER197" t="e">
        <f>AND(#REF!,"AAAAAGqf3ZM=")</f>
        <v>#REF!</v>
      </c>
      <c r="ES197" t="e">
        <f>AND(#REF!,"AAAAAGqf3ZQ=")</f>
        <v>#REF!</v>
      </c>
      <c r="ET197" t="e">
        <f>AND(#REF!,"AAAAAGqf3ZU=")</f>
        <v>#REF!</v>
      </c>
      <c r="EU197" t="e">
        <f>AND(#REF!,"AAAAAGqf3ZY=")</f>
        <v>#REF!</v>
      </c>
      <c r="EV197" t="e">
        <f>AND(#REF!,"AAAAAGqf3Zc=")</f>
        <v>#REF!</v>
      </c>
      <c r="EW197" t="e">
        <f>AND(#REF!,"AAAAAGqf3Zg=")</f>
        <v>#REF!</v>
      </c>
      <c r="EX197" t="e">
        <f>AND(#REF!,"AAAAAGqf3Zk=")</f>
        <v>#REF!</v>
      </c>
      <c r="EY197" t="e">
        <f>AND(#REF!,"AAAAAGqf3Zo=")</f>
        <v>#REF!</v>
      </c>
      <c r="EZ197" t="e">
        <f>AND(#REF!,"AAAAAGqf3Zs=")</f>
        <v>#REF!</v>
      </c>
      <c r="FA197" t="e">
        <f>IF(#REF!,"AAAAAGqf3Zw=",0)</f>
        <v>#REF!</v>
      </c>
      <c r="FB197" t="e">
        <f>AND(#REF!,"AAAAAGqf3Z0=")</f>
        <v>#REF!</v>
      </c>
      <c r="FC197" t="e">
        <f>AND(#REF!,"AAAAAGqf3Z4=")</f>
        <v>#REF!</v>
      </c>
      <c r="FD197" t="e">
        <f>AND(#REF!,"AAAAAGqf3Z8=")</f>
        <v>#REF!</v>
      </c>
      <c r="FE197" t="e">
        <f>AND(#REF!,"AAAAAGqf3aA=")</f>
        <v>#REF!</v>
      </c>
      <c r="FF197" t="e">
        <f>AND(#REF!,"AAAAAGqf3aE=")</f>
        <v>#REF!</v>
      </c>
      <c r="FG197" t="e">
        <f>AND(#REF!,"AAAAAGqf3aI=")</f>
        <v>#REF!</v>
      </c>
      <c r="FH197" t="e">
        <f>AND(#REF!,"AAAAAGqf3aM=")</f>
        <v>#REF!</v>
      </c>
      <c r="FI197" t="e">
        <f>AND(#REF!,"AAAAAGqf3aQ=")</f>
        <v>#REF!</v>
      </c>
      <c r="FJ197" t="e">
        <f>AND(#REF!,"AAAAAGqf3aU=")</f>
        <v>#REF!</v>
      </c>
      <c r="FK197" t="e">
        <f>AND(#REF!,"AAAAAGqf3aY=")</f>
        <v>#REF!</v>
      </c>
      <c r="FL197" t="e">
        <f>IF(#REF!,"AAAAAGqf3ac=",0)</f>
        <v>#REF!</v>
      </c>
      <c r="FM197" t="e">
        <f>AND(#REF!,"AAAAAGqf3ag=")</f>
        <v>#REF!</v>
      </c>
      <c r="FN197" t="e">
        <f>AND(#REF!,"AAAAAGqf3ak=")</f>
        <v>#REF!</v>
      </c>
      <c r="FO197" t="e">
        <f>AND(#REF!,"AAAAAGqf3ao=")</f>
        <v>#REF!</v>
      </c>
      <c r="FP197" t="e">
        <f>AND(#REF!,"AAAAAGqf3as=")</f>
        <v>#REF!</v>
      </c>
      <c r="FQ197" t="e">
        <f>AND(#REF!,"AAAAAGqf3aw=")</f>
        <v>#REF!</v>
      </c>
      <c r="FR197" t="e">
        <f>AND(#REF!,"AAAAAGqf3a0=")</f>
        <v>#REF!</v>
      </c>
      <c r="FS197" t="e">
        <f>AND(#REF!,"AAAAAGqf3a4=")</f>
        <v>#REF!</v>
      </c>
      <c r="FT197" t="e">
        <f>AND(#REF!,"AAAAAGqf3a8=")</f>
        <v>#REF!</v>
      </c>
      <c r="FU197" t="e">
        <f>AND(#REF!,"AAAAAGqf3bA=")</f>
        <v>#REF!</v>
      </c>
      <c r="FV197" t="e">
        <f>AND(#REF!,"AAAAAGqf3bE=")</f>
        <v>#REF!</v>
      </c>
      <c r="FW197" t="e">
        <f>IF(#REF!,"AAAAAGqf3bI=",0)</f>
        <v>#REF!</v>
      </c>
      <c r="FX197" t="e">
        <f>AND(#REF!,"AAAAAGqf3bM=")</f>
        <v>#REF!</v>
      </c>
      <c r="FY197" t="e">
        <f>AND(#REF!,"AAAAAGqf3bQ=")</f>
        <v>#REF!</v>
      </c>
      <c r="FZ197" t="e">
        <f>AND(#REF!,"AAAAAGqf3bU=")</f>
        <v>#REF!</v>
      </c>
      <c r="GA197" t="e">
        <f>AND(#REF!,"AAAAAGqf3bY=")</f>
        <v>#REF!</v>
      </c>
      <c r="GB197" t="e">
        <f>AND(#REF!,"AAAAAGqf3bc=")</f>
        <v>#REF!</v>
      </c>
      <c r="GC197" t="e">
        <f>AND(#REF!,"AAAAAGqf3bg=")</f>
        <v>#REF!</v>
      </c>
      <c r="GD197" t="e">
        <f>AND(#REF!,"AAAAAGqf3bk=")</f>
        <v>#REF!</v>
      </c>
      <c r="GE197" t="e">
        <f>AND(#REF!,"AAAAAGqf3bo=")</f>
        <v>#REF!</v>
      </c>
      <c r="GF197" t="e">
        <f>AND(#REF!,"AAAAAGqf3bs=")</f>
        <v>#REF!</v>
      </c>
      <c r="GG197" t="e">
        <f>AND(#REF!,"AAAAAGqf3bw=")</f>
        <v>#REF!</v>
      </c>
      <c r="GH197" t="e">
        <f>IF(#REF!,"AAAAAGqf3b0=",0)</f>
        <v>#REF!</v>
      </c>
      <c r="GI197" t="e">
        <f>AND(#REF!,"AAAAAGqf3b4=")</f>
        <v>#REF!</v>
      </c>
      <c r="GJ197" t="e">
        <f>AND(#REF!,"AAAAAGqf3b8=")</f>
        <v>#REF!</v>
      </c>
      <c r="GK197" t="e">
        <f>AND(#REF!,"AAAAAGqf3cA=")</f>
        <v>#REF!</v>
      </c>
      <c r="GL197" t="e">
        <f>AND(#REF!,"AAAAAGqf3cE=")</f>
        <v>#REF!</v>
      </c>
      <c r="GM197" t="e">
        <f>AND(#REF!,"AAAAAGqf3cI=")</f>
        <v>#REF!</v>
      </c>
      <c r="GN197" t="e">
        <f>AND(#REF!,"AAAAAGqf3cM=")</f>
        <v>#REF!</v>
      </c>
      <c r="GO197" t="e">
        <f>AND(#REF!,"AAAAAGqf3cQ=")</f>
        <v>#REF!</v>
      </c>
      <c r="GP197" t="e">
        <f>AND(#REF!,"AAAAAGqf3cU=")</f>
        <v>#REF!</v>
      </c>
      <c r="GQ197" t="e">
        <f>AND(#REF!,"AAAAAGqf3cY=")</f>
        <v>#REF!</v>
      </c>
      <c r="GR197" t="e">
        <f>AND(#REF!,"AAAAAGqf3cc=")</f>
        <v>#REF!</v>
      </c>
      <c r="GS197" t="e">
        <f>IF(#REF!,"AAAAAGqf3cg=",0)</f>
        <v>#REF!</v>
      </c>
      <c r="GT197" t="e">
        <f>AND(#REF!,"AAAAAGqf3ck=")</f>
        <v>#REF!</v>
      </c>
      <c r="GU197" t="e">
        <f>AND(#REF!,"AAAAAGqf3co=")</f>
        <v>#REF!</v>
      </c>
      <c r="GV197" t="e">
        <f>AND(#REF!,"AAAAAGqf3cs=")</f>
        <v>#REF!</v>
      </c>
      <c r="GW197" t="e">
        <f>AND(#REF!,"AAAAAGqf3cw=")</f>
        <v>#REF!</v>
      </c>
      <c r="GX197" t="e">
        <f>AND(#REF!,"AAAAAGqf3c0=")</f>
        <v>#REF!</v>
      </c>
      <c r="GY197" t="e">
        <f>AND(#REF!,"AAAAAGqf3c4=")</f>
        <v>#REF!</v>
      </c>
      <c r="GZ197" t="e">
        <f>AND(#REF!,"AAAAAGqf3c8=")</f>
        <v>#REF!</v>
      </c>
      <c r="HA197" t="e">
        <f>AND(#REF!,"AAAAAGqf3dA=")</f>
        <v>#REF!</v>
      </c>
      <c r="HB197" t="e">
        <f>AND(#REF!,"AAAAAGqf3dE=")</f>
        <v>#REF!</v>
      </c>
      <c r="HC197" t="e">
        <f>AND(#REF!,"AAAAAGqf3dI=")</f>
        <v>#REF!</v>
      </c>
      <c r="HD197" t="e">
        <f>IF(#REF!,"AAAAAGqf3dM=",0)</f>
        <v>#REF!</v>
      </c>
      <c r="HE197" t="e">
        <f>AND(#REF!,"AAAAAGqf3dQ=")</f>
        <v>#REF!</v>
      </c>
      <c r="HF197" t="e">
        <f>AND(#REF!,"AAAAAGqf3dU=")</f>
        <v>#REF!</v>
      </c>
      <c r="HG197" t="e">
        <f>AND(#REF!,"AAAAAGqf3dY=")</f>
        <v>#REF!</v>
      </c>
      <c r="HH197" t="e">
        <f>AND(#REF!,"AAAAAGqf3dc=")</f>
        <v>#REF!</v>
      </c>
      <c r="HI197" t="e">
        <f>AND(#REF!,"AAAAAGqf3dg=")</f>
        <v>#REF!</v>
      </c>
      <c r="HJ197" t="e">
        <f>AND(#REF!,"AAAAAGqf3dk=")</f>
        <v>#REF!</v>
      </c>
      <c r="HK197" t="e">
        <f>AND(#REF!,"AAAAAGqf3do=")</f>
        <v>#REF!</v>
      </c>
      <c r="HL197" t="e">
        <f>AND(#REF!,"AAAAAGqf3ds=")</f>
        <v>#REF!</v>
      </c>
      <c r="HM197" t="e">
        <f>AND(#REF!,"AAAAAGqf3dw=")</f>
        <v>#REF!</v>
      </c>
      <c r="HN197" t="e">
        <f>AND(#REF!,"AAAAAGqf3d0=")</f>
        <v>#REF!</v>
      </c>
      <c r="HO197" t="e">
        <f>IF(#REF!,"AAAAAGqf3d4=",0)</f>
        <v>#REF!</v>
      </c>
      <c r="HP197" t="e">
        <f>AND(#REF!,"AAAAAGqf3d8=")</f>
        <v>#REF!</v>
      </c>
      <c r="HQ197" t="e">
        <f>AND(#REF!,"AAAAAGqf3eA=")</f>
        <v>#REF!</v>
      </c>
      <c r="HR197" t="e">
        <f>AND(#REF!,"AAAAAGqf3eE=")</f>
        <v>#REF!</v>
      </c>
      <c r="HS197" t="e">
        <f>AND(#REF!,"AAAAAGqf3eI=")</f>
        <v>#REF!</v>
      </c>
      <c r="HT197" t="e">
        <f>AND(#REF!,"AAAAAGqf3eM=")</f>
        <v>#REF!</v>
      </c>
      <c r="HU197" t="e">
        <f>AND(#REF!,"AAAAAGqf3eQ=")</f>
        <v>#REF!</v>
      </c>
      <c r="HV197" t="e">
        <f>AND(#REF!,"AAAAAGqf3eU=")</f>
        <v>#REF!</v>
      </c>
      <c r="HW197" t="e">
        <f>AND(#REF!,"AAAAAGqf3eY=")</f>
        <v>#REF!</v>
      </c>
      <c r="HX197" t="e">
        <f>AND(#REF!,"AAAAAGqf3ec=")</f>
        <v>#REF!</v>
      </c>
      <c r="HY197" t="e">
        <f>AND(#REF!,"AAAAAGqf3eg=")</f>
        <v>#REF!</v>
      </c>
      <c r="HZ197" t="e">
        <f>IF(#REF!,"AAAAAGqf3ek=",0)</f>
        <v>#REF!</v>
      </c>
      <c r="IA197" t="e">
        <f>AND(#REF!,"AAAAAGqf3eo=")</f>
        <v>#REF!</v>
      </c>
      <c r="IB197" t="e">
        <f>AND(#REF!,"AAAAAGqf3es=")</f>
        <v>#REF!</v>
      </c>
      <c r="IC197" t="e">
        <f>AND(#REF!,"AAAAAGqf3ew=")</f>
        <v>#REF!</v>
      </c>
      <c r="ID197" t="e">
        <f>AND(#REF!,"AAAAAGqf3e0=")</f>
        <v>#REF!</v>
      </c>
      <c r="IE197" t="e">
        <f>AND(#REF!,"AAAAAGqf3e4=")</f>
        <v>#REF!</v>
      </c>
      <c r="IF197" t="e">
        <f>AND(#REF!,"AAAAAGqf3e8=")</f>
        <v>#REF!</v>
      </c>
      <c r="IG197" t="e">
        <f>AND(#REF!,"AAAAAGqf3fA=")</f>
        <v>#REF!</v>
      </c>
      <c r="IH197" t="e">
        <f>AND(#REF!,"AAAAAGqf3fE=")</f>
        <v>#REF!</v>
      </c>
      <c r="II197" t="e">
        <f>AND(#REF!,"AAAAAGqf3fI=")</f>
        <v>#REF!</v>
      </c>
      <c r="IJ197" t="e">
        <f>AND(#REF!,"AAAAAGqf3fM=")</f>
        <v>#REF!</v>
      </c>
      <c r="IK197" t="e">
        <f>IF(#REF!,"AAAAAGqf3fQ=",0)</f>
        <v>#REF!</v>
      </c>
      <c r="IL197" t="e">
        <f>AND(#REF!,"AAAAAGqf3fU=")</f>
        <v>#REF!</v>
      </c>
      <c r="IM197" t="e">
        <f>AND(#REF!,"AAAAAGqf3fY=")</f>
        <v>#REF!</v>
      </c>
      <c r="IN197" t="e">
        <f>AND(#REF!,"AAAAAGqf3fc=")</f>
        <v>#REF!</v>
      </c>
      <c r="IO197" t="e">
        <f>AND(#REF!,"AAAAAGqf3fg=")</f>
        <v>#REF!</v>
      </c>
      <c r="IP197" t="e">
        <f>AND(#REF!,"AAAAAGqf3fk=")</f>
        <v>#REF!</v>
      </c>
      <c r="IQ197" t="e">
        <f>AND(#REF!,"AAAAAGqf3fo=")</f>
        <v>#REF!</v>
      </c>
      <c r="IR197" t="e">
        <f>AND(#REF!,"AAAAAGqf3fs=")</f>
        <v>#REF!</v>
      </c>
      <c r="IS197" t="e">
        <f>AND(#REF!,"AAAAAGqf3fw=")</f>
        <v>#REF!</v>
      </c>
      <c r="IT197" t="e">
        <f>AND(#REF!,"AAAAAGqf3f0=")</f>
        <v>#REF!</v>
      </c>
      <c r="IU197" t="e">
        <f>AND(#REF!,"AAAAAGqf3f4=")</f>
        <v>#REF!</v>
      </c>
      <c r="IV197" t="e">
        <f>IF(#REF!,"AAAAAGqf3f8=",0)</f>
        <v>#REF!</v>
      </c>
    </row>
    <row r="198" spans="1:256" x14ac:dyDescent="0.25">
      <c r="A198" t="e">
        <f>AND(#REF!,"AAAAAHb7/wA=")</f>
        <v>#REF!</v>
      </c>
      <c r="B198" t="e">
        <f>AND(#REF!,"AAAAAHb7/wE=")</f>
        <v>#REF!</v>
      </c>
      <c r="C198" t="e">
        <f>AND(#REF!,"AAAAAHb7/wI=")</f>
        <v>#REF!</v>
      </c>
      <c r="D198" t="e">
        <f>AND(#REF!,"AAAAAHb7/wM=")</f>
        <v>#REF!</v>
      </c>
      <c r="E198" t="e">
        <f>AND(#REF!,"AAAAAHb7/wQ=")</f>
        <v>#REF!</v>
      </c>
      <c r="F198" t="e">
        <f>AND(#REF!,"AAAAAHb7/wU=")</f>
        <v>#REF!</v>
      </c>
      <c r="G198" t="e">
        <f>AND(#REF!,"AAAAAHb7/wY=")</f>
        <v>#REF!</v>
      </c>
      <c r="H198" t="e">
        <f>AND(#REF!,"AAAAAHb7/wc=")</f>
        <v>#REF!</v>
      </c>
      <c r="I198" t="e">
        <f>AND(#REF!,"AAAAAHb7/wg=")</f>
        <v>#REF!</v>
      </c>
      <c r="J198" t="e">
        <f>AND(#REF!,"AAAAAHb7/wk=")</f>
        <v>#REF!</v>
      </c>
      <c r="K198" t="e">
        <f>IF(#REF!,"AAAAAHb7/wo=",0)</f>
        <v>#REF!</v>
      </c>
      <c r="L198" t="e">
        <f>AND(#REF!,"AAAAAHb7/ws=")</f>
        <v>#REF!</v>
      </c>
      <c r="M198" t="e">
        <f>AND(#REF!,"AAAAAHb7/ww=")</f>
        <v>#REF!</v>
      </c>
      <c r="N198" t="e">
        <f>AND(#REF!,"AAAAAHb7/w0=")</f>
        <v>#REF!</v>
      </c>
      <c r="O198" t="e">
        <f>AND(#REF!,"AAAAAHb7/w4=")</f>
        <v>#REF!</v>
      </c>
      <c r="P198" t="e">
        <f>AND(#REF!,"AAAAAHb7/w8=")</f>
        <v>#REF!</v>
      </c>
      <c r="Q198" t="e">
        <f>AND(#REF!,"AAAAAHb7/xA=")</f>
        <v>#REF!</v>
      </c>
      <c r="R198" t="e">
        <f>AND(#REF!,"AAAAAHb7/xE=")</f>
        <v>#REF!</v>
      </c>
      <c r="S198" t="e">
        <f>AND(#REF!,"AAAAAHb7/xI=")</f>
        <v>#REF!</v>
      </c>
      <c r="T198" t="e">
        <f>AND(#REF!,"AAAAAHb7/xM=")</f>
        <v>#REF!</v>
      </c>
      <c r="U198" t="e">
        <f>AND(#REF!,"AAAAAHb7/xQ=")</f>
        <v>#REF!</v>
      </c>
      <c r="V198" t="e">
        <f>IF(#REF!,"AAAAAHb7/xU=",0)</f>
        <v>#REF!</v>
      </c>
      <c r="W198" t="e">
        <f>AND(#REF!,"AAAAAHb7/xY=")</f>
        <v>#REF!</v>
      </c>
      <c r="X198" t="e">
        <f>AND(#REF!,"AAAAAHb7/xc=")</f>
        <v>#REF!</v>
      </c>
      <c r="Y198" t="e">
        <f>AND(#REF!,"AAAAAHb7/xg=")</f>
        <v>#REF!</v>
      </c>
      <c r="Z198" t="e">
        <f>AND(#REF!,"AAAAAHb7/xk=")</f>
        <v>#REF!</v>
      </c>
      <c r="AA198" t="e">
        <f>AND(#REF!,"AAAAAHb7/xo=")</f>
        <v>#REF!</v>
      </c>
      <c r="AB198" t="e">
        <f>AND(#REF!,"AAAAAHb7/xs=")</f>
        <v>#REF!</v>
      </c>
      <c r="AC198" t="e">
        <f>AND(#REF!,"AAAAAHb7/xw=")</f>
        <v>#REF!</v>
      </c>
      <c r="AD198" t="e">
        <f>AND(#REF!,"AAAAAHb7/x0=")</f>
        <v>#REF!</v>
      </c>
      <c r="AE198" t="e">
        <f>AND(#REF!,"AAAAAHb7/x4=")</f>
        <v>#REF!</v>
      </c>
      <c r="AF198" t="e">
        <f>AND(#REF!,"AAAAAHb7/x8=")</f>
        <v>#REF!</v>
      </c>
      <c r="AG198" t="e">
        <f>IF(#REF!,"AAAAAHb7/yA=",0)</f>
        <v>#REF!</v>
      </c>
      <c r="AH198" t="e">
        <f>AND(#REF!,"AAAAAHb7/yE=")</f>
        <v>#REF!</v>
      </c>
      <c r="AI198" t="e">
        <f>AND(#REF!,"AAAAAHb7/yI=")</f>
        <v>#REF!</v>
      </c>
      <c r="AJ198" t="e">
        <f>AND(#REF!,"AAAAAHb7/yM=")</f>
        <v>#REF!</v>
      </c>
      <c r="AK198" t="e">
        <f>AND(#REF!,"AAAAAHb7/yQ=")</f>
        <v>#REF!</v>
      </c>
      <c r="AL198" t="e">
        <f>AND(#REF!,"AAAAAHb7/yU=")</f>
        <v>#REF!</v>
      </c>
      <c r="AM198" t="e">
        <f>AND(#REF!,"AAAAAHb7/yY=")</f>
        <v>#REF!</v>
      </c>
      <c r="AN198" t="e">
        <f>AND(#REF!,"AAAAAHb7/yc=")</f>
        <v>#REF!</v>
      </c>
      <c r="AO198" t="e">
        <f>AND(#REF!,"AAAAAHb7/yg=")</f>
        <v>#REF!</v>
      </c>
      <c r="AP198" t="e">
        <f>AND(#REF!,"AAAAAHb7/yk=")</f>
        <v>#REF!</v>
      </c>
      <c r="AQ198" t="e">
        <f>AND(#REF!,"AAAAAHb7/yo=")</f>
        <v>#REF!</v>
      </c>
      <c r="AR198" t="e">
        <f>IF(#REF!,"AAAAAHb7/ys=",0)</f>
        <v>#REF!</v>
      </c>
      <c r="AS198" t="e">
        <f>AND(#REF!,"AAAAAHb7/yw=")</f>
        <v>#REF!</v>
      </c>
      <c r="AT198" t="e">
        <f>AND(#REF!,"AAAAAHb7/y0=")</f>
        <v>#REF!</v>
      </c>
      <c r="AU198" t="e">
        <f>AND(#REF!,"AAAAAHb7/y4=")</f>
        <v>#REF!</v>
      </c>
      <c r="AV198" t="e">
        <f>AND(#REF!,"AAAAAHb7/y8=")</f>
        <v>#REF!</v>
      </c>
      <c r="AW198" t="e">
        <f>AND(#REF!,"AAAAAHb7/zA=")</f>
        <v>#REF!</v>
      </c>
      <c r="AX198" t="e">
        <f>AND(#REF!,"AAAAAHb7/zE=")</f>
        <v>#REF!</v>
      </c>
      <c r="AY198" t="e">
        <f>AND(#REF!,"AAAAAHb7/zI=")</f>
        <v>#REF!</v>
      </c>
      <c r="AZ198" t="e">
        <f>AND(#REF!,"AAAAAHb7/zM=")</f>
        <v>#REF!</v>
      </c>
      <c r="BA198" t="e">
        <f>AND(#REF!,"AAAAAHb7/zQ=")</f>
        <v>#REF!</v>
      </c>
      <c r="BB198" t="e">
        <f>AND(#REF!,"AAAAAHb7/zU=")</f>
        <v>#REF!</v>
      </c>
      <c r="BC198" t="e">
        <f>IF(#REF!,"AAAAAHb7/zY=",0)</f>
        <v>#REF!</v>
      </c>
      <c r="BD198" t="e">
        <f>AND(#REF!,"AAAAAHb7/zc=")</f>
        <v>#REF!</v>
      </c>
      <c r="BE198" t="e">
        <f>AND(#REF!,"AAAAAHb7/zg=")</f>
        <v>#REF!</v>
      </c>
      <c r="BF198" t="e">
        <f>AND(#REF!,"AAAAAHb7/zk=")</f>
        <v>#REF!</v>
      </c>
      <c r="BG198" t="e">
        <f>AND(#REF!,"AAAAAHb7/zo=")</f>
        <v>#REF!</v>
      </c>
      <c r="BH198" t="e">
        <f>AND(#REF!,"AAAAAHb7/zs=")</f>
        <v>#REF!</v>
      </c>
      <c r="BI198" t="e">
        <f>AND(#REF!,"AAAAAHb7/zw=")</f>
        <v>#REF!</v>
      </c>
      <c r="BJ198" t="e">
        <f>AND(#REF!,"AAAAAHb7/z0=")</f>
        <v>#REF!</v>
      </c>
      <c r="BK198" t="e">
        <f>AND(#REF!,"AAAAAHb7/z4=")</f>
        <v>#REF!</v>
      </c>
      <c r="BL198" t="e">
        <f>AND(#REF!,"AAAAAHb7/z8=")</f>
        <v>#REF!</v>
      </c>
      <c r="BM198" t="e">
        <f>AND(#REF!,"AAAAAHb7/0A=")</f>
        <v>#REF!</v>
      </c>
      <c r="BN198" t="e">
        <f>IF(#REF!,"AAAAAHb7/0E=",0)</f>
        <v>#REF!</v>
      </c>
      <c r="BO198" t="e">
        <f>AND(#REF!,"AAAAAHb7/0I=")</f>
        <v>#REF!</v>
      </c>
      <c r="BP198" t="e">
        <f>AND(#REF!,"AAAAAHb7/0M=")</f>
        <v>#REF!</v>
      </c>
      <c r="BQ198" t="e">
        <f>AND(#REF!,"AAAAAHb7/0Q=")</f>
        <v>#REF!</v>
      </c>
      <c r="BR198" t="e">
        <f>AND(#REF!,"AAAAAHb7/0U=")</f>
        <v>#REF!</v>
      </c>
      <c r="BS198" t="e">
        <f>AND(#REF!,"AAAAAHb7/0Y=")</f>
        <v>#REF!</v>
      </c>
      <c r="BT198" t="e">
        <f>AND(#REF!,"AAAAAHb7/0c=")</f>
        <v>#REF!</v>
      </c>
      <c r="BU198" t="e">
        <f>AND(#REF!,"AAAAAHb7/0g=")</f>
        <v>#REF!</v>
      </c>
      <c r="BV198" t="e">
        <f>AND(#REF!,"AAAAAHb7/0k=")</f>
        <v>#REF!</v>
      </c>
      <c r="BW198" t="e">
        <f>AND(#REF!,"AAAAAHb7/0o=")</f>
        <v>#REF!</v>
      </c>
      <c r="BX198" t="e">
        <f>AND(#REF!,"AAAAAHb7/0s=")</f>
        <v>#REF!</v>
      </c>
      <c r="BY198" t="e">
        <f>IF(#REF!,"AAAAAHb7/0w=",0)</f>
        <v>#REF!</v>
      </c>
      <c r="BZ198" t="e">
        <f>AND(#REF!,"AAAAAHb7/00=")</f>
        <v>#REF!</v>
      </c>
      <c r="CA198" t="e">
        <f>AND(#REF!,"AAAAAHb7/04=")</f>
        <v>#REF!</v>
      </c>
      <c r="CB198" t="e">
        <f>AND(#REF!,"AAAAAHb7/08=")</f>
        <v>#REF!</v>
      </c>
      <c r="CC198" t="e">
        <f>AND(#REF!,"AAAAAHb7/1A=")</f>
        <v>#REF!</v>
      </c>
      <c r="CD198" t="e">
        <f>AND(#REF!,"AAAAAHb7/1E=")</f>
        <v>#REF!</v>
      </c>
      <c r="CE198" t="e">
        <f>AND(#REF!,"AAAAAHb7/1I=")</f>
        <v>#REF!</v>
      </c>
      <c r="CF198" t="e">
        <f>AND(#REF!,"AAAAAHb7/1M=")</f>
        <v>#REF!</v>
      </c>
      <c r="CG198" t="e">
        <f>AND(#REF!,"AAAAAHb7/1Q=")</f>
        <v>#REF!</v>
      </c>
      <c r="CH198" t="e">
        <f>AND(#REF!,"AAAAAHb7/1U=")</f>
        <v>#REF!</v>
      </c>
      <c r="CI198" t="e">
        <f>AND(#REF!,"AAAAAHb7/1Y=")</f>
        <v>#REF!</v>
      </c>
      <c r="CJ198" t="e">
        <f>IF(#REF!,"AAAAAHb7/1c=",0)</f>
        <v>#REF!</v>
      </c>
      <c r="CK198" t="e">
        <f>AND(#REF!,"AAAAAHb7/1g=")</f>
        <v>#REF!</v>
      </c>
      <c r="CL198" t="e">
        <f>AND(#REF!,"AAAAAHb7/1k=")</f>
        <v>#REF!</v>
      </c>
      <c r="CM198" t="e">
        <f>AND(#REF!,"AAAAAHb7/1o=")</f>
        <v>#REF!</v>
      </c>
      <c r="CN198" t="e">
        <f>AND(#REF!,"AAAAAHb7/1s=")</f>
        <v>#REF!</v>
      </c>
      <c r="CO198" t="e">
        <f>AND(#REF!,"AAAAAHb7/1w=")</f>
        <v>#REF!</v>
      </c>
      <c r="CP198" t="e">
        <f>AND(#REF!,"AAAAAHb7/10=")</f>
        <v>#REF!</v>
      </c>
      <c r="CQ198" t="e">
        <f>AND(#REF!,"AAAAAHb7/14=")</f>
        <v>#REF!</v>
      </c>
      <c r="CR198" t="e">
        <f>AND(#REF!,"AAAAAHb7/18=")</f>
        <v>#REF!</v>
      </c>
      <c r="CS198" t="e">
        <f>AND(#REF!,"AAAAAHb7/2A=")</f>
        <v>#REF!</v>
      </c>
      <c r="CT198" t="e">
        <f>AND(#REF!,"AAAAAHb7/2E=")</f>
        <v>#REF!</v>
      </c>
      <c r="CU198" t="e">
        <f>IF(#REF!,"AAAAAHb7/2I=",0)</f>
        <v>#REF!</v>
      </c>
      <c r="CV198" t="e">
        <f>AND(#REF!,"AAAAAHb7/2M=")</f>
        <v>#REF!</v>
      </c>
      <c r="CW198" t="e">
        <f>AND(#REF!,"AAAAAHb7/2Q=")</f>
        <v>#REF!</v>
      </c>
      <c r="CX198" t="e">
        <f>AND(#REF!,"AAAAAHb7/2U=")</f>
        <v>#REF!</v>
      </c>
      <c r="CY198" t="e">
        <f>AND(#REF!,"AAAAAHb7/2Y=")</f>
        <v>#REF!</v>
      </c>
      <c r="CZ198" t="e">
        <f>AND(#REF!,"AAAAAHb7/2c=")</f>
        <v>#REF!</v>
      </c>
      <c r="DA198" t="e">
        <f>AND(#REF!,"AAAAAHb7/2g=")</f>
        <v>#REF!</v>
      </c>
      <c r="DB198" t="e">
        <f>AND(#REF!,"AAAAAHb7/2k=")</f>
        <v>#REF!</v>
      </c>
      <c r="DC198" t="e">
        <f>AND(#REF!,"AAAAAHb7/2o=")</f>
        <v>#REF!</v>
      </c>
      <c r="DD198" t="e">
        <f>AND(#REF!,"AAAAAHb7/2s=")</f>
        <v>#REF!</v>
      </c>
      <c r="DE198" t="e">
        <f>AND(#REF!,"AAAAAHb7/2w=")</f>
        <v>#REF!</v>
      </c>
      <c r="DF198" t="e">
        <f>IF(#REF!,"AAAAAHb7/20=",0)</f>
        <v>#REF!</v>
      </c>
      <c r="DG198" t="e">
        <f>AND(#REF!,"AAAAAHb7/24=")</f>
        <v>#REF!</v>
      </c>
      <c r="DH198" t="e">
        <f>AND(#REF!,"AAAAAHb7/28=")</f>
        <v>#REF!</v>
      </c>
      <c r="DI198" t="e">
        <f>AND(#REF!,"AAAAAHb7/3A=")</f>
        <v>#REF!</v>
      </c>
      <c r="DJ198" t="e">
        <f>AND(#REF!,"AAAAAHb7/3E=")</f>
        <v>#REF!</v>
      </c>
      <c r="DK198" t="e">
        <f>AND(#REF!,"AAAAAHb7/3I=")</f>
        <v>#REF!</v>
      </c>
      <c r="DL198" t="e">
        <f>AND(#REF!,"AAAAAHb7/3M=")</f>
        <v>#REF!</v>
      </c>
      <c r="DM198" t="e">
        <f>AND(#REF!,"AAAAAHb7/3Q=")</f>
        <v>#REF!</v>
      </c>
      <c r="DN198" t="e">
        <f>AND(#REF!,"AAAAAHb7/3U=")</f>
        <v>#REF!</v>
      </c>
      <c r="DO198" t="e">
        <f>AND(#REF!,"AAAAAHb7/3Y=")</f>
        <v>#REF!</v>
      </c>
      <c r="DP198" t="e">
        <f>AND(#REF!,"AAAAAHb7/3c=")</f>
        <v>#REF!</v>
      </c>
      <c r="DQ198" t="e">
        <f>IF(#REF!,"AAAAAHb7/3g=",0)</f>
        <v>#REF!</v>
      </c>
      <c r="DR198" t="e">
        <f>AND(#REF!,"AAAAAHb7/3k=")</f>
        <v>#REF!</v>
      </c>
      <c r="DS198" t="e">
        <f>AND(#REF!,"AAAAAHb7/3o=")</f>
        <v>#REF!</v>
      </c>
      <c r="DT198" t="e">
        <f>AND(#REF!,"AAAAAHb7/3s=")</f>
        <v>#REF!</v>
      </c>
      <c r="DU198" t="e">
        <f>AND(#REF!,"AAAAAHb7/3w=")</f>
        <v>#REF!</v>
      </c>
      <c r="DV198" t="e">
        <f>AND(#REF!,"AAAAAHb7/30=")</f>
        <v>#REF!</v>
      </c>
      <c r="DW198" t="e">
        <f>AND(#REF!,"AAAAAHb7/34=")</f>
        <v>#REF!</v>
      </c>
      <c r="DX198" t="e">
        <f>AND(#REF!,"AAAAAHb7/38=")</f>
        <v>#REF!</v>
      </c>
      <c r="DY198" t="e">
        <f>AND(#REF!,"AAAAAHb7/4A=")</f>
        <v>#REF!</v>
      </c>
      <c r="DZ198" t="e">
        <f>AND(#REF!,"AAAAAHb7/4E=")</f>
        <v>#REF!</v>
      </c>
      <c r="EA198" t="e">
        <f>AND(#REF!,"AAAAAHb7/4I=")</f>
        <v>#REF!</v>
      </c>
      <c r="EB198" t="e">
        <f>IF(#REF!,"AAAAAHb7/4M=",0)</f>
        <v>#REF!</v>
      </c>
      <c r="EC198" t="e">
        <f>AND(#REF!,"AAAAAHb7/4Q=")</f>
        <v>#REF!</v>
      </c>
      <c r="ED198" t="e">
        <f>AND(#REF!,"AAAAAHb7/4U=")</f>
        <v>#REF!</v>
      </c>
      <c r="EE198" t="e">
        <f>AND(#REF!,"AAAAAHb7/4Y=")</f>
        <v>#REF!</v>
      </c>
      <c r="EF198" t="e">
        <f>AND(#REF!,"AAAAAHb7/4c=")</f>
        <v>#REF!</v>
      </c>
      <c r="EG198" t="e">
        <f>AND(#REF!,"AAAAAHb7/4g=")</f>
        <v>#REF!</v>
      </c>
      <c r="EH198" t="e">
        <f>AND(#REF!,"AAAAAHb7/4k=")</f>
        <v>#REF!</v>
      </c>
      <c r="EI198" t="e">
        <f>AND(#REF!,"AAAAAHb7/4o=")</f>
        <v>#REF!</v>
      </c>
      <c r="EJ198" t="e">
        <f>AND(#REF!,"AAAAAHb7/4s=")</f>
        <v>#REF!</v>
      </c>
      <c r="EK198" t="e">
        <f>AND(#REF!,"AAAAAHb7/4w=")</f>
        <v>#REF!</v>
      </c>
      <c r="EL198" t="e">
        <f>AND(#REF!,"AAAAAHb7/40=")</f>
        <v>#REF!</v>
      </c>
      <c r="EM198" t="e">
        <f>IF(#REF!,"AAAAAHb7/44=",0)</f>
        <v>#REF!</v>
      </c>
      <c r="EN198" t="e">
        <f>AND(#REF!,"AAAAAHb7/48=")</f>
        <v>#REF!</v>
      </c>
      <c r="EO198" t="e">
        <f>AND(#REF!,"AAAAAHb7/5A=")</f>
        <v>#REF!</v>
      </c>
      <c r="EP198" t="e">
        <f>AND(#REF!,"AAAAAHb7/5E=")</f>
        <v>#REF!</v>
      </c>
      <c r="EQ198" t="e">
        <f>AND(#REF!,"AAAAAHb7/5I=")</f>
        <v>#REF!</v>
      </c>
      <c r="ER198" t="e">
        <f>AND(#REF!,"AAAAAHb7/5M=")</f>
        <v>#REF!</v>
      </c>
      <c r="ES198" t="e">
        <f>AND(#REF!,"AAAAAHb7/5Q=")</f>
        <v>#REF!</v>
      </c>
      <c r="ET198" t="e">
        <f>AND(#REF!,"AAAAAHb7/5U=")</f>
        <v>#REF!</v>
      </c>
      <c r="EU198" t="e">
        <f>AND(#REF!,"AAAAAHb7/5Y=")</f>
        <v>#REF!</v>
      </c>
      <c r="EV198" t="e">
        <f>AND(#REF!,"AAAAAHb7/5c=")</f>
        <v>#REF!</v>
      </c>
      <c r="EW198" t="e">
        <f>AND(#REF!,"AAAAAHb7/5g=")</f>
        <v>#REF!</v>
      </c>
      <c r="EX198" t="e">
        <f>IF(#REF!,"AAAAAHb7/5k=",0)</f>
        <v>#REF!</v>
      </c>
      <c r="EY198" t="e">
        <f>AND(#REF!,"AAAAAHb7/5o=")</f>
        <v>#REF!</v>
      </c>
      <c r="EZ198" t="e">
        <f>AND(#REF!,"AAAAAHb7/5s=")</f>
        <v>#REF!</v>
      </c>
      <c r="FA198" t="e">
        <f>AND(#REF!,"AAAAAHb7/5w=")</f>
        <v>#REF!</v>
      </c>
      <c r="FB198" t="e">
        <f>AND(#REF!,"AAAAAHb7/50=")</f>
        <v>#REF!</v>
      </c>
      <c r="FC198" t="e">
        <f>AND(#REF!,"AAAAAHb7/54=")</f>
        <v>#REF!</v>
      </c>
      <c r="FD198" t="e">
        <f>AND(#REF!,"AAAAAHb7/58=")</f>
        <v>#REF!</v>
      </c>
      <c r="FE198" t="e">
        <f>AND(#REF!,"AAAAAHb7/6A=")</f>
        <v>#REF!</v>
      </c>
      <c r="FF198" t="e">
        <f>AND(#REF!,"AAAAAHb7/6E=")</f>
        <v>#REF!</v>
      </c>
      <c r="FG198" t="e">
        <f>AND(#REF!,"AAAAAHb7/6I=")</f>
        <v>#REF!</v>
      </c>
      <c r="FH198" t="e">
        <f>AND(#REF!,"AAAAAHb7/6M=")</f>
        <v>#REF!</v>
      </c>
      <c r="FI198" t="e">
        <f>IF(#REF!,"AAAAAHb7/6Q=",0)</f>
        <v>#REF!</v>
      </c>
      <c r="FJ198" t="e">
        <f>AND(#REF!,"AAAAAHb7/6U=")</f>
        <v>#REF!</v>
      </c>
      <c r="FK198" t="e">
        <f>AND(#REF!,"AAAAAHb7/6Y=")</f>
        <v>#REF!</v>
      </c>
      <c r="FL198" t="e">
        <f>AND(#REF!,"AAAAAHb7/6c=")</f>
        <v>#REF!</v>
      </c>
      <c r="FM198" t="e">
        <f>AND(#REF!,"AAAAAHb7/6g=")</f>
        <v>#REF!</v>
      </c>
      <c r="FN198" t="e">
        <f>AND(#REF!,"AAAAAHb7/6k=")</f>
        <v>#REF!</v>
      </c>
      <c r="FO198" t="e">
        <f>AND(#REF!,"AAAAAHb7/6o=")</f>
        <v>#REF!</v>
      </c>
      <c r="FP198" t="e">
        <f>AND(#REF!,"AAAAAHb7/6s=")</f>
        <v>#REF!</v>
      </c>
      <c r="FQ198" t="e">
        <f>AND(#REF!,"AAAAAHb7/6w=")</f>
        <v>#REF!</v>
      </c>
      <c r="FR198" t="e">
        <f>AND(#REF!,"AAAAAHb7/60=")</f>
        <v>#REF!</v>
      </c>
      <c r="FS198" t="e">
        <f>AND(#REF!,"AAAAAHb7/64=")</f>
        <v>#REF!</v>
      </c>
      <c r="FT198" t="e">
        <f>IF(#REF!,"AAAAAHb7/68=",0)</f>
        <v>#REF!</v>
      </c>
      <c r="FU198" t="e">
        <f>AND(#REF!,"AAAAAHb7/7A=")</f>
        <v>#REF!</v>
      </c>
      <c r="FV198" t="e">
        <f>AND(#REF!,"AAAAAHb7/7E=")</f>
        <v>#REF!</v>
      </c>
      <c r="FW198" t="e">
        <f>AND(#REF!,"AAAAAHb7/7I=")</f>
        <v>#REF!</v>
      </c>
      <c r="FX198" t="e">
        <f>AND(#REF!,"AAAAAHb7/7M=")</f>
        <v>#REF!</v>
      </c>
      <c r="FY198" t="e">
        <f>AND(#REF!,"AAAAAHb7/7Q=")</f>
        <v>#REF!</v>
      </c>
      <c r="FZ198" t="e">
        <f>AND(#REF!,"AAAAAHb7/7U=")</f>
        <v>#REF!</v>
      </c>
      <c r="GA198" t="e">
        <f>AND(#REF!,"AAAAAHb7/7Y=")</f>
        <v>#REF!</v>
      </c>
      <c r="GB198" t="e">
        <f>AND(#REF!,"AAAAAHb7/7c=")</f>
        <v>#REF!</v>
      </c>
      <c r="GC198" t="e">
        <f>AND(#REF!,"AAAAAHb7/7g=")</f>
        <v>#REF!</v>
      </c>
      <c r="GD198" t="e">
        <f>AND(#REF!,"AAAAAHb7/7k=")</f>
        <v>#REF!</v>
      </c>
      <c r="GE198" t="e">
        <f>IF(#REF!,"AAAAAHb7/7o=",0)</f>
        <v>#REF!</v>
      </c>
      <c r="GF198" t="e">
        <f>AND(#REF!,"AAAAAHb7/7s=")</f>
        <v>#REF!</v>
      </c>
      <c r="GG198" t="e">
        <f>AND(#REF!,"AAAAAHb7/7w=")</f>
        <v>#REF!</v>
      </c>
      <c r="GH198" t="e">
        <f>AND(#REF!,"AAAAAHb7/70=")</f>
        <v>#REF!</v>
      </c>
      <c r="GI198" t="e">
        <f>AND(#REF!,"AAAAAHb7/74=")</f>
        <v>#REF!</v>
      </c>
      <c r="GJ198" t="e">
        <f>AND(#REF!,"AAAAAHb7/78=")</f>
        <v>#REF!</v>
      </c>
      <c r="GK198" t="e">
        <f>AND(#REF!,"AAAAAHb7/8A=")</f>
        <v>#REF!</v>
      </c>
      <c r="GL198" t="e">
        <f>AND(#REF!,"AAAAAHb7/8E=")</f>
        <v>#REF!</v>
      </c>
      <c r="GM198" t="e">
        <f>AND(#REF!,"AAAAAHb7/8I=")</f>
        <v>#REF!</v>
      </c>
      <c r="GN198" t="e">
        <f>AND(#REF!,"AAAAAHb7/8M=")</f>
        <v>#REF!</v>
      </c>
      <c r="GO198" t="e">
        <f>AND(#REF!,"AAAAAHb7/8Q=")</f>
        <v>#REF!</v>
      </c>
      <c r="GP198" t="e">
        <f>IF(#REF!,"AAAAAHb7/8U=",0)</f>
        <v>#REF!</v>
      </c>
      <c r="GQ198" t="e">
        <f>AND(#REF!,"AAAAAHb7/8Y=")</f>
        <v>#REF!</v>
      </c>
      <c r="GR198" t="e">
        <f>AND(#REF!,"AAAAAHb7/8c=")</f>
        <v>#REF!</v>
      </c>
      <c r="GS198" t="e">
        <f>AND(#REF!,"AAAAAHb7/8g=")</f>
        <v>#REF!</v>
      </c>
      <c r="GT198" t="e">
        <f>AND(#REF!,"AAAAAHb7/8k=")</f>
        <v>#REF!</v>
      </c>
      <c r="GU198" t="e">
        <f>AND(#REF!,"AAAAAHb7/8o=")</f>
        <v>#REF!</v>
      </c>
      <c r="GV198" t="e">
        <f>AND(#REF!,"AAAAAHb7/8s=")</f>
        <v>#REF!</v>
      </c>
      <c r="GW198" t="e">
        <f>AND(#REF!,"AAAAAHb7/8w=")</f>
        <v>#REF!</v>
      </c>
      <c r="GX198" t="e">
        <f>AND(#REF!,"AAAAAHb7/80=")</f>
        <v>#REF!</v>
      </c>
      <c r="GY198" t="e">
        <f>AND(#REF!,"AAAAAHb7/84=")</f>
        <v>#REF!</v>
      </c>
      <c r="GZ198" t="e">
        <f>AND(#REF!,"AAAAAHb7/88=")</f>
        <v>#REF!</v>
      </c>
      <c r="HA198" t="e">
        <f>IF(#REF!,"AAAAAHb7/9A=",0)</f>
        <v>#REF!</v>
      </c>
      <c r="HB198" t="e">
        <f>AND(#REF!,"AAAAAHb7/9E=")</f>
        <v>#REF!</v>
      </c>
      <c r="HC198" t="e">
        <f>AND(#REF!,"AAAAAHb7/9I=")</f>
        <v>#REF!</v>
      </c>
      <c r="HD198" t="e">
        <f>AND(#REF!,"AAAAAHb7/9M=")</f>
        <v>#REF!</v>
      </c>
      <c r="HE198" t="e">
        <f>AND(#REF!,"AAAAAHb7/9Q=")</f>
        <v>#REF!</v>
      </c>
      <c r="HF198" t="e">
        <f>AND(#REF!,"AAAAAHb7/9U=")</f>
        <v>#REF!</v>
      </c>
      <c r="HG198" t="e">
        <f>AND(#REF!,"AAAAAHb7/9Y=")</f>
        <v>#REF!</v>
      </c>
      <c r="HH198" t="e">
        <f>AND(#REF!,"AAAAAHb7/9c=")</f>
        <v>#REF!</v>
      </c>
      <c r="HI198" t="e">
        <f>AND(#REF!,"AAAAAHb7/9g=")</f>
        <v>#REF!</v>
      </c>
      <c r="HJ198" t="e">
        <f>AND(#REF!,"AAAAAHb7/9k=")</f>
        <v>#REF!</v>
      </c>
      <c r="HK198" t="e">
        <f>AND(#REF!,"AAAAAHb7/9o=")</f>
        <v>#REF!</v>
      </c>
      <c r="HL198" t="e">
        <f>IF(#REF!,"AAAAAHb7/9s=",0)</f>
        <v>#REF!</v>
      </c>
      <c r="HM198" t="e">
        <f>AND(#REF!,"AAAAAHb7/9w=")</f>
        <v>#REF!</v>
      </c>
      <c r="HN198" t="e">
        <f>AND(#REF!,"AAAAAHb7/90=")</f>
        <v>#REF!</v>
      </c>
      <c r="HO198" t="e">
        <f>AND(#REF!,"AAAAAHb7/94=")</f>
        <v>#REF!</v>
      </c>
      <c r="HP198" t="e">
        <f>AND(#REF!,"AAAAAHb7/98=")</f>
        <v>#REF!</v>
      </c>
      <c r="HQ198" t="e">
        <f>AND(#REF!,"AAAAAHb7/+A=")</f>
        <v>#REF!</v>
      </c>
      <c r="HR198" t="e">
        <f>AND(#REF!,"AAAAAHb7/+E=")</f>
        <v>#REF!</v>
      </c>
      <c r="HS198" t="e">
        <f>AND(#REF!,"AAAAAHb7/+I=")</f>
        <v>#REF!</v>
      </c>
      <c r="HT198" t="e">
        <f>AND(#REF!,"AAAAAHb7/+M=")</f>
        <v>#REF!</v>
      </c>
      <c r="HU198" t="e">
        <f>AND(#REF!,"AAAAAHb7/+Q=")</f>
        <v>#REF!</v>
      </c>
      <c r="HV198" t="e">
        <f>AND(#REF!,"AAAAAHb7/+U=")</f>
        <v>#REF!</v>
      </c>
      <c r="HW198" t="e">
        <f>IF(#REF!,"AAAAAHb7/+Y=",0)</f>
        <v>#REF!</v>
      </c>
      <c r="HX198" t="e">
        <f>AND(#REF!,"AAAAAHb7/+c=")</f>
        <v>#REF!</v>
      </c>
      <c r="HY198" t="e">
        <f>AND(#REF!,"AAAAAHb7/+g=")</f>
        <v>#REF!</v>
      </c>
      <c r="HZ198" t="e">
        <f>AND(#REF!,"AAAAAHb7/+k=")</f>
        <v>#REF!</v>
      </c>
      <c r="IA198" t="e">
        <f>AND(#REF!,"AAAAAHb7/+o=")</f>
        <v>#REF!</v>
      </c>
      <c r="IB198" t="e">
        <f>AND(#REF!,"AAAAAHb7/+s=")</f>
        <v>#REF!</v>
      </c>
      <c r="IC198" t="e">
        <f>AND(#REF!,"AAAAAHb7/+w=")</f>
        <v>#REF!</v>
      </c>
      <c r="ID198" t="e">
        <f>AND(#REF!,"AAAAAHb7/+0=")</f>
        <v>#REF!</v>
      </c>
      <c r="IE198" t="e">
        <f>AND(#REF!,"AAAAAHb7/+4=")</f>
        <v>#REF!</v>
      </c>
      <c r="IF198" t="e">
        <f>AND(#REF!,"AAAAAHb7/+8=")</f>
        <v>#REF!</v>
      </c>
      <c r="IG198" t="e">
        <f>AND(#REF!,"AAAAAHb7//A=")</f>
        <v>#REF!</v>
      </c>
      <c r="IH198" t="e">
        <f>IF(#REF!,"AAAAAHb7//E=",0)</f>
        <v>#REF!</v>
      </c>
      <c r="II198" t="e">
        <f>AND(#REF!,"AAAAAHb7//I=")</f>
        <v>#REF!</v>
      </c>
      <c r="IJ198" t="e">
        <f>AND(#REF!,"AAAAAHb7//M=")</f>
        <v>#REF!</v>
      </c>
      <c r="IK198" t="e">
        <f>AND(#REF!,"AAAAAHb7//Q=")</f>
        <v>#REF!</v>
      </c>
      <c r="IL198" t="e">
        <f>AND(#REF!,"AAAAAHb7//U=")</f>
        <v>#REF!</v>
      </c>
      <c r="IM198" t="e">
        <f>AND(#REF!,"AAAAAHb7//Y=")</f>
        <v>#REF!</v>
      </c>
      <c r="IN198" t="e">
        <f>AND(#REF!,"AAAAAHb7//c=")</f>
        <v>#REF!</v>
      </c>
      <c r="IO198" t="e">
        <f>AND(#REF!,"AAAAAHb7//g=")</f>
        <v>#REF!</v>
      </c>
      <c r="IP198" t="e">
        <f>AND(#REF!,"AAAAAHb7//k=")</f>
        <v>#REF!</v>
      </c>
      <c r="IQ198" t="e">
        <f>AND(#REF!,"AAAAAHb7//o=")</f>
        <v>#REF!</v>
      </c>
      <c r="IR198" t="e">
        <f>AND(#REF!,"AAAAAHb7//s=")</f>
        <v>#REF!</v>
      </c>
      <c r="IS198" t="e">
        <f>IF(#REF!,"AAAAAHb7//w=",0)</f>
        <v>#REF!</v>
      </c>
      <c r="IT198" t="e">
        <f>AND(#REF!,"AAAAAHb7//0=")</f>
        <v>#REF!</v>
      </c>
      <c r="IU198" t="e">
        <f>AND(#REF!,"AAAAAHb7//4=")</f>
        <v>#REF!</v>
      </c>
      <c r="IV198" t="e">
        <f>AND(#REF!,"AAAAAHb7//8=")</f>
        <v>#REF!</v>
      </c>
    </row>
    <row r="199" spans="1:256" x14ac:dyDescent="0.25">
      <c r="A199" t="e">
        <f>AND(#REF!,"AAAAAHc/7wA=")</f>
        <v>#REF!</v>
      </c>
      <c r="B199" t="e">
        <f>AND(#REF!,"AAAAAHc/7wE=")</f>
        <v>#REF!</v>
      </c>
      <c r="C199" t="e">
        <f>AND(#REF!,"AAAAAHc/7wI=")</f>
        <v>#REF!</v>
      </c>
      <c r="D199" t="e">
        <f>AND(#REF!,"AAAAAHc/7wM=")</f>
        <v>#REF!</v>
      </c>
      <c r="E199" t="e">
        <f>AND(#REF!,"AAAAAHc/7wQ=")</f>
        <v>#REF!</v>
      </c>
      <c r="F199" t="e">
        <f>AND(#REF!,"AAAAAHc/7wU=")</f>
        <v>#REF!</v>
      </c>
      <c r="G199" t="e">
        <f>AND(#REF!,"AAAAAHc/7wY=")</f>
        <v>#REF!</v>
      </c>
      <c r="H199" t="e">
        <f>IF(#REF!,"AAAAAHc/7wc=",0)</f>
        <v>#REF!</v>
      </c>
      <c r="I199" t="e">
        <f>AND(#REF!,"AAAAAHc/7wg=")</f>
        <v>#REF!</v>
      </c>
      <c r="J199" t="e">
        <f>AND(#REF!,"AAAAAHc/7wk=")</f>
        <v>#REF!</v>
      </c>
      <c r="K199" t="e">
        <f>AND(#REF!,"AAAAAHc/7wo=")</f>
        <v>#REF!</v>
      </c>
      <c r="L199" t="e">
        <f>AND(#REF!,"AAAAAHc/7ws=")</f>
        <v>#REF!</v>
      </c>
      <c r="M199" t="e">
        <f>AND(#REF!,"AAAAAHc/7ww=")</f>
        <v>#REF!</v>
      </c>
      <c r="N199" t="e">
        <f>AND(#REF!,"AAAAAHc/7w0=")</f>
        <v>#REF!</v>
      </c>
      <c r="O199" t="e">
        <f>AND(#REF!,"AAAAAHc/7w4=")</f>
        <v>#REF!</v>
      </c>
      <c r="P199" t="e">
        <f>AND(#REF!,"AAAAAHc/7w8=")</f>
        <v>#REF!</v>
      </c>
      <c r="Q199" t="e">
        <f>AND(#REF!,"AAAAAHc/7xA=")</f>
        <v>#REF!</v>
      </c>
      <c r="R199" t="e">
        <f>AND(#REF!,"AAAAAHc/7xE=")</f>
        <v>#REF!</v>
      </c>
      <c r="S199" t="e">
        <f>IF(#REF!,"AAAAAHc/7xI=",0)</f>
        <v>#REF!</v>
      </c>
      <c r="T199" t="e">
        <f>AND(#REF!,"AAAAAHc/7xM=")</f>
        <v>#REF!</v>
      </c>
      <c r="U199" t="e">
        <f>AND(#REF!,"AAAAAHc/7xQ=")</f>
        <v>#REF!</v>
      </c>
      <c r="V199" t="e">
        <f>AND(#REF!,"AAAAAHc/7xU=")</f>
        <v>#REF!</v>
      </c>
      <c r="W199" t="e">
        <f>AND(#REF!,"AAAAAHc/7xY=")</f>
        <v>#REF!</v>
      </c>
      <c r="X199" t="e">
        <f>AND(#REF!,"AAAAAHc/7xc=")</f>
        <v>#REF!</v>
      </c>
      <c r="Y199" t="e">
        <f>AND(#REF!,"AAAAAHc/7xg=")</f>
        <v>#REF!</v>
      </c>
      <c r="Z199" t="e">
        <f>AND(#REF!,"AAAAAHc/7xk=")</f>
        <v>#REF!</v>
      </c>
      <c r="AA199" t="e">
        <f>AND(#REF!,"AAAAAHc/7xo=")</f>
        <v>#REF!</v>
      </c>
      <c r="AB199" t="e">
        <f>AND(#REF!,"AAAAAHc/7xs=")</f>
        <v>#REF!</v>
      </c>
      <c r="AC199" t="e">
        <f>AND(#REF!,"AAAAAHc/7xw=")</f>
        <v>#REF!</v>
      </c>
      <c r="AD199" t="e">
        <f>IF(#REF!,"AAAAAHc/7x0=",0)</f>
        <v>#REF!</v>
      </c>
      <c r="AE199" t="e">
        <f>AND(#REF!,"AAAAAHc/7x4=")</f>
        <v>#REF!</v>
      </c>
      <c r="AF199" t="e">
        <f>AND(#REF!,"AAAAAHc/7x8=")</f>
        <v>#REF!</v>
      </c>
      <c r="AG199" t="e">
        <f>AND(#REF!,"AAAAAHc/7yA=")</f>
        <v>#REF!</v>
      </c>
      <c r="AH199" t="e">
        <f>AND(#REF!,"AAAAAHc/7yE=")</f>
        <v>#REF!</v>
      </c>
      <c r="AI199" t="e">
        <f>AND(#REF!,"AAAAAHc/7yI=")</f>
        <v>#REF!</v>
      </c>
      <c r="AJ199" t="e">
        <f>AND(#REF!,"AAAAAHc/7yM=")</f>
        <v>#REF!</v>
      </c>
      <c r="AK199" t="e">
        <f>AND(#REF!,"AAAAAHc/7yQ=")</f>
        <v>#REF!</v>
      </c>
      <c r="AL199" t="e">
        <f>AND(#REF!,"AAAAAHc/7yU=")</f>
        <v>#REF!</v>
      </c>
      <c r="AM199" t="e">
        <f>AND(#REF!,"AAAAAHc/7yY=")</f>
        <v>#REF!</v>
      </c>
      <c r="AN199" t="e">
        <f>AND(#REF!,"AAAAAHc/7yc=")</f>
        <v>#REF!</v>
      </c>
      <c r="AO199" t="e">
        <f>IF(#REF!,"AAAAAHc/7yg=",0)</f>
        <v>#REF!</v>
      </c>
      <c r="AP199" t="e">
        <f>AND(#REF!,"AAAAAHc/7yk=")</f>
        <v>#REF!</v>
      </c>
      <c r="AQ199" t="e">
        <f>AND(#REF!,"AAAAAHc/7yo=")</f>
        <v>#REF!</v>
      </c>
      <c r="AR199" t="e">
        <f>AND(#REF!,"AAAAAHc/7ys=")</f>
        <v>#REF!</v>
      </c>
      <c r="AS199" t="e">
        <f>AND(#REF!,"AAAAAHc/7yw=")</f>
        <v>#REF!</v>
      </c>
      <c r="AT199" t="e">
        <f>AND(#REF!,"AAAAAHc/7y0=")</f>
        <v>#REF!</v>
      </c>
      <c r="AU199" t="e">
        <f>AND(#REF!,"AAAAAHc/7y4=")</f>
        <v>#REF!</v>
      </c>
      <c r="AV199" t="e">
        <f>AND(#REF!,"AAAAAHc/7y8=")</f>
        <v>#REF!</v>
      </c>
      <c r="AW199" t="e">
        <f>AND(#REF!,"AAAAAHc/7zA=")</f>
        <v>#REF!</v>
      </c>
      <c r="AX199" t="e">
        <f>AND(#REF!,"AAAAAHc/7zE=")</f>
        <v>#REF!</v>
      </c>
      <c r="AY199" t="e">
        <f>AND(#REF!,"AAAAAHc/7zI=")</f>
        <v>#REF!</v>
      </c>
      <c r="AZ199" t="e">
        <f>IF(#REF!,"AAAAAHc/7zM=",0)</f>
        <v>#REF!</v>
      </c>
      <c r="BA199" t="e">
        <f>AND(#REF!,"AAAAAHc/7zQ=")</f>
        <v>#REF!</v>
      </c>
      <c r="BB199" t="e">
        <f>AND(#REF!,"AAAAAHc/7zU=")</f>
        <v>#REF!</v>
      </c>
      <c r="BC199" t="e">
        <f>AND(#REF!,"AAAAAHc/7zY=")</f>
        <v>#REF!</v>
      </c>
      <c r="BD199" t="e">
        <f>AND(#REF!,"AAAAAHc/7zc=")</f>
        <v>#REF!</v>
      </c>
      <c r="BE199" t="e">
        <f>AND(#REF!,"AAAAAHc/7zg=")</f>
        <v>#REF!</v>
      </c>
      <c r="BF199" t="e">
        <f>AND(#REF!,"AAAAAHc/7zk=")</f>
        <v>#REF!</v>
      </c>
      <c r="BG199" t="e">
        <f>AND(#REF!,"AAAAAHc/7zo=")</f>
        <v>#REF!</v>
      </c>
      <c r="BH199" t="e">
        <f>AND(#REF!,"AAAAAHc/7zs=")</f>
        <v>#REF!</v>
      </c>
      <c r="BI199" t="e">
        <f>AND(#REF!,"AAAAAHc/7zw=")</f>
        <v>#REF!</v>
      </c>
      <c r="BJ199" t="e">
        <f>AND(#REF!,"AAAAAHc/7z0=")</f>
        <v>#REF!</v>
      </c>
      <c r="BK199" t="e">
        <f>IF(#REF!,"AAAAAHc/7z4=",0)</f>
        <v>#REF!</v>
      </c>
      <c r="BL199" t="e">
        <f>AND(#REF!,"AAAAAHc/7z8=")</f>
        <v>#REF!</v>
      </c>
      <c r="BM199" t="e">
        <f>AND(#REF!,"AAAAAHc/70A=")</f>
        <v>#REF!</v>
      </c>
      <c r="BN199" t="e">
        <f>AND(#REF!,"AAAAAHc/70E=")</f>
        <v>#REF!</v>
      </c>
      <c r="BO199" t="e">
        <f>AND(#REF!,"AAAAAHc/70I=")</f>
        <v>#REF!</v>
      </c>
      <c r="BP199" t="e">
        <f>AND(#REF!,"AAAAAHc/70M=")</f>
        <v>#REF!</v>
      </c>
      <c r="BQ199" t="e">
        <f>AND(#REF!,"AAAAAHc/70Q=")</f>
        <v>#REF!</v>
      </c>
      <c r="BR199" t="e">
        <f>AND(#REF!,"AAAAAHc/70U=")</f>
        <v>#REF!</v>
      </c>
      <c r="BS199" t="e">
        <f>AND(#REF!,"AAAAAHc/70Y=")</f>
        <v>#REF!</v>
      </c>
      <c r="BT199" t="e">
        <f>AND(#REF!,"AAAAAHc/70c=")</f>
        <v>#REF!</v>
      </c>
      <c r="BU199" t="e">
        <f>AND(#REF!,"AAAAAHc/70g=")</f>
        <v>#REF!</v>
      </c>
      <c r="BV199" t="e">
        <f>IF(#REF!,"AAAAAHc/70k=",0)</f>
        <v>#REF!</v>
      </c>
      <c r="BW199" t="e">
        <f>AND(#REF!,"AAAAAHc/70o=")</f>
        <v>#REF!</v>
      </c>
      <c r="BX199" t="e">
        <f>AND(#REF!,"AAAAAHc/70s=")</f>
        <v>#REF!</v>
      </c>
      <c r="BY199" t="e">
        <f>AND(#REF!,"AAAAAHc/70w=")</f>
        <v>#REF!</v>
      </c>
      <c r="BZ199" t="e">
        <f>AND(#REF!,"AAAAAHc/700=")</f>
        <v>#REF!</v>
      </c>
      <c r="CA199" t="e">
        <f>AND(#REF!,"AAAAAHc/704=")</f>
        <v>#REF!</v>
      </c>
      <c r="CB199" t="e">
        <f>AND(#REF!,"AAAAAHc/708=")</f>
        <v>#REF!</v>
      </c>
      <c r="CC199" t="e">
        <f>AND(#REF!,"AAAAAHc/71A=")</f>
        <v>#REF!</v>
      </c>
      <c r="CD199" t="e">
        <f>AND(#REF!,"AAAAAHc/71E=")</f>
        <v>#REF!</v>
      </c>
      <c r="CE199" t="e">
        <f>AND(#REF!,"AAAAAHc/71I=")</f>
        <v>#REF!</v>
      </c>
      <c r="CF199" t="e">
        <f>AND(#REF!,"AAAAAHc/71M=")</f>
        <v>#REF!</v>
      </c>
      <c r="CG199" t="e">
        <f>IF(#REF!,"AAAAAHc/71Q=",0)</f>
        <v>#REF!</v>
      </c>
      <c r="CH199" t="e">
        <f>AND(#REF!,"AAAAAHc/71U=")</f>
        <v>#REF!</v>
      </c>
      <c r="CI199" t="e">
        <f>AND(#REF!,"AAAAAHc/71Y=")</f>
        <v>#REF!</v>
      </c>
      <c r="CJ199" t="e">
        <f>AND(#REF!,"AAAAAHc/71c=")</f>
        <v>#REF!</v>
      </c>
      <c r="CK199" t="e">
        <f>AND(#REF!,"AAAAAHc/71g=")</f>
        <v>#REF!</v>
      </c>
      <c r="CL199" t="e">
        <f>AND(#REF!,"AAAAAHc/71k=")</f>
        <v>#REF!</v>
      </c>
      <c r="CM199" t="e">
        <f>AND(#REF!,"AAAAAHc/71o=")</f>
        <v>#REF!</v>
      </c>
      <c r="CN199" t="e">
        <f>AND(#REF!,"AAAAAHc/71s=")</f>
        <v>#REF!</v>
      </c>
      <c r="CO199" t="e">
        <f>AND(#REF!,"AAAAAHc/71w=")</f>
        <v>#REF!</v>
      </c>
      <c r="CP199" t="e">
        <f>AND(#REF!,"AAAAAHc/710=")</f>
        <v>#REF!</v>
      </c>
      <c r="CQ199" t="e">
        <f>AND(#REF!,"AAAAAHc/714=")</f>
        <v>#REF!</v>
      </c>
      <c r="CR199" t="e">
        <f>IF(#REF!,"AAAAAHc/718=",0)</f>
        <v>#REF!</v>
      </c>
      <c r="CS199" t="e">
        <f>AND(#REF!,"AAAAAHc/72A=")</f>
        <v>#REF!</v>
      </c>
      <c r="CT199" t="e">
        <f>AND(#REF!,"AAAAAHc/72E=")</f>
        <v>#REF!</v>
      </c>
      <c r="CU199" t="e">
        <f>AND(#REF!,"AAAAAHc/72I=")</f>
        <v>#REF!</v>
      </c>
      <c r="CV199" t="e">
        <f>AND(#REF!,"AAAAAHc/72M=")</f>
        <v>#REF!</v>
      </c>
      <c r="CW199" t="e">
        <f>AND(#REF!,"AAAAAHc/72Q=")</f>
        <v>#REF!</v>
      </c>
      <c r="CX199" t="e">
        <f>AND(#REF!,"AAAAAHc/72U=")</f>
        <v>#REF!</v>
      </c>
      <c r="CY199" t="e">
        <f>AND(#REF!,"AAAAAHc/72Y=")</f>
        <v>#REF!</v>
      </c>
      <c r="CZ199" t="e">
        <f>AND(#REF!,"AAAAAHc/72c=")</f>
        <v>#REF!</v>
      </c>
      <c r="DA199" t="e">
        <f>AND(#REF!,"AAAAAHc/72g=")</f>
        <v>#REF!</v>
      </c>
      <c r="DB199" t="e">
        <f>AND(#REF!,"AAAAAHc/72k=")</f>
        <v>#REF!</v>
      </c>
      <c r="DC199" t="e">
        <f>IF(#REF!,"AAAAAHc/72o=",0)</f>
        <v>#REF!</v>
      </c>
      <c r="DD199" t="e">
        <f>AND(#REF!,"AAAAAHc/72s=")</f>
        <v>#REF!</v>
      </c>
      <c r="DE199" t="e">
        <f>AND(#REF!,"AAAAAHc/72w=")</f>
        <v>#REF!</v>
      </c>
      <c r="DF199" t="e">
        <f>AND(#REF!,"AAAAAHc/720=")</f>
        <v>#REF!</v>
      </c>
      <c r="DG199" t="e">
        <f>AND(#REF!,"AAAAAHc/724=")</f>
        <v>#REF!</v>
      </c>
      <c r="DH199" t="e">
        <f>AND(#REF!,"AAAAAHc/728=")</f>
        <v>#REF!</v>
      </c>
      <c r="DI199" t="e">
        <f>AND(#REF!,"AAAAAHc/73A=")</f>
        <v>#REF!</v>
      </c>
      <c r="DJ199" t="e">
        <f>AND(#REF!,"AAAAAHc/73E=")</f>
        <v>#REF!</v>
      </c>
      <c r="DK199" t="e">
        <f>AND(#REF!,"AAAAAHc/73I=")</f>
        <v>#REF!</v>
      </c>
      <c r="DL199" t="e">
        <f>AND(#REF!,"AAAAAHc/73M=")</f>
        <v>#REF!</v>
      </c>
      <c r="DM199" t="e">
        <f>AND(#REF!,"AAAAAHc/73Q=")</f>
        <v>#REF!</v>
      </c>
      <c r="DN199" t="e">
        <f>IF(#REF!,"AAAAAHc/73U=",0)</f>
        <v>#REF!</v>
      </c>
      <c r="DO199" t="e">
        <f>AND(#REF!,"AAAAAHc/73Y=")</f>
        <v>#REF!</v>
      </c>
      <c r="DP199" t="e">
        <f>AND(#REF!,"AAAAAHc/73c=")</f>
        <v>#REF!</v>
      </c>
      <c r="DQ199" t="e">
        <f>AND(#REF!,"AAAAAHc/73g=")</f>
        <v>#REF!</v>
      </c>
      <c r="DR199" t="e">
        <f>AND(#REF!,"AAAAAHc/73k=")</f>
        <v>#REF!</v>
      </c>
      <c r="DS199" t="e">
        <f>AND(#REF!,"AAAAAHc/73o=")</f>
        <v>#REF!</v>
      </c>
      <c r="DT199" t="e">
        <f>AND(#REF!,"AAAAAHc/73s=")</f>
        <v>#REF!</v>
      </c>
      <c r="DU199" t="e">
        <f>AND(#REF!,"AAAAAHc/73w=")</f>
        <v>#REF!</v>
      </c>
      <c r="DV199" t="e">
        <f>AND(#REF!,"AAAAAHc/730=")</f>
        <v>#REF!</v>
      </c>
      <c r="DW199" t="e">
        <f>AND(#REF!,"AAAAAHc/734=")</f>
        <v>#REF!</v>
      </c>
      <c r="DX199" t="e">
        <f>AND(#REF!,"AAAAAHc/738=")</f>
        <v>#REF!</v>
      </c>
      <c r="DY199" t="e">
        <f>IF(#REF!,"AAAAAHc/74A=",0)</f>
        <v>#REF!</v>
      </c>
      <c r="DZ199" t="e">
        <f>AND(#REF!,"AAAAAHc/74E=")</f>
        <v>#REF!</v>
      </c>
      <c r="EA199" t="e">
        <f>AND(#REF!,"AAAAAHc/74I=")</f>
        <v>#REF!</v>
      </c>
      <c r="EB199" t="e">
        <f>AND(#REF!,"AAAAAHc/74M=")</f>
        <v>#REF!</v>
      </c>
      <c r="EC199" t="e">
        <f>AND(#REF!,"AAAAAHc/74Q=")</f>
        <v>#REF!</v>
      </c>
      <c r="ED199" t="e">
        <f>AND(#REF!,"AAAAAHc/74U=")</f>
        <v>#REF!</v>
      </c>
      <c r="EE199" t="e">
        <f>AND(#REF!,"AAAAAHc/74Y=")</f>
        <v>#REF!</v>
      </c>
      <c r="EF199" t="e">
        <f>AND(#REF!,"AAAAAHc/74c=")</f>
        <v>#REF!</v>
      </c>
      <c r="EG199" t="e">
        <f>AND(#REF!,"AAAAAHc/74g=")</f>
        <v>#REF!</v>
      </c>
      <c r="EH199" t="e">
        <f>AND(#REF!,"AAAAAHc/74k=")</f>
        <v>#REF!</v>
      </c>
      <c r="EI199" t="e">
        <f>AND(#REF!,"AAAAAHc/74o=")</f>
        <v>#REF!</v>
      </c>
      <c r="EJ199" t="e">
        <f>IF(#REF!,"AAAAAHc/74s=",0)</f>
        <v>#REF!</v>
      </c>
      <c r="EK199" t="e">
        <f>AND(#REF!,"AAAAAHc/74w=")</f>
        <v>#REF!</v>
      </c>
      <c r="EL199" t="e">
        <f>AND(#REF!,"AAAAAHc/740=")</f>
        <v>#REF!</v>
      </c>
      <c r="EM199" t="e">
        <f>AND(#REF!,"AAAAAHc/744=")</f>
        <v>#REF!</v>
      </c>
      <c r="EN199" t="e">
        <f>AND(#REF!,"AAAAAHc/748=")</f>
        <v>#REF!</v>
      </c>
      <c r="EO199" t="e">
        <f>AND(#REF!,"AAAAAHc/75A=")</f>
        <v>#REF!</v>
      </c>
      <c r="EP199" t="e">
        <f>AND(#REF!,"AAAAAHc/75E=")</f>
        <v>#REF!</v>
      </c>
      <c r="EQ199" t="e">
        <f>AND(#REF!,"AAAAAHc/75I=")</f>
        <v>#REF!</v>
      </c>
      <c r="ER199" t="e">
        <f>AND(#REF!,"AAAAAHc/75M=")</f>
        <v>#REF!</v>
      </c>
      <c r="ES199" t="e">
        <f>AND(#REF!,"AAAAAHc/75Q=")</f>
        <v>#REF!</v>
      </c>
      <c r="ET199" t="e">
        <f>AND(#REF!,"AAAAAHc/75U=")</f>
        <v>#REF!</v>
      </c>
      <c r="EU199" t="e">
        <f>IF(#REF!,"AAAAAHc/75Y=",0)</f>
        <v>#REF!</v>
      </c>
      <c r="EV199" t="e">
        <f>AND(#REF!,"AAAAAHc/75c=")</f>
        <v>#REF!</v>
      </c>
      <c r="EW199" t="e">
        <f>AND(#REF!,"AAAAAHc/75g=")</f>
        <v>#REF!</v>
      </c>
      <c r="EX199" t="e">
        <f>AND(#REF!,"AAAAAHc/75k=")</f>
        <v>#REF!</v>
      </c>
      <c r="EY199" t="e">
        <f>AND(#REF!,"AAAAAHc/75o=")</f>
        <v>#REF!</v>
      </c>
      <c r="EZ199" t="e">
        <f>AND(#REF!,"AAAAAHc/75s=")</f>
        <v>#REF!</v>
      </c>
      <c r="FA199" t="e">
        <f>AND(#REF!,"AAAAAHc/75w=")</f>
        <v>#REF!</v>
      </c>
      <c r="FB199" t="e">
        <f>AND(#REF!,"AAAAAHc/750=")</f>
        <v>#REF!</v>
      </c>
      <c r="FC199" t="e">
        <f>AND(#REF!,"AAAAAHc/754=")</f>
        <v>#REF!</v>
      </c>
      <c r="FD199" t="e">
        <f>AND(#REF!,"AAAAAHc/758=")</f>
        <v>#REF!</v>
      </c>
      <c r="FE199" t="e">
        <f>AND(#REF!,"AAAAAHc/76A=")</f>
        <v>#REF!</v>
      </c>
      <c r="FF199" t="e">
        <f>IF(#REF!,"AAAAAHc/76E=",0)</f>
        <v>#REF!</v>
      </c>
      <c r="FG199" t="e">
        <f>AND(#REF!,"AAAAAHc/76I=")</f>
        <v>#REF!</v>
      </c>
      <c r="FH199" t="e">
        <f>AND(#REF!,"AAAAAHc/76M=")</f>
        <v>#REF!</v>
      </c>
      <c r="FI199" t="e">
        <f>AND(#REF!,"AAAAAHc/76Q=")</f>
        <v>#REF!</v>
      </c>
      <c r="FJ199" t="e">
        <f>AND(#REF!,"AAAAAHc/76U=")</f>
        <v>#REF!</v>
      </c>
      <c r="FK199" t="e">
        <f>AND(#REF!,"AAAAAHc/76Y=")</f>
        <v>#REF!</v>
      </c>
      <c r="FL199" t="e">
        <f>AND(#REF!,"AAAAAHc/76c=")</f>
        <v>#REF!</v>
      </c>
      <c r="FM199" t="e">
        <f>AND(#REF!,"AAAAAHc/76g=")</f>
        <v>#REF!</v>
      </c>
      <c r="FN199" t="e">
        <f>AND(#REF!,"AAAAAHc/76k=")</f>
        <v>#REF!</v>
      </c>
      <c r="FO199" t="e">
        <f>AND(#REF!,"AAAAAHc/76o=")</f>
        <v>#REF!</v>
      </c>
      <c r="FP199" t="e">
        <f>AND(#REF!,"AAAAAHc/76s=")</f>
        <v>#REF!</v>
      </c>
      <c r="FQ199" t="e">
        <f>IF(#REF!,"AAAAAHc/76w=",0)</f>
        <v>#REF!</v>
      </c>
      <c r="FR199" t="e">
        <f>AND(#REF!,"AAAAAHc/760=")</f>
        <v>#REF!</v>
      </c>
      <c r="FS199" t="e">
        <f>AND(#REF!,"AAAAAHc/764=")</f>
        <v>#REF!</v>
      </c>
      <c r="FT199" t="e">
        <f>AND(#REF!,"AAAAAHc/768=")</f>
        <v>#REF!</v>
      </c>
      <c r="FU199" t="e">
        <f>AND(#REF!,"AAAAAHc/77A=")</f>
        <v>#REF!</v>
      </c>
      <c r="FV199" t="e">
        <f>AND(#REF!,"AAAAAHc/77E=")</f>
        <v>#REF!</v>
      </c>
      <c r="FW199" t="e">
        <f>AND(#REF!,"AAAAAHc/77I=")</f>
        <v>#REF!</v>
      </c>
      <c r="FX199" t="e">
        <f>AND(#REF!,"AAAAAHc/77M=")</f>
        <v>#REF!</v>
      </c>
      <c r="FY199" t="e">
        <f>AND(#REF!,"AAAAAHc/77Q=")</f>
        <v>#REF!</v>
      </c>
      <c r="FZ199" t="e">
        <f>AND(#REF!,"AAAAAHc/77U=")</f>
        <v>#REF!</v>
      </c>
      <c r="GA199" t="e">
        <f>AND(#REF!,"AAAAAHc/77Y=")</f>
        <v>#REF!</v>
      </c>
      <c r="GB199" t="e">
        <f>IF(#REF!,"AAAAAHc/77c=",0)</f>
        <v>#REF!</v>
      </c>
      <c r="GC199" t="e">
        <f>AND(#REF!,"AAAAAHc/77g=")</f>
        <v>#REF!</v>
      </c>
      <c r="GD199" t="e">
        <f>AND(#REF!,"AAAAAHc/77k=")</f>
        <v>#REF!</v>
      </c>
      <c r="GE199" t="e">
        <f>AND(#REF!,"AAAAAHc/77o=")</f>
        <v>#REF!</v>
      </c>
      <c r="GF199" t="e">
        <f>AND(#REF!,"AAAAAHc/77s=")</f>
        <v>#REF!</v>
      </c>
      <c r="GG199" t="e">
        <f>AND(#REF!,"AAAAAHc/77w=")</f>
        <v>#REF!</v>
      </c>
      <c r="GH199" t="e">
        <f>AND(#REF!,"AAAAAHc/770=")</f>
        <v>#REF!</v>
      </c>
      <c r="GI199" t="e">
        <f>AND(#REF!,"AAAAAHc/774=")</f>
        <v>#REF!</v>
      </c>
      <c r="GJ199" t="e">
        <f>AND(#REF!,"AAAAAHc/778=")</f>
        <v>#REF!</v>
      </c>
      <c r="GK199" t="e">
        <f>AND(#REF!,"AAAAAHc/78A=")</f>
        <v>#REF!</v>
      </c>
      <c r="GL199" t="e">
        <f>AND(#REF!,"AAAAAHc/78E=")</f>
        <v>#REF!</v>
      </c>
      <c r="GM199" t="e">
        <f>IF(#REF!,"AAAAAHc/78I=",0)</f>
        <v>#REF!</v>
      </c>
      <c r="GN199" t="e">
        <f>AND(#REF!,"AAAAAHc/78M=")</f>
        <v>#REF!</v>
      </c>
      <c r="GO199" t="e">
        <f>AND(#REF!,"AAAAAHc/78Q=")</f>
        <v>#REF!</v>
      </c>
      <c r="GP199" t="e">
        <f>AND(#REF!,"AAAAAHc/78U=")</f>
        <v>#REF!</v>
      </c>
      <c r="GQ199" t="e">
        <f>AND(#REF!,"AAAAAHc/78Y=")</f>
        <v>#REF!</v>
      </c>
      <c r="GR199" t="e">
        <f>AND(#REF!,"AAAAAHc/78c=")</f>
        <v>#REF!</v>
      </c>
      <c r="GS199" t="e">
        <f>AND(#REF!,"AAAAAHc/78g=")</f>
        <v>#REF!</v>
      </c>
      <c r="GT199" t="e">
        <f>AND(#REF!,"AAAAAHc/78k=")</f>
        <v>#REF!</v>
      </c>
      <c r="GU199" t="e">
        <f>AND(#REF!,"AAAAAHc/78o=")</f>
        <v>#REF!</v>
      </c>
      <c r="GV199" t="e">
        <f>AND(#REF!,"AAAAAHc/78s=")</f>
        <v>#REF!</v>
      </c>
      <c r="GW199" t="e">
        <f>AND(#REF!,"AAAAAHc/78w=")</f>
        <v>#REF!</v>
      </c>
      <c r="GX199" t="e">
        <f>IF(#REF!,"AAAAAHc/780=",0)</f>
        <v>#REF!</v>
      </c>
      <c r="GY199" t="e">
        <f>AND(#REF!,"AAAAAHc/784=")</f>
        <v>#REF!</v>
      </c>
      <c r="GZ199" t="e">
        <f>AND(#REF!,"AAAAAHc/788=")</f>
        <v>#REF!</v>
      </c>
      <c r="HA199" t="e">
        <f>AND(#REF!,"AAAAAHc/79A=")</f>
        <v>#REF!</v>
      </c>
      <c r="HB199" t="e">
        <f>AND(#REF!,"AAAAAHc/79E=")</f>
        <v>#REF!</v>
      </c>
      <c r="HC199" t="e">
        <f>AND(#REF!,"AAAAAHc/79I=")</f>
        <v>#REF!</v>
      </c>
      <c r="HD199" t="e">
        <f>AND(#REF!,"AAAAAHc/79M=")</f>
        <v>#REF!</v>
      </c>
      <c r="HE199" t="e">
        <f>AND(#REF!,"AAAAAHc/79Q=")</f>
        <v>#REF!</v>
      </c>
      <c r="HF199" t="e">
        <f>AND(#REF!,"AAAAAHc/79U=")</f>
        <v>#REF!</v>
      </c>
      <c r="HG199" t="e">
        <f>AND(#REF!,"AAAAAHc/79Y=")</f>
        <v>#REF!</v>
      </c>
      <c r="HH199" t="e">
        <f>AND(#REF!,"AAAAAHc/79c=")</f>
        <v>#REF!</v>
      </c>
      <c r="HI199" t="e">
        <f>IF(#REF!,"AAAAAHc/79g=",0)</f>
        <v>#REF!</v>
      </c>
      <c r="HJ199" t="e">
        <f>AND(#REF!,"AAAAAHc/79k=")</f>
        <v>#REF!</v>
      </c>
      <c r="HK199" t="e">
        <f>AND(#REF!,"AAAAAHc/79o=")</f>
        <v>#REF!</v>
      </c>
      <c r="HL199" t="e">
        <f>AND(#REF!,"AAAAAHc/79s=")</f>
        <v>#REF!</v>
      </c>
      <c r="HM199" t="e">
        <f>AND(#REF!,"AAAAAHc/79w=")</f>
        <v>#REF!</v>
      </c>
      <c r="HN199" t="e">
        <f>AND(#REF!,"AAAAAHc/790=")</f>
        <v>#REF!</v>
      </c>
      <c r="HO199" t="e">
        <f>AND(#REF!,"AAAAAHc/794=")</f>
        <v>#REF!</v>
      </c>
      <c r="HP199" t="e">
        <f>AND(#REF!,"AAAAAHc/798=")</f>
        <v>#REF!</v>
      </c>
      <c r="HQ199" t="e">
        <f>AND(#REF!,"AAAAAHc/7+A=")</f>
        <v>#REF!</v>
      </c>
      <c r="HR199" t="e">
        <f>AND(#REF!,"AAAAAHc/7+E=")</f>
        <v>#REF!</v>
      </c>
      <c r="HS199" t="e">
        <f>AND(#REF!,"AAAAAHc/7+I=")</f>
        <v>#REF!</v>
      </c>
      <c r="HT199" t="e">
        <f>IF(#REF!,"AAAAAHc/7+M=",0)</f>
        <v>#REF!</v>
      </c>
      <c r="HU199" t="e">
        <f>AND(#REF!,"AAAAAHc/7+Q=")</f>
        <v>#REF!</v>
      </c>
      <c r="HV199" t="e">
        <f>AND(#REF!,"AAAAAHc/7+U=")</f>
        <v>#REF!</v>
      </c>
      <c r="HW199" t="e">
        <f>AND(#REF!,"AAAAAHc/7+Y=")</f>
        <v>#REF!</v>
      </c>
      <c r="HX199" t="e">
        <f>AND(#REF!,"AAAAAHc/7+c=")</f>
        <v>#REF!</v>
      </c>
      <c r="HY199" t="e">
        <f>AND(#REF!,"AAAAAHc/7+g=")</f>
        <v>#REF!</v>
      </c>
      <c r="HZ199" t="e">
        <f>AND(#REF!,"AAAAAHc/7+k=")</f>
        <v>#REF!</v>
      </c>
      <c r="IA199" t="e">
        <f>AND(#REF!,"AAAAAHc/7+o=")</f>
        <v>#REF!</v>
      </c>
      <c r="IB199" t="e">
        <f>AND(#REF!,"AAAAAHc/7+s=")</f>
        <v>#REF!</v>
      </c>
      <c r="IC199" t="e">
        <f>AND(#REF!,"AAAAAHc/7+w=")</f>
        <v>#REF!</v>
      </c>
      <c r="ID199" t="e">
        <f>AND(#REF!,"AAAAAHc/7+0=")</f>
        <v>#REF!</v>
      </c>
      <c r="IE199" t="e">
        <f>IF(#REF!,"AAAAAHc/7+4=",0)</f>
        <v>#REF!</v>
      </c>
      <c r="IF199" t="e">
        <f>AND(#REF!,"AAAAAHc/7+8=")</f>
        <v>#REF!</v>
      </c>
      <c r="IG199" t="e">
        <f>AND(#REF!,"AAAAAHc/7/A=")</f>
        <v>#REF!</v>
      </c>
      <c r="IH199" t="e">
        <f>AND(#REF!,"AAAAAHc/7/E=")</f>
        <v>#REF!</v>
      </c>
      <c r="II199" t="e">
        <f>AND(#REF!,"AAAAAHc/7/I=")</f>
        <v>#REF!</v>
      </c>
      <c r="IJ199" t="e">
        <f>AND(#REF!,"AAAAAHc/7/M=")</f>
        <v>#REF!</v>
      </c>
      <c r="IK199" t="e">
        <f>AND(#REF!,"AAAAAHc/7/Q=")</f>
        <v>#REF!</v>
      </c>
      <c r="IL199" t="e">
        <f>AND(#REF!,"AAAAAHc/7/U=")</f>
        <v>#REF!</v>
      </c>
      <c r="IM199" t="e">
        <f>AND(#REF!,"AAAAAHc/7/Y=")</f>
        <v>#REF!</v>
      </c>
      <c r="IN199" t="e">
        <f>AND(#REF!,"AAAAAHc/7/c=")</f>
        <v>#REF!</v>
      </c>
      <c r="IO199" t="e">
        <f>AND(#REF!,"AAAAAHc/7/g=")</f>
        <v>#REF!</v>
      </c>
      <c r="IP199" t="e">
        <f>IF(#REF!,"AAAAAHc/7/k=",0)</f>
        <v>#REF!</v>
      </c>
      <c r="IQ199" t="e">
        <f>AND(#REF!,"AAAAAHc/7/o=")</f>
        <v>#REF!</v>
      </c>
      <c r="IR199" t="e">
        <f>AND(#REF!,"AAAAAHc/7/s=")</f>
        <v>#REF!</v>
      </c>
      <c r="IS199" t="e">
        <f>AND(#REF!,"AAAAAHc/7/w=")</f>
        <v>#REF!</v>
      </c>
      <c r="IT199" t="e">
        <f>AND(#REF!,"AAAAAHc/7/0=")</f>
        <v>#REF!</v>
      </c>
      <c r="IU199" t="e">
        <f>AND(#REF!,"AAAAAHc/7/4=")</f>
        <v>#REF!</v>
      </c>
      <c r="IV199" t="e">
        <f>AND(#REF!,"AAAAAHc/7/8=")</f>
        <v>#REF!</v>
      </c>
    </row>
    <row r="200" spans="1:256" x14ac:dyDescent="0.25">
      <c r="A200" t="e">
        <f>AND(#REF!,"AAAAAEXb9wA=")</f>
        <v>#REF!</v>
      </c>
      <c r="B200" t="e">
        <f>AND(#REF!,"AAAAAEXb9wE=")</f>
        <v>#REF!</v>
      </c>
      <c r="C200" t="e">
        <f>AND(#REF!,"AAAAAEXb9wI=")</f>
        <v>#REF!</v>
      </c>
      <c r="D200" t="e">
        <f>AND(#REF!,"AAAAAEXb9wM=")</f>
        <v>#REF!</v>
      </c>
      <c r="E200" t="e">
        <f>IF(#REF!,"AAAAAEXb9wQ=",0)</f>
        <v>#REF!</v>
      </c>
      <c r="F200" t="e">
        <f>AND(#REF!,"AAAAAEXb9wU=")</f>
        <v>#REF!</v>
      </c>
      <c r="G200" t="e">
        <f>AND(#REF!,"AAAAAEXb9wY=")</f>
        <v>#REF!</v>
      </c>
      <c r="H200" t="e">
        <f>AND(#REF!,"AAAAAEXb9wc=")</f>
        <v>#REF!</v>
      </c>
      <c r="I200" t="e">
        <f>AND(#REF!,"AAAAAEXb9wg=")</f>
        <v>#REF!</v>
      </c>
      <c r="J200" t="e">
        <f>AND(#REF!,"AAAAAEXb9wk=")</f>
        <v>#REF!</v>
      </c>
      <c r="K200" t="e">
        <f>AND(#REF!,"AAAAAEXb9wo=")</f>
        <v>#REF!</v>
      </c>
      <c r="L200" t="e">
        <f>AND(#REF!,"AAAAAEXb9ws=")</f>
        <v>#REF!</v>
      </c>
      <c r="M200" t="e">
        <f>AND(#REF!,"AAAAAEXb9ww=")</f>
        <v>#REF!</v>
      </c>
      <c r="N200" t="e">
        <f>AND(#REF!,"AAAAAEXb9w0=")</f>
        <v>#REF!</v>
      </c>
      <c r="O200" t="e">
        <f>AND(#REF!,"AAAAAEXb9w4=")</f>
        <v>#REF!</v>
      </c>
      <c r="P200" t="e">
        <f>IF(#REF!,"AAAAAEXb9w8=",0)</f>
        <v>#REF!</v>
      </c>
      <c r="Q200" t="e">
        <f>AND(#REF!,"AAAAAEXb9xA=")</f>
        <v>#REF!</v>
      </c>
      <c r="R200" t="e">
        <f>AND(#REF!,"AAAAAEXb9xE=")</f>
        <v>#REF!</v>
      </c>
      <c r="S200" t="e">
        <f>AND(#REF!,"AAAAAEXb9xI=")</f>
        <v>#REF!</v>
      </c>
      <c r="T200" t="e">
        <f>AND(#REF!,"AAAAAEXb9xM=")</f>
        <v>#REF!</v>
      </c>
      <c r="U200" t="e">
        <f>AND(#REF!,"AAAAAEXb9xQ=")</f>
        <v>#REF!</v>
      </c>
      <c r="V200" t="e">
        <f>AND(#REF!,"AAAAAEXb9xU=")</f>
        <v>#REF!</v>
      </c>
      <c r="W200" t="e">
        <f>AND(#REF!,"AAAAAEXb9xY=")</f>
        <v>#REF!</v>
      </c>
      <c r="X200" t="e">
        <f>AND(#REF!,"AAAAAEXb9xc=")</f>
        <v>#REF!</v>
      </c>
      <c r="Y200" t="e">
        <f>AND(#REF!,"AAAAAEXb9xg=")</f>
        <v>#REF!</v>
      </c>
      <c r="Z200" t="e">
        <f>AND(#REF!,"AAAAAEXb9xk=")</f>
        <v>#REF!</v>
      </c>
      <c r="AA200" t="e">
        <f>IF(#REF!,"AAAAAEXb9xo=",0)</f>
        <v>#REF!</v>
      </c>
      <c r="AB200" t="e">
        <f>AND(#REF!,"AAAAAEXb9xs=")</f>
        <v>#REF!</v>
      </c>
      <c r="AC200" t="e">
        <f>AND(#REF!,"AAAAAEXb9xw=")</f>
        <v>#REF!</v>
      </c>
      <c r="AD200" t="e">
        <f>AND(#REF!,"AAAAAEXb9x0=")</f>
        <v>#REF!</v>
      </c>
      <c r="AE200" t="e">
        <f>AND(#REF!,"AAAAAEXb9x4=")</f>
        <v>#REF!</v>
      </c>
      <c r="AF200" t="e">
        <f>AND(#REF!,"AAAAAEXb9x8=")</f>
        <v>#REF!</v>
      </c>
      <c r="AG200" t="e">
        <f>AND(#REF!,"AAAAAEXb9yA=")</f>
        <v>#REF!</v>
      </c>
      <c r="AH200" t="e">
        <f>AND(#REF!,"AAAAAEXb9yE=")</f>
        <v>#REF!</v>
      </c>
      <c r="AI200" t="e">
        <f>AND(#REF!,"AAAAAEXb9yI=")</f>
        <v>#REF!</v>
      </c>
      <c r="AJ200" t="e">
        <f>AND(#REF!,"AAAAAEXb9yM=")</f>
        <v>#REF!</v>
      </c>
      <c r="AK200" t="e">
        <f>AND(#REF!,"AAAAAEXb9yQ=")</f>
        <v>#REF!</v>
      </c>
      <c r="AL200" t="e">
        <f>IF(#REF!,"AAAAAEXb9yU=",0)</f>
        <v>#REF!</v>
      </c>
      <c r="AM200" t="e">
        <f>AND(#REF!,"AAAAAEXb9yY=")</f>
        <v>#REF!</v>
      </c>
      <c r="AN200" t="e">
        <f>AND(#REF!,"AAAAAEXb9yc=")</f>
        <v>#REF!</v>
      </c>
      <c r="AO200" t="e">
        <f>AND(#REF!,"AAAAAEXb9yg=")</f>
        <v>#REF!</v>
      </c>
      <c r="AP200" t="e">
        <f>AND(#REF!,"AAAAAEXb9yk=")</f>
        <v>#REF!</v>
      </c>
      <c r="AQ200" t="e">
        <f>AND(#REF!,"AAAAAEXb9yo=")</f>
        <v>#REF!</v>
      </c>
      <c r="AR200" t="e">
        <f>AND(#REF!,"AAAAAEXb9ys=")</f>
        <v>#REF!</v>
      </c>
      <c r="AS200" t="e">
        <f>AND(#REF!,"AAAAAEXb9yw=")</f>
        <v>#REF!</v>
      </c>
      <c r="AT200" t="e">
        <f>AND(#REF!,"AAAAAEXb9y0=")</f>
        <v>#REF!</v>
      </c>
      <c r="AU200" t="e">
        <f>AND(#REF!,"AAAAAEXb9y4=")</f>
        <v>#REF!</v>
      </c>
      <c r="AV200" t="e">
        <f>AND(#REF!,"AAAAAEXb9y8=")</f>
        <v>#REF!</v>
      </c>
      <c r="AW200" t="e">
        <f>IF(#REF!,"AAAAAEXb9zA=",0)</f>
        <v>#REF!</v>
      </c>
      <c r="AX200" t="e">
        <f>AND(#REF!,"AAAAAEXb9zE=")</f>
        <v>#REF!</v>
      </c>
      <c r="AY200" t="e">
        <f>AND(#REF!,"AAAAAEXb9zI=")</f>
        <v>#REF!</v>
      </c>
      <c r="AZ200" t="e">
        <f>AND(#REF!,"AAAAAEXb9zM=")</f>
        <v>#REF!</v>
      </c>
      <c r="BA200" t="e">
        <f>AND(#REF!,"AAAAAEXb9zQ=")</f>
        <v>#REF!</v>
      </c>
      <c r="BB200" t="e">
        <f>AND(#REF!,"AAAAAEXb9zU=")</f>
        <v>#REF!</v>
      </c>
      <c r="BC200" t="e">
        <f>AND(#REF!,"AAAAAEXb9zY=")</f>
        <v>#REF!</v>
      </c>
      <c r="BD200" t="e">
        <f>AND(#REF!,"AAAAAEXb9zc=")</f>
        <v>#REF!</v>
      </c>
      <c r="BE200" t="e">
        <f>AND(#REF!,"AAAAAEXb9zg=")</f>
        <v>#REF!</v>
      </c>
      <c r="BF200" t="e">
        <f>AND(#REF!,"AAAAAEXb9zk=")</f>
        <v>#REF!</v>
      </c>
      <c r="BG200" t="e">
        <f>AND(#REF!,"AAAAAEXb9zo=")</f>
        <v>#REF!</v>
      </c>
      <c r="BH200" t="e">
        <f>IF(#REF!,"AAAAAEXb9zs=",0)</f>
        <v>#REF!</v>
      </c>
      <c r="BI200" t="e">
        <f>AND(#REF!,"AAAAAEXb9zw=")</f>
        <v>#REF!</v>
      </c>
      <c r="BJ200" t="e">
        <f>AND(#REF!,"AAAAAEXb9z0=")</f>
        <v>#REF!</v>
      </c>
      <c r="BK200" t="e">
        <f>AND(#REF!,"AAAAAEXb9z4=")</f>
        <v>#REF!</v>
      </c>
      <c r="BL200" t="e">
        <f>AND(#REF!,"AAAAAEXb9z8=")</f>
        <v>#REF!</v>
      </c>
      <c r="BM200" t="e">
        <f>AND(#REF!,"AAAAAEXb90A=")</f>
        <v>#REF!</v>
      </c>
      <c r="BN200" t="e">
        <f>AND(#REF!,"AAAAAEXb90E=")</f>
        <v>#REF!</v>
      </c>
      <c r="BO200" t="e">
        <f>AND(#REF!,"AAAAAEXb90I=")</f>
        <v>#REF!</v>
      </c>
      <c r="BP200" t="e">
        <f>AND(#REF!,"AAAAAEXb90M=")</f>
        <v>#REF!</v>
      </c>
      <c r="BQ200" t="e">
        <f>AND(#REF!,"AAAAAEXb90Q=")</f>
        <v>#REF!</v>
      </c>
      <c r="BR200" t="e">
        <f>AND(#REF!,"AAAAAEXb90U=")</f>
        <v>#REF!</v>
      </c>
      <c r="BS200" t="e">
        <f>IF(#REF!,"AAAAAEXb90Y=",0)</f>
        <v>#REF!</v>
      </c>
      <c r="BT200" t="e">
        <f>AND(#REF!,"AAAAAEXb90c=")</f>
        <v>#REF!</v>
      </c>
      <c r="BU200" t="e">
        <f>AND(#REF!,"AAAAAEXb90g=")</f>
        <v>#REF!</v>
      </c>
      <c r="BV200" t="e">
        <f>AND(#REF!,"AAAAAEXb90k=")</f>
        <v>#REF!</v>
      </c>
      <c r="BW200" t="e">
        <f>AND(#REF!,"AAAAAEXb90o=")</f>
        <v>#REF!</v>
      </c>
      <c r="BX200" t="e">
        <f>AND(#REF!,"AAAAAEXb90s=")</f>
        <v>#REF!</v>
      </c>
      <c r="BY200" t="e">
        <f>AND(#REF!,"AAAAAEXb90w=")</f>
        <v>#REF!</v>
      </c>
      <c r="BZ200" t="e">
        <f>AND(#REF!,"AAAAAEXb900=")</f>
        <v>#REF!</v>
      </c>
      <c r="CA200" t="e">
        <f>AND(#REF!,"AAAAAEXb904=")</f>
        <v>#REF!</v>
      </c>
      <c r="CB200" t="e">
        <f>AND(#REF!,"AAAAAEXb908=")</f>
        <v>#REF!</v>
      </c>
      <c r="CC200" t="e">
        <f>AND(#REF!,"AAAAAEXb91A=")</f>
        <v>#REF!</v>
      </c>
      <c r="CD200" t="e">
        <f>IF(#REF!,"AAAAAEXb91E=",0)</f>
        <v>#REF!</v>
      </c>
      <c r="CE200" t="e">
        <f>AND(#REF!,"AAAAAEXb91I=")</f>
        <v>#REF!</v>
      </c>
      <c r="CF200" t="e">
        <f>AND(#REF!,"AAAAAEXb91M=")</f>
        <v>#REF!</v>
      </c>
      <c r="CG200" t="e">
        <f>AND(#REF!,"AAAAAEXb91Q=")</f>
        <v>#REF!</v>
      </c>
      <c r="CH200" t="e">
        <f>AND(#REF!,"AAAAAEXb91U=")</f>
        <v>#REF!</v>
      </c>
      <c r="CI200" t="e">
        <f>AND(#REF!,"AAAAAEXb91Y=")</f>
        <v>#REF!</v>
      </c>
      <c r="CJ200" t="e">
        <f>AND(#REF!,"AAAAAEXb91c=")</f>
        <v>#REF!</v>
      </c>
      <c r="CK200" t="e">
        <f>AND(#REF!,"AAAAAEXb91g=")</f>
        <v>#REF!</v>
      </c>
      <c r="CL200" t="e">
        <f>AND(#REF!,"AAAAAEXb91k=")</f>
        <v>#REF!</v>
      </c>
      <c r="CM200" t="e">
        <f>AND(#REF!,"AAAAAEXb91o=")</f>
        <v>#REF!</v>
      </c>
      <c r="CN200" t="e">
        <f>AND(#REF!,"AAAAAEXb91s=")</f>
        <v>#REF!</v>
      </c>
      <c r="CO200" t="e">
        <f>IF(#REF!,"AAAAAEXb91w=",0)</f>
        <v>#REF!</v>
      </c>
      <c r="CP200" t="e">
        <f>AND(#REF!,"AAAAAEXb910=")</f>
        <v>#REF!</v>
      </c>
      <c r="CQ200" t="e">
        <f>AND(#REF!,"AAAAAEXb914=")</f>
        <v>#REF!</v>
      </c>
      <c r="CR200" t="e">
        <f>AND(#REF!,"AAAAAEXb918=")</f>
        <v>#REF!</v>
      </c>
      <c r="CS200" t="e">
        <f>AND(#REF!,"AAAAAEXb92A=")</f>
        <v>#REF!</v>
      </c>
      <c r="CT200" t="e">
        <f>AND(#REF!,"AAAAAEXb92E=")</f>
        <v>#REF!</v>
      </c>
      <c r="CU200" t="e">
        <f>AND(#REF!,"AAAAAEXb92I=")</f>
        <v>#REF!</v>
      </c>
      <c r="CV200" t="e">
        <f>AND(#REF!,"AAAAAEXb92M=")</f>
        <v>#REF!</v>
      </c>
      <c r="CW200" t="e">
        <f>AND(#REF!,"AAAAAEXb92Q=")</f>
        <v>#REF!</v>
      </c>
      <c r="CX200" t="e">
        <f>AND(#REF!,"AAAAAEXb92U=")</f>
        <v>#REF!</v>
      </c>
      <c r="CY200" t="e">
        <f>AND(#REF!,"AAAAAEXb92Y=")</f>
        <v>#REF!</v>
      </c>
      <c r="CZ200" t="e">
        <f>IF(#REF!,"AAAAAEXb92c=",0)</f>
        <v>#REF!</v>
      </c>
      <c r="DA200" t="e">
        <f>AND(#REF!,"AAAAAEXb92g=")</f>
        <v>#REF!</v>
      </c>
      <c r="DB200" t="e">
        <f>AND(#REF!,"AAAAAEXb92k=")</f>
        <v>#REF!</v>
      </c>
      <c r="DC200" t="e">
        <f>AND(#REF!,"AAAAAEXb92o=")</f>
        <v>#REF!</v>
      </c>
      <c r="DD200" t="e">
        <f>AND(#REF!,"AAAAAEXb92s=")</f>
        <v>#REF!</v>
      </c>
      <c r="DE200" t="e">
        <f>AND(#REF!,"AAAAAEXb92w=")</f>
        <v>#REF!</v>
      </c>
      <c r="DF200" t="e">
        <f>AND(#REF!,"AAAAAEXb920=")</f>
        <v>#REF!</v>
      </c>
      <c r="DG200" t="e">
        <f>AND(#REF!,"AAAAAEXb924=")</f>
        <v>#REF!</v>
      </c>
      <c r="DH200" t="e">
        <f>AND(#REF!,"AAAAAEXb928=")</f>
        <v>#REF!</v>
      </c>
      <c r="DI200" t="e">
        <f>AND(#REF!,"AAAAAEXb93A=")</f>
        <v>#REF!</v>
      </c>
      <c r="DJ200" t="e">
        <f>AND(#REF!,"AAAAAEXb93E=")</f>
        <v>#REF!</v>
      </c>
      <c r="DK200" t="e">
        <f>IF(#REF!,"AAAAAEXb93I=",0)</f>
        <v>#REF!</v>
      </c>
      <c r="DL200" t="e">
        <f>AND(#REF!,"AAAAAEXb93M=")</f>
        <v>#REF!</v>
      </c>
      <c r="DM200" t="e">
        <f>AND(#REF!,"AAAAAEXb93Q=")</f>
        <v>#REF!</v>
      </c>
      <c r="DN200" t="e">
        <f>AND(#REF!,"AAAAAEXb93U=")</f>
        <v>#REF!</v>
      </c>
      <c r="DO200" t="e">
        <f>AND(#REF!,"AAAAAEXb93Y=")</f>
        <v>#REF!</v>
      </c>
      <c r="DP200" t="e">
        <f>AND(#REF!,"AAAAAEXb93c=")</f>
        <v>#REF!</v>
      </c>
      <c r="DQ200" t="e">
        <f>AND(#REF!,"AAAAAEXb93g=")</f>
        <v>#REF!</v>
      </c>
      <c r="DR200" t="e">
        <f>AND(#REF!,"AAAAAEXb93k=")</f>
        <v>#REF!</v>
      </c>
      <c r="DS200" t="e">
        <f>AND(#REF!,"AAAAAEXb93o=")</f>
        <v>#REF!</v>
      </c>
      <c r="DT200" t="e">
        <f>AND(#REF!,"AAAAAEXb93s=")</f>
        <v>#REF!</v>
      </c>
      <c r="DU200" t="e">
        <f>AND(#REF!,"AAAAAEXb93w=")</f>
        <v>#REF!</v>
      </c>
      <c r="DV200" t="e">
        <f>IF(#REF!,"AAAAAEXb930=",0)</f>
        <v>#REF!</v>
      </c>
      <c r="DW200" t="e">
        <f>AND(#REF!,"AAAAAEXb934=")</f>
        <v>#REF!</v>
      </c>
      <c r="DX200" t="e">
        <f>AND(#REF!,"AAAAAEXb938=")</f>
        <v>#REF!</v>
      </c>
      <c r="DY200" t="e">
        <f>AND(#REF!,"AAAAAEXb94A=")</f>
        <v>#REF!</v>
      </c>
      <c r="DZ200" t="e">
        <f>AND(#REF!,"AAAAAEXb94E=")</f>
        <v>#REF!</v>
      </c>
      <c r="EA200" t="e">
        <f>AND(#REF!,"AAAAAEXb94I=")</f>
        <v>#REF!</v>
      </c>
      <c r="EB200" t="e">
        <f>AND(#REF!,"AAAAAEXb94M=")</f>
        <v>#REF!</v>
      </c>
      <c r="EC200" t="e">
        <f>AND(#REF!,"AAAAAEXb94Q=")</f>
        <v>#REF!</v>
      </c>
      <c r="ED200" t="e">
        <f>AND(#REF!,"AAAAAEXb94U=")</f>
        <v>#REF!</v>
      </c>
      <c r="EE200" t="e">
        <f>AND(#REF!,"AAAAAEXb94Y=")</f>
        <v>#REF!</v>
      </c>
      <c r="EF200" t="e">
        <f>AND(#REF!,"AAAAAEXb94c=")</f>
        <v>#REF!</v>
      </c>
      <c r="EG200" t="e">
        <f>IF(#REF!,"AAAAAEXb94g=",0)</f>
        <v>#REF!</v>
      </c>
      <c r="EH200" t="e">
        <f>AND(#REF!,"AAAAAEXb94k=")</f>
        <v>#REF!</v>
      </c>
      <c r="EI200" t="e">
        <f>AND(#REF!,"AAAAAEXb94o=")</f>
        <v>#REF!</v>
      </c>
      <c r="EJ200" t="e">
        <f>AND(#REF!,"AAAAAEXb94s=")</f>
        <v>#REF!</v>
      </c>
      <c r="EK200" t="e">
        <f>AND(#REF!,"AAAAAEXb94w=")</f>
        <v>#REF!</v>
      </c>
      <c r="EL200" t="e">
        <f>AND(#REF!,"AAAAAEXb940=")</f>
        <v>#REF!</v>
      </c>
      <c r="EM200" t="e">
        <f>AND(#REF!,"AAAAAEXb944=")</f>
        <v>#REF!</v>
      </c>
      <c r="EN200" t="e">
        <f>AND(#REF!,"AAAAAEXb948=")</f>
        <v>#REF!</v>
      </c>
      <c r="EO200" t="e">
        <f>AND(#REF!,"AAAAAEXb95A=")</f>
        <v>#REF!</v>
      </c>
      <c r="EP200" t="e">
        <f>AND(#REF!,"AAAAAEXb95E=")</f>
        <v>#REF!</v>
      </c>
      <c r="EQ200" t="e">
        <f>AND(#REF!,"AAAAAEXb95I=")</f>
        <v>#REF!</v>
      </c>
      <c r="ER200" t="e">
        <f>IF(#REF!,"AAAAAEXb95M=",0)</f>
        <v>#REF!</v>
      </c>
      <c r="ES200" t="e">
        <f>AND(#REF!,"AAAAAEXb95Q=")</f>
        <v>#REF!</v>
      </c>
      <c r="ET200" t="e">
        <f>AND(#REF!,"AAAAAEXb95U=")</f>
        <v>#REF!</v>
      </c>
      <c r="EU200" t="e">
        <f>AND(#REF!,"AAAAAEXb95Y=")</f>
        <v>#REF!</v>
      </c>
      <c r="EV200" t="e">
        <f>AND(#REF!,"AAAAAEXb95c=")</f>
        <v>#REF!</v>
      </c>
      <c r="EW200" t="e">
        <f>AND(#REF!,"AAAAAEXb95g=")</f>
        <v>#REF!</v>
      </c>
      <c r="EX200" t="e">
        <f>AND(#REF!,"AAAAAEXb95k=")</f>
        <v>#REF!</v>
      </c>
      <c r="EY200" t="e">
        <f>AND(#REF!,"AAAAAEXb95o=")</f>
        <v>#REF!</v>
      </c>
      <c r="EZ200" t="e">
        <f>AND(#REF!,"AAAAAEXb95s=")</f>
        <v>#REF!</v>
      </c>
      <c r="FA200" t="e">
        <f>AND(#REF!,"AAAAAEXb95w=")</f>
        <v>#REF!</v>
      </c>
      <c r="FB200" t="e">
        <f>AND(#REF!,"AAAAAEXb950=")</f>
        <v>#REF!</v>
      </c>
      <c r="FC200" t="e">
        <f>IF(#REF!,"AAAAAEXb954=",0)</f>
        <v>#REF!</v>
      </c>
      <c r="FD200" t="e">
        <f>AND(#REF!,"AAAAAEXb958=")</f>
        <v>#REF!</v>
      </c>
      <c r="FE200" t="e">
        <f>AND(#REF!,"AAAAAEXb96A=")</f>
        <v>#REF!</v>
      </c>
      <c r="FF200" t="e">
        <f>AND(#REF!,"AAAAAEXb96E=")</f>
        <v>#REF!</v>
      </c>
      <c r="FG200" t="e">
        <f>AND(#REF!,"AAAAAEXb96I=")</f>
        <v>#REF!</v>
      </c>
      <c r="FH200" t="e">
        <f>AND(#REF!,"AAAAAEXb96M=")</f>
        <v>#REF!</v>
      </c>
      <c r="FI200" t="e">
        <f>AND(#REF!,"AAAAAEXb96Q=")</f>
        <v>#REF!</v>
      </c>
      <c r="FJ200" t="e">
        <f>AND(#REF!,"AAAAAEXb96U=")</f>
        <v>#REF!</v>
      </c>
      <c r="FK200" t="e">
        <f>AND(#REF!,"AAAAAEXb96Y=")</f>
        <v>#REF!</v>
      </c>
      <c r="FL200" t="e">
        <f>AND(#REF!,"AAAAAEXb96c=")</f>
        <v>#REF!</v>
      </c>
      <c r="FM200" t="e">
        <f>AND(#REF!,"AAAAAEXb96g=")</f>
        <v>#REF!</v>
      </c>
      <c r="FN200" t="e">
        <f>IF(#REF!,"AAAAAEXb96k=",0)</f>
        <v>#REF!</v>
      </c>
      <c r="FO200" t="e">
        <f>AND(#REF!,"AAAAAEXb96o=")</f>
        <v>#REF!</v>
      </c>
      <c r="FP200" t="e">
        <f>AND(#REF!,"AAAAAEXb96s=")</f>
        <v>#REF!</v>
      </c>
      <c r="FQ200" t="e">
        <f>AND(#REF!,"AAAAAEXb96w=")</f>
        <v>#REF!</v>
      </c>
      <c r="FR200" t="e">
        <f>AND(#REF!,"AAAAAEXb960=")</f>
        <v>#REF!</v>
      </c>
      <c r="FS200" t="e">
        <f>AND(#REF!,"AAAAAEXb964=")</f>
        <v>#REF!</v>
      </c>
      <c r="FT200" t="e">
        <f>AND(#REF!,"AAAAAEXb968=")</f>
        <v>#REF!</v>
      </c>
      <c r="FU200" t="e">
        <f>AND(#REF!,"AAAAAEXb97A=")</f>
        <v>#REF!</v>
      </c>
      <c r="FV200" t="e">
        <f>AND(#REF!,"AAAAAEXb97E=")</f>
        <v>#REF!</v>
      </c>
      <c r="FW200" t="e">
        <f>AND(#REF!,"AAAAAEXb97I=")</f>
        <v>#REF!</v>
      </c>
      <c r="FX200" t="e">
        <f>AND(#REF!,"AAAAAEXb97M=")</f>
        <v>#REF!</v>
      </c>
      <c r="FY200" t="e">
        <f>IF(#REF!,"AAAAAEXb97Q=",0)</f>
        <v>#REF!</v>
      </c>
      <c r="FZ200" t="e">
        <f>AND(#REF!,"AAAAAEXb97U=")</f>
        <v>#REF!</v>
      </c>
      <c r="GA200" t="e">
        <f>AND(#REF!,"AAAAAEXb97Y=")</f>
        <v>#REF!</v>
      </c>
      <c r="GB200" t="e">
        <f>AND(#REF!,"AAAAAEXb97c=")</f>
        <v>#REF!</v>
      </c>
      <c r="GC200" t="e">
        <f>AND(#REF!,"AAAAAEXb97g=")</f>
        <v>#REF!</v>
      </c>
      <c r="GD200" t="e">
        <f>AND(#REF!,"AAAAAEXb97k=")</f>
        <v>#REF!</v>
      </c>
      <c r="GE200" t="e">
        <f>AND(#REF!,"AAAAAEXb97o=")</f>
        <v>#REF!</v>
      </c>
      <c r="GF200" t="e">
        <f>AND(#REF!,"AAAAAEXb97s=")</f>
        <v>#REF!</v>
      </c>
      <c r="GG200" t="e">
        <f>AND(#REF!,"AAAAAEXb97w=")</f>
        <v>#REF!</v>
      </c>
      <c r="GH200" t="e">
        <f>AND(#REF!,"AAAAAEXb970=")</f>
        <v>#REF!</v>
      </c>
      <c r="GI200" t="e">
        <f>AND(#REF!,"AAAAAEXb974=")</f>
        <v>#REF!</v>
      </c>
      <c r="GJ200" t="e">
        <f>IF(#REF!,"AAAAAEXb978=",0)</f>
        <v>#REF!</v>
      </c>
      <c r="GK200" t="e">
        <f>AND(#REF!,"AAAAAEXb98A=")</f>
        <v>#REF!</v>
      </c>
      <c r="GL200" t="e">
        <f>AND(#REF!,"AAAAAEXb98E=")</f>
        <v>#REF!</v>
      </c>
      <c r="GM200" t="e">
        <f>AND(#REF!,"AAAAAEXb98I=")</f>
        <v>#REF!</v>
      </c>
      <c r="GN200" t="e">
        <f>AND(#REF!,"AAAAAEXb98M=")</f>
        <v>#REF!</v>
      </c>
      <c r="GO200" t="e">
        <f>AND(#REF!,"AAAAAEXb98Q=")</f>
        <v>#REF!</v>
      </c>
      <c r="GP200" t="e">
        <f>AND(#REF!,"AAAAAEXb98U=")</f>
        <v>#REF!</v>
      </c>
      <c r="GQ200" t="e">
        <f>AND(#REF!,"AAAAAEXb98Y=")</f>
        <v>#REF!</v>
      </c>
      <c r="GR200" t="e">
        <f>AND(#REF!,"AAAAAEXb98c=")</f>
        <v>#REF!</v>
      </c>
      <c r="GS200" t="e">
        <f>AND(#REF!,"AAAAAEXb98g=")</f>
        <v>#REF!</v>
      </c>
      <c r="GT200" t="e">
        <f>AND(#REF!,"AAAAAEXb98k=")</f>
        <v>#REF!</v>
      </c>
      <c r="GU200" t="e">
        <f>IF(#REF!,"AAAAAEXb98o=",0)</f>
        <v>#REF!</v>
      </c>
      <c r="GV200" t="e">
        <f>AND(#REF!,"AAAAAEXb98s=")</f>
        <v>#REF!</v>
      </c>
      <c r="GW200" t="e">
        <f>AND(#REF!,"AAAAAEXb98w=")</f>
        <v>#REF!</v>
      </c>
      <c r="GX200" t="e">
        <f>AND(#REF!,"AAAAAEXb980=")</f>
        <v>#REF!</v>
      </c>
      <c r="GY200" t="e">
        <f>AND(#REF!,"AAAAAEXb984=")</f>
        <v>#REF!</v>
      </c>
      <c r="GZ200" t="e">
        <f>AND(#REF!,"AAAAAEXb988=")</f>
        <v>#REF!</v>
      </c>
      <c r="HA200" t="e">
        <f>AND(#REF!,"AAAAAEXb99A=")</f>
        <v>#REF!</v>
      </c>
      <c r="HB200" t="e">
        <f>AND(#REF!,"AAAAAEXb99E=")</f>
        <v>#REF!</v>
      </c>
      <c r="HC200" t="e">
        <f>AND(#REF!,"AAAAAEXb99I=")</f>
        <v>#REF!</v>
      </c>
      <c r="HD200" t="e">
        <f>AND(#REF!,"AAAAAEXb99M=")</f>
        <v>#REF!</v>
      </c>
      <c r="HE200" t="e">
        <f>AND(#REF!,"AAAAAEXb99Q=")</f>
        <v>#REF!</v>
      </c>
      <c r="HF200" t="e">
        <f>IF(#REF!,"AAAAAEXb99U=",0)</f>
        <v>#REF!</v>
      </c>
      <c r="HG200" t="e">
        <f>AND(#REF!,"AAAAAEXb99Y=")</f>
        <v>#REF!</v>
      </c>
      <c r="HH200" t="e">
        <f>AND(#REF!,"AAAAAEXb99c=")</f>
        <v>#REF!</v>
      </c>
      <c r="HI200" t="e">
        <f>AND(#REF!,"AAAAAEXb99g=")</f>
        <v>#REF!</v>
      </c>
      <c r="HJ200" t="e">
        <f>AND(#REF!,"AAAAAEXb99k=")</f>
        <v>#REF!</v>
      </c>
      <c r="HK200" t="e">
        <f>AND(#REF!,"AAAAAEXb99o=")</f>
        <v>#REF!</v>
      </c>
      <c r="HL200" t="e">
        <f>AND(#REF!,"AAAAAEXb99s=")</f>
        <v>#REF!</v>
      </c>
      <c r="HM200" t="e">
        <f>AND(#REF!,"AAAAAEXb99w=")</f>
        <v>#REF!</v>
      </c>
      <c r="HN200" t="e">
        <f>AND(#REF!,"AAAAAEXb990=")</f>
        <v>#REF!</v>
      </c>
      <c r="HO200" t="e">
        <f>AND(#REF!,"AAAAAEXb994=")</f>
        <v>#REF!</v>
      </c>
      <c r="HP200" t="e">
        <f>AND(#REF!,"AAAAAEXb998=")</f>
        <v>#REF!</v>
      </c>
      <c r="HQ200" t="e">
        <f>IF(#REF!,"AAAAAEXb9+A=",0)</f>
        <v>#REF!</v>
      </c>
      <c r="HR200" t="e">
        <f>AND(#REF!,"AAAAAEXb9+E=")</f>
        <v>#REF!</v>
      </c>
      <c r="HS200" t="e">
        <f>AND(#REF!,"AAAAAEXb9+I=")</f>
        <v>#REF!</v>
      </c>
      <c r="HT200" t="e">
        <f>AND(#REF!,"AAAAAEXb9+M=")</f>
        <v>#REF!</v>
      </c>
      <c r="HU200" t="e">
        <f>AND(#REF!,"AAAAAEXb9+Q=")</f>
        <v>#REF!</v>
      </c>
      <c r="HV200" t="e">
        <f>AND(#REF!,"AAAAAEXb9+U=")</f>
        <v>#REF!</v>
      </c>
      <c r="HW200" t="e">
        <f>AND(#REF!,"AAAAAEXb9+Y=")</f>
        <v>#REF!</v>
      </c>
      <c r="HX200" t="e">
        <f>AND(#REF!,"AAAAAEXb9+c=")</f>
        <v>#REF!</v>
      </c>
      <c r="HY200" t="e">
        <f>AND(#REF!,"AAAAAEXb9+g=")</f>
        <v>#REF!</v>
      </c>
      <c r="HZ200" t="e">
        <f>AND(#REF!,"AAAAAEXb9+k=")</f>
        <v>#REF!</v>
      </c>
      <c r="IA200" t="e">
        <f>AND(#REF!,"AAAAAEXb9+o=")</f>
        <v>#REF!</v>
      </c>
      <c r="IB200" t="e">
        <f>IF(#REF!,"AAAAAEXb9+s=",0)</f>
        <v>#REF!</v>
      </c>
      <c r="IC200" t="e">
        <f>AND(#REF!,"AAAAAEXb9+w=")</f>
        <v>#REF!</v>
      </c>
      <c r="ID200" t="e">
        <f>AND(#REF!,"AAAAAEXb9+0=")</f>
        <v>#REF!</v>
      </c>
      <c r="IE200" t="e">
        <f>AND(#REF!,"AAAAAEXb9+4=")</f>
        <v>#REF!</v>
      </c>
      <c r="IF200" t="e">
        <f>AND(#REF!,"AAAAAEXb9+8=")</f>
        <v>#REF!</v>
      </c>
      <c r="IG200" t="e">
        <f>AND(#REF!,"AAAAAEXb9/A=")</f>
        <v>#REF!</v>
      </c>
      <c r="IH200" t="e">
        <f>AND(#REF!,"AAAAAEXb9/E=")</f>
        <v>#REF!</v>
      </c>
      <c r="II200" t="e">
        <f>AND(#REF!,"AAAAAEXb9/I=")</f>
        <v>#REF!</v>
      </c>
      <c r="IJ200" t="e">
        <f>AND(#REF!,"AAAAAEXb9/M=")</f>
        <v>#REF!</v>
      </c>
      <c r="IK200" t="e">
        <f>AND(#REF!,"AAAAAEXb9/Q=")</f>
        <v>#REF!</v>
      </c>
      <c r="IL200" t="e">
        <f>AND(#REF!,"AAAAAEXb9/U=")</f>
        <v>#REF!</v>
      </c>
      <c r="IM200" t="e">
        <f>IF(#REF!,"AAAAAEXb9/Y=",0)</f>
        <v>#REF!</v>
      </c>
      <c r="IN200" t="e">
        <f>AND(#REF!,"AAAAAEXb9/c=")</f>
        <v>#REF!</v>
      </c>
      <c r="IO200" t="e">
        <f>AND(#REF!,"AAAAAEXb9/g=")</f>
        <v>#REF!</v>
      </c>
      <c r="IP200" t="e">
        <f>AND(#REF!,"AAAAAEXb9/k=")</f>
        <v>#REF!</v>
      </c>
      <c r="IQ200" t="e">
        <f>AND(#REF!,"AAAAAEXb9/o=")</f>
        <v>#REF!</v>
      </c>
      <c r="IR200" t="e">
        <f>AND(#REF!,"AAAAAEXb9/s=")</f>
        <v>#REF!</v>
      </c>
      <c r="IS200" t="e">
        <f>AND(#REF!,"AAAAAEXb9/w=")</f>
        <v>#REF!</v>
      </c>
      <c r="IT200" t="e">
        <f>AND(#REF!,"AAAAAEXb9/0=")</f>
        <v>#REF!</v>
      </c>
      <c r="IU200" t="e">
        <f>AND(#REF!,"AAAAAEXb9/4=")</f>
        <v>#REF!</v>
      </c>
      <c r="IV200" t="e">
        <f>AND(#REF!,"AAAAAEXb9/8=")</f>
        <v>#REF!</v>
      </c>
    </row>
    <row r="201" spans="1:256" x14ac:dyDescent="0.25">
      <c r="A201" t="e">
        <f>AND(#REF!,"AAAAAHp/9AA=")</f>
        <v>#REF!</v>
      </c>
      <c r="B201" t="e">
        <f>IF(#REF!,"AAAAAHp/9AE=",0)</f>
        <v>#REF!</v>
      </c>
      <c r="C201" t="e">
        <f>AND(#REF!,"AAAAAHp/9AI=")</f>
        <v>#REF!</v>
      </c>
      <c r="D201" t="e">
        <f>AND(#REF!,"AAAAAHp/9AM=")</f>
        <v>#REF!</v>
      </c>
      <c r="E201" t="e">
        <f>AND(#REF!,"AAAAAHp/9AQ=")</f>
        <v>#REF!</v>
      </c>
      <c r="F201" t="e">
        <f>AND(#REF!,"AAAAAHp/9AU=")</f>
        <v>#REF!</v>
      </c>
      <c r="G201" t="e">
        <f>AND(#REF!,"AAAAAHp/9AY=")</f>
        <v>#REF!</v>
      </c>
      <c r="H201" t="e">
        <f>AND(#REF!,"AAAAAHp/9Ac=")</f>
        <v>#REF!</v>
      </c>
      <c r="I201" t="e">
        <f>AND(#REF!,"AAAAAHp/9Ag=")</f>
        <v>#REF!</v>
      </c>
      <c r="J201" t="e">
        <f>AND(#REF!,"AAAAAHp/9Ak=")</f>
        <v>#REF!</v>
      </c>
      <c r="K201" t="e">
        <f>AND(#REF!,"AAAAAHp/9Ao=")</f>
        <v>#REF!</v>
      </c>
      <c r="L201" t="e">
        <f>AND(#REF!,"AAAAAHp/9As=")</f>
        <v>#REF!</v>
      </c>
      <c r="M201" t="e">
        <f>IF(#REF!,"AAAAAHp/9Aw=",0)</f>
        <v>#REF!</v>
      </c>
      <c r="N201" t="e">
        <f>AND(#REF!,"AAAAAHp/9A0=")</f>
        <v>#REF!</v>
      </c>
      <c r="O201" t="e">
        <f>AND(#REF!,"AAAAAHp/9A4=")</f>
        <v>#REF!</v>
      </c>
      <c r="P201" t="e">
        <f>AND(#REF!,"AAAAAHp/9A8=")</f>
        <v>#REF!</v>
      </c>
      <c r="Q201" t="e">
        <f>AND(#REF!,"AAAAAHp/9BA=")</f>
        <v>#REF!</v>
      </c>
      <c r="R201" t="e">
        <f>AND(#REF!,"AAAAAHp/9BE=")</f>
        <v>#REF!</v>
      </c>
      <c r="S201" t="e">
        <f>AND(#REF!,"AAAAAHp/9BI=")</f>
        <v>#REF!</v>
      </c>
      <c r="T201" t="e">
        <f>AND(#REF!,"AAAAAHp/9BM=")</f>
        <v>#REF!</v>
      </c>
      <c r="U201" t="e">
        <f>AND(#REF!,"AAAAAHp/9BQ=")</f>
        <v>#REF!</v>
      </c>
      <c r="V201" t="e">
        <f>AND(#REF!,"AAAAAHp/9BU=")</f>
        <v>#REF!</v>
      </c>
      <c r="W201" t="e">
        <f>AND(#REF!,"AAAAAHp/9BY=")</f>
        <v>#REF!</v>
      </c>
      <c r="X201" t="e">
        <f>IF(#REF!,"AAAAAHp/9Bc=",0)</f>
        <v>#REF!</v>
      </c>
      <c r="Y201" t="e">
        <f>AND(#REF!,"AAAAAHp/9Bg=")</f>
        <v>#REF!</v>
      </c>
      <c r="Z201" t="e">
        <f>AND(#REF!,"AAAAAHp/9Bk=")</f>
        <v>#REF!</v>
      </c>
      <c r="AA201" t="e">
        <f>AND(#REF!,"AAAAAHp/9Bo=")</f>
        <v>#REF!</v>
      </c>
      <c r="AB201" t="e">
        <f>AND(#REF!,"AAAAAHp/9Bs=")</f>
        <v>#REF!</v>
      </c>
      <c r="AC201" t="e">
        <f>AND(#REF!,"AAAAAHp/9Bw=")</f>
        <v>#REF!</v>
      </c>
      <c r="AD201" t="e">
        <f>AND(#REF!,"AAAAAHp/9B0=")</f>
        <v>#REF!</v>
      </c>
      <c r="AE201" t="e">
        <f>AND(#REF!,"AAAAAHp/9B4=")</f>
        <v>#REF!</v>
      </c>
      <c r="AF201" t="e">
        <f>AND(#REF!,"AAAAAHp/9B8=")</f>
        <v>#REF!</v>
      </c>
      <c r="AG201" t="e">
        <f>AND(#REF!,"AAAAAHp/9CA=")</f>
        <v>#REF!</v>
      </c>
      <c r="AH201" t="e">
        <f>AND(#REF!,"AAAAAHp/9CE=")</f>
        <v>#REF!</v>
      </c>
      <c r="AI201" t="e">
        <f>IF(#REF!,"AAAAAHp/9CI=",0)</f>
        <v>#REF!</v>
      </c>
      <c r="AJ201" t="e">
        <f>AND(#REF!,"AAAAAHp/9CM=")</f>
        <v>#REF!</v>
      </c>
      <c r="AK201" t="e">
        <f>AND(#REF!,"AAAAAHp/9CQ=")</f>
        <v>#REF!</v>
      </c>
      <c r="AL201" t="e">
        <f>AND(#REF!,"AAAAAHp/9CU=")</f>
        <v>#REF!</v>
      </c>
      <c r="AM201" t="e">
        <f>AND(#REF!,"AAAAAHp/9CY=")</f>
        <v>#REF!</v>
      </c>
      <c r="AN201" t="e">
        <f>AND(#REF!,"AAAAAHp/9Cc=")</f>
        <v>#REF!</v>
      </c>
      <c r="AO201" t="e">
        <f>AND(#REF!,"AAAAAHp/9Cg=")</f>
        <v>#REF!</v>
      </c>
      <c r="AP201" t="e">
        <f>AND(#REF!,"AAAAAHp/9Ck=")</f>
        <v>#REF!</v>
      </c>
      <c r="AQ201" t="e">
        <f>AND(#REF!,"AAAAAHp/9Co=")</f>
        <v>#REF!</v>
      </c>
      <c r="AR201" t="e">
        <f>AND(#REF!,"AAAAAHp/9Cs=")</f>
        <v>#REF!</v>
      </c>
      <c r="AS201" t="e">
        <f>AND(#REF!,"AAAAAHp/9Cw=")</f>
        <v>#REF!</v>
      </c>
      <c r="AT201" t="e">
        <f>IF(#REF!,"AAAAAHp/9C0=",0)</f>
        <v>#REF!</v>
      </c>
      <c r="AU201" t="e">
        <f>AND(#REF!,"AAAAAHp/9C4=")</f>
        <v>#REF!</v>
      </c>
      <c r="AV201" t="e">
        <f>AND(#REF!,"AAAAAHp/9C8=")</f>
        <v>#REF!</v>
      </c>
      <c r="AW201" t="e">
        <f>AND(#REF!,"AAAAAHp/9DA=")</f>
        <v>#REF!</v>
      </c>
      <c r="AX201" t="e">
        <f>AND(#REF!,"AAAAAHp/9DE=")</f>
        <v>#REF!</v>
      </c>
      <c r="AY201" t="e">
        <f>AND(#REF!,"AAAAAHp/9DI=")</f>
        <v>#REF!</v>
      </c>
      <c r="AZ201" t="e">
        <f>AND(#REF!,"AAAAAHp/9DM=")</f>
        <v>#REF!</v>
      </c>
      <c r="BA201" t="e">
        <f>AND(#REF!,"AAAAAHp/9DQ=")</f>
        <v>#REF!</v>
      </c>
      <c r="BB201" t="e">
        <f>AND(#REF!,"AAAAAHp/9DU=")</f>
        <v>#REF!</v>
      </c>
      <c r="BC201" t="e">
        <f>AND(#REF!,"AAAAAHp/9DY=")</f>
        <v>#REF!</v>
      </c>
      <c r="BD201" t="e">
        <f>AND(#REF!,"AAAAAHp/9Dc=")</f>
        <v>#REF!</v>
      </c>
      <c r="BE201" t="e">
        <f>IF(#REF!,"AAAAAHp/9Dg=",0)</f>
        <v>#REF!</v>
      </c>
      <c r="BF201" t="e">
        <f>AND(#REF!,"AAAAAHp/9Dk=")</f>
        <v>#REF!</v>
      </c>
      <c r="BG201" t="e">
        <f>AND(#REF!,"AAAAAHp/9Do=")</f>
        <v>#REF!</v>
      </c>
      <c r="BH201" t="e">
        <f>AND(#REF!,"AAAAAHp/9Ds=")</f>
        <v>#REF!</v>
      </c>
      <c r="BI201" t="e">
        <f>AND(#REF!,"AAAAAHp/9Dw=")</f>
        <v>#REF!</v>
      </c>
      <c r="BJ201" t="e">
        <f>AND(#REF!,"AAAAAHp/9D0=")</f>
        <v>#REF!</v>
      </c>
      <c r="BK201" t="e">
        <f>AND(#REF!,"AAAAAHp/9D4=")</f>
        <v>#REF!</v>
      </c>
      <c r="BL201" t="e">
        <f>AND(#REF!,"AAAAAHp/9D8=")</f>
        <v>#REF!</v>
      </c>
      <c r="BM201" t="e">
        <f>AND(#REF!,"AAAAAHp/9EA=")</f>
        <v>#REF!</v>
      </c>
      <c r="BN201" t="e">
        <f>AND(#REF!,"AAAAAHp/9EE=")</f>
        <v>#REF!</v>
      </c>
      <c r="BO201" t="e">
        <f>AND(#REF!,"AAAAAHp/9EI=")</f>
        <v>#REF!</v>
      </c>
      <c r="BP201" t="e">
        <f>IF(#REF!,"AAAAAHp/9EM=",0)</f>
        <v>#REF!</v>
      </c>
      <c r="BQ201" t="e">
        <f>AND(#REF!,"AAAAAHp/9EQ=")</f>
        <v>#REF!</v>
      </c>
      <c r="BR201" t="e">
        <f>AND(#REF!,"AAAAAHp/9EU=")</f>
        <v>#REF!</v>
      </c>
      <c r="BS201" t="e">
        <f>AND(#REF!,"AAAAAHp/9EY=")</f>
        <v>#REF!</v>
      </c>
      <c r="BT201" t="e">
        <f>AND(#REF!,"AAAAAHp/9Ec=")</f>
        <v>#REF!</v>
      </c>
      <c r="BU201" t="e">
        <f>AND(#REF!,"AAAAAHp/9Eg=")</f>
        <v>#REF!</v>
      </c>
      <c r="BV201" t="e">
        <f>AND(#REF!,"AAAAAHp/9Ek=")</f>
        <v>#REF!</v>
      </c>
      <c r="BW201" t="e">
        <f>AND(#REF!,"AAAAAHp/9Eo=")</f>
        <v>#REF!</v>
      </c>
      <c r="BX201" t="e">
        <f>AND(#REF!,"AAAAAHp/9Es=")</f>
        <v>#REF!</v>
      </c>
      <c r="BY201" t="e">
        <f>AND(#REF!,"AAAAAHp/9Ew=")</f>
        <v>#REF!</v>
      </c>
      <c r="BZ201" t="e">
        <f>AND(#REF!,"AAAAAHp/9E0=")</f>
        <v>#REF!</v>
      </c>
      <c r="CA201" t="e">
        <f>IF(#REF!,"AAAAAHp/9E4=",0)</f>
        <v>#REF!</v>
      </c>
      <c r="CB201" t="e">
        <f>AND(#REF!,"AAAAAHp/9E8=")</f>
        <v>#REF!</v>
      </c>
      <c r="CC201" t="e">
        <f>AND(#REF!,"AAAAAHp/9FA=")</f>
        <v>#REF!</v>
      </c>
      <c r="CD201" t="e">
        <f>AND(#REF!,"AAAAAHp/9FE=")</f>
        <v>#REF!</v>
      </c>
      <c r="CE201" t="e">
        <f>AND(#REF!,"AAAAAHp/9FI=")</f>
        <v>#REF!</v>
      </c>
      <c r="CF201" t="e">
        <f>AND(#REF!,"AAAAAHp/9FM=")</f>
        <v>#REF!</v>
      </c>
      <c r="CG201" t="e">
        <f>AND(#REF!,"AAAAAHp/9FQ=")</f>
        <v>#REF!</v>
      </c>
      <c r="CH201" t="e">
        <f>AND(#REF!,"AAAAAHp/9FU=")</f>
        <v>#REF!</v>
      </c>
      <c r="CI201" t="e">
        <f>AND(#REF!,"AAAAAHp/9FY=")</f>
        <v>#REF!</v>
      </c>
      <c r="CJ201" t="e">
        <f>AND(#REF!,"AAAAAHp/9Fc=")</f>
        <v>#REF!</v>
      </c>
      <c r="CK201" t="e">
        <f>AND(#REF!,"AAAAAHp/9Fg=")</f>
        <v>#REF!</v>
      </c>
      <c r="CL201" t="e">
        <f>IF(#REF!,"AAAAAHp/9Fk=",0)</f>
        <v>#REF!</v>
      </c>
      <c r="CM201" t="e">
        <f>AND(#REF!,"AAAAAHp/9Fo=")</f>
        <v>#REF!</v>
      </c>
      <c r="CN201" t="e">
        <f>AND(#REF!,"AAAAAHp/9Fs=")</f>
        <v>#REF!</v>
      </c>
      <c r="CO201" t="e">
        <f>AND(#REF!,"AAAAAHp/9Fw=")</f>
        <v>#REF!</v>
      </c>
      <c r="CP201" t="e">
        <f>AND(#REF!,"AAAAAHp/9F0=")</f>
        <v>#REF!</v>
      </c>
      <c r="CQ201" t="e">
        <f>AND(#REF!,"AAAAAHp/9F4=")</f>
        <v>#REF!</v>
      </c>
      <c r="CR201" t="e">
        <f>AND(#REF!,"AAAAAHp/9F8=")</f>
        <v>#REF!</v>
      </c>
      <c r="CS201" t="e">
        <f>AND(#REF!,"AAAAAHp/9GA=")</f>
        <v>#REF!</v>
      </c>
      <c r="CT201" t="e">
        <f>AND(#REF!,"AAAAAHp/9GE=")</f>
        <v>#REF!</v>
      </c>
      <c r="CU201" t="e">
        <f>AND(#REF!,"AAAAAHp/9GI=")</f>
        <v>#REF!</v>
      </c>
      <c r="CV201" t="e">
        <f>AND(#REF!,"AAAAAHp/9GM=")</f>
        <v>#REF!</v>
      </c>
      <c r="CW201" t="e">
        <f>IF(#REF!,"AAAAAHp/9GQ=",0)</f>
        <v>#REF!</v>
      </c>
      <c r="CX201" t="e">
        <f>AND(#REF!,"AAAAAHp/9GU=")</f>
        <v>#REF!</v>
      </c>
      <c r="CY201" t="e">
        <f>AND(#REF!,"AAAAAHp/9GY=")</f>
        <v>#REF!</v>
      </c>
      <c r="CZ201" t="e">
        <f>AND(#REF!,"AAAAAHp/9Gc=")</f>
        <v>#REF!</v>
      </c>
      <c r="DA201" t="e">
        <f>AND(#REF!,"AAAAAHp/9Gg=")</f>
        <v>#REF!</v>
      </c>
      <c r="DB201" t="e">
        <f>AND(#REF!,"AAAAAHp/9Gk=")</f>
        <v>#REF!</v>
      </c>
      <c r="DC201" t="e">
        <f>AND(#REF!,"AAAAAHp/9Go=")</f>
        <v>#REF!</v>
      </c>
      <c r="DD201" t="e">
        <f>AND(#REF!,"AAAAAHp/9Gs=")</f>
        <v>#REF!</v>
      </c>
      <c r="DE201" t="e">
        <f>AND(#REF!,"AAAAAHp/9Gw=")</f>
        <v>#REF!</v>
      </c>
      <c r="DF201" t="e">
        <f>AND(#REF!,"AAAAAHp/9G0=")</f>
        <v>#REF!</v>
      </c>
      <c r="DG201" t="e">
        <f>AND(#REF!,"AAAAAHp/9G4=")</f>
        <v>#REF!</v>
      </c>
      <c r="DH201" t="e">
        <f>IF(#REF!,"AAAAAHp/9G8=",0)</f>
        <v>#REF!</v>
      </c>
      <c r="DI201" t="e">
        <f>AND(#REF!,"AAAAAHp/9HA=")</f>
        <v>#REF!</v>
      </c>
      <c r="DJ201" t="e">
        <f>AND(#REF!,"AAAAAHp/9HE=")</f>
        <v>#REF!</v>
      </c>
      <c r="DK201" t="e">
        <f>AND(#REF!,"AAAAAHp/9HI=")</f>
        <v>#REF!</v>
      </c>
      <c r="DL201" t="e">
        <f>AND(#REF!,"AAAAAHp/9HM=")</f>
        <v>#REF!</v>
      </c>
      <c r="DM201" t="e">
        <f>AND(#REF!,"AAAAAHp/9HQ=")</f>
        <v>#REF!</v>
      </c>
      <c r="DN201" t="e">
        <f>AND(#REF!,"AAAAAHp/9HU=")</f>
        <v>#REF!</v>
      </c>
      <c r="DO201" t="e">
        <f>AND(#REF!,"AAAAAHp/9HY=")</f>
        <v>#REF!</v>
      </c>
      <c r="DP201" t="e">
        <f>AND(#REF!,"AAAAAHp/9Hc=")</f>
        <v>#REF!</v>
      </c>
      <c r="DQ201" t="e">
        <f>AND(#REF!,"AAAAAHp/9Hg=")</f>
        <v>#REF!</v>
      </c>
      <c r="DR201" t="e">
        <f>AND(#REF!,"AAAAAHp/9Hk=")</f>
        <v>#REF!</v>
      </c>
      <c r="DS201" t="e">
        <f>IF(#REF!,"AAAAAHp/9Ho=",0)</f>
        <v>#REF!</v>
      </c>
      <c r="DT201" t="e">
        <f>AND(#REF!,"AAAAAHp/9Hs=")</f>
        <v>#REF!</v>
      </c>
      <c r="DU201" t="e">
        <f>AND(#REF!,"AAAAAHp/9Hw=")</f>
        <v>#REF!</v>
      </c>
      <c r="DV201" t="e">
        <f>AND(#REF!,"AAAAAHp/9H0=")</f>
        <v>#REF!</v>
      </c>
      <c r="DW201" t="e">
        <f>AND(#REF!,"AAAAAHp/9H4=")</f>
        <v>#REF!</v>
      </c>
      <c r="DX201" t="e">
        <f>AND(#REF!,"AAAAAHp/9H8=")</f>
        <v>#REF!</v>
      </c>
      <c r="DY201" t="e">
        <f>AND(#REF!,"AAAAAHp/9IA=")</f>
        <v>#REF!</v>
      </c>
      <c r="DZ201" t="e">
        <f>AND(#REF!,"AAAAAHp/9IE=")</f>
        <v>#REF!</v>
      </c>
      <c r="EA201" t="e">
        <f>AND(#REF!,"AAAAAHp/9II=")</f>
        <v>#REF!</v>
      </c>
      <c r="EB201" t="e">
        <f>AND(#REF!,"AAAAAHp/9IM=")</f>
        <v>#REF!</v>
      </c>
      <c r="EC201" t="e">
        <f>AND(#REF!,"AAAAAHp/9IQ=")</f>
        <v>#REF!</v>
      </c>
      <c r="ED201" t="e">
        <f>IF(#REF!,"AAAAAHp/9IU=",0)</f>
        <v>#REF!</v>
      </c>
      <c r="EE201" t="e">
        <f>AND(#REF!,"AAAAAHp/9IY=")</f>
        <v>#REF!</v>
      </c>
      <c r="EF201" t="e">
        <f>AND(#REF!,"AAAAAHp/9Ic=")</f>
        <v>#REF!</v>
      </c>
      <c r="EG201" t="e">
        <f>AND(#REF!,"AAAAAHp/9Ig=")</f>
        <v>#REF!</v>
      </c>
      <c r="EH201" t="e">
        <f>AND(#REF!,"AAAAAHp/9Ik=")</f>
        <v>#REF!</v>
      </c>
      <c r="EI201" t="e">
        <f>AND(#REF!,"AAAAAHp/9Io=")</f>
        <v>#REF!</v>
      </c>
      <c r="EJ201" t="e">
        <f>AND(#REF!,"AAAAAHp/9Is=")</f>
        <v>#REF!</v>
      </c>
      <c r="EK201" t="e">
        <f>AND(#REF!,"AAAAAHp/9Iw=")</f>
        <v>#REF!</v>
      </c>
      <c r="EL201" t="e">
        <f>AND(#REF!,"AAAAAHp/9I0=")</f>
        <v>#REF!</v>
      </c>
      <c r="EM201" t="e">
        <f>AND(#REF!,"AAAAAHp/9I4=")</f>
        <v>#REF!</v>
      </c>
      <c r="EN201" t="e">
        <f>AND(#REF!,"AAAAAHp/9I8=")</f>
        <v>#REF!</v>
      </c>
      <c r="EO201" t="e">
        <f>IF(#REF!,"AAAAAHp/9JA=",0)</f>
        <v>#REF!</v>
      </c>
      <c r="EP201" t="e">
        <f>AND(#REF!,"AAAAAHp/9JE=")</f>
        <v>#REF!</v>
      </c>
      <c r="EQ201" t="e">
        <f>AND(#REF!,"AAAAAHp/9JI=")</f>
        <v>#REF!</v>
      </c>
      <c r="ER201" t="e">
        <f>AND(#REF!,"AAAAAHp/9JM=")</f>
        <v>#REF!</v>
      </c>
      <c r="ES201" t="e">
        <f>AND(#REF!,"AAAAAHp/9JQ=")</f>
        <v>#REF!</v>
      </c>
      <c r="ET201" t="e">
        <f>AND(#REF!,"AAAAAHp/9JU=")</f>
        <v>#REF!</v>
      </c>
      <c r="EU201" t="e">
        <f>AND(#REF!,"AAAAAHp/9JY=")</f>
        <v>#REF!</v>
      </c>
      <c r="EV201" t="e">
        <f>AND(#REF!,"AAAAAHp/9Jc=")</f>
        <v>#REF!</v>
      </c>
      <c r="EW201" t="e">
        <f>AND(#REF!,"AAAAAHp/9Jg=")</f>
        <v>#REF!</v>
      </c>
      <c r="EX201" t="e">
        <f>AND(#REF!,"AAAAAHp/9Jk=")</f>
        <v>#REF!</v>
      </c>
      <c r="EY201" t="e">
        <f>AND(#REF!,"AAAAAHp/9Jo=")</f>
        <v>#REF!</v>
      </c>
      <c r="EZ201" t="e">
        <f>IF(#REF!,"AAAAAHp/9Js=",0)</f>
        <v>#REF!</v>
      </c>
      <c r="FA201" t="e">
        <f>AND(#REF!,"AAAAAHp/9Jw=")</f>
        <v>#REF!</v>
      </c>
      <c r="FB201" t="e">
        <f>AND(#REF!,"AAAAAHp/9J0=")</f>
        <v>#REF!</v>
      </c>
      <c r="FC201" t="e">
        <f>AND(#REF!,"AAAAAHp/9J4=")</f>
        <v>#REF!</v>
      </c>
      <c r="FD201" t="e">
        <f>AND(#REF!,"AAAAAHp/9J8=")</f>
        <v>#REF!</v>
      </c>
      <c r="FE201" t="e">
        <f>AND(#REF!,"AAAAAHp/9KA=")</f>
        <v>#REF!</v>
      </c>
      <c r="FF201" t="e">
        <f>AND(#REF!,"AAAAAHp/9KE=")</f>
        <v>#REF!</v>
      </c>
      <c r="FG201" t="e">
        <f>AND(#REF!,"AAAAAHp/9KI=")</f>
        <v>#REF!</v>
      </c>
      <c r="FH201" t="e">
        <f>AND(#REF!,"AAAAAHp/9KM=")</f>
        <v>#REF!</v>
      </c>
      <c r="FI201" t="e">
        <f>AND(#REF!,"AAAAAHp/9KQ=")</f>
        <v>#REF!</v>
      </c>
      <c r="FJ201" t="e">
        <f>AND(#REF!,"AAAAAHp/9KU=")</f>
        <v>#REF!</v>
      </c>
      <c r="FK201" t="e">
        <f>IF(#REF!,"AAAAAHp/9KY=",0)</f>
        <v>#REF!</v>
      </c>
      <c r="FL201" t="e">
        <f>AND(#REF!,"AAAAAHp/9Kc=")</f>
        <v>#REF!</v>
      </c>
      <c r="FM201" t="e">
        <f>AND(#REF!,"AAAAAHp/9Kg=")</f>
        <v>#REF!</v>
      </c>
      <c r="FN201" t="e">
        <f>AND(#REF!,"AAAAAHp/9Kk=")</f>
        <v>#REF!</v>
      </c>
      <c r="FO201" t="e">
        <f>AND(#REF!,"AAAAAHp/9Ko=")</f>
        <v>#REF!</v>
      </c>
      <c r="FP201" t="e">
        <f>AND(#REF!,"AAAAAHp/9Ks=")</f>
        <v>#REF!</v>
      </c>
      <c r="FQ201" t="e">
        <f>AND(#REF!,"AAAAAHp/9Kw=")</f>
        <v>#REF!</v>
      </c>
      <c r="FR201" t="e">
        <f>AND(#REF!,"AAAAAHp/9K0=")</f>
        <v>#REF!</v>
      </c>
      <c r="FS201" t="e">
        <f>AND(#REF!,"AAAAAHp/9K4=")</f>
        <v>#REF!</v>
      </c>
      <c r="FT201" t="e">
        <f>AND(#REF!,"AAAAAHp/9K8=")</f>
        <v>#REF!</v>
      </c>
      <c r="FU201" t="e">
        <f>AND(#REF!,"AAAAAHp/9LA=")</f>
        <v>#REF!</v>
      </c>
      <c r="FV201" t="e">
        <f>IF(#REF!,"AAAAAHp/9LE=",0)</f>
        <v>#REF!</v>
      </c>
      <c r="FW201" t="e">
        <f>AND(#REF!,"AAAAAHp/9LI=")</f>
        <v>#REF!</v>
      </c>
      <c r="FX201" t="e">
        <f>AND(#REF!,"AAAAAHp/9LM=")</f>
        <v>#REF!</v>
      </c>
      <c r="FY201" t="e">
        <f>AND(#REF!,"AAAAAHp/9LQ=")</f>
        <v>#REF!</v>
      </c>
      <c r="FZ201" t="e">
        <f>AND(#REF!,"AAAAAHp/9LU=")</f>
        <v>#REF!</v>
      </c>
      <c r="GA201" t="e">
        <f>AND(#REF!,"AAAAAHp/9LY=")</f>
        <v>#REF!</v>
      </c>
      <c r="GB201" t="e">
        <f>AND(#REF!,"AAAAAHp/9Lc=")</f>
        <v>#REF!</v>
      </c>
      <c r="GC201" t="e">
        <f>AND(#REF!,"AAAAAHp/9Lg=")</f>
        <v>#REF!</v>
      </c>
      <c r="GD201" t="e">
        <f>AND(#REF!,"AAAAAHp/9Lk=")</f>
        <v>#REF!</v>
      </c>
      <c r="GE201" t="e">
        <f>AND(#REF!,"AAAAAHp/9Lo=")</f>
        <v>#REF!</v>
      </c>
      <c r="GF201" t="e">
        <f>AND(#REF!,"AAAAAHp/9Ls=")</f>
        <v>#REF!</v>
      </c>
      <c r="GG201" t="e">
        <f>IF(#REF!,"AAAAAHp/9Lw=",0)</f>
        <v>#REF!</v>
      </c>
      <c r="GH201" t="e">
        <f>AND(#REF!,"AAAAAHp/9L0=")</f>
        <v>#REF!</v>
      </c>
      <c r="GI201" t="e">
        <f>AND(#REF!,"AAAAAHp/9L4=")</f>
        <v>#REF!</v>
      </c>
      <c r="GJ201" t="e">
        <f>AND(#REF!,"AAAAAHp/9L8=")</f>
        <v>#REF!</v>
      </c>
      <c r="GK201" t="e">
        <f>AND(#REF!,"AAAAAHp/9MA=")</f>
        <v>#REF!</v>
      </c>
      <c r="GL201" t="e">
        <f>AND(#REF!,"AAAAAHp/9ME=")</f>
        <v>#REF!</v>
      </c>
      <c r="GM201" t="e">
        <f>AND(#REF!,"AAAAAHp/9MI=")</f>
        <v>#REF!</v>
      </c>
      <c r="GN201" t="e">
        <f>AND(#REF!,"AAAAAHp/9MM=")</f>
        <v>#REF!</v>
      </c>
      <c r="GO201" t="e">
        <f>AND(#REF!,"AAAAAHp/9MQ=")</f>
        <v>#REF!</v>
      </c>
      <c r="GP201" t="e">
        <f>AND(#REF!,"AAAAAHp/9MU=")</f>
        <v>#REF!</v>
      </c>
      <c r="GQ201" t="e">
        <f>AND(#REF!,"AAAAAHp/9MY=")</f>
        <v>#REF!</v>
      </c>
      <c r="GR201" t="e">
        <f>IF(#REF!,"AAAAAHp/9Mc=",0)</f>
        <v>#REF!</v>
      </c>
      <c r="GS201" t="e">
        <f>AND(#REF!,"AAAAAHp/9Mg=")</f>
        <v>#REF!</v>
      </c>
      <c r="GT201" t="e">
        <f>AND(#REF!,"AAAAAHp/9Mk=")</f>
        <v>#REF!</v>
      </c>
      <c r="GU201" t="e">
        <f>AND(#REF!,"AAAAAHp/9Mo=")</f>
        <v>#REF!</v>
      </c>
      <c r="GV201" t="e">
        <f>AND(#REF!,"AAAAAHp/9Ms=")</f>
        <v>#REF!</v>
      </c>
      <c r="GW201" t="e">
        <f>AND(#REF!,"AAAAAHp/9Mw=")</f>
        <v>#REF!</v>
      </c>
      <c r="GX201" t="e">
        <f>AND(#REF!,"AAAAAHp/9M0=")</f>
        <v>#REF!</v>
      </c>
      <c r="GY201" t="e">
        <f>AND(#REF!,"AAAAAHp/9M4=")</f>
        <v>#REF!</v>
      </c>
      <c r="GZ201" t="e">
        <f>AND(#REF!,"AAAAAHp/9M8=")</f>
        <v>#REF!</v>
      </c>
      <c r="HA201" t="e">
        <f>AND(#REF!,"AAAAAHp/9NA=")</f>
        <v>#REF!</v>
      </c>
      <c r="HB201" t="e">
        <f>AND(#REF!,"AAAAAHp/9NE=")</f>
        <v>#REF!</v>
      </c>
      <c r="HC201" t="e">
        <f>IF(#REF!,"AAAAAHp/9NI=",0)</f>
        <v>#REF!</v>
      </c>
      <c r="HD201" t="e">
        <f>AND(#REF!,"AAAAAHp/9NM=")</f>
        <v>#REF!</v>
      </c>
      <c r="HE201" t="e">
        <f>AND(#REF!,"AAAAAHp/9NQ=")</f>
        <v>#REF!</v>
      </c>
      <c r="HF201" t="e">
        <f>AND(#REF!,"AAAAAHp/9NU=")</f>
        <v>#REF!</v>
      </c>
      <c r="HG201" t="e">
        <f>AND(#REF!,"AAAAAHp/9NY=")</f>
        <v>#REF!</v>
      </c>
      <c r="HH201" t="e">
        <f>AND(#REF!,"AAAAAHp/9Nc=")</f>
        <v>#REF!</v>
      </c>
      <c r="HI201" t="e">
        <f>AND(#REF!,"AAAAAHp/9Ng=")</f>
        <v>#REF!</v>
      </c>
      <c r="HJ201" t="e">
        <f>AND(#REF!,"AAAAAHp/9Nk=")</f>
        <v>#REF!</v>
      </c>
      <c r="HK201" t="e">
        <f>AND(#REF!,"AAAAAHp/9No=")</f>
        <v>#REF!</v>
      </c>
      <c r="HL201" t="e">
        <f>AND(#REF!,"AAAAAHp/9Ns=")</f>
        <v>#REF!</v>
      </c>
      <c r="HM201" t="e">
        <f>AND(#REF!,"AAAAAHp/9Nw=")</f>
        <v>#REF!</v>
      </c>
      <c r="HN201" t="e">
        <f>IF(#REF!,"AAAAAHp/9N0=",0)</f>
        <v>#REF!</v>
      </c>
      <c r="HO201" t="e">
        <f>AND(#REF!,"AAAAAHp/9N4=")</f>
        <v>#REF!</v>
      </c>
      <c r="HP201" t="e">
        <f>AND(#REF!,"AAAAAHp/9N8=")</f>
        <v>#REF!</v>
      </c>
      <c r="HQ201" t="e">
        <f>AND(#REF!,"AAAAAHp/9OA=")</f>
        <v>#REF!</v>
      </c>
      <c r="HR201" t="e">
        <f>AND(#REF!,"AAAAAHp/9OE=")</f>
        <v>#REF!</v>
      </c>
      <c r="HS201" t="e">
        <f>AND(#REF!,"AAAAAHp/9OI=")</f>
        <v>#REF!</v>
      </c>
      <c r="HT201" t="e">
        <f>AND(#REF!,"AAAAAHp/9OM=")</f>
        <v>#REF!</v>
      </c>
      <c r="HU201" t="e">
        <f>AND(#REF!,"AAAAAHp/9OQ=")</f>
        <v>#REF!</v>
      </c>
      <c r="HV201" t="e">
        <f>AND(#REF!,"AAAAAHp/9OU=")</f>
        <v>#REF!</v>
      </c>
      <c r="HW201" t="e">
        <f>AND(#REF!,"AAAAAHp/9OY=")</f>
        <v>#REF!</v>
      </c>
      <c r="HX201" t="e">
        <f>AND(#REF!,"AAAAAHp/9Oc=")</f>
        <v>#REF!</v>
      </c>
      <c r="HY201" t="e">
        <f>IF(#REF!,"AAAAAHp/9Og=",0)</f>
        <v>#REF!</v>
      </c>
      <c r="HZ201" t="e">
        <f>AND(#REF!,"AAAAAHp/9Ok=")</f>
        <v>#REF!</v>
      </c>
      <c r="IA201" t="e">
        <f>AND(#REF!,"AAAAAHp/9Oo=")</f>
        <v>#REF!</v>
      </c>
      <c r="IB201" t="e">
        <f>AND(#REF!,"AAAAAHp/9Os=")</f>
        <v>#REF!</v>
      </c>
      <c r="IC201" t="e">
        <f>AND(#REF!,"AAAAAHp/9Ow=")</f>
        <v>#REF!</v>
      </c>
      <c r="ID201" t="e">
        <f>AND(#REF!,"AAAAAHp/9O0=")</f>
        <v>#REF!</v>
      </c>
      <c r="IE201" t="e">
        <f>AND(#REF!,"AAAAAHp/9O4=")</f>
        <v>#REF!</v>
      </c>
      <c r="IF201" t="e">
        <f>AND(#REF!,"AAAAAHp/9O8=")</f>
        <v>#REF!</v>
      </c>
      <c r="IG201" t="e">
        <f>AND(#REF!,"AAAAAHp/9PA=")</f>
        <v>#REF!</v>
      </c>
      <c r="IH201" t="e">
        <f>AND(#REF!,"AAAAAHp/9PE=")</f>
        <v>#REF!</v>
      </c>
      <c r="II201" t="e">
        <f>AND(#REF!,"AAAAAHp/9PI=")</f>
        <v>#REF!</v>
      </c>
      <c r="IJ201" t="e">
        <f>IF(#REF!,"AAAAAHp/9PM=",0)</f>
        <v>#REF!</v>
      </c>
      <c r="IK201" t="e">
        <f>AND(#REF!,"AAAAAHp/9PQ=")</f>
        <v>#REF!</v>
      </c>
      <c r="IL201" t="e">
        <f>AND(#REF!,"AAAAAHp/9PU=")</f>
        <v>#REF!</v>
      </c>
      <c r="IM201" t="e">
        <f>AND(#REF!,"AAAAAHp/9PY=")</f>
        <v>#REF!</v>
      </c>
      <c r="IN201" t="e">
        <f>AND(#REF!,"AAAAAHp/9Pc=")</f>
        <v>#REF!</v>
      </c>
      <c r="IO201" t="e">
        <f>AND(#REF!,"AAAAAHp/9Pg=")</f>
        <v>#REF!</v>
      </c>
      <c r="IP201" t="e">
        <f>AND(#REF!,"AAAAAHp/9Pk=")</f>
        <v>#REF!</v>
      </c>
      <c r="IQ201" t="e">
        <f>AND(#REF!,"AAAAAHp/9Po=")</f>
        <v>#REF!</v>
      </c>
      <c r="IR201" t="e">
        <f>AND(#REF!,"AAAAAHp/9Ps=")</f>
        <v>#REF!</v>
      </c>
      <c r="IS201" t="e">
        <f>AND(#REF!,"AAAAAHp/9Pw=")</f>
        <v>#REF!</v>
      </c>
      <c r="IT201" t="e">
        <f>AND(#REF!,"AAAAAHp/9P0=")</f>
        <v>#REF!</v>
      </c>
      <c r="IU201" t="e">
        <f>IF(#REF!,"AAAAAHp/9P4=",0)</f>
        <v>#REF!</v>
      </c>
      <c r="IV201" t="e">
        <f>AND(#REF!,"AAAAAHp/9P8=")</f>
        <v>#REF!</v>
      </c>
    </row>
    <row r="202" spans="1:256" x14ac:dyDescent="0.25">
      <c r="A202" t="e">
        <f>AND(#REF!,"AAAAAB7v7gA=")</f>
        <v>#REF!</v>
      </c>
      <c r="B202" t="e">
        <f>AND(#REF!,"AAAAAB7v7gE=")</f>
        <v>#REF!</v>
      </c>
      <c r="C202" t="e">
        <f>AND(#REF!,"AAAAAB7v7gI=")</f>
        <v>#REF!</v>
      </c>
      <c r="D202" t="e">
        <f>AND(#REF!,"AAAAAB7v7gM=")</f>
        <v>#REF!</v>
      </c>
      <c r="E202" t="e">
        <f>AND(#REF!,"AAAAAB7v7gQ=")</f>
        <v>#REF!</v>
      </c>
      <c r="F202" t="e">
        <f>AND(#REF!,"AAAAAB7v7gU=")</f>
        <v>#REF!</v>
      </c>
      <c r="G202" t="e">
        <f>AND(#REF!,"AAAAAB7v7gY=")</f>
        <v>#REF!</v>
      </c>
      <c r="H202" t="e">
        <f>AND(#REF!,"AAAAAB7v7gc=")</f>
        <v>#REF!</v>
      </c>
      <c r="I202" t="e">
        <f>AND(#REF!,"AAAAAB7v7gg=")</f>
        <v>#REF!</v>
      </c>
      <c r="J202" t="e">
        <f>IF(#REF!,"AAAAAB7v7gk=",0)</f>
        <v>#REF!</v>
      </c>
      <c r="K202" t="e">
        <f>AND(#REF!,"AAAAAB7v7go=")</f>
        <v>#REF!</v>
      </c>
      <c r="L202" t="e">
        <f>AND(#REF!,"AAAAAB7v7gs=")</f>
        <v>#REF!</v>
      </c>
      <c r="M202" t="e">
        <f>AND(#REF!,"AAAAAB7v7gw=")</f>
        <v>#REF!</v>
      </c>
      <c r="N202" t="e">
        <f>AND(#REF!,"AAAAAB7v7g0=")</f>
        <v>#REF!</v>
      </c>
      <c r="O202" t="e">
        <f>AND(#REF!,"AAAAAB7v7g4=")</f>
        <v>#REF!</v>
      </c>
      <c r="P202" t="e">
        <f>AND(#REF!,"AAAAAB7v7g8=")</f>
        <v>#REF!</v>
      </c>
      <c r="Q202" t="e">
        <f>AND(#REF!,"AAAAAB7v7hA=")</f>
        <v>#REF!</v>
      </c>
      <c r="R202" t="e">
        <f>AND(#REF!,"AAAAAB7v7hE=")</f>
        <v>#REF!</v>
      </c>
      <c r="S202" t="e">
        <f>AND(#REF!,"AAAAAB7v7hI=")</f>
        <v>#REF!</v>
      </c>
      <c r="T202" t="e">
        <f>AND(#REF!,"AAAAAB7v7hM=")</f>
        <v>#REF!</v>
      </c>
      <c r="U202" t="e">
        <f>IF(#REF!,"AAAAAB7v7hQ=",0)</f>
        <v>#REF!</v>
      </c>
      <c r="V202" t="e">
        <f>AND(#REF!,"AAAAAB7v7hU=")</f>
        <v>#REF!</v>
      </c>
      <c r="W202" t="e">
        <f>AND(#REF!,"AAAAAB7v7hY=")</f>
        <v>#REF!</v>
      </c>
      <c r="X202" t="e">
        <f>AND(#REF!,"AAAAAB7v7hc=")</f>
        <v>#REF!</v>
      </c>
      <c r="Y202" t="e">
        <f>AND(#REF!,"AAAAAB7v7hg=")</f>
        <v>#REF!</v>
      </c>
      <c r="Z202" t="e">
        <f>AND(#REF!,"AAAAAB7v7hk=")</f>
        <v>#REF!</v>
      </c>
      <c r="AA202" t="e">
        <f>AND(#REF!,"AAAAAB7v7ho=")</f>
        <v>#REF!</v>
      </c>
      <c r="AB202" t="e">
        <f>AND(#REF!,"AAAAAB7v7hs=")</f>
        <v>#REF!</v>
      </c>
      <c r="AC202" t="e">
        <f>AND(#REF!,"AAAAAB7v7hw=")</f>
        <v>#REF!</v>
      </c>
      <c r="AD202" t="e">
        <f>AND(#REF!,"AAAAAB7v7h0=")</f>
        <v>#REF!</v>
      </c>
      <c r="AE202" t="e">
        <f>AND(#REF!,"AAAAAB7v7h4=")</f>
        <v>#REF!</v>
      </c>
      <c r="AF202" t="e">
        <f>IF(#REF!,"AAAAAB7v7h8=",0)</f>
        <v>#REF!</v>
      </c>
      <c r="AG202" t="e">
        <f>AND(#REF!,"AAAAAB7v7iA=")</f>
        <v>#REF!</v>
      </c>
      <c r="AH202" t="e">
        <f>AND(#REF!,"AAAAAB7v7iE=")</f>
        <v>#REF!</v>
      </c>
      <c r="AI202" t="e">
        <f>AND(#REF!,"AAAAAB7v7iI=")</f>
        <v>#REF!</v>
      </c>
      <c r="AJ202" t="e">
        <f>AND(#REF!,"AAAAAB7v7iM=")</f>
        <v>#REF!</v>
      </c>
      <c r="AK202" t="e">
        <f>AND(#REF!,"AAAAAB7v7iQ=")</f>
        <v>#REF!</v>
      </c>
      <c r="AL202" t="e">
        <f>AND(#REF!,"AAAAAB7v7iU=")</f>
        <v>#REF!</v>
      </c>
      <c r="AM202" t="e">
        <f>AND(#REF!,"AAAAAB7v7iY=")</f>
        <v>#REF!</v>
      </c>
      <c r="AN202" t="e">
        <f>AND(#REF!,"AAAAAB7v7ic=")</f>
        <v>#REF!</v>
      </c>
      <c r="AO202" t="e">
        <f>AND(#REF!,"AAAAAB7v7ig=")</f>
        <v>#REF!</v>
      </c>
      <c r="AP202" t="e">
        <f>AND(#REF!,"AAAAAB7v7ik=")</f>
        <v>#REF!</v>
      </c>
      <c r="AQ202" t="e">
        <f>IF(#REF!,"AAAAAB7v7io=",0)</f>
        <v>#REF!</v>
      </c>
      <c r="AR202" t="e">
        <f>AND(#REF!,"AAAAAB7v7is=")</f>
        <v>#REF!</v>
      </c>
      <c r="AS202" t="e">
        <f>AND(#REF!,"AAAAAB7v7iw=")</f>
        <v>#REF!</v>
      </c>
      <c r="AT202" t="e">
        <f>AND(#REF!,"AAAAAB7v7i0=")</f>
        <v>#REF!</v>
      </c>
      <c r="AU202" t="e">
        <f>AND(#REF!,"AAAAAB7v7i4=")</f>
        <v>#REF!</v>
      </c>
      <c r="AV202" t="e">
        <f>AND(#REF!,"AAAAAB7v7i8=")</f>
        <v>#REF!</v>
      </c>
      <c r="AW202" t="e">
        <f>AND(#REF!,"AAAAAB7v7jA=")</f>
        <v>#REF!</v>
      </c>
      <c r="AX202" t="e">
        <f>AND(#REF!,"AAAAAB7v7jE=")</f>
        <v>#REF!</v>
      </c>
      <c r="AY202" t="e">
        <f>AND(#REF!,"AAAAAB7v7jI=")</f>
        <v>#REF!</v>
      </c>
      <c r="AZ202" t="e">
        <f>AND(#REF!,"AAAAAB7v7jM=")</f>
        <v>#REF!</v>
      </c>
      <c r="BA202" t="e">
        <f>AND(#REF!,"AAAAAB7v7jQ=")</f>
        <v>#REF!</v>
      </c>
      <c r="BB202" t="e">
        <f>IF(#REF!,"AAAAAB7v7jU=",0)</f>
        <v>#REF!</v>
      </c>
      <c r="BC202" t="e">
        <f>AND(#REF!,"AAAAAB7v7jY=")</f>
        <v>#REF!</v>
      </c>
      <c r="BD202" t="e">
        <f>AND(#REF!,"AAAAAB7v7jc=")</f>
        <v>#REF!</v>
      </c>
      <c r="BE202" t="e">
        <f>AND(#REF!,"AAAAAB7v7jg=")</f>
        <v>#REF!</v>
      </c>
      <c r="BF202" t="e">
        <f>AND(#REF!,"AAAAAB7v7jk=")</f>
        <v>#REF!</v>
      </c>
      <c r="BG202" t="e">
        <f>AND(#REF!,"AAAAAB7v7jo=")</f>
        <v>#REF!</v>
      </c>
      <c r="BH202" t="e">
        <f>AND(#REF!,"AAAAAB7v7js=")</f>
        <v>#REF!</v>
      </c>
      <c r="BI202" t="e">
        <f>AND(#REF!,"AAAAAB7v7jw=")</f>
        <v>#REF!</v>
      </c>
      <c r="BJ202" t="e">
        <f>AND(#REF!,"AAAAAB7v7j0=")</f>
        <v>#REF!</v>
      </c>
      <c r="BK202" t="e">
        <f>AND(#REF!,"AAAAAB7v7j4=")</f>
        <v>#REF!</v>
      </c>
      <c r="BL202" t="e">
        <f>AND(#REF!,"AAAAAB7v7j8=")</f>
        <v>#REF!</v>
      </c>
      <c r="BM202" t="e">
        <f>IF(#REF!,"AAAAAB7v7kA=",0)</f>
        <v>#REF!</v>
      </c>
      <c r="BN202" t="e">
        <f>AND(#REF!,"AAAAAB7v7kE=")</f>
        <v>#REF!</v>
      </c>
      <c r="BO202" t="e">
        <f>AND(#REF!,"AAAAAB7v7kI=")</f>
        <v>#REF!</v>
      </c>
      <c r="BP202" t="e">
        <f>AND(#REF!,"AAAAAB7v7kM=")</f>
        <v>#REF!</v>
      </c>
      <c r="BQ202" t="e">
        <f>AND(#REF!,"AAAAAB7v7kQ=")</f>
        <v>#REF!</v>
      </c>
      <c r="BR202" t="e">
        <f>AND(#REF!,"AAAAAB7v7kU=")</f>
        <v>#REF!</v>
      </c>
      <c r="BS202" t="e">
        <f>AND(#REF!,"AAAAAB7v7kY=")</f>
        <v>#REF!</v>
      </c>
      <c r="BT202" t="e">
        <f>AND(#REF!,"AAAAAB7v7kc=")</f>
        <v>#REF!</v>
      </c>
      <c r="BU202" t="e">
        <f>AND(#REF!,"AAAAAB7v7kg=")</f>
        <v>#REF!</v>
      </c>
      <c r="BV202" t="e">
        <f>AND(#REF!,"AAAAAB7v7kk=")</f>
        <v>#REF!</v>
      </c>
      <c r="BW202" t="e">
        <f>AND(#REF!,"AAAAAB7v7ko=")</f>
        <v>#REF!</v>
      </c>
      <c r="BX202" t="e">
        <f>IF(#REF!,"AAAAAB7v7ks=",0)</f>
        <v>#REF!</v>
      </c>
      <c r="BY202" t="e">
        <f>AND(#REF!,"AAAAAB7v7kw=")</f>
        <v>#REF!</v>
      </c>
      <c r="BZ202" t="e">
        <f>AND(#REF!,"AAAAAB7v7k0=")</f>
        <v>#REF!</v>
      </c>
      <c r="CA202" t="e">
        <f>AND(#REF!,"AAAAAB7v7k4=")</f>
        <v>#REF!</v>
      </c>
      <c r="CB202" t="e">
        <f>AND(#REF!,"AAAAAB7v7k8=")</f>
        <v>#REF!</v>
      </c>
      <c r="CC202" t="e">
        <f>AND(#REF!,"AAAAAB7v7lA=")</f>
        <v>#REF!</v>
      </c>
      <c r="CD202" t="e">
        <f>AND(#REF!,"AAAAAB7v7lE=")</f>
        <v>#REF!</v>
      </c>
      <c r="CE202" t="e">
        <f>AND(#REF!,"AAAAAB7v7lI=")</f>
        <v>#REF!</v>
      </c>
      <c r="CF202" t="e">
        <f>AND(#REF!,"AAAAAB7v7lM=")</f>
        <v>#REF!</v>
      </c>
      <c r="CG202" t="e">
        <f>AND(#REF!,"AAAAAB7v7lQ=")</f>
        <v>#REF!</v>
      </c>
      <c r="CH202" t="e">
        <f>AND(#REF!,"AAAAAB7v7lU=")</f>
        <v>#REF!</v>
      </c>
      <c r="CI202" t="e">
        <f>IF(#REF!,"AAAAAB7v7lY=",0)</f>
        <v>#REF!</v>
      </c>
      <c r="CJ202" t="e">
        <f>AND(#REF!,"AAAAAB7v7lc=")</f>
        <v>#REF!</v>
      </c>
      <c r="CK202" t="e">
        <f>AND(#REF!,"AAAAAB7v7lg=")</f>
        <v>#REF!</v>
      </c>
      <c r="CL202" t="e">
        <f>AND(#REF!,"AAAAAB7v7lk=")</f>
        <v>#REF!</v>
      </c>
      <c r="CM202" t="e">
        <f>AND(#REF!,"AAAAAB7v7lo=")</f>
        <v>#REF!</v>
      </c>
      <c r="CN202" t="e">
        <f>AND(#REF!,"AAAAAB7v7ls=")</f>
        <v>#REF!</v>
      </c>
      <c r="CO202" t="e">
        <f>AND(#REF!,"AAAAAB7v7lw=")</f>
        <v>#REF!</v>
      </c>
      <c r="CP202" t="e">
        <f>AND(#REF!,"AAAAAB7v7l0=")</f>
        <v>#REF!</v>
      </c>
      <c r="CQ202" t="e">
        <f>AND(#REF!,"AAAAAB7v7l4=")</f>
        <v>#REF!</v>
      </c>
      <c r="CR202" t="e">
        <f>AND(#REF!,"AAAAAB7v7l8=")</f>
        <v>#REF!</v>
      </c>
      <c r="CS202" t="e">
        <f>AND(#REF!,"AAAAAB7v7mA=")</f>
        <v>#REF!</v>
      </c>
      <c r="CT202" t="e">
        <f>IF(#REF!,"AAAAAB7v7mE=",0)</f>
        <v>#REF!</v>
      </c>
      <c r="CU202" t="e">
        <f>AND(#REF!,"AAAAAB7v7mI=")</f>
        <v>#REF!</v>
      </c>
      <c r="CV202" t="e">
        <f>AND(#REF!,"AAAAAB7v7mM=")</f>
        <v>#REF!</v>
      </c>
      <c r="CW202" t="e">
        <f>AND(#REF!,"AAAAAB7v7mQ=")</f>
        <v>#REF!</v>
      </c>
      <c r="CX202" t="e">
        <f>AND(#REF!,"AAAAAB7v7mU=")</f>
        <v>#REF!</v>
      </c>
      <c r="CY202" t="e">
        <f>AND(#REF!,"AAAAAB7v7mY=")</f>
        <v>#REF!</v>
      </c>
      <c r="CZ202" t="e">
        <f>AND(#REF!,"AAAAAB7v7mc=")</f>
        <v>#REF!</v>
      </c>
      <c r="DA202" t="e">
        <f>AND(#REF!,"AAAAAB7v7mg=")</f>
        <v>#REF!</v>
      </c>
      <c r="DB202" t="e">
        <f>AND(#REF!,"AAAAAB7v7mk=")</f>
        <v>#REF!</v>
      </c>
      <c r="DC202" t="e">
        <f>AND(#REF!,"AAAAAB7v7mo=")</f>
        <v>#REF!</v>
      </c>
      <c r="DD202" t="e">
        <f>AND(#REF!,"AAAAAB7v7ms=")</f>
        <v>#REF!</v>
      </c>
      <c r="DE202" t="e">
        <f>IF(#REF!,"AAAAAB7v7mw=",0)</f>
        <v>#REF!</v>
      </c>
      <c r="DF202" t="e">
        <f>AND(#REF!,"AAAAAB7v7m0=")</f>
        <v>#REF!</v>
      </c>
      <c r="DG202" t="e">
        <f>AND(#REF!,"AAAAAB7v7m4=")</f>
        <v>#REF!</v>
      </c>
      <c r="DH202" t="e">
        <f>AND(#REF!,"AAAAAB7v7m8=")</f>
        <v>#REF!</v>
      </c>
      <c r="DI202" t="e">
        <f>AND(#REF!,"AAAAAB7v7nA=")</f>
        <v>#REF!</v>
      </c>
      <c r="DJ202" t="e">
        <f>AND(#REF!,"AAAAAB7v7nE=")</f>
        <v>#REF!</v>
      </c>
      <c r="DK202" t="e">
        <f>AND(#REF!,"AAAAAB7v7nI=")</f>
        <v>#REF!</v>
      </c>
      <c r="DL202" t="e">
        <f>AND(#REF!,"AAAAAB7v7nM=")</f>
        <v>#REF!</v>
      </c>
      <c r="DM202" t="e">
        <f>AND(#REF!,"AAAAAB7v7nQ=")</f>
        <v>#REF!</v>
      </c>
      <c r="DN202" t="e">
        <f>AND(#REF!,"AAAAAB7v7nU=")</f>
        <v>#REF!</v>
      </c>
      <c r="DO202" t="e">
        <f>AND(#REF!,"AAAAAB7v7nY=")</f>
        <v>#REF!</v>
      </c>
      <c r="DP202" t="e">
        <f>IF(#REF!,"AAAAAB7v7nc=",0)</f>
        <v>#REF!</v>
      </c>
      <c r="DQ202" t="e">
        <f>AND(#REF!,"AAAAAB7v7ng=")</f>
        <v>#REF!</v>
      </c>
      <c r="DR202" t="e">
        <f>AND(#REF!,"AAAAAB7v7nk=")</f>
        <v>#REF!</v>
      </c>
      <c r="DS202" t="e">
        <f>AND(#REF!,"AAAAAB7v7no=")</f>
        <v>#REF!</v>
      </c>
      <c r="DT202" t="e">
        <f>AND(#REF!,"AAAAAB7v7ns=")</f>
        <v>#REF!</v>
      </c>
      <c r="DU202" t="e">
        <f>AND(#REF!,"AAAAAB7v7nw=")</f>
        <v>#REF!</v>
      </c>
      <c r="DV202" t="e">
        <f>AND(#REF!,"AAAAAB7v7n0=")</f>
        <v>#REF!</v>
      </c>
      <c r="DW202" t="e">
        <f>AND(#REF!,"AAAAAB7v7n4=")</f>
        <v>#REF!</v>
      </c>
      <c r="DX202" t="e">
        <f>AND(#REF!,"AAAAAB7v7n8=")</f>
        <v>#REF!</v>
      </c>
      <c r="DY202" t="e">
        <f>AND(#REF!,"AAAAAB7v7oA=")</f>
        <v>#REF!</v>
      </c>
      <c r="DZ202" t="e">
        <f>AND(#REF!,"AAAAAB7v7oE=")</f>
        <v>#REF!</v>
      </c>
      <c r="EA202" t="e">
        <f>IF(#REF!,"AAAAAB7v7oI=",0)</f>
        <v>#REF!</v>
      </c>
      <c r="EB202" t="e">
        <f>AND(#REF!,"AAAAAB7v7oM=")</f>
        <v>#REF!</v>
      </c>
      <c r="EC202" t="e">
        <f>AND(#REF!,"AAAAAB7v7oQ=")</f>
        <v>#REF!</v>
      </c>
      <c r="ED202" t="e">
        <f>AND(#REF!,"AAAAAB7v7oU=")</f>
        <v>#REF!</v>
      </c>
      <c r="EE202" t="e">
        <f>AND(#REF!,"AAAAAB7v7oY=")</f>
        <v>#REF!</v>
      </c>
      <c r="EF202" t="e">
        <f>AND(#REF!,"AAAAAB7v7oc=")</f>
        <v>#REF!</v>
      </c>
      <c r="EG202" t="e">
        <f>AND(#REF!,"AAAAAB7v7og=")</f>
        <v>#REF!</v>
      </c>
      <c r="EH202" t="e">
        <f>AND(#REF!,"AAAAAB7v7ok=")</f>
        <v>#REF!</v>
      </c>
      <c r="EI202" t="e">
        <f>AND(#REF!,"AAAAAB7v7oo=")</f>
        <v>#REF!</v>
      </c>
      <c r="EJ202" t="e">
        <f>AND(#REF!,"AAAAAB7v7os=")</f>
        <v>#REF!</v>
      </c>
      <c r="EK202" t="e">
        <f>AND(#REF!,"AAAAAB7v7ow=")</f>
        <v>#REF!</v>
      </c>
      <c r="EL202" t="e">
        <f>IF(#REF!,"AAAAAB7v7o0=",0)</f>
        <v>#REF!</v>
      </c>
      <c r="EM202" t="e">
        <f>AND(#REF!,"AAAAAB7v7o4=")</f>
        <v>#REF!</v>
      </c>
      <c r="EN202" t="e">
        <f>AND(#REF!,"AAAAAB7v7o8=")</f>
        <v>#REF!</v>
      </c>
      <c r="EO202" t="e">
        <f>AND(#REF!,"AAAAAB7v7pA=")</f>
        <v>#REF!</v>
      </c>
      <c r="EP202" t="e">
        <f>AND(#REF!,"AAAAAB7v7pE=")</f>
        <v>#REF!</v>
      </c>
      <c r="EQ202" t="e">
        <f>AND(#REF!,"AAAAAB7v7pI=")</f>
        <v>#REF!</v>
      </c>
      <c r="ER202" t="e">
        <f>AND(#REF!,"AAAAAB7v7pM=")</f>
        <v>#REF!</v>
      </c>
      <c r="ES202" t="e">
        <f>AND(#REF!,"AAAAAB7v7pQ=")</f>
        <v>#REF!</v>
      </c>
      <c r="ET202" t="e">
        <f>AND(#REF!,"AAAAAB7v7pU=")</f>
        <v>#REF!</v>
      </c>
      <c r="EU202" t="e">
        <f>AND(#REF!,"AAAAAB7v7pY=")</f>
        <v>#REF!</v>
      </c>
      <c r="EV202" t="e">
        <f>AND(#REF!,"AAAAAB7v7pc=")</f>
        <v>#REF!</v>
      </c>
      <c r="EW202" t="e">
        <f>IF(#REF!,"AAAAAB7v7pg=",0)</f>
        <v>#REF!</v>
      </c>
      <c r="EX202" t="e">
        <f>AND(#REF!,"AAAAAB7v7pk=")</f>
        <v>#REF!</v>
      </c>
      <c r="EY202" t="e">
        <f>AND(#REF!,"AAAAAB7v7po=")</f>
        <v>#REF!</v>
      </c>
      <c r="EZ202" t="e">
        <f>AND(#REF!,"AAAAAB7v7ps=")</f>
        <v>#REF!</v>
      </c>
      <c r="FA202" t="e">
        <f>AND(#REF!,"AAAAAB7v7pw=")</f>
        <v>#REF!</v>
      </c>
      <c r="FB202" t="e">
        <f>AND(#REF!,"AAAAAB7v7p0=")</f>
        <v>#REF!</v>
      </c>
      <c r="FC202" t="e">
        <f>AND(#REF!,"AAAAAB7v7p4=")</f>
        <v>#REF!</v>
      </c>
      <c r="FD202" t="e">
        <f>AND(#REF!,"AAAAAB7v7p8=")</f>
        <v>#REF!</v>
      </c>
      <c r="FE202" t="e">
        <f>AND(#REF!,"AAAAAB7v7qA=")</f>
        <v>#REF!</v>
      </c>
      <c r="FF202" t="e">
        <f>AND(#REF!,"AAAAAB7v7qE=")</f>
        <v>#REF!</v>
      </c>
      <c r="FG202" t="e">
        <f>AND(#REF!,"AAAAAB7v7qI=")</f>
        <v>#REF!</v>
      </c>
      <c r="FH202" t="e">
        <f>IF(#REF!,"AAAAAB7v7qM=",0)</f>
        <v>#REF!</v>
      </c>
      <c r="FI202" t="e">
        <f>AND(#REF!,"AAAAAB7v7qQ=")</f>
        <v>#REF!</v>
      </c>
      <c r="FJ202" t="e">
        <f>AND(#REF!,"AAAAAB7v7qU=")</f>
        <v>#REF!</v>
      </c>
      <c r="FK202" t="e">
        <f>AND(#REF!,"AAAAAB7v7qY=")</f>
        <v>#REF!</v>
      </c>
      <c r="FL202" t="e">
        <f>AND(#REF!,"AAAAAB7v7qc=")</f>
        <v>#REF!</v>
      </c>
      <c r="FM202" t="e">
        <f>AND(#REF!,"AAAAAB7v7qg=")</f>
        <v>#REF!</v>
      </c>
      <c r="FN202" t="e">
        <f>AND(#REF!,"AAAAAB7v7qk=")</f>
        <v>#REF!</v>
      </c>
      <c r="FO202" t="e">
        <f>AND(#REF!,"AAAAAB7v7qo=")</f>
        <v>#REF!</v>
      </c>
      <c r="FP202" t="e">
        <f>AND(#REF!,"AAAAAB7v7qs=")</f>
        <v>#REF!</v>
      </c>
      <c r="FQ202" t="e">
        <f>AND(#REF!,"AAAAAB7v7qw=")</f>
        <v>#REF!</v>
      </c>
      <c r="FR202" t="e">
        <f>AND(#REF!,"AAAAAB7v7q0=")</f>
        <v>#REF!</v>
      </c>
      <c r="FS202" t="e">
        <f>IF(#REF!,"AAAAAB7v7q4=",0)</f>
        <v>#REF!</v>
      </c>
      <c r="FT202" t="e">
        <f>AND(#REF!,"AAAAAB7v7q8=")</f>
        <v>#REF!</v>
      </c>
      <c r="FU202" t="e">
        <f>AND(#REF!,"AAAAAB7v7rA=")</f>
        <v>#REF!</v>
      </c>
      <c r="FV202" t="e">
        <f>AND(#REF!,"AAAAAB7v7rE=")</f>
        <v>#REF!</v>
      </c>
      <c r="FW202" t="e">
        <f>AND(#REF!,"AAAAAB7v7rI=")</f>
        <v>#REF!</v>
      </c>
      <c r="FX202" t="e">
        <f>AND(#REF!,"AAAAAB7v7rM=")</f>
        <v>#REF!</v>
      </c>
      <c r="FY202" t="e">
        <f>AND(#REF!,"AAAAAB7v7rQ=")</f>
        <v>#REF!</v>
      </c>
      <c r="FZ202" t="e">
        <f>AND(#REF!,"AAAAAB7v7rU=")</f>
        <v>#REF!</v>
      </c>
      <c r="GA202" t="e">
        <f>AND(#REF!,"AAAAAB7v7rY=")</f>
        <v>#REF!</v>
      </c>
      <c r="GB202" t="e">
        <f>AND(#REF!,"AAAAAB7v7rc=")</f>
        <v>#REF!</v>
      </c>
      <c r="GC202" t="e">
        <f>AND(#REF!,"AAAAAB7v7rg=")</f>
        <v>#REF!</v>
      </c>
      <c r="GD202" t="e">
        <f>IF(#REF!,"AAAAAB7v7rk=",0)</f>
        <v>#REF!</v>
      </c>
      <c r="GE202" t="e">
        <f>AND(#REF!,"AAAAAB7v7ro=")</f>
        <v>#REF!</v>
      </c>
      <c r="GF202" t="e">
        <f>AND(#REF!,"AAAAAB7v7rs=")</f>
        <v>#REF!</v>
      </c>
      <c r="GG202" t="e">
        <f>AND(#REF!,"AAAAAB7v7rw=")</f>
        <v>#REF!</v>
      </c>
      <c r="GH202" t="e">
        <f>AND(#REF!,"AAAAAB7v7r0=")</f>
        <v>#REF!</v>
      </c>
      <c r="GI202" t="e">
        <f>AND(#REF!,"AAAAAB7v7r4=")</f>
        <v>#REF!</v>
      </c>
      <c r="GJ202" t="e">
        <f>AND(#REF!,"AAAAAB7v7r8=")</f>
        <v>#REF!</v>
      </c>
      <c r="GK202" t="e">
        <f>AND(#REF!,"AAAAAB7v7sA=")</f>
        <v>#REF!</v>
      </c>
      <c r="GL202" t="e">
        <f>AND(#REF!,"AAAAAB7v7sE=")</f>
        <v>#REF!</v>
      </c>
      <c r="GM202" t="e">
        <f>AND(#REF!,"AAAAAB7v7sI=")</f>
        <v>#REF!</v>
      </c>
      <c r="GN202" t="e">
        <f>AND(#REF!,"AAAAAB7v7sM=")</f>
        <v>#REF!</v>
      </c>
      <c r="GO202" t="e">
        <f>IF(#REF!,"AAAAAB7v7sQ=",0)</f>
        <v>#REF!</v>
      </c>
      <c r="GP202" t="e">
        <f>AND(#REF!,"AAAAAB7v7sU=")</f>
        <v>#REF!</v>
      </c>
      <c r="GQ202" t="e">
        <f>AND(#REF!,"AAAAAB7v7sY=")</f>
        <v>#REF!</v>
      </c>
      <c r="GR202" t="e">
        <f>AND(#REF!,"AAAAAB7v7sc=")</f>
        <v>#REF!</v>
      </c>
      <c r="GS202" t="e">
        <f>AND(#REF!,"AAAAAB7v7sg=")</f>
        <v>#REF!</v>
      </c>
      <c r="GT202" t="e">
        <f>AND(#REF!,"AAAAAB7v7sk=")</f>
        <v>#REF!</v>
      </c>
      <c r="GU202" t="e">
        <f>AND(#REF!,"AAAAAB7v7so=")</f>
        <v>#REF!</v>
      </c>
      <c r="GV202" t="e">
        <f>AND(#REF!,"AAAAAB7v7ss=")</f>
        <v>#REF!</v>
      </c>
      <c r="GW202" t="e">
        <f>AND(#REF!,"AAAAAB7v7sw=")</f>
        <v>#REF!</v>
      </c>
      <c r="GX202" t="e">
        <f>AND(#REF!,"AAAAAB7v7s0=")</f>
        <v>#REF!</v>
      </c>
      <c r="GY202" t="e">
        <f>AND(#REF!,"AAAAAB7v7s4=")</f>
        <v>#REF!</v>
      </c>
      <c r="GZ202" t="e">
        <f>IF(#REF!,"AAAAAB7v7s8=",0)</f>
        <v>#REF!</v>
      </c>
      <c r="HA202" t="e">
        <f>AND(#REF!,"AAAAAB7v7tA=")</f>
        <v>#REF!</v>
      </c>
      <c r="HB202" t="e">
        <f>AND(#REF!,"AAAAAB7v7tE=")</f>
        <v>#REF!</v>
      </c>
      <c r="HC202" t="e">
        <f>AND(#REF!,"AAAAAB7v7tI=")</f>
        <v>#REF!</v>
      </c>
      <c r="HD202" t="e">
        <f>AND(#REF!,"AAAAAB7v7tM=")</f>
        <v>#REF!</v>
      </c>
      <c r="HE202" t="e">
        <f>AND(#REF!,"AAAAAB7v7tQ=")</f>
        <v>#REF!</v>
      </c>
      <c r="HF202" t="e">
        <f>AND(#REF!,"AAAAAB7v7tU=")</f>
        <v>#REF!</v>
      </c>
      <c r="HG202" t="e">
        <f>AND(#REF!,"AAAAAB7v7tY=")</f>
        <v>#REF!</v>
      </c>
      <c r="HH202" t="e">
        <f>AND(#REF!,"AAAAAB7v7tc=")</f>
        <v>#REF!</v>
      </c>
      <c r="HI202" t="e">
        <f>AND(#REF!,"AAAAAB7v7tg=")</f>
        <v>#REF!</v>
      </c>
      <c r="HJ202" t="e">
        <f>AND(#REF!,"AAAAAB7v7tk=")</f>
        <v>#REF!</v>
      </c>
      <c r="HK202" t="e">
        <f>IF(#REF!,"AAAAAB7v7to=",0)</f>
        <v>#REF!</v>
      </c>
      <c r="HL202" t="e">
        <f>AND(#REF!,"AAAAAB7v7ts=")</f>
        <v>#REF!</v>
      </c>
      <c r="HM202" t="e">
        <f>AND(#REF!,"AAAAAB7v7tw=")</f>
        <v>#REF!</v>
      </c>
      <c r="HN202" t="e">
        <f>AND(#REF!,"AAAAAB7v7t0=")</f>
        <v>#REF!</v>
      </c>
      <c r="HO202" t="e">
        <f>AND(#REF!,"AAAAAB7v7t4=")</f>
        <v>#REF!</v>
      </c>
      <c r="HP202" t="e">
        <f>AND(#REF!,"AAAAAB7v7t8=")</f>
        <v>#REF!</v>
      </c>
      <c r="HQ202" t="e">
        <f>AND(#REF!,"AAAAAB7v7uA=")</f>
        <v>#REF!</v>
      </c>
      <c r="HR202" t="e">
        <f>AND(#REF!,"AAAAAB7v7uE=")</f>
        <v>#REF!</v>
      </c>
      <c r="HS202" t="e">
        <f>AND(#REF!,"AAAAAB7v7uI=")</f>
        <v>#REF!</v>
      </c>
      <c r="HT202" t="e">
        <f>AND(#REF!,"AAAAAB7v7uM=")</f>
        <v>#REF!</v>
      </c>
      <c r="HU202" t="e">
        <f>AND(#REF!,"AAAAAB7v7uQ=")</f>
        <v>#REF!</v>
      </c>
      <c r="HV202" t="e">
        <f>IF(#REF!,"AAAAAB7v7uU=",0)</f>
        <v>#REF!</v>
      </c>
      <c r="HW202" t="e">
        <f>AND(#REF!,"AAAAAB7v7uY=")</f>
        <v>#REF!</v>
      </c>
      <c r="HX202" t="e">
        <f>AND(#REF!,"AAAAAB7v7uc=")</f>
        <v>#REF!</v>
      </c>
      <c r="HY202" t="e">
        <f>AND(#REF!,"AAAAAB7v7ug=")</f>
        <v>#REF!</v>
      </c>
      <c r="HZ202" t="e">
        <f>AND(#REF!,"AAAAAB7v7uk=")</f>
        <v>#REF!</v>
      </c>
      <c r="IA202" t="e">
        <f>AND(#REF!,"AAAAAB7v7uo=")</f>
        <v>#REF!</v>
      </c>
      <c r="IB202" t="e">
        <f>AND(#REF!,"AAAAAB7v7us=")</f>
        <v>#REF!</v>
      </c>
      <c r="IC202" t="e">
        <f>AND(#REF!,"AAAAAB7v7uw=")</f>
        <v>#REF!</v>
      </c>
      <c r="ID202" t="e">
        <f>AND(#REF!,"AAAAAB7v7u0=")</f>
        <v>#REF!</v>
      </c>
      <c r="IE202" t="e">
        <f>AND(#REF!,"AAAAAB7v7u4=")</f>
        <v>#REF!</v>
      </c>
      <c r="IF202" t="e">
        <f>AND(#REF!,"AAAAAB7v7u8=")</f>
        <v>#REF!</v>
      </c>
      <c r="IG202" t="e">
        <f>IF(#REF!,"AAAAAB7v7vA=",0)</f>
        <v>#REF!</v>
      </c>
      <c r="IH202" t="e">
        <f>AND(#REF!,"AAAAAB7v7vE=")</f>
        <v>#REF!</v>
      </c>
      <c r="II202" t="e">
        <f>AND(#REF!,"AAAAAB7v7vI=")</f>
        <v>#REF!</v>
      </c>
      <c r="IJ202" t="e">
        <f>AND(#REF!,"AAAAAB7v7vM=")</f>
        <v>#REF!</v>
      </c>
      <c r="IK202" t="e">
        <f>AND(#REF!,"AAAAAB7v7vQ=")</f>
        <v>#REF!</v>
      </c>
      <c r="IL202" t="e">
        <f>AND(#REF!,"AAAAAB7v7vU=")</f>
        <v>#REF!</v>
      </c>
      <c r="IM202" t="e">
        <f>AND(#REF!,"AAAAAB7v7vY=")</f>
        <v>#REF!</v>
      </c>
      <c r="IN202" t="e">
        <f>AND(#REF!,"AAAAAB7v7vc=")</f>
        <v>#REF!</v>
      </c>
      <c r="IO202" t="e">
        <f>AND(#REF!,"AAAAAB7v7vg=")</f>
        <v>#REF!</v>
      </c>
      <c r="IP202" t="e">
        <f>AND(#REF!,"AAAAAB7v7vk=")</f>
        <v>#REF!</v>
      </c>
      <c r="IQ202" t="e">
        <f>AND(#REF!,"AAAAAB7v7vo=")</f>
        <v>#REF!</v>
      </c>
      <c r="IR202" t="e">
        <f>IF(#REF!,"AAAAAB7v7vs=",0)</f>
        <v>#REF!</v>
      </c>
      <c r="IS202" t="e">
        <f>AND(#REF!,"AAAAAB7v7vw=")</f>
        <v>#REF!</v>
      </c>
      <c r="IT202" t="e">
        <f>AND(#REF!,"AAAAAB7v7v0=")</f>
        <v>#REF!</v>
      </c>
      <c r="IU202" t="e">
        <f>AND(#REF!,"AAAAAB7v7v4=")</f>
        <v>#REF!</v>
      </c>
      <c r="IV202" t="e">
        <f>AND(#REF!,"AAAAAB7v7v8=")</f>
        <v>#REF!</v>
      </c>
    </row>
    <row r="203" spans="1:256" x14ac:dyDescent="0.25">
      <c r="A203" t="e">
        <f>AND(#REF!,"AAAAAE9/1wA=")</f>
        <v>#REF!</v>
      </c>
      <c r="B203" t="e">
        <f>AND(#REF!,"AAAAAE9/1wE=")</f>
        <v>#REF!</v>
      </c>
      <c r="C203" t="e">
        <f>AND(#REF!,"AAAAAE9/1wI=")</f>
        <v>#REF!</v>
      </c>
      <c r="D203" t="e">
        <f>AND(#REF!,"AAAAAE9/1wM=")</f>
        <v>#REF!</v>
      </c>
      <c r="E203" t="e">
        <f>AND(#REF!,"AAAAAE9/1wQ=")</f>
        <v>#REF!</v>
      </c>
      <c r="F203" t="e">
        <f>AND(#REF!,"AAAAAE9/1wU=")</f>
        <v>#REF!</v>
      </c>
      <c r="G203" t="e">
        <f>IF(#REF!,"AAAAAE9/1wY=",0)</f>
        <v>#REF!</v>
      </c>
      <c r="H203" t="e">
        <f>AND(#REF!,"AAAAAE9/1wc=")</f>
        <v>#REF!</v>
      </c>
      <c r="I203" t="e">
        <f>AND(#REF!,"AAAAAE9/1wg=")</f>
        <v>#REF!</v>
      </c>
      <c r="J203" t="e">
        <f>AND(#REF!,"AAAAAE9/1wk=")</f>
        <v>#REF!</v>
      </c>
      <c r="K203" t="e">
        <f>AND(#REF!,"AAAAAE9/1wo=")</f>
        <v>#REF!</v>
      </c>
      <c r="L203" t="e">
        <f>AND(#REF!,"AAAAAE9/1ws=")</f>
        <v>#REF!</v>
      </c>
      <c r="M203" t="e">
        <f>AND(#REF!,"AAAAAE9/1ww=")</f>
        <v>#REF!</v>
      </c>
      <c r="N203" t="e">
        <f>AND(#REF!,"AAAAAE9/1w0=")</f>
        <v>#REF!</v>
      </c>
      <c r="O203" t="e">
        <f>AND(#REF!,"AAAAAE9/1w4=")</f>
        <v>#REF!</v>
      </c>
      <c r="P203" t="e">
        <f>AND(#REF!,"AAAAAE9/1w8=")</f>
        <v>#REF!</v>
      </c>
      <c r="Q203" t="e">
        <f>AND(#REF!,"AAAAAE9/1xA=")</f>
        <v>#REF!</v>
      </c>
      <c r="R203" t="e">
        <f>IF(#REF!,"AAAAAE9/1xE=",0)</f>
        <v>#REF!</v>
      </c>
      <c r="S203" t="e">
        <f>AND(#REF!,"AAAAAE9/1xI=")</f>
        <v>#REF!</v>
      </c>
      <c r="T203" t="e">
        <f>AND(#REF!,"AAAAAE9/1xM=")</f>
        <v>#REF!</v>
      </c>
      <c r="U203" t="e">
        <f>AND(#REF!,"AAAAAE9/1xQ=")</f>
        <v>#REF!</v>
      </c>
      <c r="V203" t="e">
        <f>AND(#REF!,"AAAAAE9/1xU=")</f>
        <v>#REF!</v>
      </c>
      <c r="W203" t="e">
        <f>AND(#REF!,"AAAAAE9/1xY=")</f>
        <v>#REF!</v>
      </c>
      <c r="X203" t="e">
        <f>AND(#REF!,"AAAAAE9/1xc=")</f>
        <v>#REF!</v>
      </c>
      <c r="Y203" t="e">
        <f>AND(#REF!,"AAAAAE9/1xg=")</f>
        <v>#REF!</v>
      </c>
      <c r="Z203" t="e">
        <f>AND(#REF!,"AAAAAE9/1xk=")</f>
        <v>#REF!</v>
      </c>
      <c r="AA203" t="e">
        <f>AND(#REF!,"AAAAAE9/1xo=")</f>
        <v>#REF!</v>
      </c>
      <c r="AB203" t="e">
        <f>AND(#REF!,"AAAAAE9/1xs=")</f>
        <v>#REF!</v>
      </c>
      <c r="AC203" t="e">
        <f>IF(#REF!,"AAAAAE9/1xw=",0)</f>
        <v>#REF!</v>
      </c>
      <c r="AD203" t="e">
        <f>AND(#REF!,"AAAAAE9/1x0=")</f>
        <v>#REF!</v>
      </c>
      <c r="AE203" t="e">
        <f>AND(#REF!,"AAAAAE9/1x4=")</f>
        <v>#REF!</v>
      </c>
      <c r="AF203" t="e">
        <f>AND(#REF!,"AAAAAE9/1x8=")</f>
        <v>#REF!</v>
      </c>
      <c r="AG203" t="e">
        <f>AND(#REF!,"AAAAAE9/1yA=")</f>
        <v>#REF!</v>
      </c>
      <c r="AH203" t="e">
        <f>AND(#REF!,"AAAAAE9/1yE=")</f>
        <v>#REF!</v>
      </c>
      <c r="AI203" t="e">
        <f>AND(#REF!,"AAAAAE9/1yI=")</f>
        <v>#REF!</v>
      </c>
      <c r="AJ203" t="e">
        <f>AND(#REF!,"AAAAAE9/1yM=")</f>
        <v>#REF!</v>
      </c>
      <c r="AK203" t="e">
        <f>AND(#REF!,"AAAAAE9/1yQ=")</f>
        <v>#REF!</v>
      </c>
      <c r="AL203" t="e">
        <f>AND(#REF!,"AAAAAE9/1yU=")</f>
        <v>#REF!</v>
      </c>
      <c r="AM203" t="e">
        <f>AND(#REF!,"AAAAAE9/1yY=")</f>
        <v>#REF!</v>
      </c>
      <c r="AN203" t="e">
        <f>IF(#REF!,"AAAAAE9/1yc=",0)</f>
        <v>#REF!</v>
      </c>
      <c r="AO203" t="e">
        <f>AND(#REF!,"AAAAAE9/1yg=")</f>
        <v>#REF!</v>
      </c>
      <c r="AP203" t="e">
        <f>AND(#REF!,"AAAAAE9/1yk=")</f>
        <v>#REF!</v>
      </c>
      <c r="AQ203" t="e">
        <f>AND(#REF!,"AAAAAE9/1yo=")</f>
        <v>#REF!</v>
      </c>
      <c r="AR203" t="e">
        <f>AND(#REF!,"AAAAAE9/1ys=")</f>
        <v>#REF!</v>
      </c>
      <c r="AS203" t="e">
        <f>AND(#REF!,"AAAAAE9/1yw=")</f>
        <v>#REF!</v>
      </c>
      <c r="AT203" t="e">
        <f>AND(#REF!,"AAAAAE9/1y0=")</f>
        <v>#REF!</v>
      </c>
      <c r="AU203" t="e">
        <f>AND(#REF!,"AAAAAE9/1y4=")</f>
        <v>#REF!</v>
      </c>
      <c r="AV203" t="e">
        <f>AND(#REF!,"AAAAAE9/1y8=")</f>
        <v>#REF!</v>
      </c>
      <c r="AW203" t="e">
        <f>AND(#REF!,"AAAAAE9/1zA=")</f>
        <v>#REF!</v>
      </c>
      <c r="AX203" t="e">
        <f>AND(#REF!,"AAAAAE9/1zE=")</f>
        <v>#REF!</v>
      </c>
      <c r="AY203" t="e">
        <f>IF(#REF!,"AAAAAE9/1zI=",0)</f>
        <v>#REF!</v>
      </c>
      <c r="AZ203" t="e">
        <f>AND(#REF!,"AAAAAE9/1zM=")</f>
        <v>#REF!</v>
      </c>
      <c r="BA203" t="e">
        <f>AND(#REF!,"AAAAAE9/1zQ=")</f>
        <v>#REF!</v>
      </c>
      <c r="BB203" t="e">
        <f>AND(#REF!,"AAAAAE9/1zU=")</f>
        <v>#REF!</v>
      </c>
      <c r="BC203" t="e">
        <f>AND(#REF!,"AAAAAE9/1zY=")</f>
        <v>#REF!</v>
      </c>
      <c r="BD203" t="e">
        <f>AND(#REF!,"AAAAAE9/1zc=")</f>
        <v>#REF!</v>
      </c>
      <c r="BE203" t="e">
        <f>AND(#REF!,"AAAAAE9/1zg=")</f>
        <v>#REF!</v>
      </c>
      <c r="BF203" t="e">
        <f>AND(#REF!,"AAAAAE9/1zk=")</f>
        <v>#REF!</v>
      </c>
      <c r="BG203" t="e">
        <f>AND(#REF!,"AAAAAE9/1zo=")</f>
        <v>#REF!</v>
      </c>
      <c r="BH203" t="e">
        <f>AND(#REF!,"AAAAAE9/1zs=")</f>
        <v>#REF!</v>
      </c>
      <c r="BI203" t="e">
        <f>AND(#REF!,"AAAAAE9/1zw=")</f>
        <v>#REF!</v>
      </c>
      <c r="BJ203" t="e">
        <f>IF(#REF!,"AAAAAE9/1z0=",0)</f>
        <v>#REF!</v>
      </c>
      <c r="BK203" t="e">
        <f>AND(#REF!,"AAAAAE9/1z4=")</f>
        <v>#REF!</v>
      </c>
      <c r="BL203" t="e">
        <f>AND(#REF!,"AAAAAE9/1z8=")</f>
        <v>#REF!</v>
      </c>
      <c r="BM203" t="e">
        <f>AND(#REF!,"AAAAAE9/10A=")</f>
        <v>#REF!</v>
      </c>
      <c r="BN203" t="e">
        <f>AND(#REF!,"AAAAAE9/10E=")</f>
        <v>#REF!</v>
      </c>
      <c r="BO203" t="e">
        <f>AND(#REF!,"AAAAAE9/10I=")</f>
        <v>#REF!</v>
      </c>
      <c r="BP203" t="e">
        <f>AND(#REF!,"AAAAAE9/10M=")</f>
        <v>#REF!</v>
      </c>
      <c r="BQ203" t="e">
        <f>AND(#REF!,"AAAAAE9/10Q=")</f>
        <v>#REF!</v>
      </c>
      <c r="BR203" t="e">
        <f>AND(#REF!,"AAAAAE9/10U=")</f>
        <v>#REF!</v>
      </c>
      <c r="BS203" t="e">
        <f>AND(#REF!,"AAAAAE9/10Y=")</f>
        <v>#REF!</v>
      </c>
      <c r="BT203" t="e">
        <f>AND(#REF!,"AAAAAE9/10c=")</f>
        <v>#REF!</v>
      </c>
      <c r="BU203" t="e">
        <f>IF(#REF!,"AAAAAE9/10g=",0)</f>
        <v>#REF!</v>
      </c>
      <c r="BV203" t="e">
        <f>AND(#REF!,"AAAAAE9/10k=")</f>
        <v>#REF!</v>
      </c>
      <c r="BW203" t="e">
        <f>AND(#REF!,"AAAAAE9/10o=")</f>
        <v>#REF!</v>
      </c>
      <c r="BX203" t="e">
        <f>AND(#REF!,"AAAAAE9/10s=")</f>
        <v>#REF!</v>
      </c>
      <c r="BY203" t="e">
        <f>AND(#REF!,"AAAAAE9/10w=")</f>
        <v>#REF!</v>
      </c>
      <c r="BZ203" t="e">
        <f>AND(#REF!,"AAAAAE9/100=")</f>
        <v>#REF!</v>
      </c>
      <c r="CA203" t="e">
        <f>AND(#REF!,"AAAAAE9/104=")</f>
        <v>#REF!</v>
      </c>
      <c r="CB203" t="e">
        <f>AND(#REF!,"AAAAAE9/108=")</f>
        <v>#REF!</v>
      </c>
      <c r="CC203" t="e">
        <f>AND(#REF!,"AAAAAE9/11A=")</f>
        <v>#REF!</v>
      </c>
      <c r="CD203" t="e">
        <f>AND(#REF!,"AAAAAE9/11E=")</f>
        <v>#REF!</v>
      </c>
      <c r="CE203" t="e">
        <f>AND(#REF!,"AAAAAE9/11I=")</f>
        <v>#REF!</v>
      </c>
      <c r="CF203" t="e">
        <f>IF(#REF!,"AAAAAE9/11M=",0)</f>
        <v>#REF!</v>
      </c>
      <c r="CG203" t="e">
        <f>AND(#REF!,"AAAAAE9/11Q=")</f>
        <v>#REF!</v>
      </c>
      <c r="CH203" t="e">
        <f>AND(#REF!,"AAAAAE9/11U=")</f>
        <v>#REF!</v>
      </c>
      <c r="CI203" t="e">
        <f>AND(#REF!,"AAAAAE9/11Y=")</f>
        <v>#REF!</v>
      </c>
      <c r="CJ203" t="e">
        <f>AND(#REF!,"AAAAAE9/11c=")</f>
        <v>#REF!</v>
      </c>
      <c r="CK203" t="e">
        <f>AND(#REF!,"AAAAAE9/11g=")</f>
        <v>#REF!</v>
      </c>
      <c r="CL203" t="e">
        <f>AND(#REF!,"AAAAAE9/11k=")</f>
        <v>#REF!</v>
      </c>
      <c r="CM203" t="e">
        <f>AND(#REF!,"AAAAAE9/11o=")</f>
        <v>#REF!</v>
      </c>
      <c r="CN203" t="e">
        <f>AND(#REF!,"AAAAAE9/11s=")</f>
        <v>#REF!</v>
      </c>
      <c r="CO203" t="e">
        <f>AND(#REF!,"AAAAAE9/11w=")</f>
        <v>#REF!</v>
      </c>
      <c r="CP203" t="e">
        <f>AND(#REF!,"AAAAAE9/110=")</f>
        <v>#REF!</v>
      </c>
      <c r="CQ203" t="e">
        <f>IF(#REF!,"AAAAAE9/114=",0)</f>
        <v>#REF!</v>
      </c>
      <c r="CR203" t="e">
        <f>AND(#REF!,"AAAAAE9/118=")</f>
        <v>#REF!</v>
      </c>
      <c r="CS203" t="e">
        <f>AND(#REF!,"AAAAAE9/12A=")</f>
        <v>#REF!</v>
      </c>
      <c r="CT203" t="e">
        <f>AND(#REF!,"AAAAAE9/12E=")</f>
        <v>#REF!</v>
      </c>
      <c r="CU203" t="e">
        <f>AND(#REF!,"AAAAAE9/12I=")</f>
        <v>#REF!</v>
      </c>
      <c r="CV203" t="e">
        <f>AND(#REF!,"AAAAAE9/12M=")</f>
        <v>#REF!</v>
      </c>
      <c r="CW203" t="e">
        <f>AND(#REF!,"AAAAAE9/12Q=")</f>
        <v>#REF!</v>
      </c>
      <c r="CX203" t="e">
        <f>AND(#REF!,"AAAAAE9/12U=")</f>
        <v>#REF!</v>
      </c>
      <c r="CY203" t="e">
        <f>AND(#REF!,"AAAAAE9/12Y=")</f>
        <v>#REF!</v>
      </c>
      <c r="CZ203" t="e">
        <f>AND(#REF!,"AAAAAE9/12c=")</f>
        <v>#REF!</v>
      </c>
      <c r="DA203" t="e">
        <f>AND(#REF!,"AAAAAE9/12g=")</f>
        <v>#REF!</v>
      </c>
      <c r="DB203" t="e">
        <f>IF(#REF!,"AAAAAE9/12k=",0)</f>
        <v>#REF!</v>
      </c>
      <c r="DC203" t="e">
        <f>AND(#REF!,"AAAAAE9/12o=")</f>
        <v>#REF!</v>
      </c>
      <c r="DD203" t="e">
        <f>AND(#REF!,"AAAAAE9/12s=")</f>
        <v>#REF!</v>
      </c>
      <c r="DE203" t="e">
        <f>AND(#REF!,"AAAAAE9/12w=")</f>
        <v>#REF!</v>
      </c>
      <c r="DF203" t="e">
        <f>AND(#REF!,"AAAAAE9/120=")</f>
        <v>#REF!</v>
      </c>
      <c r="DG203" t="e">
        <f>AND(#REF!,"AAAAAE9/124=")</f>
        <v>#REF!</v>
      </c>
      <c r="DH203" t="e">
        <f>AND(#REF!,"AAAAAE9/128=")</f>
        <v>#REF!</v>
      </c>
      <c r="DI203" t="e">
        <f>AND(#REF!,"AAAAAE9/13A=")</f>
        <v>#REF!</v>
      </c>
      <c r="DJ203" t="e">
        <f>AND(#REF!,"AAAAAE9/13E=")</f>
        <v>#REF!</v>
      </c>
      <c r="DK203" t="e">
        <f>AND(#REF!,"AAAAAE9/13I=")</f>
        <v>#REF!</v>
      </c>
      <c r="DL203" t="e">
        <f>AND(#REF!,"AAAAAE9/13M=")</f>
        <v>#REF!</v>
      </c>
      <c r="DM203" t="e">
        <f>IF(#REF!,"AAAAAE9/13Q=",0)</f>
        <v>#REF!</v>
      </c>
      <c r="DN203" t="e">
        <f>AND(#REF!,"AAAAAE9/13U=")</f>
        <v>#REF!</v>
      </c>
      <c r="DO203" t="e">
        <f>AND(#REF!,"AAAAAE9/13Y=")</f>
        <v>#REF!</v>
      </c>
      <c r="DP203" t="e">
        <f>AND(#REF!,"AAAAAE9/13c=")</f>
        <v>#REF!</v>
      </c>
      <c r="DQ203" t="e">
        <f>AND(#REF!,"AAAAAE9/13g=")</f>
        <v>#REF!</v>
      </c>
      <c r="DR203" t="e">
        <f>AND(#REF!,"AAAAAE9/13k=")</f>
        <v>#REF!</v>
      </c>
      <c r="DS203" t="e">
        <f>AND(#REF!,"AAAAAE9/13o=")</f>
        <v>#REF!</v>
      </c>
      <c r="DT203" t="e">
        <f>AND(#REF!,"AAAAAE9/13s=")</f>
        <v>#REF!</v>
      </c>
      <c r="DU203" t="e">
        <f>AND(#REF!,"AAAAAE9/13w=")</f>
        <v>#REF!</v>
      </c>
      <c r="DV203" t="e">
        <f>AND(#REF!,"AAAAAE9/130=")</f>
        <v>#REF!</v>
      </c>
      <c r="DW203" t="e">
        <f>AND(#REF!,"AAAAAE9/134=")</f>
        <v>#REF!</v>
      </c>
      <c r="DX203" t="e">
        <f>IF(#REF!,"AAAAAE9/138=",0)</f>
        <v>#REF!</v>
      </c>
      <c r="DY203" t="e">
        <f>AND(#REF!,"AAAAAE9/14A=")</f>
        <v>#REF!</v>
      </c>
      <c r="DZ203" t="e">
        <f>AND(#REF!,"AAAAAE9/14E=")</f>
        <v>#REF!</v>
      </c>
      <c r="EA203" t="e">
        <f>AND(#REF!,"AAAAAE9/14I=")</f>
        <v>#REF!</v>
      </c>
      <c r="EB203" t="e">
        <f>AND(#REF!,"AAAAAE9/14M=")</f>
        <v>#REF!</v>
      </c>
      <c r="EC203" t="e">
        <f>AND(#REF!,"AAAAAE9/14Q=")</f>
        <v>#REF!</v>
      </c>
      <c r="ED203" t="e">
        <f>AND(#REF!,"AAAAAE9/14U=")</f>
        <v>#REF!</v>
      </c>
      <c r="EE203" t="e">
        <f>AND(#REF!,"AAAAAE9/14Y=")</f>
        <v>#REF!</v>
      </c>
      <c r="EF203" t="e">
        <f>AND(#REF!,"AAAAAE9/14c=")</f>
        <v>#REF!</v>
      </c>
      <c r="EG203" t="e">
        <f>AND(#REF!,"AAAAAE9/14g=")</f>
        <v>#REF!</v>
      </c>
      <c r="EH203" t="e">
        <f>AND(#REF!,"AAAAAE9/14k=")</f>
        <v>#REF!</v>
      </c>
      <c r="EI203" t="e">
        <f>IF(#REF!,"AAAAAE9/14o=",0)</f>
        <v>#REF!</v>
      </c>
      <c r="EJ203" t="e">
        <f>AND(#REF!,"AAAAAE9/14s=")</f>
        <v>#REF!</v>
      </c>
      <c r="EK203" t="e">
        <f>AND(#REF!,"AAAAAE9/14w=")</f>
        <v>#REF!</v>
      </c>
      <c r="EL203" t="e">
        <f>AND(#REF!,"AAAAAE9/140=")</f>
        <v>#REF!</v>
      </c>
      <c r="EM203" t="e">
        <f>AND(#REF!,"AAAAAE9/144=")</f>
        <v>#REF!</v>
      </c>
      <c r="EN203" t="e">
        <f>AND(#REF!,"AAAAAE9/148=")</f>
        <v>#REF!</v>
      </c>
      <c r="EO203" t="e">
        <f>AND(#REF!,"AAAAAE9/15A=")</f>
        <v>#REF!</v>
      </c>
      <c r="EP203" t="e">
        <f>AND(#REF!,"AAAAAE9/15E=")</f>
        <v>#REF!</v>
      </c>
      <c r="EQ203" t="e">
        <f>AND(#REF!,"AAAAAE9/15I=")</f>
        <v>#REF!</v>
      </c>
      <c r="ER203" t="e">
        <f>AND(#REF!,"AAAAAE9/15M=")</f>
        <v>#REF!</v>
      </c>
      <c r="ES203" t="e">
        <f>AND(#REF!,"AAAAAE9/15Q=")</f>
        <v>#REF!</v>
      </c>
      <c r="ET203" t="e">
        <f>IF(#REF!,"AAAAAE9/15U=",0)</f>
        <v>#REF!</v>
      </c>
      <c r="EU203" t="e">
        <f>AND(#REF!,"AAAAAE9/15Y=")</f>
        <v>#REF!</v>
      </c>
      <c r="EV203" t="e">
        <f>AND(#REF!,"AAAAAE9/15c=")</f>
        <v>#REF!</v>
      </c>
      <c r="EW203" t="e">
        <f>AND(#REF!,"AAAAAE9/15g=")</f>
        <v>#REF!</v>
      </c>
      <c r="EX203" t="e">
        <f>AND(#REF!,"AAAAAE9/15k=")</f>
        <v>#REF!</v>
      </c>
      <c r="EY203" t="e">
        <f>AND(#REF!,"AAAAAE9/15o=")</f>
        <v>#REF!</v>
      </c>
      <c r="EZ203" t="e">
        <f>AND(#REF!,"AAAAAE9/15s=")</f>
        <v>#REF!</v>
      </c>
      <c r="FA203" t="e">
        <f>AND(#REF!,"AAAAAE9/15w=")</f>
        <v>#REF!</v>
      </c>
      <c r="FB203" t="e">
        <f>AND(#REF!,"AAAAAE9/150=")</f>
        <v>#REF!</v>
      </c>
      <c r="FC203" t="e">
        <f>AND(#REF!,"AAAAAE9/154=")</f>
        <v>#REF!</v>
      </c>
      <c r="FD203" t="e">
        <f>AND(#REF!,"AAAAAE9/158=")</f>
        <v>#REF!</v>
      </c>
      <c r="FE203" t="e">
        <f>IF(#REF!,"AAAAAE9/16A=",0)</f>
        <v>#REF!</v>
      </c>
      <c r="FF203" t="e">
        <f>AND(#REF!,"AAAAAE9/16E=")</f>
        <v>#REF!</v>
      </c>
      <c r="FG203" t="e">
        <f>AND(#REF!,"AAAAAE9/16I=")</f>
        <v>#REF!</v>
      </c>
      <c r="FH203" t="e">
        <f>AND(#REF!,"AAAAAE9/16M=")</f>
        <v>#REF!</v>
      </c>
      <c r="FI203" t="e">
        <f>AND(#REF!,"AAAAAE9/16Q=")</f>
        <v>#REF!</v>
      </c>
      <c r="FJ203" t="e">
        <f>AND(#REF!,"AAAAAE9/16U=")</f>
        <v>#REF!</v>
      </c>
      <c r="FK203" t="e">
        <f>AND(#REF!,"AAAAAE9/16Y=")</f>
        <v>#REF!</v>
      </c>
      <c r="FL203" t="e">
        <f>AND(#REF!,"AAAAAE9/16c=")</f>
        <v>#REF!</v>
      </c>
      <c r="FM203" t="e">
        <f>AND(#REF!,"AAAAAE9/16g=")</f>
        <v>#REF!</v>
      </c>
      <c r="FN203" t="e">
        <f>AND(#REF!,"AAAAAE9/16k=")</f>
        <v>#REF!</v>
      </c>
      <c r="FO203" t="e">
        <f>AND(#REF!,"AAAAAE9/16o=")</f>
        <v>#REF!</v>
      </c>
      <c r="FP203" t="e">
        <f>IF(#REF!,"AAAAAE9/16s=",0)</f>
        <v>#REF!</v>
      </c>
      <c r="FQ203" t="e">
        <f>AND(#REF!,"AAAAAE9/16w=")</f>
        <v>#REF!</v>
      </c>
      <c r="FR203" t="e">
        <f>AND(#REF!,"AAAAAE9/160=")</f>
        <v>#REF!</v>
      </c>
      <c r="FS203" t="e">
        <f>AND(#REF!,"AAAAAE9/164=")</f>
        <v>#REF!</v>
      </c>
      <c r="FT203" t="e">
        <f>AND(#REF!,"AAAAAE9/168=")</f>
        <v>#REF!</v>
      </c>
      <c r="FU203" t="e">
        <f>AND(#REF!,"AAAAAE9/17A=")</f>
        <v>#REF!</v>
      </c>
      <c r="FV203" t="e">
        <f>AND(#REF!,"AAAAAE9/17E=")</f>
        <v>#REF!</v>
      </c>
      <c r="FW203" t="e">
        <f>AND(#REF!,"AAAAAE9/17I=")</f>
        <v>#REF!</v>
      </c>
      <c r="FX203" t="e">
        <f>AND(#REF!,"AAAAAE9/17M=")</f>
        <v>#REF!</v>
      </c>
      <c r="FY203" t="e">
        <f>AND(#REF!,"AAAAAE9/17Q=")</f>
        <v>#REF!</v>
      </c>
      <c r="FZ203" t="e">
        <f>AND(#REF!,"AAAAAE9/17U=")</f>
        <v>#REF!</v>
      </c>
      <c r="GA203" t="e">
        <f>IF(#REF!,"AAAAAE9/17Y=",0)</f>
        <v>#REF!</v>
      </c>
      <c r="GB203" t="e">
        <f>AND(#REF!,"AAAAAE9/17c=")</f>
        <v>#REF!</v>
      </c>
      <c r="GC203" t="e">
        <f>AND(#REF!,"AAAAAE9/17g=")</f>
        <v>#REF!</v>
      </c>
      <c r="GD203" t="e">
        <f>AND(#REF!,"AAAAAE9/17k=")</f>
        <v>#REF!</v>
      </c>
      <c r="GE203" t="e">
        <f>AND(#REF!,"AAAAAE9/17o=")</f>
        <v>#REF!</v>
      </c>
      <c r="GF203" t="e">
        <f>AND(#REF!,"AAAAAE9/17s=")</f>
        <v>#REF!</v>
      </c>
      <c r="GG203" t="e">
        <f>AND(#REF!,"AAAAAE9/17w=")</f>
        <v>#REF!</v>
      </c>
      <c r="GH203" t="e">
        <f>AND(#REF!,"AAAAAE9/170=")</f>
        <v>#REF!</v>
      </c>
      <c r="GI203" t="e">
        <f>AND(#REF!,"AAAAAE9/174=")</f>
        <v>#REF!</v>
      </c>
      <c r="GJ203" t="e">
        <f>AND(#REF!,"AAAAAE9/178=")</f>
        <v>#REF!</v>
      </c>
      <c r="GK203" t="e">
        <f>AND(#REF!,"AAAAAE9/18A=")</f>
        <v>#REF!</v>
      </c>
      <c r="GL203" t="e">
        <f>IF(#REF!,"AAAAAE9/18E=",0)</f>
        <v>#REF!</v>
      </c>
      <c r="GM203" t="e">
        <f>AND(#REF!,"AAAAAE9/18I=")</f>
        <v>#REF!</v>
      </c>
      <c r="GN203" t="e">
        <f>AND(#REF!,"AAAAAE9/18M=")</f>
        <v>#REF!</v>
      </c>
      <c r="GO203" t="e">
        <f>AND(#REF!,"AAAAAE9/18Q=")</f>
        <v>#REF!</v>
      </c>
      <c r="GP203" t="e">
        <f>AND(#REF!,"AAAAAE9/18U=")</f>
        <v>#REF!</v>
      </c>
      <c r="GQ203" t="e">
        <f>AND(#REF!,"AAAAAE9/18Y=")</f>
        <v>#REF!</v>
      </c>
      <c r="GR203" t="e">
        <f>AND(#REF!,"AAAAAE9/18c=")</f>
        <v>#REF!</v>
      </c>
      <c r="GS203" t="e">
        <f>AND(#REF!,"AAAAAE9/18g=")</f>
        <v>#REF!</v>
      </c>
      <c r="GT203" t="e">
        <f>AND(#REF!,"AAAAAE9/18k=")</f>
        <v>#REF!</v>
      </c>
      <c r="GU203" t="e">
        <f>AND(#REF!,"AAAAAE9/18o=")</f>
        <v>#REF!</v>
      </c>
      <c r="GV203" t="e">
        <f>AND(#REF!,"AAAAAE9/18s=")</f>
        <v>#REF!</v>
      </c>
      <c r="GW203" t="e">
        <f>IF(#REF!,"AAAAAE9/18w=",0)</f>
        <v>#REF!</v>
      </c>
      <c r="GX203" t="e">
        <f>AND(#REF!,"AAAAAE9/180=")</f>
        <v>#REF!</v>
      </c>
      <c r="GY203" t="e">
        <f>AND(#REF!,"AAAAAE9/184=")</f>
        <v>#REF!</v>
      </c>
      <c r="GZ203" t="e">
        <f>AND(#REF!,"AAAAAE9/188=")</f>
        <v>#REF!</v>
      </c>
      <c r="HA203" t="e">
        <f>AND(#REF!,"AAAAAE9/19A=")</f>
        <v>#REF!</v>
      </c>
      <c r="HB203" t="e">
        <f>AND(#REF!,"AAAAAE9/19E=")</f>
        <v>#REF!</v>
      </c>
      <c r="HC203" t="e">
        <f>AND(#REF!,"AAAAAE9/19I=")</f>
        <v>#REF!</v>
      </c>
      <c r="HD203" t="e">
        <f>AND(#REF!,"AAAAAE9/19M=")</f>
        <v>#REF!</v>
      </c>
      <c r="HE203" t="e">
        <f>AND(#REF!,"AAAAAE9/19Q=")</f>
        <v>#REF!</v>
      </c>
      <c r="HF203" t="e">
        <f>AND(#REF!,"AAAAAE9/19U=")</f>
        <v>#REF!</v>
      </c>
      <c r="HG203" t="e">
        <f>AND(#REF!,"AAAAAE9/19Y=")</f>
        <v>#REF!</v>
      </c>
      <c r="HH203" t="e">
        <f>IF(#REF!,"AAAAAE9/19c=",0)</f>
        <v>#REF!</v>
      </c>
      <c r="HI203" t="e">
        <f>AND(#REF!,"AAAAAE9/19g=")</f>
        <v>#REF!</v>
      </c>
      <c r="HJ203" t="e">
        <f>AND(#REF!,"AAAAAE9/19k=")</f>
        <v>#REF!</v>
      </c>
      <c r="HK203" t="e">
        <f>AND(#REF!,"AAAAAE9/19o=")</f>
        <v>#REF!</v>
      </c>
      <c r="HL203" t="e">
        <f>AND(#REF!,"AAAAAE9/19s=")</f>
        <v>#REF!</v>
      </c>
      <c r="HM203" t="e">
        <f>AND(#REF!,"AAAAAE9/19w=")</f>
        <v>#REF!</v>
      </c>
      <c r="HN203" t="e">
        <f>AND(#REF!,"AAAAAE9/190=")</f>
        <v>#REF!</v>
      </c>
      <c r="HO203" t="e">
        <f>AND(#REF!,"AAAAAE9/194=")</f>
        <v>#REF!</v>
      </c>
      <c r="HP203" t="e">
        <f>AND(#REF!,"AAAAAE9/198=")</f>
        <v>#REF!</v>
      </c>
      <c r="HQ203" t="e">
        <f>AND(#REF!,"AAAAAE9/1+A=")</f>
        <v>#REF!</v>
      </c>
      <c r="HR203" t="e">
        <f>AND(#REF!,"AAAAAE9/1+E=")</f>
        <v>#REF!</v>
      </c>
      <c r="HS203" t="e">
        <f>IF(#REF!,"AAAAAE9/1+I=",0)</f>
        <v>#REF!</v>
      </c>
      <c r="HT203" t="e">
        <f>AND(#REF!,"AAAAAE9/1+M=")</f>
        <v>#REF!</v>
      </c>
      <c r="HU203" t="e">
        <f>AND(#REF!,"AAAAAE9/1+Q=")</f>
        <v>#REF!</v>
      </c>
      <c r="HV203" t="e">
        <f>AND(#REF!,"AAAAAE9/1+U=")</f>
        <v>#REF!</v>
      </c>
      <c r="HW203" t="e">
        <f>AND(#REF!,"AAAAAE9/1+Y=")</f>
        <v>#REF!</v>
      </c>
      <c r="HX203" t="e">
        <f>AND(#REF!,"AAAAAE9/1+c=")</f>
        <v>#REF!</v>
      </c>
      <c r="HY203" t="e">
        <f>AND(#REF!,"AAAAAE9/1+g=")</f>
        <v>#REF!</v>
      </c>
      <c r="HZ203" t="e">
        <f>AND(#REF!,"AAAAAE9/1+k=")</f>
        <v>#REF!</v>
      </c>
      <c r="IA203" t="e">
        <f>AND(#REF!,"AAAAAE9/1+o=")</f>
        <v>#REF!</v>
      </c>
      <c r="IB203" t="e">
        <f>AND(#REF!,"AAAAAE9/1+s=")</f>
        <v>#REF!</v>
      </c>
      <c r="IC203" t="e">
        <f>AND(#REF!,"AAAAAE9/1+w=")</f>
        <v>#REF!</v>
      </c>
      <c r="ID203" t="e">
        <f>IF(#REF!,"AAAAAE9/1+0=",0)</f>
        <v>#REF!</v>
      </c>
      <c r="IE203" t="e">
        <f>AND(#REF!,"AAAAAE9/1+4=")</f>
        <v>#REF!</v>
      </c>
      <c r="IF203" t="e">
        <f>AND(#REF!,"AAAAAE9/1+8=")</f>
        <v>#REF!</v>
      </c>
      <c r="IG203" t="e">
        <f>AND(#REF!,"AAAAAE9/1/A=")</f>
        <v>#REF!</v>
      </c>
      <c r="IH203" t="e">
        <f>AND(#REF!,"AAAAAE9/1/E=")</f>
        <v>#REF!</v>
      </c>
      <c r="II203" t="e">
        <f>AND(#REF!,"AAAAAE9/1/I=")</f>
        <v>#REF!</v>
      </c>
      <c r="IJ203" t="e">
        <f>AND(#REF!,"AAAAAE9/1/M=")</f>
        <v>#REF!</v>
      </c>
      <c r="IK203" t="e">
        <f>AND(#REF!,"AAAAAE9/1/Q=")</f>
        <v>#REF!</v>
      </c>
      <c r="IL203" t="e">
        <f>AND(#REF!,"AAAAAE9/1/U=")</f>
        <v>#REF!</v>
      </c>
      <c r="IM203" t="e">
        <f>AND(#REF!,"AAAAAE9/1/Y=")</f>
        <v>#REF!</v>
      </c>
      <c r="IN203" t="e">
        <f>AND(#REF!,"AAAAAE9/1/c=")</f>
        <v>#REF!</v>
      </c>
      <c r="IO203" t="e">
        <f>IF(#REF!,"AAAAAE9/1/g=",0)</f>
        <v>#REF!</v>
      </c>
      <c r="IP203" t="e">
        <f>AND(#REF!,"AAAAAE9/1/k=")</f>
        <v>#REF!</v>
      </c>
      <c r="IQ203" t="e">
        <f>AND(#REF!,"AAAAAE9/1/o=")</f>
        <v>#REF!</v>
      </c>
      <c r="IR203" t="e">
        <f>AND(#REF!,"AAAAAE9/1/s=")</f>
        <v>#REF!</v>
      </c>
      <c r="IS203" t="e">
        <f>AND(#REF!,"AAAAAE9/1/w=")</f>
        <v>#REF!</v>
      </c>
      <c r="IT203" t="e">
        <f>AND(#REF!,"AAAAAE9/1/0=")</f>
        <v>#REF!</v>
      </c>
      <c r="IU203" t="e">
        <f>AND(#REF!,"AAAAAE9/1/4=")</f>
        <v>#REF!</v>
      </c>
      <c r="IV203" t="e">
        <f>AND(#REF!,"AAAAAE9/1/8=")</f>
        <v>#REF!</v>
      </c>
    </row>
    <row r="204" spans="1:256" x14ac:dyDescent="0.25">
      <c r="A204" t="e">
        <f>AND(#REF!,"AAAAAHt93wA=")</f>
        <v>#REF!</v>
      </c>
      <c r="B204" t="e">
        <f>AND(#REF!,"AAAAAHt93wE=")</f>
        <v>#REF!</v>
      </c>
      <c r="C204" t="e">
        <f>AND(#REF!,"AAAAAHt93wI=")</f>
        <v>#REF!</v>
      </c>
      <c r="D204" t="e">
        <f>IF(#REF!,"AAAAAHt93wM=",0)</f>
        <v>#REF!</v>
      </c>
      <c r="E204" t="e">
        <f>AND(#REF!,"AAAAAHt93wQ=")</f>
        <v>#REF!</v>
      </c>
      <c r="F204" t="e">
        <f>AND(#REF!,"AAAAAHt93wU=")</f>
        <v>#REF!</v>
      </c>
      <c r="G204" t="e">
        <f>AND(#REF!,"AAAAAHt93wY=")</f>
        <v>#REF!</v>
      </c>
      <c r="H204" t="e">
        <f>AND(#REF!,"AAAAAHt93wc=")</f>
        <v>#REF!</v>
      </c>
      <c r="I204" t="e">
        <f>AND(#REF!,"AAAAAHt93wg=")</f>
        <v>#REF!</v>
      </c>
      <c r="J204" t="e">
        <f>AND(#REF!,"AAAAAHt93wk=")</f>
        <v>#REF!</v>
      </c>
      <c r="K204" t="e">
        <f>AND(#REF!,"AAAAAHt93wo=")</f>
        <v>#REF!</v>
      </c>
      <c r="L204" t="e">
        <f>AND(#REF!,"AAAAAHt93ws=")</f>
        <v>#REF!</v>
      </c>
      <c r="M204" t="e">
        <f>AND(#REF!,"AAAAAHt93ww=")</f>
        <v>#REF!</v>
      </c>
      <c r="N204" t="e">
        <f>AND(#REF!,"AAAAAHt93w0=")</f>
        <v>#REF!</v>
      </c>
      <c r="O204" t="e">
        <f>IF(#REF!,"AAAAAHt93w4=",0)</f>
        <v>#REF!</v>
      </c>
      <c r="P204" t="e">
        <f>AND(#REF!,"AAAAAHt93w8=")</f>
        <v>#REF!</v>
      </c>
      <c r="Q204" t="e">
        <f>AND(#REF!,"AAAAAHt93xA=")</f>
        <v>#REF!</v>
      </c>
      <c r="R204" t="e">
        <f>AND(#REF!,"AAAAAHt93xE=")</f>
        <v>#REF!</v>
      </c>
      <c r="S204" t="e">
        <f>AND(#REF!,"AAAAAHt93xI=")</f>
        <v>#REF!</v>
      </c>
      <c r="T204" t="e">
        <f>AND(#REF!,"AAAAAHt93xM=")</f>
        <v>#REF!</v>
      </c>
      <c r="U204" t="e">
        <f>AND(#REF!,"AAAAAHt93xQ=")</f>
        <v>#REF!</v>
      </c>
      <c r="V204" t="e">
        <f>AND(#REF!,"AAAAAHt93xU=")</f>
        <v>#REF!</v>
      </c>
      <c r="W204" t="e">
        <f>AND(#REF!,"AAAAAHt93xY=")</f>
        <v>#REF!</v>
      </c>
      <c r="X204" t="e">
        <f>AND(#REF!,"AAAAAHt93xc=")</f>
        <v>#REF!</v>
      </c>
      <c r="Y204" t="e">
        <f>AND(#REF!,"AAAAAHt93xg=")</f>
        <v>#REF!</v>
      </c>
      <c r="Z204" t="e">
        <f>IF(#REF!,"AAAAAHt93xk=",0)</f>
        <v>#REF!</v>
      </c>
      <c r="AA204" t="e">
        <f>AND(#REF!,"AAAAAHt93xo=")</f>
        <v>#REF!</v>
      </c>
      <c r="AB204" t="e">
        <f>AND(#REF!,"AAAAAHt93xs=")</f>
        <v>#REF!</v>
      </c>
      <c r="AC204" t="e">
        <f>AND(#REF!,"AAAAAHt93xw=")</f>
        <v>#REF!</v>
      </c>
      <c r="AD204" t="e">
        <f>AND(#REF!,"AAAAAHt93x0=")</f>
        <v>#REF!</v>
      </c>
      <c r="AE204" t="e">
        <f>AND(#REF!,"AAAAAHt93x4=")</f>
        <v>#REF!</v>
      </c>
      <c r="AF204" t="e">
        <f>AND(#REF!,"AAAAAHt93x8=")</f>
        <v>#REF!</v>
      </c>
      <c r="AG204" t="e">
        <f>AND(#REF!,"AAAAAHt93yA=")</f>
        <v>#REF!</v>
      </c>
      <c r="AH204" t="e">
        <f>AND(#REF!,"AAAAAHt93yE=")</f>
        <v>#REF!</v>
      </c>
      <c r="AI204" t="e">
        <f>AND(#REF!,"AAAAAHt93yI=")</f>
        <v>#REF!</v>
      </c>
      <c r="AJ204" t="e">
        <f>AND(#REF!,"AAAAAHt93yM=")</f>
        <v>#REF!</v>
      </c>
      <c r="AK204" t="e">
        <f>IF(#REF!,"AAAAAHt93yQ=",0)</f>
        <v>#REF!</v>
      </c>
      <c r="AL204" t="e">
        <f>AND(#REF!,"AAAAAHt93yU=")</f>
        <v>#REF!</v>
      </c>
      <c r="AM204" t="e">
        <f>AND(#REF!,"AAAAAHt93yY=")</f>
        <v>#REF!</v>
      </c>
      <c r="AN204" t="e">
        <f>AND(#REF!,"AAAAAHt93yc=")</f>
        <v>#REF!</v>
      </c>
      <c r="AO204" t="e">
        <f>AND(#REF!,"AAAAAHt93yg=")</f>
        <v>#REF!</v>
      </c>
      <c r="AP204" t="e">
        <f>AND(#REF!,"AAAAAHt93yk=")</f>
        <v>#REF!</v>
      </c>
      <c r="AQ204" t="e">
        <f>AND(#REF!,"AAAAAHt93yo=")</f>
        <v>#REF!</v>
      </c>
      <c r="AR204" t="e">
        <f>AND(#REF!,"AAAAAHt93ys=")</f>
        <v>#REF!</v>
      </c>
      <c r="AS204" t="e">
        <f>AND(#REF!,"AAAAAHt93yw=")</f>
        <v>#REF!</v>
      </c>
      <c r="AT204" t="e">
        <f>AND(#REF!,"AAAAAHt93y0=")</f>
        <v>#REF!</v>
      </c>
      <c r="AU204" t="e">
        <f>AND(#REF!,"AAAAAHt93y4=")</f>
        <v>#REF!</v>
      </c>
      <c r="AV204" t="e">
        <f>IF(#REF!,"AAAAAHt93y8=",0)</f>
        <v>#REF!</v>
      </c>
      <c r="AW204" t="e">
        <f>AND(#REF!,"AAAAAHt93zA=")</f>
        <v>#REF!</v>
      </c>
      <c r="AX204" t="e">
        <f>AND(#REF!,"AAAAAHt93zE=")</f>
        <v>#REF!</v>
      </c>
      <c r="AY204" t="e">
        <f>AND(#REF!,"AAAAAHt93zI=")</f>
        <v>#REF!</v>
      </c>
      <c r="AZ204" t="e">
        <f>AND(#REF!,"AAAAAHt93zM=")</f>
        <v>#REF!</v>
      </c>
      <c r="BA204" t="e">
        <f>AND(#REF!,"AAAAAHt93zQ=")</f>
        <v>#REF!</v>
      </c>
      <c r="BB204" t="e">
        <f>AND(#REF!,"AAAAAHt93zU=")</f>
        <v>#REF!</v>
      </c>
      <c r="BC204" t="e">
        <f>AND(#REF!,"AAAAAHt93zY=")</f>
        <v>#REF!</v>
      </c>
      <c r="BD204" t="e">
        <f>AND(#REF!,"AAAAAHt93zc=")</f>
        <v>#REF!</v>
      </c>
      <c r="BE204" t="e">
        <f>AND(#REF!,"AAAAAHt93zg=")</f>
        <v>#REF!</v>
      </c>
      <c r="BF204" t="e">
        <f>AND(#REF!,"AAAAAHt93zk=")</f>
        <v>#REF!</v>
      </c>
      <c r="BG204" t="e">
        <f>IF(#REF!,"AAAAAHt93zo=",0)</f>
        <v>#REF!</v>
      </c>
      <c r="BH204" t="e">
        <f>AND(#REF!,"AAAAAHt93zs=")</f>
        <v>#REF!</v>
      </c>
      <c r="BI204" t="e">
        <f>AND(#REF!,"AAAAAHt93zw=")</f>
        <v>#REF!</v>
      </c>
      <c r="BJ204" t="e">
        <f>AND(#REF!,"AAAAAHt93z0=")</f>
        <v>#REF!</v>
      </c>
      <c r="BK204" t="e">
        <f>AND(#REF!,"AAAAAHt93z4=")</f>
        <v>#REF!</v>
      </c>
      <c r="BL204" t="e">
        <f>AND(#REF!,"AAAAAHt93z8=")</f>
        <v>#REF!</v>
      </c>
      <c r="BM204" t="e">
        <f>AND(#REF!,"AAAAAHt930A=")</f>
        <v>#REF!</v>
      </c>
      <c r="BN204" t="e">
        <f>AND(#REF!,"AAAAAHt930E=")</f>
        <v>#REF!</v>
      </c>
      <c r="BO204" t="e">
        <f>AND(#REF!,"AAAAAHt930I=")</f>
        <v>#REF!</v>
      </c>
      <c r="BP204" t="e">
        <f>AND(#REF!,"AAAAAHt930M=")</f>
        <v>#REF!</v>
      </c>
      <c r="BQ204" t="e">
        <f>AND(#REF!,"AAAAAHt930Q=")</f>
        <v>#REF!</v>
      </c>
      <c r="BR204" t="e">
        <f>IF(#REF!,"AAAAAHt930U=",0)</f>
        <v>#REF!</v>
      </c>
      <c r="BS204" t="e">
        <f>AND(#REF!,"AAAAAHt930Y=")</f>
        <v>#REF!</v>
      </c>
      <c r="BT204" t="e">
        <f>AND(#REF!,"AAAAAHt930c=")</f>
        <v>#REF!</v>
      </c>
      <c r="BU204" t="e">
        <f>AND(#REF!,"AAAAAHt930g=")</f>
        <v>#REF!</v>
      </c>
      <c r="BV204" t="e">
        <f>AND(#REF!,"AAAAAHt930k=")</f>
        <v>#REF!</v>
      </c>
      <c r="BW204" t="e">
        <f>AND(#REF!,"AAAAAHt930o=")</f>
        <v>#REF!</v>
      </c>
      <c r="BX204" t="e">
        <f>AND(#REF!,"AAAAAHt930s=")</f>
        <v>#REF!</v>
      </c>
      <c r="BY204" t="e">
        <f>AND(#REF!,"AAAAAHt930w=")</f>
        <v>#REF!</v>
      </c>
      <c r="BZ204" t="e">
        <f>AND(#REF!,"AAAAAHt9300=")</f>
        <v>#REF!</v>
      </c>
      <c r="CA204" t="e">
        <f>AND(#REF!,"AAAAAHt9304=")</f>
        <v>#REF!</v>
      </c>
      <c r="CB204" t="e">
        <f>AND(#REF!,"AAAAAHt9308=")</f>
        <v>#REF!</v>
      </c>
      <c r="CC204" t="e">
        <f>IF(#REF!,"AAAAAHt931A=",0)</f>
        <v>#REF!</v>
      </c>
      <c r="CD204" t="e">
        <f>AND(#REF!,"AAAAAHt931E=")</f>
        <v>#REF!</v>
      </c>
      <c r="CE204" t="e">
        <f>AND(#REF!,"AAAAAHt931I=")</f>
        <v>#REF!</v>
      </c>
      <c r="CF204" t="e">
        <f>AND(#REF!,"AAAAAHt931M=")</f>
        <v>#REF!</v>
      </c>
      <c r="CG204" t="e">
        <f>AND(#REF!,"AAAAAHt931Q=")</f>
        <v>#REF!</v>
      </c>
      <c r="CH204" t="e">
        <f>AND(#REF!,"AAAAAHt931U=")</f>
        <v>#REF!</v>
      </c>
      <c r="CI204" t="e">
        <f>AND(#REF!,"AAAAAHt931Y=")</f>
        <v>#REF!</v>
      </c>
      <c r="CJ204" t="e">
        <f>AND(#REF!,"AAAAAHt931c=")</f>
        <v>#REF!</v>
      </c>
      <c r="CK204" t="e">
        <f>AND(#REF!,"AAAAAHt931g=")</f>
        <v>#REF!</v>
      </c>
      <c r="CL204" t="e">
        <f>AND(#REF!,"AAAAAHt931k=")</f>
        <v>#REF!</v>
      </c>
      <c r="CM204" t="e">
        <f>AND(#REF!,"AAAAAHt931o=")</f>
        <v>#REF!</v>
      </c>
      <c r="CN204" t="e">
        <f>IF(#REF!,"AAAAAHt931s=",0)</f>
        <v>#REF!</v>
      </c>
      <c r="CO204" t="e">
        <f>AND(#REF!,"AAAAAHt931w=")</f>
        <v>#REF!</v>
      </c>
      <c r="CP204" t="e">
        <f>AND(#REF!,"AAAAAHt9310=")</f>
        <v>#REF!</v>
      </c>
      <c r="CQ204" t="e">
        <f>AND(#REF!,"AAAAAHt9314=")</f>
        <v>#REF!</v>
      </c>
      <c r="CR204" t="e">
        <f>AND(#REF!,"AAAAAHt9318=")</f>
        <v>#REF!</v>
      </c>
      <c r="CS204" t="e">
        <f>AND(#REF!,"AAAAAHt932A=")</f>
        <v>#REF!</v>
      </c>
      <c r="CT204" t="e">
        <f>AND(#REF!,"AAAAAHt932E=")</f>
        <v>#REF!</v>
      </c>
      <c r="CU204" t="e">
        <f>AND(#REF!,"AAAAAHt932I=")</f>
        <v>#REF!</v>
      </c>
      <c r="CV204" t="e">
        <f>AND(#REF!,"AAAAAHt932M=")</f>
        <v>#REF!</v>
      </c>
      <c r="CW204" t="e">
        <f>AND(#REF!,"AAAAAHt932Q=")</f>
        <v>#REF!</v>
      </c>
      <c r="CX204" t="e">
        <f>AND(#REF!,"AAAAAHt932U=")</f>
        <v>#REF!</v>
      </c>
      <c r="CY204" t="e">
        <f>IF(#REF!,"AAAAAHt932Y=",0)</f>
        <v>#REF!</v>
      </c>
      <c r="CZ204" t="e">
        <f>AND(#REF!,"AAAAAHt932c=")</f>
        <v>#REF!</v>
      </c>
      <c r="DA204" t="e">
        <f>AND(#REF!,"AAAAAHt932g=")</f>
        <v>#REF!</v>
      </c>
      <c r="DB204" t="e">
        <f>AND(#REF!,"AAAAAHt932k=")</f>
        <v>#REF!</v>
      </c>
      <c r="DC204" t="e">
        <f>AND(#REF!,"AAAAAHt932o=")</f>
        <v>#REF!</v>
      </c>
      <c r="DD204" t="e">
        <f>AND(#REF!,"AAAAAHt932s=")</f>
        <v>#REF!</v>
      </c>
      <c r="DE204" t="e">
        <f>AND(#REF!,"AAAAAHt932w=")</f>
        <v>#REF!</v>
      </c>
      <c r="DF204" t="e">
        <f>AND(#REF!,"AAAAAHt9320=")</f>
        <v>#REF!</v>
      </c>
      <c r="DG204" t="e">
        <f>AND(#REF!,"AAAAAHt9324=")</f>
        <v>#REF!</v>
      </c>
      <c r="DH204" t="e">
        <f>AND(#REF!,"AAAAAHt9328=")</f>
        <v>#REF!</v>
      </c>
      <c r="DI204" t="e">
        <f>AND(#REF!,"AAAAAHt933A=")</f>
        <v>#REF!</v>
      </c>
      <c r="DJ204" t="e">
        <f>IF(#REF!,"AAAAAHt933E=",0)</f>
        <v>#REF!</v>
      </c>
      <c r="DK204" t="e">
        <f>AND(#REF!,"AAAAAHt933I=")</f>
        <v>#REF!</v>
      </c>
      <c r="DL204" t="e">
        <f>AND(#REF!,"AAAAAHt933M=")</f>
        <v>#REF!</v>
      </c>
      <c r="DM204" t="e">
        <f>AND(#REF!,"AAAAAHt933Q=")</f>
        <v>#REF!</v>
      </c>
      <c r="DN204" t="e">
        <f>AND(#REF!,"AAAAAHt933U=")</f>
        <v>#REF!</v>
      </c>
      <c r="DO204" t="e">
        <f>AND(#REF!,"AAAAAHt933Y=")</f>
        <v>#REF!</v>
      </c>
      <c r="DP204" t="e">
        <f>AND(#REF!,"AAAAAHt933c=")</f>
        <v>#REF!</v>
      </c>
      <c r="DQ204" t="e">
        <f>AND(#REF!,"AAAAAHt933g=")</f>
        <v>#REF!</v>
      </c>
      <c r="DR204" t="e">
        <f>AND(#REF!,"AAAAAHt933k=")</f>
        <v>#REF!</v>
      </c>
      <c r="DS204" t="e">
        <f>AND(#REF!,"AAAAAHt933o=")</f>
        <v>#REF!</v>
      </c>
      <c r="DT204" t="e">
        <f>AND(#REF!,"AAAAAHt933s=")</f>
        <v>#REF!</v>
      </c>
      <c r="DU204" t="e">
        <f>IF(#REF!,"AAAAAHt933w=",0)</f>
        <v>#REF!</v>
      </c>
      <c r="DV204" t="e">
        <f>AND(#REF!,"AAAAAHt9330=")</f>
        <v>#REF!</v>
      </c>
      <c r="DW204" t="e">
        <f>AND(#REF!,"AAAAAHt9334=")</f>
        <v>#REF!</v>
      </c>
      <c r="DX204" t="e">
        <f>AND(#REF!,"AAAAAHt9338=")</f>
        <v>#REF!</v>
      </c>
      <c r="DY204" t="e">
        <f>AND(#REF!,"AAAAAHt934A=")</f>
        <v>#REF!</v>
      </c>
      <c r="DZ204" t="e">
        <f>AND(#REF!,"AAAAAHt934E=")</f>
        <v>#REF!</v>
      </c>
      <c r="EA204" t="e">
        <f>AND(#REF!,"AAAAAHt934I=")</f>
        <v>#REF!</v>
      </c>
      <c r="EB204" t="e">
        <f>AND(#REF!,"AAAAAHt934M=")</f>
        <v>#REF!</v>
      </c>
      <c r="EC204" t="e">
        <f>AND(#REF!,"AAAAAHt934Q=")</f>
        <v>#REF!</v>
      </c>
      <c r="ED204" t="e">
        <f>AND(#REF!,"AAAAAHt934U=")</f>
        <v>#REF!</v>
      </c>
      <c r="EE204" t="e">
        <f>AND(#REF!,"AAAAAHt934Y=")</f>
        <v>#REF!</v>
      </c>
      <c r="EF204" t="e">
        <f>IF(#REF!,"AAAAAHt934c=",0)</f>
        <v>#REF!</v>
      </c>
      <c r="EG204" t="e">
        <f>AND(#REF!,"AAAAAHt934g=")</f>
        <v>#REF!</v>
      </c>
      <c r="EH204" t="e">
        <f>AND(#REF!,"AAAAAHt934k=")</f>
        <v>#REF!</v>
      </c>
      <c r="EI204" t="e">
        <f>AND(#REF!,"AAAAAHt934o=")</f>
        <v>#REF!</v>
      </c>
      <c r="EJ204" t="e">
        <f>AND(#REF!,"AAAAAHt934s=")</f>
        <v>#REF!</v>
      </c>
      <c r="EK204" t="e">
        <f>AND(#REF!,"AAAAAHt934w=")</f>
        <v>#REF!</v>
      </c>
      <c r="EL204" t="e">
        <f>AND(#REF!,"AAAAAHt9340=")</f>
        <v>#REF!</v>
      </c>
      <c r="EM204" t="e">
        <f>AND(#REF!,"AAAAAHt9344=")</f>
        <v>#REF!</v>
      </c>
      <c r="EN204" t="e">
        <f>AND(#REF!,"AAAAAHt9348=")</f>
        <v>#REF!</v>
      </c>
      <c r="EO204" t="e">
        <f>AND(#REF!,"AAAAAHt935A=")</f>
        <v>#REF!</v>
      </c>
      <c r="EP204" t="e">
        <f>AND(#REF!,"AAAAAHt935E=")</f>
        <v>#REF!</v>
      </c>
      <c r="EQ204" t="e">
        <f>IF(#REF!,"AAAAAHt935I=",0)</f>
        <v>#REF!</v>
      </c>
      <c r="ER204" t="e">
        <f>AND(#REF!,"AAAAAHt935M=")</f>
        <v>#REF!</v>
      </c>
      <c r="ES204" t="e">
        <f>AND(#REF!,"AAAAAHt935Q=")</f>
        <v>#REF!</v>
      </c>
      <c r="ET204" t="e">
        <f>AND(#REF!,"AAAAAHt935U=")</f>
        <v>#REF!</v>
      </c>
      <c r="EU204" t="e">
        <f>AND(#REF!,"AAAAAHt935Y=")</f>
        <v>#REF!</v>
      </c>
      <c r="EV204" t="e">
        <f>AND(#REF!,"AAAAAHt935c=")</f>
        <v>#REF!</v>
      </c>
      <c r="EW204" t="e">
        <f>AND(#REF!,"AAAAAHt935g=")</f>
        <v>#REF!</v>
      </c>
      <c r="EX204" t="e">
        <f>AND(#REF!,"AAAAAHt935k=")</f>
        <v>#REF!</v>
      </c>
      <c r="EY204" t="e">
        <f>AND(#REF!,"AAAAAHt935o=")</f>
        <v>#REF!</v>
      </c>
      <c r="EZ204" t="e">
        <f>AND(#REF!,"AAAAAHt935s=")</f>
        <v>#REF!</v>
      </c>
      <c r="FA204" t="e">
        <f>AND(#REF!,"AAAAAHt935w=")</f>
        <v>#REF!</v>
      </c>
      <c r="FB204" t="e">
        <f>IF(#REF!,"AAAAAHt9350=",0)</f>
        <v>#REF!</v>
      </c>
      <c r="FC204" t="e">
        <f>AND(#REF!,"AAAAAHt9354=")</f>
        <v>#REF!</v>
      </c>
      <c r="FD204" t="e">
        <f>AND(#REF!,"AAAAAHt9358=")</f>
        <v>#REF!</v>
      </c>
      <c r="FE204" t="e">
        <f>AND(#REF!,"AAAAAHt936A=")</f>
        <v>#REF!</v>
      </c>
      <c r="FF204" t="e">
        <f>AND(#REF!,"AAAAAHt936E=")</f>
        <v>#REF!</v>
      </c>
      <c r="FG204" t="e">
        <f>AND(#REF!,"AAAAAHt936I=")</f>
        <v>#REF!</v>
      </c>
      <c r="FH204" t="e">
        <f>AND(#REF!,"AAAAAHt936M=")</f>
        <v>#REF!</v>
      </c>
      <c r="FI204" t="e">
        <f>AND(#REF!,"AAAAAHt936Q=")</f>
        <v>#REF!</v>
      </c>
      <c r="FJ204" t="e">
        <f>AND(#REF!,"AAAAAHt936U=")</f>
        <v>#REF!</v>
      </c>
      <c r="FK204" t="e">
        <f>AND(#REF!,"AAAAAHt936Y=")</f>
        <v>#REF!</v>
      </c>
      <c r="FL204" t="e">
        <f>AND(#REF!,"AAAAAHt936c=")</f>
        <v>#REF!</v>
      </c>
      <c r="FM204" t="e">
        <f>IF(#REF!,"AAAAAHt936g=",0)</f>
        <v>#REF!</v>
      </c>
      <c r="FN204" t="e">
        <f>AND(#REF!,"AAAAAHt936k=")</f>
        <v>#REF!</v>
      </c>
      <c r="FO204" t="e">
        <f>AND(#REF!,"AAAAAHt936o=")</f>
        <v>#REF!</v>
      </c>
      <c r="FP204" t="e">
        <f>AND(#REF!,"AAAAAHt936s=")</f>
        <v>#REF!</v>
      </c>
      <c r="FQ204" t="e">
        <f>AND(#REF!,"AAAAAHt936w=")</f>
        <v>#REF!</v>
      </c>
      <c r="FR204" t="e">
        <f>AND(#REF!,"AAAAAHt9360=")</f>
        <v>#REF!</v>
      </c>
      <c r="FS204" t="e">
        <f>AND(#REF!,"AAAAAHt9364=")</f>
        <v>#REF!</v>
      </c>
      <c r="FT204" t="e">
        <f>AND(#REF!,"AAAAAHt9368=")</f>
        <v>#REF!</v>
      </c>
      <c r="FU204" t="e">
        <f>AND(#REF!,"AAAAAHt937A=")</f>
        <v>#REF!</v>
      </c>
      <c r="FV204" t="e">
        <f>AND(#REF!,"AAAAAHt937E=")</f>
        <v>#REF!</v>
      </c>
      <c r="FW204" t="e">
        <f>AND(#REF!,"AAAAAHt937I=")</f>
        <v>#REF!</v>
      </c>
      <c r="FX204" t="e">
        <f>IF(#REF!,"AAAAAHt937M=",0)</f>
        <v>#REF!</v>
      </c>
      <c r="FY204" t="e">
        <f>AND(#REF!,"AAAAAHt937Q=")</f>
        <v>#REF!</v>
      </c>
      <c r="FZ204" t="e">
        <f>AND(#REF!,"AAAAAHt937U=")</f>
        <v>#REF!</v>
      </c>
      <c r="GA204" t="e">
        <f>AND(#REF!,"AAAAAHt937Y=")</f>
        <v>#REF!</v>
      </c>
      <c r="GB204" t="e">
        <f>AND(#REF!,"AAAAAHt937c=")</f>
        <v>#REF!</v>
      </c>
      <c r="GC204" t="e">
        <f>AND(#REF!,"AAAAAHt937g=")</f>
        <v>#REF!</v>
      </c>
      <c r="GD204" t="e">
        <f>AND(#REF!,"AAAAAHt937k=")</f>
        <v>#REF!</v>
      </c>
      <c r="GE204" t="e">
        <f>AND(#REF!,"AAAAAHt937o=")</f>
        <v>#REF!</v>
      </c>
      <c r="GF204" t="e">
        <f>AND(#REF!,"AAAAAHt937s=")</f>
        <v>#REF!</v>
      </c>
      <c r="GG204" t="e">
        <f>AND(#REF!,"AAAAAHt937w=")</f>
        <v>#REF!</v>
      </c>
      <c r="GH204" t="e">
        <f>AND(#REF!,"AAAAAHt9370=")</f>
        <v>#REF!</v>
      </c>
      <c r="GI204" t="e">
        <f>IF(#REF!,"AAAAAHt9374=",0)</f>
        <v>#REF!</v>
      </c>
      <c r="GJ204" t="e">
        <f>AND(#REF!,"AAAAAHt9378=")</f>
        <v>#REF!</v>
      </c>
      <c r="GK204" t="e">
        <f>AND(#REF!,"AAAAAHt938A=")</f>
        <v>#REF!</v>
      </c>
      <c r="GL204" t="e">
        <f>AND(#REF!,"AAAAAHt938E=")</f>
        <v>#REF!</v>
      </c>
      <c r="GM204" t="e">
        <f>AND(#REF!,"AAAAAHt938I=")</f>
        <v>#REF!</v>
      </c>
      <c r="GN204" t="e">
        <f>AND(#REF!,"AAAAAHt938M=")</f>
        <v>#REF!</v>
      </c>
      <c r="GO204" t="e">
        <f>AND(#REF!,"AAAAAHt938Q=")</f>
        <v>#REF!</v>
      </c>
      <c r="GP204" t="e">
        <f>AND(#REF!,"AAAAAHt938U=")</f>
        <v>#REF!</v>
      </c>
      <c r="GQ204" t="e">
        <f>AND(#REF!,"AAAAAHt938Y=")</f>
        <v>#REF!</v>
      </c>
      <c r="GR204" t="e">
        <f>AND(#REF!,"AAAAAHt938c=")</f>
        <v>#REF!</v>
      </c>
      <c r="GS204" t="e">
        <f>AND(#REF!,"AAAAAHt938g=")</f>
        <v>#REF!</v>
      </c>
      <c r="GT204" t="e">
        <f>IF(#REF!,"AAAAAHt938k=",0)</f>
        <v>#REF!</v>
      </c>
      <c r="GU204" t="e">
        <f>AND(#REF!,"AAAAAHt938o=")</f>
        <v>#REF!</v>
      </c>
      <c r="GV204" t="e">
        <f>AND(#REF!,"AAAAAHt938s=")</f>
        <v>#REF!</v>
      </c>
      <c r="GW204" t="e">
        <f>AND(#REF!,"AAAAAHt938w=")</f>
        <v>#REF!</v>
      </c>
      <c r="GX204" t="e">
        <f>AND(#REF!,"AAAAAHt9380=")</f>
        <v>#REF!</v>
      </c>
      <c r="GY204" t="e">
        <f>AND(#REF!,"AAAAAHt9384=")</f>
        <v>#REF!</v>
      </c>
      <c r="GZ204" t="e">
        <f>AND(#REF!,"AAAAAHt9388=")</f>
        <v>#REF!</v>
      </c>
      <c r="HA204" t="e">
        <f>AND(#REF!,"AAAAAHt939A=")</f>
        <v>#REF!</v>
      </c>
      <c r="HB204" t="e">
        <f>AND(#REF!,"AAAAAHt939E=")</f>
        <v>#REF!</v>
      </c>
      <c r="HC204" t="e">
        <f>AND(#REF!,"AAAAAHt939I=")</f>
        <v>#REF!</v>
      </c>
      <c r="HD204" t="e">
        <f>AND(#REF!,"AAAAAHt939M=")</f>
        <v>#REF!</v>
      </c>
      <c r="HE204" t="e">
        <f>IF(#REF!,"AAAAAHt939Q=",0)</f>
        <v>#REF!</v>
      </c>
      <c r="HF204" t="e">
        <f>AND(#REF!,"AAAAAHt939U=")</f>
        <v>#REF!</v>
      </c>
      <c r="HG204" t="e">
        <f>AND(#REF!,"AAAAAHt939Y=")</f>
        <v>#REF!</v>
      </c>
      <c r="HH204" t="e">
        <f>AND(#REF!,"AAAAAHt939c=")</f>
        <v>#REF!</v>
      </c>
      <c r="HI204" t="e">
        <f>AND(#REF!,"AAAAAHt939g=")</f>
        <v>#REF!</v>
      </c>
      <c r="HJ204" t="e">
        <f>AND(#REF!,"AAAAAHt939k=")</f>
        <v>#REF!</v>
      </c>
      <c r="HK204" t="e">
        <f>AND(#REF!,"AAAAAHt939o=")</f>
        <v>#REF!</v>
      </c>
      <c r="HL204" t="e">
        <f>AND(#REF!,"AAAAAHt939s=")</f>
        <v>#REF!</v>
      </c>
      <c r="HM204" t="e">
        <f>AND(#REF!,"AAAAAHt939w=")</f>
        <v>#REF!</v>
      </c>
      <c r="HN204" t="e">
        <f>AND(#REF!,"AAAAAHt9390=")</f>
        <v>#REF!</v>
      </c>
      <c r="HO204" t="e">
        <f>AND(#REF!,"AAAAAHt9394=")</f>
        <v>#REF!</v>
      </c>
      <c r="HP204" t="e">
        <f>IF(#REF!,"AAAAAHt9398=",0)</f>
        <v>#REF!</v>
      </c>
      <c r="HQ204" t="e">
        <f>AND(#REF!,"AAAAAHt93+A=")</f>
        <v>#REF!</v>
      </c>
      <c r="HR204" t="e">
        <f>AND(#REF!,"AAAAAHt93+E=")</f>
        <v>#REF!</v>
      </c>
      <c r="HS204" t="e">
        <f>AND(#REF!,"AAAAAHt93+I=")</f>
        <v>#REF!</v>
      </c>
      <c r="HT204" t="e">
        <f>AND(#REF!,"AAAAAHt93+M=")</f>
        <v>#REF!</v>
      </c>
      <c r="HU204" t="e">
        <f>AND(#REF!,"AAAAAHt93+Q=")</f>
        <v>#REF!</v>
      </c>
      <c r="HV204" t="e">
        <f>AND(#REF!,"AAAAAHt93+U=")</f>
        <v>#REF!</v>
      </c>
      <c r="HW204" t="e">
        <f>AND(#REF!,"AAAAAHt93+Y=")</f>
        <v>#REF!</v>
      </c>
      <c r="HX204" t="e">
        <f>AND(#REF!,"AAAAAHt93+c=")</f>
        <v>#REF!</v>
      </c>
      <c r="HY204" t="e">
        <f>AND(#REF!,"AAAAAHt93+g=")</f>
        <v>#REF!</v>
      </c>
      <c r="HZ204" t="e">
        <f>AND(#REF!,"AAAAAHt93+k=")</f>
        <v>#REF!</v>
      </c>
      <c r="IA204" t="e">
        <f>IF(#REF!,"AAAAAHt93+o=",0)</f>
        <v>#REF!</v>
      </c>
      <c r="IB204" t="e">
        <f>AND(#REF!,"AAAAAHt93+s=")</f>
        <v>#REF!</v>
      </c>
      <c r="IC204" t="e">
        <f>AND(#REF!,"AAAAAHt93+w=")</f>
        <v>#REF!</v>
      </c>
      <c r="ID204" t="e">
        <f>AND(#REF!,"AAAAAHt93+0=")</f>
        <v>#REF!</v>
      </c>
      <c r="IE204" t="e">
        <f>AND(#REF!,"AAAAAHt93+4=")</f>
        <v>#REF!</v>
      </c>
      <c r="IF204" t="e">
        <f>AND(#REF!,"AAAAAHt93+8=")</f>
        <v>#REF!</v>
      </c>
      <c r="IG204" t="e">
        <f>AND(#REF!,"AAAAAHt93/A=")</f>
        <v>#REF!</v>
      </c>
      <c r="IH204" t="e">
        <f>AND(#REF!,"AAAAAHt93/E=")</f>
        <v>#REF!</v>
      </c>
      <c r="II204" t="e">
        <f>AND(#REF!,"AAAAAHt93/I=")</f>
        <v>#REF!</v>
      </c>
      <c r="IJ204" t="e">
        <f>AND(#REF!,"AAAAAHt93/M=")</f>
        <v>#REF!</v>
      </c>
      <c r="IK204" t="e">
        <f>AND(#REF!,"AAAAAHt93/Q=")</f>
        <v>#REF!</v>
      </c>
      <c r="IL204" t="e">
        <f>IF(#REF!,"AAAAAHt93/U=",0)</f>
        <v>#REF!</v>
      </c>
      <c r="IM204" t="e">
        <f>AND(#REF!,"AAAAAHt93/Y=")</f>
        <v>#REF!</v>
      </c>
      <c r="IN204" t="e">
        <f>AND(#REF!,"AAAAAHt93/c=")</f>
        <v>#REF!</v>
      </c>
      <c r="IO204" t="e">
        <f>AND(#REF!,"AAAAAHt93/g=")</f>
        <v>#REF!</v>
      </c>
      <c r="IP204" t="e">
        <f>AND(#REF!,"AAAAAHt93/k=")</f>
        <v>#REF!</v>
      </c>
      <c r="IQ204" t="e">
        <f>AND(#REF!,"AAAAAHt93/o=")</f>
        <v>#REF!</v>
      </c>
      <c r="IR204" t="e">
        <f>AND(#REF!,"AAAAAHt93/s=")</f>
        <v>#REF!</v>
      </c>
      <c r="IS204" t="e">
        <f>AND(#REF!,"AAAAAHt93/w=")</f>
        <v>#REF!</v>
      </c>
      <c r="IT204" t="e">
        <f>AND(#REF!,"AAAAAHt93/0=")</f>
        <v>#REF!</v>
      </c>
      <c r="IU204" t="e">
        <f>AND(#REF!,"AAAAAHt93/4=")</f>
        <v>#REF!</v>
      </c>
      <c r="IV204" t="e">
        <f>AND(#REF!,"AAAAAHt93/8=")</f>
        <v>#REF!</v>
      </c>
    </row>
    <row r="205" spans="1:256" x14ac:dyDescent="0.25">
      <c r="A205" t="e">
        <f>IF(#REF!,"AAAAAE/KfwA=",0)</f>
        <v>#REF!</v>
      </c>
      <c r="B205" t="e">
        <f>AND(#REF!,"AAAAAE/KfwE=")</f>
        <v>#REF!</v>
      </c>
      <c r="C205" t="e">
        <f>AND(#REF!,"AAAAAE/KfwI=")</f>
        <v>#REF!</v>
      </c>
      <c r="D205" t="e">
        <f>AND(#REF!,"AAAAAE/KfwM=")</f>
        <v>#REF!</v>
      </c>
      <c r="E205" t="e">
        <f>AND(#REF!,"AAAAAE/KfwQ=")</f>
        <v>#REF!</v>
      </c>
      <c r="F205" t="e">
        <f>AND(#REF!,"AAAAAE/KfwU=")</f>
        <v>#REF!</v>
      </c>
      <c r="G205" t="e">
        <f>AND(#REF!,"AAAAAE/KfwY=")</f>
        <v>#REF!</v>
      </c>
      <c r="H205" t="e">
        <f>AND(#REF!,"AAAAAE/Kfwc=")</f>
        <v>#REF!</v>
      </c>
      <c r="I205" t="e">
        <f>AND(#REF!,"AAAAAE/Kfwg=")</f>
        <v>#REF!</v>
      </c>
      <c r="J205" t="e">
        <f>AND(#REF!,"AAAAAE/Kfwk=")</f>
        <v>#REF!</v>
      </c>
      <c r="K205" t="e">
        <f>AND(#REF!,"AAAAAE/Kfwo=")</f>
        <v>#REF!</v>
      </c>
      <c r="L205" t="e">
        <f>IF(#REF!,"AAAAAE/Kfws=",0)</f>
        <v>#REF!</v>
      </c>
      <c r="M205" t="e">
        <f>AND(#REF!,"AAAAAE/Kfww=")</f>
        <v>#REF!</v>
      </c>
      <c r="N205" t="e">
        <f>AND(#REF!,"AAAAAE/Kfw0=")</f>
        <v>#REF!</v>
      </c>
      <c r="O205" t="e">
        <f>AND(#REF!,"AAAAAE/Kfw4=")</f>
        <v>#REF!</v>
      </c>
      <c r="P205" t="e">
        <f>AND(#REF!,"AAAAAE/Kfw8=")</f>
        <v>#REF!</v>
      </c>
      <c r="Q205" t="e">
        <f>AND(#REF!,"AAAAAE/KfxA=")</f>
        <v>#REF!</v>
      </c>
      <c r="R205" t="e">
        <f>AND(#REF!,"AAAAAE/KfxE=")</f>
        <v>#REF!</v>
      </c>
      <c r="S205" t="e">
        <f>AND(#REF!,"AAAAAE/KfxI=")</f>
        <v>#REF!</v>
      </c>
      <c r="T205" t="e">
        <f>AND(#REF!,"AAAAAE/KfxM=")</f>
        <v>#REF!</v>
      </c>
      <c r="U205" t="e">
        <f>AND(#REF!,"AAAAAE/KfxQ=")</f>
        <v>#REF!</v>
      </c>
      <c r="V205" t="e">
        <f>AND(#REF!,"AAAAAE/KfxU=")</f>
        <v>#REF!</v>
      </c>
      <c r="W205" t="e">
        <f>IF(#REF!,"AAAAAE/KfxY=",0)</f>
        <v>#REF!</v>
      </c>
      <c r="X205" t="e">
        <f>AND(#REF!,"AAAAAE/Kfxc=")</f>
        <v>#REF!</v>
      </c>
      <c r="Y205" t="e">
        <f>AND(#REF!,"AAAAAE/Kfxg=")</f>
        <v>#REF!</v>
      </c>
      <c r="Z205" t="e">
        <f>AND(#REF!,"AAAAAE/Kfxk=")</f>
        <v>#REF!</v>
      </c>
      <c r="AA205" t="e">
        <f>AND(#REF!,"AAAAAE/Kfxo=")</f>
        <v>#REF!</v>
      </c>
      <c r="AB205" t="e">
        <f>AND(#REF!,"AAAAAE/Kfxs=")</f>
        <v>#REF!</v>
      </c>
      <c r="AC205" t="e">
        <f>AND(#REF!,"AAAAAE/Kfxw=")</f>
        <v>#REF!</v>
      </c>
      <c r="AD205" t="e">
        <f>AND(#REF!,"AAAAAE/Kfx0=")</f>
        <v>#REF!</v>
      </c>
      <c r="AE205" t="e">
        <f>AND(#REF!,"AAAAAE/Kfx4=")</f>
        <v>#REF!</v>
      </c>
      <c r="AF205" t="e">
        <f>AND(#REF!,"AAAAAE/Kfx8=")</f>
        <v>#REF!</v>
      </c>
      <c r="AG205" t="e">
        <f>AND(#REF!,"AAAAAE/KfyA=")</f>
        <v>#REF!</v>
      </c>
      <c r="AH205" t="e">
        <f>IF(#REF!,"AAAAAE/KfyE=",0)</f>
        <v>#REF!</v>
      </c>
      <c r="AI205" t="e">
        <f>AND(#REF!,"AAAAAE/KfyI=")</f>
        <v>#REF!</v>
      </c>
      <c r="AJ205" t="e">
        <f>AND(#REF!,"AAAAAE/KfyM=")</f>
        <v>#REF!</v>
      </c>
      <c r="AK205" t="e">
        <f>AND(#REF!,"AAAAAE/KfyQ=")</f>
        <v>#REF!</v>
      </c>
      <c r="AL205" t="e">
        <f>AND(#REF!,"AAAAAE/KfyU=")</f>
        <v>#REF!</v>
      </c>
      <c r="AM205" t="e">
        <f>AND(#REF!,"AAAAAE/KfyY=")</f>
        <v>#REF!</v>
      </c>
      <c r="AN205" t="e">
        <f>AND(#REF!,"AAAAAE/Kfyc=")</f>
        <v>#REF!</v>
      </c>
      <c r="AO205" t="e">
        <f>AND(#REF!,"AAAAAE/Kfyg=")</f>
        <v>#REF!</v>
      </c>
      <c r="AP205" t="e">
        <f>AND(#REF!,"AAAAAE/Kfyk=")</f>
        <v>#REF!</v>
      </c>
      <c r="AQ205" t="e">
        <f>AND(#REF!,"AAAAAE/Kfyo=")</f>
        <v>#REF!</v>
      </c>
      <c r="AR205" t="e">
        <f>AND(#REF!,"AAAAAE/Kfys=")</f>
        <v>#REF!</v>
      </c>
      <c r="AS205" t="e">
        <f>IF(#REF!,"AAAAAE/Kfyw=",0)</f>
        <v>#REF!</v>
      </c>
      <c r="AT205" t="e">
        <f>AND(#REF!,"AAAAAE/Kfy0=")</f>
        <v>#REF!</v>
      </c>
      <c r="AU205" t="e">
        <f>AND(#REF!,"AAAAAE/Kfy4=")</f>
        <v>#REF!</v>
      </c>
      <c r="AV205" t="e">
        <f>AND(#REF!,"AAAAAE/Kfy8=")</f>
        <v>#REF!</v>
      </c>
      <c r="AW205" t="e">
        <f>AND(#REF!,"AAAAAE/KfzA=")</f>
        <v>#REF!</v>
      </c>
      <c r="AX205" t="e">
        <f>AND(#REF!,"AAAAAE/KfzE=")</f>
        <v>#REF!</v>
      </c>
      <c r="AY205" t="e">
        <f>AND(#REF!,"AAAAAE/KfzI=")</f>
        <v>#REF!</v>
      </c>
      <c r="AZ205" t="e">
        <f>AND(#REF!,"AAAAAE/KfzM=")</f>
        <v>#REF!</v>
      </c>
      <c r="BA205" t="e">
        <f>AND(#REF!,"AAAAAE/KfzQ=")</f>
        <v>#REF!</v>
      </c>
      <c r="BB205" t="e">
        <f>AND(#REF!,"AAAAAE/KfzU=")</f>
        <v>#REF!</v>
      </c>
      <c r="BC205" t="e">
        <f>AND(#REF!,"AAAAAE/KfzY=")</f>
        <v>#REF!</v>
      </c>
      <c r="BD205" t="e">
        <f>IF(#REF!,"AAAAAE/Kfzc=",0)</f>
        <v>#REF!</v>
      </c>
      <c r="BE205" t="e">
        <f>AND(#REF!,"AAAAAE/Kfzg=")</f>
        <v>#REF!</v>
      </c>
      <c r="BF205" t="e">
        <f>AND(#REF!,"AAAAAE/Kfzk=")</f>
        <v>#REF!</v>
      </c>
      <c r="BG205" t="e">
        <f>AND(#REF!,"AAAAAE/Kfzo=")</f>
        <v>#REF!</v>
      </c>
      <c r="BH205" t="e">
        <f>AND(#REF!,"AAAAAE/Kfzs=")</f>
        <v>#REF!</v>
      </c>
      <c r="BI205" t="e">
        <f>AND(#REF!,"AAAAAE/Kfzw=")</f>
        <v>#REF!</v>
      </c>
      <c r="BJ205" t="e">
        <f>AND(#REF!,"AAAAAE/Kfz0=")</f>
        <v>#REF!</v>
      </c>
      <c r="BK205" t="e">
        <f>AND(#REF!,"AAAAAE/Kfz4=")</f>
        <v>#REF!</v>
      </c>
      <c r="BL205" t="e">
        <f>AND(#REF!,"AAAAAE/Kfz8=")</f>
        <v>#REF!</v>
      </c>
      <c r="BM205" t="e">
        <f>AND(#REF!,"AAAAAE/Kf0A=")</f>
        <v>#REF!</v>
      </c>
      <c r="BN205" t="e">
        <f>AND(#REF!,"AAAAAE/Kf0E=")</f>
        <v>#REF!</v>
      </c>
      <c r="BO205" t="e">
        <f>IF(#REF!,"AAAAAE/Kf0I=",0)</f>
        <v>#REF!</v>
      </c>
      <c r="BP205" t="e">
        <f>AND(#REF!,"AAAAAE/Kf0M=")</f>
        <v>#REF!</v>
      </c>
      <c r="BQ205" t="e">
        <f>AND(#REF!,"AAAAAE/Kf0Q=")</f>
        <v>#REF!</v>
      </c>
      <c r="BR205" t="e">
        <f>AND(#REF!,"AAAAAE/Kf0U=")</f>
        <v>#REF!</v>
      </c>
      <c r="BS205" t="e">
        <f>AND(#REF!,"AAAAAE/Kf0Y=")</f>
        <v>#REF!</v>
      </c>
      <c r="BT205" t="e">
        <f>AND(#REF!,"AAAAAE/Kf0c=")</f>
        <v>#REF!</v>
      </c>
      <c r="BU205" t="e">
        <f>AND(#REF!,"AAAAAE/Kf0g=")</f>
        <v>#REF!</v>
      </c>
      <c r="BV205" t="e">
        <f>AND(#REF!,"AAAAAE/Kf0k=")</f>
        <v>#REF!</v>
      </c>
      <c r="BW205" t="e">
        <f>AND(#REF!,"AAAAAE/Kf0o=")</f>
        <v>#REF!</v>
      </c>
      <c r="BX205" t="e">
        <f>AND(#REF!,"AAAAAE/Kf0s=")</f>
        <v>#REF!</v>
      </c>
      <c r="BY205" t="e">
        <f>AND(#REF!,"AAAAAE/Kf0w=")</f>
        <v>#REF!</v>
      </c>
      <c r="BZ205" t="e">
        <f>IF(#REF!,"AAAAAE/Kf00=",0)</f>
        <v>#REF!</v>
      </c>
      <c r="CA205" t="e">
        <f>AND(#REF!,"AAAAAE/Kf04=")</f>
        <v>#REF!</v>
      </c>
      <c r="CB205" t="e">
        <f>AND(#REF!,"AAAAAE/Kf08=")</f>
        <v>#REF!</v>
      </c>
      <c r="CC205" t="e">
        <f>AND(#REF!,"AAAAAE/Kf1A=")</f>
        <v>#REF!</v>
      </c>
      <c r="CD205" t="e">
        <f>AND(#REF!,"AAAAAE/Kf1E=")</f>
        <v>#REF!</v>
      </c>
      <c r="CE205" t="e">
        <f>AND(#REF!,"AAAAAE/Kf1I=")</f>
        <v>#REF!</v>
      </c>
      <c r="CF205" t="e">
        <f>AND(#REF!,"AAAAAE/Kf1M=")</f>
        <v>#REF!</v>
      </c>
      <c r="CG205" t="e">
        <f>AND(#REF!,"AAAAAE/Kf1Q=")</f>
        <v>#REF!</v>
      </c>
      <c r="CH205" t="e">
        <f>AND(#REF!,"AAAAAE/Kf1U=")</f>
        <v>#REF!</v>
      </c>
      <c r="CI205" t="e">
        <f>AND(#REF!,"AAAAAE/Kf1Y=")</f>
        <v>#REF!</v>
      </c>
      <c r="CJ205" t="e">
        <f>AND(#REF!,"AAAAAE/Kf1c=")</f>
        <v>#REF!</v>
      </c>
      <c r="CK205" t="e">
        <f>IF(#REF!,"AAAAAE/Kf1g=",0)</f>
        <v>#REF!</v>
      </c>
      <c r="CL205" t="e">
        <f>AND(#REF!,"AAAAAE/Kf1k=")</f>
        <v>#REF!</v>
      </c>
      <c r="CM205" t="e">
        <f>AND(#REF!,"AAAAAE/Kf1o=")</f>
        <v>#REF!</v>
      </c>
      <c r="CN205" t="e">
        <f>AND(#REF!,"AAAAAE/Kf1s=")</f>
        <v>#REF!</v>
      </c>
      <c r="CO205" t="e">
        <f>AND(#REF!,"AAAAAE/Kf1w=")</f>
        <v>#REF!</v>
      </c>
      <c r="CP205" t="e">
        <f>AND(#REF!,"AAAAAE/Kf10=")</f>
        <v>#REF!</v>
      </c>
      <c r="CQ205" t="e">
        <f>AND(#REF!,"AAAAAE/Kf14=")</f>
        <v>#REF!</v>
      </c>
      <c r="CR205" t="e">
        <f>AND(#REF!,"AAAAAE/Kf18=")</f>
        <v>#REF!</v>
      </c>
      <c r="CS205" t="e">
        <f>AND(#REF!,"AAAAAE/Kf2A=")</f>
        <v>#REF!</v>
      </c>
      <c r="CT205" t="e">
        <f>AND(#REF!,"AAAAAE/Kf2E=")</f>
        <v>#REF!</v>
      </c>
      <c r="CU205" t="e">
        <f>AND(#REF!,"AAAAAE/Kf2I=")</f>
        <v>#REF!</v>
      </c>
      <c r="CV205" t="e">
        <f>IF(#REF!,"AAAAAE/Kf2M=",0)</f>
        <v>#REF!</v>
      </c>
      <c r="CW205" t="e">
        <f>AND(#REF!,"AAAAAE/Kf2Q=")</f>
        <v>#REF!</v>
      </c>
      <c r="CX205" t="e">
        <f>AND(#REF!,"AAAAAE/Kf2U=")</f>
        <v>#REF!</v>
      </c>
      <c r="CY205" t="e">
        <f>AND(#REF!,"AAAAAE/Kf2Y=")</f>
        <v>#REF!</v>
      </c>
      <c r="CZ205" t="e">
        <f>AND(#REF!,"AAAAAE/Kf2c=")</f>
        <v>#REF!</v>
      </c>
      <c r="DA205" t="e">
        <f>AND(#REF!,"AAAAAE/Kf2g=")</f>
        <v>#REF!</v>
      </c>
      <c r="DB205" t="e">
        <f>AND(#REF!,"AAAAAE/Kf2k=")</f>
        <v>#REF!</v>
      </c>
      <c r="DC205" t="e">
        <f>AND(#REF!,"AAAAAE/Kf2o=")</f>
        <v>#REF!</v>
      </c>
      <c r="DD205" t="e">
        <f>AND(#REF!,"AAAAAE/Kf2s=")</f>
        <v>#REF!</v>
      </c>
      <c r="DE205" t="e">
        <f>AND(#REF!,"AAAAAE/Kf2w=")</f>
        <v>#REF!</v>
      </c>
      <c r="DF205" t="e">
        <f>AND(#REF!,"AAAAAE/Kf20=")</f>
        <v>#REF!</v>
      </c>
      <c r="DG205" t="e">
        <f>IF(#REF!,"AAAAAE/Kf24=",0)</f>
        <v>#REF!</v>
      </c>
      <c r="DH205" t="e">
        <f>AND(#REF!,"AAAAAE/Kf28=")</f>
        <v>#REF!</v>
      </c>
      <c r="DI205" t="e">
        <f>AND(#REF!,"AAAAAE/Kf3A=")</f>
        <v>#REF!</v>
      </c>
      <c r="DJ205" t="e">
        <f>AND(#REF!,"AAAAAE/Kf3E=")</f>
        <v>#REF!</v>
      </c>
      <c r="DK205" t="e">
        <f>AND(#REF!,"AAAAAE/Kf3I=")</f>
        <v>#REF!</v>
      </c>
      <c r="DL205" t="e">
        <f>AND(#REF!,"AAAAAE/Kf3M=")</f>
        <v>#REF!</v>
      </c>
      <c r="DM205" t="e">
        <f>AND(#REF!,"AAAAAE/Kf3Q=")</f>
        <v>#REF!</v>
      </c>
      <c r="DN205" t="e">
        <f>AND(#REF!,"AAAAAE/Kf3U=")</f>
        <v>#REF!</v>
      </c>
      <c r="DO205" t="e">
        <f>AND(#REF!,"AAAAAE/Kf3Y=")</f>
        <v>#REF!</v>
      </c>
      <c r="DP205" t="e">
        <f>AND(#REF!,"AAAAAE/Kf3c=")</f>
        <v>#REF!</v>
      </c>
      <c r="DQ205" t="e">
        <f>AND(#REF!,"AAAAAE/Kf3g=")</f>
        <v>#REF!</v>
      </c>
      <c r="DR205" t="e">
        <f>IF(#REF!,"AAAAAE/Kf3k=",0)</f>
        <v>#REF!</v>
      </c>
      <c r="DS205" t="e">
        <f>AND(#REF!,"AAAAAE/Kf3o=")</f>
        <v>#REF!</v>
      </c>
      <c r="DT205" t="e">
        <f>AND(#REF!,"AAAAAE/Kf3s=")</f>
        <v>#REF!</v>
      </c>
      <c r="DU205" t="e">
        <f>AND(#REF!,"AAAAAE/Kf3w=")</f>
        <v>#REF!</v>
      </c>
      <c r="DV205" t="e">
        <f>AND(#REF!,"AAAAAE/Kf30=")</f>
        <v>#REF!</v>
      </c>
      <c r="DW205" t="e">
        <f>AND(#REF!,"AAAAAE/Kf34=")</f>
        <v>#REF!</v>
      </c>
      <c r="DX205" t="e">
        <f>AND(#REF!,"AAAAAE/Kf38=")</f>
        <v>#REF!</v>
      </c>
      <c r="DY205" t="e">
        <f>AND(#REF!,"AAAAAE/Kf4A=")</f>
        <v>#REF!</v>
      </c>
      <c r="DZ205" t="e">
        <f>AND(#REF!,"AAAAAE/Kf4E=")</f>
        <v>#REF!</v>
      </c>
      <c r="EA205" t="e">
        <f>AND(#REF!,"AAAAAE/Kf4I=")</f>
        <v>#REF!</v>
      </c>
      <c r="EB205" t="e">
        <f>AND(#REF!,"AAAAAE/Kf4M=")</f>
        <v>#REF!</v>
      </c>
      <c r="EC205" t="e">
        <f>IF(#REF!,"AAAAAE/Kf4Q=",0)</f>
        <v>#REF!</v>
      </c>
      <c r="ED205" t="e">
        <f>AND(#REF!,"AAAAAE/Kf4U=")</f>
        <v>#REF!</v>
      </c>
      <c r="EE205" t="e">
        <f>AND(#REF!,"AAAAAE/Kf4Y=")</f>
        <v>#REF!</v>
      </c>
      <c r="EF205" t="e">
        <f>AND(#REF!,"AAAAAE/Kf4c=")</f>
        <v>#REF!</v>
      </c>
      <c r="EG205" t="e">
        <f>AND(#REF!,"AAAAAE/Kf4g=")</f>
        <v>#REF!</v>
      </c>
      <c r="EH205" t="e">
        <f>AND(#REF!,"AAAAAE/Kf4k=")</f>
        <v>#REF!</v>
      </c>
      <c r="EI205" t="e">
        <f>AND(#REF!,"AAAAAE/Kf4o=")</f>
        <v>#REF!</v>
      </c>
      <c r="EJ205" t="e">
        <f>AND(#REF!,"AAAAAE/Kf4s=")</f>
        <v>#REF!</v>
      </c>
      <c r="EK205" t="e">
        <f>AND(#REF!,"AAAAAE/Kf4w=")</f>
        <v>#REF!</v>
      </c>
      <c r="EL205" t="e">
        <f>AND(#REF!,"AAAAAE/Kf40=")</f>
        <v>#REF!</v>
      </c>
      <c r="EM205" t="e">
        <f>AND(#REF!,"AAAAAE/Kf44=")</f>
        <v>#REF!</v>
      </c>
      <c r="EN205" t="e">
        <f>IF(#REF!,"AAAAAE/Kf48=",0)</f>
        <v>#REF!</v>
      </c>
      <c r="EO205" t="e">
        <f>AND(#REF!,"AAAAAE/Kf5A=")</f>
        <v>#REF!</v>
      </c>
      <c r="EP205" t="e">
        <f>AND(#REF!,"AAAAAE/Kf5E=")</f>
        <v>#REF!</v>
      </c>
      <c r="EQ205" t="e">
        <f>AND(#REF!,"AAAAAE/Kf5I=")</f>
        <v>#REF!</v>
      </c>
      <c r="ER205" t="e">
        <f>AND(#REF!,"AAAAAE/Kf5M=")</f>
        <v>#REF!</v>
      </c>
      <c r="ES205" t="e">
        <f>AND(#REF!,"AAAAAE/Kf5Q=")</f>
        <v>#REF!</v>
      </c>
      <c r="ET205" t="e">
        <f>AND(#REF!,"AAAAAE/Kf5U=")</f>
        <v>#REF!</v>
      </c>
      <c r="EU205" t="e">
        <f>AND(#REF!,"AAAAAE/Kf5Y=")</f>
        <v>#REF!</v>
      </c>
      <c r="EV205" t="e">
        <f>AND(#REF!,"AAAAAE/Kf5c=")</f>
        <v>#REF!</v>
      </c>
      <c r="EW205" t="e">
        <f>AND(#REF!,"AAAAAE/Kf5g=")</f>
        <v>#REF!</v>
      </c>
      <c r="EX205" t="e">
        <f>AND(#REF!,"AAAAAE/Kf5k=")</f>
        <v>#REF!</v>
      </c>
      <c r="EY205" t="e">
        <f>IF(#REF!,"AAAAAE/Kf5o=",0)</f>
        <v>#REF!</v>
      </c>
      <c r="EZ205" t="e">
        <f>AND(#REF!,"AAAAAE/Kf5s=")</f>
        <v>#REF!</v>
      </c>
      <c r="FA205" t="e">
        <f>AND(#REF!,"AAAAAE/Kf5w=")</f>
        <v>#REF!</v>
      </c>
      <c r="FB205" t="e">
        <f>AND(#REF!,"AAAAAE/Kf50=")</f>
        <v>#REF!</v>
      </c>
      <c r="FC205" t="e">
        <f>AND(#REF!,"AAAAAE/Kf54=")</f>
        <v>#REF!</v>
      </c>
      <c r="FD205" t="e">
        <f>AND(#REF!,"AAAAAE/Kf58=")</f>
        <v>#REF!</v>
      </c>
      <c r="FE205" t="e">
        <f>AND(#REF!,"AAAAAE/Kf6A=")</f>
        <v>#REF!</v>
      </c>
      <c r="FF205" t="e">
        <f>AND(#REF!,"AAAAAE/Kf6E=")</f>
        <v>#REF!</v>
      </c>
      <c r="FG205" t="e">
        <f>AND(#REF!,"AAAAAE/Kf6I=")</f>
        <v>#REF!</v>
      </c>
      <c r="FH205" t="e">
        <f>AND(#REF!,"AAAAAE/Kf6M=")</f>
        <v>#REF!</v>
      </c>
      <c r="FI205" t="e">
        <f>AND(#REF!,"AAAAAE/Kf6Q=")</f>
        <v>#REF!</v>
      </c>
      <c r="FJ205" t="e">
        <f>IF(#REF!,"AAAAAE/Kf6U=",0)</f>
        <v>#REF!</v>
      </c>
      <c r="FK205" t="e">
        <f>AND(#REF!,"AAAAAE/Kf6Y=")</f>
        <v>#REF!</v>
      </c>
      <c r="FL205" t="e">
        <f>AND(#REF!,"AAAAAE/Kf6c=")</f>
        <v>#REF!</v>
      </c>
      <c r="FM205" t="e">
        <f>AND(#REF!,"AAAAAE/Kf6g=")</f>
        <v>#REF!</v>
      </c>
      <c r="FN205" t="e">
        <f>AND(#REF!,"AAAAAE/Kf6k=")</f>
        <v>#REF!</v>
      </c>
      <c r="FO205" t="e">
        <f>AND(#REF!,"AAAAAE/Kf6o=")</f>
        <v>#REF!</v>
      </c>
      <c r="FP205" t="e">
        <f>AND(#REF!,"AAAAAE/Kf6s=")</f>
        <v>#REF!</v>
      </c>
      <c r="FQ205" t="e">
        <f>AND(#REF!,"AAAAAE/Kf6w=")</f>
        <v>#REF!</v>
      </c>
      <c r="FR205" t="e">
        <f>AND(#REF!,"AAAAAE/Kf60=")</f>
        <v>#REF!</v>
      </c>
      <c r="FS205" t="e">
        <f>AND(#REF!,"AAAAAE/Kf64=")</f>
        <v>#REF!</v>
      </c>
      <c r="FT205" t="e">
        <f>AND(#REF!,"AAAAAE/Kf68=")</f>
        <v>#REF!</v>
      </c>
      <c r="FU205" t="e">
        <f>IF(#REF!,"AAAAAE/Kf7A=",0)</f>
        <v>#REF!</v>
      </c>
      <c r="FV205" t="e">
        <f>AND(#REF!,"AAAAAE/Kf7E=")</f>
        <v>#REF!</v>
      </c>
      <c r="FW205" t="e">
        <f>AND(#REF!,"AAAAAE/Kf7I=")</f>
        <v>#REF!</v>
      </c>
      <c r="FX205" t="e">
        <f>AND(#REF!,"AAAAAE/Kf7M=")</f>
        <v>#REF!</v>
      </c>
      <c r="FY205" t="e">
        <f>AND(#REF!,"AAAAAE/Kf7Q=")</f>
        <v>#REF!</v>
      </c>
      <c r="FZ205" t="e">
        <f>AND(#REF!,"AAAAAE/Kf7U=")</f>
        <v>#REF!</v>
      </c>
      <c r="GA205" t="e">
        <f>AND(#REF!,"AAAAAE/Kf7Y=")</f>
        <v>#REF!</v>
      </c>
      <c r="GB205" t="e">
        <f>AND(#REF!,"AAAAAE/Kf7c=")</f>
        <v>#REF!</v>
      </c>
      <c r="GC205" t="e">
        <f>AND(#REF!,"AAAAAE/Kf7g=")</f>
        <v>#REF!</v>
      </c>
      <c r="GD205" t="e">
        <f>AND(#REF!,"AAAAAE/Kf7k=")</f>
        <v>#REF!</v>
      </c>
      <c r="GE205" t="e">
        <f>AND(#REF!,"AAAAAE/Kf7o=")</f>
        <v>#REF!</v>
      </c>
      <c r="GF205" t="e">
        <f>IF(#REF!,"AAAAAE/Kf7s=",0)</f>
        <v>#REF!</v>
      </c>
      <c r="GG205" t="e">
        <f>AND(#REF!,"AAAAAE/Kf7w=")</f>
        <v>#REF!</v>
      </c>
      <c r="GH205" t="e">
        <f>AND(#REF!,"AAAAAE/Kf70=")</f>
        <v>#REF!</v>
      </c>
      <c r="GI205" t="e">
        <f>AND(#REF!,"AAAAAE/Kf74=")</f>
        <v>#REF!</v>
      </c>
      <c r="GJ205" t="e">
        <f>AND(#REF!,"AAAAAE/Kf78=")</f>
        <v>#REF!</v>
      </c>
      <c r="GK205" t="e">
        <f>AND(#REF!,"AAAAAE/Kf8A=")</f>
        <v>#REF!</v>
      </c>
      <c r="GL205" t="e">
        <f>AND(#REF!,"AAAAAE/Kf8E=")</f>
        <v>#REF!</v>
      </c>
      <c r="GM205" t="e">
        <f>AND(#REF!,"AAAAAE/Kf8I=")</f>
        <v>#REF!</v>
      </c>
      <c r="GN205" t="e">
        <f>AND(#REF!,"AAAAAE/Kf8M=")</f>
        <v>#REF!</v>
      </c>
      <c r="GO205" t="e">
        <f>AND(#REF!,"AAAAAE/Kf8Q=")</f>
        <v>#REF!</v>
      </c>
      <c r="GP205" t="e">
        <f>AND(#REF!,"AAAAAE/Kf8U=")</f>
        <v>#REF!</v>
      </c>
      <c r="GQ205" t="e">
        <f>IF(#REF!,"AAAAAE/Kf8Y=",0)</f>
        <v>#REF!</v>
      </c>
      <c r="GR205" t="e">
        <f>AND(#REF!,"AAAAAE/Kf8c=")</f>
        <v>#REF!</v>
      </c>
      <c r="GS205" t="e">
        <f>AND(#REF!,"AAAAAE/Kf8g=")</f>
        <v>#REF!</v>
      </c>
      <c r="GT205" t="e">
        <f>AND(#REF!,"AAAAAE/Kf8k=")</f>
        <v>#REF!</v>
      </c>
      <c r="GU205" t="e">
        <f>AND(#REF!,"AAAAAE/Kf8o=")</f>
        <v>#REF!</v>
      </c>
      <c r="GV205" t="e">
        <f>AND(#REF!,"AAAAAE/Kf8s=")</f>
        <v>#REF!</v>
      </c>
      <c r="GW205" t="e">
        <f>AND(#REF!,"AAAAAE/Kf8w=")</f>
        <v>#REF!</v>
      </c>
      <c r="GX205" t="e">
        <f>AND(#REF!,"AAAAAE/Kf80=")</f>
        <v>#REF!</v>
      </c>
      <c r="GY205" t="e">
        <f>AND(#REF!,"AAAAAE/Kf84=")</f>
        <v>#REF!</v>
      </c>
      <c r="GZ205" t="e">
        <f>AND(#REF!,"AAAAAE/Kf88=")</f>
        <v>#REF!</v>
      </c>
      <c r="HA205" t="e">
        <f>AND(#REF!,"AAAAAE/Kf9A=")</f>
        <v>#REF!</v>
      </c>
      <c r="HB205" t="e">
        <f>IF(#REF!,"AAAAAE/Kf9E=",0)</f>
        <v>#REF!</v>
      </c>
      <c r="HC205" t="e">
        <f>AND(#REF!,"AAAAAE/Kf9I=")</f>
        <v>#REF!</v>
      </c>
      <c r="HD205" t="e">
        <f>AND(#REF!,"AAAAAE/Kf9M=")</f>
        <v>#REF!</v>
      </c>
      <c r="HE205" t="e">
        <f>AND(#REF!,"AAAAAE/Kf9Q=")</f>
        <v>#REF!</v>
      </c>
      <c r="HF205" t="e">
        <f>AND(#REF!,"AAAAAE/Kf9U=")</f>
        <v>#REF!</v>
      </c>
      <c r="HG205" t="e">
        <f>AND(#REF!,"AAAAAE/Kf9Y=")</f>
        <v>#REF!</v>
      </c>
      <c r="HH205" t="e">
        <f>AND(#REF!,"AAAAAE/Kf9c=")</f>
        <v>#REF!</v>
      </c>
      <c r="HI205" t="e">
        <f>AND(#REF!,"AAAAAE/Kf9g=")</f>
        <v>#REF!</v>
      </c>
      <c r="HJ205" t="e">
        <f>AND(#REF!,"AAAAAE/Kf9k=")</f>
        <v>#REF!</v>
      </c>
      <c r="HK205" t="e">
        <f>AND(#REF!,"AAAAAE/Kf9o=")</f>
        <v>#REF!</v>
      </c>
      <c r="HL205" t="e">
        <f>AND(#REF!,"AAAAAE/Kf9s=")</f>
        <v>#REF!</v>
      </c>
      <c r="HM205" t="e">
        <f>IF(#REF!,"AAAAAE/Kf9w=",0)</f>
        <v>#REF!</v>
      </c>
      <c r="HN205" t="e">
        <f>AND(#REF!,"AAAAAE/Kf90=")</f>
        <v>#REF!</v>
      </c>
      <c r="HO205" t="e">
        <f>AND(#REF!,"AAAAAE/Kf94=")</f>
        <v>#REF!</v>
      </c>
      <c r="HP205" t="e">
        <f>AND(#REF!,"AAAAAE/Kf98=")</f>
        <v>#REF!</v>
      </c>
      <c r="HQ205" t="e">
        <f>AND(#REF!,"AAAAAE/Kf+A=")</f>
        <v>#REF!</v>
      </c>
      <c r="HR205" t="e">
        <f>AND(#REF!,"AAAAAE/Kf+E=")</f>
        <v>#REF!</v>
      </c>
      <c r="HS205" t="e">
        <f>AND(#REF!,"AAAAAE/Kf+I=")</f>
        <v>#REF!</v>
      </c>
      <c r="HT205" t="e">
        <f>AND(#REF!,"AAAAAE/Kf+M=")</f>
        <v>#REF!</v>
      </c>
      <c r="HU205" t="e">
        <f>AND(#REF!,"AAAAAE/Kf+Q=")</f>
        <v>#REF!</v>
      </c>
      <c r="HV205" t="e">
        <f>AND(#REF!,"AAAAAE/Kf+U=")</f>
        <v>#REF!</v>
      </c>
      <c r="HW205" t="e">
        <f>AND(#REF!,"AAAAAE/Kf+Y=")</f>
        <v>#REF!</v>
      </c>
      <c r="HX205" t="e">
        <f>IF(#REF!,"AAAAAE/Kf+c=",0)</f>
        <v>#REF!</v>
      </c>
      <c r="HY205" t="e">
        <f>AND(#REF!,"AAAAAE/Kf+g=")</f>
        <v>#REF!</v>
      </c>
      <c r="HZ205" t="e">
        <f>AND(#REF!,"AAAAAE/Kf+k=")</f>
        <v>#REF!</v>
      </c>
      <c r="IA205" t="e">
        <f>AND(#REF!,"AAAAAE/Kf+o=")</f>
        <v>#REF!</v>
      </c>
      <c r="IB205" t="e">
        <f>AND(#REF!,"AAAAAE/Kf+s=")</f>
        <v>#REF!</v>
      </c>
      <c r="IC205" t="e">
        <f>AND(#REF!,"AAAAAE/Kf+w=")</f>
        <v>#REF!</v>
      </c>
      <c r="ID205" t="e">
        <f>AND(#REF!,"AAAAAE/Kf+0=")</f>
        <v>#REF!</v>
      </c>
      <c r="IE205" t="e">
        <f>AND(#REF!,"AAAAAE/Kf+4=")</f>
        <v>#REF!</v>
      </c>
      <c r="IF205" t="e">
        <f>AND(#REF!,"AAAAAE/Kf+8=")</f>
        <v>#REF!</v>
      </c>
      <c r="IG205" t="e">
        <f>AND(#REF!,"AAAAAE/Kf/A=")</f>
        <v>#REF!</v>
      </c>
      <c r="IH205" t="e">
        <f>AND(#REF!,"AAAAAE/Kf/E=")</f>
        <v>#REF!</v>
      </c>
      <c r="II205" t="e">
        <f>IF(#REF!,"AAAAAE/Kf/I=",0)</f>
        <v>#REF!</v>
      </c>
      <c r="IJ205" t="e">
        <f>AND(#REF!,"AAAAAE/Kf/M=")</f>
        <v>#REF!</v>
      </c>
      <c r="IK205" t="e">
        <f>AND(#REF!,"AAAAAE/Kf/Q=")</f>
        <v>#REF!</v>
      </c>
      <c r="IL205" t="e">
        <f>AND(#REF!,"AAAAAE/Kf/U=")</f>
        <v>#REF!</v>
      </c>
      <c r="IM205" t="e">
        <f>AND(#REF!,"AAAAAE/Kf/Y=")</f>
        <v>#REF!</v>
      </c>
      <c r="IN205" t="e">
        <f>AND(#REF!,"AAAAAE/Kf/c=")</f>
        <v>#REF!</v>
      </c>
      <c r="IO205" t="e">
        <f>AND(#REF!,"AAAAAE/Kf/g=")</f>
        <v>#REF!</v>
      </c>
      <c r="IP205" t="e">
        <f>AND(#REF!,"AAAAAE/Kf/k=")</f>
        <v>#REF!</v>
      </c>
      <c r="IQ205" t="e">
        <f>AND(#REF!,"AAAAAE/Kf/o=")</f>
        <v>#REF!</v>
      </c>
      <c r="IR205" t="e">
        <f>AND(#REF!,"AAAAAE/Kf/s=")</f>
        <v>#REF!</v>
      </c>
      <c r="IS205" t="e">
        <f>AND(#REF!,"AAAAAE/Kf/w=")</f>
        <v>#REF!</v>
      </c>
      <c r="IT205" t="e">
        <f>IF(#REF!,"AAAAAE/Kf/0=",0)</f>
        <v>#REF!</v>
      </c>
      <c r="IU205" t="e">
        <f>AND(#REF!,"AAAAAE/Kf/4=")</f>
        <v>#REF!</v>
      </c>
      <c r="IV205" t="e">
        <f>AND(#REF!,"AAAAAE/Kf/8=")</f>
        <v>#REF!</v>
      </c>
    </row>
    <row r="206" spans="1:256" x14ac:dyDescent="0.25">
      <c r="A206" t="e">
        <f>AND(#REF!,"AAAAAH/auwA=")</f>
        <v>#REF!</v>
      </c>
      <c r="B206" t="e">
        <f>AND(#REF!,"AAAAAH/auwE=")</f>
        <v>#REF!</v>
      </c>
      <c r="C206" t="e">
        <f>AND(#REF!,"AAAAAH/auwI=")</f>
        <v>#REF!</v>
      </c>
      <c r="D206" t="e">
        <f>AND(#REF!,"AAAAAH/auwM=")</f>
        <v>#REF!</v>
      </c>
      <c r="E206" t="e">
        <f>AND(#REF!,"AAAAAH/auwQ=")</f>
        <v>#REF!</v>
      </c>
      <c r="F206" t="e">
        <f>AND(#REF!,"AAAAAH/auwU=")</f>
        <v>#REF!</v>
      </c>
      <c r="G206" t="e">
        <f>AND(#REF!,"AAAAAH/auwY=")</f>
        <v>#REF!</v>
      </c>
      <c r="H206" t="e">
        <f>AND(#REF!,"AAAAAH/auwc=")</f>
        <v>#REF!</v>
      </c>
      <c r="I206" t="e">
        <f>IF(#REF!,"AAAAAH/auwg=",0)</f>
        <v>#REF!</v>
      </c>
      <c r="J206" t="e">
        <f>AND(#REF!,"AAAAAH/auwk=")</f>
        <v>#REF!</v>
      </c>
      <c r="K206" t="e">
        <f>AND(#REF!,"AAAAAH/auwo=")</f>
        <v>#REF!</v>
      </c>
      <c r="L206" t="e">
        <f>AND(#REF!,"AAAAAH/auws=")</f>
        <v>#REF!</v>
      </c>
      <c r="M206" t="e">
        <f>AND(#REF!,"AAAAAH/auww=")</f>
        <v>#REF!</v>
      </c>
      <c r="N206" t="e">
        <f>AND(#REF!,"AAAAAH/auw0=")</f>
        <v>#REF!</v>
      </c>
      <c r="O206" t="e">
        <f>AND(#REF!,"AAAAAH/auw4=")</f>
        <v>#REF!</v>
      </c>
      <c r="P206" t="e">
        <f>AND(#REF!,"AAAAAH/auw8=")</f>
        <v>#REF!</v>
      </c>
      <c r="Q206" t="e">
        <f>AND(#REF!,"AAAAAH/auxA=")</f>
        <v>#REF!</v>
      </c>
      <c r="R206" t="e">
        <f>AND(#REF!,"AAAAAH/auxE=")</f>
        <v>#REF!</v>
      </c>
      <c r="S206" t="e">
        <f>AND(#REF!,"AAAAAH/auxI=")</f>
        <v>#REF!</v>
      </c>
      <c r="T206" t="e">
        <f>IF(#REF!,"AAAAAH/auxM=",0)</f>
        <v>#REF!</v>
      </c>
      <c r="U206" t="e">
        <f>AND(#REF!,"AAAAAH/auxQ=")</f>
        <v>#REF!</v>
      </c>
      <c r="V206" t="e">
        <f>AND(#REF!,"AAAAAH/auxU=")</f>
        <v>#REF!</v>
      </c>
      <c r="W206" t="e">
        <f>AND(#REF!,"AAAAAH/auxY=")</f>
        <v>#REF!</v>
      </c>
      <c r="X206" t="e">
        <f>AND(#REF!,"AAAAAH/auxc=")</f>
        <v>#REF!</v>
      </c>
      <c r="Y206" t="e">
        <f>AND(#REF!,"AAAAAH/auxg=")</f>
        <v>#REF!</v>
      </c>
      <c r="Z206" t="e">
        <f>AND(#REF!,"AAAAAH/auxk=")</f>
        <v>#REF!</v>
      </c>
      <c r="AA206" t="e">
        <f>AND(#REF!,"AAAAAH/auxo=")</f>
        <v>#REF!</v>
      </c>
      <c r="AB206" t="e">
        <f>AND(#REF!,"AAAAAH/auxs=")</f>
        <v>#REF!</v>
      </c>
      <c r="AC206" t="e">
        <f>AND(#REF!,"AAAAAH/auxw=")</f>
        <v>#REF!</v>
      </c>
      <c r="AD206" t="e">
        <f>AND(#REF!,"AAAAAH/aux0=")</f>
        <v>#REF!</v>
      </c>
      <c r="AE206" t="e">
        <f>IF(#REF!,"AAAAAH/aux4=",0)</f>
        <v>#REF!</v>
      </c>
      <c r="AF206" t="e">
        <f>AND(#REF!,"AAAAAH/aux8=")</f>
        <v>#REF!</v>
      </c>
      <c r="AG206" t="e">
        <f>AND(#REF!,"AAAAAH/auyA=")</f>
        <v>#REF!</v>
      </c>
      <c r="AH206" t="e">
        <f>AND(#REF!,"AAAAAH/auyE=")</f>
        <v>#REF!</v>
      </c>
      <c r="AI206" t="e">
        <f>AND(#REF!,"AAAAAH/auyI=")</f>
        <v>#REF!</v>
      </c>
      <c r="AJ206" t="e">
        <f>AND(#REF!,"AAAAAH/auyM=")</f>
        <v>#REF!</v>
      </c>
      <c r="AK206" t="e">
        <f>AND(#REF!,"AAAAAH/auyQ=")</f>
        <v>#REF!</v>
      </c>
      <c r="AL206" t="e">
        <f>AND(#REF!,"AAAAAH/auyU=")</f>
        <v>#REF!</v>
      </c>
      <c r="AM206" t="e">
        <f>AND(#REF!,"AAAAAH/auyY=")</f>
        <v>#REF!</v>
      </c>
      <c r="AN206" t="e">
        <f>AND(#REF!,"AAAAAH/auyc=")</f>
        <v>#REF!</v>
      </c>
      <c r="AO206" t="e">
        <f>AND(#REF!,"AAAAAH/auyg=")</f>
        <v>#REF!</v>
      </c>
      <c r="AP206" t="e">
        <f>IF(#REF!,"AAAAAH/auyk=",0)</f>
        <v>#REF!</v>
      </c>
      <c r="AQ206" t="e">
        <f>AND(#REF!,"AAAAAH/auyo=")</f>
        <v>#REF!</v>
      </c>
      <c r="AR206" t="e">
        <f>AND(#REF!,"AAAAAH/auys=")</f>
        <v>#REF!</v>
      </c>
      <c r="AS206" t="e">
        <f>AND(#REF!,"AAAAAH/auyw=")</f>
        <v>#REF!</v>
      </c>
      <c r="AT206" t="e">
        <f>AND(#REF!,"AAAAAH/auy0=")</f>
        <v>#REF!</v>
      </c>
      <c r="AU206" t="e">
        <f>AND(#REF!,"AAAAAH/auy4=")</f>
        <v>#REF!</v>
      </c>
      <c r="AV206" t="e">
        <f>AND(#REF!,"AAAAAH/auy8=")</f>
        <v>#REF!</v>
      </c>
      <c r="AW206" t="e">
        <f>AND(#REF!,"AAAAAH/auzA=")</f>
        <v>#REF!</v>
      </c>
      <c r="AX206" t="e">
        <f>AND(#REF!,"AAAAAH/auzE=")</f>
        <v>#REF!</v>
      </c>
      <c r="AY206" t="e">
        <f>AND(#REF!,"AAAAAH/auzI=")</f>
        <v>#REF!</v>
      </c>
      <c r="AZ206" t="e">
        <f>AND(#REF!,"AAAAAH/auzM=")</f>
        <v>#REF!</v>
      </c>
      <c r="BA206" t="e">
        <f>IF(#REF!,"AAAAAH/auzQ=",0)</f>
        <v>#REF!</v>
      </c>
      <c r="BB206" t="e">
        <f>AND(#REF!,"AAAAAH/auzU=")</f>
        <v>#REF!</v>
      </c>
      <c r="BC206" t="e">
        <f>AND(#REF!,"AAAAAH/auzY=")</f>
        <v>#REF!</v>
      </c>
      <c r="BD206" t="e">
        <f>AND(#REF!,"AAAAAH/auzc=")</f>
        <v>#REF!</v>
      </c>
      <c r="BE206" t="e">
        <f>AND(#REF!,"AAAAAH/auzg=")</f>
        <v>#REF!</v>
      </c>
      <c r="BF206" t="e">
        <f>AND(#REF!,"AAAAAH/auzk=")</f>
        <v>#REF!</v>
      </c>
      <c r="BG206" t="e">
        <f>AND(#REF!,"AAAAAH/auzo=")</f>
        <v>#REF!</v>
      </c>
      <c r="BH206" t="e">
        <f>AND(#REF!,"AAAAAH/auzs=")</f>
        <v>#REF!</v>
      </c>
      <c r="BI206" t="e">
        <f>AND(#REF!,"AAAAAH/auzw=")</f>
        <v>#REF!</v>
      </c>
      <c r="BJ206" t="e">
        <f>AND(#REF!,"AAAAAH/auz0=")</f>
        <v>#REF!</v>
      </c>
      <c r="BK206" t="e">
        <f>AND(#REF!,"AAAAAH/auz4=")</f>
        <v>#REF!</v>
      </c>
      <c r="BL206" t="e">
        <f>IF(#REF!,"AAAAAH/auz8=",0)</f>
        <v>#REF!</v>
      </c>
      <c r="BM206" t="e">
        <f>AND(#REF!,"AAAAAH/au0A=")</f>
        <v>#REF!</v>
      </c>
      <c r="BN206" t="e">
        <f>AND(#REF!,"AAAAAH/au0E=")</f>
        <v>#REF!</v>
      </c>
      <c r="BO206" t="e">
        <f>AND(#REF!,"AAAAAH/au0I=")</f>
        <v>#REF!</v>
      </c>
      <c r="BP206" t="e">
        <f>AND(#REF!,"AAAAAH/au0M=")</f>
        <v>#REF!</v>
      </c>
      <c r="BQ206" t="e">
        <f>AND(#REF!,"AAAAAH/au0Q=")</f>
        <v>#REF!</v>
      </c>
      <c r="BR206" t="e">
        <f>AND(#REF!,"AAAAAH/au0U=")</f>
        <v>#REF!</v>
      </c>
      <c r="BS206" t="e">
        <f>AND(#REF!,"AAAAAH/au0Y=")</f>
        <v>#REF!</v>
      </c>
      <c r="BT206" t="e">
        <f>AND(#REF!,"AAAAAH/au0c=")</f>
        <v>#REF!</v>
      </c>
      <c r="BU206" t="e">
        <f>AND(#REF!,"AAAAAH/au0g=")</f>
        <v>#REF!</v>
      </c>
      <c r="BV206" t="e">
        <f>AND(#REF!,"AAAAAH/au0k=")</f>
        <v>#REF!</v>
      </c>
      <c r="BW206" t="e">
        <f>IF(#REF!,"AAAAAH/au0o=",0)</f>
        <v>#REF!</v>
      </c>
      <c r="BX206" t="e">
        <f>AND(#REF!,"AAAAAH/au0s=")</f>
        <v>#REF!</v>
      </c>
      <c r="BY206" t="e">
        <f>AND(#REF!,"AAAAAH/au0w=")</f>
        <v>#REF!</v>
      </c>
      <c r="BZ206" t="e">
        <f>AND(#REF!,"AAAAAH/au00=")</f>
        <v>#REF!</v>
      </c>
      <c r="CA206" t="e">
        <f>AND(#REF!,"AAAAAH/au04=")</f>
        <v>#REF!</v>
      </c>
      <c r="CB206" t="e">
        <f>AND(#REF!,"AAAAAH/au08=")</f>
        <v>#REF!</v>
      </c>
      <c r="CC206" t="e">
        <f>AND(#REF!,"AAAAAH/au1A=")</f>
        <v>#REF!</v>
      </c>
      <c r="CD206" t="e">
        <f>AND(#REF!,"AAAAAH/au1E=")</f>
        <v>#REF!</v>
      </c>
      <c r="CE206" t="e">
        <f>AND(#REF!,"AAAAAH/au1I=")</f>
        <v>#REF!</v>
      </c>
      <c r="CF206" t="e">
        <f>AND(#REF!,"AAAAAH/au1M=")</f>
        <v>#REF!</v>
      </c>
      <c r="CG206" t="e">
        <f>AND(#REF!,"AAAAAH/au1Q=")</f>
        <v>#REF!</v>
      </c>
      <c r="CH206" t="e">
        <f>IF(#REF!,"AAAAAH/au1U=",0)</f>
        <v>#REF!</v>
      </c>
      <c r="CI206" t="e">
        <f>AND(#REF!,"AAAAAH/au1Y=")</f>
        <v>#REF!</v>
      </c>
      <c r="CJ206" t="e">
        <f>AND(#REF!,"AAAAAH/au1c=")</f>
        <v>#REF!</v>
      </c>
      <c r="CK206" t="e">
        <f>AND(#REF!,"AAAAAH/au1g=")</f>
        <v>#REF!</v>
      </c>
      <c r="CL206" t="e">
        <f>AND(#REF!,"AAAAAH/au1k=")</f>
        <v>#REF!</v>
      </c>
      <c r="CM206" t="e">
        <f>AND(#REF!,"AAAAAH/au1o=")</f>
        <v>#REF!</v>
      </c>
      <c r="CN206" t="e">
        <f>AND(#REF!,"AAAAAH/au1s=")</f>
        <v>#REF!</v>
      </c>
      <c r="CO206" t="e">
        <f>AND(#REF!,"AAAAAH/au1w=")</f>
        <v>#REF!</v>
      </c>
      <c r="CP206" t="e">
        <f>AND(#REF!,"AAAAAH/au10=")</f>
        <v>#REF!</v>
      </c>
      <c r="CQ206" t="e">
        <f>AND(#REF!,"AAAAAH/au14=")</f>
        <v>#REF!</v>
      </c>
      <c r="CR206" t="e">
        <f>AND(#REF!,"AAAAAH/au18=")</f>
        <v>#REF!</v>
      </c>
      <c r="CS206" t="e">
        <f>IF(#REF!,"AAAAAH/au2A=",0)</f>
        <v>#REF!</v>
      </c>
      <c r="CT206" t="e">
        <f>AND(#REF!,"AAAAAH/au2E=")</f>
        <v>#REF!</v>
      </c>
      <c r="CU206" t="e">
        <f>AND(#REF!,"AAAAAH/au2I=")</f>
        <v>#REF!</v>
      </c>
      <c r="CV206" t="e">
        <f>AND(#REF!,"AAAAAH/au2M=")</f>
        <v>#REF!</v>
      </c>
      <c r="CW206" t="e">
        <f>AND(#REF!,"AAAAAH/au2Q=")</f>
        <v>#REF!</v>
      </c>
      <c r="CX206" t="e">
        <f>AND(#REF!,"AAAAAH/au2U=")</f>
        <v>#REF!</v>
      </c>
      <c r="CY206" t="e">
        <f>AND(#REF!,"AAAAAH/au2Y=")</f>
        <v>#REF!</v>
      </c>
      <c r="CZ206" t="e">
        <f>AND(#REF!,"AAAAAH/au2c=")</f>
        <v>#REF!</v>
      </c>
      <c r="DA206" t="e">
        <f>AND(#REF!,"AAAAAH/au2g=")</f>
        <v>#REF!</v>
      </c>
      <c r="DB206" t="e">
        <f>AND(#REF!,"AAAAAH/au2k=")</f>
        <v>#REF!</v>
      </c>
      <c r="DC206" t="e">
        <f>AND(#REF!,"AAAAAH/au2o=")</f>
        <v>#REF!</v>
      </c>
      <c r="DD206" t="e">
        <f>IF(#REF!,"AAAAAH/au2s=",0)</f>
        <v>#REF!</v>
      </c>
      <c r="DE206" t="e">
        <f>AND(#REF!,"AAAAAH/au2w=")</f>
        <v>#REF!</v>
      </c>
      <c r="DF206" t="e">
        <f>AND(#REF!,"AAAAAH/au20=")</f>
        <v>#REF!</v>
      </c>
      <c r="DG206" t="e">
        <f>AND(#REF!,"AAAAAH/au24=")</f>
        <v>#REF!</v>
      </c>
      <c r="DH206" t="e">
        <f>AND(#REF!,"AAAAAH/au28=")</f>
        <v>#REF!</v>
      </c>
      <c r="DI206" t="e">
        <f>AND(#REF!,"AAAAAH/au3A=")</f>
        <v>#REF!</v>
      </c>
      <c r="DJ206" t="e">
        <f>AND(#REF!,"AAAAAH/au3E=")</f>
        <v>#REF!</v>
      </c>
      <c r="DK206" t="e">
        <f>AND(#REF!,"AAAAAH/au3I=")</f>
        <v>#REF!</v>
      </c>
      <c r="DL206" t="e">
        <f>AND(#REF!,"AAAAAH/au3M=")</f>
        <v>#REF!</v>
      </c>
      <c r="DM206" t="e">
        <f>AND(#REF!,"AAAAAH/au3Q=")</f>
        <v>#REF!</v>
      </c>
      <c r="DN206" t="e">
        <f>AND(#REF!,"AAAAAH/au3U=")</f>
        <v>#REF!</v>
      </c>
      <c r="DO206" t="e">
        <f>IF(#REF!,"AAAAAH/au3Y=",0)</f>
        <v>#REF!</v>
      </c>
      <c r="DP206" t="e">
        <f>AND(#REF!,"AAAAAH/au3c=")</f>
        <v>#REF!</v>
      </c>
      <c r="DQ206" t="e">
        <f>AND(#REF!,"AAAAAH/au3g=")</f>
        <v>#REF!</v>
      </c>
      <c r="DR206" t="e">
        <f>AND(#REF!,"AAAAAH/au3k=")</f>
        <v>#REF!</v>
      </c>
      <c r="DS206" t="e">
        <f>AND(#REF!,"AAAAAH/au3o=")</f>
        <v>#REF!</v>
      </c>
      <c r="DT206" t="e">
        <f>AND(#REF!,"AAAAAH/au3s=")</f>
        <v>#REF!</v>
      </c>
      <c r="DU206" t="e">
        <f>AND(#REF!,"AAAAAH/au3w=")</f>
        <v>#REF!</v>
      </c>
      <c r="DV206" t="e">
        <f>AND(#REF!,"AAAAAH/au30=")</f>
        <v>#REF!</v>
      </c>
      <c r="DW206" t="e">
        <f>AND(#REF!,"AAAAAH/au34=")</f>
        <v>#REF!</v>
      </c>
      <c r="DX206" t="e">
        <f>AND(#REF!,"AAAAAH/au38=")</f>
        <v>#REF!</v>
      </c>
      <c r="DY206" t="e">
        <f>AND(#REF!,"AAAAAH/au4A=")</f>
        <v>#REF!</v>
      </c>
      <c r="DZ206" t="e">
        <f>IF(#REF!,"AAAAAH/au4E=",0)</f>
        <v>#REF!</v>
      </c>
      <c r="EA206" t="e">
        <f>AND(#REF!,"AAAAAH/au4I=")</f>
        <v>#REF!</v>
      </c>
      <c r="EB206" t="e">
        <f>AND(#REF!,"AAAAAH/au4M=")</f>
        <v>#REF!</v>
      </c>
      <c r="EC206" t="e">
        <f>AND(#REF!,"AAAAAH/au4Q=")</f>
        <v>#REF!</v>
      </c>
      <c r="ED206" t="e">
        <f>AND(#REF!,"AAAAAH/au4U=")</f>
        <v>#REF!</v>
      </c>
      <c r="EE206" t="e">
        <f>AND(#REF!,"AAAAAH/au4Y=")</f>
        <v>#REF!</v>
      </c>
      <c r="EF206" t="e">
        <f>AND(#REF!,"AAAAAH/au4c=")</f>
        <v>#REF!</v>
      </c>
      <c r="EG206" t="e">
        <f>AND(#REF!,"AAAAAH/au4g=")</f>
        <v>#REF!</v>
      </c>
      <c r="EH206" t="e">
        <f>AND(#REF!,"AAAAAH/au4k=")</f>
        <v>#REF!</v>
      </c>
      <c r="EI206" t="e">
        <f>AND(#REF!,"AAAAAH/au4o=")</f>
        <v>#REF!</v>
      </c>
      <c r="EJ206" t="e">
        <f>AND(#REF!,"AAAAAH/au4s=")</f>
        <v>#REF!</v>
      </c>
      <c r="EK206" t="e">
        <f>IF(#REF!,"AAAAAH/au4w=",0)</f>
        <v>#REF!</v>
      </c>
      <c r="EL206" t="e">
        <f>AND(#REF!,"AAAAAH/au40=")</f>
        <v>#REF!</v>
      </c>
      <c r="EM206" t="e">
        <f>AND(#REF!,"AAAAAH/au44=")</f>
        <v>#REF!</v>
      </c>
      <c r="EN206" t="e">
        <f>AND(#REF!,"AAAAAH/au48=")</f>
        <v>#REF!</v>
      </c>
      <c r="EO206" t="e">
        <f>AND(#REF!,"AAAAAH/au5A=")</f>
        <v>#REF!</v>
      </c>
      <c r="EP206" t="e">
        <f>AND(#REF!,"AAAAAH/au5E=")</f>
        <v>#REF!</v>
      </c>
      <c r="EQ206" t="e">
        <f>AND(#REF!,"AAAAAH/au5I=")</f>
        <v>#REF!</v>
      </c>
      <c r="ER206" t="e">
        <f>AND(#REF!,"AAAAAH/au5M=")</f>
        <v>#REF!</v>
      </c>
      <c r="ES206" t="e">
        <f>AND(#REF!,"AAAAAH/au5Q=")</f>
        <v>#REF!</v>
      </c>
      <c r="ET206" t="e">
        <f>AND(#REF!,"AAAAAH/au5U=")</f>
        <v>#REF!</v>
      </c>
      <c r="EU206" t="e">
        <f>AND(#REF!,"AAAAAH/au5Y=")</f>
        <v>#REF!</v>
      </c>
      <c r="EV206" t="e">
        <f>IF(#REF!,"AAAAAH/au5c=",0)</f>
        <v>#REF!</v>
      </c>
      <c r="EW206" t="e">
        <f>AND(#REF!,"AAAAAH/au5g=")</f>
        <v>#REF!</v>
      </c>
      <c r="EX206" t="e">
        <f>AND(#REF!,"AAAAAH/au5k=")</f>
        <v>#REF!</v>
      </c>
      <c r="EY206" t="e">
        <f>AND(#REF!,"AAAAAH/au5o=")</f>
        <v>#REF!</v>
      </c>
      <c r="EZ206" t="e">
        <f>AND(#REF!,"AAAAAH/au5s=")</f>
        <v>#REF!</v>
      </c>
      <c r="FA206" t="e">
        <f>AND(#REF!,"AAAAAH/au5w=")</f>
        <v>#REF!</v>
      </c>
      <c r="FB206" t="e">
        <f>AND(#REF!,"AAAAAH/au50=")</f>
        <v>#REF!</v>
      </c>
      <c r="FC206" t="e">
        <f>AND(#REF!,"AAAAAH/au54=")</f>
        <v>#REF!</v>
      </c>
      <c r="FD206" t="e">
        <f>AND(#REF!,"AAAAAH/au58=")</f>
        <v>#REF!</v>
      </c>
      <c r="FE206" t="e">
        <f>AND(#REF!,"AAAAAH/au6A=")</f>
        <v>#REF!</v>
      </c>
      <c r="FF206" t="e">
        <f>AND(#REF!,"AAAAAH/au6E=")</f>
        <v>#REF!</v>
      </c>
      <c r="FG206" t="e">
        <f>IF(#REF!,"AAAAAH/au6I=",0)</f>
        <v>#REF!</v>
      </c>
      <c r="FH206" t="e">
        <f>AND(#REF!,"AAAAAH/au6M=")</f>
        <v>#REF!</v>
      </c>
      <c r="FI206" t="e">
        <f>AND(#REF!,"AAAAAH/au6Q=")</f>
        <v>#REF!</v>
      </c>
      <c r="FJ206" t="e">
        <f>AND(#REF!,"AAAAAH/au6U=")</f>
        <v>#REF!</v>
      </c>
      <c r="FK206" t="e">
        <f>AND(#REF!,"AAAAAH/au6Y=")</f>
        <v>#REF!</v>
      </c>
      <c r="FL206" t="e">
        <f>AND(#REF!,"AAAAAH/au6c=")</f>
        <v>#REF!</v>
      </c>
      <c r="FM206" t="e">
        <f>AND(#REF!,"AAAAAH/au6g=")</f>
        <v>#REF!</v>
      </c>
      <c r="FN206" t="e">
        <f>AND(#REF!,"AAAAAH/au6k=")</f>
        <v>#REF!</v>
      </c>
      <c r="FO206" t="e">
        <f>AND(#REF!,"AAAAAH/au6o=")</f>
        <v>#REF!</v>
      </c>
      <c r="FP206" t="e">
        <f>AND(#REF!,"AAAAAH/au6s=")</f>
        <v>#REF!</v>
      </c>
      <c r="FQ206" t="e">
        <f>AND(#REF!,"AAAAAH/au6w=")</f>
        <v>#REF!</v>
      </c>
      <c r="FR206" t="e">
        <f>IF(#REF!,"AAAAAH/au60=",0)</f>
        <v>#REF!</v>
      </c>
      <c r="FS206" t="e">
        <f>AND(#REF!,"AAAAAH/au64=")</f>
        <v>#REF!</v>
      </c>
      <c r="FT206" t="e">
        <f>AND(#REF!,"AAAAAH/au68=")</f>
        <v>#REF!</v>
      </c>
      <c r="FU206" t="e">
        <f>AND(#REF!,"AAAAAH/au7A=")</f>
        <v>#REF!</v>
      </c>
      <c r="FV206" t="e">
        <f>AND(#REF!,"AAAAAH/au7E=")</f>
        <v>#REF!</v>
      </c>
      <c r="FW206" t="e">
        <f>AND(#REF!,"AAAAAH/au7I=")</f>
        <v>#REF!</v>
      </c>
      <c r="FX206" t="e">
        <f>AND(#REF!,"AAAAAH/au7M=")</f>
        <v>#REF!</v>
      </c>
      <c r="FY206" t="e">
        <f>AND(#REF!,"AAAAAH/au7Q=")</f>
        <v>#REF!</v>
      </c>
      <c r="FZ206" t="e">
        <f>AND(#REF!,"AAAAAH/au7U=")</f>
        <v>#REF!</v>
      </c>
      <c r="GA206" t="e">
        <f>AND(#REF!,"AAAAAH/au7Y=")</f>
        <v>#REF!</v>
      </c>
      <c r="GB206" t="e">
        <f>AND(#REF!,"AAAAAH/au7c=")</f>
        <v>#REF!</v>
      </c>
      <c r="GC206" t="e">
        <f>IF(#REF!,"AAAAAH/au7g=",0)</f>
        <v>#REF!</v>
      </c>
      <c r="GD206" t="e">
        <f>AND(#REF!,"AAAAAH/au7k=")</f>
        <v>#REF!</v>
      </c>
      <c r="GE206" t="e">
        <f>AND(#REF!,"AAAAAH/au7o=")</f>
        <v>#REF!</v>
      </c>
      <c r="GF206" t="e">
        <f>AND(#REF!,"AAAAAH/au7s=")</f>
        <v>#REF!</v>
      </c>
      <c r="GG206" t="e">
        <f>AND(#REF!,"AAAAAH/au7w=")</f>
        <v>#REF!</v>
      </c>
      <c r="GH206" t="e">
        <f>AND(#REF!,"AAAAAH/au70=")</f>
        <v>#REF!</v>
      </c>
      <c r="GI206" t="e">
        <f>AND(#REF!,"AAAAAH/au74=")</f>
        <v>#REF!</v>
      </c>
      <c r="GJ206" t="e">
        <f>AND(#REF!,"AAAAAH/au78=")</f>
        <v>#REF!</v>
      </c>
      <c r="GK206" t="e">
        <f>AND(#REF!,"AAAAAH/au8A=")</f>
        <v>#REF!</v>
      </c>
      <c r="GL206" t="e">
        <f>AND(#REF!,"AAAAAH/au8E=")</f>
        <v>#REF!</v>
      </c>
      <c r="GM206" t="e">
        <f>AND(#REF!,"AAAAAH/au8I=")</f>
        <v>#REF!</v>
      </c>
      <c r="GN206" t="e">
        <f>IF(#REF!,"AAAAAH/au8M=",0)</f>
        <v>#REF!</v>
      </c>
      <c r="GO206" t="e">
        <f>AND(#REF!,"AAAAAH/au8Q=")</f>
        <v>#REF!</v>
      </c>
      <c r="GP206" t="e">
        <f>AND(#REF!,"AAAAAH/au8U=")</f>
        <v>#REF!</v>
      </c>
      <c r="GQ206" t="e">
        <f>AND(#REF!,"AAAAAH/au8Y=")</f>
        <v>#REF!</v>
      </c>
      <c r="GR206" t="e">
        <f>AND(#REF!,"AAAAAH/au8c=")</f>
        <v>#REF!</v>
      </c>
      <c r="GS206" t="e">
        <f>AND(#REF!,"AAAAAH/au8g=")</f>
        <v>#REF!</v>
      </c>
      <c r="GT206" t="e">
        <f>AND(#REF!,"AAAAAH/au8k=")</f>
        <v>#REF!</v>
      </c>
      <c r="GU206" t="e">
        <f>AND(#REF!,"AAAAAH/au8o=")</f>
        <v>#REF!</v>
      </c>
      <c r="GV206" t="e">
        <f>AND(#REF!,"AAAAAH/au8s=")</f>
        <v>#REF!</v>
      </c>
      <c r="GW206" t="e">
        <f>AND(#REF!,"AAAAAH/au8w=")</f>
        <v>#REF!</v>
      </c>
      <c r="GX206" t="e">
        <f>AND(#REF!,"AAAAAH/au80=")</f>
        <v>#REF!</v>
      </c>
      <c r="GY206" t="e">
        <f>IF(#REF!,"AAAAAH/au84=",0)</f>
        <v>#REF!</v>
      </c>
      <c r="GZ206" t="e">
        <f>AND(#REF!,"AAAAAH/au88=")</f>
        <v>#REF!</v>
      </c>
      <c r="HA206" t="e">
        <f>AND(#REF!,"AAAAAH/au9A=")</f>
        <v>#REF!</v>
      </c>
      <c r="HB206" t="e">
        <f>AND(#REF!,"AAAAAH/au9E=")</f>
        <v>#REF!</v>
      </c>
      <c r="HC206" t="e">
        <f>AND(#REF!,"AAAAAH/au9I=")</f>
        <v>#REF!</v>
      </c>
      <c r="HD206" t="e">
        <f>AND(#REF!,"AAAAAH/au9M=")</f>
        <v>#REF!</v>
      </c>
      <c r="HE206" t="e">
        <f>AND(#REF!,"AAAAAH/au9Q=")</f>
        <v>#REF!</v>
      </c>
      <c r="HF206" t="e">
        <f>AND(#REF!,"AAAAAH/au9U=")</f>
        <v>#REF!</v>
      </c>
      <c r="HG206" t="e">
        <f>AND(#REF!,"AAAAAH/au9Y=")</f>
        <v>#REF!</v>
      </c>
      <c r="HH206" t="e">
        <f>AND(#REF!,"AAAAAH/au9c=")</f>
        <v>#REF!</v>
      </c>
      <c r="HI206" t="e">
        <f>AND(#REF!,"AAAAAH/au9g=")</f>
        <v>#REF!</v>
      </c>
      <c r="HJ206" t="e">
        <f>IF(#REF!,"AAAAAH/au9k=",0)</f>
        <v>#REF!</v>
      </c>
      <c r="HK206" t="e">
        <f>AND(#REF!,"AAAAAH/au9o=")</f>
        <v>#REF!</v>
      </c>
      <c r="HL206" t="e">
        <f>AND(#REF!,"AAAAAH/au9s=")</f>
        <v>#REF!</v>
      </c>
      <c r="HM206" t="e">
        <f>AND(#REF!,"AAAAAH/au9w=")</f>
        <v>#REF!</v>
      </c>
      <c r="HN206" t="e">
        <f>AND(#REF!,"AAAAAH/au90=")</f>
        <v>#REF!</v>
      </c>
      <c r="HO206" t="e">
        <f>AND(#REF!,"AAAAAH/au94=")</f>
        <v>#REF!</v>
      </c>
      <c r="HP206" t="e">
        <f>AND(#REF!,"AAAAAH/au98=")</f>
        <v>#REF!</v>
      </c>
      <c r="HQ206" t="e">
        <f>AND(#REF!,"AAAAAH/au+A=")</f>
        <v>#REF!</v>
      </c>
      <c r="HR206" t="e">
        <f>AND(#REF!,"AAAAAH/au+E=")</f>
        <v>#REF!</v>
      </c>
      <c r="HS206" t="e">
        <f>AND(#REF!,"AAAAAH/au+I=")</f>
        <v>#REF!</v>
      </c>
      <c r="HT206" t="e">
        <f>AND(#REF!,"AAAAAH/au+M=")</f>
        <v>#REF!</v>
      </c>
      <c r="HU206" t="e">
        <f>IF(#REF!,"AAAAAH/au+Q=",0)</f>
        <v>#REF!</v>
      </c>
      <c r="HV206" t="e">
        <f>AND(#REF!,"AAAAAH/au+U=")</f>
        <v>#REF!</v>
      </c>
      <c r="HW206" t="e">
        <f>AND(#REF!,"AAAAAH/au+Y=")</f>
        <v>#REF!</v>
      </c>
      <c r="HX206" t="e">
        <f>AND(#REF!,"AAAAAH/au+c=")</f>
        <v>#REF!</v>
      </c>
      <c r="HY206" t="e">
        <f>AND(#REF!,"AAAAAH/au+g=")</f>
        <v>#REF!</v>
      </c>
      <c r="HZ206" t="e">
        <f>AND(#REF!,"AAAAAH/au+k=")</f>
        <v>#REF!</v>
      </c>
      <c r="IA206" t="e">
        <f>AND(#REF!,"AAAAAH/au+o=")</f>
        <v>#REF!</v>
      </c>
      <c r="IB206" t="e">
        <f>AND(#REF!,"AAAAAH/au+s=")</f>
        <v>#REF!</v>
      </c>
      <c r="IC206" t="e">
        <f>AND(#REF!,"AAAAAH/au+w=")</f>
        <v>#REF!</v>
      </c>
      <c r="ID206" t="e">
        <f>AND(#REF!,"AAAAAH/au+0=")</f>
        <v>#REF!</v>
      </c>
      <c r="IE206" t="e">
        <f>AND(#REF!,"AAAAAH/au+4=")</f>
        <v>#REF!</v>
      </c>
      <c r="IF206" t="e">
        <f>IF(#REF!,"AAAAAH/au+8=",0)</f>
        <v>#REF!</v>
      </c>
      <c r="IG206" t="e">
        <f>AND(#REF!,"AAAAAH/au/A=")</f>
        <v>#REF!</v>
      </c>
      <c r="IH206" t="e">
        <f>AND(#REF!,"AAAAAH/au/E=")</f>
        <v>#REF!</v>
      </c>
      <c r="II206" t="e">
        <f>AND(#REF!,"AAAAAH/au/I=")</f>
        <v>#REF!</v>
      </c>
      <c r="IJ206" t="e">
        <f>AND(#REF!,"AAAAAH/au/M=")</f>
        <v>#REF!</v>
      </c>
      <c r="IK206" t="e">
        <f>AND(#REF!,"AAAAAH/au/Q=")</f>
        <v>#REF!</v>
      </c>
      <c r="IL206" t="e">
        <f>AND(#REF!,"AAAAAH/au/U=")</f>
        <v>#REF!</v>
      </c>
      <c r="IM206" t="e">
        <f>AND(#REF!,"AAAAAH/au/Y=")</f>
        <v>#REF!</v>
      </c>
      <c r="IN206" t="e">
        <f>AND(#REF!,"AAAAAH/au/c=")</f>
        <v>#REF!</v>
      </c>
      <c r="IO206" t="e">
        <f>AND(#REF!,"AAAAAH/au/g=")</f>
        <v>#REF!</v>
      </c>
      <c r="IP206" t="e">
        <f>AND(#REF!,"AAAAAH/au/k=")</f>
        <v>#REF!</v>
      </c>
      <c r="IQ206" t="e">
        <f>IF(#REF!,"AAAAAH/au/o=",0)</f>
        <v>#REF!</v>
      </c>
      <c r="IR206" t="e">
        <f>AND(#REF!,"AAAAAH/au/s=")</f>
        <v>#REF!</v>
      </c>
      <c r="IS206" t="e">
        <f>AND(#REF!,"AAAAAH/au/w=")</f>
        <v>#REF!</v>
      </c>
      <c r="IT206" t="e">
        <f>AND(#REF!,"AAAAAH/au/0=")</f>
        <v>#REF!</v>
      </c>
      <c r="IU206" t="e">
        <f>AND(#REF!,"AAAAAH/au/4=")</f>
        <v>#REF!</v>
      </c>
      <c r="IV206" t="e">
        <f>AND(#REF!,"AAAAAH/au/8=")</f>
        <v>#REF!</v>
      </c>
    </row>
    <row r="207" spans="1:256" x14ac:dyDescent="0.25">
      <c r="A207" t="e">
        <f>AND(#REF!,"AAAAAG4wjwA=")</f>
        <v>#REF!</v>
      </c>
      <c r="B207" t="e">
        <f>AND(#REF!,"AAAAAG4wjwE=")</f>
        <v>#REF!</v>
      </c>
      <c r="C207" t="e">
        <f>AND(#REF!,"AAAAAG4wjwI=")</f>
        <v>#REF!</v>
      </c>
      <c r="D207" t="e">
        <f>AND(#REF!,"AAAAAG4wjwM=")</f>
        <v>#REF!</v>
      </c>
      <c r="E207" t="e">
        <f>AND(#REF!,"AAAAAG4wjwQ=")</f>
        <v>#REF!</v>
      </c>
      <c r="F207" t="e">
        <f>IF(#REF!,"AAAAAG4wjwU=",0)</f>
        <v>#REF!</v>
      </c>
      <c r="G207" t="e">
        <f>AND(#REF!,"AAAAAG4wjwY=")</f>
        <v>#REF!</v>
      </c>
      <c r="H207" t="e">
        <f>AND(#REF!,"AAAAAG4wjwc=")</f>
        <v>#REF!</v>
      </c>
      <c r="I207" t="e">
        <f>AND(#REF!,"AAAAAG4wjwg=")</f>
        <v>#REF!</v>
      </c>
      <c r="J207" t="e">
        <f>AND(#REF!,"AAAAAG4wjwk=")</f>
        <v>#REF!</v>
      </c>
      <c r="K207" t="e">
        <f>AND(#REF!,"AAAAAG4wjwo=")</f>
        <v>#REF!</v>
      </c>
      <c r="L207" t="e">
        <f>AND(#REF!,"AAAAAG4wjws=")</f>
        <v>#REF!</v>
      </c>
      <c r="M207" t="e">
        <f>AND(#REF!,"AAAAAG4wjww=")</f>
        <v>#REF!</v>
      </c>
      <c r="N207" t="e">
        <f>AND(#REF!,"AAAAAG4wjw0=")</f>
        <v>#REF!</v>
      </c>
      <c r="O207" t="e">
        <f>AND(#REF!,"AAAAAG4wjw4=")</f>
        <v>#REF!</v>
      </c>
      <c r="P207" t="e">
        <f>AND(#REF!,"AAAAAG4wjw8=")</f>
        <v>#REF!</v>
      </c>
      <c r="Q207" t="e">
        <f>IF(#REF!,"AAAAAG4wjxA=",0)</f>
        <v>#REF!</v>
      </c>
      <c r="R207" t="e">
        <f>AND(#REF!,"AAAAAG4wjxE=")</f>
        <v>#REF!</v>
      </c>
      <c r="S207" t="e">
        <f>AND(#REF!,"AAAAAG4wjxI=")</f>
        <v>#REF!</v>
      </c>
      <c r="T207" t="e">
        <f>AND(#REF!,"AAAAAG4wjxM=")</f>
        <v>#REF!</v>
      </c>
      <c r="U207" t="e">
        <f>AND(#REF!,"AAAAAG4wjxQ=")</f>
        <v>#REF!</v>
      </c>
      <c r="V207" t="e">
        <f>AND(#REF!,"AAAAAG4wjxU=")</f>
        <v>#REF!</v>
      </c>
      <c r="W207" t="e">
        <f>AND(#REF!,"AAAAAG4wjxY=")</f>
        <v>#REF!</v>
      </c>
      <c r="X207" t="e">
        <f>AND(#REF!,"AAAAAG4wjxc=")</f>
        <v>#REF!</v>
      </c>
      <c r="Y207" t="e">
        <f>AND(#REF!,"AAAAAG4wjxg=")</f>
        <v>#REF!</v>
      </c>
      <c r="Z207" t="e">
        <f>AND(#REF!,"AAAAAG4wjxk=")</f>
        <v>#REF!</v>
      </c>
      <c r="AA207" t="e">
        <f>AND(#REF!,"AAAAAG4wjxo=")</f>
        <v>#REF!</v>
      </c>
      <c r="AB207" t="e">
        <f>IF(#REF!,"AAAAAG4wjxs=",0)</f>
        <v>#REF!</v>
      </c>
      <c r="AC207" t="e">
        <f>AND(#REF!,"AAAAAG4wjxw=")</f>
        <v>#REF!</v>
      </c>
      <c r="AD207" t="e">
        <f>AND(#REF!,"AAAAAG4wjx0=")</f>
        <v>#REF!</v>
      </c>
      <c r="AE207" t="e">
        <f>AND(#REF!,"AAAAAG4wjx4=")</f>
        <v>#REF!</v>
      </c>
      <c r="AF207" t="e">
        <f>AND(#REF!,"AAAAAG4wjx8=")</f>
        <v>#REF!</v>
      </c>
      <c r="AG207" t="e">
        <f>AND(#REF!,"AAAAAG4wjyA=")</f>
        <v>#REF!</v>
      </c>
      <c r="AH207" t="e">
        <f>AND(#REF!,"AAAAAG4wjyE=")</f>
        <v>#REF!</v>
      </c>
      <c r="AI207" t="e">
        <f>AND(#REF!,"AAAAAG4wjyI=")</f>
        <v>#REF!</v>
      </c>
      <c r="AJ207" t="e">
        <f>AND(#REF!,"AAAAAG4wjyM=")</f>
        <v>#REF!</v>
      </c>
      <c r="AK207" t="e">
        <f>AND(#REF!,"AAAAAG4wjyQ=")</f>
        <v>#REF!</v>
      </c>
      <c r="AL207" t="e">
        <f>AND(#REF!,"AAAAAG4wjyU=")</f>
        <v>#REF!</v>
      </c>
      <c r="AM207" t="e">
        <f>IF(#REF!,"AAAAAG4wjyY=",0)</f>
        <v>#REF!</v>
      </c>
      <c r="AN207" t="e">
        <f>AND(#REF!,"AAAAAG4wjyc=")</f>
        <v>#REF!</v>
      </c>
      <c r="AO207" t="e">
        <f>AND(#REF!,"AAAAAG4wjyg=")</f>
        <v>#REF!</v>
      </c>
      <c r="AP207" t="e">
        <f>AND(#REF!,"AAAAAG4wjyk=")</f>
        <v>#REF!</v>
      </c>
      <c r="AQ207" t="e">
        <f>AND(#REF!,"AAAAAG4wjyo=")</f>
        <v>#REF!</v>
      </c>
      <c r="AR207" t="e">
        <f>AND(#REF!,"AAAAAG4wjys=")</f>
        <v>#REF!</v>
      </c>
      <c r="AS207" t="e">
        <f>AND(#REF!,"AAAAAG4wjyw=")</f>
        <v>#REF!</v>
      </c>
      <c r="AT207" t="e">
        <f>AND(#REF!,"AAAAAG4wjy0=")</f>
        <v>#REF!</v>
      </c>
      <c r="AU207" t="e">
        <f>AND(#REF!,"AAAAAG4wjy4=")</f>
        <v>#REF!</v>
      </c>
      <c r="AV207" t="e">
        <f>AND(#REF!,"AAAAAG4wjy8=")</f>
        <v>#REF!</v>
      </c>
      <c r="AW207" t="e">
        <f>AND(#REF!,"AAAAAG4wjzA=")</f>
        <v>#REF!</v>
      </c>
      <c r="AX207" t="e">
        <f>IF(#REF!,"AAAAAG4wjzE=",0)</f>
        <v>#REF!</v>
      </c>
      <c r="AY207" t="e">
        <f>AND(#REF!,"AAAAAG4wjzI=")</f>
        <v>#REF!</v>
      </c>
      <c r="AZ207" t="e">
        <f>AND(#REF!,"AAAAAG4wjzM=")</f>
        <v>#REF!</v>
      </c>
      <c r="BA207" t="e">
        <f>AND(#REF!,"AAAAAG4wjzQ=")</f>
        <v>#REF!</v>
      </c>
      <c r="BB207" t="e">
        <f>AND(#REF!,"AAAAAG4wjzU=")</f>
        <v>#REF!</v>
      </c>
      <c r="BC207" t="e">
        <f>AND(#REF!,"AAAAAG4wjzY=")</f>
        <v>#REF!</v>
      </c>
      <c r="BD207" t="e">
        <f>AND(#REF!,"AAAAAG4wjzc=")</f>
        <v>#REF!</v>
      </c>
      <c r="BE207" t="e">
        <f>AND(#REF!,"AAAAAG4wjzg=")</f>
        <v>#REF!</v>
      </c>
      <c r="BF207" t="e">
        <f>AND(#REF!,"AAAAAG4wjzk=")</f>
        <v>#REF!</v>
      </c>
      <c r="BG207" t="e">
        <f>AND(#REF!,"AAAAAG4wjzo=")</f>
        <v>#REF!</v>
      </c>
      <c r="BH207" t="e">
        <f>AND(#REF!,"AAAAAG4wjzs=")</f>
        <v>#REF!</v>
      </c>
      <c r="BI207" t="e">
        <f>IF(#REF!,"AAAAAG4wjzw=",0)</f>
        <v>#REF!</v>
      </c>
      <c r="BJ207" t="e">
        <f>AND(#REF!,"AAAAAG4wjz0=")</f>
        <v>#REF!</v>
      </c>
      <c r="BK207" t="e">
        <f>AND(#REF!,"AAAAAG4wjz4=")</f>
        <v>#REF!</v>
      </c>
      <c r="BL207" t="e">
        <f>AND(#REF!,"AAAAAG4wjz8=")</f>
        <v>#REF!</v>
      </c>
      <c r="BM207" t="e">
        <f>AND(#REF!,"AAAAAG4wj0A=")</f>
        <v>#REF!</v>
      </c>
      <c r="BN207" t="e">
        <f>AND(#REF!,"AAAAAG4wj0E=")</f>
        <v>#REF!</v>
      </c>
      <c r="BO207" t="e">
        <f>AND(#REF!,"AAAAAG4wj0I=")</f>
        <v>#REF!</v>
      </c>
      <c r="BP207" t="e">
        <f>AND(#REF!,"AAAAAG4wj0M=")</f>
        <v>#REF!</v>
      </c>
      <c r="BQ207" t="e">
        <f>AND(#REF!,"AAAAAG4wj0Q=")</f>
        <v>#REF!</v>
      </c>
      <c r="BR207" t="e">
        <f>AND(#REF!,"AAAAAG4wj0U=")</f>
        <v>#REF!</v>
      </c>
      <c r="BS207" t="e">
        <f>AND(#REF!,"AAAAAG4wj0Y=")</f>
        <v>#REF!</v>
      </c>
      <c r="BT207" t="e">
        <f>IF(#REF!,"AAAAAG4wj0c=",0)</f>
        <v>#REF!</v>
      </c>
      <c r="BU207" t="e">
        <f>AND(#REF!,"AAAAAG4wj0g=")</f>
        <v>#REF!</v>
      </c>
      <c r="BV207" t="e">
        <f>AND(#REF!,"AAAAAG4wj0k=")</f>
        <v>#REF!</v>
      </c>
      <c r="BW207" t="e">
        <f>AND(#REF!,"AAAAAG4wj0o=")</f>
        <v>#REF!</v>
      </c>
      <c r="BX207" t="e">
        <f>AND(#REF!,"AAAAAG4wj0s=")</f>
        <v>#REF!</v>
      </c>
      <c r="BY207" t="e">
        <f>AND(#REF!,"AAAAAG4wj0w=")</f>
        <v>#REF!</v>
      </c>
      <c r="BZ207" t="e">
        <f>AND(#REF!,"AAAAAG4wj00=")</f>
        <v>#REF!</v>
      </c>
      <c r="CA207" t="e">
        <f>AND(#REF!,"AAAAAG4wj04=")</f>
        <v>#REF!</v>
      </c>
      <c r="CB207" t="e">
        <f>AND(#REF!,"AAAAAG4wj08=")</f>
        <v>#REF!</v>
      </c>
      <c r="CC207" t="e">
        <f>AND(#REF!,"AAAAAG4wj1A=")</f>
        <v>#REF!</v>
      </c>
      <c r="CD207" t="e">
        <f>AND(#REF!,"AAAAAG4wj1E=")</f>
        <v>#REF!</v>
      </c>
      <c r="CE207" t="e">
        <f>IF(#REF!,"AAAAAG4wj1I=",0)</f>
        <v>#REF!</v>
      </c>
      <c r="CF207" t="e">
        <f>AND(#REF!,"AAAAAG4wj1M=")</f>
        <v>#REF!</v>
      </c>
      <c r="CG207" t="e">
        <f>AND(#REF!,"AAAAAG4wj1Q=")</f>
        <v>#REF!</v>
      </c>
      <c r="CH207" t="e">
        <f>AND(#REF!,"AAAAAG4wj1U=")</f>
        <v>#REF!</v>
      </c>
      <c r="CI207" t="e">
        <f>AND(#REF!,"AAAAAG4wj1Y=")</f>
        <v>#REF!</v>
      </c>
      <c r="CJ207" t="e">
        <f>AND(#REF!,"AAAAAG4wj1c=")</f>
        <v>#REF!</v>
      </c>
      <c r="CK207" t="e">
        <f>AND(#REF!,"AAAAAG4wj1g=")</f>
        <v>#REF!</v>
      </c>
      <c r="CL207" t="e">
        <f>AND(#REF!,"AAAAAG4wj1k=")</f>
        <v>#REF!</v>
      </c>
      <c r="CM207" t="e">
        <f>AND(#REF!,"AAAAAG4wj1o=")</f>
        <v>#REF!</v>
      </c>
      <c r="CN207" t="e">
        <f>AND(#REF!,"AAAAAG4wj1s=")</f>
        <v>#REF!</v>
      </c>
      <c r="CO207" t="e">
        <f>AND(#REF!,"AAAAAG4wj1w=")</f>
        <v>#REF!</v>
      </c>
      <c r="CP207" t="e">
        <f>IF(#REF!,"AAAAAG4wj10=",0)</f>
        <v>#REF!</v>
      </c>
      <c r="CQ207" t="e">
        <f>AND(#REF!,"AAAAAG4wj14=")</f>
        <v>#REF!</v>
      </c>
      <c r="CR207" t="e">
        <f>AND(#REF!,"AAAAAG4wj18=")</f>
        <v>#REF!</v>
      </c>
      <c r="CS207" t="e">
        <f>AND(#REF!,"AAAAAG4wj2A=")</f>
        <v>#REF!</v>
      </c>
      <c r="CT207" t="e">
        <f>AND(#REF!,"AAAAAG4wj2E=")</f>
        <v>#REF!</v>
      </c>
      <c r="CU207" t="e">
        <f>AND(#REF!,"AAAAAG4wj2I=")</f>
        <v>#REF!</v>
      </c>
      <c r="CV207" t="e">
        <f>AND(#REF!,"AAAAAG4wj2M=")</f>
        <v>#REF!</v>
      </c>
      <c r="CW207" t="e">
        <f>AND(#REF!,"AAAAAG4wj2Q=")</f>
        <v>#REF!</v>
      </c>
      <c r="CX207" t="e">
        <f>AND(#REF!,"AAAAAG4wj2U=")</f>
        <v>#REF!</v>
      </c>
      <c r="CY207" t="e">
        <f>AND(#REF!,"AAAAAG4wj2Y=")</f>
        <v>#REF!</v>
      </c>
      <c r="CZ207" t="e">
        <f>AND(#REF!,"AAAAAG4wj2c=")</f>
        <v>#REF!</v>
      </c>
      <c r="DA207" t="e">
        <f>IF(#REF!,"AAAAAG4wj2g=",0)</f>
        <v>#REF!</v>
      </c>
      <c r="DB207" t="e">
        <f>AND(#REF!,"AAAAAG4wj2k=")</f>
        <v>#REF!</v>
      </c>
      <c r="DC207" t="e">
        <f>AND(#REF!,"AAAAAG4wj2o=")</f>
        <v>#REF!</v>
      </c>
      <c r="DD207" t="e">
        <f>AND(#REF!,"AAAAAG4wj2s=")</f>
        <v>#REF!</v>
      </c>
      <c r="DE207" t="e">
        <f>AND(#REF!,"AAAAAG4wj2w=")</f>
        <v>#REF!</v>
      </c>
      <c r="DF207" t="e">
        <f>AND(#REF!,"AAAAAG4wj20=")</f>
        <v>#REF!</v>
      </c>
      <c r="DG207" t="e">
        <f>AND(#REF!,"AAAAAG4wj24=")</f>
        <v>#REF!</v>
      </c>
      <c r="DH207" t="e">
        <f>AND(#REF!,"AAAAAG4wj28=")</f>
        <v>#REF!</v>
      </c>
      <c r="DI207" t="e">
        <f>AND(#REF!,"AAAAAG4wj3A=")</f>
        <v>#REF!</v>
      </c>
      <c r="DJ207" t="e">
        <f>AND(#REF!,"AAAAAG4wj3E=")</f>
        <v>#REF!</v>
      </c>
      <c r="DK207" t="e">
        <f>AND(#REF!,"AAAAAG4wj3I=")</f>
        <v>#REF!</v>
      </c>
      <c r="DL207" t="e">
        <f>IF(#REF!,"AAAAAG4wj3M=",0)</f>
        <v>#REF!</v>
      </c>
      <c r="DM207" t="e">
        <f>AND(#REF!,"AAAAAG4wj3Q=")</f>
        <v>#REF!</v>
      </c>
      <c r="DN207" t="e">
        <f>AND(#REF!,"AAAAAG4wj3U=")</f>
        <v>#REF!</v>
      </c>
      <c r="DO207" t="e">
        <f>AND(#REF!,"AAAAAG4wj3Y=")</f>
        <v>#REF!</v>
      </c>
      <c r="DP207" t="e">
        <f>AND(#REF!,"AAAAAG4wj3c=")</f>
        <v>#REF!</v>
      </c>
      <c r="DQ207" t="e">
        <f>AND(#REF!,"AAAAAG4wj3g=")</f>
        <v>#REF!</v>
      </c>
      <c r="DR207" t="e">
        <f>AND(#REF!,"AAAAAG4wj3k=")</f>
        <v>#REF!</v>
      </c>
      <c r="DS207" t="e">
        <f>AND(#REF!,"AAAAAG4wj3o=")</f>
        <v>#REF!</v>
      </c>
      <c r="DT207" t="e">
        <f>AND(#REF!,"AAAAAG4wj3s=")</f>
        <v>#REF!</v>
      </c>
      <c r="DU207" t="e">
        <f>AND(#REF!,"AAAAAG4wj3w=")</f>
        <v>#REF!</v>
      </c>
      <c r="DV207" t="e">
        <f>AND(#REF!,"AAAAAG4wj30=")</f>
        <v>#REF!</v>
      </c>
      <c r="DW207" t="e">
        <f>IF(#REF!,"AAAAAG4wj34=",0)</f>
        <v>#REF!</v>
      </c>
      <c r="DX207" t="e">
        <f>AND(#REF!,"AAAAAG4wj38=")</f>
        <v>#REF!</v>
      </c>
      <c r="DY207" t="e">
        <f>AND(#REF!,"AAAAAG4wj4A=")</f>
        <v>#REF!</v>
      </c>
      <c r="DZ207" t="e">
        <f>AND(#REF!,"AAAAAG4wj4E=")</f>
        <v>#REF!</v>
      </c>
      <c r="EA207" t="e">
        <f>AND(#REF!,"AAAAAG4wj4I=")</f>
        <v>#REF!</v>
      </c>
      <c r="EB207" t="e">
        <f>AND(#REF!,"AAAAAG4wj4M=")</f>
        <v>#REF!</v>
      </c>
      <c r="EC207" t="e">
        <f>AND(#REF!,"AAAAAG4wj4Q=")</f>
        <v>#REF!</v>
      </c>
      <c r="ED207" t="e">
        <f>AND(#REF!,"AAAAAG4wj4U=")</f>
        <v>#REF!</v>
      </c>
      <c r="EE207" t="e">
        <f>AND(#REF!,"AAAAAG4wj4Y=")</f>
        <v>#REF!</v>
      </c>
      <c r="EF207" t="e">
        <f>AND(#REF!,"AAAAAG4wj4c=")</f>
        <v>#REF!</v>
      </c>
      <c r="EG207" t="e">
        <f>AND(#REF!,"AAAAAG4wj4g=")</f>
        <v>#REF!</v>
      </c>
      <c r="EH207" t="e">
        <f>IF(#REF!,"AAAAAG4wj4k=",0)</f>
        <v>#REF!</v>
      </c>
      <c r="EI207" t="e">
        <f>AND(#REF!,"AAAAAG4wj4o=")</f>
        <v>#REF!</v>
      </c>
      <c r="EJ207" t="e">
        <f>AND(#REF!,"AAAAAG4wj4s=")</f>
        <v>#REF!</v>
      </c>
      <c r="EK207" t="e">
        <f>AND(#REF!,"AAAAAG4wj4w=")</f>
        <v>#REF!</v>
      </c>
      <c r="EL207" t="e">
        <f>AND(#REF!,"AAAAAG4wj40=")</f>
        <v>#REF!</v>
      </c>
      <c r="EM207" t="e">
        <f>AND(#REF!,"AAAAAG4wj44=")</f>
        <v>#REF!</v>
      </c>
      <c r="EN207" t="e">
        <f>AND(#REF!,"AAAAAG4wj48=")</f>
        <v>#REF!</v>
      </c>
      <c r="EO207" t="e">
        <f>AND(#REF!,"AAAAAG4wj5A=")</f>
        <v>#REF!</v>
      </c>
      <c r="EP207" t="e">
        <f>AND(#REF!,"AAAAAG4wj5E=")</f>
        <v>#REF!</v>
      </c>
      <c r="EQ207" t="e">
        <f>AND(#REF!,"AAAAAG4wj5I=")</f>
        <v>#REF!</v>
      </c>
      <c r="ER207" t="e">
        <f>AND(#REF!,"AAAAAG4wj5M=")</f>
        <v>#REF!</v>
      </c>
      <c r="ES207" t="e">
        <f>IF(#REF!,"AAAAAG4wj5Q=",0)</f>
        <v>#REF!</v>
      </c>
      <c r="ET207" t="e">
        <f>AND(#REF!,"AAAAAG4wj5U=")</f>
        <v>#REF!</v>
      </c>
      <c r="EU207" t="e">
        <f>AND(#REF!,"AAAAAG4wj5Y=")</f>
        <v>#REF!</v>
      </c>
      <c r="EV207" t="e">
        <f>AND(#REF!,"AAAAAG4wj5c=")</f>
        <v>#REF!</v>
      </c>
      <c r="EW207" t="e">
        <f>AND(#REF!,"AAAAAG4wj5g=")</f>
        <v>#REF!</v>
      </c>
      <c r="EX207" t="e">
        <f>AND(#REF!,"AAAAAG4wj5k=")</f>
        <v>#REF!</v>
      </c>
      <c r="EY207" t="e">
        <f>AND(#REF!,"AAAAAG4wj5o=")</f>
        <v>#REF!</v>
      </c>
      <c r="EZ207" t="e">
        <f>AND(#REF!,"AAAAAG4wj5s=")</f>
        <v>#REF!</v>
      </c>
      <c r="FA207" t="e">
        <f>AND(#REF!,"AAAAAG4wj5w=")</f>
        <v>#REF!</v>
      </c>
      <c r="FB207" t="e">
        <f>AND(#REF!,"AAAAAG4wj50=")</f>
        <v>#REF!</v>
      </c>
      <c r="FC207" t="e">
        <f>AND(#REF!,"AAAAAG4wj54=")</f>
        <v>#REF!</v>
      </c>
      <c r="FD207" t="e">
        <f>IF(#REF!,"AAAAAG4wj58=",0)</f>
        <v>#REF!</v>
      </c>
      <c r="FE207" t="e">
        <f>AND(#REF!,"AAAAAG4wj6A=")</f>
        <v>#REF!</v>
      </c>
      <c r="FF207" t="e">
        <f>AND(#REF!,"AAAAAG4wj6E=")</f>
        <v>#REF!</v>
      </c>
      <c r="FG207" t="e">
        <f>AND(#REF!,"AAAAAG4wj6I=")</f>
        <v>#REF!</v>
      </c>
      <c r="FH207" t="e">
        <f>AND(#REF!,"AAAAAG4wj6M=")</f>
        <v>#REF!</v>
      </c>
      <c r="FI207" t="e">
        <f>AND(#REF!,"AAAAAG4wj6Q=")</f>
        <v>#REF!</v>
      </c>
      <c r="FJ207" t="e">
        <f>AND(#REF!,"AAAAAG4wj6U=")</f>
        <v>#REF!</v>
      </c>
      <c r="FK207" t="e">
        <f>AND(#REF!,"AAAAAG4wj6Y=")</f>
        <v>#REF!</v>
      </c>
      <c r="FL207" t="e">
        <f>AND(#REF!,"AAAAAG4wj6c=")</f>
        <v>#REF!</v>
      </c>
      <c r="FM207" t="e">
        <f>AND(#REF!,"AAAAAG4wj6g=")</f>
        <v>#REF!</v>
      </c>
      <c r="FN207" t="e">
        <f>AND(#REF!,"AAAAAG4wj6k=")</f>
        <v>#REF!</v>
      </c>
      <c r="FO207" t="e">
        <f>IF(#REF!,"AAAAAG4wj6o=",0)</f>
        <v>#REF!</v>
      </c>
      <c r="FP207" t="e">
        <f>AND(#REF!,"AAAAAG4wj6s=")</f>
        <v>#REF!</v>
      </c>
      <c r="FQ207" t="e">
        <f>AND(#REF!,"AAAAAG4wj6w=")</f>
        <v>#REF!</v>
      </c>
      <c r="FR207" t="e">
        <f>AND(#REF!,"AAAAAG4wj60=")</f>
        <v>#REF!</v>
      </c>
      <c r="FS207" t="e">
        <f>AND(#REF!,"AAAAAG4wj64=")</f>
        <v>#REF!</v>
      </c>
      <c r="FT207" t="e">
        <f>AND(#REF!,"AAAAAG4wj68=")</f>
        <v>#REF!</v>
      </c>
      <c r="FU207" t="e">
        <f>AND(#REF!,"AAAAAG4wj7A=")</f>
        <v>#REF!</v>
      </c>
      <c r="FV207" t="e">
        <f>AND(#REF!,"AAAAAG4wj7E=")</f>
        <v>#REF!</v>
      </c>
      <c r="FW207" t="e">
        <f>AND(#REF!,"AAAAAG4wj7I=")</f>
        <v>#REF!</v>
      </c>
      <c r="FX207" t="e">
        <f>AND(#REF!,"AAAAAG4wj7M=")</f>
        <v>#REF!</v>
      </c>
      <c r="FY207" t="e">
        <f>AND(#REF!,"AAAAAG4wj7Q=")</f>
        <v>#REF!</v>
      </c>
      <c r="FZ207" t="e">
        <f>IF(#REF!,"AAAAAG4wj7U=",0)</f>
        <v>#REF!</v>
      </c>
      <c r="GA207" t="e">
        <f>AND(#REF!,"AAAAAG4wj7Y=")</f>
        <v>#REF!</v>
      </c>
      <c r="GB207" t="e">
        <f>AND(#REF!,"AAAAAG4wj7c=")</f>
        <v>#REF!</v>
      </c>
      <c r="GC207" t="e">
        <f>AND(#REF!,"AAAAAG4wj7g=")</f>
        <v>#REF!</v>
      </c>
      <c r="GD207" t="e">
        <f>AND(#REF!,"AAAAAG4wj7k=")</f>
        <v>#REF!</v>
      </c>
      <c r="GE207" t="e">
        <f>AND(#REF!,"AAAAAG4wj7o=")</f>
        <v>#REF!</v>
      </c>
      <c r="GF207" t="e">
        <f>AND(#REF!,"AAAAAG4wj7s=")</f>
        <v>#REF!</v>
      </c>
      <c r="GG207" t="e">
        <f>AND(#REF!,"AAAAAG4wj7w=")</f>
        <v>#REF!</v>
      </c>
      <c r="GH207" t="e">
        <f>AND(#REF!,"AAAAAG4wj70=")</f>
        <v>#REF!</v>
      </c>
      <c r="GI207" t="e">
        <f>AND(#REF!,"AAAAAG4wj74=")</f>
        <v>#REF!</v>
      </c>
      <c r="GJ207" t="e">
        <f>AND(#REF!,"AAAAAG4wj78=")</f>
        <v>#REF!</v>
      </c>
      <c r="GK207" t="e">
        <f>IF(#REF!,"AAAAAG4wj8A=",0)</f>
        <v>#REF!</v>
      </c>
      <c r="GL207" t="e">
        <f>AND(#REF!,"AAAAAG4wj8E=")</f>
        <v>#REF!</v>
      </c>
      <c r="GM207" t="e">
        <f>AND(#REF!,"AAAAAG4wj8I=")</f>
        <v>#REF!</v>
      </c>
      <c r="GN207" t="e">
        <f>AND(#REF!,"AAAAAG4wj8M=")</f>
        <v>#REF!</v>
      </c>
      <c r="GO207" t="e">
        <f>AND(#REF!,"AAAAAG4wj8Q=")</f>
        <v>#REF!</v>
      </c>
      <c r="GP207" t="e">
        <f>AND(#REF!,"AAAAAG4wj8U=")</f>
        <v>#REF!</v>
      </c>
      <c r="GQ207" t="e">
        <f>AND(#REF!,"AAAAAG4wj8Y=")</f>
        <v>#REF!</v>
      </c>
      <c r="GR207" t="e">
        <f>AND(#REF!,"AAAAAG4wj8c=")</f>
        <v>#REF!</v>
      </c>
      <c r="GS207" t="e">
        <f>AND(#REF!,"AAAAAG4wj8g=")</f>
        <v>#REF!</v>
      </c>
      <c r="GT207" t="e">
        <f>AND(#REF!,"AAAAAG4wj8k=")</f>
        <v>#REF!</v>
      </c>
      <c r="GU207" t="e">
        <f>AND(#REF!,"AAAAAG4wj8o=")</f>
        <v>#REF!</v>
      </c>
      <c r="GV207" t="e">
        <f>IF(#REF!,"AAAAAG4wj8s=",0)</f>
        <v>#REF!</v>
      </c>
      <c r="GW207" t="e">
        <f>AND(#REF!,"AAAAAG4wj8w=")</f>
        <v>#REF!</v>
      </c>
      <c r="GX207" t="e">
        <f>AND(#REF!,"AAAAAG4wj80=")</f>
        <v>#REF!</v>
      </c>
      <c r="GY207" t="e">
        <f>AND(#REF!,"AAAAAG4wj84=")</f>
        <v>#REF!</v>
      </c>
      <c r="GZ207" t="e">
        <f>AND(#REF!,"AAAAAG4wj88=")</f>
        <v>#REF!</v>
      </c>
      <c r="HA207" t="e">
        <f>AND(#REF!,"AAAAAG4wj9A=")</f>
        <v>#REF!</v>
      </c>
      <c r="HB207" t="e">
        <f>AND(#REF!,"AAAAAG4wj9E=")</f>
        <v>#REF!</v>
      </c>
      <c r="HC207" t="e">
        <f>AND(#REF!,"AAAAAG4wj9I=")</f>
        <v>#REF!</v>
      </c>
      <c r="HD207" t="e">
        <f>AND(#REF!,"AAAAAG4wj9M=")</f>
        <v>#REF!</v>
      </c>
      <c r="HE207" t="e">
        <f>AND(#REF!,"AAAAAG4wj9Q=")</f>
        <v>#REF!</v>
      </c>
      <c r="HF207" t="e">
        <f>AND(#REF!,"AAAAAG4wj9U=")</f>
        <v>#REF!</v>
      </c>
      <c r="HG207" t="e">
        <f>IF(#REF!,"AAAAAG4wj9Y=",0)</f>
        <v>#REF!</v>
      </c>
      <c r="HH207" t="e">
        <f>AND(#REF!,"AAAAAG4wj9c=")</f>
        <v>#REF!</v>
      </c>
      <c r="HI207" t="e">
        <f>AND(#REF!,"AAAAAG4wj9g=")</f>
        <v>#REF!</v>
      </c>
      <c r="HJ207" t="e">
        <f>AND(#REF!,"AAAAAG4wj9k=")</f>
        <v>#REF!</v>
      </c>
      <c r="HK207" t="e">
        <f>AND(#REF!,"AAAAAG4wj9o=")</f>
        <v>#REF!</v>
      </c>
      <c r="HL207" t="e">
        <f>AND(#REF!,"AAAAAG4wj9s=")</f>
        <v>#REF!</v>
      </c>
      <c r="HM207" t="e">
        <f>AND(#REF!,"AAAAAG4wj9w=")</f>
        <v>#REF!</v>
      </c>
      <c r="HN207" t="e">
        <f>AND(#REF!,"AAAAAG4wj90=")</f>
        <v>#REF!</v>
      </c>
      <c r="HO207" t="e">
        <f>AND(#REF!,"AAAAAG4wj94=")</f>
        <v>#REF!</v>
      </c>
      <c r="HP207" t="e">
        <f>AND(#REF!,"AAAAAG4wj98=")</f>
        <v>#REF!</v>
      </c>
      <c r="HQ207" t="e">
        <f>AND(#REF!,"AAAAAG4wj+A=")</f>
        <v>#REF!</v>
      </c>
      <c r="HR207" t="e">
        <f>IF(#REF!,"AAAAAG4wj+E=",0)</f>
        <v>#REF!</v>
      </c>
      <c r="HS207" t="e">
        <f>AND(#REF!,"AAAAAG4wj+I=")</f>
        <v>#REF!</v>
      </c>
      <c r="HT207" t="e">
        <f>AND(#REF!,"AAAAAG4wj+M=")</f>
        <v>#REF!</v>
      </c>
      <c r="HU207" t="e">
        <f>AND(#REF!,"AAAAAG4wj+Q=")</f>
        <v>#REF!</v>
      </c>
      <c r="HV207" t="e">
        <f>AND(#REF!,"AAAAAG4wj+U=")</f>
        <v>#REF!</v>
      </c>
      <c r="HW207" t="e">
        <f>AND(#REF!,"AAAAAG4wj+Y=")</f>
        <v>#REF!</v>
      </c>
      <c r="HX207" t="e">
        <f>AND(#REF!,"AAAAAG4wj+c=")</f>
        <v>#REF!</v>
      </c>
      <c r="HY207" t="e">
        <f>AND(#REF!,"AAAAAG4wj+g=")</f>
        <v>#REF!</v>
      </c>
      <c r="HZ207" t="e">
        <f>AND(#REF!,"AAAAAG4wj+k=")</f>
        <v>#REF!</v>
      </c>
      <c r="IA207" t="e">
        <f>AND(#REF!,"AAAAAG4wj+o=")</f>
        <v>#REF!</v>
      </c>
      <c r="IB207" t="e">
        <f>AND(#REF!,"AAAAAG4wj+s=")</f>
        <v>#REF!</v>
      </c>
      <c r="IC207" t="e">
        <f>IF(#REF!,"AAAAAG4wj+w=",0)</f>
        <v>#REF!</v>
      </c>
      <c r="ID207" t="e">
        <f>AND(#REF!,"AAAAAG4wj+0=")</f>
        <v>#REF!</v>
      </c>
      <c r="IE207" t="e">
        <f>AND(#REF!,"AAAAAG4wj+4=")</f>
        <v>#REF!</v>
      </c>
      <c r="IF207" t="e">
        <f>AND(#REF!,"AAAAAG4wj+8=")</f>
        <v>#REF!</v>
      </c>
      <c r="IG207" t="e">
        <f>AND(#REF!,"AAAAAG4wj/A=")</f>
        <v>#REF!</v>
      </c>
      <c r="IH207" t="e">
        <f>AND(#REF!,"AAAAAG4wj/E=")</f>
        <v>#REF!</v>
      </c>
      <c r="II207" t="e">
        <f>AND(#REF!,"AAAAAG4wj/I=")</f>
        <v>#REF!</v>
      </c>
      <c r="IJ207" t="e">
        <f>AND(#REF!,"AAAAAG4wj/M=")</f>
        <v>#REF!</v>
      </c>
      <c r="IK207" t="e">
        <f>AND(#REF!,"AAAAAG4wj/Q=")</f>
        <v>#REF!</v>
      </c>
      <c r="IL207" t="e">
        <f>AND(#REF!,"AAAAAG4wj/U=")</f>
        <v>#REF!</v>
      </c>
      <c r="IM207" t="e">
        <f>AND(#REF!,"AAAAAG4wj/Y=")</f>
        <v>#REF!</v>
      </c>
      <c r="IN207" t="e">
        <f>IF(#REF!,"AAAAAG4wj/c=",0)</f>
        <v>#REF!</v>
      </c>
      <c r="IO207" t="e">
        <f>AND(#REF!,"AAAAAG4wj/g=")</f>
        <v>#REF!</v>
      </c>
      <c r="IP207" t="e">
        <f>AND(#REF!,"AAAAAG4wj/k=")</f>
        <v>#REF!</v>
      </c>
      <c r="IQ207" t="e">
        <f>AND(#REF!,"AAAAAG4wj/o=")</f>
        <v>#REF!</v>
      </c>
      <c r="IR207" t="e">
        <f>AND(#REF!,"AAAAAG4wj/s=")</f>
        <v>#REF!</v>
      </c>
      <c r="IS207" t="e">
        <f>AND(#REF!,"AAAAAG4wj/w=")</f>
        <v>#REF!</v>
      </c>
      <c r="IT207" t="e">
        <f>AND(#REF!,"AAAAAG4wj/0=")</f>
        <v>#REF!</v>
      </c>
      <c r="IU207" t="e">
        <f>AND(#REF!,"AAAAAG4wj/4=")</f>
        <v>#REF!</v>
      </c>
      <c r="IV207" t="e">
        <f>AND(#REF!,"AAAAAG4wj/8=")</f>
        <v>#REF!</v>
      </c>
    </row>
    <row r="208" spans="1:256" x14ac:dyDescent="0.25">
      <c r="A208" t="e">
        <f>AND(#REF!,"AAAAAHnn7wA=")</f>
        <v>#REF!</v>
      </c>
      <c r="B208" t="e">
        <f>AND(#REF!,"AAAAAHnn7wE=")</f>
        <v>#REF!</v>
      </c>
      <c r="C208" t="e">
        <f>IF(#REF!,"AAAAAHnn7wI=",0)</f>
        <v>#REF!</v>
      </c>
      <c r="D208" t="e">
        <f>AND(#REF!,"AAAAAHnn7wM=")</f>
        <v>#REF!</v>
      </c>
      <c r="E208" t="e">
        <f>AND(#REF!,"AAAAAHnn7wQ=")</f>
        <v>#REF!</v>
      </c>
      <c r="F208" t="e">
        <f>AND(#REF!,"AAAAAHnn7wU=")</f>
        <v>#REF!</v>
      </c>
      <c r="G208" t="e">
        <f>AND(#REF!,"AAAAAHnn7wY=")</f>
        <v>#REF!</v>
      </c>
      <c r="H208" t="e">
        <f>AND(#REF!,"AAAAAHnn7wc=")</f>
        <v>#REF!</v>
      </c>
      <c r="I208" t="e">
        <f>AND(#REF!,"AAAAAHnn7wg=")</f>
        <v>#REF!</v>
      </c>
      <c r="J208" t="e">
        <f>AND(#REF!,"AAAAAHnn7wk=")</f>
        <v>#REF!</v>
      </c>
      <c r="K208" t="e">
        <f>AND(#REF!,"AAAAAHnn7wo=")</f>
        <v>#REF!</v>
      </c>
      <c r="L208" t="e">
        <f>AND(#REF!,"AAAAAHnn7ws=")</f>
        <v>#REF!</v>
      </c>
      <c r="M208" t="e">
        <f>AND(#REF!,"AAAAAHnn7ww=")</f>
        <v>#REF!</v>
      </c>
      <c r="N208" t="e">
        <f>IF(#REF!,"AAAAAHnn7w0=",0)</f>
        <v>#REF!</v>
      </c>
      <c r="O208" t="e">
        <f>AND(#REF!,"AAAAAHnn7w4=")</f>
        <v>#REF!</v>
      </c>
      <c r="P208" t="e">
        <f>AND(#REF!,"AAAAAHnn7w8=")</f>
        <v>#REF!</v>
      </c>
      <c r="Q208" t="e">
        <f>AND(#REF!,"AAAAAHnn7xA=")</f>
        <v>#REF!</v>
      </c>
      <c r="R208" t="e">
        <f>AND(#REF!,"AAAAAHnn7xE=")</f>
        <v>#REF!</v>
      </c>
      <c r="S208" t="e">
        <f>AND(#REF!,"AAAAAHnn7xI=")</f>
        <v>#REF!</v>
      </c>
      <c r="T208" t="e">
        <f>AND(#REF!,"AAAAAHnn7xM=")</f>
        <v>#REF!</v>
      </c>
      <c r="U208" t="e">
        <f>AND(#REF!,"AAAAAHnn7xQ=")</f>
        <v>#REF!</v>
      </c>
      <c r="V208" t="e">
        <f>AND(#REF!,"AAAAAHnn7xU=")</f>
        <v>#REF!</v>
      </c>
      <c r="W208" t="e">
        <f>AND(#REF!,"AAAAAHnn7xY=")</f>
        <v>#REF!</v>
      </c>
      <c r="X208" t="e">
        <f>AND(#REF!,"AAAAAHnn7xc=")</f>
        <v>#REF!</v>
      </c>
      <c r="Y208" t="e">
        <f>IF(#REF!,"AAAAAHnn7xg=",0)</f>
        <v>#REF!</v>
      </c>
      <c r="Z208" t="e">
        <f>AND(#REF!,"AAAAAHnn7xk=")</f>
        <v>#REF!</v>
      </c>
      <c r="AA208" t="e">
        <f>AND(#REF!,"AAAAAHnn7xo=")</f>
        <v>#REF!</v>
      </c>
      <c r="AB208" t="e">
        <f>AND(#REF!,"AAAAAHnn7xs=")</f>
        <v>#REF!</v>
      </c>
      <c r="AC208" t="e">
        <f>AND(#REF!,"AAAAAHnn7xw=")</f>
        <v>#REF!</v>
      </c>
      <c r="AD208" t="e">
        <f>AND(#REF!,"AAAAAHnn7x0=")</f>
        <v>#REF!</v>
      </c>
      <c r="AE208" t="e">
        <f>AND(#REF!,"AAAAAHnn7x4=")</f>
        <v>#REF!</v>
      </c>
      <c r="AF208" t="e">
        <f>AND(#REF!,"AAAAAHnn7x8=")</f>
        <v>#REF!</v>
      </c>
      <c r="AG208" t="e">
        <f>AND(#REF!,"AAAAAHnn7yA=")</f>
        <v>#REF!</v>
      </c>
      <c r="AH208" t="e">
        <f>AND(#REF!,"AAAAAHnn7yE=")</f>
        <v>#REF!</v>
      </c>
      <c r="AI208" t="e">
        <f>AND(#REF!,"AAAAAHnn7yI=")</f>
        <v>#REF!</v>
      </c>
      <c r="AJ208" t="e">
        <f>IF(#REF!,"AAAAAHnn7yM=",0)</f>
        <v>#REF!</v>
      </c>
      <c r="AK208" t="e">
        <f>AND(#REF!,"AAAAAHnn7yQ=")</f>
        <v>#REF!</v>
      </c>
      <c r="AL208" t="e">
        <f>AND(#REF!,"AAAAAHnn7yU=")</f>
        <v>#REF!</v>
      </c>
      <c r="AM208" t="e">
        <f>AND(#REF!,"AAAAAHnn7yY=")</f>
        <v>#REF!</v>
      </c>
      <c r="AN208" t="e">
        <f>AND(#REF!,"AAAAAHnn7yc=")</f>
        <v>#REF!</v>
      </c>
      <c r="AO208" t="e">
        <f>AND(#REF!,"AAAAAHnn7yg=")</f>
        <v>#REF!</v>
      </c>
      <c r="AP208" t="e">
        <f>AND(#REF!,"AAAAAHnn7yk=")</f>
        <v>#REF!</v>
      </c>
      <c r="AQ208" t="e">
        <f>AND(#REF!,"AAAAAHnn7yo=")</f>
        <v>#REF!</v>
      </c>
      <c r="AR208" t="e">
        <f>AND(#REF!,"AAAAAHnn7ys=")</f>
        <v>#REF!</v>
      </c>
      <c r="AS208" t="e">
        <f>AND(#REF!,"AAAAAHnn7yw=")</f>
        <v>#REF!</v>
      </c>
      <c r="AT208" t="e">
        <f>AND(#REF!,"AAAAAHnn7y0=")</f>
        <v>#REF!</v>
      </c>
      <c r="AU208" t="e">
        <f>IF(#REF!,"AAAAAHnn7y4=",0)</f>
        <v>#REF!</v>
      </c>
      <c r="AV208" t="e">
        <f>AND(#REF!,"AAAAAHnn7y8=")</f>
        <v>#REF!</v>
      </c>
      <c r="AW208" t="e">
        <f>AND(#REF!,"AAAAAHnn7zA=")</f>
        <v>#REF!</v>
      </c>
      <c r="AX208" t="e">
        <f>AND(#REF!,"AAAAAHnn7zE=")</f>
        <v>#REF!</v>
      </c>
      <c r="AY208" t="e">
        <f>AND(#REF!,"AAAAAHnn7zI=")</f>
        <v>#REF!</v>
      </c>
      <c r="AZ208" t="e">
        <f>AND(#REF!,"AAAAAHnn7zM=")</f>
        <v>#REF!</v>
      </c>
      <c r="BA208" t="e">
        <f>AND(#REF!,"AAAAAHnn7zQ=")</f>
        <v>#REF!</v>
      </c>
      <c r="BB208" t="e">
        <f>AND(#REF!,"AAAAAHnn7zU=")</f>
        <v>#REF!</v>
      </c>
      <c r="BC208" t="e">
        <f>AND(#REF!,"AAAAAHnn7zY=")</f>
        <v>#REF!</v>
      </c>
      <c r="BD208" t="e">
        <f>AND(#REF!,"AAAAAHnn7zc=")</f>
        <v>#REF!</v>
      </c>
      <c r="BE208" t="e">
        <f>AND(#REF!,"AAAAAHnn7zg=")</f>
        <v>#REF!</v>
      </c>
      <c r="BF208" t="e">
        <f>IF(#REF!,"AAAAAHnn7zk=",0)</f>
        <v>#REF!</v>
      </c>
      <c r="BG208" t="e">
        <f>AND(#REF!,"AAAAAHnn7zo=")</f>
        <v>#REF!</v>
      </c>
      <c r="BH208" t="e">
        <f>AND(#REF!,"AAAAAHnn7zs=")</f>
        <v>#REF!</v>
      </c>
      <c r="BI208" t="e">
        <f>AND(#REF!,"AAAAAHnn7zw=")</f>
        <v>#REF!</v>
      </c>
      <c r="BJ208" t="e">
        <f>AND(#REF!,"AAAAAHnn7z0=")</f>
        <v>#REF!</v>
      </c>
      <c r="BK208" t="e">
        <f>AND(#REF!,"AAAAAHnn7z4=")</f>
        <v>#REF!</v>
      </c>
      <c r="BL208" t="e">
        <f>AND(#REF!,"AAAAAHnn7z8=")</f>
        <v>#REF!</v>
      </c>
      <c r="BM208" t="e">
        <f>AND(#REF!,"AAAAAHnn70A=")</f>
        <v>#REF!</v>
      </c>
      <c r="BN208" t="e">
        <f>AND(#REF!,"AAAAAHnn70E=")</f>
        <v>#REF!</v>
      </c>
      <c r="BO208" t="e">
        <f>AND(#REF!,"AAAAAHnn70I=")</f>
        <v>#REF!</v>
      </c>
      <c r="BP208" t="e">
        <f>AND(#REF!,"AAAAAHnn70M=")</f>
        <v>#REF!</v>
      </c>
      <c r="BQ208" t="e">
        <f>IF(#REF!,"AAAAAHnn70Q=",0)</f>
        <v>#REF!</v>
      </c>
      <c r="BR208" t="e">
        <f>AND(#REF!,"AAAAAHnn70U=")</f>
        <v>#REF!</v>
      </c>
      <c r="BS208" t="e">
        <f>AND(#REF!,"AAAAAHnn70Y=")</f>
        <v>#REF!</v>
      </c>
      <c r="BT208" t="e">
        <f>AND(#REF!,"AAAAAHnn70c=")</f>
        <v>#REF!</v>
      </c>
      <c r="BU208" t="e">
        <f>AND(#REF!,"AAAAAHnn70g=")</f>
        <v>#REF!</v>
      </c>
      <c r="BV208" t="e">
        <f>AND(#REF!,"AAAAAHnn70k=")</f>
        <v>#REF!</v>
      </c>
      <c r="BW208" t="e">
        <f>AND(#REF!,"AAAAAHnn70o=")</f>
        <v>#REF!</v>
      </c>
      <c r="BX208" t="e">
        <f>AND(#REF!,"AAAAAHnn70s=")</f>
        <v>#REF!</v>
      </c>
      <c r="BY208" t="e">
        <f>AND(#REF!,"AAAAAHnn70w=")</f>
        <v>#REF!</v>
      </c>
      <c r="BZ208" t="e">
        <f>AND(#REF!,"AAAAAHnn700=")</f>
        <v>#REF!</v>
      </c>
      <c r="CA208" t="e">
        <f>AND(#REF!,"AAAAAHnn704=")</f>
        <v>#REF!</v>
      </c>
      <c r="CB208" t="e">
        <f>IF(#REF!,"AAAAAHnn708=",0)</f>
        <v>#REF!</v>
      </c>
      <c r="CC208" t="e">
        <f>AND(#REF!,"AAAAAHnn71A=")</f>
        <v>#REF!</v>
      </c>
      <c r="CD208" t="e">
        <f>AND(#REF!,"AAAAAHnn71E=")</f>
        <v>#REF!</v>
      </c>
      <c r="CE208" t="e">
        <f>AND(#REF!,"AAAAAHnn71I=")</f>
        <v>#REF!</v>
      </c>
      <c r="CF208" t="e">
        <f>AND(#REF!,"AAAAAHnn71M=")</f>
        <v>#REF!</v>
      </c>
      <c r="CG208" t="e">
        <f>AND(#REF!,"AAAAAHnn71Q=")</f>
        <v>#REF!</v>
      </c>
      <c r="CH208" t="e">
        <f>AND(#REF!,"AAAAAHnn71U=")</f>
        <v>#REF!</v>
      </c>
      <c r="CI208" t="e">
        <f>AND(#REF!,"AAAAAHnn71Y=")</f>
        <v>#REF!</v>
      </c>
      <c r="CJ208" t="e">
        <f>AND(#REF!,"AAAAAHnn71c=")</f>
        <v>#REF!</v>
      </c>
      <c r="CK208" t="e">
        <f>AND(#REF!,"AAAAAHnn71g=")</f>
        <v>#REF!</v>
      </c>
      <c r="CL208" t="e">
        <f>AND(#REF!,"AAAAAHnn71k=")</f>
        <v>#REF!</v>
      </c>
      <c r="CM208" t="e">
        <f>IF(#REF!,"AAAAAHnn71o=",0)</f>
        <v>#REF!</v>
      </c>
      <c r="CN208" t="e">
        <f>AND(#REF!,"AAAAAHnn71s=")</f>
        <v>#REF!</v>
      </c>
      <c r="CO208" t="e">
        <f>AND(#REF!,"AAAAAHnn71w=")</f>
        <v>#REF!</v>
      </c>
      <c r="CP208" t="e">
        <f>AND(#REF!,"AAAAAHnn710=")</f>
        <v>#REF!</v>
      </c>
      <c r="CQ208" t="e">
        <f>AND(#REF!,"AAAAAHnn714=")</f>
        <v>#REF!</v>
      </c>
      <c r="CR208" t="e">
        <f>AND(#REF!,"AAAAAHnn718=")</f>
        <v>#REF!</v>
      </c>
      <c r="CS208" t="e">
        <f>AND(#REF!,"AAAAAHnn72A=")</f>
        <v>#REF!</v>
      </c>
      <c r="CT208" t="e">
        <f>AND(#REF!,"AAAAAHnn72E=")</f>
        <v>#REF!</v>
      </c>
      <c r="CU208" t="e">
        <f>AND(#REF!,"AAAAAHnn72I=")</f>
        <v>#REF!</v>
      </c>
      <c r="CV208" t="e">
        <f>AND(#REF!,"AAAAAHnn72M=")</f>
        <v>#REF!</v>
      </c>
      <c r="CW208" t="e">
        <f>AND(#REF!,"AAAAAHnn72Q=")</f>
        <v>#REF!</v>
      </c>
      <c r="CX208" t="e">
        <f>IF(#REF!,"AAAAAHnn72U=",0)</f>
        <v>#REF!</v>
      </c>
      <c r="CY208" t="e">
        <f>AND(#REF!,"AAAAAHnn72Y=")</f>
        <v>#REF!</v>
      </c>
      <c r="CZ208" t="e">
        <f>AND(#REF!,"AAAAAHnn72c=")</f>
        <v>#REF!</v>
      </c>
      <c r="DA208" t="e">
        <f>AND(#REF!,"AAAAAHnn72g=")</f>
        <v>#REF!</v>
      </c>
      <c r="DB208" t="e">
        <f>AND(#REF!,"AAAAAHnn72k=")</f>
        <v>#REF!</v>
      </c>
      <c r="DC208" t="e">
        <f>AND(#REF!,"AAAAAHnn72o=")</f>
        <v>#REF!</v>
      </c>
      <c r="DD208" t="e">
        <f>AND(#REF!,"AAAAAHnn72s=")</f>
        <v>#REF!</v>
      </c>
      <c r="DE208" t="e">
        <f>AND(#REF!,"AAAAAHnn72w=")</f>
        <v>#REF!</v>
      </c>
      <c r="DF208" t="e">
        <f>AND(#REF!,"AAAAAHnn720=")</f>
        <v>#REF!</v>
      </c>
      <c r="DG208" t="e">
        <f>AND(#REF!,"AAAAAHnn724=")</f>
        <v>#REF!</v>
      </c>
      <c r="DH208" t="e">
        <f>AND(#REF!,"AAAAAHnn728=")</f>
        <v>#REF!</v>
      </c>
      <c r="DI208" t="e">
        <f>IF(#REF!,"AAAAAHnn73A=",0)</f>
        <v>#REF!</v>
      </c>
      <c r="DJ208" t="e">
        <f>AND(#REF!,"AAAAAHnn73E=")</f>
        <v>#REF!</v>
      </c>
      <c r="DK208" t="e">
        <f>AND(#REF!,"AAAAAHnn73I=")</f>
        <v>#REF!</v>
      </c>
      <c r="DL208" t="e">
        <f>AND(#REF!,"AAAAAHnn73M=")</f>
        <v>#REF!</v>
      </c>
      <c r="DM208" t="e">
        <f>AND(#REF!,"AAAAAHnn73Q=")</f>
        <v>#REF!</v>
      </c>
      <c r="DN208" t="e">
        <f>AND(#REF!,"AAAAAHnn73U=")</f>
        <v>#REF!</v>
      </c>
      <c r="DO208" t="e">
        <f>AND(#REF!,"AAAAAHnn73Y=")</f>
        <v>#REF!</v>
      </c>
      <c r="DP208" t="e">
        <f>AND(#REF!,"AAAAAHnn73c=")</f>
        <v>#REF!</v>
      </c>
      <c r="DQ208" t="e">
        <f>AND(#REF!,"AAAAAHnn73g=")</f>
        <v>#REF!</v>
      </c>
      <c r="DR208" t="e">
        <f>AND(#REF!,"AAAAAHnn73k=")</f>
        <v>#REF!</v>
      </c>
      <c r="DS208" t="e">
        <f>AND(#REF!,"AAAAAHnn73o=")</f>
        <v>#REF!</v>
      </c>
      <c r="DT208" t="e">
        <f>IF(#REF!,"AAAAAHnn73s=",0)</f>
        <v>#REF!</v>
      </c>
      <c r="DU208" t="e">
        <f>AND(#REF!,"AAAAAHnn73w=")</f>
        <v>#REF!</v>
      </c>
      <c r="DV208" t="e">
        <f>AND(#REF!,"AAAAAHnn730=")</f>
        <v>#REF!</v>
      </c>
      <c r="DW208" t="e">
        <f>AND(#REF!,"AAAAAHnn734=")</f>
        <v>#REF!</v>
      </c>
      <c r="DX208" t="e">
        <f>AND(#REF!,"AAAAAHnn738=")</f>
        <v>#REF!</v>
      </c>
      <c r="DY208" t="e">
        <f>AND(#REF!,"AAAAAHnn74A=")</f>
        <v>#REF!</v>
      </c>
      <c r="DZ208" t="e">
        <f>AND(#REF!,"AAAAAHnn74E=")</f>
        <v>#REF!</v>
      </c>
      <c r="EA208" t="e">
        <f>AND(#REF!,"AAAAAHnn74I=")</f>
        <v>#REF!</v>
      </c>
      <c r="EB208" t="e">
        <f>AND(#REF!,"AAAAAHnn74M=")</f>
        <v>#REF!</v>
      </c>
      <c r="EC208" t="e">
        <f>AND(#REF!,"AAAAAHnn74Q=")</f>
        <v>#REF!</v>
      </c>
      <c r="ED208" t="e">
        <f>AND(#REF!,"AAAAAHnn74U=")</f>
        <v>#REF!</v>
      </c>
      <c r="EE208" t="e">
        <f>IF(#REF!,"AAAAAHnn74Y=",0)</f>
        <v>#REF!</v>
      </c>
      <c r="EF208" t="e">
        <f>AND(#REF!,"AAAAAHnn74c=")</f>
        <v>#REF!</v>
      </c>
      <c r="EG208" t="e">
        <f>AND(#REF!,"AAAAAHnn74g=")</f>
        <v>#REF!</v>
      </c>
      <c r="EH208" t="e">
        <f>AND(#REF!,"AAAAAHnn74k=")</f>
        <v>#REF!</v>
      </c>
      <c r="EI208" t="e">
        <f>AND(#REF!,"AAAAAHnn74o=")</f>
        <v>#REF!</v>
      </c>
      <c r="EJ208" t="e">
        <f>AND(#REF!,"AAAAAHnn74s=")</f>
        <v>#REF!</v>
      </c>
      <c r="EK208" t="e">
        <f>AND(#REF!,"AAAAAHnn74w=")</f>
        <v>#REF!</v>
      </c>
      <c r="EL208" t="e">
        <f>AND(#REF!,"AAAAAHnn740=")</f>
        <v>#REF!</v>
      </c>
      <c r="EM208" t="e">
        <f>AND(#REF!,"AAAAAHnn744=")</f>
        <v>#REF!</v>
      </c>
      <c r="EN208" t="e">
        <f>AND(#REF!,"AAAAAHnn748=")</f>
        <v>#REF!</v>
      </c>
      <c r="EO208" t="e">
        <f>AND(#REF!,"AAAAAHnn75A=")</f>
        <v>#REF!</v>
      </c>
      <c r="EP208" t="e">
        <f>IF(#REF!,"AAAAAHnn75E=",0)</f>
        <v>#REF!</v>
      </c>
      <c r="EQ208" t="e">
        <f>AND(#REF!,"AAAAAHnn75I=")</f>
        <v>#REF!</v>
      </c>
      <c r="ER208" t="e">
        <f>AND(#REF!,"AAAAAHnn75M=")</f>
        <v>#REF!</v>
      </c>
      <c r="ES208" t="e">
        <f>AND(#REF!,"AAAAAHnn75Q=")</f>
        <v>#REF!</v>
      </c>
      <c r="ET208" t="e">
        <f>AND(#REF!,"AAAAAHnn75U=")</f>
        <v>#REF!</v>
      </c>
      <c r="EU208" t="e">
        <f>AND(#REF!,"AAAAAHnn75Y=")</f>
        <v>#REF!</v>
      </c>
      <c r="EV208" t="e">
        <f>AND(#REF!,"AAAAAHnn75c=")</f>
        <v>#REF!</v>
      </c>
      <c r="EW208" t="e">
        <f>AND(#REF!,"AAAAAHnn75g=")</f>
        <v>#REF!</v>
      </c>
      <c r="EX208" t="e">
        <f>AND(#REF!,"AAAAAHnn75k=")</f>
        <v>#REF!</v>
      </c>
      <c r="EY208" t="e">
        <f>AND(#REF!,"AAAAAHnn75o=")</f>
        <v>#REF!</v>
      </c>
      <c r="EZ208" t="e">
        <f>AND(#REF!,"AAAAAHnn75s=")</f>
        <v>#REF!</v>
      </c>
      <c r="FA208" t="e">
        <f>IF(#REF!,"AAAAAHnn75w=",0)</f>
        <v>#REF!</v>
      </c>
      <c r="FB208" t="e">
        <f>AND(#REF!,"AAAAAHnn750=")</f>
        <v>#REF!</v>
      </c>
      <c r="FC208" t="e">
        <f>AND(#REF!,"AAAAAHnn754=")</f>
        <v>#REF!</v>
      </c>
      <c r="FD208" t="e">
        <f>AND(#REF!,"AAAAAHnn758=")</f>
        <v>#REF!</v>
      </c>
      <c r="FE208" t="e">
        <f>AND(#REF!,"AAAAAHnn76A=")</f>
        <v>#REF!</v>
      </c>
      <c r="FF208" t="e">
        <f>AND(#REF!,"AAAAAHnn76E=")</f>
        <v>#REF!</v>
      </c>
      <c r="FG208" t="e">
        <f>AND(#REF!,"AAAAAHnn76I=")</f>
        <v>#REF!</v>
      </c>
      <c r="FH208" t="e">
        <f>AND(#REF!,"AAAAAHnn76M=")</f>
        <v>#REF!</v>
      </c>
      <c r="FI208" t="e">
        <f>AND(#REF!,"AAAAAHnn76Q=")</f>
        <v>#REF!</v>
      </c>
      <c r="FJ208" t="e">
        <f>AND(#REF!,"AAAAAHnn76U=")</f>
        <v>#REF!</v>
      </c>
      <c r="FK208" t="e">
        <f>AND(#REF!,"AAAAAHnn76Y=")</f>
        <v>#REF!</v>
      </c>
      <c r="FL208" t="e">
        <f>IF(#REF!,"AAAAAHnn76c=",0)</f>
        <v>#REF!</v>
      </c>
      <c r="FM208" t="e">
        <f>AND(#REF!,"AAAAAHnn76g=")</f>
        <v>#REF!</v>
      </c>
      <c r="FN208" t="e">
        <f>AND(#REF!,"AAAAAHnn76k=")</f>
        <v>#REF!</v>
      </c>
      <c r="FO208" t="e">
        <f>AND(#REF!,"AAAAAHnn76o=")</f>
        <v>#REF!</v>
      </c>
      <c r="FP208" t="e">
        <f>AND(#REF!,"AAAAAHnn76s=")</f>
        <v>#REF!</v>
      </c>
      <c r="FQ208" t="e">
        <f>AND(#REF!,"AAAAAHnn76w=")</f>
        <v>#REF!</v>
      </c>
      <c r="FR208" t="e">
        <f>AND(#REF!,"AAAAAHnn760=")</f>
        <v>#REF!</v>
      </c>
      <c r="FS208" t="e">
        <f>AND(#REF!,"AAAAAHnn764=")</f>
        <v>#REF!</v>
      </c>
      <c r="FT208" t="e">
        <f>AND(#REF!,"AAAAAHnn768=")</f>
        <v>#REF!</v>
      </c>
      <c r="FU208" t="e">
        <f>AND(#REF!,"AAAAAHnn77A=")</f>
        <v>#REF!</v>
      </c>
      <c r="FV208" t="e">
        <f>AND(#REF!,"AAAAAHnn77E=")</f>
        <v>#REF!</v>
      </c>
      <c r="FW208" t="e">
        <f>IF(#REF!,"AAAAAHnn77I=",0)</f>
        <v>#REF!</v>
      </c>
      <c r="FX208" t="e">
        <f>AND(#REF!,"AAAAAHnn77M=")</f>
        <v>#REF!</v>
      </c>
      <c r="FY208" t="e">
        <f>AND(#REF!,"AAAAAHnn77Q=")</f>
        <v>#REF!</v>
      </c>
      <c r="FZ208" t="e">
        <f>AND(#REF!,"AAAAAHnn77U=")</f>
        <v>#REF!</v>
      </c>
      <c r="GA208" t="e">
        <f>AND(#REF!,"AAAAAHnn77Y=")</f>
        <v>#REF!</v>
      </c>
      <c r="GB208" t="e">
        <f>AND(#REF!,"AAAAAHnn77c=")</f>
        <v>#REF!</v>
      </c>
      <c r="GC208" t="e">
        <f>AND(#REF!,"AAAAAHnn77g=")</f>
        <v>#REF!</v>
      </c>
      <c r="GD208" t="e">
        <f>AND(#REF!,"AAAAAHnn77k=")</f>
        <v>#REF!</v>
      </c>
      <c r="GE208" t="e">
        <f>AND(#REF!,"AAAAAHnn77o=")</f>
        <v>#REF!</v>
      </c>
      <c r="GF208" t="e">
        <f>AND(#REF!,"AAAAAHnn77s=")</f>
        <v>#REF!</v>
      </c>
      <c r="GG208" t="e">
        <f>AND(#REF!,"AAAAAHnn77w=")</f>
        <v>#REF!</v>
      </c>
      <c r="GH208" t="e">
        <f>IF(#REF!,"AAAAAHnn770=",0)</f>
        <v>#REF!</v>
      </c>
      <c r="GI208" t="e">
        <f>AND(#REF!,"AAAAAHnn774=")</f>
        <v>#REF!</v>
      </c>
      <c r="GJ208" t="e">
        <f>AND(#REF!,"AAAAAHnn778=")</f>
        <v>#REF!</v>
      </c>
      <c r="GK208" t="e">
        <f>AND(#REF!,"AAAAAHnn78A=")</f>
        <v>#REF!</v>
      </c>
      <c r="GL208" t="e">
        <f>AND(#REF!,"AAAAAHnn78E=")</f>
        <v>#REF!</v>
      </c>
      <c r="GM208" t="e">
        <f>AND(#REF!,"AAAAAHnn78I=")</f>
        <v>#REF!</v>
      </c>
      <c r="GN208" t="e">
        <f>AND(#REF!,"AAAAAHnn78M=")</f>
        <v>#REF!</v>
      </c>
      <c r="GO208" t="e">
        <f>AND(#REF!,"AAAAAHnn78Q=")</f>
        <v>#REF!</v>
      </c>
      <c r="GP208" t="e">
        <f>AND(#REF!,"AAAAAHnn78U=")</f>
        <v>#REF!</v>
      </c>
      <c r="GQ208" t="e">
        <f>AND(#REF!,"AAAAAHnn78Y=")</f>
        <v>#REF!</v>
      </c>
      <c r="GR208" t="e">
        <f>AND(#REF!,"AAAAAHnn78c=")</f>
        <v>#REF!</v>
      </c>
      <c r="GS208" t="e">
        <f>IF(#REF!,"AAAAAHnn78g=",0)</f>
        <v>#REF!</v>
      </c>
      <c r="GT208" t="e">
        <f>AND(#REF!,"AAAAAHnn78k=")</f>
        <v>#REF!</v>
      </c>
      <c r="GU208" t="e">
        <f>AND(#REF!,"AAAAAHnn78o=")</f>
        <v>#REF!</v>
      </c>
      <c r="GV208" t="e">
        <f>AND(#REF!,"AAAAAHnn78s=")</f>
        <v>#REF!</v>
      </c>
      <c r="GW208" t="e">
        <f>AND(#REF!,"AAAAAHnn78w=")</f>
        <v>#REF!</v>
      </c>
      <c r="GX208" t="e">
        <f>AND(#REF!,"AAAAAHnn780=")</f>
        <v>#REF!</v>
      </c>
      <c r="GY208" t="e">
        <f>AND(#REF!,"AAAAAHnn784=")</f>
        <v>#REF!</v>
      </c>
      <c r="GZ208" t="e">
        <f>AND(#REF!,"AAAAAHnn788=")</f>
        <v>#REF!</v>
      </c>
      <c r="HA208" t="e">
        <f>AND(#REF!,"AAAAAHnn79A=")</f>
        <v>#REF!</v>
      </c>
      <c r="HB208" t="e">
        <f>AND(#REF!,"AAAAAHnn79E=")</f>
        <v>#REF!</v>
      </c>
      <c r="HC208" t="e">
        <f>AND(#REF!,"AAAAAHnn79I=")</f>
        <v>#REF!</v>
      </c>
      <c r="HD208" t="e">
        <f>IF(#REF!,"AAAAAHnn79M=",0)</f>
        <v>#REF!</v>
      </c>
      <c r="HE208" t="e">
        <f>AND(#REF!,"AAAAAHnn79Q=")</f>
        <v>#REF!</v>
      </c>
      <c r="HF208" t="e">
        <f>AND(#REF!,"AAAAAHnn79U=")</f>
        <v>#REF!</v>
      </c>
      <c r="HG208" t="e">
        <f>AND(#REF!,"AAAAAHnn79Y=")</f>
        <v>#REF!</v>
      </c>
      <c r="HH208" t="e">
        <f>AND(#REF!,"AAAAAHnn79c=")</f>
        <v>#REF!</v>
      </c>
      <c r="HI208" t="e">
        <f>AND(#REF!,"AAAAAHnn79g=")</f>
        <v>#REF!</v>
      </c>
      <c r="HJ208" t="e">
        <f>AND(#REF!,"AAAAAHnn79k=")</f>
        <v>#REF!</v>
      </c>
      <c r="HK208" t="e">
        <f>AND(#REF!,"AAAAAHnn79o=")</f>
        <v>#REF!</v>
      </c>
      <c r="HL208" t="e">
        <f>AND(#REF!,"AAAAAHnn79s=")</f>
        <v>#REF!</v>
      </c>
      <c r="HM208" t="e">
        <f>AND(#REF!,"AAAAAHnn79w=")</f>
        <v>#REF!</v>
      </c>
      <c r="HN208" t="e">
        <f>AND(#REF!,"AAAAAHnn790=")</f>
        <v>#REF!</v>
      </c>
      <c r="HO208" t="e">
        <f>IF(#REF!,"AAAAAHnn794=",0)</f>
        <v>#REF!</v>
      </c>
      <c r="HP208" t="e">
        <f>AND(#REF!,"AAAAAHnn798=")</f>
        <v>#REF!</v>
      </c>
      <c r="HQ208" t="e">
        <f>AND(#REF!,"AAAAAHnn7+A=")</f>
        <v>#REF!</v>
      </c>
      <c r="HR208" t="e">
        <f>AND(#REF!,"AAAAAHnn7+E=")</f>
        <v>#REF!</v>
      </c>
      <c r="HS208" t="e">
        <f>AND(#REF!,"AAAAAHnn7+I=")</f>
        <v>#REF!</v>
      </c>
      <c r="HT208" t="e">
        <f>AND(#REF!,"AAAAAHnn7+M=")</f>
        <v>#REF!</v>
      </c>
      <c r="HU208" t="e">
        <f>AND(#REF!,"AAAAAHnn7+Q=")</f>
        <v>#REF!</v>
      </c>
      <c r="HV208" t="e">
        <f>AND(#REF!,"AAAAAHnn7+U=")</f>
        <v>#REF!</v>
      </c>
      <c r="HW208" t="e">
        <f>AND(#REF!,"AAAAAHnn7+Y=")</f>
        <v>#REF!</v>
      </c>
      <c r="HX208" t="e">
        <f>AND(#REF!,"AAAAAHnn7+c=")</f>
        <v>#REF!</v>
      </c>
      <c r="HY208" t="e">
        <f>AND(#REF!,"AAAAAHnn7+g=")</f>
        <v>#REF!</v>
      </c>
      <c r="HZ208" t="e">
        <f>IF(#REF!,"AAAAAHnn7+k=",0)</f>
        <v>#REF!</v>
      </c>
      <c r="IA208" t="e">
        <f>AND(#REF!,"AAAAAHnn7+o=")</f>
        <v>#REF!</v>
      </c>
      <c r="IB208" t="e">
        <f>AND(#REF!,"AAAAAHnn7+s=")</f>
        <v>#REF!</v>
      </c>
      <c r="IC208" t="e">
        <f>AND(#REF!,"AAAAAHnn7+w=")</f>
        <v>#REF!</v>
      </c>
      <c r="ID208" t="e">
        <f>AND(#REF!,"AAAAAHnn7+0=")</f>
        <v>#REF!</v>
      </c>
      <c r="IE208" t="e">
        <f>AND(#REF!,"AAAAAHnn7+4=")</f>
        <v>#REF!</v>
      </c>
      <c r="IF208" t="e">
        <f>AND(#REF!,"AAAAAHnn7+8=")</f>
        <v>#REF!</v>
      </c>
      <c r="IG208" t="e">
        <f>AND(#REF!,"AAAAAHnn7/A=")</f>
        <v>#REF!</v>
      </c>
      <c r="IH208" t="e">
        <f>AND(#REF!,"AAAAAHnn7/E=")</f>
        <v>#REF!</v>
      </c>
      <c r="II208" t="e">
        <f>AND(#REF!,"AAAAAHnn7/I=")</f>
        <v>#REF!</v>
      </c>
      <c r="IJ208" t="e">
        <f>AND(#REF!,"AAAAAHnn7/M=")</f>
        <v>#REF!</v>
      </c>
      <c r="IK208" t="e">
        <f>IF(#REF!,"AAAAAHnn7/Q=",0)</f>
        <v>#REF!</v>
      </c>
      <c r="IL208" t="e">
        <f>AND(#REF!,"AAAAAHnn7/U=")</f>
        <v>#REF!</v>
      </c>
      <c r="IM208" t="e">
        <f>AND(#REF!,"AAAAAHnn7/Y=")</f>
        <v>#REF!</v>
      </c>
      <c r="IN208" t="e">
        <f>AND(#REF!,"AAAAAHnn7/c=")</f>
        <v>#REF!</v>
      </c>
      <c r="IO208" t="e">
        <f>AND(#REF!,"AAAAAHnn7/g=")</f>
        <v>#REF!</v>
      </c>
      <c r="IP208" t="e">
        <f>AND(#REF!,"AAAAAHnn7/k=")</f>
        <v>#REF!</v>
      </c>
      <c r="IQ208" t="e">
        <f>AND(#REF!,"AAAAAHnn7/o=")</f>
        <v>#REF!</v>
      </c>
      <c r="IR208" t="e">
        <f>AND(#REF!,"AAAAAHnn7/s=")</f>
        <v>#REF!</v>
      </c>
      <c r="IS208" t="e">
        <f>AND(#REF!,"AAAAAHnn7/w=")</f>
        <v>#REF!</v>
      </c>
      <c r="IT208" t="e">
        <f>AND(#REF!,"AAAAAHnn7/0=")</f>
        <v>#REF!</v>
      </c>
      <c r="IU208" t="e">
        <f>AND(#REF!,"AAAAAHnn7/4=")</f>
        <v>#REF!</v>
      </c>
      <c r="IV208" t="e">
        <f>IF(#REF!,"AAAAAHnn7/8=",0)</f>
        <v>#REF!</v>
      </c>
    </row>
    <row r="209" spans="1:256" x14ac:dyDescent="0.25">
      <c r="A209" t="e">
        <f>AND(#REF!,"AAAAAHffzgA=")</f>
        <v>#REF!</v>
      </c>
      <c r="B209" t="e">
        <f>AND(#REF!,"AAAAAHffzgE=")</f>
        <v>#REF!</v>
      </c>
      <c r="C209" t="e">
        <f>AND(#REF!,"AAAAAHffzgI=")</f>
        <v>#REF!</v>
      </c>
      <c r="D209" t="e">
        <f>AND(#REF!,"AAAAAHffzgM=")</f>
        <v>#REF!</v>
      </c>
      <c r="E209" t="e">
        <f>AND(#REF!,"AAAAAHffzgQ=")</f>
        <v>#REF!</v>
      </c>
      <c r="F209" t="e">
        <f>AND(#REF!,"AAAAAHffzgU=")</f>
        <v>#REF!</v>
      </c>
      <c r="G209" t="e">
        <f>AND(#REF!,"AAAAAHffzgY=")</f>
        <v>#REF!</v>
      </c>
      <c r="H209" t="e">
        <f>AND(#REF!,"AAAAAHffzgc=")</f>
        <v>#REF!</v>
      </c>
      <c r="I209" t="e">
        <f>AND(#REF!,"AAAAAHffzgg=")</f>
        <v>#REF!</v>
      </c>
      <c r="J209" t="e">
        <f>AND(#REF!,"AAAAAHffzgk=")</f>
        <v>#REF!</v>
      </c>
      <c r="K209" t="e">
        <f>IF(#REF!,"AAAAAHffzgo=",0)</f>
        <v>#REF!</v>
      </c>
      <c r="L209" t="e">
        <f>AND(#REF!,"AAAAAHffzgs=")</f>
        <v>#REF!</v>
      </c>
      <c r="M209" t="e">
        <f>AND(#REF!,"AAAAAHffzgw=")</f>
        <v>#REF!</v>
      </c>
      <c r="N209" t="e">
        <f>AND(#REF!,"AAAAAHffzg0=")</f>
        <v>#REF!</v>
      </c>
      <c r="O209" t="e">
        <f>AND(#REF!,"AAAAAHffzg4=")</f>
        <v>#REF!</v>
      </c>
      <c r="P209" t="e">
        <f>AND(#REF!,"AAAAAHffzg8=")</f>
        <v>#REF!</v>
      </c>
      <c r="Q209" t="e">
        <f>AND(#REF!,"AAAAAHffzhA=")</f>
        <v>#REF!</v>
      </c>
      <c r="R209" t="e">
        <f>AND(#REF!,"AAAAAHffzhE=")</f>
        <v>#REF!</v>
      </c>
      <c r="S209" t="e">
        <f>AND(#REF!,"AAAAAHffzhI=")</f>
        <v>#REF!</v>
      </c>
      <c r="T209" t="e">
        <f>AND(#REF!,"AAAAAHffzhM=")</f>
        <v>#REF!</v>
      </c>
      <c r="U209" t="e">
        <f>AND(#REF!,"AAAAAHffzhQ=")</f>
        <v>#REF!</v>
      </c>
      <c r="V209" t="e">
        <f>IF(#REF!,"AAAAAHffzhU=",0)</f>
        <v>#REF!</v>
      </c>
      <c r="W209" t="e">
        <f>AND(#REF!,"AAAAAHffzhY=")</f>
        <v>#REF!</v>
      </c>
      <c r="X209" t="e">
        <f>AND(#REF!,"AAAAAHffzhc=")</f>
        <v>#REF!</v>
      </c>
      <c r="Y209" t="e">
        <f>AND(#REF!,"AAAAAHffzhg=")</f>
        <v>#REF!</v>
      </c>
      <c r="Z209" t="e">
        <f>AND(#REF!,"AAAAAHffzhk=")</f>
        <v>#REF!</v>
      </c>
      <c r="AA209" t="e">
        <f>AND(#REF!,"AAAAAHffzho=")</f>
        <v>#REF!</v>
      </c>
      <c r="AB209" t="e">
        <f>AND(#REF!,"AAAAAHffzhs=")</f>
        <v>#REF!</v>
      </c>
      <c r="AC209" t="e">
        <f>AND(#REF!,"AAAAAHffzhw=")</f>
        <v>#REF!</v>
      </c>
      <c r="AD209" t="e">
        <f>AND(#REF!,"AAAAAHffzh0=")</f>
        <v>#REF!</v>
      </c>
      <c r="AE209" t="e">
        <f>AND(#REF!,"AAAAAHffzh4=")</f>
        <v>#REF!</v>
      </c>
      <c r="AF209" t="e">
        <f>AND(#REF!,"AAAAAHffzh8=")</f>
        <v>#REF!</v>
      </c>
      <c r="AG209" t="e">
        <f>IF(#REF!,"AAAAAHffziA=",0)</f>
        <v>#REF!</v>
      </c>
      <c r="AH209" t="e">
        <f>AND(#REF!,"AAAAAHffziE=")</f>
        <v>#REF!</v>
      </c>
      <c r="AI209" t="e">
        <f>AND(#REF!,"AAAAAHffziI=")</f>
        <v>#REF!</v>
      </c>
      <c r="AJ209" t="e">
        <f>AND(#REF!,"AAAAAHffziM=")</f>
        <v>#REF!</v>
      </c>
      <c r="AK209" t="e">
        <f>AND(#REF!,"AAAAAHffziQ=")</f>
        <v>#REF!</v>
      </c>
      <c r="AL209" t="e">
        <f>AND(#REF!,"AAAAAHffziU=")</f>
        <v>#REF!</v>
      </c>
      <c r="AM209" t="e">
        <f>AND(#REF!,"AAAAAHffziY=")</f>
        <v>#REF!</v>
      </c>
      <c r="AN209" t="e">
        <f>AND(#REF!,"AAAAAHffzic=")</f>
        <v>#REF!</v>
      </c>
      <c r="AO209" t="e">
        <f>AND(#REF!,"AAAAAHffzig=")</f>
        <v>#REF!</v>
      </c>
      <c r="AP209" t="e">
        <f>AND(#REF!,"AAAAAHffzik=")</f>
        <v>#REF!</v>
      </c>
      <c r="AQ209" t="e">
        <f>AND(#REF!,"AAAAAHffzio=")</f>
        <v>#REF!</v>
      </c>
      <c r="AR209" t="e">
        <f>IF(#REF!,"AAAAAHffzis=",0)</f>
        <v>#REF!</v>
      </c>
      <c r="AS209" t="e">
        <f>AND(#REF!,"AAAAAHffziw=")</f>
        <v>#REF!</v>
      </c>
      <c r="AT209" t="e">
        <f>AND(#REF!,"AAAAAHffzi0=")</f>
        <v>#REF!</v>
      </c>
      <c r="AU209" t="e">
        <f>AND(#REF!,"AAAAAHffzi4=")</f>
        <v>#REF!</v>
      </c>
      <c r="AV209" t="e">
        <f>AND(#REF!,"AAAAAHffzi8=")</f>
        <v>#REF!</v>
      </c>
      <c r="AW209" t="e">
        <f>AND(#REF!,"AAAAAHffzjA=")</f>
        <v>#REF!</v>
      </c>
      <c r="AX209" t="e">
        <f>AND(#REF!,"AAAAAHffzjE=")</f>
        <v>#REF!</v>
      </c>
      <c r="AY209" t="e">
        <f>AND(#REF!,"AAAAAHffzjI=")</f>
        <v>#REF!</v>
      </c>
      <c r="AZ209" t="e">
        <f>AND(#REF!,"AAAAAHffzjM=")</f>
        <v>#REF!</v>
      </c>
      <c r="BA209" t="e">
        <f>AND(#REF!,"AAAAAHffzjQ=")</f>
        <v>#REF!</v>
      </c>
      <c r="BB209" t="e">
        <f>AND(#REF!,"AAAAAHffzjU=")</f>
        <v>#REF!</v>
      </c>
      <c r="BC209" t="e">
        <f>IF(#REF!,"AAAAAHffzjY=",0)</f>
        <v>#REF!</v>
      </c>
      <c r="BD209" t="e">
        <f>AND(#REF!,"AAAAAHffzjc=")</f>
        <v>#REF!</v>
      </c>
      <c r="BE209" t="e">
        <f>AND(#REF!,"AAAAAHffzjg=")</f>
        <v>#REF!</v>
      </c>
      <c r="BF209" t="e">
        <f>AND(#REF!,"AAAAAHffzjk=")</f>
        <v>#REF!</v>
      </c>
      <c r="BG209" t="e">
        <f>AND(#REF!,"AAAAAHffzjo=")</f>
        <v>#REF!</v>
      </c>
      <c r="BH209" t="e">
        <f>AND(#REF!,"AAAAAHffzjs=")</f>
        <v>#REF!</v>
      </c>
      <c r="BI209" t="e">
        <f>AND(#REF!,"AAAAAHffzjw=")</f>
        <v>#REF!</v>
      </c>
      <c r="BJ209" t="e">
        <f>AND(#REF!,"AAAAAHffzj0=")</f>
        <v>#REF!</v>
      </c>
      <c r="BK209" t="e">
        <f>AND(#REF!,"AAAAAHffzj4=")</f>
        <v>#REF!</v>
      </c>
      <c r="BL209" t="e">
        <f>AND(#REF!,"AAAAAHffzj8=")</f>
        <v>#REF!</v>
      </c>
      <c r="BM209" t="e">
        <f>AND(#REF!,"AAAAAHffzkA=")</f>
        <v>#REF!</v>
      </c>
      <c r="BN209" t="e">
        <f>IF(#REF!,"AAAAAHffzkE=",0)</f>
        <v>#REF!</v>
      </c>
      <c r="BO209" t="e">
        <f>AND(#REF!,"AAAAAHffzkI=")</f>
        <v>#REF!</v>
      </c>
      <c r="BP209" t="e">
        <f>AND(#REF!,"AAAAAHffzkM=")</f>
        <v>#REF!</v>
      </c>
      <c r="BQ209" t="e">
        <f>AND(#REF!,"AAAAAHffzkQ=")</f>
        <v>#REF!</v>
      </c>
      <c r="BR209" t="e">
        <f>AND(#REF!,"AAAAAHffzkU=")</f>
        <v>#REF!</v>
      </c>
      <c r="BS209" t="e">
        <f>AND(#REF!,"AAAAAHffzkY=")</f>
        <v>#REF!</v>
      </c>
      <c r="BT209" t="e">
        <f>AND(#REF!,"AAAAAHffzkc=")</f>
        <v>#REF!</v>
      </c>
      <c r="BU209" t="e">
        <f>AND(#REF!,"AAAAAHffzkg=")</f>
        <v>#REF!</v>
      </c>
      <c r="BV209" t="e">
        <f>AND(#REF!,"AAAAAHffzkk=")</f>
        <v>#REF!</v>
      </c>
      <c r="BW209" t="e">
        <f>AND(#REF!,"AAAAAHffzko=")</f>
        <v>#REF!</v>
      </c>
      <c r="BX209" t="e">
        <f>AND(#REF!,"AAAAAHffzks=")</f>
        <v>#REF!</v>
      </c>
      <c r="BY209" t="e">
        <f>IF(#REF!,"AAAAAHffzkw=",0)</f>
        <v>#REF!</v>
      </c>
      <c r="BZ209" t="e">
        <f>AND(#REF!,"AAAAAHffzk0=")</f>
        <v>#REF!</v>
      </c>
      <c r="CA209" t="e">
        <f>AND(#REF!,"AAAAAHffzk4=")</f>
        <v>#REF!</v>
      </c>
      <c r="CB209" t="e">
        <f>AND(#REF!,"AAAAAHffzk8=")</f>
        <v>#REF!</v>
      </c>
      <c r="CC209" t="e">
        <f>AND(#REF!,"AAAAAHffzlA=")</f>
        <v>#REF!</v>
      </c>
      <c r="CD209" t="e">
        <f>AND(#REF!,"AAAAAHffzlE=")</f>
        <v>#REF!</v>
      </c>
      <c r="CE209" t="e">
        <f>AND(#REF!,"AAAAAHffzlI=")</f>
        <v>#REF!</v>
      </c>
      <c r="CF209" t="e">
        <f>AND(#REF!,"AAAAAHffzlM=")</f>
        <v>#REF!</v>
      </c>
      <c r="CG209" t="e">
        <f>AND(#REF!,"AAAAAHffzlQ=")</f>
        <v>#REF!</v>
      </c>
      <c r="CH209" t="e">
        <f>AND(#REF!,"AAAAAHffzlU=")</f>
        <v>#REF!</v>
      </c>
      <c r="CI209" t="e">
        <f>AND(#REF!,"AAAAAHffzlY=")</f>
        <v>#REF!</v>
      </c>
      <c r="CJ209" t="e">
        <f>IF(#REF!,"AAAAAHffzlc=",0)</f>
        <v>#REF!</v>
      </c>
      <c r="CK209" t="e">
        <f>AND(#REF!,"AAAAAHffzlg=")</f>
        <v>#REF!</v>
      </c>
      <c r="CL209" t="e">
        <f>AND(#REF!,"AAAAAHffzlk=")</f>
        <v>#REF!</v>
      </c>
      <c r="CM209" t="e">
        <f>AND(#REF!,"AAAAAHffzlo=")</f>
        <v>#REF!</v>
      </c>
      <c r="CN209" t="e">
        <f>AND(#REF!,"AAAAAHffzls=")</f>
        <v>#REF!</v>
      </c>
      <c r="CO209" t="e">
        <f>AND(#REF!,"AAAAAHffzlw=")</f>
        <v>#REF!</v>
      </c>
      <c r="CP209" t="e">
        <f>AND(#REF!,"AAAAAHffzl0=")</f>
        <v>#REF!</v>
      </c>
      <c r="CQ209" t="e">
        <f>AND(#REF!,"AAAAAHffzl4=")</f>
        <v>#REF!</v>
      </c>
      <c r="CR209" t="e">
        <f>AND(#REF!,"AAAAAHffzl8=")</f>
        <v>#REF!</v>
      </c>
      <c r="CS209" t="e">
        <f>AND(#REF!,"AAAAAHffzmA=")</f>
        <v>#REF!</v>
      </c>
      <c r="CT209" t="e">
        <f>AND(#REF!,"AAAAAHffzmE=")</f>
        <v>#REF!</v>
      </c>
      <c r="CU209" t="e">
        <f>IF(#REF!,"AAAAAHffzmI=",0)</f>
        <v>#REF!</v>
      </c>
      <c r="CV209" t="e">
        <f>AND(#REF!,"AAAAAHffzmM=")</f>
        <v>#REF!</v>
      </c>
      <c r="CW209" t="e">
        <f>AND(#REF!,"AAAAAHffzmQ=")</f>
        <v>#REF!</v>
      </c>
      <c r="CX209" t="e">
        <f>AND(#REF!,"AAAAAHffzmU=")</f>
        <v>#REF!</v>
      </c>
      <c r="CY209" t="e">
        <f>AND(#REF!,"AAAAAHffzmY=")</f>
        <v>#REF!</v>
      </c>
      <c r="CZ209" t="e">
        <f>AND(#REF!,"AAAAAHffzmc=")</f>
        <v>#REF!</v>
      </c>
      <c r="DA209" t="e">
        <f>AND(#REF!,"AAAAAHffzmg=")</f>
        <v>#REF!</v>
      </c>
      <c r="DB209" t="e">
        <f>AND(#REF!,"AAAAAHffzmk=")</f>
        <v>#REF!</v>
      </c>
      <c r="DC209" t="e">
        <f>AND(#REF!,"AAAAAHffzmo=")</f>
        <v>#REF!</v>
      </c>
      <c r="DD209" t="e">
        <f>AND(#REF!,"AAAAAHffzms=")</f>
        <v>#REF!</v>
      </c>
      <c r="DE209" t="e">
        <f>AND(#REF!,"AAAAAHffzmw=")</f>
        <v>#REF!</v>
      </c>
      <c r="DF209" t="e">
        <f>IF(#REF!,"AAAAAHffzm0=",0)</f>
        <v>#REF!</v>
      </c>
      <c r="DG209" t="e">
        <f>AND(#REF!,"AAAAAHffzm4=")</f>
        <v>#REF!</v>
      </c>
      <c r="DH209" t="e">
        <f>AND(#REF!,"AAAAAHffzm8=")</f>
        <v>#REF!</v>
      </c>
      <c r="DI209" t="e">
        <f>AND(#REF!,"AAAAAHffznA=")</f>
        <v>#REF!</v>
      </c>
      <c r="DJ209" t="e">
        <f>AND(#REF!,"AAAAAHffznE=")</f>
        <v>#REF!</v>
      </c>
      <c r="DK209" t="e">
        <f>AND(#REF!,"AAAAAHffznI=")</f>
        <v>#REF!</v>
      </c>
      <c r="DL209" t="e">
        <f>AND(#REF!,"AAAAAHffznM=")</f>
        <v>#REF!</v>
      </c>
      <c r="DM209" t="e">
        <f>AND(#REF!,"AAAAAHffznQ=")</f>
        <v>#REF!</v>
      </c>
      <c r="DN209" t="e">
        <f>AND(#REF!,"AAAAAHffznU=")</f>
        <v>#REF!</v>
      </c>
      <c r="DO209" t="e">
        <f>AND(#REF!,"AAAAAHffznY=")</f>
        <v>#REF!</v>
      </c>
      <c r="DP209" t="e">
        <f>AND(#REF!,"AAAAAHffznc=")</f>
        <v>#REF!</v>
      </c>
      <c r="DQ209" t="e">
        <f>IF(#REF!,"AAAAAHffzng=",0)</f>
        <v>#REF!</v>
      </c>
      <c r="DR209" t="e">
        <f>AND(#REF!,"AAAAAHffznk=")</f>
        <v>#REF!</v>
      </c>
      <c r="DS209" t="e">
        <f>AND(#REF!,"AAAAAHffzno=")</f>
        <v>#REF!</v>
      </c>
      <c r="DT209" t="e">
        <f>AND(#REF!,"AAAAAHffzns=")</f>
        <v>#REF!</v>
      </c>
      <c r="DU209" t="e">
        <f>AND(#REF!,"AAAAAHffznw=")</f>
        <v>#REF!</v>
      </c>
      <c r="DV209" t="e">
        <f>AND(#REF!,"AAAAAHffzn0=")</f>
        <v>#REF!</v>
      </c>
      <c r="DW209" t="e">
        <f>AND(#REF!,"AAAAAHffzn4=")</f>
        <v>#REF!</v>
      </c>
      <c r="DX209" t="e">
        <f>AND(#REF!,"AAAAAHffzn8=")</f>
        <v>#REF!</v>
      </c>
      <c r="DY209" t="e">
        <f>AND(#REF!,"AAAAAHffzoA=")</f>
        <v>#REF!</v>
      </c>
      <c r="DZ209" t="e">
        <f>AND(#REF!,"AAAAAHffzoE=")</f>
        <v>#REF!</v>
      </c>
      <c r="EA209" t="e">
        <f>AND(#REF!,"AAAAAHffzoI=")</f>
        <v>#REF!</v>
      </c>
      <c r="EB209" t="e">
        <f>IF(#REF!,"AAAAAHffzoM=",0)</f>
        <v>#REF!</v>
      </c>
      <c r="EC209" t="e">
        <f>AND(#REF!,"AAAAAHffzoQ=")</f>
        <v>#REF!</v>
      </c>
      <c r="ED209" t="e">
        <f>AND(#REF!,"AAAAAHffzoU=")</f>
        <v>#REF!</v>
      </c>
      <c r="EE209" t="e">
        <f>AND(#REF!,"AAAAAHffzoY=")</f>
        <v>#REF!</v>
      </c>
      <c r="EF209" t="e">
        <f>AND(#REF!,"AAAAAHffzoc=")</f>
        <v>#REF!</v>
      </c>
      <c r="EG209" t="e">
        <f>AND(#REF!,"AAAAAHffzog=")</f>
        <v>#REF!</v>
      </c>
      <c r="EH209" t="e">
        <f>AND(#REF!,"AAAAAHffzok=")</f>
        <v>#REF!</v>
      </c>
      <c r="EI209" t="e">
        <f>AND(#REF!,"AAAAAHffzoo=")</f>
        <v>#REF!</v>
      </c>
      <c r="EJ209" t="e">
        <f>AND(#REF!,"AAAAAHffzos=")</f>
        <v>#REF!</v>
      </c>
      <c r="EK209" t="e">
        <f>AND(#REF!,"AAAAAHffzow=")</f>
        <v>#REF!</v>
      </c>
      <c r="EL209" t="e">
        <f>AND(#REF!,"AAAAAHffzo0=")</f>
        <v>#REF!</v>
      </c>
      <c r="EM209" t="e">
        <f>IF(#REF!,"AAAAAHffzo4=",0)</f>
        <v>#REF!</v>
      </c>
      <c r="EN209" t="e">
        <f>AND(#REF!,"AAAAAHffzo8=")</f>
        <v>#REF!</v>
      </c>
      <c r="EO209" t="e">
        <f>AND(#REF!,"AAAAAHffzpA=")</f>
        <v>#REF!</v>
      </c>
      <c r="EP209" t="e">
        <f>AND(#REF!,"AAAAAHffzpE=")</f>
        <v>#REF!</v>
      </c>
      <c r="EQ209" t="e">
        <f>AND(#REF!,"AAAAAHffzpI=")</f>
        <v>#REF!</v>
      </c>
      <c r="ER209" t="e">
        <f>AND(#REF!,"AAAAAHffzpM=")</f>
        <v>#REF!</v>
      </c>
      <c r="ES209" t="e">
        <f>AND(#REF!,"AAAAAHffzpQ=")</f>
        <v>#REF!</v>
      </c>
      <c r="ET209" t="e">
        <f>AND(#REF!,"AAAAAHffzpU=")</f>
        <v>#REF!</v>
      </c>
      <c r="EU209" t="e">
        <f>AND(#REF!,"AAAAAHffzpY=")</f>
        <v>#REF!</v>
      </c>
      <c r="EV209" t="e">
        <f>AND(#REF!,"AAAAAHffzpc=")</f>
        <v>#REF!</v>
      </c>
      <c r="EW209" t="e">
        <f>AND(#REF!,"AAAAAHffzpg=")</f>
        <v>#REF!</v>
      </c>
      <c r="EX209" t="e">
        <f>IF(#REF!,"AAAAAHffzpk=",0)</f>
        <v>#REF!</v>
      </c>
      <c r="EY209" t="e">
        <f>AND(#REF!,"AAAAAHffzpo=")</f>
        <v>#REF!</v>
      </c>
      <c r="EZ209" t="e">
        <f>AND(#REF!,"AAAAAHffzps=")</f>
        <v>#REF!</v>
      </c>
      <c r="FA209" t="e">
        <f>AND(#REF!,"AAAAAHffzpw=")</f>
        <v>#REF!</v>
      </c>
      <c r="FB209" t="e">
        <f>AND(#REF!,"AAAAAHffzp0=")</f>
        <v>#REF!</v>
      </c>
      <c r="FC209" t="e">
        <f>AND(#REF!,"AAAAAHffzp4=")</f>
        <v>#REF!</v>
      </c>
      <c r="FD209" t="e">
        <f>AND(#REF!,"AAAAAHffzp8=")</f>
        <v>#REF!</v>
      </c>
      <c r="FE209" t="e">
        <f>AND(#REF!,"AAAAAHffzqA=")</f>
        <v>#REF!</v>
      </c>
      <c r="FF209" t="e">
        <f>AND(#REF!,"AAAAAHffzqE=")</f>
        <v>#REF!</v>
      </c>
      <c r="FG209" t="e">
        <f>AND(#REF!,"AAAAAHffzqI=")</f>
        <v>#REF!</v>
      </c>
      <c r="FH209" t="e">
        <f>AND(#REF!,"AAAAAHffzqM=")</f>
        <v>#REF!</v>
      </c>
      <c r="FI209" t="e">
        <f>IF(#REF!,"AAAAAHffzqQ=",0)</f>
        <v>#REF!</v>
      </c>
      <c r="FJ209" t="e">
        <f>AND(#REF!,"AAAAAHffzqU=")</f>
        <v>#REF!</v>
      </c>
      <c r="FK209" t="e">
        <f>AND(#REF!,"AAAAAHffzqY=")</f>
        <v>#REF!</v>
      </c>
      <c r="FL209" t="e">
        <f>AND(#REF!,"AAAAAHffzqc=")</f>
        <v>#REF!</v>
      </c>
      <c r="FM209" t="e">
        <f>AND(#REF!,"AAAAAHffzqg=")</f>
        <v>#REF!</v>
      </c>
      <c r="FN209" t="e">
        <f>AND(#REF!,"AAAAAHffzqk=")</f>
        <v>#REF!</v>
      </c>
      <c r="FO209" t="e">
        <f>AND(#REF!,"AAAAAHffzqo=")</f>
        <v>#REF!</v>
      </c>
      <c r="FP209" t="e">
        <f>AND(#REF!,"AAAAAHffzqs=")</f>
        <v>#REF!</v>
      </c>
      <c r="FQ209" t="e">
        <f>AND(#REF!,"AAAAAHffzqw=")</f>
        <v>#REF!</v>
      </c>
      <c r="FR209" t="e">
        <f>AND(#REF!,"AAAAAHffzq0=")</f>
        <v>#REF!</v>
      </c>
      <c r="FS209" t="e">
        <f>AND(#REF!,"AAAAAHffzq4=")</f>
        <v>#REF!</v>
      </c>
      <c r="FT209" t="e">
        <f>IF(#REF!,"AAAAAHffzq8=",0)</f>
        <v>#REF!</v>
      </c>
      <c r="FU209" t="e">
        <f>AND(#REF!,"AAAAAHffzrA=")</f>
        <v>#REF!</v>
      </c>
      <c r="FV209" t="e">
        <f>AND(#REF!,"AAAAAHffzrE=")</f>
        <v>#REF!</v>
      </c>
      <c r="FW209" t="e">
        <f>AND(#REF!,"AAAAAHffzrI=")</f>
        <v>#REF!</v>
      </c>
      <c r="FX209" t="e">
        <f>AND(#REF!,"AAAAAHffzrM=")</f>
        <v>#REF!</v>
      </c>
      <c r="FY209" t="e">
        <f>AND(#REF!,"AAAAAHffzrQ=")</f>
        <v>#REF!</v>
      </c>
      <c r="FZ209" t="e">
        <f>AND(#REF!,"AAAAAHffzrU=")</f>
        <v>#REF!</v>
      </c>
      <c r="GA209" t="e">
        <f>AND(#REF!,"AAAAAHffzrY=")</f>
        <v>#REF!</v>
      </c>
      <c r="GB209" t="e">
        <f>AND(#REF!,"AAAAAHffzrc=")</f>
        <v>#REF!</v>
      </c>
      <c r="GC209" t="e">
        <f>AND(#REF!,"AAAAAHffzrg=")</f>
        <v>#REF!</v>
      </c>
      <c r="GD209" t="e">
        <f>AND(#REF!,"AAAAAHffzrk=")</f>
        <v>#REF!</v>
      </c>
      <c r="GE209" t="e">
        <f>IF(#REF!,"AAAAAHffzro=",0)</f>
        <v>#REF!</v>
      </c>
      <c r="GF209" t="e">
        <f>AND(#REF!,"AAAAAHffzrs=")</f>
        <v>#REF!</v>
      </c>
      <c r="GG209" t="e">
        <f>AND(#REF!,"AAAAAHffzrw=")</f>
        <v>#REF!</v>
      </c>
      <c r="GH209" t="e">
        <f>AND(#REF!,"AAAAAHffzr0=")</f>
        <v>#REF!</v>
      </c>
      <c r="GI209" t="e">
        <f>AND(#REF!,"AAAAAHffzr4=")</f>
        <v>#REF!</v>
      </c>
      <c r="GJ209" t="e">
        <f>AND(#REF!,"AAAAAHffzr8=")</f>
        <v>#REF!</v>
      </c>
      <c r="GK209" t="e">
        <f>AND(#REF!,"AAAAAHffzsA=")</f>
        <v>#REF!</v>
      </c>
      <c r="GL209" t="e">
        <f>AND(#REF!,"AAAAAHffzsE=")</f>
        <v>#REF!</v>
      </c>
      <c r="GM209" t="e">
        <f>AND(#REF!,"AAAAAHffzsI=")</f>
        <v>#REF!</v>
      </c>
      <c r="GN209" t="e">
        <f>AND(#REF!,"AAAAAHffzsM=")</f>
        <v>#REF!</v>
      </c>
      <c r="GO209" t="e">
        <f>AND(#REF!,"AAAAAHffzsQ=")</f>
        <v>#REF!</v>
      </c>
      <c r="GP209" t="e">
        <f>IF(#REF!,"AAAAAHffzsU=",0)</f>
        <v>#REF!</v>
      </c>
      <c r="GQ209" t="e">
        <f>AND(#REF!,"AAAAAHffzsY=")</f>
        <v>#REF!</v>
      </c>
      <c r="GR209" t="e">
        <f>AND(#REF!,"AAAAAHffzsc=")</f>
        <v>#REF!</v>
      </c>
      <c r="GS209" t="e">
        <f>AND(#REF!,"AAAAAHffzsg=")</f>
        <v>#REF!</v>
      </c>
      <c r="GT209" t="e">
        <f>AND(#REF!,"AAAAAHffzsk=")</f>
        <v>#REF!</v>
      </c>
      <c r="GU209" t="e">
        <f>AND(#REF!,"AAAAAHffzso=")</f>
        <v>#REF!</v>
      </c>
      <c r="GV209" t="e">
        <f>AND(#REF!,"AAAAAHffzss=")</f>
        <v>#REF!</v>
      </c>
      <c r="GW209" t="e">
        <f>AND(#REF!,"AAAAAHffzsw=")</f>
        <v>#REF!</v>
      </c>
      <c r="GX209" t="e">
        <f>AND(#REF!,"AAAAAHffzs0=")</f>
        <v>#REF!</v>
      </c>
      <c r="GY209" t="e">
        <f>AND(#REF!,"AAAAAHffzs4=")</f>
        <v>#REF!</v>
      </c>
      <c r="GZ209" t="e">
        <f>AND(#REF!,"AAAAAHffzs8=")</f>
        <v>#REF!</v>
      </c>
      <c r="HA209" t="e">
        <f>IF(#REF!,"AAAAAHffztA=",0)</f>
        <v>#REF!</v>
      </c>
      <c r="HB209" t="e">
        <f>AND(#REF!,"AAAAAHffztE=")</f>
        <v>#REF!</v>
      </c>
      <c r="HC209" t="e">
        <f>AND(#REF!,"AAAAAHffztI=")</f>
        <v>#REF!</v>
      </c>
      <c r="HD209" t="e">
        <f>AND(#REF!,"AAAAAHffztM=")</f>
        <v>#REF!</v>
      </c>
      <c r="HE209" t="e">
        <f>AND(#REF!,"AAAAAHffztQ=")</f>
        <v>#REF!</v>
      </c>
      <c r="HF209" t="e">
        <f>AND(#REF!,"AAAAAHffztU=")</f>
        <v>#REF!</v>
      </c>
      <c r="HG209" t="e">
        <f>AND(#REF!,"AAAAAHffztY=")</f>
        <v>#REF!</v>
      </c>
      <c r="HH209" t="e">
        <f>AND(#REF!,"AAAAAHffztc=")</f>
        <v>#REF!</v>
      </c>
      <c r="HI209" t="e">
        <f>AND(#REF!,"AAAAAHffztg=")</f>
        <v>#REF!</v>
      </c>
      <c r="HJ209" t="e">
        <f>AND(#REF!,"AAAAAHffztk=")</f>
        <v>#REF!</v>
      </c>
      <c r="HK209" t="e">
        <f>AND(#REF!,"AAAAAHffzto=")</f>
        <v>#REF!</v>
      </c>
      <c r="HL209" t="e">
        <f>IF(#REF!,"AAAAAHffzts=",0)</f>
        <v>#REF!</v>
      </c>
      <c r="HM209" t="e">
        <f>AND(#REF!,"AAAAAHffztw=")</f>
        <v>#REF!</v>
      </c>
      <c r="HN209" t="e">
        <f>AND(#REF!,"AAAAAHffzt0=")</f>
        <v>#REF!</v>
      </c>
      <c r="HO209" t="e">
        <f>AND(#REF!,"AAAAAHffzt4=")</f>
        <v>#REF!</v>
      </c>
      <c r="HP209" t="e">
        <f>AND(#REF!,"AAAAAHffzt8=")</f>
        <v>#REF!</v>
      </c>
      <c r="HQ209" t="e">
        <f>AND(#REF!,"AAAAAHffzuA=")</f>
        <v>#REF!</v>
      </c>
      <c r="HR209" t="e">
        <f>AND(#REF!,"AAAAAHffzuE=")</f>
        <v>#REF!</v>
      </c>
      <c r="HS209" t="e">
        <f>AND(#REF!,"AAAAAHffzuI=")</f>
        <v>#REF!</v>
      </c>
      <c r="HT209" t="e">
        <f>AND(#REF!,"AAAAAHffzuM=")</f>
        <v>#REF!</v>
      </c>
      <c r="HU209" t="e">
        <f>AND(#REF!,"AAAAAHffzuQ=")</f>
        <v>#REF!</v>
      </c>
      <c r="HV209" t="e">
        <f>AND(#REF!,"AAAAAHffzuU=")</f>
        <v>#REF!</v>
      </c>
      <c r="HW209" t="e">
        <f>IF(#REF!,"AAAAAHffzuY=",0)</f>
        <v>#REF!</v>
      </c>
      <c r="HX209" t="e">
        <f>AND(#REF!,"AAAAAHffzuc=")</f>
        <v>#REF!</v>
      </c>
      <c r="HY209" t="e">
        <f>AND(#REF!,"AAAAAHffzug=")</f>
        <v>#REF!</v>
      </c>
      <c r="HZ209" t="e">
        <f>AND(#REF!,"AAAAAHffzuk=")</f>
        <v>#REF!</v>
      </c>
      <c r="IA209" t="e">
        <f>AND(#REF!,"AAAAAHffzuo=")</f>
        <v>#REF!</v>
      </c>
      <c r="IB209" t="e">
        <f>AND(#REF!,"AAAAAHffzus=")</f>
        <v>#REF!</v>
      </c>
      <c r="IC209" t="e">
        <f>AND(#REF!,"AAAAAHffzuw=")</f>
        <v>#REF!</v>
      </c>
      <c r="ID209" t="e">
        <f>AND(#REF!,"AAAAAHffzu0=")</f>
        <v>#REF!</v>
      </c>
      <c r="IE209" t="e">
        <f>AND(#REF!,"AAAAAHffzu4=")</f>
        <v>#REF!</v>
      </c>
      <c r="IF209" t="e">
        <f>AND(#REF!,"AAAAAHffzu8=")</f>
        <v>#REF!</v>
      </c>
      <c r="IG209" t="e">
        <f>AND(#REF!,"AAAAAHffzvA=")</f>
        <v>#REF!</v>
      </c>
      <c r="IH209" t="e">
        <f>IF(#REF!,"AAAAAHffzvE=",0)</f>
        <v>#REF!</v>
      </c>
      <c r="II209" t="e">
        <f>AND(#REF!,"AAAAAHffzvI=")</f>
        <v>#REF!</v>
      </c>
      <c r="IJ209" t="e">
        <f>AND(#REF!,"AAAAAHffzvM=")</f>
        <v>#REF!</v>
      </c>
      <c r="IK209" t="e">
        <f>AND(#REF!,"AAAAAHffzvQ=")</f>
        <v>#REF!</v>
      </c>
      <c r="IL209" t="e">
        <f>AND(#REF!,"AAAAAHffzvU=")</f>
        <v>#REF!</v>
      </c>
      <c r="IM209" t="e">
        <f>AND(#REF!,"AAAAAHffzvY=")</f>
        <v>#REF!</v>
      </c>
      <c r="IN209" t="e">
        <f>AND(#REF!,"AAAAAHffzvc=")</f>
        <v>#REF!</v>
      </c>
      <c r="IO209" t="e">
        <f>AND(#REF!,"AAAAAHffzvg=")</f>
        <v>#REF!</v>
      </c>
      <c r="IP209" t="e">
        <f>AND(#REF!,"AAAAAHffzvk=")</f>
        <v>#REF!</v>
      </c>
      <c r="IQ209" t="e">
        <f>AND(#REF!,"AAAAAHffzvo=")</f>
        <v>#REF!</v>
      </c>
      <c r="IR209" t="e">
        <f>AND(#REF!,"AAAAAHffzvs=")</f>
        <v>#REF!</v>
      </c>
      <c r="IS209" t="e">
        <f>IF(#REF!,"AAAAAHffzvw=",0)</f>
        <v>#REF!</v>
      </c>
      <c r="IT209" t="e">
        <f>AND(#REF!,"AAAAAHffzv0=")</f>
        <v>#REF!</v>
      </c>
      <c r="IU209" t="e">
        <f>AND(#REF!,"AAAAAHffzv4=")</f>
        <v>#REF!</v>
      </c>
      <c r="IV209" t="e">
        <f>AND(#REF!,"AAAAAHffzv8=")</f>
        <v>#REF!</v>
      </c>
    </row>
    <row r="210" spans="1:256" x14ac:dyDescent="0.25">
      <c r="A210" t="e">
        <f>AND(#REF!,"AAAAAG4UGQA=")</f>
        <v>#REF!</v>
      </c>
      <c r="B210" t="e">
        <f>AND(#REF!,"AAAAAG4UGQE=")</f>
        <v>#REF!</v>
      </c>
      <c r="C210" t="e">
        <f>AND(#REF!,"AAAAAG4UGQI=")</f>
        <v>#REF!</v>
      </c>
      <c r="D210" t="e">
        <f>AND(#REF!,"AAAAAG4UGQM=")</f>
        <v>#REF!</v>
      </c>
      <c r="E210" t="e">
        <f>AND(#REF!,"AAAAAG4UGQQ=")</f>
        <v>#REF!</v>
      </c>
      <c r="F210" t="e">
        <f>AND(#REF!,"AAAAAG4UGQU=")</f>
        <v>#REF!</v>
      </c>
      <c r="G210" t="e">
        <f>AND(#REF!,"AAAAAG4UGQY=")</f>
        <v>#REF!</v>
      </c>
      <c r="H210" t="e">
        <f>IF(#REF!,"AAAAAG4UGQc=",0)</f>
        <v>#REF!</v>
      </c>
      <c r="I210" t="e">
        <f>AND(#REF!,"AAAAAG4UGQg=")</f>
        <v>#REF!</v>
      </c>
      <c r="J210" t="e">
        <f>AND(#REF!,"AAAAAG4UGQk=")</f>
        <v>#REF!</v>
      </c>
      <c r="K210" t="e">
        <f>AND(#REF!,"AAAAAG4UGQo=")</f>
        <v>#REF!</v>
      </c>
      <c r="L210" t="e">
        <f>AND(#REF!,"AAAAAG4UGQs=")</f>
        <v>#REF!</v>
      </c>
      <c r="M210" t="e">
        <f>AND(#REF!,"AAAAAG4UGQw=")</f>
        <v>#REF!</v>
      </c>
      <c r="N210" t="e">
        <f>AND(#REF!,"AAAAAG4UGQ0=")</f>
        <v>#REF!</v>
      </c>
      <c r="O210" t="e">
        <f>AND(#REF!,"AAAAAG4UGQ4=")</f>
        <v>#REF!</v>
      </c>
      <c r="P210" t="e">
        <f>AND(#REF!,"AAAAAG4UGQ8=")</f>
        <v>#REF!</v>
      </c>
      <c r="Q210" t="e">
        <f>AND(#REF!,"AAAAAG4UGRA=")</f>
        <v>#REF!</v>
      </c>
      <c r="R210" t="e">
        <f>AND(#REF!,"AAAAAG4UGRE=")</f>
        <v>#REF!</v>
      </c>
      <c r="S210" t="e">
        <f>IF(#REF!,"AAAAAG4UGRI=",0)</f>
        <v>#REF!</v>
      </c>
      <c r="T210" t="e">
        <f>AND(#REF!,"AAAAAG4UGRM=")</f>
        <v>#REF!</v>
      </c>
      <c r="U210" t="e">
        <f>AND(#REF!,"AAAAAG4UGRQ=")</f>
        <v>#REF!</v>
      </c>
      <c r="V210" t="e">
        <f>AND(#REF!,"AAAAAG4UGRU=")</f>
        <v>#REF!</v>
      </c>
      <c r="W210" t="e">
        <f>AND(#REF!,"AAAAAG4UGRY=")</f>
        <v>#REF!</v>
      </c>
      <c r="X210" t="e">
        <f>AND(#REF!,"AAAAAG4UGRc=")</f>
        <v>#REF!</v>
      </c>
      <c r="Y210" t="e">
        <f>AND(#REF!,"AAAAAG4UGRg=")</f>
        <v>#REF!</v>
      </c>
      <c r="Z210" t="e">
        <f>AND(#REF!,"AAAAAG4UGRk=")</f>
        <v>#REF!</v>
      </c>
      <c r="AA210" t="e">
        <f>AND(#REF!,"AAAAAG4UGRo=")</f>
        <v>#REF!</v>
      </c>
      <c r="AB210" t="e">
        <f>AND(#REF!,"AAAAAG4UGRs=")</f>
        <v>#REF!</v>
      </c>
      <c r="AC210" t="e">
        <f>AND(#REF!,"AAAAAG4UGRw=")</f>
        <v>#REF!</v>
      </c>
      <c r="AD210" t="e">
        <f>IF(#REF!,"AAAAAG4UGR0=",0)</f>
        <v>#REF!</v>
      </c>
      <c r="AE210" t="e">
        <f>AND(#REF!,"AAAAAG4UGR4=")</f>
        <v>#REF!</v>
      </c>
      <c r="AF210" t="e">
        <f>AND(#REF!,"AAAAAG4UGR8=")</f>
        <v>#REF!</v>
      </c>
      <c r="AG210" t="e">
        <f>AND(#REF!,"AAAAAG4UGSA=")</f>
        <v>#REF!</v>
      </c>
      <c r="AH210" t="e">
        <f>AND(#REF!,"AAAAAG4UGSE=")</f>
        <v>#REF!</v>
      </c>
      <c r="AI210" t="e">
        <f>AND(#REF!,"AAAAAG4UGSI=")</f>
        <v>#REF!</v>
      </c>
      <c r="AJ210" t="e">
        <f>AND(#REF!,"AAAAAG4UGSM=")</f>
        <v>#REF!</v>
      </c>
      <c r="AK210" t="e">
        <f>AND(#REF!,"AAAAAG4UGSQ=")</f>
        <v>#REF!</v>
      </c>
      <c r="AL210" t="e">
        <f>AND(#REF!,"AAAAAG4UGSU=")</f>
        <v>#REF!</v>
      </c>
      <c r="AM210" t="e">
        <f>AND(#REF!,"AAAAAG4UGSY=")</f>
        <v>#REF!</v>
      </c>
      <c r="AN210" t="e">
        <f>AND(#REF!,"AAAAAG4UGSc=")</f>
        <v>#REF!</v>
      </c>
      <c r="AO210" t="e">
        <f>IF(#REF!,"AAAAAG4UGSg=",0)</f>
        <v>#REF!</v>
      </c>
      <c r="AP210" t="e">
        <f>AND(#REF!,"AAAAAG4UGSk=")</f>
        <v>#REF!</v>
      </c>
      <c r="AQ210" t="e">
        <f>AND(#REF!,"AAAAAG4UGSo=")</f>
        <v>#REF!</v>
      </c>
      <c r="AR210" t="e">
        <f>AND(#REF!,"AAAAAG4UGSs=")</f>
        <v>#REF!</v>
      </c>
      <c r="AS210" t="e">
        <f>AND(#REF!,"AAAAAG4UGSw=")</f>
        <v>#REF!</v>
      </c>
      <c r="AT210" t="e">
        <f>AND(#REF!,"AAAAAG4UGS0=")</f>
        <v>#REF!</v>
      </c>
      <c r="AU210" t="e">
        <f>AND(#REF!,"AAAAAG4UGS4=")</f>
        <v>#REF!</v>
      </c>
      <c r="AV210" t="e">
        <f>AND(#REF!,"AAAAAG4UGS8=")</f>
        <v>#REF!</v>
      </c>
      <c r="AW210" t="e">
        <f>AND(#REF!,"AAAAAG4UGTA=")</f>
        <v>#REF!</v>
      </c>
      <c r="AX210" t="e">
        <f>AND(#REF!,"AAAAAG4UGTE=")</f>
        <v>#REF!</v>
      </c>
      <c r="AY210" t="e">
        <f>AND(#REF!,"AAAAAG4UGTI=")</f>
        <v>#REF!</v>
      </c>
      <c r="AZ210" t="e">
        <f>IF(#REF!,"AAAAAG4UGTM=",0)</f>
        <v>#REF!</v>
      </c>
      <c r="BA210" t="e">
        <f>AND(#REF!,"AAAAAG4UGTQ=")</f>
        <v>#REF!</v>
      </c>
      <c r="BB210" t="e">
        <f>AND(#REF!,"AAAAAG4UGTU=")</f>
        <v>#REF!</v>
      </c>
      <c r="BC210" t="e">
        <f>AND(#REF!,"AAAAAG4UGTY=")</f>
        <v>#REF!</v>
      </c>
      <c r="BD210" t="e">
        <f>AND(#REF!,"AAAAAG4UGTc=")</f>
        <v>#REF!</v>
      </c>
      <c r="BE210" t="e">
        <f>AND(#REF!,"AAAAAG4UGTg=")</f>
        <v>#REF!</v>
      </c>
      <c r="BF210" t="e">
        <f>AND(#REF!,"AAAAAG4UGTk=")</f>
        <v>#REF!</v>
      </c>
      <c r="BG210" t="e">
        <f>AND(#REF!,"AAAAAG4UGTo=")</f>
        <v>#REF!</v>
      </c>
      <c r="BH210" t="e">
        <f>AND(#REF!,"AAAAAG4UGTs=")</f>
        <v>#REF!</v>
      </c>
      <c r="BI210" t="e">
        <f>AND(#REF!,"AAAAAG4UGTw=")</f>
        <v>#REF!</v>
      </c>
      <c r="BJ210" t="e">
        <f>AND(#REF!,"AAAAAG4UGT0=")</f>
        <v>#REF!</v>
      </c>
      <c r="BK210" t="e">
        <f>IF(#REF!,"AAAAAG4UGT4=",0)</f>
        <v>#REF!</v>
      </c>
      <c r="BL210" t="e">
        <f>AND(#REF!,"AAAAAG4UGT8=")</f>
        <v>#REF!</v>
      </c>
      <c r="BM210" t="e">
        <f>AND(#REF!,"AAAAAG4UGUA=")</f>
        <v>#REF!</v>
      </c>
      <c r="BN210" t="e">
        <f>AND(#REF!,"AAAAAG4UGUE=")</f>
        <v>#REF!</v>
      </c>
      <c r="BO210" t="e">
        <f>AND(#REF!,"AAAAAG4UGUI=")</f>
        <v>#REF!</v>
      </c>
      <c r="BP210" t="e">
        <f>AND(#REF!,"AAAAAG4UGUM=")</f>
        <v>#REF!</v>
      </c>
      <c r="BQ210" t="e">
        <f>AND(#REF!,"AAAAAG4UGUQ=")</f>
        <v>#REF!</v>
      </c>
      <c r="BR210" t="e">
        <f>AND(#REF!,"AAAAAG4UGUU=")</f>
        <v>#REF!</v>
      </c>
      <c r="BS210" t="e">
        <f>AND(#REF!,"AAAAAG4UGUY=")</f>
        <v>#REF!</v>
      </c>
      <c r="BT210" t="e">
        <f>AND(#REF!,"AAAAAG4UGUc=")</f>
        <v>#REF!</v>
      </c>
      <c r="BU210" t="e">
        <f>AND(#REF!,"AAAAAG4UGUg=")</f>
        <v>#REF!</v>
      </c>
      <c r="BV210" t="e">
        <f>IF(#REF!,"AAAAAG4UGUk=",0)</f>
        <v>#REF!</v>
      </c>
      <c r="BW210" t="e">
        <f>AND(#REF!,"AAAAAG4UGUo=")</f>
        <v>#REF!</v>
      </c>
      <c r="BX210" t="e">
        <f>AND(#REF!,"AAAAAG4UGUs=")</f>
        <v>#REF!</v>
      </c>
      <c r="BY210" t="e">
        <f>AND(#REF!,"AAAAAG4UGUw=")</f>
        <v>#REF!</v>
      </c>
      <c r="BZ210" t="e">
        <f>AND(#REF!,"AAAAAG4UGU0=")</f>
        <v>#REF!</v>
      </c>
      <c r="CA210" t="e">
        <f>AND(#REF!,"AAAAAG4UGU4=")</f>
        <v>#REF!</v>
      </c>
      <c r="CB210" t="e">
        <f>AND(#REF!,"AAAAAG4UGU8=")</f>
        <v>#REF!</v>
      </c>
      <c r="CC210" t="e">
        <f>AND(#REF!,"AAAAAG4UGVA=")</f>
        <v>#REF!</v>
      </c>
      <c r="CD210" t="e">
        <f>AND(#REF!,"AAAAAG4UGVE=")</f>
        <v>#REF!</v>
      </c>
      <c r="CE210" t="e">
        <f>AND(#REF!,"AAAAAG4UGVI=")</f>
        <v>#REF!</v>
      </c>
      <c r="CF210" t="e">
        <f>AND(#REF!,"AAAAAG4UGVM=")</f>
        <v>#REF!</v>
      </c>
      <c r="CG210" t="e">
        <f>IF(#REF!,"AAAAAG4UGVQ=",0)</f>
        <v>#REF!</v>
      </c>
      <c r="CH210" t="e">
        <f>AND(#REF!,"AAAAAG4UGVU=")</f>
        <v>#REF!</v>
      </c>
      <c r="CI210" t="e">
        <f>AND(#REF!,"AAAAAG4UGVY=")</f>
        <v>#REF!</v>
      </c>
      <c r="CJ210" t="e">
        <f>AND(#REF!,"AAAAAG4UGVc=")</f>
        <v>#REF!</v>
      </c>
      <c r="CK210" t="e">
        <f>AND(#REF!,"AAAAAG4UGVg=")</f>
        <v>#REF!</v>
      </c>
      <c r="CL210" t="e">
        <f>AND(#REF!,"AAAAAG4UGVk=")</f>
        <v>#REF!</v>
      </c>
      <c r="CM210" t="e">
        <f>AND(#REF!,"AAAAAG4UGVo=")</f>
        <v>#REF!</v>
      </c>
      <c r="CN210" t="e">
        <f>AND(#REF!,"AAAAAG4UGVs=")</f>
        <v>#REF!</v>
      </c>
      <c r="CO210" t="e">
        <f>AND(#REF!,"AAAAAG4UGVw=")</f>
        <v>#REF!</v>
      </c>
      <c r="CP210" t="e">
        <f>AND(#REF!,"AAAAAG4UGV0=")</f>
        <v>#REF!</v>
      </c>
      <c r="CQ210" t="e">
        <f>AND(#REF!,"AAAAAG4UGV4=")</f>
        <v>#REF!</v>
      </c>
      <c r="CR210" t="e">
        <f>IF(#REF!,"AAAAAG4UGV8=",0)</f>
        <v>#REF!</v>
      </c>
      <c r="CS210" t="e">
        <f>AND(#REF!,"AAAAAG4UGWA=")</f>
        <v>#REF!</v>
      </c>
      <c r="CT210" t="e">
        <f>AND(#REF!,"AAAAAG4UGWE=")</f>
        <v>#REF!</v>
      </c>
      <c r="CU210" t="e">
        <f>AND(#REF!,"AAAAAG4UGWI=")</f>
        <v>#REF!</v>
      </c>
      <c r="CV210" t="e">
        <f>AND(#REF!,"AAAAAG4UGWM=")</f>
        <v>#REF!</v>
      </c>
      <c r="CW210" t="e">
        <f>AND(#REF!,"AAAAAG4UGWQ=")</f>
        <v>#REF!</v>
      </c>
      <c r="CX210" t="e">
        <f>AND(#REF!,"AAAAAG4UGWU=")</f>
        <v>#REF!</v>
      </c>
      <c r="CY210" t="e">
        <f>AND(#REF!,"AAAAAG4UGWY=")</f>
        <v>#REF!</v>
      </c>
      <c r="CZ210" t="e">
        <f>AND(#REF!,"AAAAAG4UGWc=")</f>
        <v>#REF!</v>
      </c>
      <c r="DA210" t="e">
        <f>AND(#REF!,"AAAAAG4UGWg=")</f>
        <v>#REF!</v>
      </c>
      <c r="DB210" t="e">
        <f>AND(#REF!,"AAAAAG4UGWk=")</f>
        <v>#REF!</v>
      </c>
      <c r="DC210" t="e">
        <f>IF(#REF!,"AAAAAG4UGWo=",0)</f>
        <v>#REF!</v>
      </c>
      <c r="DD210" t="e">
        <f>AND(#REF!,"AAAAAG4UGWs=")</f>
        <v>#REF!</v>
      </c>
      <c r="DE210" t="e">
        <f>AND(#REF!,"AAAAAG4UGWw=")</f>
        <v>#REF!</v>
      </c>
      <c r="DF210" t="e">
        <f>AND(#REF!,"AAAAAG4UGW0=")</f>
        <v>#REF!</v>
      </c>
      <c r="DG210" t="e">
        <f>AND(#REF!,"AAAAAG4UGW4=")</f>
        <v>#REF!</v>
      </c>
      <c r="DH210" t="e">
        <f>AND(#REF!,"AAAAAG4UGW8=")</f>
        <v>#REF!</v>
      </c>
      <c r="DI210" t="e">
        <f>AND(#REF!,"AAAAAG4UGXA=")</f>
        <v>#REF!</v>
      </c>
      <c r="DJ210" t="e">
        <f>AND(#REF!,"AAAAAG4UGXE=")</f>
        <v>#REF!</v>
      </c>
      <c r="DK210" t="e">
        <f>AND(#REF!,"AAAAAG4UGXI=")</f>
        <v>#REF!</v>
      </c>
      <c r="DL210" t="e">
        <f>AND(#REF!,"AAAAAG4UGXM=")</f>
        <v>#REF!</v>
      </c>
      <c r="DM210" t="e">
        <f>AND(#REF!,"AAAAAG4UGXQ=")</f>
        <v>#REF!</v>
      </c>
      <c r="DN210" t="e">
        <f>IF(#REF!,"AAAAAG4UGXU=",0)</f>
        <v>#REF!</v>
      </c>
      <c r="DO210" t="e">
        <f>AND(#REF!,"AAAAAG4UGXY=")</f>
        <v>#REF!</v>
      </c>
      <c r="DP210" t="e">
        <f>AND(#REF!,"AAAAAG4UGXc=")</f>
        <v>#REF!</v>
      </c>
      <c r="DQ210" t="e">
        <f>AND(#REF!,"AAAAAG4UGXg=")</f>
        <v>#REF!</v>
      </c>
      <c r="DR210" t="e">
        <f>AND(#REF!,"AAAAAG4UGXk=")</f>
        <v>#REF!</v>
      </c>
      <c r="DS210" t="e">
        <f>AND(#REF!,"AAAAAG4UGXo=")</f>
        <v>#REF!</v>
      </c>
      <c r="DT210" t="e">
        <f>AND(#REF!,"AAAAAG4UGXs=")</f>
        <v>#REF!</v>
      </c>
      <c r="DU210" t="e">
        <f>AND(#REF!,"AAAAAG4UGXw=")</f>
        <v>#REF!</v>
      </c>
      <c r="DV210" t="e">
        <f>AND(#REF!,"AAAAAG4UGX0=")</f>
        <v>#REF!</v>
      </c>
      <c r="DW210" t="e">
        <f>AND(#REF!,"AAAAAG4UGX4=")</f>
        <v>#REF!</v>
      </c>
      <c r="DX210" t="e">
        <f>AND(#REF!,"AAAAAG4UGX8=")</f>
        <v>#REF!</v>
      </c>
      <c r="DY210" t="e">
        <f>IF(#REF!,"AAAAAG4UGYA=",0)</f>
        <v>#REF!</v>
      </c>
      <c r="DZ210" t="e">
        <f>AND(#REF!,"AAAAAG4UGYE=")</f>
        <v>#REF!</v>
      </c>
      <c r="EA210" t="e">
        <f>AND(#REF!,"AAAAAG4UGYI=")</f>
        <v>#REF!</v>
      </c>
      <c r="EB210" t="e">
        <f>AND(#REF!,"AAAAAG4UGYM=")</f>
        <v>#REF!</v>
      </c>
      <c r="EC210" t="e">
        <f>AND(#REF!,"AAAAAG4UGYQ=")</f>
        <v>#REF!</v>
      </c>
      <c r="ED210" t="e">
        <f>AND(#REF!,"AAAAAG4UGYU=")</f>
        <v>#REF!</v>
      </c>
      <c r="EE210" t="e">
        <f>AND(#REF!,"AAAAAG4UGYY=")</f>
        <v>#REF!</v>
      </c>
      <c r="EF210" t="e">
        <f>AND(#REF!,"AAAAAG4UGYc=")</f>
        <v>#REF!</v>
      </c>
      <c r="EG210" t="e">
        <f>AND(#REF!,"AAAAAG4UGYg=")</f>
        <v>#REF!</v>
      </c>
      <c r="EH210" t="e">
        <f>AND(#REF!,"AAAAAG4UGYk=")</f>
        <v>#REF!</v>
      </c>
      <c r="EI210" t="e">
        <f>AND(#REF!,"AAAAAG4UGYo=")</f>
        <v>#REF!</v>
      </c>
      <c r="EJ210" t="e">
        <f>IF(#REF!,"AAAAAG4UGYs=",0)</f>
        <v>#REF!</v>
      </c>
      <c r="EK210" t="e">
        <f>AND(#REF!,"AAAAAG4UGYw=")</f>
        <v>#REF!</v>
      </c>
      <c r="EL210" t="e">
        <f>AND(#REF!,"AAAAAG4UGY0=")</f>
        <v>#REF!</v>
      </c>
      <c r="EM210" t="e">
        <f>AND(#REF!,"AAAAAG4UGY4=")</f>
        <v>#REF!</v>
      </c>
      <c r="EN210" t="e">
        <f>AND(#REF!,"AAAAAG4UGY8=")</f>
        <v>#REF!</v>
      </c>
      <c r="EO210" t="e">
        <f>AND(#REF!,"AAAAAG4UGZA=")</f>
        <v>#REF!</v>
      </c>
      <c r="EP210" t="e">
        <f>AND(#REF!,"AAAAAG4UGZE=")</f>
        <v>#REF!</v>
      </c>
      <c r="EQ210" t="e">
        <f>AND(#REF!,"AAAAAG4UGZI=")</f>
        <v>#REF!</v>
      </c>
      <c r="ER210" t="e">
        <f>AND(#REF!,"AAAAAG4UGZM=")</f>
        <v>#REF!</v>
      </c>
      <c r="ES210" t="e">
        <f>AND(#REF!,"AAAAAG4UGZQ=")</f>
        <v>#REF!</v>
      </c>
      <c r="ET210" t="e">
        <f>AND(#REF!,"AAAAAG4UGZU=")</f>
        <v>#REF!</v>
      </c>
      <c r="EU210" t="e">
        <f>IF(#REF!,"AAAAAG4UGZY=",0)</f>
        <v>#REF!</v>
      </c>
      <c r="EV210" t="e">
        <f>AND(#REF!,"AAAAAG4UGZc=")</f>
        <v>#REF!</v>
      </c>
      <c r="EW210" t="e">
        <f>AND(#REF!,"AAAAAG4UGZg=")</f>
        <v>#REF!</v>
      </c>
      <c r="EX210" t="e">
        <f>AND(#REF!,"AAAAAG4UGZk=")</f>
        <v>#REF!</v>
      </c>
      <c r="EY210" t="e">
        <f>AND(#REF!,"AAAAAG4UGZo=")</f>
        <v>#REF!</v>
      </c>
      <c r="EZ210" t="e">
        <f>AND(#REF!,"AAAAAG4UGZs=")</f>
        <v>#REF!</v>
      </c>
      <c r="FA210" t="e">
        <f>AND(#REF!,"AAAAAG4UGZw=")</f>
        <v>#REF!</v>
      </c>
      <c r="FB210" t="e">
        <f>AND(#REF!,"AAAAAG4UGZ0=")</f>
        <v>#REF!</v>
      </c>
      <c r="FC210" t="e">
        <f>AND(#REF!,"AAAAAG4UGZ4=")</f>
        <v>#REF!</v>
      </c>
      <c r="FD210" t="e">
        <f>AND(#REF!,"AAAAAG4UGZ8=")</f>
        <v>#REF!</v>
      </c>
      <c r="FE210" t="e">
        <f>AND(#REF!,"AAAAAG4UGaA=")</f>
        <v>#REF!</v>
      </c>
      <c r="FF210" t="e">
        <f>IF(#REF!,"AAAAAG4UGaE=",0)</f>
        <v>#REF!</v>
      </c>
      <c r="FG210" t="e">
        <f>AND(#REF!,"AAAAAG4UGaI=")</f>
        <v>#REF!</v>
      </c>
      <c r="FH210" t="e">
        <f>AND(#REF!,"AAAAAG4UGaM=")</f>
        <v>#REF!</v>
      </c>
      <c r="FI210" t="e">
        <f>AND(#REF!,"AAAAAG4UGaQ=")</f>
        <v>#REF!</v>
      </c>
      <c r="FJ210" t="e">
        <f>AND(#REF!,"AAAAAG4UGaU=")</f>
        <v>#REF!</v>
      </c>
      <c r="FK210" t="e">
        <f>AND(#REF!,"AAAAAG4UGaY=")</f>
        <v>#REF!</v>
      </c>
      <c r="FL210" t="e">
        <f>AND(#REF!,"AAAAAG4UGac=")</f>
        <v>#REF!</v>
      </c>
      <c r="FM210" t="e">
        <f>AND(#REF!,"AAAAAG4UGag=")</f>
        <v>#REF!</v>
      </c>
      <c r="FN210" t="e">
        <f>AND(#REF!,"AAAAAG4UGak=")</f>
        <v>#REF!</v>
      </c>
      <c r="FO210" t="e">
        <f>AND(#REF!,"AAAAAG4UGao=")</f>
        <v>#REF!</v>
      </c>
      <c r="FP210" t="e">
        <f>AND(#REF!,"AAAAAG4UGas=")</f>
        <v>#REF!</v>
      </c>
      <c r="FQ210" t="e">
        <f>IF(#REF!,"AAAAAG4UGaw=",0)</f>
        <v>#REF!</v>
      </c>
      <c r="FR210" t="e">
        <f>AND(#REF!,"AAAAAG4UGa0=")</f>
        <v>#REF!</v>
      </c>
      <c r="FS210" t="e">
        <f>AND(#REF!,"AAAAAG4UGa4=")</f>
        <v>#REF!</v>
      </c>
      <c r="FT210" t="e">
        <f>AND(#REF!,"AAAAAG4UGa8=")</f>
        <v>#REF!</v>
      </c>
      <c r="FU210" t="e">
        <f>AND(#REF!,"AAAAAG4UGbA=")</f>
        <v>#REF!</v>
      </c>
      <c r="FV210" t="e">
        <f>AND(#REF!,"AAAAAG4UGbE=")</f>
        <v>#REF!</v>
      </c>
      <c r="FW210" t="e">
        <f>AND(#REF!,"AAAAAG4UGbI=")</f>
        <v>#REF!</v>
      </c>
      <c r="FX210" t="e">
        <f>AND(#REF!,"AAAAAG4UGbM=")</f>
        <v>#REF!</v>
      </c>
      <c r="FY210" t="e">
        <f>AND(#REF!,"AAAAAG4UGbQ=")</f>
        <v>#REF!</v>
      </c>
      <c r="FZ210" t="e">
        <f>AND(#REF!,"AAAAAG4UGbU=")</f>
        <v>#REF!</v>
      </c>
      <c r="GA210" t="e">
        <f>AND(#REF!,"AAAAAG4UGbY=")</f>
        <v>#REF!</v>
      </c>
      <c r="GB210" t="e">
        <f>IF(#REF!,"AAAAAG4UGbc=",0)</f>
        <v>#REF!</v>
      </c>
      <c r="GC210" t="e">
        <f>AND(#REF!,"AAAAAG4UGbg=")</f>
        <v>#REF!</v>
      </c>
      <c r="GD210" t="e">
        <f>AND(#REF!,"AAAAAG4UGbk=")</f>
        <v>#REF!</v>
      </c>
      <c r="GE210" t="e">
        <f>AND(#REF!,"AAAAAG4UGbo=")</f>
        <v>#REF!</v>
      </c>
      <c r="GF210" t="e">
        <f>AND(#REF!,"AAAAAG4UGbs=")</f>
        <v>#REF!</v>
      </c>
      <c r="GG210" t="e">
        <f>AND(#REF!,"AAAAAG4UGbw=")</f>
        <v>#REF!</v>
      </c>
      <c r="GH210" t="e">
        <f>AND(#REF!,"AAAAAG4UGb0=")</f>
        <v>#REF!</v>
      </c>
      <c r="GI210" t="e">
        <f>AND(#REF!,"AAAAAG4UGb4=")</f>
        <v>#REF!</v>
      </c>
      <c r="GJ210" t="e">
        <f>AND(#REF!,"AAAAAG4UGb8=")</f>
        <v>#REF!</v>
      </c>
      <c r="GK210" t="e">
        <f>AND(#REF!,"AAAAAG4UGcA=")</f>
        <v>#REF!</v>
      </c>
      <c r="GL210" t="e">
        <f>AND(#REF!,"AAAAAG4UGcE=")</f>
        <v>#REF!</v>
      </c>
      <c r="GM210" t="e">
        <f>IF(#REF!,"AAAAAG4UGcI=",0)</f>
        <v>#REF!</v>
      </c>
      <c r="GN210" t="e">
        <f>AND(#REF!,"AAAAAG4UGcM=")</f>
        <v>#REF!</v>
      </c>
      <c r="GO210" t="e">
        <f>AND(#REF!,"AAAAAG4UGcQ=")</f>
        <v>#REF!</v>
      </c>
      <c r="GP210" t="e">
        <f>AND(#REF!,"AAAAAG4UGcU=")</f>
        <v>#REF!</v>
      </c>
      <c r="GQ210" t="e">
        <f>AND(#REF!,"AAAAAG4UGcY=")</f>
        <v>#REF!</v>
      </c>
      <c r="GR210" t="e">
        <f>AND(#REF!,"AAAAAG4UGcc=")</f>
        <v>#REF!</v>
      </c>
      <c r="GS210" t="e">
        <f>AND(#REF!,"AAAAAG4UGcg=")</f>
        <v>#REF!</v>
      </c>
      <c r="GT210" t="e">
        <f>AND(#REF!,"AAAAAG4UGck=")</f>
        <v>#REF!</v>
      </c>
      <c r="GU210" t="e">
        <f>AND(#REF!,"AAAAAG4UGco=")</f>
        <v>#REF!</v>
      </c>
      <c r="GV210" t="e">
        <f>AND(#REF!,"AAAAAG4UGcs=")</f>
        <v>#REF!</v>
      </c>
      <c r="GW210" t="e">
        <f>AND(#REF!,"AAAAAG4UGcw=")</f>
        <v>#REF!</v>
      </c>
      <c r="GX210" t="e">
        <f>IF(#REF!,"AAAAAG4UGc0=",0)</f>
        <v>#REF!</v>
      </c>
      <c r="GY210" t="e">
        <f>AND(#REF!,"AAAAAG4UGc4=")</f>
        <v>#REF!</v>
      </c>
      <c r="GZ210" t="e">
        <f>AND(#REF!,"AAAAAG4UGc8=")</f>
        <v>#REF!</v>
      </c>
      <c r="HA210" t="e">
        <f>AND(#REF!,"AAAAAG4UGdA=")</f>
        <v>#REF!</v>
      </c>
      <c r="HB210" t="e">
        <f>AND(#REF!,"AAAAAG4UGdE=")</f>
        <v>#REF!</v>
      </c>
      <c r="HC210" t="e">
        <f>AND(#REF!,"AAAAAG4UGdI=")</f>
        <v>#REF!</v>
      </c>
      <c r="HD210" t="e">
        <f>AND(#REF!,"AAAAAG4UGdM=")</f>
        <v>#REF!</v>
      </c>
      <c r="HE210" t="e">
        <f>AND(#REF!,"AAAAAG4UGdQ=")</f>
        <v>#REF!</v>
      </c>
      <c r="HF210" t="e">
        <f>AND(#REF!,"AAAAAG4UGdU=")</f>
        <v>#REF!</v>
      </c>
      <c r="HG210" t="e">
        <f>AND(#REF!,"AAAAAG4UGdY=")</f>
        <v>#REF!</v>
      </c>
      <c r="HH210" t="e">
        <f>AND(#REF!,"AAAAAG4UGdc=")</f>
        <v>#REF!</v>
      </c>
      <c r="HI210" t="e">
        <f>IF(#REF!,"AAAAAG4UGdg=",0)</f>
        <v>#REF!</v>
      </c>
      <c r="HJ210" t="e">
        <f>AND(#REF!,"AAAAAG4UGdk=")</f>
        <v>#REF!</v>
      </c>
      <c r="HK210" t="e">
        <f>AND(#REF!,"AAAAAG4UGdo=")</f>
        <v>#REF!</v>
      </c>
      <c r="HL210" t="e">
        <f>AND(#REF!,"AAAAAG4UGds=")</f>
        <v>#REF!</v>
      </c>
      <c r="HM210" t="e">
        <f>AND(#REF!,"AAAAAG4UGdw=")</f>
        <v>#REF!</v>
      </c>
      <c r="HN210" t="e">
        <f>AND(#REF!,"AAAAAG4UGd0=")</f>
        <v>#REF!</v>
      </c>
      <c r="HO210" t="e">
        <f>AND(#REF!,"AAAAAG4UGd4=")</f>
        <v>#REF!</v>
      </c>
      <c r="HP210" t="e">
        <f>AND(#REF!,"AAAAAG4UGd8=")</f>
        <v>#REF!</v>
      </c>
      <c r="HQ210" t="e">
        <f>AND(#REF!,"AAAAAG4UGeA=")</f>
        <v>#REF!</v>
      </c>
      <c r="HR210" t="e">
        <f>AND(#REF!,"AAAAAG4UGeE=")</f>
        <v>#REF!</v>
      </c>
      <c r="HS210" t="e">
        <f>AND(#REF!,"AAAAAG4UGeI=")</f>
        <v>#REF!</v>
      </c>
      <c r="HT210" t="e">
        <f>IF(#REF!,"AAAAAG4UGeM=",0)</f>
        <v>#REF!</v>
      </c>
      <c r="HU210" t="e">
        <f>AND(#REF!,"AAAAAG4UGeQ=")</f>
        <v>#REF!</v>
      </c>
      <c r="HV210" t="e">
        <f>AND(#REF!,"AAAAAG4UGeU=")</f>
        <v>#REF!</v>
      </c>
      <c r="HW210" t="e">
        <f>AND(#REF!,"AAAAAG4UGeY=")</f>
        <v>#REF!</v>
      </c>
      <c r="HX210" t="e">
        <f>AND(#REF!,"AAAAAG4UGec=")</f>
        <v>#REF!</v>
      </c>
      <c r="HY210" t="e">
        <f>AND(#REF!,"AAAAAG4UGeg=")</f>
        <v>#REF!</v>
      </c>
      <c r="HZ210" t="e">
        <f>AND(#REF!,"AAAAAG4UGek=")</f>
        <v>#REF!</v>
      </c>
      <c r="IA210" t="e">
        <f>AND(#REF!,"AAAAAG4UGeo=")</f>
        <v>#REF!</v>
      </c>
      <c r="IB210" t="e">
        <f>AND(#REF!,"AAAAAG4UGes=")</f>
        <v>#REF!</v>
      </c>
      <c r="IC210" t="e">
        <f>AND(#REF!,"AAAAAG4UGew=")</f>
        <v>#REF!</v>
      </c>
      <c r="ID210" t="e">
        <f>AND(#REF!,"AAAAAG4UGe0=")</f>
        <v>#REF!</v>
      </c>
      <c r="IE210" t="e">
        <f>IF(#REF!,"AAAAAG4UGe4=",0)</f>
        <v>#REF!</v>
      </c>
      <c r="IF210" t="e">
        <f>AND(#REF!,"AAAAAG4UGe8=")</f>
        <v>#REF!</v>
      </c>
      <c r="IG210" t="e">
        <f>AND(#REF!,"AAAAAG4UGfA=")</f>
        <v>#REF!</v>
      </c>
      <c r="IH210" t="e">
        <f>AND(#REF!,"AAAAAG4UGfE=")</f>
        <v>#REF!</v>
      </c>
      <c r="II210" t="e">
        <f>AND(#REF!,"AAAAAG4UGfI=")</f>
        <v>#REF!</v>
      </c>
      <c r="IJ210" t="e">
        <f>AND(#REF!,"AAAAAG4UGfM=")</f>
        <v>#REF!</v>
      </c>
      <c r="IK210" t="e">
        <f>AND(#REF!,"AAAAAG4UGfQ=")</f>
        <v>#REF!</v>
      </c>
      <c r="IL210" t="e">
        <f>AND(#REF!,"AAAAAG4UGfU=")</f>
        <v>#REF!</v>
      </c>
      <c r="IM210" t="e">
        <f>AND(#REF!,"AAAAAG4UGfY=")</f>
        <v>#REF!</v>
      </c>
      <c r="IN210" t="e">
        <f>AND(#REF!,"AAAAAG4UGfc=")</f>
        <v>#REF!</v>
      </c>
      <c r="IO210" t="e">
        <f>AND(#REF!,"AAAAAG4UGfg=")</f>
        <v>#REF!</v>
      </c>
      <c r="IP210" t="e">
        <f>IF(#REF!,"AAAAAG4UGfk=",0)</f>
        <v>#REF!</v>
      </c>
      <c r="IQ210" t="e">
        <f>AND(#REF!,"AAAAAG4UGfo=")</f>
        <v>#REF!</v>
      </c>
      <c r="IR210" t="e">
        <f>AND(#REF!,"AAAAAG4UGfs=")</f>
        <v>#REF!</v>
      </c>
      <c r="IS210" t="e">
        <f>AND(#REF!,"AAAAAG4UGfw=")</f>
        <v>#REF!</v>
      </c>
      <c r="IT210" t="e">
        <f>AND(#REF!,"AAAAAG4UGf0=")</f>
        <v>#REF!</v>
      </c>
      <c r="IU210" t="e">
        <f>AND(#REF!,"AAAAAG4UGf4=")</f>
        <v>#REF!</v>
      </c>
      <c r="IV210" t="e">
        <f>AND(#REF!,"AAAAAG4UGf8=")</f>
        <v>#REF!</v>
      </c>
    </row>
    <row r="211" spans="1:256" x14ac:dyDescent="0.25">
      <c r="A211" t="e">
        <f>AND(#REF!,"AAAAABbq/wA=")</f>
        <v>#REF!</v>
      </c>
      <c r="B211" t="e">
        <f>AND(#REF!,"AAAAABbq/wE=")</f>
        <v>#REF!</v>
      </c>
      <c r="C211" t="e">
        <f>AND(#REF!,"AAAAABbq/wI=")</f>
        <v>#REF!</v>
      </c>
      <c r="D211" t="e">
        <f>AND(#REF!,"AAAAABbq/wM=")</f>
        <v>#REF!</v>
      </c>
      <c r="E211" t="e">
        <f>IF(#REF!,"AAAAABbq/wQ=",0)</f>
        <v>#REF!</v>
      </c>
      <c r="F211" t="e">
        <f>AND(#REF!,"AAAAABbq/wU=")</f>
        <v>#REF!</v>
      </c>
      <c r="G211" t="e">
        <f>AND(#REF!,"AAAAABbq/wY=")</f>
        <v>#REF!</v>
      </c>
      <c r="H211" t="e">
        <f>AND(#REF!,"AAAAABbq/wc=")</f>
        <v>#REF!</v>
      </c>
      <c r="I211" t="e">
        <f>AND(#REF!,"AAAAABbq/wg=")</f>
        <v>#REF!</v>
      </c>
      <c r="J211" t="e">
        <f>AND(#REF!,"AAAAABbq/wk=")</f>
        <v>#REF!</v>
      </c>
      <c r="K211" t="e">
        <f>AND(#REF!,"AAAAABbq/wo=")</f>
        <v>#REF!</v>
      </c>
      <c r="L211" t="e">
        <f>AND(#REF!,"AAAAABbq/ws=")</f>
        <v>#REF!</v>
      </c>
      <c r="M211" t="e">
        <f>AND(#REF!,"AAAAABbq/ww=")</f>
        <v>#REF!</v>
      </c>
      <c r="N211" t="e">
        <f>AND(#REF!,"AAAAABbq/w0=")</f>
        <v>#REF!</v>
      </c>
      <c r="O211" t="e">
        <f>AND(#REF!,"AAAAABbq/w4=")</f>
        <v>#REF!</v>
      </c>
      <c r="P211" t="e">
        <f>IF(#REF!,"AAAAABbq/w8=",0)</f>
        <v>#REF!</v>
      </c>
      <c r="Q211" t="e">
        <f>AND(#REF!,"AAAAABbq/xA=")</f>
        <v>#REF!</v>
      </c>
      <c r="R211" t="e">
        <f>AND(#REF!,"AAAAABbq/xE=")</f>
        <v>#REF!</v>
      </c>
      <c r="S211" t="e">
        <f>AND(#REF!,"AAAAABbq/xI=")</f>
        <v>#REF!</v>
      </c>
      <c r="T211" t="e">
        <f>AND(#REF!,"AAAAABbq/xM=")</f>
        <v>#REF!</v>
      </c>
      <c r="U211" t="e">
        <f>AND(#REF!,"AAAAABbq/xQ=")</f>
        <v>#REF!</v>
      </c>
      <c r="V211" t="e">
        <f>AND(#REF!,"AAAAABbq/xU=")</f>
        <v>#REF!</v>
      </c>
      <c r="W211" t="e">
        <f>AND(#REF!,"AAAAABbq/xY=")</f>
        <v>#REF!</v>
      </c>
      <c r="X211" t="e">
        <f>AND(#REF!,"AAAAABbq/xc=")</f>
        <v>#REF!</v>
      </c>
      <c r="Y211" t="e">
        <f>AND(#REF!,"AAAAABbq/xg=")</f>
        <v>#REF!</v>
      </c>
      <c r="Z211" t="e">
        <f>AND(#REF!,"AAAAABbq/xk=")</f>
        <v>#REF!</v>
      </c>
      <c r="AA211" t="e">
        <f>IF(#REF!,"AAAAABbq/xo=",0)</f>
        <v>#REF!</v>
      </c>
      <c r="AB211" t="e">
        <f>AND(#REF!,"AAAAABbq/xs=")</f>
        <v>#REF!</v>
      </c>
      <c r="AC211" t="e">
        <f>AND(#REF!,"AAAAABbq/xw=")</f>
        <v>#REF!</v>
      </c>
      <c r="AD211" t="e">
        <f>AND(#REF!,"AAAAABbq/x0=")</f>
        <v>#REF!</v>
      </c>
      <c r="AE211" t="e">
        <f>AND(#REF!,"AAAAABbq/x4=")</f>
        <v>#REF!</v>
      </c>
      <c r="AF211" t="e">
        <f>AND(#REF!,"AAAAABbq/x8=")</f>
        <v>#REF!</v>
      </c>
      <c r="AG211" t="e">
        <f>AND(#REF!,"AAAAABbq/yA=")</f>
        <v>#REF!</v>
      </c>
      <c r="AH211" t="e">
        <f>AND(#REF!,"AAAAABbq/yE=")</f>
        <v>#REF!</v>
      </c>
      <c r="AI211" t="e">
        <f>AND(#REF!,"AAAAABbq/yI=")</f>
        <v>#REF!</v>
      </c>
      <c r="AJ211" t="e">
        <f>AND(#REF!,"AAAAABbq/yM=")</f>
        <v>#REF!</v>
      </c>
      <c r="AK211" t="e">
        <f>AND(#REF!,"AAAAABbq/yQ=")</f>
        <v>#REF!</v>
      </c>
      <c r="AL211" t="e">
        <f>IF(#REF!,"AAAAABbq/yU=",0)</f>
        <v>#REF!</v>
      </c>
      <c r="AM211" t="e">
        <f>AND(#REF!,"AAAAABbq/yY=")</f>
        <v>#REF!</v>
      </c>
      <c r="AN211" t="e">
        <f>AND(#REF!,"AAAAABbq/yc=")</f>
        <v>#REF!</v>
      </c>
      <c r="AO211" t="e">
        <f>AND(#REF!,"AAAAABbq/yg=")</f>
        <v>#REF!</v>
      </c>
      <c r="AP211" t="e">
        <f>AND(#REF!,"AAAAABbq/yk=")</f>
        <v>#REF!</v>
      </c>
      <c r="AQ211" t="e">
        <f>AND(#REF!,"AAAAABbq/yo=")</f>
        <v>#REF!</v>
      </c>
      <c r="AR211" t="e">
        <f>AND(#REF!,"AAAAABbq/ys=")</f>
        <v>#REF!</v>
      </c>
      <c r="AS211" t="e">
        <f>AND(#REF!,"AAAAABbq/yw=")</f>
        <v>#REF!</v>
      </c>
      <c r="AT211" t="e">
        <f>AND(#REF!,"AAAAABbq/y0=")</f>
        <v>#REF!</v>
      </c>
      <c r="AU211" t="e">
        <f>AND(#REF!,"AAAAABbq/y4=")</f>
        <v>#REF!</v>
      </c>
      <c r="AV211" t="e">
        <f>AND(#REF!,"AAAAABbq/y8=")</f>
        <v>#REF!</v>
      </c>
      <c r="AW211" t="e">
        <f>IF(#REF!,"AAAAABbq/zA=",0)</f>
        <v>#REF!</v>
      </c>
      <c r="AX211" t="e">
        <f>AND(#REF!,"AAAAABbq/zE=")</f>
        <v>#REF!</v>
      </c>
      <c r="AY211" t="e">
        <f>AND(#REF!,"AAAAABbq/zI=")</f>
        <v>#REF!</v>
      </c>
      <c r="AZ211" t="e">
        <f>AND(#REF!,"AAAAABbq/zM=")</f>
        <v>#REF!</v>
      </c>
      <c r="BA211" t="e">
        <f>AND(#REF!,"AAAAABbq/zQ=")</f>
        <v>#REF!</v>
      </c>
      <c r="BB211" t="e">
        <f>AND(#REF!,"AAAAABbq/zU=")</f>
        <v>#REF!</v>
      </c>
      <c r="BC211" t="e">
        <f>AND(#REF!,"AAAAABbq/zY=")</f>
        <v>#REF!</v>
      </c>
      <c r="BD211" t="e">
        <f>AND(#REF!,"AAAAABbq/zc=")</f>
        <v>#REF!</v>
      </c>
      <c r="BE211" t="e">
        <f>AND(#REF!,"AAAAABbq/zg=")</f>
        <v>#REF!</v>
      </c>
      <c r="BF211" t="e">
        <f>AND(#REF!,"AAAAABbq/zk=")</f>
        <v>#REF!</v>
      </c>
      <c r="BG211" t="e">
        <f>AND(#REF!,"AAAAABbq/zo=")</f>
        <v>#REF!</v>
      </c>
      <c r="BH211" t="e">
        <f>IF(#REF!,"AAAAABbq/zs=",0)</f>
        <v>#REF!</v>
      </c>
      <c r="BI211" t="e">
        <f>AND(#REF!,"AAAAABbq/zw=")</f>
        <v>#REF!</v>
      </c>
      <c r="BJ211" t="e">
        <f>AND(#REF!,"AAAAABbq/z0=")</f>
        <v>#REF!</v>
      </c>
      <c r="BK211" t="e">
        <f>AND(#REF!,"AAAAABbq/z4=")</f>
        <v>#REF!</v>
      </c>
      <c r="BL211" t="e">
        <f>AND(#REF!,"AAAAABbq/z8=")</f>
        <v>#REF!</v>
      </c>
      <c r="BM211" t="e">
        <f>AND(#REF!,"AAAAABbq/0A=")</f>
        <v>#REF!</v>
      </c>
      <c r="BN211" t="e">
        <f>AND(#REF!,"AAAAABbq/0E=")</f>
        <v>#REF!</v>
      </c>
      <c r="BO211" t="e">
        <f>AND(#REF!,"AAAAABbq/0I=")</f>
        <v>#REF!</v>
      </c>
      <c r="BP211" t="e">
        <f>AND(#REF!,"AAAAABbq/0M=")</f>
        <v>#REF!</v>
      </c>
      <c r="BQ211" t="e">
        <f>AND(#REF!,"AAAAABbq/0Q=")</f>
        <v>#REF!</v>
      </c>
      <c r="BR211" t="e">
        <f>AND(#REF!,"AAAAABbq/0U=")</f>
        <v>#REF!</v>
      </c>
      <c r="BS211" t="e">
        <f>IF(#REF!,"AAAAABbq/0Y=",0)</f>
        <v>#REF!</v>
      </c>
      <c r="BT211" t="e">
        <f>AND(#REF!,"AAAAABbq/0c=")</f>
        <v>#REF!</v>
      </c>
      <c r="BU211" t="e">
        <f>AND(#REF!,"AAAAABbq/0g=")</f>
        <v>#REF!</v>
      </c>
      <c r="BV211" t="e">
        <f>AND(#REF!,"AAAAABbq/0k=")</f>
        <v>#REF!</v>
      </c>
      <c r="BW211" t="e">
        <f>AND(#REF!,"AAAAABbq/0o=")</f>
        <v>#REF!</v>
      </c>
      <c r="BX211" t="e">
        <f>AND(#REF!,"AAAAABbq/0s=")</f>
        <v>#REF!</v>
      </c>
      <c r="BY211" t="e">
        <f>AND(#REF!,"AAAAABbq/0w=")</f>
        <v>#REF!</v>
      </c>
      <c r="BZ211" t="e">
        <f>AND(#REF!,"AAAAABbq/00=")</f>
        <v>#REF!</v>
      </c>
      <c r="CA211" t="e">
        <f>AND(#REF!,"AAAAABbq/04=")</f>
        <v>#REF!</v>
      </c>
      <c r="CB211" t="e">
        <f>AND(#REF!,"AAAAABbq/08=")</f>
        <v>#REF!</v>
      </c>
      <c r="CC211" t="e">
        <f>AND(#REF!,"AAAAABbq/1A=")</f>
        <v>#REF!</v>
      </c>
      <c r="CD211" t="e">
        <f>IF(#REF!,"AAAAABbq/1E=",0)</f>
        <v>#REF!</v>
      </c>
      <c r="CE211" t="e">
        <f>AND(#REF!,"AAAAABbq/1I=")</f>
        <v>#REF!</v>
      </c>
      <c r="CF211" t="e">
        <f>AND(#REF!,"AAAAABbq/1M=")</f>
        <v>#REF!</v>
      </c>
      <c r="CG211" t="e">
        <f>AND(#REF!,"AAAAABbq/1Q=")</f>
        <v>#REF!</v>
      </c>
      <c r="CH211" t="e">
        <f>AND(#REF!,"AAAAABbq/1U=")</f>
        <v>#REF!</v>
      </c>
      <c r="CI211" t="e">
        <f>AND(#REF!,"AAAAABbq/1Y=")</f>
        <v>#REF!</v>
      </c>
      <c r="CJ211" t="e">
        <f>AND(#REF!,"AAAAABbq/1c=")</f>
        <v>#REF!</v>
      </c>
      <c r="CK211" t="e">
        <f>AND(#REF!,"AAAAABbq/1g=")</f>
        <v>#REF!</v>
      </c>
      <c r="CL211" t="e">
        <f>AND(#REF!,"AAAAABbq/1k=")</f>
        <v>#REF!</v>
      </c>
      <c r="CM211" t="e">
        <f>AND(#REF!,"AAAAABbq/1o=")</f>
        <v>#REF!</v>
      </c>
      <c r="CN211" t="e">
        <f>AND(#REF!,"AAAAABbq/1s=")</f>
        <v>#REF!</v>
      </c>
      <c r="CO211" t="e">
        <f>IF(#REF!,"AAAAABbq/1w=",0)</f>
        <v>#REF!</v>
      </c>
      <c r="CP211" t="e">
        <f>AND(#REF!,"AAAAABbq/10=")</f>
        <v>#REF!</v>
      </c>
      <c r="CQ211" t="e">
        <f>AND(#REF!,"AAAAABbq/14=")</f>
        <v>#REF!</v>
      </c>
      <c r="CR211" t="e">
        <f>AND(#REF!,"AAAAABbq/18=")</f>
        <v>#REF!</v>
      </c>
      <c r="CS211" t="e">
        <f>AND(#REF!,"AAAAABbq/2A=")</f>
        <v>#REF!</v>
      </c>
      <c r="CT211" t="e">
        <f>AND(#REF!,"AAAAABbq/2E=")</f>
        <v>#REF!</v>
      </c>
      <c r="CU211" t="e">
        <f>AND(#REF!,"AAAAABbq/2I=")</f>
        <v>#REF!</v>
      </c>
      <c r="CV211" t="e">
        <f>AND(#REF!,"AAAAABbq/2M=")</f>
        <v>#REF!</v>
      </c>
      <c r="CW211" t="e">
        <f>AND(#REF!,"AAAAABbq/2Q=")</f>
        <v>#REF!</v>
      </c>
      <c r="CX211" t="e">
        <f>AND(#REF!,"AAAAABbq/2U=")</f>
        <v>#REF!</v>
      </c>
      <c r="CY211" t="e">
        <f>AND(#REF!,"AAAAABbq/2Y=")</f>
        <v>#REF!</v>
      </c>
      <c r="CZ211" t="e">
        <f>IF(#REF!,"AAAAABbq/2c=",0)</f>
        <v>#REF!</v>
      </c>
      <c r="DA211" t="e">
        <f>AND(#REF!,"AAAAABbq/2g=")</f>
        <v>#REF!</v>
      </c>
      <c r="DB211" t="e">
        <f>AND(#REF!,"AAAAABbq/2k=")</f>
        <v>#REF!</v>
      </c>
      <c r="DC211" t="e">
        <f>AND(#REF!,"AAAAABbq/2o=")</f>
        <v>#REF!</v>
      </c>
      <c r="DD211" t="e">
        <f>AND(#REF!,"AAAAABbq/2s=")</f>
        <v>#REF!</v>
      </c>
      <c r="DE211" t="e">
        <f>AND(#REF!,"AAAAABbq/2w=")</f>
        <v>#REF!</v>
      </c>
      <c r="DF211" t="e">
        <f>AND(#REF!,"AAAAABbq/20=")</f>
        <v>#REF!</v>
      </c>
      <c r="DG211" t="e">
        <f>AND(#REF!,"AAAAABbq/24=")</f>
        <v>#REF!</v>
      </c>
      <c r="DH211" t="e">
        <f>AND(#REF!,"AAAAABbq/28=")</f>
        <v>#REF!</v>
      </c>
      <c r="DI211" t="e">
        <f>AND(#REF!,"AAAAABbq/3A=")</f>
        <v>#REF!</v>
      </c>
      <c r="DJ211" t="e">
        <f>AND(#REF!,"AAAAABbq/3E=")</f>
        <v>#REF!</v>
      </c>
      <c r="DK211" t="e">
        <f>IF(#REF!,"AAAAABbq/3I=",0)</f>
        <v>#REF!</v>
      </c>
      <c r="DL211" t="e">
        <f>AND(#REF!,"AAAAABbq/3M=")</f>
        <v>#REF!</v>
      </c>
      <c r="DM211" t="e">
        <f>AND(#REF!,"AAAAABbq/3Q=")</f>
        <v>#REF!</v>
      </c>
      <c r="DN211" t="e">
        <f>AND(#REF!,"AAAAABbq/3U=")</f>
        <v>#REF!</v>
      </c>
      <c r="DO211" t="e">
        <f>AND(#REF!,"AAAAABbq/3Y=")</f>
        <v>#REF!</v>
      </c>
      <c r="DP211" t="e">
        <f>AND(#REF!,"AAAAABbq/3c=")</f>
        <v>#REF!</v>
      </c>
      <c r="DQ211" t="e">
        <f>AND(#REF!,"AAAAABbq/3g=")</f>
        <v>#REF!</v>
      </c>
      <c r="DR211" t="e">
        <f>AND(#REF!,"AAAAABbq/3k=")</f>
        <v>#REF!</v>
      </c>
      <c r="DS211" t="e">
        <f>AND(#REF!,"AAAAABbq/3o=")</f>
        <v>#REF!</v>
      </c>
      <c r="DT211" t="e">
        <f>AND(#REF!,"AAAAABbq/3s=")</f>
        <v>#REF!</v>
      </c>
      <c r="DU211" t="e">
        <f>AND(#REF!,"AAAAABbq/3w=")</f>
        <v>#REF!</v>
      </c>
      <c r="DV211" t="e">
        <f>IF(#REF!,"AAAAABbq/30=",0)</f>
        <v>#REF!</v>
      </c>
      <c r="DW211" t="e">
        <f>AND(#REF!,"AAAAABbq/34=")</f>
        <v>#REF!</v>
      </c>
      <c r="DX211" t="e">
        <f>AND(#REF!,"AAAAABbq/38=")</f>
        <v>#REF!</v>
      </c>
      <c r="DY211" t="e">
        <f>AND(#REF!,"AAAAABbq/4A=")</f>
        <v>#REF!</v>
      </c>
      <c r="DZ211" t="e">
        <f>AND(#REF!,"AAAAABbq/4E=")</f>
        <v>#REF!</v>
      </c>
      <c r="EA211" t="e">
        <f>AND(#REF!,"AAAAABbq/4I=")</f>
        <v>#REF!</v>
      </c>
      <c r="EB211" t="e">
        <f>AND(#REF!,"AAAAABbq/4M=")</f>
        <v>#REF!</v>
      </c>
      <c r="EC211" t="e">
        <f>AND(#REF!,"AAAAABbq/4Q=")</f>
        <v>#REF!</v>
      </c>
      <c r="ED211" t="e">
        <f>AND(#REF!,"AAAAABbq/4U=")</f>
        <v>#REF!</v>
      </c>
      <c r="EE211" t="e">
        <f>AND(#REF!,"AAAAABbq/4Y=")</f>
        <v>#REF!</v>
      </c>
      <c r="EF211" t="e">
        <f>AND(#REF!,"AAAAABbq/4c=")</f>
        <v>#REF!</v>
      </c>
      <c r="EG211" t="e">
        <f>IF(#REF!,"AAAAABbq/4g=",0)</f>
        <v>#REF!</v>
      </c>
      <c r="EH211" t="e">
        <f>AND(#REF!,"AAAAABbq/4k=")</f>
        <v>#REF!</v>
      </c>
      <c r="EI211" t="e">
        <f>AND(#REF!,"AAAAABbq/4o=")</f>
        <v>#REF!</v>
      </c>
      <c r="EJ211" t="e">
        <f>AND(#REF!,"AAAAABbq/4s=")</f>
        <v>#REF!</v>
      </c>
      <c r="EK211" t="e">
        <f>AND(#REF!,"AAAAABbq/4w=")</f>
        <v>#REF!</v>
      </c>
      <c r="EL211" t="e">
        <f>AND(#REF!,"AAAAABbq/40=")</f>
        <v>#REF!</v>
      </c>
      <c r="EM211" t="e">
        <f>AND(#REF!,"AAAAABbq/44=")</f>
        <v>#REF!</v>
      </c>
      <c r="EN211" t="e">
        <f>AND(#REF!,"AAAAABbq/48=")</f>
        <v>#REF!</v>
      </c>
      <c r="EO211" t="e">
        <f>AND(#REF!,"AAAAABbq/5A=")</f>
        <v>#REF!</v>
      </c>
      <c r="EP211" t="e">
        <f>AND(#REF!,"AAAAABbq/5E=")</f>
        <v>#REF!</v>
      </c>
      <c r="EQ211" t="e">
        <f>AND(#REF!,"AAAAABbq/5I=")</f>
        <v>#REF!</v>
      </c>
      <c r="ER211" t="e">
        <f>IF(#REF!,"AAAAABbq/5M=",0)</f>
        <v>#REF!</v>
      </c>
      <c r="ES211" t="e">
        <f>AND(#REF!,"AAAAABbq/5Q=")</f>
        <v>#REF!</v>
      </c>
      <c r="ET211" t="e">
        <f>AND(#REF!,"AAAAABbq/5U=")</f>
        <v>#REF!</v>
      </c>
      <c r="EU211" t="e">
        <f>AND(#REF!,"AAAAABbq/5Y=")</f>
        <v>#REF!</v>
      </c>
      <c r="EV211" t="e">
        <f>AND(#REF!,"AAAAABbq/5c=")</f>
        <v>#REF!</v>
      </c>
      <c r="EW211" t="e">
        <f>AND(#REF!,"AAAAABbq/5g=")</f>
        <v>#REF!</v>
      </c>
      <c r="EX211" t="e">
        <f>AND(#REF!,"AAAAABbq/5k=")</f>
        <v>#REF!</v>
      </c>
      <c r="EY211" t="e">
        <f>AND(#REF!,"AAAAABbq/5o=")</f>
        <v>#REF!</v>
      </c>
      <c r="EZ211" t="e">
        <f>AND(#REF!,"AAAAABbq/5s=")</f>
        <v>#REF!</v>
      </c>
      <c r="FA211" t="e">
        <f>AND(#REF!,"AAAAABbq/5w=")</f>
        <v>#REF!</v>
      </c>
      <c r="FB211" t="e">
        <f>AND(#REF!,"AAAAABbq/50=")</f>
        <v>#REF!</v>
      </c>
      <c r="FC211" t="e">
        <f>IF(#REF!,"AAAAABbq/54=",0)</f>
        <v>#REF!</v>
      </c>
      <c r="FD211" t="e">
        <f>AND(#REF!,"AAAAABbq/58=")</f>
        <v>#REF!</v>
      </c>
      <c r="FE211" t="e">
        <f>AND(#REF!,"AAAAABbq/6A=")</f>
        <v>#REF!</v>
      </c>
      <c r="FF211" t="e">
        <f>AND(#REF!,"AAAAABbq/6E=")</f>
        <v>#REF!</v>
      </c>
      <c r="FG211" t="e">
        <f>AND(#REF!,"AAAAABbq/6I=")</f>
        <v>#REF!</v>
      </c>
      <c r="FH211" t="e">
        <f>AND(#REF!,"AAAAABbq/6M=")</f>
        <v>#REF!</v>
      </c>
      <c r="FI211" t="e">
        <f>AND(#REF!,"AAAAABbq/6Q=")</f>
        <v>#REF!</v>
      </c>
      <c r="FJ211" t="e">
        <f>AND(#REF!,"AAAAABbq/6U=")</f>
        <v>#REF!</v>
      </c>
      <c r="FK211" t="e">
        <f>AND(#REF!,"AAAAABbq/6Y=")</f>
        <v>#REF!</v>
      </c>
      <c r="FL211" t="e">
        <f>AND(#REF!,"AAAAABbq/6c=")</f>
        <v>#REF!</v>
      </c>
      <c r="FM211" t="e">
        <f>AND(#REF!,"AAAAABbq/6g=")</f>
        <v>#REF!</v>
      </c>
      <c r="FN211" t="e">
        <f>IF(#REF!,"AAAAABbq/6k=",0)</f>
        <v>#REF!</v>
      </c>
      <c r="FO211" t="e">
        <f>AND(#REF!,"AAAAABbq/6o=")</f>
        <v>#REF!</v>
      </c>
      <c r="FP211" t="e">
        <f>AND(#REF!,"AAAAABbq/6s=")</f>
        <v>#REF!</v>
      </c>
      <c r="FQ211" t="e">
        <f>AND(#REF!,"AAAAABbq/6w=")</f>
        <v>#REF!</v>
      </c>
      <c r="FR211" t="e">
        <f>AND(#REF!,"AAAAABbq/60=")</f>
        <v>#REF!</v>
      </c>
      <c r="FS211" t="e">
        <f>AND(#REF!,"AAAAABbq/64=")</f>
        <v>#REF!</v>
      </c>
      <c r="FT211" t="e">
        <f>AND(#REF!,"AAAAABbq/68=")</f>
        <v>#REF!</v>
      </c>
      <c r="FU211" t="e">
        <f>AND(#REF!,"AAAAABbq/7A=")</f>
        <v>#REF!</v>
      </c>
      <c r="FV211" t="e">
        <f>AND(#REF!,"AAAAABbq/7E=")</f>
        <v>#REF!</v>
      </c>
      <c r="FW211" t="e">
        <f>AND(#REF!,"AAAAABbq/7I=")</f>
        <v>#REF!</v>
      </c>
      <c r="FX211" t="e">
        <f>AND(#REF!,"AAAAABbq/7M=")</f>
        <v>#REF!</v>
      </c>
      <c r="FY211" t="e">
        <f>IF(#REF!,"AAAAABbq/7Q=",0)</f>
        <v>#REF!</v>
      </c>
      <c r="FZ211" t="e">
        <f>AND(#REF!,"AAAAABbq/7U=")</f>
        <v>#REF!</v>
      </c>
      <c r="GA211" t="e">
        <f>AND(#REF!,"AAAAABbq/7Y=")</f>
        <v>#REF!</v>
      </c>
      <c r="GB211" t="e">
        <f>AND(#REF!,"AAAAABbq/7c=")</f>
        <v>#REF!</v>
      </c>
      <c r="GC211" t="e">
        <f>AND(#REF!,"AAAAABbq/7g=")</f>
        <v>#REF!</v>
      </c>
      <c r="GD211" t="e">
        <f>AND(#REF!,"AAAAABbq/7k=")</f>
        <v>#REF!</v>
      </c>
      <c r="GE211" t="e">
        <f>AND(#REF!,"AAAAABbq/7o=")</f>
        <v>#REF!</v>
      </c>
      <c r="GF211" t="e">
        <f>AND(#REF!,"AAAAABbq/7s=")</f>
        <v>#REF!</v>
      </c>
      <c r="GG211" t="e">
        <f>AND(#REF!,"AAAAABbq/7w=")</f>
        <v>#REF!</v>
      </c>
      <c r="GH211" t="e">
        <f>AND(#REF!,"AAAAABbq/70=")</f>
        <v>#REF!</v>
      </c>
      <c r="GI211" t="e">
        <f>AND(#REF!,"AAAAABbq/74=")</f>
        <v>#REF!</v>
      </c>
      <c r="GJ211" t="e">
        <f>IF(#REF!,"AAAAABbq/78=",0)</f>
        <v>#REF!</v>
      </c>
      <c r="GK211" t="e">
        <f>AND(#REF!,"AAAAABbq/8A=")</f>
        <v>#REF!</v>
      </c>
      <c r="GL211" t="e">
        <f>AND(#REF!,"AAAAABbq/8E=")</f>
        <v>#REF!</v>
      </c>
      <c r="GM211" t="e">
        <f>AND(#REF!,"AAAAABbq/8I=")</f>
        <v>#REF!</v>
      </c>
      <c r="GN211" t="e">
        <f>AND(#REF!,"AAAAABbq/8M=")</f>
        <v>#REF!</v>
      </c>
      <c r="GO211" t="e">
        <f>AND(#REF!,"AAAAABbq/8Q=")</f>
        <v>#REF!</v>
      </c>
      <c r="GP211" t="e">
        <f>AND(#REF!,"AAAAABbq/8U=")</f>
        <v>#REF!</v>
      </c>
      <c r="GQ211" t="e">
        <f>AND(#REF!,"AAAAABbq/8Y=")</f>
        <v>#REF!</v>
      </c>
      <c r="GR211" t="e">
        <f>AND(#REF!,"AAAAABbq/8c=")</f>
        <v>#REF!</v>
      </c>
      <c r="GS211" t="e">
        <f>AND(#REF!,"AAAAABbq/8g=")</f>
        <v>#REF!</v>
      </c>
      <c r="GT211" t="e">
        <f>AND(#REF!,"AAAAABbq/8k=")</f>
        <v>#REF!</v>
      </c>
      <c r="GU211" t="e">
        <f>IF(#REF!,"AAAAABbq/8o=",0)</f>
        <v>#REF!</v>
      </c>
      <c r="GV211" t="e">
        <f>AND(#REF!,"AAAAABbq/8s=")</f>
        <v>#REF!</v>
      </c>
      <c r="GW211" t="e">
        <f>AND(#REF!,"AAAAABbq/8w=")</f>
        <v>#REF!</v>
      </c>
      <c r="GX211" t="e">
        <f>AND(#REF!,"AAAAABbq/80=")</f>
        <v>#REF!</v>
      </c>
      <c r="GY211" t="e">
        <f>AND(#REF!,"AAAAABbq/84=")</f>
        <v>#REF!</v>
      </c>
      <c r="GZ211" t="e">
        <f>AND(#REF!,"AAAAABbq/88=")</f>
        <v>#REF!</v>
      </c>
      <c r="HA211" t="e">
        <f>AND(#REF!,"AAAAABbq/9A=")</f>
        <v>#REF!</v>
      </c>
      <c r="HB211" t="e">
        <f>AND(#REF!,"AAAAABbq/9E=")</f>
        <v>#REF!</v>
      </c>
      <c r="HC211" t="e">
        <f>AND(#REF!,"AAAAABbq/9I=")</f>
        <v>#REF!</v>
      </c>
      <c r="HD211" t="e">
        <f>AND(#REF!,"AAAAABbq/9M=")</f>
        <v>#REF!</v>
      </c>
      <c r="HE211" t="e">
        <f>AND(#REF!,"AAAAABbq/9Q=")</f>
        <v>#REF!</v>
      </c>
      <c r="HF211" t="e">
        <f>IF(#REF!,"AAAAABbq/9U=",0)</f>
        <v>#REF!</v>
      </c>
      <c r="HG211" t="e">
        <f>AND(#REF!,"AAAAABbq/9Y=")</f>
        <v>#REF!</v>
      </c>
      <c r="HH211" t="e">
        <f>AND(#REF!,"AAAAABbq/9c=")</f>
        <v>#REF!</v>
      </c>
      <c r="HI211" t="e">
        <f>AND(#REF!,"AAAAABbq/9g=")</f>
        <v>#REF!</v>
      </c>
      <c r="HJ211" t="e">
        <f>AND(#REF!,"AAAAABbq/9k=")</f>
        <v>#REF!</v>
      </c>
      <c r="HK211" t="e">
        <f>AND(#REF!,"AAAAABbq/9o=")</f>
        <v>#REF!</v>
      </c>
      <c r="HL211" t="e">
        <f>AND(#REF!,"AAAAABbq/9s=")</f>
        <v>#REF!</v>
      </c>
      <c r="HM211" t="e">
        <f>AND(#REF!,"AAAAABbq/9w=")</f>
        <v>#REF!</v>
      </c>
      <c r="HN211" t="e">
        <f>AND(#REF!,"AAAAABbq/90=")</f>
        <v>#REF!</v>
      </c>
      <c r="HO211" t="e">
        <f>AND(#REF!,"AAAAABbq/94=")</f>
        <v>#REF!</v>
      </c>
      <c r="HP211" t="e">
        <f>AND(#REF!,"AAAAABbq/98=")</f>
        <v>#REF!</v>
      </c>
      <c r="HQ211" t="e">
        <f>IF(#REF!,"AAAAABbq/+A=",0)</f>
        <v>#REF!</v>
      </c>
      <c r="HR211" t="e">
        <f>AND(#REF!,"AAAAABbq/+E=")</f>
        <v>#REF!</v>
      </c>
      <c r="HS211" t="e">
        <f>AND(#REF!,"AAAAABbq/+I=")</f>
        <v>#REF!</v>
      </c>
      <c r="HT211" t="e">
        <f>AND(#REF!,"AAAAABbq/+M=")</f>
        <v>#REF!</v>
      </c>
      <c r="HU211" t="e">
        <f>AND(#REF!,"AAAAABbq/+Q=")</f>
        <v>#REF!</v>
      </c>
      <c r="HV211" t="e">
        <f>AND(#REF!,"AAAAABbq/+U=")</f>
        <v>#REF!</v>
      </c>
      <c r="HW211" t="e">
        <f>AND(#REF!,"AAAAABbq/+Y=")</f>
        <v>#REF!</v>
      </c>
      <c r="HX211" t="e">
        <f>AND(#REF!,"AAAAABbq/+c=")</f>
        <v>#REF!</v>
      </c>
      <c r="HY211" t="e">
        <f>AND(#REF!,"AAAAABbq/+g=")</f>
        <v>#REF!</v>
      </c>
      <c r="HZ211" t="e">
        <f>AND(#REF!,"AAAAABbq/+k=")</f>
        <v>#REF!</v>
      </c>
      <c r="IA211" t="e">
        <f>AND(#REF!,"AAAAABbq/+o=")</f>
        <v>#REF!</v>
      </c>
      <c r="IB211" t="e">
        <f>IF(#REF!,"AAAAABbq/+s=",0)</f>
        <v>#REF!</v>
      </c>
      <c r="IC211" t="e">
        <f>AND(#REF!,"AAAAABbq/+w=")</f>
        <v>#REF!</v>
      </c>
      <c r="ID211" t="e">
        <f>AND(#REF!,"AAAAABbq/+0=")</f>
        <v>#REF!</v>
      </c>
      <c r="IE211" t="e">
        <f>AND(#REF!,"AAAAABbq/+4=")</f>
        <v>#REF!</v>
      </c>
      <c r="IF211" t="e">
        <f>AND(#REF!,"AAAAABbq/+8=")</f>
        <v>#REF!</v>
      </c>
      <c r="IG211" t="e">
        <f>AND(#REF!,"AAAAABbq//A=")</f>
        <v>#REF!</v>
      </c>
      <c r="IH211" t="e">
        <f>AND(#REF!,"AAAAABbq//E=")</f>
        <v>#REF!</v>
      </c>
      <c r="II211" t="e">
        <f>AND(#REF!,"AAAAABbq//I=")</f>
        <v>#REF!</v>
      </c>
      <c r="IJ211" t="e">
        <f>AND(#REF!,"AAAAABbq//M=")</f>
        <v>#REF!</v>
      </c>
      <c r="IK211" t="e">
        <f>AND(#REF!,"AAAAABbq//Q=")</f>
        <v>#REF!</v>
      </c>
      <c r="IL211" t="e">
        <f>AND(#REF!,"AAAAABbq//U=")</f>
        <v>#REF!</v>
      </c>
      <c r="IM211" t="e">
        <f>IF(#REF!,"AAAAABbq//Y=",0)</f>
        <v>#REF!</v>
      </c>
      <c r="IN211" t="e">
        <f>AND(#REF!,"AAAAABbq//c=")</f>
        <v>#REF!</v>
      </c>
      <c r="IO211" t="e">
        <f>AND(#REF!,"AAAAABbq//g=")</f>
        <v>#REF!</v>
      </c>
      <c r="IP211" t="e">
        <f>AND(#REF!,"AAAAABbq//k=")</f>
        <v>#REF!</v>
      </c>
      <c r="IQ211" t="e">
        <f>AND(#REF!,"AAAAABbq//o=")</f>
        <v>#REF!</v>
      </c>
      <c r="IR211" t="e">
        <f>AND(#REF!,"AAAAABbq//s=")</f>
        <v>#REF!</v>
      </c>
      <c r="IS211" t="e">
        <f>AND(#REF!,"AAAAABbq//w=")</f>
        <v>#REF!</v>
      </c>
      <c r="IT211" t="e">
        <f>AND(#REF!,"AAAAABbq//0=")</f>
        <v>#REF!</v>
      </c>
      <c r="IU211" t="e">
        <f>AND(#REF!,"AAAAABbq//4=")</f>
        <v>#REF!</v>
      </c>
      <c r="IV211" t="e">
        <f>AND(#REF!,"AAAAABbq//8=")</f>
        <v>#REF!</v>
      </c>
    </row>
    <row r="212" spans="1:256" x14ac:dyDescent="0.25">
      <c r="A212" t="e">
        <f>AND(#REF!,"AAAAACv3YwA=")</f>
        <v>#REF!</v>
      </c>
      <c r="B212" t="e">
        <f>IF(#REF!,"AAAAACv3YwE=",0)</f>
        <v>#REF!</v>
      </c>
      <c r="C212" t="e">
        <f>AND(#REF!,"AAAAACv3YwI=")</f>
        <v>#REF!</v>
      </c>
      <c r="D212" t="e">
        <f>AND(#REF!,"AAAAACv3YwM=")</f>
        <v>#REF!</v>
      </c>
      <c r="E212" t="e">
        <f>AND(#REF!,"AAAAACv3YwQ=")</f>
        <v>#REF!</v>
      </c>
      <c r="F212" t="e">
        <f>AND(#REF!,"AAAAACv3YwU=")</f>
        <v>#REF!</v>
      </c>
      <c r="G212" t="e">
        <f>AND(#REF!,"AAAAACv3YwY=")</f>
        <v>#REF!</v>
      </c>
      <c r="H212" t="e">
        <f>AND(#REF!,"AAAAACv3Ywc=")</f>
        <v>#REF!</v>
      </c>
      <c r="I212" t="e">
        <f>AND(#REF!,"AAAAACv3Ywg=")</f>
        <v>#REF!</v>
      </c>
      <c r="J212" t="e">
        <f>AND(#REF!,"AAAAACv3Ywk=")</f>
        <v>#REF!</v>
      </c>
      <c r="K212" t="e">
        <f>AND(#REF!,"AAAAACv3Ywo=")</f>
        <v>#REF!</v>
      </c>
      <c r="L212" t="e">
        <f>AND(#REF!,"AAAAACv3Yws=")</f>
        <v>#REF!</v>
      </c>
      <c r="M212" t="e">
        <f>IF(#REF!,"AAAAACv3Yww=",0)</f>
        <v>#REF!</v>
      </c>
      <c r="N212" t="e">
        <f>AND(#REF!,"AAAAACv3Yw0=")</f>
        <v>#REF!</v>
      </c>
      <c r="O212" t="e">
        <f>AND(#REF!,"AAAAACv3Yw4=")</f>
        <v>#REF!</v>
      </c>
      <c r="P212" t="e">
        <f>AND(#REF!,"AAAAACv3Yw8=")</f>
        <v>#REF!</v>
      </c>
      <c r="Q212" t="e">
        <f>AND(#REF!,"AAAAACv3YxA=")</f>
        <v>#REF!</v>
      </c>
      <c r="R212" t="e">
        <f>AND(#REF!,"AAAAACv3YxE=")</f>
        <v>#REF!</v>
      </c>
      <c r="S212" t="e">
        <f>AND(#REF!,"AAAAACv3YxI=")</f>
        <v>#REF!</v>
      </c>
      <c r="T212" t="e">
        <f>AND(#REF!,"AAAAACv3YxM=")</f>
        <v>#REF!</v>
      </c>
      <c r="U212" t="e">
        <f>AND(#REF!,"AAAAACv3YxQ=")</f>
        <v>#REF!</v>
      </c>
      <c r="V212" t="e">
        <f>AND(#REF!,"AAAAACv3YxU=")</f>
        <v>#REF!</v>
      </c>
      <c r="W212" t="e">
        <f>AND(#REF!,"AAAAACv3YxY=")</f>
        <v>#REF!</v>
      </c>
      <c r="X212" t="e">
        <f>IF(#REF!,"AAAAACv3Yxc=",0)</f>
        <v>#REF!</v>
      </c>
      <c r="Y212" t="e">
        <f>AND(#REF!,"AAAAACv3Yxg=")</f>
        <v>#REF!</v>
      </c>
      <c r="Z212" t="e">
        <f>AND(#REF!,"AAAAACv3Yxk=")</f>
        <v>#REF!</v>
      </c>
      <c r="AA212" t="e">
        <f>AND(#REF!,"AAAAACv3Yxo=")</f>
        <v>#REF!</v>
      </c>
      <c r="AB212" t="e">
        <f>AND(#REF!,"AAAAACv3Yxs=")</f>
        <v>#REF!</v>
      </c>
      <c r="AC212" t="e">
        <f>AND(#REF!,"AAAAACv3Yxw=")</f>
        <v>#REF!</v>
      </c>
      <c r="AD212" t="e">
        <f>AND(#REF!,"AAAAACv3Yx0=")</f>
        <v>#REF!</v>
      </c>
      <c r="AE212" t="e">
        <f>AND(#REF!,"AAAAACv3Yx4=")</f>
        <v>#REF!</v>
      </c>
      <c r="AF212" t="e">
        <f>AND(#REF!,"AAAAACv3Yx8=")</f>
        <v>#REF!</v>
      </c>
      <c r="AG212" t="e">
        <f>AND(#REF!,"AAAAACv3YyA=")</f>
        <v>#REF!</v>
      </c>
      <c r="AH212" t="e">
        <f>AND(#REF!,"AAAAACv3YyE=")</f>
        <v>#REF!</v>
      </c>
      <c r="AI212" t="e">
        <f>IF(#REF!,"AAAAACv3YyI=",0)</f>
        <v>#REF!</v>
      </c>
      <c r="AJ212" t="e">
        <f>AND(#REF!,"AAAAACv3YyM=")</f>
        <v>#REF!</v>
      </c>
      <c r="AK212" t="e">
        <f>AND(#REF!,"AAAAACv3YyQ=")</f>
        <v>#REF!</v>
      </c>
      <c r="AL212" t="e">
        <f>AND(#REF!,"AAAAACv3YyU=")</f>
        <v>#REF!</v>
      </c>
      <c r="AM212" t="e">
        <f>AND(#REF!,"AAAAACv3YyY=")</f>
        <v>#REF!</v>
      </c>
      <c r="AN212" t="e">
        <f>AND(#REF!,"AAAAACv3Yyc=")</f>
        <v>#REF!</v>
      </c>
      <c r="AO212" t="e">
        <f>AND(#REF!,"AAAAACv3Yyg=")</f>
        <v>#REF!</v>
      </c>
      <c r="AP212" t="e">
        <f>AND(#REF!,"AAAAACv3Yyk=")</f>
        <v>#REF!</v>
      </c>
      <c r="AQ212" t="e">
        <f>AND(#REF!,"AAAAACv3Yyo=")</f>
        <v>#REF!</v>
      </c>
      <c r="AR212" t="e">
        <f>AND(#REF!,"AAAAACv3Yys=")</f>
        <v>#REF!</v>
      </c>
      <c r="AS212" t="e">
        <f>AND(#REF!,"AAAAACv3Yyw=")</f>
        <v>#REF!</v>
      </c>
      <c r="AT212" t="e">
        <f>IF(#REF!,"AAAAACv3Yy0=",0)</f>
        <v>#REF!</v>
      </c>
      <c r="AU212" t="e">
        <f>AND(#REF!,"AAAAACv3Yy4=")</f>
        <v>#REF!</v>
      </c>
      <c r="AV212" t="e">
        <f>AND(#REF!,"AAAAACv3Yy8=")</f>
        <v>#REF!</v>
      </c>
      <c r="AW212" t="e">
        <f>AND(#REF!,"AAAAACv3YzA=")</f>
        <v>#REF!</v>
      </c>
      <c r="AX212" t="e">
        <f>AND(#REF!,"AAAAACv3YzE=")</f>
        <v>#REF!</v>
      </c>
      <c r="AY212" t="e">
        <f>AND(#REF!,"AAAAACv3YzI=")</f>
        <v>#REF!</v>
      </c>
      <c r="AZ212" t="e">
        <f>AND(#REF!,"AAAAACv3YzM=")</f>
        <v>#REF!</v>
      </c>
      <c r="BA212" t="e">
        <f>AND(#REF!,"AAAAACv3YzQ=")</f>
        <v>#REF!</v>
      </c>
      <c r="BB212" t="e">
        <f>AND(#REF!,"AAAAACv3YzU=")</f>
        <v>#REF!</v>
      </c>
      <c r="BC212" t="e">
        <f>AND(#REF!,"AAAAACv3YzY=")</f>
        <v>#REF!</v>
      </c>
      <c r="BD212" t="e">
        <f>AND(#REF!,"AAAAACv3Yzc=")</f>
        <v>#REF!</v>
      </c>
      <c r="BE212" t="e">
        <f>IF(#REF!,"AAAAACv3Yzg=",0)</f>
        <v>#REF!</v>
      </c>
      <c r="BF212" t="e">
        <f>AND(#REF!,"AAAAACv3Yzk=")</f>
        <v>#REF!</v>
      </c>
      <c r="BG212" t="e">
        <f>AND(#REF!,"AAAAACv3Yzo=")</f>
        <v>#REF!</v>
      </c>
      <c r="BH212" t="e">
        <f>AND(#REF!,"AAAAACv3Yzs=")</f>
        <v>#REF!</v>
      </c>
      <c r="BI212" t="e">
        <f>AND(#REF!,"AAAAACv3Yzw=")</f>
        <v>#REF!</v>
      </c>
      <c r="BJ212" t="e">
        <f>AND(#REF!,"AAAAACv3Yz0=")</f>
        <v>#REF!</v>
      </c>
      <c r="BK212" t="e">
        <f>AND(#REF!,"AAAAACv3Yz4=")</f>
        <v>#REF!</v>
      </c>
      <c r="BL212" t="e">
        <f>AND(#REF!,"AAAAACv3Yz8=")</f>
        <v>#REF!</v>
      </c>
      <c r="BM212" t="e">
        <f>AND(#REF!,"AAAAACv3Y0A=")</f>
        <v>#REF!</v>
      </c>
      <c r="BN212" t="e">
        <f>AND(#REF!,"AAAAACv3Y0E=")</f>
        <v>#REF!</v>
      </c>
      <c r="BO212" t="e">
        <f>AND(#REF!,"AAAAACv3Y0I=")</f>
        <v>#REF!</v>
      </c>
      <c r="BP212" t="e">
        <f>IF(#REF!,"AAAAACv3Y0M=",0)</f>
        <v>#REF!</v>
      </c>
      <c r="BQ212" t="e">
        <f>AND(#REF!,"AAAAACv3Y0Q=")</f>
        <v>#REF!</v>
      </c>
      <c r="BR212" t="e">
        <f>AND(#REF!,"AAAAACv3Y0U=")</f>
        <v>#REF!</v>
      </c>
      <c r="BS212" t="e">
        <f>AND(#REF!,"AAAAACv3Y0Y=")</f>
        <v>#REF!</v>
      </c>
      <c r="BT212" t="e">
        <f>AND(#REF!,"AAAAACv3Y0c=")</f>
        <v>#REF!</v>
      </c>
      <c r="BU212" t="e">
        <f>AND(#REF!,"AAAAACv3Y0g=")</f>
        <v>#REF!</v>
      </c>
      <c r="BV212" t="e">
        <f>AND(#REF!,"AAAAACv3Y0k=")</f>
        <v>#REF!</v>
      </c>
      <c r="BW212" t="e">
        <f>AND(#REF!,"AAAAACv3Y0o=")</f>
        <v>#REF!</v>
      </c>
      <c r="BX212" t="e">
        <f>AND(#REF!,"AAAAACv3Y0s=")</f>
        <v>#REF!</v>
      </c>
      <c r="BY212" t="e">
        <f>AND(#REF!,"AAAAACv3Y0w=")</f>
        <v>#REF!</v>
      </c>
      <c r="BZ212" t="e">
        <f>AND(#REF!,"AAAAACv3Y00=")</f>
        <v>#REF!</v>
      </c>
      <c r="CA212" t="e">
        <f>IF(#REF!,"AAAAACv3Y04=",0)</f>
        <v>#REF!</v>
      </c>
      <c r="CB212" t="e">
        <f>AND(#REF!,"AAAAACv3Y08=")</f>
        <v>#REF!</v>
      </c>
      <c r="CC212" t="e">
        <f>AND(#REF!,"AAAAACv3Y1A=")</f>
        <v>#REF!</v>
      </c>
      <c r="CD212" t="e">
        <f>AND(#REF!,"AAAAACv3Y1E=")</f>
        <v>#REF!</v>
      </c>
      <c r="CE212" t="e">
        <f>AND(#REF!,"AAAAACv3Y1I=")</f>
        <v>#REF!</v>
      </c>
      <c r="CF212" t="e">
        <f>AND(#REF!,"AAAAACv3Y1M=")</f>
        <v>#REF!</v>
      </c>
      <c r="CG212" t="e">
        <f>AND(#REF!,"AAAAACv3Y1Q=")</f>
        <v>#REF!</v>
      </c>
      <c r="CH212" t="e">
        <f>AND(#REF!,"AAAAACv3Y1U=")</f>
        <v>#REF!</v>
      </c>
      <c r="CI212" t="e">
        <f>AND(#REF!,"AAAAACv3Y1Y=")</f>
        <v>#REF!</v>
      </c>
      <c r="CJ212" t="e">
        <f>AND(#REF!,"AAAAACv3Y1c=")</f>
        <v>#REF!</v>
      </c>
      <c r="CK212" t="e">
        <f>AND(#REF!,"AAAAACv3Y1g=")</f>
        <v>#REF!</v>
      </c>
      <c r="CL212" t="e">
        <f>IF(#REF!,"AAAAACv3Y1k=",0)</f>
        <v>#REF!</v>
      </c>
      <c r="CM212" t="e">
        <f>AND(#REF!,"AAAAACv3Y1o=")</f>
        <v>#REF!</v>
      </c>
      <c r="CN212" t="e">
        <f>AND(#REF!,"AAAAACv3Y1s=")</f>
        <v>#REF!</v>
      </c>
      <c r="CO212" t="e">
        <f>AND(#REF!,"AAAAACv3Y1w=")</f>
        <v>#REF!</v>
      </c>
      <c r="CP212" t="e">
        <f>AND(#REF!,"AAAAACv3Y10=")</f>
        <v>#REF!</v>
      </c>
      <c r="CQ212" t="e">
        <f>AND(#REF!,"AAAAACv3Y14=")</f>
        <v>#REF!</v>
      </c>
      <c r="CR212" t="e">
        <f>AND(#REF!,"AAAAACv3Y18=")</f>
        <v>#REF!</v>
      </c>
      <c r="CS212" t="e">
        <f>AND(#REF!,"AAAAACv3Y2A=")</f>
        <v>#REF!</v>
      </c>
      <c r="CT212" t="e">
        <f>AND(#REF!,"AAAAACv3Y2E=")</f>
        <v>#REF!</v>
      </c>
      <c r="CU212" t="e">
        <f>AND(#REF!,"AAAAACv3Y2I=")</f>
        <v>#REF!</v>
      </c>
      <c r="CV212" t="e">
        <f>AND(#REF!,"AAAAACv3Y2M=")</f>
        <v>#REF!</v>
      </c>
      <c r="CW212" t="e">
        <f>IF(#REF!,"AAAAACv3Y2Q=",0)</f>
        <v>#REF!</v>
      </c>
      <c r="CX212" t="e">
        <f>AND(#REF!,"AAAAACv3Y2U=")</f>
        <v>#REF!</v>
      </c>
      <c r="CY212" t="e">
        <f>AND(#REF!,"AAAAACv3Y2Y=")</f>
        <v>#REF!</v>
      </c>
      <c r="CZ212" t="e">
        <f>AND(#REF!,"AAAAACv3Y2c=")</f>
        <v>#REF!</v>
      </c>
      <c r="DA212" t="e">
        <f>AND(#REF!,"AAAAACv3Y2g=")</f>
        <v>#REF!</v>
      </c>
      <c r="DB212" t="e">
        <f>AND(#REF!,"AAAAACv3Y2k=")</f>
        <v>#REF!</v>
      </c>
      <c r="DC212" t="e">
        <f>AND(#REF!,"AAAAACv3Y2o=")</f>
        <v>#REF!</v>
      </c>
      <c r="DD212" t="e">
        <f>AND(#REF!,"AAAAACv3Y2s=")</f>
        <v>#REF!</v>
      </c>
      <c r="DE212" t="e">
        <f>AND(#REF!,"AAAAACv3Y2w=")</f>
        <v>#REF!</v>
      </c>
      <c r="DF212" t="e">
        <f>AND(#REF!,"AAAAACv3Y20=")</f>
        <v>#REF!</v>
      </c>
      <c r="DG212" t="e">
        <f>AND(#REF!,"AAAAACv3Y24=")</f>
        <v>#REF!</v>
      </c>
      <c r="DH212" t="e">
        <f>IF(#REF!,"AAAAACv3Y28=",0)</f>
        <v>#REF!</v>
      </c>
      <c r="DI212" t="e">
        <f>AND(#REF!,"AAAAACv3Y3A=")</f>
        <v>#REF!</v>
      </c>
      <c r="DJ212" t="e">
        <f>AND(#REF!,"AAAAACv3Y3E=")</f>
        <v>#REF!</v>
      </c>
      <c r="DK212" t="e">
        <f>AND(#REF!,"AAAAACv3Y3I=")</f>
        <v>#REF!</v>
      </c>
      <c r="DL212" t="e">
        <f>AND(#REF!,"AAAAACv3Y3M=")</f>
        <v>#REF!</v>
      </c>
      <c r="DM212" t="e">
        <f>AND(#REF!,"AAAAACv3Y3Q=")</f>
        <v>#REF!</v>
      </c>
      <c r="DN212" t="e">
        <f>AND(#REF!,"AAAAACv3Y3U=")</f>
        <v>#REF!</v>
      </c>
      <c r="DO212" t="e">
        <f>AND(#REF!,"AAAAACv3Y3Y=")</f>
        <v>#REF!</v>
      </c>
      <c r="DP212" t="e">
        <f>AND(#REF!,"AAAAACv3Y3c=")</f>
        <v>#REF!</v>
      </c>
      <c r="DQ212" t="e">
        <f>AND(#REF!,"AAAAACv3Y3g=")</f>
        <v>#REF!</v>
      </c>
      <c r="DR212" t="e">
        <f>AND(#REF!,"AAAAACv3Y3k=")</f>
        <v>#REF!</v>
      </c>
      <c r="DS212" t="e">
        <f>IF(#REF!,"AAAAACv3Y3o=",0)</f>
        <v>#REF!</v>
      </c>
      <c r="DT212" t="e">
        <f>AND(#REF!,"AAAAACv3Y3s=")</f>
        <v>#REF!</v>
      </c>
      <c r="DU212" t="e">
        <f>AND(#REF!,"AAAAACv3Y3w=")</f>
        <v>#REF!</v>
      </c>
      <c r="DV212" t="e">
        <f>AND(#REF!,"AAAAACv3Y30=")</f>
        <v>#REF!</v>
      </c>
      <c r="DW212" t="e">
        <f>AND(#REF!,"AAAAACv3Y34=")</f>
        <v>#REF!</v>
      </c>
      <c r="DX212" t="e">
        <f>AND(#REF!,"AAAAACv3Y38=")</f>
        <v>#REF!</v>
      </c>
      <c r="DY212" t="e">
        <f>AND(#REF!,"AAAAACv3Y4A=")</f>
        <v>#REF!</v>
      </c>
      <c r="DZ212" t="e">
        <f>AND(#REF!,"AAAAACv3Y4E=")</f>
        <v>#REF!</v>
      </c>
      <c r="EA212" t="e">
        <f>AND(#REF!,"AAAAACv3Y4I=")</f>
        <v>#REF!</v>
      </c>
      <c r="EB212" t="e">
        <f>AND(#REF!,"AAAAACv3Y4M=")</f>
        <v>#REF!</v>
      </c>
      <c r="EC212" t="e">
        <f>AND(#REF!,"AAAAACv3Y4Q=")</f>
        <v>#REF!</v>
      </c>
      <c r="ED212" t="e">
        <f>IF(#REF!,"AAAAACv3Y4U=",0)</f>
        <v>#REF!</v>
      </c>
      <c r="EE212" t="e">
        <f>AND(#REF!,"AAAAACv3Y4Y=")</f>
        <v>#REF!</v>
      </c>
      <c r="EF212" t="e">
        <f>AND(#REF!,"AAAAACv3Y4c=")</f>
        <v>#REF!</v>
      </c>
      <c r="EG212" t="e">
        <f>AND(#REF!,"AAAAACv3Y4g=")</f>
        <v>#REF!</v>
      </c>
      <c r="EH212" t="e">
        <f>AND(#REF!,"AAAAACv3Y4k=")</f>
        <v>#REF!</v>
      </c>
      <c r="EI212" t="e">
        <f>AND(#REF!,"AAAAACv3Y4o=")</f>
        <v>#REF!</v>
      </c>
      <c r="EJ212" t="e">
        <f>AND(#REF!,"AAAAACv3Y4s=")</f>
        <v>#REF!</v>
      </c>
      <c r="EK212" t="e">
        <f>AND(#REF!,"AAAAACv3Y4w=")</f>
        <v>#REF!</v>
      </c>
      <c r="EL212" t="e">
        <f>AND(#REF!,"AAAAACv3Y40=")</f>
        <v>#REF!</v>
      </c>
      <c r="EM212" t="e">
        <f>AND(#REF!,"AAAAACv3Y44=")</f>
        <v>#REF!</v>
      </c>
      <c r="EN212" t="e">
        <f>AND(#REF!,"AAAAACv3Y48=")</f>
        <v>#REF!</v>
      </c>
      <c r="EO212" t="e">
        <f>IF(#REF!,"AAAAACv3Y5A=",0)</f>
        <v>#REF!</v>
      </c>
      <c r="EP212" t="e">
        <f>AND(#REF!,"AAAAACv3Y5E=")</f>
        <v>#REF!</v>
      </c>
      <c r="EQ212" t="e">
        <f>AND(#REF!,"AAAAACv3Y5I=")</f>
        <v>#REF!</v>
      </c>
      <c r="ER212" t="e">
        <f>AND(#REF!,"AAAAACv3Y5M=")</f>
        <v>#REF!</v>
      </c>
      <c r="ES212" t="e">
        <f>AND(#REF!,"AAAAACv3Y5Q=")</f>
        <v>#REF!</v>
      </c>
      <c r="ET212" t="e">
        <f>AND(#REF!,"AAAAACv3Y5U=")</f>
        <v>#REF!</v>
      </c>
      <c r="EU212" t="e">
        <f>AND(#REF!,"AAAAACv3Y5Y=")</f>
        <v>#REF!</v>
      </c>
      <c r="EV212" t="e">
        <f>AND(#REF!,"AAAAACv3Y5c=")</f>
        <v>#REF!</v>
      </c>
      <c r="EW212" t="e">
        <f>AND(#REF!,"AAAAACv3Y5g=")</f>
        <v>#REF!</v>
      </c>
      <c r="EX212" t="e">
        <f>AND(#REF!,"AAAAACv3Y5k=")</f>
        <v>#REF!</v>
      </c>
      <c r="EY212" t="e">
        <f>AND(#REF!,"AAAAACv3Y5o=")</f>
        <v>#REF!</v>
      </c>
      <c r="EZ212" t="e">
        <f>IF(#REF!,"AAAAACv3Y5s=",0)</f>
        <v>#REF!</v>
      </c>
      <c r="FA212" t="e">
        <f>AND(#REF!,"AAAAACv3Y5w=")</f>
        <v>#REF!</v>
      </c>
      <c r="FB212" t="e">
        <f>AND(#REF!,"AAAAACv3Y50=")</f>
        <v>#REF!</v>
      </c>
      <c r="FC212" t="e">
        <f>AND(#REF!,"AAAAACv3Y54=")</f>
        <v>#REF!</v>
      </c>
      <c r="FD212" t="e">
        <f>AND(#REF!,"AAAAACv3Y58=")</f>
        <v>#REF!</v>
      </c>
      <c r="FE212" t="e">
        <f>AND(#REF!,"AAAAACv3Y6A=")</f>
        <v>#REF!</v>
      </c>
      <c r="FF212" t="e">
        <f>AND(#REF!,"AAAAACv3Y6E=")</f>
        <v>#REF!</v>
      </c>
      <c r="FG212" t="e">
        <f>AND(#REF!,"AAAAACv3Y6I=")</f>
        <v>#REF!</v>
      </c>
      <c r="FH212" t="e">
        <f>AND(#REF!,"AAAAACv3Y6M=")</f>
        <v>#REF!</v>
      </c>
      <c r="FI212" t="e">
        <f>AND(#REF!,"AAAAACv3Y6Q=")</f>
        <v>#REF!</v>
      </c>
      <c r="FJ212" t="e">
        <f>AND(#REF!,"AAAAACv3Y6U=")</f>
        <v>#REF!</v>
      </c>
      <c r="FK212" t="e">
        <f>IF(#REF!,"AAAAACv3Y6Y=",0)</f>
        <v>#REF!</v>
      </c>
      <c r="FL212" t="e">
        <f>AND(#REF!,"AAAAACv3Y6c=")</f>
        <v>#REF!</v>
      </c>
      <c r="FM212" t="e">
        <f>AND(#REF!,"AAAAACv3Y6g=")</f>
        <v>#REF!</v>
      </c>
      <c r="FN212" t="e">
        <f>AND(#REF!,"AAAAACv3Y6k=")</f>
        <v>#REF!</v>
      </c>
      <c r="FO212" t="e">
        <f>AND(#REF!,"AAAAACv3Y6o=")</f>
        <v>#REF!</v>
      </c>
      <c r="FP212" t="e">
        <f>AND(#REF!,"AAAAACv3Y6s=")</f>
        <v>#REF!</v>
      </c>
      <c r="FQ212" t="e">
        <f>AND(#REF!,"AAAAACv3Y6w=")</f>
        <v>#REF!</v>
      </c>
      <c r="FR212" t="e">
        <f>AND(#REF!,"AAAAACv3Y60=")</f>
        <v>#REF!</v>
      </c>
      <c r="FS212" t="e">
        <f>AND(#REF!,"AAAAACv3Y64=")</f>
        <v>#REF!</v>
      </c>
      <c r="FT212" t="e">
        <f>AND(#REF!,"AAAAACv3Y68=")</f>
        <v>#REF!</v>
      </c>
      <c r="FU212" t="e">
        <f>AND(#REF!,"AAAAACv3Y7A=")</f>
        <v>#REF!</v>
      </c>
      <c r="FV212" t="e">
        <f>IF(#REF!,"AAAAACv3Y7E=",0)</f>
        <v>#REF!</v>
      </c>
      <c r="FW212" t="e">
        <f>AND(#REF!,"AAAAACv3Y7I=")</f>
        <v>#REF!</v>
      </c>
      <c r="FX212" t="e">
        <f>AND(#REF!,"AAAAACv3Y7M=")</f>
        <v>#REF!</v>
      </c>
      <c r="FY212" t="e">
        <f>AND(#REF!,"AAAAACv3Y7Q=")</f>
        <v>#REF!</v>
      </c>
      <c r="FZ212" t="e">
        <f>AND(#REF!,"AAAAACv3Y7U=")</f>
        <v>#REF!</v>
      </c>
      <c r="GA212" t="e">
        <f>AND(#REF!,"AAAAACv3Y7Y=")</f>
        <v>#REF!</v>
      </c>
      <c r="GB212" t="e">
        <f>AND(#REF!,"AAAAACv3Y7c=")</f>
        <v>#REF!</v>
      </c>
      <c r="GC212" t="e">
        <f>AND(#REF!,"AAAAACv3Y7g=")</f>
        <v>#REF!</v>
      </c>
      <c r="GD212" t="e">
        <f>AND(#REF!,"AAAAACv3Y7k=")</f>
        <v>#REF!</v>
      </c>
      <c r="GE212" t="e">
        <f>AND(#REF!,"AAAAACv3Y7o=")</f>
        <v>#REF!</v>
      </c>
      <c r="GF212" t="e">
        <f>AND(#REF!,"AAAAACv3Y7s=")</f>
        <v>#REF!</v>
      </c>
      <c r="GG212" t="e">
        <f>IF(#REF!,"AAAAACv3Y7w=",0)</f>
        <v>#REF!</v>
      </c>
      <c r="GH212" t="e">
        <f>AND(#REF!,"AAAAACv3Y70=")</f>
        <v>#REF!</v>
      </c>
      <c r="GI212" t="e">
        <f>AND(#REF!,"AAAAACv3Y74=")</f>
        <v>#REF!</v>
      </c>
      <c r="GJ212" t="e">
        <f>AND(#REF!,"AAAAACv3Y78=")</f>
        <v>#REF!</v>
      </c>
      <c r="GK212" t="e">
        <f>AND(#REF!,"AAAAACv3Y8A=")</f>
        <v>#REF!</v>
      </c>
      <c r="GL212" t="e">
        <f>AND(#REF!,"AAAAACv3Y8E=")</f>
        <v>#REF!</v>
      </c>
      <c r="GM212" t="e">
        <f>AND(#REF!,"AAAAACv3Y8I=")</f>
        <v>#REF!</v>
      </c>
      <c r="GN212" t="e">
        <f>AND(#REF!,"AAAAACv3Y8M=")</f>
        <v>#REF!</v>
      </c>
      <c r="GO212" t="e">
        <f>AND(#REF!,"AAAAACv3Y8Q=")</f>
        <v>#REF!</v>
      </c>
      <c r="GP212" t="e">
        <f>AND(#REF!,"AAAAACv3Y8U=")</f>
        <v>#REF!</v>
      </c>
      <c r="GQ212" t="e">
        <f>AND(#REF!,"AAAAACv3Y8Y=")</f>
        <v>#REF!</v>
      </c>
      <c r="GR212" t="e">
        <f>IF(#REF!,"AAAAACv3Y8c=",0)</f>
        <v>#REF!</v>
      </c>
      <c r="GS212" t="e">
        <f>AND(#REF!,"AAAAACv3Y8g=")</f>
        <v>#REF!</v>
      </c>
      <c r="GT212" t="e">
        <f>AND(#REF!,"AAAAACv3Y8k=")</f>
        <v>#REF!</v>
      </c>
      <c r="GU212" t="e">
        <f>AND(#REF!,"AAAAACv3Y8o=")</f>
        <v>#REF!</v>
      </c>
      <c r="GV212" t="e">
        <f>AND(#REF!,"AAAAACv3Y8s=")</f>
        <v>#REF!</v>
      </c>
      <c r="GW212" t="e">
        <f>AND(#REF!,"AAAAACv3Y8w=")</f>
        <v>#REF!</v>
      </c>
      <c r="GX212" t="e">
        <f>AND(#REF!,"AAAAACv3Y80=")</f>
        <v>#REF!</v>
      </c>
      <c r="GY212" t="e">
        <f>AND(#REF!,"AAAAACv3Y84=")</f>
        <v>#REF!</v>
      </c>
      <c r="GZ212" t="e">
        <f>AND(#REF!,"AAAAACv3Y88=")</f>
        <v>#REF!</v>
      </c>
      <c r="HA212" t="e">
        <f>AND(#REF!,"AAAAACv3Y9A=")</f>
        <v>#REF!</v>
      </c>
      <c r="HB212" t="e">
        <f>AND(#REF!,"AAAAACv3Y9E=")</f>
        <v>#REF!</v>
      </c>
      <c r="HC212" t="e">
        <f>IF(#REF!,"AAAAACv3Y9I=",0)</f>
        <v>#REF!</v>
      </c>
      <c r="HD212" t="e">
        <f>AND(#REF!,"AAAAACv3Y9M=")</f>
        <v>#REF!</v>
      </c>
      <c r="HE212" t="e">
        <f>AND(#REF!,"AAAAACv3Y9Q=")</f>
        <v>#REF!</v>
      </c>
      <c r="HF212" t="e">
        <f>AND(#REF!,"AAAAACv3Y9U=")</f>
        <v>#REF!</v>
      </c>
      <c r="HG212" t="e">
        <f>AND(#REF!,"AAAAACv3Y9Y=")</f>
        <v>#REF!</v>
      </c>
      <c r="HH212" t="e">
        <f>AND(#REF!,"AAAAACv3Y9c=")</f>
        <v>#REF!</v>
      </c>
      <c r="HI212" t="e">
        <f>AND(#REF!,"AAAAACv3Y9g=")</f>
        <v>#REF!</v>
      </c>
      <c r="HJ212" t="e">
        <f>AND(#REF!,"AAAAACv3Y9k=")</f>
        <v>#REF!</v>
      </c>
      <c r="HK212" t="e">
        <f>AND(#REF!,"AAAAACv3Y9o=")</f>
        <v>#REF!</v>
      </c>
      <c r="HL212" t="e">
        <f>AND(#REF!,"AAAAACv3Y9s=")</f>
        <v>#REF!</v>
      </c>
      <c r="HM212" t="e">
        <f>AND(#REF!,"AAAAACv3Y9w=")</f>
        <v>#REF!</v>
      </c>
      <c r="HN212" t="e">
        <f>IF(#REF!,"AAAAACv3Y90=",0)</f>
        <v>#REF!</v>
      </c>
      <c r="HO212" t="e">
        <f>AND(#REF!,"AAAAACv3Y94=")</f>
        <v>#REF!</v>
      </c>
      <c r="HP212" t="e">
        <f>AND(#REF!,"AAAAACv3Y98=")</f>
        <v>#REF!</v>
      </c>
      <c r="HQ212" t="e">
        <f>AND(#REF!,"AAAAACv3Y+A=")</f>
        <v>#REF!</v>
      </c>
      <c r="HR212" t="e">
        <f>AND(#REF!,"AAAAACv3Y+E=")</f>
        <v>#REF!</v>
      </c>
      <c r="HS212" t="e">
        <f>AND(#REF!,"AAAAACv3Y+I=")</f>
        <v>#REF!</v>
      </c>
      <c r="HT212" t="e">
        <f>AND(#REF!,"AAAAACv3Y+M=")</f>
        <v>#REF!</v>
      </c>
      <c r="HU212" t="e">
        <f>AND(#REF!,"AAAAACv3Y+Q=")</f>
        <v>#REF!</v>
      </c>
      <c r="HV212" t="e">
        <f>AND(#REF!,"AAAAACv3Y+U=")</f>
        <v>#REF!</v>
      </c>
      <c r="HW212" t="e">
        <f>AND(#REF!,"AAAAACv3Y+Y=")</f>
        <v>#REF!</v>
      </c>
      <c r="HX212" t="e">
        <f>AND(#REF!,"AAAAACv3Y+c=")</f>
        <v>#REF!</v>
      </c>
      <c r="HY212" t="e">
        <f>IF(#REF!,"AAAAACv3Y+g=",0)</f>
        <v>#REF!</v>
      </c>
      <c r="HZ212" t="e">
        <f>AND(#REF!,"AAAAACv3Y+k=")</f>
        <v>#REF!</v>
      </c>
      <c r="IA212" t="e">
        <f>AND(#REF!,"AAAAACv3Y+o=")</f>
        <v>#REF!</v>
      </c>
      <c r="IB212" t="e">
        <f>AND(#REF!,"AAAAACv3Y+s=")</f>
        <v>#REF!</v>
      </c>
      <c r="IC212" t="e">
        <f>AND(#REF!,"AAAAACv3Y+w=")</f>
        <v>#REF!</v>
      </c>
      <c r="ID212" t="e">
        <f>AND(#REF!,"AAAAACv3Y+0=")</f>
        <v>#REF!</v>
      </c>
      <c r="IE212" t="e">
        <f>AND(#REF!,"AAAAACv3Y+4=")</f>
        <v>#REF!</v>
      </c>
      <c r="IF212" t="e">
        <f>AND(#REF!,"AAAAACv3Y+8=")</f>
        <v>#REF!</v>
      </c>
      <c r="IG212" t="e">
        <f>AND(#REF!,"AAAAACv3Y/A=")</f>
        <v>#REF!</v>
      </c>
      <c r="IH212" t="e">
        <f>AND(#REF!,"AAAAACv3Y/E=")</f>
        <v>#REF!</v>
      </c>
      <c r="II212" t="e">
        <f>AND(#REF!,"AAAAACv3Y/I=")</f>
        <v>#REF!</v>
      </c>
      <c r="IJ212" t="e">
        <f>IF(#REF!,"AAAAACv3Y/M=",0)</f>
        <v>#REF!</v>
      </c>
      <c r="IK212" t="e">
        <f>AND(#REF!,"AAAAACv3Y/Q=")</f>
        <v>#REF!</v>
      </c>
      <c r="IL212" t="e">
        <f>AND(#REF!,"AAAAACv3Y/U=")</f>
        <v>#REF!</v>
      </c>
      <c r="IM212" t="e">
        <f>AND(#REF!,"AAAAACv3Y/Y=")</f>
        <v>#REF!</v>
      </c>
      <c r="IN212" t="e">
        <f>AND(#REF!,"AAAAACv3Y/c=")</f>
        <v>#REF!</v>
      </c>
      <c r="IO212" t="e">
        <f>AND(#REF!,"AAAAACv3Y/g=")</f>
        <v>#REF!</v>
      </c>
      <c r="IP212" t="e">
        <f>AND(#REF!,"AAAAACv3Y/k=")</f>
        <v>#REF!</v>
      </c>
      <c r="IQ212" t="e">
        <f>AND(#REF!,"AAAAACv3Y/o=")</f>
        <v>#REF!</v>
      </c>
      <c r="IR212" t="e">
        <f>AND(#REF!,"AAAAACv3Y/s=")</f>
        <v>#REF!</v>
      </c>
      <c r="IS212" t="e">
        <f>AND(#REF!,"AAAAACv3Y/w=")</f>
        <v>#REF!</v>
      </c>
      <c r="IT212" t="e">
        <f>AND(#REF!,"AAAAACv3Y/0=")</f>
        <v>#REF!</v>
      </c>
      <c r="IU212" t="e">
        <f>IF(#REF!,"AAAAACv3Y/4=",0)</f>
        <v>#REF!</v>
      </c>
      <c r="IV212" t="e">
        <f>AND(#REF!,"AAAAACv3Y/8=")</f>
        <v>#REF!</v>
      </c>
    </row>
    <row r="213" spans="1:256" x14ac:dyDescent="0.25">
      <c r="A213" t="e">
        <f>AND(#REF!,"AAAAAH9+zQA=")</f>
        <v>#REF!</v>
      </c>
      <c r="B213" t="e">
        <f>AND(#REF!,"AAAAAH9+zQE=")</f>
        <v>#REF!</v>
      </c>
      <c r="C213" t="e">
        <f>AND(#REF!,"AAAAAH9+zQI=")</f>
        <v>#REF!</v>
      </c>
      <c r="D213" t="e">
        <f>AND(#REF!,"AAAAAH9+zQM=")</f>
        <v>#REF!</v>
      </c>
      <c r="E213" t="e">
        <f>AND(#REF!,"AAAAAH9+zQQ=")</f>
        <v>#REF!</v>
      </c>
      <c r="F213" t="e">
        <f>AND(#REF!,"AAAAAH9+zQU=")</f>
        <v>#REF!</v>
      </c>
      <c r="G213" t="e">
        <f>AND(#REF!,"AAAAAH9+zQY=")</f>
        <v>#REF!</v>
      </c>
      <c r="H213" t="e">
        <f>AND(#REF!,"AAAAAH9+zQc=")</f>
        <v>#REF!</v>
      </c>
      <c r="I213" t="e">
        <f>AND(#REF!,"AAAAAH9+zQg=")</f>
        <v>#REF!</v>
      </c>
      <c r="J213" t="e">
        <f>IF(#REF!,"AAAAAH9+zQk=",0)</f>
        <v>#REF!</v>
      </c>
      <c r="K213" t="e">
        <f>AND(#REF!,"AAAAAH9+zQo=")</f>
        <v>#REF!</v>
      </c>
      <c r="L213" t="e">
        <f>AND(#REF!,"AAAAAH9+zQs=")</f>
        <v>#REF!</v>
      </c>
      <c r="M213" t="e">
        <f>AND(#REF!,"AAAAAH9+zQw=")</f>
        <v>#REF!</v>
      </c>
      <c r="N213" t="e">
        <f>AND(#REF!,"AAAAAH9+zQ0=")</f>
        <v>#REF!</v>
      </c>
      <c r="O213" t="e">
        <f>AND(#REF!,"AAAAAH9+zQ4=")</f>
        <v>#REF!</v>
      </c>
      <c r="P213" t="e">
        <f>AND(#REF!,"AAAAAH9+zQ8=")</f>
        <v>#REF!</v>
      </c>
      <c r="Q213" t="e">
        <f>AND(#REF!,"AAAAAH9+zRA=")</f>
        <v>#REF!</v>
      </c>
      <c r="R213" t="e">
        <f>AND(#REF!,"AAAAAH9+zRE=")</f>
        <v>#REF!</v>
      </c>
      <c r="S213" t="e">
        <f>AND(#REF!,"AAAAAH9+zRI=")</f>
        <v>#REF!</v>
      </c>
      <c r="T213" t="e">
        <f>AND(#REF!,"AAAAAH9+zRM=")</f>
        <v>#REF!</v>
      </c>
      <c r="U213" t="e">
        <f>IF(#REF!,"AAAAAH9+zRQ=",0)</f>
        <v>#REF!</v>
      </c>
      <c r="V213" t="e">
        <f>AND(#REF!,"AAAAAH9+zRU=")</f>
        <v>#REF!</v>
      </c>
      <c r="W213" t="e">
        <f>AND(#REF!,"AAAAAH9+zRY=")</f>
        <v>#REF!</v>
      </c>
      <c r="X213" t="e">
        <f>AND(#REF!,"AAAAAH9+zRc=")</f>
        <v>#REF!</v>
      </c>
      <c r="Y213" t="e">
        <f>AND(#REF!,"AAAAAH9+zRg=")</f>
        <v>#REF!</v>
      </c>
      <c r="Z213" t="e">
        <f>AND(#REF!,"AAAAAH9+zRk=")</f>
        <v>#REF!</v>
      </c>
      <c r="AA213" t="e">
        <f>AND(#REF!,"AAAAAH9+zRo=")</f>
        <v>#REF!</v>
      </c>
      <c r="AB213" t="e">
        <f>AND(#REF!,"AAAAAH9+zRs=")</f>
        <v>#REF!</v>
      </c>
      <c r="AC213" t="e">
        <f>AND(#REF!,"AAAAAH9+zRw=")</f>
        <v>#REF!</v>
      </c>
      <c r="AD213" t="e">
        <f>AND(#REF!,"AAAAAH9+zR0=")</f>
        <v>#REF!</v>
      </c>
      <c r="AE213" t="e">
        <f>AND(#REF!,"AAAAAH9+zR4=")</f>
        <v>#REF!</v>
      </c>
      <c r="AF213" t="e">
        <f>IF(#REF!,"AAAAAH9+zR8=",0)</f>
        <v>#REF!</v>
      </c>
      <c r="AG213" t="e">
        <f>AND(#REF!,"AAAAAH9+zSA=")</f>
        <v>#REF!</v>
      </c>
      <c r="AH213" t="e">
        <f>AND(#REF!,"AAAAAH9+zSE=")</f>
        <v>#REF!</v>
      </c>
      <c r="AI213" t="e">
        <f>AND(#REF!,"AAAAAH9+zSI=")</f>
        <v>#REF!</v>
      </c>
      <c r="AJ213" t="e">
        <f>AND(#REF!,"AAAAAH9+zSM=")</f>
        <v>#REF!</v>
      </c>
      <c r="AK213" t="e">
        <f>AND(#REF!,"AAAAAH9+zSQ=")</f>
        <v>#REF!</v>
      </c>
      <c r="AL213" t="e">
        <f>AND(#REF!,"AAAAAH9+zSU=")</f>
        <v>#REF!</v>
      </c>
      <c r="AM213" t="e">
        <f>AND(#REF!,"AAAAAH9+zSY=")</f>
        <v>#REF!</v>
      </c>
      <c r="AN213" t="e">
        <f>AND(#REF!,"AAAAAH9+zSc=")</f>
        <v>#REF!</v>
      </c>
      <c r="AO213" t="e">
        <f>AND(#REF!,"AAAAAH9+zSg=")</f>
        <v>#REF!</v>
      </c>
      <c r="AP213" t="e">
        <f>AND(#REF!,"AAAAAH9+zSk=")</f>
        <v>#REF!</v>
      </c>
      <c r="AQ213" t="e">
        <f>IF(#REF!,"AAAAAH9+zSo=",0)</f>
        <v>#REF!</v>
      </c>
      <c r="AR213" t="e">
        <f>AND(#REF!,"AAAAAH9+zSs=")</f>
        <v>#REF!</v>
      </c>
      <c r="AS213" t="e">
        <f>AND(#REF!,"AAAAAH9+zSw=")</f>
        <v>#REF!</v>
      </c>
      <c r="AT213" t="e">
        <f>AND(#REF!,"AAAAAH9+zS0=")</f>
        <v>#REF!</v>
      </c>
      <c r="AU213" t="e">
        <f>AND(#REF!,"AAAAAH9+zS4=")</f>
        <v>#REF!</v>
      </c>
      <c r="AV213" t="e">
        <f>AND(#REF!,"AAAAAH9+zS8=")</f>
        <v>#REF!</v>
      </c>
      <c r="AW213" t="e">
        <f>AND(#REF!,"AAAAAH9+zTA=")</f>
        <v>#REF!</v>
      </c>
      <c r="AX213" t="e">
        <f>AND(#REF!,"AAAAAH9+zTE=")</f>
        <v>#REF!</v>
      </c>
      <c r="AY213" t="e">
        <f>AND(#REF!,"AAAAAH9+zTI=")</f>
        <v>#REF!</v>
      </c>
      <c r="AZ213" t="e">
        <f>AND(#REF!,"AAAAAH9+zTM=")</f>
        <v>#REF!</v>
      </c>
      <c r="BA213" t="e">
        <f>AND(#REF!,"AAAAAH9+zTQ=")</f>
        <v>#REF!</v>
      </c>
      <c r="BB213" t="e">
        <f>IF(#REF!,"AAAAAH9+zTU=",0)</f>
        <v>#REF!</v>
      </c>
      <c r="BC213" t="e">
        <f>AND(#REF!,"AAAAAH9+zTY=")</f>
        <v>#REF!</v>
      </c>
      <c r="BD213" t="e">
        <f>AND(#REF!,"AAAAAH9+zTc=")</f>
        <v>#REF!</v>
      </c>
      <c r="BE213" t="e">
        <f>AND(#REF!,"AAAAAH9+zTg=")</f>
        <v>#REF!</v>
      </c>
      <c r="BF213" t="e">
        <f>AND(#REF!,"AAAAAH9+zTk=")</f>
        <v>#REF!</v>
      </c>
      <c r="BG213" t="e">
        <f>AND(#REF!,"AAAAAH9+zTo=")</f>
        <v>#REF!</v>
      </c>
      <c r="BH213" t="e">
        <f>AND(#REF!,"AAAAAH9+zTs=")</f>
        <v>#REF!</v>
      </c>
      <c r="BI213" t="e">
        <f>AND(#REF!,"AAAAAH9+zTw=")</f>
        <v>#REF!</v>
      </c>
      <c r="BJ213" t="e">
        <f>AND(#REF!,"AAAAAH9+zT0=")</f>
        <v>#REF!</v>
      </c>
      <c r="BK213" t="e">
        <f>AND(#REF!,"AAAAAH9+zT4=")</f>
        <v>#REF!</v>
      </c>
      <c r="BL213" t="e">
        <f>AND(#REF!,"AAAAAH9+zT8=")</f>
        <v>#REF!</v>
      </c>
      <c r="BM213" t="e">
        <f>IF(#REF!,"AAAAAH9+zUA=",0)</f>
        <v>#REF!</v>
      </c>
      <c r="BN213" t="e">
        <f>AND(#REF!,"AAAAAH9+zUE=")</f>
        <v>#REF!</v>
      </c>
      <c r="BO213" t="e">
        <f>AND(#REF!,"AAAAAH9+zUI=")</f>
        <v>#REF!</v>
      </c>
      <c r="BP213" t="e">
        <f>AND(#REF!,"AAAAAH9+zUM=")</f>
        <v>#REF!</v>
      </c>
      <c r="BQ213" t="e">
        <f>AND(#REF!,"AAAAAH9+zUQ=")</f>
        <v>#REF!</v>
      </c>
      <c r="BR213" t="e">
        <f>AND(#REF!,"AAAAAH9+zUU=")</f>
        <v>#REF!</v>
      </c>
      <c r="BS213" t="e">
        <f>AND(#REF!,"AAAAAH9+zUY=")</f>
        <v>#REF!</v>
      </c>
      <c r="BT213" t="e">
        <f>AND(#REF!,"AAAAAH9+zUc=")</f>
        <v>#REF!</v>
      </c>
      <c r="BU213" t="e">
        <f>AND(#REF!,"AAAAAH9+zUg=")</f>
        <v>#REF!</v>
      </c>
      <c r="BV213" t="e">
        <f>AND(#REF!,"AAAAAH9+zUk=")</f>
        <v>#REF!</v>
      </c>
      <c r="BW213" t="e">
        <f>AND(#REF!,"AAAAAH9+zUo=")</f>
        <v>#REF!</v>
      </c>
      <c r="BX213" t="e">
        <f>IF(#REF!,"AAAAAH9+zUs=",0)</f>
        <v>#REF!</v>
      </c>
      <c r="BY213" t="e">
        <f>AND(#REF!,"AAAAAH9+zUw=")</f>
        <v>#REF!</v>
      </c>
      <c r="BZ213" t="e">
        <f>AND(#REF!,"AAAAAH9+zU0=")</f>
        <v>#REF!</v>
      </c>
      <c r="CA213" t="e">
        <f>AND(#REF!,"AAAAAH9+zU4=")</f>
        <v>#REF!</v>
      </c>
      <c r="CB213" t="e">
        <f>AND(#REF!,"AAAAAH9+zU8=")</f>
        <v>#REF!</v>
      </c>
      <c r="CC213" t="e">
        <f>AND(#REF!,"AAAAAH9+zVA=")</f>
        <v>#REF!</v>
      </c>
      <c r="CD213" t="e">
        <f>AND(#REF!,"AAAAAH9+zVE=")</f>
        <v>#REF!</v>
      </c>
      <c r="CE213" t="e">
        <f>AND(#REF!,"AAAAAH9+zVI=")</f>
        <v>#REF!</v>
      </c>
      <c r="CF213" t="e">
        <f>AND(#REF!,"AAAAAH9+zVM=")</f>
        <v>#REF!</v>
      </c>
      <c r="CG213" t="e">
        <f>AND(#REF!,"AAAAAH9+zVQ=")</f>
        <v>#REF!</v>
      </c>
      <c r="CH213" t="e">
        <f>AND(#REF!,"AAAAAH9+zVU=")</f>
        <v>#REF!</v>
      </c>
      <c r="CI213" t="e">
        <f>IF(#REF!,"AAAAAH9+zVY=",0)</f>
        <v>#REF!</v>
      </c>
      <c r="CJ213" t="e">
        <f>AND(#REF!,"AAAAAH9+zVc=")</f>
        <v>#REF!</v>
      </c>
      <c r="CK213" t="e">
        <f>AND(#REF!,"AAAAAH9+zVg=")</f>
        <v>#REF!</v>
      </c>
      <c r="CL213" t="e">
        <f>AND(#REF!,"AAAAAH9+zVk=")</f>
        <v>#REF!</v>
      </c>
      <c r="CM213" t="e">
        <f>AND(#REF!,"AAAAAH9+zVo=")</f>
        <v>#REF!</v>
      </c>
      <c r="CN213" t="e">
        <f>AND(#REF!,"AAAAAH9+zVs=")</f>
        <v>#REF!</v>
      </c>
      <c r="CO213" t="e">
        <f>AND(#REF!,"AAAAAH9+zVw=")</f>
        <v>#REF!</v>
      </c>
      <c r="CP213" t="e">
        <f>AND(#REF!,"AAAAAH9+zV0=")</f>
        <v>#REF!</v>
      </c>
      <c r="CQ213" t="e">
        <f>AND(#REF!,"AAAAAH9+zV4=")</f>
        <v>#REF!</v>
      </c>
      <c r="CR213" t="e">
        <f>AND(#REF!,"AAAAAH9+zV8=")</f>
        <v>#REF!</v>
      </c>
      <c r="CS213" t="e">
        <f>AND(#REF!,"AAAAAH9+zWA=")</f>
        <v>#REF!</v>
      </c>
      <c r="CT213" t="e">
        <f>IF(#REF!,"AAAAAH9+zWE=",0)</f>
        <v>#REF!</v>
      </c>
      <c r="CU213" t="e">
        <f>AND(#REF!,"AAAAAH9+zWI=")</f>
        <v>#REF!</v>
      </c>
      <c r="CV213" t="e">
        <f>AND(#REF!,"AAAAAH9+zWM=")</f>
        <v>#REF!</v>
      </c>
      <c r="CW213" t="e">
        <f>AND(#REF!,"AAAAAH9+zWQ=")</f>
        <v>#REF!</v>
      </c>
      <c r="CX213" t="e">
        <f>AND(#REF!,"AAAAAH9+zWU=")</f>
        <v>#REF!</v>
      </c>
      <c r="CY213" t="e">
        <f>AND(#REF!,"AAAAAH9+zWY=")</f>
        <v>#REF!</v>
      </c>
      <c r="CZ213" t="e">
        <f>AND(#REF!,"AAAAAH9+zWc=")</f>
        <v>#REF!</v>
      </c>
      <c r="DA213" t="e">
        <f>AND(#REF!,"AAAAAH9+zWg=")</f>
        <v>#REF!</v>
      </c>
      <c r="DB213" t="e">
        <f>AND(#REF!,"AAAAAH9+zWk=")</f>
        <v>#REF!</v>
      </c>
      <c r="DC213" t="e">
        <f>AND(#REF!,"AAAAAH9+zWo=")</f>
        <v>#REF!</v>
      </c>
      <c r="DD213" t="e">
        <f>AND(#REF!,"AAAAAH9+zWs=")</f>
        <v>#REF!</v>
      </c>
      <c r="DE213" t="e">
        <f>IF(#REF!,"AAAAAH9+zWw=",0)</f>
        <v>#REF!</v>
      </c>
      <c r="DF213" t="e">
        <f>AND(#REF!,"AAAAAH9+zW0=")</f>
        <v>#REF!</v>
      </c>
      <c r="DG213" t="e">
        <f>AND(#REF!,"AAAAAH9+zW4=")</f>
        <v>#REF!</v>
      </c>
      <c r="DH213" t="e">
        <f>AND(#REF!,"AAAAAH9+zW8=")</f>
        <v>#REF!</v>
      </c>
      <c r="DI213" t="e">
        <f>AND(#REF!,"AAAAAH9+zXA=")</f>
        <v>#REF!</v>
      </c>
      <c r="DJ213" t="e">
        <f>AND(#REF!,"AAAAAH9+zXE=")</f>
        <v>#REF!</v>
      </c>
      <c r="DK213" t="e">
        <f>AND(#REF!,"AAAAAH9+zXI=")</f>
        <v>#REF!</v>
      </c>
      <c r="DL213" t="e">
        <f>AND(#REF!,"AAAAAH9+zXM=")</f>
        <v>#REF!</v>
      </c>
      <c r="DM213" t="e">
        <f>AND(#REF!,"AAAAAH9+zXQ=")</f>
        <v>#REF!</v>
      </c>
      <c r="DN213" t="e">
        <f>AND(#REF!,"AAAAAH9+zXU=")</f>
        <v>#REF!</v>
      </c>
      <c r="DO213" t="e">
        <f>AND(#REF!,"AAAAAH9+zXY=")</f>
        <v>#REF!</v>
      </c>
      <c r="DP213" t="e">
        <f>IF(#REF!,"AAAAAH9+zXc=",0)</f>
        <v>#REF!</v>
      </c>
      <c r="DQ213" t="e">
        <f>AND(#REF!,"AAAAAH9+zXg=")</f>
        <v>#REF!</v>
      </c>
      <c r="DR213" t="e">
        <f>AND(#REF!,"AAAAAH9+zXk=")</f>
        <v>#REF!</v>
      </c>
      <c r="DS213" t="e">
        <f>AND(#REF!,"AAAAAH9+zXo=")</f>
        <v>#REF!</v>
      </c>
      <c r="DT213" t="e">
        <f>AND(#REF!,"AAAAAH9+zXs=")</f>
        <v>#REF!</v>
      </c>
      <c r="DU213" t="e">
        <f>AND(#REF!,"AAAAAH9+zXw=")</f>
        <v>#REF!</v>
      </c>
      <c r="DV213" t="e">
        <f>AND(#REF!,"AAAAAH9+zX0=")</f>
        <v>#REF!</v>
      </c>
      <c r="DW213" t="e">
        <f>AND(#REF!,"AAAAAH9+zX4=")</f>
        <v>#REF!</v>
      </c>
      <c r="DX213" t="e">
        <f>AND(#REF!,"AAAAAH9+zX8=")</f>
        <v>#REF!</v>
      </c>
      <c r="DY213" t="e">
        <f>AND(#REF!,"AAAAAH9+zYA=")</f>
        <v>#REF!</v>
      </c>
      <c r="DZ213" t="e">
        <f>AND(#REF!,"AAAAAH9+zYE=")</f>
        <v>#REF!</v>
      </c>
      <c r="EA213" t="e">
        <f>IF(#REF!,"AAAAAH9+zYI=",0)</f>
        <v>#REF!</v>
      </c>
      <c r="EB213" t="e">
        <f>AND(#REF!,"AAAAAH9+zYM=")</f>
        <v>#REF!</v>
      </c>
      <c r="EC213" t="e">
        <f>AND(#REF!,"AAAAAH9+zYQ=")</f>
        <v>#REF!</v>
      </c>
      <c r="ED213" t="e">
        <f>AND(#REF!,"AAAAAH9+zYU=")</f>
        <v>#REF!</v>
      </c>
      <c r="EE213" t="e">
        <f>AND(#REF!,"AAAAAH9+zYY=")</f>
        <v>#REF!</v>
      </c>
      <c r="EF213" t="e">
        <f>AND(#REF!,"AAAAAH9+zYc=")</f>
        <v>#REF!</v>
      </c>
      <c r="EG213" t="e">
        <f>AND(#REF!,"AAAAAH9+zYg=")</f>
        <v>#REF!</v>
      </c>
      <c r="EH213" t="e">
        <f>AND(#REF!,"AAAAAH9+zYk=")</f>
        <v>#REF!</v>
      </c>
      <c r="EI213" t="e">
        <f>AND(#REF!,"AAAAAH9+zYo=")</f>
        <v>#REF!</v>
      </c>
      <c r="EJ213" t="e">
        <f>AND(#REF!,"AAAAAH9+zYs=")</f>
        <v>#REF!</v>
      </c>
      <c r="EK213" t="e">
        <f>AND(#REF!,"AAAAAH9+zYw=")</f>
        <v>#REF!</v>
      </c>
      <c r="EL213" t="e">
        <f>IF(#REF!,"AAAAAH9+zY0=",0)</f>
        <v>#REF!</v>
      </c>
      <c r="EM213" t="e">
        <f>AND(#REF!,"AAAAAH9+zY4=")</f>
        <v>#REF!</v>
      </c>
      <c r="EN213" t="e">
        <f>AND(#REF!,"AAAAAH9+zY8=")</f>
        <v>#REF!</v>
      </c>
      <c r="EO213" t="e">
        <f>AND(#REF!,"AAAAAH9+zZA=")</f>
        <v>#REF!</v>
      </c>
      <c r="EP213" t="e">
        <f>AND(#REF!,"AAAAAH9+zZE=")</f>
        <v>#REF!</v>
      </c>
      <c r="EQ213" t="e">
        <f>AND(#REF!,"AAAAAH9+zZI=")</f>
        <v>#REF!</v>
      </c>
      <c r="ER213" t="e">
        <f>AND(#REF!,"AAAAAH9+zZM=")</f>
        <v>#REF!</v>
      </c>
      <c r="ES213" t="e">
        <f>AND(#REF!,"AAAAAH9+zZQ=")</f>
        <v>#REF!</v>
      </c>
      <c r="ET213" t="e">
        <f>AND(#REF!,"AAAAAH9+zZU=")</f>
        <v>#REF!</v>
      </c>
      <c r="EU213" t="e">
        <f>AND(#REF!,"AAAAAH9+zZY=")</f>
        <v>#REF!</v>
      </c>
      <c r="EV213" t="e">
        <f>AND(#REF!,"AAAAAH9+zZc=")</f>
        <v>#REF!</v>
      </c>
      <c r="EW213" t="e">
        <f>IF(#REF!,"AAAAAH9+zZg=",0)</f>
        <v>#REF!</v>
      </c>
      <c r="EX213" t="e">
        <f>AND(#REF!,"AAAAAH9+zZk=")</f>
        <v>#REF!</v>
      </c>
      <c r="EY213" t="e">
        <f>AND(#REF!,"AAAAAH9+zZo=")</f>
        <v>#REF!</v>
      </c>
      <c r="EZ213" t="e">
        <f>AND(#REF!,"AAAAAH9+zZs=")</f>
        <v>#REF!</v>
      </c>
      <c r="FA213" t="e">
        <f>AND(#REF!,"AAAAAH9+zZw=")</f>
        <v>#REF!</v>
      </c>
      <c r="FB213" t="e">
        <f>AND(#REF!,"AAAAAH9+zZ0=")</f>
        <v>#REF!</v>
      </c>
      <c r="FC213" t="e">
        <f>AND(#REF!,"AAAAAH9+zZ4=")</f>
        <v>#REF!</v>
      </c>
      <c r="FD213" t="e">
        <f>AND(#REF!,"AAAAAH9+zZ8=")</f>
        <v>#REF!</v>
      </c>
      <c r="FE213" t="e">
        <f>AND(#REF!,"AAAAAH9+zaA=")</f>
        <v>#REF!</v>
      </c>
      <c r="FF213" t="e">
        <f>AND(#REF!,"AAAAAH9+zaE=")</f>
        <v>#REF!</v>
      </c>
      <c r="FG213" t="e">
        <f>AND(#REF!,"AAAAAH9+zaI=")</f>
        <v>#REF!</v>
      </c>
      <c r="FH213" t="e">
        <f>IF(#REF!,"AAAAAH9+zaM=",0)</f>
        <v>#REF!</v>
      </c>
      <c r="FI213" t="e">
        <f>AND(#REF!,"AAAAAH9+zaQ=")</f>
        <v>#REF!</v>
      </c>
      <c r="FJ213" t="e">
        <f>AND(#REF!,"AAAAAH9+zaU=")</f>
        <v>#REF!</v>
      </c>
      <c r="FK213" t="e">
        <f>AND(#REF!,"AAAAAH9+zaY=")</f>
        <v>#REF!</v>
      </c>
      <c r="FL213" t="e">
        <f>AND(#REF!,"AAAAAH9+zac=")</f>
        <v>#REF!</v>
      </c>
      <c r="FM213" t="e">
        <f>AND(#REF!,"AAAAAH9+zag=")</f>
        <v>#REF!</v>
      </c>
      <c r="FN213" t="e">
        <f>AND(#REF!,"AAAAAH9+zak=")</f>
        <v>#REF!</v>
      </c>
      <c r="FO213" t="e">
        <f>AND(#REF!,"AAAAAH9+zao=")</f>
        <v>#REF!</v>
      </c>
      <c r="FP213" t="e">
        <f>AND(#REF!,"AAAAAH9+zas=")</f>
        <v>#REF!</v>
      </c>
      <c r="FQ213" t="e">
        <f>AND(#REF!,"AAAAAH9+zaw=")</f>
        <v>#REF!</v>
      </c>
      <c r="FR213" t="e">
        <f>AND(#REF!,"AAAAAH9+za0=")</f>
        <v>#REF!</v>
      </c>
      <c r="FS213" t="e">
        <f>IF(#REF!,"AAAAAH9+za4=",0)</f>
        <v>#REF!</v>
      </c>
      <c r="FT213" t="e">
        <f>AND(#REF!,"AAAAAH9+za8=")</f>
        <v>#REF!</v>
      </c>
      <c r="FU213" t="e">
        <f>AND(#REF!,"AAAAAH9+zbA=")</f>
        <v>#REF!</v>
      </c>
      <c r="FV213" t="e">
        <f>AND(#REF!,"AAAAAH9+zbE=")</f>
        <v>#REF!</v>
      </c>
      <c r="FW213" t="e">
        <f>AND(#REF!,"AAAAAH9+zbI=")</f>
        <v>#REF!</v>
      </c>
      <c r="FX213" t="e">
        <f>AND(#REF!,"AAAAAH9+zbM=")</f>
        <v>#REF!</v>
      </c>
      <c r="FY213" t="e">
        <f>AND(#REF!,"AAAAAH9+zbQ=")</f>
        <v>#REF!</v>
      </c>
      <c r="FZ213" t="e">
        <f>AND(#REF!,"AAAAAH9+zbU=")</f>
        <v>#REF!</v>
      </c>
      <c r="GA213" t="e">
        <f>AND(#REF!,"AAAAAH9+zbY=")</f>
        <v>#REF!</v>
      </c>
      <c r="GB213" t="e">
        <f>AND(#REF!,"AAAAAH9+zbc=")</f>
        <v>#REF!</v>
      </c>
      <c r="GC213" t="e">
        <f>AND(#REF!,"AAAAAH9+zbg=")</f>
        <v>#REF!</v>
      </c>
      <c r="GD213" t="e">
        <f>IF(#REF!,"AAAAAH9+zbk=",0)</f>
        <v>#REF!</v>
      </c>
      <c r="GE213" t="e">
        <f>AND(#REF!,"AAAAAH9+zbo=")</f>
        <v>#REF!</v>
      </c>
      <c r="GF213" t="e">
        <f>AND(#REF!,"AAAAAH9+zbs=")</f>
        <v>#REF!</v>
      </c>
      <c r="GG213" t="e">
        <f>AND(#REF!,"AAAAAH9+zbw=")</f>
        <v>#REF!</v>
      </c>
      <c r="GH213" t="e">
        <f>AND(#REF!,"AAAAAH9+zb0=")</f>
        <v>#REF!</v>
      </c>
      <c r="GI213" t="e">
        <f>AND(#REF!,"AAAAAH9+zb4=")</f>
        <v>#REF!</v>
      </c>
      <c r="GJ213" t="e">
        <f>AND(#REF!,"AAAAAH9+zb8=")</f>
        <v>#REF!</v>
      </c>
      <c r="GK213" t="e">
        <f>AND(#REF!,"AAAAAH9+zcA=")</f>
        <v>#REF!</v>
      </c>
      <c r="GL213" t="e">
        <f>AND(#REF!,"AAAAAH9+zcE=")</f>
        <v>#REF!</v>
      </c>
      <c r="GM213" t="e">
        <f>AND(#REF!,"AAAAAH9+zcI=")</f>
        <v>#REF!</v>
      </c>
      <c r="GN213" t="e">
        <f>AND(#REF!,"AAAAAH9+zcM=")</f>
        <v>#REF!</v>
      </c>
      <c r="GO213" t="e">
        <f>IF(#REF!,"AAAAAH9+zcQ=",0)</f>
        <v>#REF!</v>
      </c>
      <c r="GP213" t="e">
        <f>AND(#REF!,"AAAAAH9+zcU=")</f>
        <v>#REF!</v>
      </c>
      <c r="GQ213" t="e">
        <f>AND(#REF!,"AAAAAH9+zcY=")</f>
        <v>#REF!</v>
      </c>
      <c r="GR213" t="e">
        <f>AND(#REF!,"AAAAAH9+zcc=")</f>
        <v>#REF!</v>
      </c>
      <c r="GS213" t="e">
        <f>AND(#REF!,"AAAAAH9+zcg=")</f>
        <v>#REF!</v>
      </c>
      <c r="GT213" t="e">
        <f>AND(#REF!,"AAAAAH9+zck=")</f>
        <v>#REF!</v>
      </c>
      <c r="GU213" t="e">
        <f>AND(#REF!,"AAAAAH9+zco=")</f>
        <v>#REF!</v>
      </c>
      <c r="GV213" t="e">
        <f>AND(#REF!,"AAAAAH9+zcs=")</f>
        <v>#REF!</v>
      </c>
      <c r="GW213" t="e">
        <f>AND(#REF!,"AAAAAH9+zcw=")</f>
        <v>#REF!</v>
      </c>
      <c r="GX213" t="e">
        <f>AND(#REF!,"AAAAAH9+zc0=")</f>
        <v>#REF!</v>
      </c>
      <c r="GY213" t="e">
        <f>AND(#REF!,"AAAAAH9+zc4=")</f>
        <v>#REF!</v>
      </c>
      <c r="GZ213" t="e">
        <f>IF(#REF!,"AAAAAH9+zc8=",0)</f>
        <v>#REF!</v>
      </c>
      <c r="HA213" t="e">
        <f>AND(#REF!,"AAAAAH9+zdA=")</f>
        <v>#REF!</v>
      </c>
      <c r="HB213" t="e">
        <f>AND(#REF!,"AAAAAH9+zdE=")</f>
        <v>#REF!</v>
      </c>
      <c r="HC213" t="e">
        <f>AND(#REF!,"AAAAAH9+zdI=")</f>
        <v>#REF!</v>
      </c>
      <c r="HD213" t="e">
        <f>AND(#REF!,"AAAAAH9+zdM=")</f>
        <v>#REF!</v>
      </c>
      <c r="HE213" t="e">
        <f>AND(#REF!,"AAAAAH9+zdQ=")</f>
        <v>#REF!</v>
      </c>
      <c r="HF213" t="e">
        <f>AND(#REF!,"AAAAAH9+zdU=")</f>
        <v>#REF!</v>
      </c>
      <c r="HG213" t="e">
        <f>AND(#REF!,"AAAAAH9+zdY=")</f>
        <v>#REF!</v>
      </c>
      <c r="HH213" t="e">
        <f>AND(#REF!,"AAAAAH9+zdc=")</f>
        <v>#REF!</v>
      </c>
      <c r="HI213" t="e">
        <f>AND(#REF!,"AAAAAH9+zdg=")</f>
        <v>#REF!</v>
      </c>
      <c r="HJ213" t="e">
        <f>AND(#REF!,"AAAAAH9+zdk=")</f>
        <v>#REF!</v>
      </c>
      <c r="HK213" t="e">
        <f>IF(#REF!,"AAAAAH9+zdo=",0)</f>
        <v>#REF!</v>
      </c>
      <c r="HL213" t="e">
        <f>AND(#REF!,"AAAAAH9+zds=")</f>
        <v>#REF!</v>
      </c>
      <c r="HM213" t="e">
        <f>AND(#REF!,"AAAAAH9+zdw=")</f>
        <v>#REF!</v>
      </c>
      <c r="HN213" t="e">
        <f>AND(#REF!,"AAAAAH9+zd0=")</f>
        <v>#REF!</v>
      </c>
      <c r="HO213" t="e">
        <f>AND(#REF!,"AAAAAH9+zd4=")</f>
        <v>#REF!</v>
      </c>
      <c r="HP213" t="e">
        <f>AND(#REF!,"AAAAAH9+zd8=")</f>
        <v>#REF!</v>
      </c>
      <c r="HQ213" t="e">
        <f>AND(#REF!,"AAAAAH9+zeA=")</f>
        <v>#REF!</v>
      </c>
      <c r="HR213" t="e">
        <f>AND(#REF!,"AAAAAH9+zeE=")</f>
        <v>#REF!</v>
      </c>
      <c r="HS213" t="e">
        <f>AND(#REF!,"AAAAAH9+zeI=")</f>
        <v>#REF!</v>
      </c>
      <c r="HT213" t="e">
        <f>AND(#REF!,"AAAAAH9+zeM=")</f>
        <v>#REF!</v>
      </c>
      <c r="HU213" t="e">
        <f>AND(#REF!,"AAAAAH9+zeQ=")</f>
        <v>#REF!</v>
      </c>
      <c r="HV213" t="e">
        <f>IF(#REF!,"AAAAAH9+zeU=",0)</f>
        <v>#REF!</v>
      </c>
      <c r="HW213" t="e">
        <f>AND(#REF!,"AAAAAH9+zeY=")</f>
        <v>#REF!</v>
      </c>
      <c r="HX213" t="e">
        <f>AND(#REF!,"AAAAAH9+zec=")</f>
        <v>#REF!</v>
      </c>
      <c r="HY213" t="e">
        <f>AND(#REF!,"AAAAAH9+zeg=")</f>
        <v>#REF!</v>
      </c>
      <c r="HZ213" t="e">
        <f>AND(#REF!,"AAAAAH9+zek=")</f>
        <v>#REF!</v>
      </c>
      <c r="IA213" t="e">
        <f>AND(#REF!,"AAAAAH9+zeo=")</f>
        <v>#REF!</v>
      </c>
      <c r="IB213" t="e">
        <f>AND(#REF!,"AAAAAH9+zes=")</f>
        <v>#REF!</v>
      </c>
      <c r="IC213" t="e">
        <f>AND(#REF!,"AAAAAH9+zew=")</f>
        <v>#REF!</v>
      </c>
      <c r="ID213" t="e">
        <f>AND(#REF!,"AAAAAH9+ze0=")</f>
        <v>#REF!</v>
      </c>
      <c r="IE213" t="e">
        <f>AND(#REF!,"AAAAAH9+ze4=")</f>
        <v>#REF!</v>
      </c>
      <c r="IF213" t="e">
        <f>AND(#REF!,"AAAAAH9+ze8=")</f>
        <v>#REF!</v>
      </c>
      <c r="IG213" t="e">
        <f>IF(#REF!,"AAAAAH9+zfA=",0)</f>
        <v>#REF!</v>
      </c>
      <c r="IH213" t="e">
        <f>AND(#REF!,"AAAAAH9+zfE=")</f>
        <v>#REF!</v>
      </c>
      <c r="II213" t="e">
        <f>AND(#REF!,"AAAAAH9+zfI=")</f>
        <v>#REF!</v>
      </c>
      <c r="IJ213" t="e">
        <f>AND(#REF!,"AAAAAH9+zfM=")</f>
        <v>#REF!</v>
      </c>
      <c r="IK213" t="e">
        <f>AND(#REF!,"AAAAAH9+zfQ=")</f>
        <v>#REF!</v>
      </c>
      <c r="IL213" t="e">
        <f>AND(#REF!,"AAAAAH9+zfU=")</f>
        <v>#REF!</v>
      </c>
      <c r="IM213" t="e">
        <f>AND(#REF!,"AAAAAH9+zfY=")</f>
        <v>#REF!</v>
      </c>
      <c r="IN213" t="e">
        <f>AND(#REF!,"AAAAAH9+zfc=")</f>
        <v>#REF!</v>
      </c>
      <c r="IO213" t="e">
        <f>AND(#REF!,"AAAAAH9+zfg=")</f>
        <v>#REF!</v>
      </c>
      <c r="IP213" t="e">
        <f>AND(#REF!,"AAAAAH9+zfk=")</f>
        <v>#REF!</v>
      </c>
      <c r="IQ213" t="e">
        <f>AND(#REF!,"AAAAAH9+zfo=")</f>
        <v>#REF!</v>
      </c>
      <c r="IR213" t="e">
        <f>IF(#REF!,"AAAAAH9+zfs=",0)</f>
        <v>#REF!</v>
      </c>
      <c r="IS213" t="e">
        <f>AND(#REF!,"AAAAAH9+zfw=")</f>
        <v>#REF!</v>
      </c>
      <c r="IT213" t="e">
        <f>AND(#REF!,"AAAAAH9+zf0=")</f>
        <v>#REF!</v>
      </c>
      <c r="IU213" t="e">
        <f>AND(#REF!,"AAAAAH9+zf4=")</f>
        <v>#REF!</v>
      </c>
      <c r="IV213" t="e">
        <f>AND(#REF!,"AAAAAH9+zf8=")</f>
        <v>#REF!</v>
      </c>
    </row>
    <row r="214" spans="1:256" x14ac:dyDescent="0.25">
      <c r="A214" t="e">
        <f>AND(#REF!,"AAAAADlf8gA=")</f>
        <v>#REF!</v>
      </c>
      <c r="B214" t="e">
        <f>AND(#REF!,"AAAAADlf8gE=")</f>
        <v>#REF!</v>
      </c>
      <c r="C214" t="e">
        <f>AND(#REF!,"AAAAADlf8gI=")</f>
        <v>#REF!</v>
      </c>
      <c r="D214" t="e">
        <f>AND(#REF!,"AAAAADlf8gM=")</f>
        <v>#REF!</v>
      </c>
      <c r="E214" t="e">
        <f>AND(#REF!,"AAAAADlf8gQ=")</f>
        <v>#REF!</v>
      </c>
      <c r="F214" t="e">
        <f>AND(#REF!,"AAAAADlf8gU=")</f>
        <v>#REF!</v>
      </c>
      <c r="G214" t="e">
        <f>IF(#REF!,"AAAAADlf8gY=",0)</f>
        <v>#REF!</v>
      </c>
      <c r="H214" t="e">
        <f>AND(#REF!,"AAAAADlf8gc=")</f>
        <v>#REF!</v>
      </c>
      <c r="I214" t="e">
        <f>AND(#REF!,"AAAAADlf8gg=")</f>
        <v>#REF!</v>
      </c>
      <c r="J214" t="e">
        <f>AND(#REF!,"AAAAADlf8gk=")</f>
        <v>#REF!</v>
      </c>
      <c r="K214" t="e">
        <f>AND(#REF!,"AAAAADlf8go=")</f>
        <v>#REF!</v>
      </c>
      <c r="L214" t="e">
        <f>AND(#REF!,"AAAAADlf8gs=")</f>
        <v>#REF!</v>
      </c>
      <c r="M214" t="e">
        <f>AND(#REF!,"AAAAADlf8gw=")</f>
        <v>#REF!</v>
      </c>
      <c r="N214" t="e">
        <f>AND(#REF!,"AAAAADlf8g0=")</f>
        <v>#REF!</v>
      </c>
      <c r="O214" t="e">
        <f>AND(#REF!,"AAAAADlf8g4=")</f>
        <v>#REF!</v>
      </c>
      <c r="P214" t="e">
        <f>AND(#REF!,"AAAAADlf8g8=")</f>
        <v>#REF!</v>
      </c>
      <c r="Q214" t="e">
        <f>AND(#REF!,"AAAAADlf8hA=")</f>
        <v>#REF!</v>
      </c>
      <c r="R214" t="e">
        <f>IF(#REF!,"AAAAADlf8hE=",0)</f>
        <v>#REF!</v>
      </c>
      <c r="S214" t="e">
        <f>AND(#REF!,"AAAAADlf8hI=")</f>
        <v>#REF!</v>
      </c>
      <c r="T214" t="e">
        <f>AND(#REF!,"AAAAADlf8hM=")</f>
        <v>#REF!</v>
      </c>
      <c r="U214" t="e">
        <f>AND(#REF!,"AAAAADlf8hQ=")</f>
        <v>#REF!</v>
      </c>
      <c r="V214" t="e">
        <f>AND(#REF!,"AAAAADlf8hU=")</f>
        <v>#REF!</v>
      </c>
      <c r="W214" t="e">
        <f>AND(#REF!,"AAAAADlf8hY=")</f>
        <v>#REF!</v>
      </c>
      <c r="X214" t="e">
        <f>AND(#REF!,"AAAAADlf8hc=")</f>
        <v>#REF!</v>
      </c>
      <c r="Y214" t="e">
        <f>AND(#REF!,"AAAAADlf8hg=")</f>
        <v>#REF!</v>
      </c>
      <c r="Z214" t="e">
        <f>AND(#REF!,"AAAAADlf8hk=")</f>
        <v>#REF!</v>
      </c>
      <c r="AA214" t="e">
        <f>AND(#REF!,"AAAAADlf8ho=")</f>
        <v>#REF!</v>
      </c>
      <c r="AB214" t="e">
        <f>AND(#REF!,"AAAAADlf8hs=")</f>
        <v>#REF!</v>
      </c>
      <c r="AC214" t="e">
        <f>IF(#REF!,"AAAAADlf8hw=",0)</f>
        <v>#REF!</v>
      </c>
      <c r="AD214" t="e">
        <f>AND(#REF!,"AAAAADlf8h0=")</f>
        <v>#REF!</v>
      </c>
      <c r="AE214" t="e">
        <f>AND(#REF!,"AAAAADlf8h4=")</f>
        <v>#REF!</v>
      </c>
      <c r="AF214" t="e">
        <f>AND(#REF!,"AAAAADlf8h8=")</f>
        <v>#REF!</v>
      </c>
      <c r="AG214" t="e">
        <f>AND(#REF!,"AAAAADlf8iA=")</f>
        <v>#REF!</v>
      </c>
      <c r="AH214" t="e">
        <f>AND(#REF!,"AAAAADlf8iE=")</f>
        <v>#REF!</v>
      </c>
      <c r="AI214" t="e">
        <f>AND(#REF!,"AAAAADlf8iI=")</f>
        <v>#REF!</v>
      </c>
      <c r="AJ214" t="e">
        <f>AND(#REF!,"AAAAADlf8iM=")</f>
        <v>#REF!</v>
      </c>
      <c r="AK214" t="e">
        <f>AND(#REF!,"AAAAADlf8iQ=")</f>
        <v>#REF!</v>
      </c>
      <c r="AL214" t="e">
        <f>AND(#REF!,"AAAAADlf8iU=")</f>
        <v>#REF!</v>
      </c>
      <c r="AM214" t="e">
        <f>AND(#REF!,"AAAAADlf8iY=")</f>
        <v>#REF!</v>
      </c>
      <c r="AN214" t="e">
        <f>IF(#REF!,"AAAAADlf8ic=",0)</f>
        <v>#REF!</v>
      </c>
      <c r="AO214" t="e">
        <f>AND(#REF!,"AAAAADlf8ig=")</f>
        <v>#REF!</v>
      </c>
      <c r="AP214" t="e">
        <f>AND(#REF!,"AAAAADlf8ik=")</f>
        <v>#REF!</v>
      </c>
      <c r="AQ214" t="e">
        <f>AND(#REF!,"AAAAADlf8io=")</f>
        <v>#REF!</v>
      </c>
      <c r="AR214" t="e">
        <f>AND(#REF!,"AAAAADlf8is=")</f>
        <v>#REF!</v>
      </c>
      <c r="AS214" t="e">
        <f>AND(#REF!,"AAAAADlf8iw=")</f>
        <v>#REF!</v>
      </c>
      <c r="AT214" t="e">
        <f>AND(#REF!,"AAAAADlf8i0=")</f>
        <v>#REF!</v>
      </c>
      <c r="AU214" t="e">
        <f>AND(#REF!,"AAAAADlf8i4=")</f>
        <v>#REF!</v>
      </c>
      <c r="AV214" t="e">
        <f>AND(#REF!,"AAAAADlf8i8=")</f>
        <v>#REF!</v>
      </c>
      <c r="AW214" t="e">
        <f>AND(#REF!,"AAAAADlf8jA=")</f>
        <v>#REF!</v>
      </c>
      <c r="AX214" t="e">
        <f>AND(#REF!,"AAAAADlf8jE=")</f>
        <v>#REF!</v>
      </c>
      <c r="AY214" t="e">
        <f>IF(#REF!,"AAAAADlf8jI=",0)</f>
        <v>#REF!</v>
      </c>
      <c r="AZ214" t="e">
        <f>AND(#REF!,"AAAAADlf8jM=")</f>
        <v>#REF!</v>
      </c>
      <c r="BA214" t="e">
        <f>AND(#REF!,"AAAAADlf8jQ=")</f>
        <v>#REF!</v>
      </c>
      <c r="BB214" t="e">
        <f>AND(#REF!,"AAAAADlf8jU=")</f>
        <v>#REF!</v>
      </c>
      <c r="BC214" t="e">
        <f>AND(#REF!,"AAAAADlf8jY=")</f>
        <v>#REF!</v>
      </c>
      <c r="BD214" t="e">
        <f>AND(#REF!,"AAAAADlf8jc=")</f>
        <v>#REF!</v>
      </c>
      <c r="BE214" t="e">
        <f>AND(#REF!,"AAAAADlf8jg=")</f>
        <v>#REF!</v>
      </c>
      <c r="BF214" t="e">
        <f>AND(#REF!,"AAAAADlf8jk=")</f>
        <v>#REF!</v>
      </c>
      <c r="BG214" t="e">
        <f>AND(#REF!,"AAAAADlf8jo=")</f>
        <v>#REF!</v>
      </c>
      <c r="BH214" t="e">
        <f>AND(#REF!,"AAAAADlf8js=")</f>
        <v>#REF!</v>
      </c>
      <c r="BI214" t="e">
        <f>AND(#REF!,"AAAAADlf8jw=")</f>
        <v>#REF!</v>
      </c>
      <c r="BJ214" t="e">
        <f>IF(#REF!,"AAAAADlf8j0=",0)</f>
        <v>#REF!</v>
      </c>
      <c r="BK214" t="e">
        <f>AND(#REF!,"AAAAADlf8j4=")</f>
        <v>#REF!</v>
      </c>
      <c r="BL214" t="e">
        <f>AND(#REF!,"AAAAADlf8j8=")</f>
        <v>#REF!</v>
      </c>
      <c r="BM214" t="e">
        <f>AND(#REF!,"AAAAADlf8kA=")</f>
        <v>#REF!</v>
      </c>
      <c r="BN214" t="e">
        <f>AND(#REF!,"AAAAADlf8kE=")</f>
        <v>#REF!</v>
      </c>
      <c r="BO214" t="e">
        <f>AND(#REF!,"AAAAADlf8kI=")</f>
        <v>#REF!</v>
      </c>
      <c r="BP214" t="e">
        <f>AND(#REF!,"AAAAADlf8kM=")</f>
        <v>#REF!</v>
      </c>
      <c r="BQ214" t="e">
        <f>AND(#REF!,"AAAAADlf8kQ=")</f>
        <v>#REF!</v>
      </c>
      <c r="BR214" t="e">
        <f>AND(#REF!,"AAAAADlf8kU=")</f>
        <v>#REF!</v>
      </c>
      <c r="BS214" t="e">
        <f>AND(#REF!,"AAAAADlf8kY=")</f>
        <v>#REF!</v>
      </c>
      <c r="BT214" t="e">
        <f>AND(#REF!,"AAAAADlf8kc=")</f>
        <v>#REF!</v>
      </c>
      <c r="BU214" t="e">
        <f>IF(#REF!,"AAAAADlf8kg=",0)</f>
        <v>#REF!</v>
      </c>
      <c r="BV214" t="e">
        <f>AND(#REF!,"AAAAADlf8kk=")</f>
        <v>#REF!</v>
      </c>
      <c r="BW214" t="e">
        <f>AND(#REF!,"AAAAADlf8ko=")</f>
        <v>#REF!</v>
      </c>
      <c r="BX214" t="e">
        <f>AND(#REF!,"AAAAADlf8ks=")</f>
        <v>#REF!</v>
      </c>
      <c r="BY214" t="e">
        <f>AND(#REF!,"AAAAADlf8kw=")</f>
        <v>#REF!</v>
      </c>
      <c r="BZ214" t="e">
        <f>AND(#REF!,"AAAAADlf8k0=")</f>
        <v>#REF!</v>
      </c>
      <c r="CA214" t="e">
        <f>AND(#REF!,"AAAAADlf8k4=")</f>
        <v>#REF!</v>
      </c>
      <c r="CB214" t="e">
        <f>AND(#REF!,"AAAAADlf8k8=")</f>
        <v>#REF!</v>
      </c>
      <c r="CC214" t="e">
        <f>AND(#REF!,"AAAAADlf8lA=")</f>
        <v>#REF!</v>
      </c>
      <c r="CD214" t="e">
        <f>AND(#REF!,"AAAAADlf8lE=")</f>
        <v>#REF!</v>
      </c>
      <c r="CE214" t="e">
        <f>AND(#REF!,"AAAAADlf8lI=")</f>
        <v>#REF!</v>
      </c>
      <c r="CF214" t="e">
        <f>IF(#REF!,"AAAAADlf8lM=",0)</f>
        <v>#REF!</v>
      </c>
      <c r="CG214" t="e">
        <f>AND(#REF!,"AAAAADlf8lQ=")</f>
        <v>#REF!</v>
      </c>
      <c r="CH214" t="e">
        <f>AND(#REF!,"AAAAADlf8lU=")</f>
        <v>#REF!</v>
      </c>
      <c r="CI214" t="e">
        <f>AND(#REF!,"AAAAADlf8lY=")</f>
        <v>#REF!</v>
      </c>
      <c r="CJ214" t="e">
        <f>AND(#REF!,"AAAAADlf8lc=")</f>
        <v>#REF!</v>
      </c>
      <c r="CK214" t="e">
        <f>AND(#REF!,"AAAAADlf8lg=")</f>
        <v>#REF!</v>
      </c>
      <c r="CL214" t="e">
        <f>AND(#REF!,"AAAAADlf8lk=")</f>
        <v>#REF!</v>
      </c>
      <c r="CM214" t="e">
        <f>AND(#REF!,"AAAAADlf8lo=")</f>
        <v>#REF!</v>
      </c>
      <c r="CN214" t="e">
        <f>AND(#REF!,"AAAAADlf8ls=")</f>
        <v>#REF!</v>
      </c>
      <c r="CO214" t="e">
        <f>AND(#REF!,"AAAAADlf8lw=")</f>
        <v>#REF!</v>
      </c>
      <c r="CP214" t="e">
        <f>AND(#REF!,"AAAAADlf8l0=")</f>
        <v>#REF!</v>
      </c>
      <c r="CQ214" t="e">
        <f>IF(#REF!,"AAAAADlf8l4=",0)</f>
        <v>#REF!</v>
      </c>
      <c r="CR214" t="e">
        <f>AND(#REF!,"AAAAADlf8l8=")</f>
        <v>#REF!</v>
      </c>
      <c r="CS214" t="e">
        <f>AND(#REF!,"AAAAADlf8mA=")</f>
        <v>#REF!</v>
      </c>
      <c r="CT214" t="e">
        <f>AND(#REF!,"AAAAADlf8mE=")</f>
        <v>#REF!</v>
      </c>
      <c r="CU214" t="e">
        <f>AND(#REF!,"AAAAADlf8mI=")</f>
        <v>#REF!</v>
      </c>
      <c r="CV214" t="e">
        <f>AND(#REF!,"AAAAADlf8mM=")</f>
        <v>#REF!</v>
      </c>
      <c r="CW214" t="e">
        <f>AND(#REF!,"AAAAADlf8mQ=")</f>
        <v>#REF!</v>
      </c>
      <c r="CX214" t="e">
        <f>AND(#REF!,"AAAAADlf8mU=")</f>
        <v>#REF!</v>
      </c>
      <c r="CY214" t="e">
        <f>AND(#REF!,"AAAAADlf8mY=")</f>
        <v>#REF!</v>
      </c>
      <c r="CZ214" t="e">
        <f>AND(#REF!,"AAAAADlf8mc=")</f>
        <v>#REF!</v>
      </c>
      <c r="DA214" t="e">
        <f>AND(#REF!,"AAAAADlf8mg=")</f>
        <v>#REF!</v>
      </c>
      <c r="DB214" t="e">
        <f>IF(#REF!,"AAAAADlf8mk=",0)</f>
        <v>#REF!</v>
      </c>
      <c r="DC214" t="e">
        <f>AND(#REF!,"AAAAADlf8mo=")</f>
        <v>#REF!</v>
      </c>
      <c r="DD214" t="e">
        <f>AND(#REF!,"AAAAADlf8ms=")</f>
        <v>#REF!</v>
      </c>
      <c r="DE214" t="e">
        <f>AND(#REF!,"AAAAADlf8mw=")</f>
        <v>#REF!</v>
      </c>
      <c r="DF214" t="e">
        <f>AND(#REF!,"AAAAADlf8m0=")</f>
        <v>#REF!</v>
      </c>
      <c r="DG214" t="e">
        <f>AND(#REF!,"AAAAADlf8m4=")</f>
        <v>#REF!</v>
      </c>
      <c r="DH214" t="e">
        <f>AND(#REF!,"AAAAADlf8m8=")</f>
        <v>#REF!</v>
      </c>
      <c r="DI214" t="e">
        <f>AND(#REF!,"AAAAADlf8nA=")</f>
        <v>#REF!</v>
      </c>
      <c r="DJ214" t="e">
        <f>AND(#REF!,"AAAAADlf8nE=")</f>
        <v>#REF!</v>
      </c>
      <c r="DK214" t="e">
        <f>AND(#REF!,"AAAAADlf8nI=")</f>
        <v>#REF!</v>
      </c>
      <c r="DL214" t="e">
        <f>AND(#REF!,"AAAAADlf8nM=")</f>
        <v>#REF!</v>
      </c>
      <c r="DM214" t="e">
        <f>IF(#REF!,"AAAAADlf8nQ=",0)</f>
        <v>#REF!</v>
      </c>
      <c r="DN214" t="e">
        <f>AND(#REF!,"AAAAADlf8nU=")</f>
        <v>#REF!</v>
      </c>
      <c r="DO214" t="e">
        <f>AND(#REF!,"AAAAADlf8nY=")</f>
        <v>#REF!</v>
      </c>
      <c r="DP214" t="e">
        <f>AND(#REF!,"AAAAADlf8nc=")</f>
        <v>#REF!</v>
      </c>
      <c r="DQ214" t="e">
        <f>AND(#REF!,"AAAAADlf8ng=")</f>
        <v>#REF!</v>
      </c>
      <c r="DR214" t="e">
        <f>AND(#REF!,"AAAAADlf8nk=")</f>
        <v>#REF!</v>
      </c>
      <c r="DS214" t="e">
        <f>AND(#REF!,"AAAAADlf8no=")</f>
        <v>#REF!</v>
      </c>
      <c r="DT214" t="e">
        <f>AND(#REF!,"AAAAADlf8ns=")</f>
        <v>#REF!</v>
      </c>
      <c r="DU214" t="e">
        <f>AND(#REF!,"AAAAADlf8nw=")</f>
        <v>#REF!</v>
      </c>
      <c r="DV214" t="e">
        <f>AND(#REF!,"AAAAADlf8n0=")</f>
        <v>#REF!</v>
      </c>
      <c r="DW214" t="e">
        <f>AND(#REF!,"AAAAADlf8n4=")</f>
        <v>#REF!</v>
      </c>
      <c r="DX214" t="e">
        <f>IF(#REF!,"AAAAADlf8n8=",0)</f>
        <v>#REF!</v>
      </c>
      <c r="DY214" t="e">
        <f>AND(#REF!,"AAAAADlf8oA=")</f>
        <v>#REF!</v>
      </c>
      <c r="DZ214" t="e">
        <f>AND(#REF!,"AAAAADlf8oE=")</f>
        <v>#REF!</v>
      </c>
      <c r="EA214" t="e">
        <f>AND(#REF!,"AAAAADlf8oI=")</f>
        <v>#REF!</v>
      </c>
      <c r="EB214" t="e">
        <f>AND(#REF!,"AAAAADlf8oM=")</f>
        <v>#REF!</v>
      </c>
      <c r="EC214" t="e">
        <f>AND(#REF!,"AAAAADlf8oQ=")</f>
        <v>#REF!</v>
      </c>
      <c r="ED214" t="e">
        <f>AND(#REF!,"AAAAADlf8oU=")</f>
        <v>#REF!</v>
      </c>
      <c r="EE214" t="e">
        <f>AND(#REF!,"AAAAADlf8oY=")</f>
        <v>#REF!</v>
      </c>
      <c r="EF214" t="e">
        <f>AND(#REF!,"AAAAADlf8oc=")</f>
        <v>#REF!</v>
      </c>
      <c r="EG214" t="e">
        <f>AND(#REF!,"AAAAADlf8og=")</f>
        <v>#REF!</v>
      </c>
      <c r="EH214" t="e">
        <f>AND(#REF!,"AAAAADlf8ok=")</f>
        <v>#REF!</v>
      </c>
      <c r="EI214" t="e">
        <f>IF(#REF!,"AAAAADlf8oo=",0)</f>
        <v>#REF!</v>
      </c>
      <c r="EJ214" t="e">
        <f>AND(#REF!,"AAAAADlf8os=")</f>
        <v>#REF!</v>
      </c>
      <c r="EK214" t="e">
        <f>AND(#REF!,"AAAAADlf8ow=")</f>
        <v>#REF!</v>
      </c>
      <c r="EL214" t="e">
        <f>AND(#REF!,"AAAAADlf8o0=")</f>
        <v>#REF!</v>
      </c>
      <c r="EM214" t="e">
        <f>AND(#REF!,"AAAAADlf8o4=")</f>
        <v>#REF!</v>
      </c>
      <c r="EN214" t="e">
        <f>AND(#REF!,"AAAAADlf8o8=")</f>
        <v>#REF!</v>
      </c>
      <c r="EO214" t="e">
        <f>AND(#REF!,"AAAAADlf8pA=")</f>
        <v>#REF!</v>
      </c>
      <c r="EP214" t="e">
        <f>AND(#REF!,"AAAAADlf8pE=")</f>
        <v>#REF!</v>
      </c>
      <c r="EQ214" t="e">
        <f>AND(#REF!,"AAAAADlf8pI=")</f>
        <v>#REF!</v>
      </c>
      <c r="ER214" t="e">
        <f>AND(#REF!,"AAAAADlf8pM=")</f>
        <v>#REF!</v>
      </c>
      <c r="ES214" t="e">
        <f>AND(#REF!,"AAAAADlf8pQ=")</f>
        <v>#REF!</v>
      </c>
      <c r="ET214" t="e">
        <f>IF(#REF!,"AAAAADlf8pU=",0)</f>
        <v>#REF!</v>
      </c>
      <c r="EU214" t="e">
        <f>AND(#REF!,"AAAAADlf8pY=")</f>
        <v>#REF!</v>
      </c>
      <c r="EV214" t="e">
        <f>AND(#REF!,"AAAAADlf8pc=")</f>
        <v>#REF!</v>
      </c>
      <c r="EW214" t="e">
        <f>AND(#REF!,"AAAAADlf8pg=")</f>
        <v>#REF!</v>
      </c>
      <c r="EX214" t="e">
        <f>AND(#REF!,"AAAAADlf8pk=")</f>
        <v>#REF!</v>
      </c>
      <c r="EY214" t="e">
        <f>AND(#REF!,"AAAAADlf8po=")</f>
        <v>#REF!</v>
      </c>
      <c r="EZ214" t="e">
        <f>AND(#REF!,"AAAAADlf8ps=")</f>
        <v>#REF!</v>
      </c>
      <c r="FA214" t="e">
        <f>AND(#REF!,"AAAAADlf8pw=")</f>
        <v>#REF!</v>
      </c>
      <c r="FB214" t="e">
        <f>AND(#REF!,"AAAAADlf8p0=")</f>
        <v>#REF!</v>
      </c>
      <c r="FC214" t="e">
        <f>AND(#REF!,"AAAAADlf8p4=")</f>
        <v>#REF!</v>
      </c>
      <c r="FD214" t="e">
        <f>AND(#REF!,"AAAAADlf8p8=")</f>
        <v>#REF!</v>
      </c>
      <c r="FE214" t="e">
        <f>IF(#REF!,"AAAAADlf8qA=",0)</f>
        <v>#REF!</v>
      </c>
      <c r="FF214" t="e">
        <f>AND(#REF!,"AAAAADlf8qE=")</f>
        <v>#REF!</v>
      </c>
      <c r="FG214" t="e">
        <f>AND(#REF!,"AAAAADlf8qI=")</f>
        <v>#REF!</v>
      </c>
      <c r="FH214" t="e">
        <f>AND(#REF!,"AAAAADlf8qM=")</f>
        <v>#REF!</v>
      </c>
      <c r="FI214" t="e">
        <f>AND(#REF!,"AAAAADlf8qQ=")</f>
        <v>#REF!</v>
      </c>
      <c r="FJ214" t="e">
        <f>AND(#REF!,"AAAAADlf8qU=")</f>
        <v>#REF!</v>
      </c>
      <c r="FK214" t="e">
        <f>AND(#REF!,"AAAAADlf8qY=")</f>
        <v>#REF!</v>
      </c>
      <c r="FL214" t="e">
        <f>AND(#REF!,"AAAAADlf8qc=")</f>
        <v>#REF!</v>
      </c>
      <c r="FM214" t="e">
        <f>AND(#REF!,"AAAAADlf8qg=")</f>
        <v>#REF!</v>
      </c>
      <c r="FN214" t="e">
        <f>AND(#REF!,"AAAAADlf8qk=")</f>
        <v>#REF!</v>
      </c>
      <c r="FO214" t="e">
        <f>AND(#REF!,"AAAAADlf8qo=")</f>
        <v>#REF!</v>
      </c>
      <c r="FP214" t="e">
        <f>IF(#REF!,"AAAAADlf8qs=",0)</f>
        <v>#REF!</v>
      </c>
      <c r="FQ214" t="e">
        <f>AND(#REF!,"AAAAADlf8qw=")</f>
        <v>#REF!</v>
      </c>
      <c r="FR214" t="e">
        <f>AND(#REF!,"AAAAADlf8q0=")</f>
        <v>#REF!</v>
      </c>
      <c r="FS214" t="e">
        <f>AND(#REF!,"AAAAADlf8q4=")</f>
        <v>#REF!</v>
      </c>
      <c r="FT214" t="e">
        <f>AND(#REF!,"AAAAADlf8q8=")</f>
        <v>#REF!</v>
      </c>
      <c r="FU214" t="e">
        <f>AND(#REF!,"AAAAADlf8rA=")</f>
        <v>#REF!</v>
      </c>
      <c r="FV214" t="e">
        <f>AND(#REF!,"AAAAADlf8rE=")</f>
        <v>#REF!</v>
      </c>
      <c r="FW214" t="e">
        <f>AND(#REF!,"AAAAADlf8rI=")</f>
        <v>#REF!</v>
      </c>
      <c r="FX214" t="e">
        <f>AND(#REF!,"AAAAADlf8rM=")</f>
        <v>#REF!</v>
      </c>
      <c r="FY214" t="e">
        <f>AND(#REF!,"AAAAADlf8rQ=")</f>
        <v>#REF!</v>
      </c>
      <c r="FZ214" t="e">
        <f>AND(#REF!,"AAAAADlf8rU=")</f>
        <v>#REF!</v>
      </c>
      <c r="GA214" t="e">
        <f>IF(#REF!,"AAAAADlf8rY=",0)</f>
        <v>#REF!</v>
      </c>
      <c r="GB214" t="e">
        <f>AND(#REF!,"AAAAADlf8rc=")</f>
        <v>#REF!</v>
      </c>
      <c r="GC214" t="e">
        <f>AND(#REF!,"AAAAADlf8rg=")</f>
        <v>#REF!</v>
      </c>
      <c r="GD214" t="e">
        <f>AND(#REF!,"AAAAADlf8rk=")</f>
        <v>#REF!</v>
      </c>
      <c r="GE214" t="e">
        <f>AND(#REF!,"AAAAADlf8ro=")</f>
        <v>#REF!</v>
      </c>
      <c r="GF214" t="e">
        <f>AND(#REF!,"AAAAADlf8rs=")</f>
        <v>#REF!</v>
      </c>
      <c r="GG214" t="e">
        <f>AND(#REF!,"AAAAADlf8rw=")</f>
        <v>#REF!</v>
      </c>
      <c r="GH214" t="e">
        <f>AND(#REF!,"AAAAADlf8r0=")</f>
        <v>#REF!</v>
      </c>
      <c r="GI214" t="e">
        <f>AND(#REF!,"AAAAADlf8r4=")</f>
        <v>#REF!</v>
      </c>
      <c r="GJ214" t="e">
        <f>AND(#REF!,"AAAAADlf8r8=")</f>
        <v>#REF!</v>
      </c>
      <c r="GK214" t="e">
        <f>AND(#REF!,"AAAAADlf8sA=")</f>
        <v>#REF!</v>
      </c>
      <c r="GL214" t="e">
        <f>IF(#REF!,"AAAAADlf8sE=",0)</f>
        <v>#REF!</v>
      </c>
      <c r="GM214" t="e">
        <f>AND(#REF!,"AAAAADlf8sI=")</f>
        <v>#REF!</v>
      </c>
      <c r="GN214" t="e">
        <f>AND(#REF!,"AAAAADlf8sM=")</f>
        <v>#REF!</v>
      </c>
      <c r="GO214" t="e">
        <f>AND(#REF!,"AAAAADlf8sQ=")</f>
        <v>#REF!</v>
      </c>
      <c r="GP214" t="e">
        <f>AND(#REF!,"AAAAADlf8sU=")</f>
        <v>#REF!</v>
      </c>
      <c r="GQ214" t="e">
        <f>AND(#REF!,"AAAAADlf8sY=")</f>
        <v>#REF!</v>
      </c>
      <c r="GR214" t="e">
        <f>AND(#REF!,"AAAAADlf8sc=")</f>
        <v>#REF!</v>
      </c>
      <c r="GS214" t="e">
        <f>AND(#REF!,"AAAAADlf8sg=")</f>
        <v>#REF!</v>
      </c>
      <c r="GT214" t="e">
        <f>AND(#REF!,"AAAAADlf8sk=")</f>
        <v>#REF!</v>
      </c>
      <c r="GU214" t="e">
        <f>AND(#REF!,"AAAAADlf8so=")</f>
        <v>#REF!</v>
      </c>
      <c r="GV214" t="e">
        <f>AND(#REF!,"AAAAADlf8ss=")</f>
        <v>#REF!</v>
      </c>
      <c r="GW214" t="e">
        <f>IF(#REF!,"AAAAADlf8sw=",0)</f>
        <v>#REF!</v>
      </c>
      <c r="GX214" t="e">
        <f>AND(#REF!,"AAAAADlf8s0=")</f>
        <v>#REF!</v>
      </c>
      <c r="GY214" t="e">
        <f>AND(#REF!,"AAAAADlf8s4=")</f>
        <v>#REF!</v>
      </c>
      <c r="GZ214" t="e">
        <f>AND(#REF!,"AAAAADlf8s8=")</f>
        <v>#REF!</v>
      </c>
      <c r="HA214" t="e">
        <f>AND(#REF!,"AAAAADlf8tA=")</f>
        <v>#REF!</v>
      </c>
      <c r="HB214" t="e">
        <f>AND(#REF!,"AAAAADlf8tE=")</f>
        <v>#REF!</v>
      </c>
      <c r="HC214" t="e">
        <f>AND(#REF!,"AAAAADlf8tI=")</f>
        <v>#REF!</v>
      </c>
      <c r="HD214" t="e">
        <f>AND(#REF!,"AAAAADlf8tM=")</f>
        <v>#REF!</v>
      </c>
      <c r="HE214" t="e">
        <f>AND(#REF!,"AAAAADlf8tQ=")</f>
        <v>#REF!</v>
      </c>
      <c r="HF214" t="e">
        <f>AND(#REF!,"AAAAADlf8tU=")</f>
        <v>#REF!</v>
      </c>
      <c r="HG214" t="e">
        <f>AND(#REF!,"AAAAADlf8tY=")</f>
        <v>#REF!</v>
      </c>
      <c r="HH214" t="e">
        <f>IF(#REF!,"AAAAADlf8tc=",0)</f>
        <v>#REF!</v>
      </c>
      <c r="HI214" t="e">
        <f>AND(#REF!,"AAAAADlf8tg=")</f>
        <v>#REF!</v>
      </c>
      <c r="HJ214" t="e">
        <f>AND(#REF!,"AAAAADlf8tk=")</f>
        <v>#REF!</v>
      </c>
      <c r="HK214" t="e">
        <f>AND(#REF!,"AAAAADlf8to=")</f>
        <v>#REF!</v>
      </c>
      <c r="HL214" t="e">
        <f>AND(#REF!,"AAAAADlf8ts=")</f>
        <v>#REF!</v>
      </c>
      <c r="HM214" t="e">
        <f>AND(#REF!,"AAAAADlf8tw=")</f>
        <v>#REF!</v>
      </c>
      <c r="HN214" t="e">
        <f>AND(#REF!,"AAAAADlf8t0=")</f>
        <v>#REF!</v>
      </c>
      <c r="HO214" t="e">
        <f>AND(#REF!,"AAAAADlf8t4=")</f>
        <v>#REF!</v>
      </c>
      <c r="HP214" t="e">
        <f>AND(#REF!,"AAAAADlf8t8=")</f>
        <v>#REF!</v>
      </c>
      <c r="HQ214" t="e">
        <f>AND(#REF!,"AAAAADlf8uA=")</f>
        <v>#REF!</v>
      </c>
      <c r="HR214" t="e">
        <f>AND(#REF!,"AAAAADlf8uE=")</f>
        <v>#REF!</v>
      </c>
      <c r="HS214" t="e">
        <f>IF(#REF!,"AAAAADlf8uI=",0)</f>
        <v>#REF!</v>
      </c>
      <c r="HT214" t="e">
        <f>AND(#REF!,"AAAAADlf8uM=")</f>
        <v>#REF!</v>
      </c>
      <c r="HU214" t="e">
        <f>AND(#REF!,"AAAAADlf8uQ=")</f>
        <v>#REF!</v>
      </c>
      <c r="HV214" t="e">
        <f>AND(#REF!,"AAAAADlf8uU=")</f>
        <v>#REF!</v>
      </c>
      <c r="HW214" t="e">
        <f>AND(#REF!,"AAAAADlf8uY=")</f>
        <v>#REF!</v>
      </c>
      <c r="HX214" t="e">
        <f>AND(#REF!,"AAAAADlf8uc=")</f>
        <v>#REF!</v>
      </c>
      <c r="HY214" t="e">
        <f>AND(#REF!,"AAAAADlf8ug=")</f>
        <v>#REF!</v>
      </c>
      <c r="HZ214" t="e">
        <f>AND(#REF!,"AAAAADlf8uk=")</f>
        <v>#REF!</v>
      </c>
      <c r="IA214" t="e">
        <f>AND(#REF!,"AAAAADlf8uo=")</f>
        <v>#REF!</v>
      </c>
      <c r="IB214" t="e">
        <f>AND(#REF!,"AAAAADlf8us=")</f>
        <v>#REF!</v>
      </c>
      <c r="IC214" t="e">
        <f>AND(#REF!,"AAAAADlf8uw=")</f>
        <v>#REF!</v>
      </c>
      <c r="ID214" t="e">
        <f>IF(#REF!,"AAAAADlf8u0=",0)</f>
        <v>#REF!</v>
      </c>
      <c r="IE214" t="e">
        <f>AND(#REF!,"AAAAADlf8u4=")</f>
        <v>#REF!</v>
      </c>
      <c r="IF214" t="e">
        <f>AND(#REF!,"AAAAADlf8u8=")</f>
        <v>#REF!</v>
      </c>
      <c r="IG214" t="e">
        <f>AND(#REF!,"AAAAADlf8vA=")</f>
        <v>#REF!</v>
      </c>
      <c r="IH214" t="e">
        <f>AND(#REF!,"AAAAADlf8vE=")</f>
        <v>#REF!</v>
      </c>
      <c r="II214" t="e">
        <f>AND(#REF!,"AAAAADlf8vI=")</f>
        <v>#REF!</v>
      </c>
      <c r="IJ214" t="e">
        <f>AND(#REF!,"AAAAADlf8vM=")</f>
        <v>#REF!</v>
      </c>
      <c r="IK214" t="e">
        <f>AND(#REF!,"AAAAADlf8vQ=")</f>
        <v>#REF!</v>
      </c>
      <c r="IL214" t="e">
        <f>AND(#REF!,"AAAAADlf8vU=")</f>
        <v>#REF!</v>
      </c>
      <c r="IM214" t="e">
        <f>AND(#REF!,"AAAAADlf8vY=")</f>
        <v>#REF!</v>
      </c>
      <c r="IN214" t="e">
        <f>AND(#REF!,"AAAAADlf8vc=")</f>
        <v>#REF!</v>
      </c>
      <c r="IO214" t="e">
        <f>IF(#REF!,"AAAAADlf8vg=",0)</f>
        <v>#REF!</v>
      </c>
      <c r="IP214" t="e">
        <f>AND(#REF!,"AAAAADlf8vk=")</f>
        <v>#REF!</v>
      </c>
      <c r="IQ214" t="e">
        <f>AND(#REF!,"AAAAADlf8vo=")</f>
        <v>#REF!</v>
      </c>
      <c r="IR214" t="e">
        <f>AND(#REF!,"AAAAADlf8vs=")</f>
        <v>#REF!</v>
      </c>
      <c r="IS214" t="e">
        <f>AND(#REF!,"AAAAADlf8vw=")</f>
        <v>#REF!</v>
      </c>
      <c r="IT214" t="e">
        <f>AND(#REF!,"AAAAADlf8v0=")</f>
        <v>#REF!</v>
      </c>
      <c r="IU214" t="e">
        <f>AND(#REF!,"AAAAADlf8v4=")</f>
        <v>#REF!</v>
      </c>
      <c r="IV214" t="e">
        <f>AND(#REF!,"AAAAADlf8v8=")</f>
        <v>#REF!</v>
      </c>
    </row>
    <row r="215" spans="1:256" x14ac:dyDescent="0.25">
      <c r="A215" t="e">
        <f>AND(#REF!,"AAAAAD+7ygA=")</f>
        <v>#REF!</v>
      </c>
      <c r="B215" t="e">
        <f>AND(#REF!,"AAAAAD+7ygE=")</f>
        <v>#REF!</v>
      </c>
      <c r="C215" t="e">
        <f>AND(#REF!,"AAAAAD+7ygI=")</f>
        <v>#REF!</v>
      </c>
      <c r="D215" t="e">
        <f>IF(#REF!,"AAAAAD+7ygM=",0)</f>
        <v>#REF!</v>
      </c>
      <c r="E215" t="e">
        <f>AND(#REF!,"AAAAAD+7ygQ=")</f>
        <v>#REF!</v>
      </c>
      <c r="F215" t="e">
        <f>AND(#REF!,"AAAAAD+7ygU=")</f>
        <v>#REF!</v>
      </c>
      <c r="G215" t="e">
        <f>AND(#REF!,"AAAAAD+7ygY=")</f>
        <v>#REF!</v>
      </c>
      <c r="H215" t="e">
        <f>AND(#REF!,"AAAAAD+7ygc=")</f>
        <v>#REF!</v>
      </c>
      <c r="I215" t="e">
        <f>AND(#REF!,"AAAAAD+7ygg=")</f>
        <v>#REF!</v>
      </c>
      <c r="J215" t="e">
        <f>AND(#REF!,"AAAAAD+7ygk=")</f>
        <v>#REF!</v>
      </c>
      <c r="K215" t="e">
        <f>AND(#REF!,"AAAAAD+7ygo=")</f>
        <v>#REF!</v>
      </c>
      <c r="L215" t="e">
        <f>AND(#REF!,"AAAAAD+7ygs=")</f>
        <v>#REF!</v>
      </c>
      <c r="M215" t="e">
        <f>AND(#REF!,"AAAAAD+7ygw=")</f>
        <v>#REF!</v>
      </c>
      <c r="N215" t="e">
        <f>AND(#REF!,"AAAAAD+7yg0=")</f>
        <v>#REF!</v>
      </c>
      <c r="O215" t="e">
        <f>IF(#REF!,"AAAAAD+7yg4=",0)</f>
        <v>#REF!</v>
      </c>
      <c r="P215" t="e">
        <f>AND(#REF!,"AAAAAD+7yg8=")</f>
        <v>#REF!</v>
      </c>
      <c r="Q215" t="e">
        <f>AND(#REF!,"AAAAAD+7yhA=")</f>
        <v>#REF!</v>
      </c>
      <c r="R215" t="e">
        <f>AND(#REF!,"AAAAAD+7yhE=")</f>
        <v>#REF!</v>
      </c>
      <c r="S215" t="e">
        <f>AND(#REF!,"AAAAAD+7yhI=")</f>
        <v>#REF!</v>
      </c>
      <c r="T215" t="e">
        <f>AND(#REF!,"AAAAAD+7yhM=")</f>
        <v>#REF!</v>
      </c>
      <c r="U215" t="e">
        <f>AND(#REF!,"AAAAAD+7yhQ=")</f>
        <v>#REF!</v>
      </c>
      <c r="V215" t="e">
        <f>AND(#REF!,"AAAAAD+7yhU=")</f>
        <v>#REF!</v>
      </c>
      <c r="W215" t="e">
        <f>AND(#REF!,"AAAAAD+7yhY=")</f>
        <v>#REF!</v>
      </c>
      <c r="X215" t="e">
        <f>AND(#REF!,"AAAAAD+7yhc=")</f>
        <v>#REF!</v>
      </c>
      <c r="Y215" t="e">
        <f>AND(#REF!,"AAAAAD+7yhg=")</f>
        <v>#REF!</v>
      </c>
      <c r="Z215" t="e">
        <f>IF(#REF!,"AAAAAD+7yhk=",0)</f>
        <v>#REF!</v>
      </c>
      <c r="AA215" t="e">
        <f>AND(#REF!,"AAAAAD+7yho=")</f>
        <v>#REF!</v>
      </c>
      <c r="AB215" t="e">
        <f>AND(#REF!,"AAAAAD+7yhs=")</f>
        <v>#REF!</v>
      </c>
      <c r="AC215" t="e">
        <f>AND(#REF!,"AAAAAD+7yhw=")</f>
        <v>#REF!</v>
      </c>
      <c r="AD215" t="e">
        <f>AND(#REF!,"AAAAAD+7yh0=")</f>
        <v>#REF!</v>
      </c>
      <c r="AE215" t="e">
        <f>AND(#REF!,"AAAAAD+7yh4=")</f>
        <v>#REF!</v>
      </c>
      <c r="AF215" t="e">
        <f>AND(#REF!,"AAAAAD+7yh8=")</f>
        <v>#REF!</v>
      </c>
      <c r="AG215" t="e">
        <f>AND(#REF!,"AAAAAD+7yiA=")</f>
        <v>#REF!</v>
      </c>
      <c r="AH215" t="e">
        <f>AND(#REF!,"AAAAAD+7yiE=")</f>
        <v>#REF!</v>
      </c>
      <c r="AI215" t="e">
        <f>AND(#REF!,"AAAAAD+7yiI=")</f>
        <v>#REF!</v>
      </c>
      <c r="AJ215" t="e">
        <f>AND(#REF!,"AAAAAD+7yiM=")</f>
        <v>#REF!</v>
      </c>
      <c r="AK215" t="e">
        <f>IF(#REF!,"AAAAAD+7yiQ=",0)</f>
        <v>#REF!</v>
      </c>
      <c r="AL215" t="e">
        <f>AND(#REF!,"AAAAAD+7yiU=")</f>
        <v>#REF!</v>
      </c>
      <c r="AM215" t="e">
        <f>AND(#REF!,"AAAAAD+7yiY=")</f>
        <v>#REF!</v>
      </c>
      <c r="AN215" t="e">
        <f>AND(#REF!,"AAAAAD+7yic=")</f>
        <v>#REF!</v>
      </c>
      <c r="AO215" t="e">
        <f>AND(#REF!,"AAAAAD+7yig=")</f>
        <v>#REF!</v>
      </c>
      <c r="AP215" t="e">
        <f>AND(#REF!,"AAAAAD+7yik=")</f>
        <v>#REF!</v>
      </c>
      <c r="AQ215" t="e">
        <f>AND(#REF!,"AAAAAD+7yio=")</f>
        <v>#REF!</v>
      </c>
      <c r="AR215" t="e">
        <f>AND(#REF!,"AAAAAD+7yis=")</f>
        <v>#REF!</v>
      </c>
      <c r="AS215" t="e">
        <f>AND(#REF!,"AAAAAD+7yiw=")</f>
        <v>#REF!</v>
      </c>
      <c r="AT215" t="e">
        <f>AND(#REF!,"AAAAAD+7yi0=")</f>
        <v>#REF!</v>
      </c>
      <c r="AU215" t="e">
        <f>AND(#REF!,"AAAAAD+7yi4=")</f>
        <v>#REF!</v>
      </c>
      <c r="AV215" t="e">
        <f>IF(#REF!,"AAAAAD+7yi8=",0)</f>
        <v>#REF!</v>
      </c>
      <c r="AW215" t="e">
        <f>AND(#REF!,"AAAAAD+7yjA=")</f>
        <v>#REF!</v>
      </c>
      <c r="AX215" t="e">
        <f>AND(#REF!,"AAAAAD+7yjE=")</f>
        <v>#REF!</v>
      </c>
      <c r="AY215" t="e">
        <f>AND(#REF!,"AAAAAD+7yjI=")</f>
        <v>#REF!</v>
      </c>
      <c r="AZ215" t="e">
        <f>AND(#REF!,"AAAAAD+7yjM=")</f>
        <v>#REF!</v>
      </c>
      <c r="BA215" t="e">
        <f>AND(#REF!,"AAAAAD+7yjQ=")</f>
        <v>#REF!</v>
      </c>
      <c r="BB215" t="e">
        <f>AND(#REF!,"AAAAAD+7yjU=")</f>
        <v>#REF!</v>
      </c>
      <c r="BC215" t="e">
        <f>AND(#REF!,"AAAAAD+7yjY=")</f>
        <v>#REF!</v>
      </c>
      <c r="BD215" t="e">
        <f>AND(#REF!,"AAAAAD+7yjc=")</f>
        <v>#REF!</v>
      </c>
      <c r="BE215" t="e">
        <f>AND(#REF!,"AAAAAD+7yjg=")</f>
        <v>#REF!</v>
      </c>
      <c r="BF215" t="e">
        <f>AND(#REF!,"AAAAAD+7yjk=")</f>
        <v>#REF!</v>
      </c>
      <c r="BG215" t="e">
        <f>IF(#REF!,"AAAAAD+7yjo=",0)</f>
        <v>#REF!</v>
      </c>
      <c r="BH215" t="e">
        <f>AND(#REF!,"AAAAAD+7yjs=")</f>
        <v>#REF!</v>
      </c>
      <c r="BI215" t="e">
        <f>AND(#REF!,"AAAAAD+7yjw=")</f>
        <v>#REF!</v>
      </c>
      <c r="BJ215" t="e">
        <f>AND(#REF!,"AAAAAD+7yj0=")</f>
        <v>#REF!</v>
      </c>
      <c r="BK215" t="e">
        <f>AND(#REF!,"AAAAAD+7yj4=")</f>
        <v>#REF!</v>
      </c>
      <c r="BL215" t="e">
        <f>AND(#REF!,"AAAAAD+7yj8=")</f>
        <v>#REF!</v>
      </c>
      <c r="BM215" t="e">
        <f>AND(#REF!,"AAAAAD+7ykA=")</f>
        <v>#REF!</v>
      </c>
      <c r="BN215" t="e">
        <f>AND(#REF!,"AAAAAD+7ykE=")</f>
        <v>#REF!</v>
      </c>
      <c r="BO215" t="e">
        <f>AND(#REF!,"AAAAAD+7ykI=")</f>
        <v>#REF!</v>
      </c>
      <c r="BP215" t="e">
        <f>AND(#REF!,"AAAAAD+7ykM=")</f>
        <v>#REF!</v>
      </c>
      <c r="BQ215" t="e">
        <f>AND(#REF!,"AAAAAD+7ykQ=")</f>
        <v>#REF!</v>
      </c>
      <c r="BR215" t="e">
        <f>IF(#REF!,"AAAAAD+7ykU=",0)</f>
        <v>#REF!</v>
      </c>
      <c r="BS215" t="e">
        <f>AND(#REF!,"AAAAAD+7ykY=")</f>
        <v>#REF!</v>
      </c>
      <c r="BT215" t="e">
        <f>AND(#REF!,"AAAAAD+7ykc=")</f>
        <v>#REF!</v>
      </c>
      <c r="BU215" t="e">
        <f>AND(#REF!,"AAAAAD+7ykg=")</f>
        <v>#REF!</v>
      </c>
      <c r="BV215" t="e">
        <f>AND(#REF!,"AAAAAD+7ykk=")</f>
        <v>#REF!</v>
      </c>
      <c r="BW215" t="e">
        <f>AND(#REF!,"AAAAAD+7yko=")</f>
        <v>#REF!</v>
      </c>
      <c r="BX215" t="e">
        <f>AND(#REF!,"AAAAAD+7yks=")</f>
        <v>#REF!</v>
      </c>
      <c r="BY215" t="e">
        <f>AND(#REF!,"AAAAAD+7ykw=")</f>
        <v>#REF!</v>
      </c>
      <c r="BZ215" t="e">
        <f>AND(#REF!,"AAAAAD+7yk0=")</f>
        <v>#REF!</v>
      </c>
      <c r="CA215" t="e">
        <f>AND(#REF!,"AAAAAD+7yk4=")</f>
        <v>#REF!</v>
      </c>
      <c r="CB215" t="e">
        <f>AND(#REF!,"AAAAAD+7yk8=")</f>
        <v>#REF!</v>
      </c>
      <c r="CC215" t="e">
        <f>IF(#REF!,"AAAAAD+7ylA=",0)</f>
        <v>#REF!</v>
      </c>
      <c r="CD215" t="e">
        <f>AND(#REF!,"AAAAAD+7ylE=")</f>
        <v>#REF!</v>
      </c>
      <c r="CE215" t="e">
        <f>AND(#REF!,"AAAAAD+7ylI=")</f>
        <v>#REF!</v>
      </c>
      <c r="CF215" t="e">
        <f>AND(#REF!,"AAAAAD+7ylM=")</f>
        <v>#REF!</v>
      </c>
      <c r="CG215" t="e">
        <f>AND(#REF!,"AAAAAD+7ylQ=")</f>
        <v>#REF!</v>
      </c>
      <c r="CH215" t="e">
        <f>AND(#REF!,"AAAAAD+7ylU=")</f>
        <v>#REF!</v>
      </c>
      <c r="CI215" t="e">
        <f>AND(#REF!,"AAAAAD+7ylY=")</f>
        <v>#REF!</v>
      </c>
      <c r="CJ215" t="e">
        <f>AND(#REF!,"AAAAAD+7ylc=")</f>
        <v>#REF!</v>
      </c>
      <c r="CK215" t="e">
        <f>AND(#REF!,"AAAAAD+7ylg=")</f>
        <v>#REF!</v>
      </c>
      <c r="CL215" t="e">
        <f>AND(#REF!,"AAAAAD+7ylk=")</f>
        <v>#REF!</v>
      </c>
      <c r="CM215" t="e">
        <f>AND(#REF!,"AAAAAD+7ylo=")</f>
        <v>#REF!</v>
      </c>
      <c r="CN215" t="e">
        <f>IF(#REF!,"AAAAAD+7yls=",0)</f>
        <v>#REF!</v>
      </c>
      <c r="CO215" t="e">
        <f>AND(#REF!,"AAAAAD+7ylw=")</f>
        <v>#REF!</v>
      </c>
      <c r="CP215" t="e">
        <f>AND(#REF!,"AAAAAD+7yl0=")</f>
        <v>#REF!</v>
      </c>
      <c r="CQ215" t="e">
        <f>AND(#REF!,"AAAAAD+7yl4=")</f>
        <v>#REF!</v>
      </c>
      <c r="CR215" t="e">
        <f>AND(#REF!,"AAAAAD+7yl8=")</f>
        <v>#REF!</v>
      </c>
      <c r="CS215" t="e">
        <f>AND(#REF!,"AAAAAD+7ymA=")</f>
        <v>#REF!</v>
      </c>
      <c r="CT215" t="e">
        <f>AND(#REF!,"AAAAAD+7ymE=")</f>
        <v>#REF!</v>
      </c>
      <c r="CU215" t="e">
        <f>AND(#REF!,"AAAAAD+7ymI=")</f>
        <v>#REF!</v>
      </c>
      <c r="CV215" t="e">
        <f>AND(#REF!,"AAAAAD+7ymM=")</f>
        <v>#REF!</v>
      </c>
      <c r="CW215" t="e">
        <f>AND(#REF!,"AAAAAD+7ymQ=")</f>
        <v>#REF!</v>
      </c>
      <c r="CX215" t="e">
        <f>AND(#REF!,"AAAAAD+7ymU=")</f>
        <v>#REF!</v>
      </c>
      <c r="CY215" t="e">
        <f>IF(#REF!,"AAAAAD+7ymY=",0)</f>
        <v>#REF!</v>
      </c>
      <c r="CZ215" t="e">
        <f>AND(#REF!,"AAAAAD+7ymc=")</f>
        <v>#REF!</v>
      </c>
      <c r="DA215" t="e">
        <f>AND(#REF!,"AAAAAD+7ymg=")</f>
        <v>#REF!</v>
      </c>
      <c r="DB215" t="e">
        <f>AND(#REF!,"AAAAAD+7ymk=")</f>
        <v>#REF!</v>
      </c>
      <c r="DC215" t="e">
        <f>AND(#REF!,"AAAAAD+7ymo=")</f>
        <v>#REF!</v>
      </c>
      <c r="DD215" t="e">
        <f>AND(#REF!,"AAAAAD+7yms=")</f>
        <v>#REF!</v>
      </c>
      <c r="DE215" t="e">
        <f>AND(#REF!,"AAAAAD+7ymw=")</f>
        <v>#REF!</v>
      </c>
      <c r="DF215" t="e">
        <f>AND(#REF!,"AAAAAD+7ym0=")</f>
        <v>#REF!</v>
      </c>
      <c r="DG215" t="e">
        <f>AND(#REF!,"AAAAAD+7ym4=")</f>
        <v>#REF!</v>
      </c>
      <c r="DH215" t="e">
        <f>AND(#REF!,"AAAAAD+7ym8=")</f>
        <v>#REF!</v>
      </c>
      <c r="DI215" t="e">
        <f>AND(#REF!,"AAAAAD+7ynA=")</f>
        <v>#REF!</v>
      </c>
      <c r="DJ215" t="e">
        <f>IF(#REF!,"AAAAAD+7ynE=",0)</f>
        <v>#REF!</v>
      </c>
      <c r="DK215" t="e">
        <f>AND(#REF!,"AAAAAD+7ynI=")</f>
        <v>#REF!</v>
      </c>
      <c r="DL215" t="e">
        <f>AND(#REF!,"AAAAAD+7ynM=")</f>
        <v>#REF!</v>
      </c>
      <c r="DM215" t="e">
        <f>AND(#REF!,"AAAAAD+7ynQ=")</f>
        <v>#REF!</v>
      </c>
      <c r="DN215" t="e">
        <f>AND(#REF!,"AAAAAD+7ynU=")</f>
        <v>#REF!</v>
      </c>
      <c r="DO215" t="e">
        <f>AND(#REF!,"AAAAAD+7ynY=")</f>
        <v>#REF!</v>
      </c>
      <c r="DP215" t="e">
        <f>AND(#REF!,"AAAAAD+7ync=")</f>
        <v>#REF!</v>
      </c>
      <c r="DQ215" t="e">
        <f>AND(#REF!,"AAAAAD+7yng=")</f>
        <v>#REF!</v>
      </c>
      <c r="DR215" t="e">
        <f>AND(#REF!,"AAAAAD+7ynk=")</f>
        <v>#REF!</v>
      </c>
      <c r="DS215" t="e">
        <f>AND(#REF!,"AAAAAD+7yno=")</f>
        <v>#REF!</v>
      </c>
      <c r="DT215" t="e">
        <f>AND(#REF!,"AAAAAD+7yns=")</f>
        <v>#REF!</v>
      </c>
      <c r="DU215" t="e">
        <f>IF(#REF!,"AAAAAD+7ynw=",0)</f>
        <v>#REF!</v>
      </c>
      <c r="DV215" t="e">
        <f>AND(#REF!,"AAAAAD+7yn0=")</f>
        <v>#REF!</v>
      </c>
      <c r="DW215" t="e">
        <f>AND(#REF!,"AAAAAD+7yn4=")</f>
        <v>#REF!</v>
      </c>
      <c r="DX215" t="e">
        <f>AND(#REF!,"AAAAAD+7yn8=")</f>
        <v>#REF!</v>
      </c>
      <c r="DY215" t="e">
        <f>AND(#REF!,"AAAAAD+7yoA=")</f>
        <v>#REF!</v>
      </c>
      <c r="DZ215" t="e">
        <f>AND(#REF!,"AAAAAD+7yoE=")</f>
        <v>#REF!</v>
      </c>
      <c r="EA215" t="e">
        <f>AND(#REF!,"AAAAAD+7yoI=")</f>
        <v>#REF!</v>
      </c>
      <c r="EB215" t="e">
        <f>AND(#REF!,"AAAAAD+7yoM=")</f>
        <v>#REF!</v>
      </c>
      <c r="EC215" t="e">
        <f>AND(#REF!,"AAAAAD+7yoQ=")</f>
        <v>#REF!</v>
      </c>
      <c r="ED215" t="e">
        <f>AND(#REF!,"AAAAAD+7yoU=")</f>
        <v>#REF!</v>
      </c>
      <c r="EE215" t="e">
        <f>AND(#REF!,"AAAAAD+7yoY=")</f>
        <v>#REF!</v>
      </c>
      <c r="EF215" t="e">
        <f>IF(#REF!,"AAAAAD+7yoc=",0)</f>
        <v>#REF!</v>
      </c>
      <c r="EG215" t="e">
        <f>AND(#REF!,"AAAAAD+7yog=")</f>
        <v>#REF!</v>
      </c>
      <c r="EH215" t="e">
        <f>AND(#REF!,"AAAAAD+7yok=")</f>
        <v>#REF!</v>
      </c>
      <c r="EI215" t="e">
        <f>AND(#REF!,"AAAAAD+7yoo=")</f>
        <v>#REF!</v>
      </c>
      <c r="EJ215" t="e">
        <f>AND(#REF!,"AAAAAD+7yos=")</f>
        <v>#REF!</v>
      </c>
      <c r="EK215" t="e">
        <f>AND(#REF!,"AAAAAD+7yow=")</f>
        <v>#REF!</v>
      </c>
      <c r="EL215" t="e">
        <f>AND(#REF!,"AAAAAD+7yo0=")</f>
        <v>#REF!</v>
      </c>
      <c r="EM215" t="e">
        <f>AND(#REF!,"AAAAAD+7yo4=")</f>
        <v>#REF!</v>
      </c>
      <c r="EN215" t="e">
        <f>AND(#REF!,"AAAAAD+7yo8=")</f>
        <v>#REF!</v>
      </c>
      <c r="EO215" t="e">
        <f>AND(#REF!,"AAAAAD+7ypA=")</f>
        <v>#REF!</v>
      </c>
      <c r="EP215" t="e">
        <f>AND(#REF!,"AAAAAD+7ypE=")</f>
        <v>#REF!</v>
      </c>
      <c r="EQ215" t="e">
        <f>IF(#REF!,"AAAAAD+7ypI=",0)</f>
        <v>#REF!</v>
      </c>
      <c r="ER215" t="e">
        <f>AND(#REF!,"AAAAAD+7ypM=")</f>
        <v>#REF!</v>
      </c>
      <c r="ES215" t="e">
        <f>AND(#REF!,"AAAAAD+7ypQ=")</f>
        <v>#REF!</v>
      </c>
      <c r="ET215" t="e">
        <f>AND(#REF!,"AAAAAD+7ypU=")</f>
        <v>#REF!</v>
      </c>
      <c r="EU215" t="e">
        <f>AND(#REF!,"AAAAAD+7ypY=")</f>
        <v>#REF!</v>
      </c>
      <c r="EV215" t="e">
        <f>AND(#REF!,"AAAAAD+7ypc=")</f>
        <v>#REF!</v>
      </c>
      <c r="EW215" t="e">
        <f>AND(#REF!,"AAAAAD+7ypg=")</f>
        <v>#REF!</v>
      </c>
      <c r="EX215" t="e">
        <f>AND(#REF!,"AAAAAD+7ypk=")</f>
        <v>#REF!</v>
      </c>
      <c r="EY215" t="e">
        <f>AND(#REF!,"AAAAAD+7ypo=")</f>
        <v>#REF!</v>
      </c>
      <c r="EZ215" t="e">
        <f>AND(#REF!,"AAAAAD+7yps=")</f>
        <v>#REF!</v>
      </c>
      <c r="FA215" t="e">
        <f>AND(#REF!,"AAAAAD+7ypw=")</f>
        <v>#REF!</v>
      </c>
      <c r="FB215" t="e">
        <f>IF(#REF!,"AAAAAD+7yp0=",0)</f>
        <v>#REF!</v>
      </c>
      <c r="FC215" t="e">
        <f>AND(#REF!,"AAAAAD+7yp4=")</f>
        <v>#REF!</v>
      </c>
      <c r="FD215" t="e">
        <f>AND(#REF!,"AAAAAD+7yp8=")</f>
        <v>#REF!</v>
      </c>
      <c r="FE215" t="e">
        <f>AND(#REF!,"AAAAAD+7yqA=")</f>
        <v>#REF!</v>
      </c>
      <c r="FF215" t="e">
        <f>AND(#REF!,"AAAAAD+7yqE=")</f>
        <v>#REF!</v>
      </c>
      <c r="FG215" t="e">
        <f>AND(#REF!,"AAAAAD+7yqI=")</f>
        <v>#REF!</v>
      </c>
      <c r="FH215" t="e">
        <f>AND(#REF!,"AAAAAD+7yqM=")</f>
        <v>#REF!</v>
      </c>
      <c r="FI215" t="e">
        <f>AND(#REF!,"AAAAAD+7yqQ=")</f>
        <v>#REF!</v>
      </c>
      <c r="FJ215" t="e">
        <f>AND(#REF!,"AAAAAD+7yqU=")</f>
        <v>#REF!</v>
      </c>
      <c r="FK215" t="e">
        <f>AND(#REF!,"AAAAAD+7yqY=")</f>
        <v>#REF!</v>
      </c>
      <c r="FL215" t="e">
        <f>AND(#REF!,"AAAAAD+7yqc=")</f>
        <v>#REF!</v>
      </c>
      <c r="FM215" t="e">
        <f>IF(#REF!,"AAAAAD+7yqg=",0)</f>
        <v>#REF!</v>
      </c>
      <c r="FN215" t="e">
        <f>AND(#REF!,"AAAAAD+7yqk=")</f>
        <v>#REF!</v>
      </c>
      <c r="FO215" t="e">
        <f>AND(#REF!,"AAAAAD+7yqo=")</f>
        <v>#REF!</v>
      </c>
      <c r="FP215" t="e">
        <f>AND(#REF!,"AAAAAD+7yqs=")</f>
        <v>#REF!</v>
      </c>
      <c r="FQ215" t="e">
        <f>AND(#REF!,"AAAAAD+7yqw=")</f>
        <v>#REF!</v>
      </c>
      <c r="FR215" t="e">
        <f>AND(#REF!,"AAAAAD+7yq0=")</f>
        <v>#REF!</v>
      </c>
      <c r="FS215" t="e">
        <f>AND(#REF!,"AAAAAD+7yq4=")</f>
        <v>#REF!</v>
      </c>
      <c r="FT215" t="e">
        <f>AND(#REF!,"AAAAAD+7yq8=")</f>
        <v>#REF!</v>
      </c>
      <c r="FU215" t="e">
        <f>AND(#REF!,"AAAAAD+7yrA=")</f>
        <v>#REF!</v>
      </c>
      <c r="FV215" t="e">
        <f>AND(#REF!,"AAAAAD+7yrE=")</f>
        <v>#REF!</v>
      </c>
      <c r="FW215" t="e">
        <f>AND(#REF!,"AAAAAD+7yrI=")</f>
        <v>#REF!</v>
      </c>
      <c r="FX215" t="e">
        <f>IF(#REF!,"AAAAAD+7yrM=",0)</f>
        <v>#REF!</v>
      </c>
      <c r="FY215" t="e">
        <f>AND(#REF!,"AAAAAD+7yrQ=")</f>
        <v>#REF!</v>
      </c>
      <c r="FZ215" t="e">
        <f>AND(#REF!,"AAAAAD+7yrU=")</f>
        <v>#REF!</v>
      </c>
      <c r="GA215" t="e">
        <f>AND(#REF!,"AAAAAD+7yrY=")</f>
        <v>#REF!</v>
      </c>
      <c r="GB215" t="e">
        <f>AND(#REF!,"AAAAAD+7yrc=")</f>
        <v>#REF!</v>
      </c>
      <c r="GC215" t="e">
        <f>AND(#REF!,"AAAAAD+7yrg=")</f>
        <v>#REF!</v>
      </c>
      <c r="GD215" t="e">
        <f>AND(#REF!,"AAAAAD+7yrk=")</f>
        <v>#REF!</v>
      </c>
      <c r="GE215" t="e">
        <f>AND(#REF!,"AAAAAD+7yro=")</f>
        <v>#REF!</v>
      </c>
      <c r="GF215" t="e">
        <f>AND(#REF!,"AAAAAD+7yrs=")</f>
        <v>#REF!</v>
      </c>
      <c r="GG215" t="e">
        <f>AND(#REF!,"AAAAAD+7yrw=")</f>
        <v>#REF!</v>
      </c>
      <c r="GH215" t="e">
        <f>AND(#REF!,"AAAAAD+7yr0=")</f>
        <v>#REF!</v>
      </c>
      <c r="GI215" t="e">
        <f>IF(#REF!,"AAAAAD+7yr4=",0)</f>
        <v>#REF!</v>
      </c>
      <c r="GJ215" t="e">
        <f>AND(#REF!,"AAAAAD+7yr8=")</f>
        <v>#REF!</v>
      </c>
      <c r="GK215" t="e">
        <f>AND(#REF!,"AAAAAD+7ysA=")</f>
        <v>#REF!</v>
      </c>
      <c r="GL215" t="e">
        <f>AND(#REF!,"AAAAAD+7ysE=")</f>
        <v>#REF!</v>
      </c>
      <c r="GM215" t="e">
        <f>AND(#REF!,"AAAAAD+7ysI=")</f>
        <v>#REF!</v>
      </c>
      <c r="GN215" t="e">
        <f>AND(#REF!,"AAAAAD+7ysM=")</f>
        <v>#REF!</v>
      </c>
      <c r="GO215" t="e">
        <f>AND(#REF!,"AAAAAD+7ysQ=")</f>
        <v>#REF!</v>
      </c>
      <c r="GP215" t="e">
        <f>AND(#REF!,"AAAAAD+7ysU=")</f>
        <v>#REF!</v>
      </c>
      <c r="GQ215" t="e">
        <f>AND(#REF!,"AAAAAD+7ysY=")</f>
        <v>#REF!</v>
      </c>
      <c r="GR215" t="e">
        <f>AND(#REF!,"AAAAAD+7ysc=")</f>
        <v>#REF!</v>
      </c>
      <c r="GS215" t="e">
        <f>AND(#REF!,"AAAAAD+7ysg=")</f>
        <v>#REF!</v>
      </c>
      <c r="GT215" t="e">
        <f>IF(#REF!,"AAAAAD+7ysk=",0)</f>
        <v>#REF!</v>
      </c>
      <c r="GU215" t="e">
        <f>AND(#REF!,"AAAAAD+7yso=")</f>
        <v>#REF!</v>
      </c>
      <c r="GV215" t="e">
        <f>AND(#REF!,"AAAAAD+7yss=")</f>
        <v>#REF!</v>
      </c>
      <c r="GW215" t="e">
        <f>AND(#REF!,"AAAAAD+7ysw=")</f>
        <v>#REF!</v>
      </c>
      <c r="GX215" t="e">
        <f>AND(#REF!,"AAAAAD+7ys0=")</f>
        <v>#REF!</v>
      </c>
      <c r="GY215" t="e">
        <f>AND(#REF!,"AAAAAD+7ys4=")</f>
        <v>#REF!</v>
      </c>
      <c r="GZ215" t="e">
        <f>AND(#REF!,"AAAAAD+7ys8=")</f>
        <v>#REF!</v>
      </c>
      <c r="HA215" t="e">
        <f>AND(#REF!,"AAAAAD+7ytA=")</f>
        <v>#REF!</v>
      </c>
      <c r="HB215" t="e">
        <f>AND(#REF!,"AAAAAD+7ytE=")</f>
        <v>#REF!</v>
      </c>
      <c r="HC215" t="e">
        <f>AND(#REF!,"AAAAAD+7ytI=")</f>
        <v>#REF!</v>
      </c>
      <c r="HD215" t="e">
        <f>AND(#REF!,"AAAAAD+7ytM=")</f>
        <v>#REF!</v>
      </c>
      <c r="HE215" t="e">
        <f>IF(#REF!,"AAAAAD+7ytQ=",0)</f>
        <v>#REF!</v>
      </c>
      <c r="HF215" t="e">
        <f>AND(#REF!,"AAAAAD+7ytU=")</f>
        <v>#REF!</v>
      </c>
      <c r="HG215" t="e">
        <f>AND(#REF!,"AAAAAD+7ytY=")</f>
        <v>#REF!</v>
      </c>
      <c r="HH215" t="e">
        <f>AND(#REF!,"AAAAAD+7ytc=")</f>
        <v>#REF!</v>
      </c>
      <c r="HI215" t="e">
        <f>AND(#REF!,"AAAAAD+7ytg=")</f>
        <v>#REF!</v>
      </c>
      <c r="HJ215" t="e">
        <f>AND(#REF!,"AAAAAD+7ytk=")</f>
        <v>#REF!</v>
      </c>
      <c r="HK215" t="e">
        <f>AND(#REF!,"AAAAAD+7yto=")</f>
        <v>#REF!</v>
      </c>
      <c r="HL215" t="e">
        <f>AND(#REF!,"AAAAAD+7yts=")</f>
        <v>#REF!</v>
      </c>
      <c r="HM215" t="e">
        <f>AND(#REF!,"AAAAAD+7ytw=")</f>
        <v>#REF!</v>
      </c>
      <c r="HN215" t="e">
        <f>AND(#REF!,"AAAAAD+7yt0=")</f>
        <v>#REF!</v>
      </c>
      <c r="HO215" t="e">
        <f>AND(#REF!,"AAAAAD+7yt4=")</f>
        <v>#REF!</v>
      </c>
      <c r="HP215" t="e">
        <f>IF(#REF!,"AAAAAD+7yt8=",0)</f>
        <v>#REF!</v>
      </c>
      <c r="HQ215" t="e">
        <f>AND(#REF!,"AAAAAD+7yuA=")</f>
        <v>#REF!</v>
      </c>
      <c r="HR215" t="e">
        <f>AND(#REF!,"AAAAAD+7yuE=")</f>
        <v>#REF!</v>
      </c>
      <c r="HS215" t="e">
        <f>AND(#REF!,"AAAAAD+7yuI=")</f>
        <v>#REF!</v>
      </c>
      <c r="HT215" t="e">
        <f>AND(#REF!,"AAAAAD+7yuM=")</f>
        <v>#REF!</v>
      </c>
      <c r="HU215" t="e">
        <f>AND(#REF!,"AAAAAD+7yuQ=")</f>
        <v>#REF!</v>
      </c>
      <c r="HV215" t="e">
        <f>AND(#REF!,"AAAAAD+7yuU=")</f>
        <v>#REF!</v>
      </c>
      <c r="HW215" t="e">
        <f>AND(#REF!,"AAAAAD+7yuY=")</f>
        <v>#REF!</v>
      </c>
      <c r="HX215" t="e">
        <f>AND(#REF!,"AAAAAD+7yuc=")</f>
        <v>#REF!</v>
      </c>
      <c r="HY215" t="e">
        <f>AND(#REF!,"AAAAAD+7yug=")</f>
        <v>#REF!</v>
      </c>
      <c r="HZ215" t="e">
        <f>AND(#REF!,"AAAAAD+7yuk=")</f>
        <v>#REF!</v>
      </c>
      <c r="IA215" t="e">
        <f>IF(#REF!,"AAAAAD+7yuo=",0)</f>
        <v>#REF!</v>
      </c>
      <c r="IB215" t="e">
        <f>AND(#REF!,"AAAAAD+7yus=")</f>
        <v>#REF!</v>
      </c>
      <c r="IC215" t="e">
        <f>AND(#REF!,"AAAAAD+7yuw=")</f>
        <v>#REF!</v>
      </c>
      <c r="ID215" t="e">
        <f>AND(#REF!,"AAAAAD+7yu0=")</f>
        <v>#REF!</v>
      </c>
      <c r="IE215" t="e">
        <f>AND(#REF!,"AAAAAD+7yu4=")</f>
        <v>#REF!</v>
      </c>
      <c r="IF215" t="e">
        <f>AND(#REF!,"AAAAAD+7yu8=")</f>
        <v>#REF!</v>
      </c>
      <c r="IG215" t="e">
        <f>AND(#REF!,"AAAAAD+7yvA=")</f>
        <v>#REF!</v>
      </c>
      <c r="IH215" t="e">
        <f>AND(#REF!,"AAAAAD+7yvE=")</f>
        <v>#REF!</v>
      </c>
      <c r="II215" t="e">
        <f>AND(#REF!,"AAAAAD+7yvI=")</f>
        <v>#REF!</v>
      </c>
      <c r="IJ215" t="e">
        <f>AND(#REF!,"AAAAAD+7yvM=")</f>
        <v>#REF!</v>
      </c>
      <c r="IK215" t="e">
        <f>AND(#REF!,"AAAAAD+7yvQ=")</f>
        <v>#REF!</v>
      </c>
      <c r="IL215" t="e">
        <f>IF(#REF!,"AAAAAD+7yvU=",0)</f>
        <v>#REF!</v>
      </c>
      <c r="IM215" t="e">
        <f>AND(#REF!,"AAAAAD+7yvY=")</f>
        <v>#REF!</v>
      </c>
      <c r="IN215" t="e">
        <f>AND(#REF!,"AAAAAD+7yvc=")</f>
        <v>#REF!</v>
      </c>
      <c r="IO215" t="e">
        <f>AND(#REF!,"AAAAAD+7yvg=")</f>
        <v>#REF!</v>
      </c>
      <c r="IP215" t="e">
        <f>AND(#REF!,"AAAAAD+7yvk=")</f>
        <v>#REF!</v>
      </c>
      <c r="IQ215" t="e">
        <f>AND(#REF!,"AAAAAD+7yvo=")</f>
        <v>#REF!</v>
      </c>
      <c r="IR215" t="e">
        <f>AND(#REF!,"AAAAAD+7yvs=")</f>
        <v>#REF!</v>
      </c>
      <c r="IS215" t="e">
        <f>AND(#REF!,"AAAAAD+7yvw=")</f>
        <v>#REF!</v>
      </c>
      <c r="IT215" t="e">
        <f>AND(#REF!,"AAAAAD+7yv0=")</f>
        <v>#REF!</v>
      </c>
      <c r="IU215" t="e">
        <f>AND(#REF!,"AAAAAD+7yv4=")</f>
        <v>#REF!</v>
      </c>
      <c r="IV215" t="e">
        <f>AND(#REF!,"AAAAAD+7yv8=")</f>
        <v>#REF!</v>
      </c>
    </row>
    <row r="216" spans="1:256" x14ac:dyDescent="0.25">
      <c r="A216" t="e">
        <f>IF(#REF!,"AAAAAD83LQA=",0)</f>
        <v>#REF!</v>
      </c>
      <c r="B216" t="e">
        <f>AND(#REF!,"AAAAAD83LQE=")</f>
        <v>#REF!</v>
      </c>
      <c r="C216" t="e">
        <f>AND(#REF!,"AAAAAD83LQI=")</f>
        <v>#REF!</v>
      </c>
      <c r="D216" t="e">
        <f>AND(#REF!,"AAAAAD83LQM=")</f>
        <v>#REF!</v>
      </c>
      <c r="E216" t="e">
        <f>AND(#REF!,"AAAAAD83LQQ=")</f>
        <v>#REF!</v>
      </c>
      <c r="F216" t="e">
        <f>AND(#REF!,"AAAAAD83LQU=")</f>
        <v>#REF!</v>
      </c>
      <c r="G216" t="e">
        <f>AND(#REF!,"AAAAAD83LQY=")</f>
        <v>#REF!</v>
      </c>
      <c r="H216" t="e">
        <f>AND(#REF!,"AAAAAD83LQc=")</f>
        <v>#REF!</v>
      </c>
      <c r="I216" t="e">
        <f>AND(#REF!,"AAAAAD83LQg=")</f>
        <v>#REF!</v>
      </c>
      <c r="J216" t="e">
        <f>AND(#REF!,"AAAAAD83LQk=")</f>
        <v>#REF!</v>
      </c>
      <c r="K216" t="e">
        <f>AND(#REF!,"AAAAAD83LQo=")</f>
        <v>#REF!</v>
      </c>
      <c r="L216" t="e">
        <f>IF(#REF!,"AAAAAD83LQs=",0)</f>
        <v>#REF!</v>
      </c>
      <c r="M216" t="e">
        <f>AND(#REF!,"AAAAAD83LQw=")</f>
        <v>#REF!</v>
      </c>
      <c r="N216" t="e">
        <f>AND(#REF!,"AAAAAD83LQ0=")</f>
        <v>#REF!</v>
      </c>
      <c r="O216" t="e">
        <f>AND(#REF!,"AAAAAD83LQ4=")</f>
        <v>#REF!</v>
      </c>
      <c r="P216" t="e">
        <f>AND(#REF!,"AAAAAD83LQ8=")</f>
        <v>#REF!</v>
      </c>
      <c r="Q216" t="e">
        <f>AND(#REF!,"AAAAAD83LRA=")</f>
        <v>#REF!</v>
      </c>
      <c r="R216" t="e">
        <f>AND(#REF!,"AAAAAD83LRE=")</f>
        <v>#REF!</v>
      </c>
      <c r="S216" t="e">
        <f>AND(#REF!,"AAAAAD83LRI=")</f>
        <v>#REF!</v>
      </c>
      <c r="T216" t="e">
        <f>AND(#REF!,"AAAAAD83LRM=")</f>
        <v>#REF!</v>
      </c>
      <c r="U216" t="e">
        <f>AND(#REF!,"AAAAAD83LRQ=")</f>
        <v>#REF!</v>
      </c>
      <c r="V216" t="e">
        <f>AND(#REF!,"AAAAAD83LRU=")</f>
        <v>#REF!</v>
      </c>
      <c r="W216" t="e">
        <f>IF(#REF!,"AAAAAD83LRY=",0)</f>
        <v>#REF!</v>
      </c>
      <c r="X216" t="e">
        <f>AND(#REF!,"AAAAAD83LRc=")</f>
        <v>#REF!</v>
      </c>
      <c r="Y216" t="e">
        <f>AND(#REF!,"AAAAAD83LRg=")</f>
        <v>#REF!</v>
      </c>
      <c r="Z216" t="e">
        <f>AND(#REF!,"AAAAAD83LRk=")</f>
        <v>#REF!</v>
      </c>
      <c r="AA216" t="e">
        <f>AND(#REF!,"AAAAAD83LRo=")</f>
        <v>#REF!</v>
      </c>
      <c r="AB216" t="e">
        <f>AND(#REF!,"AAAAAD83LRs=")</f>
        <v>#REF!</v>
      </c>
      <c r="AC216" t="e">
        <f>AND(#REF!,"AAAAAD83LRw=")</f>
        <v>#REF!</v>
      </c>
      <c r="AD216" t="e">
        <f>AND(#REF!,"AAAAAD83LR0=")</f>
        <v>#REF!</v>
      </c>
      <c r="AE216" t="e">
        <f>AND(#REF!,"AAAAAD83LR4=")</f>
        <v>#REF!</v>
      </c>
      <c r="AF216" t="e">
        <f>AND(#REF!,"AAAAAD83LR8=")</f>
        <v>#REF!</v>
      </c>
      <c r="AG216" t="e">
        <f>AND(#REF!,"AAAAAD83LSA=")</f>
        <v>#REF!</v>
      </c>
      <c r="AH216" t="e">
        <f>IF(#REF!,"AAAAAD83LSE=",0)</f>
        <v>#REF!</v>
      </c>
      <c r="AI216" t="e">
        <f>AND(#REF!,"AAAAAD83LSI=")</f>
        <v>#REF!</v>
      </c>
      <c r="AJ216" t="e">
        <f>AND(#REF!,"AAAAAD83LSM=")</f>
        <v>#REF!</v>
      </c>
      <c r="AK216" t="e">
        <f>AND(#REF!,"AAAAAD83LSQ=")</f>
        <v>#REF!</v>
      </c>
      <c r="AL216" t="e">
        <f>AND(#REF!,"AAAAAD83LSU=")</f>
        <v>#REF!</v>
      </c>
      <c r="AM216" t="e">
        <f>AND(#REF!,"AAAAAD83LSY=")</f>
        <v>#REF!</v>
      </c>
      <c r="AN216" t="e">
        <f>AND(#REF!,"AAAAAD83LSc=")</f>
        <v>#REF!</v>
      </c>
      <c r="AO216" t="e">
        <f>AND(#REF!,"AAAAAD83LSg=")</f>
        <v>#REF!</v>
      </c>
      <c r="AP216" t="e">
        <f>AND(#REF!,"AAAAAD83LSk=")</f>
        <v>#REF!</v>
      </c>
      <c r="AQ216" t="e">
        <f>AND(#REF!,"AAAAAD83LSo=")</f>
        <v>#REF!</v>
      </c>
      <c r="AR216" t="e">
        <f>AND(#REF!,"AAAAAD83LSs=")</f>
        <v>#REF!</v>
      </c>
      <c r="AS216" t="e">
        <f>IF(#REF!,"AAAAAD83LSw=",0)</f>
        <v>#REF!</v>
      </c>
      <c r="AT216" t="e">
        <f>AND(#REF!,"AAAAAD83LS0=")</f>
        <v>#REF!</v>
      </c>
      <c r="AU216" t="e">
        <f>AND(#REF!,"AAAAAD83LS4=")</f>
        <v>#REF!</v>
      </c>
      <c r="AV216" t="e">
        <f>AND(#REF!,"AAAAAD83LS8=")</f>
        <v>#REF!</v>
      </c>
      <c r="AW216" t="e">
        <f>AND(#REF!,"AAAAAD83LTA=")</f>
        <v>#REF!</v>
      </c>
      <c r="AX216" t="e">
        <f>AND(#REF!,"AAAAAD83LTE=")</f>
        <v>#REF!</v>
      </c>
      <c r="AY216" t="e">
        <f>AND(#REF!,"AAAAAD83LTI=")</f>
        <v>#REF!</v>
      </c>
      <c r="AZ216" t="e">
        <f>AND(#REF!,"AAAAAD83LTM=")</f>
        <v>#REF!</v>
      </c>
      <c r="BA216" t="e">
        <f>AND(#REF!,"AAAAAD83LTQ=")</f>
        <v>#REF!</v>
      </c>
      <c r="BB216" t="e">
        <f>AND(#REF!,"AAAAAD83LTU=")</f>
        <v>#REF!</v>
      </c>
      <c r="BC216" t="e">
        <f>AND(#REF!,"AAAAAD83LTY=")</f>
        <v>#REF!</v>
      </c>
      <c r="BD216" t="e">
        <f>IF(#REF!,"AAAAAD83LTc=",0)</f>
        <v>#REF!</v>
      </c>
      <c r="BE216" t="e">
        <f>AND(#REF!,"AAAAAD83LTg=")</f>
        <v>#REF!</v>
      </c>
      <c r="BF216" t="e">
        <f>AND(#REF!,"AAAAAD83LTk=")</f>
        <v>#REF!</v>
      </c>
      <c r="BG216" t="e">
        <f>AND(#REF!,"AAAAAD83LTo=")</f>
        <v>#REF!</v>
      </c>
      <c r="BH216" t="e">
        <f>AND(#REF!,"AAAAAD83LTs=")</f>
        <v>#REF!</v>
      </c>
      <c r="BI216" t="e">
        <f>AND(#REF!,"AAAAAD83LTw=")</f>
        <v>#REF!</v>
      </c>
      <c r="BJ216" t="e">
        <f>AND(#REF!,"AAAAAD83LT0=")</f>
        <v>#REF!</v>
      </c>
      <c r="BK216" t="e">
        <f>AND(#REF!,"AAAAAD83LT4=")</f>
        <v>#REF!</v>
      </c>
      <c r="BL216" t="e">
        <f>AND(#REF!,"AAAAAD83LT8=")</f>
        <v>#REF!</v>
      </c>
      <c r="BM216" t="e">
        <f>AND(#REF!,"AAAAAD83LUA=")</f>
        <v>#REF!</v>
      </c>
      <c r="BN216" t="e">
        <f>AND(#REF!,"AAAAAD83LUE=")</f>
        <v>#REF!</v>
      </c>
      <c r="BO216" t="e">
        <f>IF(#REF!,"AAAAAD83LUI=",0)</f>
        <v>#REF!</v>
      </c>
      <c r="BP216" t="e">
        <f>AND(#REF!,"AAAAAD83LUM=")</f>
        <v>#REF!</v>
      </c>
      <c r="BQ216" t="e">
        <f>AND(#REF!,"AAAAAD83LUQ=")</f>
        <v>#REF!</v>
      </c>
      <c r="BR216" t="e">
        <f>AND(#REF!,"AAAAAD83LUU=")</f>
        <v>#REF!</v>
      </c>
      <c r="BS216" t="e">
        <f>AND(#REF!,"AAAAAD83LUY=")</f>
        <v>#REF!</v>
      </c>
      <c r="BT216" t="e">
        <f>AND(#REF!,"AAAAAD83LUc=")</f>
        <v>#REF!</v>
      </c>
      <c r="BU216" t="e">
        <f>AND(#REF!,"AAAAAD83LUg=")</f>
        <v>#REF!</v>
      </c>
      <c r="BV216" t="e">
        <f>AND(#REF!,"AAAAAD83LUk=")</f>
        <v>#REF!</v>
      </c>
      <c r="BW216" t="e">
        <f>AND(#REF!,"AAAAAD83LUo=")</f>
        <v>#REF!</v>
      </c>
      <c r="BX216" t="e">
        <f>AND(#REF!,"AAAAAD83LUs=")</f>
        <v>#REF!</v>
      </c>
      <c r="BY216" t="e">
        <f>AND(#REF!,"AAAAAD83LUw=")</f>
        <v>#REF!</v>
      </c>
      <c r="BZ216" t="e">
        <f>IF(#REF!,"AAAAAD83LU0=",0)</f>
        <v>#REF!</v>
      </c>
      <c r="CA216" t="e">
        <f>AND(#REF!,"AAAAAD83LU4=")</f>
        <v>#REF!</v>
      </c>
      <c r="CB216" t="e">
        <f>AND(#REF!,"AAAAAD83LU8=")</f>
        <v>#REF!</v>
      </c>
      <c r="CC216" t="e">
        <f>AND(#REF!,"AAAAAD83LVA=")</f>
        <v>#REF!</v>
      </c>
      <c r="CD216" t="e">
        <f>AND(#REF!,"AAAAAD83LVE=")</f>
        <v>#REF!</v>
      </c>
      <c r="CE216" t="e">
        <f>AND(#REF!,"AAAAAD83LVI=")</f>
        <v>#REF!</v>
      </c>
      <c r="CF216" t="e">
        <f>AND(#REF!,"AAAAAD83LVM=")</f>
        <v>#REF!</v>
      </c>
      <c r="CG216" t="e">
        <f>AND(#REF!,"AAAAAD83LVQ=")</f>
        <v>#REF!</v>
      </c>
      <c r="CH216" t="e">
        <f>AND(#REF!,"AAAAAD83LVU=")</f>
        <v>#REF!</v>
      </c>
      <c r="CI216" t="e">
        <f>AND(#REF!,"AAAAAD83LVY=")</f>
        <v>#REF!</v>
      </c>
      <c r="CJ216" t="e">
        <f>AND(#REF!,"AAAAAD83LVc=")</f>
        <v>#REF!</v>
      </c>
      <c r="CK216" t="e">
        <f>IF(#REF!,"AAAAAD83LVg=",0)</f>
        <v>#REF!</v>
      </c>
      <c r="CL216" t="e">
        <f>AND(#REF!,"AAAAAD83LVk=")</f>
        <v>#REF!</v>
      </c>
      <c r="CM216" t="e">
        <f>AND(#REF!,"AAAAAD83LVo=")</f>
        <v>#REF!</v>
      </c>
      <c r="CN216" t="e">
        <f>AND(#REF!,"AAAAAD83LVs=")</f>
        <v>#REF!</v>
      </c>
      <c r="CO216" t="e">
        <f>AND(#REF!,"AAAAAD83LVw=")</f>
        <v>#REF!</v>
      </c>
      <c r="CP216" t="e">
        <f>AND(#REF!,"AAAAAD83LV0=")</f>
        <v>#REF!</v>
      </c>
      <c r="CQ216" t="e">
        <f>AND(#REF!,"AAAAAD83LV4=")</f>
        <v>#REF!</v>
      </c>
      <c r="CR216" t="e">
        <f>AND(#REF!,"AAAAAD83LV8=")</f>
        <v>#REF!</v>
      </c>
      <c r="CS216" t="e">
        <f>AND(#REF!,"AAAAAD83LWA=")</f>
        <v>#REF!</v>
      </c>
      <c r="CT216" t="e">
        <f>AND(#REF!,"AAAAAD83LWE=")</f>
        <v>#REF!</v>
      </c>
      <c r="CU216" t="e">
        <f>AND(#REF!,"AAAAAD83LWI=")</f>
        <v>#REF!</v>
      </c>
      <c r="CV216" t="e">
        <f>IF(#REF!,"AAAAAD83LWM=",0)</f>
        <v>#REF!</v>
      </c>
      <c r="CW216" t="e">
        <f>AND(#REF!,"AAAAAD83LWQ=")</f>
        <v>#REF!</v>
      </c>
      <c r="CX216" t="e">
        <f>AND(#REF!,"AAAAAD83LWU=")</f>
        <v>#REF!</v>
      </c>
      <c r="CY216" t="e">
        <f>AND(#REF!,"AAAAAD83LWY=")</f>
        <v>#REF!</v>
      </c>
      <c r="CZ216" t="e">
        <f>AND(#REF!,"AAAAAD83LWc=")</f>
        <v>#REF!</v>
      </c>
      <c r="DA216" t="e">
        <f>AND(#REF!,"AAAAAD83LWg=")</f>
        <v>#REF!</v>
      </c>
      <c r="DB216" t="e">
        <f>AND(#REF!,"AAAAAD83LWk=")</f>
        <v>#REF!</v>
      </c>
      <c r="DC216" t="e">
        <f>AND(#REF!,"AAAAAD83LWo=")</f>
        <v>#REF!</v>
      </c>
      <c r="DD216" t="e">
        <f>AND(#REF!,"AAAAAD83LWs=")</f>
        <v>#REF!</v>
      </c>
      <c r="DE216" t="e">
        <f>AND(#REF!,"AAAAAD83LWw=")</f>
        <v>#REF!</v>
      </c>
      <c r="DF216" t="e">
        <f>AND(#REF!,"AAAAAD83LW0=")</f>
        <v>#REF!</v>
      </c>
      <c r="DG216" t="e">
        <f>IF(#REF!,"AAAAAD83LW4=",0)</f>
        <v>#REF!</v>
      </c>
      <c r="DH216" t="e">
        <f>AND(#REF!,"AAAAAD83LW8=")</f>
        <v>#REF!</v>
      </c>
      <c r="DI216" t="e">
        <f>AND(#REF!,"AAAAAD83LXA=")</f>
        <v>#REF!</v>
      </c>
      <c r="DJ216" t="e">
        <f>AND(#REF!,"AAAAAD83LXE=")</f>
        <v>#REF!</v>
      </c>
      <c r="DK216" t="e">
        <f>AND(#REF!,"AAAAAD83LXI=")</f>
        <v>#REF!</v>
      </c>
      <c r="DL216" t="e">
        <f>AND(#REF!,"AAAAAD83LXM=")</f>
        <v>#REF!</v>
      </c>
      <c r="DM216" t="e">
        <f>AND(#REF!,"AAAAAD83LXQ=")</f>
        <v>#REF!</v>
      </c>
      <c r="DN216" t="e">
        <f>AND(#REF!,"AAAAAD83LXU=")</f>
        <v>#REF!</v>
      </c>
      <c r="DO216" t="e">
        <f>AND(#REF!,"AAAAAD83LXY=")</f>
        <v>#REF!</v>
      </c>
      <c r="DP216" t="e">
        <f>AND(#REF!,"AAAAAD83LXc=")</f>
        <v>#REF!</v>
      </c>
      <c r="DQ216" t="e">
        <f>AND(#REF!,"AAAAAD83LXg=")</f>
        <v>#REF!</v>
      </c>
      <c r="DR216" t="e">
        <f>IF(#REF!,"AAAAAD83LXk=",0)</f>
        <v>#REF!</v>
      </c>
      <c r="DS216" t="e">
        <f>AND(#REF!,"AAAAAD83LXo=")</f>
        <v>#REF!</v>
      </c>
      <c r="DT216" t="e">
        <f>AND(#REF!,"AAAAAD83LXs=")</f>
        <v>#REF!</v>
      </c>
      <c r="DU216" t="e">
        <f>AND(#REF!,"AAAAAD83LXw=")</f>
        <v>#REF!</v>
      </c>
      <c r="DV216" t="e">
        <f>AND(#REF!,"AAAAAD83LX0=")</f>
        <v>#REF!</v>
      </c>
      <c r="DW216" t="e">
        <f>AND(#REF!,"AAAAAD83LX4=")</f>
        <v>#REF!</v>
      </c>
      <c r="DX216" t="e">
        <f>AND(#REF!,"AAAAAD83LX8=")</f>
        <v>#REF!</v>
      </c>
      <c r="DY216" t="e">
        <f>AND(#REF!,"AAAAAD83LYA=")</f>
        <v>#REF!</v>
      </c>
      <c r="DZ216" t="e">
        <f>AND(#REF!,"AAAAAD83LYE=")</f>
        <v>#REF!</v>
      </c>
      <c r="EA216" t="e">
        <f>AND(#REF!,"AAAAAD83LYI=")</f>
        <v>#REF!</v>
      </c>
      <c r="EB216" t="e">
        <f>AND(#REF!,"AAAAAD83LYM=")</f>
        <v>#REF!</v>
      </c>
      <c r="EC216" t="e">
        <f>IF(#REF!,"AAAAAD83LYQ=",0)</f>
        <v>#REF!</v>
      </c>
      <c r="ED216" t="e">
        <f>AND(#REF!,"AAAAAD83LYU=")</f>
        <v>#REF!</v>
      </c>
      <c r="EE216" t="e">
        <f>AND(#REF!,"AAAAAD83LYY=")</f>
        <v>#REF!</v>
      </c>
      <c r="EF216" t="e">
        <f>AND(#REF!,"AAAAAD83LYc=")</f>
        <v>#REF!</v>
      </c>
      <c r="EG216" t="e">
        <f>AND(#REF!,"AAAAAD83LYg=")</f>
        <v>#REF!</v>
      </c>
      <c r="EH216" t="e">
        <f>AND(#REF!,"AAAAAD83LYk=")</f>
        <v>#REF!</v>
      </c>
      <c r="EI216" t="e">
        <f>AND(#REF!,"AAAAAD83LYo=")</f>
        <v>#REF!</v>
      </c>
      <c r="EJ216" t="e">
        <f>AND(#REF!,"AAAAAD83LYs=")</f>
        <v>#REF!</v>
      </c>
      <c r="EK216" t="e">
        <f>AND(#REF!,"AAAAAD83LYw=")</f>
        <v>#REF!</v>
      </c>
      <c r="EL216" t="e">
        <f>AND(#REF!,"AAAAAD83LY0=")</f>
        <v>#REF!</v>
      </c>
      <c r="EM216" t="e">
        <f>AND(#REF!,"AAAAAD83LY4=")</f>
        <v>#REF!</v>
      </c>
      <c r="EN216" t="e">
        <f>IF(#REF!,"AAAAAD83LY8=",0)</f>
        <v>#REF!</v>
      </c>
      <c r="EO216" t="e">
        <f>AND(#REF!,"AAAAAD83LZA=")</f>
        <v>#REF!</v>
      </c>
      <c r="EP216" t="e">
        <f>AND(#REF!,"AAAAAD83LZE=")</f>
        <v>#REF!</v>
      </c>
      <c r="EQ216" t="e">
        <f>AND(#REF!,"AAAAAD83LZI=")</f>
        <v>#REF!</v>
      </c>
      <c r="ER216" t="e">
        <f>AND(#REF!,"AAAAAD83LZM=")</f>
        <v>#REF!</v>
      </c>
      <c r="ES216" t="e">
        <f>AND(#REF!,"AAAAAD83LZQ=")</f>
        <v>#REF!</v>
      </c>
      <c r="ET216" t="e">
        <f>AND(#REF!,"AAAAAD83LZU=")</f>
        <v>#REF!</v>
      </c>
      <c r="EU216" t="e">
        <f>AND(#REF!,"AAAAAD83LZY=")</f>
        <v>#REF!</v>
      </c>
      <c r="EV216" t="e">
        <f>AND(#REF!,"AAAAAD83LZc=")</f>
        <v>#REF!</v>
      </c>
      <c r="EW216" t="e">
        <f>AND(#REF!,"AAAAAD83LZg=")</f>
        <v>#REF!</v>
      </c>
      <c r="EX216" t="e">
        <f>AND(#REF!,"AAAAAD83LZk=")</f>
        <v>#REF!</v>
      </c>
      <c r="EY216" t="e">
        <f>IF(#REF!,"AAAAAD83LZo=",0)</f>
        <v>#REF!</v>
      </c>
      <c r="EZ216" t="e">
        <f>AND(#REF!,"AAAAAD83LZs=")</f>
        <v>#REF!</v>
      </c>
      <c r="FA216" t="e">
        <f>AND(#REF!,"AAAAAD83LZw=")</f>
        <v>#REF!</v>
      </c>
      <c r="FB216" t="e">
        <f>AND(#REF!,"AAAAAD83LZ0=")</f>
        <v>#REF!</v>
      </c>
      <c r="FC216" t="e">
        <f>AND(#REF!,"AAAAAD83LZ4=")</f>
        <v>#REF!</v>
      </c>
      <c r="FD216" t="e">
        <f>AND(#REF!,"AAAAAD83LZ8=")</f>
        <v>#REF!</v>
      </c>
      <c r="FE216" t="e">
        <f>AND(#REF!,"AAAAAD83LaA=")</f>
        <v>#REF!</v>
      </c>
      <c r="FF216" t="e">
        <f>AND(#REF!,"AAAAAD83LaE=")</f>
        <v>#REF!</v>
      </c>
      <c r="FG216" t="e">
        <f>AND(#REF!,"AAAAAD83LaI=")</f>
        <v>#REF!</v>
      </c>
      <c r="FH216" t="e">
        <f>AND(#REF!,"AAAAAD83LaM=")</f>
        <v>#REF!</v>
      </c>
      <c r="FI216" t="e">
        <f>AND(#REF!,"AAAAAD83LaQ=")</f>
        <v>#REF!</v>
      </c>
      <c r="FJ216" t="e">
        <f>IF(#REF!,"AAAAAD83LaU=",0)</f>
        <v>#REF!</v>
      </c>
      <c r="FK216" t="e">
        <f>AND(#REF!,"AAAAAD83LaY=")</f>
        <v>#REF!</v>
      </c>
      <c r="FL216" t="e">
        <f>AND(#REF!,"AAAAAD83Lac=")</f>
        <v>#REF!</v>
      </c>
      <c r="FM216" t="e">
        <f>AND(#REF!,"AAAAAD83Lag=")</f>
        <v>#REF!</v>
      </c>
      <c r="FN216" t="e">
        <f>AND(#REF!,"AAAAAD83Lak=")</f>
        <v>#REF!</v>
      </c>
      <c r="FO216" t="e">
        <f>AND(#REF!,"AAAAAD83Lao=")</f>
        <v>#REF!</v>
      </c>
      <c r="FP216" t="e">
        <f>AND(#REF!,"AAAAAD83Las=")</f>
        <v>#REF!</v>
      </c>
      <c r="FQ216" t="e">
        <f>AND(#REF!,"AAAAAD83Law=")</f>
        <v>#REF!</v>
      </c>
      <c r="FR216" t="e">
        <f>AND(#REF!,"AAAAAD83La0=")</f>
        <v>#REF!</v>
      </c>
      <c r="FS216" t="e">
        <f>AND(#REF!,"AAAAAD83La4=")</f>
        <v>#REF!</v>
      </c>
      <c r="FT216" t="e">
        <f>AND(#REF!,"AAAAAD83La8=")</f>
        <v>#REF!</v>
      </c>
      <c r="FU216" t="e">
        <f>IF(#REF!,"AAAAAD83LbA=",0)</f>
        <v>#REF!</v>
      </c>
      <c r="FV216" t="e">
        <f>AND(#REF!,"AAAAAD83LbE=")</f>
        <v>#REF!</v>
      </c>
      <c r="FW216" t="e">
        <f>AND(#REF!,"AAAAAD83LbI=")</f>
        <v>#REF!</v>
      </c>
      <c r="FX216" t="e">
        <f>AND(#REF!,"AAAAAD83LbM=")</f>
        <v>#REF!</v>
      </c>
      <c r="FY216" t="e">
        <f>AND(#REF!,"AAAAAD83LbQ=")</f>
        <v>#REF!</v>
      </c>
      <c r="FZ216" t="e">
        <f>AND(#REF!,"AAAAAD83LbU=")</f>
        <v>#REF!</v>
      </c>
      <c r="GA216" t="e">
        <f>AND(#REF!,"AAAAAD83LbY=")</f>
        <v>#REF!</v>
      </c>
      <c r="GB216" t="e">
        <f>AND(#REF!,"AAAAAD83Lbc=")</f>
        <v>#REF!</v>
      </c>
      <c r="GC216" t="e">
        <f>AND(#REF!,"AAAAAD83Lbg=")</f>
        <v>#REF!</v>
      </c>
      <c r="GD216" t="e">
        <f>AND(#REF!,"AAAAAD83Lbk=")</f>
        <v>#REF!</v>
      </c>
      <c r="GE216" t="e">
        <f>AND(#REF!,"AAAAAD83Lbo=")</f>
        <v>#REF!</v>
      </c>
      <c r="GF216" t="e">
        <f>IF(#REF!,"AAAAAD83Lbs=",0)</f>
        <v>#REF!</v>
      </c>
      <c r="GG216" t="e">
        <f>AND(#REF!,"AAAAAD83Lbw=")</f>
        <v>#REF!</v>
      </c>
      <c r="GH216" t="e">
        <f>AND(#REF!,"AAAAAD83Lb0=")</f>
        <v>#REF!</v>
      </c>
      <c r="GI216" t="e">
        <f>AND(#REF!,"AAAAAD83Lb4=")</f>
        <v>#REF!</v>
      </c>
      <c r="GJ216" t="e">
        <f>AND(#REF!,"AAAAAD83Lb8=")</f>
        <v>#REF!</v>
      </c>
      <c r="GK216" t="e">
        <f>AND(#REF!,"AAAAAD83LcA=")</f>
        <v>#REF!</v>
      </c>
      <c r="GL216" t="e">
        <f>AND(#REF!,"AAAAAD83LcE=")</f>
        <v>#REF!</v>
      </c>
      <c r="GM216" t="e">
        <f>AND(#REF!,"AAAAAD83LcI=")</f>
        <v>#REF!</v>
      </c>
      <c r="GN216" t="e">
        <f>AND(#REF!,"AAAAAD83LcM=")</f>
        <v>#REF!</v>
      </c>
      <c r="GO216" t="e">
        <f>AND(#REF!,"AAAAAD83LcQ=")</f>
        <v>#REF!</v>
      </c>
      <c r="GP216" t="e">
        <f>AND(#REF!,"AAAAAD83LcU=")</f>
        <v>#REF!</v>
      </c>
      <c r="GQ216" t="e">
        <f>IF(#REF!,"AAAAAD83LcY=",0)</f>
        <v>#REF!</v>
      </c>
      <c r="GR216" t="e">
        <f>AND(#REF!,"AAAAAD83Lcc=")</f>
        <v>#REF!</v>
      </c>
      <c r="GS216" t="e">
        <f>AND(#REF!,"AAAAAD83Lcg=")</f>
        <v>#REF!</v>
      </c>
      <c r="GT216" t="e">
        <f>AND(#REF!,"AAAAAD83Lck=")</f>
        <v>#REF!</v>
      </c>
      <c r="GU216" t="e">
        <f>AND(#REF!,"AAAAAD83Lco=")</f>
        <v>#REF!</v>
      </c>
      <c r="GV216" t="e">
        <f>AND(#REF!,"AAAAAD83Lcs=")</f>
        <v>#REF!</v>
      </c>
      <c r="GW216" t="e">
        <f>AND(#REF!,"AAAAAD83Lcw=")</f>
        <v>#REF!</v>
      </c>
      <c r="GX216" t="e">
        <f>AND(#REF!,"AAAAAD83Lc0=")</f>
        <v>#REF!</v>
      </c>
      <c r="GY216" t="e">
        <f>AND(#REF!,"AAAAAD83Lc4=")</f>
        <v>#REF!</v>
      </c>
      <c r="GZ216" t="e">
        <f>AND(#REF!,"AAAAAD83Lc8=")</f>
        <v>#REF!</v>
      </c>
      <c r="HA216" t="e">
        <f>AND(#REF!,"AAAAAD83LdA=")</f>
        <v>#REF!</v>
      </c>
      <c r="HB216" t="e">
        <f>IF(#REF!,"AAAAAD83LdE=",0)</f>
        <v>#REF!</v>
      </c>
      <c r="HC216" t="e">
        <f>AND(#REF!,"AAAAAD83LdI=")</f>
        <v>#REF!</v>
      </c>
      <c r="HD216" t="e">
        <f>AND(#REF!,"AAAAAD83LdM=")</f>
        <v>#REF!</v>
      </c>
      <c r="HE216" t="e">
        <f>AND(#REF!,"AAAAAD83LdQ=")</f>
        <v>#REF!</v>
      </c>
      <c r="HF216" t="e">
        <f>AND(#REF!,"AAAAAD83LdU=")</f>
        <v>#REF!</v>
      </c>
      <c r="HG216" t="e">
        <f>AND(#REF!,"AAAAAD83LdY=")</f>
        <v>#REF!</v>
      </c>
      <c r="HH216" t="e">
        <f>AND(#REF!,"AAAAAD83Ldc=")</f>
        <v>#REF!</v>
      </c>
      <c r="HI216" t="e">
        <f>AND(#REF!,"AAAAAD83Ldg=")</f>
        <v>#REF!</v>
      </c>
      <c r="HJ216" t="e">
        <f>AND(#REF!,"AAAAAD83Ldk=")</f>
        <v>#REF!</v>
      </c>
      <c r="HK216" t="e">
        <f>AND(#REF!,"AAAAAD83Ldo=")</f>
        <v>#REF!</v>
      </c>
      <c r="HL216" t="e">
        <f>AND(#REF!,"AAAAAD83Lds=")</f>
        <v>#REF!</v>
      </c>
      <c r="HM216" t="e">
        <f>IF(#REF!,"AAAAAD83Ldw=",0)</f>
        <v>#REF!</v>
      </c>
      <c r="HN216" t="e">
        <f>AND(#REF!,"AAAAAD83Ld0=")</f>
        <v>#REF!</v>
      </c>
      <c r="HO216" t="e">
        <f>AND(#REF!,"AAAAAD83Ld4=")</f>
        <v>#REF!</v>
      </c>
      <c r="HP216" t="e">
        <f>AND(#REF!,"AAAAAD83Ld8=")</f>
        <v>#REF!</v>
      </c>
      <c r="HQ216" t="e">
        <f>AND(#REF!,"AAAAAD83LeA=")</f>
        <v>#REF!</v>
      </c>
      <c r="HR216" t="e">
        <f>AND(#REF!,"AAAAAD83LeE=")</f>
        <v>#REF!</v>
      </c>
      <c r="HS216" t="e">
        <f>AND(#REF!,"AAAAAD83LeI=")</f>
        <v>#REF!</v>
      </c>
      <c r="HT216" t="e">
        <f>AND(#REF!,"AAAAAD83LeM=")</f>
        <v>#REF!</v>
      </c>
      <c r="HU216" t="e">
        <f>AND(#REF!,"AAAAAD83LeQ=")</f>
        <v>#REF!</v>
      </c>
      <c r="HV216" t="e">
        <f>AND(#REF!,"AAAAAD83LeU=")</f>
        <v>#REF!</v>
      </c>
      <c r="HW216" t="e">
        <f>AND(#REF!,"AAAAAD83LeY=")</f>
        <v>#REF!</v>
      </c>
      <c r="HX216" t="e">
        <f>IF(#REF!,"AAAAAD83Lec=",0)</f>
        <v>#REF!</v>
      </c>
      <c r="HY216" t="e">
        <f>AND(#REF!,"AAAAAD83Leg=")</f>
        <v>#REF!</v>
      </c>
      <c r="HZ216" t="e">
        <f>AND(#REF!,"AAAAAD83Lek=")</f>
        <v>#REF!</v>
      </c>
      <c r="IA216" t="e">
        <f>AND(#REF!,"AAAAAD83Leo=")</f>
        <v>#REF!</v>
      </c>
      <c r="IB216" t="e">
        <f>AND(#REF!,"AAAAAD83Les=")</f>
        <v>#REF!</v>
      </c>
      <c r="IC216" t="e">
        <f>AND(#REF!,"AAAAAD83Lew=")</f>
        <v>#REF!</v>
      </c>
      <c r="ID216" t="e">
        <f>AND(#REF!,"AAAAAD83Le0=")</f>
        <v>#REF!</v>
      </c>
      <c r="IE216" t="e">
        <f>AND(#REF!,"AAAAAD83Le4=")</f>
        <v>#REF!</v>
      </c>
      <c r="IF216" t="e">
        <f>AND(#REF!,"AAAAAD83Le8=")</f>
        <v>#REF!</v>
      </c>
      <c r="IG216" t="e">
        <f>AND(#REF!,"AAAAAD83LfA=")</f>
        <v>#REF!</v>
      </c>
      <c r="IH216" t="e">
        <f>AND(#REF!,"AAAAAD83LfE=")</f>
        <v>#REF!</v>
      </c>
      <c r="II216" t="e">
        <f>IF(#REF!,"AAAAAD83LfI=",0)</f>
        <v>#REF!</v>
      </c>
      <c r="IJ216" t="e">
        <f>AND(#REF!,"AAAAAD83LfM=")</f>
        <v>#REF!</v>
      </c>
      <c r="IK216" t="e">
        <f>AND(#REF!,"AAAAAD83LfQ=")</f>
        <v>#REF!</v>
      </c>
      <c r="IL216" t="e">
        <f>AND(#REF!,"AAAAAD83LfU=")</f>
        <v>#REF!</v>
      </c>
      <c r="IM216" t="e">
        <f>AND(#REF!,"AAAAAD83LfY=")</f>
        <v>#REF!</v>
      </c>
      <c r="IN216" t="e">
        <f>AND(#REF!,"AAAAAD83Lfc=")</f>
        <v>#REF!</v>
      </c>
      <c r="IO216" t="e">
        <f>AND(#REF!,"AAAAAD83Lfg=")</f>
        <v>#REF!</v>
      </c>
      <c r="IP216" t="e">
        <f>AND(#REF!,"AAAAAD83Lfk=")</f>
        <v>#REF!</v>
      </c>
      <c r="IQ216" t="e">
        <f>AND(#REF!,"AAAAAD83Lfo=")</f>
        <v>#REF!</v>
      </c>
      <c r="IR216" t="e">
        <f>AND(#REF!,"AAAAAD83Lfs=")</f>
        <v>#REF!</v>
      </c>
      <c r="IS216" t="e">
        <f>AND(#REF!,"AAAAAD83Lfw=")</f>
        <v>#REF!</v>
      </c>
      <c r="IT216" t="e">
        <f>IF(#REF!,"AAAAAD83Lf0=",0)</f>
        <v>#REF!</v>
      </c>
      <c r="IU216" t="e">
        <f>AND(#REF!,"AAAAAD83Lf4=")</f>
        <v>#REF!</v>
      </c>
      <c r="IV216" t="e">
        <f>AND(#REF!,"AAAAAD83Lf8=")</f>
        <v>#REF!</v>
      </c>
    </row>
    <row r="217" spans="1:256" x14ac:dyDescent="0.25">
      <c r="A217" t="e">
        <f>AND(#REF!,"AAAAAFzw6wA=")</f>
        <v>#REF!</v>
      </c>
      <c r="B217" t="e">
        <f>AND(#REF!,"AAAAAFzw6wE=")</f>
        <v>#REF!</v>
      </c>
      <c r="C217" t="e">
        <f>AND(#REF!,"AAAAAFzw6wI=")</f>
        <v>#REF!</v>
      </c>
      <c r="D217" t="e">
        <f>AND(#REF!,"AAAAAFzw6wM=")</f>
        <v>#REF!</v>
      </c>
      <c r="E217" t="e">
        <f>AND(#REF!,"AAAAAFzw6wQ=")</f>
        <v>#REF!</v>
      </c>
      <c r="F217" t="e">
        <f>AND(#REF!,"AAAAAFzw6wU=")</f>
        <v>#REF!</v>
      </c>
      <c r="G217" t="e">
        <f>AND(#REF!,"AAAAAFzw6wY=")</f>
        <v>#REF!</v>
      </c>
      <c r="H217" t="e">
        <f>AND(#REF!,"AAAAAFzw6wc=")</f>
        <v>#REF!</v>
      </c>
      <c r="I217" t="e">
        <f>IF(#REF!,"AAAAAFzw6wg=",0)</f>
        <v>#REF!</v>
      </c>
      <c r="J217" t="e">
        <f>AND(#REF!,"AAAAAFzw6wk=")</f>
        <v>#REF!</v>
      </c>
      <c r="K217" t="e">
        <f>AND(#REF!,"AAAAAFzw6wo=")</f>
        <v>#REF!</v>
      </c>
      <c r="L217" t="e">
        <f>AND(#REF!,"AAAAAFzw6ws=")</f>
        <v>#REF!</v>
      </c>
      <c r="M217" t="e">
        <f>AND(#REF!,"AAAAAFzw6ww=")</f>
        <v>#REF!</v>
      </c>
      <c r="N217" t="e">
        <f>AND(#REF!,"AAAAAFzw6w0=")</f>
        <v>#REF!</v>
      </c>
      <c r="O217" t="e">
        <f>AND(#REF!,"AAAAAFzw6w4=")</f>
        <v>#REF!</v>
      </c>
      <c r="P217" t="e">
        <f>AND(#REF!,"AAAAAFzw6w8=")</f>
        <v>#REF!</v>
      </c>
      <c r="Q217" t="e">
        <f>AND(#REF!,"AAAAAFzw6xA=")</f>
        <v>#REF!</v>
      </c>
      <c r="R217" t="e">
        <f>AND(#REF!,"AAAAAFzw6xE=")</f>
        <v>#REF!</v>
      </c>
      <c r="S217" t="e">
        <f>AND(#REF!,"AAAAAFzw6xI=")</f>
        <v>#REF!</v>
      </c>
      <c r="T217" t="e">
        <f>IF(#REF!,"AAAAAFzw6xM=",0)</f>
        <v>#REF!</v>
      </c>
      <c r="U217" t="e">
        <f>AND(#REF!,"AAAAAFzw6xQ=")</f>
        <v>#REF!</v>
      </c>
      <c r="V217" t="e">
        <f>AND(#REF!,"AAAAAFzw6xU=")</f>
        <v>#REF!</v>
      </c>
      <c r="W217" t="e">
        <f>AND(#REF!,"AAAAAFzw6xY=")</f>
        <v>#REF!</v>
      </c>
      <c r="X217" t="e">
        <f>AND(#REF!,"AAAAAFzw6xc=")</f>
        <v>#REF!</v>
      </c>
      <c r="Y217" t="e">
        <f>AND(#REF!,"AAAAAFzw6xg=")</f>
        <v>#REF!</v>
      </c>
      <c r="Z217" t="e">
        <f>AND(#REF!,"AAAAAFzw6xk=")</f>
        <v>#REF!</v>
      </c>
      <c r="AA217" t="e">
        <f>AND(#REF!,"AAAAAFzw6xo=")</f>
        <v>#REF!</v>
      </c>
      <c r="AB217" t="e">
        <f>AND(#REF!,"AAAAAFzw6xs=")</f>
        <v>#REF!</v>
      </c>
      <c r="AC217" t="e">
        <f>AND(#REF!,"AAAAAFzw6xw=")</f>
        <v>#REF!</v>
      </c>
      <c r="AD217" t="e">
        <f>AND(#REF!,"AAAAAFzw6x0=")</f>
        <v>#REF!</v>
      </c>
      <c r="AE217" t="e">
        <f>IF(#REF!,"AAAAAFzw6x4=",0)</f>
        <v>#REF!</v>
      </c>
      <c r="AF217" t="e">
        <f>AND(#REF!,"AAAAAFzw6x8=")</f>
        <v>#REF!</v>
      </c>
      <c r="AG217" t="e">
        <f>AND(#REF!,"AAAAAFzw6yA=")</f>
        <v>#REF!</v>
      </c>
      <c r="AH217" t="e">
        <f>AND(#REF!,"AAAAAFzw6yE=")</f>
        <v>#REF!</v>
      </c>
      <c r="AI217" t="e">
        <f>AND(#REF!,"AAAAAFzw6yI=")</f>
        <v>#REF!</v>
      </c>
      <c r="AJ217" t="e">
        <f>AND(#REF!,"AAAAAFzw6yM=")</f>
        <v>#REF!</v>
      </c>
      <c r="AK217" t="e">
        <f>AND(#REF!,"AAAAAFzw6yQ=")</f>
        <v>#REF!</v>
      </c>
      <c r="AL217" t="e">
        <f>AND(#REF!,"AAAAAFzw6yU=")</f>
        <v>#REF!</v>
      </c>
      <c r="AM217" t="e">
        <f>AND(#REF!,"AAAAAFzw6yY=")</f>
        <v>#REF!</v>
      </c>
      <c r="AN217" t="e">
        <f>AND(#REF!,"AAAAAFzw6yc=")</f>
        <v>#REF!</v>
      </c>
      <c r="AO217" t="e">
        <f>AND(#REF!,"AAAAAFzw6yg=")</f>
        <v>#REF!</v>
      </c>
      <c r="AP217" t="e">
        <f>IF(#REF!,"AAAAAFzw6yk=",0)</f>
        <v>#REF!</v>
      </c>
      <c r="AQ217" t="e">
        <f>AND(#REF!,"AAAAAFzw6yo=")</f>
        <v>#REF!</v>
      </c>
      <c r="AR217" t="e">
        <f>AND(#REF!,"AAAAAFzw6ys=")</f>
        <v>#REF!</v>
      </c>
      <c r="AS217" t="e">
        <f>AND(#REF!,"AAAAAFzw6yw=")</f>
        <v>#REF!</v>
      </c>
      <c r="AT217" t="e">
        <f>AND(#REF!,"AAAAAFzw6y0=")</f>
        <v>#REF!</v>
      </c>
      <c r="AU217" t="e">
        <f>AND(#REF!,"AAAAAFzw6y4=")</f>
        <v>#REF!</v>
      </c>
      <c r="AV217" t="e">
        <f>AND(#REF!,"AAAAAFzw6y8=")</f>
        <v>#REF!</v>
      </c>
      <c r="AW217" t="e">
        <f>AND(#REF!,"AAAAAFzw6zA=")</f>
        <v>#REF!</v>
      </c>
      <c r="AX217" t="e">
        <f>AND(#REF!,"AAAAAFzw6zE=")</f>
        <v>#REF!</v>
      </c>
      <c r="AY217" t="e">
        <f>AND(#REF!,"AAAAAFzw6zI=")</f>
        <v>#REF!</v>
      </c>
      <c r="AZ217" t="e">
        <f>AND(#REF!,"AAAAAFzw6zM=")</f>
        <v>#REF!</v>
      </c>
      <c r="BA217" t="e">
        <f>IF(#REF!,"AAAAAFzw6zQ=",0)</f>
        <v>#REF!</v>
      </c>
      <c r="BB217" t="e">
        <f>AND(#REF!,"AAAAAFzw6zU=")</f>
        <v>#REF!</v>
      </c>
      <c r="BC217" t="e">
        <f>AND(#REF!,"AAAAAFzw6zY=")</f>
        <v>#REF!</v>
      </c>
      <c r="BD217" t="e">
        <f>AND(#REF!,"AAAAAFzw6zc=")</f>
        <v>#REF!</v>
      </c>
      <c r="BE217" t="e">
        <f>AND(#REF!,"AAAAAFzw6zg=")</f>
        <v>#REF!</v>
      </c>
      <c r="BF217" t="e">
        <f>AND(#REF!,"AAAAAFzw6zk=")</f>
        <v>#REF!</v>
      </c>
      <c r="BG217" t="e">
        <f>AND(#REF!,"AAAAAFzw6zo=")</f>
        <v>#REF!</v>
      </c>
      <c r="BH217" t="e">
        <f>AND(#REF!,"AAAAAFzw6zs=")</f>
        <v>#REF!</v>
      </c>
      <c r="BI217" t="e">
        <f>AND(#REF!,"AAAAAFzw6zw=")</f>
        <v>#REF!</v>
      </c>
      <c r="BJ217" t="e">
        <f>AND(#REF!,"AAAAAFzw6z0=")</f>
        <v>#REF!</v>
      </c>
      <c r="BK217" t="e">
        <f>AND(#REF!,"AAAAAFzw6z4=")</f>
        <v>#REF!</v>
      </c>
      <c r="BL217" t="e">
        <f>IF(#REF!,"AAAAAFzw6z8=",0)</f>
        <v>#REF!</v>
      </c>
      <c r="BM217" t="e">
        <f>AND(#REF!,"AAAAAFzw60A=")</f>
        <v>#REF!</v>
      </c>
      <c r="BN217" t="e">
        <f>AND(#REF!,"AAAAAFzw60E=")</f>
        <v>#REF!</v>
      </c>
      <c r="BO217" t="e">
        <f>AND(#REF!,"AAAAAFzw60I=")</f>
        <v>#REF!</v>
      </c>
      <c r="BP217" t="e">
        <f>AND(#REF!,"AAAAAFzw60M=")</f>
        <v>#REF!</v>
      </c>
      <c r="BQ217" t="e">
        <f>AND(#REF!,"AAAAAFzw60Q=")</f>
        <v>#REF!</v>
      </c>
      <c r="BR217" t="e">
        <f>AND(#REF!,"AAAAAFzw60U=")</f>
        <v>#REF!</v>
      </c>
      <c r="BS217" t="e">
        <f>AND(#REF!,"AAAAAFzw60Y=")</f>
        <v>#REF!</v>
      </c>
      <c r="BT217" t="e">
        <f>AND(#REF!,"AAAAAFzw60c=")</f>
        <v>#REF!</v>
      </c>
      <c r="BU217" t="e">
        <f>AND(#REF!,"AAAAAFzw60g=")</f>
        <v>#REF!</v>
      </c>
      <c r="BV217" t="e">
        <f>AND(#REF!,"AAAAAFzw60k=")</f>
        <v>#REF!</v>
      </c>
      <c r="BW217" t="e">
        <f>IF(#REF!,"AAAAAFzw60o=",0)</f>
        <v>#REF!</v>
      </c>
      <c r="BX217" t="e">
        <f>AND(#REF!,"AAAAAFzw60s=")</f>
        <v>#REF!</v>
      </c>
      <c r="BY217" t="e">
        <f>AND(#REF!,"AAAAAFzw60w=")</f>
        <v>#REF!</v>
      </c>
      <c r="BZ217" t="e">
        <f>AND(#REF!,"AAAAAFzw600=")</f>
        <v>#REF!</v>
      </c>
      <c r="CA217" t="e">
        <f>AND(#REF!,"AAAAAFzw604=")</f>
        <v>#REF!</v>
      </c>
      <c r="CB217" t="e">
        <f>AND(#REF!,"AAAAAFzw608=")</f>
        <v>#REF!</v>
      </c>
      <c r="CC217" t="e">
        <f>AND(#REF!,"AAAAAFzw61A=")</f>
        <v>#REF!</v>
      </c>
      <c r="CD217" t="e">
        <f>AND(#REF!,"AAAAAFzw61E=")</f>
        <v>#REF!</v>
      </c>
      <c r="CE217" t="e">
        <f>AND(#REF!,"AAAAAFzw61I=")</f>
        <v>#REF!</v>
      </c>
      <c r="CF217" t="e">
        <f>AND(#REF!,"AAAAAFzw61M=")</f>
        <v>#REF!</v>
      </c>
      <c r="CG217" t="e">
        <f>AND(#REF!,"AAAAAFzw61Q=")</f>
        <v>#REF!</v>
      </c>
      <c r="CH217" t="e">
        <f>IF(#REF!,"AAAAAFzw61U=",0)</f>
        <v>#REF!</v>
      </c>
      <c r="CI217" t="e">
        <f>AND(#REF!,"AAAAAFzw61Y=")</f>
        <v>#REF!</v>
      </c>
      <c r="CJ217" t="e">
        <f>AND(#REF!,"AAAAAFzw61c=")</f>
        <v>#REF!</v>
      </c>
      <c r="CK217" t="e">
        <f>AND(#REF!,"AAAAAFzw61g=")</f>
        <v>#REF!</v>
      </c>
      <c r="CL217" t="e">
        <f>AND(#REF!,"AAAAAFzw61k=")</f>
        <v>#REF!</v>
      </c>
      <c r="CM217" t="e">
        <f>AND(#REF!,"AAAAAFzw61o=")</f>
        <v>#REF!</v>
      </c>
      <c r="CN217" t="e">
        <f>AND(#REF!,"AAAAAFzw61s=")</f>
        <v>#REF!</v>
      </c>
      <c r="CO217" t="e">
        <f>AND(#REF!,"AAAAAFzw61w=")</f>
        <v>#REF!</v>
      </c>
      <c r="CP217" t="e">
        <f>AND(#REF!,"AAAAAFzw610=")</f>
        <v>#REF!</v>
      </c>
      <c r="CQ217" t="e">
        <f>AND(#REF!,"AAAAAFzw614=")</f>
        <v>#REF!</v>
      </c>
      <c r="CR217" t="e">
        <f>AND(#REF!,"AAAAAFzw618=")</f>
        <v>#REF!</v>
      </c>
      <c r="CS217" t="e">
        <f>IF(#REF!,"AAAAAFzw62A=",0)</f>
        <v>#REF!</v>
      </c>
      <c r="CT217" t="e">
        <f>AND(#REF!,"AAAAAFzw62E=")</f>
        <v>#REF!</v>
      </c>
      <c r="CU217" t="e">
        <f>AND(#REF!,"AAAAAFzw62I=")</f>
        <v>#REF!</v>
      </c>
      <c r="CV217" t="e">
        <f>AND(#REF!,"AAAAAFzw62M=")</f>
        <v>#REF!</v>
      </c>
      <c r="CW217" t="e">
        <f>AND(#REF!,"AAAAAFzw62Q=")</f>
        <v>#REF!</v>
      </c>
      <c r="CX217" t="e">
        <f>AND(#REF!,"AAAAAFzw62U=")</f>
        <v>#REF!</v>
      </c>
      <c r="CY217" t="e">
        <f>AND(#REF!,"AAAAAFzw62Y=")</f>
        <v>#REF!</v>
      </c>
      <c r="CZ217" t="e">
        <f>AND(#REF!,"AAAAAFzw62c=")</f>
        <v>#REF!</v>
      </c>
      <c r="DA217" t="e">
        <f>AND(#REF!,"AAAAAFzw62g=")</f>
        <v>#REF!</v>
      </c>
      <c r="DB217" t="e">
        <f>AND(#REF!,"AAAAAFzw62k=")</f>
        <v>#REF!</v>
      </c>
      <c r="DC217" t="e">
        <f>AND(#REF!,"AAAAAFzw62o=")</f>
        <v>#REF!</v>
      </c>
      <c r="DD217" t="e">
        <f>IF(#REF!,"AAAAAFzw62s=",0)</f>
        <v>#REF!</v>
      </c>
      <c r="DE217" t="e">
        <f>AND(#REF!,"AAAAAFzw62w=")</f>
        <v>#REF!</v>
      </c>
      <c r="DF217" t="e">
        <f>AND(#REF!,"AAAAAFzw620=")</f>
        <v>#REF!</v>
      </c>
      <c r="DG217" t="e">
        <f>AND(#REF!,"AAAAAFzw624=")</f>
        <v>#REF!</v>
      </c>
      <c r="DH217" t="e">
        <f>AND(#REF!,"AAAAAFzw628=")</f>
        <v>#REF!</v>
      </c>
      <c r="DI217" t="e">
        <f>AND(#REF!,"AAAAAFzw63A=")</f>
        <v>#REF!</v>
      </c>
      <c r="DJ217" t="e">
        <f>AND(#REF!,"AAAAAFzw63E=")</f>
        <v>#REF!</v>
      </c>
      <c r="DK217" t="e">
        <f>AND(#REF!,"AAAAAFzw63I=")</f>
        <v>#REF!</v>
      </c>
      <c r="DL217" t="e">
        <f>AND(#REF!,"AAAAAFzw63M=")</f>
        <v>#REF!</v>
      </c>
      <c r="DM217" t="e">
        <f>AND(#REF!,"AAAAAFzw63Q=")</f>
        <v>#REF!</v>
      </c>
      <c r="DN217" t="e">
        <f>AND(#REF!,"AAAAAFzw63U=")</f>
        <v>#REF!</v>
      </c>
      <c r="DO217" t="e">
        <f>IF(#REF!,"AAAAAFzw63Y=",0)</f>
        <v>#REF!</v>
      </c>
      <c r="DP217" t="e">
        <f>AND(#REF!,"AAAAAFzw63c=")</f>
        <v>#REF!</v>
      </c>
      <c r="DQ217" t="e">
        <f>AND(#REF!,"AAAAAFzw63g=")</f>
        <v>#REF!</v>
      </c>
      <c r="DR217" t="e">
        <f>AND(#REF!,"AAAAAFzw63k=")</f>
        <v>#REF!</v>
      </c>
      <c r="DS217" t="e">
        <f>AND(#REF!,"AAAAAFzw63o=")</f>
        <v>#REF!</v>
      </c>
      <c r="DT217" t="e">
        <f>AND(#REF!,"AAAAAFzw63s=")</f>
        <v>#REF!</v>
      </c>
      <c r="DU217" t="e">
        <f>AND(#REF!,"AAAAAFzw63w=")</f>
        <v>#REF!</v>
      </c>
      <c r="DV217" t="e">
        <f>AND(#REF!,"AAAAAFzw630=")</f>
        <v>#REF!</v>
      </c>
      <c r="DW217" t="e">
        <f>AND(#REF!,"AAAAAFzw634=")</f>
        <v>#REF!</v>
      </c>
      <c r="DX217" t="e">
        <f>AND(#REF!,"AAAAAFzw638=")</f>
        <v>#REF!</v>
      </c>
      <c r="DY217" t="e">
        <f>AND(#REF!,"AAAAAFzw64A=")</f>
        <v>#REF!</v>
      </c>
      <c r="DZ217" t="e">
        <f>IF(#REF!,"AAAAAFzw64E=",0)</f>
        <v>#REF!</v>
      </c>
      <c r="EA217" t="e">
        <f>AND(#REF!,"AAAAAFzw64I=")</f>
        <v>#REF!</v>
      </c>
      <c r="EB217" t="e">
        <f>AND(#REF!,"AAAAAFzw64M=")</f>
        <v>#REF!</v>
      </c>
      <c r="EC217" t="e">
        <f>AND(#REF!,"AAAAAFzw64Q=")</f>
        <v>#REF!</v>
      </c>
      <c r="ED217" t="e">
        <f>AND(#REF!,"AAAAAFzw64U=")</f>
        <v>#REF!</v>
      </c>
      <c r="EE217" t="e">
        <f>AND(#REF!,"AAAAAFzw64Y=")</f>
        <v>#REF!</v>
      </c>
      <c r="EF217" t="e">
        <f>AND(#REF!,"AAAAAFzw64c=")</f>
        <v>#REF!</v>
      </c>
      <c r="EG217" t="e">
        <f>AND(#REF!,"AAAAAFzw64g=")</f>
        <v>#REF!</v>
      </c>
      <c r="EH217" t="e">
        <f>AND(#REF!,"AAAAAFzw64k=")</f>
        <v>#REF!</v>
      </c>
      <c r="EI217" t="e">
        <f>AND(#REF!,"AAAAAFzw64o=")</f>
        <v>#REF!</v>
      </c>
      <c r="EJ217" t="e">
        <f>AND(#REF!,"AAAAAFzw64s=")</f>
        <v>#REF!</v>
      </c>
      <c r="EK217" t="e">
        <f>IF(#REF!,"AAAAAFzw64w=",0)</f>
        <v>#REF!</v>
      </c>
      <c r="EL217" t="e">
        <f>AND(#REF!,"AAAAAFzw640=")</f>
        <v>#REF!</v>
      </c>
      <c r="EM217" t="e">
        <f>AND(#REF!,"AAAAAFzw644=")</f>
        <v>#REF!</v>
      </c>
      <c r="EN217" t="e">
        <f>AND(#REF!,"AAAAAFzw648=")</f>
        <v>#REF!</v>
      </c>
      <c r="EO217" t="e">
        <f>AND(#REF!,"AAAAAFzw65A=")</f>
        <v>#REF!</v>
      </c>
      <c r="EP217" t="e">
        <f>AND(#REF!,"AAAAAFzw65E=")</f>
        <v>#REF!</v>
      </c>
      <c r="EQ217" t="e">
        <f>AND(#REF!,"AAAAAFzw65I=")</f>
        <v>#REF!</v>
      </c>
      <c r="ER217" t="e">
        <f>AND(#REF!,"AAAAAFzw65M=")</f>
        <v>#REF!</v>
      </c>
      <c r="ES217" t="e">
        <f>AND(#REF!,"AAAAAFzw65Q=")</f>
        <v>#REF!</v>
      </c>
      <c r="ET217" t="e">
        <f>AND(#REF!,"AAAAAFzw65U=")</f>
        <v>#REF!</v>
      </c>
      <c r="EU217" t="e">
        <f>AND(#REF!,"AAAAAFzw65Y=")</f>
        <v>#REF!</v>
      </c>
      <c r="EV217" t="e">
        <f>IF(#REF!,"AAAAAFzw65c=",0)</f>
        <v>#REF!</v>
      </c>
      <c r="EW217" t="e">
        <f>AND(#REF!,"AAAAAFzw65g=")</f>
        <v>#REF!</v>
      </c>
      <c r="EX217" t="e">
        <f>AND(#REF!,"AAAAAFzw65k=")</f>
        <v>#REF!</v>
      </c>
      <c r="EY217" t="e">
        <f>AND(#REF!,"AAAAAFzw65o=")</f>
        <v>#REF!</v>
      </c>
      <c r="EZ217" t="e">
        <f>AND(#REF!,"AAAAAFzw65s=")</f>
        <v>#REF!</v>
      </c>
      <c r="FA217" t="e">
        <f>AND(#REF!,"AAAAAFzw65w=")</f>
        <v>#REF!</v>
      </c>
      <c r="FB217" t="e">
        <f>AND(#REF!,"AAAAAFzw650=")</f>
        <v>#REF!</v>
      </c>
      <c r="FC217" t="e">
        <f>AND(#REF!,"AAAAAFzw654=")</f>
        <v>#REF!</v>
      </c>
      <c r="FD217" t="e">
        <f>AND(#REF!,"AAAAAFzw658=")</f>
        <v>#REF!</v>
      </c>
      <c r="FE217" t="e">
        <f>AND(#REF!,"AAAAAFzw66A=")</f>
        <v>#REF!</v>
      </c>
      <c r="FF217" t="e">
        <f>AND(#REF!,"AAAAAFzw66E=")</f>
        <v>#REF!</v>
      </c>
      <c r="FG217" t="e">
        <f>IF(#REF!,"AAAAAFzw66I=",0)</f>
        <v>#REF!</v>
      </c>
      <c r="FH217" t="e">
        <f>AND(#REF!,"AAAAAFzw66M=")</f>
        <v>#REF!</v>
      </c>
      <c r="FI217" t="e">
        <f>AND(#REF!,"AAAAAFzw66Q=")</f>
        <v>#REF!</v>
      </c>
      <c r="FJ217" t="e">
        <f>AND(#REF!,"AAAAAFzw66U=")</f>
        <v>#REF!</v>
      </c>
      <c r="FK217" t="e">
        <f>AND(#REF!,"AAAAAFzw66Y=")</f>
        <v>#REF!</v>
      </c>
      <c r="FL217" t="e">
        <f>AND(#REF!,"AAAAAFzw66c=")</f>
        <v>#REF!</v>
      </c>
      <c r="FM217" t="e">
        <f>AND(#REF!,"AAAAAFzw66g=")</f>
        <v>#REF!</v>
      </c>
      <c r="FN217" t="e">
        <f>AND(#REF!,"AAAAAFzw66k=")</f>
        <v>#REF!</v>
      </c>
      <c r="FO217" t="e">
        <f>AND(#REF!,"AAAAAFzw66o=")</f>
        <v>#REF!</v>
      </c>
      <c r="FP217" t="e">
        <f>AND(#REF!,"AAAAAFzw66s=")</f>
        <v>#REF!</v>
      </c>
      <c r="FQ217" t="e">
        <f>AND(#REF!,"AAAAAFzw66w=")</f>
        <v>#REF!</v>
      </c>
      <c r="FR217" t="e">
        <f>IF(#REF!,"AAAAAFzw660=",0)</f>
        <v>#REF!</v>
      </c>
      <c r="FS217" t="e">
        <f>AND(#REF!,"AAAAAFzw664=")</f>
        <v>#REF!</v>
      </c>
      <c r="FT217" t="e">
        <f>AND(#REF!,"AAAAAFzw668=")</f>
        <v>#REF!</v>
      </c>
      <c r="FU217" t="e">
        <f>AND(#REF!,"AAAAAFzw67A=")</f>
        <v>#REF!</v>
      </c>
      <c r="FV217" t="e">
        <f>AND(#REF!,"AAAAAFzw67E=")</f>
        <v>#REF!</v>
      </c>
      <c r="FW217" t="e">
        <f>AND(#REF!,"AAAAAFzw67I=")</f>
        <v>#REF!</v>
      </c>
      <c r="FX217" t="e">
        <f>AND(#REF!,"AAAAAFzw67M=")</f>
        <v>#REF!</v>
      </c>
      <c r="FY217" t="e">
        <f>AND(#REF!,"AAAAAFzw67Q=")</f>
        <v>#REF!</v>
      </c>
      <c r="FZ217" t="e">
        <f>AND(#REF!,"AAAAAFzw67U=")</f>
        <v>#REF!</v>
      </c>
      <c r="GA217" t="e">
        <f>AND(#REF!,"AAAAAFzw67Y=")</f>
        <v>#REF!</v>
      </c>
      <c r="GB217" t="e">
        <f>AND(#REF!,"AAAAAFzw67c=")</f>
        <v>#REF!</v>
      </c>
      <c r="GC217" t="e">
        <f>IF(#REF!,"AAAAAFzw67g=",0)</f>
        <v>#REF!</v>
      </c>
      <c r="GD217" t="e">
        <f>AND(#REF!,"AAAAAFzw67k=")</f>
        <v>#REF!</v>
      </c>
      <c r="GE217" t="e">
        <f>AND(#REF!,"AAAAAFzw67o=")</f>
        <v>#REF!</v>
      </c>
      <c r="GF217" t="e">
        <f>AND(#REF!,"AAAAAFzw67s=")</f>
        <v>#REF!</v>
      </c>
      <c r="GG217" t="e">
        <f>AND(#REF!,"AAAAAFzw67w=")</f>
        <v>#REF!</v>
      </c>
      <c r="GH217" t="e">
        <f>AND(#REF!,"AAAAAFzw670=")</f>
        <v>#REF!</v>
      </c>
      <c r="GI217" t="e">
        <f>AND(#REF!,"AAAAAFzw674=")</f>
        <v>#REF!</v>
      </c>
      <c r="GJ217" t="e">
        <f>AND(#REF!,"AAAAAFzw678=")</f>
        <v>#REF!</v>
      </c>
      <c r="GK217" t="e">
        <f>AND(#REF!,"AAAAAFzw68A=")</f>
        <v>#REF!</v>
      </c>
      <c r="GL217" t="e">
        <f>AND(#REF!,"AAAAAFzw68E=")</f>
        <v>#REF!</v>
      </c>
      <c r="GM217" t="e">
        <f>AND(#REF!,"AAAAAFzw68I=")</f>
        <v>#REF!</v>
      </c>
      <c r="GN217" t="e">
        <f>IF(#REF!,"AAAAAFzw68M=",0)</f>
        <v>#REF!</v>
      </c>
      <c r="GO217" t="e">
        <f>AND(#REF!,"AAAAAFzw68Q=")</f>
        <v>#REF!</v>
      </c>
      <c r="GP217" t="e">
        <f>AND(#REF!,"AAAAAFzw68U=")</f>
        <v>#REF!</v>
      </c>
      <c r="GQ217" t="e">
        <f>AND(#REF!,"AAAAAFzw68Y=")</f>
        <v>#REF!</v>
      </c>
      <c r="GR217" t="e">
        <f>AND(#REF!,"AAAAAFzw68c=")</f>
        <v>#REF!</v>
      </c>
      <c r="GS217" t="e">
        <f>AND(#REF!,"AAAAAFzw68g=")</f>
        <v>#REF!</v>
      </c>
      <c r="GT217" t="e">
        <f>AND(#REF!,"AAAAAFzw68k=")</f>
        <v>#REF!</v>
      </c>
      <c r="GU217" t="e">
        <f>AND(#REF!,"AAAAAFzw68o=")</f>
        <v>#REF!</v>
      </c>
      <c r="GV217" t="e">
        <f>AND(#REF!,"AAAAAFzw68s=")</f>
        <v>#REF!</v>
      </c>
      <c r="GW217" t="e">
        <f>AND(#REF!,"AAAAAFzw68w=")</f>
        <v>#REF!</v>
      </c>
      <c r="GX217" t="e">
        <f>AND(#REF!,"AAAAAFzw680=")</f>
        <v>#REF!</v>
      </c>
      <c r="GY217" t="e">
        <f>IF(#REF!,"AAAAAFzw684=",0)</f>
        <v>#REF!</v>
      </c>
      <c r="GZ217" t="e">
        <f>AND(#REF!,"AAAAAFzw688=")</f>
        <v>#REF!</v>
      </c>
      <c r="HA217" t="e">
        <f>AND(#REF!,"AAAAAFzw69A=")</f>
        <v>#REF!</v>
      </c>
      <c r="HB217" t="e">
        <f>AND(#REF!,"AAAAAFzw69E=")</f>
        <v>#REF!</v>
      </c>
      <c r="HC217" t="e">
        <f>AND(#REF!,"AAAAAFzw69I=")</f>
        <v>#REF!</v>
      </c>
      <c r="HD217" t="e">
        <f>AND(#REF!,"AAAAAFzw69M=")</f>
        <v>#REF!</v>
      </c>
      <c r="HE217" t="e">
        <f>AND(#REF!,"AAAAAFzw69Q=")</f>
        <v>#REF!</v>
      </c>
      <c r="HF217" t="e">
        <f>AND(#REF!,"AAAAAFzw69U=")</f>
        <v>#REF!</v>
      </c>
      <c r="HG217" t="e">
        <f>AND(#REF!,"AAAAAFzw69Y=")</f>
        <v>#REF!</v>
      </c>
      <c r="HH217" t="e">
        <f>AND(#REF!,"AAAAAFzw69c=")</f>
        <v>#REF!</v>
      </c>
      <c r="HI217" t="e">
        <f>AND(#REF!,"AAAAAFzw69g=")</f>
        <v>#REF!</v>
      </c>
      <c r="HJ217" t="e">
        <f>IF(#REF!,"AAAAAFzw69k=",0)</f>
        <v>#REF!</v>
      </c>
      <c r="HK217" t="e">
        <f>AND(#REF!,"AAAAAFzw69o=")</f>
        <v>#REF!</v>
      </c>
      <c r="HL217" t="e">
        <f>AND(#REF!,"AAAAAFzw69s=")</f>
        <v>#REF!</v>
      </c>
      <c r="HM217" t="e">
        <f>AND(#REF!,"AAAAAFzw69w=")</f>
        <v>#REF!</v>
      </c>
      <c r="HN217" t="e">
        <f>AND(#REF!,"AAAAAFzw690=")</f>
        <v>#REF!</v>
      </c>
      <c r="HO217" t="e">
        <f>AND(#REF!,"AAAAAFzw694=")</f>
        <v>#REF!</v>
      </c>
      <c r="HP217" t="e">
        <f>AND(#REF!,"AAAAAFzw698=")</f>
        <v>#REF!</v>
      </c>
      <c r="HQ217" t="e">
        <f>AND(#REF!,"AAAAAFzw6+A=")</f>
        <v>#REF!</v>
      </c>
      <c r="HR217" t="e">
        <f>AND(#REF!,"AAAAAFzw6+E=")</f>
        <v>#REF!</v>
      </c>
      <c r="HS217" t="e">
        <f>AND(#REF!,"AAAAAFzw6+I=")</f>
        <v>#REF!</v>
      </c>
      <c r="HT217" t="e">
        <f>AND(#REF!,"AAAAAFzw6+M=")</f>
        <v>#REF!</v>
      </c>
      <c r="HU217" t="e">
        <f>IF(#REF!,"AAAAAFzw6+Q=",0)</f>
        <v>#REF!</v>
      </c>
      <c r="HV217" t="e">
        <f>AND(#REF!,"AAAAAFzw6+U=")</f>
        <v>#REF!</v>
      </c>
      <c r="HW217" t="e">
        <f>AND(#REF!,"AAAAAFzw6+Y=")</f>
        <v>#REF!</v>
      </c>
      <c r="HX217" t="e">
        <f>AND(#REF!,"AAAAAFzw6+c=")</f>
        <v>#REF!</v>
      </c>
      <c r="HY217" t="e">
        <f>AND(#REF!,"AAAAAFzw6+g=")</f>
        <v>#REF!</v>
      </c>
      <c r="HZ217" t="e">
        <f>AND(#REF!,"AAAAAFzw6+k=")</f>
        <v>#REF!</v>
      </c>
      <c r="IA217" t="e">
        <f>AND(#REF!,"AAAAAFzw6+o=")</f>
        <v>#REF!</v>
      </c>
      <c r="IB217" t="e">
        <f>AND(#REF!,"AAAAAFzw6+s=")</f>
        <v>#REF!</v>
      </c>
      <c r="IC217" t="e">
        <f>AND(#REF!,"AAAAAFzw6+w=")</f>
        <v>#REF!</v>
      </c>
      <c r="ID217" t="e">
        <f>AND(#REF!,"AAAAAFzw6+0=")</f>
        <v>#REF!</v>
      </c>
      <c r="IE217" t="e">
        <f>AND(#REF!,"AAAAAFzw6+4=")</f>
        <v>#REF!</v>
      </c>
      <c r="IF217" t="e">
        <f>IF(#REF!,"AAAAAFzw6+8=",0)</f>
        <v>#REF!</v>
      </c>
      <c r="IG217" t="e">
        <f>AND(#REF!,"AAAAAFzw6/A=")</f>
        <v>#REF!</v>
      </c>
      <c r="IH217" t="e">
        <f>AND(#REF!,"AAAAAFzw6/E=")</f>
        <v>#REF!</v>
      </c>
      <c r="II217" t="e">
        <f>AND(#REF!,"AAAAAFzw6/I=")</f>
        <v>#REF!</v>
      </c>
      <c r="IJ217" t="e">
        <f>AND(#REF!,"AAAAAFzw6/M=")</f>
        <v>#REF!</v>
      </c>
      <c r="IK217" t="e">
        <f>AND(#REF!,"AAAAAFzw6/Q=")</f>
        <v>#REF!</v>
      </c>
      <c r="IL217" t="e">
        <f>AND(#REF!,"AAAAAFzw6/U=")</f>
        <v>#REF!</v>
      </c>
      <c r="IM217" t="e">
        <f>AND(#REF!,"AAAAAFzw6/Y=")</f>
        <v>#REF!</v>
      </c>
      <c r="IN217" t="e">
        <f>AND(#REF!,"AAAAAFzw6/c=")</f>
        <v>#REF!</v>
      </c>
      <c r="IO217" t="e">
        <f>AND(#REF!,"AAAAAFzw6/g=")</f>
        <v>#REF!</v>
      </c>
      <c r="IP217" t="e">
        <f>AND(#REF!,"AAAAAFzw6/k=")</f>
        <v>#REF!</v>
      </c>
      <c r="IQ217" t="e">
        <f>IF(#REF!,"AAAAAFzw6/o=",0)</f>
        <v>#REF!</v>
      </c>
      <c r="IR217" t="e">
        <f>AND(#REF!,"AAAAAFzw6/s=")</f>
        <v>#REF!</v>
      </c>
      <c r="IS217" t="e">
        <f>AND(#REF!,"AAAAAFzw6/w=")</f>
        <v>#REF!</v>
      </c>
      <c r="IT217" t="e">
        <f>AND(#REF!,"AAAAAFzw6/0=")</f>
        <v>#REF!</v>
      </c>
      <c r="IU217" t="e">
        <f>AND(#REF!,"AAAAAFzw6/4=")</f>
        <v>#REF!</v>
      </c>
      <c r="IV217" t="e">
        <f>AND(#REF!,"AAAAAFzw6/8=")</f>
        <v>#REF!</v>
      </c>
    </row>
    <row r="218" spans="1:256" x14ac:dyDescent="0.25">
      <c r="A218" t="e">
        <f>AND(#REF!,"AAAAAH97XgA=")</f>
        <v>#REF!</v>
      </c>
      <c r="B218" t="e">
        <f>AND(#REF!,"AAAAAH97XgE=")</f>
        <v>#REF!</v>
      </c>
      <c r="C218" t="e">
        <f>AND(#REF!,"AAAAAH97XgI=")</f>
        <v>#REF!</v>
      </c>
      <c r="D218" t="e">
        <f>AND(#REF!,"AAAAAH97XgM=")</f>
        <v>#REF!</v>
      </c>
      <c r="E218" t="e">
        <f>AND(#REF!,"AAAAAH97XgQ=")</f>
        <v>#REF!</v>
      </c>
      <c r="F218" t="e">
        <f>IF(#REF!,"AAAAAH97XgU=",0)</f>
        <v>#REF!</v>
      </c>
      <c r="G218" t="e">
        <f>AND(#REF!,"AAAAAH97XgY=")</f>
        <v>#REF!</v>
      </c>
      <c r="H218" t="e">
        <f>AND(#REF!,"AAAAAH97Xgc=")</f>
        <v>#REF!</v>
      </c>
      <c r="I218" t="e">
        <f>AND(#REF!,"AAAAAH97Xgg=")</f>
        <v>#REF!</v>
      </c>
      <c r="J218" t="e">
        <f>AND(#REF!,"AAAAAH97Xgk=")</f>
        <v>#REF!</v>
      </c>
      <c r="K218" t="e">
        <f>AND(#REF!,"AAAAAH97Xgo=")</f>
        <v>#REF!</v>
      </c>
      <c r="L218" t="e">
        <f>AND(#REF!,"AAAAAH97Xgs=")</f>
        <v>#REF!</v>
      </c>
      <c r="M218" t="e">
        <f>AND(#REF!,"AAAAAH97Xgw=")</f>
        <v>#REF!</v>
      </c>
      <c r="N218" t="e">
        <f>AND(#REF!,"AAAAAH97Xg0=")</f>
        <v>#REF!</v>
      </c>
      <c r="O218" t="e">
        <f>AND(#REF!,"AAAAAH97Xg4=")</f>
        <v>#REF!</v>
      </c>
      <c r="P218" t="e">
        <f>AND(#REF!,"AAAAAH97Xg8=")</f>
        <v>#REF!</v>
      </c>
      <c r="Q218" t="e">
        <f>IF(#REF!,"AAAAAH97XhA=",0)</f>
        <v>#REF!</v>
      </c>
      <c r="R218" t="e">
        <f>AND(#REF!,"AAAAAH97XhE=")</f>
        <v>#REF!</v>
      </c>
      <c r="S218" t="e">
        <f>AND(#REF!,"AAAAAH97XhI=")</f>
        <v>#REF!</v>
      </c>
      <c r="T218" t="e">
        <f>AND(#REF!,"AAAAAH97XhM=")</f>
        <v>#REF!</v>
      </c>
      <c r="U218" t="e">
        <f>AND(#REF!,"AAAAAH97XhQ=")</f>
        <v>#REF!</v>
      </c>
      <c r="V218" t="e">
        <f>AND(#REF!,"AAAAAH97XhU=")</f>
        <v>#REF!</v>
      </c>
      <c r="W218" t="e">
        <f>AND(#REF!,"AAAAAH97XhY=")</f>
        <v>#REF!</v>
      </c>
      <c r="X218" t="e">
        <f>AND(#REF!,"AAAAAH97Xhc=")</f>
        <v>#REF!</v>
      </c>
      <c r="Y218" t="e">
        <f>AND(#REF!,"AAAAAH97Xhg=")</f>
        <v>#REF!</v>
      </c>
      <c r="Z218" t="e">
        <f>AND(#REF!,"AAAAAH97Xhk=")</f>
        <v>#REF!</v>
      </c>
      <c r="AA218" t="e">
        <f>AND(#REF!,"AAAAAH97Xho=")</f>
        <v>#REF!</v>
      </c>
      <c r="AB218" t="e">
        <f>IF(#REF!,"AAAAAH97Xhs=",0)</f>
        <v>#REF!</v>
      </c>
      <c r="AC218" t="e">
        <f>AND(#REF!,"AAAAAH97Xhw=")</f>
        <v>#REF!</v>
      </c>
      <c r="AD218" t="e">
        <f>AND(#REF!,"AAAAAH97Xh0=")</f>
        <v>#REF!</v>
      </c>
      <c r="AE218" t="e">
        <f>AND(#REF!,"AAAAAH97Xh4=")</f>
        <v>#REF!</v>
      </c>
      <c r="AF218" t="e">
        <f>AND(#REF!,"AAAAAH97Xh8=")</f>
        <v>#REF!</v>
      </c>
      <c r="AG218" t="e">
        <f>AND(#REF!,"AAAAAH97XiA=")</f>
        <v>#REF!</v>
      </c>
      <c r="AH218" t="e">
        <f>AND(#REF!,"AAAAAH97XiE=")</f>
        <v>#REF!</v>
      </c>
      <c r="AI218" t="e">
        <f>AND(#REF!,"AAAAAH97XiI=")</f>
        <v>#REF!</v>
      </c>
      <c r="AJ218" t="e">
        <f>AND(#REF!,"AAAAAH97XiM=")</f>
        <v>#REF!</v>
      </c>
      <c r="AK218" t="e">
        <f>AND(#REF!,"AAAAAH97XiQ=")</f>
        <v>#REF!</v>
      </c>
      <c r="AL218" t="e">
        <f>AND(#REF!,"AAAAAH97XiU=")</f>
        <v>#REF!</v>
      </c>
      <c r="AM218" t="e">
        <f>IF(#REF!,"AAAAAH97XiY=",0)</f>
        <v>#REF!</v>
      </c>
      <c r="AN218" t="e">
        <f>AND(#REF!,"AAAAAH97Xic=")</f>
        <v>#REF!</v>
      </c>
      <c r="AO218" t="e">
        <f>AND(#REF!,"AAAAAH97Xig=")</f>
        <v>#REF!</v>
      </c>
      <c r="AP218" t="e">
        <f>AND(#REF!,"AAAAAH97Xik=")</f>
        <v>#REF!</v>
      </c>
      <c r="AQ218" t="e">
        <f>AND(#REF!,"AAAAAH97Xio=")</f>
        <v>#REF!</v>
      </c>
      <c r="AR218" t="e">
        <f>AND(#REF!,"AAAAAH97Xis=")</f>
        <v>#REF!</v>
      </c>
      <c r="AS218" t="e">
        <f>AND(#REF!,"AAAAAH97Xiw=")</f>
        <v>#REF!</v>
      </c>
      <c r="AT218" t="e">
        <f>AND(#REF!,"AAAAAH97Xi0=")</f>
        <v>#REF!</v>
      </c>
      <c r="AU218" t="e">
        <f>AND(#REF!,"AAAAAH97Xi4=")</f>
        <v>#REF!</v>
      </c>
      <c r="AV218" t="e">
        <f>AND(#REF!,"AAAAAH97Xi8=")</f>
        <v>#REF!</v>
      </c>
      <c r="AW218" t="e">
        <f>AND(#REF!,"AAAAAH97XjA=")</f>
        <v>#REF!</v>
      </c>
      <c r="AX218" t="e">
        <f>IF(#REF!,"AAAAAH97XjE=",0)</f>
        <v>#REF!</v>
      </c>
      <c r="AY218" t="e">
        <f>AND(#REF!,"AAAAAH97XjI=")</f>
        <v>#REF!</v>
      </c>
      <c r="AZ218" t="e">
        <f>AND(#REF!,"AAAAAH97XjM=")</f>
        <v>#REF!</v>
      </c>
      <c r="BA218" t="e">
        <f>AND(#REF!,"AAAAAH97XjQ=")</f>
        <v>#REF!</v>
      </c>
      <c r="BB218" t="e">
        <f>AND(#REF!,"AAAAAH97XjU=")</f>
        <v>#REF!</v>
      </c>
      <c r="BC218" t="e">
        <f>AND(#REF!,"AAAAAH97XjY=")</f>
        <v>#REF!</v>
      </c>
      <c r="BD218" t="e">
        <f>AND(#REF!,"AAAAAH97Xjc=")</f>
        <v>#REF!</v>
      </c>
      <c r="BE218" t="e">
        <f>AND(#REF!,"AAAAAH97Xjg=")</f>
        <v>#REF!</v>
      </c>
      <c r="BF218" t="e">
        <f>AND(#REF!,"AAAAAH97Xjk=")</f>
        <v>#REF!</v>
      </c>
      <c r="BG218" t="e">
        <f>AND(#REF!,"AAAAAH97Xjo=")</f>
        <v>#REF!</v>
      </c>
      <c r="BH218" t="e">
        <f>AND(#REF!,"AAAAAH97Xjs=")</f>
        <v>#REF!</v>
      </c>
      <c r="BI218" t="e">
        <f>IF(#REF!,"AAAAAH97Xjw=",0)</f>
        <v>#REF!</v>
      </c>
      <c r="BJ218" t="e">
        <f>AND(#REF!,"AAAAAH97Xj0=")</f>
        <v>#REF!</v>
      </c>
      <c r="BK218" t="e">
        <f>AND(#REF!,"AAAAAH97Xj4=")</f>
        <v>#REF!</v>
      </c>
      <c r="BL218" t="e">
        <f>AND(#REF!,"AAAAAH97Xj8=")</f>
        <v>#REF!</v>
      </c>
      <c r="BM218" t="e">
        <f>AND(#REF!,"AAAAAH97XkA=")</f>
        <v>#REF!</v>
      </c>
      <c r="BN218" t="e">
        <f>AND(#REF!,"AAAAAH97XkE=")</f>
        <v>#REF!</v>
      </c>
      <c r="BO218" t="e">
        <f>AND(#REF!,"AAAAAH97XkI=")</f>
        <v>#REF!</v>
      </c>
      <c r="BP218" t="e">
        <f>AND(#REF!,"AAAAAH97XkM=")</f>
        <v>#REF!</v>
      </c>
      <c r="BQ218" t="e">
        <f>AND(#REF!,"AAAAAH97XkQ=")</f>
        <v>#REF!</v>
      </c>
      <c r="BR218" t="e">
        <f>AND(#REF!,"AAAAAH97XkU=")</f>
        <v>#REF!</v>
      </c>
      <c r="BS218" t="e">
        <f>AND(#REF!,"AAAAAH97XkY=")</f>
        <v>#REF!</v>
      </c>
      <c r="BT218" t="e">
        <f>IF(#REF!,"AAAAAH97Xkc=",0)</f>
        <v>#REF!</v>
      </c>
      <c r="BU218" t="e">
        <f>AND(#REF!,"AAAAAH97Xkg=")</f>
        <v>#REF!</v>
      </c>
      <c r="BV218" t="e">
        <f>AND(#REF!,"AAAAAH97Xkk=")</f>
        <v>#REF!</v>
      </c>
      <c r="BW218" t="e">
        <f>AND(#REF!,"AAAAAH97Xko=")</f>
        <v>#REF!</v>
      </c>
      <c r="BX218" t="e">
        <f>AND(#REF!,"AAAAAH97Xks=")</f>
        <v>#REF!</v>
      </c>
      <c r="BY218" t="e">
        <f>AND(#REF!,"AAAAAH97Xkw=")</f>
        <v>#REF!</v>
      </c>
      <c r="BZ218" t="e">
        <f>AND(#REF!,"AAAAAH97Xk0=")</f>
        <v>#REF!</v>
      </c>
      <c r="CA218" t="e">
        <f>AND(#REF!,"AAAAAH97Xk4=")</f>
        <v>#REF!</v>
      </c>
      <c r="CB218" t="e">
        <f>AND(#REF!,"AAAAAH97Xk8=")</f>
        <v>#REF!</v>
      </c>
      <c r="CC218" t="e">
        <f>AND(#REF!,"AAAAAH97XlA=")</f>
        <v>#REF!</v>
      </c>
      <c r="CD218" t="e">
        <f>AND(#REF!,"AAAAAH97XlE=")</f>
        <v>#REF!</v>
      </c>
      <c r="CE218" t="e">
        <f>IF(#REF!,"AAAAAH97XlI=",0)</f>
        <v>#REF!</v>
      </c>
      <c r="CF218" t="e">
        <f>AND(#REF!,"AAAAAH97XlM=")</f>
        <v>#REF!</v>
      </c>
      <c r="CG218" t="e">
        <f>AND(#REF!,"AAAAAH97XlQ=")</f>
        <v>#REF!</v>
      </c>
      <c r="CH218" t="e">
        <f>AND(#REF!,"AAAAAH97XlU=")</f>
        <v>#REF!</v>
      </c>
      <c r="CI218" t="e">
        <f>AND(#REF!,"AAAAAH97XlY=")</f>
        <v>#REF!</v>
      </c>
      <c r="CJ218" t="e">
        <f>AND(#REF!,"AAAAAH97Xlc=")</f>
        <v>#REF!</v>
      </c>
      <c r="CK218" t="e">
        <f>AND(#REF!,"AAAAAH97Xlg=")</f>
        <v>#REF!</v>
      </c>
      <c r="CL218" t="e">
        <f>AND(#REF!,"AAAAAH97Xlk=")</f>
        <v>#REF!</v>
      </c>
      <c r="CM218" t="e">
        <f>AND(#REF!,"AAAAAH97Xlo=")</f>
        <v>#REF!</v>
      </c>
      <c r="CN218" t="e">
        <f>AND(#REF!,"AAAAAH97Xls=")</f>
        <v>#REF!</v>
      </c>
      <c r="CO218" t="e">
        <f>AND(#REF!,"AAAAAH97Xlw=")</f>
        <v>#REF!</v>
      </c>
      <c r="CP218" t="e">
        <f>IF(#REF!,"AAAAAH97Xl0=",0)</f>
        <v>#REF!</v>
      </c>
      <c r="CQ218" t="e">
        <f>AND(#REF!,"AAAAAH97Xl4=")</f>
        <v>#REF!</v>
      </c>
      <c r="CR218" t="e">
        <f>AND(#REF!,"AAAAAH97Xl8=")</f>
        <v>#REF!</v>
      </c>
      <c r="CS218" t="e">
        <f>AND(#REF!,"AAAAAH97XmA=")</f>
        <v>#REF!</v>
      </c>
      <c r="CT218" t="e">
        <f>AND(#REF!,"AAAAAH97XmE=")</f>
        <v>#REF!</v>
      </c>
      <c r="CU218" t="e">
        <f>AND(#REF!,"AAAAAH97XmI=")</f>
        <v>#REF!</v>
      </c>
      <c r="CV218" t="e">
        <f>AND(#REF!,"AAAAAH97XmM=")</f>
        <v>#REF!</v>
      </c>
      <c r="CW218" t="e">
        <f>AND(#REF!,"AAAAAH97XmQ=")</f>
        <v>#REF!</v>
      </c>
      <c r="CX218" t="e">
        <f>AND(#REF!,"AAAAAH97XmU=")</f>
        <v>#REF!</v>
      </c>
      <c r="CY218" t="e">
        <f>AND(#REF!,"AAAAAH97XmY=")</f>
        <v>#REF!</v>
      </c>
      <c r="CZ218" t="e">
        <f>AND(#REF!,"AAAAAH97Xmc=")</f>
        <v>#REF!</v>
      </c>
      <c r="DA218" t="e">
        <f>IF(#REF!,"AAAAAH97Xmg=",0)</f>
        <v>#REF!</v>
      </c>
      <c r="DB218" t="e">
        <f>AND(#REF!,"AAAAAH97Xmk=")</f>
        <v>#REF!</v>
      </c>
      <c r="DC218" t="e">
        <f>AND(#REF!,"AAAAAH97Xmo=")</f>
        <v>#REF!</v>
      </c>
      <c r="DD218" t="e">
        <f>AND(#REF!,"AAAAAH97Xms=")</f>
        <v>#REF!</v>
      </c>
      <c r="DE218" t="e">
        <f>AND(#REF!,"AAAAAH97Xmw=")</f>
        <v>#REF!</v>
      </c>
      <c r="DF218" t="e">
        <f>AND(#REF!,"AAAAAH97Xm0=")</f>
        <v>#REF!</v>
      </c>
      <c r="DG218" t="e">
        <f>AND(#REF!,"AAAAAH97Xm4=")</f>
        <v>#REF!</v>
      </c>
      <c r="DH218" t="e">
        <f>AND(#REF!,"AAAAAH97Xm8=")</f>
        <v>#REF!</v>
      </c>
      <c r="DI218" t="e">
        <f>AND(#REF!,"AAAAAH97XnA=")</f>
        <v>#REF!</v>
      </c>
      <c r="DJ218" t="e">
        <f>AND(#REF!,"AAAAAH97XnE=")</f>
        <v>#REF!</v>
      </c>
      <c r="DK218" t="e">
        <f>AND(#REF!,"AAAAAH97XnI=")</f>
        <v>#REF!</v>
      </c>
      <c r="DL218" t="e">
        <f>IF(#REF!,"AAAAAH97XnM=",0)</f>
        <v>#REF!</v>
      </c>
      <c r="DM218" t="e">
        <f>AND(#REF!,"AAAAAH97XnQ=")</f>
        <v>#REF!</v>
      </c>
      <c r="DN218" t="e">
        <f>AND(#REF!,"AAAAAH97XnU=")</f>
        <v>#REF!</v>
      </c>
      <c r="DO218" t="e">
        <f>AND(#REF!,"AAAAAH97XnY=")</f>
        <v>#REF!</v>
      </c>
      <c r="DP218" t="e">
        <f>AND(#REF!,"AAAAAH97Xnc=")</f>
        <v>#REF!</v>
      </c>
      <c r="DQ218" t="e">
        <f>AND(#REF!,"AAAAAH97Xng=")</f>
        <v>#REF!</v>
      </c>
      <c r="DR218" t="e">
        <f>AND(#REF!,"AAAAAH97Xnk=")</f>
        <v>#REF!</v>
      </c>
      <c r="DS218" t="e">
        <f>AND(#REF!,"AAAAAH97Xno=")</f>
        <v>#REF!</v>
      </c>
      <c r="DT218" t="e">
        <f>AND(#REF!,"AAAAAH97Xns=")</f>
        <v>#REF!</v>
      </c>
      <c r="DU218" t="e">
        <f>AND(#REF!,"AAAAAH97Xnw=")</f>
        <v>#REF!</v>
      </c>
      <c r="DV218" t="e">
        <f>AND(#REF!,"AAAAAH97Xn0=")</f>
        <v>#REF!</v>
      </c>
      <c r="DW218" t="e">
        <f>IF(#REF!,"AAAAAH97Xn4=",0)</f>
        <v>#REF!</v>
      </c>
      <c r="DX218" t="e">
        <f>AND(#REF!,"AAAAAH97Xn8=")</f>
        <v>#REF!</v>
      </c>
      <c r="DY218" t="e">
        <f>AND(#REF!,"AAAAAH97XoA=")</f>
        <v>#REF!</v>
      </c>
      <c r="DZ218" t="e">
        <f>AND(#REF!,"AAAAAH97XoE=")</f>
        <v>#REF!</v>
      </c>
      <c r="EA218" t="e">
        <f>AND(#REF!,"AAAAAH97XoI=")</f>
        <v>#REF!</v>
      </c>
      <c r="EB218" t="e">
        <f>AND(#REF!,"AAAAAH97XoM=")</f>
        <v>#REF!</v>
      </c>
      <c r="EC218" t="e">
        <f>AND(#REF!,"AAAAAH97XoQ=")</f>
        <v>#REF!</v>
      </c>
      <c r="ED218" t="e">
        <f>AND(#REF!,"AAAAAH97XoU=")</f>
        <v>#REF!</v>
      </c>
      <c r="EE218" t="e">
        <f>AND(#REF!,"AAAAAH97XoY=")</f>
        <v>#REF!</v>
      </c>
      <c r="EF218" t="e">
        <f>AND(#REF!,"AAAAAH97Xoc=")</f>
        <v>#REF!</v>
      </c>
      <c r="EG218" t="e">
        <f>AND(#REF!,"AAAAAH97Xog=")</f>
        <v>#REF!</v>
      </c>
      <c r="EH218" t="e">
        <f>IF(#REF!,"AAAAAH97Xok=",0)</f>
        <v>#REF!</v>
      </c>
      <c r="EI218" t="e">
        <f>AND(#REF!,"AAAAAH97Xoo=")</f>
        <v>#REF!</v>
      </c>
      <c r="EJ218" t="e">
        <f>AND(#REF!,"AAAAAH97Xos=")</f>
        <v>#REF!</v>
      </c>
      <c r="EK218" t="e">
        <f>AND(#REF!,"AAAAAH97Xow=")</f>
        <v>#REF!</v>
      </c>
      <c r="EL218" t="e">
        <f>AND(#REF!,"AAAAAH97Xo0=")</f>
        <v>#REF!</v>
      </c>
      <c r="EM218" t="e">
        <f>AND(#REF!,"AAAAAH97Xo4=")</f>
        <v>#REF!</v>
      </c>
      <c r="EN218" t="e">
        <f>AND(#REF!,"AAAAAH97Xo8=")</f>
        <v>#REF!</v>
      </c>
      <c r="EO218" t="e">
        <f>AND(#REF!,"AAAAAH97XpA=")</f>
        <v>#REF!</v>
      </c>
      <c r="EP218" t="e">
        <f>AND(#REF!,"AAAAAH97XpE=")</f>
        <v>#REF!</v>
      </c>
      <c r="EQ218" t="e">
        <f>AND(#REF!,"AAAAAH97XpI=")</f>
        <v>#REF!</v>
      </c>
      <c r="ER218" t="e">
        <f>AND(#REF!,"AAAAAH97XpM=")</f>
        <v>#REF!</v>
      </c>
      <c r="ES218" t="e">
        <f>IF(#REF!,"AAAAAH97XpQ=",0)</f>
        <v>#REF!</v>
      </c>
      <c r="ET218" t="e">
        <f>AND(#REF!,"AAAAAH97XpU=")</f>
        <v>#REF!</v>
      </c>
      <c r="EU218" t="e">
        <f>AND(#REF!,"AAAAAH97XpY=")</f>
        <v>#REF!</v>
      </c>
      <c r="EV218" t="e">
        <f>AND(#REF!,"AAAAAH97Xpc=")</f>
        <v>#REF!</v>
      </c>
      <c r="EW218" t="e">
        <f>AND(#REF!,"AAAAAH97Xpg=")</f>
        <v>#REF!</v>
      </c>
      <c r="EX218" t="e">
        <f>AND(#REF!,"AAAAAH97Xpk=")</f>
        <v>#REF!</v>
      </c>
      <c r="EY218" t="e">
        <f>AND(#REF!,"AAAAAH97Xpo=")</f>
        <v>#REF!</v>
      </c>
      <c r="EZ218" t="e">
        <f>AND(#REF!,"AAAAAH97Xps=")</f>
        <v>#REF!</v>
      </c>
      <c r="FA218" t="e">
        <f>AND(#REF!,"AAAAAH97Xpw=")</f>
        <v>#REF!</v>
      </c>
      <c r="FB218" t="e">
        <f>AND(#REF!,"AAAAAH97Xp0=")</f>
        <v>#REF!</v>
      </c>
      <c r="FC218" t="e">
        <f>AND(#REF!,"AAAAAH97Xp4=")</f>
        <v>#REF!</v>
      </c>
      <c r="FD218" t="e">
        <f>IF(#REF!,"AAAAAH97Xp8=",0)</f>
        <v>#REF!</v>
      </c>
      <c r="FE218" t="e">
        <f>AND(#REF!,"AAAAAH97XqA=")</f>
        <v>#REF!</v>
      </c>
      <c r="FF218" t="e">
        <f>AND(#REF!,"AAAAAH97XqE=")</f>
        <v>#REF!</v>
      </c>
      <c r="FG218" t="e">
        <f>AND(#REF!,"AAAAAH97XqI=")</f>
        <v>#REF!</v>
      </c>
      <c r="FH218" t="e">
        <f>AND(#REF!,"AAAAAH97XqM=")</f>
        <v>#REF!</v>
      </c>
      <c r="FI218" t="e">
        <f>AND(#REF!,"AAAAAH97XqQ=")</f>
        <v>#REF!</v>
      </c>
      <c r="FJ218" t="e">
        <f>AND(#REF!,"AAAAAH97XqU=")</f>
        <v>#REF!</v>
      </c>
      <c r="FK218" t="e">
        <f>AND(#REF!,"AAAAAH97XqY=")</f>
        <v>#REF!</v>
      </c>
      <c r="FL218" t="e">
        <f>AND(#REF!,"AAAAAH97Xqc=")</f>
        <v>#REF!</v>
      </c>
      <c r="FM218" t="e">
        <f>AND(#REF!,"AAAAAH97Xqg=")</f>
        <v>#REF!</v>
      </c>
      <c r="FN218" t="e">
        <f>AND(#REF!,"AAAAAH97Xqk=")</f>
        <v>#REF!</v>
      </c>
      <c r="FO218" t="e">
        <f>IF(#REF!,"AAAAAH97Xqo=",0)</f>
        <v>#REF!</v>
      </c>
      <c r="FP218" t="e">
        <f>AND(#REF!,"AAAAAH97Xqs=")</f>
        <v>#REF!</v>
      </c>
      <c r="FQ218" t="e">
        <f>AND(#REF!,"AAAAAH97Xqw=")</f>
        <v>#REF!</v>
      </c>
      <c r="FR218" t="e">
        <f>AND(#REF!,"AAAAAH97Xq0=")</f>
        <v>#REF!</v>
      </c>
      <c r="FS218" t="e">
        <f>AND(#REF!,"AAAAAH97Xq4=")</f>
        <v>#REF!</v>
      </c>
      <c r="FT218" t="e">
        <f>AND(#REF!,"AAAAAH97Xq8=")</f>
        <v>#REF!</v>
      </c>
      <c r="FU218" t="e">
        <f>AND(#REF!,"AAAAAH97XrA=")</f>
        <v>#REF!</v>
      </c>
      <c r="FV218" t="e">
        <f>AND(#REF!,"AAAAAH97XrE=")</f>
        <v>#REF!</v>
      </c>
      <c r="FW218" t="e">
        <f>AND(#REF!,"AAAAAH97XrI=")</f>
        <v>#REF!</v>
      </c>
      <c r="FX218" t="e">
        <f>AND(#REF!,"AAAAAH97XrM=")</f>
        <v>#REF!</v>
      </c>
      <c r="FY218" t="e">
        <f>AND(#REF!,"AAAAAH97XrQ=")</f>
        <v>#REF!</v>
      </c>
      <c r="FZ218" t="e">
        <f>IF(#REF!,"AAAAAH97XrU=",0)</f>
        <v>#REF!</v>
      </c>
      <c r="GA218" t="e">
        <f>AND(#REF!,"AAAAAH97XrY=")</f>
        <v>#REF!</v>
      </c>
      <c r="GB218" t="e">
        <f>AND(#REF!,"AAAAAH97Xrc=")</f>
        <v>#REF!</v>
      </c>
      <c r="GC218" t="e">
        <f>AND(#REF!,"AAAAAH97Xrg=")</f>
        <v>#REF!</v>
      </c>
      <c r="GD218" t="e">
        <f>AND(#REF!,"AAAAAH97Xrk=")</f>
        <v>#REF!</v>
      </c>
      <c r="GE218" t="e">
        <f>AND(#REF!,"AAAAAH97Xro=")</f>
        <v>#REF!</v>
      </c>
      <c r="GF218" t="e">
        <f>AND(#REF!,"AAAAAH97Xrs=")</f>
        <v>#REF!</v>
      </c>
      <c r="GG218" t="e">
        <f>AND(#REF!,"AAAAAH97Xrw=")</f>
        <v>#REF!</v>
      </c>
      <c r="GH218" t="e">
        <f>AND(#REF!,"AAAAAH97Xr0=")</f>
        <v>#REF!</v>
      </c>
      <c r="GI218" t="e">
        <f>AND(#REF!,"AAAAAH97Xr4=")</f>
        <v>#REF!</v>
      </c>
      <c r="GJ218" t="e">
        <f>AND(#REF!,"AAAAAH97Xr8=")</f>
        <v>#REF!</v>
      </c>
      <c r="GK218" t="e">
        <f>IF(#REF!,"AAAAAH97XsA=",0)</f>
        <v>#REF!</v>
      </c>
      <c r="GL218" t="e">
        <f>AND(#REF!,"AAAAAH97XsE=")</f>
        <v>#REF!</v>
      </c>
      <c r="GM218" t="e">
        <f>AND(#REF!,"AAAAAH97XsI=")</f>
        <v>#REF!</v>
      </c>
      <c r="GN218" t="e">
        <f>AND(#REF!,"AAAAAH97XsM=")</f>
        <v>#REF!</v>
      </c>
      <c r="GO218" t="e">
        <f>AND(#REF!,"AAAAAH97XsQ=")</f>
        <v>#REF!</v>
      </c>
      <c r="GP218" t="e">
        <f>AND(#REF!,"AAAAAH97XsU=")</f>
        <v>#REF!</v>
      </c>
      <c r="GQ218" t="e">
        <f>AND(#REF!,"AAAAAH97XsY=")</f>
        <v>#REF!</v>
      </c>
      <c r="GR218" t="e">
        <f>AND(#REF!,"AAAAAH97Xsc=")</f>
        <v>#REF!</v>
      </c>
      <c r="GS218" t="e">
        <f>AND(#REF!,"AAAAAH97Xsg=")</f>
        <v>#REF!</v>
      </c>
      <c r="GT218" t="e">
        <f>AND(#REF!,"AAAAAH97Xsk=")</f>
        <v>#REF!</v>
      </c>
      <c r="GU218" t="e">
        <f>AND(#REF!,"AAAAAH97Xso=")</f>
        <v>#REF!</v>
      </c>
      <c r="GV218" t="e">
        <f>IF(#REF!,"AAAAAH97Xss=",0)</f>
        <v>#REF!</v>
      </c>
      <c r="GW218" t="e">
        <f>AND(#REF!,"AAAAAH97Xsw=")</f>
        <v>#REF!</v>
      </c>
      <c r="GX218" t="e">
        <f>AND(#REF!,"AAAAAH97Xs0=")</f>
        <v>#REF!</v>
      </c>
      <c r="GY218" t="e">
        <f>AND(#REF!,"AAAAAH97Xs4=")</f>
        <v>#REF!</v>
      </c>
      <c r="GZ218" t="e">
        <f>AND(#REF!,"AAAAAH97Xs8=")</f>
        <v>#REF!</v>
      </c>
      <c r="HA218" t="e">
        <f>AND(#REF!,"AAAAAH97XtA=")</f>
        <v>#REF!</v>
      </c>
      <c r="HB218" t="e">
        <f>AND(#REF!,"AAAAAH97XtE=")</f>
        <v>#REF!</v>
      </c>
      <c r="HC218" t="e">
        <f>AND(#REF!,"AAAAAH97XtI=")</f>
        <v>#REF!</v>
      </c>
      <c r="HD218" t="e">
        <f>AND(#REF!,"AAAAAH97XtM=")</f>
        <v>#REF!</v>
      </c>
      <c r="HE218" t="e">
        <f>AND(#REF!,"AAAAAH97XtQ=")</f>
        <v>#REF!</v>
      </c>
      <c r="HF218" t="e">
        <f>AND(#REF!,"AAAAAH97XtU=")</f>
        <v>#REF!</v>
      </c>
      <c r="HG218" t="e">
        <f>IF(#REF!,"AAAAAH97XtY=",0)</f>
        <v>#REF!</v>
      </c>
      <c r="HH218" t="e">
        <f>AND(#REF!,"AAAAAH97Xtc=")</f>
        <v>#REF!</v>
      </c>
      <c r="HI218" t="e">
        <f>AND(#REF!,"AAAAAH97Xtg=")</f>
        <v>#REF!</v>
      </c>
      <c r="HJ218" t="e">
        <f>AND(#REF!,"AAAAAH97Xtk=")</f>
        <v>#REF!</v>
      </c>
      <c r="HK218" t="e">
        <f>AND(#REF!,"AAAAAH97Xto=")</f>
        <v>#REF!</v>
      </c>
      <c r="HL218" t="e">
        <f>AND(#REF!,"AAAAAH97Xts=")</f>
        <v>#REF!</v>
      </c>
      <c r="HM218" t="e">
        <f>AND(#REF!,"AAAAAH97Xtw=")</f>
        <v>#REF!</v>
      </c>
      <c r="HN218" t="e">
        <f>AND(#REF!,"AAAAAH97Xt0=")</f>
        <v>#REF!</v>
      </c>
      <c r="HO218" t="e">
        <f>AND(#REF!,"AAAAAH97Xt4=")</f>
        <v>#REF!</v>
      </c>
      <c r="HP218" t="e">
        <f>AND(#REF!,"AAAAAH97Xt8=")</f>
        <v>#REF!</v>
      </c>
      <c r="HQ218" t="e">
        <f>AND(#REF!,"AAAAAH97XuA=")</f>
        <v>#REF!</v>
      </c>
      <c r="HR218" t="e">
        <f>IF(#REF!,"AAAAAH97XuE=",0)</f>
        <v>#REF!</v>
      </c>
      <c r="HS218" t="e">
        <f>AND(#REF!,"AAAAAH97XuI=")</f>
        <v>#REF!</v>
      </c>
      <c r="HT218" t="e">
        <f>AND(#REF!,"AAAAAH97XuM=")</f>
        <v>#REF!</v>
      </c>
      <c r="HU218" t="e">
        <f>AND(#REF!,"AAAAAH97XuQ=")</f>
        <v>#REF!</v>
      </c>
      <c r="HV218" t="e">
        <f>AND(#REF!,"AAAAAH97XuU=")</f>
        <v>#REF!</v>
      </c>
      <c r="HW218" t="e">
        <f>AND(#REF!,"AAAAAH97XuY=")</f>
        <v>#REF!</v>
      </c>
      <c r="HX218" t="e">
        <f>AND(#REF!,"AAAAAH97Xuc=")</f>
        <v>#REF!</v>
      </c>
      <c r="HY218" t="e">
        <f>AND(#REF!,"AAAAAH97Xug=")</f>
        <v>#REF!</v>
      </c>
      <c r="HZ218" t="e">
        <f>AND(#REF!,"AAAAAH97Xuk=")</f>
        <v>#REF!</v>
      </c>
      <c r="IA218" t="e">
        <f>AND(#REF!,"AAAAAH97Xuo=")</f>
        <v>#REF!</v>
      </c>
      <c r="IB218" t="e">
        <f>AND(#REF!,"AAAAAH97Xus=")</f>
        <v>#REF!</v>
      </c>
      <c r="IC218" t="e">
        <f>IF(#REF!,"AAAAAH97Xuw=",0)</f>
        <v>#REF!</v>
      </c>
      <c r="ID218" t="e">
        <f>AND(#REF!,"AAAAAH97Xu0=")</f>
        <v>#REF!</v>
      </c>
      <c r="IE218" t="e">
        <f>AND(#REF!,"AAAAAH97Xu4=")</f>
        <v>#REF!</v>
      </c>
      <c r="IF218" t="e">
        <f>AND(#REF!,"AAAAAH97Xu8=")</f>
        <v>#REF!</v>
      </c>
      <c r="IG218" t="e">
        <f>AND(#REF!,"AAAAAH97XvA=")</f>
        <v>#REF!</v>
      </c>
      <c r="IH218" t="e">
        <f>AND(#REF!,"AAAAAH97XvE=")</f>
        <v>#REF!</v>
      </c>
      <c r="II218" t="e">
        <f>AND(#REF!,"AAAAAH97XvI=")</f>
        <v>#REF!</v>
      </c>
      <c r="IJ218" t="e">
        <f>AND(#REF!,"AAAAAH97XvM=")</f>
        <v>#REF!</v>
      </c>
      <c r="IK218" t="e">
        <f>AND(#REF!,"AAAAAH97XvQ=")</f>
        <v>#REF!</v>
      </c>
      <c r="IL218" t="e">
        <f>AND(#REF!,"AAAAAH97XvU=")</f>
        <v>#REF!</v>
      </c>
      <c r="IM218" t="e">
        <f>AND(#REF!,"AAAAAH97XvY=")</f>
        <v>#REF!</v>
      </c>
      <c r="IN218" t="e">
        <f>IF(#REF!,"AAAAAH97Xvc=",0)</f>
        <v>#REF!</v>
      </c>
      <c r="IO218" t="e">
        <f>AND(#REF!,"AAAAAH97Xvg=")</f>
        <v>#REF!</v>
      </c>
      <c r="IP218" t="e">
        <f>AND(#REF!,"AAAAAH97Xvk=")</f>
        <v>#REF!</v>
      </c>
      <c r="IQ218" t="e">
        <f>AND(#REF!,"AAAAAH97Xvo=")</f>
        <v>#REF!</v>
      </c>
      <c r="IR218" t="e">
        <f>AND(#REF!,"AAAAAH97Xvs=")</f>
        <v>#REF!</v>
      </c>
      <c r="IS218" t="e">
        <f>AND(#REF!,"AAAAAH97Xvw=")</f>
        <v>#REF!</v>
      </c>
      <c r="IT218" t="e">
        <f>AND(#REF!,"AAAAAH97Xv0=")</f>
        <v>#REF!</v>
      </c>
      <c r="IU218" t="e">
        <f>AND(#REF!,"AAAAAH97Xv4=")</f>
        <v>#REF!</v>
      </c>
      <c r="IV218" t="e">
        <f>AND(#REF!,"AAAAAH97Xv8=")</f>
        <v>#REF!</v>
      </c>
    </row>
    <row r="219" spans="1:256" x14ac:dyDescent="0.25">
      <c r="A219" t="e">
        <f>AND(#REF!,"AAAAAE1/vwA=")</f>
        <v>#REF!</v>
      </c>
      <c r="B219" t="e">
        <f>AND(#REF!,"AAAAAE1/vwE=")</f>
        <v>#REF!</v>
      </c>
      <c r="C219" t="e">
        <f>IF(#REF!,"AAAAAE1/vwI=",0)</f>
        <v>#REF!</v>
      </c>
      <c r="D219" t="e">
        <f>AND(#REF!,"AAAAAE1/vwM=")</f>
        <v>#REF!</v>
      </c>
      <c r="E219" t="e">
        <f>AND(#REF!,"AAAAAE1/vwQ=")</f>
        <v>#REF!</v>
      </c>
      <c r="F219" t="e">
        <f>AND(#REF!,"AAAAAE1/vwU=")</f>
        <v>#REF!</v>
      </c>
      <c r="G219" t="e">
        <f>AND(#REF!,"AAAAAE1/vwY=")</f>
        <v>#REF!</v>
      </c>
      <c r="H219" t="e">
        <f>AND(#REF!,"AAAAAE1/vwc=")</f>
        <v>#REF!</v>
      </c>
      <c r="I219" t="e">
        <f>AND(#REF!,"AAAAAE1/vwg=")</f>
        <v>#REF!</v>
      </c>
      <c r="J219" t="e">
        <f>AND(#REF!,"AAAAAE1/vwk=")</f>
        <v>#REF!</v>
      </c>
      <c r="K219" t="e">
        <f>AND(#REF!,"AAAAAE1/vwo=")</f>
        <v>#REF!</v>
      </c>
      <c r="L219" t="e">
        <f>AND(#REF!,"AAAAAE1/vws=")</f>
        <v>#REF!</v>
      </c>
      <c r="M219" t="e">
        <f>AND(#REF!,"AAAAAE1/vww=")</f>
        <v>#REF!</v>
      </c>
      <c r="N219" t="e">
        <f>IF(#REF!,"AAAAAE1/vw0=",0)</f>
        <v>#REF!</v>
      </c>
      <c r="O219" t="e">
        <f>AND(#REF!,"AAAAAE1/vw4=")</f>
        <v>#REF!</v>
      </c>
      <c r="P219" t="e">
        <f>AND(#REF!,"AAAAAE1/vw8=")</f>
        <v>#REF!</v>
      </c>
      <c r="Q219" t="e">
        <f>AND(#REF!,"AAAAAE1/vxA=")</f>
        <v>#REF!</v>
      </c>
      <c r="R219" t="e">
        <f>AND(#REF!,"AAAAAE1/vxE=")</f>
        <v>#REF!</v>
      </c>
      <c r="S219" t="e">
        <f>AND(#REF!,"AAAAAE1/vxI=")</f>
        <v>#REF!</v>
      </c>
      <c r="T219" t="e">
        <f>AND(#REF!,"AAAAAE1/vxM=")</f>
        <v>#REF!</v>
      </c>
      <c r="U219" t="e">
        <f>AND(#REF!,"AAAAAE1/vxQ=")</f>
        <v>#REF!</v>
      </c>
      <c r="V219" t="e">
        <f>AND(#REF!,"AAAAAE1/vxU=")</f>
        <v>#REF!</v>
      </c>
      <c r="W219" t="e">
        <f>AND(#REF!,"AAAAAE1/vxY=")</f>
        <v>#REF!</v>
      </c>
      <c r="X219" t="e">
        <f>AND(#REF!,"AAAAAE1/vxc=")</f>
        <v>#REF!</v>
      </c>
      <c r="Y219" t="e">
        <f>IF(#REF!,"AAAAAE1/vxg=",0)</f>
        <v>#REF!</v>
      </c>
      <c r="Z219" t="e">
        <f>AND(#REF!,"AAAAAE1/vxk=")</f>
        <v>#REF!</v>
      </c>
      <c r="AA219" t="e">
        <f>AND(#REF!,"AAAAAE1/vxo=")</f>
        <v>#REF!</v>
      </c>
      <c r="AB219" t="e">
        <f>AND(#REF!,"AAAAAE1/vxs=")</f>
        <v>#REF!</v>
      </c>
      <c r="AC219" t="e">
        <f>AND(#REF!,"AAAAAE1/vxw=")</f>
        <v>#REF!</v>
      </c>
      <c r="AD219" t="e">
        <f>AND(#REF!,"AAAAAE1/vx0=")</f>
        <v>#REF!</v>
      </c>
      <c r="AE219" t="e">
        <f>AND(#REF!,"AAAAAE1/vx4=")</f>
        <v>#REF!</v>
      </c>
      <c r="AF219" t="e">
        <f>AND(#REF!,"AAAAAE1/vx8=")</f>
        <v>#REF!</v>
      </c>
      <c r="AG219" t="e">
        <f>AND(#REF!,"AAAAAE1/vyA=")</f>
        <v>#REF!</v>
      </c>
      <c r="AH219" t="e">
        <f>AND(#REF!,"AAAAAE1/vyE=")</f>
        <v>#REF!</v>
      </c>
      <c r="AI219" t="e">
        <f>AND(#REF!,"AAAAAE1/vyI=")</f>
        <v>#REF!</v>
      </c>
      <c r="AJ219" t="e">
        <f>IF(#REF!,"AAAAAE1/vyM=",0)</f>
        <v>#REF!</v>
      </c>
      <c r="AK219" t="e">
        <f>AND(#REF!,"AAAAAE1/vyQ=")</f>
        <v>#REF!</v>
      </c>
      <c r="AL219" t="e">
        <f>AND(#REF!,"AAAAAE1/vyU=")</f>
        <v>#REF!</v>
      </c>
      <c r="AM219" t="e">
        <f>AND(#REF!,"AAAAAE1/vyY=")</f>
        <v>#REF!</v>
      </c>
      <c r="AN219" t="e">
        <f>AND(#REF!,"AAAAAE1/vyc=")</f>
        <v>#REF!</v>
      </c>
      <c r="AO219" t="e">
        <f>AND(#REF!,"AAAAAE1/vyg=")</f>
        <v>#REF!</v>
      </c>
      <c r="AP219" t="e">
        <f>AND(#REF!,"AAAAAE1/vyk=")</f>
        <v>#REF!</v>
      </c>
      <c r="AQ219" t="e">
        <f>AND(#REF!,"AAAAAE1/vyo=")</f>
        <v>#REF!</v>
      </c>
      <c r="AR219" t="e">
        <f>AND(#REF!,"AAAAAE1/vys=")</f>
        <v>#REF!</v>
      </c>
      <c r="AS219" t="e">
        <f>AND(#REF!,"AAAAAE1/vyw=")</f>
        <v>#REF!</v>
      </c>
      <c r="AT219" t="e">
        <f>AND(#REF!,"AAAAAE1/vy0=")</f>
        <v>#REF!</v>
      </c>
      <c r="AU219" t="e">
        <f>IF(#REF!,"AAAAAE1/vy4=",0)</f>
        <v>#REF!</v>
      </c>
      <c r="AV219" t="e">
        <f>AND(#REF!,"AAAAAE1/vy8=")</f>
        <v>#REF!</v>
      </c>
      <c r="AW219" t="e">
        <f>AND(#REF!,"AAAAAE1/vzA=")</f>
        <v>#REF!</v>
      </c>
      <c r="AX219" t="e">
        <f>AND(#REF!,"AAAAAE1/vzE=")</f>
        <v>#REF!</v>
      </c>
      <c r="AY219" t="e">
        <f>AND(#REF!,"AAAAAE1/vzI=")</f>
        <v>#REF!</v>
      </c>
      <c r="AZ219" t="e">
        <f>AND(#REF!,"AAAAAE1/vzM=")</f>
        <v>#REF!</v>
      </c>
      <c r="BA219" t="e">
        <f>AND(#REF!,"AAAAAE1/vzQ=")</f>
        <v>#REF!</v>
      </c>
      <c r="BB219" t="e">
        <f>AND(#REF!,"AAAAAE1/vzU=")</f>
        <v>#REF!</v>
      </c>
      <c r="BC219" t="e">
        <f>AND(#REF!,"AAAAAE1/vzY=")</f>
        <v>#REF!</v>
      </c>
      <c r="BD219" t="e">
        <f>AND(#REF!,"AAAAAE1/vzc=")</f>
        <v>#REF!</v>
      </c>
      <c r="BE219" t="e">
        <f>AND(#REF!,"AAAAAE1/vzg=")</f>
        <v>#REF!</v>
      </c>
      <c r="BF219" t="e">
        <f>IF(#REF!,"AAAAAE1/vzk=",0)</f>
        <v>#REF!</v>
      </c>
      <c r="BG219" t="e">
        <f>AND(#REF!,"AAAAAE1/vzo=")</f>
        <v>#REF!</v>
      </c>
      <c r="BH219" t="e">
        <f>AND(#REF!,"AAAAAE1/vzs=")</f>
        <v>#REF!</v>
      </c>
      <c r="BI219" t="e">
        <f>AND(#REF!,"AAAAAE1/vzw=")</f>
        <v>#REF!</v>
      </c>
      <c r="BJ219" t="e">
        <f>AND(#REF!,"AAAAAE1/vz0=")</f>
        <v>#REF!</v>
      </c>
      <c r="BK219" t="e">
        <f>AND(#REF!,"AAAAAE1/vz4=")</f>
        <v>#REF!</v>
      </c>
      <c r="BL219" t="e">
        <f>AND(#REF!,"AAAAAE1/vz8=")</f>
        <v>#REF!</v>
      </c>
      <c r="BM219" t="e">
        <f>AND(#REF!,"AAAAAE1/v0A=")</f>
        <v>#REF!</v>
      </c>
      <c r="BN219" t="e">
        <f>AND(#REF!,"AAAAAE1/v0E=")</f>
        <v>#REF!</v>
      </c>
      <c r="BO219" t="e">
        <f>AND(#REF!,"AAAAAE1/v0I=")</f>
        <v>#REF!</v>
      </c>
      <c r="BP219" t="e">
        <f>AND(#REF!,"AAAAAE1/v0M=")</f>
        <v>#REF!</v>
      </c>
      <c r="BQ219" t="e">
        <f>IF(#REF!,"AAAAAE1/v0Q=",0)</f>
        <v>#REF!</v>
      </c>
      <c r="BR219" t="e">
        <f>AND(#REF!,"AAAAAE1/v0U=")</f>
        <v>#REF!</v>
      </c>
      <c r="BS219" t="e">
        <f>AND(#REF!,"AAAAAE1/v0Y=")</f>
        <v>#REF!</v>
      </c>
      <c r="BT219" t="e">
        <f>AND(#REF!,"AAAAAE1/v0c=")</f>
        <v>#REF!</v>
      </c>
      <c r="BU219" t="e">
        <f>AND(#REF!,"AAAAAE1/v0g=")</f>
        <v>#REF!</v>
      </c>
      <c r="BV219" t="e">
        <f>AND(#REF!,"AAAAAE1/v0k=")</f>
        <v>#REF!</v>
      </c>
      <c r="BW219" t="e">
        <f>AND(#REF!,"AAAAAE1/v0o=")</f>
        <v>#REF!</v>
      </c>
      <c r="BX219" t="e">
        <f>AND(#REF!,"AAAAAE1/v0s=")</f>
        <v>#REF!</v>
      </c>
      <c r="BY219" t="e">
        <f>AND(#REF!,"AAAAAE1/v0w=")</f>
        <v>#REF!</v>
      </c>
      <c r="BZ219" t="e">
        <f>AND(#REF!,"AAAAAE1/v00=")</f>
        <v>#REF!</v>
      </c>
      <c r="CA219" t="e">
        <f>AND(#REF!,"AAAAAE1/v04=")</f>
        <v>#REF!</v>
      </c>
      <c r="CB219" t="e">
        <f>IF(#REF!,"AAAAAE1/v08=",0)</f>
        <v>#REF!</v>
      </c>
      <c r="CC219" t="e">
        <f>AND(#REF!,"AAAAAE1/v1A=")</f>
        <v>#REF!</v>
      </c>
      <c r="CD219" t="e">
        <f>AND(#REF!,"AAAAAE1/v1E=")</f>
        <v>#REF!</v>
      </c>
      <c r="CE219" t="e">
        <f>AND(#REF!,"AAAAAE1/v1I=")</f>
        <v>#REF!</v>
      </c>
      <c r="CF219" t="e">
        <f>AND(#REF!,"AAAAAE1/v1M=")</f>
        <v>#REF!</v>
      </c>
      <c r="CG219" t="e">
        <f>AND(#REF!,"AAAAAE1/v1Q=")</f>
        <v>#REF!</v>
      </c>
      <c r="CH219" t="e">
        <f>AND(#REF!,"AAAAAE1/v1U=")</f>
        <v>#REF!</v>
      </c>
      <c r="CI219" t="e">
        <f>AND(#REF!,"AAAAAE1/v1Y=")</f>
        <v>#REF!</v>
      </c>
      <c r="CJ219" t="e">
        <f>AND(#REF!,"AAAAAE1/v1c=")</f>
        <v>#REF!</v>
      </c>
      <c r="CK219" t="e">
        <f>AND(#REF!,"AAAAAE1/v1g=")</f>
        <v>#REF!</v>
      </c>
      <c r="CL219" t="e">
        <f>AND(#REF!,"AAAAAE1/v1k=")</f>
        <v>#REF!</v>
      </c>
      <c r="CM219" t="e">
        <f>IF(#REF!,"AAAAAE1/v1o=",0)</f>
        <v>#REF!</v>
      </c>
      <c r="CN219" t="e">
        <f>AND(#REF!,"AAAAAE1/v1s=")</f>
        <v>#REF!</v>
      </c>
      <c r="CO219" t="e">
        <f>AND(#REF!,"AAAAAE1/v1w=")</f>
        <v>#REF!</v>
      </c>
      <c r="CP219" t="e">
        <f>AND(#REF!,"AAAAAE1/v10=")</f>
        <v>#REF!</v>
      </c>
      <c r="CQ219" t="e">
        <f>AND(#REF!,"AAAAAE1/v14=")</f>
        <v>#REF!</v>
      </c>
      <c r="CR219" t="e">
        <f>AND(#REF!,"AAAAAE1/v18=")</f>
        <v>#REF!</v>
      </c>
      <c r="CS219" t="e">
        <f>AND(#REF!,"AAAAAE1/v2A=")</f>
        <v>#REF!</v>
      </c>
      <c r="CT219" t="e">
        <f>AND(#REF!,"AAAAAE1/v2E=")</f>
        <v>#REF!</v>
      </c>
      <c r="CU219" t="e">
        <f>AND(#REF!,"AAAAAE1/v2I=")</f>
        <v>#REF!</v>
      </c>
      <c r="CV219" t="e">
        <f>AND(#REF!,"AAAAAE1/v2M=")</f>
        <v>#REF!</v>
      </c>
      <c r="CW219" t="e">
        <f>AND(#REF!,"AAAAAE1/v2Q=")</f>
        <v>#REF!</v>
      </c>
      <c r="CX219" t="e">
        <f>IF(#REF!,"AAAAAE1/v2U=",0)</f>
        <v>#REF!</v>
      </c>
      <c r="CY219" t="e">
        <f>AND(#REF!,"AAAAAE1/v2Y=")</f>
        <v>#REF!</v>
      </c>
      <c r="CZ219" t="e">
        <f>AND(#REF!,"AAAAAE1/v2c=")</f>
        <v>#REF!</v>
      </c>
      <c r="DA219" t="e">
        <f>AND(#REF!,"AAAAAE1/v2g=")</f>
        <v>#REF!</v>
      </c>
      <c r="DB219" t="e">
        <f>AND(#REF!,"AAAAAE1/v2k=")</f>
        <v>#REF!</v>
      </c>
      <c r="DC219" t="e">
        <f>AND(#REF!,"AAAAAE1/v2o=")</f>
        <v>#REF!</v>
      </c>
      <c r="DD219" t="e">
        <f>AND(#REF!,"AAAAAE1/v2s=")</f>
        <v>#REF!</v>
      </c>
      <c r="DE219" t="e">
        <f>AND(#REF!,"AAAAAE1/v2w=")</f>
        <v>#REF!</v>
      </c>
      <c r="DF219" t="e">
        <f>AND(#REF!,"AAAAAE1/v20=")</f>
        <v>#REF!</v>
      </c>
      <c r="DG219" t="e">
        <f>AND(#REF!,"AAAAAE1/v24=")</f>
        <v>#REF!</v>
      </c>
      <c r="DH219" t="e">
        <f>AND(#REF!,"AAAAAE1/v28=")</f>
        <v>#REF!</v>
      </c>
      <c r="DI219" t="e">
        <f>IF(#REF!,"AAAAAE1/v3A=",0)</f>
        <v>#REF!</v>
      </c>
      <c r="DJ219" t="e">
        <f>AND(#REF!,"AAAAAE1/v3E=")</f>
        <v>#REF!</v>
      </c>
      <c r="DK219" t="e">
        <f>AND(#REF!,"AAAAAE1/v3I=")</f>
        <v>#REF!</v>
      </c>
      <c r="DL219" t="e">
        <f>AND(#REF!,"AAAAAE1/v3M=")</f>
        <v>#REF!</v>
      </c>
      <c r="DM219" t="e">
        <f>AND(#REF!,"AAAAAE1/v3Q=")</f>
        <v>#REF!</v>
      </c>
      <c r="DN219" t="e">
        <f>AND(#REF!,"AAAAAE1/v3U=")</f>
        <v>#REF!</v>
      </c>
      <c r="DO219" t="e">
        <f>AND(#REF!,"AAAAAE1/v3Y=")</f>
        <v>#REF!</v>
      </c>
      <c r="DP219" t="e">
        <f>AND(#REF!,"AAAAAE1/v3c=")</f>
        <v>#REF!</v>
      </c>
      <c r="DQ219" t="e">
        <f>AND(#REF!,"AAAAAE1/v3g=")</f>
        <v>#REF!</v>
      </c>
      <c r="DR219" t="e">
        <f>AND(#REF!,"AAAAAE1/v3k=")</f>
        <v>#REF!</v>
      </c>
      <c r="DS219" t="e">
        <f>AND(#REF!,"AAAAAE1/v3o=")</f>
        <v>#REF!</v>
      </c>
      <c r="DT219" t="e">
        <f>IF(#REF!,"AAAAAE1/v3s=",0)</f>
        <v>#REF!</v>
      </c>
      <c r="DU219" t="e">
        <f>AND(#REF!,"AAAAAE1/v3w=")</f>
        <v>#REF!</v>
      </c>
      <c r="DV219" t="e">
        <f>AND(#REF!,"AAAAAE1/v30=")</f>
        <v>#REF!</v>
      </c>
      <c r="DW219" t="e">
        <f>AND(#REF!,"AAAAAE1/v34=")</f>
        <v>#REF!</v>
      </c>
      <c r="DX219" t="e">
        <f>AND(#REF!,"AAAAAE1/v38=")</f>
        <v>#REF!</v>
      </c>
      <c r="DY219" t="e">
        <f>AND(#REF!,"AAAAAE1/v4A=")</f>
        <v>#REF!</v>
      </c>
      <c r="DZ219" t="e">
        <f>AND(#REF!,"AAAAAE1/v4E=")</f>
        <v>#REF!</v>
      </c>
      <c r="EA219" t="e">
        <f>AND(#REF!,"AAAAAE1/v4I=")</f>
        <v>#REF!</v>
      </c>
      <c r="EB219" t="e">
        <f>AND(#REF!,"AAAAAE1/v4M=")</f>
        <v>#REF!</v>
      </c>
      <c r="EC219" t="e">
        <f>AND(#REF!,"AAAAAE1/v4Q=")</f>
        <v>#REF!</v>
      </c>
      <c r="ED219" t="e">
        <f>AND(#REF!,"AAAAAE1/v4U=")</f>
        <v>#REF!</v>
      </c>
      <c r="EE219" t="e">
        <f>IF(#REF!,"AAAAAE1/v4Y=",0)</f>
        <v>#REF!</v>
      </c>
      <c r="EF219" t="e">
        <f>AND(#REF!,"AAAAAE1/v4c=")</f>
        <v>#REF!</v>
      </c>
      <c r="EG219" t="e">
        <f>AND(#REF!,"AAAAAE1/v4g=")</f>
        <v>#REF!</v>
      </c>
      <c r="EH219" t="e">
        <f>AND(#REF!,"AAAAAE1/v4k=")</f>
        <v>#REF!</v>
      </c>
      <c r="EI219" t="e">
        <f>AND(#REF!,"AAAAAE1/v4o=")</f>
        <v>#REF!</v>
      </c>
      <c r="EJ219" t="e">
        <f>AND(#REF!,"AAAAAE1/v4s=")</f>
        <v>#REF!</v>
      </c>
      <c r="EK219" t="e">
        <f>AND(#REF!,"AAAAAE1/v4w=")</f>
        <v>#REF!</v>
      </c>
      <c r="EL219" t="e">
        <f>AND(#REF!,"AAAAAE1/v40=")</f>
        <v>#REF!</v>
      </c>
      <c r="EM219" t="e">
        <f>AND(#REF!,"AAAAAE1/v44=")</f>
        <v>#REF!</v>
      </c>
      <c r="EN219" t="e">
        <f>AND(#REF!,"AAAAAE1/v48=")</f>
        <v>#REF!</v>
      </c>
      <c r="EO219" t="e">
        <f>AND(#REF!,"AAAAAE1/v5A=")</f>
        <v>#REF!</v>
      </c>
      <c r="EP219" t="e">
        <f>IF(#REF!,"AAAAAE1/v5E=",0)</f>
        <v>#REF!</v>
      </c>
      <c r="EQ219" t="e">
        <f>AND(#REF!,"AAAAAE1/v5I=")</f>
        <v>#REF!</v>
      </c>
      <c r="ER219" t="e">
        <f>AND(#REF!,"AAAAAE1/v5M=")</f>
        <v>#REF!</v>
      </c>
      <c r="ES219" t="e">
        <f>AND(#REF!,"AAAAAE1/v5Q=")</f>
        <v>#REF!</v>
      </c>
      <c r="ET219" t="e">
        <f>AND(#REF!,"AAAAAE1/v5U=")</f>
        <v>#REF!</v>
      </c>
      <c r="EU219" t="e">
        <f>AND(#REF!,"AAAAAE1/v5Y=")</f>
        <v>#REF!</v>
      </c>
      <c r="EV219" t="e">
        <f>AND(#REF!,"AAAAAE1/v5c=")</f>
        <v>#REF!</v>
      </c>
      <c r="EW219" t="e">
        <f>AND(#REF!,"AAAAAE1/v5g=")</f>
        <v>#REF!</v>
      </c>
      <c r="EX219" t="e">
        <f>AND(#REF!,"AAAAAE1/v5k=")</f>
        <v>#REF!</v>
      </c>
      <c r="EY219" t="e">
        <f>AND(#REF!,"AAAAAE1/v5o=")</f>
        <v>#REF!</v>
      </c>
      <c r="EZ219" t="e">
        <f>AND(#REF!,"AAAAAE1/v5s=")</f>
        <v>#REF!</v>
      </c>
      <c r="FA219" t="e">
        <f>IF(#REF!,"AAAAAE1/v5w=",0)</f>
        <v>#REF!</v>
      </c>
      <c r="FB219" t="e">
        <f>AND(#REF!,"AAAAAE1/v50=")</f>
        <v>#REF!</v>
      </c>
      <c r="FC219" t="e">
        <f>AND(#REF!,"AAAAAE1/v54=")</f>
        <v>#REF!</v>
      </c>
      <c r="FD219" t="e">
        <f>AND(#REF!,"AAAAAE1/v58=")</f>
        <v>#REF!</v>
      </c>
      <c r="FE219" t="e">
        <f>AND(#REF!,"AAAAAE1/v6A=")</f>
        <v>#REF!</v>
      </c>
      <c r="FF219" t="e">
        <f>AND(#REF!,"AAAAAE1/v6E=")</f>
        <v>#REF!</v>
      </c>
      <c r="FG219" t="e">
        <f>AND(#REF!,"AAAAAE1/v6I=")</f>
        <v>#REF!</v>
      </c>
      <c r="FH219" t="e">
        <f>AND(#REF!,"AAAAAE1/v6M=")</f>
        <v>#REF!</v>
      </c>
      <c r="FI219" t="e">
        <f>AND(#REF!,"AAAAAE1/v6Q=")</f>
        <v>#REF!</v>
      </c>
      <c r="FJ219" t="e">
        <f>AND(#REF!,"AAAAAE1/v6U=")</f>
        <v>#REF!</v>
      </c>
      <c r="FK219" t="e">
        <f>AND(#REF!,"AAAAAE1/v6Y=")</f>
        <v>#REF!</v>
      </c>
      <c r="FL219" t="e">
        <f>IF(#REF!,"AAAAAE1/v6c=",0)</f>
        <v>#REF!</v>
      </c>
      <c r="FM219" t="e">
        <f>AND(#REF!,"AAAAAE1/v6g=")</f>
        <v>#REF!</v>
      </c>
      <c r="FN219" t="e">
        <f>AND(#REF!,"AAAAAE1/v6k=")</f>
        <v>#REF!</v>
      </c>
      <c r="FO219" t="e">
        <f>AND(#REF!,"AAAAAE1/v6o=")</f>
        <v>#REF!</v>
      </c>
      <c r="FP219" t="e">
        <f>AND(#REF!,"AAAAAE1/v6s=")</f>
        <v>#REF!</v>
      </c>
      <c r="FQ219" t="e">
        <f>AND(#REF!,"AAAAAE1/v6w=")</f>
        <v>#REF!</v>
      </c>
      <c r="FR219" t="e">
        <f>AND(#REF!,"AAAAAE1/v60=")</f>
        <v>#REF!</v>
      </c>
      <c r="FS219" t="e">
        <f>AND(#REF!,"AAAAAE1/v64=")</f>
        <v>#REF!</v>
      </c>
      <c r="FT219" t="e">
        <f>AND(#REF!,"AAAAAE1/v68=")</f>
        <v>#REF!</v>
      </c>
      <c r="FU219" t="e">
        <f>AND(#REF!,"AAAAAE1/v7A=")</f>
        <v>#REF!</v>
      </c>
      <c r="FV219" t="e">
        <f>AND(#REF!,"AAAAAE1/v7E=")</f>
        <v>#REF!</v>
      </c>
      <c r="FW219" t="e">
        <f>IF(#REF!,"AAAAAE1/v7I=",0)</f>
        <v>#REF!</v>
      </c>
      <c r="FX219" t="e">
        <f>AND(#REF!,"AAAAAE1/v7M=")</f>
        <v>#REF!</v>
      </c>
      <c r="FY219" t="e">
        <f>AND(#REF!,"AAAAAE1/v7Q=")</f>
        <v>#REF!</v>
      </c>
      <c r="FZ219" t="e">
        <f>AND(#REF!,"AAAAAE1/v7U=")</f>
        <v>#REF!</v>
      </c>
      <c r="GA219" t="e">
        <f>AND(#REF!,"AAAAAE1/v7Y=")</f>
        <v>#REF!</v>
      </c>
      <c r="GB219" t="e">
        <f>AND(#REF!,"AAAAAE1/v7c=")</f>
        <v>#REF!</v>
      </c>
      <c r="GC219" t="e">
        <f>AND(#REF!,"AAAAAE1/v7g=")</f>
        <v>#REF!</v>
      </c>
      <c r="GD219" t="e">
        <f>AND(#REF!,"AAAAAE1/v7k=")</f>
        <v>#REF!</v>
      </c>
      <c r="GE219" t="e">
        <f>AND(#REF!,"AAAAAE1/v7o=")</f>
        <v>#REF!</v>
      </c>
      <c r="GF219" t="e">
        <f>AND(#REF!,"AAAAAE1/v7s=")</f>
        <v>#REF!</v>
      </c>
      <c r="GG219" t="e">
        <f>AND(#REF!,"AAAAAE1/v7w=")</f>
        <v>#REF!</v>
      </c>
      <c r="GH219" t="e">
        <f>IF(#REF!,"AAAAAE1/v70=",0)</f>
        <v>#REF!</v>
      </c>
      <c r="GI219" t="e">
        <f>AND(#REF!,"AAAAAE1/v74=")</f>
        <v>#REF!</v>
      </c>
      <c r="GJ219" t="e">
        <f>AND(#REF!,"AAAAAE1/v78=")</f>
        <v>#REF!</v>
      </c>
      <c r="GK219" t="e">
        <f>AND(#REF!,"AAAAAE1/v8A=")</f>
        <v>#REF!</v>
      </c>
      <c r="GL219" t="e">
        <f>AND(#REF!,"AAAAAE1/v8E=")</f>
        <v>#REF!</v>
      </c>
      <c r="GM219" t="e">
        <f>AND(#REF!,"AAAAAE1/v8I=")</f>
        <v>#REF!</v>
      </c>
      <c r="GN219" t="e">
        <f>AND(#REF!,"AAAAAE1/v8M=")</f>
        <v>#REF!</v>
      </c>
      <c r="GO219" t="e">
        <f>AND(#REF!,"AAAAAE1/v8Q=")</f>
        <v>#REF!</v>
      </c>
      <c r="GP219" t="e">
        <f>AND(#REF!,"AAAAAE1/v8U=")</f>
        <v>#REF!</v>
      </c>
      <c r="GQ219" t="e">
        <f>AND(#REF!,"AAAAAE1/v8Y=")</f>
        <v>#REF!</v>
      </c>
      <c r="GR219" t="e">
        <f>AND(#REF!,"AAAAAE1/v8c=")</f>
        <v>#REF!</v>
      </c>
      <c r="GS219" t="e">
        <f>IF(#REF!,"AAAAAE1/v8g=",0)</f>
        <v>#REF!</v>
      </c>
      <c r="GT219" t="e">
        <f>AND(#REF!,"AAAAAE1/v8k=")</f>
        <v>#REF!</v>
      </c>
      <c r="GU219" t="e">
        <f>AND(#REF!,"AAAAAE1/v8o=")</f>
        <v>#REF!</v>
      </c>
      <c r="GV219" t="e">
        <f>AND(#REF!,"AAAAAE1/v8s=")</f>
        <v>#REF!</v>
      </c>
      <c r="GW219" t="e">
        <f>AND(#REF!,"AAAAAE1/v8w=")</f>
        <v>#REF!</v>
      </c>
      <c r="GX219" t="e">
        <f>AND(#REF!,"AAAAAE1/v80=")</f>
        <v>#REF!</v>
      </c>
      <c r="GY219" t="e">
        <f>AND(#REF!,"AAAAAE1/v84=")</f>
        <v>#REF!</v>
      </c>
      <c r="GZ219" t="e">
        <f>AND(#REF!,"AAAAAE1/v88=")</f>
        <v>#REF!</v>
      </c>
      <c r="HA219" t="e">
        <f>AND(#REF!,"AAAAAE1/v9A=")</f>
        <v>#REF!</v>
      </c>
      <c r="HB219" t="e">
        <f>AND(#REF!,"AAAAAE1/v9E=")</f>
        <v>#REF!</v>
      </c>
      <c r="HC219" t="e">
        <f>AND(#REF!,"AAAAAE1/v9I=")</f>
        <v>#REF!</v>
      </c>
      <c r="HD219" t="e">
        <f>IF(#REF!,"AAAAAE1/v9M=",0)</f>
        <v>#REF!</v>
      </c>
      <c r="HE219" t="e">
        <f>AND(#REF!,"AAAAAE1/v9Q=")</f>
        <v>#REF!</v>
      </c>
      <c r="HF219" t="e">
        <f>AND(#REF!,"AAAAAE1/v9U=")</f>
        <v>#REF!</v>
      </c>
      <c r="HG219" t="e">
        <f>AND(#REF!,"AAAAAE1/v9Y=")</f>
        <v>#REF!</v>
      </c>
      <c r="HH219" t="e">
        <f>AND(#REF!,"AAAAAE1/v9c=")</f>
        <v>#REF!</v>
      </c>
      <c r="HI219" t="e">
        <f>AND(#REF!,"AAAAAE1/v9g=")</f>
        <v>#REF!</v>
      </c>
      <c r="HJ219" t="e">
        <f>AND(#REF!,"AAAAAE1/v9k=")</f>
        <v>#REF!</v>
      </c>
      <c r="HK219" t="e">
        <f>AND(#REF!,"AAAAAE1/v9o=")</f>
        <v>#REF!</v>
      </c>
      <c r="HL219" t="e">
        <f>AND(#REF!,"AAAAAE1/v9s=")</f>
        <v>#REF!</v>
      </c>
      <c r="HM219" t="e">
        <f>AND(#REF!,"AAAAAE1/v9w=")</f>
        <v>#REF!</v>
      </c>
      <c r="HN219" t="e">
        <f>AND(#REF!,"AAAAAE1/v90=")</f>
        <v>#REF!</v>
      </c>
      <c r="HO219" t="e">
        <f>IF(#REF!,"AAAAAE1/v94=",0)</f>
        <v>#REF!</v>
      </c>
      <c r="HP219" t="e">
        <f>AND(#REF!,"AAAAAE1/v98=")</f>
        <v>#REF!</v>
      </c>
      <c r="HQ219" t="e">
        <f>AND(#REF!,"AAAAAE1/v+A=")</f>
        <v>#REF!</v>
      </c>
      <c r="HR219" t="e">
        <f>AND(#REF!,"AAAAAE1/v+E=")</f>
        <v>#REF!</v>
      </c>
      <c r="HS219" t="e">
        <f>AND(#REF!,"AAAAAE1/v+I=")</f>
        <v>#REF!</v>
      </c>
      <c r="HT219" t="e">
        <f>AND(#REF!,"AAAAAE1/v+M=")</f>
        <v>#REF!</v>
      </c>
      <c r="HU219" t="e">
        <f>AND(#REF!,"AAAAAE1/v+Q=")</f>
        <v>#REF!</v>
      </c>
      <c r="HV219" t="e">
        <f>AND(#REF!,"AAAAAE1/v+U=")</f>
        <v>#REF!</v>
      </c>
      <c r="HW219" t="e">
        <f>AND(#REF!,"AAAAAE1/v+Y=")</f>
        <v>#REF!</v>
      </c>
      <c r="HX219" t="e">
        <f>AND(#REF!,"AAAAAE1/v+c=")</f>
        <v>#REF!</v>
      </c>
      <c r="HY219" t="e">
        <f>AND(#REF!,"AAAAAE1/v+g=")</f>
        <v>#REF!</v>
      </c>
      <c r="HZ219" t="e">
        <f>IF(#REF!,"AAAAAE1/v+k=",0)</f>
        <v>#REF!</v>
      </c>
      <c r="IA219" t="e">
        <f>AND(#REF!,"AAAAAE1/v+o=")</f>
        <v>#REF!</v>
      </c>
      <c r="IB219" t="e">
        <f>AND(#REF!,"AAAAAE1/v+s=")</f>
        <v>#REF!</v>
      </c>
      <c r="IC219" t="e">
        <f>AND(#REF!,"AAAAAE1/v+w=")</f>
        <v>#REF!</v>
      </c>
      <c r="ID219" t="e">
        <f>AND(#REF!,"AAAAAE1/v+0=")</f>
        <v>#REF!</v>
      </c>
      <c r="IE219" t="e">
        <f>AND(#REF!,"AAAAAE1/v+4=")</f>
        <v>#REF!</v>
      </c>
      <c r="IF219" t="e">
        <f>AND(#REF!,"AAAAAE1/v+8=")</f>
        <v>#REF!</v>
      </c>
      <c r="IG219" t="e">
        <f>AND(#REF!,"AAAAAE1/v/A=")</f>
        <v>#REF!</v>
      </c>
      <c r="IH219" t="e">
        <f>AND(#REF!,"AAAAAE1/v/E=")</f>
        <v>#REF!</v>
      </c>
      <c r="II219" t="e">
        <f>AND(#REF!,"AAAAAE1/v/I=")</f>
        <v>#REF!</v>
      </c>
      <c r="IJ219" t="e">
        <f>AND(#REF!,"AAAAAE1/v/M=")</f>
        <v>#REF!</v>
      </c>
      <c r="IK219" t="e">
        <f>IF(#REF!,"AAAAAE1/v/Q=",0)</f>
        <v>#REF!</v>
      </c>
      <c r="IL219" t="e">
        <f>AND(#REF!,"AAAAAE1/v/U=")</f>
        <v>#REF!</v>
      </c>
      <c r="IM219" t="e">
        <f>AND(#REF!,"AAAAAE1/v/Y=")</f>
        <v>#REF!</v>
      </c>
      <c r="IN219" t="e">
        <f>AND(#REF!,"AAAAAE1/v/c=")</f>
        <v>#REF!</v>
      </c>
      <c r="IO219" t="e">
        <f>AND(#REF!,"AAAAAE1/v/g=")</f>
        <v>#REF!</v>
      </c>
      <c r="IP219" t="e">
        <f>AND(#REF!,"AAAAAE1/v/k=")</f>
        <v>#REF!</v>
      </c>
      <c r="IQ219" t="e">
        <f>AND(#REF!,"AAAAAE1/v/o=")</f>
        <v>#REF!</v>
      </c>
      <c r="IR219" t="e">
        <f>AND(#REF!,"AAAAAE1/v/s=")</f>
        <v>#REF!</v>
      </c>
      <c r="IS219" t="e">
        <f>AND(#REF!,"AAAAAE1/v/w=")</f>
        <v>#REF!</v>
      </c>
      <c r="IT219" t="e">
        <f>AND(#REF!,"AAAAAE1/v/0=")</f>
        <v>#REF!</v>
      </c>
      <c r="IU219" t="e">
        <f>AND(#REF!,"AAAAAE1/v/4=")</f>
        <v>#REF!</v>
      </c>
      <c r="IV219" t="e">
        <f>IF(#REF!,"AAAAAE1/v/8=",0)</f>
        <v>#REF!</v>
      </c>
    </row>
    <row r="220" spans="1:256" x14ac:dyDescent="0.25">
      <c r="A220" t="e">
        <f>AND(#REF!,"AAAAAHv//wA=")</f>
        <v>#REF!</v>
      </c>
      <c r="B220" t="e">
        <f>AND(#REF!,"AAAAAHv//wE=")</f>
        <v>#REF!</v>
      </c>
      <c r="C220" t="e">
        <f>AND(#REF!,"AAAAAHv//wI=")</f>
        <v>#REF!</v>
      </c>
      <c r="D220" t="e">
        <f>AND(#REF!,"AAAAAHv//wM=")</f>
        <v>#REF!</v>
      </c>
      <c r="E220" t="e">
        <f>AND(#REF!,"AAAAAHv//wQ=")</f>
        <v>#REF!</v>
      </c>
      <c r="F220" t="e">
        <f>AND(#REF!,"AAAAAHv//wU=")</f>
        <v>#REF!</v>
      </c>
      <c r="G220" t="e">
        <f>AND(#REF!,"AAAAAHv//wY=")</f>
        <v>#REF!</v>
      </c>
      <c r="H220" t="e">
        <f>AND(#REF!,"AAAAAHv//wc=")</f>
        <v>#REF!</v>
      </c>
      <c r="I220" t="e">
        <f>AND(#REF!,"AAAAAHv//wg=")</f>
        <v>#REF!</v>
      </c>
      <c r="J220" t="e">
        <f>AND(#REF!,"AAAAAHv//wk=")</f>
        <v>#REF!</v>
      </c>
      <c r="K220" t="e">
        <f>IF(#REF!,"AAAAAHv//wo=",0)</f>
        <v>#REF!</v>
      </c>
      <c r="L220" t="e">
        <f>AND(#REF!,"AAAAAHv//ws=")</f>
        <v>#REF!</v>
      </c>
      <c r="M220" t="e">
        <f>AND(#REF!,"AAAAAHv//ww=")</f>
        <v>#REF!</v>
      </c>
      <c r="N220" t="e">
        <f>AND(#REF!,"AAAAAHv//w0=")</f>
        <v>#REF!</v>
      </c>
      <c r="O220" t="e">
        <f>AND(#REF!,"AAAAAHv//w4=")</f>
        <v>#REF!</v>
      </c>
      <c r="P220" t="e">
        <f>AND(#REF!,"AAAAAHv//w8=")</f>
        <v>#REF!</v>
      </c>
      <c r="Q220" t="e">
        <f>AND(#REF!,"AAAAAHv//xA=")</f>
        <v>#REF!</v>
      </c>
      <c r="R220" t="e">
        <f>AND(#REF!,"AAAAAHv//xE=")</f>
        <v>#REF!</v>
      </c>
      <c r="S220" t="e">
        <f>AND(#REF!,"AAAAAHv//xI=")</f>
        <v>#REF!</v>
      </c>
      <c r="T220" t="e">
        <f>AND(#REF!,"AAAAAHv//xM=")</f>
        <v>#REF!</v>
      </c>
      <c r="U220" t="e">
        <f>AND(#REF!,"AAAAAHv//xQ=")</f>
        <v>#REF!</v>
      </c>
      <c r="V220" t="e">
        <f>IF(#REF!,"AAAAAHv//xU=",0)</f>
        <v>#REF!</v>
      </c>
      <c r="W220" t="e">
        <f>AND(#REF!,"AAAAAHv//xY=")</f>
        <v>#REF!</v>
      </c>
      <c r="X220" t="e">
        <f>AND(#REF!,"AAAAAHv//xc=")</f>
        <v>#REF!</v>
      </c>
      <c r="Y220" t="e">
        <f>AND(#REF!,"AAAAAHv//xg=")</f>
        <v>#REF!</v>
      </c>
      <c r="Z220" t="e">
        <f>AND(#REF!,"AAAAAHv//xk=")</f>
        <v>#REF!</v>
      </c>
      <c r="AA220" t="e">
        <f>AND(#REF!,"AAAAAHv//xo=")</f>
        <v>#REF!</v>
      </c>
      <c r="AB220" t="e">
        <f>AND(#REF!,"AAAAAHv//xs=")</f>
        <v>#REF!</v>
      </c>
      <c r="AC220" t="e">
        <f>AND(#REF!,"AAAAAHv//xw=")</f>
        <v>#REF!</v>
      </c>
      <c r="AD220" t="e">
        <f>AND(#REF!,"AAAAAHv//x0=")</f>
        <v>#REF!</v>
      </c>
      <c r="AE220" t="e">
        <f>AND(#REF!,"AAAAAHv//x4=")</f>
        <v>#REF!</v>
      </c>
      <c r="AF220" t="e">
        <f>AND(#REF!,"AAAAAHv//x8=")</f>
        <v>#REF!</v>
      </c>
      <c r="AG220" t="e">
        <f>IF(#REF!,"AAAAAHv//yA=",0)</f>
        <v>#REF!</v>
      </c>
      <c r="AH220" t="e">
        <f>AND(#REF!,"AAAAAHv//yE=")</f>
        <v>#REF!</v>
      </c>
      <c r="AI220" t="e">
        <f>AND(#REF!,"AAAAAHv//yI=")</f>
        <v>#REF!</v>
      </c>
      <c r="AJ220" t="e">
        <f>AND(#REF!,"AAAAAHv//yM=")</f>
        <v>#REF!</v>
      </c>
      <c r="AK220" t="e">
        <f>AND(#REF!,"AAAAAHv//yQ=")</f>
        <v>#REF!</v>
      </c>
      <c r="AL220" t="e">
        <f>AND(#REF!,"AAAAAHv//yU=")</f>
        <v>#REF!</v>
      </c>
      <c r="AM220" t="e">
        <f>AND(#REF!,"AAAAAHv//yY=")</f>
        <v>#REF!</v>
      </c>
      <c r="AN220" t="e">
        <f>AND(#REF!,"AAAAAHv//yc=")</f>
        <v>#REF!</v>
      </c>
      <c r="AO220" t="e">
        <f>AND(#REF!,"AAAAAHv//yg=")</f>
        <v>#REF!</v>
      </c>
      <c r="AP220" t="e">
        <f>AND(#REF!,"AAAAAHv//yk=")</f>
        <v>#REF!</v>
      </c>
      <c r="AQ220" t="e">
        <f>AND(#REF!,"AAAAAHv//yo=")</f>
        <v>#REF!</v>
      </c>
      <c r="AR220" t="e">
        <f>IF(#REF!,"AAAAAHv//ys=",0)</f>
        <v>#REF!</v>
      </c>
      <c r="AS220" t="e">
        <f>AND(#REF!,"AAAAAHv//yw=")</f>
        <v>#REF!</v>
      </c>
      <c r="AT220" t="e">
        <f>AND(#REF!,"AAAAAHv//y0=")</f>
        <v>#REF!</v>
      </c>
      <c r="AU220" t="e">
        <f>AND(#REF!,"AAAAAHv//y4=")</f>
        <v>#REF!</v>
      </c>
      <c r="AV220" t="e">
        <f>AND(#REF!,"AAAAAHv//y8=")</f>
        <v>#REF!</v>
      </c>
      <c r="AW220" t="e">
        <f>AND(#REF!,"AAAAAHv//zA=")</f>
        <v>#REF!</v>
      </c>
      <c r="AX220" t="e">
        <f>AND(#REF!,"AAAAAHv//zE=")</f>
        <v>#REF!</v>
      </c>
      <c r="AY220" t="e">
        <f>AND(#REF!,"AAAAAHv//zI=")</f>
        <v>#REF!</v>
      </c>
      <c r="AZ220" t="e">
        <f>AND(#REF!,"AAAAAHv//zM=")</f>
        <v>#REF!</v>
      </c>
      <c r="BA220" t="e">
        <f>AND(#REF!,"AAAAAHv//zQ=")</f>
        <v>#REF!</v>
      </c>
      <c r="BB220" t="e">
        <f>AND(#REF!,"AAAAAHv//zU=")</f>
        <v>#REF!</v>
      </c>
      <c r="BC220" t="e">
        <f>IF(#REF!,"AAAAAHv//zY=",0)</f>
        <v>#REF!</v>
      </c>
      <c r="BD220" t="e">
        <f>AND(#REF!,"AAAAAHv//zc=")</f>
        <v>#REF!</v>
      </c>
      <c r="BE220" t="e">
        <f>AND(#REF!,"AAAAAHv//zg=")</f>
        <v>#REF!</v>
      </c>
      <c r="BF220" t="e">
        <f>AND(#REF!,"AAAAAHv//zk=")</f>
        <v>#REF!</v>
      </c>
      <c r="BG220" t="e">
        <f>AND(#REF!,"AAAAAHv//zo=")</f>
        <v>#REF!</v>
      </c>
      <c r="BH220" t="e">
        <f>AND(#REF!,"AAAAAHv//zs=")</f>
        <v>#REF!</v>
      </c>
      <c r="BI220" t="e">
        <f>AND(#REF!,"AAAAAHv//zw=")</f>
        <v>#REF!</v>
      </c>
      <c r="BJ220" t="e">
        <f>AND(#REF!,"AAAAAHv//z0=")</f>
        <v>#REF!</v>
      </c>
      <c r="BK220" t="e">
        <f>AND(#REF!,"AAAAAHv//z4=")</f>
        <v>#REF!</v>
      </c>
      <c r="BL220" t="e">
        <f>AND(#REF!,"AAAAAHv//z8=")</f>
        <v>#REF!</v>
      </c>
      <c r="BM220" t="e">
        <f>AND(#REF!,"AAAAAHv//0A=")</f>
        <v>#REF!</v>
      </c>
      <c r="BN220" t="e">
        <f>IF(#REF!,"AAAAAHv//0E=",0)</f>
        <v>#REF!</v>
      </c>
      <c r="BO220" t="e">
        <f>AND(#REF!,"AAAAAHv//0I=")</f>
        <v>#REF!</v>
      </c>
      <c r="BP220" t="e">
        <f>AND(#REF!,"AAAAAHv//0M=")</f>
        <v>#REF!</v>
      </c>
      <c r="BQ220" t="e">
        <f>AND(#REF!,"AAAAAHv//0Q=")</f>
        <v>#REF!</v>
      </c>
      <c r="BR220" t="e">
        <f>AND(#REF!,"AAAAAHv//0U=")</f>
        <v>#REF!</v>
      </c>
      <c r="BS220" t="e">
        <f>AND(#REF!,"AAAAAHv//0Y=")</f>
        <v>#REF!</v>
      </c>
      <c r="BT220" t="e">
        <f>AND(#REF!,"AAAAAHv//0c=")</f>
        <v>#REF!</v>
      </c>
      <c r="BU220" t="e">
        <f>AND(#REF!,"AAAAAHv//0g=")</f>
        <v>#REF!</v>
      </c>
      <c r="BV220" t="e">
        <f>AND(#REF!,"AAAAAHv//0k=")</f>
        <v>#REF!</v>
      </c>
      <c r="BW220" t="e">
        <f>AND(#REF!,"AAAAAHv//0o=")</f>
        <v>#REF!</v>
      </c>
      <c r="BX220" t="e">
        <f>AND(#REF!,"AAAAAHv//0s=")</f>
        <v>#REF!</v>
      </c>
      <c r="BY220" t="e">
        <f>IF(#REF!,"AAAAAHv//0w=",0)</f>
        <v>#REF!</v>
      </c>
      <c r="BZ220" t="e">
        <f>AND(#REF!,"AAAAAHv//00=")</f>
        <v>#REF!</v>
      </c>
      <c r="CA220" t="e">
        <f>AND(#REF!,"AAAAAHv//04=")</f>
        <v>#REF!</v>
      </c>
      <c r="CB220" t="e">
        <f>AND(#REF!,"AAAAAHv//08=")</f>
        <v>#REF!</v>
      </c>
      <c r="CC220" t="e">
        <f>AND(#REF!,"AAAAAHv//1A=")</f>
        <v>#REF!</v>
      </c>
      <c r="CD220" t="e">
        <f>AND(#REF!,"AAAAAHv//1E=")</f>
        <v>#REF!</v>
      </c>
      <c r="CE220" t="e">
        <f>AND(#REF!,"AAAAAHv//1I=")</f>
        <v>#REF!</v>
      </c>
      <c r="CF220" t="e">
        <f>AND(#REF!,"AAAAAHv//1M=")</f>
        <v>#REF!</v>
      </c>
      <c r="CG220" t="e">
        <f>AND(#REF!,"AAAAAHv//1Q=")</f>
        <v>#REF!</v>
      </c>
      <c r="CH220" t="e">
        <f>AND(#REF!,"AAAAAHv//1U=")</f>
        <v>#REF!</v>
      </c>
      <c r="CI220" t="e">
        <f>AND(#REF!,"AAAAAHv//1Y=")</f>
        <v>#REF!</v>
      </c>
      <c r="CJ220" t="e">
        <f>IF(#REF!,"AAAAAHv//1c=",0)</f>
        <v>#REF!</v>
      </c>
      <c r="CK220" t="e">
        <f>AND(#REF!,"AAAAAHv//1g=")</f>
        <v>#REF!</v>
      </c>
      <c r="CL220" t="e">
        <f>AND(#REF!,"AAAAAHv//1k=")</f>
        <v>#REF!</v>
      </c>
      <c r="CM220" t="e">
        <f>AND(#REF!,"AAAAAHv//1o=")</f>
        <v>#REF!</v>
      </c>
      <c r="CN220" t="e">
        <f>AND(#REF!,"AAAAAHv//1s=")</f>
        <v>#REF!</v>
      </c>
      <c r="CO220" t="e">
        <f>AND(#REF!,"AAAAAHv//1w=")</f>
        <v>#REF!</v>
      </c>
      <c r="CP220" t="e">
        <f>AND(#REF!,"AAAAAHv//10=")</f>
        <v>#REF!</v>
      </c>
      <c r="CQ220" t="e">
        <f>AND(#REF!,"AAAAAHv//14=")</f>
        <v>#REF!</v>
      </c>
      <c r="CR220" t="e">
        <f>AND(#REF!,"AAAAAHv//18=")</f>
        <v>#REF!</v>
      </c>
      <c r="CS220" t="e">
        <f>AND(#REF!,"AAAAAHv//2A=")</f>
        <v>#REF!</v>
      </c>
      <c r="CT220" t="e">
        <f>AND(#REF!,"AAAAAHv//2E=")</f>
        <v>#REF!</v>
      </c>
      <c r="CU220" t="e">
        <f>IF(#REF!,"AAAAAHv//2I=",0)</f>
        <v>#REF!</v>
      </c>
      <c r="CV220" t="e">
        <f>AND(#REF!,"AAAAAHv//2M=")</f>
        <v>#REF!</v>
      </c>
      <c r="CW220" t="e">
        <f>AND(#REF!,"AAAAAHv//2Q=")</f>
        <v>#REF!</v>
      </c>
      <c r="CX220" t="e">
        <f>AND(#REF!,"AAAAAHv//2U=")</f>
        <v>#REF!</v>
      </c>
      <c r="CY220" t="e">
        <f>AND(#REF!,"AAAAAHv//2Y=")</f>
        <v>#REF!</v>
      </c>
      <c r="CZ220" t="e">
        <f>AND(#REF!,"AAAAAHv//2c=")</f>
        <v>#REF!</v>
      </c>
      <c r="DA220" t="e">
        <f>AND(#REF!,"AAAAAHv//2g=")</f>
        <v>#REF!</v>
      </c>
      <c r="DB220" t="e">
        <f>AND(#REF!,"AAAAAHv//2k=")</f>
        <v>#REF!</v>
      </c>
      <c r="DC220" t="e">
        <f>AND(#REF!,"AAAAAHv//2o=")</f>
        <v>#REF!</v>
      </c>
      <c r="DD220" t="e">
        <f>AND(#REF!,"AAAAAHv//2s=")</f>
        <v>#REF!</v>
      </c>
      <c r="DE220" t="e">
        <f>AND(#REF!,"AAAAAHv//2w=")</f>
        <v>#REF!</v>
      </c>
      <c r="DF220" t="e">
        <f>IF(#REF!,"AAAAAHv//20=",0)</f>
        <v>#REF!</v>
      </c>
      <c r="DG220" t="e">
        <f>AND(#REF!,"AAAAAHv//24=")</f>
        <v>#REF!</v>
      </c>
      <c r="DH220" t="e">
        <f>AND(#REF!,"AAAAAHv//28=")</f>
        <v>#REF!</v>
      </c>
      <c r="DI220" t="e">
        <f>AND(#REF!,"AAAAAHv//3A=")</f>
        <v>#REF!</v>
      </c>
      <c r="DJ220" t="e">
        <f>AND(#REF!,"AAAAAHv//3E=")</f>
        <v>#REF!</v>
      </c>
      <c r="DK220" t="e">
        <f>AND(#REF!,"AAAAAHv//3I=")</f>
        <v>#REF!</v>
      </c>
      <c r="DL220" t="e">
        <f>AND(#REF!,"AAAAAHv//3M=")</f>
        <v>#REF!</v>
      </c>
      <c r="DM220" t="e">
        <f>AND(#REF!,"AAAAAHv//3Q=")</f>
        <v>#REF!</v>
      </c>
      <c r="DN220" t="e">
        <f>AND(#REF!,"AAAAAHv//3U=")</f>
        <v>#REF!</v>
      </c>
      <c r="DO220" t="e">
        <f>AND(#REF!,"AAAAAHv//3Y=")</f>
        <v>#REF!</v>
      </c>
      <c r="DP220" t="e">
        <f>AND(#REF!,"AAAAAHv//3c=")</f>
        <v>#REF!</v>
      </c>
      <c r="DQ220" t="e">
        <f>IF(#REF!,"AAAAAHv//3g=",0)</f>
        <v>#REF!</v>
      </c>
      <c r="DR220" t="e">
        <f>AND(#REF!,"AAAAAHv//3k=")</f>
        <v>#REF!</v>
      </c>
      <c r="DS220" t="e">
        <f>AND(#REF!,"AAAAAHv//3o=")</f>
        <v>#REF!</v>
      </c>
      <c r="DT220" t="e">
        <f>AND(#REF!,"AAAAAHv//3s=")</f>
        <v>#REF!</v>
      </c>
      <c r="DU220" t="e">
        <f>AND(#REF!,"AAAAAHv//3w=")</f>
        <v>#REF!</v>
      </c>
      <c r="DV220" t="e">
        <f>AND(#REF!,"AAAAAHv//30=")</f>
        <v>#REF!</v>
      </c>
      <c r="DW220" t="e">
        <f>AND(#REF!,"AAAAAHv//34=")</f>
        <v>#REF!</v>
      </c>
      <c r="DX220" t="e">
        <f>AND(#REF!,"AAAAAHv//38=")</f>
        <v>#REF!</v>
      </c>
      <c r="DY220" t="e">
        <f>AND(#REF!,"AAAAAHv//4A=")</f>
        <v>#REF!</v>
      </c>
      <c r="DZ220" t="e">
        <f>AND(#REF!,"AAAAAHv//4E=")</f>
        <v>#REF!</v>
      </c>
      <c r="EA220" t="e">
        <f>AND(#REF!,"AAAAAHv//4I=")</f>
        <v>#REF!</v>
      </c>
      <c r="EB220" t="e">
        <f>IF(#REF!,"AAAAAHv//4M=",0)</f>
        <v>#REF!</v>
      </c>
      <c r="EC220" t="e">
        <f>AND(#REF!,"AAAAAHv//4Q=")</f>
        <v>#REF!</v>
      </c>
      <c r="ED220" t="e">
        <f>AND(#REF!,"AAAAAHv//4U=")</f>
        <v>#REF!</v>
      </c>
      <c r="EE220" t="e">
        <f>AND(#REF!,"AAAAAHv//4Y=")</f>
        <v>#REF!</v>
      </c>
      <c r="EF220" t="e">
        <f>AND(#REF!,"AAAAAHv//4c=")</f>
        <v>#REF!</v>
      </c>
      <c r="EG220" t="e">
        <f>AND(#REF!,"AAAAAHv//4g=")</f>
        <v>#REF!</v>
      </c>
      <c r="EH220" t="e">
        <f>AND(#REF!,"AAAAAHv//4k=")</f>
        <v>#REF!</v>
      </c>
      <c r="EI220" t="e">
        <f>AND(#REF!,"AAAAAHv//4o=")</f>
        <v>#REF!</v>
      </c>
      <c r="EJ220" t="e">
        <f>AND(#REF!,"AAAAAHv//4s=")</f>
        <v>#REF!</v>
      </c>
      <c r="EK220" t="e">
        <f>AND(#REF!,"AAAAAHv//4w=")</f>
        <v>#REF!</v>
      </c>
      <c r="EL220" t="e">
        <f>AND(#REF!,"AAAAAHv//40=")</f>
        <v>#REF!</v>
      </c>
      <c r="EM220" t="e">
        <f>IF(#REF!,"AAAAAHv//44=",0)</f>
        <v>#REF!</v>
      </c>
      <c r="EN220" t="e">
        <f>AND(#REF!,"AAAAAHv//48=")</f>
        <v>#REF!</v>
      </c>
      <c r="EO220" t="e">
        <f>AND(#REF!,"AAAAAHv//5A=")</f>
        <v>#REF!</v>
      </c>
      <c r="EP220" t="e">
        <f>AND(#REF!,"AAAAAHv//5E=")</f>
        <v>#REF!</v>
      </c>
      <c r="EQ220" t="e">
        <f>AND(#REF!,"AAAAAHv//5I=")</f>
        <v>#REF!</v>
      </c>
      <c r="ER220" t="e">
        <f>AND(#REF!,"AAAAAHv//5M=")</f>
        <v>#REF!</v>
      </c>
      <c r="ES220" t="e">
        <f>AND(#REF!,"AAAAAHv//5Q=")</f>
        <v>#REF!</v>
      </c>
      <c r="ET220" t="e">
        <f>AND(#REF!,"AAAAAHv//5U=")</f>
        <v>#REF!</v>
      </c>
      <c r="EU220" t="e">
        <f>AND(#REF!,"AAAAAHv//5Y=")</f>
        <v>#REF!</v>
      </c>
      <c r="EV220" t="e">
        <f>AND(#REF!,"AAAAAHv//5c=")</f>
        <v>#REF!</v>
      </c>
      <c r="EW220" t="e">
        <f>AND(#REF!,"AAAAAHv//5g=")</f>
        <v>#REF!</v>
      </c>
      <c r="EX220" t="e">
        <f>IF(#REF!,"AAAAAHv//5k=",0)</f>
        <v>#REF!</v>
      </c>
      <c r="EY220" t="e">
        <f>AND(#REF!,"AAAAAHv//5o=")</f>
        <v>#REF!</v>
      </c>
      <c r="EZ220" t="e">
        <f>AND(#REF!,"AAAAAHv//5s=")</f>
        <v>#REF!</v>
      </c>
      <c r="FA220" t="e">
        <f>AND(#REF!,"AAAAAHv//5w=")</f>
        <v>#REF!</v>
      </c>
      <c r="FB220" t="e">
        <f>AND(#REF!,"AAAAAHv//50=")</f>
        <v>#REF!</v>
      </c>
      <c r="FC220" t="e">
        <f>AND(#REF!,"AAAAAHv//54=")</f>
        <v>#REF!</v>
      </c>
      <c r="FD220" t="e">
        <f>AND(#REF!,"AAAAAHv//58=")</f>
        <v>#REF!</v>
      </c>
      <c r="FE220" t="e">
        <f>AND(#REF!,"AAAAAHv//6A=")</f>
        <v>#REF!</v>
      </c>
      <c r="FF220" t="e">
        <f>AND(#REF!,"AAAAAHv//6E=")</f>
        <v>#REF!</v>
      </c>
      <c r="FG220" t="e">
        <f>AND(#REF!,"AAAAAHv//6I=")</f>
        <v>#REF!</v>
      </c>
      <c r="FH220" t="e">
        <f>AND(#REF!,"AAAAAHv//6M=")</f>
        <v>#REF!</v>
      </c>
      <c r="FI220" t="e">
        <f>IF(#REF!,"AAAAAHv//6Q=",0)</f>
        <v>#REF!</v>
      </c>
      <c r="FJ220" t="e">
        <f>AND(#REF!,"AAAAAHv//6U=")</f>
        <v>#REF!</v>
      </c>
      <c r="FK220" t="e">
        <f>AND(#REF!,"AAAAAHv//6Y=")</f>
        <v>#REF!</v>
      </c>
      <c r="FL220" t="e">
        <f>AND(#REF!,"AAAAAHv//6c=")</f>
        <v>#REF!</v>
      </c>
      <c r="FM220" t="e">
        <f>AND(#REF!,"AAAAAHv//6g=")</f>
        <v>#REF!</v>
      </c>
      <c r="FN220" t="e">
        <f>AND(#REF!,"AAAAAHv//6k=")</f>
        <v>#REF!</v>
      </c>
      <c r="FO220" t="e">
        <f>AND(#REF!,"AAAAAHv//6o=")</f>
        <v>#REF!</v>
      </c>
      <c r="FP220" t="e">
        <f>AND(#REF!,"AAAAAHv//6s=")</f>
        <v>#REF!</v>
      </c>
      <c r="FQ220" t="e">
        <f>AND(#REF!,"AAAAAHv//6w=")</f>
        <v>#REF!</v>
      </c>
      <c r="FR220" t="e">
        <f>AND(#REF!,"AAAAAHv//60=")</f>
        <v>#REF!</v>
      </c>
      <c r="FS220" t="e">
        <f>AND(#REF!,"AAAAAHv//64=")</f>
        <v>#REF!</v>
      </c>
      <c r="FT220" t="e">
        <f>IF(#REF!,"AAAAAHv//68=",0)</f>
        <v>#REF!</v>
      </c>
      <c r="FU220" t="e">
        <f>AND(#REF!,"AAAAAHv//7A=")</f>
        <v>#REF!</v>
      </c>
      <c r="FV220" t="e">
        <f>AND(#REF!,"AAAAAHv//7E=")</f>
        <v>#REF!</v>
      </c>
      <c r="FW220" t="e">
        <f>AND(#REF!,"AAAAAHv//7I=")</f>
        <v>#REF!</v>
      </c>
      <c r="FX220" t="e">
        <f>AND(#REF!,"AAAAAHv//7M=")</f>
        <v>#REF!</v>
      </c>
      <c r="FY220" t="e">
        <f>AND(#REF!,"AAAAAHv//7Q=")</f>
        <v>#REF!</v>
      </c>
      <c r="FZ220" t="e">
        <f>AND(#REF!,"AAAAAHv//7U=")</f>
        <v>#REF!</v>
      </c>
      <c r="GA220" t="e">
        <f>AND(#REF!,"AAAAAHv//7Y=")</f>
        <v>#REF!</v>
      </c>
      <c r="GB220" t="e">
        <f>AND(#REF!,"AAAAAHv//7c=")</f>
        <v>#REF!</v>
      </c>
      <c r="GC220" t="e">
        <f>AND(#REF!,"AAAAAHv//7g=")</f>
        <v>#REF!</v>
      </c>
      <c r="GD220" t="e">
        <f>AND(#REF!,"AAAAAHv//7k=")</f>
        <v>#REF!</v>
      </c>
      <c r="GE220" t="e">
        <f>IF(#REF!,"AAAAAHv//7o=",0)</f>
        <v>#REF!</v>
      </c>
      <c r="GF220" t="e">
        <f>AND(#REF!,"AAAAAHv//7s=")</f>
        <v>#REF!</v>
      </c>
      <c r="GG220" t="e">
        <f>AND(#REF!,"AAAAAHv//7w=")</f>
        <v>#REF!</v>
      </c>
      <c r="GH220" t="e">
        <f>AND(#REF!,"AAAAAHv//70=")</f>
        <v>#REF!</v>
      </c>
      <c r="GI220" t="e">
        <f>AND(#REF!,"AAAAAHv//74=")</f>
        <v>#REF!</v>
      </c>
      <c r="GJ220" t="e">
        <f>AND(#REF!,"AAAAAHv//78=")</f>
        <v>#REF!</v>
      </c>
      <c r="GK220" t="e">
        <f>AND(#REF!,"AAAAAHv//8A=")</f>
        <v>#REF!</v>
      </c>
      <c r="GL220" t="e">
        <f>AND(#REF!,"AAAAAHv//8E=")</f>
        <v>#REF!</v>
      </c>
      <c r="GM220" t="e">
        <f>AND(#REF!,"AAAAAHv//8I=")</f>
        <v>#REF!</v>
      </c>
      <c r="GN220" t="e">
        <f>AND(#REF!,"AAAAAHv//8M=")</f>
        <v>#REF!</v>
      </c>
      <c r="GO220" t="e">
        <f>AND(#REF!,"AAAAAHv//8Q=")</f>
        <v>#REF!</v>
      </c>
      <c r="GP220" t="e">
        <f>IF(#REF!,"AAAAAHv//8U=",0)</f>
        <v>#REF!</v>
      </c>
      <c r="GQ220" t="e">
        <f>AND(#REF!,"AAAAAHv//8Y=")</f>
        <v>#REF!</v>
      </c>
      <c r="GR220" t="e">
        <f>AND(#REF!,"AAAAAHv//8c=")</f>
        <v>#REF!</v>
      </c>
      <c r="GS220" t="e">
        <f>AND(#REF!,"AAAAAHv//8g=")</f>
        <v>#REF!</v>
      </c>
      <c r="GT220" t="e">
        <f>AND(#REF!,"AAAAAHv//8k=")</f>
        <v>#REF!</v>
      </c>
      <c r="GU220" t="e">
        <f>AND(#REF!,"AAAAAHv//8o=")</f>
        <v>#REF!</v>
      </c>
      <c r="GV220" t="e">
        <f>AND(#REF!,"AAAAAHv//8s=")</f>
        <v>#REF!</v>
      </c>
      <c r="GW220" t="e">
        <f>AND(#REF!,"AAAAAHv//8w=")</f>
        <v>#REF!</v>
      </c>
      <c r="GX220" t="e">
        <f>AND(#REF!,"AAAAAHv//80=")</f>
        <v>#REF!</v>
      </c>
      <c r="GY220" t="e">
        <f>AND(#REF!,"AAAAAHv//84=")</f>
        <v>#REF!</v>
      </c>
      <c r="GZ220" t="e">
        <f>AND(#REF!,"AAAAAHv//88=")</f>
        <v>#REF!</v>
      </c>
      <c r="HA220" t="e">
        <f>IF(#REF!,"AAAAAHv//9A=",0)</f>
        <v>#REF!</v>
      </c>
      <c r="HB220" t="e">
        <f>AND(#REF!,"AAAAAHv//9E=")</f>
        <v>#REF!</v>
      </c>
      <c r="HC220" t="e">
        <f>AND(#REF!,"AAAAAHv//9I=")</f>
        <v>#REF!</v>
      </c>
      <c r="HD220" t="e">
        <f>AND(#REF!,"AAAAAHv//9M=")</f>
        <v>#REF!</v>
      </c>
      <c r="HE220" t="e">
        <f>AND(#REF!,"AAAAAHv//9Q=")</f>
        <v>#REF!</v>
      </c>
      <c r="HF220" t="e">
        <f>AND(#REF!,"AAAAAHv//9U=")</f>
        <v>#REF!</v>
      </c>
      <c r="HG220" t="e">
        <f>AND(#REF!,"AAAAAHv//9Y=")</f>
        <v>#REF!</v>
      </c>
      <c r="HH220" t="e">
        <f>AND(#REF!,"AAAAAHv//9c=")</f>
        <v>#REF!</v>
      </c>
      <c r="HI220" t="e">
        <f>AND(#REF!,"AAAAAHv//9g=")</f>
        <v>#REF!</v>
      </c>
      <c r="HJ220" t="e">
        <f>AND(#REF!,"AAAAAHv//9k=")</f>
        <v>#REF!</v>
      </c>
      <c r="HK220" t="e">
        <f>AND(#REF!,"AAAAAHv//9o=")</f>
        <v>#REF!</v>
      </c>
      <c r="HL220" t="e">
        <f>IF(#REF!,"AAAAAHv//9s=",0)</f>
        <v>#REF!</v>
      </c>
      <c r="HM220" t="e">
        <f>AND(#REF!,"AAAAAHv//9w=")</f>
        <v>#REF!</v>
      </c>
      <c r="HN220" t="e">
        <f>AND(#REF!,"AAAAAHv//90=")</f>
        <v>#REF!</v>
      </c>
      <c r="HO220" t="e">
        <f>AND(#REF!,"AAAAAHv//94=")</f>
        <v>#REF!</v>
      </c>
      <c r="HP220" t="e">
        <f>AND(#REF!,"AAAAAHv//98=")</f>
        <v>#REF!</v>
      </c>
      <c r="HQ220" t="e">
        <f>AND(#REF!,"AAAAAHv//+A=")</f>
        <v>#REF!</v>
      </c>
      <c r="HR220" t="e">
        <f>AND(#REF!,"AAAAAHv//+E=")</f>
        <v>#REF!</v>
      </c>
      <c r="HS220" t="e">
        <f>AND(#REF!,"AAAAAHv//+I=")</f>
        <v>#REF!</v>
      </c>
      <c r="HT220" t="e">
        <f>AND(#REF!,"AAAAAHv//+M=")</f>
        <v>#REF!</v>
      </c>
      <c r="HU220" t="e">
        <f>AND(#REF!,"AAAAAHv//+Q=")</f>
        <v>#REF!</v>
      </c>
      <c r="HV220" t="e">
        <f>AND(#REF!,"AAAAAHv//+U=")</f>
        <v>#REF!</v>
      </c>
      <c r="HW220" t="e">
        <f>IF(#REF!,"AAAAAHv//+Y=",0)</f>
        <v>#REF!</v>
      </c>
      <c r="HX220" t="e">
        <f>AND(#REF!,"AAAAAHv//+c=")</f>
        <v>#REF!</v>
      </c>
      <c r="HY220" t="e">
        <f>AND(#REF!,"AAAAAHv//+g=")</f>
        <v>#REF!</v>
      </c>
      <c r="HZ220" t="e">
        <f>AND(#REF!,"AAAAAHv//+k=")</f>
        <v>#REF!</v>
      </c>
      <c r="IA220" t="e">
        <f>AND(#REF!,"AAAAAHv//+o=")</f>
        <v>#REF!</v>
      </c>
      <c r="IB220" t="e">
        <f>AND(#REF!,"AAAAAHv//+s=")</f>
        <v>#REF!</v>
      </c>
      <c r="IC220" t="e">
        <f>AND(#REF!,"AAAAAHv//+w=")</f>
        <v>#REF!</v>
      </c>
      <c r="ID220" t="e">
        <f>AND(#REF!,"AAAAAHv//+0=")</f>
        <v>#REF!</v>
      </c>
      <c r="IE220" t="e">
        <f>AND(#REF!,"AAAAAHv//+4=")</f>
        <v>#REF!</v>
      </c>
      <c r="IF220" t="e">
        <f>AND(#REF!,"AAAAAHv//+8=")</f>
        <v>#REF!</v>
      </c>
      <c r="IG220" t="e">
        <f>AND(#REF!,"AAAAAHv///A=")</f>
        <v>#REF!</v>
      </c>
      <c r="IH220" t="e">
        <f>IF(#REF!,"AAAAAHv///E=",0)</f>
        <v>#REF!</v>
      </c>
      <c r="II220" t="e">
        <f>AND(#REF!,"AAAAAHv///I=")</f>
        <v>#REF!</v>
      </c>
      <c r="IJ220" t="e">
        <f>AND(#REF!,"AAAAAHv///M=")</f>
        <v>#REF!</v>
      </c>
      <c r="IK220" t="e">
        <f>AND(#REF!,"AAAAAHv///Q=")</f>
        <v>#REF!</v>
      </c>
      <c r="IL220" t="e">
        <f>AND(#REF!,"AAAAAHv///U=")</f>
        <v>#REF!</v>
      </c>
      <c r="IM220" t="e">
        <f>AND(#REF!,"AAAAAHv///Y=")</f>
        <v>#REF!</v>
      </c>
      <c r="IN220" t="e">
        <f>AND(#REF!,"AAAAAHv///c=")</f>
        <v>#REF!</v>
      </c>
      <c r="IO220" t="e">
        <f>AND(#REF!,"AAAAAHv///g=")</f>
        <v>#REF!</v>
      </c>
      <c r="IP220" t="e">
        <f>AND(#REF!,"AAAAAHv///k=")</f>
        <v>#REF!</v>
      </c>
      <c r="IQ220" t="e">
        <f>AND(#REF!,"AAAAAHv///o=")</f>
        <v>#REF!</v>
      </c>
      <c r="IR220" t="e">
        <f>AND(#REF!,"AAAAAHv///s=")</f>
        <v>#REF!</v>
      </c>
      <c r="IS220" t="e">
        <f>IF(#REF!,"AAAAAHv///w=",0)</f>
        <v>#REF!</v>
      </c>
      <c r="IT220" t="e">
        <f>AND(#REF!,"AAAAAHv///0=")</f>
        <v>#REF!</v>
      </c>
      <c r="IU220" t="e">
        <f>AND(#REF!,"AAAAAHv///4=")</f>
        <v>#REF!</v>
      </c>
      <c r="IV220" t="e">
        <f>AND(#REF!,"AAAAAHv///8=")</f>
        <v>#REF!</v>
      </c>
    </row>
    <row r="221" spans="1:256" x14ac:dyDescent="0.25">
      <c r="A221" t="e">
        <f>AND(#REF!,"AAAAAHj/vgA=")</f>
        <v>#REF!</v>
      </c>
      <c r="B221" t="e">
        <f>AND(#REF!,"AAAAAHj/vgE=")</f>
        <v>#REF!</v>
      </c>
      <c r="C221" t="e">
        <f>AND(#REF!,"AAAAAHj/vgI=")</f>
        <v>#REF!</v>
      </c>
      <c r="D221" t="e">
        <f>AND(#REF!,"AAAAAHj/vgM=")</f>
        <v>#REF!</v>
      </c>
      <c r="E221" t="e">
        <f>AND(#REF!,"AAAAAHj/vgQ=")</f>
        <v>#REF!</v>
      </c>
      <c r="F221" t="e">
        <f>AND(#REF!,"AAAAAHj/vgU=")</f>
        <v>#REF!</v>
      </c>
      <c r="G221" t="e">
        <f>AND(#REF!,"AAAAAHj/vgY=")</f>
        <v>#REF!</v>
      </c>
      <c r="H221" t="e">
        <f>IF(#REF!,"AAAAAHj/vgc=",0)</f>
        <v>#REF!</v>
      </c>
      <c r="I221" t="e">
        <f>AND(#REF!,"AAAAAHj/vgg=")</f>
        <v>#REF!</v>
      </c>
      <c r="J221" t="e">
        <f>AND(#REF!,"AAAAAHj/vgk=")</f>
        <v>#REF!</v>
      </c>
      <c r="K221" t="e">
        <f>AND(#REF!,"AAAAAHj/vgo=")</f>
        <v>#REF!</v>
      </c>
      <c r="L221" t="e">
        <f>AND(#REF!,"AAAAAHj/vgs=")</f>
        <v>#REF!</v>
      </c>
      <c r="M221" t="e">
        <f>AND(#REF!,"AAAAAHj/vgw=")</f>
        <v>#REF!</v>
      </c>
      <c r="N221" t="e">
        <f>AND(#REF!,"AAAAAHj/vg0=")</f>
        <v>#REF!</v>
      </c>
      <c r="O221" t="e">
        <f>AND(#REF!,"AAAAAHj/vg4=")</f>
        <v>#REF!</v>
      </c>
      <c r="P221" t="e">
        <f>AND(#REF!,"AAAAAHj/vg8=")</f>
        <v>#REF!</v>
      </c>
      <c r="Q221" t="e">
        <f>AND(#REF!,"AAAAAHj/vhA=")</f>
        <v>#REF!</v>
      </c>
      <c r="R221" t="e">
        <f>AND(#REF!,"AAAAAHj/vhE=")</f>
        <v>#REF!</v>
      </c>
      <c r="S221" t="e">
        <f>IF(#REF!,"AAAAAHj/vhI=",0)</f>
        <v>#REF!</v>
      </c>
      <c r="T221" t="e">
        <f>AND(#REF!,"AAAAAHj/vhM=")</f>
        <v>#REF!</v>
      </c>
      <c r="U221" t="e">
        <f>AND(#REF!,"AAAAAHj/vhQ=")</f>
        <v>#REF!</v>
      </c>
      <c r="V221" t="e">
        <f>AND(#REF!,"AAAAAHj/vhU=")</f>
        <v>#REF!</v>
      </c>
      <c r="W221" t="e">
        <f>AND(#REF!,"AAAAAHj/vhY=")</f>
        <v>#REF!</v>
      </c>
      <c r="X221" t="e">
        <f>AND(#REF!,"AAAAAHj/vhc=")</f>
        <v>#REF!</v>
      </c>
      <c r="Y221" t="e">
        <f>AND(#REF!,"AAAAAHj/vhg=")</f>
        <v>#REF!</v>
      </c>
      <c r="Z221" t="e">
        <f>AND(#REF!,"AAAAAHj/vhk=")</f>
        <v>#REF!</v>
      </c>
      <c r="AA221" t="e">
        <f>AND(#REF!,"AAAAAHj/vho=")</f>
        <v>#REF!</v>
      </c>
      <c r="AB221" t="e">
        <f>AND(#REF!,"AAAAAHj/vhs=")</f>
        <v>#REF!</v>
      </c>
      <c r="AC221" t="e">
        <f>AND(#REF!,"AAAAAHj/vhw=")</f>
        <v>#REF!</v>
      </c>
      <c r="AD221" t="e">
        <f>IF(#REF!,"AAAAAHj/vh0=",0)</f>
        <v>#REF!</v>
      </c>
      <c r="AE221" t="e">
        <f>AND(#REF!,"AAAAAHj/vh4=")</f>
        <v>#REF!</v>
      </c>
      <c r="AF221" t="e">
        <f>AND(#REF!,"AAAAAHj/vh8=")</f>
        <v>#REF!</v>
      </c>
      <c r="AG221" t="e">
        <f>AND(#REF!,"AAAAAHj/viA=")</f>
        <v>#REF!</v>
      </c>
      <c r="AH221" t="e">
        <f>AND(#REF!,"AAAAAHj/viE=")</f>
        <v>#REF!</v>
      </c>
      <c r="AI221" t="e">
        <f>AND(#REF!,"AAAAAHj/viI=")</f>
        <v>#REF!</v>
      </c>
      <c r="AJ221" t="e">
        <f>AND(#REF!,"AAAAAHj/viM=")</f>
        <v>#REF!</v>
      </c>
      <c r="AK221" t="e">
        <f>AND(#REF!,"AAAAAHj/viQ=")</f>
        <v>#REF!</v>
      </c>
      <c r="AL221" t="e">
        <f>AND(#REF!,"AAAAAHj/viU=")</f>
        <v>#REF!</v>
      </c>
      <c r="AM221" t="e">
        <f>AND(#REF!,"AAAAAHj/viY=")</f>
        <v>#REF!</v>
      </c>
      <c r="AN221" t="e">
        <f>AND(#REF!,"AAAAAHj/vic=")</f>
        <v>#REF!</v>
      </c>
      <c r="AO221" t="e">
        <f>IF(#REF!,"AAAAAHj/vig=",0)</f>
        <v>#REF!</v>
      </c>
      <c r="AP221" t="e">
        <f>AND(#REF!,"AAAAAHj/vik=")</f>
        <v>#REF!</v>
      </c>
      <c r="AQ221" t="e">
        <f>AND(#REF!,"AAAAAHj/vio=")</f>
        <v>#REF!</v>
      </c>
      <c r="AR221" t="e">
        <f>AND(#REF!,"AAAAAHj/vis=")</f>
        <v>#REF!</v>
      </c>
      <c r="AS221" t="e">
        <f>AND(#REF!,"AAAAAHj/viw=")</f>
        <v>#REF!</v>
      </c>
      <c r="AT221" t="e">
        <f>AND(#REF!,"AAAAAHj/vi0=")</f>
        <v>#REF!</v>
      </c>
      <c r="AU221" t="e">
        <f>AND(#REF!,"AAAAAHj/vi4=")</f>
        <v>#REF!</v>
      </c>
      <c r="AV221" t="e">
        <f>AND(#REF!,"AAAAAHj/vi8=")</f>
        <v>#REF!</v>
      </c>
      <c r="AW221" t="e">
        <f>AND(#REF!,"AAAAAHj/vjA=")</f>
        <v>#REF!</v>
      </c>
      <c r="AX221" t="e">
        <f>AND(#REF!,"AAAAAHj/vjE=")</f>
        <v>#REF!</v>
      </c>
      <c r="AY221" t="e">
        <f>AND(#REF!,"AAAAAHj/vjI=")</f>
        <v>#REF!</v>
      </c>
      <c r="AZ221" t="e">
        <f>IF(#REF!,"AAAAAHj/vjM=",0)</f>
        <v>#REF!</v>
      </c>
      <c r="BA221" t="e">
        <f>AND(#REF!,"AAAAAHj/vjQ=")</f>
        <v>#REF!</v>
      </c>
      <c r="BB221" t="e">
        <f>AND(#REF!,"AAAAAHj/vjU=")</f>
        <v>#REF!</v>
      </c>
      <c r="BC221" t="e">
        <f>AND(#REF!,"AAAAAHj/vjY=")</f>
        <v>#REF!</v>
      </c>
      <c r="BD221" t="e">
        <f>AND(#REF!,"AAAAAHj/vjc=")</f>
        <v>#REF!</v>
      </c>
      <c r="BE221" t="e">
        <f>AND(#REF!,"AAAAAHj/vjg=")</f>
        <v>#REF!</v>
      </c>
      <c r="BF221" t="e">
        <f>AND(#REF!,"AAAAAHj/vjk=")</f>
        <v>#REF!</v>
      </c>
      <c r="BG221" t="e">
        <f>AND(#REF!,"AAAAAHj/vjo=")</f>
        <v>#REF!</v>
      </c>
      <c r="BH221" t="e">
        <f>AND(#REF!,"AAAAAHj/vjs=")</f>
        <v>#REF!</v>
      </c>
      <c r="BI221" t="e">
        <f>AND(#REF!,"AAAAAHj/vjw=")</f>
        <v>#REF!</v>
      </c>
      <c r="BJ221" t="e">
        <f>AND(#REF!,"AAAAAHj/vj0=")</f>
        <v>#REF!</v>
      </c>
      <c r="BK221" t="e">
        <f>IF(#REF!,"AAAAAHj/vj4=",0)</f>
        <v>#REF!</v>
      </c>
      <c r="BL221" t="e">
        <f>AND(#REF!,"AAAAAHj/vj8=")</f>
        <v>#REF!</v>
      </c>
      <c r="BM221" t="e">
        <f>AND(#REF!,"AAAAAHj/vkA=")</f>
        <v>#REF!</v>
      </c>
      <c r="BN221" t="e">
        <f>AND(#REF!,"AAAAAHj/vkE=")</f>
        <v>#REF!</v>
      </c>
      <c r="BO221" t="e">
        <f>AND(#REF!,"AAAAAHj/vkI=")</f>
        <v>#REF!</v>
      </c>
      <c r="BP221" t="e">
        <f>AND(#REF!,"AAAAAHj/vkM=")</f>
        <v>#REF!</v>
      </c>
      <c r="BQ221" t="e">
        <f>AND(#REF!,"AAAAAHj/vkQ=")</f>
        <v>#REF!</v>
      </c>
      <c r="BR221" t="e">
        <f>AND(#REF!,"AAAAAHj/vkU=")</f>
        <v>#REF!</v>
      </c>
      <c r="BS221" t="e">
        <f>AND(#REF!,"AAAAAHj/vkY=")</f>
        <v>#REF!</v>
      </c>
      <c r="BT221" t="e">
        <f>AND(#REF!,"AAAAAHj/vkc=")</f>
        <v>#REF!</v>
      </c>
      <c r="BU221" t="e">
        <f>AND(#REF!,"AAAAAHj/vkg=")</f>
        <v>#REF!</v>
      </c>
      <c r="BV221" t="e">
        <f>IF(#REF!,"AAAAAHj/vkk=",0)</f>
        <v>#REF!</v>
      </c>
      <c r="BW221" t="e">
        <f>AND(#REF!,"AAAAAHj/vko=")</f>
        <v>#REF!</v>
      </c>
      <c r="BX221" t="e">
        <f>AND(#REF!,"AAAAAHj/vks=")</f>
        <v>#REF!</v>
      </c>
      <c r="BY221" t="e">
        <f>AND(#REF!,"AAAAAHj/vkw=")</f>
        <v>#REF!</v>
      </c>
      <c r="BZ221" t="e">
        <f>AND(#REF!,"AAAAAHj/vk0=")</f>
        <v>#REF!</v>
      </c>
      <c r="CA221" t="e">
        <f>AND(#REF!,"AAAAAHj/vk4=")</f>
        <v>#REF!</v>
      </c>
      <c r="CB221" t="e">
        <f>AND(#REF!,"AAAAAHj/vk8=")</f>
        <v>#REF!</v>
      </c>
      <c r="CC221" t="e">
        <f>AND(#REF!,"AAAAAHj/vlA=")</f>
        <v>#REF!</v>
      </c>
      <c r="CD221" t="e">
        <f>AND(#REF!,"AAAAAHj/vlE=")</f>
        <v>#REF!</v>
      </c>
      <c r="CE221" t="e">
        <f>AND(#REF!,"AAAAAHj/vlI=")</f>
        <v>#REF!</v>
      </c>
      <c r="CF221" t="e">
        <f>AND(#REF!,"AAAAAHj/vlM=")</f>
        <v>#REF!</v>
      </c>
      <c r="CG221" t="e">
        <f>IF(#REF!,"AAAAAHj/vlQ=",0)</f>
        <v>#REF!</v>
      </c>
      <c r="CH221" t="e">
        <f>AND(#REF!,"AAAAAHj/vlU=")</f>
        <v>#REF!</v>
      </c>
      <c r="CI221" t="e">
        <f>AND(#REF!,"AAAAAHj/vlY=")</f>
        <v>#REF!</v>
      </c>
      <c r="CJ221" t="e">
        <f>AND(#REF!,"AAAAAHj/vlc=")</f>
        <v>#REF!</v>
      </c>
      <c r="CK221" t="e">
        <f>AND(#REF!,"AAAAAHj/vlg=")</f>
        <v>#REF!</v>
      </c>
      <c r="CL221" t="e">
        <f>AND(#REF!,"AAAAAHj/vlk=")</f>
        <v>#REF!</v>
      </c>
      <c r="CM221" t="e">
        <f>AND(#REF!,"AAAAAHj/vlo=")</f>
        <v>#REF!</v>
      </c>
      <c r="CN221" t="e">
        <f>AND(#REF!,"AAAAAHj/vls=")</f>
        <v>#REF!</v>
      </c>
      <c r="CO221" t="e">
        <f>AND(#REF!,"AAAAAHj/vlw=")</f>
        <v>#REF!</v>
      </c>
      <c r="CP221" t="e">
        <f>AND(#REF!,"AAAAAHj/vl0=")</f>
        <v>#REF!</v>
      </c>
      <c r="CQ221" t="e">
        <f>AND(#REF!,"AAAAAHj/vl4=")</f>
        <v>#REF!</v>
      </c>
      <c r="CR221" t="e">
        <f>IF(#REF!,"AAAAAHj/vl8=",0)</f>
        <v>#REF!</v>
      </c>
      <c r="CS221" t="e">
        <f>AND(#REF!,"AAAAAHj/vmA=")</f>
        <v>#REF!</v>
      </c>
      <c r="CT221" t="e">
        <f>AND(#REF!,"AAAAAHj/vmE=")</f>
        <v>#REF!</v>
      </c>
      <c r="CU221" t="e">
        <f>AND(#REF!,"AAAAAHj/vmI=")</f>
        <v>#REF!</v>
      </c>
      <c r="CV221" t="e">
        <f>AND(#REF!,"AAAAAHj/vmM=")</f>
        <v>#REF!</v>
      </c>
      <c r="CW221" t="e">
        <f>AND(#REF!,"AAAAAHj/vmQ=")</f>
        <v>#REF!</v>
      </c>
      <c r="CX221" t="e">
        <f>AND(#REF!,"AAAAAHj/vmU=")</f>
        <v>#REF!</v>
      </c>
      <c r="CY221" t="e">
        <f>AND(#REF!,"AAAAAHj/vmY=")</f>
        <v>#REF!</v>
      </c>
      <c r="CZ221" t="e">
        <f>AND(#REF!,"AAAAAHj/vmc=")</f>
        <v>#REF!</v>
      </c>
      <c r="DA221" t="e">
        <f>AND(#REF!,"AAAAAHj/vmg=")</f>
        <v>#REF!</v>
      </c>
      <c r="DB221" t="e">
        <f>AND(#REF!,"AAAAAHj/vmk=")</f>
        <v>#REF!</v>
      </c>
      <c r="DC221" t="e">
        <f>IF(#REF!,"AAAAAHj/vmo=",0)</f>
        <v>#REF!</v>
      </c>
      <c r="DD221" t="e">
        <f>AND(#REF!,"AAAAAHj/vms=")</f>
        <v>#REF!</v>
      </c>
      <c r="DE221" t="e">
        <f>AND(#REF!,"AAAAAHj/vmw=")</f>
        <v>#REF!</v>
      </c>
      <c r="DF221" t="e">
        <f>AND(#REF!,"AAAAAHj/vm0=")</f>
        <v>#REF!</v>
      </c>
      <c r="DG221" t="e">
        <f>AND(#REF!,"AAAAAHj/vm4=")</f>
        <v>#REF!</v>
      </c>
      <c r="DH221" t="e">
        <f>AND(#REF!,"AAAAAHj/vm8=")</f>
        <v>#REF!</v>
      </c>
      <c r="DI221" t="e">
        <f>AND(#REF!,"AAAAAHj/vnA=")</f>
        <v>#REF!</v>
      </c>
      <c r="DJ221" t="e">
        <f>AND(#REF!,"AAAAAHj/vnE=")</f>
        <v>#REF!</v>
      </c>
      <c r="DK221" t="e">
        <f>AND(#REF!,"AAAAAHj/vnI=")</f>
        <v>#REF!</v>
      </c>
      <c r="DL221" t="e">
        <f>AND(#REF!,"AAAAAHj/vnM=")</f>
        <v>#REF!</v>
      </c>
      <c r="DM221" t="e">
        <f>AND(#REF!,"AAAAAHj/vnQ=")</f>
        <v>#REF!</v>
      </c>
      <c r="DN221" t="e">
        <f>IF(#REF!,"AAAAAHj/vnU=",0)</f>
        <v>#REF!</v>
      </c>
      <c r="DO221" t="e">
        <f>AND(#REF!,"AAAAAHj/vnY=")</f>
        <v>#REF!</v>
      </c>
      <c r="DP221" t="e">
        <f>AND(#REF!,"AAAAAHj/vnc=")</f>
        <v>#REF!</v>
      </c>
      <c r="DQ221" t="e">
        <f>AND(#REF!,"AAAAAHj/vng=")</f>
        <v>#REF!</v>
      </c>
      <c r="DR221" t="e">
        <f>AND(#REF!,"AAAAAHj/vnk=")</f>
        <v>#REF!</v>
      </c>
      <c r="DS221" t="e">
        <f>AND(#REF!,"AAAAAHj/vno=")</f>
        <v>#REF!</v>
      </c>
      <c r="DT221" t="e">
        <f>AND(#REF!,"AAAAAHj/vns=")</f>
        <v>#REF!</v>
      </c>
      <c r="DU221" t="e">
        <f>AND(#REF!,"AAAAAHj/vnw=")</f>
        <v>#REF!</v>
      </c>
      <c r="DV221" t="e">
        <f>AND(#REF!,"AAAAAHj/vn0=")</f>
        <v>#REF!</v>
      </c>
      <c r="DW221" t="e">
        <f>AND(#REF!,"AAAAAHj/vn4=")</f>
        <v>#REF!</v>
      </c>
      <c r="DX221" t="e">
        <f>AND(#REF!,"AAAAAHj/vn8=")</f>
        <v>#REF!</v>
      </c>
      <c r="DY221" t="e">
        <f>IF(#REF!,"AAAAAHj/voA=",0)</f>
        <v>#REF!</v>
      </c>
      <c r="DZ221" t="e">
        <f>AND(#REF!,"AAAAAHj/voE=")</f>
        <v>#REF!</v>
      </c>
      <c r="EA221" t="e">
        <f>AND(#REF!,"AAAAAHj/voI=")</f>
        <v>#REF!</v>
      </c>
      <c r="EB221" t="e">
        <f>AND(#REF!,"AAAAAHj/voM=")</f>
        <v>#REF!</v>
      </c>
      <c r="EC221" t="e">
        <f>AND(#REF!,"AAAAAHj/voQ=")</f>
        <v>#REF!</v>
      </c>
      <c r="ED221" t="e">
        <f>AND(#REF!,"AAAAAHj/voU=")</f>
        <v>#REF!</v>
      </c>
      <c r="EE221" t="e">
        <f>AND(#REF!,"AAAAAHj/voY=")</f>
        <v>#REF!</v>
      </c>
      <c r="EF221" t="e">
        <f>AND(#REF!,"AAAAAHj/voc=")</f>
        <v>#REF!</v>
      </c>
      <c r="EG221" t="e">
        <f>AND(#REF!,"AAAAAHj/vog=")</f>
        <v>#REF!</v>
      </c>
      <c r="EH221" t="e">
        <f>AND(#REF!,"AAAAAHj/vok=")</f>
        <v>#REF!</v>
      </c>
      <c r="EI221" t="e">
        <f>AND(#REF!,"AAAAAHj/voo=")</f>
        <v>#REF!</v>
      </c>
      <c r="EJ221" t="e">
        <f>IF(#REF!,"AAAAAHj/vos=",0)</f>
        <v>#REF!</v>
      </c>
      <c r="EK221" t="e">
        <f>AND(#REF!,"AAAAAHj/vow=")</f>
        <v>#REF!</v>
      </c>
      <c r="EL221" t="e">
        <f>AND(#REF!,"AAAAAHj/vo0=")</f>
        <v>#REF!</v>
      </c>
      <c r="EM221" t="e">
        <f>AND(#REF!,"AAAAAHj/vo4=")</f>
        <v>#REF!</v>
      </c>
      <c r="EN221" t="e">
        <f>AND(#REF!,"AAAAAHj/vo8=")</f>
        <v>#REF!</v>
      </c>
      <c r="EO221" t="e">
        <f>AND(#REF!,"AAAAAHj/vpA=")</f>
        <v>#REF!</v>
      </c>
      <c r="EP221" t="e">
        <f>AND(#REF!,"AAAAAHj/vpE=")</f>
        <v>#REF!</v>
      </c>
      <c r="EQ221" t="e">
        <f>AND(#REF!,"AAAAAHj/vpI=")</f>
        <v>#REF!</v>
      </c>
      <c r="ER221" t="e">
        <f>AND(#REF!,"AAAAAHj/vpM=")</f>
        <v>#REF!</v>
      </c>
      <c r="ES221" t="e">
        <f>AND(#REF!,"AAAAAHj/vpQ=")</f>
        <v>#REF!</v>
      </c>
      <c r="ET221" t="e">
        <f>AND(#REF!,"AAAAAHj/vpU=")</f>
        <v>#REF!</v>
      </c>
      <c r="EU221" t="e">
        <f>IF(#REF!,"AAAAAHj/vpY=",0)</f>
        <v>#REF!</v>
      </c>
      <c r="EV221" t="e">
        <f>AND(#REF!,"AAAAAHj/vpc=")</f>
        <v>#REF!</v>
      </c>
      <c r="EW221" t="e">
        <f>AND(#REF!,"AAAAAHj/vpg=")</f>
        <v>#REF!</v>
      </c>
      <c r="EX221" t="e">
        <f>AND(#REF!,"AAAAAHj/vpk=")</f>
        <v>#REF!</v>
      </c>
      <c r="EY221" t="e">
        <f>AND(#REF!,"AAAAAHj/vpo=")</f>
        <v>#REF!</v>
      </c>
      <c r="EZ221" t="e">
        <f>AND(#REF!,"AAAAAHj/vps=")</f>
        <v>#REF!</v>
      </c>
      <c r="FA221" t="e">
        <f>AND(#REF!,"AAAAAHj/vpw=")</f>
        <v>#REF!</v>
      </c>
      <c r="FB221" t="e">
        <f>AND(#REF!,"AAAAAHj/vp0=")</f>
        <v>#REF!</v>
      </c>
      <c r="FC221" t="e">
        <f>AND(#REF!,"AAAAAHj/vp4=")</f>
        <v>#REF!</v>
      </c>
      <c r="FD221" t="e">
        <f>AND(#REF!,"AAAAAHj/vp8=")</f>
        <v>#REF!</v>
      </c>
      <c r="FE221" t="e">
        <f>AND(#REF!,"AAAAAHj/vqA=")</f>
        <v>#REF!</v>
      </c>
      <c r="FF221" t="e">
        <f>IF(#REF!,"AAAAAHj/vqE=",0)</f>
        <v>#REF!</v>
      </c>
      <c r="FG221" t="e">
        <f>AND(#REF!,"AAAAAHj/vqI=")</f>
        <v>#REF!</v>
      </c>
      <c r="FH221" t="e">
        <f>AND(#REF!,"AAAAAHj/vqM=")</f>
        <v>#REF!</v>
      </c>
      <c r="FI221" t="e">
        <f>AND(#REF!,"AAAAAHj/vqQ=")</f>
        <v>#REF!</v>
      </c>
      <c r="FJ221" t="e">
        <f>AND(#REF!,"AAAAAHj/vqU=")</f>
        <v>#REF!</v>
      </c>
      <c r="FK221" t="e">
        <f>AND(#REF!,"AAAAAHj/vqY=")</f>
        <v>#REF!</v>
      </c>
      <c r="FL221" t="e">
        <f>AND(#REF!,"AAAAAHj/vqc=")</f>
        <v>#REF!</v>
      </c>
      <c r="FM221" t="e">
        <f>AND(#REF!,"AAAAAHj/vqg=")</f>
        <v>#REF!</v>
      </c>
      <c r="FN221" t="e">
        <f>AND(#REF!,"AAAAAHj/vqk=")</f>
        <v>#REF!</v>
      </c>
      <c r="FO221" t="e">
        <f>AND(#REF!,"AAAAAHj/vqo=")</f>
        <v>#REF!</v>
      </c>
      <c r="FP221" t="e">
        <f>AND(#REF!,"AAAAAHj/vqs=")</f>
        <v>#REF!</v>
      </c>
      <c r="FQ221" t="e">
        <f>IF(#REF!,"AAAAAHj/vqw=",0)</f>
        <v>#REF!</v>
      </c>
      <c r="FR221" t="e">
        <f>AND(#REF!,"AAAAAHj/vq0=")</f>
        <v>#REF!</v>
      </c>
      <c r="FS221" t="e">
        <f>AND(#REF!,"AAAAAHj/vq4=")</f>
        <v>#REF!</v>
      </c>
      <c r="FT221" t="e">
        <f>AND(#REF!,"AAAAAHj/vq8=")</f>
        <v>#REF!</v>
      </c>
      <c r="FU221" t="e">
        <f>AND(#REF!,"AAAAAHj/vrA=")</f>
        <v>#REF!</v>
      </c>
      <c r="FV221" t="e">
        <f>AND(#REF!,"AAAAAHj/vrE=")</f>
        <v>#REF!</v>
      </c>
      <c r="FW221" t="e">
        <f>AND(#REF!,"AAAAAHj/vrI=")</f>
        <v>#REF!</v>
      </c>
      <c r="FX221" t="e">
        <f>AND(#REF!,"AAAAAHj/vrM=")</f>
        <v>#REF!</v>
      </c>
      <c r="FY221" t="e">
        <f>AND(#REF!,"AAAAAHj/vrQ=")</f>
        <v>#REF!</v>
      </c>
      <c r="FZ221" t="e">
        <f>AND(#REF!,"AAAAAHj/vrU=")</f>
        <v>#REF!</v>
      </c>
      <c r="GA221" t="e">
        <f>AND(#REF!,"AAAAAHj/vrY=")</f>
        <v>#REF!</v>
      </c>
      <c r="GB221" t="e">
        <f>IF(#REF!,"AAAAAHj/vrc=",0)</f>
        <v>#REF!</v>
      </c>
      <c r="GC221" t="e">
        <f>AND(#REF!,"AAAAAHj/vrg=")</f>
        <v>#REF!</v>
      </c>
      <c r="GD221" t="e">
        <f>AND(#REF!,"AAAAAHj/vrk=")</f>
        <v>#REF!</v>
      </c>
      <c r="GE221" t="e">
        <f>AND(#REF!,"AAAAAHj/vro=")</f>
        <v>#REF!</v>
      </c>
      <c r="GF221" t="e">
        <f>AND(#REF!,"AAAAAHj/vrs=")</f>
        <v>#REF!</v>
      </c>
      <c r="GG221" t="e">
        <f>AND(#REF!,"AAAAAHj/vrw=")</f>
        <v>#REF!</v>
      </c>
      <c r="GH221" t="e">
        <f>AND(#REF!,"AAAAAHj/vr0=")</f>
        <v>#REF!</v>
      </c>
      <c r="GI221" t="e">
        <f>AND(#REF!,"AAAAAHj/vr4=")</f>
        <v>#REF!</v>
      </c>
      <c r="GJ221" t="e">
        <f>AND(#REF!,"AAAAAHj/vr8=")</f>
        <v>#REF!</v>
      </c>
      <c r="GK221" t="e">
        <f>AND(#REF!,"AAAAAHj/vsA=")</f>
        <v>#REF!</v>
      </c>
      <c r="GL221" t="e">
        <f>AND(#REF!,"AAAAAHj/vsE=")</f>
        <v>#REF!</v>
      </c>
      <c r="GM221" t="e">
        <f>IF(#REF!,"AAAAAHj/vsI=",0)</f>
        <v>#REF!</v>
      </c>
      <c r="GN221" t="e">
        <f>AND(#REF!,"AAAAAHj/vsM=")</f>
        <v>#REF!</v>
      </c>
      <c r="GO221" t="e">
        <f>AND(#REF!,"AAAAAHj/vsQ=")</f>
        <v>#REF!</v>
      </c>
      <c r="GP221" t="e">
        <f>AND(#REF!,"AAAAAHj/vsU=")</f>
        <v>#REF!</v>
      </c>
      <c r="GQ221" t="e">
        <f>AND(#REF!,"AAAAAHj/vsY=")</f>
        <v>#REF!</v>
      </c>
      <c r="GR221" t="e">
        <f>AND(#REF!,"AAAAAHj/vsc=")</f>
        <v>#REF!</v>
      </c>
      <c r="GS221" t="e">
        <f>AND(#REF!,"AAAAAHj/vsg=")</f>
        <v>#REF!</v>
      </c>
      <c r="GT221" t="e">
        <f>AND(#REF!,"AAAAAHj/vsk=")</f>
        <v>#REF!</v>
      </c>
      <c r="GU221" t="e">
        <f>AND(#REF!,"AAAAAHj/vso=")</f>
        <v>#REF!</v>
      </c>
      <c r="GV221" t="e">
        <f>AND(#REF!,"AAAAAHj/vss=")</f>
        <v>#REF!</v>
      </c>
      <c r="GW221" t="e">
        <f>AND(#REF!,"AAAAAHj/vsw=")</f>
        <v>#REF!</v>
      </c>
      <c r="GX221" t="e">
        <f>IF(#REF!,"AAAAAHj/vs0=",0)</f>
        <v>#REF!</v>
      </c>
      <c r="GY221" t="e">
        <f>AND(#REF!,"AAAAAHj/vs4=")</f>
        <v>#REF!</v>
      </c>
      <c r="GZ221" t="e">
        <f>AND(#REF!,"AAAAAHj/vs8=")</f>
        <v>#REF!</v>
      </c>
      <c r="HA221" t="e">
        <f>AND(#REF!,"AAAAAHj/vtA=")</f>
        <v>#REF!</v>
      </c>
      <c r="HB221" t="e">
        <f>AND(#REF!,"AAAAAHj/vtE=")</f>
        <v>#REF!</v>
      </c>
      <c r="HC221" t="e">
        <f>AND(#REF!,"AAAAAHj/vtI=")</f>
        <v>#REF!</v>
      </c>
      <c r="HD221" t="e">
        <f>AND(#REF!,"AAAAAHj/vtM=")</f>
        <v>#REF!</v>
      </c>
      <c r="HE221" t="e">
        <f>AND(#REF!,"AAAAAHj/vtQ=")</f>
        <v>#REF!</v>
      </c>
      <c r="HF221" t="e">
        <f>AND(#REF!,"AAAAAHj/vtU=")</f>
        <v>#REF!</v>
      </c>
      <c r="HG221" t="e">
        <f>AND(#REF!,"AAAAAHj/vtY=")</f>
        <v>#REF!</v>
      </c>
      <c r="HH221" t="e">
        <f>AND(#REF!,"AAAAAHj/vtc=")</f>
        <v>#REF!</v>
      </c>
      <c r="HI221" t="e">
        <f>IF(#REF!,"AAAAAHj/vtg=",0)</f>
        <v>#REF!</v>
      </c>
      <c r="HJ221" t="e">
        <f>AND(#REF!,"AAAAAHj/vtk=")</f>
        <v>#REF!</v>
      </c>
      <c r="HK221" t="e">
        <f>AND(#REF!,"AAAAAHj/vto=")</f>
        <v>#REF!</v>
      </c>
      <c r="HL221" t="e">
        <f>AND(#REF!,"AAAAAHj/vts=")</f>
        <v>#REF!</v>
      </c>
      <c r="HM221" t="e">
        <f>AND(#REF!,"AAAAAHj/vtw=")</f>
        <v>#REF!</v>
      </c>
      <c r="HN221" t="e">
        <f>AND(#REF!,"AAAAAHj/vt0=")</f>
        <v>#REF!</v>
      </c>
      <c r="HO221" t="e">
        <f>AND(#REF!,"AAAAAHj/vt4=")</f>
        <v>#REF!</v>
      </c>
      <c r="HP221" t="e">
        <f>AND(#REF!,"AAAAAHj/vt8=")</f>
        <v>#REF!</v>
      </c>
      <c r="HQ221" t="e">
        <f>AND(#REF!,"AAAAAHj/vuA=")</f>
        <v>#REF!</v>
      </c>
      <c r="HR221" t="e">
        <f>AND(#REF!,"AAAAAHj/vuE=")</f>
        <v>#REF!</v>
      </c>
      <c r="HS221" t="e">
        <f>AND(#REF!,"AAAAAHj/vuI=")</f>
        <v>#REF!</v>
      </c>
      <c r="HT221" t="e">
        <f>IF(#REF!,"AAAAAHj/vuM=",0)</f>
        <v>#REF!</v>
      </c>
      <c r="HU221" t="e">
        <f>AND(#REF!,"AAAAAHj/vuQ=")</f>
        <v>#REF!</v>
      </c>
      <c r="HV221" t="e">
        <f>AND(#REF!,"AAAAAHj/vuU=")</f>
        <v>#REF!</v>
      </c>
      <c r="HW221" t="e">
        <f>AND(#REF!,"AAAAAHj/vuY=")</f>
        <v>#REF!</v>
      </c>
      <c r="HX221" t="e">
        <f>AND(#REF!,"AAAAAHj/vuc=")</f>
        <v>#REF!</v>
      </c>
      <c r="HY221" t="e">
        <f>AND(#REF!,"AAAAAHj/vug=")</f>
        <v>#REF!</v>
      </c>
      <c r="HZ221" t="e">
        <f>AND(#REF!,"AAAAAHj/vuk=")</f>
        <v>#REF!</v>
      </c>
      <c r="IA221" t="e">
        <f>AND(#REF!,"AAAAAHj/vuo=")</f>
        <v>#REF!</v>
      </c>
      <c r="IB221" t="e">
        <f>AND(#REF!,"AAAAAHj/vus=")</f>
        <v>#REF!</v>
      </c>
      <c r="IC221" t="e">
        <f>AND(#REF!,"AAAAAHj/vuw=")</f>
        <v>#REF!</v>
      </c>
      <c r="ID221" t="e">
        <f>AND(#REF!,"AAAAAHj/vu0=")</f>
        <v>#REF!</v>
      </c>
      <c r="IE221" t="e">
        <f>IF(#REF!,"AAAAAHj/vu4=",0)</f>
        <v>#REF!</v>
      </c>
      <c r="IF221" t="e">
        <f>AND(#REF!,"AAAAAHj/vu8=")</f>
        <v>#REF!</v>
      </c>
      <c r="IG221" t="e">
        <f>AND(#REF!,"AAAAAHj/vvA=")</f>
        <v>#REF!</v>
      </c>
      <c r="IH221" t="e">
        <f>AND(#REF!,"AAAAAHj/vvE=")</f>
        <v>#REF!</v>
      </c>
      <c r="II221" t="e">
        <f>AND(#REF!,"AAAAAHj/vvI=")</f>
        <v>#REF!</v>
      </c>
      <c r="IJ221" t="e">
        <f>AND(#REF!,"AAAAAHj/vvM=")</f>
        <v>#REF!</v>
      </c>
      <c r="IK221" t="e">
        <f>AND(#REF!,"AAAAAHj/vvQ=")</f>
        <v>#REF!</v>
      </c>
      <c r="IL221" t="e">
        <f>AND(#REF!,"AAAAAHj/vvU=")</f>
        <v>#REF!</v>
      </c>
      <c r="IM221" t="e">
        <f>AND(#REF!,"AAAAAHj/vvY=")</f>
        <v>#REF!</v>
      </c>
      <c r="IN221" t="e">
        <f>AND(#REF!,"AAAAAHj/vvc=")</f>
        <v>#REF!</v>
      </c>
      <c r="IO221" t="e">
        <f>AND(#REF!,"AAAAAHj/vvg=")</f>
        <v>#REF!</v>
      </c>
      <c r="IP221" t="e">
        <f>IF(#REF!,"AAAAAHj/vvk=",0)</f>
        <v>#REF!</v>
      </c>
      <c r="IQ221" t="e">
        <f>AND(#REF!,"AAAAAHj/vvo=")</f>
        <v>#REF!</v>
      </c>
      <c r="IR221" t="e">
        <f>AND(#REF!,"AAAAAHj/vvs=")</f>
        <v>#REF!</v>
      </c>
      <c r="IS221" t="e">
        <f>AND(#REF!,"AAAAAHj/vvw=")</f>
        <v>#REF!</v>
      </c>
      <c r="IT221" t="e">
        <f>AND(#REF!,"AAAAAHj/vv0=")</f>
        <v>#REF!</v>
      </c>
      <c r="IU221" t="e">
        <f>AND(#REF!,"AAAAAHj/vv4=")</f>
        <v>#REF!</v>
      </c>
      <c r="IV221" t="e">
        <f>AND(#REF!,"AAAAAHj/vv8=")</f>
        <v>#REF!</v>
      </c>
    </row>
    <row r="222" spans="1:256" x14ac:dyDescent="0.25">
      <c r="A222" t="e">
        <f>AND(#REF!,"AAAAAEG+3wA=")</f>
        <v>#REF!</v>
      </c>
      <c r="B222" t="e">
        <f>AND(#REF!,"AAAAAEG+3wE=")</f>
        <v>#REF!</v>
      </c>
      <c r="C222" t="e">
        <f>AND(#REF!,"AAAAAEG+3wI=")</f>
        <v>#REF!</v>
      </c>
      <c r="D222" t="e">
        <f>AND(#REF!,"AAAAAEG+3wM=")</f>
        <v>#REF!</v>
      </c>
      <c r="E222" t="e">
        <f>IF(#REF!,"AAAAAEG+3wQ=",0)</f>
        <v>#REF!</v>
      </c>
      <c r="F222" t="e">
        <f>AND(#REF!,"AAAAAEG+3wU=")</f>
        <v>#REF!</v>
      </c>
      <c r="G222" t="e">
        <f>AND(#REF!,"AAAAAEG+3wY=")</f>
        <v>#REF!</v>
      </c>
      <c r="H222" t="e">
        <f>AND(#REF!,"AAAAAEG+3wc=")</f>
        <v>#REF!</v>
      </c>
      <c r="I222" t="e">
        <f>AND(#REF!,"AAAAAEG+3wg=")</f>
        <v>#REF!</v>
      </c>
      <c r="J222" t="e">
        <f>AND(#REF!,"AAAAAEG+3wk=")</f>
        <v>#REF!</v>
      </c>
      <c r="K222" t="e">
        <f>AND(#REF!,"AAAAAEG+3wo=")</f>
        <v>#REF!</v>
      </c>
      <c r="L222" t="e">
        <f>AND(#REF!,"AAAAAEG+3ws=")</f>
        <v>#REF!</v>
      </c>
      <c r="M222" t="e">
        <f>AND(#REF!,"AAAAAEG+3ww=")</f>
        <v>#REF!</v>
      </c>
      <c r="N222" t="e">
        <f>AND(#REF!,"AAAAAEG+3w0=")</f>
        <v>#REF!</v>
      </c>
      <c r="O222" t="e">
        <f>AND(#REF!,"AAAAAEG+3w4=")</f>
        <v>#REF!</v>
      </c>
      <c r="P222" t="e">
        <f>IF(#REF!,"AAAAAEG+3w8=",0)</f>
        <v>#REF!</v>
      </c>
      <c r="Q222" t="e">
        <f>AND(#REF!,"AAAAAEG+3xA=")</f>
        <v>#REF!</v>
      </c>
      <c r="R222" t="e">
        <f>AND(#REF!,"AAAAAEG+3xE=")</f>
        <v>#REF!</v>
      </c>
      <c r="S222" t="e">
        <f>AND(#REF!,"AAAAAEG+3xI=")</f>
        <v>#REF!</v>
      </c>
      <c r="T222" t="e">
        <f>AND(#REF!,"AAAAAEG+3xM=")</f>
        <v>#REF!</v>
      </c>
      <c r="U222" t="e">
        <f>AND(#REF!,"AAAAAEG+3xQ=")</f>
        <v>#REF!</v>
      </c>
      <c r="V222" t="e">
        <f>AND(#REF!,"AAAAAEG+3xU=")</f>
        <v>#REF!</v>
      </c>
      <c r="W222" t="e">
        <f>AND(#REF!,"AAAAAEG+3xY=")</f>
        <v>#REF!</v>
      </c>
      <c r="X222" t="e">
        <f>AND(#REF!,"AAAAAEG+3xc=")</f>
        <v>#REF!</v>
      </c>
      <c r="Y222" t="e">
        <f>AND(#REF!,"AAAAAEG+3xg=")</f>
        <v>#REF!</v>
      </c>
      <c r="Z222" t="e">
        <f>AND(#REF!,"AAAAAEG+3xk=")</f>
        <v>#REF!</v>
      </c>
      <c r="AA222" t="e">
        <f>IF(#REF!,"AAAAAEG+3xo=",0)</f>
        <v>#REF!</v>
      </c>
      <c r="AB222" t="e">
        <f>AND(#REF!,"AAAAAEG+3xs=")</f>
        <v>#REF!</v>
      </c>
      <c r="AC222" t="e">
        <f>AND(#REF!,"AAAAAEG+3xw=")</f>
        <v>#REF!</v>
      </c>
      <c r="AD222" t="e">
        <f>AND(#REF!,"AAAAAEG+3x0=")</f>
        <v>#REF!</v>
      </c>
      <c r="AE222" t="e">
        <f>AND(#REF!,"AAAAAEG+3x4=")</f>
        <v>#REF!</v>
      </c>
      <c r="AF222" t="e">
        <f>AND(#REF!,"AAAAAEG+3x8=")</f>
        <v>#REF!</v>
      </c>
      <c r="AG222" t="e">
        <f>AND(#REF!,"AAAAAEG+3yA=")</f>
        <v>#REF!</v>
      </c>
      <c r="AH222" t="e">
        <f>AND(#REF!,"AAAAAEG+3yE=")</f>
        <v>#REF!</v>
      </c>
      <c r="AI222" t="e">
        <f>AND(#REF!,"AAAAAEG+3yI=")</f>
        <v>#REF!</v>
      </c>
      <c r="AJ222" t="e">
        <f>AND(#REF!,"AAAAAEG+3yM=")</f>
        <v>#REF!</v>
      </c>
      <c r="AK222" t="e">
        <f>AND(#REF!,"AAAAAEG+3yQ=")</f>
        <v>#REF!</v>
      </c>
      <c r="AL222" t="e">
        <f>IF(#REF!,"AAAAAEG+3yU=",0)</f>
        <v>#REF!</v>
      </c>
      <c r="AM222" t="e">
        <f>AND(#REF!,"AAAAAEG+3yY=")</f>
        <v>#REF!</v>
      </c>
      <c r="AN222" t="e">
        <f>AND(#REF!,"AAAAAEG+3yc=")</f>
        <v>#REF!</v>
      </c>
      <c r="AO222" t="e">
        <f>AND(#REF!,"AAAAAEG+3yg=")</f>
        <v>#REF!</v>
      </c>
      <c r="AP222" t="e">
        <f>AND(#REF!,"AAAAAEG+3yk=")</f>
        <v>#REF!</v>
      </c>
      <c r="AQ222" t="e">
        <f>AND(#REF!,"AAAAAEG+3yo=")</f>
        <v>#REF!</v>
      </c>
      <c r="AR222" t="e">
        <f>AND(#REF!,"AAAAAEG+3ys=")</f>
        <v>#REF!</v>
      </c>
      <c r="AS222" t="e">
        <f>AND(#REF!,"AAAAAEG+3yw=")</f>
        <v>#REF!</v>
      </c>
      <c r="AT222" t="e">
        <f>AND(#REF!,"AAAAAEG+3y0=")</f>
        <v>#REF!</v>
      </c>
      <c r="AU222" t="e">
        <f>AND(#REF!,"AAAAAEG+3y4=")</f>
        <v>#REF!</v>
      </c>
      <c r="AV222" t="e">
        <f>AND(#REF!,"AAAAAEG+3y8=")</f>
        <v>#REF!</v>
      </c>
      <c r="AW222" t="e">
        <f>IF(#REF!,"AAAAAEG+3zA=",0)</f>
        <v>#REF!</v>
      </c>
      <c r="AX222" t="e">
        <f>AND(#REF!,"AAAAAEG+3zE=")</f>
        <v>#REF!</v>
      </c>
      <c r="AY222" t="e">
        <f>AND(#REF!,"AAAAAEG+3zI=")</f>
        <v>#REF!</v>
      </c>
      <c r="AZ222" t="e">
        <f>AND(#REF!,"AAAAAEG+3zM=")</f>
        <v>#REF!</v>
      </c>
      <c r="BA222" t="e">
        <f>AND(#REF!,"AAAAAEG+3zQ=")</f>
        <v>#REF!</v>
      </c>
      <c r="BB222" t="e">
        <f>AND(#REF!,"AAAAAEG+3zU=")</f>
        <v>#REF!</v>
      </c>
      <c r="BC222" t="e">
        <f>AND(#REF!,"AAAAAEG+3zY=")</f>
        <v>#REF!</v>
      </c>
      <c r="BD222" t="e">
        <f>AND(#REF!,"AAAAAEG+3zc=")</f>
        <v>#REF!</v>
      </c>
      <c r="BE222" t="e">
        <f>AND(#REF!,"AAAAAEG+3zg=")</f>
        <v>#REF!</v>
      </c>
      <c r="BF222" t="e">
        <f>AND(#REF!,"AAAAAEG+3zk=")</f>
        <v>#REF!</v>
      </c>
      <c r="BG222" t="e">
        <f>AND(#REF!,"AAAAAEG+3zo=")</f>
        <v>#REF!</v>
      </c>
      <c r="BH222" t="e">
        <f>IF(#REF!,"AAAAAEG+3zs=",0)</f>
        <v>#REF!</v>
      </c>
      <c r="BI222" t="e">
        <f>AND(#REF!,"AAAAAEG+3zw=")</f>
        <v>#REF!</v>
      </c>
      <c r="BJ222" t="e">
        <f>AND(#REF!,"AAAAAEG+3z0=")</f>
        <v>#REF!</v>
      </c>
      <c r="BK222" t="e">
        <f>AND(#REF!,"AAAAAEG+3z4=")</f>
        <v>#REF!</v>
      </c>
      <c r="BL222" t="e">
        <f>AND(#REF!,"AAAAAEG+3z8=")</f>
        <v>#REF!</v>
      </c>
      <c r="BM222" t="e">
        <f>AND(#REF!,"AAAAAEG+30A=")</f>
        <v>#REF!</v>
      </c>
      <c r="BN222" t="e">
        <f>AND(#REF!,"AAAAAEG+30E=")</f>
        <v>#REF!</v>
      </c>
      <c r="BO222" t="e">
        <f>AND(#REF!,"AAAAAEG+30I=")</f>
        <v>#REF!</v>
      </c>
      <c r="BP222" t="e">
        <f>AND(#REF!,"AAAAAEG+30M=")</f>
        <v>#REF!</v>
      </c>
      <c r="BQ222" t="e">
        <f>AND(#REF!,"AAAAAEG+30Q=")</f>
        <v>#REF!</v>
      </c>
      <c r="BR222" t="e">
        <f>AND(#REF!,"AAAAAEG+30U=")</f>
        <v>#REF!</v>
      </c>
      <c r="BS222" t="e">
        <f>IF(#REF!,"AAAAAEG+30Y=",0)</f>
        <v>#REF!</v>
      </c>
      <c r="BT222" t="e">
        <f>AND(#REF!,"AAAAAEG+30c=")</f>
        <v>#REF!</v>
      </c>
      <c r="BU222" t="e">
        <f>AND(#REF!,"AAAAAEG+30g=")</f>
        <v>#REF!</v>
      </c>
      <c r="BV222" t="e">
        <f>AND(#REF!,"AAAAAEG+30k=")</f>
        <v>#REF!</v>
      </c>
      <c r="BW222" t="e">
        <f>AND(#REF!,"AAAAAEG+30o=")</f>
        <v>#REF!</v>
      </c>
      <c r="BX222" t="e">
        <f>AND(#REF!,"AAAAAEG+30s=")</f>
        <v>#REF!</v>
      </c>
      <c r="BY222" t="e">
        <f>AND(#REF!,"AAAAAEG+30w=")</f>
        <v>#REF!</v>
      </c>
      <c r="BZ222" t="e">
        <f>AND(#REF!,"AAAAAEG+300=")</f>
        <v>#REF!</v>
      </c>
      <c r="CA222" t="e">
        <f>AND(#REF!,"AAAAAEG+304=")</f>
        <v>#REF!</v>
      </c>
      <c r="CB222" t="e">
        <f>AND(#REF!,"AAAAAEG+308=")</f>
        <v>#REF!</v>
      </c>
      <c r="CC222" t="e">
        <f>AND(#REF!,"AAAAAEG+31A=")</f>
        <v>#REF!</v>
      </c>
      <c r="CD222" t="e">
        <f>IF(#REF!,"AAAAAEG+31E=",0)</f>
        <v>#REF!</v>
      </c>
      <c r="CE222" t="e">
        <f>AND(#REF!,"AAAAAEG+31I=")</f>
        <v>#REF!</v>
      </c>
      <c r="CF222" t="e">
        <f>AND(#REF!,"AAAAAEG+31M=")</f>
        <v>#REF!</v>
      </c>
      <c r="CG222" t="e">
        <f>AND(#REF!,"AAAAAEG+31Q=")</f>
        <v>#REF!</v>
      </c>
      <c r="CH222" t="e">
        <f>AND(#REF!,"AAAAAEG+31U=")</f>
        <v>#REF!</v>
      </c>
      <c r="CI222" t="e">
        <f>AND(#REF!,"AAAAAEG+31Y=")</f>
        <v>#REF!</v>
      </c>
      <c r="CJ222" t="e">
        <f>AND(#REF!,"AAAAAEG+31c=")</f>
        <v>#REF!</v>
      </c>
      <c r="CK222" t="e">
        <f>AND(#REF!,"AAAAAEG+31g=")</f>
        <v>#REF!</v>
      </c>
      <c r="CL222" t="e">
        <f>AND(#REF!,"AAAAAEG+31k=")</f>
        <v>#REF!</v>
      </c>
      <c r="CM222" t="e">
        <f>AND(#REF!,"AAAAAEG+31o=")</f>
        <v>#REF!</v>
      </c>
      <c r="CN222" t="e">
        <f>AND(#REF!,"AAAAAEG+31s=")</f>
        <v>#REF!</v>
      </c>
      <c r="CO222" t="e">
        <f>IF(#REF!,"AAAAAEG+31w=",0)</f>
        <v>#REF!</v>
      </c>
      <c r="CP222" t="e">
        <f>AND(#REF!,"AAAAAEG+310=")</f>
        <v>#REF!</v>
      </c>
      <c r="CQ222" t="e">
        <f>AND(#REF!,"AAAAAEG+314=")</f>
        <v>#REF!</v>
      </c>
      <c r="CR222" t="e">
        <f>AND(#REF!,"AAAAAEG+318=")</f>
        <v>#REF!</v>
      </c>
      <c r="CS222" t="e">
        <f>AND(#REF!,"AAAAAEG+32A=")</f>
        <v>#REF!</v>
      </c>
      <c r="CT222" t="e">
        <f>AND(#REF!,"AAAAAEG+32E=")</f>
        <v>#REF!</v>
      </c>
      <c r="CU222" t="e">
        <f>AND(#REF!,"AAAAAEG+32I=")</f>
        <v>#REF!</v>
      </c>
      <c r="CV222" t="e">
        <f>AND(#REF!,"AAAAAEG+32M=")</f>
        <v>#REF!</v>
      </c>
      <c r="CW222" t="e">
        <f>AND(#REF!,"AAAAAEG+32Q=")</f>
        <v>#REF!</v>
      </c>
      <c r="CX222" t="e">
        <f>AND(#REF!,"AAAAAEG+32U=")</f>
        <v>#REF!</v>
      </c>
      <c r="CY222" t="e">
        <f>AND(#REF!,"AAAAAEG+32Y=")</f>
        <v>#REF!</v>
      </c>
      <c r="CZ222" t="e">
        <f>IF(#REF!,"AAAAAEG+32c=",0)</f>
        <v>#REF!</v>
      </c>
      <c r="DA222" t="e">
        <f>AND(#REF!,"AAAAAEG+32g=")</f>
        <v>#REF!</v>
      </c>
      <c r="DB222" t="e">
        <f>AND(#REF!,"AAAAAEG+32k=")</f>
        <v>#REF!</v>
      </c>
      <c r="DC222" t="e">
        <f>AND(#REF!,"AAAAAEG+32o=")</f>
        <v>#REF!</v>
      </c>
      <c r="DD222" t="e">
        <f>AND(#REF!,"AAAAAEG+32s=")</f>
        <v>#REF!</v>
      </c>
      <c r="DE222" t="e">
        <f>AND(#REF!,"AAAAAEG+32w=")</f>
        <v>#REF!</v>
      </c>
      <c r="DF222" t="e">
        <f>AND(#REF!,"AAAAAEG+320=")</f>
        <v>#REF!</v>
      </c>
      <c r="DG222" t="e">
        <f>AND(#REF!,"AAAAAEG+324=")</f>
        <v>#REF!</v>
      </c>
      <c r="DH222" t="e">
        <f>AND(#REF!,"AAAAAEG+328=")</f>
        <v>#REF!</v>
      </c>
      <c r="DI222" t="e">
        <f>AND(#REF!,"AAAAAEG+33A=")</f>
        <v>#REF!</v>
      </c>
      <c r="DJ222" t="e">
        <f>AND(#REF!,"AAAAAEG+33E=")</f>
        <v>#REF!</v>
      </c>
      <c r="DK222" t="e">
        <f>IF(#REF!,"AAAAAEG+33I=",0)</f>
        <v>#REF!</v>
      </c>
      <c r="DL222" t="e">
        <f>AND(#REF!,"AAAAAEG+33M=")</f>
        <v>#REF!</v>
      </c>
      <c r="DM222" t="e">
        <f>AND(#REF!,"AAAAAEG+33Q=")</f>
        <v>#REF!</v>
      </c>
      <c r="DN222" t="e">
        <f>AND(#REF!,"AAAAAEG+33U=")</f>
        <v>#REF!</v>
      </c>
      <c r="DO222" t="e">
        <f>AND(#REF!,"AAAAAEG+33Y=")</f>
        <v>#REF!</v>
      </c>
      <c r="DP222" t="e">
        <f>AND(#REF!,"AAAAAEG+33c=")</f>
        <v>#REF!</v>
      </c>
      <c r="DQ222" t="e">
        <f>AND(#REF!,"AAAAAEG+33g=")</f>
        <v>#REF!</v>
      </c>
      <c r="DR222" t="e">
        <f>AND(#REF!,"AAAAAEG+33k=")</f>
        <v>#REF!</v>
      </c>
      <c r="DS222" t="e">
        <f>AND(#REF!,"AAAAAEG+33o=")</f>
        <v>#REF!</v>
      </c>
      <c r="DT222" t="e">
        <f>AND(#REF!,"AAAAAEG+33s=")</f>
        <v>#REF!</v>
      </c>
      <c r="DU222" t="e">
        <f>AND(#REF!,"AAAAAEG+33w=")</f>
        <v>#REF!</v>
      </c>
      <c r="DV222" t="e">
        <f>IF(#REF!,"AAAAAEG+330=",0)</f>
        <v>#REF!</v>
      </c>
      <c r="DW222" t="e">
        <f>AND(#REF!,"AAAAAEG+334=")</f>
        <v>#REF!</v>
      </c>
      <c r="DX222" t="e">
        <f>AND(#REF!,"AAAAAEG+338=")</f>
        <v>#REF!</v>
      </c>
      <c r="DY222" t="e">
        <f>AND(#REF!,"AAAAAEG+34A=")</f>
        <v>#REF!</v>
      </c>
      <c r="DZ222" t="e">
        <f>AND(#REF!,"AAAAAEG+34E=")</f>
        <v>#REF!</v>
      </c>
      <c r="EA222" t="e">
        <f>AND(#REF!,"AAAAAEG+34I=")</f>
        <v>#REF!</v>
      </c>
      <c r="EB222" t="e">
        <f>AND(#REF!,"AAAAAEG+34M=")</f>
        <v>#REF!</v>
      </c>
      <c r="EC222" t="e">
        <f>AND(#REF!,"AAAAAEG+34Q=")</f>
        <v>#REF!</v>
      </c>
      <c r="ED222" t="e">
        <f>AND(#REF!,"AAAAAEG+34U=")</f>
        <v>#REF!</v>
      </c>
      <c r="EE222" t="e">
        <f>AND(#REF!,"AAAAAEG+34Y=")</f>
        <v>#REF!</v>
      </c>
      <c r="EF222" t="e">
        <f>AND(#REF!,"AAAAAEG+34c=")</f>
        <v>#REF!</v>
      </c>
      <c r="EG222" t="e">
        <f>IF(#REF!,"AAAAAEG+34g=",0)</f>
        <v>#REF!</v>
      </c>
      <c r="EH222" t="e">
        <f>AND(#REF!,"AAAAAEG+34k=")</f>
        <v>#REF!</v>
      </c>
      <c r="EI222" t="e">
        <f>AND(#REF!,"AAAAAEG+34o=")</f>
        <v>#REF!</v>
      </c>
      <c r="EJ222" t="e">
        <f>AND(#REF!,"AAAAAEG+34s=")</f>
        <v>#REF!</v>
      </c>
      <c r="EK222" t="e">
        <f>AND(#REF!,"AAAAAEG+34w=")</f>
        <v>#REF!</v>
      </c>
      <c r="EL222" t="e">
        <f>AND(#REF!,"AAAAAEG+340=")</f>
        <v>#REF!</v>
      </c>
      <c r="EM222" t="e">
        <f>AND(#REF!,"AAAAAEG+344=")</f>
        <v>#REF!</v>
      </c>
      <c r="EN222" t="e">
        <f>AND(#REF!,"AAAAAEG+348=")</f>
        <v>#REF!</v>
      </c>
      <c r="EO222" t="e">
        <f>AND(#REF!,"AAAAAEG+35A=")</f>
        <v>#REF!</v>
      </c>
      <c r="EP222" t="e">
        <f>AND(#REF!,"AAAAAEG+35E=")</f>
        <v>#REF!</v>
      </c>
      <c r="EQ222" t="e">
        <f>AND(#REF!,"AAAAAEG+35I=")</f>
        <v>#REF!</v>
      </c>
      <c r="ER222" t="e">
        <f>IF(#REF!,"AAAAAEG+35M=",0)</f>
        <v>#REF!</v>
      </c>
      <c r="ES222" t="e">
        <f>AND(#REF!,"AAAAAEG+35Q=")</f>
        <v>#REF!</v>
      </c>
      <c r="ET222" t="e">
        <f>AND(#REF!,"AAAAAEG+35U=")</f>
        <v>#REF!</v>
      </c>
      <c r="EU222" t="e">
        <f>AND(#REF!,"AAAAAEG+35Y=")</f>
        <v>#REF!</v>
      </c>
      <c r="EV222" t="e">
        <f>AND(#REF!,"AAAAAEG+35c=")</f>
        <v>#REF!</v>
      </c>
      <c r="EW222" t="e">
        <f>AND(#REF!,"AAAAAEG+35g=")</f>
        <v>#REF!</v>
      </c>
      <c r="EX222" t="e">
        <f>AND(#REF!,"AAAAAEG+35k=")</f>
        <v>#REF!</v>
      </c>
      <c r="EY222" t="e">
        <f>AND(#REF!,"AAAAAEG+35o=")</f>
        <v>#REF!</v>
      </c>
      <c r="EZ222" t="e">
        <f>AND(#REF!,"AAAAAEG+35s=")</f>
        <v>#REF!</v>
      </c>
      <c r="FA222" t="e">
        <f>AND(#REF!,"AAAAAEG+35w=")</f>
        <v>#REF!</v>
      </c>
      <c r="FB222" t="e">
        <f>AND(#REF!,"AAAAAEG+350=")</f>
        <v>#REF!</v>
      </c>
      <c r="FC222" t="e">
        <f>IF(#REF!,"AAAAAEG+354=",0)</f>
        <v>#REF!</v>
      </c>
      <c r="FD222" t="e">
        <f>AND(#REF!,"AAAAAEG+358=")</f>
        <v>#REF!</v>
      </c>
      <c r="FE222" t="e">
        <f>AND(#REF!,"AAAAAEG+36A=")</f>
        <v>#REF!</v>
      </c>
      <c r="FF222" t="e">
        <f>AND(#REF!,"AAAAAEG+36E=")</f>
        <v>#REF!</v>
      </c>
      <c r="FG222" t="e">
        <f>AND(#REF!,"AAAAAEG+36I=")</f>
        <v>#REF!</v>
      </c>
      <c r="FH222" t="e">
        <f>AND(#REF!,"AAAAAEG+36M=")</f>
        <v>#REF!</v>
      </c>
      <c r="FI222" t="e">
        <f>AND(#REF!,"AAAAAEG+36Q=")</f>
        <v>#REF!</v>
      </c>
      <c r="FJ222" t="e">
        <f>AND(#REF!,"AAAAAEG+36U=")</f>
        <v>#REF!</v>
      </c>
      <c r="FK222" t="e">
        <f>AND(#REF!,"AAAAAEG+36Y=")</f>
        <v>#REF!</v>
      </c>
      <c r="FL222" t="e">
        <f>AND(#REF!,"AAAAAEG+36c=")</f>
        <v>#REF!</v>
      </c>
      <c r="FM222" t="e">
        <f>AND(#REF!,"AAAAAEG+36g=")</f>
        <v>#REF!</v>
      </c>
      <c r="FN222" t="e">
        <f>IF(#REF!,"AAAAAEG+36k=",0)</f>
        <v>#REF!</v>
      </c>
      <c r="FO222" t="e">
        <f>AND(#REF!,"AAAAAEG+36o=")</f>
        <v>#REF!</v>
      </c>
      <c r="FP222" t="e">
        <f>AND(#REF!,"AAAAAEG+36s=")</f>
        <v>#REF!</v>
      </c>
      <c r="FQ222" t="e">
        <f>AND(#REF!,"AAAAAEG+36w=")</f>
        <v>#REF!</v>
      </c>
      <c r="FR222" t="e">
        <f>AND(#REF!,"AAAAAEG+360=")</f>
        <v>#REF!</v>
      </c>
      <c r="FS222" t="e">
        <f>AND(#REF!,"AAAAAEG+364=")</f>
        <v>#REF!</v>
      </c>
      <c r="FT222" t="e">
        <f>AND(#REF!,"AAAAAEG+368=")</f>
        <v>#REF!</v>
      </c>
      <c r="FU222" t="e">
        <f>AND(#REF!,"AAAAAEG+37A=")</f>
        <v>#REF!</v>
      </c>
      <c r="FV222" t="e">
        <f>AND(#REF!,"AAAAAEG+37E=")</f>
        <v>#REF!</v>
      </c>
      <c r="FW222" t="e">
        <f>AND(#REF!,"AAAAAEG+37I=")</f>
        <v>#REF!</v>
      </c>
      <c r="FX222" t="e">
        <f>AND(#REF!,"AAAAAEG+37M=")</f>
        <v>#REF!</v>
      </c>
      <c r="FY222" t="e">
        <f>IF(#REF!,"AAAAAEG+37Q=",0)</f>
        <v>#REF!</v>
      </c>
      <c r="FZ222" t="e">
        <f>AND(#REF!,"AAAAAEG+37U=")</f>
        <v>#REF!</v>
      </c>
      <c r="GA222" t="e">
        <f>AND(#REF!,"AAAAAEG+37Y=")</f>
        <v>#REF!</v>
      </c>
      <c r="GB222" t="e">
        <f>AND(#REF!,"AAAAAEG+37c=")</f>
        <v>#REF!</v>
      </c>
      <c r="GC222" t="e">
        <f>AND(#REF!,"AAAAAEG+37g=")</f>
        <v>#REF!</v>
      </c>
      <c r="GD222" t="e">
        <f>AND(#REF!,"AAAAAEG+37k=")</f>
        <v>#REF!</v>
      </c>
      <c r="GE222" t="e">
        <f>AND(#REF!,"AAAAAEG+37o=")</f>
        <v>#REF!</v>
      </c>
      <c r="GF222" t="e">
        <f>AND(#REF!,"AAAAAEG+37s=")</f>
        <v>#REF!</v>
      </c>
      <c r="GG222" t="e">
        <f>AND(#REF!,"AAAAAEG+37w=")</f>
        <v>#REF!</v>
      </c>
      <c r="GH222" t="e">
        <f>AND(#REF!,"AAAAAEG+370=")</f>
        <v>#REF!</v>
      </c>
      <c r="GI222" t="e">
        <f>AND(#REF!,"AAAAAEG+374=")</f>
        <v>#REF!</v>
      </c>
      <c r="GJ222" t="e">
        <f>IF(#REF!,"AAAAAEG+378=",0)</f>
        <v>#REF!</v>
      </c>
      <c r="GK222" t="e">
        <f>AND(#REF!,"AAAAAEG+38A=")</f>
        <v>#REF!</v>
      </c>
      <c r="GL222" t="e">
        <f>AND(#REF!,"AAAAAEG+38E=")</f>
        <v>#REF!</v>
      </c>
      <c r="GM222" t="e">
        <f>AND(#REF!,"AAAAAEG+38I=")</f>
        <v>#REF!</v>
      </c>
      <c r="GN222" t="e">
        <f>AND(#REF!,"AAAAAEG+38M=")</f>
        <v>#REF!</v>
      </c>
      <c r="GO222" t="e">
        <f>AND(#REF!,"AAAAAEG+38Q=")</f>
        <v>#REF!</v>
      </c>
      <c r="GP222" t="e">
        <f>AND(#REF!,"AAAAAEG+38U=")</f>
        <v>#REF!</v>
      </c>
      <c r="GQ222" t="e">
        <f>AND(#REF!,"AAAAAEG+38Y=")</f>
        <v>#REF!</v>
      </c>
      <c r="GR222" t="e">
        <f>AND(#REF!,"AAAAAEG+38c=")</f>
        <v>#REF!</v>
      </c>
      <c r="GS222" t="e">
        <f>AND(#REF!,"AAAAAEG+38g=")</f>
        <v>#REF!</v>
      </c>
      <c r="GT222" t="e">
        <f>AND(#REF!,"AAAAAEG+38k=")</f>
        <v>#REF!</v>
      </c>
      <c r="GU222" t="e">
        <f>IF(#REF!,"AAAAAEG+38o=",0)</f>
        <v>#REF!</v>
      </c>
      <c r="GV222" t="e">
        <f>AND(#REF!,"AAAAAEG+38s=")</f>
        <v>#REF!</v>
      </c>
      <c r="GW222" t="e">
        <f>AND(#REF!,"AAAAAEG+38w=")</f>
        <v>#REF!</v>
      </c>
      <c r="GX222" t="e">
        <f>AND(#REF!,"AAAAAEG+380=")</f>
        <v>#REF!</v>
      </c>
      <c r="GY222" t="e">
        <f>AND(#REF!,"AAAAAEG+384=")</f>
        <v>#REF!</v>
      </c>
      <c r="GZ222" t="e">
        <f>AND(#REF!,"AAAAAEG+388=")</f>
        <v>#REF!</v>
      </c>
      <c r="HA222" t="e">
        <f>AND(#REF!,"AAAAAEG+39A=")</f>
        <v>#REF!</v>
      </c>
      <c r="HB222" t="e">
        <f>AND(#REF!,"AAAAAEG+39E=")</f>
        <v>#REF!</v>
      </c>
      <c r="HC222" t="e">
        <f>AND(#REF!,"AAAAAEG+39I=")</f>
        <v>#REF!</v>
      </c>
      <c r="HD222" t="e">
        <f>AND(#REF!,"AAAAAEG+39M=")</f>
        <v>#REF!</v>
      </c>
      <c r="HE222" t="e">
        <f>AND(#REF!,"AAAAAEG+39Q=")</f>
        <v>#REF!</v>
      </c>
      <c r="HF222" t="e">
        <f>IF(#REF!,"AAAAAEG+39U=",0)</f>
        <v>#REF!</v>
      </c>
      <c r="HG222" t="e">
        <f>AND(#REF!,"AAAAAEG+39Y=")</f>
        <v>#REF!</v>
      </c>
      <c r="HH222" t="e">
        <f>AND(#REF!,"AAAAAEG+39c=")</f>
        <v>#REF!</v>
      </c>
      <c r="HI222" t="e">
        <f>AND(#REF!,"AAAAAEG+39g=")</f>
        <v>#REF!</v>
      </c>
      <c r="HJ222" t="e">
        <f>AND(#REF!,"AAAAAEG+39k=")</f>
        <v>#REF!</v>
      </c>
      <c r="HK222" t="e">
        <f>AND(#REF!,"AAAAAEG+39o=")</f>
        <v>#REF!</v>
      </c>
      <c r="HL222" t="e">
        <f>AND(#REF!,"AAAAAEG+39s=")</f>
        <v>#REF!</v>
      </c>
      <c r="HM222" t="e">
        <f>AND(#REF!,"AAAAAEG+39w=")</f>
        <v>#REF!</v>
      </c>
      <c r="HN222" t="e">
        <f>AND(#REF!,"AAAAAEG+390=")</f>
        <v>#REF!</v>
      </c>
      <c r="HO222" t="e">
        <f>AND(#REF!,"AAAAAEG+394=")</f>
        <v>#REF!</v>
      </c>
      <c r="HP222" t="e">
        <f>AND(#REF!,"AAAAAEG+398=")</f>
        <v>#REF!</v>
      </c>
      <c r="HQ222" t="e">
        <f>IF(#REF!,"AAAAAEG+3+A=",0)</f>
        <v>#REF!</v>
      </c>
      <c r="HR222" t="e">
        <f>AND(#REF!,"AAAAAEG+3+E=")</f>
        <v>#REF!</v>
      </c>
      <c r="HS222" t="e">
        <f>AND(#REF!,"AAAAAEG+3+I=")</f>
        <v>#REF!</v>
      </c>
      <c r="HT222" t="e">
        <f>AND(#REF!,"AAAAAEG+3+M=")</f>
        <v>#REF!</v>
      </c>
      <c r="HU222" t="e">
        <f>AND(#REF!,"AAAAAEG+3+Q=")</f>
        <v>#REF!</v>
      </c>
      <c r="HV222" t="e">
        <f>AND(#REF!,"AAAAAEG+3+U=")</f>
        <v>#REF!</v>
      </c>
      <c r="HW222" t="e">
        <f>AND(#REF!,"AAAAAEG+3+Y=")</f>
        <v>#REF!</v>
      </c>
      <c r="HX222" t="e">
        <f>AND(#REF!,"AAAAAEG+3+c=")</f>
        <v>#REF!</v>
      </c>
      <c r="HY222" t="e">
        <f>AND(#REF!,"AAAAAEG+3+g=")</f>
        <v>#REF!</v>
      </c>
      <c r="HZ222" t="e">
        <f>AND(#REF!,"AAAAAEG+3+k=")</f>
        <v>#REF!</v>
      </c>
      <c r="IA222" t="e">
        <f>AND(#REF!,"AAAAAEG+3+o=")</f>
        <v>#REF!</v>
      </c>
      <c r="IB222" t="e">
        <f>IF(#REF!,"AAAAAEG+3+s=",0)</f>
        <v>#REF!</v>
      </c>
      <c r="IC222" t="e">
        <f>AND(#REF!,"AAAAAEG+3+w=")</f>
        <v>#REF!</v>
      </c>
      <c r="ID222" t="e">
        <f>AND(#REF!,"AAAAAEG+3+0=")</f>
        <v>#REF!</v>
      </c>
      <c r="IE222" t="e">
        <f>AND(#REF!,"AAAAAEG+3+4=")</f>
        <v>#REF!</v>
      </c>
      <c r="IF222" t="e">
        <f>AND(#REF!,"AAAAAEG+3+8=")</f>
        <v>#REF!</v>
      </c>
      <c r="IG222" t="e">
        <f>AND(#REF!,"AAAAAEG+3/A=")</f>
        <v>#REF!</v>
      </c>
      <c r="IH222" t="e">
        <f>AND(#REF!,"AAAAAEG+3/E=")</f>
        <v>#REF!</v>
      </c>
      <c r="II222" t="e">
        <f>AND(#REF!,"AAAAAEG+3/I=")</f>
        <v>#REF!</v>
      </c>
      <c r="IJ222" t="e">
        <f>AND(#REF!,"AAAAAEG+3/M=")</f>
        <v>#REF!</v>
      </c>
      <c r="IK222" t="e">
        <f>AND(#REF!,"AAAAAEG+3/Q=")</f>
        <v>#REF!</v>
      </c>
      <c r="IL222" t="e">
        <f>AND(#REF!,"AAAAAEG+3/U=")</f>
        <v>#REF!</v>
      </c>
      <c r="IM222" t="e">
        <f>IF(#REF!,"AAAAAEG+3/Y=",0)</f>
        <v>#REF!</v>
      </c>
      <c r="IN222" t="e">
        <f>AND(#REF!,"AAAAAEG+3/c=")</f>
        <v>#REF!</v>
      </c>
      <c r="IO222" t="e">
        <f>AND(#REF!,"AAAAAEG+3/g=")</f>
        <v>#REF!</v>
      </c>
      <c r="IP222" t="e">
        <f>AND(#REF!,"AAAAAEG+3/k=")</f>
        <v>#REF!</v>
      </c>
      <c r="IQ222" t="e">
        <f>AND(#REF!,"AAAAAEG+3/o=")</f>
        <v>#REF!</v>
      </c>
      <c r="IR222" t="e">
        <f>AND(#REF!,"AAAAAEG+3/s=")</f>
        <v>#REF!</v>
      </c>
      <c r="IS222" t="e">
        <f>AND(#REF!,"AAAAAEG+3/w=")</f>
        <v>#REF!</v>
      </c>
      <c r="IT222" t="e">
        <f>AND(#REF!,"AAAAAEG+3/0=")</f>
        <v>#REF!</v>
      </c>
      <c r="IU222" t="e">
        <f>AND(#REF!,"AAAAAEG+3/4=")</f>
        <v>#REF!</v>
      </c>
      <c r="IV222" t="e">
        <f>AND(#REF!,"AAAAAEG+3/8=")</f>
        <v>#REF!</v>
      </c>
    </row>
    <row r="223" spans="1:256" x14ac:dyDescent="0.25">
      <c r="A223" t="e">
        <f>AND(#REF!,"AAAAAFt9/AA=")</f>
        <v>#REF!</v>
      </c>
      <c r="B223" t="e">
        <f>IF(#REF!,"AAAAAFt9/AE=",0)</f>
        <v>#REF!</v>
      </c>
      <c r="C223" t="e">
        <f>AND(#REF!,"AAAAAFt9/AI=")</f>
        <v>#REF!</v>
      </c>
      <c r="D223" t="e">
        <f>AND(#REF!,"AAAAAFt9/AM=")</f>
        <v>#REF!</v>
      </c>
      <c r="E223" t="e">
        <f>AND(#REF!,"AAAAAFt9/AQ=")</f>
        <v>#REF!</v>
      </c>
      <c r="F223" t="e">
        <f>AND(#REF!,"AAAAAFt9/AU=")</f>
        <v>#REF!</v>
      </c>
      <c r="G223" t="e">
        <f>AND(#REF!,"AAAAAFt9/AY=")</f>
        <v>#REF!</v>
      </c>
      <c r="H223" t="e">
        <f>AND(#REF!,"AAAAAFt9/Ac=")</f>
        <v>#REF!</v>
      </c>
      <c r="I223" t="e">
        <f>AND(#REF!,"AAAAAFt9/Ag=")</f>
        <v>#REF!</v>
      </c>
      <c r="J223" t="e">
        <f>AND(#REF!,"AAAAAFt9/Ak=")</f>
        <v>#REF!</v>
      </c>
      <c r="K223" t="e">
        <f>AND(#REF!,"AAAAAFt9/Ao=")</f>
        <v>#REF!</v>
      </c>
      <c r="L223" t="e">
        <f>AND(#REF!,"AAAAAFt9/As=")</f>
        <v>#REF!</v>
      </c>
      <c r="M223" t="e">
        <f>IF(#REF!,"AAAAAFt9/Aw=",0)</f>
        <v>#REF!</v>
      </c>
      <c r="N223" t="e">
        <f>AND(#REF!,"AAAAAFt9/A0=")</f>
        <v>#REF!</v>
      </c>
      <c r="O223" t="e">
        <f>AND(#REF!,"AAAAAFt9/A4=")</f>
        <v>#REF!</v>
      </c>
      <c r="P223" t="e">
        <f>AND(#REF!,"AAAAAFt9/A8=")</f>
        <v>#REF!</v>
      </c>
      <c r="Q223" t="e">
        <f>AND(#REF!,"AAAAAFt9/BA=")</f>
        <v>#REF!</v>
      </c>
      <c r="R223" t="e">
        <f>AND(#REF!,"AAAAAFt9/BE=")</f>
        <v>#REF!</v>
      </c>
      <c r="S223" t="e">
        <f>AND(#REF!,"AAAAAFt9/BI=")</f>
        <v>#REF!</v>
      </c>
      <c r="T223" t="e">
        <f>AND(#REF!,"AAAAAFt9/BM=")</f>
        <v>#REF!</v>
      </c>
      <c r="U223" t="e">
        <f>AND(#REF!,"AAAAAFt9/BQ=")</f>
        <v>#REF!</v>
      </c>
      <c r="V223" t="e">
        <f>AND(#REF!,"AAAAAFt9/BU=")</f>
        <v>#REF!</v>
      </c>
      <c r="W223" t="e">
        <f>AND(#REF!,"AAAAAFt9/BY=")</f>
        <v>#REF!</v>
      </c>
      <c r="X223" t="e">
        <f>IF(#REF!,"AAAAAFt9/Bc=",0)</f>
        <v>#REF!</v>
      </c>
      <c r="Y223" t="e">
        <f>AND(#REF!,"AAAAAFt9/Bg=")</f>
        <v>#REF!</v>
      </c>
      <c r="Z223" t="e">
        <f>AND(#REF!,"AAAAAFt9/Bk=")</f>
        <v>#REF!</v>
      </c>
      <c r="AA223" t="e">
        <f>AND(#REF!,"AAAAAFt9/Bo=")</f>
        <v>#REF!</v>
      </c>
      <c r="AB223" t="e">
        <f>AND(#REF!,"AAAAAFt9/Bs=")</f>
        <v>#REF!</v>
      </c>
      <c r="AC223" t="e">
        <f>AND(#REF!,"AAAAAFt9/Bw=")</f>
        <v>#REF!</v>
      </c>
      <c r="AD223" t="e">
        <f>AND(#REF!,"AAAAAFt9/B0=")</f>
        <v>#REF!</v>
      </c>
      <c r="AE223" t="e">
        <f>AND(#REF!,"AAAAAFt9/B4=")</f>
        <v>#REF!</v>
      </c>
      <c r="AF223" t="e">
        <f>AND(#REF!,"AAAAAFt9/B8=")</f>
        <v>#REF!</v>
      </c>
      <c r="AG223" t="e">
        <f>AND(#REF!,"AAAAAFt9/CA=")</f>
        <v>#REF!</v>
      </c>
      <c r="AH223" t="e">
        <f>AND(#REF!,"AAAAAFt9/CE=")</f>
        <v>#REF!</v>
      </c>
      <c r="AI223" t="e">
        <f>IF(#REF!,"AAAAAFt9/CI=",0)</f>
        <v>#REF!</v>
      </c>
      <c r="AJ223" t="e">
        <f>AND(#REF!,"AAAAAFt9/CM=")</f>
        <v>#REF!</v>
      </c>
      <c r="AK223" t="e">
        <f>AND(#REF!,"AAAAAFt9/CQ=")</f>
        <v>#REF!</v>
      </c>
      <c r="AL223" t="e">
        <f>AND(#REF!,"AAAAAFt9/CU=")</f>
        <v>#REF!</v>
      </c>
      <c r="AM223" t="e">
        <f>AND(#REF!,"AAAAAFt9/CY=")</f>
        <v>#REF!</v>
      </c>
      <c r="AN223" t="e">
        <f>AND(#REF!,"AAAAAFt9/Cc=")</f>
        <v>#REF!</v>
      </c>
      <c r="AO223" t="e">
        <f>AND(#REF!,"AAAAAFt9/Cg=")</f>
        <v>#REF!</v>
      </c>
      <c r="AP223" t="e">
        <f>AND(#REF!,"AAAAAFt9/Ck=")</f>
        <v>#REF!</v>
      </c>
      <c r="AQ223" t="e">
        <f>AND(#REF!,"AAAAAFt9/Co=")</f>
        <v>#REF!</v>
      </c>
      <c r="AR223" t="e">
        <f>AND(#REF!,"AAAAAFt9/Cs=")</f>
        <v>#REF!</v>
      </c>
      <c r="AS223" t="e">
        <f>AND(#REF!,"AAAAAFt9/Cw=")</f>
        <v>#REF!</v>
      </c>
      <c r="AT223" t="e">
        <f>IF(#REF!,"AAAAAFt9/C0=",0)</f>
        <v>#REF!</v>
      </c>
      <c r="AU223" t="e">
        <f>AND(#REF!,"AAAAAFt9/C4=")</f>
        <v>#REF!</v>
      </c>
      <c r="AV223" t="e">
        <f>AND(#REF!,"AAAAAFt9/C8=")</f>
        <v>#REF!</v>
      </c>
      <c r="AW223" t="e">
        <f>AND(#REF!,"AAAAAFt9/DA=")</f>
        <v>#REF!</v>
      </c>
      <c r="AX223" t="e">
        <f>AND(#REF!,"AAAAAFt9/DE=")</f>
        <v>#REF!</v>
      </c>
      <c r="AY223" t="e">
        <f>AND(#REF!,"AAAAAFt9/DI=")</f>
        <v>#REF!</v>
      </c>
      <c r="AZ223" t="e">
        <f>AND(#REF!,"AAAAAFt9/DM=")</f>
        <v>#REF!</v>
      </c>
      <c r="BA223" t="e">
        <f>AND(#REF!,"AAAAAFt9/DQ=")</f>
        <v>#REF!</v>
      </c>
      <c r="BB223" t="e">
        <f>AND(#REF!,"AAAAAFt9/DU=")</f>
        <v>#REF!</v>
      </c>
      <c r="BC223" t="e">
        <f>AND(#REF!,"AAAAAFt9/DY=")</f>
        <v>#REF!</v>
      </c>
      <c r="BD223" t="e">
        <f>AND(#REF!,"AAAAAFt9/Dc=")</f>
        <v>#REF!</v>
      </c>
      <c r="BE223" t="e">
        <f>IF(#REF!,"AAAAAFt9/Dg=",0)</f>
        <v>#REF!</v>
      </c>
      <c r="BF223" t="e">
        <f>AND(#REF!,"AAAAAFt9/Dk=")</f>
        <v>#REF!</v>
      </c>
      <c r="BG223" t="e">
        <f>AND(#REF!,"AAAAAFt9/Do=")</f>
        <v>#REF!</v>
      </c>
      <c r="BH223" t="e">
        <f>AND(#REF!,"AAAAAFt9/Ds=")</f>
        <v>#REF!</v>
      </c>
      <c r="BI223" t="e">
        <f>AND(#REF!,"AAAAAFt9/Dw=")</f>
        <v>#REF!</v>
      </c>
      <c r="BJ223" t="e">
        <f>AND(#REF!,"AAAAAFt9/D0=")</f>
        <v>#REF!</v>
      </c>
      <c r="BK223" t="e">
        <f>AND(#REF!,"AAAAAFt9/D4=")</f>
        <v>#REF!</v>
      </c>
      <c r="BL223" t="e">
        <f>AND(#REF!,"AAAAAFt9/D8=")</f>
        <v>#REF!</v>
      </c>
      <c r="BM223" t="e">
        <f>AND(#REF!,"AAAAAFt9/EA=")</f>
        <v>#REF!</v>
      </c>
      <c r="BN223" t="e">
        <f>AND(#REF!,"AAAAAFt9/EE=")</f>
        <v>#REF!</v>
      </c>
      <c r="BO223" t="e">
        <f>AND(#REF!,"AAAAAFt9/EI=")</f>
        <v>#REF!</v>
      </c>
      <c r="BP223" t="e">
        <f>IF(#REF!,"AAAAAFt9/EM=",0)</f>
        <v>#REF!</v>
      </c>
      <c r="BQ223" t="e">
        <f>AND(#REF!,"AAAAAFt9/EQ=")</f>
        <v>#REF!</v>
      </c>
      <c r="BR223" t="e">
        <f>AND(#REF!,"AAAAAFt9/EU=")</f>
        <v>#REF!</v>
      </c>
      <c r="BS223" t="e">
        <f>AND(#REF!,"AAAAAFt9/EY=")</f>
        <v>#REF!</v>
      </c>
      <c r="BT223" t="e">
        <f>AND(#REF!,"AAAAAFt9/Ec=")</f>
        <v>#REF!</v>
      </c>
      <c r="BU223" t="e">
        <f>AND(#REF!,"AAAAAFt9/Eg=")</f>
        <v>#REF!</v>
      </c>
      <c r="BV223" t="e">
        <f>AND(#REF!,"AAAAAFt9/Ek=")</f>
        <v>#REF!</v>
      </c>
      <c r="BW223" t="e">
        <f>AND(#REF!,"AAAAAFt9/Eo=")</f>
        <v>#REF!</v>
      </c>
      <c r="BX223" t="e">
        <f>AND(#REF!,"AAAAAFt9/Es=")</f>
        <v>#REF!</v>
      </c>
      <c r="BY223" t="e">
        <f>AND(#REF!,"AAAAAFt9/Ew=")</f>
        <v>#REF!</v>
      </c>
      <c r="BZ223" t="e">
        <f>AND(#REF!,"AAAAAFt9/E0=")</f>
        <v>#REF!</v>
      </c>
      <c r="CA223" t="e">
        <f>IF(#REF!,"AAAAAFt9/E4=",0)</f>
        <v>#REF!</v>
      </c>
      <c r="CB223" t="e">
        <f>AND(#REF!,"AAAAAFt9/E8=")</f>
        <v>#REF!</v>
      </c>
      <c r="CC223" t="e">
        <f>AND(#REF!,"AAAAAFt9/FA=")</f>
        <v>#REF!</v>
      </c>
      <c r="CD223" t="e">
        <f>AND(#REF!,"AAAAAFt9/FE=")</f>
        <v>#REF!</v>
      </c>
      <c r="CE223" t="e">
        <f>AND(#REF!,"AAAAAFt9/FI=")</f>
        <v>#REF!</v>
      </c>
      <c r="CF223" t="e">
        <f>AND(#REF!,"AAAAAFt9/FM=")</f>
        <v>#REF!</v>
      </c>
      <c r="CG223" t="e">
        <f>AND(#REF!,"AAAAAFt9/FQ=")</f>
        <v>#REF!</v>
      </c>
      <c r="CH223" t="e">
        <f>AND(#REF!,"AAAAAFt9/FU=")</f>
        <v>#REF!</v>
      </c>
      <c r="CI223" t="e">
        <f>AND(#REF!,"AAAAAFt9/FY=")</f>
        <v>#REF!</v>
      </c>
      <c r="CJ223" t="e">
        <f>AND(#REF!,"AAAAAFt9/Fc=")</f>
        <v>#REF!</v>
      </c>
      <c r="CK223" t="e">
        <f>AND(#REF!,"AAAAAFt9/Fg=")</f>
        <v>#REF!</v>
      </c>
      <c r="CL223" t="e">
        <f>IF(#REF!,"AAAAAFt9/Fk=",0)</f>
        <v>#REF!</v>
      </c>
      <c r="CM223" t="e">
        <f>AND(#REF!,"AAAAAFt9/Fo=")</f>
        <v>#REF!</v>
      </c>
      <c r="CN223" t="e">
        <f>AND(#REF!,"AAAAAFt9/Fs=")</f>
        <v>#REF!</v>
      </c>
      <c r="CO223" t="e">
        <f>AND(#REF!,"AAAAAFt9/Fw=")</f>
        <v>#REF!</v>
      </c>
      <c r="CP223" t="e">
        <f>AND(#REF!,"AAAAAFt9/F0=")</f>
        <v>#REF!</v>
      </c>
      <c r="CQ223" t="e">
        <f>AND(#REF!,"AAAAAFt9/F4=")</f>
        <v>#REF!</v>
      </c>
      <c r="CR223" t="e">
        <f>AND(#REF!,"AAAAAFt9/F8=")</f>
        <v>#REF!</v>
      </c>
      <c r="CS223" t="e">
        <f>AND(#REF!,"AAAAAFt9/GA=")</f>
        <v>#REF!</v>
      </c>
      <c r="CT223" t="e">
        <f>AND(#REF!,"AAAAAFt9/GE=")</f>
        <v>#REF!</v>
      </c>
      <c r="CU223" t="e">
        <f>AND(#REF!,"AAAAAFt9/GI=")</f>
        <v>#REF!</v>
      </c>
      <c r="CV223" t="e">
        <f>AND(#REF!,"AAAAAFt9/GM=")</f>
        <v>#REF!</v>
      </c>
      <c r="CW223" t="e">
        <f>IF(#REF!,"AAAAAFt9/GQ=",0)</f>
        <v>#REF!</v>
      </c>
      <c r="CX223" t="e">
        <f>AND(#REF!,"AAAAAFt9/GU=")</f>
        <v>#REF!</v>
      </c>
      <c r="CY223" t="e">
        <f>AND(#REF!,"AAAAAFt9/GY=")</f>
        <v>#REF!</v>
      </c>
      <c r="CZ223" t="e">
        <f>AND(#REF!,"AAAAAFt9/Gc=")</f>
        <v>#REF!</v>
      </c>
      <c r="DA223" t="e">
        <f>AND(#REF!,"AAAAAFt9/Gg=")</f>
        <v>#REF!</v>
      </c>
      <c r="DB223" t="e">
        <f>AND(#REF!,"AAAAAFt9/Gk=")</f>
        <v>#REF!</v>
      </c>
      <c r="DC223" t="e">
        <f>AND(#REF!,"AAAAAFt9/Go=")</f>
        <v>#REF!</v>
      </c>
      <c r="DD223" t="e">
        <f>AND(#REF!,"AAAAAFt9/Gs=")</f>
        <v>#REF!</v>
      </c>
      <c r="DE223" t="e">
        <f>AND(#REF!,"AAAAAFt9/Gw=")</f>
        <v>#REF!</v>
      </c>
      <c r="DF223" t="e">
        <f>AND(#REF!,"AAAAAFt9/G0=")</f>
        <v>#REF!</v>
      </c>
      <c r="DG223" t="e">
        <f>AND(#REF!,"AAAAAFt9/G4=")</f>
        <v>#REF!</v>
      </c>
      <c r="DH223" t="e">
        <f>IF(#REF!,"AAAAAFt9/G8=",0)</f>
        <v>#REF!</v>
      </c>
      <c r="DI223" t="e">
        <f>AND(#REF!,"AAAAAFt9/HA=")</f>
        <v>#REF!</v>
      </c>
      <c r="DJ223" t="e">
        <f>AND(#REF!,"AAAAAFt9/HE=")</f>
        <v>#REF!</v>
      </c>
      <c r="DK223" t="e">
        <f>AND(#REF!,"AAAAAFt9/HI=")</f>
        <v>#REF!</v>
      </c>
      <c r="DL223" t="e">
        <f>AND(#REF!,"AAAAAFt9/HM=")</f>
        <v>#REF!</v>
      </c>
      <c r="DM223" t="e">
        <f>AND(#REF!,"AAAAAFt9/HQ=")</f>
        <v>#REF!</v>
      </c>
      <c r="DN223" t="e">
        <f>AND(#REF!,"AAAAAFt9/HU=")</f>
        <v>#REF!</v>
      </c>
      <c r="DO223" t="e">
        <f>AND(#REF!,"AAAAAFt9/HY=")</f>
        <v>#REF!</v>
      </c>
      <c r="DP223" t="e">
        <f>AND(#REF!,"AAAAAFt9/Hc=")</f>
        <v>#REF!</v>
      </c>
      <c r="DQ223" t="e">
        <f>AND(#REF!,"AAAAAFt9/Hg=")</f>
        <v>#REF!</v>
      </c>
      <c r="DR223" t="e">
        <f>AND(#REF!,"AAAAAFt9/Hk=")</f>
        <v>#REF!</v>
      </c>
      <c r="DS223" t="e">
        <f>IF(#REF!,"AAAAAFt9/Ho=",0)</f>
        <v>#REF!</v>
      </c>
      <c r="DT223" t="e">
        <f>AND(#REF!,"AAAAAFt9/Hs=")</f>
        <v>#REF!</v>
      </c>
      <c r="DU223" t="e">
        <f>AND(#REF!,"AAAAAFt9/Hw=")</f>
        <v>#REF!</v>
      </c>
      <c r="DV223" t="e">
        <f>AND(#REF!,"AAAAAFt9/H0=")</f>
        <v>#REF!</v>
      </c>
      <c r="DW223" t="e">
        <f>AND(#REF!,"AAAAAFt9/H4=")</f>
        <v>#REF!</v>
      </c>
      <c r="DX223" t="e">
        <f>AND(#REF!,"AAAAAFt9/H8=")</f>
        <v>#REF!</v>
      </c>
      <c r="DY223" t="e">
        <f>AND(#REF!,"AAAAAFt9/IA=")</f>
        <v>#REF!</v>
      </c>
      <c r="DZ223" t="e">
        <f>AND(#REF!,"AAAAAFt9/IE=")</f>
        <v>#REF!</v>
      </c>
      <c r="EA223" t="e">
        <f>AND(#REF!,"AAAAAFt9/II=")</f>
        <v>#REF!</v>
      </c>
      <c r="EB223" t="e">
        <f>AND(#REF!,"AAAAAFt9/IM=")</f>
        <v>#REF!</v>
      </c>
      <c r="EC223" t="e">
        <f>AND(#REF!,"AAAAAFt9/IQ=")</f>
        <v>#REF!</v>
      </c>
      <c r="ED223" t="e">
        <f>IF(#REF!,"AAAAAFt9/IU=",0)</f>
        <v>#REF!</v>
      </c>
      <c r="EE223" t="e">
        <f>AND(#REF!,"AAAAAFt9/IY=")</f>
        <v>#REF!</v>
      </c>
      <c r="EF223" t="e">
        <f>AND(#REF!,"AAAAAFt9/Ic=")</f>
        <v>#REF!</v>
      </c>
      <c r="EG223" t="e">
        <f>AND(#REF!,"AAAAAFt9/Ig=")</f>
        <v>#REF!</v>
      </c>
      <c r="EH223" t="e">
        <f>AND(#REF!,"AAAAAFt9/Ik=")</f>
        <v>#REF!</v>
      </c>
      <c r="EI223" t="e">
        <f>AND(#REF!,"AAAAAFt9/Io=")</f>
        <v>#REF!</v>
      </c>
      <c r="EJ223" t="e">
        <f>AND(#REF!,"AAAAAFt9/Is=")</f>
        <v>#REF!</v>
      </c>
      <c r="EK223" t="e">
        <f>AND(#REF!,"AAAAAFt9/Iw=")</f>
        <v>#REF!</v>
      </c>
      <c r="EL223" t="e">
        <f>AND(#REF!,"AAAAAFt9/I0=")</f>
        <v>#REF!</v>
      </c>
      <c r="EM223" t="e">
        <f>AND(#REF!,"AAAAAFt9/I4=")</f>
        <v>#REF!</v>
      </c>
      <c r="EN223" t="e">
        <f>AND(#REF!,"AAAAAFt9/I8=")</f>
        <v>#REF!</v>
      </c>
      <c r="EO223" t="e">
        <f>IF(#REF!,"AAAAAFt9/JA=",0)</f>
        <v>#REF!</v>
      </c>
      <c r="EP223" t="e">
        <f>AND(#REF!,"AAAAAFt9/JE=")</f>
        <v>#REF!</v>
      </c>
      <c r="EQ223" t="e">
        <f>AND(#REF!,"AAAAAFt9/JI=")</f>
        <v>#REF!</v>
      </c>
      <c r="ER223" t="e">
        <f>AND(#REF!,"AAAAAFt9/JM=")</f>
        <v>#REF!</v>
      </c>
      <c r="ES223" t="e">
        <f>AND(#REF!,"AAAAAFt9/JQ=")</f>
        <v>#REF!</v>
      </c>
      <c r="ET223" t="e">
        <f>AND(#REF!,"AAAAAFt9/JU=")</f>
        <v>#REF!</v>
      </c>
      <c r="EU223" t="e">
        <f>AND(#REF!,"AAAAAFt9/JY=")</f>
        <v>#REF!</v>
      </c>
      <c r="EV223" t="e">
        <f>AND(#REF!,"AAAAAFt9/Jc=")</f>
        <v>#REF!</v>
      </c>
      <c r="EW223" t="e">
        <f>AND(#REF!,"AAAAAFt9/Jg=")</f>
        <v>#REF!</v>
      </c>
      <c r="EX223" t="e">
        <f>AND(#REF!,"AAAAAFt9/Jk=")</f>
        <v>#REF!</v>
      </c>
      <c r="EY223" t="e">
        <f>AND(#REF!,"AAAAAFt9/Jo=")</f>
        <v>#REF!</v>
      </c>
      <c r="EZ223" t="e">
        <f>IF(#REF!,"AAAAAFt9/Js=",0)</f>
        <v>#REF!</v>
      </c>
      <c r="FA223" t="e">
        <f>AND(#REF!,"AAAAAFt9/Jw=")</f>
        <v>#REF!</v>
      </c>
      <c r="FB223" t="e">
        <f>AND(#REF!,"AAAAAFt9/J0=")</f>
        <v>#REF!</v>
      </c>
      <c r="FC223" t="e">
        <f>AND(#REF!,"AAAAAFt9/J4=")</f>
        <v>#REF!</v>
      </c>
      <c r="FD223" t="e">
        <f>AND(#REF!,"AAAAAFt9/J8=")</f>
        <v>#REF!</v>
      </c>
      <c r="FE223" t="e">
        <f>AND(#REF!,"AAAAAFt9/KA=")</f>
        <v>#REF!</v>
      </c>
      <c r="FF223" t="e">
        <f>AND(#REF!,"AAAAAFt9/KE=")</f>
        <v>#REF!</v>
      </c>
      <c r="FG223" t="e">
        <f>AND(#REF!,"AAAAAFt9/KI=")</f>
        <v>#REF!</v>
      </c>
      <c r="FH223" t="e">
        <f>AND(#REF!,"AAAAAFt9/KM=")</f>
        <v>#REF!</v>
      </c>
      <c r="FI223" t="e">
        <f>AND(#REF!,"AAAAAFt9/KQ=")</f>
        <v>#REF!</v>
      </c>
      <c r="FJ223" t="e">
        <f>AND(#REF!,"AAAAAFt9/KU=")</f>
        <v>#REF!</v>
      </c>
      <c r="FK223" t="e">
        <f>IF(#REF!,"AAAAAFt9/KY=",0)</f>
        <v>#REF!</v>
      </c>
      <c r="FL223" t="e">
        <f>AND(#REF!,"AAAAAFt9/Kc=")</f>
        <v>#REF!</v>
      </c>
      <c r="FM223" t="e">
        <f>AND(#REF!,"AAAAAFt9/Kg=")</f>
        <v>#REF!</v>
      </c>
      <c r="FN223" t="e">
        <f>AND(#REF!,"AAAAAFt9/Kk=")</f>
        <v>#REF!</v>
      </c>
      <c r="FO223" t="e">
        <f>AND(#REF!,"AAAAAFt9/Ko=")</f>
        <v>#REF!</v>
      </c>
      <c r="FP223" t="e">
        <f>AND(#REF!,"AAAAAFt9/Ks=")</f>
        <v>#REF!</v>
      </c>
      <c r="FQ223" t="e">
        <f>AND(#REF!,"AAAAAFt9/Kw=")</f>
        <v>#REF!</v>
      </c>
      <c r="FR223" t="e">
        <f>AND(#REF!,"AAAAAFt9/K0=")</f>
        <v>#REF!</v>
      </c>
      <c r="FS223" t="e">
        <f>AND(#REF!,"AAAAAFt9/K4=")</f>
        <v>#REF!</v>
      </c>
      <c r="FT223" t="e">
        <f>AND(#REF!,"AAAAAFt9/K8=")</f>
        <v>#REF!</v>
      </c>
      <c r="FU223" t="e">
        <f>AND(#REF!,"AAAAAFt9/LA=")</f>
        <v>#REF!</v>
      </c>
      <c r="FV223" t="e">
        <f>IF(#REF!,"AAAAAFt9/LE=",0)</f>
        <v>#REF!</v>
      </c>
      <c r="FW223" t="e">
        <f>AND(#REF!,"AAAAAFt9/LI=")</f>
        <v>#REF!</v>
      </c>
      <c r="FX223" t="e">
        <f>AND(#REF!,"AAAAAFt9/LM=")</f>
        <v>#REF!</v>
      </c>
      <c r="FY223" t="e">
        <f>AND(#REF!,"AAAAAFt9/LQ=")</f>
        <v>#REF!</v>
      </c>
      <c r="FZ223" t="e">
        <f>AND(#REF!,"AAAAAFt9/LU=")</f>
        <v>#REF!</v>
      </c>
      <c r="GA223" t="e">
        <f>AND(#REF!,"AAAAAFt9/LY=")</f>
        <v>#REF!</v>
      </c>
      <c r="GB223" t="e">
        <f>AND(#REF!,"AAAAAFt9/Lc=")</f>
        <v>#REF!</v>
      </c>
      <c r="GC223" t="e">
        <f>AND(#REF!,"AAAAAFt9/Lg=")</f>
        <v>#REF!</v>
      </c>
      <c r="GD223" t="e">
        <f>AND(#REF!,"AAAAAFt9/Lk=")</f>
        <v>#REF!</v>
      </c>
      <c r="GE223" t="e">
        <f>AND(#REF!,"AAAAAFt9/Lo=")</f>
        <v>#REF!</v>
      </c>
      <c r="GF223" t="e">
        <f>AND(#REF!,"AAAAAFt9/Ls=")</f>
        <v>#REF!</v>
      </c>
      <c r="GG223" t="e">
        <f>IF(#REF!,"AAAAAFt9/Lw=",0)</f>
        <v>#REF!</v>
      </c>
      <c r="GH223" t="e">
        <f>AND(#REF!,"AAAAAFt9/L0=")</f>
        <v>#REF!</v>
      </c>
      <c r="GI223" t="e">
        <f>AND(#REF!,"AAAAAFt9/L4=")</f>
        <v>#REF!</v>
      </c>
      <c r="GJ223" t="e">
        <f>AND(#REF!,"AAAAAFt9/L8=")</f>
        <v>#REF!</v>
      </c>
      <c r="GK223" t="e">
        <f>AND(#REF!,"AAAAAFt9/MA=")</f>
        <v>#REF!</v>
      </c>
      <c r="GL223" t="e">
        <f>AND(#REF!,"AAAAAFt9/ME=")</f>
        <v>#REF!</v>
      </c>
      <c r="GM223" t="e">
        <f>AND(#REF!,"AAAAAFt9/MI=")</f>
        <v>#REF!</v>
      </c>
      <c r="GN223" t="e">
        <f>AND(#REF!,"AAAAAFt9/MM=")</f>
        <v>#REF!</v>
      </c>
      <c r="GO223" t="e">
        <f>AND(#REF!,"AAAAAFt9/MQ=")</f>
        <v>#REF!</v>
      </c>
      <c r="GP223" t="e">
        <f>AND(#REF!,"AAAAAFt9/MU=")</f>
        <v>#REF!</v>
      </c>
      <c r="GQ223" t="e">
        <f>AND(#REF!,"AAAAAFt9/MY=")</f>
        <v>#REF!</v>
      </c>
      <c r="GR223" t="e">
        <f>IF(#REF!,"AAAAAFt9/Mc=",0)</f>
        <v>#REF!</v>
      </c>
      <c r="GS223" t="e">
        <f>AND(#REF!,"AAAAAFt9/Mg=")</f>
        <v>#REF!</v>
      </c>
      <c r="GT223" t="e">
        <f>AND(#REF!,"AAAAAFt9/Mk=")</f>
        <v>#REF!</v>
      </c>
      <c r="GU223" t="e">
        <f>AND(#REF!,"AAAAAFt9/Mo=")</f>
        <v>#REF!</v>
      </c>
      <c r="GV223" t="e">
        <f>AND(#REF!,"AAAAAFt9/Ms=")</f>
        <v>#REF!</v>
      </c>
      <c r="GW223" t="e">
        <f>AND(#REF!,"AAAAAFt9/Mw=")</f>
        <v>#REF!</v>
      </c>
      <c r="GX223" t="e">
        <f>AND(#REF!,"AAAAAFt9/M0=")</f>
        <v>#REF!</v>
      </c>
      <c r="GY223" t="e">
        <f>AND(#REF!,"AAAAAFt9/M4=")</f>
        <v>#REF!</v>
      </c>
      <c r="GZ223" t="e">
        <f>AND(#REF!,"AAAAAFt9/M8=")</f>
        <v>#REF!</v>
      </c>
      <c r="HA223" t="e">
        <f>AND(#REF!,"AAAAAFt9/NA=")</f>
        <v>#REF!</v>
      </c>
      <c r="HB223" t="e">
        <f>AND(#REF!,"AAAAAFt9/NE=")</f>
        <v>#REF!</v>
      </c>
      <c r="HC223" t="e">
        <f>IF(#REF!,"AAAAAFt9/NI=",0)</f>
        <v>#REF!</v>
      </c>
      <c r="HD223" t="e">
        <f>AND(#REF!,"AAAAAFt9/NM=")</f>
        <v>#REF!</v>
      </c>
      <c r="HE223" t="e">
        <f>AND(#REF!,"AAAAAFt9/NQ=")</f>
        <v>#REF!</v>
      </c>
      <c r="HF223" t="e">
        <f>AND(#REF!,"AAAAAFt9/NU=")</f>
        <v>#REF!</v>
      </c>
      <c r="HG223" t="e">
        <f>AND(#REF!,"AAAAAFt9/NY=")</f>
        <v>#REF!</v>
      </c>
      <c r="HH223" t="e">
        <f>AND(#REF!,"AAAAAFt9/Nc=")</f>
        <v>#REF!</v>
      </c>
      <c r="HI223" t="e">
        <f>AND(#REF!,"AAAAAFt9/Ng=")</f>
        <v>#REF!</v>
      </c>
      <c r="HJ223" t="e">
        <f>AND(#REF!,"AAAAAFt9/Nk=")</f>
        <v>#REF!</v>
      </c>
      <c r="HK223" t="e">
        <f>AND(#REF!,"AAAAAFt9/No=")</f>
        <v>#REF!</v>
      </c>
      <c r="HL223" t="e">
        <f>AND(#REF!,"AAAAAFt9/Ns=")</f>
        <v>#REF!</v>
      </c>
      <c r="HM223" t="e">
        <f>AND(#REF!,"AAAAAFt9/Nw=")</f>
        <v>#REF!</v>
      </c>
      <c r="HN223" t="e">
        <f>IF(#REF!,"AAAAAFt9/N0=",0)</f>
        <v>#REF!</v>
      </c>
      <c r="HO223" t="e">
        <f>AND(#REF!,"AAAAAFt9/N4=")</f>
        <v>#REF!</v>
      </c>
      <c r="HP223" t="e">
        <f>AND(#REF!,"AAAAAFt9/N8=")</f>
        <v>#REF!</v>
      </c>
      <c r="HQ223" t="e">
        <f>AND(#REF!,"AAAAAFt9/OA=")</f>
        <v>#REF!</v>
      </c>
      <c r="HR223" t="e">
        <f>AND(#REF!,"AAAAAFt9/OE=")</f>
        <v>#REF!</v>
      </c>
      <c r="HS223" t="e">
        <f>AND(#REF!,"AAAAAFt9/OI=")</f>
        <v>#REF!</v>
      </c>
      <c r="HT223" t="e">
        <f>AND(#REF!,"AAAAAFt9/OM=")</f>
        <v>#REF!</v>
      </c>
      <c r="HU223" t="e">
        <f>AND(#REF!,"AAAAAFt9/OQ=")</f>
        <v>#REF!</v>
      </c>
      <c r="HV223" t="e">
        <f>AND(#REF!,"AAAAAFt9/OU=")</f>
        <v>#REF!</v>
      </c>
      <c r="HW223" t="e">
        <f>AND(#REF!,"AAAAAFt9/OY=")</f>
        <v>#REF!</v>
      </c>
      <c r="HX223" t="e">
        <f>AND(#REF!,"AAAAAFt9/Oc=")</f>
        <v>#REF!</v>
      </c>
      <c r="HY223" t="e">
        <f>IF(#REF!,"AAAAAFt9/Og=",0)</f>
        <v>#REF!</v>
      </c>
      <c r="HZ223" t="e">
        <f>AND(#REF!,"AAAAAFt9/Ok=")</f>
        <v>#REF!</v>
      </c>
      <c r="IA223" t="e">
        <f>AND(#REF!,"AAAAAFt9/Oo=")</f>
        <v>#REF!</v>
      </c>
      <c r="IB223" t="e">
        <f>AND(#REF!,"AAAAAFt9/Os=")</f>
        <v>#REF!</v>
      </c>
      <c r="IC223" t="e">
        <f>AND(#REF!,"AAAAAFt9/Ow=")</f>
        <v>#REF!</v>
      </c>
      <c r="ID223" t="e">
        <f>AND(#REF!,"AAAAAFt9/O0=")</f>
        <v>#REF!</v>
      </c>
      <c r="IE223" t="e">
        <f>AND(#REF!,"AAAAAFt9/O4=")</f>
        <v>#REF!</v>
      </c>
      <c r="IF223" t="e">
        <f>AND(#REF!,"AAAAAFt9/O8=")</f>
        <v>#REF!</v>
      </c>
      <c r="IG223" t="e">
        <f>AND(#REF!,"AAAAAFt9/PA=")</f>
        <v>#REF!</v>
      </c>
      <c r="IH223" t="e">
        <f>AND(#REF!,"AAAAAFt9/PE=")</f>
        <v>#REF!</v>
      </c>
      <c r="II223" t="e">
        <f>AND(#REF!,"AAAAAFt9/PI=")</f>
        <v>#REF!</v>
      </c>
      <c r="IJ223" t="e">
        <f>IF(#REF!,"AAAAAFt9/PM=",0)</f>
        <v>#REF!</v>
      </c>
      <c r="IK223" t="e">
        <f>AND(#REF!,"AAAAAFt9/PQ=")</f>
        <v>#REF!</v>
      </c>
      <c r="IL223" t="e">
        <f>AND(#REF!,"AAAAAFt9/PU=")</f>
        <v>#REF!</v>
      </c>
      <c r="IM223" t="e">
        <f>AND(#REF!,"AAAAAFt9/PY=")</f>
        <v>#REF!</v>
      </c>
      <c r="IN223" t="e">
        <f>AND(#REF!,"AAAAAFt9/Pc=")</f>
        <v>#REF!</v>
      </c>
      <c r="IO223" t="e">
        <f>AND(#REF!,"AAAAAFt9/Pg=")</f>
        <v>#REF!</v>
      </c>
      <c r="IP223" t="e">
        <f>AND(#REF!,"AAAAAFt9/Pk=")</f>
        <v>#REF!</v>
      </c>
      <c r="IQ223" t="e">
        <f>AND(#REF!,"AAAAAFt9/Po=")</f>
        <v>#REF!</v>
      </c>
      <c r="IR223" t="e">
        <f>AND(#REF!,"AAAAAFt9/Ps=")</f>
        <v>#REF!</v>
      </c>
      <c r="IS223" t="e">
        <f>AND(#REF!,"AAAAAFt9/Pw=")</f>
        <v>#REF!</v>
      </c>
      <c r="IT223" t="e">
        <f>AND(#REF!,"AAAAAFt9/P0=")</f>
        <v>#REF!</v>
      </c>
      <c r="IU223" t="e">
        <f>IF(#REF!,"AAAAAFt9/P4=",0)</f>
        <v>#REF!</v>
      </c>
      <c r="IV223" t="e">
        <f>AND(#REF!,"AAAAAFt9/P8=")</f>
        <v>#REF!</v>
      </c>
    </row>
    <row r="224" spans="1:256" x14ac:dyDescent="0.25">
      <c r="A224" t="e">
        <f>AND(#REF!,"AAAAAD/39wA=")</f>
        <v>#REF!</v>
      </c>
      <c r="B224" t="e">
        <f>AND(#REF!,"AAAAAD/39wE=")</f>
        <v>#REF!</v>
      </c>
      <c r="C224" t="e">
        <f>AND(#REF!,"AAAAAD/39wI=")</f>
        <v>#REF!</v>
      </c>
      <c r="D224" t="e">
        <f>AND(#REF!,"AAAAAD/39wM=")</f>
        <v>#REF!</v>
      </c>
      <c r="E224" t="e">
        <f>AND(#REF!,"AAAAAD/39wQ=")</f>
        <v>#REF!</v>
      </c>
      <c r="F224" t="e">
        <f>AND(#REF!,"AAAAAD/39wU=")</f>
        <v>#REF!</v>
      </c>
      <c r="G224" t="e">
        <f>AND(#REF!,"AAAAAD/39wY=")</f>
        <v>#REF!</v>
      </c>
      <c r="H224" t="e">
        <f>AND(#REF!,"AAAAAD/39wc=")</f>
        <v>#REF!</v>
      </c>
      <c r="I224" t="e">
        <f>AND(#REF!,"AAAAAD/39wg=")</f>
        <v>#REF!</v>
      </c>
      <c r="J224" t="e">
        <f>IF(#REF!,"AAAAAD/39wk=",0)</f>
        <v>#REF!</v>
      </c>
      <c r="K224" t="e">
        <f>AND(#REF!,"AAAAAD/39wo=")</f>
        <v>#REF!</v>
      </c>
      <c r="L224" t="e">
        <f>AND(#REF!,"AAAAAD/39ws=")</f>
        <v>#REF!</v>
      </c>
      <c r="M224" t="e">
        <f>AND(#REF!,"AAAAAD/39ww=")</f>
        <v>#REF!</v>
      </c>
      <c r="N224" t="e">
        <f>AND(#REF!,"AAAAAD/39w0=")</f>
        <v>#REF!</v>
      </c>
      <c r="O224" t="e">
        <f>AND(#REF!,"AAAAAD/39w4=")</f>
        <v>#REF!</v>
      </c>
      <c r="P224" t="e">
        <f>AND(#REF!,"AAAAAD/39w8=")</f>
        <v>#REF!</v>
      </c>
      <c r="Q224" t="e">
        <f>AND(#REF!,"AAAAAD/39xA=")</f>
        <v>#REF!</v>
      </c>
      <c r="R224" t="e">
        <f>AND(#REF!,"AAAAAD/39xE=")</f>
        <v>#REF!</v>
      </c>
      <c r="S224" t="e">
        <f>AND(#REF!,"AAAAAD/39xI=")</f>
        <v>#REF!</v>
      </c>
      <c r="T224" t="e">
        <f>AND(#REF!,"AAAAAD/39xM=")</f>
        <v>#REF!</v>
      </c>
      <c r="U224" t="e">
        <f>IF(#REF!,"AAAAAD/39xQ=",0)</f>
        <v>#REF!</v>
      </c>
      <c r="V224" t="e">
        <f>AND(#REF!,"AAAAAD/39xU=")</f>
        <v>#REF!</v>
      </c>
      <c r="W224" t="e">
        <f>AND(#REF!,"AAAAAD/39xY=")</f>
        <v>#REF!</v>
      </c>
      <c r="X224" t="e">
        <f>AND(#REF!,"AAAAAD/39xc=")</f>
        <v>#REF!</v>
      </c>
      <c r="Y224" t="e">
        <f>AND(#REF!,"AAAAAD/39xg=")</f>
        <v>#REF!</v>
      </c>
      <c r="Z224" t="e">
        <f>AND(#REF!,"AAAAAD/39xk=")</f>
        <v>#REF!</v>
      </c>
      <c r="AA224" t="e">
        <f>AND(#REF!,"AAAAAD/39xo=")</f>
        <v>#REF!</v>
      </c>
      <c r="AB224" t="e">
        <f>AND(#REF!,"AAAAAD/39xs=")</f>
        <v>#REF!</v>
      </c>
      <c r="AC224" t="e">
        <f>AND(#REF!,"AAAAAD/39xw=")</f>
        <v>#REF!</v>
      </c>
      <c r="AD224" t="e">
        <f>AND(#REF!,"AAAAAD/39x0=")</f>
        <v>#REF!</v>
      </c>
      <c r="AE224" t="e">
        <f>AND(#REF!,"AAAAAD/39x4=")</f>
        <v>#REF!</v>
      </c>
      <c r="AF224" t="e">
        <f>IF(#REF!,"AAAAAD/39x8=",0)</f>
        <v>#REF!</v>
      </c>
      <c r="AG224" t="e">
        <f>AND(#REF!,"AAAAAD/39yA=")</f>
        <v>#REF!</v>
      </c>
      <c r="AH224" t="e">
        <f>AND(#REF!,"AAAAAD/39yE=")</f>
        <v>#REF!</v>
      </c>
      <c r="AI224" t="e">
        <f>AND(#REF!,"AAAAAD/39yI=")</f>
        <v>#REF!</v>
      </c>
      <c r="AJ224" t="e">
        <f>AND(#REF!,"AAAAAD/39yM=")</f>
        <v>#REF!</v>
      </c>
      <c r="AK224" t="e">
        <f>AND(#REF!,"AAAAAD/39yQ=")</f>
        <v>#REF!</v>
      </c>
      <c r="AL224" t="e">
        <f>AND(#REF!,"AAAAAD/39yU=")</f>
        <v>#REF!</v>
      </c>
      <c r="AM224" t="e">
        <f>AND(#REF!,"AAAAAD/39yY=")</f>
        <v>#REF!</v>
      </c>
      <c r="AN224" t="e">
        <f>AND(#REF!,"AAAAAD/39yc=")</f>
        <v>#REF!</v>
      </c>
      <c r="AO224" t="e">
        <f>AND(#REF!,"AAAAAD/39yg=")</f>
        <v>#REF!</v>
      </c>
      <c r="AP224" t="e">
        <f>AND(#REF!,"AAAAAD/39yk=")</f>
        <v>#REF!</v>
      </c>
      <c r="AQ224" t="e">
        <f>IF(#REF!,"AAAAAD/39yo=",0)</f>
        <v>#REF!</v>
      </c>
      <c r="AR224" t="e">
        <f>AND(#REF!,"AAAAAD/39ys=")</f>
        <v>#REF!</v>
      </c>
      <c r="AS224" t="e">
        <f>AND(#REF!,"AAAAAD/39yw=")</f>
        <v>#REF!</v>
      </c>
      <c r="AT224" t="e">
        <f>AND(#REF!,"AAAAAD/39y0=")</f>
        <v>#REF!</v>
      </c>
      <c r="AU224" t="e">
        <f>AND(#REF!,"AAAAAD/39y4=")</f>
        <v>#REF!</v>
      </c>
      <c r="AV224" t="e">
        <f>AND(#REF!,"AAAAAD/39y8=")</f>
        <v>#REF!</v>
      </c>
      <c r="AW224" t="e">
        <f>AND(#REF!,"AAAAAD/39zA=")</f>
        <v>#REF!</v>
      </c>
      <c r="AX224" t="e">
        <f>AND(#REF!,"AAAAAD/39zE=")</f>
        <v>#REF!</v>
      </c>
      <c r="AY224" t="e">
        <f>AND(#REF!,"AAAAAD/39zI=")</f>
        <v>#REF!</v>
      </c>
      <c r="AZ224" t="e">
        <f>AND(#REF!,"AAAAAD/39zM=")</f>
        <v>#REF!</v>
      </c>
      <c r="BA224" t="e">
        <f>AND(#REF!,"AAAAAD/39zQ=")</f>
        <v>#REF!</v>
      </c>
      <c r="BB224" t="e">
        <f>IF(#REF!,"AAAAAD/39zU=",0)</f>
        <v>#REF!</v>
      </c>
      <c r="BC224" t="e">
        <f>AND(#REF!,"AAAAAD/39zY=")</f>
        <v>#REF!</v>
      </c>
      <c r="BD224" t="e">
        <f>AND(#REF!,"AAAAAD/39zc=")</f>
        <v>#REF!</v>
      </c>
      <c r="BE224" t="e">
        <f>AND(#REF!,"AAAAAD/39zg=")</f>
        <v>#REF!</v>
      </c>
      <c r="BF224" t="e">
        <f>AND(#REF!,"AAAAAD/39zk=")</f>
        <v>#REF!</v>
      </c>
      <c r="BG224" t="e">
        <f>AND(#REF!,"AAAAAD/39zo=")</f>
        <v>#REF!</v>
      </c>
      <c r="BH224" t="e">
        <f>AND(#REF!,"AAAAAD/39zs=")</f>
        <v>#REF!</v>
      </c>
      <c r="BI224" t="e">
        <f>AND(#REF!,"AAAAAD/39zw=")</f>
        <v>#REF!</v>
      </c>
      <c r="BJ224" t="e">
        <f>AND(#REF!,"AAAAAD/39z0=")</f>
        <v>#REF!</v>
      </c>
      <c r="BK224" t="e">
        <f>AND(#REF!,"AAAAAD/39z4=")</f>
        <v>#REF!</v>
      </c>
      <c r="BL224" t="e">
        <f>AND(#REF!,"AAAAAD/39z8=")</f>
        <v>#REF!</v>
      </c>
      <c r="BM224" t="e">
        <f>IF(#REF!,"AAAAAD/390A=",0)</f>
        <v>#REF!</v>
      </c>
      <c r="BN224" t="e">
        <f>AND(#REF!,"AAAAAD/390E=")</f>
        <v>#REF!</v>
      </c>
      <c r="BO224" t="e">
        <f>AND(#REF!,"AAAAAD/390I=")</f>
        <v>#REF!</v>
      </c>
      <c r="BP224" t="e">
        <f>AND(#REF!,"AAAAAD/390M=")</f>
        <v>#REF!</v>
      </c>
      <c r="BQ224" t="e">
        <f>AND(#REF!,"AAAAAD/390Q=")</f>
        <v>#REF!</v>
      </c>
      <c r="BR224" t="e">
        <f>AND(#REF!,"AAAAAD/390U=")</f>
        <v>#REF!</v>
      </c>
      <c r="BS224" t="e">
        <f>AND(#REF!,"AAAAAD/390Y=")</f>
        <v>#REF!</v>
      </c>
      <c r="BT224" t="e">
        <f>AND(#REF!,"AAAAAD/390c=")</f>
        <v>#REF!</v>
      </c>
      <c r="BU224" t="e">
        <f>AND(#REF!,"AAAAAD/390g=")</f>
        <v>#REF!</v>
      </c>
      <c r="BV224" t="e">
        <f>AND(#REF!,"AAAAAD/390k=")</f>
        <v>#REF!</v>
      </c>
      <c r="BW224" t="e">
        <f>AND(#REF!,"AAAAAD/390o=")</f>
        <v>#REF!</v>
      </c>
      <c r="BX224" t="e">
        <f>IF(#REF!,"AAAAAD/390s=",0)</f>
        <v>#REF!</v>
      </c>
      <c r="BY224" t="e">
        <f>AND(#REF!,"AAAAAD/390w=")</f>
        <v>#REF!</v>
      </c>
      <c r="BZ224" t="e">
        <f>AND(#REF!,"AAAAAD/3900=")</f>
        <v>#REF!</v>
      </c>
      <c r="CA224" t="e">
        <f>AND(#REF!,"AAAAAD/3904=")</f>
        <v>#REF!</v>
      </c>
      <c r="CB224" t="e">
        <f>AND(#REF!,"AAAAAD/3908=")</f>
        <v>#REF!</v>
      </c>
      <c r="CC224" t="e">
        <f>AND(#REF!,"AAAAAD/391A=")</f>
        <v>#REF!</v>
      </c>
      <c r="CD224" t="e">
        <f>AND(#REF!,"AAAAAD/391E=")</f>
        <v>#REF!</v>
      </c>
      <c r="CE224" t="e">
        <f>AND(#REF!,"AAAAAD/391I=")</f>
        <v>#REF!</v>
      </c>
      <c r="CF224" t="e">
        <f>AND(#REF!,"AAAAAD/391M=")</f>
        <v>#REF!</v>
      </c>
      <c r="CG224" t="e">
        <f>AND(#REF!,"AAAAAD/391Q=")</f>
        <v>#REF!</v>
      </c>
      <c r="CH224" t="e">
        <f>AND(#REF!,"AAAAAD/391U=")</f>
        <v>#REF!</v>
      </c>
      <c r="CI224" t="e">
        <f>IF(#REF!,"AAAAAD/391Y=",0)</f>
        <v>#REF!</v>
      </c>
      <c r="CJ224" t="e">
        <f>AND(#REF!,"AAAAAD/391c=")</f>
        <v>#REF!</v>
      </c>
      <c r="CK224" t="e">
        <f>AND(#REF!,"AAAAAD/391g=")</f>
        <v>#REF!</v>
      </c>
      <c r="CL224" t="e">
        <f>AND(#REF!,"AAAAAD/391k=")</f>
        <v>#REF!</v>
      </c>
      <c r="CM224" t="e">
        <f>AND(#REF!,"AAAAAD/391o=")</f>
        <v>#REF!</v>
      </c>
      <c r="CN224" t="e">
        <f>AND(#REF!,"AAAAAD/391s=")</f>
        <v>#REF!</v>
      </c>
      <c r="CO224" t="e">
        <f>AND(#REF!,"AAAAAD/391w=")</f>
        <v>#REF!</v>
      </c>
      <c r="CP224" t="e">
        <f>AND(#REF!,"AAAAAD/3910=")</f>
        <v>#REF!</v>
      </c>
      <c r="CQ224" t="e">
        <f>AND(#REF!,"AAAAAD/3914=")</f>
        <v>#REF!</v>
      </c>
      <c r="CR224" t="e">
        <f>AND(#REF!,"AAAAAD/3918=")</f>
        <v>#REF!</v>
      </c>
      <c r="CS224" t="e">
        <f>AND(#REF!,"AAAAAD/392A=")</f>
        <v>#REF!</v>
      </c>
      <c r="CT224" t="e">
        <f>IF(#REF!,"AAAAAD/392E=",0)</f>
        <v>#REF!</v>
      </c>
      <c r="CU224" t="e">
        <f>AND(#REF!,"AAAAAD/392I=")</f>
        <v>#REF!</v>
      </c>
      <c r="CV224" t="e">
        <f>AND(#REF!,"AAAAAD/392M=")</f>
        <v>#REF!</v>
      </c>
      <c r="CW224" t="e">
        <f>AND(#REF!,"AAAAAD/392Q=")</f>
        <v>#REF!</v>
      </c>
      <c r="CX224" t="e">
        <f>AND(#REF!,"AAAAAD/392U=")</f>
        <v>#REF!</v>
      </c>
      <c r="CY224" t="e">
        <f>AND(#REF!,"AAAAAD/392Y=")</f>
        <v>#REF!</v>
      </c>
      <c r="CZ224" t="e">
        <f>AND(#REF!,"AAAAAD/392c=")</f>
        <v>#REF!</v>
      </c>
      <c r="DA224" t="e">
        <f>AND(#REF!,"AAAAAD/392g=")</f>
        <v>#REF!</v>
      </c>
      <c r="DB224" t="e">
        <f>AND(#REF!,"AAAAAD/392k=")</f>
        <v>#REF!</v>
      </c>
      <c r="DC224" t="e">
        <f>AND(#REF!,"AAAAAD/392o=")</f>
        <v>#REF!</v>
      </c>
      <c r="DD224" t="e">
        <f>AND(#REF!,"AAAAAD/392s=")</f>
        <v>#REF!</v>
      </c>
      <c r="DE224" t="e">
        <f>IF(#REF!,"AAAAAD/392w=",0)</f>
        <v>#REF!</v>
      </c>
      <c r="DF224" t="e">
        <f>AND(#REF!,"AAAAAD/3920=")</f>
        <v>#REF!</v>
      </c>
      <c r="DG224" t="e">
        <f>AND(#REF!,"AAAAAD/3924=")</f>
        <v>#REF!</v>
      </c>
      <c r="DH224" t="e">
        <f>AND(#REF!,"AAAAAD/3928=")</f>
        <v>#REF!</v>
      </c>
      <c r="DI224" t="e">
        <f>AND(#REF!,"AAAAAD/393A=")</f>
        <v>#REF!</v>
      </c>
      <c r="DJ224" t="e">
        <f>AND(#REF!,"AAAAAD/393E=")</f>
        <v>#REF!</v>
      </c>
      <c r="DK224" t="e">
        <f>AND(#REF!,"AAAAAD/393I=")</f>
        <v>#REF!</v>
      </c>
      <c r="DL224" t="e">
        <f>AND(#REF!,"AAAAAD/393M=")</f>
        <v>#REF!</v>
      </c>
      <c r="DM224" t="e">
        <f>AND(#REF!,"AAAAAD/393Q=")</f>
        <v>#REF!</v>
      </c>
      <c r="DN224" t="e">
        <f>AND(#REF!,"AAAAAD/393U=")</f>
        <v>#REF!</v>
      </c>
      <c r="DO224" t="e">
        <f>AND(#REF!,"AAAAAD/393Y=")</f>
        <v>#REF!</v>
      </c>
      <c r="DP224" t="e">
        <f>IF(#REF!,"AAAAAD/393c=",0)</f>
        <v>#REF!</v>
      </c>
      <c r="DQ224" t="e">
        <f>AND(#REF!,"AAAAAD/393g=")</f>
        <v>#REF!</v>
      </c>
      <c r="DR224" t="e">
        <f>AND(#REF!,"AAAAAD/393k=")</f>
        <v>#REF!</v>
      </c>
      <c r="DS224" t="e">
        <f>AND(#REF!,"AAAAAD/393o=")</f>
        <v>#REF!</v>
      </c>
      <c r="DT224" t="e">
        <f>AND(#REF!,"AAAAAD/393s=")</f>
        <v>#REF!</v>
      </c>
      <c r="DU224" t="e">
        <f>AND(#REF!,"AAAAAD/393w=")</f>
        <v>#REF!</v>
      </c>
      <c r="DV224" t="e">
        <f>AND(#REF!,"AAAAAD/3930=")</f>
        <v>#REF!</v>
      </c>
      <c r="DW224" t="e">
        <f>AND(#REF!,"AAAAAD/3934=")</f>
        <v>#REF!</v>
      </c>
      <c r="DX224" t="e">
        <f>AND(#REF!,"AAAAAD/3938=")</f>
        <v>#REF!</v>
      </c>
      <c r="DY224" t="e">
        <f>AND(#REF!,"AAAAAD/394A=")</f>
        <v>#REF!</v>
      </c>
      <c r="DZ224" t="e">
        <f>AND(#REF!,"AAAAAD/394E=")</f>
        <v>#REF!</v>
      </c>
      <c r="EA224" t="e">
        <f>IF(#REF!,"AAAAAD/394I=",0)</f>
        <v>#REF!</v>
      </c>
      <c r="EB224" t="e">
        <f>AND(#REF!,"AAAAAD/394M=")</f>
        <v>#REF!</v>
      </c>
      <c r="EC224" t="e">
        <f>AND(#REF!,"AAAAAD/394Q=")</f>
        <v>#REF!</v>
      </c>
      <c r="ED224" t="e">
        <f>AND(#REF!,"AAAAAD/394U=")</f>
        <v>#REF!</v>
      </c>
      <c r="EE224" t="e">
        <f>AND(#REF!,"AAAAAD/394Y=")</f>
        <v>#REF!</v>
      </c>
      <c r="EF224" t="e">
        <f>AND(#REF!,"AAAAAD/394c=")</f>
        <v>#REF!</v>
      </c>
      <c r="EG224" t="e">
        <f>AND(#REF!,"AAAAAD/394g=")</f>
        <v>#REF!</v>
      </c>
      <c r="EH224" t="e">
        <f>AND(#REF!,"AAAAAD/394k=")</f>
        <v>#REF!</v>
      </c>
      <c r="EI224" t="e">
        <f>AND(#REF!,"AAAAAD/394o=")</f>
        <v>#REF!</v>
      </c>
      <c r="EJ224" t="e">
        <f>AND(#REF!,"AAAAAD/394s=")</f>
        <v>#REF!</v>
      </c>
      <c r="EK224" t="e">
        <f>AND(#REF!,"AAAAAD/394w=")</f>
        <v>#REF!</v>
      </c>
      <c r="EL224" t="e">
        <f>IF(#REF!,"AAAAAD/3940=",0)</f>
        <v>#REF!</v>
      </c>
      <c r="EM224" t="e">
        <f>AND(#REF!,"AAAAAD/3944=")</f>
        <v>#REF!</v>
      </c>
      <c r="EN224" t="e">
        <f>AND(#REF!,"AAAAAD/3948=")</f>
        <v>#REF!</v>
      </c>
      <c r="EO224" t="e">
        <f>AND(#REF!,"AAAAAD/395A=")</f>
        <v>#REF!</v>
      </c>
      <c r="EP224" t="e">
        <f>AND(#REF!,"AAAAAD/395E=")</f>
        <v>#REF!</v>
      </c>
      <c r="EQ224" t="e">
        <f>AND(#REF!,"AAAAAD/395I=")</f>
        <v>#REF!</v>
      </c>
      <c r="ER224" t="e">
        <f>AND(#REF!,"AAAAAD/395M=")</f>
        <v>#REF!</v>
      </c>
      <c r="ES224" t="e">
        <f>AND(#REF!,"AAAAAD/395Q=")</f>
        <v>#REF!</v>
      </c>
      <c r="ET224" t="e">
        <f>AND(#REF!,"AAAAAD/395U=")</f>
        <v>#REF!</v>
      </c>
      <c r="EU224" t="e">
        <f>AND(#REF!,"AAAAAD/395Y=")</f>
        <v>#REF!</v>
      </c>
      <c r="EV224" t="e">
        <f>AND(#REF!,"AAAAAD/395c=")</f>
        <v>#REF!</v>
      </c>
      <c r="EW224" t="e">
        <f>IF(#REF!,"AAAAAD/395g=",0)</f>
        <v>#REF!</v>
      </c>
      <c r="EX224" t="e">
        <f>AND(#REF!,"AAAAAD/395k=")</f>
        <v>#REF!</v>
      </c>
      <c r="EY224" t="e">
        <f>AND(#REF!,"AAAAAD/395o=")</f>
        <v>#REF!</v>
      </c>
      <c r="EZ224" t="e">
        <f>AND(#REF!,"AAAAAD/395s=")</f>
        <v>#REF!</v>
      </c>
      <c r="FA224" t="e">
        <f>AND(#REF!,"AAAAAD/395w=")</f>
        <v>#REF!</v>
      </c>
      <c r="FB224" t="e">
        <f>AND(#REF!,"AAAAAD/3950=")</f>
        <v>#REF!</v>
      </c>
      <c r="FC224" t="e">
        <f>AND(#REF!,"AAAAAD/3954=")</f>
        <v>#REF!</v>
      </c>
      <c r="FD224" t="e">
        <f>AND(#REF!,"AAAAAD/3958=")</f>
        <v>#REF!</v>
      </c>
      <c r="FE224" t="e">
        <f>AND(#REF!,"AAAAAD/396A=")</f>
        <v>#REF!</v>
      </c>
      <c r="FF224" t="e">
        <f>AND(#REF!,"AAAAAD/396E=")</f>
        <v>#REF!</v>
      </c>
      <c r="FG224" t="e">
        <f>AND(#REF!,"AAAAAD/396I=")</f>
        <v>#REF!</v>
      </c>
      <c r="FH224" t="e">
        <f>IF(#REF!,"AAAAAD/396M=",0)</f>
        <v>#REF!</v>
      </c>
      <c r="FI224" t="e">
        <f>AND(#REF!,"AAAAAD/396Q=")</f>
        <v>#REF!</v>
      </c>
      <c r="FJ224" t="e">
        <f>AND(#REF!,"AAAAAD/396U=")</f>
        <v>#REF!</v>
      </c>
      <c r="FK224" t="e">
        <f>AND(#REF!,"AAAAAD/396Y=")</f>
        <v>#REF!</v>
      </c>
      <c r="FL224" t="e">
        <f>AND(#REF!,"AAAAAD/396c=")</f>
        <v>#REF!</v>
      </c>
      <c r="FM224" t="e">
        <f>AND(#REF!,"AAAAAD/396g=")</f>
        <v>#REF!</v>
      </c>
      <c r="FN224" t="e">
        <f>AND(#REF!,"AAAAAD/396k=")</f>
        <v>#REF!</v>
      </c>
      <c r="FO224" t="e">
        <f>AND(#REF!,"AAAAAD/396o=")</f>
        <v>#REF!</v>
      </c>
      <c r="FP224" t="e">
        <f>AND(#REF!,"AAAAAD/396s=")</f>
        <v>#REF!</v>
      </c>
      <c r="FQ224" t="e">
        <f>AND(#REF!,"AAAAAD/396w=")</f>
        <v>#REF!</v>
      </c>
      <c r="FR224" t="e">
        <f>AND(#REF!,"AAAAAD/3960=")</f>
        <v>#REF!</v>
      </c>
      <c r="FS224" t="e">
        <f>IF(#REF!,"AAAAAD/3964=",0)</f>
        <v>#REF!</v>
      </c>
      <c r="FT224" t="e">
        <f>AND(#REF!,"AAAAAD/3968=")</f>
        <v>#REF!</v>
      </c>
      <c r="FU224" t="e">
        <f>AND(#REF!,"AAAAAD/397A=")</f>
        <v>#REF!</v>
      </c>
      <c r="FV224" t="e">
        <f>AND(#REF!,"AAAAAD/397E=")</f>
        <v>#REF!</v>
      </c>
      <c r="FW224" t="e">
        <f>AND(#REF!,"AAAAAD/397I=")</f>
        <v>#REF!</v>
      </c>
      <c r="FX224" t="e">
        <f>AND(#REF!,"AAAAAD/397M=")</f>
        <v>#REF!</v>
      </c>
      <c r="FY224" t="e">
        <f>AND(#REF!,"AAAAAD/397Q=")</f>
        <v>#REF!</v>
      </c>
      <c r="FZ224" t="e">
        <f>AND(#REF!,"AAAAAD/397U=")</f>
        <v>#REF!</v>
      </c>
      <c r="GA224" t="e">
        <f>AND(#REF!,"AAAAAD/397Y=")</f>
        <v>#REF!</v>
      </c>
      <c r="GB224" t="e">
        <f>AND(#REF!,"AAAAAD/397c=")</f>
        <v>#REF!</v>
      </c>
      <c r="GC224" t="e">
        <f>AND(#REF!,"AAAAAD/397g=")</f>
        <v>#REF!</v>
      </c>
      <c r="GD224" t="e">
        <f>IF(#REF!,"AAAAAD/397k=",0)</f>
        <v>#REF!</v>
      </c>
      <c r="GE224" t="e">
        <f>AND(#REF!,"AAAAAD/397o=")</f>
        <v>#REF!</v>
      </c>
      <c r="GF224" t="e">
        <f>AND(#REF!,"AAAAAD/397s=")</f>
        <v>#REF!</v>
      </c>
      <c r="GG224" t="e">
        <f>AND(#REF!,"AAAAAD/397w=")</f>
        <v>#REF!</v>
      </c>
      <c r="GH224" t="e">
        <f>AND(#REF!,"AAAAAD/3970=")</f>
        <v>#REF!</v>
      </c>
      <c r="GI224" t="e">
        <f>AND(#REF!,"AAAAAD/3974=")</f>
        <v>#REF!</v>
      </c>
      <c r="GJ224" t="e">
        <f>AND(#REF!,"AAAAAD/3978=")</f>
        <v>#REF!</v>
      </c>
      <c r="GK224" t="e">
        <f>AND(#REF!,"AAAAAD/398A=")</f>
        <v>#REF!</v>
      </c>
      <c r="GL224" t="e">
        <f>AND(#REF!,"AAAAAD/398E=")</f>
        <v>#REF!</v>
      </c>
      <c r="GM224" t="e">
        <f>AND(#REF!,"AAAAAD/398I=")</f>
        <v>#REF!</v>
      </c>
      <c r="GN224" t="e">
        <f>AND(#REF!,"AAAAAD/398M=")</f>
        <v>#REF!</v>
      </c>
      <c r="GO224" t="e">
        <f>IF(#REF!,"AAAAAD/398Q=",0)</f>
        <v>#REF!</v>
      </c>
      <c r="GP224" t="e">
        <f>AND(#REF!,"AAAAAD/398U=")</f>
        <v>#REF!</v>
      </c>
      <c r="GQ224" t="e">
        <f>AND(#REF!,"AAAAAD/398Y=")</f>
        <v>#REF!</v>
      </c>
      <c r="GR224" t="e">
        <f>AND(#REF!,"AAAAAD/398c=")</f>
        <v>#REF!</v>
      </c>
      <c r="GS224" t="e">
        <f>AND(#REF!,"AAAAAD/398g=")</f>
        <v>#REF!</v>
      </c>
      <c r="GT224" t="e">
        <f>AND(#REF!,"AAAAAD/398k=")</f>
        <v>#REF!</v>
      </c>
      <c r="GU224" t="e">
        <f>AND(#REF!,"AAAAAD/398o=")</f>
        <v>#REF!</v>
      </c>
      <c r="GV224" t="e">
        <f>AND(#REF!,"AAAAAD/398s=")</f>
        <v>#REF!</v>
      </c>
      <c r="GW224" t="e">
        <f>AND(#REF!,"AAAAAD/398w=")</f>
        <v>#REF!</v>
      </c>
      <c r="GX224" t="e">
        <f>AND(#REF!,"AAAAAD/3980=")</f>
        <v>#REF!</v>
      </c>
      <c r="GY224" t="e">
        <f>AND(#REF!,"AAAAAD/3984=")</f>
        <v>#REF!</v>
      </c>
      <c r="GZ224" t="e">
        <f>IF(#REF!,"AAAAAD/3988=",0)</f>
        <v>#REF!</v>
      </c>
      <c r="HA224" t="e">
        <f>AND(#REF!,"AAAAAD/399A=")</f>
        <v>#REF!</v>
      </c>
      <c r="HB224" t="e">
        <f>AND(#REF!,"AAAAAD/399E=")</f>
        <v>#REF!</v>
      </c>
      <c r="HC224" t="e">
        <f>AND(#REF!,"AAAAAD/399I=")</f>
        <v>#REF!</v>
      </c>
      <c r="HD224" t="e">
        <f>AND(#REF!,"AAAAAD/399M=")</f>
        <v>#REF!</v>
      </c>
      <c r="HE224" t="e">
        <f>AND(#REF!,"AAAAAD/399Q=")</f>
        <v>#REF!</v>
      </c>
      <c r="HF224" t="e">
        <f>AND(#REF!,"AAAAAD/399U=")</f>
        <v>#REF!</v>
      </c>
      <c r="HG224" t="e">
        <f>AND(#REF!,"AAAAAD/399Y=")</f>
        <v>#REF!</v>
      </c>
      <c r="HH224" t="e">
        <f>AND(#REF!,"AAAAAD/399c=")</f>
        <v>#REF!</v>
      </c>
      <c r="HI224" t="e">
        <f>AND(#REF!,"AAAAAD/399g=")</f>
        <v>#REF!</v>
      </c>
      <c r="HJ224" t="e">
        <f>AND(#REF!,"AAAAAD/399k=")</f>
        <v>#REF!</v>
      </c>
      <c r="HK224" t="e">
        <f>IF(#REF!,"AAAAAD/399o=",0)</f>
        <v>#REF!</v>
      </c>
      <c r="HL224" t="e">
        <f>AND(#REF!,"AAAAAD/399s=")</f>
        <v>#REF!</v>
      </c>
      <c r="HM224" t="e">
        <f>AND(#REF!,"AAAAAD/399w=")</f>
        <v>#REF!</v>
      </c>
      <c r="HN224" t="e">
        <f>AND(#REF!,"AAAAAD/3990=")</f>
        <v>#REF!</v>
      </c>
      <c r="HO224" t="e">
        <f>AND(#REF!,"AAAAAD/3994=")</f>
        <v>#REF!</v>
      </c>
      <c r="HP224" t="e">
        <f>AND(#REF!,"AAAAAD/3998=")</f>
        <v>#REF!</v>
      </c>
      <c r="HQ224" t="e">
        <f>AND(#REF!,"AAAAAD/39+A=")</f>
        <v>#REF!</v>
      </c>
      <c r="HR224" t="e">
        <f>AND(#REF!,"AAAAAD/39+E=")</f>
        <v>#REF!</v>
      </c>
      <c r="HS224" t="e">
        <f>AND(#REF!,"AAAAAD/39+I=")</f>
        <v>#REF!</v>
      </c>
      <c r="HT224" t="e">
        <f>AND(#REF!,"AAAAAD/39+M=")</f>
        <v>#REF!</v>
      </c>
      <c r="HU224" t="e">
        <f>AND(#REF!,"AAAAAD/39+Q=")</f>
        <v>#REF!</v>
      </c>
      <c r="HV224" t="e">
        <f>IF(#REF!,"AAAAAD/39+U=",0)</f>
        <v>#REF!</v>
      </c>
      <c r="HW224" t="e">
        <f>AND(#REF!,"AAAAAD/39+Y=")</f>
        <v>#REF!</v>
      </c>
      <c r="HX224" t="e">
        <f>AND(#REF!,"AAAAAD/39+c=")</f>
        <v>#REF!</v>
      </c>
      <c r="HY224" t="e">
        <f>AND(#REF!,"AAAAAD/39+g=")</f>
        <v>#REF!</v>
      </c>
      <c r="HZ224" t="e">
        <f>AND(#REF!,"AAAAAD/39+k=")</f>
        <v>#REF!</v>
      </c>
      <c r="IA224" t="e">
        <f>AND(#REF!,"AAAAAD/39+o=")</f>
        <v>#REF!</v>
      </c>
      <c r="IB224" t="e">
        <f>AND(#REF!,"AAAAAD/39+s=")</f>
        <v>#REF!</v>
      </c>
      <c r="IC224" t="e">
        <f>AND(#REF!,"AAAAAD/39+w=")</f>
        <v>#REF!</v>
      </c>
      <c r="ID224" t="e">
        <f>AND(#REF!,"AAAAAD/39+0=")</f>
        <v>#REF!</v>
      </c>
      <c r="IE224" t="e">
        <f>AND(#REF!,"AAAAAD/39+4=")</f>
        <v>#REF!</v>
      </c>
      <c r="IF224" t="e">
        <f>AND(#REF!,"AAAAAD/39+8=")</f>
        <v>#REF!</v>
      </c>
      <c r="IG224" t="e">
        <f>IF(#REF!,"AAAAAD/39/A=",0)</f>
        <v>#REF!</v>
      </c>
      <c r="IH224" t="e">
        <f>AND(#REF!,"AAAAAD/39/E=")</f>
        <v>#REF!</v>
      </c>
      <c r="II224" t="e">
        <f>AND(#REF!,"AAAAAD/39/I=")</f>
        <v>#REF!</v>
      </c>
      <c r="IJ224" t="e">
        <f>AND(#REF!,"AAAAAD/39/M=")</f>
        <v>#REF!</v>
      </c>
      <c r="IK224" t="e">
        <f>AND(#REF!,"AAAAAD/39/Q=")</f>
        <v>#REF!</v>
      </c>
      <c r="IL224" t="e">
        <f>AND(#REF!,"AAAAAD/39/U=")</f>
        <v>#REF!</v>
      </c>
      <c r="IM224" t="e">
        <f>AND(#REF!,"AAAAAD/39/Y=")</f>
        <v>#REF!</v>
      </c>
      <c r="IN224" t="e">
        <f>AND(#REF!,"AAAAAD/39/c=")</f>
        <v>#REF!</v>
      </c>
      <c r="IO224" t="e">
        <f>AND(#REF!,"AAAAAD/39/g=")</f>
        <v>#REF!</v>
      </c>
      <c r="IP224" t="e">
        <f>AND(#REF!,"AAAAAD/39/k=")</f>
        <v>#REF!</v>
      </c>
      <c r="IQ224" t="e">
        <f>AND(#REF!,"AAAAAD/39/o=")</f>
        <v>#REF!</v>
      </c>
      <c r="IR224" t="e">
        <f>IF(#REF!,"AAAAAD/39/s=",0)</f>
        <v>#REF!</v>
      </c>
      <c r="IS224" t="e">
        <f>AND(#REF!,"AAAAAD/39/w=")</f>
        <v>#REF!</v>
      </c>
      <c r="IT224" t="e">
        <f>AND(#REF!,"AAAAAD/39/0=")</f>
        <v>#REF!</v>
      </c>
      <c r="IU224" t="e">
        <f>AND(#REF!,"AAAAAD/39/4=")</f>
        <v>#REF!</v>
      </c>
      <c r="IV224" t="e">
        <f>AND(#REF!,"AAAAAD/39/8=")</f>
        <v>#REF!</v>
      </c>
    </row>
    <row r="225" spans="1:256" x14ac:dyDescent="0.25">
      <c r="A225" t="e">
        <f>AND(#REF!,"AAAAAC3/+AA=")</f>
        <v>#REF!</v>
      </c>
      <c r="B225" t="e">
        <f>AND(#REF!,"AAAAAC3/+AE=")</f>
        <v>#REF!</v>
      </c>
      <c r="C225" t="e">
        <f>AND(#REF!,"AAAAAC3/+AI=")</f>
        <v>#REF!</v>
      </c>
      <c r="D225" t="e">
        <f>AND(#REF!,"AAAAAC3/+AM=")</f>
        <v>#REF!</v>
      </c>
      <c r="E225" t="e">
        <f>AND(#REF!,"AAAAAC3/+AQ=")</f>
        <v>#REF!</v>
      </c>
      <c r="F225" t="e">
        <f>AND(#REF!,"AAAAAC3/+AU=")</f>
        <v>#REF!</v>
      </c>
      <c r="G225" t="e">
        <f>IF(#REF!,"AAAAAC3/+AY=",0)</f>
        <v>#REF!</v>
      </c>
      <c r="H225" t="e">
        <f>AND(#REF!,"AAAAAC3/+Ac=")</f>
        <v>#REF!</v>
      </c>
      <c r="I225" t="e">
        <f>AND(#REF!,"AAAAAC3/+Ag=")</f>
        <v>#REF!</v>
      </c>
      <c r="J225" t="e">
        <f>AND(#REF!,"AAAAAC3/+Ak=")</f>
        <v>#REF!</v>
      </c>
      <c r="K225" t="e">
        <f>AND(#REF!,"AAAAAC3/+Ao=")</f>
        <v>#REF!</v>
      </c>
      <c r="L225" t="e">
        <f>AND(#REF!,"AAAAAC3/+As=")</f>
        <v>#REF!</v>
      </c>
      <c r="M225" t="e">
        <f>AND(#REF!,"AAAAAC3/+Aw=")</f>
        <v>#REF!</v>
      </c>
      <c r="N225" t="e">
        <f>AND(#REF!,"AAAAAC3/+A0=")</f>
        <v>#REF!</v>
      </c>
      <c r="O225" t="e">
        <f>AND(#REF!,"AAAAAC3/+A4=")</f>
        <v>#REF!</v>
      </c>
      <c r="P225" t="e">
        <f>AND(#REF!,"AAAAAC3/+A8=")</f>
        <v>#REF!</v>
      </c>
      <c r="Q225" t="e">
        <f>AND(#REF!,"AAAAAC3/+BA=")</f>
        <v>#REF!</v>
      </c>
      <c r="R225" t="e">
        <f>IF(#REF!,"AAAAAC3/+BE=",0)</f>
        <v>#REF!</v>
      </c>
      <c r="S225" t="e">
        <f>AND(#REF!,"AAAAAC3/+BI=")</f>
        <v>#REF!</v>
      </c>
      <c r="T225" t="e">
        <f>AND(#REF!,"AAAAAC3/+BM=")</f>
        <v>#REF!</v>
      </c>
      <c r="U225" t="e">
        <f>AND(#REF!,"AAAAAC3/+BQ=")</f>
        <v>#REF!</v>
      </c>
      <c r="V225" t="e">
        <f>AND(#REF!,"AAAAAC3/+BU=")</f>
        <v>#REF!</v>
      </c>
      <c r="W225" t="e">
        <f>AND(#REF!,"AAAAAC3/+BY=")</f>
        <v>#REF!</v>
      </c>
      <c r="X225" t="e">
        <f>AND(#REF!,"AAAAAC3/+Bc=")</f>
        <v>#REF!</v>
      </c>
      <c r="Y225" t="e">
        <f>AND(#REF!,"AAAAAC3/+Bg=")</f>
        <v>#REF!</v>
      </c>
      <c r="Z225" t="e">
        <f>AND(#REF!,"AAAAAC3/+Bk=")</f>
        <v>#REF!</v>
      </c>
      <c r="AA225" t="e">
        <f>AND(#REF!,"AAAAAC3/+Bo=")</f>
        <v>#REF!</v>
      </c>
      <c r="AB225" t="e">
        <f>AND(#REF!,"AAAAAC3/+Bs=")</f>
        <v>#REF!</v>
      </c>
      <c r="AC225" t="e">
        <f>IF(#REF!,"AAAAAC3/+Bw=",0)</f>
        <v>#REF!</v>
      </c>
      <c r="AD225" t="e">
        <f>AND(#REF!,"AAAAAC3/+B0=")</f>
        <v>#REF!</v>
      </c>
      <c r="AE225" t="e">
        <f>AND(#REF!,"AAAAAC3/+B4=")</f>
        <v>#REF!</v>
      </c>
      <c r="AF225" t="e">
        <f>AND(#REF!,"AAAAAC3/+B8=")</f>
        <v>#REF!</v>
      </c>
      <c r="AG225" t="e">
        <f>AND(#REF!,"AAAAAC3/+CA=")</f>
        <v>#REF!</v>
      </c>
      <c r="AH225" t="e">
        <f>AND(#REF!,"AAAAAC3/+CE=")</f>
        <v>#REF!</v>
      </c>
      <c r="AI225" t="e">
        <f>AND(#REF!,"AAAAAC3/+CI=")</f>
        <v>#REF!</v>
      </c>
      <c r="AJ225" t="e">
        <f>AND(#REF!,"AAAAAC3/+CM=")</f>
        <v>#REF!</v>
      </c>
      <c r="AK225" t="e">
        <f>AND(#REF!,"AAAAAC3/+CQ=")</f>
        <v>#REF!</v>
      </c>
      <c r="AL225" t="e">
        <f>AND(#REF!,"AAAAAC3/+CU=")</f>
        <v>#REF!</v>
      </c>
      <c r="AM225" t="e">
        <f>AND(#REF!,"AAAAAC3/+CY=")</f>
        <v>#REF!</v>
      </c>
      <c r="AN225" t="e">
        <f>IF(#REF!,"AAAAAC3/+Cc=",0)</f>
        <v>#REF!</v>
      </c>
      <c r="AO225" t="e">
        <f>AND(#REF!,"AAAAAC3/+Cg=")</f>
        <v>#REF!</v>
      </c>
      <c r="AP225" t="e">
        <f>AND(#REF!,"AAAAAC3/+Ck=")</f>
        <v>#REF!</v>
      </c>
      <c r="AQ225" t="e">
        <f>AND(#REF!,"AAAAAC3/+Co=")</f>
        <v>#REF!</v>
      </c>
      <c r="AR225" t="e">
        <f>AND(#REF!,"AAAAAC3/+Cs=")</f>
        <v>#REF!</v>
      </c>
      <c r="AS225" t="e">
        <f>AND(#REF!,"AAAAAC3/+Cw=")</f>
        <v>#REF!</v>
      </c>
      <c r="AT225" t="e">
        <f>AND(#REF!,"AAAAAC3/+C0=")</f>
        <v>#REF!</v>
      </c>
      <c r="AU225" t="e">
        <f>AND(#REF!,"AAAAAC3/+C4=")</f>
        <v>#REF!</v>
      </c>
      <c r="AV225" t="e">
        <f>AND(#REF!,"AAAAAC3/+C8=")</f>
        <v>#REF!</v>
      </c>
      <c r="AW225" t="e">
        <f>AND(#REF!,"AAAAAC3/+DA=")</f>
        <v>#REF!</v>
      </c>
      <c r="AX225" t="e">
        <f>AND(#REF!,"AAAAAC3/+DE=")</f>
        <v>#REF!</v>
      </c>
      <c r="AY225" t="e">
        <f>IF(#REF!,"AAAAAC3/+DI=",0)</f>
        <v>#REF!</v>
      </c>
      <c r="AZ225" t="e">
        <f>AND(#REF!,"AAAAAC3/+DM=")</f>
        <v>#REF!</v>
      </c>
      <c r="BA225" t="e">
        <f>AND(#REF!,"AAAAAC3/+DQ=")</f>
        <v>#REF!</v>
      </c>
      <c r="BB225" t="e">
        <f>AND(#REF!,"AAAAAC3/+DU=")</f>
        <v>#REF!</v>
      </c>
      <c r="BC225" t="e">
        <f>AND(#REF!,"AAAAAC3/+DY=")</f>
        <v>#REF!</v>
      </c>
      <c r="BD225" t="e">
        <f>AND(#REF!,"AAAAAC3/+Dc=")</f>
        <v>#REF!</v>
      </c>
      <c r="BE225" t="e">
        <f>AND(#REF!,"AAAAAC3/+Dg=")</f>
        <v>#REF!</v>
      </c>
      <c r="BF225" t="e">
        <f>AND(#REF!,"AAAAAC3/+Dk=")</f>
        <v>#REF!</v>
      </c>
      <c r="BG225" t="e">
        <f>AND(#REF!,"AAAAAC3/+Do=")</f>
        <v>#REF!</v>
      </c>
      <c r="BH225" t="e">
        <f>AND(#REF!,"AAAAAC3/+Ds=")</f>
        <v>#REF!</v>
      </c>
      <c r="BI225" t="e">
        <f>AND(#REF!,"AAAAAC3/+Dw=")</f>
        <v>#REF!</v>
      </c>
      <c r="BJ225" t="e">
        <f>IF(#REF!,"AAAAAC3/+D0=",0)</f>
        <v>#REF!</v>
      </c>
      <c r="BK225" t="e">
        <f>AND(#REF!,"AAAAAC3/+D4=")</f>
        <v>#REF!</v>
      </c>
      <c r="BL225" t="e">
        <f>AND(#REF!,"AAAAAC3/+D8=")</f>
        <v>#REF!</v>
      </c>
      <c r="BM225" t="e">
        <f>AND(#REF!,"AAAAAC3/+EA=")</f>
        <v>#REF!</v>
      </c>
      <c r="BN225" t="e">
        <f>AND(#REF!,"AAAAAC3/+EE=")</f>
        <v>#REF!</v>
      </c>
      <c r="BO225" t="e">
        <f>AND(#REF!,"AAAAAC3/+EI=")</f>
        <v>#REF!</v>
      </c>
      <c r="BP225" t="e">
        <f>AND(#REF!,"AAAAAC3/+EM=")</f>
        <v>#REF!</v>
      </c>
      <c r="BQ225" t="e">
        <f>AND(#REF!,"AAAAAC3/+EQ=")</f>
        <v>#REF!</v>
      </c>
      <c r="BR225" t="e">
        <f>AND(#REF!,"AAAAAC3/+EU=")</f>
        <v>#REF!</v>
      </c>
      <c r="BS225" t="e">
        <f>AND(#REF!,"AAAAAC3/+EY=")</f>
        <v>#REF!</v>
      </c>
      <c r="BT225" t="e">
        <f>AND(#REF!,"AAAAAC3/+Ec=")</f>
        <v>#REF!</v>
      </c>
      <c r="BU225" t="e">
        <f>IF(#REF!,"AAAAAC3/+Eg=",0)</f>
        <v>#REF!</v>
      </c>
      <c r="BV225" t="e">
        <f>AND(#REF!,"AAAAAC3/+Ek=")</f>
        <v>#REF!</v>
      </c>
      <c r="BW225" t="e">
        <f>AND(#REF!,"AAAAAC3/+Eo=")</f>
        <v>#REF!</v>
      </c>
      <c r="BX225" t="e">
        <f>AND(#REF!,"AAAAAC3/+Es=")</f>
        <v>#REF!</v>
      </c>
      <c r="BY225" t="e">
        <f>AND(#REF!,"AAAAAC3/+Ew=")</f>
        <v>#REF!</v>
      </c>
      <c r="BZ225" t="e">
        <f>AND(#REF!,"AAAAAC3/+E0=")</f>
        <v>#REF!</v>
      </c>
      <c r="CA225" t="e">
        <f>AND(#REF!,"AAAAAC3/+E4=")</f>
        <v>#REF!</v>
      </c>
      <c r="CB225" t="e">
        <f>AND(#REF!,"AAAAAC3/+E8=")</f>
        <v>#REF!</v>
      </c>
      <c r="CC225" t="e">
        <f>AND(#REF!,"AAAAAC3/+FA=")</f>
        <v>#REF!</v>
      </c>
      <c r="CD225" t="e">
        <f>AND(#REF!,"AAAAAC3/+FE=")</f>
        <v>#REF!</v>
      </c>
      <c r="CE225" t="e">
        <f>AND(#REF!,"AAAAAC3/+FI=")</f>
        <v>#REF!</v>
      </c>
      <c r="CF225" t="e">
        <f>IF(#REF!,"AAAAAC3/+FM=",0)</f>
        <v>#REF!</v>
      </c>
      <c r="CG225" t="e">
        <f>AND(#REF!,"AAAAAC3/+FQ=")</f>
        <v>#REF!</v>
      </c>
      <c r="CH225" t="e">
        <f>AND(#REF!,"AAAAAC3/+FU=")</f>
        <v>#REF!</v>
      </c>
      <c r="CI225" t="e">
        <f>AND(#REF!,"AAAAAC3/+FY=")</f>
        <v>#REF!</v>
      </c>
      <c r="CJ225" t="e">
        <f>AND(#REF!,"AAAAAC3/+Fc=")</f>
        <v>#REF!</v>
      </c>
      <c r="CK225" t="e">
        <f>AND(#REF!,"AAAAAC3/+Fg=")</f>
        <v>#REF!</v>
      </c>
      <c r="CL225" t="e">
        <f>AND(#REF!,"AAAAAC3/+Fk=")</f>
        <v>#REF!</v>
      </c>
      <c r="CM225" t="e">
        <f>AND(#REF!,"AAAAAC3/+Fo=")</f>
        <v>#REF!</v>
      </c>
      <c r="CN225" t="e">
        <f>AND(#REF!,"AAAAAC3/+Fs=")</f>
        <v>#REF!</v>
      </c>
      <c r="CO225" t="e">
        <f>AND(#REF!,"AAAAAC3/+Fw=")</f>
        <v>#REF!</v>
      </c>
      <c r="CP225" t="e">
        <f>AND(#REF!,"AAAAAC3/+F0=")</f>
        <v>#REF!</v>
      </c>
      <c r="CQ225" t="e">
        <f>IF(#REF!,"AAAAAC3/+F4=",0)</f>
        <v>#REF!</v>
      </c>
      <c r="CR225" t="e">
        <f>AND(#REF!,"AAAAAC3/+F8=")</f>
        <v>#REF!</v>
      </c>
      <c r="CS225" t="e">
        <f>AND(#REF!,"AAAAAC3/+GA=")</f>
        <v>#REF!</v>
      </c>
      <c r="CT225" t="e">
        <f>AND(#REF!,"AAAAAC3/+GE=")</f>
        <v>#REF!</v>
      </c>
      <c r="CU225" t="e">
        <f>AND(#REF!,"AAAAAC3/+GI=")</f>
        <v>#REF!</v>
      </c>
      <c r="CV225" t="e">
        <f>AND(#REF!,"AAAAAC3/+GM=")</f>
        <v>#REF!</v>
      </c>
      <c r="CW225" t="e">
        <f>AND(#REF!,"AAAAAC3/+GQ=")</f>
        <v>#REF!</v>
      </c>
      <c r="CX225" t="e">
        <f>AND(#REF!,"AAAAAC3/+GU=")</f>
        <v>#REF!</v>
      </c>
      <c r="CY225" t="e">
        <f>AND(#REF!,"AAAAAC3/+GY=")</f>
        <v>#REF!</v>
      </c>
      <c r="CZ225" t="e">
        <f>AND(#REF!,"AAAAAC3/+Gc=")</f>
        <v>#REF!</v>
      </c>
      <c r="DA225" t="e">
        <f>AND(#REF!,"AAAAAC3/+Gg=")</f>
        <v>#REF!</v>
      </c>
      <c r="DB225" t="e">
        <f>IF(#REF!,"AAAAAC3/+Gk=",0)</f>
        <v>#REF!</v>
      </c>
      <c r="DC225" t="e">
        <f>AND(#REF!,"AAAAAC3/+Go=")</f>
        <v>#REF!</v>
      </c>
      <c r="DD225" t="e">
        <f>AND(#REF!,"AAAAAC3/+Gs=")</f>
        <v>#REF!</v>
      </c>
      <c r="DE225" t="e">
        <f>AND(#REF!,"AAAAAC3/+Gw=")</f>
        <v>#REF!</v>
      </c>
      <c r="DF225" t="e">
        <f>AND(#REF!,"AAAAAC3/+G0=")</f>
        <v>#REF!</v>
      </c>
      <c r="DG225" t="e">
        <f>AND(#REF!,"AAAAAC3/+G4=")</f>
        <v>#REF!</v>
      </c>
      <c r="DH225" t="e">
        <f>AND(#REF!,"AAAAAC3/+G8=")</f>
        <v>#REF!</v>
      </c>
      <c r="DI225" t="e">
        <f>AND(#REF!,"AAAAAC3/+HA=")</f>
        <v>#REF!</v>
      </c>
      <c r="DJ225" t="e">
        <f>AND(#REF!,"AAAAAC3/+HE=")</f>
        <v>#REF!</v>
      </c>
      <c r="DK225" t="e">
        <f>AND(#REF!,"AAAAAC3/+HI=")</f>
        <v>#REF!</v>
      </c>
      <c r="DL225" t="e">
        <f>AND(#REF!,"AAAAAC3/+HM=")</f>
        <v>#REF!</v>
      </c>
      <c r="DM225" t="e">
        <f>IF(#REF!,"AAAAAC3/+HQ=",0)</f>
        <v>#REF!</v>
      </c>
      <c r="DN225" t="e">
        <f>AND(#REF!,"AAAAAC3/+HU=")</f>
        <v>#REF!</v>
      </c>
      <c r="DO225" t="e">
        <f>AND(#REF!,"AAAAAC3/+HY=")</f>
        <v>#REF!</v>
      </c>
      <c r="DP225" t="e">
        <f>AND(#REF!,"AAAAAC3/+Hc=")</f>
        <v>#REF!</v>
      </c>
      <c r="DQ225" t="e">
        <f>AND(#REF!,"AAAAAC3/+Hg=")</f>
        <v>#REF!</v>
      </c>
      <c r="DR225" t="e">
        <f>AND(#REF!,"AAAAAC3/+Hk=")</f>
        <v>#REF!</v>
      </c>
      <c r="DS225" t="e">
        <f>AND(#REF!,"AAAAAC3/+Ho=")</f>
        <v>#REF!</v>
      </c>
      <c r="DT225" t="e">
        <f>AND(#REF!,"AAAAAC3/+Hs=")</f>
        <v>#REF!</v>
      </c>
      <c r="DU225" t="e">
        <f>AND(#REF!,"AAAAAC3/+Hw=")</f>
        <v>#REF!</v>
      </c>
      <c r="DV225" t="e">
        <f>AND(#REF!,"AAAAAC3/+H0=")</f>
        <v>#REF!</v>
      </c>
      <c r="DW225" t="e">
        <f>AND(#REF!,"AAAAAC3/+H4=")</f>
        <v>#REF!</v>
      </c>
      <c r="DX225" t="e">
        <f>IF(#REF!,"AAAAAC3/+H8=",0)</f>
        <v>#REF!</v>
      </c>
      <c r="DY225" t="e">
        <f>AND(#REF!,"AAAAAC3/+IA=")</f>
        <v>#REF!</v>
      </c>
      <c r="DZ225" t="e">
        <f>AND(#REF!,"AAAAAC3/+IE=")</f>
        <v>#REF!</v>
      </c>
      <c r="EA225" t="e">
        <f>AND(#REF!,"AAAAAC3/+II=")</f>
        <v>#REF!</v>
      </c>
      <c r="EB225" t="e">
        <f>AND(#REF!,"AAAAAC3/+IM=")</f>
        <v>#REF!</v>
      </c>
      <c r="EC225" t="e">
        <f>AND(#REF!,"AAAAAC3/+IQ=")</f>
        <v>#REF!</v>
      </c>
      <c r="ED225" t="e">
        <f>AND(#REF!,"AAAAAC3/+IU=")</f>
        <v>#REF!</v>
      </c>
      <c r="EE225" t="e">
        <f>AND(#REF!,"AAAAAC3/+IY=")</f>
        <v>#REF!</v>
      </c>
      <c r="EF225" t="e">
        <f>AND(#REF!,"AAAAAC3/+Ic=")</f>
        <v>#REF!</v>
      </c>
      <c r="EG225" t="e">
        <f>AND(#REF!,"AAAAAC3/+Ig=")</f>
        <v>#REF!</v>
      </c>
      <c r="EH225" t="e">
        <f>AND(#REF!,"AAAAAC3/+Ik=")</f>
        <v>#REF!</v>
      </c>
      <c r="EI225" t="e">
        <f>IF(#REF!,"AAAAAC3/+Io=",0)</f>
        <v>#REF!</v>
      </c>
      <c r="EJ225" t="e">
        <f>AND(#REF!,"AAAAAC3/+Is=")</f>
        <v>#REF!</v>
      </c>
      <c r="EK225" t="e">
        <f>AND(#REF!,"AAAAAC3/+Iw=")</f>
        <v>#REF!</v>
      </c>
      <c r="EL225" t="e">
        <f>AND(#REF!,"AAAAAC3/+I0=")</f>
        <v>#REF!</v>
      </c>
      <c r="EM225" t="e">
        <f>AND(#REF!,"AAAAAC3/+I4=")</f>
        <v>#REF!</v>
      </c>
      <c r="EN225" t="e">
        <f>AND(#REF!,"AAAAAC3/+I8=")</f>
        <v>#REF!</v>
      </c>
      <c r="EO225" t="e">
        <f>AND(#REF!,"AAAAAC3/+JA=")</f>
        <v>#REF!</v>
      </c>
      <c r="EP225" t="e">
        <f>AND(#REF!,"AAAAAC3/+JE=")</f>
        <v>#REF!</v>
      </c>
      <c r="EQ225" t="e">
        <f>AND(#REF!,"AAAAAC3/+JI=")</f>
        <v>#REF!</v>
      </c>
      <c r="ER225" t="e">
        <f>AND(#REF!,"AAAAAC3/+JM=")</f>
        <v>#REF!</v>
      </c>
      <c r="ES225" t="e">
        <f>AND(#REF!,"AAAAAC3/+JQ=")</f>
        <v>#REF!</v>
      </c>
      <c r="ET225" t="e">
        <f>IF(#REF!,"AAAAAC3/+JU=",0)</f>
        <v>#REF!</v>
      </c>
      <c r="EU225" t="e">
        <f>AND(#REF!,"AAAAAC3/+JY=")</f>
        <v>#REF!</v>
      </c>
      <c r="EV225" t="e">
        <f>AND(#REF!,"AAAAAC3/+Jc=")</f>
        <v>#REF!</v>
      </c>
      <c r="EW225" t="e">
        <f>AND(#REF!,"AAAAAC3/+Jg=")</f>
        <v>#REF!</v>
      </c>
      <c r="EX225" t="e">
        <f>AND(#REF!,"AAAAAC3/+Jk=")</f>
        <v>#REF!</v>
      </c>
      <c r="EY225" t="e">
        <f>AND(#REF!,"AAAAAC3/+Jo=")</f>
        <v>#REF!</v>
      </c>
      <c r="EZ225" t="e">
        <f>AND(#REF!,"AAAAAC3/+Js=")</f>
        <v>#REF!</v>
      </c>
      <c r="FA225" t="e">
        <f>AND(#REF!,"AAAAAC3/+Jw=")</f>
        <v>#REF!</v>
      </c>
      <c r="FB225" t="e">
        <f>AND(#REF!,"AAAAAC3/+J0=")</f>
        <v>#REF!</v>
      </c>
      <c r="FC225" t="e">
        <f>AND(#REF!,"AAAAAC3/+J4=")</f>
        <v>#REF!</v>
      </c>
      <c r="FD225" t="e">
        <f>AND(#REF!,"AAAAAC3/+J8=")</f>
        <v>#REF!</v>
      </c>
      <c r="FE225" t="e">
        <f>IF(#REF!,"AAAAAC3/+KA=",0)</f>
        <v>#REF!</v>
      </c>
      <c r="FF225" t="e">
        <f>AND(#REF!,"AAAAAC3/+KE=")</f>
        <v>#REF!</v>
      </c>
      <c r="FG225" t="e">
        <f>AND(#REF!,"AAAAAC3/+KI=")</f>
        <v>#REF!</v>
      </c>
      <c r="FH225" t="e">
        <f>AND(#REF!,"AAAAAC3/+KM=")</f>
        <v>#REF!</v>
      </c>
      <c r="FI225" t="e">
        <f>AND(#REF!,"AAAAAC3/+KQ=")</f>
        <v>#REF!</v>
      </c>
      <c r="FJ225" t="e">
        <f>AND(#REF!,"AAAAAC3/+KU=")</f>
        <v>#REF!</v>
      </c>
      <c r="FK225" t="e">
        <f>AND(#REF!,"AAAAAC3/+KY=")</f>
        <v>#REF!</v>
      </c>
      <c r="FL225" t="e">
        <f>AND(#REF!,"AAAAAC3/+Kc=")</f>
        <v>#REF!</v>
      </c>
      <c r="FM225" t="e">
        <f>AND(#REF!,"AAAAAC3/+Kg=")</f>
        <v>#REF!</v>
      </c>
      <c r="FN225" t="e">
        <f>AND(#REF!,"AAAAAC3/+Kk=")</f>
        <v>#REF!</v>
      </c>
      <c r="FO225" t="e">
        <f>AND(#REF!,"AAAAAC3/+Ko=")</f>
        <v>#REF!</v>
      </c>
      <c r="FP225" t="e">
        <f>IF(#REF!,"AAAAAC3/+Ks=",0)</f>
        <v>#REF!</v>
      </c>
      <c r="FQ225" t="e">
        <f>AND(#REF!,"AAAAAC3/+Kw=")</f>
        <v>#REF!</v>
      </c>
      <c r="FR225" t="e">
        <f>AND(#REF!,"AAAAAC3/+K0=")</f>
        <v>#REF!</v>
      </c>
      <c r="FS225" t="e">
        <f>AND(#REF!,"AAAAAC3/+K4=")</f>
        <v>#REF!</v>
      </c>
      <c r="FT225" t="e">
        <f>AND(#REF!,"AAAAAC3/+K8=")</f>
        <v>#REF!</v>
      </c>
      <c r="FU225" t="e">
        <f>AND(#REF!,"AAAAAC3/+LA=")</f>
        <v>#REF!</v>
      </c>
      <c r="FV225" t="e">
        <f>AND(#REF!,"AAAAAC3/+LE=")</f>
        <v>#REF!</v>
      </c>
      <c r="FW225" t="e">
        <f>AND(#REF!,"AAAAAC3/+LI=")</f>
        <v>#REF!</v>
      </c>
      <c r="FX225" t="e">
        <f>AND(#REF!,"AAAAAC3/+LM=")</f>
        <v>#REF!</v>
      </c>
      <c r="FY225" t="e">
        <f>AND(#REF!,"AAAAAC3/+LQ=")</f>
        <v>#REF!</v>
      </c>
      <c r="FZ225" t="e">
        <f>AND(#REF!,"AAAAAC3/+LU=")</f>
        <v>#REF!</v>
      </c>
      <c r="GA225" t="e">
        <f>IF(#REF!,"AAAAAC3/+LY=",0)</f>
        <v>#REF!</v>
      </c>
      <c r="GB225" t="e">
        <f>AND(#REF!,"AAAAAC3/+Lc=")</f>
        <v>#REF!</v>
      </c>
      <c r="GC225" t="e">
        <f>AND(#REF!,"AAAAAC3/+Lg=")</f>
        <v>#REF!</v>
      </c>
      <c r="GD225" t="e">
        <f>AND(#REF!,"AAAAAC3/+Lk=")</f>
        <v>#REF!</v>
      </c>
      <c r="GE225" t="e">
        <f>AND(#REF!,"AAAAAC3/+Lo=")</f>
        <v>#REF!</v>
      </c>
      <c r="GF225" t="e">
        <f>AND(#REF!,"AAAAAC3/+Ls=")</f>
        <v>#REF!</v>
      </c>
      <c r="GG225" t="e">
        <f>AND(#REF!,"AAAAAC3/+Lw=")</f>
        <v>#REF!</v>
      </c>
      <c r="GH225" t="e">
        <f>AND(#REF!,"AAAAAC3/+L0=")</f>
        <v>#REF!</v>
      </c>
      <c r="GI225" t="e">
        <f>AND(#REF!,"AAAAAC3/+L4=")</f>
        <v>#REF!</v>
      </c>
      <c r="GJ225" t="e">
        <f>AND(#REF!,"AAAAAC3/+L8=")</f>
        <v>#REF!</v>
      </c>
      <c r="GK225" t="e">
        <f>AND(#REF!,"AAAAAC3/+MA=")</f>
        <v>#REF!</v>
      </c>
      <c r="GL225" t="e">
        <f>IF(#REF!,"AAAAAC3/+ME=",0)</f>
        <v>#REF!</v>
      </c>
      <c r="GM225" t="e">
        <f>AND(#REF!,"AAAAAC3/+MI=")</f>
        <v>#REF!</v>
      </c>
      <c r="GN225" t="e">
        <f>AND(#REF!,"AAAAAC3/+MM=")</f>
        <v>#REF!</v>
      </c>
      <c r="GO225" t="e">
        <f>AND(#REF!,"AAAAAC3/+MQ=")</f>
        <v>#REF!</v>
      </c>
      <c r="GP225" t="e">
        <f>AND(#REF!,"AAAAAC3/+MU=")</f>
        <v>#REF!</v>
      </c>
      <c r="GQ225" t="e">
        <f>AND(#REF!,"AAAAAC3/+MY=")</f>
        <v>#REF!</v>
      </c>
      <c r="GR225" t="e">
        <f>AND(#REF!,"AAAAAC3/+Mc=")</f>
        <v>#REF!</v>
      </c>
      <c r="GS225" t="e">
        <f>AND(#REF!,"AAAAAC3/+Mg=")</f>
        <v>#REF!</v>
      </c>
      <c r="GT225" t="e">
        <f>AND(#REF!,"AAAAAC3/+Mk=")</f>
        <v>#REF!</v>
      </c>
      <c r="GU225" t="e">
        <f>AND(#REF!,"AAAAAC3/+Mo=")</f>
        <v>#REF!</v>
      </c>
      <c r="GV225" t="e">
        <f>AND(#REF!,"AAAAAC3/+Ms=")</f>
        <v>#REF!</v>
      </c>
      <c r="GW225" t="e">
        <f>IF(#REF!,"AAAAAC3/+Mw=",0)</f>
        <v>#REF!</v>
      </c>
      <c r="GX225" t="e">
        <f>AND(#REF!,"AAAAAC3/+M0=")</f>
        <v>#REF!</v>
      </c>
      <c r="GY225" t="e">
        <f>AND(#REF!,"AAAAAC3/+M4=")</f>
        <v>#REF!</v>
      </c>
      <c r="GZ225" t="e">
        <f>AND(#REF!,"AAAAAC3/+M8=")</f>
        <v>#REF!</v>
      </c>
      <c r="HA225" t="e">
        <f>AND(#REF!,"AAAAAC3/+NA=")</f>
        <v>#REF!</v>
      </c>
      <c r="HB225" t="e">
        <f>AND(#REF!,"AAAAAC3/+NE=")</f>
        <v>#REF!</v>
      </c>
      <c r="HC225" t="e">
        <f>AND(#REF!,"AAAAAC3/+NI=")</f>
        <v>#REF!</v>
      </c>
      <c r="HD225" t="e">
        <f>AND(#REF!,"AAAAAC3/+NM=")</f>
        <v>#REF!</v>
      </c>
      <c r="HE225" t="e">
        <f>AND(#REF!,"AAAAAC3/+NQ=")</f>
        <v>#REF!</v>
      </c>
      <c r="HF225" t="e">
        <f>AND(#REF!,"AAAAAC3/+NU=")</f>
        <v>#REF!</v>
      </c>
      <c r="HG225" t="e">
        <f>AND(#REF!,"AAAAAC3/+NY=")</f>
        <v>#REF!</v>
      </c>
      <c r="HH225" t="e">
        <f>IF(#REF!,"AAAAAC3/+Nc=",0)</f>
        <v>#REF!</v>
      </c>
      <c r="HI225" t="e">
        <f>AND(#REF!,"AAAAAC3/+Ng=")</f>
        <v>#REF!</v>
      </c>
      <c r="HJ225" t="e">
        <f>AND(#REF!,"AAAAAC3/+Nk=")</f>
        <v>#REF!</v>
      </c>
      <c r="HK225" t="e">
        <f>AND(#REF!,"AAAAAC3/+No=")</f>
        <v>#REF!</v>
      </c>
      <c r="HL225" t="e">
        <f>AND(#REF!,"AAAAAC3/+Ns=")</f>
        <v>#REF!</v>
      </c>
      <c r="HM225" t="e">
        <f>AND(#REF!,"AAAAAC3/+Nw=")</f>
        <v>#REF!</v>
      </c>
      <c r="HN225" t="e">
        <f>AND(#REF!,"AAAAAC3/+N0=")</f>
        <v>#REF!</v>
      </c>
      <c r="HO225" t="e">
        <f>AND(#REF!,"AAAAAC3/+N4=")</f>
        <v>#REF!</v>
      </c>
      <c r="HP225" t="e">
        <f>AND(#REF!,"AAAAAC3/+N8=")</f>
        <v>#REF!</v>
      </c>
      <c r="HQ225" t="e">
        <f>AND(#REF!,"AAAAAC3/+OA=")</f>
        <v>#REF!</v>
      </c>
      <c r="HR225" t="e">
        <f>AND(#REF!,"AAAAAC3/+OE=")</f>
        <v>#REF!</v>
      </c>
      <c r="HS225" t="e">
        <f>IF(#REF!,"AAAAAC3/+OI=",0)</f>
        <v>#REF!</v>
      </c>
      <c r="HT225" t="e">
        <f>AND(#REF!,"AAAAAC3/+OM=")</f>
        <v>#REF!</v>
      </c>
      <c r="HU225" t="e">
        <f>AND(#REF!,"AAAAAC3/+OQ=")</f>
        <v>#REF!</v>
      </c>
      <c r="HV225" t="e">
        <f>AND(#REF!,"AAAAAC3/+OU=")</f>
        <v>#REF!</v>
      </c>
      <c r="HW225" t="e">
        <f>AND(#REF!,"AAAAAC3/+OY=")</f>
        <v>#REF!</v>
      </c>
      <c r="HX225" t="e">
        <f>AND(#REF!,"AAAAAC3/+Oc=")</f>
        <v>#REF!</v>
      </c>
      <c r="HY225" t="e">
        <f>AND(#REF!,"AAAAAC3/+Og=")</f>
        <v>#REF!</v>
      </c>
      <c r="HZ225" t="e">
        <f>AND(#REF!,"AAAAAC3/+Ok=")</f>
        <v>#REF!</v>
      </c>
      <c r="IA225" t="e">
        <f>AND(#REF!,"AAAAAC3/+Oo=")</f>
        <v>#REF!</v>
      </c>
      <c r="IB225" t="e">
        <f>AND(#REF!,"AAAAAC3/+Os=")</f>
        <v>#REF!</v>
      </c>
      <c r="IC225" t="e">
        <f>AND(#REF!,"AAAAAC3/+Ow=")</f>
        <v>#REF!</v>
      </c>
      <c r="ID225" t="e">
        <f>IF(#REF!,"AAAAAC3/+O0=",0)</f>
        <v>#REF!</v>
      </c>
      <c r="IE225" t="e">
        <f>AND(#REF!,"AAAAAC3/+O4=")</f>
        <v>#REF!</v>
      </c>
      <c r="IF225" t="e">
        <f>AND(#REF!,"AAAAAC3/+O8=")</f>
        <v>#REF!</v>
      </c>
      <c r="IG225" t="e">
        <f>AND(#REF!,"AAAAAC3/+PA=")</f>
        <v>#REF!</v>
      </c>
      <c r="IH225" t="e">
        <f>AND(#REF!,"AAAAAC3/+PE=")</f>
        <v>#REF!</v>
      </c>
      <c r="II225" t="e">
        <f>AND(#REF!,"AAAAAC3/+PI=")</f>
        <v>#REF!</v>
      </c>
      <c r="IJ225" t="e">
        <f>AND(#REF!,"AAAAAC3/+PM=")</f>
        <v>#REF!</v>
      </c>
      <c r="IK225" t="e">
        <f>AND(#REF!,"AAAAAC3/+PQ=")</f>
        <v>#REF!</v>
      </c>
      <c r="IL225" t="e">
        <f>AND(#REF!,"AAAAAC3/+PU=")</f>
        <v>#REF!</v>
      </c>
      <c r="IM225" t="e">
        <f>AND(#REF!,"AAAAAC3/+PY=")</f>
        <v>#REF!</v>
      </c>
      <c r="IN225" t="e">
        <f>AND(#REF!,"AAAAAC3/+Pc=")</f>
        <v>#REF!</v>
      </c>
      <c r="IO225" t="e">
        <f>IF(#REF!,"AAAAAC3/+Pg=",0)</f>
        <v>#REF!</v>
      </c>
      <c r="IP225" t="e">
        <f>AND(#REF!,"AAAAAC3/+Pk=")</f>
        <v>#REF!</v>
      </c>
      <c r="IQ225" t="e">
        <f>AND(#REF!,"AAAAAC3/+Po=")</f>
        <v>#REF!</v>
      </c>
      <c r="IR225" t="e">
        <f>AND(#REF!,"AAAAAC3/+Ps=")</f>
        <v>#REF!</v>
      </c>
      <c r="IS225" t="e">
        <f>AND(#REF!,"AAAAAC3/+Pw=")</f>
        <v>#REF!</v>
      </c>
      <c r="IT225" t="e">
        <f>AND(#REF!,"AAAAAC3/+P0=")</f>
        <v>#REF!</v>
      </c>
      <c r="IU225" t="e">
        <f>AND(#REF!,"AAAAAC3/+P4=")</f>
        <v>#REF!</v>
      </c>
      <c r="IV225" t="e">
        <f>AND(#REF!,"AAAAAC3/+P8=")</f>
        <v>#REF!</v>
      </c>
    </row>
    <row r="226" spans="1:256" x14ac:dyDescent="0.25">
      <c r="A226" t="e">
        <f>AND(#REF!,"AAAAAGtzXwA=")</f>
        <v>#REF!</v>
      </c>
      <c r="B226" t="e">
        <f>AND(#REF!,"AAAAAGtzXwE=")</f>
        <v>#REF!</v>
      </c>
      <c r="C226" t="e">
        <f>AND(#REF!,"AAAAAGtzXwI=")</f>
        <v>#REF!</v>
      </c>
      <c r="D226" t="e">
        <f>IF(#REF!,"AAAAAGtzXwM=",0)</f>
        <v>#REF!</v>
      </c>
      <c r="E226" t="e">
        <f>AND(#REF!,"AAAAAGtzXwQ=")</f>
        <v>#REF!</v>
      </c>
      <c r="F226" t="e">
        <f>AND(#REF!,"AAAAAGtzXwU=")</f>
        <v>#REF!</v>
      </c>
      <c r="G226" t="e">
        <f>AND(#REF!,"AAAAAGtzXwY=")</f>
        <v>#REF!</v>
      </c>
      <c r="H226" t="e">
        <f>AND(#REF!,"AAAAAGtzXwc=")</f>
        <v>#REF!</v>
      </c>
      <c r="I226" t="e">
        <f>AND(#REF!,"AAAAAGtzXwg=")</f>
        <v>#REF!</v>
      </c>
      <c r="J226" t="e">
        <f>AND(#REF!,"AAAAAGtzXwk=")</f>
        <v>#REF!</v>
      </c>
      <c r="K226" t="e">
        <f>AND(#REF!,"AAAAAGtzXwo=")</f>
        <v>#REF!</v>
      </c>
      <c r="L226" t="e">
        <f>AND(#REF!,"AAAAAGtzXws=")</f>
        <v>#REF!</v>
      </c>
      <c r="M226" t="e">
        <f>AND(#REF!,"AAAAAGtzXww=")</f>
        <v>#REF!</v>
      </c>
      <c r="N226" t="e">
        <f>AND(#REF!,"AAAAAGtzXw0=")</f>
        <v>#REF!</v>
      </c>
      <c r="O226" t="e">
        <f>IF(#REF!,"AAAAAGtzXw4=",0)</f>
        <v>#REF!</v>
      </c>
      <c r="P226" t="e">
        <f>AND(#REF!,"AAAAAGtzXw8=")</f>
        <v>#REF!</v>
      </c>
      <c r="Q226" t="e">
        <f>AND(#REF!,"AAAAAGtzXxA=")</f>
        <v>#REF!</v>
      </c>
      <c r="R226" t="e">
        <f>AND(#REF!,"AAAAAGtzXxE=")</f>
        <v>#REF!</v>
      </c>
      <c r="S226" t="e">
        <f>AND(#REF!,"AAAAAGtzXxI=")</f>
        <v>#REF!</v>
      </c>
      <c r="T226" t="e">
        <f>AND(#REF!,"AAAAAGtzXxM=")</f>
        <v>#REF!</v>
      </c>
      <c r="U226" t="e">
        <f>AND(#REF!,"AAAAAGtzXxQ=")</f>
        <v>#REF!</v>
      </c>
      <c r="V226" t="e">
        <f>AND(#REF!,"AAAAAGtzXxU=")</f>
        <v>#REF!</v>
      </c>
      <c r="W226" t="e">
        <f>AND(#REF!,"AAAAAGtzXxY=")</f>
        <v>#REF!</v>
      </c>
      <c r="X226" t="e">
        <f>AND(#REF!,"AAAAAGtzXxc=")</f>
        <v>#REF!</v>
      </c>
      <c r="Y226" t="e">
        <f>AND(#REF!,"AAAAAGtzXxg=")</f>
        <v>#REF!</v>
      </c>
      <c r="Z226" t="e">
        <f>IF(#REF!,"AAAAAGtzXxk=",0)</f>
        <v>#REF!</v>
      </c>
      <c r="AA226" t="e">
        <f>AND(#REF!,"AAAAAGtzXxo=")</f>
        <v>#REF!</v>
      </c>
      <c r="AB226" t="e">
        <f>AND(#REF!,"AAAAAGtzXxs=")</f>
        <v>#REF!</v>
      </c>
      <c r="AC226" t="e">
        <f>AND(#REF!,"AAAAAGtzXxw=")</f>
        <v>#REF!</v>
      </c>
      <c r="AD226" t="e">
        <f>AND(#REF!,"AAAAAGtzXx0=")</f>
        <v>#REF!</v>
      </c>
      <c r="AE226" t="e">
        <f>AND(#REF!,"AAAAAGtzXx4=")</f>
        <v>#REF!</v>
      </c>
      <c r="AF226" t="e">
        <f>AND(#REF!,"AAAAAGtzXx8=")</f>
        <v>#REF!</v>
      </c>
      <c r="AG226" t="e">
        <f>AND(#REF!,"AAAAAGtzXyA=")</f>
        <v>#REF!</v>
      </c>
      <c r="AH226" t="e">
        <f>AND(#REF!,"AAAAAGtzXyE=")</f>
        <v>#REF!</v>
      </c>
      <c r="AI226" t="e">
        <f>AND(#REF!,"AAAAAGtzXyI=")</f>
        <v>#REF!</v>
      </c>
      <c r="AJ226" t="e">
        <f>AND(#REF!,"AAAAAGtzXyM=")</f>
        <v>#REF!</v>
      </c>
      <c r="AK226" t="e">
        <f>IF(#REF!,"AAAAAGtzXyQ=",0)</f>
        <v>#REF!</v>
      </c>
      <c r="AL226" t="e">
        <f>AND(#REF!,"AAAAAGtzXyU=")</f>
        <v>#REF!</v>
      </c>
      <c r="AM226" t="e">
        <f>AND(#REF!,"AAAAAGtzXyY=")</f>
        <v>#REF!</v>
      </c>
      <c r="AN226" t="e">
        <f>AND(#REF!,"AAAAAGtzXyc=")</f>
        <v>#REF!</v>
      </c>
      <c r="AO226" t="e">
        <f>AND(#REF!,"AAAAAGtzXyg=")</f>
        <v>#REF!</v>
      </c>
      <c r="AP226" t="e">
        <f>AND(#REF!,"AAAAAGtzXyk=")</f>
        <v>#REF!</v>
      </c>
      <c r="AQ226" t="e">
        <f>AND(#REF!,"AAAAAGtzXyo=")</f>
        <v>#REF!</v>
      </c>
      <c r="AR226" t="e">
        <f>AND(#REF!,"AAAAAGtzXys=")</f>
        <v>#REF!</v>
      </c>
      <c r="AS226" t="e">
        <f>AND(#REF!,"AAAAAGtzXyw=")</f>
        <v>#REF!</v>
      </c>
      <c r="AT226" t="e">
        <f>AND(#REF!,"AAAAAGtzXy0=")</f>
        <v>#REF!</v>
      </c>
      <c r="AU226" t="e">
        <f>AND(#REF!,"AAAAAGtzXy4=")</f>
        <v>#REF!</v>
      </c>
      <c r="AV226" t="e">
        <f>IF(#REF!,"AAAAAGtzXy8=",0)</f>
        <v>#REF!</v>
      </c>
      <c r="AW226" t="e">
        <f>AND(#REF!,"AAAAAGtzXzA=")</f>
        <v>#REF!</v>
      </c>
      <c r="AX226" t="e">
        <f>AND(#REF!,"AAAAAGtzXzE=")</f>
        <v>#REF!</v>
      </c>
      <c r="AY226" t="e">
        <f>AND(#REF!,"AAAAAGtzXzI=")</f>
        <v>#REF!</v>
      </c>
      <c r="AZ226" t="e">
        <f>AND(#REF!,"AAAAAGtzXzM=")</f>
        <v>#REF!</v>
      </c>
      <c r="BA226" t="e">
        <f>AND(#REF!,"AAAAAGtzXzQ=")</f>
        <v>#REF!</v>
      </c>
      <c r="BB226" t="e">
        <f>AND(#REF!,"AAAAAGtzXzU=")</f>
        <v>#REF!</v>
      </c>
      <c r="BC226" t="e">
        <f>AND(#REF!,"AAAAAGtzXzY=")</f>
        <v>#REF!</v>
      </c>
      <c r="BD226" t="e">
        <f>AND(#REF!,"AAAAAGtzXzc=")</f>
        <v>#REF!</v>
      </c>
      <c r="BE226" t="e">
        <f>AND(#REF!,"AAAAAGtzXzg=")</f>
        <v>#REF!</v>
      </c>
      <c r="BF226" t="e">
        <f>AND(#REF!,"AAAAAGtzXzk=")</f>
        <v>#REF!</v>
      </c>
      <c r="BG226" t="e">
        <f>IF(#REF!,"AAAAAGtzXzo=",0)</f>
        <v>#REF!</v>
      </c>
      <c r="BH226" t="e">
        <f>AND(#REF!,"AAAAAGtzXzs=")</f>
        <v>#REF!</v>
      </c>
      <c r="BI226" t="e">
        <f>AND(#REF!,"AAAAAGtzXzw=")</f>
        <v>#REF!</v>
      </c>
      <c r="BJ226" t="e">
        <f>AND(#REF!,"AAAAAGtzXz0=")</f>
        <v>#REF!</v>
      </c>
      <c r="BK226" t="e">
        <f>AND(#REF!,"AAAAAGtzXz4=")</f>
        <v>#REF!</v>
      </c>
      <c r="BL226" t="e">
        <f>AND(#REF!,"AAAAAGtzXz8=")</f>
        <v>#REF!</v>
      </c>
      <c r="BM226" t="e">
        <f>AND(#REF!,"AAAAAGtzX0A=")</f>
        <v>#REF!</v>
      </c>
      <c r="BN226" t="e">
        <f>AND(#REF!,"AAAAAGtzX0E=")</f>
        <v>#REF!</v>
      </c>
      <c r="BO226" t="e">
        <f>AND(#REF!,"AAAAAGtzX0I=")</f>
        <v>#REF!</v>
      </c>
      <c r="BP226" t="e">
        <f>AND(#REF!,"AAAAAGtzX0M=")</f>
        <v>#REF!</v>
      </c>
      <c r="BQ226" t="e">
        <f>AND(#REF!,"AAAAAGtzX0Q=")</f>
        <v>#REF!</v>
      </c>
      <c r="BR226" t="e">
        <f>IF(#REF!,"AAAAAGtzX0U=",0)</f>
        <v>#REF!</v>
      </c>
      <c r="BS226" t="e">
        <f>AND(#REF!,"AAAAAGtzX0Y=")</f>
        <v>#REF!</v>
      </c>
      <c r="BT226" t="e">
        <f>AND(#REF!,"AAAAAGtzX0c=")</f>
        <v>#REF!</v>
      </c>
      <c r="BU226" t="e">
        <f>AND(#REF!,"AAAAAGtzX0g=")</f>
        <v>#REF!</v>
      </c>
      <c r="BV226" t="e">
        <f>AND(#REF!,"AAAAAGtzX0k=")</f>
        <v>#REF!</v>
      </c>
      <c r="BW226" t="e">
        <f>AND(#REF!,"AAAAAGtzX0o=")</f>
        <v>#REF!</v>
      </c>
      <c r="BX226" t="e">
        <f>AND(#REF!,"AAAAAGtzX0s=")</f>
        <v>#REF!</v>
      </c>
      <c r="BY226" t="e">
        <f>AND(#REF!,"AAAAAGtzX0w=")</f>
        <v>#REF!</v>
      </c>
      <c r="BZ226" t="e">
        <f>AND(#REF!,"AAAAAGtzX00=")</f>
        <v>#REF!</v>
      </c>
      <c r="CA226" t="e">
        <f>AND(#REF!,"AAAAAGtzX04=")</f>
        <v>#REF!</v>
      </c>
      <c r="CB226" t="e">
        <f>AND(#REF!,"AAAAAGtzX08=")</f>
        <v>#REF!</v>
      </c>
      <c r="CC226" t="e">
        <f>IF(#REF!,"AAAAAGtzX1A=",0)</f>
        <v>#REF!</v>
      </c>
      <c r="CD226" t="e">
        <f>AND(#REF!,"AAAAAGtzX1E=")</f>
        <v>#REF!</v>
      </c>
      <c r="CE226" t="e">
        <f>AND(#REF!,"AAAAAGtzX1I=")</f>
        <v>#REF!</v>
      </c>
      <c r="CF226" t="e">
        <f>AND(#REF!,"AAAAAGtzX1M=")</f>
        <v>#REF!</v>
      </c>
      <c r="CG226" t="e">
        <f>AND(#REF!,"AAAAAGtzX1Q=")</f>
        <v>#REF!</v>
      </c>
      <c r="CH226" t="e">
        <f>AND(#REF!,"AAAAAGtzX1U=")</f>
        <v>#REF!</v>
      </c>
      <c r="CI226" t="e">
        <f>AND(#REF!,"AAAAAGtzX1Y=")</f>
        <v>#REF!</v>
      </c>
      <c r="CJ226" t="e">
        <f>AND(#REF!,"AAAAAGtzX1c=")</f>
        <v>#REF!</v>
      </c>
      <c r="CK226" t="e">
        <f>AND(#REF!,"AAAAAGtzX1g=")</f>
        <v>#REF!</v>
      </c>
      <c r="CL226" t="e">
        <f>AND(#REF!,"AAAAAGtzX1k=")</f>
        <v>#REF!</v>
      </c>
      <c r="CM226" t="e">
        <f>AND(#REF!,"AAAAAGtzX1o=")</f>
        <v>#REF!</v>
      </c>
      <c r="CN226" t="e">
        <f>IF(#REF!,"AAAAAGtzX1s=",0)</f>
        <v>#REF!</v>
      </c>
      <c r="CO226" t="e">
        <f>AND(#REF!,"AAAAAGtzX1w=")</f>
        <v>#REF!</v>
      </c>
      <c r="CP226" t="e">
        <f>AND(#REF!,"AAAAAGtzX10=")</f>
        <v>#REF!</v>
      </c>
      <c r="CQ226" t="e">
        <f>AND(#REF!,"AAAAAGtzX14=")</f>
        <v>#REF!</v>
      </c>
      <c r="CR226" t="e">
        <f>AND(#REF!,"AAAAAGtzX18=")</f>
        <v>#REF!</v>
      </c>
      <c r="CS226" t="e">
        <f>AND(#REF!,"AAAAAGtzX2A=")</f>
        <v>#REF!</v>
      </c>
      <c r="CT226" t="e">
        <f>AND(#REF!,"AAAAAGtzX2E=")</f>
        <v>#REF!</v>
      </c>
      <c r="CU226" t="e">
        <f>AND(#REF!,"AAAAAGtzX2I=")</f>
        <v>#REF!</v>
      </c>
      <c r="CV226" t="e">
        <f>AND(#REF!,"AAAAAGtzX2M=")</f>
        <v>#REF!</v>
      </c>
      <c r="CW226" t="e">
        <f>AND(#REF!,"AAAAAGtzX2Q=")</f>
        <v>#REF!</v>
      </c>
      <c r="CX226" t="e">
        <f>AND(#REF!,"AAAAAGtzX2U=")</f>
        <v>#REF!</v>
      </c>
      <c r="CY226" t="e">
        <f>IF(#REF!,"AAAAAGtzX2Y=",0)</f>
        <v>#REF!</v>
      </c>
      <c r="CZ226" t="e">
        <f>AND(#REF!,"AAAAAGtzX2c=")</f>
        <v>#REF!</v>
      </c>
      <c r="DA226" t="e">
        <f>AND(#REF!,"AAAAAGtzX2g=")</f>
        <v>#REF!</v>
      </c>
      <c r="DB226" t="e">
        <f>AND(#REF!,"AAAAAGtzX2k=")</f>
        <v>#REF!</v>
      </c>
      <c r="DC226" t="e">
        <f>AND(#REF!,"AAAAAGtzX2o=")</f>
        <v>#REF!</v>
      </c>
      <c r="DD226" t="e">
        <f>AND(#REF!,"AAAAAGtzX2s=")</f>
        <v>#REF!</v>
      </c>
      <c r="DE226" t="e">
        <f>AND(#REF!,"AAAAAGtzX2w=")</f>
        <v>#REF!</v>
      </c>
      <c r="DF226" t="e">
        <f>AND(#REF!,"AAAAAGtzX20=")</f>
        <v>#REF!</v>
      </c>
      <c r="DG226" t="e">
        <f>AND(#REF!,"AAAAAGtzX24=")</f>
        <v>#REF!</v>
      </c>
      <c r="DH226" t="e">
        <f>AND(#REF!,"AAAAAGtzX28=")</f>
        <v>#REF!</v>
      </c>
      <c r="DI226" t="e">
        <f>AND(#REF!,"AAAAAGtzX3A=")</f>
        <v>#REF!</v>
      </c>
      <c r="DJ226" t="e">
        <f>IF(#REF!,"AAAAAGtzX3E=",0)</f>
        <v>#REF!</v>
      </c>
      <c r="DK226" t="e">
        <f>AND(#REF!,"AAAAAGtzX3I=")</f>
        <v>#REF!</v>
      </c>
      <c r="DL226" t="e">
        <f>AND(#REF!,"AAAAAGtzX3M=")</f>
        <v>#REF!</v>
      </c>
      <c r="DM226" t="e">
        <f>AND(#REF!,"AAAAAGtzX3Q=")</f>
        <v>#REF!</v>
      </c>
      <c r="DN226" t="e">
        <f>AND(#REF!,"AAAAAGtzX3U=")</f>
        <v>#REF!</v>
      </c>
      <c r="DO226" t="e">
        <f>AND(#REF!,"AAAAAGtzX3Y=")</f>
        <v>#REF!</v>
      </c>
      <c r="DP226" t="e">
        <f>AND(#REF!,"AAAAAGtzX3c=")</f>
        <v>#REF!</v>
      </c>
      <c r="DQ226" t="e">
        <f>AND(#REF!,"AAAAAGtzX3g=")</f>
        <v>#REF!</v>
      </c>
      <c r="DR226" t="e">
        <f>AND(#REF!,"AAAAAGtzX3k=")</f>
        <v>#REF!</v>
      </c>
      <c r="DS226" t="e">
        <f>AND(#REF!,"AAAAAGtzX3o=")</f>
        <v>#REF!</v>
      </c>
      <c r="DT226" t="e">
        <f>AND(#REF!,"AAAAAGtzX3s=")</f>
        <v>#REF!</v>
      </c>
      <c r="DU226" t="e">
        <f>IF(#REF!,"AAAAAGtzX3w=",0)</f>
        <v>#REF!</v>
      </c>
      <c r="DV226" t="e">
        <f>AND(#REF!,"AAAAAGtzX30=")</f>
        <v>#REF!</v>
      </c>
      <c r="DW226" t="e">
        <f>AND(#REF!,"AAAAAGtzX34=")</f>
        <v>#REF!</v>
      </c>
      <c r="DX226" t="e">
        <f>AND(#REF!,"AAAAAGtzX38=")</f>
        <v>#REF!</v>
      </c>
      <c r="DY226" t="e">
        <f>AND(#REF!,"AAAAAGtzX4A=")</f>
        <v>#REF!</v>
      </c>
      <c r="DZ226" t="e">
        <f>AND(#REF!,"AAAAAGtzX4E=")</f>
        <v>#REF!</v>
      </c>
      <c r="EA226" t="e">
        <f>AND(#REF!,"AAAAAGtzX4I=")</f>
        <v>#REF!</v>
      </c>
      <c r="EB226" t="e">
        <f>AND(#REF!,"AAAAAGtzX4M=")</f>
        <v>#REF!</v>
      </c>
      <c r="EC226" t="e">
        <f>AND(#REF!,"AAAAAGtzX4Q=")</f>
        <v>#REF!</v>
      </c>
      <c r="ED226" t="e">
        <f>AND(#REF!,"AAAAAGtzX4U=")</f>
        <v>#REF!</v>
      </c>
      <c r="EE226" t="e">
        <f>AND(#REF!,"AAAAAGtzX4Y=")</f>
        <v>#REF!</v>
      </c>
      <c r="EF226" t="e">
        <f>IF(#REF!,"AAAAAGtzX4c=",0)</f>
        <v>#REF!</v>
      </c>
      <c r="EG226" t="e">
        <f>AND(#REF!,"AAAAAGtzX4g=")</f>
        <v>#REF!</v>
      </c>
      <c r="EH226" t="e">
        <f>AND(#REF!,"AAAAAGtzX4k=")</f>
        <v>#REF!</v>
      </c>
      <c r="EI226" t="e">
        <f>AND(#REF!,"AAAAAGtzX4o=")</f>
        <v>#REF!</v>
      </c>
      <c r="EJ226" t="e">
        <f>AND(#REF!,"AAAAAGtzX4s=")</f>
        <v>#REF!</v>
      </c>
      <c r="EK226" t="e">
        <f>AND(#REF!,"AAAAAGtzX4w=")</f>
        <v>#REF!</v>
      </c>
      <c r="EL226" t="e">
        <f>AND(#REF!,"AAAAAGtzX40=")</f>
        <v>#REF!</v>
      </c>
      <c r="EM226" t="e">
        <f>AND(#REF!,"AAAAAGtzX44=")</f>
        <v>#REF!</v>
      </c>
      <c r="EN226" t="e">
        <f>AND(#REF!,"AAAAAGtzX48=")</f>
        <v>#REF!</v>
      </c>
      <c r="EO226" t="e">
        <f>AND(#REF!,"AAAAAGtzX5A=")</f>
        <v>#REF!</v>
      </c>
      <c r="EP226" t="e">
        <f>AND(#REF!,"AAAAAGtzX5E=")</f>
        <v>#REF!</v>
      </c>
      <c r="EQ226" t="e">
        <f>IF(#REF!,"AAAAAGtzX5I=",0)</f>
        <v>#REF!</v>
      </c>
      <c r="ER226" t="e">
        <f>AND(#REF!,"AAAAAGtzX5M=")</f>
        <v>#REF!</v>
      </c>
      <c r="ES226" t="e">
        <f>AND(#REF!,"AAAAAGtzX5Q=")</f>
        <v>#REF!</v>
      </c>
      <c r="ET226" t="e">
        <f>AND(#REF!,"AAAAAGtzX5U=")</f>
        <v>#REF!</v>
      </c>
      <c r="EU226" t="e">
        <f>AND(#REF!,"AAAAAGtzX5Y=")</f>
        <v>#REF!</v>
      </c>
      <c r="EV226" t="e">
        <f>AND(#REF!,"AAAAAGtzX5c=")</f>
        <v>#REF!</v>
      </c>
      <c r="EW226" t="e">
        <f>AND(#REF!,"AAAAAGtzX5g=")</f>
        <v>#REF!</v>
      </c>
      <c r="EX226" t="e">
        <f>AND(#REF!,"AAAAAGtzX5k=")</f>
        <v>#REF!</v>
      </c>
      <c r="EY226" t="e">
        <f>AND(#REF!,"AAAAAGtzX5o=")</f>
        <v>#REF!</v>
      </c>
      <c r="EZ226" t="e">
        <f>AND(#REF!,"AAAAAGtzX5s=")</f>
        <v>#REF!</v>
      </c>
      <c r="FA226" t="e">
        <f>AND(#REF!,"AAAAAGtzX5w=")</f>
        <v>#REF!</v>
      </c>
      <c r="FB226" t="e">
        <f>IF(#REF!,"AAAAAGtzX50=",0)</f>
        <v>#REF!</v>
      </c>
      <c r="FC226" t="e">
        <f>AND(#REF!,"AAAAAGtzX54=")</f>
        <v>#REF!</v>
      </c>
      <c r="FD226" t="e">
        <f>AND(#REF!,"AAAAAGtzX58=")</f>
        <v>#REF!</v>
      </c>
      <c r="FE226" t="e">
        <f>AND(#REF!,"AAAAAGtzX6A=")</f>
        <v>#REF!</v>
      </c>
      <c r="FF226" t="e">
        <f>AND(#REF!,"AAAAAGtzX6E=")</f>
        <v>#REF!</v>
      </c>
      <c r="FG226" t="e">
        <f>AND(#REF!,"AAAAAGtzX6I=")</f>
        <v>#REF!</v>
      </c>
      <c r="FH226" t="e">
        <f>AND(#REF!,"AAAAAGtzX6M=")</f>
        <v>#REF!</v>
      </c>
      <c r="FI226" t="e">
        <f>AND(#REF!,"AAAAAGtzX6Q=")</f>
        <v>#REF!</v>
      </c>
      <c r="FJ226" t="e">
        <f>AND(#REF!,"AAAAAGtzX6U=")</f>
        <v>#REF!</v>
      </c>
      <c r="FK226" t="e">
        <f>AND(#REF!,"AAAAAGtzX6Y=")</f>
        <v>#REF!</v>
      </c>
      <c r="FL226" t="e">
        <f>AND(#REF!,"AAAAAGtzX6c=")</f>
        <v>#REF!</v>
      </c>
      <c r="FM226" t="e">
        <f>IF(#REF!,"AAAAAGtzX6g=",0)</f>
        <v>#REF!</v>
      </c>
      <c r="FN226" t="e">
        <f>AND(#REF!,"AAAAAGtzX6k=")</f>
        <v>#REF!</v>
      </c>
      <c r="FO226" t="e">
        <f>AND(#REF!,"AAAAAGtzX6o=")</f>
        <v>#REF!</v>
      </c>
      <c r="FP226" t="e">
        <f>AND(#REF!,"AAAAAGtzX6s=")</f>
        <v>#REF!</v>
      </c>
      <c r="FQ226" t="e">
        <f>AND(#REF!,"AAAAAGtzX6w=")</f>
        <v>#REF!</v>
      </c>
      <c r="FR226" t="e">
        <f>AND(#REF!,"AAAAAGtzX60=")</f>
        <v>#REF!</v>
      </c>
      <c r="FS226" t="e">
        <f>AND(#REF!,"AAAAAGtzX64=")</f>
        <v>#REF!</v>
      </c>
      <c r="FT226" t="e">
        <f>AND(#REF!,"AAAAAGtzX68=")</f>
        <v>#REF!</v>
      </c>
      <c r="FU226" t="e">
        <f>AND(#REF!,"AAAAAGtzX7A=")</f>
        <v>#REF!</v>
      </c>
      <c r="FV226" t="e">
        <f>AND(#REF!,"AAAAAGtzX7E=")</f>
        <v>#REF!</v>
      </c>
      <c r="FW226" t="e">
        <f>AND(#REF!,"AAAAAGtzX7I=")</f>
        <v>#REF!</v>
      </c>
      <c r="FX226" t="e">
        <f>IF(#REF!,"AAAAAGtzX7M=",0)</f>
        <v>#REF!</v>
      </c>
      <c r="FY226" t="e">
        <f>AND(#REF!,"AAAAAGtzX7Q=")</f>
        <v>#REF!</v>
      </c>
      <c r="FZ226" t="e">
        <f>AND(#REF!,"AAAAAGtzX7U=")</f>
        <v>#REF!</v>
      </c>
      <c r="GA226" t="e">
        <f>AND(#REF!,"AAAAAGtzX7Y=")</f>
        <v>#REF!</v>
      </c>
      <c r="GB226" t="e">
        <f>AND(#REF!,"AAAAAGtzX7c=")</f>
        <v>#REF!</v>
      </c>
      <c r="GC226" t="e">
        <f>AND(#REF!,"AAAAAGtzX7g=")</f>
        <v>#REF!</v>
      </c>
      <c r="GD226" t="e">
        <f>AND(#REF!,"AAAAAGtzX7k=")</f>
        <v>#REF!</v>
      </c>
      <c r="GE226" t="e">
        <f>AND(#REF!,"AAAAAGtzX7o=")</f>
        <v>#REF!</v>
      </c>
      <c r="GF226" t="e">
        <f>AND(#REF!,"AAAAAGtzX7s=")</f>
        <v>#REF!</v>
      </c>
      <c r="GG226" t="e">
        <f>AND(#REF!,"AAAAAGtzX7w=")</f>
        <v>#REF!</v>
      </c>
      <c r="GH226" t="e">
        <f>AND(#REF!,"AAAAAGtzX70=")</f>
        <v>#REF!</v>
      </c>
      <c r="GI226" t="e">
        <f>IF(#REF!,"AAAAAGtzX74=",0)</f>
        <v>#REF!</v>
      </c>
      <c r="GJ226" t="e">
        <f>AND(#REF!,"AAAAAGtzX78=")</f>
        <v>#REF!</v>
      </c>
      <c r="GK226" t="e">
        <f>AND(#REF!,"AAAAAGtzX8A=")</f>
        <v>#REF!</v>
      </c>
      <c r="GL226" t="e">
        <f>AND(#REF!,"AAAAAGtzX8E=")</f>
        <v>#REF!</v>
      </c>
      <c r="GM226" t="e">
        <f>AND(#REF!,"AAAAAGtzX8I=")</f>
        <v>#REF!</v>
      </c>
      <c r="GN226" t="e">
        <f>AND(#REF!,"AAAAAGtzX8M=")</f>
        <v>#REF!</v>
      </c>
      <c r="GO226" t="e">
        <f>AND(#REF!,"AAAAAGtzX8Q=")</f>
        <v>#REF!</v>
      </c>
      <c r="GP226" t="e">
        <f>AND(#REF!,"AAAAAGtzX8U=")</f>
        <v>#REF!</v>
      </c>
      <c r="GQ226" t="e">
        <f>AND(#REF!,"AAAAAGtzX8Y=")</f>
        <v>#REF!</v>
      </c>
      <c r="GR226" t="e">
        <f>AND(#REF!,"AAAAAGtzX8c=")</f>
        <v>#REF!</v>
      </c>
      <c r="GS226" t="e">
        <f>AND(#REF!,"AAAAAGtzX8g=")</f>
        <v>#REF!</v>
      </c>
      <c r="GT226" t="e">
        <f>IF(#REF!,"AAAAAGtzX8k=",0)</f>
        <v>#REF!</v>
      </c>
      <c r="GU226" t="e">
        <f>AND(#REF!,"AAAAAGtzX8o=")</f>
        <v>#REF!</v>
      </c>
      <c r="GV226" t="e">
        <f>AND(#REF!,"AAAAAGtzX8s=")</f>
        <v>#REF!</v>
      </c>
      <c r="GW226" t="e">
        <f>AND(#REF!,"AAAAAGtzX8w=")</f>
        <v>#REF!</v>
      </c>
      <c r="GX226" t="e">
        <f>AND(#REF!,"AAAAAGtzX80=")</f>
        <v>#REF!</v>
      </c>
      <c r="GY226" t="e">
        <f>AND(#REF!,"AAAAAGtzX84=")</f>
        <v>#REF!</v>
      </c>
      <c r="GZ226" t="e">
        <f>AND(#REF!,"AAAAAGtzX88=")</f>
        <v>#REF!</v>
      </c>
      <c r="HA226" t="e">
        <f>AND(#REF!,"AAAAAGtzX9A=")</f>
        <v>#REF!</v>
      </c>
      <c r="HB226" t="e">
        <f>AND(#REF!,"AAAAAGtzX9E=")</f>
        <v>#REF!</v>
      </c>
      <c r="HC226" t="e">
        <f>AND(#REF!,"AAAAAGtzX9I=")</f>
        <v>#REF!</v>
      </c>
      <c r="HD226" t="e">
        <f>AND(#REF!,"AAAAAGtzX9M=")</f>
        <v>#REF!</v>
      </c>
      <c r="HE226" t="e">
        <f>IF(#REF!,"AAAAAGtzX9Q=",0)</f>
        <v>#REF!</v>
      </c>
      <c r="HF226" t="e">
        <f>AND(#REF!,"AAAAAGtzX9U=")</f>
        <v>#REF!</v>
      </c>
      <c r="HG226" t="e">
        <f>AND(#REF!,"AAAAAGtzX9Y=")</f>
        <v>#REF!</v>
      </c>
      <c r="HH226" t="e">
        <f>AND(#REF!,"AAAAAGtzX9c=")</f>
        <v>#REF!</v>
      </c>
      <c r="HI226" t="e">
        <f>AND(#REF!,"AAAAAGtzX9g=")</f>
        <v>#REF!</v>
      </c>
      <c r="HJ226" t="e">
        <f>AND(#REF!,"AAAAAGtzX9k=")</f>
        <v>#REF!</v>
      </c>
      <c r="HK226" t="e">
        <f>AND(#REF!,"AAAAAGtzX9o=")</f>
        <v>#REF!</v>
      </c>
      <c r="HL226" t="e">
        <f>AND(#REF!,"AAAAAGtzX9s=")</f>
        <v>#REF!</v>
      </c>
      <c r="HM226" t="e">
        <f>AND(#REF!,"AAAAAGtzX9w=")</f>
        <v>#REF!</v>
      </c>
      <c r="HN226" t="e">
        <f>AND(#REF!,"AAAAAGtzX90=")</f>
        <v>#REF!</v>
      </c>
      <c r="HO226" t="e">
        <f>AND(#REF!,"AAAAAGtzX94=")</f>
        <v>#REF!</v>
      </c>
      <c r="HP226" t="e">
        <f>IF(#REF!,"AAAAAGtzX98=",0)</f>
        <v>#REF!</v>
      </c>
      <c r="HQ226" t="e">
        <f>AND(#REF!,"AAAAAGtzX+A=")</f>
        <v>#REF!</v>
      </c>
      <c r="HR226" t="e">
        <f>AND(#REF!,"AAAAAGtzX+E=")</f>
        <v>#REF!</v>
      </c>
      <c r="HS226" t="e">
        <f>AND(#REF!,"AAAAAGtzX+I=")</f>
        <v>#REF!</v>
      </c>
      <c r="HT226" t="e">
        <f>AND(#REF!,"AAAAAGtzX+M=")</f>
        <v>#REF!</v>
      </c>
      <c r="HU226" t="e">
        <f>AND(#REF!,"AAAAAGtzX+Q=")</f>
        <v>#REF!</v>
      </c>
      <c r="HV226" t="e">
        <f>AND(#REF!,"AAAAAGtzX+U=")</f>
        <v>#REF!</v>
      </c>
      <c r="HW226" t="e">
        <f>AND(#REF!,"AAAAAGtzX+Y=")</f>
        <v>#REF!</v>
      </c>
      <c r="HX226" t="e">
        <f>AND(#REF!,"AAAAAGtzX+c=")</f>
        <v>#REF!</v>
      </c>
      <c r="HY226" t="e">
        <f>AND(#REF!,"AAAAAGtzX+g=")</f>
        <v>#REF!</v>
      </c>
      <c r="HZ226" t="e">
        <f>AND(#REF!,"AAAAAGtzX+k=")</f>
        <v>#REF!</v>
      </c>
      <c r="IA226" t="e">
        <f>IF(#REF!,"AAAAAGtzX+o=",0)</f>
        <v>#REF!</v>
      </c>
      <c r="IB226" t="e">
        <f>AND(#REF!,"AAAAAGtzX+s=")</f>
        <v>#REF!</v>
      </c>
      <c r="IC226" t="e">
        <f>AND(#REF!,"AAAAAGtzX+w=")</f>
        <v>#REF!</v>
      </c>
      <c r="ID226" t="e">
        <f>AND(#REF!,"AAAAAGtzX+0=")</f>
        <v>#REF!</v>
      </c>
      <c r="IE226" t="e">
        <f>AND(#REF!,"AAAAAGtzX+4=")</f>
        <v>#REF!</v>
      </c>
      <c r="IF226" t="e">
        <f>AND(#REF!,"AAAAAGtzX+8=")</f>
        <v>#REF!</v>
      </c>
      <c r="IG226" t="e">
        <f>AND(#REF!,"AAAAAGtzX/A=")</f>
        <v>#REF!</v>
      </c>
      <c r="IH226" t="e">
        <f>AND(#REF!,"AAAAAGtzX/E=")</f>
        <v>#REF!</v>
      </c>
      <c r="II226" t="e">
        <f>AND(#REF!,"AAAAAGtzX/I=")</f>
        <v>#REF!</v>
      </c>
      <c r="IJ226" t="e">
        <f>AND(#REF!,"AAAAAGtzX/M=")</f>
        <v>#REF!</v>
      </c>
      <c r="IK226" t="e">
        <f>AND(#REF!,"AAAAAGtzX/Q=")</f>
        <v>#REF!</v>
      </c>
      <c r="IL226" t="e">
        <f>IF(#REF!,"AAAAAGtzX/U=",0)</f>
        <v>#REF!</v>
      </c>
      <c r="IM226" t="e">
        <f>AND(#REF!,"AAAAAGtzX/Y=")</f>
        <v>#REF!</v>
      </c>
      <c r="IN226" t="e">
        <f>AND(#REF!,"AAAAAGtzX/c=")</f>
        <v>#REF!</v>
      </c>
      <c r="IO226" t="e">
        <f>AND(#REF!,"AAAAAGtzX/g=")</f>
        <v>#REF!</v>
      </c>
      <c r="IP226" t="e">
        <f>AND(#REF!,"AAAAAGtzX/k=")</f>
        <v>#REF!</v>
      </c>
      <c r="IQ226" t="e">
        <f>AND(#REF!,"AAAAAGtzX/o=")</f>
        <v>#REF!</v>
      </c>
      <c r="IR226" t="e">
        <f>AND(#REF!,"AAAAAGtzX/s=")</f>
        <v>#REF!</v>
      </c>
      <c r="IS226" t="e">
        <f>AND(#REF!,"AAAAAGtzX/w=")</f>
        <v>#REF!</v>
      </c>
      <c r="IT226" t="e">
        <f>AND(#REF!,"AAAAAGtzX/0=")</f>
        <v>#REF!</v>
      </c>
      <c r="IU226" t="e">
        <f>AND(#REF!,"AAAAAGtzX/4=")</f>
        <v>#REF!</v>
      </c>
      <c r="IV226" t="e">
        <f>AND(#REF!,"AAAAAGtzX/8=")</f>
        <v>#REF!</v>
      </c>
    </row>
    <row r="227" spans="1:256" x14ac:dyDescent="0.25">
      <c r="A227" t="e">
        <f>IF(#REF!,"AAAAAFM99wA=",0)</f>
        <v>#REF!</v>
      </c>
      <c r="B227" t="e">
        <f>AND(#REF!,"AAAAAFM99wE=")</f>
        <v>#REF!</v>
      </c>
      <c r="C227" t="e">
        <f>AND(#REF!,"AAAAAFM99wI=")</f>
        <v>#REF!</v>
      </c>
      <c r="D227" t="e">
        <f>AND(#REF!,"AAAAAFM99wM=")</f>
        <v>#REF!</v>
      </c>
      <c r="E227" t="e">
        <f>AND(#REF!,"AAAAAFM99wQ=")</f>
        <v>#REF!</v>
      </c>
      <c r="F227" t="e">
        <f>AND(#REF!,"AAAAAFM99wU=")</f>
        <v>#REF!</v>
      </c>
      <c r="G227" t="e">
        <f>AND(#REF!,"AAAAAFM99wY=")</f>
        <v>#REF!</v>
      </c>
      <c r="H227" t="e">
        <f>AND(#REF!,"AAAAAFM99wc=")</f>
        <v>#REF!</v>
      </c>
      <c r="I227" t="e">
        <f>AND(#REF!,"AAAAAFM99wg=")</f>
        <v>#REF!</v>
      </c>
      <c r="J227" t="e">
        <f>AND(#REF!,"AAAAAFM99wk=")</f>
        <v>#REF!</v>
      </c>
      <c r="K227" t="e">
        <f>AND(#REF!,"AAAAAFM99wo=")</f>
        <v>#REF!</v>
      </c>
      <c r="L227" t="e">
        <f>IF(#REF!,"AAAAAFM99ws=",0)</f>
        <v>#REF!</v>
      </c>
      <c r="M227" t="e">
        <f>AND(#REF!,"AAAAAFM99ww=")</f>
        <v>#REF!</v>
      </c>
      <c r="N227" t="e">
        <f>AND(#REF!,"AAAAAFM99w0=")</f>
        <v>#REF!</v>
      </c>
      <c r="O227" t="e">
        <f>AND(#REF!,"AAAAAFM99w4=")</f>
        <v>#REF!</v>
      </c>
      <c r="P227" t="e">
        <f>AND(#REF!,"AAAAAFM99w8=")</f>
        <v>#REF!</v>
      </c>
      <c r="Q227" t="e">
        <f>AND(#REF!,"AAAAAFM99xA=")</f>
        <v>#REF!</v>
      </c>
      <c r="R227" t="e">
        <f>AND(#REF!,"AAAAAFM99xE=")</f>
        <v>#REF!</v>
      </c>
      <c r="S227" t="e">
        <f>AND(#REF!,"AAAAAFM99xI=")</f>
        <v>#REF!</v>
      </c>
      <c r="T227" t="e">
        <f>AND(#REF!,"AAAAAFM99xM=")</f>
        <v>#REF!</v>
      </c>
      <c r="U227" t="e">
        <f>AND(#REF!,"AAAAAFM99xQ=")</f>
        <v>#REF!</v>
      </c>
      <c r="V227" t="e">
        <f>AND(#REF!,"AAAAAFM99xU=")</f>
        <v>#REF!</v>
      </c>
      <c r="W227" t="e">
        <f>IF(#REF!,"AAAAAFM99xY=",0)</f>
        <v>#REF!</v>
      </c>
      <c r="X227" t="e">
        <f>AND(#REF!,"AAAAAFM99xc=")</f>
        <v>#REF!</v>
      </c>
      <c r="Y227" t="e">
        <f>AND(#REF!,"AAAAAFM99xg=")</f>
        <v>#REF!</v>
      </c>
      <c r="Z227" t="e">
        <f>AND(#REF!,"AAAAAFM99xk=")</f>
        <v>#REF!</v>
      </c>
      <c r="AA227" t="e">
        <f>AND(#REF!,"AAAAAFM99xo=")</f>
        <v>#REF!</v>
      </c>
      <c r="AB227" t="e">
        <f>AND(#REF!,"AAAAAFM99xs=")</f>
        <v>#REF!</v>
      </c>
      <c r="AC227" t="e">
        <f>AND(#REF!,"AAAAAFM99xw=")</f>
        <v>#REF!</v>
      </c>
      <c r="AD227" t="e">
        <f>AND(#REF!,"AAAAAFM99x0=")</f>
        <v>#REF!</v>
      </c>
      <c r="AE227" t="e">
        <f>AND(#REF!,"AAAAAFM99x4=")</f>
        <v>#REF!</v>
      </c>
      <c r="AF227" t="e">
        <f>AND(#REF!,"AAAAAFM99x8=")</f>
        <v>#REF!</v>
      </c>
      <c r="AG227" t="e">
        <f>AND(#REF!,"AAAAAFM99yA=")</f>
        <v>#REF!</v>
      </c>
      <c r="AH227" t="e">
        <f>IF(#REF!,"AAAAAFM99yE=",0)</f>
        <v>#REF!</v>
      </c>
      <c r="AI227" t="e">
        <f>AND(#REF!,"AAAAAFM99yI=")</f>
        <v>#REF!</v>
      </c>
      <c r="AJ227" t="e">
        <f>AND(#REF!,"AAAAAFM99yM=")</f>
        <v>#REF!</v>
      </c>
      <c r="AK227" t="e">
        <f>AND(#REF!,"AAAAAFM99yQ=")</f>
        <v>#REF!</v>
      </c>
      <c r="AL227" t="e">
        <f>AND(#REF!,"AAAAAFM99yU=")</f>
        <v>#REF!</v>
      </c>
      <c r="AM227" t="e">
        <f>AND(#REF!,"AAAAAFM99yY=")</f>
        <v>#REF!</v>
      </c>
      <c r="AN227" t="e">
        <f>AND(#REF!,"AAAAAFM99yc=")</f>
        <v>#REF!</v>
      </c>
      <c r="AO227" t="e">
        <f>AND(#REF!,"AAAAAFM99yg=")</f>
        <v>#REF!</v>
      </c>
      <c r="AP227" t="e">
        <f>AND(#REF!,"AAAAAFM99yk=")</f>
        <v>#REF!</v>
      </c>
      <c r="AQ227" t="e">
        <f>AND(#REF!,"AAAAAFM99yo=")</f>
        <v>#REF!</v>
      </c>
      <c r="AR227" t="e">
        <f>AND(#REF!,"AAAAAFM99ys=")</f>
        <v>#REF!</v>
      </c>
      <c r="AS227" t="e">
        <f>IF(#REF!,"AAAAAFM99yw=",0)</f>
        <v>#REF!</v>
      </c>
      <c r="AT227" t="e">
        <f>AND(#REF!,"AAAAAFM99y0=")</f>
        <v>#REF!</v>
      </c>
      <c r="AU227" t="e">
        <f>AND(#REF!,"AAAAAFM99y4=")</f>
        <v>#REF!</v>
      </c>
      <c r="AV227" t="e">
        <f>AND(#REF!,"AAAAAFM99y8=")</f>
        <v>#REF!</v>
      </c>
      <c r="AW227" t="e">
        <f>AND(#REF!,"AAAAAFM99zA=")</f>
        <v>#REF!</v>
      </c>
      <c r="AX227" t="e">
        <f>AND(#REF!,"AAAAAFM99zE=")</f>
        <v>#REF!</v>
      </c>
      <c r="AY227" t="e">
        <f>AND(#REF!,"AAAAAFM99zI=")</f>
        <v>#REF!</v>
      </c>
      <c r="AZ227" t="e">
        <f>AND(#REF!,"AAAAAFM99zM=")</f>
        <v>#REF!</v>
      </c>
      <c r="BA227" t="e">
        <f>AND(#REF!,"AAAAAFM99zQ=")</f>
        <v>#REF!</v>
      </c>
      <c r="BB227" t="e">
        <f>AND(#REF!,"AAAAAFM99zU=")</f>
        <v>#REF!</v>
      </c>
      <c r="BC227" t="e">
        <f>AND(#REF!,"AAAAAFM99zY=")</f>
        <v>#REF!</v>
      </c>
      <c r="BD227" t="e">
        <f>IF(#REF!,"AAAAAFM99zc=",0)</f>
        <v>#REF!</v>
      </c>
      <c r="BE227" t="e">
        <f>AND(#REF!,"AAAAAFM99zg=")</f>
        <v>#REF!</v>
      </c>
      <c r="BF227" t="e">
        <f>AND(#REF!,"AAAAAFM99zk=")</f>
        <v>#REF!</v>
      </c>
      <c r="BG227" t="e">
        <f>AND(#REF!,"AAAAAFM99zo=")</f>
        <v>#REF!</v>
      </c>
      <c r="BH227" t="e">
        <f>AND(#REF!,"AAAAAFM99zs=")</f>
        <v>#REF!</v>
      </c>
      <c r="BI227" t="e">
        <f>AND(#REF!,"AAAAAFM99zw=")</f>
        <v>#REF!</v>
      </c>
      <c r="BJ227" t="e">
        <f>AND(#REF!,"AAAAAFM99z0=")</f>
        <v>#REF!</v>
      </c>
      <c r="BK227" t="e">
        <f>AND(#REF!,"AAAAAFM99z4=")</f>
        <v>#REF!</v>
      </c>
      <c r="BL227" t="e">
        <f>AND(#REF!,"AAAAAFM99z8=")</f>
        <v>#REF!</v>
      </c>
      <c r="BM227" t="e">
        <f>AND(#REF!,"AAAAAFM990A=")</f>
        <v>#REF!</v>
      </c>
      <c r="BN227" t="e">
        <f>AND(#REF!,"AAAAAFM990E=")</f>
        <v>#REF!</v>
      </c>
      <c r="BO227" t="e">
        <f>IF(#REF!,"AAAAAFM990I=",0)</f>
        <v>#REF!</v>
      </c>
      <c r="BP227" t="e">
        <f>AND(#REF!,"AAAAAFM990M=")</f>
        <v>#REF!</v>
      </c>
      <c r="BQ227" t="e">
        <f>AND(#REF!,"AAAAAFM990Q=")</f>
        <v>#REF!</v>
      </c>
      <c r="BR227" t="e">
        <f>AND(#REF!,"AAAAAFM990U=")</f>
        <v>#REF!</v>
      </c>
      <c r="BS227" t="e">
        <f>AND(#REF!,"AAAAAFM990Y=")</f>
        <v>#REF!</v>
      </c>
      <c r="BT227" t="e">
        <f>AND(#REF!,"AAAAAFM990c=")</f>
        <v>#REF!</v>
      </c>
      <c r="BU227" t="e">
        <f>AND(#REF!,"AAAAAFM990g=")</f>
        <v>#REF!</v>
      </c>
      <c r="BV227" t="e">
        <f>AND(#REF!,"AAAAAFM990k=")</f>
        <v>#REF!</v>
      </c>
      <c r="BW227" t="e">
        <f>AND(#REF!,"AAAAAFM990o=")</f>
        <v>#REF!</v>
      </c>
      <c r="BX227" t="e">
        <f>AND(#REF!,"AAAAAFM990s=")</f>
        <v>#REF!</v>
      </c>
      <c r="BY227" t="e">
        <f>AND(#REF!,"AAAAAFM990w=")</f>
        <v>#REF!</v>
      </c>
      <c r="BZ227" t="e">
        <f>IF(#REF!,"AAAAAFM9900=",0)</f>
        <v>#REF!</v>
      </c>
      <c r="CA227" t="e">
        <f>AND(#REF!,"AAAAAFM9904=")</f>
        <v>#REF!</v>
      </c>
      <c r="CB227" t="e">
        <f>AND(#REF!,"AAAAAFM9908=")</f>
        <v>#REF!</v>
      </c>
      <c r="CC227" t="e">
        <f>AND(#REF!,"AAAAAFM991A=")</f>
        <v>#REF!</v>
      </c>
      <c r="CD227" t="e">
        <f>AND(#REF!,"AAAAAFM991E=")</f>
        <v>#REF!</v>
      </c>
      <c r="CE227" t="e">
        <f>AND(#REF!,"AAAAAFM991I=")</f>
        <v>#REF!</v>
      </c>
      <c r="CF227" t="e">
        <f>AND(#REF!,"AAAAAFM991M=")</f>
        <v>#REF!</v>
      </c>
      <c r="CG227" t="e">
        <f>AND(#REF!,"AAAAAFM991Q=")</f>
        <v>#REF!</v>
      </c>
      <c r="CH227" t="e">
        <f>AND(#REF!,"AAAAAFM991U=")</f>
        <v>#REF!</v>
      </c>
      <c r="CI227" t="e">
        <f>AND(#REF!,"AAAAAFM991Y=")</f>
        <v>#REF!</v>
      </c>
      <c r="CJ227" t="e">
        <f>AND(#REF!,"AAAAAFM991c=")</f>
        <v>#REF!</v>
      </c>
      <c r="CK227" t="e">
        <f>IF(#REF!,"AAAAAFM991g=",0)</f>
        <v>#REF!</v>
      </c>
      <c r="CL227" t="e">
        <f>AND(#REF!,"AAAAAFM991k=")</f>
        <v>#REF!</v>
      </c>
      <c r="CM227" t="e">
        <f>AND(#REF!,"AAAAAFM991o=")</f>
        <v>#REF!</v>
      </c>
      <c r="CN227" t="e">
        <f>AND(#REF!,"AAAAAFM991s=")</f>
        <v>#REF!</v>
      </c>
      <c r="CO227" t="e">
        <f>AND(#REF!,"AAAAAFM991w=")</f>
        <v>#REF!</v>
      </c>
      <c r="CP227" t="e">
        <f>AND(#REF!,"AAAAAFM9910=")</f>
        <v>#REF!</v>
      </c>
      <c r="CQ227" t="e">
        <f>AND(#REF!,"AAAAAFM9914=")</f>
        <v>#REF!</v>
      </c>
      <c r="CR227" t="e">
        <f>AND(#REF!,"AAAAAFM9918=")</f>
        <v>#REF!</v>
      </c>
      <c r="CS227" t="e">
        <f>AND(#REF!,"AAAAAFM992A=")</f>
        <v>#REF!</v>
      </c>
      <c r="CT227" t="e">
        <f>AND(#REF!,"AAAAAFM992E=")</f>
        <v>#REF!</v>
      </c>
      <c r="CU227" t="e">
        <f>AND(#REF!,"AAAAAFM992I=")</f>
        <v>#REF!</v>
      </c>
      <c r="CV227" t="e">
        <f>IF(#REF!,"AAAAAFM992M=",0)</f>
        <v>#REF!</v>
      </c>
      <c r="CW227" t="e">
        <f>AND(#REF!,"AAAAAFM992Q=")</f>
        <v>#REF!</v>
      </c>
      <c r="CX227" t="e">
        <f>AND(#REF!,"AAAAAFM992U=")</f>
        <v>#REF!</v>
      </c>
      <c r="CY227" t="e">
        <f>AND(#REF!,"AAAAAFM992Y=")</f>
        <v>#REF!</v>
      </c>
      <c r="CZ227" t="e">
        <f>AND(#REF!,"AAAAAFM992c=")</f>
        <v>#REF!</v>
      </c>
      <c r="DA227" t="e">
        <f>AND(#REF!,"AAAAAFM992g=")</f>
        <v>#REF!</v>
      </c>
      <c r="DB227" t="e">
        <f>AND(#REF!,"AAAAAFM992k=")</f>
        <v>#REF!</v>
      </c>
      <c r="DC227" t="e">
        <f>AND(#REF!,"AAAAAFM992o=")</f>
        <v>#REF!</v>
      </c>
      <c r="DD227" t="e">
        <f>AND(#REF!,"AAAAAFM992s=")</f>
        <v>#REF!</v>
      </c>
      <c r="DE227" t="e">
        <f>AND(#REF!,"AAAAAFM992w=")</f>
        <v>#REF!</v>
      </c>
      <c r="DF227" t="e">
        <f>AND(#REF!,"AAAAAFM9920=")</f>
        <v>#REF!</v>
      </c>
      <c r="DG227" t="e">
        <f>IF(#REF!,"AAAAAFM9924=",0)</f>
        <v>#REF!</v>
      </c>
      <c r="DH227" t="e">
        <f>AND(#REF!,"AAAAAFM9928=")</f>
        <v>#REF!</v>
      </c>
      <c r="DI227" t="e">
        <f>AND(#REF!,"AAAAAFM993A=")</f>
        <v>#REF!</v>
      </c>
      <c r="DJ227" t="e">
        <f>AND(#REF!,"AAAAAFM993E=")</f>
        <v>#REF!</v>
      </c>
      <c r="DK227" t="e">
        <f>AND(#REF!,"AAAAAFM993I=")</f>
        <v>#REF!</v>
      </c>
      <c r="DL227" t="e">
        <f>AND(#REF!,"AAAAAFM993M=")</f>
        <v>#REF!</v>
      </c>
      <c r="DM227" t="e">
        <f>AND(#REF!,"AAAAAFM993Q=")</f>
        <v>#REF!</v>
      </c>
      <c r="DN227" t="e">
        <f>AND(#REF!,"AAAAAFM993U=")</f>
        <v>#REF!</v>
      </c>
      <c r="DO227" t="e">
        <f>AND(#REF!,"AAAAAFM993Y=")</f>
        <v>#REF!</v>
      </c>
      <c r="DP227" t="e">
        <f>AND(#REF!,"AAAAAFM993c=")</f>
        <v>#REF!</v>
      </c>
      <c r="DQ227" t="e">
        <f>AND(#REF!,"AAAAAFM993g=")</f>
        <v>#REF!</v>
      </c>
      <c r="DR227" t="e">
        <f>IF(#REF!,"AAAAAFM993k=",0)</f>
        <v>#REF!</v>
      </c>
      <c r="DS227" t="e">
        <f>AND(#REF!,"AAAAAFM993o=")</f>
        <v>#REF!</v>
      </c>
      <c r="DT227" t="e">
        <f>AND(#REF!,"AAAAAFM993s=")</f>
        <v>#REF!</v>
      </c>
      <c r="DU227" t="e">
        <f>AND(#REF!,"AAAAAFM993w=")</f>
        <v>#REF!</v>
      </c>
      <c r="DV227" t="e">
        <f>AND(#REF!,"AAAAAFM9930=")</f>
        <v>#REF!</v>
      </c>
      <c r="DW227" t="e">
        <f>AND(#REF!,"AAAAAFM9934=")</f>
        <v>#REF!</v>
      </c>
      <c r="DX227" t="e">
        <f>AND(#REF!,"AAAAAFM9938=")</f>
        <v>#REF!</v>
      </c>
      <c r="DY227" t="e">
        <f>AND(#REF!,"AAAAAFM994A=")</f>
        <v>#REF!</v>
      </c>
      <c r="DZ227" t="e">
        <f>AND(#REF!,"AAAAAFM994E=")</f>
        <v>#REF!</v>
      </c>
      <c r="EA227" t="e">
        <f>AND(#REF!,"AAAAAFM994I=")</f>
        <v>#REF!</v>
      </c>
      <c r="EB227" t="e">
        <f>AND(#REF!,"AAAAAFM994M=")</f>
        <v>#REF!</v>
      </c>
      <c r="EC227" t="e">
        <f>IF(#REF!,"AAAAAFM994Q=",0)</f>
        <v>#REF!</v>
      </c>
      <c r="ED227" t="e">
        <f>AND(#REF!,"AAAAAFM994U=")</f>
        <v>#REF!</v>
      </c>
      <c r="EE227" t="e">
        <f>AND(#REF!,"AAAAAFM994Y=")</f>
        <v>#REF!</v>
      </c>
      <c r="EF227" t="e">
        <f>AND(#REF!,"AAAAAFM994c=")</f>
        <v>#REF!</v>
      </c>
      <c r="EG227" t="e">
        <f>AND(#REF!,"AAAAAFM994g=")</f>
        <v>#REF!</v>
      </c>
      <c r="EH227" t="e">
        <f>AND(#REF!,"AAAAAFM994k=")</f>
        <v>#REF!</v>
      </c>
      <c r="EI227" t="e">
        <f>AND(#REF!,"AAAAAFM994o=")</f>
        <v>#REF!</v>
      </c>
      <c r="EJ227" t="e">
        <f>AND(#REF!,"AAAAAFM994s=")</f>
        <v>#REF!</v>
      </c>
      <c r="EK227" t="e">
        <f>AND(#REF!,"AAAAAFM994w=")</f>
        <v>#REF!</v>
      </c>
      <c r="EL227" t="e">
        <f>AND(#REF!,"AAAAAFM9940=")</f>
        <v>#REF!</v>
      </c>
      <c r="EM227" t="e">
        <f>AND(#REF!,"AAAAAFM9944=")</f>
        <v>#REF!</v>
      </c>
      <c r="EN227" t="e">
        <f>IF(#REF!,"AAAAAFM9948=",0)</f>
        <v>#REF!</v>
      </c>
      <c r="EO227" t="e">
        <f>AND(#REF!,"AAAAAFM995A=")</f>
        <v>#REF!</v>
      </c>
      <c r="EP227" t="e">
        <f>AND(#REF!,"AAAAAFM995E=")</f>
        <v>#REF!</v>
      </c>
      <c r="EQ227" t="e">
        <f>AND(#REF!,"AAAAAFM995I=")</f>
        <v>#REF!</v>
      </c>
      <c r="ER227" t="e">
        <f>AND(#REF!,"AAAAAFM995M=")</f>
        <v>#REF!</v>
      </c>
      <c r="ES227" t="e">
        <f>AND(#REF!,"AAAAAFM995Q=")</f>
        <v>#REF!</v>
      </c>
      <c r="ET227" t="e">
        <f>AND(#REF!,"AAAAAFM995U=")</f>
        <v>#REF!</v>
      </c>
      <c r="EU227" t="e">
        <f>AND(#REF!,"AAAAAFM995Y=")</f>
        <v>#REF!</v>
      </c>
      <c r="EV227" t="e">
        <f>AND(#REF!,"AAAAAFM995c=")</f>
        <v>#REF!</v>
      </c>
      <c r="EW227" t="e">
        <f>AND(#REF!,"AAAAAFM995g=")</f>
        <v>#REF!</v>
      </c>
      <c r="EX227" t="e">
        <f>AND(#REF!,"AAAAAFM995k=")</f>
        <v>#REF!</v>
      </c>
      <c r="EY227" t="e">
        <f>IF(#REF!,"AAAAAFM995o=",0)</f>
        <v>#REF!</v>
      </c>
      <c r="EZ227" t="e">
        <f>AND(#REF!,"AAAAAFM995s=")</f>
        <v>#REF!</v>
      </c>
      <c r="FA227" t="e">
        <f>AND(#REF!,"AAAAAFM995w=")</f>
        <v>#REF!</v>
      </c>
      <c r="FB227" t="e">
        <f>AND(#REF!,"AAAAAFM9950=")</f>
        <v>#REF!</v>
      </c>
      <c r="FC227" t="e">
        <f>AND(#REF!,"AAAAAFM9954=")</f>
        <v>#REF!</v>
      </c>
      <c r="FD227" t="e">
        <f>AND(#REF!,"AAAAAFM9958=")</f>
        <v>#REF!</v>
      </c>
      <c r="FE227" t="e">
        <f>AND(#REF!,"AAAAAFM996A=")</f>
        <v>#REF!</v>
      </c>
      <c r="FF227" t="e">
        <f>AND(#REF!,"AAAAAFM996E=")</f>
        <v>#REF!</v>
      </c>
      <c r="FG227" t="e">
        <f>AND(#REF!,"AAAAAFM996I=")</f>
        <v>#REF!</v>
      </c>
      <c r="FH227" t="e">
        <f>AND(#REF!,"AAAAAFM996M=")</f>
        <v>#REF!</v>
      </c>
      <c r="FI227" t="e">
        <f>AND(#REF!,"AAAAAFM996Q=")</f>
        <v>#REF!</v>
      </c>
      <c r="FJ227" t="e">
        <f>IF(#REF!,"AAAAAFM996U=",0)</f>
        <v>#REF!</v>
      </c>
      <c r="FK227" t="e">
        <f>AND(#REF!,"AAAAAFM996Y=")</f>
        <v>#REF!</v>
      </c>
      <c r="FL227" t="e">
        <f>AND(#REF!,"AAAAAFM996c=")</f>
        <v>#REF!</v>
      </c>
      <c r="FM227" t="e">
        <f>AND(#REF!,"AAAAAFM996g=")</f>
        <v>#REF!</v>
      </c>
      <c r="FN227" t="e">
        <f>AND(#REF!,"AAAAAFM996k=")</f>
        <v>#REF!</v>
      </c>
      <c r="FO227" t="e">
        <f>AND(#REF!,"AAAAAFM996o=")</f>
        <v>#REF!</v>
      </c>
      <c r="FP227" t="e">
        <f>AND(#REF!,"AAAAAFM996s=")</f>
        <v>#REF!</v>
      </c>
      <c r="FQ227" t="e">
        <f>AND(#REF!,"AAAAAFM996w=")</f>
        <v>#REF!</v>
      </c>
      <c r="FR227" t="e">
        <f>AND(#REF!,"AAAAAFM9960=")</f>
        <v>#REF!</v>
      </c>
      <c r="FS227" t="e">
        <f>AND(#REF!,"AAAAAFM9964=")</f>
        <v>#REF!</v>
      </c>
      <c r="FT227" t="e">
        <f>AND(#REF!,"AAAAAFM9968=")</f>
        <v>#REF!</v>
      </c>
      <c r="FU227" t="e">
        <f>IF(#REF!,"AAAAAFM997A=",0)</f>
        <v>#REF!</v>
      </c>
      <c r="FV227" t="e">
        <f>AND(#REF!,"AAAAAFM997E=")</f>
        <v>#REF!</v>
      </c>
      <c r="FW227" t="e">
        <f>AND(#REF!,"AAAAAFM997I=")</f>
        <v>#REF!</v>
      </c>
      <c r="FX227" t="e">
        <f>AND(#REF!,"AAAAAFM997M=")</f>
        <v>#REF!</v>
      </c>
      <c r="FY227" t="e">
        <f>AND(#REF!,"AAAAAFM997Q=")</f>
        <v>#REF!</v>
      </c>
      <c r="FZ227" t="e">
        <f>AND(#REF!,"AAAAAFM997U=")</f>
        <v>#REF!</v>
      </c>
      <c r="GA227" t="e">
        <f>AND(#REF!,"AAAAAFM997Y=")</f>
        <v>#REF!</v>
      </c>
      <c r="GB227" t="e">
        <f>AND(#REF!,"AAAAAFM997c=")</f>
        <v>#REF!</v>
      </c>
      <c r="GC227" t="e">
        <f>AND(#REF!,"AAAAAFM997g=")</f>
        <v>#REF!</v>
      </c>
      <c r="GD227" t="e">
        <f>AND(#REF!,"AAAAAFM997k=")</f>
        <v>#REF!</v>
      </c>
      <c r="GE227" t="e">
        <f>AND(#REF!,"AAAAAFM997o=")</f>
        <v>#REF!</v>
      </c>
      <c r="GF227" t="e">
        <f>IF(#REF!,"AAAAAFM997s=",0)</f>
        <v>#REF!</v>
      </c>
      <c r="GG227" t="e">
        <f>AND(#REF!,"AAAAAFM997w=")</f>
        <v>#REF!</v>
      </c>
      <c r="GH227" t="e">
        <f>AND(#REF!,"AAAAAFM9970=")</f>
        <v>#REF!</v>
      </c>
      <c r="GI227" t="e">
        <f>AND(#REF!,"AAAAAFM9974=")</f>
        <v>#REF!</v>
      </c>
      <c r="GJ227" t="e">
        <f>AND(#REF!,"AAAAAFM9978=")</f>
        <v>#REF!</v>
      </c>
      <c r="GK227" t="e">
        <f>AND(#REF!,"AAAAAFM998A=")</f>
        <v>#REF!</v>
      </c>
      <c r="GL227" t="e">
        <f>AND(#REF!,"AAAAAFM998E=")</f>
        <v>#REF!</v>
      </c>
      <c r="GM227" t="e">
        <f>AND(#REF!,"AAAAAFM998I=")</f>
        <v>#REF!</v>
      </c>
      <c r="GN227" t="e">
        <f>AND(#REF!,"AAAAAFM998M=")</f>
        <v>#REF!</v>
      </c>
      <c r="GO227" t="e">
        <f>AND(#REF!,"AAAAAFM998Q=")</f>
        <v>#REF!</v>
      </c>
      <c r="GP227" t="e">
        <f>AND(#REF!,"AAAAAFM998U=")</f>
        <v>#REF!</v>
      </c>
      <c r="GQ227" t="e">
        <f>IF(#REF!,"AAAAAFM998Y=",0)</f>
        <v>#REF!</v>
      </c>
      <c r="GR227" t="e">
        <f>AND(#REF!,"AAAAAFM998c=")</f>
        <v>#REF!</v>
      </c>
      <c r="GS227" t="e">
        <f>AND(#REF!,"AAAAAFM998g=")</f>
        <v>#REF!</v>
      </c>
      <c r="GT227" t="e">
        <f>AND(#REF!,"AAAAAFM998k=")</f>
        <v>#REF!</v>
      </c>
      <c r="GU227" t="e">
        <f>AND(#REF!,"AAAAAFM998o=")</f>
        <v>#REF!</v>
      </c>
      <c r="GV227" t="e">
        <f>AND(#REF!,"AAAAAFM998s=")</f>
        <v>#REF!</v>
      </c>
      <c r="GW227" t="e">
        <f>AND(#REF!,"AAAAAFM998w=")</f>
        <v>#REF!</v>
      </c>
      <c r="GX227" t="e">
        <f>AND(#REF!,"AAAAAFM9980=")</f>
        <v>#REF!</v>
      </c>
      <c r="GY227" t="e">
        <f>AND(#REF!,"AAAAAFM9984=")</f>
        <v>#REF!</v>
      </c>
      <c r="GZ227" t="e">
        <f>AND(#REF!,"AAAAAFM9988=")</f>
        <v>#REF!</v>
      </c>
      <c r="HA227" t="e">
        <f>AND(#REF!,"AAAAAFM999A=")</f>
        <v>#REF!</v>
      </c>
      <c r="HB227" t="e">
        <f>IF(#REF!,"AAAAAFM999E=",0)</f>
        <v>#REF!</v>
      </c>
      <c r="HC227" t="e">
        <f>AND(#REF!,"AAAAAFM999I=")</f>
        <v>#REF!</v>
      </c>
      <c r="HD227" t="e">
        <f>AND(#REF!,"AAAAAFM999M=")</f>
        <v>#REF!</v>
      </c>
      <c r="HE227" t="e">
        <f>AND(#REF!,"AAAAAFM999Q=")</f>
        <v>#REF!</v>
      </c>
      <c r="HF227" t="e">
        <f>AND(#REF!,"AAAAAFM999U=")</f>
        <v>#REF!</v>
      </c>
      <c r="HG227" t="e">
        <f>AND(#REF!,"AAAAAFM999Y=")</f>
        <v>#REF!</v>
      </c>
      <c r="HH227" t="e">
        <f>AND(#REF!,"AAAAAFM999c=")</f>
        <v>#REF!</v>
      </c>
      <c r="HI227" t="e">
        <f>AND(#REF!,"AAAAAFM999g=")</f>
        <v>#REF!</v>
      </c>
      <c r="HJ227" t="e">
        <f>AND(#REF!,"AAAAAFM999k=")</f>
        <v>#REF!</v>
      </c>
      <c r="HK227" t="e">
        <f>AND(#REF!,"AAAAAFM999o=")</f>
        <v>#REF!</v>
      </c>
      <c r="HL227" t="e">
        <f>AND(#REF!,"AAAAAFM999s=")</f>
        <v>#REF!</v>
      </c>
      <c r="HM227" t="e">
        <f>IF(#REF!,"AAAAAFM999w=",0)</f>
        <v>#REF!</v>
      </c>
      <c r="HN227" t="e">
        <f>AND(#REF!,"AAAAAFM9990=")</f>
        <v>#REF!</v>
      </c>
      <c r="HO227" t="e">
        <f>AND(#REF!,"AAAAAFM9994=")</f>
        <v>#REF!</v>
      </c>
      <c r="HP227" t="e">
        <f>AND(#REF!,"AAAAAFM9998=")</f>
        <v>#REF!</v>
      </c>
      <c r="HQ227" t="e">
        <f>AND(#REF!,"AAAAAFM99+A=")</f>
        <v>#REF!</v>
      </c>
      <c r="HR227" t="e">
        <f>AND(#REF!,"AAAAAFM99+E=")</f>
        <v>#REF!</v>
      </c>
      <c r="HS227" t="e">
        <f>AND(#REF!,"AAAAAFM99+I=")</f>
        <v>#REF!</v>
      </c>
      <c r="HT227" t="e">
        <f>AND(#REF!,"AAAAAFM99+M=")</f>
        <v>#REF!</v>
      </c>
      <c r="HU227" t="e">
        <f>AND(#REF!,"AAAAAFM99+Q=")</f>
        <v>#REF!</v>
      </c>
      <c r="HV227" t="e">
        <f>AND(#REF!,"AAAAAFM99+U=")</f>
        <v>#REF!</v>
      </c>
      <c r="HW227" t="e">
        <f>AND(#REF!,"AAAAAFM99+Y=")</f>
        <v>#REF!</v>
      </c>
      <c r="HX227" t="e">
        <f>IF(#REF!,"AAAAAFM99+c=",0)</f>
        <v>#REF!</v>
      </c>
      <c r="HY227" t="e">
        <f>AND(#REF!,"AAAAAFM99+g=")</f>
        <v>#REF!</v>
      </c>
      <c r="HZ227" t="e">
        <f>AND(#REF!,"AAAAAFM99+k=")</f>
        <v>#REF!</v>
      </c>
      <c r="IA227" t="e">
        <f>AND(#REF!,"AAAAAFM99+o=")</f>
        <v>#REF!</v>
      </c>
      <c r="IB227" t="e">
        <f>AND(#REF!,"AAAAAFM99+s=")</f>
        <v>#REF!</v>
      </c>
      <c r="IC227" t="e">
        <f>AND(#REF!,"AAAAAFM99+w=")</f>
        <v>#REF!</v>
      </c>
      <c r="ID227" t="e">
        <f>AND(#REF!,"AAAAAFM99+0=")</f>
        <v>#REF!</v>
      </c>
      <c r="IE227" t="e">
        <f>AND(#REF!,"AAAAAFM99+4=")</f>
        <v>#REF!</v>
      </c>
      <c r="IF227" t="e">
        <f>AND(#REF!,"AAAAAFM99+8=")</f>
        <v>#REF!</v>
      </c>
      <c r="IG227" t="e">
        <f>AND(#REF!,"AAAAAFM99/A=")</f>
        <v>#REF!</v>
      </c>
      <c r="IH227" t="e">
        <f>AND(#REF!,"AAAAAFM99/E=")</f>
        <v>#REF!</v>
      </c>
      <c r="II227" t="e">
        <f>IF(#REF!,"AAAAAFM99/I=",0)</f>
        <v>#REF!</v>
      </c>
      <c r="IJ227" t="e">
        <f>AND(#REF!,"AAAAAFM99/M=")</f>
        <v>#REF!</v>
      </c>
      <c r="IK227" t="e">
        <f>AND(#REF!,"AAAAAFM99/Q=")</f>
        <v>#REF!</v>
      </c>
      <c r="IL227" t="e">
        <f>AND(#REF!,"AAAAAFM99/U=")</f>
        <v>#REF!</v>
      </c>
      <c r="IM227" t="e">
        <f>AND(#REF!,"AAAAAFM99/Y=")</f>
        <v>#REF!</v>
      </c>
      <c r="IN227" t="e">
        <f>AND(#REF!,"AAAAAFM99/c=")</f>
        <v>#REF!</v>
      </c>
      <c r="IO227" t="e">
        <f>AND(#REF!,"AAAAAFM99/g=")</f>
        <v>#REF!</v>
      </c>
      <c r="IP227" t="e">
        <f>AND(#REF!,"AAAAAFM99/k=")</f>
        <v>#REF!</v>
      </c>
      <c r="IQ227" t="e">
        <f>AND(#REF!,"AAAAAFM99/o=")</f>
        <v>#REF!</v>
      </c>
      <c r="IR227" t="e">
        <f>AND(#REF!,"AAAAAFM99/s=")</f>
        <v>#REF!</v>
      </c>
      <c r="IS227" t="e">
        <f>AND(#REF!,"AAAAAFM99/w=")</f>
        <v>#REF!</v>
      </c>
      <c r="IT227" t="e">
        <f>IF(#REF!,"AAAAAFM99/0=",0)</f>
        <v>#REF!</v>
      </c>
      <c r="IU227" t="e">
        <f>AND(#REF!,"AAAAAFM99/4=")</f>
        <v>#REF!</v>
      </c>
      <c r="IV227" t="e">
        <f>AND(#REF!,"AAAAAFM99/8=")</f>
        <v>#REF!</v>
      </c>
    </row>
    <row r="228" spans="1:256" x14ac:dyDescent="0.25">
      <c r="A228" t="e">
        <f>AND(#REF!,"AAAAAGPy7wA=")</f>
        <v>#REF!</v>
      </c>
      <c r="B228" t="e">
        <f>AND(#REF!,"AAAAAGPy7wE=")</f>
        <v>#REF!</v>
      </c>
      <c r="C228" t="e">
        <f>AND(#REF!,"AAAAAGPy7wI=")</f>
        <v>#REF!</v>
      </c>
      <c r="D228" t="e">
        <f>AND(#REF!,"AAAAAGPy7wM=")</f>
        <v>#REF!</v>
      </c>
      <c r="E228" t="e">
        <f>AND(#REF!,"AAAAAGPy7wQ=")</f>
        <v>#REF!</v>
      </c>
      <c r="F228" t="e">
        <f>AND(#REF!,"AAAAAGPy7wU=")</f>
        <v>#REF!</v>
      </c>
      <c r="G228" t="e">
        <f>AND(#REF!,"AAAAAGPy7wY=")</f>
        <v>#REF!</v>
      </c>
      <c r="H228" t="e">
        <f>AND(#REF!,"AAAAAGPy7wc=")</f>
        <v>#REF!</v>
      </c>
      <c r="I228" t="e">
        <f>IF(#REF!,"AAAAAGPy7wg=",0)</f>
        <v>#REF!</v>
      </c>
      <c r="J228" t="e">
        <f>AND(#REF!,"AAAAAGPy7wk=")</f>
        <v>#REF!</v>
      </c>
      <c r="K228" t="e">
        <f>AND(#REF!,"AAAAAGPy7wo=")</f>
        <v>#REF!</v>
      </c>
      <c r="L228" t="e">
        <f>AND(#REF!,"AAAAAGPy7ws=")</f>
        <v>#REF!</v>
      </c>
      <c r="M228" t="e">
        <f>AND(#REF!,"AAAAAGPy7ww=")</f>
        <v>#REF!</v>
      </c>
      <c r="N228" t="e">
        <f>AND(#REF!,"AAAAAGPy7w0=")</f>
        <v>#REF!</v>
      </c>
      <c r="O228" t="e">
        <f>AND(#REF!,"AAAAAGPy7w4=")</f>
        <v>#REF!</v>
      </c>
      <c r="P228" t="e">
        <f>AND(#REF!,"AAAAAGPy7w8=")</f>
        <v>#REF!</v>
      </c>
      <c r="Q228" t="e">
        <f>AND(#REF!,"AAAAAGPy7xA=")</f>
        <v>#REF!</v>
      </c>
      <c r="R228" t="e">
        <f>AND(#REF!,"AAAAAGPy7xE=")</f>
        <v>#REF!</v>
      </c>
      <c r="S228" t="e">
        <f>AND(#REF!,"AAAAAGPy7xI=")</f>
        <v>#REF!</v>
      </c>
      <c r="T228" t="e">
        <f>IF(#REF!,"AAAAAGPy7xM=",0)</f>
        <v>#REF!</v>
      </c>
      <c r="U228" t="e">
        <f>AND(#REF!,"AAAAAGPy7xQ=")</f>
        <v>#REF!</v>
      </c>
      <c r="V228" t="e">
        <f>AND(#REF!,"AAAAAGPy7xU=")</f>
        <v>#REF!</v>
      </c>
      <c r="W228" t="e">
        <f>AND(#REF!,"AAAAAGPy7xY=")</f>
        <v>#REF!</v>
      </c>
      <c r="X228" t="e">
        <f>AND(#REF!,"AAAAAGPy7xc=")</f>
        <v>#REF!</v>
      </c>
      <c r="Y228" t="e">
        <f>AND(#REF!,"AAAAAGPy7xg=")</f>
        <v>#REF!</v>
      </c>
      <c r="Z228" t="e">
        <f>AND(#REF!,"AAAAAGPy7xk=")</f>
        <v>#REF!</v>
      </c>
      <c r="AA228" t="e">
        <f>AND(#REF!,"AAAAAGPy7xo=")</f>
        <v>#REF!</v>
      </c>
      <c r="AB228" t="e">
        <f>AND(#REF!,"AAAAAGPy7xs=")</f>
        <v>#REF!</v>
      </c>
      <c r="AC228" t="e">
        <f>AND(#REF!,"AAAAAGPy7xw=")</f>
        <v>#REF!</v>
      </c>
      <c r="AD228" t="e">
        <f>AND(#REF!,"AAAAAGPy7x0=")</f>
        <v>#REF!</v>
      </c>
      <c r="AE228" t="e">
        <f>IF(#REF!,"AAAAAGPy7x4=",0)</f>
        <v>#REF!</v>
      </c>
      <c r="AF228" t="e">
        <f>AND(#REF!,"AAAAAGPy7x8=")</f>
        <v>#REF!</v>
      </c>
      <c r="AG228" t="e">
        <f>AND(#REF!,"AAAAAGPy7yA=")</f>
        <v>#REF!</v>
      </c>
      <c r="AH228" t="e">
        <f>AND(#REF!,"AAAAAGPy7yE=")</f>
        <v>#REF!</v>
      </c>
      <c r="AI228" t="e">
        <f>AND(#REF!,"AAAAAGPy7yI=")</f>
        <v>#REF!</v>
      </c>
      <c r="AJ228" t="e">
        <f>AND(#REF!,"AAAAAGPy7yM=")</f>
        <v>#REF!</v>
      </c>
      <c r="AK228" t="e">
        <f>AND(#REF!,"AAAAAGPy7yQ=")</f>
        <v>#REF!</v>
      </c>
      <c r="AL228" t="e">
        <f>AND(#REF!,"AAAAAGPy7yU=")</f>
        <v>#REF!</v>
      </c>
      <c r="AM228" t="e">
        <f>AND(#REF!,"AAAAAGPy7yY=")</f>
        <v>#REF!</v>
      </c>
      <c r="AN228" t="e">
        <f>AND(#REF!,"AAAAAGPy7yc=")</f>
        <v>#REF!</v>
      </c>
      <c r="AO228" t="e">
        <f>AND(#REF!,"AAAAAGPy7yg=")</f>
        <v>#REF!</v>
      </c>
      <c r="AP228" t="e">
        <f>IF(#REF!,"AAAAAGPy7yk=",0)</f>
        <v>#REF!</v>
      </c>
      <c r="AQ228" t="e">
        <f>AND(#REF!,"AAAAAGPy7yo=")</f>
        <v>#REF!</v>
      </c>
      <c r="AR228" t="e">
        <f>AND(#REF!,"AAAAAGPy7ys=")</f>
        <v>#REF!</v>
      </c>
      <c r="AS228" t="e">
        <f>AND(#REF!,"AAAAAGPy7yw=")</f>
        <v>#REF!</v>
      </c>
      <c r="AT228" t="e">
        <f>AND(#REF!,"AAAAAGPy7y0=")</f>
        <v>#REF!</v>
      </c>
      <c r="AU228" t="e">
        <f>AND(#REF!,"AAAAAGPy7y4=")</f>
        <v>#REF!</v>
      </c>
      <c r="AV228" t="e">
        <f>AND(#REF!,"AAAAAGPy7y8=")</f>
        <v>#REF!</v>
      </c>
      <c r="AW228" t="e">
        <f>AND(#REF!,"AAAAAGPy7zA=")</f>
        <v>#REF!</v>
      </c>
      <c r="AX228" t="e">
        <f>AND(#REF!,"AAAAAGPy7zE=")</f>
        <v>#REF!</v>
      </c>
      <c r="AY228" t="e">
        <f>AND(#REF!,"AAAAAGPy7zI=")</f>
        <v>#REF!</v>
      </c>
      <c r="AZ228" t="e">
        <f>AND(#REF!,"AAAAAGPy7zM=")</f>
        <v>#REF!</v>
      </c>
      <c r="BA228" t="e">
        <f>IF(#REF!,"AAAAAGPy7zQ=",0)</f>
        <v>#REF!</v>
      </c>
      <c r="BB228" t="e">
        <f>AND(#REF!,"AAAAAGPy7zU=")</f>
        <v>#REF!</v>
      </c>
      <c r="BC228" t="e">
        <f>AND(#REF!,"AAAAAGPy7zY=")</f>
        <v>#REF!</v>
      </c>
      <c r="BD228" t="e">
        <f>AND(#REF!,"AAAAAGPy7zc=")</f>
        <v>#REF!</v>
      </c>
      <c r="BE228" t="e">
        <f>AND(#REF!,"AAAAAGPy7zg=")</f>
        <v>#REF!</v>
      </c>
      <c r="BF228" t="e">
        <f>AND(#REF!,"AAAAAGPy7zk=")</f>
        <v>#REF!</v>
      </c>
      <c r="BG228" t="e">
        <f>AND(#REF!,"AAAAAGPy7zo=")</f>
        <v>#REF!</v>
      </c>
      <c r="BH228" t="e">
        <f>AND(#REF!,"AAAAAGPy7zs=")</f>
        <v>#REF!</v>
      </c>
      <c r="BI228" t="e">
        <f>AND(#REF!,"AAAAAGPy7zw=")</f>
        <v>#REF!</v>
      </c>
      <c r="BJ228" t="e">
        <f>AND(#REF!,"AAAAAGPy7z0=")</f>
        <v>#REF!</v>
      </c>
      <c r="BK228" t="e">
        <f>AND(#REF!,"AAAAAGPy7z4=")</f>
        <v>#REF!</v>
      </c>
      <c r="BL228" t="e">
        <f>IF(#REF!,"AAAAAGPy7z8=",0)</f>
        <v>#REF!</v>
      </c>
      <c r="BM228" t="e">
        <f>AND(#REF!,"AAAAAGPy70A=")</f>
        <v>#REF!</v>
      </c>
      <c r="BN228" t="e">
        <f>AND(#REF!,"AAAAAGPy70E=")</f>
        <v>#REF!</v>
      </c>
      <c r="BO228" t="e">
        <f>AND(#REF!,"AAAAAGPy70I=")</f>
        <v>#REF!</v>
      </c>
      <c r="BP228" t="e">
        <f>AND(#REF!,"AAAAAGPy70M=")</f>
        <v>#REF!</v>
      </c>
      <c r="BQ228" t="e">
        <f>AND(#REF!,"AAAAAGPy70Q=")</f>
        <v>#REF!</v>
      </c>
      <c r="BR228" t="e">
        <f>AND(#REF!,"AAAAAGPy70U=")</f>
        <v>#REF!</v>
      </c>
      <c r="BS228" t="e">
        <f>AND(#REF!,"AAAAAGPy70Y=")</f>
        <v>#REF!</v>
      </c>
      <c r="BT228" t="e">
        <f>AND(#REF!,"AAAAAGPy70c=")</f>
        <v>#REF!</v>
      </c>
      <c r="BU228" t="e">
        <f>AND(#REF!,"AAAAAGPy70g=")</f>
        <v>#REF!</v>
      </c>
      <c r="BV228" t="e">
        <f>AND(#REF!,"AAAAAGPy70k=")</f>
        <v>#REF!</v>
      </c>
      <c r="BW228" t="e">
        <f>IF(#REF!,"AAAAAGPy70o=",0)</f>
        <v>#REF!</v>
      </c>
      <c r="BX228" t="e">
        <f>AND(#REF!,"AAAAAGPy70s=")</f>
        <v>#REF!</v>
      </c>
      <c r="BY228" t="e">
        <f>AND(#REF!,"AAAAAGPy70w=")</f>
        <v>#REF!</v>
      </c>
      <c r="BZ228" t="e">
        <f>AND(#REF!,"AAAAAGPy700=")</f>
        <v>#REF!</v>
      </c>
      <c r="CA228" t="e">
        <f>AND(#REF!,"AAAAAGPy704=")</f>
        <v>#REF!</v>
      </c>
      <c r="CB228" t="e">
        <f>AND(#REF!,"AAAAAGPy708=")</f>
        <v>#REF!</v>
      </c>
      <c r="CC228" t="e">
        <f>AND(#REF!,"AAAAAGPy71A=")</f>
        <v>#REF!</v>
      </c>
      <c r="CD228" t="e">
        <f>AND(#REF!,"AAAAAGPy71E=")</f>
        <v>#REF!</v>
      </c>
      <c r="CE228" t="e">
        <f>AND(#REF!,"AAAAAGPy71I=")</f>
        <v>#REF!</v>
      </c>
      <c r="CF228" t="e">
        <f>AND(#REF!,"AAAAAGPy71M=")</f>
        <v>#REF!</v>
      </c>
      <c r="CG228" t="e">
        <f>AND(#REF!,"AAAAAGPy71Q=")</f>
        <v>#REF!</v>
      </c>
      <c r="CH228" t="e">
        <f>IF(#REF!,"AAAAAGPy71U=",0)</f>
        <v>#REF!</v>
      </c>
      <c r="CI228" t="e">
        <f>AND(#REF!,"AAAAAGPy71Y=")</f>
        <v>#REF!</v>
      </c>
      <c r="CJ228" t="e">
        <f>AND(#REF!,"AAAAAGPy71c=")</f>
        <v>#REF!</v>
      </c>
      <c r="CK228" t="e">
        <f>AND(#REF!,"AAAAAGPy71g=")</f>
        <v>#REF!</v>
      </c>
      <c r="CL228" t="e">
        <f>AND(#REF!,"AAAAAGPy71k=")</f>
        <v>#REF!</v>
      </c>
      <c r="CM228" t="e">
        <f>AND(#REF!,"AAAAAGPy71o=")</f>
        <v>#REF!</v>
      </c>
      <c r="CN228" t="e">
        <f>AND(#REF!,"AAAAAGPy71s=")</f>
        <v>#REF!</v>
      </c>
      <c r="CO228" t="e">
        <f>AND(#REF!,"AAAAAGPy71w=")</f>
        <v>#REF!</v>
      </c>
      <c r="CP228" t="e">
        <f>AND(#REF!,"AAAAAGPy710=")</f>
        <v>#REF!</v>
      </c>
      <c r="CQ228" t="e">
        <f>AND(#REF!,"AAAAAGPy714=")</f>
        <v>#REF!</v>
      </c>
      <c r="CR228" t="e">
        <f>AND(#REF!,"AAAAAGPy718=")</f>
        <v>#REF!</v>
      </c>
      <c r="CS228" t="e">
        <f>IF(#REF!,"AAAAAGPy72A=",0)</f>
        <v>#REF!</v>
      </c>
      <c r="CT228" t="e">
        <f>AND(#REF!,"AAAAAGPy72E=")</f>
        <v>#REF!</v>
      </c>
      <c r="CU228" t="e">
        <f>AND(#REF!,"AAAAAGPy72I=")</f>
        <v>#REF!</v>
      </c>
      <c r="CV228" t="e">
        <f>AND(#REF!,"AAAAAGPy72M=")</f>
        <v>#REF!</v>
      </c>
      <c r="CW228" t="e">
        <f>AND(#REF!,"AAAAAGPy72Q=")</f>
        <v>#REF!</v>
      </c>
      <c r="CX228" t="e">
        <f>AND(#REF!,"AAAAAGPy72U=")</f>
        <v>#REF!</v>
      </c>
      <c r="CY228" t="e">
        <f>AND(#REF!,"AAAAAGPy72Y=")</f>
        <v>#REF!</v>
      </c>
      <c r="CZ228" t="e">
        <f>AND(#REF!,"AAAAAGPy72c=")</f>
        <v>#REF!</v>
      </c>
      <c r="DA228" t="e">
        <f>AND(#REF!,"AAAAAGPy72g=")</f>
        <v>#REF!</v>
      </c>
      <c r="DB228" t="e">
        <f>AND(#REF!,"AAAAAGPy72k=")</f>
        <v>#REF!</v>
      </c>
      <c r="DC228" t="e">
        <f>AND(#REF!,"AAAAAGPy72o=")</f>
        <v>#REF!</v>
      </c>
      <c r="DD228" t="e">
        <f>IF(#REF!,"AAAAAGPy72s=",0)</f>
        <v>#REF!</v>
      </c>
      <c r="DE228" t="e">
        <f>AND(#REF!,"AAAAAGPy72w=")</f>
        <v>#REF!</v>
      </c>
      <c r="DF228" t="e">
        <f>AND(#REF!,"AAAAAGPy720=")</f>
        <v>#REF!</v>
      </c>
      <c r="DG228" t="e">
        <f>AND(#REF!,"AAAAAGPy724=")</f>
        <v>#REF!</v>
      </c>
      <c r="DH228" t="e">
        <f>AND(#REF!,"AAAAAGPy728=")</f>
        <v>#REF!</v>
      </c>
      <c r="DI228" t="e">
        <f>AND(#REF!,"AAAAAGPy73A=")</f>
        <v>#REF!</v>
      </c>
      <c r="DJ228" t="e">
        <f>AND(#REF!,"AAAAAGPy73E=")</f>
        <v>#REF!</v>
      </c>
      <c r="DK228" t="e">
        <f>AND(#REF!,"AAAAAGPy73I=")</f>
        <v>#REF!</v>
      </c>
      <c r="DL228" t="e">
        <f>AND(#REF!,"AAAAAGPy73M=")</f>
        <v>#REF!</v>
      </c>
      <c r="DM228" t="e">
        <f>AND(#REF!,"AAAAAGPy73Q=")</f>
        <v>#REF!</v>
      </c>
      <c r="DN228" t="e">
        <f>AND(#REF!,"AAAAAGPy73U=")</f>
        <v>#REF!</v>
      </c>
      <c r="DO228" t="e">
        <f>IF(#REF!,"AAAAAGPy73Y=",0)</f>
        <v>#REF!</v>
      </c>
      <c r="DP228" t="e">
        <f>AND(#REF!,"AAAAAGPy73c=")</f>
        <v>#REF!</v>
      </c>
      <c r="DQ228" t="e">
        <f>AND(#REF!,"AAAAAGPy73g=")</f>
        <v>#REF!</v>
      </c>
      <c r="DR228" t="e">
        <f>AND(#REF!,"AAAAAGPy73k=")</f>
        <v>#REF!</v>
      </c>
      <c r="DS228" t="e">
        <f>AND(#REF!,"AAAAAGPy73o=")</f>
        <v>#REF!</v>
      </c>
      <c r="DT228" t="e">
        <f>AND(#REF!,"AAAAAGPy73s=")</f>
        <v>#REF!</v>
      </c>
      <c r="DU228" t="e">
        <f>AND(#REF!,"AAAAAGPy73w=")</f>
        <v>#REF!</v>
      </c>
      <c r="DV228" t="e">
        <f>AND(#REF!,"AAAAAGPy730=")</f>
        <v>#REF!</v>
      </c>
      <c r="DW228" t="e">
        <f>AND(#REF!,"AAAAAGPy734=")</f>
        <v>#REF!</v>
      </c>
      <c r="DX228" t="e">
        <f>AND(#REF!,"AAAAAGPy738=")</f>
        <v>#REF!</v>
      </c>
      <c r="DY228" t="e">
        <f>AND(#REF!,"AAAAAGPy74A=")</f>
        <v>#REF!</v>
      </c>
      <c r="DZ228" t="e">
        <f>IF(#REF!,"AAAAAGPy74E=",0)</f>
        <v>#REF!</v>
      </c>
      <c r="EA228" t="e">
        <f>AND(#REF!,"AAAAAGPy74I=")</f>
        <v>#REF!</v>
      </c>
      <c r="EB228" t="e">
        <f>AND(#REF!,"AAAAAGPy74M=")</f>
        <v>#REF!</v>
      </c>
      <c r="EC228" t="e">
        <f>AND(#REF!,"AAAAAGPy74Q=")</f>
        <v>#REF!</v>
      </c>
      <c r="ED228" t="e">
        <f>AND(#REF!,"AAAAAGPy74U=")</f>
        <v>#REF!</v>
      </c>
      <c r="EE228" t="e">
        <f>AND(#REF!,"AAAAAGPy74Y=")</f>
        <v>#REF!</v>
      </c>
      <c r="EF228" t="e">
        <f>AND(#REF!,"AAAAAGPy74c=")</f>
        <v>#REF!</v>
      </c>
      <c r="EG228" t="e">
        <f>AND(#REF!,"AAAAAGPy74g=")</f>
        <v>#REF!</v>
      </c>
      <c r="EH228" t="e">
        <f>AND(#REF!,"AAAAAGPy74k=")</f>
        <v>#REF!</v>
      </c>
      <c r="EI228" t="e">
        <f>AND(#REF!,"AAAAAGPy74o=")</f>
        <v>#REF!</v>
      </c>
      <c r="EJ228" t="e">
        <f>AND(#REF!,"AAAAAGPy74s=")</f>
        <v>#REF!</v>
      </c>
      <c r="EK228" t="e">
        <f>IF(#REF!,"AAAAAGPy74w=",0)</f>
        <v>#REF!</v>
      </c>
      <c r="EL228" t="e">
        <f>AND(#REF!,"AAAAAGPy740=")</f>
        <v>#REF!</v>
      </c>
      <c r="EM228" t="e">
        <f>AND(#REF!,"AAAAAGPy744=")</f>
        <v>#REF!</v>
      </c>
      <c r="EN228" t="e">
        <f>AND(#REF!,"AAAAAGPy748=")</f>
        <v>#REF!</v>
      </c>
      <c r="EO228" t="e">
        <f>AND(#REF!,"AAAAAGPy75A=")</f>
        <v>#REF!</v>
      </c>
      <c r="EP228" t="e">
        <f>AND(#REF!,"AAAAAGPy75E=")</f>
        <v>#REF!</v>
      </c>
      <c r="EQ228" t="e">
        <f>AND(#REF!,"AAAAAGPy75I=")</f>
        <v>#REF!</v>
      </c>
      <c r="ER228" t="e">
        <f>AND(#REF!,"AAAAAGPy75M=")</f>
        <v>#REF!</v>
      </c>
      <c r="ES228" t="e">
        <f>AND(#REF!,"AAAAAGPy75Q=")</f>
        <v>#REF!</v>
      </c>
      <c r="ET228" t="e">
        <f>AND(#REF!,"AAAAAGPy75U=")</f>
        <v>#REF!</v>
      </c>
      <c r="EU228" t="e">
        <f>AND(#REF!,"AAAAAGPy75Y=")</f>
        <v>#REF!</v>
      </c>
      <c r="EV228" t="e">
        <f>IF(#REF!,"AAAAAGPy75c=",0)</f>
        <v>#REF!</v>
      </c>
      <c r="EW228" t="e">
        <f>AND(#REF!,"AAAAAGPy75g=")</f>
        <v>#REF!</v>
      </c>
      <c r="EX228" t="e">
        <f>AND(#REF!,"AAAAAGPy75k=")</f>
        <v>#REF!</v>
      </c>
      <c r="EY228" t="e">
        <f>AND(#REF!,"AAAAAGPy75o=")</f>
        <v>#REF!</v>
      </c>
      <c r="EZ228" t="e">
        <f>AND(#REF!,"AAAAAGPy75s=")</f>
        <v>#REF!</v>
      </c>
      <c r="FA228" t="e">
        <f>AND(#REF!,"AAAAAGPy75w=")</f>
        <v>#REF!</v>
      </c>
      <c r="FB228" t="e">
        <f>AND(#REF!,"AAAAAGPy750=")</f>
        <v>#REF!</v>
      </c>
      <c r="FC228" t="e">
        <f>AND(#REF!,"AAAAAGPy754=")</f>
        <v>#REF!</v>
      </c>
      <c r="FD228" t="e">
        <f>AND(#REF!,"AAAAAGPy758=")</f>
        <v>#REF!</v>
      </c>
      <c r="FE228" t="e">
        <f>AND(#REF!,"AAAAAGPy76A=")</f>
        <v>#REF!</v>
      </c>
      <c r="FF228" t="e">
        <f>AND(#REF!,"AAAAAGPy76E=")</f>
        <v>#REF!</v>
      </c>
      <c r="FG228" t="e">
        <f>IF(#REF!,"AAAAAGPy76I=",0)</f>
        <v>#REF!</v>
      </c>
      <c r="FH228" t="e">
        <f>AND(#REF!,"AAAAAGPy76M=")</f>
        <v>#REF!</v>
      </c>
      <c r="FI228" t="e">
        <f>AND(#REF!,"AAAAAGPy76Q=")</f>
        <v>#REF!</v>
      </c>
      <c r="FJ228" t="e">
        <f>AND(#REF!,"AAAAAGPy76U=")</f>
        <v>#REF!</v>
      </c>
      <c r="FK228" t="e">
        <f>AND(#REF!,"AAAAAGPy76Y=")</f>
        <v>#REF!</v>
      </c>
      <c r="FL228" t="e">
        <f>AND(#REF!,"AAAAAGPy76c=")</f>
        <v>#REF!</v>
      </c>
      <c r="FM228" t="e">
        <f>AND(#REF!,"AAAAAGPy76g=")</f>
        <v>#REF!</v>
      </c>
      <c r="FN228" t="e">
        <f>AND(#REF!,"AAAAAGPy76k=")</f>
        <v>#REF!</v>
      </c>
      <c r="FO228" t="e">
        <f>AND(#REF!,"AAAAAGPy76o=")</f>
        <v>#REF!</v>
      </c>
      <c r="FP228" t="e">
        <f>AND(#REF!,"AAAAAGPy76s=")</f>
        <v>#REF!</v>
      </c>
      <c r="FQ228" t="e">
        <f>AND(#REF!,"AAAAAGPy76w=")</f>
        <v>#REF!</v>
      </c>
      <c r="FR228" t="e">
        <f>IF(#REF!,"AAAAAGPy760=",0)</f>
        <v>#REF!</v>
      </c>
      <c r="FS228" t="e">
        <f>AND(#REF!,"AAAAAGPy764=")</f>
        <v>#REF!</v>
      </c>
      <c r="FT228" t="e">
        <f>AND(#REF!,"AAAAAGPy768=")</f>
        <v>#REF!</v>
      </c>
      <c r="FU228" t="e">
        <f>AND(#REF!,"AAAAAGPy77A=")</f>
        <v>#REF!</v>
      </c>
      <c r="FV228" t="e">
        <f>AND(#REF!,"AAAAAGPy77E=")</f>
        <v>#REF!</v>
      </c>
      <c r="FW228" t="e">
        <f>AND(#REF!,"AAAAAGPy77I=")</f>
        <v>#REF!</v>
      </c>
      <c r="FX228" t="e">
        <f>AND(#REF!,"AAAAAGPy77M=")</f>
        <v>#REF!</v>
      </c>
      <c r="FY228" t="e">
        <f>AND(#REF!,"AAAAAGPy77Q=")</f>
        <v>#REF!</v>
      </c>
      <c r="FZ228" t="e">
        <f>AND(#REF!,"AAAAAGPy77U=")</f>
        <v>#REF!</v>
      </c>
      <c r="GA228" t="e">
        <f>AND(#REF!,"AAAAAGPy77Y=")</f>
        <v>#REF!</v>
      </c>
      <c r="GB228" t="e">
        <f>AND(#REF!,"AAAAAGPy77c=")</f>
        <v>#REF!</v>
      </c>
      <c r="GC228" t="e">
        <f>IF(#REF!,"AAAAAGPy77g=",0)</f>
        <v>#REF!</v>
      </c>
      <c r="GD228" t="e">
        <f>AND(#REF!,"AAAAAGPy77k=")</f>
        <v>#REF!</v>
      </c>
      <c r="GE228" t="e">
        <f>AND(#REF!,"AAAAAGPy77o=")</f>
        <v>#REF!</v>
      </c>
      <c r="GF228" t="e">
        <f>AND(#REF!,"AAAAAGPy77s=")</f>
        <v>#REF!</v>
      </c>
      <c r="GG228" t="e">
        <f>AND(#REF!,"AAAAAGPy77w=")</f>
        <v>#REF!</v>
      </c>
      <c r="GH228" t="e">
        <f>AND(#REF!,"AAAAAGPy770=")</f>
        <v>#REF!</v>
      </c>
      <c r="GI228" t="e">
        <f>AND(#REF!,"AAAAAGPy774=")</f>
        <v>#REF!</v>
      </c>
      <c r="GJ228" t="e">
        <f>AND(#REF!,"AAAAAGPy778=")</f>
        <v>#REF!</v>
      </c>
      <c r="GK228" t="e">
        <f>AND(#REF!,"AAAAAGPy78A=")</f>
        <v>#REF!</v>
      </c>
      <c r="GL228" t="e">
        <f>AND(#REF!,"AAAAAGPy78E=")</f>
        <v>#REF!</v>
      </c>
      <c r="GM228" t="e">
        <f>AND(#REF!,"AAAAAGPy78I=")</f>
        <v>#REF!</v>
      </c>
      <c r="GN228" t="e">
        <f>IF(#REF!,"AAAAAGPy78M=",0)</f>
        <v>#REF!</v>
      </c>
      <c r="GO228" t="e">
        <f>AND(#REF!,"AAAAAGPy78Q=")</f>
        <v>#REF!</v>
      </c>
      <c r="GP228" t="e">
        <f>AND(#REF!,"AAAAAGPy78U=")</f>
        <v>#REF!</v>
      </c>
      <c r="GQ228" t="e">
        <f>AND(#REF!,"AAAAAGPy78Y=")</f>
        <v>#REF!</v>
      </c>
      <c r="GR228" t="e">
        <f>AND(#REF!,"AAAAAGPy78c=")</f>
        <v>#REF!</v>
      </c>
      <c r="GS228" t="e">
        <f>AND(#REF!,"AAAAAGPy78g=")</f>
        <v>#REF!</v>
      </c>
      <c r="GT228" t="e">
        <f>AND(#REF!,"AAAAAGPy78k=")</f>
        <v>#REF!</v>
      </c>
      <c r="GU228" t="e">
        <f>AND(#REF!,"AAAAAGPy78o=")</f>
        <v>#REF!</v>
      </c>
      <c r="GV228" t="e">
        <f>AND(#REF!,"AAAAAGPy78s=")</f>
        <v>#REF!</v>
      </c>
      <c r="GW228" t="e">
        <f>AND(#REF!,"AAAAAGPy78w=")</f>
        <v>#REF!</v>
      </c>
      <c r="GX228" t="e">
        <f>AND(#REF!,"AAAAAGPy780=")</f>
        <v>#REF!</v>
      </c>
      <c r="GY228" t="e">
        <f>IF(#REF!,"AAAAAGPy784=",0)</f>
        <v>#REF!</v>
      </c>
      <c r="GZ228" t="e">
        <f>AND(#REF!,"AAAAAGPy788=")</f>
        <v>#REF!</v>
      </c>
      <c r="HA228" t="e">
        <f>AND(#REF!,"AAAAAGPy79A=")</f>
        <v>#REF!</v>
      </c>
      <c r="HB228" t="e">
        <f>AND(#REF!,"AAAAAGPy79E=")</f>
        <v>#REF!</v>
      </c>
      <c r="HC228" t="e">
        <f>AND(#REF!,"AAAAAGPy79I=")</f>
        <v>#REF!</v>
      </c>
      <c r="HD228" t="e">
        <f>AND(#REF!,"AAAAAGPy79M=")</f>
        <v>#REF!</v>
      </c>
      <c r="HE228" t="e">
        <f>AND(#REF!,"AAAAAGPy79Q=")</f>
        <v>#REF!</v>
      </c>
      <c r="HF228" t="e">
        <f>AND(#REF!,"AAAAAGPy79U=")</f>
        <v>#REF!</v>
      </c>
      <c r="HG228" t="e">
        <f>AND(#REF!,"AAAAAGPy79Y=")</f>
        <v>#REF!</v>
      </c>
      <c r="HH228" t="e">
        <f>AND(#REF!,"AAAAAGPy79c=")</f>
        <v>#REF!</v>
      </c>
      <c r="HI228" t="e">
        <f>AND(#REF!,"AAAAAGPy79g=")</f>
        <v>#REF!</v>
      </c>
      <c r="HJ228" t="e">
        <f>IF(#REF!,"AAAAAGPy79k=",0)</f>
        <v>#REF!</v>
      </c>
      <c r="HK228" t="e">
        <f>AND(#REF!,"AAAAAGPy79o=")</f>
        <v>#REF!</v>
      </c>
      <c r="HL228" t="e">
        <f>AND(#REF!,"AAAAAGPy79s=")</f>
        <v>#REF!</v>
      </c>
      <c r="HM228" t="e">
        <f>AND(#REF!,"AAAAAGPy79w=")</f>
        <v>#REF!</v>
      </c>
      <c r="HN228" t="e">
        <f>AND(#REF!,"AAAAAGPy790=")</f>
        <v>#REF!</v>
      </c>
      <c r="HO228" t="e">
        <f>AND(#REF!,"AAAAAGPy794=")</f>
        <v>#REF!</v>
      </c>
      <c r="HP228" t="e">
        <f>AND(#REF!,"AAAAAGPy798=")</f>
        <v>#REF!</v>
      </c>
      <c r="HQ228" t="e">
        <f>AND(#REF!,"AAAAAGPy7+A=")</f>
        <v>#REF!</v>
      </c>
      <c r="HR228" t="e">
        <f>AND(#REF!,"AAAAAGPy7+E=")</f>
        <v>#REF!</v>
      </c>
      <c r="HS228" t="e">
        <f>AND(#REF!,"AAAAAGPy7+I=")</f>
        <v>#REF!</v>
      </c>
      <c r="HT228" t="e">
        <f>AND(#REF!,"AAAAAGPy7+M=")</f>
        <v>#REF!</v>
      </c>
      <c r="HU228" t="e">
        <f>IF(#REF!,"AAAAAGPy7+Q=",0)</f>
        <v>#REF!</v>
      </c>
      <c r="HV228" t="e">
        <f>AND(#REF!,"AAAAAGPy7+U=")</f>
        <v>#REF!</v>
      </c>
      <c r="HW228" t="e">
        <f>AND(#REF!,"AAAAAGPy7+Y=")</f>
        <v>#REF!</v>
      </c>
      <c r="HX228" t="e">
        <f>AND(#REF!,"AAAAAGPy7+c=")</f>
        <v>#REF!</v>
      </c>
      <c r="HY228" t="e">
        <f>AND(#REF!,"AAAAAGPy7+g=")</f>
        <v>#REF!</v>
      </c>
      <c r="HZ228" t="e">
        <f>AND(#REF!,"AAAAAGPy7+k=")</f>
        <v>#REF!</v>
      </c>
      <c r="IA228" t="e">
        <f>AND(#REF!,"AAAAAGPy7+o=")</f>
        <v>#REF!</v>
      </c>
      <c r="IB228" t="e">
        <f>AND(#REF!,"AAAAAGPy7+s=")</f>
        <v>#REF!</v>
      </c>
      <c r="IC228" t="e">
        <f>AND(#REF!,"AAAAAGPy7+w=")</f>
        <v>#REF!</v>
      </c>
      <c r="ID228" t="e">
        <f>AND(#REF!,"AAAAAGPy7+0=")</f>
        <v>#REF!</v>
      </c>
      <c r="IE228" t="e">
        <f>AND(#REF!,"AAAAAGPy7+4=")</f>
        <v>#REF!</v>
      </c>
      <c r="IF228" t="e">
        <f>IF(#REF!,"AAAAAGPy7+8=",0)</f>
        <v>#REF!</v>
      </c>
      <c r="IG228" t="e">
        <f>AND(#REF!,"AAAAAGPy7/A=")</f>
        <v>#REF!</v>
      </c>
      <c r="IH228" t="e">
        <f>AND(#REF!,"AAAAAGPy7/E=")</f>
        <v>#REF!</v>
      </c>
      <c r="II228" t="e">
        <f>AND(#REF!,"AAAAAGPy7/I=")</f>
        <v>#REF!</v>
      </c>
      <c r="IJ228" t="e">
        <f>AND(#REF!,"AAAAAGPy7/M=")</f>
        <v>#REF!</v>
      </c>
      <c r="IK228" t="e">
        <f>AND(#REF!,"AAAAAGPy7/Q=")</f>
        <v>#REF!</v>
      </c>
      <c r="IL228" t="e">
        <f>AND(#REF!,"AAAAAGPy7/U=")</f>
        <v>#REF!</v>
      </c>
      <c r="IM228" t="e">
        <f>AND(#REF!,"AAAAAGPy7/Y=")</f>
        <v>#REF!</v>
      </c>
      <c r="IN228" t="e">
        <f>AND(#REF!,"AAAAAGPy7/c=")</f>
        <v>#REF!</v>
      </c>
      <c r="IO228" t="e">
        <f>AND(#REF!,"AAAAAGPy7/g=")</f>
        <v>#REF!</v>
      </c>
      <c r="IP228" t="e">
        <f>AND(#REF!,"AAAAAGPy7/k=")</f>
        <v>#REF!</v>
      </c>
      <c r="IQ228" t="e">
        <f>IF(#REF!,"AAAAAGPy7/o=",0)</f>
        <v>#REF!</v>
      </c>
      <c r="IR228" t="e">
        <f>AND(#REF!,"AAAAAGPy7/s=")</f>
        <v>#REF!</v>
      </c>
      <c r="IS228" t="e">
        <f>AND(#REF!,"AAAAAGPy7/w=")</f>
        <v>#REF!</v>
      </c>
      <c r="IT228" t="e">
        <f>AND(#REF!,"AAAAAGPy7/0=")</f>
        <v>#REF!</v>
      </c>
      <c r="IU228" t="e">
        <f>AND(#REF!,"AAAAAGPy7/4=")</f>
        <v>#REF!</v>
      </c>
      <c r="IV228" t="e">
        <f>AND(#REF!,"AAAAAGPy7/8=")</f>
        <v>#REF!</v>
      </c>
    </row>
    <row r="229" spans="1:256" x14ac:dyDescent="0.25">
      <c r="A229" t="e">
        <f>AND(#REF!,"AAAAAA/29QA=")</f>
        <v>#REF!</v>
      </c>
      <c r="B229" t="e">
        <f>AND(#REF!,"AAAAAA/29QE=")</f>
        <v>#REF!</v>
      </c>
      <c r="C229" t="e">
        <f>AND(#REF!,"AAAAAA/29QI=")</f>
        <v>#REF!</v>
      </c>
      <c r="D229" t="e">
        <f>AND(#REF!,"AAAAAA/29QM=")</f>
        <v>#REF!</v>
      </c>
      <c r="E229" t="e">
        <f>AND(#REF!,"AAAAAA/29QQ=")</f>
        <v>#REF!</v>
      </c>
      <c r="F229" t="e">
        <f>IF(#REF!,"AAAAAA/29QU=",0)</f>
        <v>#REF!</v>
      </c>
      <c r="G229" t="e">
        <f>AND(#REF!,"AAAAAA/29QY=")</f>
        <v>#REF!</v>
      </c>
      <c r="H229" t="e">
        <f>AND(#REF!,"AAAAAA/29Qc=")</f>
        <v>#REF!</v>
      </c>
      <c r="I229" t="e">
        <f>AND(#REF!,"AAAAAA/29Qg=")</f>
        <v>#REF!</v>
      </c>
      <c r="J229" t="e">
        <f>AND(#REF!,"AAAAAA/29Qk=")</f>
        <v>#REF!</v>
      </c>
      <c r="K229" t="e">
        <f>AND(#REF!,"AAAAAA/29Qo=")</f>
        <v>#REF!</v>
      </c>
      <c r="L229" t="e">
        <f>AND(#REF!,"AAAAAA/29Qs=")</f>
        <v>#REF!</v>
      </c>
      <c r="M229" t="e">
        <f>AND(#REF!,"AAAAAA/29Qw=")</f>
        <v>#REF!</v>
      </c>
      <c r="N229" t="e">
        <f>AND(#REF!,"AAAAAA/29Q0=")</f>
        <v>#REF!</v>
      </c>
      <c r="O229" t="e">
        <f>AND(#REF!,"AAAAAA/29Q4=")</f>
        <v>#REF!</v>
      </c>
      <c r="P229" t="e">
        <f>AND(#REF!,"AAAAAA/29Q8=")</f>
        <v>#REF!</v>
      </c>
      <c r="Q229" t="e">
        <f>IF(#REF!,"AAAAAA/29RA=",0)</f>
        <v>#REF!</v>
      </c>
      <c r="R229" t="e">
        <f>AND(#REF!,"AAAAAA/29RE=")</f>
        <v>#REF!</v>
      </c>
      <c r="S229" t="e">
        <f>AND(#REF!,"AAAAAA/29RI=")</f>
        <v>#REF!</v>
      </c>
      <c r="T229" t="e">
        <f>AND(#REF!,"AAAAAA/29RM=")</f>
        <v>#REF!</v>
      </c>
      <c r="U229" t="e">
        <f>AND(#REF!,"AAAAAA/29RQ=")</f>
        <v>#REF!</v>
      </c>
      <c r="V229" t="e">
        <f>AND(#REF!,"AAAAAA/29RU=")</f>
        <v>#REF!</v>
      </c>
      <c r="W229" t="e">
        <f>AND(#REF!,"AAAAAA/29RY=")</f>
        <v>#REF!</v>
      </c>
      <c r="X229" t="e">
        <f>AND(#REF!,"AAAAAA/29Rc=")</f>
        <v>#REF!</v>
      </c>
      <c r="Y229" t="e">
        <f>AND(#REF!,"AAAAAA/29Rg=")</f>
        <v>#REF!</v>
      </c>
      <c r="Z229" t="e">
        <f>AND(#REF!,"AAAAAA/29Rk=")</f>
        <v>#REF!</v>
      </c>
      <c r="AA229" t="e">
        <f>AND(#REF!,"AAAAAA/29Ro=")</f>
        <v>#REF!</v>
      </c>
      <c r="AB229" t="e">
        <f>IF(#REF!,"AAAAAA/29Rs=",0)</f>
        <v>#REF!</v>
      </c>
      <c r="AC229" t="e">
        <f>AND(#REF!,"AAAAAA/29Rw=")</f>
        <v>#REF!</v>
      </c>
      <c r="AD229" t="e">
        <f>AND(#REF!,"AAAAAA/29R0=")</f>
        <v>#REF!</v>
      </c>
      <c r="AE229" t="e">
        <f>AND(#REF!,"AAAAAA/29R4=")</f>
        <v>#REF!</v>
      </c>
      <c r="AF229" t="e">
        <f>AND(#REF!,"AAAAAA/29R8=")</f>
        <v>#REF!</v>
      </c>
      <c r="AG229" t="e">
        <f>AND(#REF!,"AAAAAA/29SA=")</f>
        <v>#REF!</v>
      </c>
      <c r="AH229" t="e">
        <f>AND(#REF!,"AAAAAA/29SE=")</f>
        <v>#REF!</v>
      </c>
      <c r="AI229" t="e">
        <f>AND(#REF!,"AAAAAA/29SI=")</f>
        <v>#REF!</v>
      </c>
      <c r="AJ229" t="e">
        <f>AND(#REF!,"AAAAAA/29SM=")</f>
        <v>#REF!</v>
      </c>
      <c r="AK229" t="e">
        <f>AND(#REF!,"AAAAAA/29SQ=")</f>
        <v>#REF!</v>
      </c>
      <c r="AL229" t="e">
        <f>AND(#REF!,"AAAAAA/29SU=")</f>
        <v>#REF!</v>
      </c>
      <c r="AM229" t="e">
        <f>IF(#REF!,"AAAAAA/29SY=",0)</f>
        <v>#REF!</v>
      </c>
      <c r="AN229" t="e">
        <f>AND(#REF!,"AAAAAA/29Sc=")</f>
        <v>#REF!</v>
      </c>
      <c r="AO229" t="e">
        <f>AND(#REF!,"AAAAAA/29Sg=")</f>
        <v>#REF!</v>
      </c>
      <c r="AP229" t="e">
        <f>AND(#REF!,"AAAAAA/29Sk=")</f>
        <v>#REF!</v>
      </c>
      <c r="AQ229" t="e">
        <f>AND(#REF!,"AAAAAA/29So=")</f>
        <v>#REF!</v>
      </c>
      <c r="AR229" t="e">
        <f>AND(#REF!,"AAAAAA/29Ss=")</f>
        <v>#REF!</v>
      </c>
      <c r="AS229" t="e">
        <f>AND(#REF!,"AAAAAA/29Sw=")</f>
        <v>#REF!</v>
      </c>
      <c r="AT229" t="e">
        <f>AND(#REF!,"AAAAAA/29S0=")</f>
        <v>#REF!</v>
      </c>
      <c r="AU229" t="e">
        <f>AND(#REF!,"AAAAAA/29S4=")</f>
        <v>#REF!</v>
      </c>
      <c r="AV229" t="e">
        <f>AND(#REF!,"AAAAAA/29S8=")</f>
        <v>#REF!</v>
      </c>
      <c r="AW229" t="e">
        <f>AND(#REF!,"AAAAAA/29TA=")</f>
        <v>#REF!</v>
      </c>
      <c r="AX229" t="e">
        <f>IF(#REF!,"AAAAAA/29TE=",0)</f>
        <v>#REF!</v>
      </c>
      <c r="AY229" t="e">
        <f>AND(#REF!,"AAAAAA/29TI=")</f>
        <v>#REF!</v>
      </c>
      <c r="AZ229" t="e">
        <f>AND(#REF!,"AAAAAA/29TM=")</f>
        <v>#REF!</v>
      </c>
      <c r="BA229" t="e">
        <f>AND(#REF!,"AAAAAA/29TQ=")</f>
        <v>#REF!</v>
      </c>
      <c r="BB229" t="e">
        <f>AND(#REF!,"AAAAAA/29TU=")</f>
        <v>#REF!</v>
      </c>
      <c r="BC229" t="e">
        <f>AND(#REF!,"AAAAAA/29TY=")</f>
        <v>#REF!</v>
      </c>
      <c r="BD229" t="e">
        <f>AND(#REF!,"AAAAAA/29Tc=")</f>
        <v>#REF!</v>
      </c>
      <c r="BE229" t="e">
        <f>AND(#REF!,"AAAAAA/29Tg=")</f>
        <v>#REF!</v>
      </c>
      <c r="BF229" t="e">
        <f>AND(#REF!,"AAAAAA/29Tk=")</f>
        <v>#REF!</v>
      </c>
      <c r="BG229" t="e">
        <f>AND(#REF!,"AAAAAA/29To=")</f>
        <v>#REF!</v>
      </c>
      <c r="BH229" t="e">
        <f>AND(#REF!,"AAAAAA/29Ts=")</f>
        <v>#REF!</v>
      </c>
      <c r="BI229" t="e">
        <f>IF(#REF!,"AAAAAA/29Tw=",0)</f>
        <v>#REF!</v>
      </c>
      <c r="BJ229" t="e">
        <f>AND(#REF!,"AAAAAA/29T0=")</f>
        <v>#REF!</v>
      </c>
      <c r="BK229" t="e">
        <f>AND(#REF!,"AAAAAA/29T4=")</f>
        <v>#REF!</v>
      </c>
      <c r="BL229" t="e">
        <f>AND(#REF!,"AAAAAA/29T8=")</f>
        <v>#REF!</v>
      </c>
      <c r="BM229" t="e">
        <f>AND(#REF!,"AAAAAA/29UA=")</f>
        <v>#REF!</v>
      </c>
      <c r="BN229" t="e">
        <f>AND(#REF!,"AAAAAA/29UE=")</f>
        <v>#REF!</v>
      </c>
      <c r="BO229" t="e">
        <f>AND(#REF!,"AAAAAA/29UI=")</f>
        <v>#REF!</v>
      </c>
      <c r="BP229" t="e">
        <f>AND(#REF!,"AAAAAA/29UM=")</f>
        <v>#REF!</v>
      </c>
      <c r="BQ229" t="e">
        <f>AND(#REF!,"AAAAAA/29UQ=")</f>
        <v>#REF!</v>
      </c>
      <c r="BR229" t="e">
        <f>AND(#REF!,"AAAAAA/29UU=")</f>
        <v>#REF!</v>
      </c>
      <c r="BS229" t="e">
        <f>AND(#REF!,"AAAAAA/29UY=")</f>
        <v>#REF!</v>
      </c>
      <c r="BT229" t="e">
        <f>IF(#REF!,"AAAAAA/29Uc=",0)</f>
        <v>#REF!</v>
      </c>
      <c r="BU229" t="e">
        <f>AND(#REF!,"AAAAAA/29Ug=")</f>
        <v>#REF!</v>
      </c>
      <c r="BV229" t="e">
        <f>AND(#REF!,"AAAAAA/29Uk=")</f>
        <v>#REF!</v>
      </c>
      <c r="BW229" t="e">
        <f>AND(#REF!,"AAAAAA/29Uo=")</f>
        <v>#REF!</v>
      </c>
      <c r="BX229" t="e">
        <f>AND(#REF!,"AAAAAA/29Us=")</f>
        <v>#REF!</v>
      </c>
      <c r="BY229" t="e">
        <f>AND(#REF!,"AAAAAA/29Uw=")</f>
        <v>#REF!</v>
      </c>
      <c r="BZ229" t="e">
        <f>AND(#REF!,"AAAAAA/29U0=")</f>
        <v>#REF!</v>
      </c>
      <c r="CA229" t="e">
        <f>AND(#REF!,"AAAAAA/29U4=")</f>
        <v>#REF!</v>
      </c>
      <c r="CB229" t="e">
        <f>AND(#REF!,"AAAAAA/29U8=")</f>
        <v>#REF!</v>
      </c>
      <c r="CC229" t="e">
        <f>AND(#REF!,"AAAAAA/29VA=")</f>
        <v>#REF!</v>
      </c>
      <c r="CD229" t="e">
        <f>AND(#REF!,"AAAAAA/29VE=")</f>
        <v>#REF!</v>
      </c>
      <c r="CE229" t="e">
        <f>IF(#REF!,"AAAAAA/29VI=",0)</f>
        <v>#REF!</v>
      </c>
      <c r="CF229" t="e">
        <f>AND(#REF!,"AAAAAA/29VM=")</f>
        <v>#REF!</v>
      </c>
      <c r="CG229" t="e">
        <f>AND(#REF!,"AAAAAA/29VQ=")</f>
        <v>#REF!</v>
      </c>
      <c r="CH229" t="e">
        <f>AND(#REF!,"AAAAAA/29VU=")</f>
        <v>#REF!</v>
      </c>
      <c r="CI229" t="e">
        <f>AND(#REF!,"AAAAAA/29VY=")</f>
        <v>#REF!</v>
      </c>
      <c r="CJ229" t="e">
        <f>AND(#REF!,"AAAAAA/29Vc=")</f>
        <v>#REF!</v>
      </c>
      <c r="CK229" t="e">
        <f>AND(#REF!,"AAAAAA/29Vg=")</f>
        <v>#REF!</v>
      </c>
      <c r="CL229" t="e">
        <f>AND(#REF!,"AAAAAA/29Vk=")</f>
        <v>#REF!</v>
      </c>
      <c r="CM229" t="e">
        <f>AND(#REF!,"AAAAAA/29Vo=")</f>
        <v>#REF!</v>
      </c>
      <c r="CN229" t="e">
        <f>AND(#REF!,"AAAAAA/29Vs=")</f>
        <v>#REF!</v>
      </c>
      <c r="CO229" t="e">
        <f>AND(#REF!,"AAAAAA/29Vw=")</f>
        <v>#REF!</v>
      </c>
      <c r="CP229" t="e">
        <f>IF(#REF!,"AAAAAA/29V0=",0)</f>
        <v>#REF!</v>
      </c>
      <c r="CQ229" t="e">
        <f>AND(#REF!,"AAAAAA/29V4=")</f>
        <v>#REF!</v>
      </c>
      <c r="CR229" t="e">
        <f>AND(#REF!,"AAAAAA/29V8=")</f>
        <v>#REF!</v>
      </c>
      <c r="CS229" t="e">
        <f>AND(#REF!,"AAAAAA/29WA=")</f>
        <v>#REF!</v>
      </c>
      <c r="CT229" t="e">
        <f>AND(#REF!,"AAAAAA/29WE=")</f>
        <v>#REF!</v>
      </c>
      <c r="CU229" t="e">
        <f>AND(#REF!,"AAAAAA/29WI=")</f>
        <v>#REF!</v>
      </c>
      <c r="CV229" t="e">
        <f>AND(#REF!,"AAAAAA/29WM=")</f>
        <v>#REF!</v>
      </c>
      <c r="CW229" t="e">
        <f>AND(#REF!,"AAAAAA/29WQ=")</f>
        <v>#REF!</v>
      </c>
      <c r="CX229" t="e">
        <f>AND(#REF!,"AAAAAA/29WU=")</f>
        <v>#REF!</v>
      </c>
      <c r="CY229" t="e">
        <f>AND(#REF!,"AAAAAA/29WY=")</f>
        <v>#REF!</v>
      </c>
      <c r="CZ229" t="e">
        <f>AND(#REF!,"AAAAAA/29Wc=")</f>
        <v>#REF!</v>
      </c>
      <c r="DA229" t="e">
        <f>IF(#REF!,"AAAAAA/29Wg=",0)</f>
        <v>#REF!</v>
      </c>
      <c r="DB229" t="e">
        <f>AND(#REF!,"AAAAAA/29Wk=")</f>
        <v>#REF!</v>
      </c>
      <c r="DC229" t="e">
        <f>AND(#REF!,"AAAAAA/29Wo=")</f>
        <v>#REF!</v>
      </c>
      <c r="DD229" t="e">
        <f>AND(#REF!,"AAAAAA/29Ws=")</f>
        <v>#REF!</v>
      </c>
      <c r="DE229" t="e">
        <f>AND(#REF!,"AAAAAA/29Ww=")</f>
        <v>#REF!</v>
      </c>
      <c r="DF229" t="e">
        <f>AND(#REF!,"AAAAAA/29W0=")</f>
        <v>#REF!</v>
      </c>
      <c r="DG229" t="e">
        <f>AND(#REF!,"AAAAAA/29W4=")</f>
        <v>#REF!</v>
      </c>
      <c r="DH229" t="e">
        <f>AND(#REF!,"AAAAAA/29W8=")</f>
        <v>#REF!</v>
      </c>
      <c r="DI229" t="e">
        <f>AND(#REF!,"AAAAAA/29XA=")</f>
        <v>#REF!</v>
      </c>
      <c r="DJ229" t="e">
        <f>AND(#REF!,"AAAAAA/29XE=")</f>
        <v>#REF!</v>
      </c>
      <c r="DK229" t="e">
        <f>AND(#REF!,"AAAAAA/29XI=")</f>
        <v>#REF!</v>
      </c>
      <c r="DL229" t="e">
        <f>IF(#REF!,"AAAAAA/29XM=",0)</f>
        <v>#REF!</v>
      </c>
      <c r="DM229" t="e">
        <f>AND(#REF!,"AAAAAA/29XQ=")</f>
        <v>#REF!</v>
      </c>
      <c r="DN229" t="e">
        <f>AND(#REF!,"AAAAAA/29XU=")</f>
        <v>#REF!</v>
      </c>
      <c r="DO229" t="e">
        <f>AND(#REF!,"AAAAAA/29XY=")</f>
        <v>#REF!</v>
      </c>
      <c r="DP229" t="e">
        <f>AND(#REF!,"AAAAAA/29Xc=")</f>
        <v>#REF!</v>
      </c>
      <c r="DQ229" t="e">
        <f>AND(#REF!,"AAAAAA/29Xg=")</f>
        <v>#REF!</v>
      </c>
      <c r="DR229" t="e">
        <f>AND(#REF!,"AAAAAA/29Xk=")</f>
        <v>#REF!</v>
      </c>
      <c r="DS229" t="e">
        <f>AND(#REF!,"AAAAAA/29Xo=")</f>
        <v>#REF!</v>
      </c>
      <c r="DT229" t="e">
        <f>AND(#REF!,"AAAAAA/29Xs=")</f>
        <v>#REF!</v>
      </c>
      <c r="DU229" t="e">
        <f>AND(#REF!,"AAAAAA/29Xw=")</f>
        <v>#REF!</v>
      </c>
      <c r="DV229" t="e">
        <f>AND(#REF!,"AAAAAA/29X0=")</f>
        <v>#REF!</v>
      </c>
      <c r="DW229" t="e">
        <f>IF(#REF!,"AAAAAA/29X4=",0)</f>
        <v>#REF!</v>
      </c>
      <c r="DX229" t="e">
        <f>AND(#REF!,"AAAAAA/29X8=")</f>
        <v>#REF!</v>
      </c>
      <c r="DY229" t="e">
        <f>AND(#REF!,"AAAAAA/29YA=")</f>
        <v>#REF!</v>
      </c>
      <c r="DZ229" t="e">
        <f>AND(#REF!,"AAAAAA/29YE=")</f>
        <v>#REF!</v>
      </c>
      <c r="EA229" t="e">
        <f>AND(#REF!,"AAAAAA/29YI=")</f>
        <v>#REF!</v>
      </c>
      <c r="EB229" t="e">
        <f>AND(#REF!,"AAAAAA/29YM=")</f>
        <v>#REF!</v>
      </c>
      <c r="EC229" t="e">
        <f>AND(#REF!,"AAAAAA/29YQ=")</f>
        <v>#REF!</v>
      </c>
      <c r="ED229" t="e">
        <f>AND(#REF!,"AAAAAA/29YU=")</f>
        <v>#REF!</v>
      </c>
      <c r="EE229" t="e">
        <f>AND(#REF!,"AAAAAA/29YY=")</f>
        <v>#REF!</v>
      </c>
      <c r="EF229" t="e">
        <f>AND(#REF!,"AAAAAA/29Yc=")</f>
        <v>#REF!</v>
      </c>
      <c r="EG229" t="e">
        <f>AND(#REF!,"AAAAAA/29Yg=")</f>
        <v>#REF!</v>
      </c>
      <c r="EH229" t="e">
        <f>IF(#REF!,"AAAAAA/29Yk=",0)</f>
        <v>#REF!</v>
      </c>
      <c r="EI229" t="e">
        <f>AND(#REF!,"AAAAAA/29Yo=")</f>
        <v>#REF!</v>
      </c>
      <c r="EJ229" t="e">
        <f>AND(#REF!,"AAAAAA/29Ys=")</f>
        <v>#REF!</v>
      </c>
      <c r="EK229" t="e">
        <f>AND(#REF!,"AAAAAA/29Yw=")</f>
        <v>#REF!</v>
      </c>
      <c r="EL229" t="e">
        <f>AND(#REF!,"AAAAAA/29Y0=")</f>
        <v>#REF!</v>
      </c>
      <c r="EM229" t="e">
        <f>AND(#REF!,"AAAAAA/29Y4=")</f>
        <v>#REF!</v>
      </c>
      <c r="EN229" t="e">
        <f>AND(#REF!,"AAAAAA/29Y8=")</f>
        <v>#REF!</v>
      </c>
      <c r="EO229" t="e">
        <f>AND(#REF!,"AAAAAA/29ZA=")</f>
        <v>#REF!</v>
      </c>
      <c r="EP229" t="e">
        <f>AND(#REF!,"AAAAAA/29ZE=")</f>
        <v>#REF!</v>
      </c>
      <c r="EQ229" t="e">
        <f>AND(#REF!,"AAAAAA/29ZI=")</f>
        <v>#REF!</v>
      </c>
      <c r="ER229" t="e">
        <f>AND(#REF!,"AAAAAA/29ZM=")</f>
        <v>#REF!</v>
      </c>
      <c r="ES229" t="e">
        <f>IF(#REF!,"AAAAAA/29ZQ=",0)</f>
        <v>#REF!</v>
      </c>
      <c r="ET229" t="e">
        <f>AND(#REF!,"AAAAAA/29ZU=")</f>
        <v>#REF!</v>
      </c>
      <c r="EU229" t="e">
        <f>AND(#REF!,"AAAAAA/29ZY=")</f>
        <v>#REF!</v>
      </c>
      <c r="EV229" t="e">
        <f>AND(#REF!,"AAAAAA/29Zc=")</f>
        <v>#REF!</v>
      </c>
      <c r="EW229" t="e">
        <f>AND(#REF!,"AAAAAA/29Zg=")</f>
        <v>#REF!</v>
      </c>
      <c r="EX229" t="e">
        <f>AND(#REF!,"AAAAAA/29Zk=")</f>
        <v>#REF!</v>
      </c>
      <c r="EY229" t="e">
        <f>AND(#REF!,"AAAAAA/29Zo=")</f>
        <v>#REF!</v>
      </c>
      <c r="EZ229" t="e">
        <f>AND(#REF!,"AAAAAA/29Zs=")</f>
        <v>#REF!</v>
      </c>
      <c r="FA229" t="e">
        <f>AND(#REF!,"AAAAAA/29Zw=")</f>
        <v>#REF!</v>
      </c>
      <c r="FB229" t="e">
        <f>AND(#REF!,"AAAAAA/29Z0=")</f>
        <v>#REF!</v>
      </c>
      <c r="FC229" t="e">
        <f>AND(#REF!,"AAAAAA/29Z4=")</f>
        <v>#REF!</v>
      </c>
      <c r="FD229" t="e">
        <f>IF(#REF!,"AAAAAA/29Z8=",0)</f>
        <v>#REF!</v>
      </c>
      <c r="FE229" t="e">
        <f>AND(#REF!,"AAAAAA/29aA=")</f>
        <v>#REF!</v>
      </c>
      <c r="FF229" t="e">
        <f>AND(#REF!,"AAAAAA/29aE=")</f>
        <v>#REF!</v>
      </c>
      <c r="FG229" t="e">
        <f>AND(#REF!,"AAAAAA/29aI=")</f>
        <v>#REF!</v>
      </c>
      <c r="FH229" t="e">
        <f>AND(#REF!,"AAAAAA/29aM=")</f>
        <v>#REF!</v>
      </c>
      <c r="FI229" t="e">
        <f>AND(#REF!,"AAAAAA/29aQ=")</f>
        <v>#REF!</v>
      </c>
      <c r="FJ229" t="e">
        <f>AND(#REF!,"AAAAAA/29aU=")</f>
        <v>#REF!</v>
      </c>
      <c r="FK229" t="e">
        <f>AND(#REF!,"AAAAAA/29aY=")</f>
        <v>#REF!</v>
      </c>
      <c r="FL229" t="e">
        <f>AND(#REF!,"AAAAAA/29ac=")</f>
        <v>#REF!</v>
      </c>
      <c r="FM229" t="e">
        <f>AND(#REF!,"AAAAAA/29ag=")</f>
        <v>#REF!</v>
      </c>
      <c r="FN229" t="e">
        <f>AND(#REF!,"AAAAAA/29ak=")</f>
        <v>#REF!</v>
      </c>
      <c r="FO229" t="e">
        <f>IF(#REF!,"AAAAAA/29ao=",0)</f>
        <v>#REF!</v>
      </c>
      <c r="FP229" t="e">
        <f>AND(#REF!,"AAAAAA/29as=")</f>
        <v>#REF!</v>
      </c>
      <c r="FQ229" t="e">
        <f>AND(#REF!,"AAAAAA/29aw=")</f>
        <v>#REF!</v>
      </c>
      <c r="FR229" t="e">
        <f>AND(#REF!,"AAAAAA/29a0=")</f>
        <v>#REF!</v>
      </c>
      <c r="FS229" t="e">
        <f>AND(#REF!,"AAAAAA/29a4=")</f>
        <v>#REF!</v>
      </c>
      <c r="FT229" t="e">
        <f>AND(#REF!,"AAAAAA/29a8=")</f>
        <v>#REF!</v>
      </c>
      <c r="FU229" t="e">
        <f>AND(#REF!,"AAAAAA/29bA=")</f>
        <v>#REF!</v>
      </c>
      <c r="FV229" t="e">
        <f>AND(#REF!,"AAAAAA/29bE=")</f>
        <v>#REF!</v>
      </c>
      <c r="FW229" t="e">
        <f>AND(#REF!,"AAAAAA/29bI=")</f>
        <v>#REF!</v>
      </c>
      <c r="FX229" t="e">
        <f>AND(#REF!,"AAAAAA/29bM=")</f>
        <v>#REF!</v>
      </c>
      <c r="FY229" t="e">
        <f>AND(#REF!,"AAAAAA/29bQ=")</f>
        <v>#REF!</v>
      </c>
      <c r="FZ229" t="e">
        <f>IF(#REF!,"AAAAAA/29bU=",0)</f>
        <v>#REF!</v>
      </c>
      <c r="GA229" t="e">
        <f>AND(#REF!,"AAAAAA/29bY=")</f>
        <v>#REF!</v>
      </c>
      <c r="GB229" t="e">
        <f>AND(#REF!,"AAAAAA/29bc=")</f>
        <v>#REF!</v>
      </c>
      <c r="GC229" t="e">
        <f>AND(#REF!,"AAAAAA/29bg=")</f>
        <v>#REF!</v>
      </c>
      <c r="GD229" t="e">
        <f>AND(#REF!,"AAAAAA/29bk=")</f>
        <v>#REF!</v>
      </c>
      <c r="GE229" t="e">
        <f>AND(#REF!,"AAAAAA/29bo=")</f>
        <v>#REF!</v>
      </c>
      <c r="GF229" t="e">
        <f>AND(#REF!,"AAAAAA/29bs=")</f>
        <v>#REF!</v>
      </c>
      <c r="GG229" t="e">
        <f>AND(#REF!,"AAAAAA/29bw=")</f>
        <v>#REF!</v>
      </c>
      <c r="GH229" t="e">
        <f>AND(#REF!,"AAAAAA/29b0=")</f>
        <v>#REF!</v>
      </c>
      <c r="GI229" t="e">
        <f>AND(#REF!,"AAAAAA/29b4=")</f>
        <v>#REF!</v>
      </c>
      <c r="GJ229" t="e">
        <f>AND(#REF!,"AAAAAA/29b8=")</f>
        <v>#REF!</v>
      </c>
      <c r="GK229" t="e">
        <f>IF(#REF!,"AAAAAA/29cA=",0)</f>
        <v>#REF!</v>
      </c>
      <c r="GL229" t="e">
        <f>AND(#REF!,"AAAAAA/29cE=")</f>
        <v>#REF!</v>
      </c>
      <c r="GM229" t="e">
        <f>AND(#REF!,"AAAAAA/29cI=")</f>
        <v>#REF!</v>
      </c>
      <c r="GN229" t="e">
        <f>AND(#REF!,"AAAAAA/29cM=")</f>
        <v>#REF!</v>
      </c>
      <c r="GO229" t="e">
        <f>AND(#REF!,"AAAAAA/29cQ=")</f>
        <v>#REF!</v>
      </c>
      <c r="GP229" t="e">
        <f>AND(#REF!,"AAAAAA/29cU=")</f>
        <v>#REF!</v>
      </c>
      <c r="GQ229" t="e">
        <f>AND(#REF!,"AAAAAA/29cY=")</f>
        <v>#REF!</v>
      </c>
      <c r="GR229" t="e">
        <f>AND(#REF!,"AAAAAA/29cc=")</f>
        <v>#REF!</v>
      </c>
      <c r="GS229" t="e">
        <f>AND(#REF!,"AAAAAA/29cg=")</f>
        <v>#REF!</v>
      </c>
      <c r="GT229" t="e">
        <f>AND(#REF!,"AAAAAA/29ck=")</f>
        <v>#REF!</v>
      </c>
      <c r="GU229" t="e">
        <f>AND(#REF!,"AAAAAA/29co=")</f>
        <v>#REF!</v>
      </c>
      <c r="GV229" t="e">
        <f>IF(#REF!,"AAAAAA/29cs=",0)</f>
        <v>#REF!</v>
      </c>
      <c r="GW229" t="e">
        <f>AND(#REF!,"AAAAAA/29cw=")</f>
        <v>#REF!</v>
      </c>
      <c r="GX229" t="e">
        <f>AND(#REF!,"AAAAAA/29c0=")</f>
        <v>#REF!</v>
      </c>
      <c r="GY229" t="e">
        <f>AND(#REF!,"AAAAAA/29c4=")</f>
        <v>#REF!</v>
      </c>
      <c r="GZ229" t="e">
        <f>AND(#REF!,"AAAAAA/29c8=")</f>
        <v>#REF!</v>
      </c>
      <c r="HA229" t="e">
        <f>AND(#REF!,"AAAAAA/29dA=")</f>
        <v>#REF!</v>
      </c>
      <c r="HB229" t="e">
        <f>AND(#REF!,"AAAAAA/29dE=")</f>
        <v>#REF!</v>
      </c>
      <c r="HC229" t="e">
        <f>AND(#REF!,"AAAAAA/29dI=")</f>
        <v>#REF!</v>
      </c>
      <c r="HD229" t="e">
        <f>AND(#REF!,"AAAAAA/29dM=")</f>
        <v>#REF!</v>
      </c>
      <c r="HE229" t="e">
        <f>AND(#REF!,"AAAAAA/29dQ=")</f>
        <v>#REF!</v>
      </c>
      <c r="HF229" t="e">
        <f>AND(#REF!,"AAAAAA/29dU=")</f>
        <v>#REF!</v>
      </c>
      <c r="HG229" t="e">
        <f>IF(#REF!,"AAAAAA/29dY=",0)</f>
        <v>#REF!</v>
      </c>
      <c r="HH229" t="e">
        <f>AND(#REF!,"AAAAAA/29dc=")</f>
        <v>#REF!</v>
      </c>
      <c r="HI229" t="e">
        <f>AND(#REF!,"AAAAAA/29dg=")</f>
        <v>#REF!</v>
      </c>
      <c r="HJ229" t="e">
        <f>AND(#REF!,"AAAAAA/29dk=")</f>
        <v>#REF!</v>
      </c>
      <c r="HK229" t="e">
        <f>AND(#REF!,"AAAAAA/29do=")</f>
        <v>#REF!</v>
      </c>
      <c r="HL229" t="e">
        <f>AND(#REF!,"AAAAAA/29ds=")</f>
        <v>#REF!</v>
      </c>
      <c r="HM229" t="e">
        <f>AND(#REF!,"AAAAAA/29dw=")</f>
        <v>#REF!</v>
      </c>
      <c r="HN229" t="e">
        <f>AND(#REF!,"AAAAAA/29d0=")</f>
        <v>#REF!</v>
      </c>
      <c r="HO229" t="e">
        <f>AND(#REF!,"AAAAAA/29d4=")</f>
        <v>#REF!</v>
      </c>
      <c r="HP229" t="e">
        <f>AND(#REF!,"AAAAAA/29d8=")</f>
        <v>#REF!</v>
      </c>
      <c r="HQ229" t="e">
        <f>AND(#REF!,"AAAAAA/29eA=")</f>
        <v>#REF!</v>
      </c>
      <c r="HR229" t="e">
        <f>IF(#REF!,"AAAAAA/29eE=",0)</f>
        <v>#REF!</v>
      </c>
      <c r="HS229" t="e">
        <f>AND(#REF!,"AAAAAA/29eI=")</f>
        <v>#REF!</v>
      </c>
      <c r="HT229" t="e">
        <f>AND(#REF!,"AAAAAA/29eM=")</f>
        <v>#REF!</v>
      </c>
      <c r="HU229" t="e">
        <f>AND(#REF!,"AAAAAA/29eQ=")</f>
        <v>#REF!</v>
      </c>
      <c r="HV229" t="e">
        <f>AND(#REF!,"AAAAAA/29eU=")</f>
        <v>#REF!</v>
      </c>
      <c r="HW229" t="e">
        <f>AND(#REF!,"AAAAAA/29eY=")</f>
        <v>#REF!</v>
      </c>
      <c r="HX229" t="e">
        <f>AND(#REF!,"AAAAAA/29ec=")</f>
        <v>#REF!</v>
      </c>
      <c r="HY229" t="e">
        <f>AND(#REF!,"AAAAAA/29eg=")</f>
        <v>#REF!</v>
      </c>
      <c r="HZ229" t="e">
        <f>AND(#REF!,"AAAAAA/29ek=")</f>
        <v>#REF!</v>
      </c>
      <c r="IA229" t="e">
        <f>AND(#REF!,"AAAAAA/29eo=")</f>
        <v>#REF!</v>
      </c>
      <c r="IB229" t="e">
        <f>AND(#REF!,"AAAAAA/29es=")</f>
        <v>#REF!</v>
      </c>
      <c r="IC229" t="e">
        <f>IF(#REF!,"AAAAAA/29ew=",0)</f>
        <v>#REF!</v>
      </c>
      <c r="ID229" t="e">
        <f>AND(#REF!,"AAAAAA/29e0=")</f>
        <v>#REF!</v>
      </c>
      <c r="IE229" t="e">
        <f>AND(#REF!,"AAAAAA/29e4=")</f>
        <v>#REF!</v>
      </c>
      <c r="IF229" t="e">
        <f>AND(#REF!,"AAAAAA/29e8=")</f>
        <v>#REF!</v>
      </c>
      <c r="IG229" t="e">
        <f>AND(#REF!,"AAAAAA/29fA=")</f>
        <v>#REF!</v>
      </c>
      <c r="IH229" t="e">
        <f>AND(#REF!,"AAAAAA/29fE=")</f>
        <v>#REF!</v>
      </c>
      <c r="II229" t="e">
        <f>AND(#REF!,"AAAAAA/29fI=")</f>
        <v>#REF!</v>
      </c>
      <c r="IJ229" t="e">
        <f>AND(#REF!,"AAAAAA/29fM=")</f>
        <v>#REF!</v>
      </c>
      <c r="IK229" t="e">
        <f>AND(#REF!,"AAAAAA/29fQ=")</f>
        <v>#REF!</v>
      </c>
      <c r="IL229" t="e">
        <f>AND(#REF!,"AAAAAA/29fU=")</f>
        <v>#REF!</v>
      </c>
      <c r="IM229" t="e">
        <f>AND(#REF!,"AAAAAA/29fY=")</f>
        <v>#REF!</v>
      </c>
      <c r="IN229" t="e">
        <f>IF(#REF!,"AAAAAA/29fc=",0)</f>
        <v>#REF!</v>
      </c>
      <c r="IO229" t="e">
        <f>AND(#REF!,"AAAAAA/29fg=")</f>
        <v>#REF!</v>
      </c>
      <c r="IP229" t="e">
        <f>AND(#REF!,"AAAAAA/29fk=")</f>
        <v>#REF!</v>
      </c>
      <c r="IQ229" t="e">
        <f>AND(#REF!,"AAAAAA/29fo=")</f>
        <v>#REF!</v>
      </c>
      <c r="IR229" t="e">
        <f>AND(#REF!,"AAAAAA/29fs=")</f>
        <v>#REF!</v>
      </c>
      <c r="IS229" t="e">
        <f>AND(#REF!,"AAAAAA/29fw=")</f>
        <v>#REF!</v>
      </c>
      <c r="IT229" t="e">
        <f>AND(#REF!,"AAAAAA/29f0=")</f>
        <v>#REF!</v>
      </c>
      <c r="IU229" t="e">
        <f>AND(#REF!,"AAAAAA/29f4=")</f>
        <v>#REF!</v>
      </c>
      <c r="IV229" t="e">
        <f>AND(#REF!,"AAAAAA/29f8=")</f>
        <v>#REF!</v>
      </c>
    </row>
    <row r="230" spans="1:256" x14ac:dyDescent="0.25">
      <c r="A230" t="e">
        <f>AND(#REF!,"AAAAAHP9zQA=")</f>
        <v>#REF!</v>
      </c>
      <c r="B230" t="e">
        <f>AND(#REF!,"AAAAAHP9zQE=")</f>
        <v>#REF!</v>
      </c>
      <c r="C230" t="e">
        <f>IF(#REF!,"AAAAAHP9zQI=",0)</f>
        <v>#REF!</v>
      </c>
      <c r="D230" t="e">
        <f>AND(#REF!,"AAAAAHP9zQM=")</f>
        <v>#REF!</v>
      </c>
      <c r="E230" t="e">
        <f>AND(#REF!,"AAAAAHP9zQQ=")</f>
        <v>#REF!</v>
      </c>
      <c r="F230" t="e">
        <f>AND(#REF!,"AAAAAHP9zQU=")</f>
        <v>#REF!</v>
      </c>
      <c r="G230" t="e">
        <f>AND(#REF!,"AAAAAHP9zQY=")</f>
        <v>#REF!</v>
      </c>
      <c r="H230" t="e">
        <f>AND(#REF!,"AAAAAHP9zQc=")</f>
        <v>#REF!</v>
      </c>
      <c r="I230" t="e">
        <f>AND(#REF!,"AAAAAHP9zQg=")</f>
        <v>#REF!</v>
      </c>
      <c r="J230" t="e">
        <f>AND(#REF!,"AAAAAHP9zQk=")</f>
        <v>#REF!</v>
      </c>
      <c r="K230" t="e">
        <f>AND(#REF!,"AAAAAHP9zQo=")</f>
        <v>#REF!</v>
      </c>
      <c r="L230" t="e">
        <f>AND(#REF!,"AAAAAHP9zQs=")</f>
        <v>#REF!</v>
      </c>
      <c r="M230" t="e">
        <f>AND(#REF!,"AAAAAHP9zQw=")</f>
        <v>#REF!</v>
      </c>
      <c r="N230" t="e">
        <f>IF(#REF!,"AAAAAHP9zQ0=",0)</f>
        <v>#REF!</v>
      </c>
      <c r="O230" t="e">
        <f>AND(#REF!,"AAAAAHP9zQ4=")</f>
        <v>#REF!</v>
      </c>
      <c r="P230" t="e">
        <f>AND(#REF!,"AAAAAHP9zQ8=")</f>
        <v>#REF!</v>
      </c>
      <c r="Q230" t="e">
        <f>AND(#REF!,"AAAAAHP9zRA=")</f>
        <v>#REF!</v>
      </c>
      <c r="R230" t="e">
        <f>AND(#REF!,"AAAAAHP9zRE=")</f>
        <v>#REF!</v>
      </c>
      <c r="S230" t="e">
        <f>AND(#REF!,"AAAAAHP9zRI=")</f>
        <v>#REF!</v>
      </c>
      <c r="T230" t="e">
        <f>AND(#REF!,"AAAAAHP9zRM=")</f>
        <v>#REF!</v>
      </c>
      <c r="U230" t="e">
        <f>AND(#REF!,"AAAAAHP9zRQ=")</f>
        <v>#REF!</v>
      </c>
      <c r="V230" t="e">
        <f>AND(#REF!,"AAAAAHP9zRU=")</f>
        <v>#REF!</v>
      </c>
      <c r="W230" t="e">
        <f>AND(#REF!,"AAAAAHP9zRY=")</f>
        <v>#REF!</v>
      </c>
      <c r="X230" t="e">
        <f>AND(#REF!,"AAAAAHP9zRc=")</f>
        <v>#REF!</v>
      </c>
      <c r="Y230" t="e">
        <f>IF(#REF!,"AAAAAHP9zRg=",0)</f>
        <v>#REF!</v>
      </c>
      <c r="Z230" t="e">
        <f>AND(#REF!,"AAAAAHP9zRk=")</f>
        <v>#REF!</v>
      </c>
      <c r="AA230" t="e">
        <f>AND(#REF!,"AAAAAHP9zRo=")</f>
        <v>#REF!</v>
      </c>
      <c r="AB230" t="e">
        <f>AND(#REF!,"AAAAAHP9zRs=")</f>
        <v>#REF!</v>
      </c>
      <c r="AC230" t="e">
        <f>AND(#REF!,"AAAAAHP9zRw=")</f>
        <v>#REF!</v>
      </c>
      <c r="AD230" t="e">
        <f>AND(#REF!,"AAAAAHP9zR0=")</f>
        <v>#REF!</v>
      </c>
      <c r="AE230" t="e">
        <f>AND(#REF!,"AAAAAHP9zR4=")</f>
        <v>#REF!</v>
      </c>
      <c r="AF230" t="e">
        <f>AND(#REF!,"AAAAAHP9zR8=")</f>
        <v>#REF!</v>
      </c>
      <c r="AG230" t="e">
        <f>AND(#REF!,"AAAAAHP9zSA=")</f>
        <v>#REF!</v>
      </c>
      <c r="AH230" t="e">
        <f>AND(#REF!,"AAAAAHP9zSE=")</f>
        <v>#REF!</v>
      </c>
      <c r="AI230" t="e">
        <f>AND(#REF!,"AAAAAHP9zSI=")</f>
        <v>#REF!</v>
      </c>
      <c r="AJ230" t="e">
        <f>IF(#REF!,"AAAAAHP9zSM=",0)</f>
        <v>#REF!</v>
      </c>
      <c r="AK230" t="e">
        <f>AND(#REF!,"AAAAAHP9zSQ=")</f>
        <v>#REF!</v>
      </c>
      <c r="AL230" t="e">
        <f>AND(#REF!,"AAAAAHP9zSU=")</f>
        <v>#REF!</v>
      </c>
      <c r="AM230" t="e">
        <f>AND(#REF!,"AAAAAHP9zSY=")</f>
        <v>#REF!</v>
      </c>
      <c r="AN230" t="e">
        <f>AND(#REF!,"AAAAAHP9zSc=")</f>
        <v>#REF!</v>
      </c>
      <c r="AO230" t="e">
        <f>AND(#REF!,"AAAAAHP9zSg=")</f>
        <v>#REF!</v>
      </c>
      <c r="AP230" t="e">
        <f>AND(#REF!,"AAAAAHP9zSk=")</f>
        <v>#REF!</v>
      </c>
      <c r="AQ230" t="e">
        <f>AND(#REF!,"AAAAAHP9zSo=")</f>
        <v>#REF!</v>
      </c>
      <c r="AR230" t="e">
        <f>AND(#REF!,"AAAAAHP9zSs=")</f>
        <v>#REF!</v>
      </c>
      <c r="AS230" t="e">
        <f>AND(#REF!,"AAAAAHP9zSw=")</f>
        <v>#REF!</v>
      </c>
      <c r="AT230" t="e">
        <f>AND(#REF!,"AAAAAHP9zS0=")</f>
        <v>#REF!</v>
      </c>
      <c r="AU230" t="e">
        <f>IF(#REF!,"AAAAAHP9zS4=",0)</f>
        <v>#REF!</v>
      </c>
      <c r="AV230" t="e">
        <f>AND(#REF!,"AAAAAHP9zS8=")</f>
        <v>#REF!</v>
      </c>
      <c r="AW230" t="e">
        <f>AND(#REF!,"AAAAAHP9zTA=")</f>
        <v>#REF!</v>
      </c>
      <c r="AX230" t="e">
        <f>AND(#REF!,"AAAAAHP9zTE=")</f>
        <v>#REF!</v>
      </c>
      <c r="AY230" t="e">
        <f>AND(#REF!,"AAAAAHP9zTI=")</f>
        <v>#REF!</v>
      </c>
      <c r="AZ230" t="e">
        <f>AND(#REF!,"AAAAAHP9zTM=")</f>
        <v>#REF!</v>
      </c>
      <c r="BA230" t="e">
        <f>AND(#REF!,"AAAAAHP9zTQ=")</f>
        <v>#REF!</v>
      </c>
      <c r="BB230" t="e">
        <f>AND(#REF!,"AAAAAHP9zTU=")</f>
        <v>#REF!</v>
      </c>
      <c r="BC230" t="e">
        <f>AND(#REF!,"AAAAAHP9zTY=")</f>
        <v>#REF!</v>
      </c>
      <c r="BD230" t="e">
        <f>AND(#REF!,"AAAAAHP9zTc=")</f>
        <v>#REF!</v>
      </c>
      <c r="BE230" t="e">
        <f>AND(#REF!,"AAAAAHP9zTg=")</f>
        <v>#REF!</v>
      </c>
      <c r="BF230" t="e">
        <f>IF(#REF!,"AAAAAHP9zTk=",0)</f>
        <v>#REF!</v>
      </c>
      <c r="BG230" t="e">
        <f>AND(#REF!,"AAAAAHP9zTo=")</f>
        <v>#REF!</v>
      </c>
      <c r="BH230" t="e">
        <f>AND(#REF!,"AAAAAHP9zTs=")</f>
        <v>#REF!</v>
      </c>
      <c r="BI230" t="e">
        <f>AND(#REF!,"AAAAAHP9zTw=")</f>
        <v>#REF!</v>
      </c>
      <c r="BJ230" t="e">
        <f>AND(#REF!,"AAAAAHP9zT0=")</f>
        <v>#REF!</v>
      </c>
      <c r="BK230" t="e">
        <f>AND(#REF!,"AAAAAHP9zT4=")</f>
        <v>#REF!</v>
      </c>
      <c r="BL230" t="e">
        <f>AND(#REF!,"AAAAAHP9zT8=")</f>
        <v>#REF!</v>
      </c>
      <c r="BM230" t="e">
        <f>AND(#REF!,"AAAAAHP9zUA=")</f>
        <v>#REF!</v>
      </c>
      <c r="BN230" t="e">
        <f>AND(#REF!,"AAAAAHP9zUE=")</f>
        <v>#REF!</v>
      </c>
      <c r="BO230" t="e">
        <f>AND(#REF!,"AAAAAHP9zUI=")</f>
        <v>#REF!</v>
      </c>
      <c r="BP230" t="e">
        <f>AND(#REF!,"AAAAAHP9zUM=")</f>
        <v>#REF!</v>
      </c>
      <c r="BQ230" t="e">
        <f>IF(#REF!,"AAAAAHP9zUQ=",0)</f>
        <v>#REF!</v>
      </c>
      <c r="BR230" t="e">
        <f>AND(#REF!,"AAAAAHP9zUU=")</f>
        <v>#REF!</v>
      </c>
      <c r="BS230" t="e">
        <f>AND(#REF!,"AAAAAHP9zUY=")</f>
        <v>#REF!</v>
      </c>
      <c r="BT230" t="e">
        <f>AND(#REF!,"AAAAAHP9zUc=")</f>
        <v>#REF!</v>
      </c>
      <c r="BU230" t="e">
        <f>AND(#REF!,"AAAAAHP9zUg=")</f>
        <v>#REF!</v>
      </c>
      <c r="BV230" t="e">
        <f>AND(#REF!,"AAAAAHP9zUk=")</f>
        <v>#REF!</v>
      </c>
      <c r="BW230" t="e">
        <f>AND(#REF!,"AAAAAHP9zUo=")</f>
        <v>#REF!</v>
      </c>
      <c r="BX230" t="e">
        <f>AND(#REF!,"AAAAAHP9zUs=")</f>
        <v>#REF!</v>
      </c>
      <c r="BY230" t="e">
        <f>AND(#REF!,"AAAAAHP9zUw=")</f>
        <v>#REF!</v>
      </c>
      <c r="BZ230" t="e">
        <f>AND(#REF!,"AAAAAHP9zU0=")</f>
        <v>#REF!</v>
      </c>
      <c r="CA230" t="e">
        <f>AND(#REF!,"AAAAAHP9zU4=")</f>
        <v>#REF!</v>
      </c>
      <c r="CB230" t="e">
        <f>IF(#REF!,"AAAAAHP9zU8=",0)</f>
        <v>#REF!</v>
      </c>
      <c r="CC230" t="e">
        <f>AND(#REF!,"AAAAAHP9zVA=")</f>
        <v>#REF!</v>
      </c>
      <c r="CD230" t="e">
        <f>AND(#REF!,"AAAAAHP9zVE=")</f>
        <v>#REF!</v>
      </c>
      <c r="CE230" t="e">
        <f>AND(#REF!,"AAAAAHP9zVI=")</f>
        <v>#REF!</v>
      </c>
      <c r="CF230" t="e">
        <f>AND(#REF!,"AAAAAHP9zVM=")</f>
        <v>#REF!</v>
      </c>
      <c r="CG230" t="e">
        <f>AND(#REF!,"AAAAAHP9zVQ=")</f>
        <v>#REF!</v>
      </c>
      <c r="CH230" t="e">
        <f>AND(#REF!,"AAAAAHP9zVU=")</f>
        <v>#REF!</v>
      </c>
      <c r="CI230" t="e">
        <f>AND(#REF!,"AAAAAHP9zVY=")</f>
        <v>#REF!</v>
      </c>
      <c r="CJ230" t="e">
        <f>AND(#REF!,"AAAAAHP9zVc=")</f>
        <v>#REF!</v>
      </c>
      <c r="CK230" t="e">
        <f>AND(#REF!,"AAAAAHP9zVg=")</f>
        <v>#REF!</v>
      </c>
      <c r="CL230" t="e">
        <f>AND(#REF!,"AAAAAHP9zVk=")</f>
        <v>#REF!</v>
      </c>
      <c r="CM230" t="e">
        <f>IF(#REF!,"AAAAAHP9zVo=",0)</f>
        <v>#REF!</v>
      </c>
      <c r="CN230" t="e">
        <f>AND(#REF!,"AAAAAHP9zVs=")</f>
        <v>#REF!</v>
      </c>
      <c r="CO230" t="e">
        <f>AND(#REF!,"AAAAAHP9zVw=")</f>
        <v>#REF!</v>
      </c>
      <c r="CP230" t="e">
        <f>AND(#REF!,"AAAAAHP9zV0=")</f>
        <v>#REF!</v>
      </c>
      <c r="CQ230" t="e">
        <f>AND(#REF!,"AAAAAHP9zV4=")</f>
        <v>#REF!</v>
      </c>
      <c r="CR230" t="e">
        <f>AND(#REF!,"AAAAAHP9zV8=")</f>
        <v>#REF!</v>
      </c>
      <c r="CS230" t="e">
        <f>AND(#REF!,"AAAAAHP9zWA=")</f>
        <v>#REF!</v>
      </c>
      <c r="CT230" t="e">
        <f>AND(#REF!,"AAAAAHP9zWE=")</f>
        <v>#REF!</v>
      </c>
      <c r="CU230" t="e">
        <f>AND(#REF!,"AAAAAHP9zWI=")</f>
        <v>#REF!</v>
      </c>
      <c r="CV230" t="e">
        <f>AND(#REF!,"AAAAAHP9zWM=")</f>
        <v>#REF!</v>
      </c>
      <c r="CW230" t="e">
        <f>AND(#REF!,"AAAAAHP9zWQ=")</f>
        <v>#REF!</v>
      </c>
      <c r="CX230" t="e">
        <f>IF(#REF!,"AAAAAHP9zWU=",0)</f>
        <v>#REF!</v>
      </c>
      <c r="CY230" t="e">
        <f>AND(#REF!,"AAAAAHP9zWY=")</f>
        <v>#REF!</v>
      </c>
      <c r="CZ230" t="e">
        <f>AND(#REF!,"AAAAAHP9zWc=")</f>
        <v>#REF!</v>
      </c>
      <c r="DA230" t="e">
        <f>AND(#REF!,"AAAAAHP9zWg=")</f>
        <v>#REF!</v>
      </c>
      <c r="DB230" t="e">
        <f>AND(#REF!,"AAAAAHP9zWk=")</f>
        <v>#REF!</v>
      </c>
      <c r="DC230" t="e">
        <f>AND(#REF!,"AAAAAHP9zWo=")</f>
        <v>#REF!</v>
      </c>
      <c r="DD230" t="e">
        <f>AND(#REF!,"AAAAAHP9zWs=")</f>
        <v>#REF!</v>
      </c>
      <c r="DE230" t="e">
        <f>AND(#REF!,"AAAAAHP9zWw=")</f>
        <v>#REF!</v>
      </c>
      <c r="DF230" t="e">
        <f>AND(#REF!,"AAAAAHP9zW0=")</f>
        <v>#REF!</v>
      </c>
      <c r="DG230" t="e">
        <f>AND(#REF!,"AAAAAHP9zW4=")</f>
        <v>#REF!</v>
      </c>
      <c r="DH230" t="e">
        <f>AND(#REF!,"AAAAAHP9zW8=")</f>
        <v>#REF!</v>
      </c>
      <c r="DI230" t="e">
        <f>IF(#REF!,"AAAAAHP9zXA=",0)</f>
        <v>#REF!</v>
      </c>
      <c r="DJ230" t="e">
        <f>AND(#REF!,"AAAAAHP9zXE=")</f>
        <v>#REF!</v>
      </c>
      <c r="DK230" t="e">
        <f>AND(#REF!,"AAAAAHP9zXI=")</f>
        <v>#REF!</v>
      </c>
      <c r="DL230" t="e">
        <f>AND(#REF!,"AAAAAHP9zXM=")</f>
        <v>#REF!</v>
      </c>
      <c r="DM230" t="e">
        <f>AND(#REF!,"AAAAAHP9zXQ=")</f>
        <v>#REF!</v>
      </c>
      <c r="DN230" t="e">
        <f>AND(#REF!,"AAAAAHP9zXU=")</f>
        <v>#REF!</v>
      </c>
      <c r="DO230" t="e">
        <f>AND(#REF!,"AAAAAHP9zXY=")</f>
        <v>#REF!</v>
      </c>
      <c r="DP230" t="e">
        <f>AND(#REF!,"AAAAAHP9zXc=")</f>
        <v>#REF!</v>
      </c>
      <c r="DQ230" t="e">
        <f>AND(#REF!,"AAAAAHP9zXg=")</f>
        <v>#REF!</v>
      </c>
      <c r="DR230" t="e">
        <f>AND(#REF!,"AAAAAHP9zXk=")</f>
        <v>#REF!</v>
      </c>
      <c r="DS230" t="e">
        <f>AND(#REF!,"AAAAAHP9zXo=")</f>
        <v>#REF!</v>
      </c>
      <c r="DT230" t="e">
        <f>IF(#REF!,"AAAAAHP9zXs=",0)</f>
        <v>#REF!</v>
      </c>
      <c r="DU230" t="e">
        <f>AND(#REF!,"AAAAAHP9zXw=")</f>
        <v>#REF!</v>
      </c>
      <c r="DV230" t="e">
        <f>AND(#REF!,"AAAAAHP9zX0=")</f>
        <v>#REF!</v>
      </c>
      <c r="DW230" t="e">
        <f>AND(#REF!,"AAAAAHP9zX4=")</f>
        <v>#REF!</v>
      </c>
      <c r="DX230" t="e">
        <f>AND(#REF!,"AAAAAHP9zX8=")</f>
        <v>#REF!</v>
      </c>
      <c r="DY230" t="e">
        <f>AND(#REF!,"AAAAAHP9zYA=")</f>
        <v>#REF!</v>
      </c>
      <c r="DZ230" t="e">
        <f>AND(#REF!,"AAAAAHP9zYE=")</f>
        <v>#REF!</v>
      </c>
      <c r="EA230" t="e">
        <f>AND(#REF!,"AAAAAHP9zYI=")</f>
        <v>#REF!</v>
      </c>
      <c r="EB230" t="e">
        <f>AND(#REF!,"AAAAAHP9zYM=")</f>
        <v>#REF!</v>
      </c>
      <c r="EC230" t="e">
        <f>AND(#REF!,"AAAAAHP9zYQ=")</f>
        <v>#REF!</v>
      </c>
      <c r="ED230" t="e">
        <f>AND(#REF!,"AAAAAHP9zYU=")</f>
        <v>#REF!</v>
      </c>
      <c r="EE230" t="e">
        <f>IF(#REF!,"AAAAAHP9zYY=",0)</f>
        <v>#REF!</v>
      </c>
      <c r="EF230" t="e">
        <f>AND(#REF!,"AAAAAHP9zYc=")</f>
        <v>#REF!</v>
      </c>
      <c r="EG230" t="e">
        <f>AND(#REF!,"AAAAAHP9zYg=")</f>
        <v>#REF!</v>
      </c>
      <c r="EH230" t="e">
        <f>AND(#REF!,"AAAAAHP9zYk=")</f>
        <v>#REF!</v>
      </c>
      <c r="EI230" t="e">
        <f>AND(#REF!,"AAAAAHP9zYo=")</f>
        <v>#REF!</v>
      </c>
      <c r="EJ230" t="e">
        <f>AND(#REF!,"AAAAAHP9zYs=")</f>
        <v>#REF!</v>
      </c>
      <c r="EK230" t="e">
        <f>AND(#REF!,"AAAAAHP9zYw=")</f>
        <v>#REF!</v>
      </c>
      <c r="EL230" t="e">
        <f>AND(#REF!,"AAAAAHP9zY0=")</f>
        <v>#REF!</v>
      </c>
      <c r="EM230" t="e">
        <f>AND(#REF!,"AAAAAHP9zY4=")</f>
        <v>#REF!</v>
      </c>
      <c r="EN230" t="e">
        <f>AND(#REF!,"AAAAAHP9zY8=")</f>
        <v>#REF!</v>
      </c>
      <c r="EO230" t="e">
        <f>AND(#REF!,"AAAAAHP9zZA=")</f>
        <v>#REF!</v>
      </c>
      <c r="EP230" t="e">
        <f>IF(#REF!,"AAAAAHP9zZE=",0)</f>
        <v>#REF!</v>
      </c>
      <c r="EQ230" t="e">
        <f>AND(#REF!,"AAAAAHP9zZI=")</f>
        <v>#REF!</v>
      </c>
      <c r="ER230" t="e">
        <f>AND(#REF!,"AAAAAHP9zZM=")</f>
        <v>#REF!</v>
      </c>
      <c r="ES230" t="e">
        <f>AND(#REF!,"AAAAAHP9zZQ=")</f>
        <v>#REF!</v>
      </c>
      <c r="ET230" t="e">
        <f>AND(#REF!,"AAAAAHP9zZU=")</f>
        <v>#REF!</v>
      </c>
      <c r="EU230" t="e">
        <f>AND(#REF!,"AAAAAHP9zZY=")</f>
        <v>#REF!</v>
      </c>
      <c r="EV230" t="e">
        <f>AND(#REF!,"AAAAAHP9zZc=")</f>
        <v>#REF!</v>
      </c>
      <c r="EW230" t="e">
        <f>AND(#REF!,"AAAAAHP9zZg=")</f>
        <v>#REF!</v>
      </c>
      <c r="EX230" t="e">
        <f>AND(#REF!,"AAAAAHP9zZk=")</f>
        <v>#REF!</v>
      </c>
      <c r="EY230" t="e">
        <f>AND(#REF!,"AAAAAHP9zZo=")</f>
        <v>#REF!</v>
      </c>
      <c r="EZ230" t="e">
        <f>AND(#REF!,"AAAAAHP9zZs=")</f>
        <v>#REF!</v>
      </c>
      <c r="FA230" t="e">
        <f>IF(#REF!,"AAAAAHP9zZw=",0)</f>
        <v>#REF!</v>
      </c>
      <c r="FB230" t="e">
        <f>AND(#REF!,"AAAAAHP9zZ0=")</f>
        <v>#REF!</v>
      </c>
      <c r="FC230" t="e">
        <f>AND(#REF!,"AAAAAHP9zZ4=")</f>
        <v>#REF!</v>
      </c>
      <c r="FD230" t="e">
        <f>AND(#REF!,"AAAAAHP9zZ8=")</f>
        <v>#REF!</v>
      </c>
      <c r="FE230" t="e">
        <f>AND(#REF!,"AAAAAHP9zaA=")</f>
        <v>#REF!</v>
      </c>
      <c r="FF230" t="e">
        <f>AND(#REF!,"AAAAAHP9zaE=")</f>
        <v>#REF!</v>
      </c>
      <c r="FG230" t="e">
        <f>AND(#REF!,"AAAAAHP9zaI=")</f>
        <v>#REF!</v>
      </c>
      <c r="FH230" t="e">
        <f>AND(#REF!,"AAAAAHP9zaM=")</f>
        <v>#REF!</v>
      </c>
      <c r="FI230" t="e">
        <f>AND(#REF!,"AAAAAHP9zaQ=")</f>
        <v>#REF!</v>
      </c>
      <c r="FJ230" t="e">
        <f>AND(#REF!,"AAAAAHP9zaU=")</f>
        <v>#REF!</v>
      </c>
      <c r="FK230" t="e">
        <f>AND(#REF!,"AAAAAHP9zaY=")</f>
        <v>#REF!</v>
      </c>
      <c r="FL230" t="e">
        <f>IF(#REF!,"AAAAAHP9zac=",0)</f>
        <v>#REF!</v>
      </c>
      <c r="FM230" t="e">
        <f>AND(#REF!,"AAAAAHP9zag=")</f>
        <v>#REF!</v>
      </c>
      <c r="FN230" t="e">
        <f>AND(#REF!,"AAAAAHP9zak=")</f>
        <v>#REF!</v>
      </c>
      <c r="FO230" t="e">
        <f>AND(#REF!,"AAAAAHP9zao=")</f>
        <v>#REF!</v>
      </c>
      <c r="FP230" t="e">
        <f>AND(#REF!,"AAAAAHP9zas=")</f>
        <v>#REF!</v>
      </c>
      <c r="FQ230" t="e">
        <f>AND(#REF!,"AAAAAHP9zaw=")</f>
        <v>#REF!</v>
      </c>
      <c r="FR230" t="e">
        <f>AND(#REF!,"AAAAAHP9za0=")</f>
        <v>#REF!</v>
      </c>
      <c r="FS230" t="e">
        <f>AND(#REF!,"AAAAAHP9za4=")</f>
        <v>#REF!</v>
      </c>
      <c r="FT230" t="e">
        <f>AND(#REF!,"AAAAAHP9za8=")</f>
        <v>#REF!</v>
      </c>
      <c r="FU230" t="e">
        <f>AND(#REF!,"AAAAAHP9zbA=")</f>
        <v>#REF!</v>
      </c>
      <c r="FV230" t="e">
        <f>AND(#REF!,"AAAAAHP9zbE=")</f>
        <v>#REF!</v>
      </c>
      <c r="FW230" t="e">
        <f>IF(#REF!,"AAAAAHP9zbI=",0)</f>
        <v>#REF!</v>
      </c>
      <c r="FX230" t="e">
        <f>AND(#REF!,"AAAAAHP9zbM=")</f>
        <v>#REF!</v>
      </c>
      <c r="FY230" t="e">
        <f>AND(#REF!,"AAAAAHP9zbQ=")</f>
        <v>#REF!</v>
      </c>
      <c r="FZ230" t="e">
        <f>AND(#REF!,"AAAAAHP9zbU=")</f>
        <v>#REF!</v>
      </c>
      <c r="GA230" t="e">
        <f>AND(#REF!,"AAAAAHP9zbY=")</f>
        <v>#REF!</v>
      </c>
      <c r="GB230" t="e">
        <f>AND(#REF!,"AAAAAHP9zbc=")</f>
        <v>#REF!</v>
      </c>
      <c r="GC230" t="e">
        <f>AND(#REF!,"AAAAAHP9zbg=")</f>
        <v>#REF!</v>
      </c>
      <c r="GD230" t="e">
        <f>AND(#REF!,"AAAAAHP9zbk=")</f>
        <v>#REF!</v>
      </c>
      <c r="GE230" t="e">
        <f>AND(#REF!,"AAAAAHP9zbo=")</f>
        <v>#REF!</v>
      </c>
      <c r="GF230" t="e">
        <f>AND(#REF!,"AAAAAHP9zbs=")</f>
        <v>#REF!</v>
      </c>
      <c r="GG230" t="e">
        <f>AND(#REF!,"AAAAAHP9zbw=")</f>
        <v>#REF!</v>
      </c>
      <c r="GH230" t="e">
        <f>IF(#REF!,"AAAAAHP9zb0=",0)</f>
        <v>#REF!</v>
      </c>
      <c r="GI230" t="e">
        <f>AND(#REF!,"AAAAAHP9zb4=")</f>
        <v>#REF!</v>
      </c>
      <c r="GJ230" t="e">
        <f>AND(#REF!,"AAAAAHP9zb8=")</f>
        <v>#REF!</v>
      </c>
      <c r="GK230" t="e">
        <f>AND(#REF!,"AAAAAHP9zcA=")</f>
        <v>#REF!</v>
      </c>
      <c r="GL230" t="e">
        <f>AND(#REF!,"AAAAAHP9zcE=")</f>
        <v>#REF!</v>
      </c>
      <c r="GM230" t="e">
        <f>AND(#REF!,"AAAAAHP9zcI=")</f>
        <v>#REF!</v>
      </c>
      <c r="GN230" t="e">
        <f>AND(#REF!,"AAAAAHP9zcM=")</f>
        <v>#REF!</v>
      </c>
      <c r="GO230" t="e">
        <f>AND(#REF!,"AAAAAHP9zcQ=")</f>
        <v>#REF!</v>
      </c>
      <c r="GP230" t="e">
        <f>AND(#REF!,"AAAAAHP9zcU=")</f>
        <v>#REF!</v>
      </c>
      <c r="GQ230" t="e">
        <f>AND(#REF!,"AAAAAHP9zcY=")</f>
        <v>#REF!</v>
      </c>
      <c r="GR230" t="e">
        <f>AND(#REF!,"AAAAAHP9zcc=")</f>
        <v>#REF!</v>
      </c>
      <c r="GS230" t="e">
        <f>IF(#REF!,"AAAAAHP9zcg=",0)</f>
        <v>#REF!</v>
      </c>
      <c r="GT230" t="e">
        <f>AND(#REF!,"AAAAAHP9zck=")</f>
        <v>#REF!</v>
      </c>
      <c r="GU230" t="e">
        <f>AND(#REF!,"AAAAAHP9zco=")</f>
        <v>#REF!</v>
      </c>
      <c r="GV230" t="e">
        <f>AND(#REF!,"AAAAAHP9zcs=")</f>
        <v>#REF!</v>
      </c>
      <c r="GW230" t="e">
        <f>AND(#REF!,"AAAAAHP9zcw=")</f>
        <v>#REF!</v>
      </c>
      <c r="GX230" t="e">
        <f>AND(#REF!,"AAAAAHP9zc0=")</f>
        <v>#REF!</v>
      </c>
      <c r="GY230" t="e">
        <f>AND(#REF!,"AAAAAHP9zc4=")</f>
        <v>#REF!</v>
      </c>
      <c r="GZ230" t="e">
        <f>AND(#REF!,"AAAAAHP9zc8=")</f>
        <v>#REF!</v>
      </c>
      <c r="HA230" t="e">
        <f>AND(#REF!,"AAAAAHP9zdA=")</f>
        <v>#REF!</v>
      </c>
      <c r="HB230" t="e">
        <f>AND(#REF!,"AAAAAHP9zdE=")</f>
        <v>#REF!</v>
      </c>
      <c r="HC230" t="e">
        <f>AND(#REF!,"AAAAAHP9zdI=")</f>
        <v>#REF!</v>
      </c>
      <c r="HD230" t="e">
        <f>IF(#REF!,"AAAAAHP9zdM=",0)</f>
        <v>#REF!</v>
      </c>
      <c r="HE230" t="e">
        <f>AND(#REF!,"AAAAAHP9zdQ=")</f>
        <v>#REF!</v>
      </c>
      <c r="HF230" t="e">
        <f>AND(#REF!,"AAAAAHP9zdU=")</f>
        <v>#REF!</v>
      </c>
      <c r="HG230" t="e">
        <f>AND(#REF!,"AAAAAHP9zdY=")</f>
        <v>#REF!</v>
      </c>
      <c r="HH230" t="e">
        <f>AND(#REF!,"AAAAAHP9zdc=")</f>
        <v>#REF!</v>
      </c>
      <c r="HI230" t="e">
        <f>AND(#REF!,"AAAAAHP9zdg=")</f>
        <v>#REF!</v>
      </c>
      <c r="HJ230" t="e">
        <f>AND(#REF!,"AAAAAHP9zdk=")</f>
        <v>#REF!</v>
      </c>
      <c r="HK230" t="e">
        <f>AND(#REF!,"AAAAAHP9zdo=")</f>
        <v>#REF!</v>
      </c>
      <c r="HL230" t="e">
        <f>AND(#REF!,"AAAAAHP9zds=")</f>
        <v>#REF!</v>
      </c>
      <c r="HM230" t="e">
        <f>AND(#REF!,"AAAAAHP9zdw=")</f>
        <v>#REF!</v>
      </c>
      <c r="HN230" t="e">
        <f>AND(#REF!,"AAAAAHP9zd0=")</f>
        <v>#REF!</v>
      </c>
      <c r="HO230" t="e">
        <f>IF(#REF!,"AAAAAHP9zd4=",0)</f>
        <v>#REF!</v>
      </c>
      <c r="HP230" t="e">
        <f>AND(#REF!,"AAAAAHP9zd8=")</f>
        <v>#REF!</v>
      </c>
      <c r="HQ230" t="e">
        <f>AND(#REF!,"AAAAAHP9zeA=")</f>
        <v>#REF!</v>
      </c>
      <c r="HR230" t="e">
        <f>AND(#REF!,"AAAAAHP9zeE=")</f>
        <v>#REF!</v>
      </c>
      <c r="HS230" t="e">
        <f>AND(#REF!,"AAAAAHP9zeI=")</f>
        <v>#REF!</v>
      </c>
      <c r="HT230" t="e">
        <f>AND(#REF!,"AAAAAHP9zeM=")</f>
        <v>#REF!</v>
      </c>
      <c r="HU230" t="e">
        <f>AND(#REF!,"AAAAAHP9zeQ=")</f>
        <v>#REF!</v>
      </c>
      <c r="HV230" t="e">
        <f>AND(#REF!,"AAAAAHP9zeU=")</f>
        <v>#REF!</v>
      </c>
      <c r="HW230" t="e">
        <f>AND(#REF!,"AAAAAHP9zeY=")</f>
        <v>#REF!</v>
      </c>
      <c r="HX230" t="e">
        <f>AND(#REF!,"AAAAAHP9zec=")</f>
        <v>#REF!</v>
      </c>
      <c r="HY230" t="e">
        <f>AND(#REF!,"AAAAAHP9zeg=")</f>
        <v>#REF!</v>
      </c>
      <c r="HZ230" t="e">
        <f>IF(#REF!,"AAAAAHP9zek=",0)</f>
        <v>#REF!</v>
      </c>
      <c r="IA230" t="e">
        <f>AND(#REF!,"AAAAAHP9zeo=")</f>
        <v>#REF!</v>
      </c>
      <c r="IB230" t="e">
        <f>AND(#REF!,"AAAAAHP9zes=")</f>
        <v>#REF!</v>
      </c>
      <c r="IC230" t="e">
        <f>AND(#REF!,"AAAAAHP9zew=")</f>
        <v>#REF!</v>
      </c>
      <c r="ID230" t="e">
        <f>AND(#REF!,"AAAAAHP9ze0=")</f>
        <v>#REF!</v>
      </c>
      <c r="IE230" t="e">
        <f>AND(#REF!,"AAAAAHP9ze4=")</f>
        <v>#REF!</v>
      </c>
      <c r="IF230" t="e">
        <f>AND(#REF!,"AAAAAHP9ze8=")</f>
        <v>#REF!</v>
      </c>
      <c r="IG230" t="e">
        <f>AND(#REF!,"AAAAAHP9zfA=")</f>
        <v>#REF!</v>
      </c>
      <c r="IH230" t="e">
        <f>AND(#REF!,"AAAAAHP9zfE=")</f>
        <v>#REF!</v>
      </c>
      <c r="II230" t="e">
        <f>AND(#REF!,"AAAAAHP9zfI=")</f>
        <v>#REF!</v>
      </c>
      <c r="IJ230" t="e">
        <f>AND(#REF!,"AAAAAHP9zfM=")</f>
        <v>#REF!</v>
      </c>
      <c r="IK230" t="e">
        <f>IF(#REF!,"AAAAAHP9zfQ=",0)</f>
        <v>#REF!</v>
      </c>
      <c r="IL230" t="e">
        <f>AND(#REF!,"AAAAAHP9zfU=")</f>
        <v>#REF!</v>
      </c>
      <c r="IM230" t="e">
        <f>AND(#REF!,"AAAAAHP9zfY=")</f>
        <v>#REF!</v>
      </c>
      <c r="IN230" t="e">
        <f>AND(#REF!,"AAAAAHP9zfc=")</f>
        <v>#REF!</v>
      </c>
      <c r="IO230" t="e">
        <f>AND(#REF!,"AAAAAHP9zfg=")</f>
        <v>#REF!</v>
      </c>
      <c r="IP230" t="e">
        <f>AND(#REF!,"AAAAAHP9zfk=")</f>
        <v>#REF!</v>
      </c>
      <c r="IQ230" t="e">
        <f>AND(#REF!,"AAAAAHP9zfo=")</f>
        <v>#REF!</v>
      </c>
      <c r="IR230" t="e">
        <f>AND(#REF!,"AAAAAHP9zfs=")</f>
        <v>#REF!</v>
      </c>
      <c r="IS230" t="e">
        <f>AND(#REF!,"AAAAAHP9zfw=")</f>
        <v>#REF!</v>
      </c>
      <c r="IT230" t="e">
        <f>AND(#REF!,"AAAAAHP9zf0=")</f>
        <v>#REF!</v>
      </c>
      <c r="IU230" t="e">
        <f>AND(#REF!,"AAAAAHP9zf4=")</f>
        <v>#REF!</v>
      </c>
      <c r="IV230" t="e">
        <f>IF(#REF!,"AAAAAHP9zf8=",0)</f>
        <v>#REF!</v>
      </c>
    </row>
    <row r="231" spans="1:256" x14ac:dyDescent="0.25">
      <c r="A231" t="e">
        <f>AND(#REF!,"AAAAAH9eNgA=")</f>
        <v>#REF!</v>
      </c>
      <c r="B231" t="e">
        <f>AND(#REF!,"AAAAAH9eNgE=")</f>
        <v>#REF!</v>
      </c>
      <c r="C231" t="e">
        <f>AND(#REF!,"AAAAAH9eNgI=")</f>
        <v>#REF!</v>
      </c>
      <c r="D231" t="e">
        <f>AND(#REF!,"AAAAAH9eNgM=")</f>
        <v>#REF!</v>
      </c>
      <c r="E231" t="e">
        <f>AND(#REF!,"AAAAAH9eNgQ=")</f>
        <v>#REF!</v>
      </c>
      <c r="F231" t="e">
        <f>AND(#REF!,"AAAAAH9eNgU=")</f>
        <v>#REF!</v>
      </c>
      <c r="G231" t="e">
        <f>AND(#REF!,"AAAAAH9eNgY=")</f>
        <v>#REF!</v>
      </c>
      <c r="H231" t="e">
        <f>AND(#REF!,"AAAAAH9eNgc=")</f>
        <v>#REF!</v>
      </c>
      <c r="I231" t="e">
        <f>AND(#REF!,"AAAAAH9eNgg=")</f>
        <v>#REF!</v>
      </c>
      <c r="J231" t="e">
        <f>AND(#REF!,"AAAAAH9eNgk=")</f>
        <v>#REF!</v>
      </c>
      <c r="K231" t="e">
        <f>IF(#REF!,"AAAAAH9eNgo=",0)</f>
        <v>#REF!</v>
      </c>
      <c r="L231" t="e">
        <f>AND(#REF!,"AAAAAH9eNgs=")</f>
        <v>#REF!</v>
      </c>
      <c r="M231" t="e">
        <f>AND(#REF!,"AAAAAH9eNgw=")</f>
        <v>#REF!</v>
      </c>
      <c r="N231" t="e">
        <f>AND(#REF!,"AAAAAH9eNg0=")</f>
        <v>#REF!</v>
      </c>
      <c r="O231" t="e">
        <f>AND(#REF!,"AAAAAH9eNg4=")</f>
        <v>#REF!</v>
      </c>
      <c r="P231" t="e">
        <f>AND(#REF!,"AAAAAH9eNg8=")</f>
        <v>#REF!</v>
      </c>
      <c r="Q231" t="e">
        <f>AND(#REF!,"AAAAAH9eNhA=")</f>
        <v>#REF!</v>
      </c>
      <c r="R231" t="e">
        <f>AND(#REF!,"AAAAAH9eNhE=")</f>
        <v>#REF!</v>
      </c>
      <c r="S231" t="e">
        <f>AND(#REF!,"AAAAAH9eNhI=")</f>
        <v>#REF!</v>
      </c>
      <c r="T231" t="e">
        <f>AND(#REF!,"AAAAAH9eNhM=")</f>
        <v>#REF!</v>
      </c>
      <c r="U231" t="e">
        <f>AND(#REF!,"AAAAAH9eNhQ=")</f>
        <v>#REF!</v>
      </c>
      <c r="V231" t="e">
        <f>IF(#REF!,"AAAAAH9eNhU=",0)</f>
        <v>#REF!</v>
      </c>
      <c r="W231" t="e">
        <f>AND(#REF!,"AAAAAH9eNhY=")</f>
        <v>#REF!</v>
      </c>
      <c r="X231" t="e">
        <f>AND(#REF!,"AAAAAH9eNhc=")</f>
        <v>#REF!</v>
      </c>
      <c r="Y231" t="e">
        <f>AND(#REF!,"AAAAAH9eNhg=")</f>
        <v>#REF!</v>
      </c>
      <c r="Z231" t="e">
        <f>AND(#REF!,"AAAAAH9eNhk=")</f>
        <v>#REF!</v>
      </c>
      <c r="AA231" t="e">
        <f>AND(#REF!,"AAAAAH9eNho=")</f>
        <v>#REF!</v>
      </c>
      <c r="AB231" t="e">
        <f>AND(#REF!,"AAAAAH9eNhs=")</f>
        <v>#REF!</v>
      </c>
      <c r="AC231" t="e">
        <f>AND(#REF!,"AAAAAH9eNhw=")</f>
        <v>#REF!</v>
      </c>
      <c r="AD231" t="e">
        <f>AND(#REF!,"AAAAAH9eNh0=")</f>
        <v>#REF!</v>
      </c>
      <c r="AE231" t="e">
        <f>AND(#REF!,"AAAAAH9eNh4=")</f>
        <v>#REF!</v>
      </c>
      <c r="AF231" t="e">
        <f>AND(#REF!,"AAAAAH9eNh8=")</f>
        <v>#REF!</v>
      </c>
      <c r="AG231" t="e">
        <f>IF(#REF!,"AAAAAH9eNiA=",0)</f>
        <v>#REF!</v>
      </c>
      <c r="AH231" t="e">
        <f>AND(#REF!,"AAAAAH9eNiE=")</f>
        <v>#REF!</v>
      </c>
      <c r="AI231" t="e">
        <f>AND(#REF!,"AAAAAH9eNiI=")</f>
        <v>#REF!</v>
      </c>
      <c r="AJ231" t="e">
        <f>AND(#REF!,"AAAAAH9eNiM=")</f>
        <v>#REF!</v>
      </c>
      <c r="AK231" t="e">
        <f>AND(#REF!,"AAAAAH9eNiQ=")</f>
        <v>#REF!</v>
      </c>
      <c r="AL231" t="e">
        <f>AND(#REF!,"AAAAAH9eNiU=")</f>
        <v>#REF!</v>
      </c>
      <c r="AM231" t="e">
        <f>AND(#REF!,"AAAAAH9eNiY=")</f>
        <v>#REF!</v>
      </c>
      <c r="AN231" t="e">
        <f>AND(#REF!,"AAAAAH9eNic=")</f>
        <v>#REF!</v>
      </c>
      <c r="AO231" t="e">
        <f>AND(#REF!,"AAAAAH9eNig=")</f>
        <v>#REF!</v>
      </c>
      <c r="AP231" t="e">
        <f>AND(#REF!,"AAAAAH9eNik=")</f>
        <v>#REF!</v>
      </c>
      <c r="AQ231" t="e">
        <f>AND(#REF!,"AAAAAH9eNio=")</f>
        <v>#REF!</v>
      </c>
      <c r="AR231" t="e">
        <f>IF(#REF!,"AAAAAH9eNis=",0)</f>
        <v>#REF!</v>
      </c>
      <c r="AS231" t="e">
        <f>AND(#REF!,"AAAAAH9eNiw=")</f>
        <v>#REF!</v>
      </c>
      <c r="AT231" t="e">
        <f>AND(#REF!,"AAAAAH9eNi0=")</f>
        <v>#REF!</v>
      </c>
      <c r="AU231" t="e">
        <f>AND(#REF!,"AAAAAH9eNi4=")</f>
        <v>#REF!</v>
      </c>
      <c r="AV231" t="e">
        <f>AND(#REF!,"AAAAAH9eNi8=")</f>
        <v>#REF!</v>
      </c>
      <c r="AW231" t="e">
        <f>AND(#REF!,"AAAAAH9eNjA=")</f>
        <v>#REF!</v>
      </c>
      <c r="AX231" t="e">
        <f>AND(#REF!,"AAAAAH9eNjE=")</f>
        <v>#REF!</v>
      </c>
      <c r="AY231" t="e">
        <f>AND(#REF!,"AAAAAH9eNjI=")</f>
        <v>#REF!</v>
      </c>
      <c r="AZ231" t="e">
        <f>AND(#REF!,"AAAAAH9eNjM=")</f>
        <v>#REF!</v>
      </c>
      <c r="BA231" t="e">
        <f>AND(#REF!,"AAAAAH9eNjQ=")</f>
        <v>#REF!</v>
      </c>
      <c r="BB231" t="e">
        <f>AND(#REF!,"AAAAAH9eNjU=")</f>
        <v>#REF!</v>
      </c>
      <c r="BC231" t="e">
        <f>IF(#REF!,"AAAAAH9eNjY=",0)</f>
        <v>#REF!</v>
      </c>
      <c r="BD231" t="e">
        <f>AND(#REF!,"AAAAAH9eNjc=")</f>
        <v>#REF!</v>
      </c>
      <c r="BE231" t="e">
        <f>AND(#REF!,"AAAAAH9eNjg=")</f>
        <v>#REF!</v>
      </c>
      <c r="BF231" t="e">
        <f>AND(#REF!,"AAAAAH9eNjk=")</f>
        <v>#REF!</v>
      </c>
      <c r="BG231" t="e">
        <f>AND(#REF!,"AAAAAH9eNjo=")</f>
        <v>#REF!</v>
      </c>
      <c r="BH231" t="e">
        <f>AND(#REF!,"AAAAAH9eNjs=")</f>
        <v>#REF!</v>
      </c>
      <c r="BI231" t="e">
        <f>AND(#REF!,"AAAAAH9eNjw=")</f>
        <v>#REF!</v>
      </c>
      <c r="BJ231" t="e">
        <f>AND(#REF!,"AAAAAH9eNj0=")</f>
        <v>#REF!</v>
      </c>
      <c r="BK231" t="e">
        <f>AND(#REF!,"AAAAAH9eNj4=")</f>
        <v>#REF!</v>
      </c>
      <c r="BL231" t="e">
        <f>AND(#REF!,"AAAAAH9eNj8=")</f>
        <v>#REF!</v>
      </c>
      <c r="BM231" t="e">
        <f>AND(#REF!,"AAAAAH9eNkA=")</f>
        <v>#REF!</v>
      </c>
      <c r="BN231" t="e">
        <f>IF(#REF!,"AAAAAH9eNkE=",0)</f>
        <v>#REF!</v>
      </c>
      <c r="BO231" t="e">
        <f>AND(#REF!,"AAAAAH9eNkI=")</f>
        <v>#REF!</v>
      </c>
      <c r="BP231" t="e">
        <f>AND(#REF!,"AAAAAH9eNkM=")</f>
        <v>#REF!</v>
      </c>
      <c r="BQ231" t="e">
        <f>AND(#REF!,"AAAAAH9eNkQ=")</f>
        <v>#REF!</v>
      </c>
      <c r="BR231" t="e">
        <f>AND(#REF!,"AAAAAH9eNkU=")</f>
        <v>#REF!</v>
      </c>
      <c r="BS231" t="e">
        <f>AND(#REF!,"AAAAAH9eNkY=")</f>
        <v>#REF!</v>
      </c>
      <c r="BT231" t="e">
        <f>AND(#REF!,"AAAAAH9eNkc=")</f>
        <v>#REF!</v>
      </c>
      <c r="BU231" t="e">
        <f>AND(#REF!,"AAAAAH9eNkg=")</f>
        <v>#REF!</v>
      </c>
      <c r="BV231" t="e">
        <f>AND(#REF!,"AAAAAH9eNkk=")</f>
        <v>#REF!</v>
      </c>
      <c r="BW231" t="e">
        <f>AND(#REF!,"AAAAAH9eNko=")</f>
        <v>#REF!</v>
      </c>
      <c r="BX231" t="e">
        <f>AND(#REF!,"AAAAAH9eNks=")</f>
        <v>#REF!</v>
      </c>
      <c r="BY231" t="e">
        <f>IF(#REF!,"AAAAAH9eNkw=",0)</f>
        <v>#REF!</v>
      </c>
      <c r="BZ231" t="e">
        <f>AND(#REF!,"AAAAAH9eNk0=")</f>
        <v>#REF!</v>
      </c>
      <c r="CA231" t="e">
        <f>AND(#REF!,"AAAAAH9eNk4=")</f>
        <v>#REF!</v>
      </c>
      <c r="CB231" t="e">
        <f>AND(#REF!,"AAAAAH9eNk8=")</f>
        <v>#REF!</v>
      </c>
      <c r="CC231" t="e">
        <f>AND(#REF!,"AAAAAH9eNlA=")</f>
        <v>#REF!</v>
      </c>
      <c r="CD231" t="e">
        <f>AND(#REF!,"AAAAAH9eNlE=")</f>
        <v>#REF!</v>
      </c>
      <c r="CE231" t="e">
        <f>AND(#REF!,"AAAAAH9eNlI=")</f>
        <v>#REF!</v>
      </c>
      <c r="CF231" t="e">
        <f>AND(#REF!,"AAAAAH9eNlM=")</f>
        <v>#REF!</v>
      </c>
      <c r="CG231" t="e">
        <f>AND(#REF!,"AAAAAH9eNlQ=")</f>
        <v>#REF!</v>
      </c>
      <c r="CH231" t="e">
        <f>AND(#REF!,"AAAAAH9eNlU=")</f>
        <v>#REF!</v>
      </c>
      <c r="CI231" t="e">
        <f>AND(#REF!,"AAAAAH9eNlY=")</f>
        <v>#REF!</v>
      </c>
      <c r="CJ231" t="e">
        <f>IF(#REF!,"AAAAAH9eNlc=",0)</f>
        <v>#REF!</v>
      </c>
      <c r="CK231" t="e">
        <f>AND(#REF!,"AAAAAH9eNlg=")</f>
        <v>#REF!</v>
      </c>
      <c r="CL231" t="e">
        <f>AND(#REF!,"AAAAAH9eNlk=")</f>
        <v>#REF!</v>
      </c>
      <c r="CM231" t="e">
        <f>AND(#REF!,"AAAAAH9eNlo=")</f>
        <v>#REF!</v>
      </c>
      <c r="CN231" t="e">
        <f>AND(#REF!,"AAAAAH9eNls=")</f>
        <v>#REF!</v>
      </c>
      <c r="CO231" t="e">
        <f>AND(#REF!,"AAAAAH9eNlw=")</f>
        <v>#REF!</v>
      </c>
      <c r="CP231" t="e">
        <f>AND(#REF!,"AAAAAH9eNl0=")</f>
        <v>#REF!</v>
      </c>
      <c r="CQ231" t="e">
        <f>AND(#REF!,"AAAAAH9eNl4=")</f>
        <v>#REF!</v>
      </c>
      <c r="CR231" t="e">
        <f>AND(#REF!,"AAAAAH9eNl8=")</f>
        <v>#REF!</v>
      </c>
      <c r="CS231" t="e">
        <f>AND(#REF!,"AAAAAH9eNmA=")</f>
        <v>#REF!</v>
      </c>
      <c r="CT231" t="e">
        <f>AND(#REF!,"AAAAAH9eNmE=")</f>
        <v>#REF!</v>
      </c>
      <c r="CU231" t="e">
        <f>IF(#REF!,"AAAAAH9eNmI=",0)</f>
        <v>#REF!</v>
      </c>
      <c r="CV231" t="e">
        <f>AND(#REF!,"AAAAAH9eNmM=")</f>
        <v>#REF!</v>
      </c>
      <c r="CW231" t="e">
        <f>AND(#REF!,"AAAAAH9eNmQ=")</f>
        <v>#REF!</v>
      </c>
      <c r="CX231" t="e">
        <f>AND(#REF!,"AAAAAH9eNmU=")</f>
        <v>#REF!</v>
      </c>
      <c r="CY231" t="e">
        <f>AND(#REF!,"AAAAAH9eNmY=")</f>
        <v>#REF!</v>
      </c>
      <c r="CZ231" t="e">
        <f>AND(#REF!,"AAAAAH9eNmc=")</f>
        <v>#REF!</v>
      </c>
      <c r="DA231" t="e">
        <f>AND(#REF!,"AAAAAH9eNmg=")</f>
        <v>#REF!</v>
      </c>
      <c r="DB231" t="e">
        <f>AND(#REF!,"AAAAAH9eNmk=")</f>
        <v>#REF!</v>
      </c>
      <c r="DC231" t="e">
        <f>AND(#REF!,"AAAAAH9eNmo=")</f>
        <v>#REF!</v>
      </c>
      <c r="DD231" t="e">
        <f>AND(#REF!,"AAAAAH9eNms=")</f>
        <v>#REF!</v>
      </c>
      <c r="DE231" t="e">
        <f>AND(#REF!,"AAAAAH9eNmw=")</f>
        <v>#REF!</v>
      </c>
      <c r="DF231" t="e">
        <f>IF(#REF!,"AAAAAH9eNm0=",0)</f>
        <v>#REF!</v>
      </c>
      <c r="DG231" t="e">
        <f>AND(#REF!,"AAAAAH9eNm4=")</f>
        <v>#REF!</v>
      </c>
      <c r="DH231" t="e">
        <f>AND(#REF!,"AAAAAH9eNm8=")</f>
        <v>#REF!</v>
      </c>
      <c r="DI231" t="e">
        <f>AND(#REF!,"AAAAAH9eNnA=")</f>
        <v>#REF!</v>
      </c>
      <c r="DJ231" t="e">
        <f>AND(#REF!,"AAAAAH9eNnE=")</f>
        <v>#REF!</v>
      </c>
      <c r="DK231" t="e">
        <f>AND(#REF!,"AAAAAH9eNnI=")</f>
        <v>#REF!</v>
      </c>
      <c r="DL231" t="e">
        <f>AND(#REF!,"AAAAAH9eNnM=")</f>
        <v>#REF!</v>
      </c>
      <c r="DM231" t="e">
        <f>AND(#REF!,"AAAAAH9eNnQ=")</f>
        <v>#REF!</v>
      </c>
      <c r="DN231" t="e">
        <f>AND(#REF!,"AAAAAH9eNnU=")</f>
        <v>#REF!</v>
      </c>
      <c r="DO231" t="e">
        <f>AND(#REF!,"AAAAAH9eNnY=")</f>
        <v>#REF!</v>
      </c>
      <c r="DP231" t="e">
        <f>AND(#REF!,"AAAAAH9eNnc=")</f>
        <v>#REF!</v>
      </c>
      <c r="DQ231" t="e">
        <f>IF(#REF!,"AAAAAH9eNng=",0)</f>
        <v>#REF!</v>
      </c>
      <c r="DR231" t="e">
        <f>AND(#REF!,"AAAAAH9eNnk=")</f>
        <v>#REF!</v>
      </c>
      <c r="DS231" t="e">
        <f>AND(#REF!,"AAAAAH9eNno=")</f>
        <v>#REF!</v>
      </c>
      <c r="DT231" t="e">
        <f>AND(#REF!,"AAAAAH9eNns=")</f>
        <v>#REF!</v>
      </c>
      <c r="DU231" t="e">
        <f>AND(#REF!,"AAAAAH9eNnw=")</f>
        <v>#REF!</v>
      </c>
      <c r="DV231" t="e">
        <f>AND(#REF!,"AAAAAH9eNn0=")</f>
        <v>#REF!</v>
      </c>
      <c r="DW231" t="e">
        <f>AND(#REF!,"AAAAAH9eNn4=")</f>
        <v>#REF!</v>
      </c>
      <c r="DX231" t="e">
        <f>AND(#REF!,"AAAAAH9eNn8=")</f>
        <v>#REF!</v>
      </c>
      <c r="DY231" t="e">
        <f>AND(#REF!,"AAAAAH9eNoA=")</f>
        <v>#REF!</v>
      </c>
      <c r="DZ231" t="e">
        <f>AND(#REF!,"AAAAAH9eNoE=")</f>
        <v>#REF!</v>
      </c>
      <c r="EA231" t="e">
        <f>AND(#REF!,"AAAAAH9eNoI=")</f>
        <v>#REF!</v>
      </c>
      <c r="EB231" t="e">
        <f>IF(#REF!,"AAAAAH9eNoM=",0)</f>
        <v>#REF!</v>
      </c>
      <c r="EC231" t="e">
        <f>AND(#REF!,"AAAAAH9eNoQ=")</f>
        <v>#REF!</v>
      </c>
      <c r="ED231" t="e">
        <f>AND(#REF!,"AAAAAH9eNoU=")</f>
        <v>#REF!</v>
      </c>
      <c r="EE231" t="e">
        <f>AND(#REF!,"AAAAAH9eNoY=")</f>
        <v>#REF!</v>
      </c>
      <c r="EF231" t="e">
        <f>AND(#REF!,"AAAAAH9eNoc=")</f>
        <v>#REF!</v>
      </c>
      <c r="EG231" t="e">
        <f>AND(#REF!,"AAAAAH9eNog=")</f>
        <v>#REF!</v>
      </c>
      <c r="EH231" t="e">
        <f>AND(#REF!,"AAAAAH9eNok=")</f>
        <v>#REF!</v>
      </c>
      <c r="EI231" t="e">
        <f>AND(#REF!,"AAAAAH9eNoo=")</f>
        <v>#REF!</v>
      </c>
      <c r="EJ231" t="e">
        <f>AND(#REF!,"AAAAAH9eNos=")</f>
        <v>#REF!</v>
      </c>
      <c r="EK231" t="e">
        <f>AND(#REF!,"AAAAAH9eNow=")</f>
        <v>#REF!</v>
      </c>
      <c r="EL231" t="e">
        <f>AND(#REF!,"AAAAAH9eNo0=")</f>
        <v>#REF!</v>
      </c>
      <c r="EM231" t="e">
        <f>IF(#REF!,"AAAAAH9eNo4=",0)</f>
        <v>#REF!</v>
      </c>
      <c r="EN231" t="e">
        <f>AND(#REF!,"AAAAAH9eNo8=")</f>
        <v>#REF!</v>
      </c>
      <c r="EO231" t="e">
        <f>AND(#REF!,"AAAAAH9eNpA=")</f>
        <v>#REF!</v>
      </c>
      <c r="EP231" t="e">
        <f>AND(#REF!,"AAAAAH9eNpE=")</f>
        <v>#REF!</v>
      </c>
      <c r="EQ231" t="e">
        <f>AND(#REF!,"AAAAAH9eNpI=")</f>
        <v>#REF!</v>
      </c>
      <c r="ER231" t="e">
        <f>AND(#REF!,"AAAAAH9eNpM=")</f>
        <v>#REF!</v>
      </c>
      <c r="ES231" t="e">
        <f>AND(#REF!,"AAAAAH9eNpQ=")</f>
        <v>#REF!</v>
      </c>
      <c r="ET231" t="e">
        <f>AND(#REF!,"AAAAAH9eNpU=")</f>
        <v>#REF!</v>
      </c>
      <c r="EU231" t="e">
        <f>AND(#REF!,"AAAAAH9eNpY=")</f>
        <v>#REF!</v>
      </c>
      <c r="EV231" t="e">
        <f>AND(#REF!,"AAAAAH9eNpc=")</f>
        <v>#REF!</v>
      </c>
      <c r="EW231" t="e">
        <f>AND(#REF!,"AAAAAH9eNpg=")</f>
        <v>#REF!</v>
      </c>
      <c r="EX231" t="e">
        <f>IF(#REF!,"AAAAAH9eNpk=",0)</f>
        <v>#REF!</v>
      </c>
      <c r="EY231" t="e">
        <f>AND(#REF!,"AAAAAH9eNpo=")</f>
        <v>#REF!</v>
      </c>
      <c r="EZ231" t="e">
        <f>AND(#REF!,"AAAAAH9eNps=")</f>
        <v>#REF!</v>
      </c>
      <c r="FA231" t="e">
        <f>AND(#REF!,"AAAAAH9eNpw=")</f>
        <v>#REF!</v>
      </c>
      <c r="FB231" t="e">
        <f>AND(#REF!,"AAAAAH9eNp0=")</f>
        <v>#REF!</v>
      </c>
      <c r="FC231" t="e">
        <f>AND(#REF!,"AAAAAH9eNp4=")</f>
        <v>#REF!</v>
      </c>
      <c r="FD231" t="e">
        <f>AND(#REF!,"AAAAAH9eNp8=")</f>
        <v>#REF!</v>
      </c>
      <c r="FE231" t="e">
        <f>AND(#REF!,"AAAAAH9eNqA=")</f>
        <v>#REF!</v>
      </c>
      <c r="FF231" t="e">
        <f>AND(#REF!,"AAAAAH9eNqE=")</f>
        <v>#REF!</v>
      </c>
      <c r="FG231" t="e">
        <f>AND(#REF!,"AAAAAH9eNqI=")</f>
        <v>#REF!</v>
      </c>
      <c r="FH231" t="e">
        <f>AND(#REF!,"AAAAAH9eNqM=")</f>
        <v>#REF!</v>
      </c>
      <c r="FI231" t="e">
        <f>IF(#REF!,"AAAAAH9eNqQ=",0)</f>
        <v>#REF!</v>
      </c>
      <c r="FJ231" t="e">
        <f>AND(#REF!,"AAAAAH9eNqU=")</f>
        <v>#REF!</v>
      </c>
      <c r="FK231" t="e">
        <f>AND(#REF!,"AAAAAH9eNqY=")</f>
        <v>#REF!</v>
      </c>
      <c r="FL231" t="e">
        <f>AND(#REF!,"AAAAAH9eNqc=")</f>
        <v>#REF!</v>
      </c>
      <c r="FM231" t="e">
        <f>AND(#REF!,"AAAAAH9eNqg=")</f>
        <v>#REF!</v>
      </c>
      <c r="FN231" t="e">
        <f>AND(#REF!,"AAAAAH9eNqk=")</f>
        <v>#REF!</v>
      </c>
      <c r="FO231" t="e">
        <f>AND(#REF!,"AAAAAH9eNqo=")</f>
        <v>#REF!</v>
      </c>
      <c r="FP231" t="e">
        <f>AND(#REF!,"AAAAAH9eNqs=")</f>
        <v>#REF!</v>
      </c>
      <c r="FQ231" t="e">
        <f>AND(#REF!,"AAAAAH9eNqw=")</f>
        <v>#REF!</v>
      </c>
      <c r="FR231" t="e">
        <f>AND(#REF!,"AAAAAH9eNq0=")</f>
        <v>#REF!</v>
      </c>
      <c r="FS231" t="e">
        <f>AND(#REF!,"AAAAAH9eNq4=")</f>
        <v>#REF!</v>
      </c>
      <c r="FT231" t="e">
        <f>IF(#REF!,"AAAAAH9eNq8=",0)</f>
        <v>#REF!</v>
      </c>
      <c r="FU231" t="e">
        <f>AND(#REF!,"AAAAAH9eNrA=")</f>
        <v>#REF!</v>
      </c>
      <c r="FV231" t="e">
        <f>AND(#REF!,"AAAAAH9eNrE=")</f>
        <v>#REF!</v>
      </c>
      <c r="FW231" t="e">
        <f>AND(#REF!,"AAAAAH9eNrI=")</f>
        <v>#REF!</v>
      </c>
      <c r="FX231" t="e">
        <f>AND(#REF!,"AAAAAH9eNrM=")</f>
        <v>#REF!</v>
      </c>
      <c r="FY231" t="e">
        <f>AND(#REF!,"AAAAAH9eNrQ=")</f>
        <v>#REF!</v>
      </c>
      <c r="FZ231" t="e">
        <f>AND(#REF!,"AAAAAH9eNrU=")</f>
        <v>#REF!</v>
      </c>
      <c r="GA231" t="e">
        <f>AND(#REF!,"AAAAAH9eNrY=")</f>
        <v>#REF!</v>
      </c>
      <c r="GB231" t="e">
        <f>AND(#REF!,"AAAAAH9eNrc=")</f>
        <v>#REF!</v>
      </c>
      <c r="GC231" t="e">
        <f>AND(#REF!,"AAAAAH9eNrg=")</f>
        <v>#REF!</v>
      </c>
      <c r="GD231" t="e">
        <f>AND(#REF!,"AAAAAH9eNrk=")</f>
        <v>#REF!</v>
      </c>
      <c r="GE231" t="e">
        <f>IF(#REF!,"AAAAAH9eNro=",0)</f>
        <v>#REF!</v>
      </c>
      <c r="GF231" t="e">
        <f>AND(#REF!,"AAAAAH9eNrs=")</f>
        <v>#REF!</v>
      </c>
      <c r="GG231" t="e">
        <f>AND(#REF!,"AAAAAH9eNrw=")</f>
        <v>#REF!</v>
      </c>
      <c r="GH231" t="e">
        <f>AND(#REF!,"AAAAAH9eNr0=")</f>
        <v>#REF!</v>
      </c>
      <c r="GI231" t="e">
        <f>AND(#REF!,"AAAAAH9eNr4=")</f>
        <v>#REF!</v>
      </c>
      <c r="GJ231" t="e">
        <f>AND(#REF!,"AAAAAH9eNr8=")</f>
        <v>#REF!</v>
      </c>
      <c r="GK231" t="e">
        <f>AND(#REF!,"AAAAAH9eNsA=")</f>
        <v>#REF!</v>
      </c>
      <c r="GL231" t="e">
        <f>AND(#REF!,"AAAAAH9eNsE=")</f>
        <v>#REF!</v>
      </c>
      <c r="GM231" t="e">
        <f>AND(#REF!,"AAAAAH9eNsI=")</f>
        <v>#REF!</v>
      </c>
      <c r="GN231" t="e">
        <f>AND(#REF!,"AAAAAH9eNsM=")</f>
        <v>#REF!</v>
      </c>
      <c r="GO231" t="e">
        <f>AND(#REF!,"AAAAAH9eNsQ=")</f>
        <v>#REF!</v>
      </c>
      <c r="GP231" t="e">
        <f>IF(#REF!,"AAAAAH9eNsU=",0)</f>
        <v>#REF!</v>
      </c>
      <c r="GQ231" t="e">
        <f>AND(#REF!,"AAAAAH9eNsY=")</f>
        <v>#REF!</v>
      </c>
      <c r="GR231" t="e">
        <f>AND(#REF!,"AAAAAH9eNsc=")</f>
        <v>#REF!</v>
      </c>
      <c r="GS231" t="e">
        <f>AND(#REF!,"AAAAAH9eNsg=")</f>
        <v>#REF!</v>
      </c>
      <c r="GT231" t="e">
        <f>AND(#REF!,"AAAAAH9eNsk=")</f>
        <v>#REF!</v>
      </c>
      <c r="GU231" t="e">
        <f>AND(#REF!,"AAAAAH9eNso=")</f>
        <v>#REF!</v>
      </c>
      <c r="GV231" t="e">
        <f>AND(#REF!,"AAAAAH9eNss=")</f>
        <v>#REF!</v>
      </c>
      <c r="GW231" t="e">
        <f>AND(#REF!,"AAAAAH9eNsw=")</f>
        <v>#REF!</v>
      </c>
      <c r="GX231" t="e">
        <f>AND(#REF!,"AAAAAH9eNs0=")</f>
        <v>#REF!</v>
      </c>
      <c r="GY231" t="e">
        <f>AND(#REF!,"AAAAAH9eNs4=")</f>
        <v>#REF!</v>
      </c>
      <c r="GZ231" t="e">
        <f>AND(#REF!,"AAAAAH9eNs8=")</f>
        <v>#REF!</v>
      </c>
      <c r="HA231" t="e">
        <f>IF(#REF!,"AAAAAH9eNtA=",0)</f>
        <v>#REF!</v>
      </c>
      <c r="HB231" t="e">
        <f>AND(#REF!,"AAAAAH9eNtE=")</f>
        <v>#REF!</v>
      </c>
      <c r="HC231" t="e">
        <f>AND(#REF!,"AAAAAH9eNtI=")</f>
        <v>#REF!</v>
      </c>
      <c r="HD231" t="e">
        <f>AND(#REF!,"AAAAAH9eNtM=")</f>
        <v>#REF!</v>
      </c>
      <c r="HE231" t="e">
        <f>AND(#REF!,"AAAAAH9eNtQ=")</f>
        <v>#REF!</v>
      </c>
      <c r="HF231" t="e">
        <f>AND(#REF!,"AAAAAH9eNtU=")</f>
        <v>#REF!</v>
      </c>
      <c r="HG231" t="e">
        <f>AND(#REF!,"AAAAAH9eNtY=")</f>
        <v>#REF!</v>
      </c>
      <c r="HH231" t="e">
        <f>AND(#REF!,"AAAAAH9eNtc=")</f>
        <v>#REF!</v>
      </c>
      <c r="HI231" t="e">
        <f>AND(#REF!,"AAAAAH9eNtg=")</f>
        <v>#REF!</v>
      </c>
      <c r="HJ231" t="e">
        <f>AND(#REF!,"AAAAAH9eNtk=")</f>
        <v>#REF!</v>
      </c>
      <c r="HK231" t="e">
        <f>AND(#REF!,"AAAAAH9eNto=")</f>
        <v>#REF!</v>
      </c>
      <c r="HL231" t="e">
        <f>IF(#REF!,"AAAAAH9eNts=",0)</f>
        <v>#REF!</v>
      </c>
      <c r="HM231" t="e">
        <f>AND(#REF!,"AAAAAH9eNtw=")</f>
        <v>#REF!</v>
      </c>
      <c r="HN231" t="e">
        <f>AND(#REF!,"AAAAAH9eNt0=")</f>
        <v>#REF!</v>
      </c>
      <c r="HO231" t="e">
        <f>AND(#REF!,"AAAAAH9eNt4=")</f>
        <v>#REF!</v>
      </c>
      <c r="HP231" t="e">
        <f>AND(#REF!,"AAAAAH9eNt8=")</f>
        <v>#REF!</v>
      </c>
      <c r="HQ231" t="e">
        <f>AND(#REF!,"AAAAAH9eNuA=")</f>
        <v>#REF!</v>
      </c>
      <c r="HR231" t="e">
        <f>AND(#REF!,"AAAAAH9eNuE=")</f>
        <v>#REF!</v>
      </c>
      <c r="HS231" t="e">
        <f>AND(#REF!,"AAAAAH9eNuI=")</f>
        <v>#REF!</v>
      </c>
      <c r="HT231" t="e">
        <f>AND(#REF!,"AAAAAH9eNuM=")</f>
        <v>#REF!</v>
      </c>
      <c r="HU231" t="e">
        <f>AND(#REF!,"AAAAAH9eNuQ=")</f>
        <v>#REF!</v>
      </c>
      <c r="HV231" t="e">
        <f>AND(#REF!,"AAAAAH9eNuU=")</f>
        <v>#REF!</v>
      </c>
      <c r="HW231" t="e">
        <f>IF(#REF!,"AAAAAH9eNuY=",0)</f>
        <v>#REF!</v>
      </c>
      <c r="HX231" t="e">
        <f>AND(#REF!,"AAAAAH9eNuc=")</f>
        <v>#REF!</v>
      </c>
      <c r="HY231" t="e">
        <f>AND(#REF!,"AAAAAH9eNug=")</f>
        <v>#REF!</v>
      </c>
      <c r="HZ231" t="e">
        <f>AND(#REF!,"AAAAAH9eNuk=")</f>
        <v>#REF!</v>
      </c>
      <c r="IA231" t="e">
        <f>AND(#REF!,"AAAAAH9eNuo=")</f>
        <v>#REF!</v>
      </c>
      <c r="IB231" t="e">
        <f>AND(#REF!,"AAAAAH9eNus=")</f>
        <v>#REF!</v>
      </c>
      <c r="IC231" t="e">
        <f>AND(#REF!,"AAAAAH9eNuw=")</f>
        <v>#REF!</v>
      </c>
      <c r="ID231" t="e">
        <f>AND(#REF!,"AAAAAH9eNu0=")</f>
        <v>#REF!</v>
      </c>
      <c r="IE231" t="e">
        <f>AND(#REF!,"AAAAAH9eNu4=")</f>
        <v>#REF!</v>
      </c>
      <c r="IF231" t="e">
        <f>AND(#REF!,"AAAAAH9eNu8=")</f>
        <v>#REF!</v>
      </c>
      <c r="IG231" t="e">
        <f>AND(#REF!,"AAAAAH9eNvA=")</f>
        <v>#REF!</v>
      </c>
      <c r="IH231" t="e">
        <f>IF(#REF!,"AAAAAH9eNvE=",0)</f>
        <v>#REF!</v>
      </c>
      <c r="II231" t="e">
        <f>AND(#REF!,"AAAAAH9eNvI=")</f>
        <v>#REF!</v>
      </c>
      <c r="IJ231" t="e">
        <f>AND(#REF!,"AAAAAH9eNvM=")</f>
        <v>#REF!</v>
      </c>
      <c r="IK231" t="e">
        <f>AND(#REF!,"AAAAAH9eNvQ=")</f>
        <v>#REF!</v>
      </c>
      <c r="IL231" t="e">
        <f>AND(#REF!,"AAAAAH9eNvU=")</f>
        <v>#REF!</v>
      </c>
      <c r="IM231" t="e">
        <f>AND(#REF!,"AAAAAH9eNvY=")</f>
        <v>#REF!</v>
      </c>
      <c r="IN231" t="e">
        <f>AND(#REF!,"AAAAAH9eNvc=")</f>
        <v>#REF!</v>
      </c>
      <c r="IO231" t="e">
        <f>AND(#REF!,"AAAAAH9eNvg=")</f>
        <v>#REF!</v>
      </c>
      <c r="IP231" t="e">
        <f>AND(#REF!,"AAAAAH9eNvk=")</f>
        <v>#REF!</v>
      </c>
      <c r="IQ231" t="e">
        <f>AND(#REF!,"AAAAAH9eNvo=")</f>
        <v>#REF!</v>
      </c>
      <c r="IR231" t="e">
        <f>AND(#REF!,"AAAAAH9eNvs=")</f>
        <v>#REF!</v>
      </c>
      <c r="IS231" t="e">
        <f>IF(#REF!,"AAAAAH9eNvw=",0)</f>
        <v>#REF!</v>
      </c>
      <c r="IT231" t="e">
        <f>AND(#REF!,"AAAAAH9eNv0=")</f>
        <v>#REF!</v>
      </c>
      <c r="IU231" t="e">
        <f>AND(#REF!,"AAAAAH9eNv4=")</f>
        <v>#REF!</v>
      </c>
      <c r="IV231" t="e">
        <f>AND(#REF!,"AAAAAH9eNv8=")</f>
        <v>#REF!</v>
      </c>
    </row>
    <row r="232" spans="1:256" x14ac:dyDescent="0.25">
      <c r="A232" t="e">
        <f>AND(#REF!,"AAAAADV+3wA=")</f>
        <v>#REF!</v>
      </c>
      <c r="B232" t="e">
        <f>AND(#REF!,"AAAAADV+3wE=")</f>
        <v>#REF!</v>
      </c>
      <c r="C232" t="e">
        <f>AND(#REF!,"AAAAADV+3wI=")</f>
        <v>#REF!</v>
      </c>
      <c r="D232" t="e">
        <f>AND(#REF!,"AAAAADV+3wM=")</f>
        <v>#REF!</v>
      </c>
      <c r="E232" t="e">
        <f>AND(#REF!,"AAAAADV+3wQ=")</f>
        <v>#REF!</v>
      </c>
      <c r="F232" t="e">
        <f>AND(#REF!,"AAAAADV+3wU=")</f>
        <v>#REF!</v>
      </c>
      <c r="G232" t="e">
        <f>AND(#REF!,"AAAAADV+3wY=")</f>
        <v>#REF!</v>
      </c>
      <c r="H232" t="e">
        <f>IF(#REF!,"AAAAADV+3wc=",0)</f>
        <v>#REF!</v>
      </c>
      <c r="I232" t="e">
        <f>AND(#REF!,"AAAAADV+3wg=")</f>
        <v>#REF!</v>
      </c>
      <c r="J232" t="e">
        <f>AND(#REF!,"AAAAADV+3wk=")</f>
        <v>#REF!</v>
      </c>
      <c r="K232" t="e">
        <f>AND(#REF!,"AAAAADV+3wo=")</f>
        <v>#REF!</v>
      </c>
      <c r="L232" t="e">
        <f>AND(#REF!,"AAAAADV+3ws=")</f>
        <v>#REF!</v>
      </c>
      <c r="M232" t="e">
        <f>AND(#REF!,"AAAAADV+3ww=")</f>
        <v>#REF!</v>
      </c>
      <c r="N232" t="e">
        <f>AND(#REF!,"AAAAADV+3w0=")</f>
        <v>#REF!</v>
      </c>
      <c r="O232" t="e">
        <f>AND(#REF!,"AAAAADV+3w4=")</f>
        <v>#REF!</v>
      </c>
      <c r="P232" t="e">
        <f>AND(#REF!,"AAAAADV+3w8=")</f>
        <v>#REF!</v>
      </c>
      <c r="Q232" t="e">
        <f>AND(#REF!,"AAAAADV+3xA=")</f>
        <v>#REF!</v>
      </c>
      <c r="R232" t="e">
        <f>AND(#REF!,"AAAAADV+3xE=")</f>
        <v>#REF!</v>
      </c>
      <c r="S232" t="e">
        <f>IF(#REF!,"AAAAADV+3xI=",0)</f>
        <v>#REF!</v>
      </c>
      <c r="T232" t="e">
        <f>AND(#REF!,"AAAAADV+3xM=")</f>
        <v>#REF!</v>
      </c>
      <c r="U232" t="e">
        <f>AND(#REF!,"AAAAADV+3xQ=")</f>
        <v>#REF!</v>
      </c>
      <c r="V232" t="e">
        <f>AND(#REF!,"AAAAADV+3xU=")</f>
        <v>#REF!</v>
      </c>
      <c r="W232" t="e">
        <f>AND(#REF!,"AAAAADV+3xY=")</f>
        <v>#REF!</v>
      </c>
      <c r="X232" t="e">
        <f>AND(#REF!,"AAAAADV+3xc=")</f>
        <v>#REF!</v>
      </c>
      <c r="Y232" t="e">
        <f>AND(#REF!,"AAAAADV+3xg=")</f>
        <v>#REF!</v>
      </c>
      <c r="Z232" t="e">
        <f>AND(#REF!,"AAAAADV+3xk=")</f>
        <v>#REF!</v>
      </c>
      <c r="AA232" t="e">
        <f>AND(#REF!,"AAAAADV+3xo=")</f>
        <v>#REF!</v>
      </c>
      <c r="AB232" t="e">
        <f>AND(#REF!,"AAAAADV+3xs=")</f>
        <v>#REF!</v>
      </c>
      <c r="AC232" t="e">
        <f>AND(#REF!,"AAAAADV+3xw=")</f>
        <v>#REF!</v>
      </c>
      <c r="AD232" t="e">
        <f>IF(#REF!,"AAAAADV+3x0=",0)</f>
        <v>#REF!</v>
      </c>
      <c r="AE232" t="e">
        <f>AND(#REF!,"AAAAADV+3x4=")</f>
        <v>#REF!</v>
      </c>
      <c r="AF232" t="e">
        <f>AND(#REF!,"AAAAADV+3x8=")</f>
        <v>#REF!</v>
      </c>
      <c r="AG232" t="e">
        <f>AND(#REF!,"AAAAADV+3yA=")</f>
        <v>#REF!</v>
      </c>
      <c r="AH232" t="e">
        <f>AND(#REF!,"AAAAADV+3yE=")</f>
        <v>#REF!</v>
      </c>
      <c r="AI232" t="e">
        <f>AND(#REF!,"AAAAADV+3yI=")</f>
        <v>#REF!</v>
      </c>
      <c r="AJ232" t="e">
        <f>AND(#REF!,"AAAAADV+3yM=")</f>
        <v>#REF!</v>
      </c>
      <c r="AK232" t="e">
        <f>AND(#REF!,"AAAAADV+3yQ=")</f>
        <v>#REF!</v>
      </c>
      <c r="AL232" t="e">
        <f>AND(#REF!,"AAAAADV+3yU=")</f>
        <v>#REF!</v>
      </c>
      <c r="AM232" t="e">
        <f>AND(#REF!,"AAAAADV+3yY=")</f>
        <v>#REF!</v>
      </c>
      <c r="AN232" t="e">
        <f>AND(#REF!,"AAAAADV+3yc=")</f>
        <v>#REF!</v>
      </c>
      <c r="AO232" t="e">
        <f>IF(#REF!,"AAAAADV+3yg=",0)</f>
        <v>#REF!</v>
      </c>
      <c r="AP232" t="e">
        <f>AND(#REF!,"AAAAADV+3yk=")</f>
        <v>#REF!</v>
      </c>
      <c r="AQ232" t="e">
        <f>AND(#REF!,"AAAAADV+3yo=")</f>
        <v>#REF!</v>
      </c>
      <c r="AR232" t="e">
        <f>AND(#REF!,"AAAAADV+3ys=")</f>
        <v>#REF!</v>
      </c>
      <c r="AS232" t="e">
        <f>AND(#REF!,"AAAAADV+3yw=")</f>
        <v>#REF!</v>
      </c>
      <c r="AT232" t="e">
        <f>AND(#REF!,"AAAAADV+3y0=")</f>
        <v>#REF!</v>
      </c>
      <c r="AU232" t="e">
        <f>AND(#REF!,"AAAAADV+3y4=")</f>
        <v>#REF!</v>
      </c>
      <c r="AV232" t="e">
        <f>AND(#REF!,"AAAAADV+3y8=")</f>
        <v>#REF!</v>
      </c>
      <c r="AW232" t="e">
        <f>AND(#REF!,"AAAAADV+3zA=")</f>
        <v>#REF!</v>
      </c>
      <c r="AX232" t="e">
        <f>AND(#REF!,"AAAAADV+3zE=")</f>
        <v>#REF!</v>
      </c>
      <c r="AY232" t="e">
        <f>AND(#REF!,"AAAAADV+3zI=")</f>
        <v>#REF!</v>
      </c>
      <c r="AZ232" t="e">
        <f>IF(#REF!,"AAAAADV+3zM=",0)</f>
        <v>#REF!</v>
      </c>
      <c r="BA232" t="e">
        <f>AND(#REF!,"AAAAADV+3zQ=")</f>
        <v>#REF!</v>
      </c>
      <c r="BB232" t="e">
        <f>AND(#REF!,"AAAAADV+3zU=")</f>
        <v>#REF!</v>
      </c>
      <c r="BC232" t="e">
        <f>AND(#REF!,"AAAAADV+3zY=")</f>
        <v>#REF!</v>
      </c>
      <c r="BD232" t="e">
        <f>AND(#REF!,"AAAAADV+3zc=")</f>
        <v>#REF!</v>
      </c>
      <c r="BE232" t="e">
        <f>AND(#REF!,"AAAAADV+3zg=")</f>
        <v>#REF!</v>
      </c>
      <c r="BF232" t="e">
        <f>AND(#REF!,"AAAAADV+3zk=")</f>
        <v>#REF!</v>
      </c>
      <c r="BG232" t="e">
        <f>AND(#REF!,"AAAAADV+3zo=")</f>
        <v>#REF!</v>
      </c>
      <c r="BH232" t="e">
        <f>AND(#REF!,"AAAAADV+3zs=")</f>
        <v>#REF!</v>
      </c>
      <c r="BI232" t="e">
        <f>AND(#REF!,"AAAAADV+3zw=")</f>
        <v>#REF!</v>
      </c>
      <c r="BJ232" t="e">
        <f>AND(#REF!,"AAAAADV+3z0=")</f>
        <v>#REF!</v>
      </c>
      <c r="BK232" t="e">
        <f>IF(#REF!,"AAAAADV+3z4=",0)</f>
        <v>#REF!</v>
      </c>
      <c r="BL232" t="e">
        <f>AND(#REF!,"AAAAADV+3z8=")</f>
        <v>#REF!</v>
      </c>
      <c r="BM232" t="e">
        <f>AND(#REF!,"AAAAADV+30A=")</f>
        <v>#REF!</v>
      </c>
      <c r="BN232" t="e">
        <f>AND(#REF!,"AAAAADV+30E=")</f>
        <v>#REF!</v>
      </c>
      <c r="BO232" t="e">
        <f>AND(#REF!,"AAAAADV+30I=")</f>
        <v>#REF!</v>
      </c>
      <c r="BP232" t="e">
        <f>AND(#REF!,"AAAAADV+30M=")</f>
        <v>#REF!</v>
      </c>
      <c r="BQ232" t="e">
        <f>AND(#REF!,"AAAAADV+30Q=")</f>
        <v>#REF!</v>
      </c>
      <c r="BR232" t="e">
        <f>AND(#REF!,"AAAAADV+30U=")</f>
        <v>#REF!</v>
      </c>
      <c r="BS232" t="e">
        <f>AND(#REF!,"AAAAADV+30Y=")</f>
        <v>#REF!</v>
      </c>
      <c r="BT232" t="e">
        <f>AND(#REF!,"AAAAADV+30c=")</f>
        <v>#REF!</v>
      </c>
      <c r="BU232" t="e">
        <f>AND(#REF!,"AAAAADV+30g=")</f>
        <v>#REF!</v>
      </c>
      <c r="BV232" t="e">
        <f>IF(#REF!,"AAAAADV+30k=",0)</f>
        <v>#REF!</v>
      </c>
      <c r="BW232" t="e">
        <f>AND(#REF!,"AAAAADV+30o=")</f>
        <v>#REF!</v>
      </c>
      <c r="BX232" t="e">
        <f>AND(#REF!,"AAAAADV+30s=")</f>
        <v>#REF!</v>
      </c>
      <c r="BY232" t="e">
        <f>AND(#REF!,"AAAAADV+30w=")</f>
        <v>#REF!</v>
      </c>
      <c r="BZ232" t="e">
        <f>AND(#REF!,"AAAAADV+300=")</f>
        <v>#REF!</v>
      </c>
      <c r="CA232" t="e">
        <f>AND(#REF!,"AAAAADV+304=")</f>
        <v>#REF!</v>
      </c>
      <c r="CB232" t="e">
        <f>AND(#REF!,"AAAAADV+308=")</f>
        <v>#REF!</v>
      </c>
      <c r="CC232" t="e">
        <f>AND(#REF!,"AAAAADV+31A=")</f>
        <v>#REF!</v>
      </c>
      <c r="CD232" t="e">
        <f>AND(#REF!,"AAAAADV+31E=")</f>
        <v>#REF!</v>
      </c>
      <c r="CE232" t="e">
        <f>AND(#REF!,"AAAAADV+31I=")</f>
        <v>#REF!</v>
      </c>
      <c r="CF232" t="e">
        <f>AND(#REF!,"AAAAADV+31M=")</f>
        <v>#REF!</v>
      </c>
      <c r="CG232" t="e">
        <f>IF(#REF!,"AAAAADV+31Q=",0)</f>
        <v>#REF!</v>
      </c>
      <c r="CH232" t="e">
        <f>AND(#REF!,"AAAAADV+31U=")</f>
        <v>#REF!</v>
      </c>
      <c r="CI232" t="e">
        <f>AND(#REF!,"AAAAADV+31Y=")</f>
        <v>#REF!</v>
      </c>
      <c r="CJ232" t="e">
        <f>AND(#REF!,"AAAAADV+31c=")</f>
        <v>#REF!</v>
      </c>
      <c r="CK232" t="e">
        <f>AND(#REF!,"AAAAADV+31g=")</f>
        <v>#REF!</v>
      </c>
      <c r="CL232" t="e">
        <f>AND(#REF!,"AAAAADV+31k=")</f>
        <v>#REF!</v>
      </c>
      <c r="CM232" t="e">
        <f>AND(#REF!,"AAAAADV+31o=")</f>
        <v>#REF!</v>
      </c>
      <c r="CN232" t="e">
        <f>AND(#REF!,"AAAAADV+31s=")</f>
        <v>#REF!</v>
      </c>
      <c r="CO232" t="e">
        <f>AND(#REF!,"AAAAADV+31w=")</f>
        <v>#REF!</v>
      </c>
      <c r="CP232" t="e">
        <f>AND(#REF!,"AAAAADV+310=")</f>
        <v>#REF!</v>
      </c>
      <c r="CQ232" t="e">
        <f>AND(#REF!,"AAAAADV+314=")</f>
        <v>#REF!</v>
      </c>
      <c r="CR232" t="e">
        <f>IF(#REF!,"AAAAADV+318=",0)</f>
        <v>#REF!</v>
      </c>
      <c r="CS232" t="e">
        <f>AND(#REF!,"AAAAADV+32A=")</f>
        <v>#REF!</v>
      </c>
      <c r="CT232" t="e">
        <f>AND(#REF!,"AAAAADV+32E=")</f>
        <v>#REF!</v>
      </c>
      <c r="CU232" t="e">
        <f>AND(#REF!,"AAAAADV+32I=")</f>
        <v>#REF!</v>
      </c>
      <c r="CV232" t="e">
        <f>AND(#REF!,"AAAAADV+32M=")</f>
        <v>#REF!</v>
      </c>
      <c r="CW232" t="e">
        <f>AND(#REF!,"AAAAADV+32Q=")</f>
        <v>#REF!</v>
      </c>
      <c r="CX232" t="e">
        <f>AND(#REF!,"AAAAADV+32U=")</f>
        <v>#REF!</v>
      </c>
      <c r="CY232" t="e">
        <f>AND(#REF!,"AAAAADV+32Y=")</f>
        <v>#REF!</v>
      </c>
      <c r="CZ232" t="e">
        <f>AND(#REF!,"AAAAADV+32c=")</f>
        <v>#REF!</v>
      </c>
      <c r="DA232" t="e">
        <f>AND(#REF!,"AAAAADV+32g=")</f>
        <v>#REF!</v>
      </c>
      <c r="DB232" t="e">
        <f>AND(#REF!,"AAAAADV+32k=")</f>
        <v>#REF!</v>
      </c>
      <c r="DC232" t="e">
        <f>IF(#REF!,"AAAAADV+32o=",0)</f>
        <v>#REF!</v>
      </c>
      <c r="DD232" t="e">
        <f>AND(#REF!,"AAAAADV+32s=")</f>
        <v>#REF!</v>
      </c>
      <c r="DE232" t="e">
        <f>AND(#REF!,"AAAAADV+32w=")</f>
        <v>#REF!</v>
      </c>
      <c r="DF232" t="e">
        <f>AND(#REF!,"AAAAADV+320=")</f>
        <v>#REF!</v>
      </c>
      <c r="DG232" t="e">
        <f>AND(#REF!,"AAAAADV+324=")</f>
        <v>#REF!</v>
      </c>
      <c r="DH232" t="e">
        <f>AND(#REF!,"AAAAADV+328=")</f>
        <v>#REF!</v>
      </c>
      <c r="DI232" t="e">
        <f>AND(#REF!,"AAAAADV+33A=")</f>
        <v>#REF!</v>
      </c>
      <c r="DJ232" t="e">
        <f>AND(#REF!,"AAAAADV+33E=")</f>
        <v>#REF!</v>
      </c>
      <c r="DK232" t="e">
        <f>AND(#REF!,"AAAAADV+33I=")</f>
        <v>#REF!</v>
      </c>
      <c r="DL232" t="e">
        <f>AND(#REF!,"AAAAADV+33M=")</f>
        <v>#REF!</v>
      </c>
      <c r="DM232" t="e">
        <f>AND(#REF!,"AAAAADV+33Q=")</f>
        <v>#REF!</v>
      </c>
      <c r="DN232" t="e">
        <f>IF(#REF!,"AAAAADV+33U=",0)</f>
        <v>#REF!</v>
      </c>
      <c r="DO232" t="e">
        <f>AND(#REF!,"AAAAADV+33Y=")</f>
        <v>#REF!</v>
      </c>
      <c r="DP232" t="e">
        <f>AND(#REF!,"AAAAADV+33c=")</f>
        <v>#REF!</v>
      </c>
      <c r="DQ232" t="e">
        <f>AND(#REF!,"AAAAADV+33g=")</f>
        <v>#REF!</v>
      </c>
      <c r="DR232" t="e">
        <f>AND(#REF!,"AAAAADV+33k=")</f>
        <v>#REF!</v>
      </c>
      <c r="DS232" t="e">
        <f>AND(#REF!,"AAAAADV+33o=")</f>
        <v>#REF!</v>
      </c>
      <c r="DT232" t="e">
        <f>AND(#REF!,"AAAAADV+33s=")</f>
        <v>#REF!</v>
      </c>
      <c r="DU232" t="e">
        <f>AND(#REF!,"AAAAADV+33w=")</f>
        <v>#REF!</v>
      </c>
      <c r="DV232" t="e">
        <f>AND(#REF!,"AAAAADV+330=")</f>
        <v>#REF!</v>
      </c>
      <c r="DW232" t="e">
        <f>AND(#REF!,"AAAAADV+334=")</f>
        <v>#REF!</v>
      </c>
      <c r="DX232" t="e">
        <f>AND(#REF!,"AAAAADV+338=")</f>
        <v>#REF!</v>
      </c>
      <c r="DY232" t="e">
        <f>IF(#REF!,"AAAAADV+34A=",0)</f>
        <v>#REF!</v>
      </c>
      <c r="DZ232" t="e">
        <f>AND(#REF!,"AAAAADV+34E=")</f>
        <v>#REF!</v>
      </c>
      <c r="EA232" t="e">
        <f>AND(#REF!,"AAAAADV+34I=")</f>
        <v>#REF!</v>
      </c>
      <c r="EB232" t="e">
        <f>AND(#REF!,"AAAAADV+34M=")</f>
        <v>#REF!</v>
      </c>
      <c r="EC232" t="e">
        <f>AND(#REF!,"AAAAADV+34Q=")</f>
        <v>#REF!</v>
      </c>
      <c r="ED232" t="e">
        <f>AND(#REF!,"AAAAADV+34U=")</f>
        <v>#REF!</v>
      </c>
      <c r="EE232" t="e">
        <f>AND(#REF!,"AAAAADV+34Y=")</f>
        <v>#REF!</v>
      </c>
      <c r="EF232" t="e">
        <f>AND(#REF!,"AAAAADV+34c=")</f>
        <v>#REF!</v>
      </c>
      <c r="EG232" t="e">
        <f>AND(#REF!,"AAAAADV+34g=")</f>
        <v>#REF!</v>
      </c>
      <c r="EH232" t="e">
        <f>AND(#REF!,"AAAAADV+34k=")</f>
        <v>#REF!</v>
      </c>
      <c r="EI232" t="e">
        <f>AND(#REF!,"AAAAADV+34o=")</f>
        <v>#REF!</v>
      </c>
      <c r="EJ232" t="e">
        <f>IF(#REF!,"AAAAADV+34s=",0)</f>
        <v>#REF!</v>
      </c>
      <c r="EK232" t="e">
        <f>AND(#REF!,"AAAAADV+34w=")</f>
        <v>#REF!</v>
      </c>
      <c r="EL232" t="e">
        <f>AND(#REF!,"AAAAADV+340=")</f>
        <v>#REF!</v>
      </c>
      <c r="EM232" t="e">
        <f>AND(#REF!,"AAAAADV+344=")</f>
        <v>#REF!</v>
      </c>
      <c r="EN232" t="e">
        <f>AND(#REF!,"AAAAADV+348=")</f>
        <v>#REF!</v>
      </c>
      <c r="EO232" t="e">
        <f>AND(#REF!,"AAAAADV+35A=")</f>
        <v>#REF!</v>
      </c>
      <c r="EP232" t="e">
        <f>AND(#REF!,"AAAAADV+35E=")</f>
        <v>#REF!</v>
      </c>
      <c r="EQ232" t="e">
        <f>AND(#REF!,"AAAAADV+35I=")</f>
        <v>#REF!</v>
      </c>
      <c r="ER232" t="e">
        <f>AND(#REF!,"AAAAADV+35M=")</f>
        <v>#REF!</v>
      </c>
      <c r="ES232" t="e">
        <f>AND(#REF!,"AAAAADV+35Q=")</f>
        <v>#REF!</v>
      </c>
      <c r="ET232" t="e">
        <f>AND(#REF!,"AAAAADV+35U=")</f>
        <v>#REF!</v>
      </c>
      <c r="EU232" t="e">
        <f>IF(#REF!,"AAAAADV+35Y=",0)</f>
        <v>#REF!</v>
      </c>
      <c r="EV232" t="e">
        <f>AND(#REF!,"AAAAADV+35c=")</f>
        <v>#REF!</v>
      </c>
      <c r="EW232" t="e">
        <f>AND(#REF!,"AAAAADV+35g=")</f>
        <v>#REF!</v>
      </c>
      <c r="EX232" t="e">
        <f>AND(#REF!,"AAAAADV+35k=")</f>
        <v>#REF!</v>
      </c>
      <c r="EY232" t="e">
        <f>AND(#REF!,"AAAAADV+35o=")</f>
        <v>#REF!</v>
      </c>
      <c r="EZ232" t="e">
        <f>AND(#REF!,"AAAAADV+35s=")</f>
        <v>#REF!</v>
      </c>
      <c r="FA232" t="e">
        <f>AND(#REF!,"AAAAADV+35w=")</f>
        <v>#REF!</v>
      </c>
      <c r="FB232" t="e">
        <f>AND(#REF!,"AAAAADV+350=")</f>
        <v>#REF!</v>
      </c>
      <c r="FC232" t="e">
        <f>AND(#REF!,"AAAAADV+354=")</f>
        <v>#REF!</v>
      </c>
      <c r="FD232" t="e">
        <f>AND(#REF!,"AAAAADV+358=")</f>
        <v>#REF!</v>
      </c>
      <c r="FE232" t="e">
        <f>AND(#REF!,"AAAAADV+36A=")</f>
        <v>#REF!</v>
      </c>
      <c r="FF232" t="e">
        <f>IF(#REF!,"AAAAADV+36E=",0)</f>
        <v>#REF!</v>
      </c>
      <c r="FG232" t="e">
        <f>AND(#REF!,"AAAAADV+36I=")</f>
        <v>#REF!</v>
      </c>
      <c r="FH232" t="e">
        <f>AND(#REF!,"AAAAADV+36M=")</f>
        <v>#REF!</v>
      </c>
      <c r="FI232" t="e">
        <f>AND(#REF!,"AAAAADV+36Q=")</f>
        <v>#REF!</v>
      </c>
      <c r="FJ232" t="e">
        <f>AND(#REF!,"AAAAADV+36U=")</f>
        <v>#REF!</v>
      </c>
      <c r="FK232" t="e">
        <f>AND(#REF!,"AAAAADV+36Y=")</f>
        <v>#REF!</v>
      </c>
      <c r="FL232" t="e">
        <f>AND(#REF!,"AAAAADV+36c=")</f>
        <v>#REF!</v>
      </c>
      <c r="FM232" t="e">
        <f>AND(#REF!,"AAAAADV+36g=")</f>
        <v>#REF!</v>
      </c>
      <c r="FN232" t="e">
        <f>AND(#REF!,"AAAAADV+36k=")</f>
        <v>#REF!</v>
      </c>
      <c r="FO232" t="e">
        <f>AND(#REF!,"AAAAADV+36o=")</f>
        <v>#REF!</v>
      </c>
      <c r="FP232" t="e">
        <f>AND(#REF!,"AAAAADV+36s=")</f>
        <v>#REF!</v>
      </c>
      <c r="FQ232" t="e">
        <f>IF(#REF!,"AAAAADV+36w=",0)</f>
        <v>#REF!</v>
      </c>
      <c r="FR232" t="e">
        <f>AND(#REF!,"AAAAADV+360=")</f>
        <v>#REF!</v>
      </c>
      <c r="FS232" t="e">
        <f>AND(#REF!,"AAAAADV+364=")</f>
        <v>#REF!</v>
      </c>
      <c r="FT232" t="e">
        <f>AND(#REF!,"AAAAADV+368=")</f>
        <v>#REF!</v>
      </c>
      <c r="FU232" t="e">
        <f>AND(#REF!,"AAAAADV+37A=")</f>
        <v>#REF!</v>
      </c>
      <c r="FV232" t="e">
        <f>AND(#REF!,"AAAAADV+37E=")</f>
        <v>#REF!</v>
      </c>
      <c r="FW232" t="e">
        <f>AND(#REF!,"AAAAADV+37I=")</f>
        <v>#REF!</v>
      </c>
      <c r="FX232" t="e">
        <f>AND(#REF!,"AAAAADV+37M=")</f>
        <v>#REF!</v>
      </c>
      <c r="FY232" t="e">
        <f>AND(#REF!,"AAAAADV+37Q=")</f>
        <v>#REF!</v>
      </c>
      <c r="FZ232" t="e">
        <f>AND(#REF!,"AAAAADV+37U=")</f>
        <v>#REF!</v>
      </c>
      <c r="GA232" t="e">
        <f>AND(#REF!,"AAAAADV+37Y=")</f>
        <v>#REF!</v>
      </c>
      <c r="GB232" t="e">
        <f>IF(#REF!,"AAAAADV+37c=",0)</f>
        <v>#REF!</v>
      </c>
      <c r="GC232" t="e">
        <f>AND(#REF!,"AAAAADV+37g=")</f>
        <v>#REF!</v>
      </c>
      <c r="GD232" t="e">
        <f>AND(#REF!,"AAAAADV+37k=")</f>
        <v>#REF!</v>
      </c>
      <c r="GE232" t="e">
        <f>AND(#REF!,"AAAAADV+37o=")</f>
        <v>#REF!</v>
      </c>
      <c r="GF232" t="e">
        <f>AND(#REF!,"AAAAADV+37s=")</f>
        <v>#REF!</v>
      </c>
      <c r="GG232" t="e">
        <f>AND(#REF!,"AAAAADV+37w=")</f>
        <v>#REF!</v>
      </c>
      <c r="GH232" t="e">
        <f>AND(#REF!,"AAAAADV+370=")</f>
        <v>#REF!</v>
      </c>
      <c r="GI232" t="e">
        <f>AND(#REF!,"AAAAADV+374=")</f>
        <v>#REF!</v>
      </c>
      <c r="GJ232" t="e">
        <f>AND(#REF!,"AAAAADV+378=")</f>
        <v>#REF!</v>
      </c>
      <c r="GK232" t="e">
        <f>AND(#REF!,"AAAAADV+38A=")</f>
        <v>#REF!</v>
      </c>
      <c r="GL232" t="e">
        <f>AND(#REF!,"AAAAADV+38E=")</f>
        <v>#REF!</v>
      </c>
      <c r="GM232" t="e">
        <f>IF(#REF!,"AAAAADV+38I=",0)</f>
        <v>#REF!</v>
      </c>
      <c r="GN232" t="e">
        <f>AND(#REF!,"AAAAADV+38M=")</f>
        <v>#REF!</v>
      </c>
      <c r="GO232" t="e">
        <f>AND(#REF!,"AAAAADV+38Q=")</f>
        <v>#REF!</v>
      </c>
      <c r="GP232" t="e">
        <f>AND(#REF!,"AAAAADV+38U=")</f>
        <v>#REF!</v>
      </c>
      <c r="GQ232" t="e">
        <f>AND(#REF!,"AAAAADV+38Y=")</f>
        <v>#REF!</v>
      </c>
      <c r="GR232" t="e">
        <f>AND(#REF!,"AAAAADV+38c=")</f>
        <v>#REF!</v>
      </c>
      <c r="GS232" t="e">
        <f>AND(#REF!,"AAAAADV+38g=")</f>
        <v>#REF!</v>
      </c>
      <c r="GT232" t="e">
        <f>AND(#REF!,"AAAAADV+38k=")</f>
        <v>#REF!</v>
      </c>
      <c r="GU232" t="e">
        <f>AND(#REF!,"AAAAADV+38o=")</f>
        <v>#REF!</v>
      </c>
      <c r="GV232" t="e">
        <f>AND(#REF!,"AAAAADV+38s=")</f>
        <v>#REF!</v>
      </c>
      <c r="GW232" t="e">
        <f>AND(#REF!,"AAAAADV+38w=")</f>
        <v>#REF!</v>
      </c>
      <c r="GX232" t="e">
        <f>IF(#REF!,"AAAAADV+380=",0)</f>
        <v>#REF!</v>
      </c>
      <c r="GY232" t="e">
        <f>AND(#REF!,"AAAAADV+384=")</f>
        <v>#REF!</v>
      </c>
      <c r="GZ232" t="e">
        <f>AND(#REF!,"AAAAADV+388=")</f>
        <v>#REF!</v>
      </c>
      <c r="HA232" t="e">
        <f>AND(#REF!,"AAAAADV+39A=")</f>
        <v>#REF!</v>
      </c>
      <c r="HB232" t="e">
        <f>AND(#REF!,"AAAAADV+39E=")</f>
        <v>#REF!</v>
      </c>
      <c r="HC232" t="e">
        <f>AND(#REF!,"AAAAADV+39I=")</f>
        <v>#REF!</v>
      </c>
      <c r="HD232" t="e">
        <f>AND(#REF!,"AAAAADV+39M=")</f>
        <v>#REF!</v>
      </c>
      <c r="HE232" t="e">
        <f>AND(#REF!,"AAAAADV+39Q=")</f>
        <v>#REF!</v>
      </c>
      <c r="HF232" t="e">
        <f>AND(#REF!,"AAAAADV+39U=")</f>
        <v>#REF!</v>
      </c>
      <c r="HG232" t="e">
        <f>AND(#REF!,"AAAAADV+39Y=")</f>
        <v>#REF!</v>
      </c>
      <c r="HH232" t="e">
        <f>AND(#REF!,"AAAAADV+39c=")</f>
        <v>#REF!</v>
      </c>
      <c r="HI232" t="e">
        <f>IF(#REF!,"AAAAADV+39g=",0)</f>
        <v>#REF!</v>
      </c>
      <c r="HJ232" t="e">
        <f>AND(#REF!,"AAAAADV+39k=")</f>
        <v>#REF!</v>
      </c>
      <c r="HK232" t="e">
        <f>AND(#REF!,"AAAAADV+39o=")</f>
        <v>#REF!</v>
      </c>
      <c r="HL232" t="e">
        <f>AND(#REF!,"AAAAADV+39s=")</f>
        <v>#REF!</v>
      </c>
      <c r="HM232" t="e">
        <f>AND(#REF!,"AAAAADV+39w=")</f>
        <v>#REF!</v>
      </c>
      <c r="HN232" t="e">
        <f>AND(#REF!,"AAAAADV+390=")</f>
        <v>#REF!</v>
      </c>
      <c r="HO232" t="e">
        <f>AND(#REF!,"AAAAADV+394=")</f>
        <v>#REF!</v>
      </c>
      <c r="HP232" t="e">
        <f>AND(#REF!,"AAAAADV+398=")</f>
        <v>#REF!</v>
      </c>
      <c r="HQ232" t="e">
        <f>AND(#REF!,"AAAAADV+3+A=")</f>
        <v>#REF!</v>
      </c>
      <c r="HR232" t="e">
        <f>AND(#REF!,"AAAAADV+3+E=")</f>
        <v>#REF!</v>
      </c>
      <c r="HS232" t="e">
        <f>AND(#REF!,"AAAAADV+3+I=")</f>
        <v>#REF!</v>
      </c>
      <c r="HT232" t="e">
        <f>IF(#REF!,"AAAAADV+3+M=",0)</f>
        <v>#REF!</v>
      </c>
      <c r="HU232" t="e">
        <f>AND(#REF!,"AAAAADV+3+Q=")</f>
        <v>#REF!</v>
      </c>
      <c r="HV232" t="e">
        <f>AND(#REF!,"AAAAADV+3+U=")</f>
        <v>#REF!</v>
      </c>
      <c r="HW232" t="e">
        <f>AND(#REF!,"AAAAADV+3+Y=")</f>
        <v>#REF!</v>
      </c>
      <c r="HX232" t="e">
        <f>AND(#REF!,"AAAAADV+3+c=")</f>
        <v>#REF!</v>
      </c>
      <c r="HY232" t="e">
        <f>AND(#REF!,"AAAAADV+3+g=")</f>
        <v>#REF!</v>
      </c>
      <c r="HZ232" t="e">
        <f>AND(#REF!,"AAAAADV+3+k=")</f>
        <v>#REF!</v>
      </c>
      <c r="IA232" t="e">
        <f>AND(#REF!,"AAAAADV+3+o=")</f>
        <v>#REF!</v>
      </c>
      <c r="IB232" t="e">
        <f>AND(#REF!,"AAAAADV+3+s=")</f>
        <v>#REF!</v>
      </c>
      <c r="IC232" t="e">
        <f>AND(#REF!,"AAAAADV+3+w=")</f>
        <v>#REF!</v>
      </c>
      <c r="ID232" t="e">
        <f>AND(#REF!,"AAAAADV+3+0=")</f>
        <v>#REF!</v>
      </c>
      <c r="IE232" t="e">
        <f>IF(#REF!,"AAAAADV+3+4=",0)</f>
        <v>#REF!</v>
      </c>
      <c r="IF232" t="e">
        <f>AND(#REF!,"AAAAADV+3+8=")</f>
        <v>#REF!</v>
      </c>
      <c r="IG232" t="e">
        <f>AND(#REF!,"AAAAADV+3/A=")</f>
        <v>#REF!</v>
      </c>
      <c r="IH232" t="e">
        <f>AND(#REF!,"AAAAADV+3/E=")</f>
        <v>#REF!</v>
      </c>
      <c r="II232" t="e">
        <f>AND(#REF!,"AAAAADV+3/I=")</f>
        <v>#REF!</v>
      </c>
      <c r="IJ232" t="e">
        <f>AND(#REF!,"AAAAADV+3/M=")</f>
        <v>#REF!</v>
      </c>
      <c r="IK232" t="e">
        <f>AND(#REF!,"AAAAADV+3/Q=")</f>
        <v>#REF!</v>
      </c>
      <c r="IL232" t="e">
        <f>AND(#REF!,"AAAAADV+3/U=")</f>
        <v>#REF!</v>
      </c>
      <c r="IM232" t="e">
        <f>AND(#REF!,"AAAAADV+3/Y=")</f>
        <v>#REF!</v>
      </c>
      <c r="IN232" t="e">
        <f>AND(#REF!,"AAAAADV+3/c=")</f>
        <v>#REF!</v>
      </c>
      <c r="IO232" t="e">
        <f>AND(#REF!,"AAAAADV+3/g=")</f>
        <v>#REF!</v>
      </c>
      <c r="IP232" t="e">
        <f>IF(#REF!,"AAAAADV+3/k=",0)</f>
        <v>#REF!</v>
      </c>
      <c r="IQ232" t="e">
        <f>AND(#REF!,"AAAAADV+3/o=")</f>
        <v>#REF!</v>
      </c>
      <c r="IR232" t="e">
        <f>AND(#REF!,"AAAAADV+3/s=")</f>
        <v>#REF!</v>
      </c>
      <c r="IS232" t="e">
        <f>AND(#REF!,"AAAAADV+3/w=")</f>
        <v>#REF!</v>
      </c>
      <c r="IT232" t="e">
        <f>AND(#REF!,"AAAAADV+3/0=")</f>
        <v>#REF!</v>
      </c>
      <c r="IU232" t="e">
        <f>AND(#REF!,"AAAAADV+3/4=")</f>
        <v>#REF!</v>
      </c>
      <c r="IV232" t="e">
        <f>AND(#REF!,"AAAAADV+3/8=")</f>
        <v>#REF!</v>
      </c>
    </row>
    <row r="233" spans="1:256" x14ac:dyDescent="0.25">
      <c r="A233" t="e">
        <f>AND(#REF!,"AAAAAD/bewA=")</f>
        <v>#REF!</v>
      </c>
      <c r="B233" t="e">
        <f>AND(#REF!,"AAAAAD/bewE=")</f>
        <v>#REF!</v>
      </c>
      <c r="C233" t="e">
        <f>AND(#REF!,"AAAAAD/bewI=")</f>
        <v>#REF!</v>
      </c>
      <c r="D233" t="e">
        <f>AND(#REF!,"AAAAAD/bewM=")</f>
        <v>#REF!</v>
      </c>
      <c r="E233" t="e">
        <f>IF(#REF!,"AAAAAD/bewQ=",0)</f>
        <v>#REF!</v>
      </c>
      <c r="F233" t="e">
        <f>AND(#REF!,"AAAAAD/bewU=")</f>
        <v>#REF!</v>
      </c>
      <c r="G233" t="e">
        <f>AND(#REF!,"AAAAAD/bewY=")</f>
        <v>#REF!</v>
      </c>
      <c r="H233" t="e">
        <f>AND(#REF!,"AAAAAD/bewc=")</f>
        <v>#REF!</v>
      </c>
      <c r="I233" t="e">
        <f>AND(#REF!,"AAAAAD/bewg=")</f>
        <v>#REF!</v>
      </c>
      <c r="J233" t="e">
        <f>AND(#REF!,"AAAAAD/bewk=")</f>
        <v>#REF!</v>
      </c>
      <c r="K233" t="e">
        <f>AND(#REF!,"AAAAAD/bewo=")</f>
        <v>#REF!</v>
      </c>
      <c r="L233" t="e">
        <f>AND(#REF!,"AAAAAD/bews=")</f>
        <v>#REF!</v>
      </c>
      <c r="M233" t="e">
        <f>AND(#REF!,"AAAAAD/beww=")</f>
        <v>#REF!</v>
      </c>
      <c r="N233" t="e">
        <f>AND(#REF!,"AAAAAD/bew0=")</f>
        <v>#REF!</v>
      </c>
      <c r="O233" t="e">
        <f>AND(#REF!,"AAAAAD/bew4=")</f>
        <v>#REF!</v>
      </c>
      <c r="P233" t="e">
        <f>IF(#REF!,"AAAAAD/bew8=",0)</f>
        <v>#REF!</v>
      </c>
      <c r="Q233" t="e">
        <f>AND(#REF!,"AAAAAD/bexA=")</f>
        <v>#REF!</v>
      </c>
      <c r="R233" t="e">
        <f>AND(#REF!,"AAAAAD/bexE=")</f>
        <v>#REF!</v>
      </c>
      <c r="S233" t="e">
        <f>AND(#REF!,"AAAAAD/bexI=")</f>
        <v>#REF!</v>
      </c>
      <c r="T233" t="e">
        <f>AND(#REF!,"AAAAAD/bexM=")</f>
        <v>#REF!</v>
      </c>
      <c r="U233" t="e">
        <f>AND(#REF!,"AAAAAD/bexQ=")</f>
        <v>#REF!</v>
      </c>
      <c r="V233" t="e">
        <f>AND(#REF!,"AAAAAD/bexU=")</f>
        <v>#REF!</v>
      </c>
      <c r="W233" t="e">
        <f>AND(#REF!,"AAAAAD/bexY=")</f>
        <v>#REF!</v>
      </c>
      <c r="X233" t="e">
        <f>AND(#REF!,"AAAAAD/bexc=")</f>
        <v>#REF!</v>
      </c>
      <c r="Y233" t="e">
        <f>AND(#REF!,"AAAAAD/bexg=")</f>
        <v>#REF!</v>
      </c>
      <c r="Z233" t="e">
        <f>AND(#REF!,"AAAAAD/bexk=")</f>
        <v>#REF!</v>
      </c>
      <c r="AA233" t="e">
        <f>IF(#REF!,"AAAAAD/bexo=",0)</f>
        <v>#REF!</v>
      </c>
      <c r="AB233" t="e">
        <f>AND(#REF!,"AAAAAD/bexs=")</f>
        <v>#REF!</v>
      </c>
      <c r="AC233" t="e">
        <f>AND(#REF!,"AAAAAD/bexw=")</f>
        <v>#REF!</v>
      </c>
      <c r="AD233" t="e">
        <f>AND(#REF!,"AAAAAD/bex0=")</f>
        <v>#REF!</v>
      </c>
      <c r="AE233" t="e">
        <f>AND(#REF!,"AAAAAD/bex4=")</f>
        <v>#REF!</v>
      </c>
      <c r="AF233" t="e">
        <f>AND(#REF!,"AAAAAD/bex8=")</f>
        <v>#REF!</v>
      </c>
      <c r="AG233" t="e">
        <f>AND(#REF!,"AAAAAD/beyA=")</f>
        <v>#REF!</v>
      </c>
      <c r="AH233" t="e">
        <f>AND(#REF!,"AAAAAD/beyE=")</f>
        <v>#REF!</v>
      </c>
      <c r="AI233" t="e">
        <f>AND(#REF!,"AAAAAD/beyI=")</f>
        <v>#REF!</v>
      </c>
      <c r="AJ233" t="e">
        <f>AND(#REF!,"AAAAAD/beyM=")</f>
        <v>#REF!</v>
      </c>
      <c r="AK233" t="e">
        <f>AND(#REF!,"AAAAAD/beyQ=")</f>
        <v>#REF!</v>
      </c>
      <c r="AL233" t="e">
        <f>IF(#REF!,"AAAAAD/beyU=",0)</f>
        <v>#REF!</v>
      </c>
      <c r="AM233" t="e">
        <f>AND(#REF!,"AAAAAD/beyY=")</f>
        <v>#REF!</v>
      </c>
      <c r="AN233" t="e">
        <f>AND(#REF!,"AAAAAD/beyc=")</f>
        <v>#REF!</v>
      </c>
      <c r="AO233" t="e">
        <f>AND(#REF!,"AAAAAD/beyg=")</f>
        <v>#REF!</v>
      </c>
      <c r="AP233" t="e">
        <f>AND(#REF!,"AAAAAD/beyk=")</f>
        <v>#REF!</v>
      </c>
      <c r="AQ233" t="e">
        <f>AND(#REF!,"AAAAAD/beyo=")</f>
        <v>#REF!</v>
      </c>
      <c r="AR233" t="e">
        <f>AND(#REF!,"AAAAAD/beys=")</f>
        <v>#REF!</v>
      </c>
      <c r="AS233" t="e">
        <f>AND(#REF!,"AAAAAD/beyw=")</f>
        <v>#REF!</v>
      </c>
      <c r="AT233" t="e">
        <f>AND(#REF!,"AAAAAD/bey0=")</f>
        <v>#REF!</v>
      </c>
      <c r="AU233" t="e">
        <f>AND(#REF!,"AAAAAD/bey4=")</f>
        <v>#REF!</v>
      </c>
      <c r="AV233" t="e">
        <f>AND(#REF!,"AAAAAD/bey8=")</f>
        <v>#REF!</v>
      </c>
      <c r="AW233" t="e">
        <f>IF(#REF!,"AAAAAD/bezA=",0)</f>
        <v>#REF!</v>
      </c>
      <c r="AX233" t="e">
        <f>AND(#REF!,"AAAAAD/bezE=")</f>
        <v>#REF!</v>
      </c>
      <c r="AY233" t="e">
        <f>AND(#REF!,"AAAAAD/bezI=")</f>
        <v>#REF!</v>
      </c>
      <c r="AZ233" t="e">
        <f>AND(#REF!,"AAAAAD/bezM=")</f>
        <v>#REF!</v>
      </c>
      <c r="BA233" t="e">
        <f>AND(#REF!,"AAAAAD/bezQ=")</f>
        <v>#REF!</v>
      </c>
      <c r="BB233" t="e">
        <f>AND(#REF!,"AAAAAD/bezU=")</f>
        <v>#REF!</v>
      </c>
      <c r="BC233" t="e">
        <f>AND(#REF!,"AAAAAD/bezY=")</f>
        <v>#REF!</v>
      </c>
      <c r="BD233" t="e">
        <f>AND(#REF!,"AAAAAD/bezc=")</f>
        <v>#REF!</v>
      </c>
      <c r="BE233" t="e">
        <f>AND(#REF!,"AAAAAD/bezg=")</f>
        <v>#REF!</v>
      </c>
      <c r="BF233" t="e">
        <f>AND(#REF!,"AAAAAD/bezk=")</f>
        <v>#REF!</v>
      </c>
      <c r="BG233" t="e">
        <f>AND(#REF!,"AAAAAD/bezo=")</f>
        <v>#REF!</v>
      </c>
      <c r="BH233" t="e">
        <f>IF(#REF!,"AAAAAD/bezs=",0)</f>
        <v>#REF!</v>
      </c>
      <c r="BI233" t="e">
        <f>AND(#REF!,"AAAAAD/bezw=")</f>
        <v>#REF!</v>
      </c>
      <c r="BJ233" t="e">
        <f>AND(#REF!,"AAAAAD/bez0=")</f>
        <v>#REF!</v>
      </c>
      <c r="BK233" t="e">
        <f>AND(#REF!,"AAAAAD/bez4=")</f>
        <v>#REF!</v>
      </c>
      <c r="BL233" t="e">
        <f>AND(#REF!,"AAAAAD/bez8=")</f>
        <v>#REF!</v>
      </c>
      <c r="BM233" t="e">
        <f>AND(#REF!,"AAAAAD/be0A=")</f>
        <v>#REF!</v>
      </c>
      <c r="BN233" t="e">
        <f>AND(#REF!,"AAAAAD/be0E=")</f>
        <v>#REF!</v>
      </c>
      <c r="BO233" t="e">
        <f>AND(#REF!,"AAAAAD/be0I=")</f>
        <v>#REF!</v>
      </c>
      <c r="BP233" t="e">
        <f>AND(#REF!,"AAAAAD/be0M=")</f>
        <v>#REF!</v>
      </c>
      <c r="BQ233" t="e">
        <f>AND(#REF!,"AAAAAD/be0Q=")</f>
        <v>#REF!</v>
      </c>
      <c r="BR233" t="e">
        <f>AND(#REF!,"AAAAAD/be0U=")</f>
        <v>#REF!</v>
      </c>
      <c r="BS233" t="e">
        <f>IF(#REF!,"AAAAAD/be0Y=",0)</f>
        <v>#REF!</v>
      </c>
      <c r="BT233" t="e">
        <f>AND(#REF!,"AAAAAD/be0c=")</f>
        <v>#REF!</v>
      </c>
      <c r="BU233" t="e">
        <f>AND(#REF!,"AAAAAD/be0g=")</f>
        <v>#REF!</v>
      </c>
      <c r="BV233" t="e">
        <f>AND(#REF!,"AAAAAD/be0k=")</f>
        <v>#REF!</v>
      </c>
      <c r="BW233" t="e">
        <f>AND(#REF!,"AAAAAD/be0o=")</f>
        <v>#REF!</v>
      </c>
      <c r="BX233" t="e">
        <f>AND(#REF!,"AAAAAD/be0s=")</f>
        <v>#REF!</v>
      </c>
      <c r="BY233" t="e">
        <f>AND(#REF!,"AAAAAD/be0w=")</f>
        <v>#REF!</v>
      </c>
      <c r="BZ233" t="e">
        <f>AND(#REF!,"AAAAAD/be00=")</f>
        <v>#REF!</v>
      </c>
      <c r="CA233" t="e">
        <f>AND(#REF!,"AAAAAD/be04=")</f>
        <v>#REF!</v>
      </c>
      <c r="CB233" t="e">
        <f>AND(#REF!,"AAAAAD/be08=")</f>
        <v>#REF!</v>
      </c>
      <c r="CC233" t="e">
        <f>AND(#REF!,"AAAAAD/be1A=")</f>
        <v>#REF!</v>
      </c>
      <c r="CD233" t="e">
        <f>IF(#REF!,"AAAAAD/be1E=",0)</f>
        <v>#REF!</v>
      </c>
      <c r="CE233" t="e">
        <f>AND(#REF!,"AAAAAD/be1I=")</f>
        <v>#REF!</v>
      </c>
      <c r="CF233" t="e">
        <f>AND(#REF!,"AAAAAD/be1M=")</f>
        <v>#REF!</v>
      </c>
      <c r="CG233" t="e">
        <f>AND(#REF!,"AAAAAD/be1Q=")</f>
        <v>#REF!</v>
      </c>
      <c r="CH233" t="e">
        <f>AND(#REF!,"AAAAAD/be1U=")</f>
        <v>#REF!</v>
      </c>
      <c r="CI233" t="e">
        <f>AND(#REF!,"AAAAAD/be1Y=")</f>
        <v>#REF!</v>
      </c>
      <c r="CJ233" t="e">
        <f>AND(#REF!,"AAAAAD/be1c=")</f>
        <v>#REF!</v>
      </c>
      <c r="CK233" t="e">
        <f>AND(#REF!,"AAAAAD/be1g=")</f>
        <v>#REF!</v>
      </c>
      <c r="CL233" t="e">
        <f>AND(#REF!,"AAAAAD/be1k=")</f>
        <v>#REF!</v>
      </c>
      <c r="CM233" t="e">
        <f>AND(#REF!,"AAAAAD/be1o=")</f>
        <v>#REF!</v>
      </c>
      <c r="CN233" t="e">
        <f>AND(#REF!,"AAAAAD/be1s=")</f>
        <v>#REF!</v>
      </c>
      <c r="CO233" t="e">
        <f>IF(#REF!,"AAAAAD/be1w=",0)</f>
        <v>#REF!</v>
      </c>
      <c r="CP233" t="e">
        <f>AND(#REF!,"AAAAAD/be10=")</f>
        <v>#REF!</v>
      </c>
      <c r="CQ233" t="e">
        <f>AND(#REF!,"AAAAAD/be14=")</f>
        <v>#REF!</v>
      </c>
      <c r="CR233" t="e">
        <f>AND(#REF!,"AAAAAD/be18=")</f>
        <v>#REF!</v>
      </c>
      <c r="CS233" t="e">
        <f>AND(#REF!,"AAAAAD/be2A=")</f>
        <v>#REF!</v>
      </c>
      <c r="CT233" t="e">
        <f>AND(#REF!,"AAAAAD/be2E=")</f>
        <v>#REF!</v>
      </c>
      <c r="CU233" t="e">
        <f>AND(#REF!,"AAAAAD/be2I=")</f>
        <v>#REF!</v>
      </c>
      <c r="CV233" t="e">
        <f>AND(#REF!,"AAAAAD/be2M=")</f>
        <v>#REF!</v>
      </c>
      <c r="CW233" t="e">
        <f>AND(#REF!,"AAAAAD/be2Q=")</f>
        <v>#REF!</v>
      </c>
      <c r="CX233" t="e">
        <f>AND(#REF!,"AAAAAD/be2U=")</f>
        <v>#REF!</v>
      </c>
      <c r="CY233" t="e">
        <f>AND(#REF!,"AAAAAD/be2Y=")</f>
        <v>#REF!</v>
      </c>
      <c r="CZ233" t="e">
        <f>IF(#REF!,"AAAAAD/be2c=",0)</f>
        <v>#REF!</v>
      </c>
      <c r="DA233" t="e">
        <f>AND(#REF!,"AAAAAD/be2g=")</f>
        <v>#REF!</v>
      </c>
      <c r="DB233" t="e">
        <f>AND(#REF!,"AAAAAD/be2k=")</f>
        <v>#REF!</v>
      </c>
      <c r="DC233" t="e">
        <f>AND(#REF!,"AAAAAD/be2o=")</f>
        <v>#REF!</v>
      </c>
      <c r="DD233" t="e">
        <f>AND(#REF!,"AAAAAD/be2s=")</f>
        <v>#REF!</v>
      </c>
      <c r="DE233" t="e">
        <f>AND(#REF!,"AAAAAD/be2w=")</f>
        <v>#REF!</v>
      </c>
      <c r="DF233" t="e">
        <f>AND(#REF!,"AAAAAD/be20=")</f>
        <v>#REF!</v>
      </c>
      <c r="DG233" t="e">
        <f>AND(#REF!,"AAAAAD/be24=")</f>
        <v>#REF!</v>
      </c>
      <c r="DH233" t="e">
        <f>AND(#REF!,"AAAAAD/be28=")</f>
        <v>#REF!</v>
      </c>
      <c r="DI233" t="e">
        <f>AND(#REF!,"AAAAAD/be3A=")</f>
        <v>#REF!</v>
      </c>
      <c r="DJ233" t="e">
        <f>AND(#REF!,"AAAAAD/be3E=")</f>
        <v>#REF!</v>
      </c>
      <c r="DK233" t="e">
        <f>IF(#REF!,"AAAAAD/be3I=",0)</f>
        <v>#REF!</v>
      </c>
      <c r="DL233" t="e">
        <f>AND(#REF!,"AAAAAD/be3M=")</f>
        <v>#REF!</v>
      </c>
      <c r="DM233" t="e">
        <f>AND(#REF!,"AAAAAD/be3Q=")</f>
        <v>#REF!</v>
      </c>
      <c r="DN233" t="e">
        <f>AND(#REF!,"AAAAAD/be3U=")</f>
        <v>#REF!</v>
      </c>
      <c r="DO233" t="e">
        <f>AND(#REF!,"AAAAAD/be3Y=")</f>
        <v>#REF!</v>
      </c>
      <c r="DP233" t="e">
        <f>AND(#REF!,"AAAAAD/be3c=")</f>
        <v>#REF!</v>
      </c>
      <c r="DQ233" t="e">
        <f>AND(#REF!,"AAAAAD/be3g=")</f>
        <v>#REF!</v>
      </c>
      <c r="DR233" t="e">
        <f>AND(#REF!,"AAAAAD/be3k=")</f>
        <v>#REF!</v>
      </c>
      <c r="DS233" t="e">
        <f>AND(#REF!,"AAAAAD/be3o=")</f>
        <v>#REF!</v>
      </c>
      <c r="DT233" t="e">
        <f>AND(#REF!,"AAAAAD/be3s=")</f>
        <v>#REF!</v>
      </c>
      <c r="DU233" t="e">
        <f>AND(#REF!,"AAAAAD/be3w=")</f>
        <v>#REF!</v>
      </c>
      <c r="DV233" t="e">
        <f>IF(#REF!,"AAAAAD/be30=",0)</f>
        <v>#REF!</v>
      </c>
      <c r="DW233" t="e">
        <f>AND(#REF!,"AAAAAD/be34=")</f>
        <v>#REF!</v>
      </c>
      <c r="DX233" t="e">
        <f>AND(#REF!,"AAAAAD/be38=")</f>
        <v>#REF!</v>
      </c>
      <c r="DY233" t="e">
        <f>AND(#REF!,"AAAAAD/be4A=")</f>
        <v>#REF!</v>
      </c>
      <c r="DZ233" t="e">
        <f>AND(#REF!,"AAAAAD/be4E=")</f>
        <v>#REF!</v>
      </c>
      <c r="EA233" t="e">
        <f>AND(#REF!,"AAAAAD/be4I=")</f>
        <v>#REF!</v>
      </c>
      <c r="EB233" t="e">
        <f>AND(#REF!,"AAAAAD/be4M=")</f>
        <v>#REF!</v>
      </c>
      <c r="EC233" t="e">
        <f>AND(#REF!,"AAAAAD/be4Q=")</f>
        <v>#REF!</v>
      </c>
      <c r="ED233" t="e">
        <f>AND(#REF!,"AAAAAD/be4U=")</f>
        <v>#REF!</v>
      </c>
      <c r="EE233" t="e">
        <f>AND(#REF!,"AAAAAD/be4Y=")</f>
        <v>#REF!</v>
      </c>
      <c r="EF233" t="e">
        <f>AND(#REF!,"AAAAAD/be4c=")</f>
        <v>#REF!</v>
      </c>
      <c r="EG233" t="e">
        <f>IF(#REF!,"AAAAAD/be4g=",0)</f>
        <v>#REF!</v>
      </c>
      <c r="EH233" t="e">
        <f>AND(#REF!,"AAAAAD/be4k=")</f>
        <v>#REF!</v>
      </c>
      <c r="EI233" t="e">
        <f>AND(#REF!,"AAAAAD/be4o=")</f>
        <v>#REF!</v>
      </c>
      <c r="EJ233" t="e">
        <f>AND(#REF!,"AAAAAD/be4s=")</f>
        <v>#REF!</v>
      </c>
      <c r="EK233" t="e">
        <f>AND(#REF!,"AAAAAD/be4w=")</f>
        <v>#REF!</v>
      </c>
      <c r="EL233" t="e">
        <f>AND(#REF!,"AAAAAD/be40=")</f>
        <v>#REF!</v>
      </c>
      <c r="EM233" t="e">
        <f>AND(#REF!,"AAAAAD/be44=")</f>
        <v>#REF!</v>
      </c>
      <c r="EN233" t="e">
        <f>AND(#REF!,"AAAAAD/be48=")</f>
        <v>#REF!</v>
      </c>
      <c r="EO233" t="e">
        <f>AND(#REF!,"AAAAAD/be5A=")</f>
        <v>#REF!</v>
      </c>
      <c r="EP233" t="e">
        <f>AND(#REF!,"AAAAAD/be5E=")</f>
        <v>#REF!</v>
      </c>
      <c r="EQ233" t="e">
        <f>AND(#REF!,"AAAAAD/be5I=")</f>
        <v>#REF!</v>
      </c>
      <c r="ER233" t="e">
        <f>IF(#REF!,"AAAAAD/be5M=",0)</f>
        <v>#REF!</v>
      </c>
      <c r="ES233" t="e">
        <f>AND(#REF!,"AAAAAD/be5Q=")</f>
        <v>#REF!</v>
      </c>
      <c r="ET233" t="e">
        <f>AND(#REF!,"AAAAAD/be5U=")</f>
        <v>#REF!</v>
      </c>
      <c r="EU233" t="e">
        <f>AND(#REF!,"AAAAAD/be5Y=")</f>
        <v>#REF!</v>
      </c>
      <c r="EV233" t="e">
        <f>AND(#REF!,"AAAAAD/be5c=")</f>
        <v>#REF!</v>
      </c>
      <c r="EW233" t="e">
        <f>AND(#REF!,"AAAAAD/be5g=")</f>
        <v>#REF!</v>
      </c>
      <c r="EX233" t="e">
        <f>AND(#REF!,"AAAAAD/be5k=")</f>
        <v>#REF!</v>
      </c>
      <c r="EY233" t="e">
        <f>AND(#REF!,"AAAAAD/be5o=")</f>
        <v>#REF!</v>
      </c>
      <c r="EZ233" t="e">
        <f>AND(#REF!,"AAAAAD/be5s=")</f>
        <v>#REF!</v>
      </c>
      <c r="FA233" t="e">
        <f>AND(#REF!,"AAAAAD/be5w=")</f>
        <v>#REF!</v>
      </c>
      <c r="FB233" t="e">
        <f>AND(#REF!,"AAAAAD/be50=")</f>
        <v>#REF!</v>
      </c>
      <c r="FC233" t="e">
        <f>IF(#REF!,"AAAAAD/be54=",0)</f>
        <v>#REF!</v>
      </c>
      <c r="FD233" t="e">
        <f>AND(#REF!,"AAAAAD/be58=")</f>
        <v>#REF!</v>
      </c>
      <c r="FE233" t="e">
        <f>AND(#REF!,"AAAAAD/be6A=")</f>
        <v>#REF!</v>
      </c>
      <c r="FF233" t="e">
        <f>AND(#REF!,"AAAAAD/be6E=")</f>
        <v>#REF!</v>
      </c>
      <c r="FG233" t="e">
        <f>AND(#REF!,"AAAAAD/be6I=")</f>
        <v>#REF!</v>
      </c>
      <c r="FH233" t="e">
        <f>AND(#REF!,"AAAAAD/be6M=")</f>
        <v>#REF!</v>
      </c>
      <c r="FI233" t="e">
        <f>AND(#REF!,"AAAAAD/be6Q=")</f>
        <v>#REF!</v>
      </c>
      <c r="FJ233" t="e">
        <f>AND(#REF!,"AAAAAD/be6U=")</f>
        <v>#REF!</v>
      </c>
      <c r="FK233" t="e">
        <f>AND(#REF!,"AAAAAD/be6Y=")</f>
        <v>#REF!</v>
      </c>
      <c r="FL233" t="e">
        <f>AND(#REF!,"AAAAAD/be6c=")</f>
        <v>#REF!</v>
      </c>
      <c r="FM233" t="e">
        <f>AND(#REF!,"AAAAAD/be6g=")</f>
        <v>#REF!</v>
      </c>
      <c r="FN233" t="e">
        <f>IF(#REF!,"AAAAAD/be6k=",0)</f>
        <v>#REF!</v>
      </c>
      <c r="FO233" t="e">
        <f>AND(#REF!,"AAAAAD/be6o=")</f>
        <v>#REF!</v>
      </c>
      <c r="FP233" t="e">
        <f>AND(#REF!,"AAAAAD/be6s=")</f>
        <v>#REF!</v>
      </c>
      <c r="FQ233" t="e">
        <f>AND(#REF!,"AAAAAD/be6w=")</f>
        <v>#REF!</v>
      </c>
      <c r="FR233" t="e">
        <f>AND(#REF!,"AAAAAD/be60=")</f>
        <v>#REF!</v>
      </c>
      <c r="FS233" t="e">
        <f>AND(#REF!,"AAAAAD/be64=")</f>
        <v>#REF!</v>
      </c>
      <c r="FT233" t="e">
        <f>AND(#REF!,"AAAAAD/be68=")</f>
        <v>#REF!</v>
      </c>
      <c r="FU233" t="e">
        <f>AND(#REF!,"AAAAAD/be7A=")</f>
        <v>#REF!</v>
      </c>
      <c r="FV233" t="e">
        <f>AND(#REF!,"AAAAAD/be7E=")</f>
        <v>#REF!</v>
      </c>
      <c r="FW233" t="e">
        <f>AND(#REF!,"AAAAAD/be7I=")</f>
        <v>#REF!</v>
      </c>
      <c r="FX233" t="e">
        <f>AND(#REF!,"AAAAAD/be7M=")</f>
        <v>#REF!</v>
      </c>
      <c r="FY233" t="e">
        <f>IF(#REF!,"AAAAAD/be7Q=",0)</f>
        <v>#REF!</v>
      </c>
      <c r="FZ233" t="e">
        <f>AND(#REF!,"AAAAAD/be7U=")</f>
        <v>#REF!</v>
      </c>
      <c r="GA233" t="e">
        <f>AND(#REF!,"AAAAAD/be7Y=")</f>
        <v>#REF!</v>
      </c>
      <c r="GB233" t="e">
        <f>AND(#REF!,"AAAAAD/be7c=")</f>
        <v>#REF!</v>
      </c>
      <c r="GC233" t="e">
        <f>AND(#REF!,"AAAAAD/be7g=")</f>
        <v>#REF!</v>
      </c>
      <c r="GD233" t="e">
        <f>AND(#REF!,"AAAAAD/be7k=")</f>
        <v>#REF!</v>
      </c>
      <c r="GE233" t="e">
        <f>AND(#REF!,"AAAAAD/be7o=")</f>
        <v>#REF!</v>
      </c>
      <c r="GF233" t="e">
        <f>AND(#REF!,"AAAAAD/be7s=")</f>
        <v>#REF!</v>
      </c>
      <c r="GG233" t="e">
        <f>AND(#REF!,"AAAAAD/be7w=")</f>
        <v>#REF!</v>
      </c>
      <c r="GH233" t="e">
        <f>AND(#REF!,"AAAAAD/be70=")</f>
        <v>#REF!</v>
      </c>
      <c r="GI233" t="e">
        <f>AND(#REF!,"AAAAAD/be74=")</f>
        <v>#REF!</v>
      </c>
      <c r="GJ233" t="e">
        <f>IF(#REF!,"AAAAAD/be78=",0)</f>
        <v>#REF!</v>
      </c>
      <c r="GK233" t="e">
        <f>AND(#REF!,"AAAAAD/be8A=")</f>
        <v>#REF!</v>
      </c>
      <c r="GL233" t="e">
        <f>AND(#REF!,"AAAAAD/be8E=")</f>
        <v>#REF!</v>
      </c>
      <c r="GM233" t="e">
        <f>AND(#REF!,"AAAAAD/be8I=")</f>
        <v>#REF!</v>
      </c>
      <c r="GN233" t="e">
        <f>AND(#REF!,"AAAAAD/be8M=")</f>
        <v>#REF!</v>
      </c>
      <c r="GO233" t="e">
        <f>AND(#REF!,"AAAAAD/be8Q=")</f>
        <v>#REF!</v>
      </c>
      <c r="GP233" t="e">
        <f>AND(#REF!,"AAAAAD/be8U=")</f>
        <v>#REF!</v>
      </c>
      <c r="GQ233" t="e">
        <f>AND(#REF!,"AAAAAD/be8Y=")</f>
        <v>#REF!</v>
      </c>
      <c r="GR233" t="e">
        <f>AND(#REF!,"AAAAAD/be8c=")</f>
        <v>#REF!</v>
      </c>
      <c r="GS233" t="e">
        <f>AND(#REF!,"AAAAAD/be8g=")</f>
        <v>#REF!</v>
      </c>
      <c r="GT233" t="e">
        <f>AND(#REF!,"AAAAAD/be8k=")</f>
        <v>#REF!</v>
      </c>
      <c r="GU233" t="e">
        <f>IF(#REF!,"AAAAAD/be8o=",0)</f>
        <v>#REF!</v>
      </c>
      <c r="GV233" t="e">
        <f>AND(#REF!,"AAAAAD/be8s=")</f>
        <v>#REF!</v>
      </c>
      <c r="GW233" t="e">
        <f>AND(#REF!,"AAAAAD/be8w=")</f>
        <v>#REF!</v>
      </c>
      <c r="GX233" t="e">
        <f>AND(#REF!,"AAAAAD/be80=")</f>
        <v>#REF!</v>
      </c>
      <c r="GY233" t="e">
        <f>AND(#REF!,"AAAAAD/be84=")</f>
        <v>#REF!</v>
      </c>
      <c r="GZ233" t="e">
        <f>AND(#REF!,"AAAAAD/be88=")</f>
        <v>#REF!</v>
      </c>
      <c r="HA233" t="e">
        <f>AND(#REF!,"AAAAAD/be9A=")</f>
        <v>#REF!</v>
      </c>
      <c r="HB233" t="e">
        <f>AND(#REF!,"AAAAAD/be9E=")</f>
        <v>#REF!</v>
      </c>
      <c r="HC233" t="e">
        <f>AND(#REF!,"AAAAAD/be9I=")</f>
        <v>#REF!</v>
      </c>
      <c r="HD233" t="e">
        <f>AND(#REF!,"AAAAAD/be9M=")</f>
        <v>#REF!</v>
      </c>
      <c r="HE233" t="e">
        <f>AND(#REF!,"AAAAAD/be9Q=")</f>
        <v>#REF!</v>
      </c>
      <c r="HF233" t="e">
        <f>IF(#REF!,"AAAAAD/be9U=",0)</f>
        <v>#REF!</v>
      </c>
      <c r="HG233" t="e">
        <f>AND(#REF!,"AAAAAD/be9Y=")</f>
        <v>#REF!</v>
      </c>
      <c r="HH233" t="e">
        <f>AND(#REF!,"AAAAAD/be9c=")</f>
        <v>#REF!</v>
      </c>
      <c r="HI233" t="e">
        <f>AND(#REF!,"AAAAAD/be9g=")</f>
        <v>#REF!</v>
      </c>
      <c r="HJ233" t="e">
        <f>AND(#REF!,"AAAAAD/be9k=")</f>
        <v>#REF!</v>
      </c>
      <c r="HK233" t="e">
        <f>AND(#REF!,"AAAAAD/be9o=")</f>
        <v>#REF!</v>
      </c>
      <c r="HL233" t="e">
        <f>AND(#REF!,"AAAAAD/be9s=")</f>
        <v>#REF!</v>
      </c>
      <c r="HM233" t="e">
        <f>AND(#REF!,"AAAAAD/be9w=")</f>
        <v>#REF!</v>
      </c>
      <c r="HN233" t="e">
        <f>AND(#REF!,"AAAAAD/be90=")</f>
        <v>#REF!</v>
      </c>
      <c r="HO233" t="e">
        <f>AND(#REF!,"AAAAAD/be94=")</f>
        <v>#REF!</v>
      </c>
      <c r="HP233" t="e">
        <f>AND(#REF!,"AAAAAD/be98=")</f>
        <v>#REF!</v>
      </c>
      <c r="HQ233" t="e">
        <f>IF(#REF!,"AAAAAD/be+A=",0)</f>
        <v>#REF!</v>
      </c>
      <c r="HR233" t="e">
        <f>AND(#REF!,"AAAAAD/be+E=")</f>
        <v>#REF!</v>
      </c>
      <c r="HS233" t="e">
        <f>AND(#REF!,"AAAAAD/be+I=")</f>
        <v>#REF!</v>
      </c>
      <c r="HT233" t="e">
        <f>AND(#REF!,"AAAAAD/be+M=")</f>
        <v>#REF!</v>
      </c>
      <c r="HU233" t="e">
        <f>AND(#REF!,"AAAAAD/be+Q=")</f>
        <v>#REF!</v>
      </c>
      <c r="HV233" t="e">
        <f>AND(#REF!,"AAAAAD/be+U=")</f>
        <v>#REF!</v>
      </c>
      <c r="HW233" t="e">
        <f>AND(#REF!,"AAAAAD/be+Y=")</f>
        <v>#REF!</v>
      </c>
      <c r="HX233" t="e">
        <f>AND(#REF!,"AAAAAD/be+c=")</f>
        <v>#REF!</v>
      </c>
      <c r="HY233" t="e">
        <f>AND(#REF!,"AAAAAD/be+g=")</f>
        <v>#REF!</v>
      </c>
      <c r="HZ233" t="e">
        <f>AND(#REF!,"AAAAAD/be+k=")</f>
        <v>#REF!</v>
      </c>
      <c r="IA233" t="e">
        <f>AND(#REF!,"AAAAAD/be+o=")</f>
        <v>#REF!</v>
      </c>
      <c r="IB233" t="e">
        <f>IF(#REF!,"AAAAAD/be+s=",0)</f>
        <v>#REF!</v>
      </c>
      <c r="IC233" t="e">
        <f>AND(#REF!,"AAAAAD/be+w=")</f>
        <v>#REF!</v>
      </c>
      <c r="ID233" t="e">
        <f>AND(#REF!,"AAAAAD/be+0=")</f>
        <v>#REF!</v>
      </c>
      <c r="IE233" t="e">
        <f>AND(#REF!,"AAAAAD/be+4=")</f>
        <v>#REF!</v>
      </c>
      <c r="IF233" t="e">
        <f>AND(#REF!,"AAAAAD/be+8=")</f>
        <v>#REF!</v>
      </c>
      <c r="IG233" t="e">
        <f>AND(#REF!,"AAAAAD/be/A=")</f>
        <v>#REF!</v>
      </c>
      <c r="IH233" t="e">
        <f>AND(#REF!,"AAAAAD/be/E=")</f>
        <v>#REF!</v>
      </c>
      <c r="II233" t="e">
        <f>AND(#REF!,"AAAAAD/be/I=")</f>
        <v>#REF!</v>
      </c>
      <c r="IJ233" t="e">
        <f>AND(#REF!,"AAAAAD/be/M=")</f>
        <v>#REF!</v>
      </c>
      <c r="IK233" t="e">
        <f>AND(#REF!,"AAAAAD/be/Q=")</f>
        <v>#REF!</v>
      </c>
      <c r="IL233" t="e">
        <f>AND(#REF!,"AAAAAD/be/U=")</f>
        <v>#REF!</v>
      </c>
      <c r="IM233" t="e">
        <f>IF(#REF!,"AAAAAD/be/Y=",0)</f>
        <v>#REF!</v>
      </c>
      <c r="IN233" t="e">
        <f>AND(#REF!,"AAAAAD/be/c=")</f>
        <v>#REF!</v>
      </c>
      <c r="IO233" t="e">
        <f>AND(#REF!,"AAAAAD/be/g=")</f>
        <v>#REF!</v>
      </c>
      <c r="IP233" t="e">
        <f>AND(#REF!,"AAAAAD/be/k=")</f>
        <v>#REF!</v>
      </c>
      <c r="IQ233" t="e">
        <f>AND(#REF!,"AAAAAD/be/o=")</f>
        <v>#REF!</v>
      </c>
      <c r="IR233" t="e">
        <f>AND(#REF!,"AAAAAD/be/s=")</f>
        <v>#REF!</v>
      </c>
      <c r="IS233" t="e">
        <f>AND(#REF!,"AAAAAD/be/w=")</f>
        <v>#REF!</v>
      </c>
      <c r="IT233" t="e">
        <f>AND(#REF!,"AAAAAD/be/0=")</f>
        <v>#REF!</v>
      </c>
      <c r="IU233" t="e">
        <f>AND(#REF!,"AAAAAD/be/4=")</f>
        <v>#REF!</v>
      </c>
      <c r="IV233" t="e">
        <f>AND(#REF!,"AAAAAD/be/8=")</f>
        <v>#REF!</v>
      </c>
    </row>
    <row r="234" spans="1:256" x14ac:dyDescent="0.25">
      <c r="A234" t="e">
        <f>AND(#REF!,"AAAAAH+P/wA=")</f>
        <v>#REF!</v>
      </c>
      <c r="B234" t="e">
        <f>IF(#REF!,"AAAAAH+P/wE=",0)</f>
        <v>#REF!</v>
      </c>
      <c r="C234" t="e">
        <f>AND(#REF!,"AAAAAH+P/wI=")</f>
        <v>#REF!</v>
      </c>
      <c r="D234" t="e">
        <f>AND(#REF!,"AAAAAH+P/wM=")</f>
        <v>#REF!</v>
      </c>
      <c r="E234" t="e">
        <f>AND(#REF!,"AAAAAH+P/wQ=")</f>
        <v>#REF!</v>
      </c>
      <c r="F234" t="e">
        <f>AND(#REF!,"AAAAAH+P/wU=")</f>
        <v>#REF!</v>
      </c>
      <c r="G234" t="e">
        <f>AND(#REF!,"AAAAAH+P/wY=")</f>
        <v>#REF!</v>
      </c>
      <c r="H234" t="e">
        <f>AND(#REF!,"AAAAAH+P/wc=")</f>
        <v>#REF!</v>
      </c>
      <c r="I234" t="e">
        <f>AND(#REF!,"AAAAAH+P/wg=")</f>
        <v>#REF!</v>
      </c>
      <c r="J234" t="e">
        <f>AND(#REF!,"AAAAAH+P/wk=")</f>
        <v>#REF!</v>
      </c>
      <c r="K234" t="e">
        <f>AND(#REF!,"AAAAAH+P/wo=")</f>
        <v>#REF!</v>
      </c>
      <c r="L234" t="e">
        <f>AND(#REF!,"AAAAAH+P/ws=")</f>
        <v>#REF!</v>
      </c>
      <c r="M234" t="e">
        <f>IF(#REF!,"AAAAAH+P/ww=",0)</f>
        <v>#REF!</v>
      </c>
      <c r="N234" t="e">
        <f>AND(#REF!,"AAAAAH+P/w0=")</f>
        <v>#REF!</v>
      </c>
      <c r="O234" t="e">
        <f>AND(#REF!,"AAAAAH+P/w4=")</f>
        <v>#REF!</v>
      </c>
      <c r="P234" t="e">
        <f>AND(#REF!,"AAAAAH+P/w8=")</f>
        <v>#REF!</v>
      </c>
      <c r="Q234" t="e">
        <f>AND(#REF!,"AAAAAH+P/xA=")</f>
        <v>#REF!</v>
      </c>
      <c r="R234" t="e">
        <f>AND(#REF!,"AAAAAH+P/xE=")</f>
        <v>#REF!</v>
      </c>
      <c r="S234" t="e">
        <f>AND(#REF!,"AAAAAH+P/xI=")</f>
        <v>#REF!</v>
      </c>
      <c r="T234" t="e">
        <f>AND(#REF!,"AAAAAH+P/xM=")</f>
        <v>#REF!</v>
      </c>
      <c r="U234" t="e">
        <f>AND(#REF!,"AAAAAH+P/xQ=")</f>
        <v>#REF!</v>
      </c>
      <c r="V234" t="e">
        <f>AND(#REF!,"AAAAAH+P/xU=")</f>
        <v>#REF!</v>
      </c>
      <c r="W234" t="e">
        <f>AND(#REF!,"AAAAAH+P/xY=")</f>
        <v>#REF!</v>
      </c>
      <c r="X234" t="e">
        <f>IF(#REF!,"AAAAAH+P/xc=",0)</f>
        <v>#REF!</v>
      </c>
      <c r="Y234" t="e">
        <f>AND(#REF!,"AAAAAH+P/xg=")</f>
        <v>#REF!</v>
      </c>
      <c r="Z234" t="e">
        <f>AND(#REF!,"AAAAAH+P/xk=")</f>
        <v>#REF!</v>
      </c>
      <c r="AA234" t="e">
        <f>AND(#REF!,"AAAAAH+P/xo=")</f>
        <v>#REF!</v>
      </c>
      <c r="AB234" t="e">
        <f>AND(#REF!,"AAAAAH+P/xs=")</f>
        <v>#REF!</v>
      </c>
      <c r="AC234" t="e">
        <f>AND(#REF!,"AAAAAH+P/xw=")</f>
        <v>#REF!</v>
      </c>
      <c r="AD234" t="e">
        <f>AND(#REF!,"AAAAAH+P/x0=")</f>
        <v>#REF!</v>
      </c>
      <c r="AE234" t="e">
        <f>AND(#REF!,"AAAAAH+P/x4=")</f>
        <v>#REF!</v>
      </c>
      <c r="AF234" t="e">
        <f>AND(#REF!,"AAAAAH+P/x8=")</f>
        <v>#REF!</v>
      </c>
      <c r="AG234" t="e">
        <f>AND(#REF!,"AAAAAH+P/yA=")</f>
        <v>#REF!</v>
      </c>
      <c r="AH234" t="e">
        <f>AND(#REF!,"AAAAAH+P/yE=")</f>
        <v>#REF!</v>
      </c>
      <c r="AI234" t="e">
        <f>IF(#REF!,"AAAAAH+P/yI=",0)</f>
        <v>#REF!</v>
      </c>
      <c r="AJ234" t="e">
        <f>AND(#REF!,"AAAAAH+P/yM=")</f>
        <v>#REF!</v>
      </c>
      <c r="AK234" t="e">
        <f>AND(#REF!,"AAAAAH+P/yQ=")</f>
        <v>#REF!</v>
      </c>
      <c r="AL234" t="e">
        <f>AND(#REF!,"AAAAAH+P/yU=")</f>
        <v>#REF!</v>
      </c>
      <c r="AM234" t="e">
        <f>AND(#REF!,"AAAAAH+P/yY=")</f>
        <v>#REF!</v>
      </c>
      <c r="AN234" t="e">
        <f>AND(#REF!,"AAAAAH+P/yc=")</f>
        <v>#REF!</v>
      </c>
      <c r="AO234" t="e">
        <f>AND(#REF!,"AAAAAH+P/yg=")</f>
        <v>#REF!</v>
      </c>
      <c r="AP234" t="e">
        <f>AND(#REF!,"AAAAAH+P/yk=")</f>
        <v>#REF!</v>
      </c>
      <c r="AQ234" t="e">
        <f>AND(#REF!,"AAAAAH+P/yo=")</f>
        <v>#REF!</v>
      </c>
      <c r="AR234" t="e">
        <f>AND(#REF!,"AAAAAH+P/ys=")</f>
        <v>#REF!</v>
      </c>
      <c r="AS234" t="e">
        <f>AND(#REF!,"AAAAAH+P/yw=")</f>
        <v>#REF!</v>
      </c>
      <c r="AT234" t="e">
        <f>IF(#REF!,"AAAAAH+P/y0=",0)</f>
        <v>#REF!</v>
      </c>
      <c r="AU234" t="e">
        <f>AND(#REF!,"AAAAAH+P/y4=")</f>
        <v>#REF!</v>
      </c>
      <c r="AV234" t="e">
        <f>AND(#REF!,"AAAAAH+P/y8=")</f>
        <v>#REF!</v>
      </c>
      <c r="AW234" t="e">
        <f>AND(#REF!,"AAAAAH+P/zA=")</f>
        <v>#REF!</v>
      </c>
      <c r="AX234" t="e">
        <f>AND(#REF!,"AAAAAH+P/zE=")</f>
        <v>#REF!</v>
      </c>
      <c r="AY234" t="e">
        <f>AND(#REF!,"AAAAAH+P/zI=")</f>
        <v>#REF!</v>
      </c>
      <c r="AZ234" t="e">
        <f>AND(#REF!,"AAAAAH+P/zM=")</f>
        <v>#REF!</v>
      </c>
      <c r="BA234" t="e">
        <f>AND(#REF!,"AAAAAH+P/zQ=")</f>
        <v>#REF!</v>
      </c>
      <c r="BB234" t="e">
        <f>AND(#REF!,"AAAAAH+P/zU=")</f>
        <v>#REF!</v>
      </c>
      <c r="BC234" t="e">
        <f>AND(#REF!,"AAAAAH+P/zY=")</f>
        <v>#REF!</v>
      </c>
      <c r="BD234" t="e">
        <f>AND(#REF!,"AAAAAH+P/zc=")</f>
        <v>#REF!</v>
      </c>
      <c r="BE234" t="e">
        <f>IF(#REF!,"AAAAAH+P/zg=",0)</f>
        <v>#REF!</v>
      </c>
      <c r="BF234" t="e">
        <f>AND(#REF!,"AAAAAH+P/zk=")</f>
        <v>#REF!</v>
      </c>
      <c r="BG234" t="e">
        <f>AND(#REF!,"AAAAAH+P/zo=")</f>
        <v>#REF!</v>
      </c>
      <c r="BH234" t="e">
        <f>AND(#REF!,"AAAAAH+P/zs=")</f>
        <v>#REF!</v>
      </c>
      <c r="BI234" t="e">
        <f>AND(#REF!,"AAAAAH+P/zw=")</f>
        <v>#REF!</v>
      </c>
      <c r="BJ234" t="e">
        <f>AND(#REF!,"AAAAAH+P/z0=")</f>
        <v>#REF!</v>
      </c>
      <c r="BK234" t="e">
        <f>AND(#REF!,"AAAAAH+P/z4=")</f>
        <v>#REF!</v>
      </c>
      <c r="BL234" t="e">
        <f>AND(#REF!,"AAAAAH+P/z8=")</f>
        <v>#REF!</v>
      </c>
      <c r="BM234" t="e">
        <f>AND(#REF!,"AAAAAH+P/0A=")</f>
        <v>#REF!</v>
      </c>
      <c r="BN234" t="e">
        <f>AND(#REF!,"AAAAAH+P/0E=")</f>
        <v>#REF!</v>
      </c>
      <c r="BO234" t="e">
        <f>AND(#REF!,"AAAAAH+P/0I=")</f>
        <v>#REF!</v>
      </c>
      <c r="BP234" t="e">
        <f>IF(#REF!,"AAAAAH+P/0M=",0)</f>
        <v>#REF!</v>
      </c>
      <c r="BQ234" t="e">
        <f>AND(#REF!,"AAAAAH+P/0Q=")</f>
        <v>#REF!</v>
      </c>
      <c r="BR234" t="e">
        <f>AND(#REF!,"AAAAAH+P/0U=")</f>
        <v>#REF!</v>
      </c>
      <c r="BS234" t="e">
        <f>AND(#REF!,"AAAAAH+P/0Y=")</f>
        <v>#REF!</v>
      </c>
      <c r="BT234" t="e">
        <f>AND(#REF!,"AAAAAH+P/0c=")</f>
        <v>#REF!</v>
      </c>
      <c r="BU234" t="e">
        <f>AND(#REF!,"AAAAAH+P/0g=")</f>
        <v>#REF!</v>
      </c>
      <c r="BV234" t="e">
        <f>AND(#REF!,"AAAAAH+P/0k=")</f>
        <v>#REF!</v>
      </c>
      <c r="BW234" t="e">
        <f>AND(#REF!,"AAAAAH+P/0o=")</f>
        <v>#REF!</v>
      </c>
      <c r="BX234" t="e">
        <f>AND(#REF!,"AAAAAH+P/0s=")</f>
        <v>#REF!</v>
      </c>
      <c r="BY234" t="e">
        <f>AND(#REF!,"AAAAAH+P/0w=")</f>
        <v>#REF!</v>
      </c>
      <c r="BZ234" t="e">
        <f>AND(#REF!,"AAAAAH+P/00=")</f>
        <v>#REF!</v>
      </c>
      <c r="CA234" t="e">
        <f>IF(#REF!,"AAAAAH+P/04=",0)</f>
        <v>#REF!</v>
      </c>
      <c r="CB234" t="e">
        <f>AND(#REF!,"AAAAAH+P/08=")</f>
        <v>#REF!</v>
      </c>
      <c r="CC234" t="e">
        <f>AND(#REF!,"AAAAAH+P/1A=")</f>
        <v>#REF!</v>
      </c>
      <c r="CD234" t="e">
        <f>AND(#REF!,"AAAAAH+P/1E=")</f>
        <v>#REF!</v>
      </c>
      <c r="CE234" t="e">
        <f>AND(#REF!,"AAAAAH+P/1I=")</f>
        <v>#REF!</v>
      </c>
      <c r="CF234" t="e">
        <f>AND(#REF!,"AAAAAH+P/1M=")</f>
        <v>#REF!</v>
      </c>
      <c r="CG234" t="e">
        <f>AND(#REF!,"AAAAAH+P/1Q=")</f>
        <v>#REF!</v>
      </c>
      <c r="CH234" t="e">
        <f>AND(#REF!,"AAAAAH+P/1U=")</f>
        <v>#REF!</v>
      </c>
      <c r="CI234" t="e">
        <f>AND(#REF!,"AAAAAH+P/1Y=")</f>
        <v>#REF!</v>
      </c>
      <c r="CJ234" t="e">
        <f>AND(#REF!,"AAAAAH+P/1c=")</f>
        <v>#REF!</v>
      </c>
      <c r="CK234" t="e">
        <f>AND(#REF!,"AAAAAH+P/1g=")</f>
        <v>#REF!</v>
      </c>
      <c r="CL234" t="e">
        <f>IF(#REF!,"AAAAAH+P/1k=",0)</f>
        <v>#REF!</v>
      </c>
      <c r="CM234" t="e">
        <f>AND(#REF!,"AAAAAH+P/1o=")</f>
        <v>#REF!</v>
      </c>
      <c r="CN234" t="e">
        <f>AND(#REF!,"AAAAAH+P/1s=")</f>
        <v>#REF!</v>
      </c>
      <c r="CO234" t="e">
        <f>AND(#REF!,"AAAAAH+P/1w=")</f>
        <v>#REF!</v>
      </c>
      <c r="CP234" t="e">
        <f>AND(#REF!,"AAAAAH+P/10=")</f>
        <v>#REF!</v>
      </c>
      <c r="CQ234" t="e">
        <f>AND(#REF!,"AAAAAH+P/14=")</f>
        <v>#REF!</v>
      </c>
      <c r="CR234" t="e">
        <f>AND(#REF!,"AAAAAH+P/18=")</f>
        <v>#REF!</v>
      </c>
      <c r="CS234" t="e">
        <f>AND(#REF!,"AAAAAH+P/2A=")</f>
        <v>#REF!</v>
      </c>
      <c r="CT234" t="e">
        <f>AND(#REF!,"AAAAAH+P/2E=")</f>
        <v>#REF!</v>
      </c>
      <c r="CU234" t="e">
        <f>AND(#REF!,"AAAAAH+P/2I=")</f>
        <v>#REF!</v>
      </c>
      <c r="CV234" t="e">
        <f>AND(#REF!,"AAAAAH+P/2M=")</f>
        <v>#REF!</v>
      </c>
      <c r="CW234" t="e">
        <f>IF(#REF!,"AAAAAH+P/2Q=",0)</f>
        <v>#REF!</v>
      </c>
      <c r="CX234" t="e">
        <f>AND(#REF!,"AAAAAH+P/2U=")</f>
        <v>#REF!</v>
      </c>
      <c r="CY234" t="e">
        <f>AND(#REF!,"AAAAAH+P/2Y=")</f>
        <v>#REF!</v>
      </c>
      <c r="CZ234" t="e">
        <f>AND(#REF!,"AAAAAH+P/2c=")</f>
        <v>#REF!</v>
      </c>
      <c r="DA234" t="e">
        <f>AND(#REF!,"AAAAAH+P/2g=")</f>
        <v>#REF!</v>
      </c>
      <c r="DB234" t="e">
        <f>AND(#REF!,"AAAAAH+P/2k=")</f>
        <v>#REF!</v>
      </c>
      <c r="DC234" t="e">
        <f>AND(#REF!,"AAAAAH+P/2o=")</f>
        <v>#REF!</v>
      </c>
      <c r="DD234" t="e">
        <f>AND(#REF!,"AAAAAH+P/2s=")</f>
        <v>#REF!</v>
      </c>
      <c r="DE234" t="e">
        <f>AND(#REF!,"AAAAAH+P/2w=")</f>
        <v>#REF!</v>
      </c>
      <c r="DF234" t="e">
        <f>AND(#REF!,"AAAAAH+P/20=")</f>
        <v>#REF!</v>
      </c>
      <c r="DG234" t="e">
        <f>AND(#REF!,"AAAAAH+P/24=")</f>
        <v>#REF!</v>
      </c>
      <c r="DH234" t="e">
        <f>IF(#REF!,"AAAAAH+P/28=",0)</f>
        <v>#REF!</v>
      </c>
      <c r="DI234" t="e">
        <f>AND(#REF!,"AAAAAH+P/3A=")</f>
        <v>#REF!</v>
      </c>
      <c r="DJ234" t="e">
        <f>AND(#REF!,"AAAAAH+P/3E=")</f>
        <v>#REF!</v>
      </c>
      <c r="DK234" t="e">
        <f>AND(#REF!,"AAAAAH+P/3I=")</f>
        <v>#REF!</v>
      </c>
      <c r="DL234" t="e">
        <f>AND(#REF!,"AAAAAH+P/3M=")</f>
        <v>#REF!</v>
      </c>
      <c r="DM234" t="e">
        <f>AND(#REF!,"AAAAAH+P/3Q=")</f>
        <v>#REF!</v>
      </c>
      <c r="DN234" t="e">
        <f>AND(#REF!,"AAAAAH+P/3U=")</f>
        <v>#REF!</v>
      </c>
      <c r="DO234" t="e">
        <f>AND(#REF!,"AAAAAH+P/3Y=")</f>
        <v>#REF!</v>
      </c>
      <c r="DP234" t="e">
        <f>AND(#REF!,"AAAAAH+P/3c=")</f>
        <v>#REF!</v>
      </c>
      <c r="DQ234" t="e">
        <f>AND(#REF!,"AAAAAH+P/3g=")</f>
        <v>#REF!</v>
      </c>
      <c r="DR234" t="e">
        <f>AND(#REF!,"AAAAAH+P/3k=")</f>
        <v>#REF!</v>
      </c>
      <c r="DS234" t="e">
        <f>IF(#REF!,"AAAAAH+P/3o=",0)</f>
        <v>#REF!</v>
      </c>
      <c r="DT234" t="e">
        <f>AND(#REF!,"AAAAAH+P/3s=")</f>
        <v>#REF!</v>
      </c>
      <c r="DU234" t="e">
        <f>AND(#REF!,"AAAAAH+P/3w=")</f>
        <v>#REF!</v>
      </c>
      <c r="DV234" t="e">
        <f>AND(#REF!,"AAAAAH+P/30=")</f>
        <v>#REF!</v>
      </c>
      <c r="DW234" t="e">
        <f>AND(#REF!,"AAAAAH+P/34=")</f>
        <v>#REF!</v>
      </c>
      <c r="DX234" t="e">
        <f>AND(#REF!,"AAAAAH+P/38=")</f>
        <v>#REF!</v>
      </c>
      <c r="DY234" t="e">
        <f>AND(#REF!,"AAAAAH+P/4A=")</f>
        <v>#REF!</v>
      </c>
      <c r="DZ234" t="e">
        <f>AND(#REF!,"AAAAAH+P/4E=")</f>
        <v>#REF!</v>
      </c>
      <c r="EA234" t="e">
        <f>AND(#REF!,"AAAAAH+P/4I=")</f>
        <v>#REF!</v>
      </c>
      <c r="EB234" t="e">
        <f>AND(#REF!,"AAAAAH+P/4M=")</f>
        <v>#REF!</v>
      </c>
      <c r="EC234" t="e">
        <f>AND(#REF!,"AAAAAH+P/4Q=")</f>
        <v>#REF!</v>
      </c>
      <c r="ED234" t="e">
        <f>IF(#REF!,"AAAAAH+P/4U=",0)</f>
        <v>#REF!</v>
      </c>
      <c r="EE234" t="e">
        <f>AND(#REF!,"AAAAAH+P/4Y=")</f>
        <v>#REF!</v>
      </c>
      <c r="EF234" t="e">
        <f>AND(#REF!,"AAAAAH+P/4c=")</f>
        <v>#REF!</v>
      </c>
      <c r="EG234" t="e">
        <f>AND(#REF!,"AAAAAH+P/4g=")</f>
        <v>#REF!</v>
      </c>
      <c r="EH234" t="e">
        <f>AND(#REF!,"AAAAAH+P/4k=")</f>
        <v>#REF!</v>
      </c>
      <c r="EI234" t="e">
        <f>AND(#REF!,"AAAAAH+P/4o=")</f>
        <v>#REF!</v>
      </c>
      <c r="EJ234" t="e">
        <f>AND(#REF!,"AAAAAH+P/4s=")</f>
        <v>#REF!</v>
      </c>
      <c r="EK234" t="e">
        <f>AND(#REF!,"AAAAAH+P/4w=")</f>
        <v>#REF!</v>
      </c>
      <c r="EL234" t="e">
        <f>AND(#REF!,"AAAAAH+P/40=")</f>
        <v>#REF!</v>
      </c>
      <c r="EM234" t="e">
        <f>AND(#REF!,"AAAAAH+P/44=")</f>
        <v>#REF!</v>
      </c>
      <c r="EN234" t="e">
        <f>AND(#REF!,"AAAAAH+P/48=")</f>
        <v>#REF!</v>
      </c>
      <c r="EO234" t="e">
        <f>IF(#REF!,"AAAAAH+P/5A=",0)</f>
        <v>#REF!</v>
      </c>
      <c r="EP234" t="e">
        <f>AND(#REF!,"AAAAAH+P/5E=")</f>
        <v>#REF!</v>
      </c>
      <c r="EQ234" t="e">
        <f>AND(#REF!,"AAAAAH+P/5I=")</f>
        <v>#REF!</v>
      </c>
      <c r="ER234" t="e">
        <f>AND(#REF!,"AAAAAH+P/5M=")</f>
        <v>#REF!</v>
      </c>
      <c r="ES234" t="e">
        <f>AND(#REF!,"AAAAAH+P/5Q=")</f>
        <v>#REF!</v>
      </c>
      <c r="ET234" t="e">
        <f>AND(#REF!,"AAAAAH+P/5U=")</f>
        <v>#REF!</v>
      </c>
      <c r="EU234" t="e">
        <f>AND(#REF!,"AAAAAH+P/5Y=")</f>
        <v>#REF!</v>
      </c>
      <c r="EV234" t="e">
        <f>AND(#REF!,"AAAAAH+P/5c=")</f>
        <v>#REF!</v>
      </c>
      <c r="EW234" t="e">
        <f>AND(#REF!,"AAAAAH+P/5g=")</f>
        <v>#REF!</v>
      </c>
      <c r="EX234" t="e">
        <f>AND(#REF!,"AAAAAH+P/5k=")</f>
        <v>#REF!</v>
      </c>
      <c r="EY234" t="e">
        <f>AND(#REF!,"AAAAAH+P/5o=")</f>
        <v>#REF!</v>
      </c>
      <c r="EZ234" t="e">
        <f>IF(#REF!,"AAAAAH+P/5s=",0)</f>
        <v>#REF!</v>
      </c>
      <c r="FA234" t="e">
        <f>AND(#REF!,"AAAAAH+P/5w=")</f>
        <v>#REF!</v>
      </c>
      <c r="FB234" t="e">
        <f>AND(#REF!,"AAAAAH+P/50=")</f>
        <v>#REF!</v>
      </c>
      <c r="FC234" t="e">
        <f>AND(#REF!,"AAAAAH+P/54=")</f>
        <v>#REF!</v>
      </c>
      <c r="FD234" t="e">
        <f>AND(#REF!,"AAAAAH+P/58=")</f>
        <v>#REF!</v>
      </c>
      <c r="FE234" t="e">
        <f>AND(#REF!,"AAAAAH+P/6A=")</f>
        <v>#REF!</v>
      </c>
      <c r="FF234" t="e">
        <f>AND(#REF!,"AAAAAH+P/6E=")</f>
        <v>#REF!</v>
      </c>
      <c r="FG234" t="e">
        <f>AND(#REF!,"AAAAAH+P/6I=")</f>
        <v>#REF!</v>
      </c>
      <c r="FH234" t="e">
        <f>AND(#REF!,"AAAAAH+P/6M=")</f>
        <v>#REF!</v>
      </c>
      <c r="FI234" t="e">
        <f>AND(#REF!,"AAAAAH+P/6Q=")</f>
        <v>#REF!</v>
      </c>
      <c r="FJ234" t="e">
        <f>AND(#REF!,"AAAAAH+P/6U=")</f>
        <v>#REF!</v>
      </c>
      <c r="FK234" t="e">
        <f>IF(#REF!,"AAAAAH+P/6Y=",0)</f>
        <v>#REF!</v>
      </c>
      <c r="FL234" t="e">
        <f>AND(#REF!,"AAAAAH+P/6c=")</f>
        <v>#REF!</v>
      </c>
      <c r="FM234" t="e">
        <f>AND(#REF!,"AAAAAH+P/6g=")</f>
        <v>#REF!</v>
      </c>
      <c r="FN234" t="e">
        <f>AND(#REF!,"AAAAAH+P/6k=")</f>
        <v>#REF!</v>
      </c>
      <c r="FO234" t="e">
        <f>AND(#REF!,"AAAAAH+P/6o=")</f>
        <v>#REF!</v>
      </c>
      <c r="FP234" t="e">
        <f>AND(#REF!,"AAAAAH+P/6s=")</f>
        <v>#REF!</v>
      </c>
      <c r="FQ234" t="e">
        <f>AND(#REF!,"AAAAAH+P/6w=")</f>
        <v>#REF!</v>
      </c>
      <c r="FR234" t="e">
        <f>AND(#REF!,"AAAAAH+P/60=")</f>
        <v>#REF!</v>
      </c>
      <c r="FS234" t="e">
        <f>AND(#REF!,"AAAAAH+P/64=")</f>
        <v>#REF!</v>
      </c>
      <c r="FT234" t="e">
        <f>AND(#REF!,"AAAAAH+P/68=")</f>
        <v>#REF!</v>
      </c>
      <c r="FU234" t="e">
        <f>AND(#REF!,"AAAAAH+P/7A=")</f>
        <v>#REF!</v>
      </c>
      <c r="FV234" t="e">
        <f>IF(#REF!,"AAAAAH+P/7E=",0)</f>
        <v>#REF!</v>
      </c>
      <c r="FW234" t="e">
        <f>AND(#REF!,"AAAAAH+P/7I=")</f>
        <v>#REF!</v>
      </c>
      <c r="FX234" t="e">
        <f>AND(#REF!,"AAAAAH+P/7M=")</f>
        <v>#REF!</v>
      </c>
      <c r="FY234" t="e">
        <f>AND(#REF!,"AAAAAH+P/7Q=")</f>
        <v>#REF!</v>
      </c>
      <c r="FZ234" t="e">
        <f>AND(#REF!,"AAAAAH+P/7U=")</f>
        <v>#REF!</v>
      </c>
      <c r="GA234" t="e">
        <f>AND(#REF!,"AAAAAH+P/7Y=")</f>
        <v>#REF!</v>
      </c>
      <c r="GB234" t="e">
        <f>AND(#REF!,"AAAAAH+P/7c=")</f>
        <v>#REF!</v>
      </c>
      <c r="GC234" t="e">
        <f>AND(#REF!,"AAAAAH+P/7g=")</f>
        <v>#REF!</v>
      </c>
      <c r="GD234" t="e">
        <f>AND(#REF!,"AAAAAH+P/7k=")</f>
        <v>#REF!</v>
      </c>
      <c r="GE234" t="e">
        <f>AND(#REF!,"AAAAAH+P/7o=")</f>
        <v>#REF!</v>
      </c>
      <c r="GF234" t="e">
        <f>AND(#REF!,"AAAAAH+P/7s=")</f>
        <v>#REF!</v>
      </c>
      <c r="GG234" t="e">
        <f>IF(#REF!,"AAAAAH+P/7w=",0)</f>
        <v>#REF!</v>
      </c>
      <c r="GH234" t="e">
        <f>AND(#REF!,"AAAAAH+P/70=")</f>
        <v>#REF!</v>
      </c>
      <c r="GI234" t="e">
        <f>AND(#REF!,"AAAAAH+P/74=")</f>
        <v>#REF!</v>
      </c>
      <c r="GJ234" t="e">
        <f>AND(#REF!,"AAAAAH+P/78=")</f>
        <v>#REF!</v>
      </c>
      <c r="GK234" t="e">
        <f>AND(#REF!,"AAAAAH+P/8A=")</f>
        <v>#REF!</v>
      </c>
      <c r="GL234" t="e">
        <f>AND(#REF!,"AAAAAH+P/8E=")</f>
        <v>#REF!</v>
      </c>
      <c r="GM234" t="e">
        <f>AND(#REF!,"AAAAAH+P/8I=")</f>
        <v>#REF!</v>
      </c>
      <c r="GN234" t="e">
        <f>AND(#REF!,"AAAAAH+P/8M=")</f>
        <v>#REF!</v>
      </c>
      <c r="GO234" t="e">
        <f>AND(#REF!,"AAAAAH+P/8Q=")</f>
        <v>#REF!</v>
      </c>
      <c r="GP234" t="e">
        <f>AND(#REF!,"AAAAAH+P/8U=")</f>
        <v>#REF!</v>
      </c>
      <c r="GQ234" t="e">
        <f>AND(#REF!,"AAAAAH+P/8Y=")</f>
        <v>#REF!</v>
      </c>
      <c r="GR234" t="e">
        <f>IF(#REF!,"AAAAAH+P/8c=",0)</f>
        <v>#REF!</v>
      </c>
      <c r="GS234" t="e">
        <f>AND(#REF!,"AAAAAH+P/8g=")</f>
        <v>#REF!</v>
      </c>
      <c r="GT234" t="e">
        <f>AND(#REF!,"AAAAAH+P/8k=")</f>
        <v>#REF!</v>
      </c>
      <c r="GU234" t="e">
        <f>AND(#REF!,"AAAAAH+P/8o=")</f>
        <v>#REF!</v>
      </c>
      <c r="GV234" t="e">
        <f>AND(#REF!,"AAAAAH+P/8s=")</f>
        <v>#REF!</v>
      </c>
      <c r="GW234" t="e">
        <f>AND(#REF!,"AAAAAH+P/8w=")</f>
        <v>#REF!</v>
      </c>
      <c r="GX234" t="e">
        <f>AND(#REF!,"AAAAAH+P/80=")</f>
        <v>#REF!</v>
      </c>
      <c r="GY234" t="e">
        <f>AND(#REF!,"AAAAAH+P/84=")</f>
        <v>#REF!</v>
      </c>
      <c r="GZ234" t="e">
        <f>AND(#REF!,"AAAAAH+P/88=")</f>
        <v>#REF!</v>
      </c>
      <c r="HA234" t="e">
        <f>AND(#REF!,"AAAAAH+P/9A=")</f>
        <v>#REF!</v>
      </c>
      <c r="HB234" t="e">
        <f>AND(#REF!,"AAAAAH+P/9E=")</f>
        <v>#REF!</v>
      </c>
      <c r="HC234" t="e">
        <f>IF(#REF!,"AAAAAH+P/9I=",0)</f>
        <v>#REF!</v>
      </c>
      <c r="HD234" t="e">
        <f>AND(#REF!,"AAAAAH+P/9M=")</f>
        <v>#REF!</v>
      </c>
      <c r="HE234" t="e">
        <f>AND(#REF!,"AAAAAH+P/9Q=")</f>
        <v>#REF!</v>
      </c>
      <c r="HF234" t="e">
        <f>AND(#REF!,"AAAAAH+P/9U=")</f>
        <v>#REF!</v>
      </c>
      <c r="HG234" t="e">
        <f>AND(#REF!,"AAAAAH+P/9Y=")</f>
        <v>#REF!</v>
      </c>
      <c r="HH234" t="e">
        <f>AND(#REF!,"AAAAAH+P/9c=")</f>
        <v>#REF!</v>
      </c>
      <c r="HI234" t="e">
        <f>AND(#REF!,"AAAAAH+P/9g=")</f>
        <v>#REF!</v>
      </c>
      <c r="HJ234" t="e">
        <f>AND(#REF!,"AAAAAH+P/9k=")</f>
        <v>#REF!</v>
      </c>
      <c r="HK234" t="e">
        <f>AND(#REF!,"AAAAAH+P/9o=")</f>
        <v>#REF!</v>
      </c>
      <c r="HL234" t="e">
        <f>AND(#REF!,"AAAAAH+P/9s=")</f>
        <v>#REF!</v>
      </c>
      <c r="HM234" t="e">
        <f>AND(#REF!,"AAAAAH+P/9w=")</f>
        <v>#REF!</v>
      </c>
      <c r="HN234" t="e">
        <f>IF(#REF!,"AAAAAH+P/90=",0)</f>
        <v>#REF!</v>
      </c>
      <c r="HO234" t="e">
        <f>AND(#REF!,"AAAAAH+P/94=")</f>
        <v>#REF!</v>
      </c>
      <c r="HP234" t="e">
        <f>AND(#REF!,"AAAAAH+P/98=")</f>
        <v>#REF!</v>
      </c>
      <c r="HQ234" t="e">
        <f>AND(#REF!,"AAAAAH+P/+A=")</f>
        <v>#REF!</v>
      </c>
      <c r="HR234" t="e">
        <f>AND(#REF!,"AAAAAH+P/+E=")</f>
        <v>#REF!</v>
      </c>
      <c r="HS234" t="e">
        <f>AND(#REF!,"AAAAAH+P/+I=")</f>
        <v>#REF!</v>
      </c>
      <c r="HT234" t="e">
        <f>AND(#REF!,"AAAAAH+P/+M=")</f>
        <v>#REF!</v>
      </c>
      <c r="HU234" t="e">
        <f>AND(#REF!,"AAAAAH+P/+Q=")</f>
        <v>#REF!</v>
      </c>
      <c r="HV234" t="e">
        <f>AND(#REF!,"AAAAAH+P/+U=")</f>
        <v>#REF!</v>
      </c>
      <c r="HW234" t="e">
        <f>AND(#REF!,"AAAAAH+P/+Y=")</f>
        <v>#REF!</v>
      </c>
      <c r="HX234" t="e">
        <f>AND(#REF!,"AAAAAH+P/+c=")</f>
        <v>#REF!</v>
      </c>
      <c r="HY234" t="e">
        <f>IF(#REF!,"AAAAAH+P/+g=",0)</f>
        <v>#REF!</v>
      </c>
      <c r="HZ234" t="e">
        <f>AND(#REF!,"AAAAAH+P/+k=")</f>
        <v>#REF!</v>
      </c>
      <c r="IA234" t="e">
        <f>AND(#REF!,"AAAAAH+P/+o=")</f>
        <v>#REF!</v>
      </c>
      <c r="IB234" t="e">
        <f>AND(#REF!,"AAAAAH+P/+s=")</f>
        <v>#REF!</v>
      </c>
      <c r="IC234" t="e">
        <f>AND(#REF!,"AAAAAH+P/+w=")</f>
        <v>#REF!</v>
      </c>
      <c r="ID234" t="e">
        <f>AND(#REF!,"AAAAAH+P/+0=")</f>
        <v>#REF!</v>
      </c>
      <c r="IE234" t="e">
        <f>AND(#REF!,"AAAAAH+P/+4=")</f>
        <v>#REF!</v>
      </c>
      <c r="IF234" t="e">
        <f>AND(#REF!,"AAAAAH+P/+8=")</f>
        <v>#REF!</v>
      </c>
      <c r="IG234" t="e">
        <f>AND(#REF!,"AAAAAH+P//A=")</f>
        <v>#REF!</v>
      </c>
      <c r="IH234" t="e">
        <f>AND(#REF!,"AAAAAH+P//E=")</f>
        <v>#REF!</v>
      </c>
      <c r="II234" t="e">
        <f>AND(#REF!,"AAAAAH+P//I=")</f>
        <v>#REF!</v>
      </c>
      <c r="IJ234" t="e">
        <f>IF(#REF!,"AAAAAH+P//M=",0)</f>
        <v>#REF!</v>
      </c>
      <c r="IK234" t="e">
        <f>AND(#REF!,"AAAAAH+P//Q=")</f>
        <v>#REF!</v>
      </c>
      <c r="IL234" t="e">
        <f>AND(#REF!,"AAAAAH+P//U=")</f>
        <v>#REF!</v>
      </c>
      <c r="IM234" t="e">
        <f>AND(#REF!,"AAAAAH+P//Y=")</f>
        <v>#REF!</v>
      </c>
      <c r="IN234" t="e">
        <f>AND(#REF!,"AAAAAH+P//c=")</f>
        <v>#REF!</v>
      </c>
      <c r="IO234" t="e">
        <f>AND(#REF!,"AAAAAH+P//g=")</f>
        <v>#REF!</v>
      </c>
      <c r="IP234" t="e">
        <f>AND(#REF!,"AAAAAH+P//k=")</f>
        <v>#REF!</v>
      </c>
      <c r="IQ234" t="e">
        <f>AND(#REF!,"AAAAAH+P//o=")</f>
        <v>#REF!</v>
      </c>
      <c r="IR234" t="e">
        <f>AND(#REF!,"AAAAAH+P//s=")</f>
        <v>#REF!</v>
      </c>
      <c r="IS234" t="e">
        <f>AND(#REF!,"AAAAAH+P//w=")</f>
        <v>#REF!</v>
      </c>
      <c r="IT234" t="e">
        <f>AND(#REF!,"AAAAAH+P//0=")</f>
        <v>#REF!</v>
      </c>
      <c r="IU234" t="e">
        <f>IF(#REF!,"AAAAAH+P//4=",0)</f>
        <v>#REF!</v>
      </c>
      <c r="IV234" t="e">
        <f>AND(#REF!,"AAAAAH+P//8=")</f>
        <v>#REF!</v>
      </c>
    </row>
    <row r="235" spans="1:256" x14ac:dyDescent="0.25">
      <c r="A235" t="e">
        <f>AND(#REF!,"AAAAAE2fuAA=")</f>
        <v>#REF!</v>
      </c>
      <c r="B235" t="e">
        <f>AND(#REF!,"AAAAAE2fuAE=")</f>
        <v>#REF!</v>
      </c>
      <c r="C235" t="e">
        <f>AND(#REF!,"AAAAAE2fuAI=")</f>
        <v>#REF!</v>
      </c>
      <c r="D235" t="e">
        <f>AND(#REF!,"AAAAAE2fuAM=")</f>
        <v>#REF!</v>
      </c>
      <c r="E235" t="e">
        <f>AND(#REF!,"AAAAAE2fuAQ=")</f>
        <v>#REF!</v>
      </c>
      <c r="F235" t="e">
        <f>AND(#REF!,"AAAAAE2fuAU=")</f>
        <v>#REF!</v>
      </c>
      <c r="G235" t="e">
        <f>AND(#REF!,"AAAAAE2fuAY=")</f>
        <v>#REF!</v>
      </c>
      <c r="H235" t="e">
        <f>AND(#REF!,"AAAAAE2fuAc=")</f>
        <v>#REF!</v>
      </c>
      <c r="I235" t="e">
        <f>AND(#REF!,"AAAAAE2fuAg=")</f>
        <v>#REF!</v>
      </c>
      <c r="J235" t="e">
        <f>IF(#REF!,"AAAAAE2fuAk=",0)</f>
        <v>#REF!</v>
      </c>
      <c r="K235" t="e">
        <f>AND(#REF!,"AAAAAE2fuAo=")</f>
        <v>#REF!</v>
      </c>
      <c r="L235" t="e">
        <f>AND(#REF!,"AAAAAE2fuAs=")</f>
        <v>#REF!</v>
      </c>
      <c r="M235" t="e">
        <f>AND(#REF!,"AAAAAE2fuAw=")</f>
        <v>#REF!</v>
      </c>
      <c r="N235" t="e">
        <f>AND(#REF!,"AAAAAE2fuA0=")</f>
        <v>#REF!</v>
      </c>
      <c r="O235" t="e">
        <f>AND(#REF!,"AAAAAE2fuA4=")</f>
        <v>#REF!</v>
      </c>
      <c r="P235" t="e">
        <f>AND(#REF!,"AAAAAE2fuA8=")</f>
        <v>#REF!</v>
      </c>
      <c r="Q235" t="e">
        <f>AND(#REF!,"AAAAAE2fuBA=")</f>
        <v>#REF!</v>
      </c>
      <c r="R235" t="e">
        <f>AND(#REF!,"AAAAAE2fuBE=")</f>
        <v>#REF!</v>
      </c>
      <c r="S235" t="e">
        <f>AND(#REF!,"AAAAAE2fuBI=")</f>
        <v>#REF!</v>
      </c>
      <c r="T235" t="e">
        <f>AND(#REF!,"AAAAAE2fuBM=")</f>
        <v>#REF!</v>
      </c>
      <c r="U235" t="e">
        <f>IF(#REF!,"AAAAAE2fuBQ=",0)</f>
        <v>#REF!</v>
      </c>
      <c r="V235" t="e">
        <f>AND(#REF!,"AAAAAE2fuBU=")</f>
        <v>#REF!</v>
      </c>
      <c r="W235" t="e">
        <f>AND(#REF!,"AAAAAE2fuBY=")</f>
        <v>#REF!</v>
      </c>
      <c r="X235" t="e">
        <f>AND(#REF!,"AAAAAE2fuBc=")</f>
        <v>#REF!</v>
      </c>
      <c r="Y235" t="e">
        <f>AND(#REF!,"AAAAAE2fuBg=")</f>
        <v>#REF!</v>
      </c>
      <c r="Z235" t="e">
        <f>AND(#REF!,"AAAAAE2fuBk=")</f>
        <v>#REF!</v>
      </c>
      <c r="AA235" t="e">
        <f>AND(#REF!,"AAAAAE2fuBo=")</f>
        <v>#REF!</v>
      </c>
      <c r="AB235" t="e">
        <f>AND(#REF!,"AAAAAE2fuBs=")</f>
        <v>#REF!</v>
      </c>
      <c r="AC235" t="e">
        <f>AND(#REF!,"AAAAAE2fuBw=")</f>
        <v>#REF!</v>
      </c>
      <c r="AD235" t="e">
        <f>AND(#REF!,"AAAAAE2fuB0=")</f>
        <v>#REF!</v>
      </c>
      <c r="AE235" t="e">
        <f>AND(#REF!,"AAAAAE2fuB4=")</f>
        <v>#REF!</v>
      </c>
      <c r="AF235" t="e">
        <f>IF(#REF!,"AAAAAE2fuB8=",0)</f>
        <v>#REF!</v>
      </c>
      <c r="AG235" t="e">
        <f>AND(#REF!,"AAAAAE2fuCA=")</f>
        <v>#REF!</v>
      </c>
      <c r="AH235" t="e">
        <f>AND(#REF!,"AAAAAE2fuCE=")</f>
        <v>#REF!</v>
      </c>
      <c r="AI235" t="e">
        <f>AND(#REF!,"AAAAAE2fuCI=")</f>
        <v>#REF!</v>
      </c>
      <c r="AJ235" t="e">
        <f>AND(#REF!,"AAAAAE2fuCM=")</f>
        <v>#REF!</v>
      </c>
      <c r="AK235" t="e">
        <f>AND(#REF!,"AAAAAE2fuCQ=")</f>
        <v>#REF!</v>
      </c>
      <c r="AL235" t="e">
        <f>AND(#REF!,"AAAAAE2fuCU=")</f>
        <v>#REF!</v>
      </c>
      <c r="AM235" t="e">
        <f>AND(#REF!,"AAAAAE2fuCY=")</f>
        <v>#REF!</v>
      </c>
      <c r="AN235" t="e">
        <f>AND(#REF!,"AAAAAE2fuCc=")</f>
        <v>#REF!</v>
      </c>
      <c r="AO235" t="e">
        <f>AND(#REF!,"AAAAAE2fuCg=")</f>
        <v>#REF!</v>
      </c>
      <c r="AP235" t="e">
        <f>AND(#REF!,"AAAAAE2fuCk=")</f>
        <v>#REF!</v>
      </c>
      <c r="AQ235" t="e">
        <f>IF(#REF!,"AAAAAE2fuCo=",0)</f>
        <v>#REF!</v>
      </c>
      <c r="AR235" t="e">
        <f>AND(#REF!,"AAAAAE2fuCs=")</f>
        <v>#REF!</v>
      </c>
      <c r="AS235" t="e">
        <f>AND(#REF!,"AAAAAE2fuCw=")</f>
        <v>#REF!</v>
      </c>
      <c r="AT235" t="e">
        <f>AND(#REF!,"AAAAAE2fuC0=")</f>
        <v>#REF!</v>
      </c>
      <c r="AU235" t="e">
        <f>AND(#REF!,"AAAAAE2fuC4=")</f>
        <v>#REF!</v>
      </c>
      <c r="AV235" t="e">
        <f>AND(#REF!,"AAAAAE2fuC8=")</f>
        <v>#REF!</v>
      </c>
      <c r="AW235" t="e">
        <f>AND(#REF!,"AAAAAE2fuDA=")</f>
        <v>#REF!</v>
      </c>
      <c r="AX235" t="e">
        <f>AND(#REF!,"AAAAAE2fuDE=")</f>
        <v>#REF!</v>
      </c>
      <c r="AY235" t="e">
        <f>AND(#REF!,"AAAAAE2fuDI=")</f>
        <v>#REF!</v>
      </c>
      <c r="AZ235" t="e">
        <f>AND(#REF!,"AAAAAE2fuDM=")</f>
        <v>#REF!</v>
      </c>
      <c r="BA235" t="e">
        <f>AND(#REF!,"AAAAAE2fuDQ=")</f>
        <v>#REF!</v>
      </c>
      <c r="BB235" t="e">
        <f>IF(#REF!,"AAAAAE2fuDU=",0)</f>
        <v>#REF!</v>
      </c>
      <c r="BC235" t="e">
        <f>AND(#REF!,"AAAAAE2fuDY=")</f>
        <v>#REF!</v>
      </c>
      <c r="BD235" t="e">
        <f>AND(#REF!,"AAAAAE2fuDc=")</f>
        <v>#REF!</v>
      </c>
      <c r="BE235" t="e">
        <f>AND(#REF!,"AAAAAE2fuDg=")</f>
        <v>#REF!</v>
      </c>
      <c r="BF235" t="e">
        <f>AND(#REF!,"AAAAAE2fuDk=")</f>
        <v>#REF!</v>
      </c>
      <c r="BG235" t="e">
        <f>AND(#REF!,"AAAAAE2fuDo=")</f>
        <v>#REF!</v>
      </c>
      <c r="BH235" t="e">
        <f>AND(#REF!,"AAAAAE2fuDs=")</f>
        <v>#REF!</v>
      </c>
      <c r="BI235" t="e">
        <f>AND(#REF!,"AAAAAE2fuDw=")</f>
        <v>#REF!</v>
      </c>
      <c r="BJ235" t="e">
        <f>AND(#REF!,"AAAAAE2fuD0=")</f>
        <v>#REF!</v>
      </c>
      <c r="BK235" t="e">
        <f>AND(#REF!,"AAAAAE2fuD4=")</f>
        <v>#REF!</v>
      </c>
      <c r="BL235" t="e">
        <f>AND(#REF!,"AAAAAE2fuD8=")</f>
        <v>#REF!</v>
      </c>
      <c r="BM235" t="e">
        <f>IF(#REF!,"AAAAAE2fuEA=",0)</f>
        <v>#REF!</v>
      </c>
      <c r="BN235" t="e">
        <f>AND(#REF!,"AAAAAE2fuEE=")</f>
        <v>#REF!</v>
      </c>
      <c r="BO235" t="e">
        <f>AND(#REF!,"AAAAAE2fuEI=")</f>
        <v>#REF!</v>
      </c>
      <c r="BP235" t="e">
        <f>AND(#REF!,"AAAAAE2fuEM=")</f>
        <v>#REF!</v>
      </c>
      <c r="BQ235" t="e">
        <f>AND(#REF!,"AAAAAE2fuEQ=")</f>
        <v>#REF!</v>
      </c>
      <c r="BR235" t="e">
        <f>AND(#REF!,"AAAAAE2fuEU=")</f>
        <v>#REF!</v>
      </c>
      <c r="BS235" t="e">
        <f>AND(#REF!,"AAAAAE2fuEY=")</f>
        <v>#REF!</v>
      </c>
      <c r="BT235" t="e">
        <f>AND(#REF!,"AAAAAE2fuEc=")</f>
        <v>#REF!</v>
      </c>
      <c r="BU235" t="e">
        <f>AND(#REF!,"AAAAAE2fuEg=")</f>
        <v>#REF!</v>
      </c>
      <c r="BV235" t="e">
        <f>AND(#REF!,"AAAAAE2fuEk=")</f>
        <v>#REF!</v>
      </c>
      <c r="BW235" t="e">
        <f>AND(#REF!,"AAAAAE2fuEo=")</f>
        <v>#REF!</v>
      </c>
      <c r="BX235" t="e">
        <f>IF(#REF!,"AAAAAE2fuEs=",0)</f>
        <v>#REF!</v>
      </c>
      <c r="BY235" t="e">
        <f>AND(#REF!,"AAAAAE2fuEw=")</f>
        <v>#REF!</v>
      </c>
      <c r="BZ235" t="e">
        <f>AND(#REF!,"AAAAAE2fuE0=")</f>
        <v>#REF!</v>
      </c>
      <c r="CA235" t="e">
        <f>AND(#REF!,"AAAAAE2fuE4=")</f>
        <v>#REF!</v>
      </c>
      <c r="CB235" t="e">
        <f>AND(#REF!,"AAAAAE2fuE8=")</f>
        <v>#REF!</v>
      </c>
      <c r="CC235" t="e">
        <f>AND(#REF!,"AAAAAE2fuFA=")</f>
        <v>#REF!</v>
      </c>
      <c r="CD235" t="e">
        <f>AND(#REF!,"AAAAAE2fuFE=")</f>
        <v>#REF!</v>
      </c>
      <c r="CE235" t="e">
        <f>AND(#REF!,"AAAAAE2fuFI=")</f>
        <v>#REF!</v>
      </c>
      <c r="CF235" t="e">
        <f>AND(#REF!,"AAAAAE2fuFM=")</f>
        <v>#REF!</v>
      </c>
      <c r="CG235" t="e">
        <f>AND(#REF!,"AAAAAE2fuFQ=")</f>
        <v>#REF!</v>
      </c>
      <c r="CH235" t="e">
        <f>AND(#REF!,"AAAAAE2fuFU=")</f>
        <v>#REF!</v>
      </c>
      <c r="CI235" t="e">
        <f>IF(#REF!,"AAAAAE2fuFY=",0)</f>
        <v>#REF!</v>
      </c>
      <c r="CJ235" t="e">
        <f>AND(#REF!,"AAAAAE2fuFc=")</f>
        <v>#REF!</v>
      </c>
      <c r="CK235" t="e">
        <f>AND(#REF!,"AAAAAE2fuFg=")</f>
        <v>#REF!</v>
      </c>
      <c r="CL235" t="e">
        <f>AND(#REF!,"AAAAAE2fuFk=")</f>
        <v>#REF!</v>
      </c>
      <c r="CM235" t="e">
        <f>AND(#REF!,"AAAAAE2fuFo=")</f>
        <v>#REF!</v>
      </c>
      <c r="CN235" t="e">
        <f>AND(#REF!,"AAAAAE2fuFs=")</f>
        <v>#REF!</v>
      </c>
      <c r="CO235" t="e">
        <f>AND(#REF!,"AAAAAE2fuFw=")</f>
        <v>#REF!</v>
      </c>
      <c r="CP235" t="e">
        <f>AND(#REF!,"AAAAAE2fuF0=")</f>
        <v>#REF!</v>
      </c>
      <c r="CQ235" t="e">
        <f>AND(#REF!,"AAAAAE2fuF4=")</f>
        <v>#REF!</v>
      </c>
      <c r="CR235" t="e">
        <f>AND(#REF!,"AAAAAE2fuF8=")</f>
        <v>#REF!</v>
      </c>
      <c r="CS235" t="e">
        <f>AND(#REF!,"AAAAAE2fuGA=")</f>
        <v>#REF!</v>
      </c>
      <c r="CT235" t="e">
        <f>IF(#REF!,"AAAAAE2fuGE=",0)</f>
        <v>#REF!</v>
      </c>
      <c r="CU235" t="e">
        <f>AND(#REF!,"AAAAAE2fuGI=")</f>
        <v>#REF!</v>
      </c>
      <c r="CV235" t="e">
        <f>AND(#REF!,"AAAAAE2fuGM=")</f>
        <v>#REF!</v>
      </c>
      <c r="CW235" t="e">
        <f>AND(#REF!,"AAAAAE2fuGQ=")</f>
        <v>#REF!</v>
      </c>
      <c r="CX235" t="e">
        <f>AND(#REF!,"AAAAAE2fuGU=")</f>
        <v>#REF!</v>
      </c>
      <c r="CY235" t="e">
        <f>AND(#REF!,"AAAAAE2fuGY=")</f>
        <v>#REF!</v>
      </c>
      <c r="CZ235" t="e">
        <f>AND(#REF!,"AAAAAE2fuGc=")</f>
        <v>#REF!</v>
      </c>
      <c r="DA235" t="e">
        <f>AND(#REF!,"AAAAAE2fuGg=")</f>
        <v>#REF!</v>
      </c>
      <c r="DB235" t="e">
        <f>AND(#REF!,"AAAAAE2fuGk=")</f>
        <v>#REF!</v>
      </c>
      <c r="DC235" t="e">
        <f>AND(#REF!,"AAAAAE2fuGo=")</f>
        <v>#REF!</v>
      </c>
      <c r="DD235" t="e">
        <f>AND(#REF!,"AAAAAE2fuGs=")</f>
        <v>#REF!</v>
      </c>
      <c r="DE235" t="e">
        <f>IF(#REF!,"AAAAAE2fuGw=",0)</f>
        <v>#REF!</v>
      </c>
      <c r="DF235" t="e">
        <f>AND(#REF!,"AAAAAE2fuG0=")</f>
        <v>#REF!</v>
      </c>
      <c r="DG235" t="e">
        <f>AND(#REF!,"AAAAAE2fuG4=")</f>
        <v>#REF!</v>
      </c>
      <c r="DH235" t="e">
        <f>AND(#REF!,"AAAAAE2fuG8=")</f>
        <v>#REF!</v>
      </c>
      <c r="DI235" t="e">
        <f>AND(#REF!,"AAAAAE2fuHA=")</f>
        <v>#REF!</v>
      </c>
      <c r="DJ235" t="e">
        <f>AND(#REF!,"AAAAAE2fuHE=")</f>
        <v>#REF!</v>
      </c>
      <c r="DK235" t="e">
        <f>AND(#REF!,"AAAAAE2fuHI=")</f>
        <v>#REF!</v>
      </c>
      <c r="DL235" t="e">
        <f>AND(#REF!,"AAAAAE2fuHM=")</f>
        <v>#REF!</v>
      </c>
      <c r="DM235" t="e">
        <f>AND(#REF!,"AAAAAE2fuHQ=")</f>
        <v>#REF!</v>
      </c>
      <c r="DN235" t="e">
        <f>AND(#REF!,"AAAAAE2fuHU=")</f>
        <v>#REF!</v>
      </c>
      <c r="DO235" t="e">
        <f>AND(#REF!,"AAAAAE2fuHY=")</f>
        <v>#REF!</v>
      </c>
      <c r="DP235" t="e">
        <f>IF(#REF!,"AAAAAE2fuHc=",0)</f>
        <v>#REF!</v>
      </c>
      <c r="DQ235" t="e">
        <f>AND(#REF!,"AAAAAE2fuHg=")</f>
        <v>#REF!</v>
      </c>
      <c r="DR235" t="e">
        <f>AND(#REF!,"AAAAAE2fuHk=")</f>
        <v>#REF!</v>
      </c>
      <c r="DS235" t="e">
        <f>AND(#REF!,"AAAAAE2fuHo=")</f>
        <v>#REF!</v>
      </c>
      <c r="DT235" t="e">
        <f>AND(#REF!,"AAAAAE2fuHs=")</f>
        <v>#REF!</v>
      </c>
      <c r="DU235" t="e">
        <f>AND(#REF!,"AAAAAE2fuHw=")</f>
        <v>#REF!</v>
      </c>
      <c r="DV235" t="e">
        <f>AND(#REF!,"AAAAAE2fuH0=")</f>
        <v>#REF!</v>
      </c>
      <c r="DW235" t="e">
        <f>AND(#REF!,"AAAAAE2fuH4=")</f>
        <v>#REF!</v>
      </c>
      <c r="DX235" t="e">
        <f>AND(#REF!,"AAAAAE2fuH8=")</f>
        <v>#REF!</v>
      </c>
      <c r="DY235" t="e">
        <f>AND(#REF!,"AAAAAE2fuIA=")</f>
        <v>#REF!</v>
      </c>
      <c r="DZ235" t="e">
        <f>AND(#REF!,"AAAAAE2fuIE=")</f>
        <v>#REF!</v>
      </c>
      <c r="EA235" t="e">
        <f>IF(#REF!,"AAAAAE2fuII=",0)</f>
        <v>#REF!</v>
      </c>
      <c r="EB235" t="e">
        <f>AND(#REF!,"AAAAAE2fuIM=")</f>
        <v>#REF!</v>
      </c>
      <c r="EC235" t="e">
        <f>AND(#REF!,"AAAAAE2fuIQ=")</f>
        <v>#REF!</v>
      </c>
      <c r="ED235" t="e">
        <f>AND(#REF!,"AAAAAE2fuIU=")</f>
        <v>#REF!</v>
      </c>
      <c r="EE235" t="e">
        <f>AND(#REF!,"AAAAAE2fuIY=")</f>
        <v>#REF!</v>
      </c>
      <c r="EF235" t="e">
        <f>AND(#REF!,"AAAAAE2fuIc=")</f>
        <v>#REF!</v>
      </c>
      <c r="EG235" t="e">
        <f>AND(#REF!,"AAAAAE2fuIg=")</f>
        <v>#REF!</v>
      </c>
      <c r="EH235" t="e">
        <f>AND(#REF!,"AAAAAE2fuIk=")</f>
        <v>#REF!</v>
      </c>
      <c r="EI235" t="e">
        <f>AND(#REF!,"AAAAAE2fuIo=")</f>
        <v>#REF!</v>
      </c>
      <c r="EJ235" t="e">
        <f>AND(#REF!,"AAAAAE2fuIs=")</f>
        <v>#REF!</v>
      </c>
      <c r="EK235" t="e">
        <f>AND(#REF!,"AAAAAE2fuIw=")</f>
        <v>#REF!</v>
      </c>
      <c r="EL235" t="e">
        <f>IF(#REF!,"AAAAAE2fuI0=",0)</f>
        <v>#REF!</v>
      </c>
      <c r="EM235" t="e">
        <f>AND(#REF!,"AAAAAE2fuI4=")</f>
        <v>#REF!</v>
      </c>
      <c r="EN235" t="e">
        <f>AND(#REF!,"AAAAAE2fuI8=")</f>
        <v>#REF!</v>
      </c>
      <c r="EO235" t="e">
        <f>AND(#REF!,"AAAAAE2fuJA=")</f>
        <v>#REF!</v>
      </c>
      <c r="EP235" t="e">
        <f>AND(#REF!,"AAAAAE2fuJE=")</f>
        <v>#REF!</v>
      </c>
      <c r="EQ235" t="e">
        <f>AND(#REF!,"AAAAAE2fuJI=")</f>
        <v>#REF!</v>
      </c>
      <c r="ER235" t="e">
        <f>AND(#REF!,"AAAAAE2fuJM=")</f>
        <v>#REF!</v>
      </c>
      <c r="ES235" t="e">
        <f>AND(#REF!,"AAAAAE2fuJQ=")</f>
        <v>#REF!</v>
      </c>
      <c r="ET235" t="e">
        <f>AND(#REF!,"AAAAAE2fuJU=")</f>
        <v>#REF!</v>
      </c>
      <c r="EU235" t="e">
        <f>AND(#REF!,"AAAAAE2fuJY=")</f>
        <v>#REF!</v>
      </c>
      <c r="EV235" t="e">
        <f>AND(#REF!,"AAAAAE2fuJc=")</f>
        <v>#REF!</v>
      </c>
      <c r="EW235" t="e">
        <f>IF(#REF!,"AAAAAE2fuJg=",0)</f>
        <v>#REF!</v>
      </c>
      <c r="EX235" t="e">
        <f>AND(#REF!,"AAAAAE2fuJk=")</f>
        <v>#REF!</v>
      </c>
      <c r="EY235" t="e">
        <f>AND(#REF!,"AAAAAE2fuJo=")</f>
        <v>#REF!</v>
      </c>
      <c r="EZ235" t="e">
        <f>AND(#REF!,"AAAAAE2fuJs=")</f>
        <v>#REF!</v>
      </c>
      <c r="FA235" t="e">
        <f>AND(#REF!,"AAAAAE2fuJw=")</f>
        <v>#REF!</v>
      </c>
      <c r="FB235" t="e">
        <f>AND(#REF!,"AAAAAE2fuJ0=")</f>
        <v>#REF!</v>
      </c>
      <c r="FC235" t="e">
        <f>AND(#REF!,"AAAAAE2fuJ4=")</f>
        <v>#REF!</v>
      </c>
      <c r="FD235" t="e">
        <f>AND(#REF!,"AAAAAE2fuJ8=")</f>
        <v>#REF!</v>
      </c>
      <c r="FE235" t="e">
        <f>AND(#REF!,"AAAAAE2fuKA=")</f>
        <v>#REF!</v>
      </c>
      <c r="FF235" t="e">
        <f>AND(#REF!,"AAAAAE2fuKE=")</f>
        <v>#REF!</v>
      </c>
      <c r="FG235" t="e">
        <f>AND(#REF!,"AAAAAE2fuKI=")</f>
        <v>#REF!</v>
      </c>
      <c r="FH235" t="e">
        <f>IF(#REF!,"AAAAAE2fuKM=",0)</f>
        <v>#REF!</v>
      </c>
      <c r="FI235" t="e">
        <f>AND(#REF!,"AAAAAE2fuKQ=")</f>
        <v>#REF!</v>
      </c>
      <c r="FJ235" t="e">
        <f>AND(#REF!,"AAAAAE2fuKU=")</f>
        <v>#REF!</v>
      </c>
      <c r="FK235" t="e">
        <f>AND(#REF!,"AAAAAE2fuKY=")</f>
        <v>#REF!</v>
      </c>
      <c r="FL235" t="e">
        <f>AND(#REF!,"AAAAAE2fuKc=")</f>
        <v>#REF!</v>
      </c>
      <c r="FM235" t="e">
        <f>AND(#REF!,"AAAAAE2fuKg=")</f>
        <v>#REF!</v>
      </c>
      <c r="FN235" t="e">
        <f>AND(#REF!,"AAAAAE2fuKk=")</f>
        <v>#REF!</v>
      </c>
      <c r="FO235" t="e">
        <f>AND(#REF!,"AAAAAE2fuKo=")</f>
        <v>#REF!</v>
      </c>
      <c r="FP235" t="e">
        <f>AND(#REF!,"AAAAAE2fuKs=")</f>
        <v>#REF!</v>
      </c>
      <c r="FQ235" t="e">
        <f>AND(#REF!,"AAAAAE2fuKw=")</f>
        <v>#REF!</v>
      </c>
      <c r="FR235" t="e">
        <f>AND(#REF!,"AAAAAE2fuK0=")</f>
        <v>#REF!</v>
      </c>
      <c r="FS235" t="e">
        <f>IF(#REF!,"AAAAAE2fuK4=",0)</f>
        <v>#REF!</v>
      </c>
      <c r="FT235" t="e">
        <f>AND(#REF!,"AAAAAE2fuK8=")</f>
        <v>#REF!</v>
      </c>
      <c r="FU235" t="e">
        <f>AND(#REF!,"AAAAAE2fuLA=")</f>
        <v>#REF!</v>
      </c>
      <c r="FV235" t="e">
        <f>AND(#REF!,"AAAAAE2fuLE=")</f>
        <v>#REF!</v>
      </c>
      <c r="FW235" t="e">
        <f>AND(#REF!,"AAAAAE2fuLI=")</f>
        <v>#REF!</v>
      </c>
      <c r="FX235" t="e">
        <f>AND(#REF!,"AAAAAE2fuLM=")</f>
        <v>#REF!</v>
      </c>
      <c r="FY235" t="e">
        <f>AND(#REF!,"AAAAAE2fuLQ=")</f>
        <v>#REF!</v>
      </c>
      <c r="FZ235" t="e">
        <f>AND(#REF!,"AAAAAE2fuLU=")</f>
        <v>#REF!</v>
      </c>
      <c r="GA235" t="e">
        <f>AND(#REF!,"AAAAAE2fuLY=")</f>
        <v>#REF!</v>
      </c>
      <c r="GB235" t="e">
        <f>AND(#REF!,"AAAAAE2fuLc=")</f>
        <v>#REF!</v>
      </c>
      <c r="GC235" t="e">
        <f>AND(#REF!,"AAAAAE2fuLg=")</f>
        <v>#REF!</v>
      </c>
      <c r="GD235" t="e">
        <f>IF(#REF!,"AAAAAE2fuLk=",0)</f>
        <v>#REF!</v>
      </c>
      <c r="GE235" t="e">
        <f>AND(#REF!,"AAAAAE2fuLo=")</f>
        <v>#REF!</v>
      </c>
      <c r="GF235" t="e">
        <f>AND(#REF!,"AAAAAE2fuLs=")</f>
        <v>#REF!</v>
      </c>
      <c r="GG235" t="e">
        <f>AND(#REF!,"AAAAAE2fuLw=")</f>
        <v>#REF!</v>
      </c>
      <c r="GH235" t="e">
        <f>AND(#REF!,"AAAAAE2fuL0=")</f>
        <v>#REF!</v>
      </c>
      <c r="GI235" t="e">
        <f>AND(#REF!,"AAAAAE2fuL4=")</f>
        <v>#REF!</v>
      </c>
      <c r="GJ235" t="e">
        <f>AND(#REF!,"AAAAAE2fuL8=")</f>
        <v>#REF!</v>
      </c>
      <c r="GK235" t="e">
        <f>AND(#REF!,"AAAAAE2fuMA=")</f>
        <v>#REF!</v>
      </c>
      <c r="GL235" t="e">
        <f>AND(#REF!,"AAAAAE2fuME=")</f>
        <v>#REF!</v>
      </c>
      <c r="GM235" t="e">
        <f>AND(#REF!,"AAAAAE2fuMI=")</f>
        <v>#REF!</v>
      </c>
      <c r="GN235" t="e">
        <f>AND(#REF!,"AAAAAE2fuMM=")</f>
        <v>#REF!</v>
      </c>
      <c r="GO235" t="e">
        <f>IF(#REF!,"AAAAAE2fuMQ=",0)</f>
        <v>#REF!</v>
      </c>
      <c r="GP235" t="e">
        <f>AND(#REF!,"AAAAAE2fuMU=")</f>
        <v>#REF!</v>
      </c>
      <c r="GQ235" t="e">
        <f>AND(#REF!,"AAAAAE2fuMY=")</f>
        <v>#REF!</v>
      </c>
      <c r="GR235" t="e">
        <f>AND(#REF!,"AAAAAE2fuMc=")</f>
        <v>#REF!</v>
      </c>
      <c r="GS235" t="e">
        <f>AND(#REF!,"AAAAAE2fuMg=")</f>
        <v>#REF!</v>
      </c>
      <c r="GT235" t="e">
        <f>AND(#REF!,"AAAAAE2fuMk=")</f>
        <v>#REF!</v>
      </c>
      <c r="GU235" t="e">
        <f>AND(#REF!,"AAAAAE2fuMo=")</f>
        <v>#REF!</v>
      </c>
      <c r="GV235" t="e">
        <f>AND(#REF!,"AAAAAE2fuMs=")</f>
        <v>#REF!</v>
      </c>
      <c r="GW235" t="e">
        <f>AND(#REF!,"AAAAAE2fuMw=")</f>
        <v>#REF!</v>
      </c>
      <c r="GX235" t="e">
        <f>AND(#REF!,"AAAAAE2fuM0=")</f>
        <v>#REF!</v>
      </c>
      <c r="GY235" t="e">
        <f>AND(#REF!,"AAAAAE2fuM4=")</f>
        <v>#REF!</v>
      </c>
      <c r="GZ235" t="e">
        <f>IF(#REF!,"AAAAAE2fuM8=",0)</f>
        <v>#REF!</v>
      </c>
      <c r="HA235" t="e">
        <f>AND(#REF!,"AAAAAE2fuNA=")</f>
        <v>#REF!</v>
      </c>
      <c r="HB235" t="e">
        <f>AND(#REF!,"AAAAAE2fuNE=")</f>
        <v>#REF!</v>
      </c>
      <c r="HC235" t="e">
        <f>AND(#REF!,"AAAAAE2fuNI=")</f>
        <v>#REF!</v>
      </c>
      <c r="HD235" t="e">
        <f>AND(#REF!,"AAAAAE2fuNM=")</f>
        <v>#REF!</v>
      </c>
      <c r="HE235" t="e">
        <f>AND(#REF!,"AAAAAE2fuNQ=")</f>
        <v>#REF!</v>
      </c>
      <c r="HF235" t="e">
        <f>AND(#REF!,"AAAAAE2fuNU=")</f>
        <v>#REF!</v>
      </c>
      <c r="HG235" t="e">
        <f>AND(#REF!,"AAAAAE2fuNY=")</f>
        <v>#REF!</v>
      </c>
      <c r="HH235" t="e">
        <f>AND(#REF!,"AAAAAE2fuNc=")</f>
        <v>#REF!</v>
      </c>
      <c r="HI235" t="e">
        <f>AND(#REF!,"AAAAAE2fuNg=")</f>
        <v>#REF!</v>
      </c>
      <c r="HJ235" t="e">
        <f>AND(#REF!,"AAAAAE2fuNk=")</f>
        <v>#REF!</v>
      </c>
      <c r="HK235" t="e">
        <f>IF(#REF!,"AAAAAE2fuNo=",0)</f>
        <v>#REF!</v>
      </c>
      <c r="HL235" t="e">
        <f>AND(#REF!,"AAAAAE2fuNs=")</f>
        <v>#REF!</v>
      </c>
      <c r="HM235" t="e">
        <f>AND(#REF!,"AAAAAE2fuNw=")</f>
        <v>#REF!</v>
      </c>
      <c r="HN235" t="e">
        <f>AND(#REF!,"AAAAAE2fuN0=")</f>
        <v>#REF!</v>
      </c>
      <c r="HO235" t="e">
        <f>AND(#REF!,"AAAAAE2fuN4=")</f>
        <v>#REF!</v>
      </c>
      <c r="HP235" t="e">
        <f>AND(#REF!,"AAAAAE2fuN8=")</f>
        <v>#REF!</v>
      </c>
      <c r="HQ235" t="e">
        <f>AND(#REF!,"AAAAAE2fuOA=")</f>
        <v>#REF!</v>
      </c>
      <c r="HR235" t="e">
        <f>AND(#REF!,"AAAAAE2fuOE=")</f>
        <v>#REF!</v>
      </c>
      <c r="HS235" t="e">
        <f>AND(#REF!,"AAAAAE2fuOI=")</f>
        <v>#REF!</v>
      </c>
      <c r="HT235" t="e">
        <f>AND(#REF!,"AAAAAE2fuOM=")</f>
        <v>#REF!</v>
      </c>
      <c r="HU235" t="e">
        <f>AND(#REF!,"AAAAAE2fuOQ=")</f>
        <v>#REF!</v>
      </c>
      <c r="HV235" t="e">
        <f>IF(#REF!,"AAAAAE2fuOU=",0)</f>
        <v>#REF!</v>
      </c>
      <c r="HW235" t="e">
        <f>AND(#REF!,"AAAAAE2fuOY=")</f>
        <v>#REF!</v>
      </c>
      <c r="HX235" t="e">
        <f>AND(#REF!,"AAAAAE2fuOc=")</f>
        <v>#REF!</v>
      </c>
      <c r="HY235" t="e">
        <f>AND(#REF!,"AAAAAE2fuOg=")</f>
        <v>#REF!</v>
      </c>
      <c r="HZ235" t="e">
        <f>AND(#REF!,"AAAAAE2fuOk=")</f>
        <v>#REF!</v>
      </c>
      <c r="IA235" t="e">
        <f>AND(#REF!,"AAAAAE2fuOo=")</f>
        <v>#REF!</v>
      </c>
      <c r="IB235" t="e">
        <f>AND(#REF!,"AAAAAE2fuOs=")</f>
        <v>#REF!</v>
      </c>
      <c r="IC235" t="e">
        <f>AND(#REF!,"AAAAAE2fuOw=")</f>
        <v>#REF!</v>
      </c>
      <c r="ID235" t="e">
        <f>AND(#REF!,"AAAAAE2fuO0=")</f>
        <v>#REF!</v>
      </c>
      <c r="IE235" t="e">
        <f>AND(#REF!,"AAAAAE2fuO4=")</f>
        <v>#REF!</v>
      </c>
      <c r="IF235" t="e">
        <f>AND(#REF!,"AAAAAE2fuO8=")</f>
        <v>#REF!</v>
      </c>
      <c r="IG235" t="e">
        <f>IF(#REF!,"AAAAAE2fuPA=",0)</f>
        <v>#REF!</v>
      </c>
      <c r="IH235" t="e">
        <f>AND(#REF!,"AAAAAE2fuPE=")</f>
        <v>#REF!</v>
      </c>
      <c r="II235" t="e">
        <f>AND(#REF!,"AAAAAE2fuPI=")</f>
        <v>#REF!</v>
      </c>
      <c r="IJ235" t="e">
        <f>AND(#REF!,"AAAAAE2fuPM=")</f>
        <v>#REF!</v>
      </c>
      <c r="IK235" t="e">
        <f>AND(#REF!,"AAAAAE2fuPQ=")</f>
        <v>#REF!</v>
      </c>
      <c r="IL235" t="e">
        <f>AND(#REF!,"AAAAAE2fuPU=")</f>
        <v>#REF!</v>
      </c>
      <c r="IM235" t="e">
        <f>AND(#REF!,"AAAAAE2fuPY=")</f>
        <v>#REF!</v>
      </c>
      <c r="IN235" t="e">
        <f>AND(#REF!,"AAAAAE2fuPc=")</f>
        <v>#REF!</v>
      </c>
      <c r="IO235" t="e">
        <f>AND(#REF!,"AAAAAE2fuPg=")</f>
        <v>#REF!</v>
      </c>
      <c r="IP235" t="e">
        <f>AND(#REF!,"AAAAAE2fuPk=")</f>
        <v>#REF!</v>
      </c>
      <c r="IQ235" t="e">
        <f>AND(#REF!,"AAAAAE2fuPo=")</f>
        <v>#REF!</v>
      </c>
      <c r="IR235" t="e">
        <f>IF(#REF!,"AAAAAE2fuPs=",0)</f>
        <v>#REF!</v>
      </c>
      <c r="IS235" t="e">
        <f>AND(#REF!,"AAAAAE2fuPw=")</f>
        <v>#REF!</v>
      </c>
      <c r="IT235" t="e">
        <f>AND(#REF!,"AAAAAE2fuP0=")</f>
        <v>#REF!</v>
      </c>
      <c r="IU235" t="e">
        <f>AND(#REF!,"AAAAAE2fuP4=")</f>
        <v>#REF!</v>
      </c>
      <c r="IV235" t="e">
        <f>AND(#REF!,"AAAAAE2fuP8=")</f>
        <v>#REF!</v>
      </c>
    </row>
    <row r="236" spans="1:256" x14ac:dyDescent="0.25">
      <c r="A236" t="e">
        <f>AND(#REF!,"AAAAAHf+/wA=")</f>
        <v>#REF!</v>
      </c>
      <c r="B236" t="e">
        <f>AND(#REF!,"AAAAAHf+/wE=")</f>
        <v>#REF!</v>
      </c>
      <c r="C236" t="e">
        <f>AND(#REF!,"AAAAAHf+/wI=")</f>
        <v>#REF!</v>
      </c>
      <c r="D236" t="e">
        <f>AND(#REF!,"AAAAAHf+/wM=")</f>
        <v>#REF!</v>
      </c>
      <c r="E236" t="e">
        <f>AND(#REF!,"AAAAAHf+/wQ=")</f>
        <v>#REF!</v>
      </c>
      <c r="F236" t="e">
        <f>AND(#REF!,"AAAAAHf+/wU=")</f>
        <v>#REF!</v>
      </c>
      <c r="G236" t="e">
        <f>IF(#REF!,"AAAAAHf+/wY=",0)</f>
        <v>#REF!</v>
      </c>
      <c r="H236" t="e">
        <f>AND(#REF!,"AAAAAHf+/wc=")</f>
        <v>#REF!</v>
      </c>
      <c r="I236" t="e">
        <f>AND(#REF!,"AAAAAHf+/wg=")</f>
        <v>#REF!</v>
      </c>
      <c r="J236" t="e">
        <f>AND(#REF!,"AAAAAHf+/wk=")</f>
        <v>#REF!</v>
      </c>
      <c r="K236" t="e">
        <f>AND(#REF!,"AAAAAHf+/wo=")</f>
        <v>#REF!</v>
      </c>
      <c r="L236" t="e">
        <f>AND(#REF!,"AAAAAHf+/ws=")</f>
        <v>#REF!</v>
      </c>
      <c r="M236" t="e">
        <f>AND(#REF!,"AAAAAHf+/ww=")</f>
        <v>#REF!</v>
      </c>
      <c r="N236" t="e">
        <f>AND(#REF!,"AAAAAHf+/w0=")</f>
        <v>#REF!</v>
      </c>
      <c r="O236" t="e">
        <f>AND(#REF!,"AAAAAHf+/w4=")</f>
        <v>#REF!</v>
      </c>
      <c r="P236" t="e">
        <f>AND(#REF!,"AAAAAHf+/w8=")</f>
        <v>#REF!</v>
      </c>
      <c r="Q236" t="e">
        <f>AND(#REF!,"AAAAAHf+/xA=")</f>
        <v>#REF!</v>
      </c>
      <c r="R236" t="e">
        <f>IF(#REF!,"AAAAAHf+/xE=",0)</f>
        <v>#REF!</v>
      </c>
      <c r="S236" t="e">
        <f>AND(#REF!,"AAAAAHf+/xI=")</f>
        <v>#REF!</v>
      </c>
      <c r="T236" t="e">
        <f>AND(#REF!,"AAAAAHf+/xM=")</f>
        <v>#REF!</v>
      </c>
      <c r="U236" t="e">
        <f>AND(#REF!,"AAAAAHf+/xQ=")</f>
        <v>#REF!</v>
      </c>
      <c r="V236" t="e">
        <f>AND(#REF!,"AAAAAHf+/xU=")</f>
        <v>#REF!</v>
      </c>
      <c r="W236" t="e">
        <f>AND(#REF!,"AAAAAHf+/xY=")</f>
        <v>#REF!</v>
      </c>
      <c r="X236" t="e">
        <f>AND(#REF!,"AAAAAHf+/xc=")</f>
        <v>#REF!</v>
      </c>
      <c r="Y236" t="e">
        <f>AND(#REF!,"AAAAAHf+/xg=")</f>
        <v>#REF!</v>
      </c>
      <c r="Z236" t="e">
        <f>AND(#REF!,"AAAAAHf+/xk=")</f>
        <v>#REF!</v>
      </c>
      <c r="AA236" t="e">
        <f>AND(#REF!,"AAAAAHf+/xo=")</f>
        <v>#REF!</v>
      </c>
      <c r="AB236" t="e">
        <f>AND(#REF!,"AAAAAHf+/xs=")</f>
        <v>#REF!</v>
      </c>
      <c r="AC236" t="e">
        <f>IF(#REF!,"AAAAAHf+/xw=",0)</f>
        <v>#REF!</v>
      </c>
      <c r="AD236" t="e">
        <f>AND(#REF!,"AAAAAHf+/x0=")</f>
        <v>#REF!</v>
      </c>
      <c r="AE236" t="e">
        <f>AND(#REF!,"AAAAAHf+/x4=")</f>
        <v>#REF!</v>
      </c>
      <c r="AF236" t="e">
        <f>AND(#REF!,"AAAAAHf+/x8=")</f>
        <v>#REF!</v>
      </c>
      <c r="AG236" t="e">
        <f>AND(#REF!,"AAAAAHf+/yA=")</f>
        <v>#REF!</v>
      </c>
      <c r="AH236" t="e">
        <f>AND(#REF!,"AAAAAHf+/yE=")</f>
        <v>#REF!</v>
      </c>
      <c r="AI236" t="e">
        <f>AND(#REF!,"AAAAAHf+/yI=")</f>
        <v>#REF!</v>
      </c>
      <c r="AJ236" t="e">
        <f>AND(#REF!,"AAAAAHf+/yM=")</f>
        <v>#REF!</v>
      </c>
      <c r="AK236" t="e">
        <f>AND(#REF!,"AAAAAHf+/yQ=")</f>
        <v>#REF!</v>
      </c>
      <c r="AL236" t="e">
        <f>AND(#REF!,"AAAAAHf+/yU=")</f>
        <v>#REF!</v>
      </c>
      <c r="AM236" t="e">
        <f>AND(#REF!,"AAAAAHf+/yY=")</f>
        <v>#REF!</v>
      </c>
      <c r="AN236" t="e">
        <f>IF(#REF!,"AAAAAHf+/yc=",0)</f>
        <v>#REF!</v>
      </c>
      <c r="AO236" t="e">
        <f>AND(#REF!,"AAAAAHf+/yg=")</f>
        <v>#REF!</v>
      </c>
      <c r="AP236" t="e">
        <f>AND(#REF!,"AAAAAHf+/yk=")</f>
        <v>#REF!</v>
      </c>
      <c r="AQ236" t="e">
        <f>AND(#REF!,"AAAAAHf+/yo=")</f>
        <v>#REF!</v>
      </c>
      <c r="AR236" t="e">
        <f>AND(#REF!,"AAAAAHf+/ys=")</f>
        <v>#REF!</v>
      </c>
      <c r="AS236" t="e">
        <f>AND(#REF!,"AAAAAHf+/yw=")</f>
        <v>#REF!</v>
      </c>
      <c r="AT236" t="e">
        <f>AND(#REF!,"AAAAAHf+/y0=")</f>
        <v>#REF!</v>
      </c>
      <c r="AU236" t="e">
        <f>AND(#REF!,"AAAAAHf+/y4=")</f>
        <v>#REF!</v>
      </c>
      <c r="AV236" t="e">
        <f>AND(#REF!,"AAAAAHf+/y8=")</f>
        <v>#REF!</v>
      </c>
      <c r="AW236" t="e">
        <f>AND(#REF!,"AAAAAHf+/zA=")</f>
        <v>#REF!</v>
      </c>
      <c r="AX236" t="e">
        <f>AND(#REF!,"AAAAAHf+/zE=")</f>
        <v>#REF!</v>
      </c>
      <c r="AY236" t="e">
        <f>IF(#REF!,"AAAAAHf+/zI=",0)</f>
        <v>#REF!</v>
      </c>
      <c r="AZ236" t="e">
        <f>AND(#REF!,"AAAAAHf+/zM=")</f>
        <v>#REF!</v>
      </c>
      <c r="BA236" t="e">
        <f>AND(#REF!,"AAAAAHf+/zQ=")</f>
        <v>#REF!</v>
      </c>
      <c r="BB236" t="e">
        <f>AND(#REF!,"AAAAAHf+/zU=")</f>
        <v>#REF!</v>
      </c>
      <c r="BC236" t="e">
        <f>AND(#REF!,"AAAAAHf+/zY=")</f>
        <v>#REF!</v>
      </c>
      <c r="BD236" t="e">
        <f>AND(#REF!,"AAAAAHf+/zc=")</f>
        <v>#REF!</v>
      </c>
      <c r="BE236" t="e">
        <f>AND(#REF!,"AAAAAHf+/zg=")</f>
        <v>#REF!</v>
      </c>
      <c r="BF236" t="e">
        <f>AND(#REF!,"AAAAAHf+/zk=")</f>
        <v>#REF!</v>
      </c>
      <c r="BG236" t="e">
        <f>AND(#REF!,"AAAAAHf+/zo=")</f>
        <v>#REF!</v>
      </c>
      <c r="BH236" t="e">
        <f>AND(#REF!,"AAAAAHf+/zs=")</f>
        <v>#REF!</v>
      </c>
      <c r="BI236" t="e">
        <f>AND(#REF!,"AAAAAHf+/zw=")</f>
        <v>#REF!</v>
      </c>
      <c r="BJ236" t="e">
        <f>IF(#REF!,"AAAAAHf+/z0=",0)</f>
        <v>#REF!</v>
      </c>
      <c r="BK236" t="e">
        <f>AND(#REF!,"AAAAAHf+/z4=")</f>
        <v>#REF!</v>
      </c>
      <c r="BL236" t="e">
        <f>AND(#REF!,"AAAAAHf+/z8=")</f>
        <v>#REF!</v>
      </c>
      <c r="BM236" t="e">
        <f>AND(#REF!,"AAAAAHf+/0A=")</f>
        <v>#REF!</v>
      </c>
      <c r="BN236" t="e">
        <f>AND(#REF!,"AAAAAHf+/0E=")</f>
        <v>#REF!</v>
      </c>
      <c r="BO236" t="e">
        <f>AND(#REF!,"AAAAAHf+/0I=")</f>
        <v>#REF!</v>
      </c>
      <c r="BP236" t="e">
        <f>AND(#REF!,"AAAAAHf+/0M=")</f>
        <v>#REF!</v>
      </c>
      <c r="BQ236" t="e">
        <f>AND(#REF!,"AAAAAHf+/0Q=")</f>
        <v>#REF!</v>
      </c>
      <c r="BR236" t="e">
        <f>AND(#REF!,"AAAAAHf+/0U=")</f>
        <v>#REF!</v>
      </c>
      <c r="BS236" t="e">
        <f>AND(#REF!,"AAAAAHf+/0Y=")</f>
        <v>#REF!</v>
      </c>
      <c r="BT236" t="e">
        <f>AND(#REF!,"AAAAAHf+/0c=")</f>
        <v>#REF!</v>
      </c>
      <c r="BU236" t="e">
        <f>IF(#REF!,"AAAAAHf+/0g=",0)</f>
        <v>#REF!</v>
      </c>
      <c r="BV236" t="e">
        <f>AND(#REF!,"AAAAAHf+/0k=")</f>
        <v>#REF!</v>
      </c>
      <c r="BW236" t="e">
        <f>AND(#REF!,"AAAAAHf+/0o=")</f>
        <v>#REF!</v>
      </c>
      <c r="BX236" t="e">
        <f>AND(#REF!,"AAAAAHf+/0s=")</f>
        <v>#REF!</v>
      </c>
      <c r="BY236" t="e">
        <f>AND(#REF!,"AAAAAHf+/0w=")</f>
        <v>#REF!</v>
      </c>
      <c r="BZ236" t="e">
        <f>AND(#REF!,"AAAAAHf+/00=")</f>
        <v>#REF!</v>
      </c>
      <c r="CA236" t="e">
        <f>AND(#REF!,"AAAAAHf+/04=")</f>
        <v>#REF!</v>
      </c>
      <c r="CB236" t="e">
        <f>AND(#REF!,"AAAAAHf+/08=")</f>
        <v>#REF!</v>
      </c>
      <c r="CC236" t="e">
        <f>AND(#REF!,"AAAAAHf+/1A=")</f>
        <v>#REF!</v>
      </c>
      <c r="CD236" t="e">
        <f>AND(#REF!,"AAAAAHf+/1E=")</f>
        <v>#REF!</v>
      </c>
      <c r="CE236" t="e">
        <f>AND(#REF!,"AAAAAHf+/1I=")</f>
        <v>#REF!</v>
      </c>
      <c r="CF236" t="e">
        <f>IF(#REF!,"AAAAAHf+/1M=",0)</f>
        <v>#REF!</v>
      </c>
      <c r="CG236" t="e">
        <f>AND(#REF!,"AAAAAHf+/1Q=")</f>
        <v>#REF!</v>
      </c>
      <c r="CH236" t="e">
        <f>AND(#REF!,"AAAAAHf+/1U=")</f>
        <v>#REF!</v>
      </c>
      <c r="CI236" t="e">
        <f>AND(#REF!,"AAAAAHf+/1Y=")</f>
        <v>#REF!</v>
      </c>
      <c r="CJ236" t="e">
        <f>AND(#REF!,"AAAAAHf+/1c=")</f>
        <v>#REF!</v>
      </c>
      <c r="CK236" t="e">
        <f>AND(#REF!,"AAAAAHf+/1g=")</f>
        <v>#REF!</v>
      </c>
      <c r="CL236" t="e">
        <f>AND(#REF!,"AAAAAHf+/1k=")</f>
        <v>#REF!</v>
      </c>
      <c r="CM236" t="e">
        <f>AND(#REF!,"AAAAAHf+/1o=")</f>
        <v>#REF!</v>
      </c>
      <c r="CN236" t="e">
        <f>AND(#REF!,"AAAAAHf+/1s=")</f>
        <v>#REF!</v>
      </c>
      <c r="CO236" t="e">
        <f>AND(#REF!,"AAAAAHf+/1w=")</f>
        <v>#REF!</v>
      </c>
      <c r="CP236" t="e">
        <f>AND(#REF!,"AAAAAHf+/10=")</f>
        <v>#REF!</v>
      </c>
      <c r="CQ236" t="e">
        <f>IF(#REF!,"AAAAAHf+/14=",0)</f>
        <v>#REF!</v>
      </c>
      <c r="CR236" t="e">
        <f>AND(#REF!,"AAAAAHf+/18=")</f>
        <v>#REF!</v>
      </c>
      <c r="CS236" t="e">
        <f>AND(#REF!,"AAAAAHf+/2A=")</f>
        <v>#REF!</v>
      </c>
      <c r="CT236" t="e">
        <f>AND(#REF!,"AAAAAHf+/2E=")</f>
        <v>#REF!</v>
      </c>
      <c r="CU236" t="e">
        <f>AND(#REF!,"AAAAAHf+/2I=")</f>
        <v>#REF!</v>
      </c>
      <c r="CV236" t="e">
        <f>AND(#REF!,"AAAAAHf+/2M=")</f>
        <v>#REF!</v>
      </c>
      <c r="CW236" t="e">
        <f>AND(#REF!,"AAAAAHf+/2Q=")</f>
        <v>#REF!</v>
      </c>
      <c r="CX236" t="e">
        <f>AND(#REF!,"AAAAAHf+/2U=")</f>
        <v>#REF!</v>
      </c>
      <c r="CY236" t="e">
        <f>AND(#REF!,"AAAAAHf+/2Y=")</f>
        <v>#REF!</v>
      </c>
      <c r="CZ236" t="e">
        <f>AND(#REF!,"AAAAAHf+/2c=")</f>
        <v>#REF!</v>
      </c>
      <c r="DA236" t="e">
        <f>AND(#REF!,"AAAAAHf+/2g=")</f>
        <v>#REF!</v>
      </c>
      <c r="DB236" t="e">
        <f>IF(#REF!,"AAAAAHf+/2k=",0)</f>
        <v>#REF!</v>
      </c>
      <c r="DC236" t="e">
        <f>AND(#REF!,"AAAAAHf+/2o=")</f>
        <v>#REF!</v>
      </c>
      <c r="DD236" t="e">
        <f>AND(#REF!,"AAAAAHf+/2s=")</f>
        <v>#REF!</v>
      </c>
      <c r="DE236" t="e">
        <f>AND(#REF!,"AAAAAHf+/2w=")</f>
        <v>#REF!</v>
      </c>
      <c r="DF236" t="e">
        <f>AND(#REF!,"AAAAAHf+/20=")</f>
        <v>#REF!</v>
      </c>
      <c r="DG236" t="e">
        <f>AND(#REF!,"AAAAAHf+/24=")</f>
        <v>#REF!</v>
      </c>
      <c r="DH236" t="e">
        <f>AND(#REF!,"AAAAAHf+/28=")</f>
        <v>#REF!</v>
      </c>
      <c r="DI236" t="e">
        <f>AND(#REF!,"AAAAAHf+/3A=")</f>
        <v>#REF!</v>
      </c>
      <c r="DJ236" t="e">
        <f>AND(#REF!,"AAAAAHf+/3E=")</f>
        <v>#REF!</v>
      </c>
      <c r="DK236" t="e">
        <f>AND(#REF!,"AAAAAHf+/3I=")</f>
        <v>#REF!</v>
      </c>
      <c r="DL236" t="e">
        <f>AND(#REF!,"AAAAAHf+/3M=")</f>
        <v>#REF!</v>
      </c>
      <c r="DM236" t="e">
        <f>IF(#REF!,"AAAAAHf+/3Q=",0)</f>
        <v>#REF!</v>
      </c>
      <c r="DN236" t="e">
        <f>AND(#REF!,"AAAAAHf+/3U=")</f>
        <v>#REF!</v>
      </c>
      <c r="DO236" t="e">
        <f>AND(#REF!,"AAAAAHf+/3Y=")</f>
        <v>#REF!</v>
      </c>
      <c r="DP236" t="e">
        <f>AND(#REF!,"AAAAAHf+/3c=")</f>
        <v>#REF!</v>
      </c>
      <c r="DQ236" t="e">
        <f>AND(#REF!,"AAAAAHf+/3g=")</f>
        <v>#REF!</v>
      </c>
      <c r="DR236" t="e">
        <f>AND(#REF!,"AAAAAHf+/3k=")</f>
        <v>#REF!</v>
      </c>
      <c r="DS236" t="e">
        <f>AND(#REF!,"AAAAAHf+/3o=")</f>
        <v>#REF!</v>
      </c>
      <c r="DT236" t="e">
        <f>AND(#REF!,"AAAAAHf+/3s=")</f>
        <v>#REF!</v>
      </c>
      <c r="DU236" t="e">
        <f>AND(#REF!,"AAAAAHf+/3w=")</f>
        <v>#REF!</v>
      </c>
      <c r="DV236" t="e">
        <f>AND(#REF!,"AAAAAHf+/30=")</f>
        <v>#REF!</v>
      </c>
      <c r="DW236" t="e">
        <f>AND(#REF!,"AAAAAHf+/34=")</f>
        <v>#REF!</v>
      </c>
      <c r="DX236" t="e">
        <f>IF(#REF!,"AAAAAHf+/38=",0)</f>
        <v>#REF!</v>
      </c>
      <c r="DY236" t="e">
        <f>AND(#REF!,"AAAAAHf+/4A=")</f>
        <v>#REF!</v>
      </c>
      <c r="DZ236" t="e">
        <f>AND(#REF!,"AAAAAHf+/4E=")</f>
        <v>#REF!</v>
      </c>
      <c r="EA236" t="e">
        <f>AND(#REF!,"AAAAAHf+/4I=")</f>
        <v>#REF!</v>
      </c>
      <c r="EB236" t="e">
        <f>AND(#REF!,"AAAAAHf+/4M=")</f>
        <v>#REF!</v>
      </c>
      <c r="EC236" t="e">
        <f>AND(#REF!,"AAAAAHf+/4Q=")</f>
        <v>#REF!</v>
      </c>
      <c r="ED236" t="e">
        <f>AND(#REF!,"AAAAAHf+/4U=")</f>
        <v>#REF!</v>
      </c>
      <c r="EE236" t="e">
        <f>AND(#REF!,"AAAAAHf+/4Y=")</f>
        <v>#REF!</v>
      </c>
      <c r="EF236" t="e">
        <f>AND(#REF!,"AAAAAHf+/4c=")</f>
        <v>#REF!</v>
      </c>
      <c r="EG236" t="e">
        <f>AND(#REF!,"AAAAAHf+/4g=")</f>
        <v>#REF!</v>
      </c>
      <c r="EH236" t="e">
        <f>AND(#REF!,"AAAAAHf+/4k=")</f>
        <v>#REF!</v>
      </c>
      <c r="EI236" t="e">
        <f>IF(#REF!,"AAAAAHf+/4o=",0)</f>
        <v>#REF!</v>
      </c>
      <c r="EJ236" t="e">
        <f>AND(#REF!,"AAAAAHf+/4s=")</f>
        <v>#REF!</v>
      </c>
      <c r="EK236" t="e">
        <f>AND(#REF!,"AAAAAHf+/4w=")</f>
        <v>#REF!</v>
      </c>
      <c r="EL236" t="e">
        <f>AND(#REF!,"AAAAAHf+/40=")</f>
        <v>#REF!</v>
      </c>
      <c r="EM236" t="e">
        <f>AND(#REF!,"AAAAAHf+/44=")</f>
        <v>#REF!</v>
      </c>
      <c r="EN236" t="e">
        <f>AND(#REF!,"AAAAAHf+/48=")</f>
        <v>#REF!</v>
      </c>
      <c r="EO236" t="e">
        <f>AND(#REF!,"AAAAAHf+/5A=")</f>
        <v>#REF!</v>
      </c>
      <c r="EP236" t="e">
        <f>AND(#REF!,"AAAAAHf+/5E=")</f>
        <v>#REF!</v>
      </c>
      <c r="EQ236" t="e">
        <f>AND(#REF!,"AAAAAHf+/5I=")</f>
        <v>#REF!</v>
      </c>
      <c r="ER236" t="e">
        <f>AND(#REF!,"AAAAAHf+/5M=")</f>
        <v>#REF!</v>
      </c>
      <c r="ES236" t="e">
        <f>AND(#REF!,"AAAAAHf+/5Q=")</f>
        <v>#REF!</v>
      </c>
      <c r="ET236" t="e">
        <f>IF(#REF!,"AAAAAHf+/5U=",0)</f>
        <v>#REF!</v>
      </c>
      <c r="EU236" t="e">
        <f>AND(#REF!,"AAAAAHf+/5Y=")</f>
        <v>#REF!</v>
      </c>
      <c r="EV236" t="e">
        <f>AND(#REF!,"AAAAAHf+/5c=")</f>
        <v>#REF!</v>
      </c>
      <c r="EW236" t="e">
        <f>AND(#REF!,"AAAAAHf+/5g=")</f>
        <v>#REF!</v>
      </c>
      <c r="EX236" t="e">
        <f>AND(#REF!,"AAAAAHf+/5k=")</f>
        <v>#REF!</v>
      </c>
      <c r="EY236" t="e">
        <f>AND(#REF!,"AAAAAHf+/5o=")</f>
        <v>#REF!</v>
      </c>
      <c r="EZ236" t="e">
        <f>AND(#REF!,"AAAAAHf+/5s=")</f>
        <v>#REF!</v>
      </c>
      <c r="FA236" t="e">
        <f>AND(#REF!,"AAAAAHf+/5w=")</f>
        <v>#REF!</v>
      </c>
      <c r="FB236" t="e">
        <f>AND(#REF!,"AAAAAHf+/50=")</f>
        <v>#REF!</v>
      </c>
      <c r="FC236" t="e">
        <f>AND(#REF!,"AAAAAHf+/54=")</f>
        <v>#REF!</v>
      </c>
      <c r="FD236" t="e">
        <f>AND(#REF!,"AAAAAHf+/58=")</f>
        <v>#REF!</v>
      </c>
      <c r="FE236" t="e">
        <f>IF(#REF!,"AAAAAHf+/6A=",0)</f>
        <v>#REF!</v>
      </c>
      <c r="FF236" t="e">
        <f>AND(#REF!,"AAAAAHf+/6E=")</f>
        <v>#REF!</v>
      </c>
      <c r="FG236" t="e">
        <f>AND(#REF!,"AAAAAHf+/6I=")</f>
        <v>#REF!</v>
      </c>
      <c r="FH236" t="e">
        <f>AND(#REF!,"AAAAAHf+/6M=")</f>
        <v>#REF!</v>
      </c>
      <c r="FI236" t="e">
        <f>AND(#REF!,"AAAAAHf+/6Q=")</f>
        <v>#REF!</v>
      </c>
      <c r="FJ236" t="e">
        <f>AND(#REF!,"AAAAAHf+/6U=")</f>
        <v>#REF!</v>
      </c>
      <c r="FK236" t="e">
        <f>AND(#REF!,"AAAAAHf+/6Y=")</f>
        <v>#REF!</v>
      </c>
      <c r="FL236" t="e">
        <f>AND(#REF!,"AAAAAHf+/6c=")</f>
        <v>#REF!</v>
      </c>
      <c r="FM236" t="e">
        <f>AND(#REF!,"AAAAAHf+/6g=")</f>
        <v>#REF!</v>
      </c>
      <c r="FN236" t="e">
        <f>AND(#REF!,"AAAAAHf+/6k=")</f>
        <v>#REF!</v>
      </c>
      <c r="FO236" t="e">
        <f>AND(#REF!,"AAAAAHf+/6o=")</f>
        <v>#REF!</v>
      </c>
      <c r="FP236" t="e">
        <f>IF(#REF!,"AAAAAHf+/6s=",0)</f>
        <v>#REF!</v>
      </c>
      <c r="FQ236" t="e">
        <f>AND(#REF!,"AAAAAHf+/6w=")</f>
        <v>#REF!</v>
      </c>
      <c r="FR236" t="e">
        <f>AND(#REF!,"AAAAAHf+/60=")</f>
        <v>#REF!</v>
      </c>
      <c r="FS236" t="e">
        <f>AND(#REF!,"AAAAAHf+/64=")</f>
        <v>#REF!</v>
      </c>
      <c r="FT236" t="e">
        <f>AND(#REF!,"AAAAAHf+/68=")</f>
        <v>#REF!</v>
      </c>
      <c r="FU236" t="e">
        <f>AND(#REF!,"AAAAAHf+/7A=")</f>
        <v>#REF!</v>
      </c>
      <c r="FV236" t="e">
        <f>AND(#REF!,"AAAAAHf+/7E=")</f>
        <v>#REF!</v>
      </c>
      <c r="FW236" t="e">
        <f>AND(#REF!,"AAAAAHf+/7I=")</f>
        <v>#REF!</v>
      </c>
      <c r="FX236" t="e">
        <f>AND(#REF!,"AAAAAHf+/7M=")</f>
        <v>#REF!</v>
      </c>
      <c r="FY236" t="e">
        <f>AND(#REF!,"AAAAAHf+/7Q=")</f>
        <v>#REF!</v>
      </c>
      <c r="FZ236" t="e">
        <f>AND(#REF!,"AAAAAHf+/7U=")</f>
        <v>#REF!</v>
      </c>
      <c r="GA236" t="e">
        <f>IF(#REF!,"AAAAAHf+/7Y=",0)</f>
        <v>#REF!</v>
      </c>
      <c r="GB236" t="e">
        <f>AND(#REF!,"AAAAAHf+/7c=")</f>
        <v>#REF!</v>
      </c>
      <c r="GC236" t="e">
        <f>AND(#REF!,"AAAAAHf+/7g=")</f>
        <v>#REF!</v>
      </c>
      <c r="GD236" t="e">
        <f>AND(#REF!,"AAAAAHf+/7k=")</f>
        <v>#REF!</v>
      </c>
      <c r="GE236" t="e">
        <f>AND(#REF!,"AAAAAHf+/7o=")</f>
        <v>#REF!</v>
      </c>
      <c r="GF236" t="e">
        <f>AND(#REF!,"AAAAAHf+/7s=")</f>
        <v>#REF!</v>
      </c>
      <c r="GG236" t="e">
        <f>AND(#REF!,"AAAAAHf+/7w=")</f>
        <v>#REF!</v>
      </c>
      <c r="GH236" t="e">
        <f>AND(#REF!,"AAAAAHf+/70=")</f>
        <v>#REF!</v>
      </c>
      <c r="GI236" t="e">
        <f>AND(#REF!,"AAAAAHf+/74=")</f>
        <v>#REF!</v>
      </c>
      <c r="GJ236" t="e">
        <f>AND(#REF!,"AAAAAHf+/78=")</f>
        <v>#REF!</v>
      </c>
      <c r="GK236" t="e">
        <f>AND(#REF!,"AAAAAHf+/8A=")</f>
        <v>#REF!</v>
      </c>
      <c r="GL236" t="e">
        <f>IF(#REF!,"AAAAAHf+/8E=",0)</f>
        <v>#REF!</v>
      </c>
      <c r="GM236" t="e">
        <f>AND(#REF!,"AAAAAHf+/8I=")</f>
        <v>#REF!</v>
      </c>
      <c r="GN236" t="e">
        <f>AND(#REF!,"AAAAAHf+/8M=")</f>
        <v>#REF!</v>
      </c>
      <c r="GO236" t="e">
        <f>AND(#REF!,"AAAAAHf+/8Q=")</f>
        <v>#REF!</v>
      </c>
      <c r="GP236" t="e">
        <f>AND(#REF!,"AAAAAHf+/8U=")</f>
        <v>#REF!</v>
      </c>
      <c r="GQ236" t="e">
        <f>AND(#REF!,"AAAAAHf+/8Y=")</f>
        <v>#REF!</v>
      </c>
      <c r="GR236" t="e">
        <f>AND(#REF!,"AAAAAHf+/8c=")</f>
        <v>#REF!</v>
      </c>
      <c r="GS236" t="e">
        <f>AND(#REF!,"AAAAAHf+/8g=")</f>
        <v>#REF!</v>
      </c>
      <c r="GT236" t="e">
        <f>AND(#REF!,"AAAAAHf+/8k=")</f>
        <v>#REF!</v>
      </c>
      <c r="GU236" t="e">
        <f>AND(#REF!,"AAAAAHf+/8o=")</f>
        <v>#REF!</v>
      </c>
      <c r="GV236" t="e">
        <f>AND(#REF!,"AAAAAHf+/8s=")</f>
        <v>#REF!</v>
      </c>
      <c r="GW236" t="e">
        <f>IF(#REF!,"AAAAAHf+/8w=",0)</f>
        <v>#REF!</v>
      </c>
      <c r="GX236" t="e">
        <f>AND(#REF!,"AAAAAHf+/80=")</f>
        <v>#REF!</v>
      </c>
      <c r="GY236" t="e">
        <f>AND(#REF!,"AAAAAHf+/84=")</f>
        <v>#REF!</v>
      </c>
      <c r="GZ236" t="e">
        <f>AND(#REF!,"AAAAAHf+/88=")</f>
        <v>#REF!</v>
      </c>
      <c r="HA236" t="e">
        <f>AND(#REF!,"AAAAAHf+/9A=")</f>
        <v>#REF!</v>
      </c>
      <c r="HB236" t="e">
        <f>AND(#REF!,"AAAAAHf+/9E=")</f>
        <v>#REF!</v>
      </c>
      <c r="HC236" t="e">
        <f>AND(#REF!,"AAAAAHf+/9I=")</f>
        <v>#REF!</v>
      </c>
      <c r="HD236" t="e">
        <f>AND(#REF!,"AAAAAHf+/9M=")</f>
        <v>#REF!</v>
      </c>
      <c r="HE236" t="e">
        <f>AND(#REF!,"AAAAAHf+/9Q=")</f>
        <v>#REF!</v>
      </c>
      <c r="HF236" t="e">
        <f>AND(#REF!,"AAAAAHf+/9U=")</f>
        <v>#REF!</v>
      </c>
      <c r="HG236" t="e">
        <f>AND(#REF!,"AAAAAHf+/9Y=")</f>
        <v>#REF!</v>
      </c>
      <c r="HH236" t="e">
        <f>IF(#REF!,"AAAAAHf+/9c=",0)</f>
        <v>#REF!</v>
      </c>
      <c r="HI236" t="e">
        <f>AND(#REF!,"AAAAAHf+/9g=")</f>
        <v>#REF!</v>
      </c>
      <c r="HJ236" t="e">
        <f>AND(#REF!,"AAAAAHf+/9k=")</f>
        <v>#REF!</v>
      </c>
      <c r="HK236" t="e">
        <f>AND(#REF!,"AAAAAHf+/9o=")</f>
        <v>#REF!</v>
      </c>
      <c r="HL236" t="e">
        <f>AND(#REF!,"AAAAAHf+/9s=")</f>
        <v>#REF!</v>
      </c>
      <c r="HM236" t="e">
        <f>AND(#REF!,"AAAAAHf+/9w=")</f>
        <v>#REF!</v>
      </c>
      <c r="HN236" t="e">
        <f>AND(#REF!,"AAAAAHf+/90=")</f>
        <v>#REF!</v>
      </c>
      <c r="HO236" t="e">
        <f>AND(#REF!,"AAAAAHf+/94=")</f>
        <v>#REF!</v>
      </c>
      <c r="HP236" t="e">
        <f>AND(#REF!,"AAAAAHf+/98=")</f>
        <v>#REF!</v>
      </c>
      <c r="HQ236" t="e">
        <f>AND(#REF!,"AAAAAHf+/+A=")</f>
        <v>#REF!</v>
      </c>
      <c r="HR236" t="e">
        <f>AND(#REF!,"AAAAAHf+/+E=")</f>
        <v>#REF!</v>
      </c>
      <c r="HS236" t="e">
        <f>IF(#REF!,"AAAAAHf+/+I=",0)</f>
        <v>#REF!</v>
      </c>
      <c r="HT236" t="e">
        <f>AND(#REF!,"AAAAAHf+/+M=")</f>
        <v>#REF!</v>
      </c>
      <c r="HU236" t="e">
        <f>AND(#REF!,"AAAAAHf+/+Q=")</f>
        <v>#REF!</v>
      </c>
      <c r="HV236" t="e">
        <f>AND(#REF!,"AAAAAHf+/+U=")</f>
        <v>#REF!</v>
      </c>
      <c r="HW236" t="e">
        <f>AND(#REF!,"AAAAAHf+/+Y=")</f>
        <v>#REF!</v>
      </c>
      <c r="HX236" t="e">
        <f>AND(#REF!,"AAAAAHf+/+c=")</f>
        <v>#REF!</v>
      </c>
      <c r="HY236" t="e">
        <f>AND(#REF!,"AAAAAHf+/+g=")</f>
        <v>#REF!</v>
      </c>
      <c r="HZ236" t="e">
        <f>AND(#REF!,"AAAAAHf+/+k=")</f>
        <v>#REF!</v>
      </c>
      <c r="IA236" t="e">
        <f>AND(#REF!,"AAAAAHf+/+o=")</f>
        <v>#REF!</v>
      </c>
      <c r="IB236" t="e">
        <f>AND(#REF!,"AAAAAHf+/+s=")</f>
        <v>#REF!</v>
      </c>
      <c r="IC236" t="e">
        <f>AND(#REF!,"AAAAAHf+/+w=")</f>
        <v>#REF!</v>
      </c>
      <c r="ID236" t="e">
        <f>IF(#REF!,"AAAAAHf+/+0=",0)</f>
        <v>#REF!</v>
      </c>
      <c r="IE236" t="e">
        <f>AND(#REF!,"AAAAAHf+/+4=")</f>
        <v>#REF!</v>
      </c>
      <c r="IF236" t="e">
        <f>AND(#REF!,"AAAAAHf+/+8=")</f>
        <v>#REF!</v>
      </c>
      <c r="IG236" t="e">
        <f>AND(#REF!,"AAAAAHf+//A=")</f>
        <v>#REF!</v>
      </c>
      <c r="IH236" t="e">
        <f>AND(#REF!,"AAAAAHf+//E=")</f>
        <v>#REF!</v>
      </c>
      <c r="II236" t="e">
        <f>AND(#REF!,"AAAAAHf+//I=")</f>
        <v>#REF!</v>
      </c>
      <c r="IJ236" t="e">
        <f>AND(#REF!,"AAAAAHf+//M=")</f>
        <v>#REF!</v>
      </c>
      <c r="IK236" t="e">
        <f>AND(#REF!,"AAAAAHf+//Q=")</f>
        <v>#REF!</v>
      </c>
      <c r="IL236" t="e">
        <f>AND(#REF!,"AAAAAHf+//U=")</f>
        <v>#REF!</v>
      </c>
      <c r="IM236" t="e">
        <f>AND(#REF!,"AAAAAHf+//Y=")</f>
        <v>#REF!</v>
      </c>
      <c r="IN236" t="e">
        <f>AND(#REF!,"AAAAAHf+//c=")</f>
        <v>#REF!</v>
      </c>
      <c r="IO236" t="e">
        <f>IF(#REF!,"AAAAAHf+//g=",0)</f>
        <v>#REF!</v>
      </c>
      <c r="IP236" t="e">
        <f>AND(#REF!,"AAAAAHf+//k=")</f>
        <v>#REF!</v>
      </c>
      <c r="IQ236" t="e">
        <f>AND(#REF!,"AAAAAHf+//o=")</f>
        <v>#REF!</v>
      </c>
      <c r="IR236" t="e">
        <f>AND(#REF!,"AAAAAHf+//s=")</f>
        <v>#REF!</v>
      </c>
      <c r="IS236" t="e">
        <f>AND(#REF!,"AAAAAHf+//w=")</f>
        <v>#REF!</v>
      </c>
      <c r="IT236" t="e">
        <f>AND(#REF!,"AAAAAHf+//0=")</f>
        <v>#REF!</v>
      </c>
      <c r="IU236" t="e">
        <f>AND(#REF!,"AAAAAHf+//4=")</f>
        <v>#REF!</v>
      </c>
      <c r="IV236" t="e">
        <f>AND(#REF!,"AAAAAHf+//8=")</f>
        <v>#REF!</v>
      </c>
    </row>
    <row r="237" spans="1:256" x14ac:dyDescent="0.25">
      <c r="A237" t="e">
        <f>AND(#REF!,"AAAAAFr/3QA=")</f>
        <v>#REF!</v>
      </c>
      <c r="B237" t="e">
        <f>AND(#REF!,"AAAAAFr/3QE=")</f>
        <v>#REF!</v>
      </c>
      <c r="C237" t="e">
        <f>AND(#REF!,"AAAAAFr/3QI=")</f>
        <v>#REF!</v>
      </c>
      <c r="D237" t="e">
        <f>IF(#REF!,"AAAAAFr/3QM=",0)</f>
        <v>#REF!</v>
      </c>
      <c r="E237" t="e">
        <f>AND(#REF!,"AAAAAFr/3QQ=")</f>
        <v>#REF!</v>
      </c>
      <c r="F237" t="e">
        <f>AND(#REF!,"AAAAAFr/3QU=")</f>
        <v>#REF!</v>
      </c>
      <c r="G237" t="e">
        <f>AND(#REF!,"AAAAAFr/3QY=")</f>
        <v>#REF!</v>
      </c>
      <c r="H237" t="e">
        <f>AND(#REF!,"AAAAAFr/3Qc=")</f>
        <v>#REF!</v>
      </c>
      <c r="I237" t="e">
        <f>AND(#REF!,"AAAAAFr/3Qg=")</f>
        <v>#REF!</v>
      </c>
      <c r="J237" t="e">
        <f>AND(#REF!,"AAAAAFr/3Qk=")</f>
        <v>#REF!</v>
      </c>
      <c r="K237" t="e">
        <f>AND(#REF!,"AAAAAFr/3Qo=")</f>
        <v>#REF!</v>
      </c>
      <c r="L237" t="e">
        <f>AND(#REF!,"AAAAAFr/3Qs=")</f>
        <v>#REF!</v>
      </c>
      <c r="M237" t="e">
        <f>AND(#REF!,"AAAAAFr/3Qw=")</f>
        <v>#REF!</v>
      </c>
      <c r="N237" t="e">
        <f>AND(#REF!,"AAAAAFr/3Q0=")</f>
        <v>#REF!</v>
      </c>
      <c r="O237" t="e">
        <f>IF(#REF!,"AAAAAFr/3Q4=",0)</f>
        <v>#REF!</v>
      </c>
      <c r="P237" t="e">
        <f>AND(#REF!,"AAAAAFr/3Q8=")</f>
        <v>#REF!</v>
      </c>
      <c r="Q237" t="e">
        <f>AND(#REF!,"AAAAAFr/3RA=")</f>
        <v>#REF!</v>
      </c>
      <c r="R237" t="e">
        <f>AND(#REF!,"AAAAAFr/3RE=")</f>
        <v>#REF!</v>
      </c>
      <c r="S237" t="e">
        <f>AND(#REF!,"AAAAAFr/3RI=")</f>
        <v>#REF!</v>
      </c>
      <c r="T237" t="e">
        <f>AND(#REF!,"AAAAAFr/3RM=")</f>
        <v>#REF!</v>
      </c>
      <c r="U237" t="e">
        <f>AND(#REF!,"AAAAAFr/3RQ=")</f>
        <v>#REF!</v>
      </c>
      <c r="V237" t="e">
        <f>AND(#REF!,"AAAAAFr/3RU=")</f>
        <v>#REF!</v>
      </c>
      <c r="W237" t="e">
        <f>AND(#REF!,"AAAAAFr/3RY=")</f>
        <v>#REF!</v>
      </c>
      <c r="X237" t="e">
        <f>AND(#REF!,"AAAAAFr/3Rc=")</f>
        <v>#REF!</v>
      </c>
      <c r="Y237" t="e">
        <f>AND(#REF!,"AAAAAFr/3Rg=")</f>
        <v>#REF!</v>
      </c>
      <c r="Z237" t="e">
        <f>IF(#REF!,"AAAAAFr/3Rk=",0)</f>
        <v>#REF!</v>
      </c>
      <c r="AA237" t="e">
        <f>AND(#REF!,"AAAAAFr/3Ro=")</f>
        <v>#REF!</v>
      </c>
      <c r="AB237" t="e">
        <f>AND(#REF!,"AAAAAFr/3Rs=")</f>
        <v>#REF!</v>
      </c>
      <c r="AC237" t="e">
        <f>AND(#REF!,"AAAAAFr/3Rw=")</f>
        <v>#REF!</v>
      </c>
      <c r="AD237" t="e">
        <f>AND(#REF!,"AAAAAFr/3R0=")</f>
        <v>#REF!</v>
      </c>
      <c r="AE237" t="e">
        <f>AND(#REF!,"AAAAAFr/3R4=")</f>
        <v>#REF!</v>
      </c>
      <c r="AF237" t="e">
        <f>AND(#REF!,"AAAAAFr/3R8=")</f>
        <v>#REF!</v>
      </c>
      <c r="AG237" t="e">
        <f>AND(#REF!,"AAAAAFr/3SA=")</f>
        <v>#REF!</v>
      </c>
      <c r="AH237" t="e">
        <f>AND(#REF!,"AAAAAFr/3SE=")</f>
        <v>#REF!</v>
      </c>
      <c r="AI237" t="e">
        <f>AND(#REF!,"AAAAAFr/3SI=")</f>
        <v>#REF!</v>
      </c>
      <c r="AJ237" t="e">
        <f>AND(#REF!,"AAAAAFr/3SM=")</f>
        <v>#REF!</v>
      </c>
      <c r="AK237" t="e">
        <f>IF(#REF!,"AAAAAFr/3SQ=",0)</f>
        <v>#REF!</v>
      </c>
      <c r="AL237" t="e">
        <f>AND(#REF!,"AAAAAFr/3SU=")</f>
        <v>#REF!</v>
      </c>
      <c r="AM237" t="e">
        <f>AND(#REF!,"AAAAAFr/3SY=")</f>
        <v>#REF!</v>
      </c>
      <c r="AN237" t="e">
        <f>AND(#REF!,"AAAAAFr/3Sc=")</f>
        <v>#REF!</v>
      </c>
      <c r="AO237" t="e">
        <f>AND(#REF!,"AAAAAFr/3Sg=")</f>
        <v>#REF!</v>
      </c>
      <c r="AP237" t="e">
        <f>AND(#REF!,"AAAAAFr/3Sk=")</f>
        <v>#REF!</v>
      </c>
      <c r="AQ237" t="e">
        <f>AND(#REF!,"AAAAAFr/3So=")</f>
        <v>#REF!</v>
      </c>
      <c r="AR237" t="e">
        <f>AND(#REF!,"AAAAAFr/3Ss=")</f>
        <v>#REF!</v>
      </c>
      <c r="AS237" t="e">
        <f>AND(#REF!,"AAAAAFr/3Sw=")</f>
        <v>#REF!</v>
      </c>
      <c r="AT237" t="e">
        <f>AND(#REF!,"AAAAAFr/3S0=")</f>
        <v>#REF!</v>
      </c>
      <c r="AU237" t="e">
        <f>AND(#REF!,"AAAAAFr/3S4=")</f>
        <v>#REF!</v>
      </c>
      <c r="AV237" t="e">
        <f>IF(#REF!,"AAAAAFr/3S8=",0)</f>
        <v>#REF!</v>
      </c>
      <c r="AW237" t="e">
        <f>AND(#REF!,"AAAAAFr/3TA=")</f>
        <v>#REF!</v>
      </c>
      <c r="AX237" t="e">
        <f>AND(#REF!,"AAAAAFr/3TE=")</f>
        <v>#REF!</v>
      </c>
      <c r="AY237" t="e">
        <f>AND(#REF!,"AAAAAFr/3TI=")</f>
        <v>#REF!</v>
      </c>
      <c r="AZ237" t="e">
        <f>AND(#REF!,"AAAAAFr/3TM=")</f>
        <v>#REF!</v>
      </c>
      <c r="BA237" t="e">
        <f>AND(#REF!,"AAAAAFr/3TQ=")</f>
        <v>#REF!</v>
      </c>
      <c r="BB237" t="e">
        <f>AND(#REF!,"AAAAAFr/3TU=")</f>
        <v>#REF!</v>
      </c>
      <c r="BC237" t="e">
        <f>AND(#REF!,"AAAAAFr/3TY=")</f>
        <v>#REF!</v>
      </c>
      <c r="BD237" t="e">
        <f>AND(#REF!,"AAAAAFr/3Tc=")</f>
        <v>#REF!</v>
      </c>
      <c r="BE237" t="e">
        <f>AND(#REF!,"AAAAAFr/3Tg=")</f>
        <v>#REF!</v>
      </c>
      <c r="BF237" t="e">
        <f>AND(#REF!,"AAAAAFr/3Tk=")</f>
        <v>#REF!</v>
      </c>
      <c r="BG237" t="e">
        <f>IF(#REF!,"AAAAAFr/3To=",0)</f>
        <v>#REF!</v>
      </c>
      <c r="BH237" t="e">
        <f>AND(#REF!,"AAAAAFr/3Ts=")</f>
        <v>#REF!</v>
      </c>
      <c r="BI237" t="e">
        <f>AND(#REF!,"AAAAAFr/3Tw=")</f>
        <v>#REF!</v>
      </c>
      <c r="BJ237" t="e">
        <f>AND(#REF!,"AAAAAFr/3T0=")</f>
        <v>#REF!</v>
      </c>
      <c r="BK237" t="e">
        <f>AND(#REF!,"AAAAAFr/3T4=")</f>
        <v>#REF!</v>
      </c>
      <c r="BL237" t="e">
        <f>AND(#REF!,"AAAAAFr/3T8=")</f>
        <v>#REF!</v>
      </c>
      <c r="BM237" t="e">
        <f>AND(#REF!,"AAAAAFr/3UA=")</f>
        <v>#REF!</v>
      </c>
      <c r="BN237" t="e">
        <f>AND(#REF!,"AAAAAFr/3UE=")</f>
        <v>#REF!</v>
      </c>
      <c r="BO237" t="e">
        <f>AND(#REF!,"AAAAAFr/3UI=")</f>
        <v>#REF!</v>
      </c>
      <c r="BP237" t="e">
        <f>AND(#REF!,"AAAAAFr/3UM=")</f>
        <v>#REF!</v>
      </c>
      <c r="BQ237" t="e">
        <f>AND(#REF!,"AAAAAFr/3UQ=")</f>
        <v>#REF!</v>
      </c>
      <c r="BR237" t="e">
        <f>IF(#REF!,"AAAAAFr/3UU=",0)</f>
        <v>#REF!</v>
      </c>
      <c r="BS237" t="e">
        <f>AND(#REF!,"AAAAAFr/3UY=")</f>
        <v>#REF!</v>
      </c>
      <c r="BT237" t="e">
        <f>AND(#REF!,"AAAAAFr/3Uc=")</f>
        <v>#REF!</v>
      </c>
      <c r="BU237" t="e">
        <f>AND(#REF!,"AAAAAFr/3Ug=")</f>
        <v>#REF!</v>
      </c>
      <c r="BV237" t="e">
        <f>AND(#REF!,"AAAAAFr/3Uk=")</f>
        <v>#REF!</v>
      </c>
      <c r="BW237" t="e">
        <f>AND(#REF!,"AAAAAFr/3Uo=")</f>
        <v>#REF!</v>
      </c>
      <c r="BX237" t="e">
        <f>AND(#REF!,"AAAAAFr/3Us=")</f>
        <v>#REF!</v>
      </c>
      <c r="BY237" t="e">
        <f>AND(#REF!,"AAAAAFr/3Uw=")</f>
        <v>#REF!</v>
      </c>
      <c r="BZ237" t="e">
        <f>AND(#REF!,"AAAAAFr/3U0=")</f>
        <v>#REF!</v>
      </c>
      <c r="CA237" t="e">
        <f>AND(#REF!,"AAAAAFr/3U4=")</f>
        <v>#REF!</v>
      </c>
      <c r="CB237" t="e">
        <f>AND(#REF!,"AAAAAFr/3U8=")</f>
        <v>#REF!</v>
      </c>
      <c r="CC237" t="e">
        <f>IF(#REF!,"AAAAAFr/3VA=",0)</f>
        <v>#REF!</v>
      </c>
      <c r="CD237" t="e">
        <f>AND(#REF!,"AAAAAFr/3VE=")</f>
        <v>#REF!</v>
      </c>
      <c r="CE237" t="e">
        <f>AND(#REF!,"AAAAAFr/3VI=")</f>
        <v>#REF!</v>
      </c>
      <c r="CF237" t="e">
        <f>AND(#REF!,"AAAAAFr/3VM=")</f>
        <v>#REF!</v>
      </c>
      <c r="CG237" t="e">
        <f>AND(#REF!,"AAAAAFr/3VQ=")</f>
        <v>#REF!</v>
      </c>
      <c r="CH237" t="e">
        <f>AND(#REF!,"AAAAAFr/3VU=")</f>
        <v>#REF!</v>
      </c>
      <c r="CI237" t="e">
        <f>AND(#REF!,"AAAAAFr/3VY=")</f>
        <v>#REF!</v>
      </c>
      <c r="CJ237" t="e">
        <f>AND(#REF!,"AAAAAFr/3Vc=")</f>
        <v>#REF!</v>
      </c>
      <c r="CK237" t="e">
        <f>AND(#REF!,"AAAAAFr/3Vg=")</f>
        <v>#REF!</v>
      </c>
      <c r="CL237" t="e">
        <f>AND(#REF!,"AAAAAFr/3Vk=")</f>
        <v>#REF!</v>
      </c>
      <c r="CM237" t="e">
        <f>AND(#REF!,"AAAAAFr/3Vo=")</f>
        <v>#REF!</v>
      </c>
      <c r="CN237" t="e">
        <f>IF(#REF!,"AAAAAFr/3Vs=",0)</f>
        <v>#REF!</v>
      </c>
      <c r="CO237" t="e">
        <f>AND(#REF!,"AAAAAFr/3Vw=")</f>
        <v>#REF!</v>
      </c>
      <c r="CP237" t="e">
        <f>AND(#REF!,"AAAAAFr/3V0=")</f>
        <v>#REF!</v>
      </c>
      <c r="CQ237" t="e">
        <f>AND(#REF!,"AAAAAFr/3V4=")</f>
        <v>#REF!</v>
      </c>
      <c r="CR237" t="e">
        <f>AND(#REF!,"AAAAAFr/3V8=")</f>
        <v>#REF!</v>
      </c>
      <c r="CS237" t="e">
        <f>AND(#REF!,"AAAAAFr/3WA=")</f>
        <v>#REF!</v>
      </c>
      <c r="CT237" t="e">
        <f>AND(#REF!,"AAAAAFr/3WE=")</f>
        <v>#REF!</v>
      </c>
      <c r="CU237" t="e">
        <f>AND(#REF!,"AAAAAFr/3WI=")</f>
        <v>#REF!</v>
      </c>
      <c r="CV237" t="e">
        <f>AND(#REF!,"AAAAAFr/3WM=")</f>
        <v>#REF!</v>
      </c>
      <c r="CW237" t="e">
        <f>AND(#REF!,"AAAAAFr/3WQ=")</f>
        <v>#REF!</v>
      </c>
      <c r="CX237" t="e">
        <f>AND(#REF!,"AAAAAFr/3WU=")</f>
        <v>#REF!</v>
      </c>
      <c r="CY237" t="e">
        <f>IF(#REF!,"AAAAAFr/3WY=",0)</f>
        <v>#REF!</v>
      </c>
      <c r="CZ237" t="e">
        <f>AND(#REF!,"AAAAAFr/3Wc=")</f>
        <v>#REF!</v>
      </c>
      <c r="DA237" t="e">
        <f>AND(#REF!,"AAAAAFr/3Wg=")</f>
        <v>#REF!</v>
      </c>
      <c r="DB237" t="e">
        <f>AND(#REF!,"AAAAAFr/3Wk=")</f>
        <v>#REF!</v>
      </c>
      <c r="DC237" t="e">
        <f>AND(#REF!,"AAAAAFr/3Wo=")</f>
        <v>#REF!</v>
      </c>
      <c r="DD237" t="e">
        <f>AND(#REF!,"AAAAAFr/3Ws=")</f>
        <v>#REF!</v>
      </c>
      <c r="DE237" t="e">
        <f>AND(#REF!,"AAAAAFr/3Ww=")</f>
        <v>#REF!</v>
      </c>
      <c r="DF237" t="e">
        <f>AND(#REF!,"AAAAAFr/3W0=")</f>
        <v>#REF!</v>
      </c>
      <c r="DG237" t="e">
        <f>AND(#REF!,"AAAAAFr/3W4=")</f>
        <v>#REF!</v>
      </c>
      <c r="DH237" t="e">
        <f>AND(#REF!,"AAAAAFr/3W8=")</f>
        <v>#REF!</v>
      </c>
      <c r="DI237" t="e">
        <f>AND(#REF!,"AAAAAFr/3XA=")</f>
        <v>#REF!</v>
      </c>
      <c r="DJ237" t="e">
        <f>IF(#REF!,"AAAAAFr/3XE=",0)</f>
        <v>#REF!</v>
      </c>
      <c r="DK237" t="e">
        <f>AND(#REF!,"AAAAAFr/3XI=")</f>
        <v>#REF!</v>
      </c>
      <c r="DL237" t="e">
        <f>AND(#REF!,"AAAAAFr/3XM=")</f>
        <v>#REF!</v>
      </c>
      <c r="DM237" t="e">
        <f>AND(#REF!,"AAAAAFr/3XQ=")</f>
        <v>#REF!</v>
      </c>
      <c r="DN237" t="e">
        <f>AND(#REF!,"AAAAAFr/3XU=")</f>
        <v>#REF!</v>
      </c>
      <c r="DO237" t="e">
        <f>AND(#REF!,"AAAAAFr/3XY=")</f>
        <v>#REF!</v>
      </c>
      <c r="DP237" t="e">
        <f>AND(#REF!,"AAAAAFr/3Xc=")</f>
        <v>#REF!</v>
      </c>
      <c r="DQ237" t="e">
        <f>AND(#REF!,"AAAAAFr/3Xg=")</f>
        <v>#REF!</v>
      </c>
      <c r="DR237" t="e">
        <f>AND(#REF!,"AAAAAFr/3Xk=")</f>
        <v>#REF!</v>
      </c>
      <c r="DS237" t="e">
        <f>AND(#REF!,"AAAAAFr/3Xo=")</f>
        <v>#REF!</v>
      </c>
      <c r="DT237" t="e">
        <f>AND(#REF!,"AAAAAFr/3Xs=")</f>
        <v>#REF!</v>
      </c>
      <c r="DU237" t="e">
        <f>IF(#REF!,"AAAAAFr/3Xw=",0)</f>
        <v>#REF!</v>
      </c>
      <c r="DV237" t="e">
        <f>AND(#REF!,"AAAAAFr/3X0=")</f>
        <v>#REF!</v>
      </c>
      <c r="DW237" t="e">
        <f>AND(#REF!,"AAAAAFr/3X4=")</f>
        <v>#REF!</v>
      </c>
      <c r="DX237" t="e">
        <f>AND(#REF!,"AAAAAFr/3X8=")</f>
        <v>#REF!</v>
      </c>
      <c r="DY237" t="e">
        <f>AND(#REF!,"AAAAAFr/3YA=")</f>
        <v>#REF!</v>
      </c>
      <c r="DZ237" t="e">
        <f>AND(#REF!,"AAAAAFr/3YE=")</f>
        <v>#REF!</v>
      </c>
      <c r="EA237" t="e">
        <f>AND(#REF!,"AAAAAFr/3YI=")</f>
        <v>#REF!</v>
      </c>
      <c r="EB237" t="e">
        <f>AND(#REF!,"AAAAAFr/3YM=")</f>
        <v>#REF!</v>
      </c>
      <c r="EC237" t="e">
        <f>AND(#REF!,"AAAAAFr/3YQ=")</f>
        <v>#REF!</v>
      </c>
      <c r="ED237" t="e">
        <f>AND(#REF!,"AAAAAFr/3YU=")</f>
        <v>#REF!</v>
      </c>
      <c r="EE237" t="e">
        <f>AND(#REF!,"AAAAAFr/3YY=")</f>
        <v>#REF!</v>
      </c>
      <c r="EF237" t="e">
        <f>IF(#REF!,"AAAAAFr/3Yc=",0)</f>
        <v>#REF!</v>
      </c>
      <c r="EG237" t="e">
        <f>AND(#REF!,"AAAAAFr/3Yg=")</f>
        <v>#REF!</v>
      </c>
      <c r="EH237" t="e">
        <f>AND(#REF!,"AAAAAFr/3Yk=")</f>
        <v>#REF!</v>
      </c>
      <c r="EI237" t="e">
        <f>AND(#REF!,"AAAAAFr/3Yo=")</f>
        <v>#REF!</v>
      </c>
      <c r="EJ237" t="e">
        <f>AND(#REF!,"AAAAAFr/3Ys=")</f>
        <v>#REF!</v>
      </c>
      <c r="EK237" t="e">
        <f>AND(#REF!,"AAAAAFr/3Yw=")</f>
        <v>#REF!</v>
      </c>
      <c r="EL237" t="e">
        <f>AND(#REF!,"AAAAAFr/3Y0=")</f>
        <v>#REF!</v>
      </c>
      <c r="EM237" t="e">
        <f>AND(#REF!,"AAAAAFr/3Y4=")</f>
        <v>#REF!</v>
      </c>
      <c r="EN237" t="e">
        <f>AND(#REF!,"AAAAAFr/3Y8=")</f>
        <v>#REF!</v>
      </c>
      <c r="EO237" t="e">
        <f>AND(#REF!,"AAAAAFr/3ZA=")</f>
        <v>#REF!</v>
      </c>
      <c r="EP237" t="e">
        <f>AND(#REF!,"AAAAAFr/3ZE=")</f>
        <v>#REF!</v>
      </c>
      <c r="EQ237" t="e">
        <f>IF(#REF!,"AAAAAFr/3ZI=",0)</f>
        <v>#REF!</v>
      </c>
      <c r="ER237" t="e">
        <f>AND(#REF!,"AAAAAFr/3ZM=")</f>
        <v>#REF!</v>
      </c>
      <c r="ES237" t="e">
        <f>AND(#REF!,"AAAAAFr/3ZQ=")</f>
        <v>#REF!</v>
      </c>
      <c r="ET237" t="e">
        <f>AND(#REF!,"AAAAAFr/3ZU=")</f>
        <v>#REF!</v>
      </c>
      <c r="EU237" t="e">
        <f>AND(#REF!,"AAAAAFr/3ZY=")</f>
        <v>#REF!</v>
      </c>
      <c r="EV237" t="e">
        <f>AND(#REF!,"AAAAAFr/3Zc=")</f>
        <v>#REF!</v>
      </c>
      <c r="EW237" t="e">
        <f>AND(#REF!,"AAAAAFr/3Zg=")</f>
        <v>#REF!</v>
      </c>
      <c r="EX237" t="e">
        <f>AND(#REF!,"AAAAAFr/3Zk=")</f>
        <v>#REF!</v>
      </c>
      <c r="EY237" t="e">
        <f>AND(#REF!,"AAAAAFr/3Zo=")</f>
        <v>#REF!</v>
      </c>
      <c r="EZ237" t="e">
        <f>AND(#REF!,"AAAAAFr/3Zs=")</f>
        <v>#REF!</v>
      </c>
      <c r="FA237" t="e">
        <f>AND(#REF!,"AAAAAFr/3Zw=")</f>
        <v>#REF!</v>
      </c>
      <c r="FB237" t="e">
        <f>IF(#REF!,"AAAAAFr/3Z0=",0)</f>
        <v>#REF!</v>
      </c>
      <c r="FC237" t="e">
        <f>AND(#REF!,"AAAAAFr/3Z4=")</f>
        <v>#REF!</v>
      </c>
      <c r="FD237" t="e">
        <f>AND(#REF!,"AAAAAFr/3Z8=")</f>
        <v>#REF!</v>
      </c>
      <c r="FE237" t="e">
        <f>AND(#REF!,"AAAAAFr/3aA=")</f>
        <v>#REF!</v>
      </c>
      <c r="FF237" t="e">
        <f>AND(#REF!,"AAAAAFr/3aE=")</f>
        <v>#REF!</v>
      </c>
      <c r="FG237" t="e">
        <f>AND(#REF!,"AAAAAFr/3aI=")</f>
        <v>#REF!</v>
      </c>
      <c r="FH237" t="e">
        <f>AND(#REF!,"AAAAAFr/3aM=")</f>
        <v>#REF!</v>
      </c>
      <c r="FI237" t="e">
        <f>AND(#REF!,"AAAAAFr/3aQ=")</f>
        <v>#REF!</v>
      </c>
      <c r="FJ237" t="e">
        <f>AND(#REF!,"AAAAAFr/3aU=")</f>
        <v>#REF!</v>
      </c>
      <c r="FK237" t="e">
        <f>AND(#REF!,"AAAAAFr/3aY=")</f>
        <v>#REF!</v>
      </c>
      <c r="FL237" t="e">
        <f>AND(#REF!,"AAAAAFr/3ac=")</f>
        <v>#REF!</v>
      </c>
      <c r="FM237" t="e">
        <f>IF(#REF!,"AAAAAFr/3ag=",0)</f>
        <v>#REF!</v>
      </c>
      <c r="FN237" t="e">
        <f>AND(#REF!,"AAAAAFr/3ak=")</f>
        <v>#REF!</v>
      </c>
      <c r="FO237" t="e">
        <f>AND(#REF!,"AAAAAFr/3ao=")</f>
        <v>#REF!</v>
      </c>
      <c r="FP237" t="e">
        <f>AND(#REF!,"AAAAAFr/3as=")</f>
        <v>#REF!</v>
      </c>
      <c r="FQ237" t="e">
        <f>AND(#REF!,"AAAAAFr/3aw=")</f>
        <v>#REF!</v>
      </c>
      <c r="FR237" t="e">
        <f>AND(#REF!,"AAAAAFr/3a0=")</f>
        <v>#REF!</v>
      </c>
      <c r="FS237" t="e">
        <f>AND(#REF!,"AAAAAFr/3a4=")</f>
        <v>#REF!</v>
      </c>
      <c r="FT237" t="e">
        <f>AND(#REF!,"AAAAAFr/3a8=")</f>
        <v>#REF!</v>
      </c>
      <c r="FU237" t="e">
        <f>AND(#REF!,"AAAAAFr/3bA=")</f>
        <v>#REF!</v>
      </c>
      <c r="FV237" t="e">
        <f>AND(#REF!,"AAAAAFr/3bE=")</f>
        <v>#REF!</v>
      </c>
      <c r="FW237" t="e">
        <f>AND(#REF!,"AAAAAFr/3bI=")</f>
        <v>#REF!</v>
      </c>
      <c r="FX237" t="e">
        <f>IF(#REF!,"AAAAAFr/3bM=",0)</f>
        <v>#REF!</v>
      </c>
      <c r="FY237" t="e">
        <f>AND(#REF!,"AAAAAFr/3bQ=")</f>
        <v>#REF!</v>
      </c>
      <c r="FZ237" t="e">
        <f>AND(#REF!,"AAAAAFr/3bU=")</f>
        <v>#REF!</v>
      </c>
      <c r="GA237" t="e">
        <f>AND(#REF!,"AAAAAFr/3bY=")</f>
        <v>#REF!</v>
      </c>
      <c r="GB237" t="e">
        <f>AND(#REF!,"AAAAAFr/3bc=")</f>
        <v>#REF!</v>
      </c>
      <c r="GC237" t="e">
        <f>AND(#REF!,"AAAAAFr/3bg=")</f>
        <v>#REF!</v>
      </c>
      <c r="GD237" t="e">
        <f>AND(#REF!,"AAAAAFr/3bk=")</f>
        <v>#REF!</v>
      </c>
      <c r="GE237" t="e">
        <f>AND(#REF!,"AAAAAFr/3bo=")</f>
        <v>#REF!</v>
      </c>
      <c r="GF237" t="e">
        <f>AND(#REF!,"AAAAAFr/3bs=")</f>
        <v>#REF!</v>
      </c>
      <c r="GG237" t="e">
        <f>AND(#REF!,"AAAAAFr/3bw=")</f>
        <v>#REF!</v>
      </c>
      <c r="GH237" t="e">
        <f>AND(#REF!,"AAAAAFr/3b0=")</f>
        <v>#REF!</v>
      </c>
      <c r="GI237" t="e">
        <f>IF(#REF!,"AAAAAFr/3b4=",0)</f>
        <v>#REF!</v>
      </c>
      <c r="GJ237" t="e">
        <f>AND(#REF!,"AAAAAFr/3b8=")</f>
        <v>#REF!</v>
      </c>
      <c r="GK237" t="e">
        <f>AND(#REF!,"AAAAAFr/3cA=")</f>
        <v>#REF!</v>
      </c>
      <c r="GL237" t="e">
        <f>AND(#REF!,"AAAAAFr/3cE=")</f>
        <v>#REF!</v>
      </c>
      <c r="GM237" t="e">
        <f>AND(#REF!,"AAAAAFr/3cI=")</f>
        <v>#REF!</v>
      </c>
      <c r="GN237" t="e">
        <f>AND(#REF!,"AAAAAFr/3cM=")</f>
        <v>#REF!</v>
      </c>
      <c r="GO237" t="e">
        <f>AND(#REF!,"AAAAAFr/3cQ=")</f>
        <v>#REF!</v>
      </c>
      <c r="GP237" t="e">
        <f>AND(#REF!,"AAAAAFr/3cU=")</f>
        <v>#REF!</v>
      </c>
      <c r="GQ237" t="e">
        <f>AND(#REF!,"AAAAAFr/3cY=")</f>
        <v>#REF!</v>
      </c>
      <c r="GR237" t="e">
        <f>AND(#REF!,"AAAAAFr/3cc=")</f>
        <v>#REF!</v>
      </c>
      <c r="GS237" t="e">
        <f>AND(#REF!,"AAAAAFr/3cg=")</f>
        <v>#REF!</v>
      </c>
      <c r="GT237" t="e">
        <f>IF(#REF!,"AAAAAFr/3ck=",0)</f>
        <v>#REF!</v>
      </c>
      <c r="GU237" t="e">
        <f>AND(#REF!,"AAAAAFr/3co=")</f>
        <v>#REF!</v>
      </c>
      <c r="GV237" t="e">
        <f>AND(#REF!,"AAAAAFr/3cs=")</f>
        <v>#REF!</v>
      </c>
      <c r="GW237" t="e">
        <f>AND(#REF!,"AAAAAFr/3cw=")</f>
        <v>#REF!</v>
      </c>
      <c r="GX237" t="e">
        <f>AND(#REF!,"AAAAAFr/3c0=")</f>
        <v>#REF!</v>
      </c>
      <c r="GY237" t="e">
        <f>AND(#REF!,"AAAAAFr/3c4=")</f>
        <v>#REF!</v>
      </c>
      <c r="GZ237" t="e">
        <f>AND(#REF!,"AAAAAFr/3c8=")</f>
        <v>#REF!</v>
      </c>
      <c r="HA237" t="e">
        <f>AND(#REF!,"AAAAAFr/3dA=")</f>
        <v>#REF!</v>
      </c>
      <c r="HB237" t="e">
        <f>AND(#REF!,"AAAAAFr/3dE=")</f>
        <v>#REF!</v>
      </c>
      <c r="HC237" t="e">
        <f>AND(#REF!,"AAAAAFr/3dI=")</f>
        <v>#REF!</v>
      </c>
      <c r="HD237" t="e">
        <f>AND(#REF!,"AAAAAFr/3dM=")</f>
        <v>#REF!</v>
      </c>
      <c r="HE237" t="e">
        <f>IF(#REF!,"AAAAAFr/3dQ=",0)</f>
        <v>#REF!</v>
      </c>
      <c r="HF237" t="e">
        <f>AND(#REF!,"AAAAAFr/3dU=")</f>
        <v>#REF!</v>
      </c>
      <c r="HG237" t="e">
        <f>AND(#REF!,"AAAAAFr/3dY=")</f>
        <v>#REF!</v>
      </c>
      <c r="HH237" t="e">
        <f>AND(#REF!,"AAAAAFr/3dc=")</f>
        <v>#REF!</v>
      </c>
      <c r="HI237" t="e">
        <f>AND(#REF!,"AAAAAFr/3dg=")</f>
        <v>#REF!</v>
      </c>
      <c r="HJ237" t="e">
        <f>AND(#REF!,"AAAAAFr/3dk=")</f>
        <v>#REF!</v>
      </c>
      <c r="HK237" t="e">
        <f>AND(#REF!,"AAAAAFr/3do=")</f>
        <v>#REF!</v>
      </c>
      <c r="HL237" t="e">
        <f>AND(#REF!,"AAAAAFr/3ds=")</f>
        <v>#REF!</v>
      </c>
      <c r="HM237" t="e">
        <f>AND(#REF!,"AAAAAFr/3dw=")</f>
        <v>#REF!</v>
      </c>
      <c r="HN237" t="e">
        <f>AND(#REF!,"AAAAAFr/3d0=")</f>
        <v>#REF!</v>
      </c>
      <c r="HO237" t="e">
        <f>AND(#REF!,"AAAAAFr/3d4=")</f>
        <v>#REF!</v>
      </c>
      <c r="HP237" t="e">
        <f>IF(#REF!,"AAAAAFr/3d8=",0)</f>
        <v>#REF!</v>
      </c>
      <c r="HQ237" t="e">
        <f>AND(#REF!,"AAAAAFr/3eA=")</f>
        <v>#REF!</v>
      </c>
      <c r="HR237" t="e">
        <f>AND(#REF!,"AAAAAFr/3eE=")</f>
        <v>#REF!</v>
      </c>
      <c r="HS237" t="e">
        <f>AND(#REF!,"AAAAAFr/3eI=")</f>
        <v>#REF!</v>
      </c>
      <c r="HT237" t="e">
        <f>AND(#REF!,"AAAAAFr/3eM=")</f>
        <v>#REF!</v>
      </c>
      <c r="HU237" t="e">
        <f>AND(#REF!,"AAAAAFr/3eQ=")</f>
        <v>#REF!</v>
      </c>
      <c r="HV237" t="e">
        <f>AND(#REF!,"AAAAAFr/3eU=")</f>
        <v>#REF!</v>
      </c>
      <c r="HW237" t="e">
        <f>AND(#REF!,"AAAAAFr/3eY=")</f>
        <v>#REF!</v>
      </c>
      <c r="HX237" t="e">
        <f>AND(#REF!,"AAAAAFr/3ec=")</f>
        <v>#REF!</v>
      </c>
      <c r="HY237" t="e">
        <f>AND(#REF!,"AAAAAFr/3eg=")</f>
        <v>#REF!</v>
      </c>
      <c r="HZ237" t="e">
        <f>AND(#REF!,"AAAAAFr/3ek=")</f>
        <v>#REF!</v>
      </c>
      <c r="IA237" t="e">
        <f>IF(#REF!,"AAAAAFr/3eo=",0)</f>
        <v>#REF!</v>
      </c>
      <c r="IB237" t="e">
        <f>AND(#REF!,"AAAAAFr/3es=")</f>
        <v>#REF!</v>
      </c>
      <c r="IC237" t="e">
        <f>AND(#REF!,"AAAAAFr/3ew=")</f>
        <v>#REF!</v>
      </c>
      <c r="ID237" t="e">
        <f>AND(#REF!,"AAAAAFr/3e0=")</f>
        <v>#REF!</v>
      </c>
      <c r="IE237" t="e">
        <f>AND(#REF!,"AAAAAFr/3e4=")</f>
        <v>#REF!</v>
      </c>
      <c r="IF237" t="e">
        <f>AND(#REF!,"AAAAAFr/3e8=")</f>
        <v>#REF!</v>
      </c>
      <c r="IG237" t="e">
        <f>AND(#REF!,"AAAAAFr/3fA=")</f>
        <v>#REF!</v>
      </c>
      <c r="IH237" t="e">
        <f>AND(#REF!,"AAAAAFr/3fE=")</f>
        <v>#REF!</v>
      </c>
      <c r="II237" t="e">
        <f>AND(#REF!,"AAAAAFr/3fI=")</f>
        <v>#REF!</v>
      </c>
      <c r="IJ237" t="e">
        <f>AND(#REF!,"AAAAAFr/3fM=")</f>
        <v>#REF!</v>
      </c>
      <c r="IK237" t="e">
        <f>AND(#REF!,"AAAAAFr/3fQ=")</f>
        <v>#REF!</v>
      </c>
      <c r="IL237" t="e">
        <f>IF(#REF!,"AAAAAFr/3fU=",0)</f>
        <v>#REF!</v>
      </c>
      <c r="IM237" t="e">
        <f>AND(#REF!,"AAAAAFr/3fY=")</f>
        <v>#REF!</v>
      </c>
      <c r="IN237" t="e">
        <f>AND(#REF!,"AAAAAFr/3fc=")</f>
        <v>#REF!</v>
      </c>
      <c r="IO237" t="e">
        <f>AND(#REF!,"AAAAAFr/3fg=")</f>
        <v>#REF!</v>
      </c>
      <c r="IP237" t="e">
        <f>AND(#REF!,"AAAAAFr/3fk=")</f>
        <v>#REF!</v>
      </c>
      <c r="IQ237" t="e">
        <f>AND(#REF!,"AAAAAFr/3fo=")</f>
        <v>#REF!</v>
      </c>
      <c r="IR237" t="e">
        <f>AND(#REF!,"AAAAAFr/3fs=")</f>
        <v>#REF!</v>
      </c>
      <c r="IS237" t="e">
        <f>AND(#REF!,"AAAAAFr/3fw=")</f>
        <v>#REF!</v>
      </c>
      <c r="IT237" t="e">
        <f>AND(#REF!,"AAAAAFr/3f0=")</f>
        <v>#REF!</v>
      </c>
      <c r="IU237" t="e">
        <f>AND(#REF!,"AAAAAFr/3f4=")</f>
        <v>#REF!</v>
      </c>
      <c r="IV237" t="e">
        <f>AND(#REF!,"AAAAAFr/3f8=")</f>
        <v>#REF!</v>
      </c>
    </row>
    <row r="238" spans="1:256" x14ac:dyDescent="0.25">
      <c r="A238" t="e">
        <f>IF(#REF!,"AAAAAA33fwA=",0)</f>
        <v>#REF!</v>
      </c>
      <c r="B238" t="e">
        <f>AND(#REF!,"AAAAAA33fwE=")</f>
        <v>#REF!</v>
      </c>
      <c r="C238" t="e">
        <f>AND(#REF!,"AAAAAA33fwI=")</f>
        <v>#REF!</v>
      </c>
      <c r="D238" t="e">
        <f>AND(#REF!,"AAAAAA33fwM=")</f>
        <v>#REF!</v>
      </c>
      <c r="E238" t="e">
        <f>AND(#REF!,"AAAAAA33fwQ=")</f>
        <v>#REF!</v>
      </c>
      <c r="F238" t="e">
        <f>AND(#REF!,"AAAAAA33fwU=")</f>
        <v>#REF!</v>
      </c>
      <c r="G238" t="e">
        <f>AND(#REF!,"AAAAAA33fwY=")</f>
        <v>#REF!</v>
      </c>
      <c r="H238" t="e">
        <f>AND(#REF!,"AAAAAA33fwc=")</f>
        <v>#REF!</v>
      </c>
      <c r="I238" t="e">
        <f>AND(#REF!,"AAAAAA33fwg=")</f>
        <v>#REF!</v>
      </c>
      <c r="J238" t="e">
        <f>AND(#REF!,"AAAAAA33fwk=")</f>
        <v>#REF!</v>
      </c>
      <c r="K238" t="e">
        <f>AND(#REF!,"AAAAAA33fwo=")</f>
        <v>#REF!</v>
      </c>
      <c r="L238" t="e">
        <f>IF(#REF!,"AAAAAA33fws=",0)</f>
        <v>#REF!</v>
      </c>
      <c r="M238" t="e">
        <f>AND(#REF!,"AAAAAA33fww=")</f>
        <v>#REF!</v>
      </c>
      <c r="N238" t="e">
        <f>AND(#REF!,"AAAAAA33fw0=")</f>
        <v>#REF!</v>
      </c>
      <c r="O238" t="e">
        <f>AND(#REF!,"AAAAAA33fw4=")</f>
        <v>#REF!</v>
      </c>
      <c r="P238" t="e">
        <f>AND(#REF!,"AAAAAA33fw8=")</f>
        <v>#REF!</v>
      </c>
      <c r="Q238" t="e">
        <f>AND(#REF!,"AAAAAA33fxA=")</f>
        <v>#REF!</v>
      </c>
      <c r="R238" t="e">
        <f>AND(#REF!,"AAAAAA33fxE=")</f>
        <v>#REF!</v>
      </c>
      <c r="S238" t="e">
        <f>AND(#REF!,"AAAAAA33fxI=")</f>
        <v>#REF!</v>
      </c>
      <c r="T238" t="e">
        <f>AND(#REF!,"AAAAAA33fxM=")</f>
        <v>#REF!</v>
      </c>
      <c r="U238" t="e">
        <f>AND(#REF!,"AAAAAA33fxQ=")</f>
        <v>#REF!</v>
      </c>
      <c r="V238" t="e">
        <f>AND(#REF!,"AAAAAA33fxU=")</f>
        <v>#REF!</v>
      </c>
      <c r="W238" t="e">
        <f>IF(#REF!,"AAAAAA33fxY=",0)</f>
        <v>#REF!</v>
      </c>
      <c r="X238" t="e">
        <f>AND(#REF!,"AAAAAA33fxc=")</f>
        <v>#REF!</v>
      </c>
      <c r="Y238" t="e">
        <f>AND(#REF!,"AAAAAA33fxg=")</f>
        <v>#REF!</v>
      </c>
      <c r="Z238" t="e">
        <f>AND(#REF!,"AAAAAA33fxk=")</f>
        <v>#REF!</v>
      </c>
      <c r="AA238" t="e">
        <f>AND(#REF!,"AAAAAA33fxo=")</f>
        <v>#REF!</v>
      </c>
      <c r="AB238" t="e">
        <f>AND(#REF!,"AAAAAA33fxs=")</f>
        <v>#REF!</v>
      </c>
      <c r="AC238" t="e">
        <f>AND(#REF!,"AAAAAA33fxw=")</f>
        <v>#REF!</v>
      </c>
      <c r="AD238" t="e">
        <f>AND(#REF!,"AAAAAA33fx0=")</f>
        <v>#REF!</v>
      </c>
      <c r="AE238" t="e">
        <f>AND(#REF!,"AAAAAA33fx4=")</f>
        <v>#REF!</v>
      </c>
      <c r="AF238" t="e">
        <f>AND(#REF!,"AAAAAA33fx8=")</f>
        <v>#REF!</v>
      </c>
      <c r="AG238" t="e">
        <f>AND(#REF!,"AAAAAA33fyA=")</f>
        <v>#REF!</v>
      </c>
      <c r="AH238" t="e">
        <f>IF(#REF!,"AAAAAA33fyE=",0)</f>
        <v>#REF!</v>
      </c>
      <c r="AI238" t="e">
        <f>AND(#REF!,"AAAAAA33fyI=")</f>
        <v>#REF!</v>
      </c>
      <c r="AJ238" t="e">
        <f>AND(#REF!,"AAAAAA33fyM=")</f>
        <v>#REF!</v>
      </c>
      <c r="AK238" t="e">
        <f>AND(#REF!,"AAAAAA33fyQ=")</f>
        <v>#REF!</v>
      </c>
      <c r="AL238" t="e">
        <f>AND(#REF!,"AAAAAA33fyU=")</f>
        <v>#REF!</v>
      </c>
      <c r="AM238" t="e">
        <f>AND(#REF!,"AAAAAA33fyY=")</f>
        <v>#REF!</v>
      </c>
      <c r="AN238" t="e">
        <f>AND(#REF!,"AAAAAA33fyc=")</f>
        <v>#REF!</v>
      </c>
      <c r="AO238" t="e">
        <f>AND(#REF!,"AAAAAA33fyg=")</f>
        <v>#REF!</v>
      </c>
      <c r="AP238" t="e">
        <f>AND(#REF!,"AAAAAA33fyk=")</f>
        <v>#REF!</v>
      </c>
      <c r="AQ238" t="e">
        <f>AND(#REF!,"AAAAAA33fyo=")</f>
        <v>#REF!</v>
      </c>
      <c r="AR238" t="e">
        <f>AND(#REF!,"AAAAAA33fys=")</f>
        <v>#REF!</v>
      </c>
      <c r="AS238" t="e">
        <f>IF(#REF!,"AAAAAA33fyw=",0)</f>
        <v>#REF!</v>
      </c>
      <c r="AT238" t="e">
        <f>AND(#REF!,"AAAAAA33fy0=")</f>
        <v>#REF!</v>
      </c>
      <c r="AU238" t="e">
        <f>AND(#REF!,"AAAAAA33fy4=")</f>
        <v>#REF!</v>
      </c>
      <c r="AV238" t="e">
        <f>AND(#REF!,"AAAAAA33fy8=")</f>
        <v>#REF!</v>
      </c>
      <c r="AW238" t="e">
        <f>AND(#REF!,"AAAAAA33fzA=")</f>
        <v>#REF!</v>
      </c>
      <c r="AX238" t="e">
        <f>AND(#REF!,"AAAAAA33fzE=")</f>
        <v>#REF!</v>
      </c>
      <c r="AY238" t="e">
        <f>AND(#REF!,"AAAAAA33fzI=")</f>
        <v>#REF!</v>
      </c>
      <c r="AZ238" t="e">
        <f>AND(#REF!,"AAAAAA33fzM=")</f>
        <v>#REF!</v>
      </c>
      <c r="BA238" t="e">
        <f>AND(#REF!,"AAAAAA33fzQ=")</f>
        <v>#REF!</v>
      </c>
      <c r="BB238" t="e">
        <f>AND(#REF!,"AAAAAA33fzU=")</f>
        <v>#REF!</v>
      </c>
      <c r="BC238" t="e">
        <f>AND(#REF!,"AAAAAA33fzY=")</f>
        <v>#REF!</v>
      </c>
      <c r="BD238" t="e">
        <f>IF(#REF!,"AAAAAA33fzc=",0)</f>
        <v>#REF!</v>
      </c>
      <c r="BE238" t="e">
        <f>AND(#REF!,"AAAAAA33fzg=")</f>
        <v>#REF!</v>
      </c>
      <c r="BF238" t="e">
        <f>AND(#REF!,"AAAAAA33fzk=")</f>
        <v>#REF!</v>
      </c>
      <c r="BG238" t="e">
        <f>AND(#REF!,"AAAAAA33fzo=")</f>
        <v>#REF!</v>
      </c>
      <c r="BH238" t="e">
        <f>AND(#REF!,"AAAAAA33fzs=")</f>
        <v>#REF!</v>
      </c>
      <c r="BI238" t="e">
        <f>AND(#REF!,"AAAAAA33fzw=")</f>
        <v>#REF!</v>
      </c>
      <c r="BJ238" t="e">
        <f>AND(#REF!,"AAAAAA33fz0=")</f>
        <v>#REF!</v>
      </c>
      <c r="BK238" t="e">
        <f>AND(#REF!,"AAAAAA33fz4=")</f>
        <v>#REF!</v>
      </c>
      <c r="BL238" t="e">
        <f>AND(#REF!,"AAAAAA33fz8=")</f>
        <v>#REF!</v>
      </c>
      <c r="BM238" t="e">
        <f>AND(#REF!,"AAAAAA33f0A=")</f>
        <v>#REF!</v>
      </c>
      <c r="BN238" t="e">
        <f>AND(#REF!,"AAAAAA33f0E=")</f>
        <v>#REF!</v>
      </c>
      <c r="BO238" t="e">
        <f>IF(#REF!,"AAAAAA33f0I=",0)</f>
        <v>#REF!</v>
      </c>
      <c r="BP238" t="e">
        <f>AND(#REF!,"AAAAAA33f0M=")</f>
        <v>#REF!</v>
      </c>
      <c r="BQ238" t="e">
        <f>AND(#REF!,"AAAAAA33f0Q=")</f>
        <v>#REF!</v>
      </c>
      <c r="BR238" t="e">
        <f>AND(#REF!,"AAAAAA33f0U=")</f>
        <v>#REF!</v>
      </c>
      <c r="BS238" t="e">
        <f>AND(#REF!,"AAAAAA33f0Y=")</f>
        <v>#REF!</v>
      </c>
      <c r="BT238" t="e">
        <f>AND(#REF!,"AAAAAA33f0c=")</f>
        <v>#REF!</v>
      </c>
      <c r="BU238" t="e">
        <f>AND(#REF!,"AAAAAA33f0g=")</f>
        <v>#REF!</v>
      </c>
      <c r="BV238" t="e">
        <f>AND(#REF!,"AAAAAA33f0k=")</f>
        <v>#REF!</v>
      </c>
      <c r="BW238" t="e">
        <f>AND(#REF!,"AAAAAA33f0o=")</f>
        <v>#REF!</v>
      </c>
      <c r="BX238" t="e">
        <f>AND(#REF!,"AAAAAA33f0s=")</f>
        <v>#REF!</v>
      </c>
      <c r="BY238" t="e">
        <f>AND(#REF!,"AAAAAA33f0w=")</f>
        <v>#REF!</v>
      </c>
      <c r="BZ238" t="e">
        <f>IF(#REF!,"AAAAAA33f00=",0)</f>
        <v>#REF!</v>
      </c>
      <c r="CA238" t="e">
        <f>AND(#REF!,"AAAAAA33f04=")</f>
        <v>#REF!</v>
      </c>
      <c r="CB238" t="e">
        <f>AND(#REF!,"AAAAAA33f08=")</f>
        <v>#REF!</v>
      </c>
      <c r="CC238" t="e">
        <f>AND(#REF!,"AAAAAA33f1A=")</f>
        <v>#REF!</v>
      </c>
      <c r="CD238" t="e">
        <f>AND(#REF!,"AAAAAA33f1E=")</f>
        <v>#REF!</v>
      </c>
      <c r="CE238" t="e">
        <f>AND(#REF!,"AAAAAA33f1I=")</f>
        <v>#REF!</v>
      </c>
      <c r="CF238" t="e">
        <f>AND(#REF!,"AAAAAA33f1M=")</f>
        <v>#REF!</v>
      </c>
      <c r="CG238" t="e">
        <f>AND(#REF!,"AAAAAA33f1Q=")</f>
        <v>#REF!</v>
      </c>
      <c r="CH238" t="e">
        <f>AND(#REF!,"AAAAAA33f1U=")</f>
        <v>#REF!</v>
      </c>
      <c r="CI238" t="e">
        <f>AND(#REF!,"AAAAAA33f1Y=")</f>
        <v>#REF!</v>
      </c>
      <c r="CJ238" t="e">
        <f>AND(#REF!,"AAAAAA33f1c=")</f>
        <v>#REF!</v>
      </c>
      <c r="CK238" t="e">
        <f>IF(#REF!,"AAAAAA33f1g=",0)</f>
        <v>#REF!</v>
      </c>
      <c r="CL238" t="e">
        <f>AND(#REF!,"AAAAAA33f1k=")</f>
        <v>#REF!</v>
      </c>
      <c r="CM238" t="e">
        <f>AND(#REF!,"AAAAAA33f1o=")</f>
        <v>#REF!</v>
      </c>
      <c r="CN238" t="e">
        <f>AND(#REF!,"AAAAAA33f1s=")</f>
        <v>#REF!</v>
      </c>
      <c r="CO238" t="e">
        <f>AND(#REF!,"AAAAAA33f1w=")</f>
        <v>#REF!</v>
      </c>
      <c r="CP238" t="e">
        <f>AND(#REF!,"AAAAAA33f10=")</f>
        <v>#REF!</v>
      </c>
      <c r="CQ238" t="e">
        <f>AND(#REF!,"AAAAAA33f14=")</f>
        <v>#REF!</v>
      </c>
      <c r="CR238" t="e">
        <f>AND(#REF!,"AAAAAA33f18=")</f>
        <v>#REF!</v>
      </c>
      <c r="CS238" t="e">
        <f>AND(#REF!,"AAAAAA33f2A=")</f>
        <v>#REF!</v>
      </c>
      <c r="CT238" t="e">
        <f>AND(#REF!,"AAAAAA33f2E=")</f>
        <v>#REF!</v>
      </c>
      <c r="CU238" t="e">
        <f>AND(#REF!,"AAAAAA33f2I=")</f>
        <v>#REF!</v>
      </c>
      <c r="CV238" t="e">
        <f>IF(#REF!,"AAAAAA33f2M=",0)</f>
        <v>#REF!</v>
      </c>
      <c r="CW238" t="e">
        <f>AND(#REF!,"AAAAAA33f2Q=")</f>
        <v>#REF!</v>
      </c>
      <c r="CX238" t="e">
        <f>AND(#REF!,"AAAAAA33f2U=")</f>
        <v>#REF!</v>
      </c>
      <c r="CY238" t="e">
        <f>AND(#REF!,"AAAAAA33f2Y=")</f>
        <v>#REF!</v>
      </c>
      <c r="CZ238" t="e">
        <f>AND(#REF!,"AAAAAA33f2c=")</f>
        <v>#REF!</v>
      </c>
      <c r="DA238" t="e">
        <f>AND(#REF!,"AAAAAA33f2g=")</f>
        <v>#REF!</v>
      </c>
      <c r="DB238" t="e">
        <f>AND(#REF!,"AAAAAA33f2k=")</f>
        <v>#REF!</v>
      </c>
      <c r="DC238" t="e">
        <f>AND(#REF!,"AAAAAA33f2o=")</f>
        <v>#REF!</v>
      </c>
      <c r="DD238" t="e">
        <f>AND(#REF!,"AAAAAA33f2s=")</f>
        <v>#REF!</v>
      </c>
      <c r="DE238" t="e">
        <f>AND(#REF!,"AAAAAA33f2w=")</f>
        <v>#REF!</v>
      </c>
      <c r="DF238" t="e">
        <f>AND(#REF!,"AAAAAA33f20=")</f>
        <v>#REF!</v>
      </c>
      <c r="DG238" t="e">
        <f>IF(#REF!,"AAAAAA33f24=",0)</f>
        <v>#REF!</v>
      </c>
      <c r="DH238" t="e">
        <f>AND(#REF!,"AAAAAA33f28=")</f>
        <v>#REF!</v>
      </c>
      <c r="DI238" t="e">
        <f>AND(#REF!,"AAAAAA33f3A=")</f>
        <v>#REF!</v>
      </c>
      <c r="DJ238" t="e">
        <f>AND(#REF!,"AAAAAA33f3E=")</f>
        <v>#REF!</v>
      </c>
      <c r="DK238" t="e">
        <f>AND(#REF!,"AAAAAA33f3I=")</f>
        <v>#REF!</v>
      </c>
      <c r="DL238" t="e">
        <f>AND(#REF!,"AAAAAA33f3M=")</f>
        <v>#REF!</v>
      </c>
      <c r="DM238" t="e">
        <f>AND(#REF!,"AAAAAA33f3Q=")</f>
        <v>#REF!</v>
      </c>
      <c r="DN238" t="e">
        <f>AND(#REF!,"AAAAAA33f3U=")</f>
        <v>#REF!</v>
      </c>
      <c r="DO238" t="e">
        <f>AND(#REF!,"AAAAAA33f3Y=")</f>
        <v>#REF!</v>
      </c>
      <c r="DP238" t="e">
        <f>AND(#REF!,"AAAAAA33f3c=")</f>
        <v>#REF!</v>
      </c>
      <c r="DQ238" t="e">
        <f>AND(#REF!,"AAAAAA33f3g=")</f>
        <v>#REF!</v>
      </c>
      <c r="DR238" t="e">
        <f>IF(#REF!,"AAAAAA33f3k=",0)</f>
        <v>#REF!</v>
      </c>
      <c r="DS238" t="e">
        <f>AND(#REF!,"AAAAAA33f3o=")</f>
        <v>#REF!</v>
      </c>
      <c r="DT238" t="e">
        <f>AND(#REF!,"AAAAAA33f3s=")</f>
        <v>#REF!</v>
      </c>
      <c r="DU238" t="e">
        <f>AND(#REF!,"AAAAAA33f3w=")</f>
        <v>#REF!</v>
      </c>
      <c r="DV238" t="e">
        <f>AND(#REF!,"AAAAAA33f30=")</f>
        <v>#REF!</v>
      </c>
      <c r="DW238" t="e">
        <f>AND(#REF!,"AAAAAA33f34=")</f>
        <v>#REF!</v>
      </c>
      <c r="DX238" t="e">
        <f>AND(#REF!,"AAAAAA33f38=")</f>
        <v>#REF!</v>
      </c>
      <c r="DY238" t="e">
        <f>AND(#REF!,"AAAAAA33f4A=")</f>
        <v>#REF!</v>
      </c>
      <c r="DZ238" t="e">
        <f>AND(#REF!,"AAAAAA33f4E=")</f>
        <v>#REF!</v>
      </c>
      <c r="EA238" t="e">
        <f>AND(#REF!,"AAAAAA33f4I=")</f>
        <v>#REF!</v>
      </c>
      <c r="EB238" t="e">
        <f>AND(#REF!,"AAAAAA33f4M=")</f>
        <v>#REF!</v>
      </c>
      <c r="EC238" t="e">
        <f>IF(#REF!,"AAAAAA33f4Q=",0)</f>
        <v>#REF!</v>
      </c>
      <c r="ED238" t="e">
        <f>AND(#REF!,"AAAAAA33f4U=")</f>
        <v>#REF!</v>
      </c>
      <c r="EE238" t="e">
        <f>AND(#REF!,"AAAAAA33f4Y=")</f>
        <v>#REF!</v>
      </c>
      <c r="EF238" t="e">
        <f>AND(#REF!,"AAAAAA33f4c=")</f>
        <v>#REF!</v>
      </c>
      <c r="EG238" t="e">
        <f>AND(#REF!,"AAAAAA33f4g=")</f>
        <v>#REF!</v>
      </c>
      <c r="EH238" t="e">
        <f>AND(#REF!,"AAAAAA33f4k=")</f>
        <v>#REF!</v>
      </c>
      <c r="EI238" t="e">
        <f>AND(#REF!,"AAAAAA33f4o=")</f>
        <v>#REF!</v>
      </c>
      <c r="EJ238" t="e">
        <f>AND(#REF!,"AAAAAA33f4s=")</f>
        <v>#REF!</v>
      </c>
      <c r="EK238" t="e">
        <f>AND(#REF!,"AAAAAA33f4w=")</f>
        <v>#REF!</v>
      </c>
      <c r="EL238" t="e">
        <f>AND(#REF!,"AAAAAA33f40=")</f>
        <v>#REF!</v>
      </c>
      <c r="EM238" t="e">
        <f>AND(#REF!,"AAAAAA33f44=")</f>
        <v>#REF!</v>
      </c>
      <c r="EN238" t="e">
        <f>IF(#REF!,"AAAAAA33f48=",0)</f>
        <v>#REF!</v>
      </c>
      <c r="EO238" t="e">
        <f>AND(#REF!,"AAAAAA33f5A=")</f>
        <v>#REF!</v>
      </c>
      <c r="EP238" t="e">
        <f>AND(#REF!,"AAAAAA33f5E=")</f>
        <v>#REF!</v>
      </c>
      <c r="EQ238" t="e">
        <f>AND(#REF!,"AAAAAA33f5I=")</f>
        <v>#REF!</v>
      </c>
      <c r="ER238" t="e">
        <f>AND(#REF!,"AAAAAA33f5M=")</f>
        <v>#REF!</v>
      </c>
      <c r="ES238" t="e">
        <f>AND(#REF!,"AAAAAA33f5Q=")</f>
        <v>#REF!</v>
      </c>
      <c r="ET238" t="e">
        <f>AND(#REF!,"AAAAAA33f5U=")</f>
        <v>#REF!</v>
      </c>
      <c r="EU238" t="e">
        <f>AND(#REF!,"AAAAAA33f5Y=")</f>
        <v>#REF!</v>
      </c>
      <c r="EV238" t="e">
        <f>AND(#REF!,"AAAAAA33f5c=")</f>
        <v>#REF!</v>
      </c>
      <c r="EW238" t="e">
        <f>AND(#REF!,"AAAAAA33f5g=")</f>
        <v>#REF!</v>
      </c>
      <c r="EX238" t="e">
        <f>AND(#REF!,"AAAAAA33f5k=")</f>
        <v>#REF!</v>
      </c>
      <c r="EY238" t="e">
        <f>IF(#REF!,"AAAAAA33f5o=",0)</f>
        <v>#REF!</v>
      </c>
      <c r="EZ238" t="e">
        <f>AND(#REF!,"AAAAAA33f5s=")</f>
        <v>#REF!</v>
      </c>
      <c r="FA238" t="e">
        <f>AND(#REF!,"AAAAAA33f5w=")</f>
        <v>#REF!</v>
      </c>
      <c r="FB238" t="e">
        <f>AND(#REF!,"AAAAAA33f50=")</f>
        <v>#REF!</v>
      </c>
      <c r="FC238" t="e">
        <f>AND(#REF!,"AAAAAA33f54=")</f>
        <v>#REF!</v>
      </c>
      <c r="FD238" t="e">
        <f>AND(#REF!,"AAAAAA33f58=")</f>
        <v>#REF!</v>
      </c>
      <c r="FE238" t="e">
        <f>AND(#REF!,"AAAAAA33f6A=")</f>
        <v>#REF!</v>
      </c>
      <c r="FF238" t="e">
        <f>AND(#REF!,"AAAAAA33f6E=")</f>
        <v>#REF!</v>
      </c>
      <c r="FG238" t="e">
        <f>AND(#REF!,"AAAAAA33f6I=")</f>
        <v>#REF!</v>
      </c>
      <c r="FH238" t="e">
        <f>AND(#REF!,"AAAAAA33f6M=")</f>
        <v>#REF!</v>
      </c>
      <c r="FI238" t="e">
        <f>AND(#REF!,"AAAAAA33f6Q=")</f>
        <v>#REF!</v>
      </c>
      <c r="FJ238" t="e">
        <f>IF(#REF!,"AAAAAA33f6U=",0)</f>
        <v>#REF!</v>
      </c>
      <c r="FK238" t="e">
        <f>AND(#REF!,"AAAAAA33f6Y=")</f>
        <v>#REF!</v>
      </c>
      <c r="FL238" t="e">
        <f>AND(#REF!,"AAAAAA33f6c=")</f>
        <v>#REF!</v>
      </c>
      <c r="FM238" t="e">
        <f>AND(#REF!,"AAAAAA33f6g=")</f>
        <v>#REF!</v>
      </c>
      <c r="FN238" t="e">
        <f>AND(#REF!,"AAAAAA33f6k=")</f>
        <v>#REF!</v>
      </c>
      <c r="FO238" t="e">
        <f>AND(#REF!,"AAAAAA33f6o=")</f>
        <v>#REF!</v>
      </c>
      <c r="FP238" t="e">
        <f>AND(#REF!,"AAAAAA33f6s=")</f>
        <v>#REF!</v>
      </c>
      <c r="FQ238" t="e">
        <f>AND(#REF!,"AAAAAA33f6w=")</f>
        <v>#REF!</v>
      </c>
      <c r="FR238" t="e">
        <f>AND(#REF!,"AAAAAA33f60=")</f>
        <v>#REF!</v>
      </c>
      <c r="FS238" t="e">
        <f>AND(#REF!,"AAAAAA33f64=")</f>
        <v>#REF!</v>
      </c>
      <c r="FT238" t="e">
        <f>AND(#REF!,"AAAAAA33f68=")</f>
        <v>#REF!</v>
      </c>
      <c r="FU238" t="e">
        <f>IF(#REF!,"AAAAAA33f7A=",0)</f>
        <v>#REF!</v>
      </c>
      <c r="FV238" t="e">
        <f>AND(#REF!,"AAAAAA33f7E=")</f>
        <v>#REF!</v>
      </c>
      <c r="FW238" t="e">
        <f>AND(#REF!,"AAAAAA33f7I=")</f>
        <v>#REF!</v>
      </c>
      <c r="FX238" t="e">
        <f>AND(#REF!,"AAAAAA33f7M=")</f>
        <v>#REF!</v>
      </c>
      <c r="FY238" t="e">
        <f>AND(#REF!,"AAAAAA33f7Q=")</f>
        <v>#REF!</v>
      </c>
      <c r="FZ238" t="e">
        <f>AND(#REF!,"AAAAAA33f7U=")</f>
        <v>#REF!</v>
      </c>
      <c r="GA238" t="e">
        <f>AND(#REF!,"AAAAAA33f7Y=")</f>
        <v>#REF!</v>
      </c>
      <c r="GB238" t="e">
        <f>AND(#REF!,"AAAAAA33f7c=")</f>
        <v>#REF!</v>
      </c>
      <c r="GC238" t="e">
        <f>AND(#REF!,"AAAAAA33f7g=")</f>
        <v>#REF!</v>
      </c>
      <c r="GD238" t="e">
        <f>AND(#REF!,"AAAAAA33f7k=")</f>
        <v>#REF!</v>
      </c>
      <c r="GE238" t="e">
        <f>AND(#REF!,"AAAAAA33f7o=")</f>
        <v>#REF!</v>
      </c>
      <c r="GF238" t="e">
        <f>IF(#REF!,"AAAAAA33f7s=",0)</f>
        <v>#REF!</v>
      </c>
      <c r="GG238" t="e">
        <f>AND(#REF!,"AAAAAA33f7w=")</f>
        <v>#REF!</v>
      </c>
      <c r="GH238" t="e">
        <f>AND(#REF!,"AAAAAA33f70=")</f>
        <v>#REF!</v>
      </c>
      <c r="GI238" t="e">
        <f>AND(#REF!,"AAAAAA33f74=")</f>
        <v>#REF!</v>
      </c>
      <c r="GJ238" t="e">
        <f>AND(#REF!,"AAAAAA33f78=")</f>
        <v>#REF!</v>
      </c>
      <c r="GK238" t="e">
        <f>AND(#REF!,"AAAAAA33f8A=")</f>
        <v>#REF!</v>
      </c>
      <c r="GL238" t="e">
        <f>AND(#REF!,"AAAAAA33f8E=")</f>
        <v>#REF!</v>
      </c>
      <c r="GM238" t="e">
        <f>AND(#REF!,"AAAAAA33f8I=")</f>
        <v>#REF!</v>
      </c>
      <c r="GN238" t="e">
        <f>AND(#REF!,"AAAAAA33f8M=")</f>
        <v>#REF!</v>
      </c>
      <c r="GO238" t="e">
        <f>AND(#REF!,"AAAAAA33f8Q=")</f>
        <v>#REF!</v>
      </c>
      <c r="GP238" t="e">
        <f>AND(#REF!,"AAAAAA33f8U=")</f>
        <v>#REF!</v>
      </c>
      <c r="GQ238" t="e">
        <f>IF(#REF!,"AAAAAA33f8Y=",0)</f>
        <v>#REF!</v>
      </c>
      <c r="GR238" t="e">
        <f>AND(#REF!,"AAAAAA33f8c=")</f>
        <v>#REF!</v>
      </c>
      <c r="GS238" t="e">
        <f>AND(#REF!,"AAAAAA33f8g=")</f>
        <v>#REF!</v>
      </c>
      <c r="GT238" t="e">
        <f>AND(#REF!,"AAAAAA33f8k=")</f>
        <v>#REF!</v>
      </c>
      <c r="GU238" t="e">
        <f>AND(#REF!,"AAAAAA33f8o=")</f>
        <v>#REF!</v>
      </c>
      <c r="GV238" t="e">
        <f>AND(#REF!,"AAAAAA33f8s=")</f>
        <v>#REF!</v>
      </c>
      <c r="GW238" t="e">
        <f>AND(#REF!,"AAAAAA33f8w=")</f>
        <v>#REF!</v>
      </c>
      <c r="GX238" t="e">
        <f>AND(#REF!,"AAAAAA33f80=")</f>
        <v>#REF!</v>
      </c>
      <c r="GY238" t="e">
        <f>AND(#REF!,"AAAAAA33f84=")</f>
        <v>#REF!</v>
      </c>
      <c r="GZ238" t="e">
        <f>AND(#REF!,"AAAAAA33f88=")</f>
        <v>#REF!</v>
      </c>
      <c r="HA238" t="e">
        <f>AND(#REF!,"AAAAAA33f9A=")</f>
        <v>#REF!</v>
      </c>
      <c r="HB238" t="e">
        <f>IF(#REF!,"AAAAAA33f9E=",0)</f>
        <v>#REF!</v>
      </c>
      <c r="HC238" t="e">
        <f>AND(#REF!,"AAAAAA33f9I=")</f>
        <v>#REF!</v>
      </c>
      <c r="HD238" t="e">
        <f>AND(#REF!,"AAAAAA33f9M=")</f>
        <v>#REF!</v>
      </c>
      <c r="HE238" t="e">
        <f>AND(#REF!,"AAAAAA33f9Q=")</f>
        <v>#REF!</v>
      </c>
      <c r="HF238" t="e">
        <f>AND(#REF!,"AAAAAA33f9U=")</f>
        <v>#REF!</v>
      </c>
      <c r="HG238" t="e">
        <f>AND(#REF!,"AAAAAA33f9Y=")</f>
        <v>#REF!</v>
      </c>
      <c r="HH238" t="e">
        <f>AND(#REF!,"AAAAAA33f9c=")</f>
        <v>#REF!</v>
      </c>
      <c r="HI238" t="e">
        <f>AND(#REF!,"AAAAAA33f9g=")</f>
        <v>#REF!</v>
      </c>
      <c r="HJ238" t="e">
        <f>AND(#REF!,"AAAAAA33f9k=")</f>
        <v>#REF!</v>
      </c>
      <c r="HK238" t="e">
        <f>AND(#REF!,"AAAAAA33f9o=")</f>
        <v>#REF!</v>
      </c>
      <c r="HL238" t="e">
        <f>AND(#REF!,"AAAAAA33f9s=")</f>
        <v>#REF!</v>
      </c>
      <c r="HM238" t="e">
        <f>IF(#REF!,"AAAAAA33f9w=",0)</f>
        <v>#REF!</v>
      </c>
      <c r="HN238" t="e">
        <f>AND(#REF!,"AAAAAA33f90=")</f>
        <v>#REF!</v>
      </c>
      <c r="HO238" t="e">
        <f>AND(#REF!,"AAAAAA33f94=")</f>
        <v>#REF!</v>
      </c>
      <c r="HP238" t="e">
        <f>AND(#REF!,"AAAAAA33f98=")</f>
        <v>#REF!</v>
      </c>
      <c r="HQ238" t="e">
        <f>AND(#REF!,"AAAAAA33f+A=")</f>
        <v>#REF!</v>
      </c>
      <c r="HR238" t="e">
        <f>AND(#REF!,"AAAAAA33f+E=")</f>
        <v>#REF!</v>
      </c>
      <c r="HS238" t="e">
        <f>AND(#REF!,"AAAAAA33f+I=")</f>
        <v>#REF!</v>
      </c>
      <c r="HT238" t="e">
        <f>AND(#REF!,"AAAAAA33f+M=")</f>
        <v>#REF!</v>
      </c>
      <c r="HU238" t="e">
        <f>AND(#REF!,"AAAAAA33f+Q=")</f>
        <v>#REF!</v>
      </c>
      <c r="HV238" t="e">
        <f>AND(#REF!,"AAAAAA33f+U=")</f>
        <v>#REF!</v>
      </c>
      <c r="HW238" t="e">
        <f>AND(#REF!,"AAAAAA33f+Y=")</f>
        <v>#REF!</v>
      </c>
      <c r="HX238" t="e">
        <f>IF(#REF!,"AAAAAA33f+c=",0)</f>
        <v>#REF!</v>
      </c>
      <c r="HY238" t="e">
        <f>AND(#REF!,"AAAAAA33f+g=")</f>
        <v>#REF!</v>
      </c>
      <c r="HZ238" t="e">
        <f>AND(#REF!,"AAAAAA33f+k=")</f>
        <v>#REF!</v>
      </c>
      <c r="IA238" t="e">
        <f>AND(#REF!,"AAAAAA33f+o=")</f>
        <v>#REF!</v>
      </c>
      <c r="IB238" t="e">
        <f>AND(#REF!,"AAAAAA33f+s=")</f>
        <v>#REF!</v>
      </c>
      <c r="IC238" t="e">
        <f>AND(#REF!,"AAAAAA33f+w=")</f>
        <v>#REF!</v>
      </c>
      <c r="ID238" t="e">
        <f>AND(#REF!,"AAAAAA33f+0=")</f>
        <v>#REF!</v>
      </c>
      <c r="IE238" t="e">
        <f>AND(#REF!,"AAAAAA33f+4=")</f>
        <v>#REF!</v>
      </c>
      <c r="IF238" t="e">
        <f>AND(#REF!,"AAAAAA33f+8=")</f>
        <v>#REF!</v>
      </c>
      <c r="IG238" t="e">
        <f>AND(#REF!,"AAAAAA33f/A=")</f>
        <v>#REF!</v>
      </c>
      <c r="IH238" t="e">
        <f>AND(#REF!,"AAAAAA33f/E=")</f>
        <v>#REF!</v>
      </c>
      <c r="II238" t="e">
        <f>IF(#REF!,"AAAAAA33f/I=",0)</f>
        <v>#REF!</v>
      </c>
      <c r="IJ238" t="e">
        <f>AND(#REF!,"AAAAAA33f/M=")</f>
        <v>#REF!</v>
      </c>
      <c r="IK238" t="e">
        <f>AND(#REF!,"AAAAAA33f/Q=")</f>
        <v>#REF!</v>
      </c>
      <c r="IL238" t="e">
        <f>AND(#REF!,"AAAAAA33f/U=")</f>
        <v>#REF!</v>
      </c>
      <c r="IM238" t="e">
        <f>AND(#REF!,"AAAAAA33f/Y=")</f>
        <v>#REF!</v>
      </c>
      <c r="IN238" t="e">
        <f>AND(#REF!,"AAAAAA33f/c=")</f>
        <v>#REF!</v>
      </c>
      <c r="IO238" t="e">
        <f>AND(#REF!,"AAAAAA33f/g=")</f>
        <v>#REF!</v>
      </c>
      <c r="IP238" t="e">
        <f>AND(#REF!,"AAAAAA33f/k=")</f>
        <v>#REF!</v>
      </c>
      <c r="IQ238" t="e">
        <f>AND(#REF!,"AAAAAA33f/o=")</f>
        <v>#REF!</v>
      </c>
      <c r="IR238" t="e">
        <f>AND(#REF!,"AAAAAA33f/s=")</f>
        <v>#REF!</v>
      </c>
      <c r="IS238" t="e">
        <f>AND(#REF!,"AAAAAA33f/w=")</f>
        <v>#REF!</v>
      </c>
      <c r="IT238" t="e">
        <f>IF(#REF!,"AAAAAA33f/0=",0)</f>
        <v>#REF!</v>
      </c>
      <c r="IU238" t="e">
        <f>AND(#REF!,"AAAAAA33f/4=")</f>
        <v>#REF!</v>
      </c>
      <c r="IV238" t="e">
        <f>AND(#REF!,"AAAAAA33f/8=")</f>
        <v>#REF!</v>
      </c>
    </row>
    <row r="239" spans="1:256" x14ac:dyDescent="0.25">
      <c r="A239" t="e">
        <f>AND(#REF!,"AAAAAH//7wA=")</f>
        <v>#REF!</v>
      </c>
      <c r="B239" t="e">
        <f>AND(#REF!,"AAAAAH//7wE=")</f>
        <v>#REF!</v>
      </c>
      <c r="C239" t="e">
        <f>AND(#REF!,"AAAAAH//7wI=")</f>
        <v>#REF!</v>
      </c>
      <c r="D239" t="e">
        <f>AND(#REF!,"AAAAAH//7wM=")</f>
        <v>#REF!</v>
      </c>
      <c r="E239" t="e">
        <f>AND(#REF!,"AAAAAH//7wQ=")</f>
        <v>#REF!</v>
      </c>
      <c r="F239" t="e">
        <f>AND(#REF!,"AAAAAH//7wU=")</f>
        <v>#REF!</v>
      </c>
      <c r="G239" t="e">
        <f>AND(#REF!,"AAAAAH//7wY=")</f>
        <v>#REF!</v>
      </c>
      <c r="H239" t="e">
        <f>AND(#REF!,"AAAAAH//7wc=")</f>
        <v>#REF!</v>
      </c>
      <c r="I239" t="e">
        <f>IF(#REF!,"AAAAAH//7wg=",0)</f>
        <v>#REF!</v>
      </c>
      <c r="J239" t="e">
        <f>AND(#REF!,"AAAAAH//7wk=")</f>
        <v>#REF!</v>
      </c>
      <c r="K239" t="e">
        <f>AND(#REF!,"AAAAAH//7wo=")</f>
        <v>#REF!</v>
      </c>
      <c r="L239" t="e">
        <f>AND(#REF!,"AAAAAH//7ws=")</f>
        <v>#REF!</v>
      </c>
      <c r="M239" t="e">
        <f>AND(#REF!,"AAAAAH//7ww=")</f>
        <v>#REF!</v>
      </c>
      <c r="N239" t="e">
        <f>AND(#REF!,"AAAAAH//7w0=")</f>
        <v>#REF!</v>
      </c>
      <c r="O239" t="e">
        <f>AND(#REF!,"AAAAAH//7w4=")</f>
        <v>#REF!</v>
      </c>
      <c r="P239" t="e">
        <f>AND(#REF!,"AAAAAH//7w8=")</f>
        <v>#REF!</v>
      </c>
      <c r="Q239" t="e">
        <f>AND(#REF!,"AAAAAH//7xA=")</f>
        <v>#REF!</v>
      </c>
      <c r="R239" t="e">
        <f>AND(#REF!,"AAAAAH//7xE=")</f>
        <v>#REF!</v>
      </c>
      <c r="S239" t="e">
        <f>AND(#REF!,"AAAAAH//7xI=")</f>
        <v>#REF!</v>
      </c>
      <c r="T239" t="e">
        <f>IF(#REF!,"AAAAAH//7xM=",0)</f>
        <v>#REF!</v>
      </c>
      <c r="U239" t="e">
        <f>AND(#REF!,"AAAAAH//7xQ=")</f>
        <v>#REF!</v>
      </c>
      <c r="V239" t="e">
        <f>AND(#REF!,"AAAAAH//7xU=")</f>
        <v>#REF!</v>
      </c>
      <c r="W239" t="e">
        <f>AND(#REF!,"AAAAAH//7xY=")</f>
        <v>#REF!</v>
      </c>
      <c r="X239" t="e">
        <f>AND(#REF!,"AAAAAH//7xc=")</f>
        <v>#REF!</v>
      </c>
      <c r="Y239" t="e">
        <f>AND(#REF!,"AAAAAH//7xg=")</f>
        <v>#REF!</v>
      </c>
      <c r="Z239" t="e">
        <f>AND(#REF!,"AAAAAH//7xk=")</f>
        <v>#REF!</v>
      </c>
      <c r="AA239" t="e">
        <f>AND(#REF!,"AAAAAH//7xo=")</f>
        <v>#REF!</v>
      </c>
      <c r="AB239" t="e">
        <f>AND(#REF!,"AAAAAH//7xs=")</f>
        <v>#REF!</v>
      </c>
      <c r="AC239" t="e">
        <f>AND(#REF!,"AAAAAH//7xw=")</f>
        <v>#REF!</v>
      </c>
      <c r="AD239" t="e">
        <f>AND(#REF!,"AAAAAH//7x0=")</f>
        <v>#REF!</v>
      </c>
      <c r="AE239" t="e">
        <f>IF(#REF!,"AAAAAH//7x4=",0)</f>
        <v>#REF!</v>
      </c>
      <c r="AF239" t="e">
        <f>AND(#REF!,"AAAAAH//7x8=")</f>
        <v>#REF!</v>
      </c>
      <c r="AG239" t="e">
        <f>AND(#REF!,"AAAAAH//7yA=")</f>
        <v>#REF!</v>
      </c>
      <c r="AH239" t="e">
        <f>AND(#REF!,"AAAAAH//7yE=")</f>
        <v>#REF!</v>
      </c>
      <c r="AI239" t="e">
        <f>AND(#REF!,"AAAAAH//7yI=")</f>
        <v>#REF!</v>
      </c>
      <c r="AJ239" t="e">
        <f>AND(#REF!,"AAAAAH//7yM=")</f>
        <v>#REF!</v>
      </c>
      <c r="AK239" t="e">
        <f>AND(#REF!,"AAAAAH//7yQ=")</f>
        <v>#REF!</v>
      </c>
      <c r="AL239" t="e">
        <f>AND(#REF!,"AAAAAH//7yU=")</f>
        <v>#REF!</v>
      </c>
      <c r="AM239" t="e">
        <f>AND(#REF!,"AAAAAH//7yY=")</f>
        <v>#REF!</v>
      </c>
      <c r="AN239" t="e">
        <f>AND(#REF!,"AAAAAH//7yc=")</f>
        <v>#REF!</v>
      </c>
      <c r="AO239" t="e">
        <f>AND(#REF!,"AAAAAH//7yg=")</f>
        <v>#REF!</v>
      </c>
      <c r="AP239" t="e">
        <f>IF(#REF!,"AAAAAH//7yk=",0)</f>
        <v>#REF!</v>
      </c>
      <c r="AQ239" t="e">
        <f>AND(#REF!,"AAAAAH//7yo=")</f>
        <v>#REF!</v>
      </c>
      <c r="AR239" t="e">
        <f>AND(#REF!,"AAAAAH//7ys=")</f>
        <v>#REF!</v>
      </c>
      <c r="AS239" t="e">
        <f>AND(#REF!,"AAAAAH//7yw=")</f>
        <v>#REF!</v>
      </c>
      <c r="AT239" t="e">
        <f>AND(#REF!,"AAAAAH//7y0=")</f>
        <v>#REF!</v>
      </c>
      <c r="AU239" t="e">
        <f>AND(#REF!,"AAAAAH//7y4=")</f>
        <v>#REF!</v>
      </c>
      <c r="AV239" t="e">
        <f>AND(#REF!,"AAAAAH//7y8=")</f>
        <v>#REF!</v>
      </c>
      <c r="AW239" t="e">
        <f>AND(#REF!,"AAAAAH//7zA=")</f>
        <v>#REF!</v>
      </c>
      <c r="AX239" t="e">
        <f>AND(#REF!,"AAAAAH//7zE=")</f>
        <v>#REF!</v>
      </c>
      <c r="AY239" t="e">
        <f>AND(#REF!,"AAAAAH//7zI=")</f>
        <v>#REF!</v>
      </c>
      <c r="AZ239" t="e">
        <f>AND(#REF!,"AAAAAH//7zM=")</f>
        <v>#REF!</v>
      </c>
      <c r="BA239" t="e">
        <f>IF(#REF!,"AAAAAH//7zQ=",0)</f>
        <v>#REF!</v>
      </c>
      <c r="BB239" t="e">
        <f>AND(#REF!,"AAAAAH//7zU=")</f>
        <v>#REF!</v>
      </c>
      <c r="BC239" t="e">
        <f>AND(#REF!,"AAAAAH//7zY=")</f>
        <v>#REF!</v>
      </c>
      <c r="BD239" t="e">
        <f>AND(#REF!,"AAAAAH//7zc=")</f>
        <v>#REF!</v>
      </c>
      <c r="BE239" t="e">
        <f>AND(#REF!,"AAAAAH//7zg=")</f>
        <v>#REF!</v>
      </c>
      <c r="BF239" t="e">
        <f>AND(#REF!,"AAAAAH//7zk=")</f>
        <v>#REF!</v>
      </c>
      <c r="BG239" t="e">
        <f>AND(#REF!,"AAAAAH//7zo=")</f>
        <v>#REF!</v>
      </c>
      <c r="BH239" t="e">
        <f>AND(#REF!,"AAAAAH//7zs=")</f>
        <v>#REF!</v>
      </c>
      <c r="BI239" t="e">
        <f>AND(#REF!,"AAAAAH//7zw=")</f>
        <v>#REF!</v>
      </c>
      <c r="BJ239" t="e">
        <f>AND(#REF!,"AAAAAH//7z0=")</f>
        <v>#REF!</v>
      </c>
      <c r="BK239" t="e">
        <f>AND(#REF!,"AAAAAH//7z4=")</f>
        <v>#REF!</v>
      </c>
      <c r="BL239" t="e">
        <f>IF(#REF!,"AAAAAH//7z8=",0)</f>
        <v>#REF!</v>
      </c>
      <c r="BM239" t="e">
        <f>AND(#REF!,"AAAAAH//70A=")</f>
        <v>#REF!</v>
      </c>
      <c r="BN239" t="e">
        <f>AND(#REF!,"AAAAAH//70E=")</f>
        <v>#REF!</v>
      </c>
      <c r="BO239" t="e">
        <f>AND(#REF!,"AAAAAH//70I=")</f>
        <v>#REF!</v>
      </c>
      <c r="BP239" t="e">
        <f>AND(#REF!,"AAAAAH//70M=")</f>
        <v>#REF!</v>
      </c>
      <c r="BQ239" t="e">
        <f>AND(#REF!,"AAAAAH//70Q=")</f>
        <v>#REF!</v>
      </c>
      <c r="BR239" t="e">
        <f>AND(#REF!,"AAAAAH//70U=")</f>
        <v>#REF!</v>
      </c>
      <c r="BS239" t="e">
        <f>AND(#REF!,"AAAAAH//70Y=")</f>
        <v>#REF!</v>
      </c>
      <c r="BT239" t="e">
        <f>AND(#REF!,"AAAAAH//70c=")</f>
        <v>#REF!</v>
      </c>
      <c r="BU239" t="e">
        <f>AND(#REF!,"AAAAAH//70g=")</f>
        <v>#REF!</v>
      </c>
      <c r="BV239" t="e">
        <f>AND(#REF!,"AAAAAH//70k=")</f>
        <v>#REF!</v>
      </c>
      <c r="BW239" t="e">
        <f>IF(#REF!,"AAAAAH//70o=",0)</f>
        <v>#REF!</v>
      </c>
      <c r="BX239" t="e">
        <f>AND(#REF!,"AAAAAH//70s=")</f>
        <v>#REF!</v>
      </c>
      <c r="BY239" t="e">
        <f>AND(#REF!,"AAAAAH//70w=")</f>
        <v>#REF!</v>
      </c>
      <c r="BZ239" t="e">
        <f>AND(#REF!,"AAAAAH//700=")</f>
        <v>#REF!</v>
      </c>
      <c r="CA239" t="e">
        <f>AND(#REF!,"AAAAAH//704=")</f>
        <v>#REF!</v>
      </c>
      <c r="CB239" t="e">
        <f>AND(#REF!,"AAAAAH//708=")</f>
        <v>#REF!</v>
      </c>
      <c r="CC239" t="e">
        <f>AND(#REF!,"AAAAAH//71A=")</f>
        <v>#REF!</v>
      </c>
      <c r="CD239" t="e">
        <f>AND(#REF!,"AAAAAH//71E=")</f>
        <v>#REF!</v>
      </c>
      <c r="CE239" t="e">
        <f>AND(#REF!,"AAAAAH//71I=")</f>
        <v>#REF!</v>
      </c>
      <c r="CF239" t="e">
        <f>AND(#REF!,"AAAAAH//71M=")</f>
        <v>#REF!</v>
      </c>
      <c r="CG239" t="e">
        <f>AND(#REF!,"AAAAAH//71Q=")</f>
        <v>#REF!</v>
      </c>
      <c r="CH239" t="e">
        <f>IF(#REF!,"AAAAAH//71U=",0)</f>
        <v>#REF!</v>
      </c>
      <c r="CI239" t="e">
        <f>AND(#REF!,"AAAAAH//71Y=")</f>
        <v>#REF!</v>
      </c>
      <c r="CJ239" t="e">
        <f>AND(#REF!,"AAAAAH//71c=")</f>
        <v>#REF!</v>
      </c>
      <c r="CK239" t="e">
        <f>AND(#REF!,"AAAAAH//71g=")</f>
        <v>#REF!</v>
      </c>
      <c r="CL239" t="e">
        <f>AND(#REF!,"AAAAAH//71k=")</f>
        <v>#REF!</v>
      </c>
      <c r="CM239" t="e">
        <f>AND(#REF!,"AAAAAH//71o=")</f>
        <v>#REF!</v>
      </c>
      <c r="CN239" t="e">
        <f>AND(#REF!,"AAAAAH//71s=")</f>
        <v>#REF!</v>
      </c>
      <c r="CO239" t="e">
        <f>AND(#REF!,"AAAAAH//71w=")</f>
        <v>#REF!</v>
      </c>
      <c r="CP239" t="e">
        <f>AND(#REF!,"AAAAAH//710=")</f>
        <v>#REF!</v>
      </c>
      <c r="CQ239" t="e">
        <f>AND(#REF!,"AAAAAH//714=")</f>
        <v>#REF!</v>
      </c>
      <c r="CR239" t="e">
        <f>AND(#REF!,"AAAAAH//718=")</f>
        <v>#REF!</v>
      </c>
      <c r="CS239" t="e">
        <f>IF(#REF!,"AAAAAH//72A=",0)</f>
        <v>#REF!</v>
      </c>
      <c r="CT239" t="e">
        <f>AND(#REF!,"AAAAAH//72E=")</f>
        <v>#REF!</v>
      </c>
      <c r="CU239" t="e">
        <f>AND(#REF!,"AAAAAH//72I=")</f>
        <v>#REF!</v>
      </c>
      <c r="CV239" t="e">
        <f>AND(#REF!,"AAAAAH//72M=")</f>
        <v>#REF!</v>
      </c>
      <c r="CW239" t="e">
        <f>AND(#REF!,"AAAAAH//72Q=")</f>
        <v>#REF!</v>
      </c>
      <c r="CX239" t="e">
        <f>AND(#REF!,"AAAAAH//72U=")</f>
        <v>#REF!</v>
      </c>
      <c r="CY239" t="e">
        <f>AND(#REF!,"AAAAAH//72Y=")</f>
        <v>#REF!</v>
      </c>
      <c r="CZ239" t="e">
        <f>AND(#REF!,"AAAAAH//72c=")</f>
        <v>#REF!</v>
      </c>
      <c r="DA239" t="e">
        <f>AND(#REF!,"AAAAAH//72g=")</f>
        <v>#REF!</v>
      </c>
      <c r="DB239" t="e">
        <f>AND(#REF!,"AAAAAH//72k=")</f>
        <v>#REF!</v>
      </c>
      <c r="DC239" t="e">
        <f>AND(#REF!,"AAAAAH//72o=")</f>
        <v>#REF!</v>
      </c>
      <c r="DD239" t="e">
        <f>IF(#REF!,"AAAAAH//72s=",0)</f>
        <v>#REF!</v>
      </c>
      <c r="DE239" t="e">
        <f>AND(#REF!,"AAAAAH//72w=")</f>
        <v>#REF!</v>
      </c>
      <c r="DF239" t="e">
        <f>AND(#REF!,"AAAAAH//720=")</f>
        <v>#REF!</v>
      </c>
      <c r="DG239" t="e">
        <f>AND(#REF!,"AAAAAH//724=")</f>
        <v>#REF!</v>
      </c>
      <c r="DH239" t="e">
        <f>AND(#REF!,"AAAAAH//728=")</f>
        <v>#REF!</v>
      </c>
      <c r="DI239" t="e">
        <f>AND(#REF!,"AAAAAH//73A=")</f>
        <v>#REF!</v>
      </c>
      <c r="DJ239" t="e">
        <f>AND(#REF!,"AAAAAH//73E=")</f>
        <v>#REF!</v>
      </c>
      <c r="DK239" t="e">
        <f>AND(#REF!,"AAAAAH//73I=")</f>
        <v>#REF!</v>
      </c>
      <c r="DL239" t="e">
        <f>AND(#REF!,"AAAAAH//73M=")</f>
        <v>#REF!</v>
      </c>
      <c r="DM239" t="e">
        <f>AND(#REF!,"AAAAAH//73Q=")</f>
        <v>#REF!</v>
      </c>
      <c r="DN239" t="e">
        <f>AND(#REF!,"AAAAAH//73U=")</f>
        <v>#REF!</v>
      </c>
      <c r="DO239" t="e">
        <f>IF(#REF!,"AAAAAH//73Y=",0)</f>
        <v>#REF!</v>
      </c>
      <c r="DP239" t="e">
        <f>AND(#REF!,"AAAAAH//73c=")</f>
        <v>#REF!</v>
      </c>
      <c r="DQ239" t="e">
        <f>AND(#REF!,"AAAAAH//73g=")</f>
        <v>#REF!</v>
      </c>
      <c r="DR239" t="e">
        <f>AND(#REF!,"AAAAAH//73k=")</f>
        <v>#REF!</v>
      </c>
      <c r="DS239" t="e">
        <f>AND(#REF!,"AAAAAH//73o=")</f>
        <v>#REF!</v>
      </c>
      <c r="DT239" t="e">
        <f>AND(#REF!,"AAAAAH//73s=")</f>
        <v>#REF!</v>
      </c>
      <c r="DU239" t="e">
        <f>AND(#REF!,"AAAAAH//73w=")</f>
        <v>#REF!</v>
      </c>
      <c r="DV239" t="e">
        <f>AND(#REF!,"AAAAAH//730=")</f>
        <v>#REF!</v>
      </c>
      <c r="DW239" t="e">
        <f>AND(#REF!,"AAAAAH//734=")</f>
        <v>#REF!</v>
      </c>
      <c r="DX239" t="e">
        <f>AND(#REF!,"AAAAAH//738=")</f>
        <v>#REF!</v>
      </c>
      <c r="DY239" t="e">
        <f>AND(#REF!,"AAAAAH//74A=")</f>
        <v>#REF!</v>
      </c>
      <c r="DZ239" t="e">
        <f>IF(#REF!,"AAAAAH//74E=",0)</f>
        <v>#REF!</v>
      </c>
      <c r="EA239" t="e">
        <f>AND(#REF!,"AAAAAH//74I=")</f>
        <v>#REF!</v>
      </c>
      <c r="EB239" t="e">
        <f>AND(#REF!,"AAAAAH//74M=")</f>
        <v>#REF!</v>
      </c>
      <c r="EC239" t="e">
        <f>AND(#REF!,"AAAAAH//74Q=")</f>
        <v>#REF!</v>
      </c>
      <c r="ED239" t="e">
        <f>AND(#REF!,"AAAAAH//74U=")</f>
        <v>#REF!</v>
      </c>
      <c r="EE239" t="e">
        <f>AND(#REF!,"AAAAAH//74Y=")</f>
        <v>#REF!</v>
      </c>
      <c r="EF239" t="e">
        <f>AND(#REF!,"AAAAAH//74c=")</f>
        <v>#REF!</v>
      </c>
      <c r="EG239" t="e">
        <f>AND(#REF!,"AAAAAH//74g=")</f>
        <v>#REF!</v>
      </c>
      <c r="EH239" t="e">
        <f>AND(#REF!,"AAAAAH//74k=")</f>
        <v>#REF!</v>
      </c>
      <c r="EI239" t="e">
        <f>AND(#REF!,"AAAAAH//74o=")</f>
        <v>#REF!</v>
      </c>
      <c r="EJ239" t="e">
        <f>AND(#REF!,"AAAAAH//74s=")</f>
        <v>#REF!</v>
      </c>
      <c r="EK239" t="e">
        <f>IF(#REF!,"AAAAAH//74w=",0)</f>
        <v>#REF!</v>
      </c>
      <c r="EL239" t="e">
        <f>AND(#REF!,"AAAAAH//740=")</f>
        <v>#REF!</v>
      </c>
      <c r="EM239" t="e">
        <f>AND(#REF!,"AAAAAH//744=")</f>
        <v>#REF!</v>
      </c>
      <c r="EN239" t="e">
        <f>AND(#REF!,"AAAAAH//748=")</f>
        <v>#REF!</v>
      </c>
      <c r="EO239" t="e">
        <f>AND(#REF!,"AAAAAH//75A=")</f>
        <v>#REF!</v>
      </c>
      <c r="EP239" t="e">
        <f>AND(#REF!,"AAAAAH//75E=")</f>
        <v>#REF!</v>
      </c>
      <c r="EQ239" t="e">
        <f>AND(#REF!,"AAAAAH//75I=")</f>
        <v>#REF!</v>
      </c>
      <c r="ER239" t="e">
        <f>AND(#REF!,"AAAAAH//75M=")</f>
        <v>#REF!</v>
      </c>
      <c r="ES239" t="e">
        <f>AND(#REF!,"AAAAAH//75Q=")</f>
        <v>#REF!</v>
      </c>
      <c r="ET239" t="e">
        <f>AND(#REF!,"AAAAAH//75U=")</f>
        <v>#REF!</v>
      </c>
      <c r="EU239" t="e">
        <f>AND(#REF!,"AAAAAH//75Y=")</f>
        <v>#REF!</v>
      </c>
      <c r="EV239" t="e">
        <f>IF(#REF!,"AAAAAH//75c=",0)</f>
        <v>#REF!</v>
      </c>
      <c r="EW239" t="e">
        <f>AND(#REF!,"AAAAAH//75g=")</f>
        <v>#REF!</v>
      </c>
      <c r="EX239" t="e">
        <f>AND(#REF!,"AAAAAH//75k=")</f>
        <v>#REF!</v>
      </c>
      <c r="EY239" t="e">
        <f>AND(#REF!,"AAAAAH//75o=")</f>
        <v>#REF!</v>
      </c>
      <c r="EZ239" t="e">
        <f>AND(#REF!,"AAAAAH//75s=")</f>
        <v>#REF!</v>
      </c>
      <c r="FA239" t="e">
        <f>AND(#REF!,"AAAAAH//75w=")</f>
        <v>#REF!</v>
      </c>
      <c r="FB239" t="e">
        <f>AND(#REF!,"AAAAAH//750=")</f>
        <v>#REF!</v>
      </c>
      <c r="FC239" t="e">
        <f>AND(#REF!,"AAAAAH//754=")</f>
        <v>#REF!</v>
      </c>
      <c r="FD239" t="e">
        <f>AND(#REF!,"AAAAAH//758=")</f>
        <v>#REF!</v>
      </c>
      <c r="FE239" t="e">
        <f>AND(#REF!,"AAAAAH//76A=")</f>
        <v>#REF!</v>
      </c>
      <c r="FF239" t="e">
        <f>AND(#REF!,"AAAAAH//76E=")</f>
        <v>#REF!</v>
      </c>
      <c r="FG239" t="e">
        <f>IF(#REF!,"AAAAAH//76I=",0)</f>
        <v>#REF!</v>
      </c>
      <c r="FH239" t="e">
        <f>AND(#REF!,"AAAAAH//76M=")</f>
        <v>#REF!</v>
      </c>
      <c r="FI239" t="e">
        <f>AND(#REF!,"AAAAAH//76Q=")</f>
        <v>#REF!</v>
      </c>
      <c r="FJ239" t="e">
        <f>AND(#REF!,"AAAAAH//76U=")</f>
        <v>#REF!</v>
      </c>
      <c r="FK239" t="e">
        <f>AND(#REF!,"AAAAAH//76Y=")</f>
        <v>#REF!</v>
      </c>
      <c r="FL239" t="e">
        <f>AND(#REF!,"AAAAAH//76c=")</f>
        <v>#REF!</v>
      </c>
      <c r="FM239" t="e">
        <f>AND(#REF!,"AAAAAH//76g=")</f>
        <v>#REF!</v>
      </c>
      <c r="FN239" t="e">
        <f>AND(#REF!,"AAAAAH//76k=")</f>
        <v>#REF!</v>
      </c>
      <c r="FO239" t="e">
        <f>AND(#REF!,"AAAAAH//76o=")</f>
        <v>#REF!</v>
      </c>
      <c r="FP239" t="e">
        <f>AND(#REF!,"AAAAAH//76s=")</f>
        <v>#REF!</v>
      </c>
      <c r="FQ239" t="e">
        <f>AND(#REF!,"AAAAAH//76w=")</f>
        <v>#REF!</v>
      </c>
      <c r="FR239" t="e">
        <f>IF(#REF!,"AAAAAH//760=",0)</f>
        <v>#REF!</v>
      </c>
      <c r="FS239" t="e">
        <f>AND(#REF!,"AAAAAH//764=")</f>
        <v>#REF!</v>
      </c>
      <c r="FT239" t="e">
        <f>AND(#REF!,"AAAAAH//768=")</f>
        <v>#REF!</v>
      </c>
      <c r="FU239" t="e">
        <f>AND(#REF!,"AAAAAH//77A=")</f>
        <v>#REF!</v>
      </c>
      <c r="FV239" t="e">
        <f>AND(#REF!,"AAAAAH//77E=")</f>
        <v>#REF!</v>
      </c>
      <c r="FW239" t="e">
        <f>AND(#REF!,"AAAAAH//77I=")</f>
        <v>#REF!</v>
      </c>
      <c r="FX239" t="e">
        <f>AND(#REF!,"AAAAAH//77M=")</f>
        <v>#REF!</v>
      </c>
      <c r="FY239" t="e">
        <f>AND(#REF!,"AAAAAH//77Q=")</f>
        <v>#REF!</v>
      </c>
      <c r="FZ239" t="e">
        <f>AND(#REF!,"AAAAAH//77U=")</f>
        <v>#REF!</v>
      </c>
      <c r="GA239" t="e">
        <f>AND(#REF!,"AAAAAH//77Y=")</f>
        <v>#REF!</v>
      </c>
      <c r="GB239" t="e">
        <f>AND(#REF!,"AAAAAH//77c=")</f>
        <v>#REF!</v>
      </c>
      <c r="GC239" t="e">
        <f>IF(#REF!,"AAAAAH//77g=",0)</f>
        <v>#REF!</v>
      </c>
      <c r="GD239" t="e">
        <f>AND(#REF!,"AAAAAH//77k=")</f>
        <v>#REF!</v>
      </c>
      <c r="GE239" t="e">
        <f>AND(#REF!,"AAAAAH//77o=")</f>
        <v>#REF!</v>
      </c>
      <c r="GF239" t="e">
        <f>AND(#REF!,"AAAAAH//77s=")</f>
        <v>#REF!</v>
      </c>
      <c r="GG239" t="e">
        <f>AND(#REF!,"AAAAAH//77w=")</f>
        <v>#REF!</v>
      </c>
      <c r="GH239" t="e">
        <f>AND(#REF!,"AAAAAH//770=")</f>
        <v>#REF!</v>
      </c>
      <c r="GI239" t="e">
        <f>AND(#REF!,"AAAAAH//774=")</f>
        <v>#REF!</v>
      </c>
      <c r="GJ239" t="e">
        <f>AND(#REF!,"AAAAAH//778=")</f>
        <v>#REF!</v>
      </c>
      <c r="GK239" t="e">
        <f>AND(#REF!,"AAAAAH//78A=")</f>
        <v>#REF!</v>
      </c>
      <c r="GL239" t="e">
        <f>AND(#REF!,"AAAAAH//78E=")</f>
        <v>#REF!</v>
      </c>
      <c r="GM239" t="e">
        <f>AND(#REF!,"AAAAAH//78I=")</f>
        <v>#REF!</v>
      </c>
      <c r="GN239" t="e">
        <f>IF(#REF!,"AAAAAH//78M=",0)</f>
        <v>#REF!</v>
      </c>
      <c r="GO239" t="e">
        <f>AND(#REF!,"AAAAAH//78Q=")</f>
        <v>#REF!</v>
      </c>
      <c r="GP239" t="e">
        <f>AND(#REF!,"AAAAAH//78U=")</f>
        <v>#REF!</v>
      </c>
      <c r="GQ239" t="e">
        <f>AND(#REF!,"AAAAAH//78Y=")</f>
        <v>#REF!</v>
      </c>
      <c r="GR239" t="e">
        <f>AND(#REF!,"AAAAAH//78c=")</f>
        <v>#REF!</v>
      </c>
      <c r="GS239" t="e">
        <f>AND(#REF!,"AAAAAH//78g=")</f>
        <v>#REF!</v>
      </c>
      <c r="GT239" t="e">
        <f>AND(#REF!,"AAAAAH//78k=")</f>
        <v>#REF!</v>
      </c>
      <c r="GU239" t="e">
        <f>AND(#REF!,"AAAAAH//78o=")</f>
        <v>#REF!</v>
      </c>
      <c r="GV239" t="e">
        <f>AND(#REF!,"AAAAAH//78s=")</f>
        <v>#REF!</v>
      </c>
      <c r="GW239" t="e">
        <f>AND(#REF!,"AAAAAH//78w=")</f>
        <v>#REF!</v>
      </c>
      <c r="GX239" t="e">
        <f>AND(#REF!,"AAAAAH//780=")</f>
        <v>#REF!</v>
      </c>
      <c r="GY239" t="e">
        <f>IF(#REF!,"AAAAAH//784=",0)</f>
        <v>#REF!</v>
      </c>
      <c r="GZ239" t="e">
        <f>AND(#REF!,"AAAAAH//788=")</f>
        <v>#REF!</v>
      </c>
      <c r="HA239" t="e">
        <f>AND(#REF!,"AAAAAH//79A=")</f>
        <v>#REF!</v>
      </c>
      <c r="HB239" t="e">
        <f>AND(#REF!,"AAAAAH//79E=")</f>
        <v>#REF!</v>
      </c>
      <c r="HC239" t="e">
        <f>AND(#REF!,"AAAAAH//79I=")</f>
        <v>#REF!</v>
      </c>
      <c r="HD239" t="e">
        <f>AND(#REF!,"AAAAAH//79M=")</f>
        <v>#REF!</v>
      </c>
      <c r="HE239" t="e">
        <f>AND(#REF!,"AAAAAH//79Q=")</f>
        <v>#REF!</v>
      </c>
      <c r="HF239" t="e">
        <f>AND(#REF!,"AAAAAH//79U=")</f>
        <v>#REF!</v>
      </c>
      <c r="HG239" t="e">
        <f>AND(#REF!,"AAAAAH//79Y=")</f>
        <v>#REF!</v>
      </c>
      <c r="HH239" t="e">
        <f>AND(#REF!,"AAAAAH//79c=")</f>
        <v>#REF!</v>
      </c>
      <c r="HI239" t="e">
        <f>AND(#REF!,"AAAAAH//79g=")</f>
        <v>#REF!</v>
      </c>
      <c r="HJ239" t="e">
        <f>IF(#REF!,"AAAAAH//79k=",0)</f>
        <v>#REF!</v>
      </c>
      <c r="HK239" t="e">
        <f>AND(#REF!,"AAAAAH//79o=")</f>
        <v>#REF!</v>
      </c>
      <c r="HL239" t="e">
        <f>AND(#REF!,"AAAAAH//79s=")</f>
        <v>#REF!</v>
      </c>
      <c r="HM239" t="e">
        <f>AND(#REF!,"AAAAAH//79w=")</f>
        <v>#REF!</v>
      </c>
      <c r="HN239" t="e">
        <f>AND(#REF!,"AAAAAH//790=")</f>
        <v>#REF!</v>
      </c>
      <c r="HO239" t="e">
        <f>AND(#REF!,"AAAAAH//794=")</f>
        <v>#REF!</v>
      </c>
      <c r="HP239" t="e">
        <f>AND(#REF!,"AAAAAH//798=")</f>
        <v>#REF!</v>
      </c>
      <c r="HQ239" t="e">
        <f>AND(#REF!,"AAAAAH//7+A=")</f>
        <v>#REF!</v>
      </c>
      <c r="HR239" t="e">
        <f>AND(#REF!,"AAAAAH//7+E=")</f>
        <v>#REF!</v>
      </c>
      <c r="HS239" t="e">
        <f>AND(#REF!,"AAAAAH//7+I=")</f>
        <v>#REF!</v>
      </c>
      <c r="HT239" t="e">
        <f>AND(#REF!,"AAAAAH//7+M=")</f>
        <v>#REF!</v>
      </c>
      <c r="HU239" t="e">
        <f>IF(#REF!,"AAAAAH//7+Q=",0)</f>
        <v>#REF!</v>
      </c>
      <c r="HV239" t="e">
        <f>AND(#REF!,"AAAAAH//7+U=")</f>
        <v>#REF!</v>
      </c>
      <c r="HW239" t="e">
        <f>AND(#REF!,"AAAAAH//7+Y=")</f>
        <v>#REF!</v>
      </c>
      <c r="HX239" t="e">
        <f>AND(#REF!,"AAAAAH//7+c=")</f>
        <v>#REF!</v>
      </c>
      <c r="HY239" t="e">
        <f>AND(#REF!,"AAAAAH//7+g=")</f>
        <v>#REF!</v>
      </c>
      <c r="HZ239" t="e">
        <f>AND(#REF!,"AAAAAH//7+k=")</f>
        <v>#REF!</v>
      </c>
      <c r="IA239" t="e">
        <f>AND(#REF!,"AAAAAH//7+o=")</f>
        <v>#REF!</v>
      </c>
      <c r="IB239" t="e">
        <f>AND(#REF!,"AAAAAH//7+s=")</f>
        <v>#REF!</v>
      </c>
      <c r="IC239" t="e">
        <f>AND(#REF!,"AAAAAH//7+w=")</f>
        <v>#REF!</v>
      </c>
      <c r="ID239" t="e">
        <f>AND(#REF!,"AAAAAH//7+0=")</f>
        <v>#REF!</v>
      </c>
      <c r="IE239" t="e">
        <f>AND(#REF!,"AAAAAH//7+4=")</f>
        <v>#REF!</v>
      </c>
      <c r="IF239" t="e">
        <f>IF(#REF!,"AAAAAH//7+8=",0)</f>
        <v>#REF!</v>
      </c>
      <c r="IG239" t="e">
        <f>AND(#REF!,"AAAAAH//7/A=")</f>
        <v>#REF!</v>
      </c>
      <c r="IH239" t="e">
        <f>AND(#REF!,"AAAAAH//7/E=")</f>
        <v>#REF!</v>
      </c>
      <c r="II239" t="e">
        <f>AND(#REF!,"AAAAAH//7/I=")</f>
        <v>#REF!</v>
      </c>
      <c r="IJ239" t="e">
        <f>AND(#REF!,"AAAAAH//7/M=")</f>
        <v>#REF!</v>
      </c>
      <c r="IK239" t="e">
        <f>AND(#REF!,"AAAAAH//7/Q=")</f>
        <v>#REF!</v>
      </c>
      <c r="IL239" t="e">
        <f>AND(#REF!,"AAAAAH//7/U=")</f>
        <v>#REF!</v>
      </c>
      <c r="IM239" t="e">
        <f>AND(#REF!,"AAAAAH//7/Y=")</f>
        <v>#REF!</v>
      </c>
      <c r="IN239" t="e">
        <f>AND(#REF!,"AAAAAH//7/c=")</f>
        <v>#REF!</v>
      </c>
      <c r="IO239" t="e">
        <f>AND(#REF!,"AAAAAH//7/g=")</f>
        <v>#REF!</v>
      </c>
      <c r="IP239" t="e">
        <f>AND(#REF!,"AAAAAH//7/k=")</f>
        <v>#REF!</v>
      </c>
      <c r="IQ239" t="e">
        <f>IF(#REF!,"AAAAAH//7/o=",0)</f>
        <v>#REF!</v>
      </c>
      <c r="IR239" t="e">
        <f>AND(#REF!,"AAAAAH//7/s=")</f>
        <v>#REF!</v>
      </c>
      <c r="IS239" t="e">
        <f>AND(#REF!,"AAAAAH//7/w=")</f>
        <v>#REF!</v>
      </c>
      <c r="IT239" t="e">
        <f>AND(#REF!,"AAAAAH//7/0=")</f>
        <v>#REF!</v>
      </c>
      <c r="IU239" t="e">
        <f>AND(#REF!,"AAAAAH//7/4=")</f>
        <v>#REF!</v>
      </c>
      <c r="IV239" t="e">
        <f>AND(#REF!,"AAAAAH//7/8=")</f>
        <v>#REF!</v>
      </c>
    </row>
    <row r="240" spans="1:256" x14ac:dyDescent="0.25">
      <c r="A240" t="e">
        <f>AND(#REF!,"AAAAAG/0mAA=")</f>
        <v>#REF!</v>
      </c>
      <c r="B240" t="e">
        <f>AND(#REF!,"AAAAAG/0mAE=")</f>
        <v>#REF!</v>
      </c>
      <c r="C240" t="e">
        <f>AND(#REF!,"AAAAAG/0mAI=")</f>
        <v>#REF!</v>
      </c>
      <c r="D240" t="e">
        <f>AND(#REF!,"AAAAAG/0mAM=")</f>
        <v>#REF!</v>
      </c>
      <c r="E240" t="e">
        <f>AND(#REF!,"AAAAAG/0mAQ=")</f>
        <v>#REF!</v>
      </c>
      <c r="F240" t="e">
        <f>IF(#REF!,"AAAAAG/0mAU=",0)</f>
        <v>#REF!</v>
      </c>
      <c r="G240" t="e">
        <f>AND(#REF!,"AAAAAG/0mAY=")</f>
        <v>#REF!</v>
      </c>
      <c r="H240" t="e">
        <f>AND(#REF!,"AAAAAG/0mAc=")</f>
        <v>#REF!</v>
      </c>
      <c r="I240" t="e">
        <f>AND(#REF!,"AAAAAG/0mAg=")</f>
        <v>#REF!</v>
      </c>
      <c r="J240" t="e">
        <f>AND(#REF!,"AAAAAG/0mAk=")</f>
        <v>#REF!</v>
      </c>
      <c r="K240" t="e">
        <f>AND(#REF!,"AAAAAG/0mAo=")</f>
        <v>#REF!</v>
      </c>
      <c r="L240" t="e">
        <f>AND(#REF!,"AAAAAG/0mAs=")</f>
        <v>#REF!</v>
      </c>
      <c r="M240" t="e">
        <f>AND(#REF!,"AAAAAG/0mAw=")</f>
        <v>#REF!</v>
      </c>
      <c r="N240" t="e">
        <f>AND(#REF!,"AAAAAG/0mA0=")</f>
        <v>#REF!</v>
      </c>
      <c r="O240" t="e">
        <f>AND(#REF!,"AAAAAG/0mA4=")</f>
        <v>#REF!</v>
      </c>
      <c r="P240" t="e">
        <f>AND(#REF!,"AAAAAG/0mA8=")</f>
        <v>#REF!</v>
      </c>
      <c r="Q240" t="e">
        <f>IF(#REF!,"AAAAAG/0mBA=",0)</f>
        <v>#REF!</v>
      </c>
      <c r="R240" t="e">
        <f>AND(#REF!,"AAAAAG/0mBE=")</f>
        <v>#REF!</v>
      </c>
      <c r="S240" t="e">
        <f>AND(#REF!,"AAAAAG/0mBI=")</f>
        <v>#REF!</v>
      </c>
      <c r="T240" t="e">
        <f>AND(#REF!,"AAAAAG/0mBM=")</f>
        <v>#REF!</v>
      </c>
      <c r="U240" t="e">
        <f>AND(#REF!,"AAAAAG/0mBQ=")</f>
        <v>#REF!</v>
      </c>
      <c r="V240" t="e">
        <f>AND(#REF!,"AAAAAG/0mBU=")</f>
        <v>#REF!</v>
      </c>
      <c r="W240" t="e">
        <f>AND(#REF!,"AAAAAG/0mBY=")</f>
        <v>#REF!</v>
      </c>
      <c r="X240" t="e">
        <f>AND(#REF!,"AAAAAG/0mBc=")</f>
        <v>#REF!</v>
      </c>
      <c r="Y240" t="e">
        <f>AND(#REF!,"AAAAAG/0mBg=")</f>
        <v>#REF!</v>
      </c>
      <c r="Z240" t="e">
        <f>AND(#REF!,"AAAAAG/0mBk=")</f>
        <v>#REF!</v>
      </c>
      <c r="AA240" t="e">
        <f>AND(#REF!,"AAAAAG/0mBo=")</f>
        <v>#REF!</v>
      </c>
      <c r="AB240" t="e">
        <f>IF(#REF!,"AAAAAG/0mBs=",0)</f>
        <v>#REF!</v>
      </c>
      <c r="AC240" t="e">
        <f>AND(#REF!,"AAAAAG/0mBw=")</f>
        <v>#REF!</v>
      </c>
      <c r="AD240" t="e">
        <f>AND(#REF!,"AAAAAG/0mB0=")</f>
        <v>#REF!</v>
      </c>
      <c r="AE240" t="e">
        <f>AND(#REF!,"AAAAAG/0mB4=")</f>
        <v>#REF!</v>
      </c>
      <c r="AF240" t="e">
        <f>AND(#REF!,"AAAAAG/0mB8=")</f>
        <v>#REF!</v>
      </c>
      <c r="AG240" t="e">
        <f>AND(#REF!,"AAAAAG/0mCA=")</f>
        <v>#REF!</v>
      </c>
      <c r="AH240" t="e">
        <f>AND(#REF!,"AAAAAG/0mCE=")</f>
        <v>#REF!</v>
      </c>
      <c r="AI240" t="e">
        <f>AND(#REF!,"AAAAAG/0mCI=")</f>
        <v>#REF!</v>
      </c>
      <c r="AJ240" t="e">
        <f>AND(#REF!,"AAAAAG/0mCM=")</f>
        <v>#REF!</v>
      </c>
      <c r="AK240" t="e">
        <f>AND(#REF!,"AAAAAG/0mCQ=")</f>
        <v>#REF!</v>
      </c>
      <c r="AL240" t="e">
        <f>AND(#REF!,"AAAAAG/0mCU=")</f>
        <v>#REF!</v>
      </c>
      <c r="AM240" t="e">
        <f>IF(#REF!,"AAAAAG/0mCY=",0)</f>
        <v>#REF!</v>
      </c>
      <c r="AN240" t="e">
        <f>AND(#REF!,"AAAAAG/0mCc=")</f>
        <v>#REF!</v>
      </c>
      <c r="AO240" t="e">
        <f>AND(#REF!,"AAAAAG/0mCg=")</f>
        <v>#REF!</v>
      </c>
      <c r="AP240" t="e">
        <f>AND(#REF!,"AAAAAG/0mCk=")</f>
        <v>#REF!</v>
      </c>
      <c r="AQ240" t="e">
        <f>AND(#REF!,"AAAAAG/0mCo=")</f>
        <v>#REF!</v>
      </c>
      <c r="AR240" t="e">
        <f>AND(#REF!,"AAAAAG/0mCs=")</f>
        <v>#REF!</v>
      </c>
      <c r="AS240" t="e">
        <f>AND(#REF!,"AAAAAG/0mCw=")</f>
        <v>#REF!</v>
      </c>
      <c r="AT240" t="e">
        <f>AND(#REF!,"AAAAAG/0mC0=")</f>
        <v>#REF!</v>
      </c>
      <c r="AU240" t="e">
        <f>AND(#REF!,"AAAAAG/0mC4=")</f>
        <v>#REF!</v>
      </c>
      <c r="AV240" t="e">
        <f>AND(#REF!,"AAAAAG/0mC8=")</f>
        <v>#REF!</v>
      </c>
      <c r="AW240" t="e">
        <f>AND(#REF!,"AAAAAG/0mDA=")</f>
        <v>#REF!</v>
      </c>
      <c r="AX240" t="e">
        <f>IF(#REF!,"AAAAAG/0mDE=",0)</f>
        <v>#REF!</v>
      </c>
      <c r="AY240" t="e">
        <f>AND(#REF!,"AAAAAG/0mDI=")</f>
        <v>#REF!</v>
      </c>
      <c r="AZ240" t="e">
        <f>AND(#REF!,"AAAAAG/0mDM=")</f>
        <v>#REF!</v>
      </c>
      <c r="BA240" t="e">
        <f>AND(#REF!,"AAAAAG/0mDQ=")</f>
        <v>#REF!</v>
      </c>
      <c r="BB240" t="e">
        <f>AND(#REF!,"AAAAAG/0mDU=")</f>
        <v>#REF!</v>
      </c>
      <c r="BC240" t="e">
        <f>AND(#REF!,"AAAAAG/0mDY=")</f>
        <v>#REF!</v>
      </c>
      <c r="BD240" t="e">
        <f>AND(#REF!,"AAAAAG/0mDc=")</f>
        <v>#REF!</v>
      </c>
      <c r="BE240" t="e">
        <f>AND(#REF!,"AAAAAG/0mDg=")</f>
        <v>#REF!</v>
      </c>
      <c r="BF240" t="e">
        <f>AND(#REF!,"AAAAAG/0mDk=")</f>
        <v>#REF!</v>
      </c>
      <c r="BG240" t="e">
        <f>AND(#REF!,"AAAAAG/0mDo=")</f>
        <v>#REF!</v>
      </c>
      <c r="BH240" t="e">
        <f>AND(#REF!,"AAAAAG/0mDs=")</f>
        <v>#REF!</v>
      </c>
      <c r="BI240" t="e">
        <f>IF(#REF!,"AAAAAG/0mDw=",0)</f>
        <v>#REF!</v>
      </c>
      <c r="BJ240" t="e">
        <f>AND(#REF!,"AAAAAG/0mD0=")</f>
        <v>#REF!</v>
      </c>
      <c r="BK240" t="e">
        <f>AND(#REF!,"AAAAAG/0mD4=")</f>
        <v>#REF!</v>
      </c>
      <c r="BL240" t="e">
        <f>AND(#REF!,"AAAAAG/0mD8=")</f>
        <v>#REF!</v>
      </c>
      <c r="BM240" t="e">
        <f>AND(#REF!,"AAAAAG/0mEA=")</f>
        <v>#REF!</v>
      </c>
      <c r="BN240" t="e">
        <f>AND(#REF!,"AAAAAG/0mEE=")</f>
        <v>#REF!</v>
      </c>
      <c r="BO240" t="e">
        <f>AND(#REF!,"AAAAAG/0mEI=")</f>
        <v>#REF!</v>
      </c>
      <c r="BP240" t="e">
        <f>AND(#REF!,"AAAAAG/0mEM=")</f>
        <v>#REF!</v>
      </c>
      <c r="BQ240" t="e">
        <f>AND(#REF!,"AAAAAG/0mEQ=")</f>
        <v>#REF!</v>
      </c>
      <c r="BR240" t="e">
        <f>AND(#REF!,"AAAAAG/0mEU=")</f>
        <v>#REF!</v>
      </c>
      <c r="BS240" t="e">
        <f>AND(#REF!,"AAAAAG/0mEY=")</f>
        <v>#REF!</v>
      </c>
      <c r="BT240" t="e">
        <f>IF(#REF!,"AAAAAG/0mEc=",0)</f>
        <v>#REF!</v>
      </c>
      <c r="BU240" t="e">
        <f>AND(#REF!,"AAAAAG/0mEg=")</f>
        <v>#REF!</v>
      </c>
      <c r="BV240" t="e">
        <f>AND(#REF!,"AAAAAG/0mEk=")</f>
        <v>#REF!</v>
      </c>
      <c r="BW240" t="e">
        <f>AND(#REF!,"AAAAAG/0mEo=")</f>
        <v>#REF!</v>
      </c>
      <c r="BX240" t="e">
        <f>AND(#REF!,"AAAAAG/0mEs=")</f>
        <v>#REF!</v>
      </c>
      <c r="BY240" t="e">
        <f>AND(#REF!,"AAAAAG/0mEw=")</f>
        <v>#REF!</v>
      </c>
      <c r="BZ240" t="e">
        <f>AND(#REF!,"AAAAAG/0mE0=")</f>
        <v>#REF!</v>
      </c>
      <c r="CA240" t="e">
        <f>AND(#REF!,"AAAAAG/0mE4=")</f>
        <v>#REF!</v>
      </c>
      <c r="CB240" t="e">
        <f>AND(#REF!,"AAAAAG/0mE8=")</f>
        <v>#REF!</v>
      </c>
      <c r="CC240" t="e">
        <f>AND(#REF!,"AAAAAG/0mFA=")</f>
        <v>#REF!</v>
      </c>
      <c r="CD240" t="e">
        <f>AND(#REF!,"AAAAAG/0mFE=")</f>
        <v>#REF!</v>
      </c>
      <c r="CE240" t="e">
        <f>IF(#REF!,"AAAAAG/0mFI=",0)</f>
        <v>#REF!</v>
      </c>
      <c r="CF240" t="e">
        <f>AND(#REF!,"AAAAAG/0mFM=")</f>
        <v>#REF!</v>
      </c>
      <c r="CG240" t="e">
        <f>AND(#REF!,"AAAAAG/0mFQ=")</f>
        <v>#REF!</v>
      </c>
      <c r="CH240" t="e">
        <f>AND(#REF!,"AAAAAG/0mFU=")</f>
        <v>#REF!</v>
      </c>
      <c r="CI240" t="e">
        <f>AND(#REF!,"AAAAAG/0mFY=")</f>
        <v>#REF!</v>
      </c>
      <c r="CJ240" t="e">
        <f>AND(#REF!,"AAAAAG/0mFc=")</f>
        <v>#REF!</v>
      </c>
      <c r="CK240" t="e">
        <f>AND(#REF!,"AAAAAG/0mFg=")</f>
        <v>#REF!</v>
      </c>
      <c r="CL240" t="e">
        <f>AND(#REF!,"AAAAAG/0mFk=")</f>
        <v>#REF!</v>
      </c>
      <c r="CM240" t="e">
        <f>AND(#REF!,"AAAAAG/0mFo=")</f>
        <v>#REF!</v>
      </c>
      <c r="CN240" t="e">
        <f>AND(#REF!,"AAAAAG/0mFs=")</f>
        <v>#REF!</v>
      </c>
      <c r="CO240" t="e">
        <f>AND(#REF!,"AAAAAG/0mFw=")</f>
        <v>#REF!</v>
      </c>
      <c r="CP240" t="e">
        <f>IF(#REF!,"AAAAAG/0mF0=",0)</f>
        <v>#REF!</v>
      </c>
      <c r="CQ240" t="e">
        <f>AND(#REF!,"AAAAAG/0mF4=")</f>
        <v>#REF!</v>
      </c>
      <c r="CR240" t="e">
        <f>AND(#REF!,"AAAAAG/0mF8=")</f>
        <v>#REF!</v>
      </c>
      <c r="CS240" t="e">
        <f>AND(#REF!,"AAAAAG/0mGA=")</f>
        <v>#REF!</v>
      </c>
      <c r="CT240" t="e">
        <f>AND(#REF!,"AAAAAG/0mGE=")</f>
        <v>#REF!</v>
      </c>
      <c r="CU240" t="e">
        <f>AND(#REF!,"AAAAAG/0mGI=")</f>
        <v>#REF!</v>
      </c>
      <c r="CV240" t="e">
        <f>AND(#REF!,"AAAAAG/0mGM=")</f>
        <v>#REF!</v>
      </c>
      <c r="CW240" t="e">
        <f>AND(#REF!,"AAAAAG/0mGQ=")</f>
        <v>#REF!</v>
      </c>
      <c r="CX240" t="e">
        <f>AND(#REF!,"AAAAAG/0mGU=")</f>
        <v>#REF!</v>
      </c>
      <c r="CY240" t="e">
        <f>AND(#REF!,"AAAAAG/0mGY=")</f>
        <v>#REF!</v>
      </c>
      <c r="CZ240" t="e">
        <f>AND(#REF!,"AAAAAG/0mGc=")</f>
        <v>#REF!</v>
      </c>
      <c r="DA240" t="e">
        <f>IF(#REF!,"AAAAAG/0mGg=",0)</f>
        <v>#REF!</v>
      </c>
      <c r="DB240" t="e">
        <f>AND(#REF!,"AAAAAG/0mGk=")</f>
        <v>#REF!</v>
      </c>
      <c r="DC240" t="e">
        <f>AND(#REF!,"AAAAAG/0mGo=")</f>
        <v>#REF!</v>
      </c>
      <c r="DD240" t="e">
        <f>AND(#REF!,"AAAAAG/0mGs=")</f>
        <v>#REF!</v>
      </c>
      <c r="DE240" t="e">
        <f>AND(#REF!,"AAAAAG/0mGw=")</f>
        <v>#REF!</v>
      </c>
      <c r="DF240" t="e">
        <f>AND(#REF!,"AAAAAG/0mG0=")</f>
        <v>#REF!</v>
      </c>
      <c r="DG240" t="e">
        <f>AND(#REF!,"AAAAAG/0mG4=")</f>
        <v>#REF!</v>
      </c>
      <c r="DH240" t="e">
        <f>AND(#REF!,"AAAAAG/0mG8=")</f>
        <v>#REF!</v>
      </c>
      <c r="DI240" t="e">
        <f>AND(#REF!,"AAAAAG/0mHA=")</f>
        <v>#REF!</v>
      </c>
      <c r="DJ240" t="e">
        <f>AND(#REF!,"AAAAAG/0mHE=")</f>
        <v>#REF!</v>
      </c>
      <c r="DK240" t="e">
        <f>AND(#REF!,"AAAAAG/0mHI=")</f>
        <v>#REF!</v>
      </c>
      <c r="DL240" t="e">
        <f>IF(#REF!,"AAAAAG/0mHM=",0)</f>
        <v>#REF!</v>
      </c>
      <c r="DM240" t="e">
        <f>AND(#REF!,"AAAAAG/0mHQ=")</f>
        <v>#REF!</v>
      </c>
      <c r="DN240" t="e">
        <f>AND(#REF!,"AAAAAG/0mHU=")</f>
        <v>#REF!</v>
      </c>
      <c r="DO240" t="e">
        <f>AND(#REF!,"AAAAAG/0mHY=")</f>
        <v>#REF!</v>
      </c>
      <c r="DP240" t="e">
        <f>AND(#REF!,"AAAAAG/0mHc=")</f>
        <v>#REF!</v>
      </c>
      <c r="DQ240" t="e">
        <f>AND(#REF!,"AAAAAG/0mHg=")</f>
        <v>#REF!</v>
      </c>
      <c r="DR240" t="e">
        <f>AND(#REF!,"AAAAAG/0mHk=")</f>
        <v>#REF!</v>
      </c>
      <c r="DS240" t="e">
        <f>AND(#REF!,"AAAAAG/0mHo=")</f>
        <v>#REF!</v>
      </c>
      <c r="DT240" t="e">
        <f>AND(#REF!,"AAAAAG/0mHs=")</f>
        <v>#REF!</v>
      </c>
      <c r="DU240" t="e">
        <f>AND(#REF!,"AAAAAG/0mHw=")</f>
        <v>#REF!</v>
      </c>
      <c r="DV240" t="e">
        <f>AND(#REF!,"AAAAAG/0mH0=")</f>
        <v>#REF!</v>
      </c>
      <c r="DW240" t="e">
        <f>IF(#REF!,"AAAAAG/0mH4=",0)</f>
        <v>#REF!</v>
      </c>
      <c r="DX240" t="e">
        <f>AND(#REF!,"AAAAAG/0mH8=")</f>
        <v>#REF!</v>
      </c>
      <c r="DY240" t="e">
        <f>AND(#REF!,"AAAAAG/0mIA=")</f>
        <v>#REF!</v>
      </c>
      <c r="DZ240" t="e">
        <f>AND(#REF!,"AAAAAG/0mIE=")</f>
        <v>#REF!</v>
      </c>
      <c r="EA240" t="e">
        <f>AND(#REF!,"AAAAAG/0mII=")</f>
        <v>#REF!</v>
      </c>
      <c r="EB240" t="e">
        <f>AND(#REF!,"AAAAAG/0mIM=")</f>
        <v>#REF!</v>
      </c>
      <c r="EC240" t="e">
        <f>AND(#REF!,"AAAAAG/0mIQ=")</f>
        <v>#REF!</v>
      </c>
      <c r="ED240" t="e">
        <f>AND(#REF!,"AAAAAG/0mIU=")</f>
        <v>#REF!</v>
      </c>
      <c r="EE240" t="e">
        <f>AND(#REF!,"AAAAAG/0mIY=")</f>
        <v>#REF!</v>
      </c>
      <c r="EF240" t="e">
        <f>AND(#REF!,"AAAAAG/0mIc=")</f>
        <v>#REF!</v>
      </c>
      <c r="EG240" t="e">
        <f>AND(#REF!,"AAAAAG/0mIg=")</f>
        <v>#REF!</v>
      </c>
      <c r="EH240" t="e">
        <f>IF(#REF!,"AAAAAG/0mIk=",0)</f>
        <v>#REF!</v>
      </c>
      <c r="EI240" t="e">
        <f>AND(#REF!,"AAAAAG/0mIo=")</f>
        <v>#REF!</v>
      </c>
      <c r="EJ240" t="e">
        <f>AND(#REF!,"AAAAAG/0mIs=")</f>
        <v>#REF!</v>
      </c>
      <c r="EK240" t="e">
        <f>AND(#REF!,"AAAAAG/0mIw=")</f>
        <v>#REF!</v>
      </c>
      <c r="EL240" t="e">
        <f>AND(#REF!,"AAAAAG/0mI0=")</f>
        <v>#REF!</v>
      </c>
      <c r="EM240" t="e">
        <f>AND(#REF!,"AAAAAG/0mI4=")</f>
        <v>#REF!</v>
      </c>
      <c r="EN240" t="e">
        <f>AND(#REF!,"AAAAAG/0mI8=")</f>
        <v>#REF!</v>
      </c>
      <c r="EO240" t="e">
        <f>AND(#REF!,"AAAAAG/0mJA=")</f>
        <v>#REF!</v>
      </c>
      <c r="EP240" t="e">
        <f>AND(#REF!,"AAAAAG/0mJE=")</f>
        <v>#REF!</v>
      </c>
      <c r="EQ240" t="e">
        <f>AND(#REF!,"AAAAAG/0mJI=")</f>
        <v>#REF!</v>
      </c>
      <c r="ER240" t="e">
        <f>AND(#REF!,"AAAAAG/0mJM=")</f>
        <v>#REF!</v>
      </c>
      <c r="ES240" t="e">
        <f>IF(#REF!,"AAAAAG/0mJQ=",0)</f>
        <v>#REF!</v>
      </c>
      <c r="ET240" t="e">
        <f>AND(#REF!,"AAAAAG/0mJU=")</f>
        <v>#REF!</v>
      </c>
      <c r="EU240" t="e">
        <f>AND(#REF!,"AAAAAG/0mJY=")</f>
        <v>#REF!</v>
      </c>
      <c r="EV240" t="e">
        <f>AND(#REF!,"AAAAAG/0mJc=")</f>
        <v>#REF!</v>
      </c>
      <c r="EW240" t="e">
        <f>AND(#REF!,"AAAAAG/0mJg=")</f>
        <v>#REF!</v>
      </c>
      <c r="EX240" t="e">
        <f>AND(#REF!,"AAAAAG/0mJk=")</f>
        <v>#REF!</v>
      </c>
      <c r="EY240" t="e">
        <f>AND(#REF!,"AAAAAG/0mJo=")</f>
        <v>#REF!</v>
      </c>
      <c r="EZ240" t="e">
        <f>AND(#REF!,"AAAAAG/0mJs=")</f>
        <v>#REF!</v>
      </c>
      <c r="FA240" t="e">
        <f>AND(#REF!,"AAAAAG/0mJw=")</f>
        <v>#REF!</v>
      </c>
      <c r="FB240" t="e">
        <f>AND(#REF!,"AAAAAG/0mJ0=")</f>
        <v>#REF!</v>
      </c>
      <c r="FC240" t="e">
        <f>AND(#REF!,"AAAAAG/0mJ4=")</f>
        <v>#REF!</v>
      </c>
      <c r="FD240" t="e">
        <f>IF(#REF!,"AAAAAG/0mJ8=",0)</f>
        <v>#REF!</v>
      </c>
      <c r="FE240" t="e">
        <f>AND(#REF!,"AAAAAG/0mKA=")</f>
        <v>#REF!</v>
      </c>
      <c r="FF240" t="e">
        <f>AND(#REF!,"AAAAAG/0mKE=")</f>
        <v>#REF!</v>
      </c>
      <c r="FG240" t="e">
        <f>AND(#REF!,"AAAAAG/0mKI=")</f>
        <v>#REF!</v>
      </c>
      <c r="FH240" t="e">
        <f>AND(#REF!,"AAAAAG/0mKM=")</f>
        <v>#REF!</v>
      </c>
      <c r="FI240" t="e">
        <f>AND(#REF!,"AAAAAG/0mKQ=")</f>
        <v>#REF!</v>
      </c>
      <c r="FJ240" t="e">
        <f>AND(#REF!,"AAAAAG/0mKU=")</f>
        <v>#REF!</v>
      </c>
      <c r="FK240" t="e">
        <f>AND(#REF!,"AAAAAG/0mKY=")</f>
        <v>#REF!</v>
      </c>
      <c r="FL240" t="e">
        <f>AND(#REF!,"AAAAAG/0mKc=")</f>
        <v>#REF!</v>
      </c>
      <c r="FM240" t="e">
        <f>AND(#REF!,"AAAAAG/0mKg=")</f>
        <v>#REF!</v>
      </c>
      <c r="FN240" t="e">
        <f>AND(#REF!,"AAAAAG/0mKk=")</f>
        <v>#REF!</v>
      </c>
      <c r="FO240" t="e">
        <f>IF(#REF!,"AAAAAG/0mKo=",0)</f>
        <v>#REF!</v>
      </c>
      <c r="FP240" t="e">
        <f>AND(#REF!,"AAAAAG/0mKs=")</f>
        <v>#REF!</v>
      </c>
      <c r="FQ240" t="e">
        <f>AND(#REF!,"AAAAAG/0mKw=")</f>
        <v>#REF!</v>
      </c>
      <c r="FR240" t="e">
        <f>AND(#REF!,"AAAAAG/0mK0=")</f>
        <v>#REF!</v>
      </c>
      <c r="FS240" t="e">
        <f>AND(#REF!,"AAAAAG/0mK4=")</f>
        <v>#REF!</v>
      </c>
      <c r="FT240" t="e">
        <f>AND(#REF!,"AAAAAG/0mK8=")</f>
        <v>#REF!</v>
      </c>
      <c r="FU240" t="e">
        <f>AND(#REF!,"AAAAAG/0mLA=")</f>
        <v>#REF!</v>
      </c>
      <c r="FV240" t="e">
        <f>AND(#REF!,"AAAAAG/0mLE=")</f>
        <v>#REF!</v>
      </c>
      <c r="FW240" t="e">
        <f>AND(#REF!,"AAAAAG/0mLI=")</f>
        <v>#REF!</v>
      </c>
      <c r="FX240" t="e">
        <f>AND(#REF!,"AAAAAG/0mLM=")</f>
        <v>#REF!</v>
      </c>
      <c r="FY240" t="e">
        <f>AND(#REF!,"AAAAAG/0mLQ=")</f>
        <v>#REF!</v>
      </c>
      <c r="FZ240" t="e">
        <f>IF(#REF!,"AAAAAG/0mLU=",0)</f>
        <v>#REF!</v>
      </c>
      <c r="GA240" t="e">
        <f>AND(#REF!,"AAAAAG/0mLY=")</f>
        <v>#REF!</v>
      </c>
      <c r="GB240" t="e">
        <f>AND(#REF!,"AAAAAG/0mLc=")</f>
        <v>#REF!</v>
      </c>
      <c r="GC240" t="e">
        <f>AND(#REF!,"AAAAAG/0mLg=")</f>
        <v>#REF!</v>
      </c>
      <c r="GD240" t="e">
        <f>AND(#REF!,"AAAAAG/0mLk=")</f>
        <v>#REF!</v>
      </c>
      <c r="GE240" t="e">
        <f>AND(#REF!,"AAAAAG/0mLo=")</f>
        <v>#REF!</v>
      </c>
      <c r="GF240" t="e">
        <f>AND(#REF!,"AAAAAG/0mLs=")</f>
        <v>#REF!</v>
      </c>
      <c r="GG240" t="e">
        <f>AND(#REF!,"AAAAAG/0mLw=")</f>
        <v>#REF!</v>
      </c>
      <c r="GH240" t="e">
        <f>AND(#REF!,"AAAAAG/0mL0=")</f>
        <v>#REF!</v>
      </c>
      <c r="GI240" t="e">
        <f>AND(#REF!,"AAAAAG/0mL4=")</f>
        <v>#REF!</v>
      </c>
      <c r="GJ240" t="e">
        <f>AND(#REF!,"AAAAAG/0mL8=")</f>
        <v>#REF!</v>
      </c>
      <c r="GK240" t="e">
        <f>IF(#REF!,"AAAAAG/0mMA=",0)</f>
        <v>#REF!</v>
      </c>
      <c r="GL240" t="e">
        <f>AND(#REF!,"AAAAAG/0mME=")</f>
        <v>#REF!</v>
      </c>
      <c r="GM240" t="e">
        <f>AND(#REF!,"AAAAAG/0mMI=")</f>
        <v>#REF!</v>
      </c>
      <c r="GN240" t="e">
        <f>AND(#REF!,"AAAAAG/0mMM=")</f>
        <v>#REF!</v>
      </c>
      <c r="GO240" t="e">
        <f>AND(#REF!,"AAAAAG/0mMQ=")</f>
        <v>#REF!</v>
      </c>
      <c r="GP240" t="e">
        <f>AND(#REF!,"AAAAAG/0mMU=")</f>
        <v>#REF!</v>
      </c>
      <c r="GQ240" t="e">
        <f>AND(#REF!,"AAAAAG/0mMY=")</f>
        <v>#REF!</v>
      </c>
      <c r="GR240" t="e">
        <f>AND(#REF!,"AAAAAG/0mMc=")</f>
        <v>#REF!</v>
      </c>
      <c r="GS240" t="e">
        <f>AND(#REF!,"AAAAAG/0mMg=")</f>
        <v>#REF!</v>
      </c>
      <c r="GT240" t="e">
        <f>AND(#REF!,"AAAAAG/0mMk=")</f>
        <v>#REF!</v>
      </c>
      <c r="GU240" t="e">
        <f>AND(#REF!,"AAAAAG/0mMo=")</f>
        <v>#REF!</v>
      </c>
      <c r="GV240" t="e">
        <f>IF(#REF!,"AAAAAG/0mMs=",0)</f>
        <v>#REF!</v>
      </c>
      <c r="GW240" t="e">
        <f>AND(#REF!,"AAAAAG/0mMw=")</f>
        <v>#REF!</v>
      </c>
      <c r="GX240" t="e">
        <f>AND(#REF!,"AAAAAG/0mM0=")</f>
        <v>#REF!</v>
      </c>
      <c r="GY240" t="e">
        <f>AND(#REF!,"AAAAAG/0mM4=")</f>
        <v>#REF!</v>
      </c>
      <c r="GZ240" t="e">
        <f>AND(#REF!,"AAAAAG/0mM8=")</f>
        <v>#REF!</v>
      </c>
      <c r="HA240" t="e">
        <f>AND(#REF!,"AAAAAG/0mNA=")</f>
        <v>#REF!</v>
      </c>
      <c r="HB240" t="e">
        <f>AND(#REF!,"AAAAAG/0mNE=")</f>
        <v>#REF!</v>
      </c>
      <c r="HC240" t="e">
        <f>AND(#REF!,"AAAAAG/0mNI=")</f>
        <v>#REF!</v>
      </c>
      <c r="HD240" t="e">
        <f>AND(#REF!,"AAAAAG/0mNM=")</f>
        <v>#REF!</v>
      </c>
      <c r="HE240" t="e">
        <f>AND(#REF!,"AAAAAG/0mNQ=")</f>
        <v>#REF!</v>
      </c>
      <c r="HF240" t="e">
        <f>AND(#REF!,"AAAAAG/0mNU=")</f>
        <v>#REF!</v>
      </c>
      <c r="HG240" t="e">
        <f>IF(#REF!,"AAAAAG/0mNY=",0)</f>
        <v>#REF!</v>
      </c>
      <c r="HH240" t="e">
        <f>AND(#REF!,"AAAAAG/0mNc=")</f>
        <v>#REF!</v>
      </c>
      <c r="HI240" t="e">
        <f>AND(#REF!,"AAAAAG/0mNg=")</f>
        <v>#REF!</v>
      </c>
      <c r="HJ240" t="e">
        <f>AND(#REF!,"AAAAAG/0mNk=")</f>
        <v>#REF!</v>
      </c>
      <c r="HK240" t="e">
        <f>AND(#REF!,"AAAAAG/0mNo=")</f>
        <v>#REF!</v>
      </c>
      <c r="HL240" t="e">
        <f>AND(#REF!,"AAAAAG/0mNs=")</f>
        <v>#REF!</v>
      </c>
      <c r="HM240" t="e">
        <f>AND(#REF!,"AAAAAG/0mNw=")</f>
        <v>#REF!</v>
      </c>
      <c r="HN240" t="e">
        <f>AND(#REF!,"AAAAAG/0mN0=")</f>
        <v>#REF!</v>
      </c>
      <c r="HO240" t="e">
        <f>AND(#REF!,"AAAAAG/0mN4=")</f>
        <v>#REF!</v>
      </c>
      <c r="HP240" t="e">
        <f>AND(#REF!,"AAAAAG/0mN8=")</f>
        <v>#REF!</v>
      </c>
      <c r="HQ240" t="e">
        <f>AND(#REF!,"AAAAAG/0mOA=")</f>
        <v>#REF!</v>
      </c>
      <c r="HR240" t="e">
        <f>IF(#REF!,"AAAAAG/0mOE=",0)</f>
        <v>#REF!</v>
      </c>
      <c r="HS240" t="e">
        <f>AND(#REF!,"AAAAAG/0mOI=")</f>
        <v>#REF!</v>
      </c>
      <c r="HT240" t="e">
        <f>AND(#REF!,"AAAAAG/0mOM=")</f>
        <v>#REF!</v>
      </c>
      <c r="HU240" t="e">
        <f>AND(#REF!,"AAAAAG/0mOQ=")</f>
        <v>#REF!</v>
      </c>
      <c r="HV240" t="e">
        <f>AND(#REF!,"AAAAAG/0mOU=")</f>
        <v>#REF!</v>
      </c>
      <c r="HW240" t="e">
        <f>AND(#REF!,"AAAAAG/0mOY=")</f>
        <v>#REF!</v>
      </c>
      <c r="HX240" t="e">
        <f>AND(#REF!,"AAAAAG/0mOc=")</f>
        <v>#REF!</v>
      </c>
      <c r="HY240" t="e">
        <f>AND(#REF!,"AAAAAG/0mOg=")</f>
        <v>#REF!</v>
      </c>
      <c r="HZ240" t="e">
        <f>AND(#REF!,"AAAAAG/0mOk=")</f>
        <v>#REF!</v>
      </c>
      <c r="IA240" t="e">
        <f>AND(#REF!,"AAAAAG/0mOo=")</f>
        <v>#REF!</v>
      </c>
      <c r="IB240" t="e">
        <f>AND(#REF!,"AAAAAG/0mOs=")</f>
        <v>#REF!</v>
      </c>
      <c r="IC240" t="e">
        <f>IF(#REF!,"AAAAAG/0mOw=",0)</f>
        <v>#REF!</v>
      </c>
      <c r="ID240" t="e">
        <f>AND(#REF!,"AAAAAG/0mO0=")</f>
        <v>#REF!</v>
      </c>
      <c r="IE240" t="e">
        <f>AND(#REF!,"AAAAAG/0mO4=")</f>
        <v>#REF!</v>
      </c>
      <c r="IF240" t="e">
        <f>AND(#REF!,"AAAAAG/0mO8=")</f>
        <v>#REF!</v>
      </c>
      <c r="IG240" t="e">
        <f>AND(#REF!,"AAAAAG/0mPA=")</f>
        <v>#REF!</v>
      </c>
      <c r="IH240" t="e">
        <f>AND(#REF!,"AAAAAG/0mPE=")</f>
        <v>#REF!</v>
      </c>
      <c r="II240" t="e">
        <f>AND(#REF!,"AAAAAG/0mPI=")</f>
        <v>#REF!</v>
      </c>
      <c r="IJ240" t="e">
        <f>AND(#REF!,"AAAAAG/0mPM=")</f>
        <v>#REF!</v>
      </c>
      <c r="IK240" t="e">
        <f>AND(#REF!,"AAAAAG/0mPQ=")</f>
        <v>#REF!</v>
      </c>
      <c r="IL240" t="e">
        <f>AND(#REF!,"AAAAAG/0mPU=")</f>
        <v>#REF!</v>
      </c>
      <c r="IM240" t="e">
        <f>AND(#REF!,"AAAAAG/0mPY=")</f>
        <v>#REF!</v>
      </c>
      <c r="IN240" t="e">
        <f>IF(#REF!,"AAAAAG/0mPc=",0)</f>
        <v>#REF!</v>
      </c>
      <c r="IO240" t="e">
        <f>AND(#REF!,"AAAAAG/0mPg=")</f>
        <v>#REF!</v>
      </c>
      <c r="IP240" t="e">
        <f>AND(#REF!,"AAAAAG/0mPk=")</f>
        <v>#REF!</v>
      </c>
      <c r="IQ240" t="e">
        <f>AND(#REF!,"AAAAAG/0mPo=")</f>
        <v>#REF!</v>
      </c>
      <c r="IR240" t="e">
        <f>AND(#REF!,"AAAAAG/0mPs=")</f>
        <v>#REF!</v>
      </c>
      <c r="IS240" t="e">
        <f>AND(#REF!,"AAAAAG/0mPw=")</f>
        <v>#REF!</v>
      </c>
      <c r="IT240" t="e">
        <f>AND(#REF!,"AAAAAG/0mP0=")</f>
        <v>#REF!</v>
      </c>
      <c r="IU240" t="e">
        <f>AND(#REF!,"AAAAAG/0mP4=")</f>
        <v>#REF!</v>
      </c>
      <c r="IV240" t="e">
        <f>AND(#REF!,"AAAAAG/0mP8=")</f>
        <v>#REF!</v>
      </c>
    </row>
    <row r="241" spans="1:256" x14ac:dyDescent="0.25">
      <c r="A241" t="e">
        <f>AND(#REF!,"AAAAAHvY8gA=")</f>
        <v>#REF!</v>
      </c>
      <c r="B241" t="e">
        <f>AND(#REF!,"AAAAAHvY8gE=")</f>
        <v>#REF!</v>
      </c>
      <c r="C241" t="e">
        <f>IF(#REF!,"AAAAAHvY8gI=",0)</f>
        <v>#REF!</v>
      </c>
      <c r="D241" t="e">
        <f>AND(#REF!,"AAAAAHvY8gM=")</f>
        <v>#REF!</v>
      </c>
      <c r="E241" t="e">
        <f>AND(#REF!,"AAAAAHvY8gQ=")</f>
        <v>#REF!</v>
      </c>
      <c r="F241" t="e">
        <f>AND(#REF!,"AAAAAHvY8gU=")</f>
        <v>#REF!</v>
      </c>
      <c r="G241" t="e">
        <f>AND(#REF!,"AAAAAHvY8gY=")</f>
        <v>#REF!</v>
      </c>
      <c r="H241" t="e">
        <f>AND(#REF!,"AAAAAHvY8gc=")</f>
        <v>#REF!</v>
      </c>
      <c r="I241" t="e">
        <f>AND(#REF!,"AAAAAHvY8gg=")</f>
        <v>#REF!</v>
      </c>
      <c r="J241" t="e">
        <f>AND(#REF!,"AAAAAHvY8gk=")</f>
        <v>#REF!</v>
      </c>
      <c r="K241" t="e">
        <f>AND(#REF!,"AAAAAHvY8go=")</f>
        <v>#REF!</v>
      </c>
      <c r="L241" t="e">
        <f>AND(#REF!,"AAAAAHvY8gs=")</f>
        <v>#REF!</v>
      </c>
      <c r="M241" t="e">
        <f>AND(#REF!,"AAAAAHvY8gw=")</f>
        <v>#REF!</v>
      </c>
      <c r="N241" t="e">
        <f>IF(#REF!,"AAAAAHvY8g0=",0)</f>
        <v>#REF!</v>
      </c>
      <c r="O241" t="e">
        <f>AND(#REF!,"AAAAAHvY8g4=")</f>
        <v>#REF!</v>
      </c>
      <c r="P241" t="e">
        <f>AND(#REF!,"AAAAAHvY8g8=")</f>
        <v>#REF!</v>
      </c>
      <c r="Q241" t="e">
        <f>AND(#REF!,"AAAAAHvY8hA=")</f>
        <v>#REF!</v>
      </c>
      <c r="R241" t="e">
        <f>AND(#REF!,"AAAAAHvY8hE=")</f>
        <v>#REF!</v>
      </c>
      <c r="S241" t="e">
        <f>AND(#REF!,"AAAAAHvY8hI=")</f>
        <v>#REF!</v>
      </c>
      <c r="T241" t="e">
        <f>AND(#REF!,"AAAAAHvY8hM=")</f>
        <v>#REF!</v>
      </c>
      <c r="U241" t="e">
        <f>AND(#REF!,"AAAAAHvY8hQ=")</f>
        <v>#REF!</v>
      </c>
      <c r="V241" t="e">
        <f>AND(#REF!,"AAAAAHvY8hU=")</f>
        <v>#REF!</v>
      </c>
      <c r="W241" t="e">
        <f>AND(#REF!,"AAAAAHvY8hY=")</f>
        <v>#REF!</v>
      </c>
      <c r="X241" t="e">
        <f>AND(#REF!,"AAAAAHvY8hc=")</f>
        <v>#REF!</v>
      </c>
      <c r="Y241" t="e">
        <f>IF(#REF!,"AAAAAHvY8hg=",0)</f>
        <v>#REF!</v>
      </c>
      <c r="Z241" t="e">
        <f>AND(#REF!,"AAAAAHvY8hk=")</f>
        <v>#REF!</v>
      </c>
      <c r="AA241" t="e">
        <f>AND(#REF!,"AAAAAHvY8ho=")</f>
        <v>#REF!</v>
      </c>
      <c r="AB241" t="e">
        <f>AND(#REF!,"AAAAAHvY8hs=")</f>
        <v>#REF!</v>
      </c>
      <c r="AC241" t="e">
        <f>AND(#REF!,"AAAAAHvY8hw=")</f>
        <v>#REF!</v>
      </c>
      <c r="AD241" t="e">
        <f>AND(#REF!,"AAAAAHvY8h0=")</f>
        <v>#REF!</v>
      </c>
      <c r="AE241" t="e">
        <f>AND(#REF!,"AAAAAHvY8h4=")</f>
        <v>#REF!</v>
      </c>
      <c r="AF241" t="e">
        <f>AND(#REF!,"AAAAAHvY8h8=")</f>
        <v>#REF!</v>
      </c>
      <c r="AG241" t="e">
        <f>AND(#REF!,"AAAAAHvY8iA=")</f>
        <v>#REF!</v>
      </c>
      <c r="AH241" t="e">
        <f>AND(#REF!,"AAAAAHvY8iE=")</f>
        <v>#REF!</v>
      </c>
      <c r="AI241" t="e">
        <f>AND(#REF!,"AAAAAHvY8iI=")</f>
        <v>#REF!</v>
      </c>
      <c r="AJ241" t="e">
        <f>IF(#REF!,"AAAAAHvY8iM=",0)</f>
        <v>#REF!</v>
      </c>
      <c r="AK241" t="e">
        <f>AND(#REF!,"AAAAAHvY8iQ=")</f>
        <v>#REF!</v>
      </c>
      <c r="AL241" t="e">
        <f>AND(#REF!,"AAAAAHvY8iU=")</f>
        <v>#REF!</v>
      </c>
      <c r="AM241" t="e">
        <f>AND(#REF!,"AAAAAHvY8iY=")</f>
        <v>#REF!</v>
      </c>
      <c r="AN241" t="e">
        <f>AND(#REF!,"AAAAAHvY8ic=")</f>
        <v>#REF!</v>
      </c>
      <c r="AO241" t="e">
        <f>AND(#REF!,"AAAAAHvY8ig=")</f>
        <v>#REF!</v>
      </c>
      <c r="AP241" t="e">
        <f>AND(#REF!,"AAAAAHvY8ik=")</f>
        <v>#REF!</v>
      </c>
      <c r="AQ241" t="e">
        <f>AND(#REF!,"AAAAAHvY8io=")</f>
        <v>#REF!</v>
      </c>
      <c r="AR241" t="e">
        <f>AND(#REF!,"AAAAAHvY8is=")</f>
        <v>#REF!</v>
      </c>
      <c r="AS241" t="e">
        <f>AND(#REF!,"AAAAAHvY8iw=")</f>
        <v>#REF!</v>
      </c>
      <c r="AT241" t="e">
        <f>AND(#REF!,"AAAAAHvY8i0=")</f>
        <v>#REF!</v>
      </c>
      <c r="AU241" t="e">
        <f>IF(#REF!,"AAAAAHvY8i4=",0)</f>
        <v>#REF!</v>
      </c>
      <c r="AV241" t="e">
        <f>AND(#REF!,"AAAAAHvY8i8=")</f>
        <v>#REF!</v>
      </c>
      <c r="AW241" t="e">
        <f>AND(#REF!,"AAAAAHvY8jA=")</f>
        <v>#REF!</v>
      </c>
      <c r="AX241" t="e">
        <f>AND(#REF!,"AAAAAHvY8jE=")</f>
        <v>#REF!</v>
      </c>
      <c r="AY241" t="e">
        <f>AND(#REF!,"AAAAAHvY8jI=")</f>
        <v>#REF!</v>
      </c>
      <c r="AZ241" t="e">
        <f>AND(#REF!,"AAAAAHvY8jM=")</f>
        <v>#REF!</v>
      </c>
      <c r="BA241" t="e">
        <f>AND(#REF!,"AAAAAHvY8jQ=")</f>
        <v>#REF!</v>
      </c>
      <c r="BB241" t="e">
        <f>AND(#REF!,"AAAAAHvY8jU=")</f>
        <v>#REF!</v>
      </c>
      <c r="BC241" t="e">
        <f>AND(#REF!,"AAAAAHvY8jY=")</f>
        <v>#REF!</v>
      </c>
      <c r="BD241" t="e">
        <f>AND(#REF!,"AAAAAHvY8jc=")</f>
        <v>#REF!</v>
      </c>
      <c r="BE241" t="e">
        <f>AND(#REF!,"AAAAAHvY8jg=")</f>
        <v>#REF!</v>
      </c>
      <c r="BF241" t="e">
        <f>IF(#REF!,"AAAAAHvY8jk=",0)</f>
        <v>#REF!</v>
      </c>
      <c r="BG241" t="e">
        <f>AND(#REF!,"AAAAAHvY8jo=")</f>
        <v>#REF!</v>
      </c>
      <c r="BH241" t="e">
        <f>AND(#REF!,"AAAAAHvY8js=")</f>
        <v>#REF!</v>
      </c>
      <c r="BI241" t="e">
        <f>AND(#REF!,"AAAAAHvY8jw=")</f>
        <v>#REF!</v>
      </c>
      <c r="BJ241" t="e">
        <f>AND(#REF!,"AAAAAHvY8j0=")</f>
        <v>#REF!</v>
      </c>
      <c r="BK241" t="e">
        <f>AND(#REF!,"AAAAAHvY8j4=")</f>
        <v>#REF!</v>
      </c>
      <c r="BL241" t="e">
        <f>AND(#REF!,"AAAAAHvY8j8=")</f>
        <v>#REF!</v>
      </c>
      <c r="BM241" t="e">
        <f>AND(#REF!,"AAAAAHvY8kA=")</f>
        <v>#REF!</v>
      </c>
      <c r="BN241" t="e">
        <f>AND(#REF!,"AAAAAHvY8kE=")</f>
        <v>#REF!</v>
      </c>
      <c r="BO241" t="e">
        <f>AND(#REF!,"AAAAAHvY8kI=")</f>
        <v>#REF!</v>
      </c>
      <c r="BP241" t="e">
        <f>AND(#REF!,"AAAAAHvY8kM=")</f>
        <v>#REF!</v>
      </c>
      <c r="BQ241" t="e">
        <f>IF(#REF!,"AAAAAHvY8kQ=",0)</f>
        <v>#REF!</v>
      </c>
      <c r="BR241" t="e">
        <f>AND(#REF!,"AAAAAHvY8kU=")</f>
        <v>#REF!</v>
      </c>
      <c r="BS241" t="e">
        <f>AND(#REF!,"AAAAAHvY8kY=")</f>
        <v>#REF!</v>
      </c>
      <c r="BT241" t="e">
        <f>AND(#REF!,"AAAAAHvY8kc=")</f>
        <v>#REF!</v>
      </c>
      <c r="BU241" t="e">
        <f>AND(#REF!,"AAAAAHvY8kg=")</f>
        <v>#REF!</v>
      </c>
      <c r="BV241" t="e">
        <f>AND(#REF!,"AAAAAHvY8kk=")</f>
        <v>#REF!</v>
      </c>
      <c r="BW241" t="e">
        <f>AND(#REF!,"AAAAAHvY8ko=")</f>
        <v>#REF!</v>
      </c>
      <c r="BX241" t="e">
        <f>AND(#REF!,"AAAAAHvY8ks=")</f>
        <v>#REF!</v>
      </c>
      <c r="BY241" t="e">
        <f>AND(#REF!,"AAAAAHvY8kw=")</f>
        <v>#REF!</v>
      </c>
      <c r="BZ241" t="e">
        <f>AND(#REF!,"AAAAAHvY8k0=")</f>
        <v>#REF!</v>
      </c>
      <c r="CA241" t="e">
        <f>AND(#REF!,"AAAAAHvY8k4=")</f>
        <v>#REF!</v>
      </c>
      <c r="CB241" t="e">
        <f>IF(#REF!,"AAAAAHvY8k8=",0)</f>
        <v>#REF!</v>
      </c>
      <c r="CC241" t="e">
        <f>AND(#REF!,"AAAAAHvY8lA=")</f>
        <v>#REF!</v>
      </c>
      <c r="CD241" t="e">
        <f>AND(#REF!,"AAAAAHvY8lE=")</f>
        <v>#REF!</v>
      </c>
      <c r="CE241" t="e">
        <f>AND(#REF!,"AAAAAHvY8lI=")</f>
        <v>#REF!</v>
      </c>
      <c r="CF241" t="e">
        <f>AND(#REF!,"AAAAAHvY8lM=")</f>
        <v>#REF!</v>
      </c>
      <c r="CG241" t="e">
        <f>AND(#REF!,"AAAAAHvY8lQ=")</f>
        <v>#REF!</v>
      </c>
      <c r="CH241" t="e">
        <f>AND(#REF!,"AAAAAHvY8lU=")</f>
        <v>#REF!</v>
      </c>
      <c r="CI241" t="e">
        <f>AND(#REF!,"AAAAAHvY8lY=")</f>
        <v>#REF!</v>
      </c>
      <c r="CJ241" t="e">
        <f>AND(#REF!,"AAAAAHvY8lc=")</f>
        <v>#REF!</v>
      </c>
      <c r="CK241" t="e">
        <f>AND(#REF!,"AAAAAHvY8lg=")</f>
        <v>#REF!</v>
      </c>
      <c r="CL241" t="e">
        <f>AND(#REF!,"AAAAAHvY8lk=")</f>
        <v>#REF!</v>
      </c>
      <c r="CM241" t="e">
        <f>IF(#REF!,"AAAAAHvY8lo=",0)</f>
        <v>#REF!</v>
      </c>
      <c r="CN241" t="e">
        <f>AND(#REF!,"AAAAAHvY8ls=")</f>
        <v>#REF!</v>
      </c>
      <c r="CO241" t="e">
        <f>AND(#REF!,"AAAAAHvY8lw=")</f>
        <v>#REF!</v>
      </c>
      <c r="CP241" t="e">
        <f>AND(#REF!,"AAAAAHvY8l0=")</f>
        <v>#REF!</v>
      </c>
      <c r="CQ241" t="e">
        <f>AND(#REF!,"AAAAAHvY8l4=")</f>
        <v>#REF!</v>
      </c>
      <c r="CR241" t="e">
        <f>AND(#REF!,"AAAAAHvY8l8=")</f>
        <v>#REF!</v>
      </c>
      <c r="CS241" t="e">
        <f>AND(#REF!,"AAAAAHvY8mA=")</f>
        <v>#REF!</v>
      </c>
      <c r="CT241" t="e">
        <f>AND(#REF!,"AAAAAHvY8mE=")</f>
        <v>#REF!</v>
      </c>
      <c r="CU241" t="e">
        <f>AND(#REF!,"AAAAAHvY8mI=")</f>
        <v>#REF!</v>
      </c>
      <c r="CV241" t="e">
        <f>AND(#REF!,"AAAAAHvY8mM=")</f>
        <v>#REF!</v>
      </c>
      <c r="CW241" t="e">
        <f>AND(#REF!,"AAAAAHvY8mQ=")</f>
        <v>#REF!</v>
      </c>
      <c r="CX241" t="e">
        <f>IF(#REF!,"AAAAAHvY8mU=",0)</f>
        <v>#REF!</v>
      </c>
      <c r="CY241" t="e">
        <f>AND(#REF!,"AAAAAHvY8mY=")</f>
        <v>#REF!</v>
      </c>
      <c r="CZ241" t="e">
        <f>AND(#REF!,"AAAAAHvY8mc=")</f>
        <v>#REF!</v>
      </c>
      <c r="DA241" t="e">
        <f>AND(#REF!,"AAAAAHvY8mg=")</f>
        <v>#REF!</v>
      </c>
      <c r="DB241" t="e">
        <f>AND(#REF!,"AAAAAHvY8mk=")</f>
        <v>#REF!</v>
      </c>
      <c r="DC241" t="e">
        <f>AND(#REF!,"AAAAAHvY8mo=")</f>
        <v>#REF!</v>
      </c>
      <c r="DD241" t="e">
        <f>AND(#REF!,"AAAAAHvY8ms=")</f>
        <v>#REF!</v>
      </c>
      <c r="DE241" t="e">
        <f>AND(#REF!,"AAAAAHvY8mw=")</f>
        <v>#REF!</v>
      </c>
      <c r="DF241" t="e">
        <f>AND(#REF!,"AAAAAHvY8m0=")</f>
        <v>#REF!</v>
      </c>
      <c r="DG241" t="e">
        <f>AND(#REF!,"AAAAAHvY8m4=")</f>
        <v>#REF!</v>
      </c>
      <c r="DH241" t="e">
        <f>AND(#REF!,"AAAAAHvY8m8=")</f>
        <v>#REF!</v>
      </c>
      <c r="DI241" t="e">
        <f>IF(#REF!,"AAAAAHvY8nA=",0)</f>
        <v>#REF!</v>
      </c>
      <c r="DJ241" t="e">
        <f>AND(#REF!,"AAAAAHvY8nE=")</f>
        <v>#REF!</v>
      </c>
      <c r="DK241" t="e">
        <f>AND(#REF!,"AAAAAHvY8nI=")</f>
        <v>#REF!</v>
      </c>
      <c r="DL241" t="e">
        <f>AND(#REF!,"AAAAAHvY8nM=")</f>
        <v>#REF!</v>
      </c>
      <c r="DM241" t="e">
        <f>AND(#REF!,"AAAAAHvY8nQ=")</f>
        <v>#REF!</v>
      </c>
      <c r="DN241" t="e">
        <f>AND(#REF!,"AAAAAHvY8nU=")</f>
        <v>#REF!</v>
      </c>
      <c r="DO241" t="e">
        <f>AND(#REF!,"AAAAAHvY8nY=")</f>
        <v>#REF!</v>
      </c>
      <c r="DP241" t="e">
        <f>AND(#REF!,"AAAAAHvY8nc=")</f>
        <v>#REF!</v>
      </c>
      <c r="DQ241" t="e">
        <f>AND(#REF!,"AAAAAHvY8ng=")</f>
        <v>#REF!</v>
      </c>
      <c r="DR241" t="e">
        <f>AND(#REF!,"AAAAAHvY8nk=")</f>
        <v>#REF!</v>
      </c>
      <c r="DS241" t="e">
        <f>AND(#REF!,"AAAAAHvY8no=")</f>
        <v>#REF!</v>
      </c>
      <c r="DT241" t="e">
        <f>IF(#REF!,"AAAAAHvY8ns=",0)</f>
        <v>#REF!</v>
      </c>
      <c r="DU241" t="e">
        <f>AND(#REF!,"AAAAAHvY8nw=")</f>
        <v>#REF!</v>
      </c>
      <c r="DV241" t="e">
        <f>AND(#REF!,"AAAAAHvY8n0=")</f>
        <v>#REF!</v>
      </c>
      <c r="DW241" t="e">
        <f>AND(#REF!,"AAAAAHvY8n4=")</f>
        <v>#REF!</v>
      </c>
      <c r="DX241" t="e">
        <f>AND(#REF!,"AAAAAHvY8n8=")</f>
        <v>#REF!</v>
      </c>
      <c r="DY241" t="e">
        <f>AND(#REF!,"AAAAAHvY8oA=")</f>
        <v>#REF!</v>
      </c>
      <c r="DZ241" t="e">
        <f>AND(#REF!,"AAAAAHvY8oE=")</f>
        <v>#REF!</v>
      </c>
      <c r="EA241" t="e">
        <f>AND(#REF!,"AAAAAHvY8oI=")</f>
        <v>#REF!</v>
      </c>
      <c r="EB241" t="e">
        <f>AND(#REF!,"AAAAAHvY8oM=")</f>
        <v>#REF!</v>
      </c>
      <c r="EC241" t="e">
        <f>AND(#REF!,"AAAAAHvY8oQ=")</f>
        <v>#REF!</v>
      </c>
      <c r="ED241" t="e">
        <f>AND(#REF!,"AAAAAHvY8oU=")</f>
        <v>#REF!</v>
      </c>
      <c r="EE241" t="e">
        <f>IF(#REF!,"AAAAAHvY8oY=",0)</f>
        <v>#REF!</v>
      </c>
      <c r="EF241" t="e">
        <f>AND(#REF!,"AAAAAHvY8oc=")</f>
        <v>#REF!</v>
      </c>
      <c r="EG241" t="e">
        <f>AND(#REF!,"AAAAAHvY8og=")</f>
        <v>#REF!</v>
      </c>
      <c r="EH241" t="e">
        <f>AND(#REF!,"AAAAAHvY8ok=")</f>
        <v>#REF!</v>
      </c>
      <c r="EI241" t="e">
        <f>AND(#REF!,"AAAAAHvY8oo=")</f>
        <v>#REF!</v>
      </c>
      <c r="EJ241" t="e">
        <f>AND(#REF!,"AAAAAHvY8os=")</f>
        <v>#REF!</v>
      </c>
      <c r="EK241" t="e">
        <f>AND(#REF!,"AAAAAHvY8ow=")</f>
        <v>#REF!</v>
      </c>
      <c r="EL241" t="e">
        <f>AND(#REF!,"AAAAAHvY8o0=")</f>
        <v>#REF!</v>
      </c>
      <c r="EM241" t="e">
        <f>AND(#REF!,"AAAAAHvY8o4=")</f>
        <v>#REF!</v>
      </c>
      <c r="EN241" t="e">
        <f>AND(#REF!,"AAAAAHvY8o8=")</f>
        <v>#REF!</v>
      </c>
      <c r="EO241" t="e">
        <f>AND(#REF!,"AAAAAHvY8pA=")</f>
        <v>#REF!</v>
      </c>
      <c r="EP241" t="e">
        <f>IF(#REF!,"AAAAAHvY8pE=",0)</f>
        <v>#REF!</v>
      </c>
      <c r="EQ241" t="e">
        <f>AND(#REF!,"AAAAAHvY8pI=")</f>
        <v>#REF!</v>
      </c>
      <c r="ER241" t="e">
        <f>AND(#REF!,"AAAAAHvY8pM=")</f>
        <v>#REF!</v>
      </c>
      <c r="ES241" t="e">
        <f>AND(#REF!,"AAAAAHvY8pQ=")</f>
        <v>#REF!</v>
      </c>
      <c r="ET241" t="e">
        <f>AND(#REF!,"AAAAAHvY8pU=")</f>
        <v>#REF!</v>
      </c>
      <c r="EU241" t="e">
        <f>AND(#REF!,"AAAAAHvY8pY=")</f>
        <v>#REF!</v>
      </c>
      <c r="EV241" t="e">
        <f>AND(#REF!,"AAAAAHvY8pc=")</f>
        <v>#REF!</v>
      </c>
      <c r="EW241" t="e">
        <f>AND(#REF!,"AAAAAHvY8pg=")</f>
        <v>#REF!</v>
      </c>
      <c r="EX241" t="e">
        <f>AND(#REF!,"AAAAAHvY8pk=")</f>
        <v>#REF!</v>
      </c>
      <c r="EY241" t="e">
        <f>AND(#REF!,"AAAAAHvY8po=")</f>
        <v>#REF!</v>
      </c>
      <c r="EZ241" t="e">
        <f>AND(#REF!,"AAAAAHvY8ps=")</f>
        <v>#REF!</v>
      </c>
      <c r="FA241" t="e">
        <f>IF(#REF!,"AAAAAHvY8pw=",0)</f>
        <v>#REF!</v>
      </c>
      <c r="FB241" t="e">
        <f>AND(#REF!,"AAAAAHvY8p0=")</f>
        <v>#REF!</v>
      </c>
      <c r="FC241" t="e">
        <f>AND(#REF!,"AAAAAHvY8p4=")</f>
        <v>#REF!</v>
      </c>
      <c r="FD241" t="e">
        <f>AND(#REF!,"AAAAAHvY8p8=")</f>
        <v>#REF!</v>
      </c>
      <c r="FE241" t="e">
        <f>AND(#REF!,"AAAAAHvY8qA=")</f>
        <v>#REF!</v>
      </c>
      <c r="FF241" t="e">
        <f>AND(#REF!,"AAAAAHvY8qE=")</f>
        <v>#REF!</v>
      </c>
      <c r="FG241" t="e">
        <f>AND(#REF!,"AAAAAHvY8qI=")</f>
        <v>#REF!</v>
      </c>
      <c r="FH241" t="e">
        <f>AND(#REF!,"AAAAAHvY8qM=")</f>
        <v>#REF!</v>
      </c>
      <c r="FI241" t="e">
        <f>AND(#REF!,"AAAAAHvY8qQ=")</f>
        <v>#REF!</v>
      </c>
      <c r="FJ241" t="e">
        <f>AND(#REF!,"AAAAAHvY8qU=")</f>
        <v>#REF!</v>
      </c>
      <c r="FK241" t="e">
        <f>AND(#REF!,"AAAAAHvY8qY=")</f>
        <v>#REF!</v>
      </c>
      <c r="FL241" t="e">
        <f>IF(#REF!,"AAAAAHvY8qc=",0)</f>
        <v>#REF!</v>
      </c>
      <c r="FM241" t="e">
        <f>AND(#REF!,"AAAAAHvY8qg=")</f>
        <v>#REF!</v>
      </c>
      <c r="FN241" t="e">
        <f>AND(#REF!,"AAAAAHvY8qk=")</f>
        <v>#REF!</v>
      </c>
      <c r="FO241" t="e">
        <f>AND(#REF!,"AAAAAHvY8qo=")</f>
        <v>#REF!</v>
      </c>
      <c r="FP241" t="e">
        <f>AND(#REF!,"AAAAAHvY8qs=")</f>
        <v>#REF!</v>
      </c>
      <c r="FQ241" t="e">
        <f>AND(#REF!,"AAAAAHvY8qw=")</f>
        <v>#REF!</v>
      </c>
      <c r="FR241" t="e">
        <f>AND(#REF!,"AAAAAHvY8q0=")</f>
        <v>#REF!</v>
      </c>
      <c r="FS241" t="e">
        <f>AND(#REF!,"AAAAAHvY8q4=")</f>
        <v>#REF!</v>
      </c>
      <c r="FT241" t="e">
        <f>AND(#REF!,"AAAAAHvY8q8=")</f>
        <v>#REF!</v>
      </c>
      <c r="FU241" t="e">
        <f>AND(#REF!,"AAAAAHvY8rA=")</f>
        <v>#REF!</v>
      </c>
      <c r="FV241" t="e">
        <f>AND(#REF!,"AAAAAHvY8rE=")</f>
        <v>#REF!</v>
      </c>
      <c r="FW241" t="e">
        <f>IF(#REF!,"AAAAAHvY8rI=",0)</f>
        <v>#REF!</v>
      </c>
      <c r="FX241" t="e">
        <f>AND(#REF!,"AAAAAHvY8rM=")</f>
        <v>#REF!</v>
      </c>
      <c r="FY241" t="e">
        <f>AND(#REF!,"AAAAAHvY8rQ=")</f>
        <v>#REF!</v>
      </c>
      <c r="FZ241" t="e">
        <f>AND(#REF!,"AAAAAHvY8rU=")</f>
        <v>#REF!</v>
      </c>
      <c r="GA241" t="e">
        <f>AND(#REF!,"AAAAAHvY8rY=")</f>
        <v>#REF!</v>
      </c>
      <c r="GB241" t="e">
        <f>AND(#REF!,"AAAAAHvY8rc=")</f>
        <v>#REF!</v>
      </c>
      <c r="GC241" t="e">
        <f>AND(#REF!,"AAAAAHvY8rg=")</f>
        <v>#REF!</v>
      </c>
      <c r="GD241" t="e">
        <f>AND(#REF!,"AAAAAHvY8rk=")</f>
        <v>#REF!</v>
      </c>
      <c r="GE241" t="e">
        <f>AND(#REF!,"AAAAAHvY8ro=")</f>
        <v>#REF!</v>
      </c>
      <c r="GF241" t="e">
        <f>AND(#REF!,"AAAAAHvY8rs=")</f>
        <v>#REF!</v>
      </c>
      <c r="GG241" t="e">
        <f>AND(#REF!,"AAAAAHvY8rw=")</f>
        <v>#REF!</v>
      </c>
      <c r="GH241" t="e">
        <f>IF(#REF!,"AAAAAHvY8r0=",0)</f>
        <v>#REF!</v>
      </c>
      <c r="GI241" t="e">
        <f>AND(#REF!,"AAAAAHvY8r4=")</f>
        <v>#REF!</v>
      </c>
      <c r="GJ241" t="e">
        <f>AND(#REF!,"AAAAAHvY8r8=")</f>
        <v>#REF!</v>
      </c>
      <c r="GK241" t="e">
        <f>AND(#REF!,"AAAAAHvY8sA=")</f>
        <v>#REF!</v>
      </c>
      <c r="GL241" t="e">
        <f>AND(#REF!,"AAAAAHvY8sE=")</f>
        <v>#REF!</v>
      </c>
      <c r="GM241" t="e">
        <f>AND(#REF!,"AAAAAHvY8sI=")</f>
        <v>#REF!</v>
      </c>
      <c r="GN241" t="e">
        <f>AND(#REF!,"AAAAAHvY8sM=")</f>
        <v>#REF!</v>
      </c>
      <c r="GO241" t="e">
        <f>AND(#REF!,"AAAAAHvY8sQ=")</f>
        <v>#REF!</v>
      </c>
      <c r="GP241" t="e">
        <f>AND(#REF!,"AAAAAHvY8sU=")</f>
        <v>#REF!</v>
      </c>
      <c r="GQ241" t="e">
        <f>AND(#REF!,"AAAAAHvY8sY=")</f>
        <v>#REF!</v>
      </c>
      <c r="GR241" t="e">
        <f>AND(#REF!,"AAAAAHvY8sc=")</f>
        <v>#REF!</v>
      </c>
      <c r="GS241" t="e">
        <f>IF(#REF!,"AAAAAHvY8sg=",0)</f>
        <v>#REF!</v>
      </c>
      <c r="GT241" t="e">
        <f>AND(#REF!,"AAAAAHvY8sk=")</f>
        <v>#REF!</v>
      </c>
      <c r="GU241" t="e">
        <f>AND(#REF!,"AAAAAHvY8so=")</f>
        <v>#REF!</v>
      </c>
      <c r="GV241" t="e">
        <f>AND(#REF!,"AAAAAHvY8ss=")</f>
        <v>#REF!</v>
      </c>
      <c r="GW241" t="e">
        <f>AND(#REF!,"AAAAAHvY8sw=")</f>
        <v>#REF!</v>
      </c>
      <c r="GX241" t="e">
        <f>AND(#REF!,"AAAAAHvY8s0=")</f>
        <v>#REF!</v>
      </c>
      <c r="GY241" t="e">
        <f>AND(#REF!,"AAAAAHvY8s4=")</f>
        <v>#REF!</v>
      </c>
      <c r="GZ241" t="e">
        <f>AND(#REF!,"AAAAAHvY8s8=")</f>
        <v>#REF!</v>
      </c>
      <c r="HA241" t="e">
        <f>AND(#REF!,"AAAAAHvY8tA=")</f>
        <v>#REF!</v>
      </c>
      <c r="HB241" t="e">
        <f>AND(#REF!,"AAAAAHvY8tE=")</f>
        <v>#REF!</v>
      </c>
      <c r="HC241" t="e">
        <f>AND(#REF!,"AAAAAHvY8tI=")</f>
        <v>#REF!</v>
      </c>
      <c r="HD241" t="e">
        <f>IF(#REF!,"AAAAAHvY8tM=",0)</f>
        <v>#REF!</v>
      </c>
      <c r="HE241" t="e">
        <f>AND(#REF!,"AAAAAHvY8tQ=")</f>
        <v>#REF!</v>
      </c>
      <c r="HF241" t="e">
        <f>AND(#REF!,"AAAAAHvY8tU=")</f>
        <v>#REF!</v>
      </c>
      <c r="HG241" t="e">
        <f>AND(#REF!,"AAAAAHvY8tY=")</f>
        <v>#REF!</v>
      </c>
      <c r="HH241" t="e">
        <f>AND(#REF!,"AAAAAHvY8tc=")</f>
        <v>#REF!</v>
      </c>
      <c r="HI241" t="e">
        <f>AND(#REF!,"AAAAAHvY8tg=")</f>
        <v>#REF!</v>
      </c>
      <c r="HJ241" t="e">
        <f>AND(#REF!,"AAAAAHvY8tk=")</f>
        <v>#REF!</v>
      </c>
      <c r="HK241" t="e">
        <f>AND(#REF!,"AAAAAHvY8to=")</f>
        <v>#REF!</v>
      </c>
      <c r="HL241" t="e">
        <f>AND(#REF!,"AAAAAHvY8ts=")</f>
        <v>#REF!</v>
      </c>
      <c r="HM241" t="e">
        <f>AND(#REF!,"AAAAAHvY8tw=")</f>
        <v>#REF!</v>
      </c>
      <c r="HN241" t="e">
        <f>AND(#REF!,"AAAAAHvY8t0=")</f>
        <v>#REF!</v>
      </c>
      <c r="HO241" t="e">
        <f>IF(#REF!,"AAAAAHvY8t4=",0)</f>
        <v>#REF!</v>
      </c>
      <c r="HP241" t="e">
        <f>AND(#REF!,"AAAAAHvY8t8=")</f>
        <v>#REF!</v>
      </c>
      <c r="HQ241" t="e">
        <f>AND(#REF!,"AAAAAHvY8uA=")</f>
        <v>#REF!</v>
      </c>
      <c r="HR241" t="e">
        <f>AND(#REF!,"AAAAAHvY8uE=")</f>
        <v>#REF!</v>
      </c>
      <c r="HS241" t="e">
        <f>AND(#REF!,"AAAAAHvY8uI=")</f>
        <v>#REF!</v>
      </c>
      <c r="HT241" t="e">
        <f>AND(#REF!,"AAAAAHvY8uM=")</f>
        <v>#REF!</v>
      </c>
      <c r="HU241" t="e">
        <f>AND(#REF!,"AAAAAHvY8uQ=")</f>
        <v>#REF!</v>
      </c>
      <c r="HV241" t="e">
        <f>AND(#REF!,"AAAAAHvY8uU=")</f>
        <v>#REF!</v>
      </c>
      <c r="HW241" t="e">
        <f>AND(#REF!,"AAAAAHvY8uY=")</f>
        <v>#REF!</v>
      </c>
      <c r="HX241" t="e">
        <f>AND(#REF!,"AAAAAHvY8uc=")</f>
        <v>#REF!</v>
      </c>
      <c r="HY241" t="e">
        <f>AND(#REF!,"AAAAAHvY8ug=")</f>
        <v>#REF!</v>
      </c>
      <c r="HZ241" t="e">
        <f>IF(#REF!,"AAAAAHvY8uk=",0)</f>
        <v>#REF!</v>
      </c>
      <c r="IA241" t="e">
        <f>AND(#REF!,"AAAAAHvY8uo=")</f>
        <v>#REF!</v>
      </c>
      <c r="IB241" t="e">
        <f>AND(#REF!,"AAAAAHvY8us=")</f>
        <v>#REF!</v>
      </c>
      <c r="IC241" t="e">
        <f>AND(#REF!,"AAAAAHvY8uw=")</f>
        <v>#REF!</v>
      </c>
      <c r="ID241" t="e">
        <f>AND(#REF!,"AAAAAHvY8u0=")</f>
        <v>#REF!</v>
      </c>
      <c r="IE241" t="e">
        <f>AND(#REF!,"AAAAAHvY8u4=")</f>
        <v>#REF!</v>
      </c>
      <c r="IF241" t="e">
        <f>AND(#REF!,"AAAAAHvY8u8=")</f>
        <v>#REF!</v>
      </c>
      <c r="IG241" t="e">
        <f>AND(#REF!,"AAAAAHvY8vA=")</f>
        <v>#REF!</v>
      </c>
      <c r="IH241" t="e">
        <f>AND(#REF!,"AAAAAHvY8vE=")</f>
        <v>#REF!</v>
      </c>
      <c r="II241" t="e">
        <f>AND(#REF!,"AAAAAHvY8vI=")</f>
        <v>#REF!</v>
      </c>
      <c r="IJ241" t="e">
        <f>AND(#REF!,"AAAAAHvY8vM=")</f>
        <v>#REF!</v>
      </c>
      <c r="IK241" t="e">
        <f>IF(#REF!,"AAAAAHvY8vQ=",0)</f>
        <v>#REF!</v>
      </c>
      <c r="IL241" t="e">
        <f>AND(#REF!,"AAAAAHvY8vU=")</f>
        <v>#REF!</v>
      </c>
      <c r="IM241" t="e">
        <f>AND(#REF!,"AAAAAHvY8vY=")</f>
        <v>#REF!</v>
      </c>
      <c r="IN241" t="e">
        <f>AND(#REF!,"AAAAAHvY8vc=")</f>
        <v>#REF!</v>
      </c>
      <c r="IO241" t="e">
        <f>AND(#REF!,"AAAAAHvY8vg=")</f>
        <v>#REF!</v>
      </c>
      <c r="IP241" t="e">
        <f>AND(#REF!,"AAAAAHvY8vk=")</f>
        <v>#REF!</v>
      </c>
      <c r="IQ241" t="e">
        <f>AND(#REF!,"AAAAAHvY8vo=")</f>
        <v>#REF!</v>
      </c>
      <c r="IR241" t="e">
        <f>AND(#REF!,"AAAAAHvY8vs=")</f>
        <v>#REF!</v>
      </c>
      <c r="IS241" t="e">
        <f>AND(#REF!,"AAAAAHvY8vw=")</f>
        <v>#REF!</v>
      </c>
      <c r="IT241" t="e">
        <f>AND(#REF!,"AAAAAHvY8v0=")</f>
        <v>#REF!</v>
      </c>
      <c r="IU241" t="e">
        <f>AND(#REF!,"AAAAAHvY8v4=")</f>
        <v>#REF!</v>
      </c>
      <c r="IV241" t="e">
        <f>IF(#REF!,"AAAAAHvY8v8=",0)</f>
        <v>#REF!</v>
      </c>
    </row>
    <row r="242" spans="1:256" x14ac:dyDescent="0.25">
      <c r="A242" t="e">
        <f>AND(#REF!,"AAAAAHfpuQA=")</f>
        <v>#REF!</v>
      </c>
      <c r="B242" t="e">
        <f>AND(#REF!,"AAAAAHfpuQE=")</f>
        <v>#REF!</v>
      </c>
      <c r="C242" t="e">
        <f>AND(#REF!,"AAAAAHfpuQI=")</f>
        <v>#REF!</v>
      </c>
      <c r="D242" t="e">
        <f>AND(#REF!,"AAAAAHfpuQM=")</f>
        <v>#REF!</v>
      </c>
      <c r="E242" t="e">
        <f>AND(#REF!,"AAAAAHfpuQQ=")</f>
        <v>#REF!</v>
      </c>
      <c r="F242" t="e">
        <f>AND(#REF!,"AAAAAHfpuQU=")</f>
        <v>#REF!</v>
      </c>
      <c r="G242" t="e">
        <f>AND(#REF!,"AAAAAHfpuQY=")</f>
        <v>#REF!</v>
      </c>
      <c r="H242" t="e">
        <f>AND(#REF!,"AAAAAHfpuQc=")</f>
        <v>#REF!</v>
      </c>
      <c r="I242" t="e">
        <f>AND(#REF!,"AAAAAHfpuQg=")</f>
        <v>#REF!</v>
      </c>
      <c r="J242" t="e">
        <f>AND(#REF!,"AAAAAHfpuQk=")</f>
        <v>#REF!</v>
      </c>
      <c r="K242" t="e">
        <f>IF(#REF!,"AAAAAHfpuQo=",0)</f>
        <v>#REF!</v>
      </c>
      <c r="L242" t="e">
        <f>AND(#REF!,"AAAAAHfpuQs=")</f>
        <v>#REF!</v>
      </c>
      <c r="M242" t="e">
        <f>AND(#REF!,"AAAAAHfpuQw=")</f>
        <v>#REF!</v>
      </c>
      <c r="N242" t="e">
        <f>AND(#REF!,"AAAAAHfpuQ0=")</f>
        <v>#REF!</v>
      </c>
      <c r="O242" t="e">
        <f>AND(#REF!,"AAAAAHfpuQ4=")</f>
        <v>#REF!</v>
      </c>
      <c r="P242" t="e">
        <f>AND(#REF!,"AAAAAHfpuQ8=")</f>
        <v>#REF!</v>
      </c>
      <c r="Q242" t="e">
        <f>AND(#REF!,"AAAAAHfpuRA=")</f>
        <v>#REF!</v>
      </c>
      <c r="R242" t="e">
        <f>AND(#REF!,"AAAAAHfpuRE=")</f>
        <v>#REF!</v>
      </c>
      <c r="S242" t="e">
        <f>AND(#REF!,"AAAAAHfpuRI=")</f>
        <v>#REF!</v>
      </c>
      <c r="T242" t="e">
        <f>AND(#REF!,"AAAAAHfpuRM=")</f>
        <v>#REF!</v>
      </c>
      <c r="U242" t="e">
        <f>AND(#REF!,"AAAAAHfpuRQ=")</f>
        <v>#REF!</v>
      </c>
      <c r="V242" t="e">
        <f>IF(#REF!,"AAAAAHfpuRU=",0)</f>
        <v>#REF!</v>
      </c>
      <c r="W242" t="e">
        <f>AND(#REF!,"AAAAAHfpuRY=")</f>
        <v>#REF!</v>
      </c>
      <c r="X242" t="e">
        <f>AND(#REF!,"AAAAAHfpuRc=")</f>
        <v>#REF!</v>
      </c>
      <c r="Y242" t="e">
        <f>AND(#REF!,"AAAAAHfpuRg=")</f>
        <v>#REF!</v>
      </c>
      <c r="Z242" t="e">
        <f>AND(#REF!,"AAAAAHfpuRk=")</f>
        <v>#REF!</v>
      </c>
      <c r="AA242" t="e">
        <f>AND(#REF!,"AAAAAHfpuRo=")</f>
        <v>#REF!</v>
      </c>
      <c r="AB242" t="e">
        <f>AND(#REF!,"AAAAAHfpuRs=")</f>
        <v>#REF!</v>
      </c>
      <c r="AC242" t="e">
        <f>AND(#REF!,"AAAAAHfpuRw=")</f>
        <v>#REF!</v>
      </c>
      <c r="AD242" t="e">
        <f>AND(#REF!,"AAAAAHfpuR0=")</f>
        <v>#REF!</v>
      </c>
      <c r="AE242" t="e">
        <f>AND(#REF!,"AAAAAHfpuR4=")</f>
        <v>#REF!</v>
      </c>
      <c r="AF242" t="e">
        <f>AND(#REF!,"AAAAAHfpuR8=")</f>
        <v>#REF!</v>
      </c>
      <c r="AG242" t="e">
        <f>IF(#REF!,"AAAAAHfpuSA=",0)</f>
        <v>#REF!</v>
      </c>
      <c r="AH242" t="e">
        <f>AND(#REF!,"AAAAAHfpuSE=")</f>
        <v>#REF!</v>
      </c>
      <c r="AI242" t="e">
        <f>AND(#REF!,"AAAAAHfpuSI=")</f>
        <v>#REF!</v>
      </c>
      <c r="AJ242" t="e">
        <f>AND(#REF!,"AAAAAHfpuSM=")</f>
        <v>#REF!</v>
      </c>
      <c r="AK242" t="e">
        <f>AND(#REF!,"AAAAAHfpuSQ=")</f>
        <v>#REF!</v>
      </c>
      <c r="AL242" t="e">
        <f>AND(#REF!,"AAAAAHfpuSU=")</f>
        <v>#REF!</v>
      </c>
      <c r="AM242" t="e">
        <f>AND(#REF!,"AAAAAHfpuSY=")</f>
        <v>#REF!</v>
      </c>
      <c r="AN242" t="e">
        <f>AND(#REF!,"AAAAAHfpuSc=")</f>
        <v>#REF!</v>
      </c>
      <c r="AO242" t="e">
        <f>AND(#REF!,"AAAAAHfpuSg=")</f>
        <v>#REF!</v>
      </c>
      <c r="AP242" t="e">
        <f>AND(#REF!,"AAAAAHfpuSk=")</f>
        <v>#REF!</v>
      </c>
      <c r="AQ242" t="e">
        <f>AND(#REF!,"AAAAAHfpuSo=")</f>
        <v>#REF!</v>
      </c>
      <c r="AR242" t="e">
        <f>IF(#REF!,"AAAAAHfpuSs=",0)</f>
        <v>#REF!</v>
      </c>
      <c r="AS242" t="e">
        <f>AND(#REF!,"AAAAAHfpuSw=")</f>
        <v>#REF!</v>
      </c>
      <c r="AT242" t="e">
        <f>AND(#REF!,"AAAAAHfpuS0=")</f>
        <v>#REF!</v>
      </c>
      <c r="AU242" t="e">
        <f>AND(#REF!,"AAAAAHfpuS4=")</f>
        <v>#REF!</v>
      </c>
      <c r="AV242" t="e">
        <f>AND(#REF!,"AAAAAHfpuS8=")</f>
        <v>#REF!</v>
      </c>
      <c r="AW242" t="e">
        <f>AND(#REF!,"AAAAAHfpuTA=")</f>
        <v>#REF!</v>
      </c>
      <c r="AX242" t="e">
        <f>AND(#REF!,"AAAAAHfpuTE=")</f>
        <v>#REF!</v>
      </c>
      <c r="AY242" t="e">
        <f>AND(#REF!,"AAAAAHfpuTI=")</f>
        <v>#REF!</v>
      </c>
      <c r="AZ242" t="e">
        <f>AND(#REF!,"AAAAAHfpuTM=")</f>
        <v>#REF!</v>
      </c>
      <c r="BA242" t="e">
        <f>AND(#REF!,"AAAAAHfpuTQ=")</f>
        <v>#REF!</v>
      </c>
      <c r="BB242" t="e">
        <f>AND(#REF!,"AAAAAHfpuTU=")</f>
        <v>#REF!</v>
      </c>
      <c r="BC242" t="e">
        <f>IF(#REF!,"AAAAAHfpuTY=",0)</f>
        <v>#REF!</v>
      </c>
      <c r="BD242" t="e">
        <f>AND(#REF!,"AAAAAHfpuTc=")</f>
        <v>#REF!</v>
      </c>
      <c r="BE242" t="e">
        <f>AND(#REF!,"AAAAAHfpuTg=")</f>
        <v>#REF!</v>
      </c>
      <c r="BF242" t="e">
        <f>AND(#REF!,"AAAAAHfpuTk=")</f>
        <v>#REF!</v>
      </c>
      <c r="BG242" t="e">
        <f>AND(#REF!,"AAAAAHfpuTo=")</f>
        <v>#REF!</v>
      </c>
      <c r="BH242" t="e">
        <f>AND(#REF!,"AAAAAHfpuTs=")</f>
        <v>#REF!</v>
      </c>
      <c r="BI242" t="e">
        <f>AND(#REF!,"AAAAAHfpuTw=")</f>
        <v>#REF!</v>
      </c>
      <c r="BJ242" t="e">
        <f>AND(#REF!,"AAAAAHfpuT0=")</f>
        <v>#REF!</v>
      </c>
      <c r="BK242" t="e">
        <f>AND(#REF!,"AAAAAHfpuT4=")</f>
        <v>#REF!</v>
      </c>
      <c r="BL242" t="e">
        <f>AND(#REF!,"AAAAAHfpuT8=")</f>
        <v>#REF!</v>
      </c>
      <c r="BM242" t="e">
        <f>AND(#REF!,"AAAAAHfpuUA=")</f>
        <v>#REF!</v>
      </c>
      <c r="BN242" t="e">
        <f>IF(#REF!,"AAAAAHfpuUE=",0)</f>
        <v>#REF!</v>
      </c>
      <c r="BO242" t="e">
        <f>AND(#REF!,"AAAAAHfpuUI=")</f>
        <v>#REF!</v>
      </c>
      <c r="BP242" t="e">
        <f>AND(#REF!,"AAAAAHfpuUM=")</f>
        <v>#REF!</v>
      </c>
      <c r="BQ242" t="e">
        <f>AND(#REF!,"AAAAAHfpuUQ=")</f>
        <v>#REF!</v>
      </c>
      <c r="BR242" t="e">
        <f>AND(#REF!,"AAAAAHfpuUU=")</f>
        <v>#REF!</v>
      </c>
      <c r="BS242" t="e">
        <f>AND(#REF!,"AAAAAHfpuUY=")</f>
        <v>#REF!</v>
      </c>
      <c r="BT242" t="e">
        <f>AND(#REF!,"AAAAAHfpuUc=")</f>
        <v>#REF!</v>
      </c>
      <c r="BU242" t="e">
        <f>AND(#REF!,"AAAAAHfpuUg=")</f>
        <v>#REF!</v>
      </c>
      <c r="BV242" t="e">
        <f>AND(#REF!,"AAAAAHfpuUk=")</f>
        <v>#REF!</v>
      </c>
      <c r="BW242" t="e">
        <f>AND(#REF!,"AAAAAHfpuUo=")</f>
        <v>#REF!</v>
      </c>
      <c r="BX242" t="e">
        <f>AND(#REF!,"AAAAAHfpuUs=")</f>
        <v>#REF!</v>
      </c>
      <c r="BY242" t="e">
        <f>IF(#REF!,"AAAAAHfpuUw=",0)</f>
        <v>#REF!</v>
      </c>
      <c r="BZ242" t="e">
        <f>AND(#REF!,"AAAAAHfpuU0=")</f>
        <v>#REF!</v>
      </c>
      <c r="CA242" t="e">
        <f>AND(#REF!,"AAAAAHfpuU4=")</f>
        <v>#REF!</v>
      </c>
      <c r="CB242" t="e">
        <f>AND(#REF!,"AAAAAHfpuU8=")</f>
        <v>#REF!</v>
      </c>
      <c r="CC242" t="e">
        <f>AND(#REF!,"AAAAAHfpuVA=")</f>
        <v>#REF!</v>
      </c>
      <c r="CD242" t="e">
        <f>AND(#REF!,"AAAAAHfpuVE=")</f>
        <v>#REF!</v>
      </c>
      <c r="CE242" t="e">
        <f>AND(#REF!,"AAAAAHfpuVI=")</f>
        <v>#REF!</v>
      </c>
      <c r="CF242" t="e">
        <f>AND(#REF!,"AAAAAHfpuVM=")</f>
        <v>#REF!</v>
      </c>
      <c r="CG242" t="e">
        <f>AND(#REF!,"AAAAAHfpuVQ=")</f>
        <v>#REF!</v>
      </c>
      <c r="CH242" t="e">
        <f>AND(#REF!,"AAAAAHfpuVU=")</f>
        <v>#REF!</v>
      </c>
      <c r="CI242" t="e">
        <f>AND(#REF!,"AAAAAHfpuVY=")</f>
        <v>#REF!</v>
      </c>
      <c r="CJ242" t="e">
        <f>IF(#REF!,"AAAAAHfpuVc=",0)</f>
        <v>#REF!</v>
      </c>
      <c r="CK242" t="e">
        <f>AND(#REF!,"AAAAAHfpuVg=")</f>
        <v>#REF!</v>
      </c>
      <c r="CL242" t="e">
        <f>AND(#REF!,"AAAAAHfpuVk=")</f>
        <v>#REF!</v>
      </c>
      <c r="CM242" t="e">
        <f>AND(#REF!,"AAAAAHfpuVo=")</f>
        <v>#REF!</v>
      </c>
      <c r="CN242" t="e">
        <f>AND(#REF!,"AAAAAHfpuVs=")</f>
        <v>#REF!</v>
      </c>
      <c r="CO242" t="e">
        <f>AND(#REF!,"AAAAAHfpuVw=")</f>
        <v>#REF!</v>
      </c>
      <c r="CP242" t="e">
        <f>AND(#REF!,"AAAAAHfpuV0=")</f>
        <v>#REF!</v>
      </c>
      <c r="CQ242" t="e">
        <f>AND(#REF!,"AAAAAHfpuV4=")</f>
        <v>#REF!</v>
      </c>
      <c r="CR242" t="e">
        <f>AND(#REF!,"AAAAAHfpuV8=")</f>
        <v>#REF!</v>
      </c>
      <c r="CS242" t="e">
        <f>AND(#REF!,"AAAAAHfpuWA=")</f>
        <v>#REF!</v>
      </c>
      <c r="CT242" t="e">
        <f>AND(#REF!,"AAAAAHfpuWE=")</f>
        <v>#REF!</v>
      </c>
      <c r="CU242" t="e">
        <f>IF(#REF!,"AAAAAHfpuWI=",0)</f>
        <v>#REF!</v>
      </c>
      <c r="CV242" t="e">
        <f>AND(#REF!,"AAAAAHfpuWM=")</f>
        <v>#REF!</v>
      </c>
      <c r="CW242" t="e">
        <f>AND(#REF!,"AAAAAHfpuWQ=")</f>
        <v>#REF!</v>
      </c>
      <c r="CX242" t="e">
        <f>AND(#REF!,"AAAAAHfpuWU=")</f>
        <v>#REF!</v>
      </c>
      <c r="CY242" t="e">
        <f>AND(#REF!,"AAAAAHfpuWY=")</f>
        <v>#REF!</v>
      </c>
      <c r="CZ242" t="e">
        <f>AND(#REF!,"AAAAAHfpuWc=")</f>
        <v>#REF!</v>
      </c>
      <c r="DA242" t="e">
        <f>AND(#REF!,"AAAAAHfpuWg=")</f>
        <v>#REF!</v>
      </c>
      <c r="DB242" t="e">
        <f>AND(#REF!,"AAAAAHfpuWk=")</f>
        <v>#REF!</v>
      </c>
      <c r="DC242" t="e">
        <f>AND(#REF!,"AAAAAHfpuWo=")</f>
        <v>#REF!</v>
      </c>
      <c r="DD242" t="e">
        <f>AND(#REF!,"AAAAAHfpuWs=")</f>
        <v>#REF!</v>
      </c>
      <c r="DE242" t="e">
        <f>AND(#REF!,"AAAAAHfpuWw=")</f>
        <v>#REF!</v>
      </c>
      <c r="DF242" t="e">
        <f>IF(#REF!,"AAAAAHfpuW0=",0)</f>
        <v>#REF!</v>
      </c>
      <c r="DG242" t="e">
        <f>AND(#REF!,"AAAAAHfpuW4=")</f>
        <v>#REF!</v>
      </c>
      <c r="DH242" t="e">
        <f>AND(#REF!,"AAAAAHfpuW8=")</f>
        <v>#REF!</v>
      </c>
      <c r="DI242" t="e">
        <f>AND(#REF!,"AAAAAHfpuXA=")</f>
        <v>#REF!</v>
      </c>
      <c r="DJ242" t="e">
        <f>AND(#REF!,"AAAAAHfpuXE=")</f>
        <v>#REF!</v>
      </c>
      <c r="DK242" t="e">
        <f>AND(#REF!,"AAAAAHfpuXI=")</f>
        <v>#REF!</v>
      </c>
      <c r="DL242" t="e">
        <f>AND(#REF!,"AAAAAHfpuXM=")</f>
        <v>#REF!</v>
      </c>
      <c r="DM242" t="e">
        <f>AND(#REF!,"AAAAAHfpuXQ=")</f>
        <v>#REF!</v>
      </c>
      <c r="DN242" t="e">
        <f>AND(#REF!,"AAAAAHfpuXU=")</f>
        <v>#REF!</v>
      </c>
      <c r="DO242" t="e">
        <f>AND(#REF!,"AAAAAHfpuXY=")</f>
        <v>#REF!</v>
      </c>
      <c r="DP242" t="e">
        <f>AND(#REF!,"AAAAAHfpuXc=")</f>
        <v>#REF!</v>
      </c>
      <c r="DQ242" t="e">
        <f>IF(#REF!,"AAAAAHfpuXg=",0)</f>
        <v>#REF!</v>
      </c>
      <c r="DR242" t="e">
        <f>AND(#REF!,"AAAAAHfpuXk=")</f>
        <v>#REF!</v>
      </c>
      <c r="DS242" t="e">
        <f>AND(#REF!,"AAAAAHfpuXo=")</f>
        <v>#REF!</v>
      </c>
      <c r="DT242" t="e">
        <f>AND(#REF!,"AAAAAHfpuXs=")</f>
        <v>#REF!</v>
      </c>
      <c r="DU242" t="e">
        <f>AND(#REF!,"AAAAAHfpuXw=")</f>
        <v>#REF!</v>
      </c>
      <c r="DV242" t="e">
        <f>AND(#REF!,"AAAAAHfpuX0=")</f>
        <v>#REF!</v>
      </c>
      <c r="DW242" t="e">
        <f>AND(#REF!,"AAAAAHfpuX4=")</f>
        <v>#REF!</v>
      </c>
      <c r="DX242" t="e">
        <f>AND(#REF!,"AAAAAHfpuX8=")</f>
        <v>#REF!</v>
      </c>
      <c r="DY242" t="e">
        <f>AND(#REF!,"AAAAAHfpuYA=")</f>
        <v>#REF!</v>
      </c>
      <c r="DZ242" t="e">
        <f>AND(#REF!,"AAAAAHfpuYE=")</f>
        <v>#REF!</v>
      </c>
      <c r="EA242" t="e">
        <f>AND(#REF!,"AAAAAHfpuYI=")</f>
        <v>#REF!</v>
      </c>
      <c r="EB242" t="e">
        <f>IF(#REF!,"AAAAAHfpuYM=",0)</f>
        <v>#REF!</v>
      </c>
      <c r="EC242" t="e">
        <f>AND(#REF!,"AAAAAHfpuYQ=")</f>
        <v>#REF!</v>
      </c>
      <c r="ED242" t="e">
        <f>AND(#REF!,"AAAAAHfpuYU=")</f>
        <v>#REF!</v>
      </c>
      <c r="EE242" t="e">
        <f>AND(#REF!,"AAAAAHfpuYY=")</f>
        <v>#REF!</v>
      </c>
      <c r="EF242" t="e">
        <f>AND(#REF!,"AAAAAHfpuYc=")</f>
        <v>#REF!</v>
      </c>
      <c r="EG242" t="e">
        <f>AND(#REF!,"AAAAAHfpuYg=")</f>
        <v>#REF!</v>
      </c>
      <c r="EH242" t="e">
        <f>AND(#REF!,"AAAAAHfpuYk=")</f>
        <v>#REF!</v>
      </c>
      <c r="EI242" t="e">
        <f>AND(#REF!,"AAAAAHfpuYo=")</f>
        <v>#REF!</v>
      </c>
      <c r="EJ242" t="e">
        <f>AND(#REF!,"AAAAAHfpuYs=")</f>
        <v>#REF!</v>
      </c>
      <c r="EK242" t="e">
        <f>AND(#REF!,"AAAAAHfpuYw=")</f>
        <v>#REF!</v>
      </c>
      <c r="EL242" t="e">
        <f>AND(#REF!,"AAAAAHfpuY0=")</f>
        <v>#REF!</v>
      </c>
      <c r="EM242" t="e">
        <f>IF(#REF!,"AAAAAHfpuY4=",0)</f>
        <v>#REF!</v>
      </c>
      <c r="EN242" t="e">
        <f>AND(#REF!,"AAAAAHfpuY8=")</f>
        <v>#REF!</v>
      </c>
      <c r="EO242" t="e">
        <f>AND(#REF!,"AAAAAHfpuZA=")</f>
        <v>#REF!</v>
      </c>
      <c r="EP242" t="e">
        <f>AND(#REF!,"AAAAAHfpuZE=")</f>
        <v>#REF!</v>
      </c>
      <c r="EQ242" t="e">
        <f>AND(#REF!,"AAAAAHfpuZI=")</f>
        <v>#REF!</v>
      </c>
      <c r="ER242" t="e">
        <f>AND(#REF!,"AAAAAHfpuZM=")</f>
        <v>#REF!</v>
      </c>
      <c r="ES242" t="e">
        <f>AND(#REF!,"AAAAAHfpuZQ=")</f>
        <v>#REF!</v>
      </c>
      <c r="ET242" t="e">
        <f>AND(#REF!,"AAAAAHfpuZU=")</f>
        <v>#REF!</v>
      </c>
      <c r="EU242" t="e">
        <f>AND(#REF!,"AAAAAHfpuZY=")</f>
        <v>#REF!</v>
      </c>
      <c r="EV242" t="e">
        <f>AND(#REF!,"AAAAAHfpuZc=")</f>
        <v>#REF!</v>
      </c>
      <c r="EW242" t="e">
        <f>AND(#REF!,"AAAAAHfpuZg=")</f>
        <v>#REF!</v>
      </c>
      <c r="EX242" t="e">
        <f>IF(#REF!,"AAAAAHfpuZk=",0)</f>
        <v>#REF!</v>
      </c>
      <c r="EY242" t="e">
        <f>AND(#REF!,"AAAAAHfpuZo=")</f>
        <v>#REF!</v>
      </c>
      <c r="EZ242" t="e">
        <f>AND(#REF!,"AAAAAHfpuZs=")</f>
        <v>#REF!</v>
      </c>
      <c r="FA242" t="e">
        <f>AND(#REF!,"AAAAAHfpuZw=")</f>
        <v>#REF!</v>
      </c>
      <c r="FB242" t="e">
        <f>AND(#REF!,"AAAAAHfpuZ0=")</f>
        <v>#REF!</v>
      </c>
      <c r="FC242" t="e">
        <f>AND(#REF!,"AAAAAHfpuZ4=")</f>
        <v>#REF!</v>
      </c>
      <c r="FD242" t="e">
        <f>AND(#REF!,"AAAAAHfpuZ8=")</f>
        <v>#REF!</v>
      </c>
      <c r="FE242" t="e">
        <f>AND(#REF!,"AAAAAHfpuaA=")</f>
        <v>#REF!</v>
      </c>
      <c r="FF242" t="e">
        <f>AND(#REF!,"AAAAAHfpuaE=")</f>
        <v>#REF!</v>
      </c>
      <c r="FG242" t="e">
        <f>AND(#REF!,"AAAAAHfpuaI=")</f>
        <v>#REF!</v>
      </c>
      <c r="FH242" t="e">
        <f>AND(#REF!,"AAAAAHfpuaM=")</f>
        <v>#REF!</v>
      </c>
      <c r="FI242" t="e">
        <f>IF(#REF!,"AAAAAHfpuaQ=",0)</f>
        <v>#REF!</v>
      </c>
      <c r="FJ242" t="e">
        <f>AND(#REF!,"AAAAAHfpuaU=")</f>
        <v>#REF!</v>
      </c>
      <c r="FK242" t="e">
        <f>AND(#REF!,"AAAAAHfpuaY=")</f>
        <v>#REF!</v>
      </c>
      <c r="FL242" t="e">
        <f>AND(#REF!,"AAAAAHfpuac=")</f>
        <v>#REF!</v>
      </c>
      <c r="FM242" t="e">
        <f>AND(#REF!,"AAAAAHfpuag=")</f>
        <v>#REF!</v>
      </c>
      <c r="FN242" t="e">
        <f>AND(#REF!,"AAAAAHfpuak=")</f>
        <v>#REF!</v>
      </c>
      <c r="FO242" t="e">
        <f>AND(#REF!,"AAAAAHfpuao=")</f>
        <v>#REF!</v>
      </c>
      <c r="FP242" t="e">
        <f>AND(#REF!,"AAAAAHfpuas=")</f>
        <v>#REF!</v>
      </c>
      <c r="FQ242" t="e">
        <f>AND(#REF!,"AAAAAHfpuaw=")</f>
        <v>#REF!</v>
      </c>
      <c r="FR242" t="e">
        <f>AND(#REF!,"AAAAAHfpua0=")</f>
        <v>#REF!</v>
      </c>
      <c r="FS242" t="e">
        <f>AND(#REF!,"AAAAAHfpua4=")</f>
        <v>#REF!</v>
      </c>
      <c r="FT242" t="e">
        <f>IF(#REF!,"AAAAAHfpua8=",0)</f>
        <v>#REF!</v>
      </c>
      <c r="FU242" t="e">
        <f>AND(#REF!,"AAAAAHfpubA=")</f>
        <v>#REF!</v>
      </c>
      <c r="FV242" t="e">
        <f>AND(#REF!,"AAAAAHfpubE=")</f>
        <v>#REF!</v>
      </c>
      <c r="FW242" t="e">
        <f>AND(#REF!,"AAAAAHfpubI=")</f>
        <v>#REF!</v>
      </c>
      <c r="FX242" t="e">
        <f>AND(#REF!,"AAAAAHfpubM=")</f>
        <v>#REF!</v>
      </c>
      <c r="FY242" t="e">
        <f>AND(#REF!,"AAAAAHfpubQ=")</f>
        <v>#REF!</v>
      </c>
      <c r="FZ242" t="e">
        <f>AND(#REF!,"AAAAAHfpubU=")</f>
        <v>#REF!</v>
      </c>
      <c r="GA242" t="e">
        <f>AND(#REF!,"AAAAAHfpubY=")</f>
        <v>#REF!</v>
      </c>
      <c r="GB242" t="e">
        <f>AND(#REF!,"AAAAAHfpubc=")</f>
        <v>#REF!</v>
      </c>
      <c r="GC242" t="e">
        <f>AND(#REF!,"AAAAAHfpubg=")</f>
        <v>#REF!</v>
      </c>
      <c r="GD242" t="e">
        <f>AND(#REF!,"AAAAAHfpubk=")</f>
        <v>#REF!</v>
      </c>
      <c r="GE242" t="e">
        <f>IF(#REF!,"AAAAAHfpubo=",0)</f>
        <v>#REF!</v>
      </c>
      <c r="GF242" t="e">
        <f>AND(#REF!,"AAAAAHfpubs=")</f>
        <v>#REF!</v>
      </c>
      <c r="GG242" t="e">
        <f>AND(#REF!,"AAAAAHfpubw=")</f>
        <v>#REF!</v>
      </c>
      <c r="GH242" t="e">
        <f>AND(#REF!,"AAAAAHfpub0=")</f>
        <v>#REF!</v>
      </c>
      <c r="GI242" t="e">
        <f>AND(#REF!,"AAAAAHfpub4=")</f>
        <v>#REF!</v>
      </c>
      <c r="GJ242" t="e">
        <f>AND(#REF!,"AAAAAHfpub8=")</f>
        <v>#REF!</v>
      </c>
      <c r="GK242" t="e">
        <f>AND(#REF!,"AAAAAHfpucA=")</f>
        <v>#REF!</v>
      </c>
      <c r="GL242" t="e">
        <f>AND(#REF!,"AAAAAHfpucE=")</f>
        <v>#REF!</v>
      </c>
      <c r="GM242" t="e">
        <f>AND(#REF!,"AAAAAHfpucI=")</f>
        <v>#REF!</v>
      </c>
      <c r="GN242" t="e">
        <f>AND(#REF!,"AAAAAHfpucM=")</f>
        <v>#REF!</v>
      </c>
      <c r="GO242" t="e">
        <f>AND(#REF!,"AAAAAHfpucQ=")</f>
        <v>#REF!</v>
      </c>
      <c r="GP242" t="e">
        <f>IF(#REF!,"AAAAAHfpucU=",0)</f>
        <v>#REF!</v>
      </c>
      <c r="GQ242" t="e">
        <f>AND(#REF!,"AAAAAHfpucY=")</f>
        <v>#REF!</v>
      </c>
      <c r="GR242" t="e">
        <f>AND(#REF!,"AAAAAHfpucc=")</f>
        <v>#REF!</v>
      </c>
      <c r="GS242" t="e">
        <f>AND(#REF!,"AAAAAHfpucg=")</f>
        <v>#REF!</v>
      </c>
      <c r="GT242" t="e">
        <f>AND(#REF!,"AAAAAHfpuck=")</f>
        <v>#REF!</v>
      </c>
      <c r="GU242" t="e">
        <f>AND(#REF!,"AAAAAHfpuco=")</f>
        <v>#REF!</v>
      </c>
      <c r="GV242" t="e">
        <f>AND(#REF!,"AAAAAHfpucs=")</f>
        <v>#REF!</v>
      </c>
      <c r="GW242" t="e">
        <f>AND(#REF!,"AAAAAHfpucw=")</f>
        <v>#REF!</v>
      </c>
      <c r="GX242" t="e">
        <f>AND(#REF!,"AAAAAHfpuc0=")</f>
        <v>#REF!</v>
      </c>
      <c r="GY242" t="e">
        <f>AND(#REF!,"AAAAAHfpuc4=")</f>
        <v>#REF!</v>
      </c>
      <c r="GZ242" t="e">
        <f>AND(#REF!,"AAAAAHfpuc8=")</f>
        <v>#REF!</v>
      </c>
      <c r="HA242" t="e">
        <f>IF(#REF!,"AAAAAHfpudA=",0)</f>
        <v>#REF!</v>
      </c>
      <c r="HB242" t="e">
        <f>AND(#REF!,"AAAAAHfpudE=")</f>
        <v>#REF!</v>
      </c>
      <c r="HC242" t="e">
        <f>AND(#REF!,"AAAAAHfpudI=")</f>
        <v>#REF!</v>
      </c>
      <c r="HD242" t="e">
        <f>AND(#REF!,"AAAAAHfpudM=")</f>
        <v>#REF!</v>
      </c>
      <c r="HE242" t="e">
        <f>AND(#REF!,"AAAAAHfpudQ=")</f>
        <v>#REF!</v>
      </c>
      <c r="HF242" t="e">
        <f>AND(#REF!,"AAAAAHfpudU=")</f>
        <v>#REF!</v>
      </c>
      <c r="HG242" t="e">
        <f>AND(#REF!,"AAAAAHfpudY=")</f>
        <v>#REF!</v>
      </c>
      <c r="HH242" t="e">
        <f>AND(#REF!,"AAAAAHfpudc=")</f>
        <v>#REF!</v>
      </c>
      <c r="HI242" t="e">
        <f>AND(#REF!,"AAAAAHfpudg=")</f>
        <v>#REF!</v>
      </c>
      <c r="HJ242" t="e">
        <f>AND(#REF!,"AAAAAHfpudk=")</f>
        <v>#REF!</v>
      </c>
      <c r="HK242" t="e">
        <f>AND(#REF!,"AAAAAHfpudo=")</f>
        <v>#REF!</v>
      </c>
      <c r="HL242" t="e">
        <f>IF(#REF!,"AAAAAHfpuds=",0)</f>
        <v>#REF!</v>
      </c>
      <c r="HM242" t="e">
        <f>AND(#REF!,"AAAAAHfpudw=")</f>
        <v>#REF!</v>
      </c>
      <c r="HN242" t="e">
        <f>AND(#REF!,"AAAAAHfpud0=")</f>
        <v>#REF!</v>
      </c>
      <c r="HO242" t="e">
        <f>AND(#REF!,"AAAAAHfpud4=")</f>
        <v>#REF!</v>
      </c>
      <c r="HP242" t="e">
        <f>AND(#REF!,"AAAAAHfpud8=")</f>
        <v>#REF!</v>
      </c>
      <c r="HQ242" t="e">
        <f>AND(#REF!,"AAAAAHfpueA=")</f>
        <v>#REF!</v>
      </c>
      <c r="HR242" t="e">
        <f>AND(#REF!,"AAAAAHfpueE=")</f>
        <v>#REF!</v>
      </c>
      <c r="HS242" t="e">
        <f>AND(#REF!,"AAAAAHfpueI=")</f>
        <v>#REF!</v>
      </c>
      <c r="HT242" t="e">
        <f>AND(#REF!,"AAAAAHfpueM=")</f>
        <v>#REF!</v>
      </c>
      <c r="HU242" t="e">
        <f>AND(#REF!,"AAAAAHfpueQ=")</f>
        <v>#REF!</v>
      </c>
      <c r="HV242" t="e">
        <f>AND(#REF!,"AAAAAHfpueU=")</f>
        <v>#REF!</v>
      </c>
      <c r="HW242" t="e">
        <f>IF(#REF!,"AAAAAHfpueY=",0)</f>
        <v>#REF!</v>
      </c>
      <c r="HX242" t="e">
        <f>AND(#REF!,"AAAAAHfpuec=")</f>
        <v>#REF!</v>
      </c>
      <c r="HY242" t="e">
        <f>AND(#REF!,"AAAAAHfpueg=")</f>
        <v>#REF!</v>
      </c>
      <c r="HZ242" t="e">
        <f>AND(#REF!,"AAAAAHfpuek=")</f>
        <v>#REF!</v>
      </c>
      <c r="IA242" t="e">
        <f>AND(#REF!,"AAAAAHfpueo=")</f>
        <v>#REF!</v>
      </c>
      <c r="IB242" t="e">
        <f>AND(#REF!,"AAAAAHfpues=")</f>
        <v>#REF!</v>
      </c>
      <c r="IC242" t="e">
        <f>AND(#REF!,"AAAAAHfpuew=")</f>
        <v>#REF!</v>
      </c>
      <c r="ID242" t="e">
        <f>AND(#REF!,"AAAAAHfpue0=")</f>
        <v>#REF!</v>
      </c>
      <c r="IE242" t="e">
        <f>AND(#REF!,"AAAAAHfpue4=")</f>
        <v>#REF!</v>
      </c>
      <c r="IF242" t="e">
        <f>AND(#REF!,"AAAAAHfpue8=")</f>
        <v>#REF!</v>
      </c>
      <c r="IG242" t="e">
        <f>AND(#REF!,"AAAAAHfpufA=")</f>
        <v>#REF!</v>
      </c>
      <c r="IH242" t="e">
        <f>IF(#REF!,"AAAAAHfpufE=",0)</f>
        <v>#REF!</v>
      </c>
      <c r="II242" t="e">
        <f>AND(#REF!,"AAAAAHfpufI=")</f>
        <v>#REF!</v>
      </c>
      <c r="IJ242" t="e">
        <f>AND(#REF!,"AAAAAHfpufM=")</f>
        <v>#REF!</v>
      </c>
      <c r="IK242" t="e">
        <f>AND(#REF!,"AAAAAHfpufQ=")</f>
        <v>#REF!</v>
      </c>
      <c r="IL242" t="e">
        <f>AND(#REF!,"AAAAAHfpufU=")</f>
        <v>#REF!</v>
      </c>
      <c r="IM242" t="e">
        <f>AND(#REF!,"AAAAAHfpufY=")</f>
        <v>#REF!</v>
      </c>
      <c r="IN242" t="e">
        <f>AND(#REF!,"AAAAAHfpufc=")</f>
        <v>#REF!</v>
      </c>
      <c r="IO242" t="e">
        <f>AND(#REF!,"AAAAAHfpufg=")</f>
        <v>#REF!</v>
      </c>
      <c r="IP242" t="e">
        <f>AND(#REF!,"AAAAAHfpufk=")</f>
        <v>#REF!</v>
      </c>
      <c r="IQ242" t="e">
        <f>AND(#REF!,"AAAAAHfpufo=")</f>
        <v>#REF!</v>
      </c>
      <c r="IR242" t="e">
        <f>AND(#REF!,"AAAAAHfpufs=")</f>
        <v>#REF!</v>
      </c>
      <c r="IS242" t="e">
        <f>IF(#REF!,"AAAAAHfpufw=",0)</f>
        <v>#REF!</v>
      </c>
      <c r="IT242" t="e">
        <f>AND(#REF!,"AAAAAHfpuf0=")</f>
        <v>#REF!</v>
      </c>
      <c r="IU242" t="e">
        <f>AND(#REF!,"AAAAAHfpuf4=")</f>
        <v>#REF!</v>
      </c>
      <c r="IV242" t="e">
        <f>AND(#REF!,"AAAAAHfpuf8=")</f>
        <v>#REF!</v>
      </c>
    </row>
    <row r="243" spans="1:256" x14ac:dyDescent="0.25">
      <c r="A243" t="e">
        <f>AND(#REF!,"AAAAAHb/7wA=")</f>
        <v>#REF!</v>
      </c>
      <c r="B243" t="e">
        <f>AND(#REF!,"AAAAAHb/7wE=")</f>
        <v>#REF!</v>
      </c>
      <c r="C243" t="e">
        <f>AND(#REF!,"AAAAAHb/7wI=")</f>
        <v>#REF!</v>
      </c>
      <c r="D243" t="e">
        <f>AND(#REF!,"AAAAAHb/7wM=")</f>
        <v>#REF!</v>
      </c>
      <c r="E243" t="e">
        <f>AND(#REF!,"AAAAAHb/7wQ=")</f>
        <v>#REF!</v>
      </c>
      <c r="F243" t="e">
        <f>AND(#REF!,"AAAAAHb/7wU=")</f>
        <v>#REF!</v>
      </c>
      <c r="G243" t="e">
        <f>AND(#REF!,"AAAAAHb/7wY=")</f>
        <v>#REF!</v>
      </c>
      <c r="H243" t="e">
        <f>IF(#REF!,"AAAAAHb/7wc=",0)</f>
        <v>#REF!</v>
      </c>
      <c r="I243" t="e">
        <f>AND(#REF!,"AAAAAHb/7wg=")</f>
        <v>#REF!</v>
      </c>
      <c r="J243" t="e">
        <f>AND(#REF!,"AAAAAHb/7wk=")</f>
        <v>#REF!</v>
      </c>
      <c r="K243" t="e">
        <f>AND(#REF!,"AAAAAHb/7wo=")</f>
        <v>#REF!</v>
      </c>
      <c r="L243" t="e">
        <f>AND(#REF!,"AAAAAHb/7ws=")</f>
        <v>#REF!</v>
      </c>
      <c r="M243" t="e">
        <f>AND(#REF!,"AAAAAHb/7ww=")</f>
        <v>#REF!</v>
      </c>
      <c r="N243" t="e">
        <f>AND(#REF!,"AAAAAHb/7w0=")</f>
        <v>#REF!</v>
      </c>
      <c r="O243" t="e">
        <f>AND(#REF!,"AAAAAHb/7w4=")</f>
        <v>#REF!</v>
      </c>
      <c r="P243" t="e">
        <f>AND(#REF!,"AAAAAHb/7w8=")</f>
        <v>#REF!</v>
      </c>
      <c r="Q243" t="e">
        <f>AND(#REF!,"AAAAAHb/7xA=")</f>
        <v>#REF!</v>
      </c>
      <c r="R243" t="e">
        <f>AND(#REF!,"AAAAAHb/7xE=")</f>
        <v>#REF!</v>
      </c>
      <c r="S243" t="e">
        <f>IF(#REF!,"AAAAAHb/7xI=",0)</f>
        <v>#REF!</v>
      </c>
      <c r="T243" t="e">
        <f>AND(#REF!,"AAAAAHb/7xM=")</f>
        <v>#REF!</v>
      </c>
      <c r="U243" t="e">
        <f>AND(#REF!,"AAAAAHb/7xQ=")</f>
        <v>#REF!</v>
      </c>
      <c r="V243" t="e">
        <f>AND(#REF!,"AAAAAHb/7xU=")</f>
        <v>#REF!</v>
      </c>
      <c r="W243" t="e">
        <f>AND(#REF!,"AAAAAHb/7xY=")</f>
        <v>#REF!</v>
      </c>
      <c r="X243" t="e">
        <f>AND(#REF!,"AAAAAHb/7xc=")</f>
        <v>#REF!</v>
      </c>
      <c r="Y243" t="e">
        <f>AND(#REF!,"AAAAAHb/7xg=")</f>
        <v>#REF!</v>
      </c>
      <c r="Z243" t="e">
        <f>AND(#REF!,"AAAAAHb/7xk=")</f>
        <v>#REF!</v>
      </c>
      <c r="AA243" t="e">
        <f>AND(#REF!,"AAAAAHb/7xo=")</f>
        <v>#REF!</v>
      </c>
      <c r="AB243" t="e">
        <f>AND(#REF!,"AAAAAHb/7xs=")</f>
        <v>#REF!</v>
      </c>
      <c r="AC243" t="e">
        <f>AND(#REF!,"AAAAAHb/7xw=")</f>
        <v>#REF!</v>
      </c>
      <c r="AD243" t="e">
        <f>IF(#REF!,"AAAAAHb/7x0=",0)</f>
        <v>#REF!</v>
      </c>
      <c r="AE243" t="e">
        <f>AND(#REF!,"AAAAAHb/7x4=")</f>
        <v>#REF!</v>
      </c>
      <c r="AF243" t="e">
        <f>AND(#REF!,"AAAAAHb/7x8=")</f>
        <v>#REF!</v>
      </c>
      <c r="AG243" t="e">
        <f>AND(#REF!,"AAAAAHb/7yA=")</f>
        <v>#REF!</v>
      </c>
      <c r="AH243" t="e">
        <f>AND(#REF!,"AAAAAHb/7yE=")</f>
        <v>#REF!</v>
      </c>
      <c r="AI243" t="e">
        <f>AND(#REF!,"AAAAAHb/7yI=")</f>
        <v>#REF!</v>
      </c>
      <c r="AJ243" t="e">
        <f>AND(#REF!,"AAAAAHb/7yM=")</f>
        <v>#REF!</v>
      </c>
      <c r="AK243" t="e">
        <f>AND(#REF!,"AAAAAHb/7yQ=")</f>
        <v>#REF!</v>
      </c>
      <c r="AL243" t="e">
        <f>AND(#REF!,"AAAAAHb/7yU=")</f>
        <v>#REF!</v>
      </c>
      <c r="AM243" t="e">
        <f>AND(#REF!,"AAAAAHb/7yY=")</f>
        <v>#REF!</v>
      </c>
      <c r="AN243" t="e">
        <f>AND(#REF!,"AAAAAHb/7yc=")</f>
        <v>#REF!</v>
      </c>
      <c r="AO243" t="e">
        <f>IF(#REF!,"AAAAAHb/7yg=",0)</f>
        <v>#REF!</v>
      </c>
      <c r="AP243" t="e">
        <f>AND(#REF!,"AAAAAHb/7yk=")</f>
        <v>#REF!</v>
      </c>
      <c r="AQ243" t="e">
        <f>AND(#REF!,"AAAAAHb/7yo=")</f>
        <v>#REF!</v>
      </c>
      <c r="AR243" t="e">
        <f>AND(#REF!,"AAAAAHb/7ys=")</f>
        <v>#REF!</v>
      </c>
      <c r="AS243" t="e">
        <f>AND(#REF!,"AAAAAHb/7yw=")</f>
        <v>#REF!</v>
      </c>
      <c r="AT243" t="e">
        <f>AND(#REF!,"AAAAAHb/7y0=")</f>
        <v>#REF!</v>
      </c>
      <c r="AU243" t="e">
        <f>AND(#REF!,"AAAAAHb/7y4=")</f>
        <v>#REF!</v>
      </c>
      <c r="AV243" t="e">
        <f>AND(#REF!,"AAAAAHb/7y8=")</f>
        <v>#REF!</v>
      </c>
      <c r="AW243" t="e">
        <f>AND(#REF!,"AAAAAHb/7zA=")</f>
        <v>#REF!</v>
      </c>
      <c r="AX243" t="e">
        <f>AND(#REF!,"AAAAAHb/7zE=")</f>
        <v>#REF!</v>
      </c>
      <c r="AY243" t="e">
        <f>AND(#REF!,"AAAAAHb/7zI=")</f>
        <v>#REF!</v>
      </c>
      <c r="AZ243" t="e">
        <f>IF(#REF!,"AAAAAHb/7zM=",0)</f>
        <v>#REF!</v>
      </c>
      <c r="BA243" t="e">
        <f>AND(#REF!,"AAAAAHb/7zQ=")</f>
        <v>#REF!</v>
      </c>
      <c r="BB243" t="e">
        <f>AND(#REF!,"AAAAAHb/7zU=")</f>
        <v>#REF!</v>
      </c>
      <c r="BC243" t="e">
        <f>AND(#REF!,"AAAAAHb/7zY=")</f>
        <v>#REF!</v>
      </c>
      <c r="BD243" t="e">
        <f>AND(#REF!,"AAAAAHb/7zc=")</f>
        <v>#REF!</v>
      </c>
      <c r="BE243" t="e">
        <f>AND(#REF!,"AAAAAHb/7zg=")</f>
        <v>#REF!</v>
      </c>
      <c r="BF243" t="e">
        <f>AND(#REF!,"AAAAAHb/7zk=")</f>
        <v>#REF!</v>
      </c>
      <c r="BG243" t="e">
        <f>AND(#REF!,"AAAAAHb/7zo=")</f>
        <v>#REF!</v>
      </c>
      <c r="BH243" t="e">
        <f>AND(#REF!,"AAAAAHb/7zs=")</f>
        <v>#REF!</v>
      </c>
      <c r="BI243" t="e">
        <f>AND(#REF!,"AAAAAHb/7zw=")</f>
        <v>#REF!</v>
      </c>
      <c r="BJ243" t="e">
        <f>AND(#REF!,"AAAAAHb/7z0=")</f>
        <v>#REF!</v>
      </c>
      <c r="BK243" t="e">
        <f>IF(#REF!,"AAAAAHb/7z4=",0)</f>
        <v>#REF!</v>
      </c>
      <c r="BL243" t="e">
        <f>AND(#REF!,"AAAAAHb/7z8=")</f>
        <v>#REF!</v>
      </c>
      <c r="BM243" t="e">
        <f>AND(#REF!,"AAAAAHb/70A=")</f>
        <v>#REF!</v>
      </c>
      <c r="BN243" t="e">
        <f>AND(#REF!,"AAAAAHb/70E=")</f>
        <v>#REF!</v>
      </c>
      <c r="BO243" t="e">
        <f>AND(#REF!,"AAAAAHb/70I=")</f>
        <v>#REF!</v>
      </c>
      <c r="BP243" t="e">
        <f>AND(#REF!,"AAAAAHb/70M=")</f>
        <v>#REF!</v>
      </c>
      <c r="BQ243" t="e">
        <f>AND(#REF!,"AAAAAHb/70Q=")</f>
        <v>#REF!</v>
      </c>
      <c r="BR243" t="e">
        <f>AND(#REF!,"AAAAAHb/70U=")</f>
        <v>#REF!</v>
      </c>
      <c r="BS243" t="e">
        <f>AND(#REF!,"AAAAAHb/70Y=")</f>
        <v>#REF!</v>
      </c>
      <c r="BT243" t="e">
        <f>AND(#REF!,"AAAAAHb/70c=")</f>
        <v>#REF!</v>
      </c>
      <c r="BU243" t="e">
        <f>AND(#REF!,"AAAAAHb/70g=")</f>
        <v>#REF!</v>
      </c>
      <c r="BV243" t="e">
        <f>IF(#REF!,"AAAAAHb/70k=",0)</f>
        <v>#REF!</v>
      </c>
      <c r="BW243" t="e">
        <f>AND(#REF!,"AAAAAHb/70o=")</f>
        <v>#REF!</v>
      </c>
      <c r="BX243" t="e">
        <f>AND(#REF!,"AAAAAHb/70s=")</f>
        <v>#REF!</v>
      </c>
      <c r="BY243" t="e">
        <f>AND(#REF!,"AAAAAHb/70w=")</f>
        <v>#REF!</v>
      </c>
      <c r="BZ243" t="e">
        <f>AND(#REF!,"AAAAAHb/700=")</f>
        <v>#REF!</v>
      </c>
      <c r="CA243" t="e">
        <f>AND(#REF!,"AAAAAHb/704=")</f>
        <v>#REF!</v>
      </c>
      <c r="CB243" t="e">
        <f>AND(#REF!,"AAAAAHb/708=")</f>
        <v>#REF!</v>
      </c>
      <c r="CC243" t="e">
        <f>AND(#REF!,"AAAAAHb/71A=")</f>
        <v>#REF!</v>
      </c>
      <c r="CD243" t="e">
        <f>AND(#REF!,"AAAAAHb/71E=")</f>
        <v>#REF!</v>
      </c>
      <c r="CE243" t="e">
        <f>AND(#REF!,"AAAAAHb/71I=")</f>
        <v>#REF!</v>
      </c>
      <c r="CF243" t="e">
        <f>AND(#REF!,"AAAAAHb/71M=")</f>
        <v>#REF!</v>
      </c>
      <c r="CG243" t="e">
        <f>IF(#REF!,"AAAAAHb/71Q=",0)</f>
        <v>#REF!</v>
      </c>
      <c r="CH243" t="e">
        <f>AND(#REF!,"AAAAAHb/71U=")</f>
        <v>#REF!</v>
      </c>
      <c r="CI243" t="e">
        <f>AND(#REF!,"AAAAAHb/71Y=")</f>
        <v>#REF!</v>
      </c>
      <c r="CJ243" t="e">
        <f>AND(#REF!,"AAAAAHb/71c=")</f>
        <v>#REF!</v>
      </c>
      <c r="CK243" t="e">
        <f>AND(#REF!,"AAAAAHb/71g=")</f>
        <v>#REF!</v>
      </c>
      <c r="CL243" t="e">
        <f>AND(#REF!,"AAAAAHb/71k=")</f>
        <v>#REF!</v>
      </c>
      <c r="CM243" t="e">
        <f>AND(#REF!,"AAAAAHb/71o=")</f>
        <v>#REF!</v>
      </c>
      <c r="CN243" t="e">
        <f>AND(#REF!,"AAAAAHb/71s=")</f>
        <v>#REF!</v>
      </c>
      <c r="CO243" t="e">
        <f>AND(#REF!,"AAAAAHb/71w=")</f>
        <v>#REF!</v>
      </c>
      <c r="CP243" t="e">
        <f>AND(#REF!,"AAAAAHb/710=")</f>
        <v>#REF!</v>
      </c>
      <c r="CQ243" t="e">
        <f>AND(#REF!,"AAAAAHb/714=")</f>
        <v>#REF!</v>
      </c>
      <c r="CR243" t="e">
        <f>IF(#REF!,"AAAAAHb/718=",0)</f>
        <v>#REF!</v>
      </c>
      <c r="CS243" t="e">
        <f>AND(#REF!,"AAAAAHb/72A=")</f>
        <v>#REF!</v>
      </c>
      <c r="CT243" t="e">
        <f>AND(#REF!,"AAAAAHb/72E=")</f>
        <v>#REF!</v>
      </c>
      <c r="CU243" t="e">
        <f>AND(#REF!,"AAAAAHb/72I=")</f>
        <v>#REF!</v>
      </c>
      <c r="CV243" t="e">
        <f>AND(#REF!,"AAAAAHb/72M=")</f>
        <v>#REF!</v>
      </c>
      <c r="CW243" t="e">
        <f>AND(#REF!,"AAAAAHb/72Q=")</f>
        <v>#REF!</v>
      </c>
      <c r="CX243" t="e">
        <f>AND(#REF!,"AAAAAHb/72U=")</f>
        <v>#REF!</v>
      </c>
      <c r="CY243" t="e">
        <f>AND(#REF!,"AAAAAHb/72Y=")</f>
        <v>#REF!</v>
      </c>
      <c r="CZ243" t="e">
        <f>AND(#REF!,"AAAAAHb/72c=")</f>
        <v>#REF!</v>
      </c>
      <c r="DA243" t="e">
        <f>AND(#REF!,"AAAAAHb/72g=")</f>
        <v>#REF!</v>
      </c>
      <c r="DB243" t="e">
        <f>AND(#REF!,"AAAAAHb/72k=")</f>
        <v>#REF!</v>
      </c>
      <c r="DC243" t="e">
        <f>IF(#REF!,"AAAAAHb/72o=",0)</f>
        <v>#REF!</v>
      </c>
      <c r="DD243" t="e">
        <f>AND(#REF!,"AAAAAHb/72s=")</f>
        <v>#REF!</v>
      </c>
      <c r="DE243" t="e">
        <f>AND(#REF!,"AAAAAHb/72w=")</f>
        <v>#REF!</v>
      </c>
      <c r="DF243" t="e">
        <f>AND(#REF!,"AAAAAHb/720=")</f>
        <v>#REF!</v>
      </c>
      <c r="DG243" t="e">
        <f>AND(#REF!,"AAAAAHb/724=")</f>
        <v>#REF!</v>
      </c>
      <c r="DH243" t="e">
        <f>AND(#REF!,"AAAAAHb/728=")</f>
        <v>#REF!</v>
      </c>
      <c r="DI243" t="e">
        <f>AND(#REF!,"AAAAAHb/73A=")</f>
        <v>#REF!</v>
      </c>
      <c r="DJ243" t="e">
        <f>AND(#REF!,"AAAAAHb/73E=")</f>
        <v>#REF!</v>
      </c>
      <c r="DK243" t="e">
        <f>AND(#REF!,"AAAAAHb/73I=")</f>
        <v>#REF!</v>
      </c>
      <c r="DL243" t="e">
        <f>AND(#REF!,"AAAAAHb/73M=")</f>
        <v>#REF!</v>
      </c>
      <c r="DM243" t="e">
        <f>AND(#REF!,"AAAAAHb/73Q=")</f>
        <v>#REF!</v>
      </c>
      <c r="DN243" t="e">
        <f>IF(#REF!,"AAAAAHb/73U=",0)</f>
        <v>#REF!</v>
      </c>
      <c r="DO243" t="e">
        <f>AND(#REF!,"AAAAAHb/73Y=")</f>
        <v>#REF!</v>
      </c>
      <c r="DP243" t="e">
        <f>AND(#REF!,"AAAAAHb/73c=")</f>
        <v>#REF!</v>
      </c>
      <c r="DQ243" t="e">
        <f>AND(#REF!,"AAAAAHb/73g=")</f>
        <v>#REF!</v>
      </c>
      <c r="DR243" t="e">
        <f>AND(#REF!,"AAAAAHb/73k=")</f>
        <v>#REF!</v>
      </c>
      <c r="DS243" t="e">
        <f>AND(#REF!,"AAAAAHb/73o=")</f>
        <v>#REF!</v>
      </c>
      <c r="DT243" t="e">
        <f>AND(#REF!,"AAAAAHb/73s=")</f>
        <v>#REF!</v>
      </c>
      <c r="DU243" t="e">
        <f>AND(#REF!,"AAAAAHb/73w=")</f>
        <v>#REF!</v>
      </c>
      <c r="DV243" t="e">
        <f>AND(#REF!,"AAAAAHb/730=")</f>
        <v>#REF!</v>
      </c>
      <c r="DW243" t="e">
        <f>AND(#REF!,"AAAAAHb/734=")</f>
        <v>#REF!</v>
      </c>
      <c r="DX243" t="e">
        <f>AND(#REF!,"AAAAAHb/738=")</f>
        <v>#REF!</v>
      </c>
      <c r="DY243" t="e">
        <f>IF(#REF!,"AAAAAHb/74A=",0)</f>
        <v>#REF!</v>
      </c>
      <c r="DZ243" t="e">
        <f>AND(#REF!,"AAAAAHb/74E=")</f>
        <v>#REF!</v>
      </c>
      <c r="EA243" t="e">
        <f>AND(#REF!,"AAAAAHb/74I=")</f>
        <v>#REF!</v>
      </c>
      <c r="EB243" t="e">
        <f>AND(#REF!,"AAAAAHb/74M=")</f>
        <v>#REF!</v>
      </c>
      <c r="EC243" t="e">
        <f>AND(#REF!,"AAAAAHb/74Q=")</f>
        <v>#REF!</v>
      </c>
      <c r="ED243" t="e">
        <f>AND(#REF!,"AAAAAHb/74U=")</f>
        <v>#REF!</v>
      </c>
      <c r="EE243" t="e">
        <f>AND(#REF!,"AAAAAHb/74Y=")</f>
        <v>#REF!</v>
      </c>
      <c r="EF243" t="e">
        <f>AND(#REF!,"AAAAAHb/74c=")</f>
        <v>#REF!</v>
      </c>
      <c r="EG243" t="e">
        <f>AND(#REF!,"AAAAAHb/74g=")</f>
        <v>#REF!</v>
      </c>
      <c r="EH243" t="e">
        <f>AND(#REF!,"AAAAAHb/74k=")</f>
        <v>#REF!</v>
      </c>
      <c r="EI243" t="e">
        <f>AND(#REF!,"AAAAAHb/74o=")</f>
        <v>#REF!</v>
      </c>
      <c r="EJ243" t="e">
        <f>IF(#REF!,"AAAAAHb/74s=",0)</f>
        <v>#REF!</v>
      </c>
      <c r="EK243" t="e">
        <f>AND(#REF!,"AAAAAHb/74w=")</f>
        <v>#REF!</v>
      </c>
      <c r="EL243" t="e">
        <f>AND(#REF!,"AAAAAHb/740=")</f>
        <v>#REF!</v>
      </c>
      <c r="EM243" t="e">
        <f>AND(#REF!,"AAAAAHb/744=")</f>
        <v>#REF!</v>
      </c>
      <c r="EN243" t="e">
        <f>AND(#REF!,"AAAAAHb/748=")</f>
        <v>#REF!</v>
      </c>
      <c r="EO243" t="e">
        <f>AND(#REF!,"AAAAAHb/75A=")</f>
        <v>#REF!</v>
      </c>
      <c r="EP243" t="e">
        <f>AND(#REF!,"AAAAAHb/75E=")</f>
        <v>#REF!</v>
      </c>
      <c r="EQ243" t="e">
        <f>AND(#REF!,"AAAAAHb/75I=")</f>
        <v>#REF!</v>
      </c>
      <c r="ER243" t="e">
        <f>AND(#REF!,"AAAAAHb/75M=")</f>
        <v>#REF!</v>
      </c>
      <c r="ES243" t="e">
        <f>AND(#REF!,"AAAAAHb/75Q=")</f>
        <v>#REF!</v>
      </c>
      <c r="ET243" t="e">
        <f>AND(#REF!,"AAAAAHb/75U=")</f>
        <v>#REF!</v>
      </c>
      <c r="EU243" t="e">
        <f>IF(#REF!,"AAAAAHb/75Y=",0)</f>
        <v>#REF!</v>
      </c>
      <c r="EV243" t="e">
        <f>AND(#REF!,"AAAAAHb/75c=")</f>
        <v>#REF!</v>
      </c>
      <c r="EW243" t="e">
        <f>AND(#REF!,"AAAAAHb/75g=")</f>
        <v>#REF!</v>
      </c>
      <c r="EX243" t="e">
        <f>AND(#REF!,"AAAAAHb/75k=")</f>
        <v>#REF!</v>
      </c>
      <c r="EY243" t="e">
        <f>AND(#REF!,"AAAAAHb/75o=")</f>
        <v>#REF!</v>
      </c>
      <c r="EZ243" t="e">
        <f>AND(#REF!,"AAAAAHb/75s=")</f>
        <v>#REF!</v>
      </c>
      <c r="FA243" t="e">
        <f>AND(#REF!,"AAAAAHb/75w=")</f>
        <v>#REF!</v>
      </c>
      <c r="FB243" t="e">
        <f>AND(#REF!,"AAAAAHb/750=")</f>
        <v>#REF!</v>
      </c>
      <c r="FC243" t="e">
        <f>AND(#REF!,"AAAAAHb/754=")</f>
        <v>#REF!</v>
      </c>
      <c r="FD243" t="e">
        <f>AND(#REF!,"AAAAAHb/758=")</f>
        <v>#REF!</v>
      </c>
      <c r="FE243" t="e">
        <f>AND(#REF!,"AAAAAHb/76A=")</f>
        <v>#REF!</v>
      </c>
      <c r="FF243" t="e">
        <f>IF(#REF!,"AAAAAHb/76E=",0)</f>
        <v>#REF!</v>
      </c>
      <c r="FG243" t="e">
        <f>AND(#REF!,"AAAAAHb/76I=")</f>
        <v>#REF!</v>
      </c>
      <c r="FH243" t="e">
        <f>AND(#REF!,"AAAAAHb/76M=")</f>
        <v>#REF!</v>
      </c>
      <c r="FI243" t="e">
        <f>AND(#REF!,"AAAAAHb/76Q=")</f>
        <v>#REF!</v>
      </c>
      <c r="FJ243" t="e">
        <f>AND(#REF!,"AAAAAHb/76U=")</f>
        <v>#REF!</v>
      </c>
      <c r="FK243" t="e">
        <f>AND(#REF!,"AAAAAHb/76Y=")</f>
        <v>#REF!</v>
      </c>
      <c r="FL243" t="e">
        <f>AND(#REF!,"AAAAAHb/76c=")</f>
        <v>#REF!</v>
      </c>
      <c r="FM243" t="e">
        <f>AND(#REF!,"AAAAAHb/76g=")</f>
        <v>#REF!</v>
      </c>
      <c r="FN243" t="e">
        <f>AND(#REF!,"AAAAAHb/76k=")</f>
        <v>#REF!</v>
      </c>
      <c r="FO243" t="e">
        <f>AND(#REF!,"AAAAAHb/76o=")</f>
        <v>#REF!</v>
      </c>
      <c r="FP243" t="e">
        <f>AND(#REF!,"AAAAAHb/76s=")</f>
        <v>#REF!</v>
      </c>
      <c r="FQ243" t="e">
        <f>IF(#REF!,"AAAAAHb/76w=",0)</f>
        <v>#REF!</v>
      </c>
      <c r="FR243" t="e">
        <f>AND(#REF!,"AAAAAHb/760=")</f>
        <v>#REF!</v>
      </c>
      <c r="FS243" t="e">
        <f>AND(#REF!,"AAAAAHb/764=")</f>
        <v>#REF!</v>
      </c>
      <c r="FT243" t="e">
        <f>AND(#REF!,"AAAAAHb/768=")</f>
        <v>#REF!</v>
      </c>
      <c r="FU243" t="e">
        <f>AND(#REF!,"AAAAAHb/77A=")</f>
        <v>#REF!</v>
      </c>
      <c r="FV243" t="e">
        <f>AND(#REF!,"AAAAAHb/77E=")</f>
        <v>#REF!</v>
      </c>
      <c r="FW243" t="e">
        <f>AND(#REF!,"AAAAAHb/77I=")</f>
        <v>#REF!</v>
      </c>
      <c r="FX243" t="e">
        <f>AND(#REF!,"AAAAAHb/77M=")</f>
        <v>#REF!</v>
      </c>
      <c r="FY243" t="e">
        <f>AND(#REF!,"AAAAAHb/77Q=")</f>
        <v>#REF!</v>
      </c>
      <c r="FZ243" t="e">
        <f>AND(#REF!,"AAAAAHb/77U=")</f>
        <v>#REF!</v>
      </c>
      <c r="GA243" t="e">
        <f>AND(#REF!,"AAAAAHb/77Y=")</f>
        <v>#REF!</v>
      </c>
      <c r="GB243" t="e">
        <f>IF(#REF!,"AAAAAHb/77c=",0)</f>
        <v>#REF!</v>
      </c>
      <c r="GC243" t="e">
        <f>AND(#REF!,"AAAAAHb/77g=")</f>
        <v>#REF!</v>
      </c>
      <c r="GD243" t="e">
        <f>AND(#REF!,"AAAAAHb/77k=")</f>
        <v>#REF!</v>
      </c>
      <c r="GE243" t="e">
        <f>AND(#REF!,"AAAAAHb/77o=")</f>
        <v>#REF!</v>
      </c>
      <c r="GF243" t="e">
        <f>AND(#REF!,"AAAAAHb/77s=")</f>
        <v>#REF!</v>
      </c>
      <c r="GG243" t="e">
        <f>AND(#REF!,"AAAAAHb/77w=")</f>
        <v>#REF!</v>
      </c>
      <c r="GH243" t="e">
        <f>AND(#REF!,"AAAAAHb/770=")</f>
        <v>#REF!</v>
      </c>
      <c r="GI243" t="e">
        <f>AND(#REF!,"AAAAAHb/774=")</f>
        <v>#REF!</v>
      </c>
      <c r="GJ243" t="e">
        <f>AND(#REF!,"AAAAAHb/778=")</f>
        <v>#REF!</v>
      </c>
      <c r="GK243" t="e">
        <f>AND(#REF!,"AAAAAHb/78A=")</f>
        <v>#REF!</v>
      </c>
      <c r="GL243" t="e">
        <f>AND(#REF!,"AAAAAHb/78E=")</f>
        <v>#REF!</v>
      </c>
      <c r="GM243" t="e">
        <f>IF(#REF!,"AAAAAHb/78I=",0)</f>
        <v>#REF!</v>
      </c>
      <c r="GN243" t="e">
        <f>AND(#REF!,"AAAAAHb/78M=")</f>
        <v>#REF!</v>
      </c>
      <c r="GO243" t="e">
        <f>AND(#REF!,"AAAAAHb/78Q=")</f>
        <v>#REF!</v>
      </c>
      <c r="GP243" t="e">
        <f>AND(#REF!,"AAAAAHb/78U=")</f>
        <v>#REF!</v>
      </c>
      <c r="GQ243" t="e">
        <f>AND(#REF!,"AAAAAHb/78Y=")</f>
        <v>#REF!</v>
      </c>
      <c r="GR243" t="e">
        <f>AND(#REF!,"AAAAAHb/78c=")</f>
        <v>#REF!</v>
      </c>
      <c r="GS243" t="e">
        <f>AND(#REF!,"AAAAAHb/78g=")</f>
        <v>#REF!</v>
      </c>
      <c r="GT243" t="e">
        <f>AND(#REF!,"AAAAAHb/78k=")</f>
        <v>#REF!</v>
      </c>
      <c r="GU243" t="e">
        <f>AND(#REF!,"AAAAAHb/78o=")</f>
        <v>#REF!</v>
      </c>
      <c r="GV243" t="e">
        <f>AND(#REF!,"AAAAAHb/78s=")</f>
        <v>#REF!</v>
      </c>
      <c r="GW243" t="e">
        <f>AND(#REF!,"AAAAAHb/78w=")</f>
        <v>#REF!</v>
      </c>
      <c r="GX243" t="e">
        <f>IF(#REF!,"AAAAAHb/780=",0)</f>
        <v>#REF!</v>
      </c>
      <c r="GY243" t="e">
        <f>AND(#REF!,"AAAAAHb/784=")</f>
        <v>#REF!</v>
      </c>
      <c r="GZ243" t="e">
        <f>AND(#REF!,"AAAAAHb/788=")</f>
        <v>#REF!</v>
      </c>
      <c r="HA243" t="e">
        <f>AND(#REF!,"AAAAAHb/79A=")</f>
        <v>#REF!</v>
      </c>
      <c r="HB243" t="e">
        <f>AND(#REF!,"AAAAAHb/79E=")</f>
        <v>#REF!</v>
      </c>
      <c r="HC243" t="e">
        <f>AND(#REF!,"AAAAAHb/79I=")</f>
        <v>#REF!</v>
      </c>
      <c r="HD243" t="e">
        <f>AND(#REF!,"AAAAAHb/79M=")</f>
        <v>#REF!</v>
      </c>
      <c r="HE243" t="e">
        <f>AND(#REF!,"AAAAAHb/79Q=")</f>
        <v>#REF!</v>
      </c>
      <c r="HF243" t="e">
        <f>AND(#REF!,"AAAAAHb/79U=")</f>
        <v>#REF!</v>
      </c>
      <c r="HG243" t="e">
        <f>AND(#REF!,"AAAAAHb/79Y=")</f>
        <v>#REF!</v>
      </c>
      <c r="HH243" t="e">
        <f>AND(#REF!,"AAAAAHb/79c=")</f>
        <v>#REF!</v>
      </c>
      <c r="HI243" t="e">
        <f>IF(#REF!,"AAAAAHb/79g=",0)</f>
        <v>#REF!</v>
      </c>
      <c r="HJ243" t="e">
        <f>AND(#REF!,"AAAAAHb/79k=")</f>
        <v>#REF!</v>
      </c>
      <c r="HK243" t="e">
        <f>AND(#REF!,"AAAAAHb/79o=")</f>
        <v>#REF!</v>
      </c>
      <c r="HL243" t="e">
        <f>AND(#REF!,"AAAAAHb/79s=")</f>
        <v>#REF!</v>
      </c>
      <c r="HM243" t="e">
        <f>AND(#REF!,"AAAAAHb/79w=")</f>
        <v>#REF!</v>
      </c>
      <c r="HN243" t="e">
        <f>AND(#REF!,"AAAAAHb/790=")</f>
        <v>#REF!</v>
      </c>
      <c r="HO243" t="e">
        <f>AND(#REF!,"AAAAAHb/794=")</f>
        <v>#REF!</v>
      </c>
      <c r="HP243" t="e">
        <f>AND(#REF!,"AAAAAHb/798=")</f>
        <v>#REF!</v>
      </c>
      <c r="HQ243" t="e">
        <f>AND(#REF!,"AAAAAHb/7+A=")</f>
        <v>#REF!</v>
      </c>
      <c r="HR243" t="e">
        <f>AND(#REF!,"AAAAAHb/7+E=")</f>
        <v>#REF!</v>
      </c>
      <c r="HS243" t="e">
        <f>AND(#REF!,"AAAAAHb/7+I=")</f>
        <v>#REF!</v>
      </c>
      <c r="HT243" t="e">
        <f>IF(#REF!,"AAAAAHb/7+M=",0)</f>
        <v>#REF!</v>
      </c>
      <c r="HU243" t="e">
        <f>AND(#REF!,"AAAAAHb/7+Q=")</f>
        <v>#REF!</v>
      </c>
      <c r="HV243" t="e">
        <f>AND(#REF!,"AAAAAHb/7+U=")</f>
        <v>#REF!</v>
      </c>
      <c r="HW243" t="e">
        <f>AND(#REF!,"AAAAAHb/7+Y=")</f>
        <v>#REF!</v>
      </c>
      <c r="HX243" t="e">
        <f>AND(#REF!,"AAAAAHb/7+c=")</f>
        <v>#REF!</v>
      </c>
      <c r="HY243" t="e">
        <f>AND(#REF!,"AAAAAHb/7+g=")</f>
        <v>#REF!</v>
      </c>
      <c r="HZ243" t="e">
        <f>AND(#REF!,"AAAAAHb/7+k=")</f>
        <v>#REF!</v>
      </c>
      <c r="IA243" t="e">
        <f>AND(#REF!,"AAAAAHb/7+o=")</f>
        <v>#REF!</v>
      </c>
      <c r="IB243" t="e">
        <f>AND(#REF!,"AAAAAHb/7+s=")</f>
        <v>#REF!</v>
      </c>
      <c r="IC243" t="e">
        <f>AND(#REF!,"AAAAAHb/7+w=")</f>
        <v>#REF!</v>
      </c>
      <c r="ID243" t="e">
        <f>AND(#REF!,"AAAAAHb/7+0=")</f>
        <v>#REF!</v>
      </c>
      <c r="IE243" t="e">
        <f>IF(#REF!,"AAAAAHb/7+4=",0)</f>
        <v>#REF!</v>
      </c>
      <c r="IF243" t="e">
        <f>AND(#REF!,"AAAAAHb/7+8=")</f>
        <v>#REF!</v>
      </c>
      <c r="IG243" t="e">
        <f>AND(#REF!,"AAAAAHb/7/A=")</f>
        <v>#REF!</v>
      </c>
      <c r="IH243" t="e">
        <f>AND(#REF!,"AAAAAHb/7/E=")</f>
        <v>#REF!</v>
      </c>
      <c r="II243" t="e">
        <f>AND(#REF!,"AAAAAHb/7/I=")</f>
        <v>#REF!</v>
      </c>
      <c r="IJ243" t="e">
        <f>AND(#REF!,"AAAAAHb/7/M=")</f>
        <v>#REF!</v>
      </c>
      <c r="IK243" t="e">
        <f>AND(#REF!,"AAAAAHb/7/Q=")</f>
        <v>#REF!</v>
      </c>
      <c r="IL243" t="e">
        <f>AND(#REF!,"AAAAAHb/7/U=")</f>
        <v>#REF!</v>
      </c>
      <c r="IM243" t="e">
        <f>AND(#REF!,"AAAAAHb/7/Y=")</f>
        <v>#REF!</v>
      </c>
      <c r="IN243" t="e">
        <f>AND(#REF!,"AAAAAHb/7/c=")</f>
        <v>#REF!</v>
      </c>
      <c r="IO243" t="e">
        <f>AND(#REF!,"AAAAAHb/7/g=")</f>
        <v>#REF!</v>
      </c>
      <c r="IP243" t="e">
        <f>IF(#REF!,"AAAAAHb/7/k=",0)</f>
        <v>#REF!</v>
      </c>
      <c r="IQ243" t="e">
        <f>AND(#REF!,"AAAAAHb/7/o=")</f>
        <v>#REF!</v>
      </c>
      <c r="IR243" t="e">
        <f>AND(#REF!,"AAAAAHb/7/s=")</f>
        <v>#REF!</v>
      </c>
      <c r="IS243" t="e">
        <f>AND(#REF!,"AAAAAHb/7/w=")</f>
        <v>#REF!</v>
      </c>
      <c r="IT243" t="e">
        <f>AND(#REF!,"AAAAAHb/7/0=")</f>
        <v>#REF!</v>
      </c>
      <c r="IU243" t="e">
        <f>AND(#REF!,"AAAAAHb/7/4=")</f>
        <v>#REF!</v>
      </c>
      <c r="IV243" t="e">
        <f>AND(#REF!,"AAAAAHb/7/8=")</f>
        <v>#REF!</v>
      </c>
    </row>
    <row r="244" spans="1:256" x14ac:dyDescent="0.25">
      <c r="A244" t="e">
        <f>AND(#REF!,"AAAAAF+7TgA=")</f>
        <v>#REF!</v>
      </c>
      <c r="B244" t="e">
        <f>AND(#REF!,"AAAAAF+7TgE=")</f>
        <v>#REF!</v>
      </c>
      <c r="C244" t="e">
        <f>AND(#REF!,"AAAAAF+7TgI=")</f>
        <v>#REF!</v>
      </c>
      <c r="D244" t="e">
        <f>AND(#REF!,"AAAAAF+7TgM=")</f>
        <v>#REF!</v>
      </c>
      <c r="E244" t="e">
        <f>IF(#REF!,"AAAAAF+7TgQ=",0)</f>
        <v>#REF!</v>
      </c>
      <c r="F244" t="e">
        <f>AND(#REF!,"AAAAAF+7TgU=")</f>
        <v>#REF!</v>
      </c>
      <c r="G244" t="e">
        <f>AND(#REF!,"AAAAAF+7TgY=")</f>
        <v>#REF!</v>
      </c>
      <c r="H244" t="e">
        <f>AND(#REF!,"AAAAAF+7Tgc=")</f>
        <v>#REF!</v>
      </c>
      <c r="I244" t="e">
        <f>AND(#REF!,"AAAAAF+7Tgg=")</f>
        <v>#REF!</v>
      </c>
      <c r="J244" t="e">
        <f>AND(#REF!,"AAAAAF+7Tgk=")</f>
        <v>#REF!</v>
      </c>
      <c r="K244" t="e">
        <f>AND(#REF!,"AAAAAF+7Tgo=")</f>
        <v>#REF!</v>
      </c>
      <c r="L244" t="e">
        <f>AND(#REF!,"AAAAAF+7Tgs=")</f>
        <v>#REF!</v>
      </c>
      <c r="M244" t="e">
        <f>AND(#REF!,"AAAAAF+7Tgw=")</f>
        <v>#REF!</v>
      </c>
      <c r="N244" t="e">
        <f>AND(#REF!,"AAAAAF+7Tg0=")</f>
        <v>#REF!</v>
      </c>
      <c r="O244" t="e">
        <f>AND(#REF!,"AAAAAF+7Tg4=")</f>
        <v>#REF!</v>
      </c>
      <c r="P244" t="e">
        <f>IF(#REF!,"AAAAAF+7Tg8=",0)</f>
        <v>#REF!</v>
      </c>
      <c r="Q244" t="e">
        <f>AND(#REF!,"AAAAAF+7ThA=")</f>
        <v>#REF!</v>
      </c>
      <c r="R244" t="e">
        <f>AND(#REF!,"AAAAAF+7ThE=")</f>
        <v>#REF!</v>
      </c>
      <c r="S244" t="e">
        <f>AND(#REF!,"AAAAAF+7ThI=")</f>
        <v>#REF!</v>
      </c>
      <c r="T244" t="e">
        <f>AND(#REF!,"AAAAAF+7ThM=")</f>
        <v>#REF!</v>
      </c>
      <c r="U244" t="e">
        <f>AND(#REF!,"AAAAAF+7ThQ=")</f>
        <v>#REF!</v>
      </c>
      <c r="V244" t="e">
        <f>AND(#REF!,"AAAAAF+7ThU=")</f>
        <v>#REF!</v>
      </c>
      <c r="W244" t="e">
        <f>AND(#REF!,"AAAAAF+7ThY=")</f>
        <v>#REF!</v>
      </c>
      <c r="X244" t="e">
        <f>AND(#REF!,"AAAAAF+7Thc=")</f>
        <v>#REF!</v>
      </c>
      <c r="Y244" t="e">
        <f>AND(#REF!,"AAAAAF+7Thg=")</f>
        <v>#REF!</v>
      </c>
      <c r="Z244" t="e">
        <f>AND(#REF!,"AAAAAF+7Thk=")</f>
        <v>#REF!</v>
      </c>
      <c r="AA244" t="e">
        <f>IF(#REF!,"AAAAAF+7Tho=",0)</f>
        <v>#REF!</v>
      </c>
      <c r="AB244" t="e">
        <f>AND(#REF!,"AAAAAF+7Ths=")</f>
        <v>#REF!</v>
      </c>
      <c r="AC244" t="e">
        <f>AND(#REF!,"AAAAAF+7Thw=")</f>
        <v>#REF!</v>
      </c>
      <c r="AD244" t="e">
        <f>AND(#REF!,"AAAAAF+7Th0=")</f>
        <v>#REF!</v>
      </c>
      <c r="AE244" t="e">
        <f>AND(#REF!,"AAAAAF+7Th4=")</f>
        <v>#REF!</v>
      </c>
      <c r="AF244" t="e">
        <f>AND(#REF!,"AAAAAF+7Th8=")</f>
        <v>#REF!</v>
      </c>
      <c r="AG244" t="e">
        <f>AND(#REF!,"AAAAAF+7TiA=")</f>
        <v>#REF!</v>
      </c>
      <c r="AH244" t="e">
        <f>AND(#REF!,"AAAAAF+7TiE=")</f>
        <v>#REF!</v>
      </c>
      <c r="AI244" t="e">
        <f>AND(#REF!,"AAAAAF+7TiI=")</f>
        <v>#REF!</v>
      </c>
      <c r="AJ244" t="e">
        <f>AND(#REF!,"AAAAAF+7TiM=")</f>
        <v>#REF!</v>
      </c>
      <c r="AK244" t="e">
        <f>AND(#REF!,"AAAAAF+7TiQ=")</f>
        <v>#REF!</v>
      </c>
      <c r="AL244" t="e">
        <f>IF(#REF!,"AAAAAF+7TiU=",0)</f>
        <v>#REF!</v>
      </c>
      <c r="AM244" t="e">
        <f>AND(#REF!,"AAAAAF+7TiY=")</f>
        <v>#REF!</v>
      </c>
      <c r="AN244" t="e">
        <f>AND(#REF!,"AAAAAF+7Tic=")</f>
        <v>#REF!</v>
      </c>
      <c r="AO244" t="e">
        <f>AND(#REF!,"AAAAAF+7Tig=")</f>
        <v>#REF!</v>
      </c>
      <c r="AP244" t="e">
        <f>AND(#REF!,"AAAAAF+7Tik=")</f>
        <v>#REF!</v>
      </c>
      <c r="AQ244" t="e">
        <f>AND(#REF!,"AAAAAF+7Tio=")</f>
        <v>#REF!</v>
      </c>
      <c r="AR244" t="e">
        <f>AND(#REF!,"AAAAAF+7Tis=")</f>
        <v>#REF!</v>
      </c>
      <c r="AS244" t="e">
        <f>AND(#REF!,"AAAAAF+7Tiw=")</f>
        <v>#REF!</v>
      </c>
      <c r="AT244" t="e">
        <f>AND(#REF!,"AAAAAF+7Ti0=")</f>
        <v>#REF!</v>
      </c>
      <c r="AU244" t="e">
        <f>AND(#REF!,"AAAAAF+7Ti4=")</f>
        <v>#REF!</v>
      </c>
      <c r="AV244" t="e">
        <f>AND(#REF!,"AAAAAF+7Ti8=")</f>
        <v>#REF!</v>
      </c>
      <c r="AW244" t="e">
        <f>IF(#REF!,"AAAAAF+7TjA=",0)</f>
        <v>#REF!</v>
      </c>
      <c r="AX244" t="e">
        <f>AND(#REF!,"AAAAAF+7TjE=")</f>
        <v>#REF!</v>
      </c>
      <c r="AY244" t="e">
        <f>AND(#REF!,"AAAAAF+7TjI=")</f>
        <v>#REF!</v>
      </c>
      <c r="AZ244" t="e">
        <f>AND(#REF!,"AAAAAF+7TjM=")</f>
        <v>#REF!</v>
      </c>
      <c r="BA244" t="e">
        <f>AND(#REF!,"AAAAAF+7TjQ=")</f>
        <v>#REF!</v>
      </c>
      <c r="BB244" t="e">
        <f>AND(#REF!,"AAAAAF+7TjU=")</f>
        <v>#REF!</v>
      </c>
      <c r="BC244" t="e">
        <f>AND(#REF!,"AAAAAF+7TjY=")</f>
        <v>#REF!</v>
      </c>
      <c r="BD244" t="e">
        <f>AND(#REF!,"AAAAAF+7Tjc=")</f>
        <v>#REF!</v>
      </c>
      <c r="BE244" t="e">
        <f>AND(#REF!,"AAAAAF+7Tjg=")</f>
        <v>#REF!</v>
      </c>
      <c r="BF244" t="e">
        <f>AND(#REF!,"AAAAAF+7Tjk=")</f>
        <v>#REF!</v>
      </c>
      <c r="BG244" t="e">
        <f>AND(#REF!,"AAAAAF+7Tjo=")</f>
        <v>#REF!</v>
      </c>
      <c r="BH244" t="e">
        <f>IF(#REF!,"AAAAAF+7Tjs=",0)</f>
        <v>#REF!</v>
      </c>
      <c r="BI244" t="e">
        <f>AND(#REF!,"AAAAAF+7Tjw=")</f>
        <v>#REF!</v>
      </c>
      <c r="BJ244" t="e">
        <f>AND(#REF!,"AAAAAF+7Tj0=")</f>
        <v>#REF!</v>
      </c>
      <c r="BK244" t="e">
        <f>AND(#REF!,"AAAAAF+7Tj4=")</f>
        <v>#REF!</v>
      </c>
      <c r="BL244" t="e">
        <f>AND(#REF!,"AAAAAF+7Tj8=")</f>
        <v>#REF!</v>
      </c>
      <c r="BM244" t="e">
        <f>AND(#REF!,"AAAAAF+7TkA=")</f>
        <v>#REF!</v>
      </c>
      <c r="BN244" t="e">
        <f>AND(#REF!,"AAAAAF+7TkE=")</f>
        <v>#REF!</v>
      </c>
      <c r="BO244" t="e">
        <f>AND(#REF!,"AAAAAF+7TkI=")</f>
        <v>#REF!</v>
      </c>
      <c r="BP244" t="e">
        <f>AND(#REF!,"AAAAAF+7TkM=")</f>
        <v>#REF!</v>
      </c>
      <c r="BQ244" t="e">
        <f>AND(#REF!,"AAAAAF+7TkQ=")</f>
        <v>#REF!</v>
      </c>
      <c r="BR244" t="e">
        <f>AND(#REF!,"AAAAAF+7TkU=")</f>
        <v>#REF!</v>
      </c>
      <c r="BS244" t="e">
        <f>IF(#REF!,"AAAAAF+7TkY=",0)</f>
        <v>#REF!</v>
      </c>
      <c r="BT244" t="e">
        <f>AND(#REF!,"AAAAAF+7Tkc=")</f>
        <v>#REF!</v>
      </c>
      <c r="BU244" t="e">
        <f>AND(#REF!,"AAAAAF+7Tkg=")</f>
        <v>#REF!</v>
      </c>
      <c r="BV244" t="e">
        <f>AND(#REF!,"AAAAAF+7Tkk=")</f>
        <v>#REF!</v>
      </c>
      <c r="BW244" t="e">
        <f>AND(#REF!,"AAAAAF+7Tko=")</f>
        <v>#REF!</v>
      </c>
      <c r="BX244" t="e">
        <f>AND(#REF!,"AAAAAF+7Tks=")</f>
        <v>#REF!</v>
      </c>
      <c r="BY244" t="e">
        <f>AND(#REF!,"AAAAAF+7Tkw=")</f>
        <v>#REF!</v>
      </c>
      <c r="BZ244" t="e">
        <f>AND(#REF!,"AAAAAF+7Tk0=")</f>
        <v>#REF!</v>
      </c>
      <c r="CA244" t="e">
        <f>AND(#REF!,"AAAAAF+7Tk4=")</f>
        <v>#REF!</v>
      </c>
      <c r="CB244" t="e">
        <f>AND(#REF!,"AAAAAF+7Tk8=")</f>
        <v>#REF!</v>
      </c>
      <c r="CC244" t="e">
        <f>AND(#REF!,"AAAAAF+7TlA=")</f>
        <v>#REF!</v>
      </c>
      <c r="CD244" t="e">
        <f>IF(#REF!,"AAAAAF+7TlE=",0)</f>
        <v>#REF!</v>
      </c>
      <c r="CE244" t="e">
        <f>AND(#REF!,"AAAAAF+7TlI=")</f>
        <v>#REF!</v>
      </c>
      <c r="CF244" t="e">
        <f>AND(#REF!,"AAAAAF+7TlM=")</f>
        <v>#REF!</v>
      </c>
      <c r="CG244" t="e">
        <f>AND(#REF!,"AAAAAF+7TlQ=")</f>
        <v>#REF!</v>
      </c>
      <c r="CH244" t="e">
        <f>AND(#REF!,"AAAAAF+7TlU=")</f>
        <v>#REF!</v>
      </c>
      <c r="CI244" t="e">
        <f>AND(#REF!,"AAAAAF+7TlY=")</f>
        <v>#REF!</v>
      </c>
      <c r="CJ244" t="e">
        <f>AND(#REF!,"AAAAAF+7Tlc=")</f>
        <v>#REF!</v>
      </c>
      <c r="CK244" t="e">
        <f>AND(#REF!,"AAAAAF+7Tlg=")</f>
        <v>#REF!</v>
      </c>
      <c r="CL244" t="e">
        <f>AND(#REF!,"AAAAAF+7Tlk=")</f>
        <v>#REF!</v>
      </c>
      <c r="CM244" t="e">
        <f>AND(#REF!,"AAAAAF+7Tlo=")</f>
        <v>#REF!</v>
      </c>
      <c r="CN244" t="e">
        <f>AND(#REF!,"AAAAAF+7Tls=")</f>
        <v>#REF!</v>
      </c>
      <c r="CO244" t="e">
        <f>IF(#REF!,"AAAAAF+7Tlw=",0)</f>
        <v>#REF!</v>
      </c>
      <c r="CP244" t="e">
        <f>AND(#REF!,"AAAAAF+7Tl0=")</f>
        <v>#REF!</v>
      </c>
      <c r="CQ244" t="e">
        <f>AND(#REF!,"AAAAAF+7Tl4=")</f>
        <v>#REF!</v>
      </c>
      <c r="CR244" t="e">
        <f>AND(#REF!,"AAAAAF+7Tl8=")</f>
        <v>#REF!</v>
      </c>
      <c r="CS244" t="e">
        <f>AND(#REF!,"AAAAAF+7TmA=")</f>
        <v>#REF!</v>
      </c>
      <c r="CT244" t="e">
        <f>AND(#REF!,"AAAAAF+7TmE=")</f>
        <v>#REF!</v>
      </c>
      <c r="CU244" t="e">
        <f>AND(#REF!,"AAAAAF+7TmI=")</f>
        <v>#REF!</v>
      </c>
      <c r="CV244" t="e">
        <f>AND(#REF!,"AAAAAF+7TmM=")</f>
        <v>#REF!</v>
      </c>
      <c r="CW244" t="e">
        <f>AND(#REF!,"AAAAAF+7TmQ=")</f>
        <v>#REF!</v>
      </c>
      <c r="CX244" t="e">
        <f>AND(#REF!,"AAAAAF+7TmU=")</f>
        <v>#REF!</v>
      </c>
      <c r="CY244" t="e">
        <f>AND(#REF!,"AAAAAF+7TmY=")</f>
        <v>#REF!</v>
      </c>
      <c r="CZ244" t="e">
        <f>IF(#REF!,"AAAAAF+7Tmc=",0)</f>
        <v>#REF!</v>
      </c>
      <c r="DA244" t="e">
        <f>AND(#REF!,"AAAAAF+7Tmg=")</f>
        <v>#REF!</v>
      </c>
      <c r="DB244" t="e">
        <f>AND(#REF!,"AAAAAF+7Tmk=")</f>
        <v>#REF!</v>
      </c>
      <c r="DC244" t="e">
        <f>AND(#REF!,"AAAAAF+7Tmo=")</f>
        <v>#REF!</v>
      </c>
      <c r="DD244" t="e">
        <f>AND(#REF!,"AAAAAF+7Tms=")</f>
        <v>#REF!</v>
      </c>
      <c r="DE244" t="e">
        <f>AND(#REF!,"AAAAAF+7Tmw=")</f>
        <v>#REF!</v>
      </c>
      <c r="DF244" t="e">
        <f>AND(#REF!,"AAAAAF+7Tm0=")</f>
        <v>#REF!</v>
      </c>
      <c r="DG244" t="e">
        <f>AND(#REF!,"AAAAAF+7Tm4=")</f>
        <v>#REF!</v>
      </c>
      <c r="DH244" t="e">
        <f>AND(#REF!,"AAAAAF+7Tm8=")</f>
        <v>#REF!</v>
      </c>
      <c r="DI244" t="e">
        <f>AND(#REF!,"AAAAAF+7TnA=")</f>
        <v>#REF!</v>
      </c>
      <c r="DJ244" t="e">
        <f>AND(#REF!,"AAAAAF+7TnE=")</f>
        <v>#REF!</v>
      </c>
      <c r="DK244" t="e">
        <f>IF(#REF!,"AAAAAF+7TnI=",0)</f>
        <v>#REF!</v>
      </c>
      <c r="DL244" t="e">
        <f>AND(#REF!,"AAAAAF+7TnM=")</f>
        <v>#REF!</v>
      </c>
      <c r="DM244" t="e">
        <f>AND(#REF!,"AAAAAF+7TnQ=")</f>
        <v>#REF!</v>
      </c>
      <c r="DN244" t="e">
        <f>AND(#REF!,"AAAAAF+7TnU=")</f>
        <v>#REF!</v>
      </c>
      <c r="DO244" t="e">
        <f>AND(#REF!,"AAAAAF+7TnY=")</f>
        <v>#REF!</v>
      </c>
      <c r="DP244" t="e">
        <f>AND(#REF!,"AAAAAF+7Tnc=")</f>
        <v>#REF!</v>
      </c>
      <c r="DQ244" t="e">
        <f>AND(#REF!,"AAAAAF+7Tng=")</f>
        <v>#REF!</v>
      </c>
      <c r="DR244" t="e">
        <f>AND(#REF!,"AAAAAF+7Tnk=")</f>
        <v>#REF!</v>
      </c>
      <c r="DS244" t="e">
        <f>AND(#REF!,"AAAAAF+7Tno=")</f>
        <v>#REF!</v>
      </c>
      <c r="DT244" t="e">
        <f>AND(#REF!,"AAAAAF+7Tns=")</f>
        <v>#REF!</v>
      </c>
      <c r="DU244" t="e">
        <f>AND(#REF!,"AAAAAF+7Tnw=")</f>
        <v>#REF!</v>
      </c>
      <c r="DV244" t="e">
        <f>IF(#REF!,"AAAAAF+7Tn0=",0)</f>
        <v>#REF!</v>
      </c>
      <c r="DW244" t="e">
        <f>AND(#REF!,"AAAAAF+7Tn4=")</f>
        <v>#REF!</v>
      </c>
      <c r="DX244" t="e">
        <f>AND(#REF!,"AAAAAF+7Tn8=")</f>
        <v>#REF!</v>
      </c>
      <c r="DY244" t="e">
        <f>AND(#REF!,"AAAAAF+7ToA=")</f>
        <v>#REF!</v>
      </c>
      <c r="DZ244" t="e">
        <f>AND(#REF!,"AAAAAF+7ToE=")</f>
        <v>#REF!</v>
      </c>
      <c r="EA244" t="e">
        <f>AND(#REF!,"AAAAAF+7ToI=")</f>
        <v>#REF!</v>
      </c>
      <c r="EB244" t="e">
        <f>AND(#REF!,"AAAAAF+7ToM=")</f>
        <v>#REF!</v>
      </c>
      <c r="EC244" t="e">
        <f>AND(#REF!,"AAAAAF+7ToQ=")</f>
        <v>#REF!</v>
      </c>
      <c r="ED244" t="e">
        <f>AND(#REF!,"AAAAAF+7ToU=")</f>
        <v>#REF!</v>
      </c>
      <c r="EE244" t="e">
        <f>AND(#REF!,"AAAAAF+7ToY=")</f>
        <v>#REF!</v>
      </c>
      <c r="EF244" t="e">
        <f>AND(#REF!,"AAAAAF+7Toc=")</f>
        <v>#REF!</v>
      </c>
      <c r="EG244" t="e">
        <f>IF(#REF!,"AAAAAF+7Tog=",0)</f>
        <v>#REF!</v>
      </c>
      <c r="EH244" t="e">
        <f>AND(#REF!,"AAAAAF+7Tok=")</f>
        <v>#REF!</v>
      </c>
      <c r="EI244" t="e">
        <f>AND(#REF!,"AAAAAF+7Too=")</f>
        <v>#REF!</v>
      </c>
      <c r="EJ244" t="e">
        <f>AND(#REF!,"AAAAAF+7Tos=")</f>
        <v>#REF!</v>
      </c>
      <c r="EK244" t="e">
        <f>AND(#REF!,"AAAAAF+7Tow=")</f>
        <v>#REF!</v>
      </c>
      <c r="EL244" t="e">
        <f>AND(#REF!,"AAAAAF+7To0=")</f>
        <v>#REF!</v>
      </c>
      <c r="EM244" t="e">
        <f>AND(#REF!,"AAAAAF+7To4=")</f>
        <v>#REF!</v>
      </c>
      <c r="EN244" t="e">
        <f>AND(#REF!,"AAAAAF+7To8=")</f>
        <v>#REF!</v>
      </c>
      <c r="EO244" t="e">
        <f>AND(#REF!,"AAAAAF+7TpA=")</f>
        <v>#REF!</v>
      </c>
      <c r="EP244" t="e">
        <f>AND(#REF!,"AAAAAF+7TpE=")</f>
        <v>#REF!</v>
      </c>
      <c r="EQ244" t="e">
        <f>AND(#REF!,"AAAAAF+7TpI=")</f>
        <v>#REF!</v>
      </c>
      <c r="ER244" t="e">
        <f>IF(#REF!,"AAAAAF+7TpM=",0)</f>
        <v>#REF!</v>
      </c>
      <c r="ES244" t="e">
        <f>AND(#REF!,"AAAAAF+7TpQ=")</f>
        <v>#REF!</v>
      </c>
      <c r="ET244" t="e">
        <f>AND(#REF!,"AAAAAF+7TpU=")</f>
        <v>#REF!</v>
      </c>
      <c r="EU244" t="e">
        <f>AND(#REF!,"AAAAAF+7TpY=")</f>
        <v>#REF!</v>
      </c>
      <c r="EV244" t="e">
        <f>AND(#REF!,"AAAAAF+7Tpc=")</f>
        <v>#REF!</v>
      </c>
      <c r="EW244" t="e">
        <f>AND(#REF!,"AAAAAF+7Tpg=")</f>
        <v>#REF!</v>
      </c>
      <c r="EX244" t="e">
        <f>AND(#REF!,"AAAAAF+7Tpk=")</f>
        <v>#REF!</v>
      </c>
      <c r="EY244" t="e">
        <f>AND(#REF!,"AAAAAF+7Tpo=")</f>
        <v>#REF!</v>
      </c>
      <c r="EZ244" t="e">
        <f>AND(#REF!,"AAAAAF+7Tps=")</f>
        <v>#REF!</v>
      </c>
      <c r="FA244" t="e">
        <f>AND(#REF!,"AAAAAF+7Tpw=")</f>
        <v>#REF!</v>
      </c>
      <c r="FB244" t="e">
        <f>AND(#REF!,"AAAAAF+7Tp0=")</f>
        <v>#REF!</v>
      </c>
      <c r="FC244" t="e">
        <f>IF(#REF!,"AAAAAF+7Tp4=",0)</f>
        <v>#REF!</v>
      </c>
      <c r="FD244" t="e">
        <f>AND(#REF!,"AAAAAF+7Tp8=")</f>
        <v>#REF!</v>
      </c>
      <c r="FE244" t="e">
        <f>AND(#REF!,"AAAAAF+7TqA=")</f>
        <v>#REF!</v>
      </c>
      <c r="FF244" t="e">
        <f>AND(#REF!,"AAAAAF+7TqE=")</f>
        <v>#REF!</v>
      </c>
      <c r="FG244" t="e">
        <f>AND(#REF!,"AAAAAF+7TqI=")</f>
        <v>#REF!</v>
      </c>
      <c r="FH244" t="e">
        <f>AND(#REF!,"AAAAAF+7TqM=")</f>
        <v>#REF!</v>
      </c>
      <c r="FI244" t="e">
        <f>AND(#REF!,"AAAAAF+7TqQ=")</f>
        <v>#REF!</v>
      </c>
      <c r="FJ244" t="e">
        <f>AND(#REF!,"AAAAAF+7TqU=")</f>
        <v>#REF!</v>
      </c>
      <c r="FK244" t="e">
        <f>AND(#REF!,"AAAAAF+7TqY=")</f>
        <v>#REF!</v>
      </c>
      <c r="FL244" t="e">
        <f>AND(#REF!,"AAAAAF+7Tqc=")</f>
        <v>#REF!</v>
      </c>
      <c r="FM244" t="e">
        <f>AND(#REF!,"AAAAAF+7Tqg=")</f>
        <v>#REF!</v>
      </c>
      <c r="FN244" t="e">
        <f>IF(#REF!,"AAAAAF+7Tqk=",0)</f>
        <v>#REF!</v>
      </c>
      <c r="FO244" t="e">
        <f>AND(#REF!,"AAAAAF+7Tqo=")</f>
        <v>#REF!</v>
      </c>
      <c r="FP244" t="e">
        <f>AND(#REF!,"AAAAAF+7Tqs=")</f>
        <v>#REF!</v>
      </c>
      <c r="FQ244" t="e">
        <f>AND(#REF!,"AAAAAF+7Tqw=")</f>
        <v>#REF!</v>
      </c>
      <c r="FR244" t="e">
        <f>AND(#REF!,"AAAAAF+7Tq0=")</f>
        <v>#REF!</v>
      </c>
      <c r="FS244" t="e">
        <f>AND(#REF!,"AAAAAF+7Tq4=")</f>
        <v>#REF!</v>
      </c>
      <c r="FT244" t="e">
        <f>AND(#REF!,"AAAAAF+7Tq8=")</f>
        <v>#REF!</v>
      </c>
      <c r="FU244" t="e">
        <f>AND(#REF!,"AAAAAF+7TrA=")</f>
        <v>#REF!</v>
      </c>
      <c r="FV244" t="e">
        <f>AND(#REF!,"AAAAAF+7TrE=")</f>
        <v>#REF!</v>
      </c>
      <c r="FW244" t="e">
        <f>AND(#REF!,"AAAAAF+7TrI=")</f>
        <v>#REF!</v>
      </c>
      <c r="FX244" t="e">
        <f>AND(#REF!,"AAAAAF+7TrM=")</f>
        <v>#REF!</v>
      </c>
      <c r="FY244" t="e">
        <f>IF(#REF!,"AAAAAF+7TrQ=",0)</f>
        <v>#REF!</v>
      </c>
      <c r="FZ244" t="e">
        <f>AND(#REF!,"AAAAAF+7TrU=")</f>
        <v>#REF!</v>
      </c>
      <c r="GA244" t="e">
        <f>AND(#REF!,"AAAAAF+7TrY=")</f>
        <v>#REF!</v>
      </c>
      <c r="GB244" t="e">
        <f>AND(#REF!,"AAAAAF+7Trc=")</f>
        <v>#REF!</v>
      </c>
      <c r="GC244" t="e">
        <f>AND(#REF!,"AAAAAF+7Trg=")</f>
        <v>#REF!</v>
      </c>
      <c r="GD244" t="e">
        <f>AND(#REF!,"AAAAAF+7Trk=")</f>
        <v>#REF!</v>
      </c>
      <c r="GE244" t="e">
        <f>AND(#REF!,"AAAAAF+7Tro=")</f>
        <v>#REF!</v>
      </c>
      <c r="GF244" t="e">
        <f>AND(#REF!,"AAAAAF+7Trs=")</f>
        <v>#REF!</v>
      </c>
      <c r="GG244" t="e">
        <f>AND(#REF!,"AAAAAF+7Trw=")</f>
        <v>#REF!</v>
      </c>
      <c r="GH244" t="e">
        <f>AND(#REF!,"AAAAAF+7Tr0=")</f>
        <v>#REF!</v>
      </c>
      <c r="GI244" t="e">
        <f>AND(#REF!,"AAAAAF+7Tr4=")</f>
        <v>#REF!</v>
      </c>
      <c r="GJ244" t="e">
        <f>IF(#REF!,"AAAAAF+7Tr8=",0)</f>
        <v>#REF!</v>
      </c>
      <c r="GK244" t="e">
        <f>AND(#REF!,"AAAAAF+7TsA=")</f>
        <v>#REF!</v>
      </c>
      <c r="GL244" t="e">
        <f>AND(#REF!,"AAAAAF+7TsE=")</f>
        <v>#REF!</v>
      </c>
      <c r="GM244" t="e">
        <f>AND(#REF!,"AAAAAF+7TsI=")</f>
        <v>#REF!</v>
      </c>
      <c r="GN244" t="e">
        <f>AND(#REF!,"AAAAAF+7TsM=")</f>
        <v>#REF!</v>
      </c>
      <c r="GO244" t="e">
        <f>AND(#REF!,"AAAAAF+7TsQ=")</f>
        <v>#REF!</v>
      </c>
      <c r="GP244" t="e">
        <f>AND(#REF!,"AAAAAF+7TsU=")</f>
        <v>#REF!</v>
      </c>
      <c r="GQ244" t="e">
        <f>AND(#REF!,"AAAAAF+7TsY=")</f>
        <v>#REF!</v>
      </c>
      <c r="GR244" t="e">
        <f>AND(#REF!,"AAAAAF+7Tsc=")</f>
        <v>#REF!</v>
      </c>
      <c r="GS244" t="e">
        <f>AND(#REF!,"AAAAAF+7Tsg=")</f>
        <v>#REF!</v>
      </c>
      <c r="GT244" t="e">
        <f>AND(#REF!,"AAAAAF+7Tsk=")</f>
        <v>#REF!</v>
      </c>
      <c r="GU244" t="e">
        <f>IF(#REF!,"AAAAAF+7Tso=",0)</f>
        <v>#REF!</v>
      </c>
      <c r="GV244" t="e">
        <f>AND(#REF!,"AAAAAF+7Tss=")</f>
        <v>#REF!</v>
      </c>
      <c r="GW244" t="e">
        <f>AND(#REF!,"AAAAAF+7Tsw=")</f>
        <v>#REF!</v>
      </c>
      <c r="GX244" t="e">
        <f>AND(#REF!,"AAAAAF+7Ts0=")</f>
        <v>#REF!</v>
      </c>
      <c r="GY244" t="e">
        <f>AND(#REF!,"AAAAAF+7Ts4=")</f>
        <v>#REF!</v>
      </c>
      <c r="GZ244" t="e">
        <f>AND(#REF!,"AAAAAF+7Ts8=")</f>
        <v>#REF!</v>
      </c>
      <c r="HA244" t="e">
        <f>AND(#REF!,"AAAAAF+7TtA=")</f>
        <v>#REF!</v>
      </c>
      <c r="HB244" t="e">
        <f>AND(#REF!,"AAAAAF+7TtE=")</f>
        <v>#REF!</v>
      </c>
      <c r="HC244" t="e">
        <f>AND(#REF!,"AAAAAF+7TtI=")</f>
        <v>#REF!</v>
      </c>
      <c r="HD244" t="e">
        <f>AND(#REF!,"AAAAAF+7TtM=")</f>
        <v>#REF!</v>
      </c>
      <c r="HE244" t="e">
        <f>AND(#REF!,"AAAAAF+7TtQ=")</f>
        <v>#REF!</v>
      </c>
      <c r="HF244" t="e">
        <f>IF(#REF!,"AAAAAF+7TtU=",0)</f>
        <v>#REF!</v>
      </c>
      <c r="HG244" t="e">
        <f>AND(#REF!,"AAAAAF+7TtY=")</f>
        <v>#REF!</v>
      </c>
      <c r="HH244" t="e">
        <f>AND(#REF!,"AAAAAF+7Ttc=")</f>
        <v>#REF!</v>
      </c>
      <c r="HI244" t="e">
        <f>AND(#REF!,"AAAAAF+7Ttg=")</f>
        <v>#REF!</v>
      </c>
      <c r="HJ244" t="e">
        <f>AND(#REF!,"AAAAAF+7Ttk=")</f>
        <v>#REF!</v>
      </c>
      <c r="HK244" t="e">
        <f>AND(#REF!,"AAAAAF+7Tto=")</f>
        <v>#REF!</v>
      </c>
      <c r="HL244" t="e">
        <f>AND(#REF!,"AAAAAF+7Tts=")</f>
        <v>#REF!</v>
      </c>
      <c r="HM244" t="e">
        <f>AND(#REF!,"AAAAAF+7Ttw=")</f>
        <v>#REF!</v>
      </c>
      <c r="HN244" t="e">
        <f>AND(#REF!,"AAAAAF+7Tt0=")</f>
        <v>#REF!</v>
      </c>
      <c r="HO244" t="e">
        <f>AND(#REF!,"AAAAAF+7Tt4=")</f>
        <v>#REF!</v>
      </c>
      <c r="HP244" t="e">
        <f>AND(#REF!,"AAAAAF+7Tt8=")</f>
        <v>#REF!</v>
      </c>
      <c r="HQ244" t="e">
        <f>IF(#REF!,"AAAAAF+7TuA=",0)</f>
        <v>#REF!</v>
      </c>
      <c r="HR244" t="e">
        <f>AND(#REF!,"AAAAAF+7TuE=")</f>
        <v>#REF!</v>
      </c>
      <c r="HS244" t="e">
        <f>AND(#REF!,"AAAAAF+7TuI=")</f>
        <v>#REF!</v>
      </c>
      <c r="HT244" t="e">
        <f>AND(#REF!,"AAAAAF+7TuM=")</f>
        <v>#REF!</v>
      </c>
      <c r="HU244" t="e">
        <f>AND(#REF!,"AAAAAF+7TuQ=")</f>
        <v>#REF!</v>
      </c>
      <c r="HV244" t="e">
        <f>AND(#REF!,"AAAAAF+7TuU=")</f>
        <v>#REF!</v>
      </c>
      <c r="HW244" t="e">
        <f>AND(#REF!,"AAAAAF+7TuY=")</f>
        <v>#REF!</v>
      </c>
      <c r="HX244" t="e">
        <f>AND(#REF!,"AAAAAF+7Tuc=")</f>
        <v>#REF!</v>
      </c>
      <c r="HY244" t="e">
        <f>AND(#REF!,"AAAAAF+7Tug=")</f>
        <v>#REF!</v>
      </c>
      <c r="HZ244" t="e">
        <f>AND(#REF!,"AAAAAF+7Tuk=")</f>
        <v>#REF!</v>
      </c>
      <c r="IA244" t="e">
        <f>AND(#REF!,"AAAAAF+7Tuo=")</f>
        <v>#REF!</v>
      </c>
      <c r="IB244" t="e">
        <f>IF(#REF!,"AAAAAF+7Tus=",0)</f>
        <v>#REF!</v>
      </c>
      <c r="IC244" t="e">
        <f>AND(#REF!,"AAAAAF+7Tuw=")</f>
        <v>#REF!</v>
      </c>
      <c r="ID244" t="e">
        <f>AND(#REF!,"AAAAAF+7Tu0=")</f>
        <v>#REF!</v>
      </c>
      <c r="IE244" t="e">
        <f>AND(#REF!,"AAAAAF+7Tu4=")</f>
        <v>#REF!</v>
      </c>
      <c r="IF244" t="e">
        <f>AND(#REF!,"AAAAAF+7Tu8=")</f>
        <v>#REF!</v>
      </c>
      <c r="IG244" t="e">
        <f>AND(#REF!,"AAAAAF+7TvA=")</f>
        <v>#REF!</v>
      </c>
      <c r="IH244" t="e">
        <f>AND(#REF!,"AAAAAF+7TvE=")</f>
        <v>#REF!</v>
      </c>
      <c r="II244" t="e">
        <f>AND(#REF!,"AAAAAF+7TvI=")</f>
        <v>#REF!</v>
      </c>
      <c r="IJ244" t="e">
        <f>AND(#REF!,"AAAAAF+7TvM=")</f>
        <v>#REF!</v>
      </c>
      <c r="IK244" t="e">
        <f>AND(#REF!,"AAAAAF+7TvQ=")</f>
        <v>#REF!</v>
      </c>
      <c r="IL244" t="e">
        <f>AND(#REF!,"AAAAAF+7TvU=")</f>
        <v>#REF!</v>
      </c>
      <c r="IM244" t="e">
        <f>IF(#REF!,"AAAAAF+7TvY=",0)</f>
        <v>#REF!</v>
      </c>
      <c r="IN244" t="e">
        <f>AND(#REF!,"AAAAAF+7Tvc=")</f>
        <v>#REF!</v>
      </c>
      <c r="IO244" t="e">
        <f>AND(#REF!,"AAAAAF+7Tvg=")</f>
        <v>#REF!</v>
      </c>
      <c r="IP244" t="e">
        <f>AND(#REF!,"AAAAAF+7Tvk=")</f>
        <v>#REF!</v>
      </c>
      <c r="IQ244" t="e">
        <f>AND(#REF!,"AAAAAF+7Tvo=")</f>
        <v>#REF!</v>
      </c>
      <c r="IR244" t="e">
        <f>AND(#REF!,"AAAAAF+7Tvs=")</f>
        <v>#REF!</v>
      </c>
      <c r="IS244" t="e">
        <f>AND(#REF!,"AAAAAF+7Tvw=")</f>
        <v>#REF!</v>
      </c>
      <c r="IT244" t="e">
        <f>AND(#REF!,"AAAAAF+7Tv0=")</f>
        <v>#REF!</v>
      </c>
      <c r="IU244" t="e">
        <f>AND(#REF!,"AAAAAF+7Tv4=")</f>
        <v>#REF!</v>
      </c>
      <c r="IV244" t="e">
        <f>AND(#REF!,"AAAAAF+7Tv8=")</f>
        <v>#REF!</v>
      </c>
    </row>
    <row r="245" spans="1:256" x14ac:dyDescent="0.25">
      <c r="A245" t="e">
        <f>AND(#REF!,"AAAAADvv/wA=")</f>
        <v>#REF!</v>
      </c>
      <c r="B245" t="e">
        <f>IF(#REF!,"AAAAADvv/wE=",0)</f>
        <v>#REF!</v>
      </c>
      <c r="C245" t="e">
        <f>AND(#REF!,"AAAAADvv/wI=")</f>
        <v>#REF!</v>
      </c>
      <c r="D245" t="e">
        <f>AND(#REF!,"AAAAADvv/wM=")</f>
        <v>#REF!</v>
      </c>
      <c r="E245" t="e">
        <f>AND(#REF!,"AAAAADvv/wQ=")</f>
        <v>#REF!</v>
      </c>
      <c r="F245" t="e">
        <f>AND(#REF!,"AAAAADvv/wU=")</f>
        <v>#REF!</v>
      </c>
      <c r="G245" t="e">
        <f>AND(#REF!,"AAAAADvv/wY=")</f>
        <v>#REF!</v>
      </c>
      <c r="H245" t="e">
        <f>AND(#REF!,"AAAAADvv/wc=")</f>
        <v>#REF!</v>
      </c>
      <c r="I245" t="e">
        <f>AND(#REF!,"AAAAADvv/wg=")</f>
        <v>#REF!</v>
      </c>
      <c r="J245" t="e">
        <f>AND(#REF!,"AAAAADvv/wk=")</f>
        <v>#REF!</v>
      </c>
      <c r="K245" t="e">
        <f>AND(#REF!,"AAAAADvv/wo=")</f>
        <v>#REF!</v>
      </c>
      <c r="L245" t="e">
        <f>AND(#REF!,"AAAAADvv/ws=")</f>
        <v>#REF!</v>
      </c>
      <c r="M245" t="e">
        <f>IF(#REF!,"AAAAADvv/ww=",0)</f>
        <v>#REF!</v>
      </c>
      <c r="N245" t="e">
        <f>AND(#REF!,"AAAAADvv/w0=")</f>
        <v>#REF!</v>
      </c>
      <c r="O245" t="e">
        <f>AND(#REF!,"AAAAADvv/w4=")</f>
        <v>#REF!</v>
      </c>
      <c r="P245" t="e">
        <f>AND(#REF!,"AAAAADvv/w8=")</f>
        <v>#REF!</v>
      </c>
      <c r="Q245" t="e">
        <f>AND(#REF!,"AAAAADvv/xA=")</f>
        <v>#REF!</v>
      </c>
      <c r="R245" t="e">
        <f>AND(#REF!,"AAAAADvv/xE=")</f>
        <v>#REF!</v>
      </c>
      <c r="S245" t="e">
        <f>AND(#REF!,"AAAAADvv/xI=")</f>
        <v>#REF!</v>
      </c>
      <c r="T245" t="e">
        <f>AND(#REF!,"AAAAADvv/xM=")</f>
        <v>#REF!</v>
      </c>
      <c r="U245" t="e">
        <f>AND(#REF!,"AAAAADvv/xQ=")</f>
        <v>#REF!</v>
      </c>
      <c r="V245" t="e">
        <f>AND(#REF!,"AAAAADvv/xU=")</f>
        <v>#REF!</v>
      </c>
      <c r="W245" t="e">
        <f>AND(#REF!,"AAAAADvv/xY=")</f>
        <v>#REF!</v>
      </c>
      <c r="X245" t="e">
        <f>IF(#REF!,"AAAAADvv/xc=",0)</f>
        <v>#REF!</v>
      </c>
      <c r="Y245" t="e">
        <f>AND(#REF!,"AAAAADvv/xg=")</f>
        <v>#REF!</v>
      </c>
      <c r="Z245" t="e">
        <f>AND(#REF!,"AAAAADvv/xk=")</f>
        <v>#REF!</v>
      </c>
      <c r="AA245" t="e">
        <f>AND(#REF!,"AAAAADvv/xo=")</f>
        <v>#REF!</v>
      </c>
      <c r="AB245" t="e">
        <f>AND(#REF!,"AAAAADvv/xs=")</f>
        <v>#REF!</v>
      </c>
      <c r="AC245" t="e">
        <f>AND(#REF!,"AAAAADvv/xw=")</f>
        <v>#REF!</v>
      </c>
      <c r="AD245" t="e">
        <f>AND(#REF!,"AAAAADvv/x0=")</f>
        <v>#REF!</v>
      </c>
      <c r="AE245" t="e">
        <f>AND(#REF!,"AAAAADvv/x4=")</f>
        <v>#REF!</v>
      </c>
      <c r="AF245" t="e">
        <f>AND(#REF!,"AAAAADvv/x8=")</f>
        <v>#REF!</v>
      </c>
      <c r="AG245" t="e">
        <f>AND(#REF!,"AAAAADvv/yA=")</f>
        <v>#REF!</v>
      </c>
      <c r="AH245" t="e">
        <f>AND(#REF!,"AAAAADvv/yE=")</f>
        <v>#REF!</v>
      </c>
      <c r="AI245" t="e">
        <f>IF(#REF!,"AAAAADvv/yI=",0)</f>
        <v>#REF!</v>
      </c>
      <c r="AJ245" t="e">
        <f>AND(#REF!,"AAAAADvv/yM=")</f>
        <v>#REF!</v>
      </c>
      <c r="AK245" t="e">
        <f>AND(#REF!,"AAAAADvv/yQ=")</f>
        <v>#REF!</v>
      </c>
      <c r="AL245" t="e">
        <f>AND(#REF!,"AAAAADvv/yU=")</f>
        <v>#REF!</v>
      </c>
      <c r="AM245" t="e">
        <f>AND(#REF!,"AAAAADvv/yY=")</f>
        <v>#REF!</v>
      </c>
      <c r="AN245" t="e">
        <f>AND(#REF!,"AAAAADvv/yc=")</f>
        <v>#REF!</v>
      </c>
      <c r="AO245" t="e">
        <f>AND(#REF!,"AAAAADvv/yg=")</f>
        <v>#REF!</v>
      </c>
      <c r="AP245" t="e">
        <f>AND(#REF!,"AAAAADvv/yk=")</f>
        <v>#REF!</v>
      </c>
      <c r="AQ245" t="e">
        <f>AND(#REF!,"AAAAADvv/yo=")</f>
        <v>#REF!</v>
      </c>
      <c r="AR245" t="e">
        <f>AND(#REF!,"AAAAADvv/ys=")</f>
        <v>#REF!</v>
      </c>
      <c r="AS245" t="e">
        <f>AND(#REF!,"AAAAADvv/yw=")</f>
        <v>#REF!</v>
      </c>
      <c r="AT245" t="e">
        <f>IF(#REF!,"AAAAADvv/y0=",0)</f>
        <v>#REF!</v>
      </c>
      <c r="AU245" t="e">
        <f>AND(#REF!,"AAAAADvv/y4=")</f>
        <v>#REF!</v>
      </c>
      <c r="AV245" t="e">
        <f>AND(#REF!,"AAAAADvv/y8=")</f>
        <v>#REF!</v>
      </c>
      <c r="AW245" t="e">
        <f>AND(#REF!,"AAAAADvv/zA=")</f>
        <v>#REF!</v>
      </c>
      <c r="AX245" t="e">
        <f>AND(#REF!,"AAAAADvv/zE=")</f>
        <v>#REF!</v>
      </c>
      <c r="AY245" t="e">
        <f>AND(#REF!,"AAAAADvv/zI=")</f>
        <v>#REF!</v>
      </c>
      <c r="AZ245" t="e">
        <f>AND(#REF!,"AAAAADvv/zM=")</f>
        <v>#REF!</v>
      </c>
      <c r="BA245" t="e">
        <f>AND(#REF!,"AAAAADvv/zQ=")</f>
        <v>#REF!</v>
      </c>
      <c r="BB245" t="e">
        <f>AND(#REF!,"AAAAADvv/zU=")</f>
        <v>#REF!</v>
      </c>
      <c r="BC245" t="e">
        <f>AND(#REF!,"AAAAADvv/zY=")</f>
        <v>#REF!</v>
      </c>
      <c r="BD245" t="e">
        <f>AND(#REF!,"AAAAADvv/zc=")</f>
        <v>#REF!</v>
      </c>
      <c r="BE245" t="e">
        <f>IF(#REF!,"AAAAADvv/zg=",0)</f>
        <v>#REF!</v>
      </c>
      <c r="BF245" t="e">
        <f>AND(#REF!,"AAAAADvv/zk=")</f>
        <v>#REF!</v>
      </c>
      <c r="BG245" t="e">
        <f>AND(#REF!,"AAAAADvv/zo=")</f>
        <v>#REF!</v>
      </c>
      <c r="BH245" t="e">
        <f>AND(#REF!,"AAAAADvv/zs=")</f>
        <v>#REF!</v>
      </c>
      <c r="BI245" t="e">
        <f>AND(#REF!,"AAAAADvv/zw=")</f>
        <v>#REF!</v>
      </c>
      <c r="BJ245" t="e">
        <f>AND(#REF!,"AAAAADvv/z0=")</f>
        <v>#REF!</v>
      </c>
      <c r="BK245" t="e">
        <f>AND(#REF!,"AAAAADvv/z4=")</f>
        <v>#REF!</v>
      </c>
      <c r="BL245" t="e">
        <f>AND(#REF!,"AAAAADvv/z8=")</f>
        <v>#REF!</v>
      </c>
      <c r="BM245" t="e">
        <f>AND(#REF!,"AAAAADvv/0A=")</f>
        <v>#REF!</v>
      </c>
      <c r="BN245" t="e">
        <f>AND(#REF!,"AAAAADvv/0E=")</f>
        <v>#REF!</v>
      </c>
      <c r="BO245" t="e">
        <f>AND(#REF!,"AAAAADvv/0I=")</f>
        <v>#REF!</v>
      </c>
      <c r="BP245" t="e">
        <f>IF(#REF!,"AAAAADvv/0M=",0)</f>
        <v>#REF!</v>
      </c>
      <c r="BQ245" t="e">
        <f>AND(#REF!,"AAAAADvv/0Q=")</f>
        <v>#REF!</v>
      </c>
      <c r="BR245" t="e">
        <f>AND(#REF!,"AAAAADvv/0U=")</f>
        <v>#REF!</v>
      </c>
      <c r="BS245" t="e">
        <f>AND(#REF!,"AAAAADvv/0Y=")</f>
        <v>#REF!</v>
      </c>
      <c r="BT245" t="e">
        <f>AND(#REF!,"AAAAADvv/0c=")</f>
        <v>#REF!</v>
      </c>
      <c r="BU245" t="e">
        <f>AND(#REF!,"AAAAADvv/0g=")</f>
        <v>#REF!</v>
      </c>
      <c r="BV245" t="e">
        <f>AND(#REF!,"AAAAADvv/0k=")</f>
        <v>#REF!</v>
      </c>
      <c r="BW245" t="e">
        <f>AND(#REF!,"AAAAADvv/0o=")</f>
        <v>#REF!</v>
      </c>
      <c r="BX245" t="e">
        <f>AND(#REF!,"AAAAADvv/0s=")</f>
        <v>#REF!</v>
      </c>
      <c r="BY245" t="e">
        <f>AND(#REF!,"AAAAADvv/0w=")</f>
        <v>#REF!</v>
      </c>
      <c r="BZ245" t="e">
        <f>AND(#REF!,"AAAAADvv/00=")</f>
        <v>#REF!</v>
      </c>
      <c r="CA245" t="e">
        <f>IF(#REF!,"AAAAADvv/04=",0)</f>
        <v>#REF!</v>
      </c>
      <c r="CB245" t="e">
        <f>AND(#REF!,"AAAAADvv/08=")</f>
        <v>#REF!</v>
      </c>
      <c r="CC245" t="e">
        <f>AND(#REF!,"AAAAADvv/1A=")</f>
        <v>#REF!</v>
      </c>
      <c r="CD245" t="e">
        <f>AND(#REF!,"AAAAADvv/1E=")</f>
        <v>#REF!</v>
      </c>
      <c r="CE245" t="e">
        <f>AND(#REF!,"AAAAADvv/1I=")</f>
        <v>#REF!</v>
      </c>
      <c r="CF245" t="e">
        <f>AND(#REF!,"AAAAADvv/1M=")</f>
        <v>#REF!</v>
      </c>
      <c r="CG245" t="e">
        <f>AND(#REF!,"AAAAADvv/1Q=")</f>
        <v>#REF!</v>
      </c>
      <c r="CH245" t="e">
        <f>AND(#REF!,"AAAAADvv/1U=")</f>
        <v>#REF!</v>
      </c>
      <c r="CI245" t="e">
        <f>AND(#REF!,"AAAAADvv/1Y=")</f>
        <v>#REF!</v>
      </c>
      <c r="CJ245" t="e">
        <f>AND(#REF!,"AAAAADvv/1c=")</f>
        <v>#REF!</v>
      </c>
      <c r="CK245" t="e">
        <f>AND(#REF!,"AAAAADvv/1g=")</f>
        <v>#REF!</v>
      </c>
      <c r="CL245" t="e">
        <f>IF(#REF!,"AAAAADvv/1k=",0)</f>
        <v>#REF!</v>
      </c>
      <c r="CM245" t="e">
        <f>AND(#REF!,"AAAAADvv/1o=")</f>
        <v>#REF!</v>
      </c>
      <c r="CN245" t="e">
        <f>AND(#REF!,"AAAAADvv/1s=")</f>
        <v>#REF!</v>
      </c>
      <c r="CO245" t="e">
        <f>AND(#REF!,"AAAAADvv/1w=")</f>
        <v>#REF!</v>
      </c>
      <c r="CP245" t="e">
        <f>AND(#REF!,"AAAAADvv/10=")</f>
        <v>#REF!</v>
      </c>
      <c r="CQ245" t="e">
        <f>AND(#REF!,"AAAAADvv/14=")</f>
        <v>#REF!</v>
      </c>
      <c r="CR245" t="e">
        <f>AND(#REF!,"AAAAADvv/18=")</f>
        <v>#REF!</v>
      </c>
      <c r="CS245" t="e">
        <f>AND(#REF!,"AAAAADvv/2A=")</f>
        <v>#REF!</v>
      </c>
      <c r="CT245" t="e">
        <f>AND(#REF!,"AAAAADvv/2E=")</f>
        <v>#REF!</v>
      </c>
      <c r="CU245" t="e">
        <f>AND(#REF!,"AAAAADvv/2I=")</f>
        <v>#REF!</v>
      </c>
      <c r="CV245" t="e">
        <f>AND(#REF!,"AAAAADvv/2M=")</f>
        <v>#REF!</v>
      </c>
      <c r="CW245" t="e">
        <f>IF(#REF!,"AAAAADvv/2Q=",0)</f>
        <v>#REF!</v>
      </c>
      <c r="CX245" t="e">
        <f>AND(#REF!,"AAAAADvv/2U=")</f>
        <v>#REF!</v>
      </c>
      <c r="CY245" t="e">
        <f>AND(#REF!,"AAAAADvv/2Y=")</f>
        <v>#REF!</v>
      </c>
      <c r="CZ245" t="e">
        <f>AND(#REF!,"AAAAADvv/2c=")</f>
        <v>#REF!</v>
      </c>
      <c r="DA245" t="e">
        <f>AND(#REF!,"AAAAADvv/2g=")</f>
        <v>#REF!</v>
      </c>
      <c r="DB245" t="e">
        <f>AND(#REF!,"AAAAADvv/2k=")</f>
        <v>#REF!</v>
      </c>
      <c r="DC245" t="e">
        <f>AND(#REF!,"AAAAADvv/2o=")</f>
        <v>#REF!</v>
      </c>
      <c r="DD245" t="e">
        <f>AND(#REF!,"AAAAADvv/2s=")</f>
        <v>#REF!</v>
      </c>
      <c r="DE245" t="e">
        <f>AND(#REF!,"AAAAADvv/2w=")</f>
        <v>#REF!</v>
      </c>
      <c r="DF245" t="e">
        <f>AND(#REF!,"AAAAADvv/20=")</f>
        <v>#REF!</v>
      </c>
      <c r="DG245" t="e">
        <f>AND(#REF!,"AAAAADvv/24=")</f>
        <v>#REF!</v>
      </c>
      <c r="DH245" t="e">
        <f>IF(#REF!,"AAAAADvv/28=",0)</f>
        <v>#REF!</v>
      </c>
      <c r="DI245" t="e">
        <f>AND(#REF!,"AAAAADvv/3A=")</f>
        <v>#REF!</v>
      </c>
      <c r="DJ245" t="e">
        <f>AND(#REF!,"AAAAADvv/3E=")</f>
        <v>#REF!</v>
      </c>
      <c r="DK245" t="e">
        <f>AND(#REF!,"AAAAADvv/3I=")</f>
        <v>#REF!</v>
      </c>
      <c r="DL245" t="e">
        <f>AND(#REF!,"AAAAADvv/3M=")</f>
        <v>#REF!</v>
      </c>
      <c r="DM245" t="e">
        <f>AND(#REF!,"AAAAADvv/3Q=")</f>
        <v>#REF!</v>
      </c>
      <c r="DN245" t="e">
        <f>AND(#REF!,"AAAAADvv/3U=")</f>
        <v>#REF!</v>
      </c>
      <c r="DO245" t="e">
        <f>AND(#REF!,"AAAAADvv/3Y=")</f>
        <v>#REF!</v>
      </c>
      <c r="DP245" t="e">
        <f>AND(#REF!,"AAAAADvv/3c=")</f>
        <v>#REF!</v>
      </c>
      <c r="DQ245" t="e">
        <f>AND(#REF!,"AAAAADvv/3g=")</f>
        <v>#REF!</v>
      </c>
      <c r="DR245" t="e">
        <f>AND(#REF!,"AAAAADvv/3k=")</f>
        <v>#REF!</v>
      </c>
      <c r="DS245" t="e">
        <f>IF(#REF!,"AAAAADvv/3o=",0)</f>
        <v>#REF!</v>
      </c>
      <c r="DT245" t="e">
        <f>AND(#REF!,"AAAAADvv/3s=")</f>
        <v>#REF!</v>
      </c>
      <c r="DU245" t="e">
        <f>AND(#REF!,"AAAAADvv/3w=")</f>
        <v>#REF!</v>
      </c>
      <c r="DV245" t="e">
        <f>AND(#REF!,"AAAAADvv/30=")</f>
        <v>#REF!</v>
      </c>
      <c r="DW245" t="e">
        <f>AND(#REF!,"AAAAADvv/34=")</f>
        <v>#REF!</v>
      </c>
      <c r="DX245" t="e">
        <f>AND(#REF!,"AAAAADvv/38=")</f>
        <v>#REF!</v>
      </c>
      <c r="DY245" t="e">
        <f>AND(#REF!,"AAAAADvv/4A=")</f>
        <v>#REF!</v>
      </c>
      <c r="DZ245" t="e">
        <f>AND(#REF!,"AAAAADvv/4E=")</f>
        <v>#REF!</v>
      </c>
      <c r="EA245" t="e">
        <f>AND(#REF!,"AAAAADvv/4I=")</f>
        <v>#REF!</v>
      </c>
      <c r="EB245" t="e">
        <f>AND(#REF!,"AAAAADvv/4M=")</f>
        <v>#REF!</v>
      </c>
      <c r="EC245" t="e">
        <f>AND(#REF!,"AAAAADvv/4Q=")</f>
        <v>#REF!</v>
      </c>
      <c r="ED245" t="e">
        <f>IF(#REF!,"AAAAADvv/4U=",0)</f>
        <v>#REF!</v>
      </c>
      <c r="EE245" t="e">
        <f>AND(#REF!,"AAAAADvv/4Y=")</f>
        <v>#REF!</v>
      </c>
      <c r="EF245" t="e">
        <f>AND(#REF!,"AAAAADvv/4c=")</f>
        <v>#REF!</v>
      </c>
      <c r="EG245" t="e">
        <f>AND(#REF!,"AAAAADvv/4g=")</f>
        <v>#REF!</v>
      </c>
      <c r="EH245" t="e">
        <f>AND(#REF!,"AAAAADvv/4k=")</f>
        <v>#REF!</v>
      </c>
      <c r="EI245" t="e">
        <f>AND(#REF!,"AAAAADvv/4o=")</f>
        <v>#REF!</v>
      </c>
      <c r="EJ245" t="e">
        <f>AND(#REF!,"AAAAADvv/4s=")</f>
        <v>#REF!</v>
      </c>
      <c r="EK245" t="e">
        <f>AND(#REF!,"AAAAADvv/4w=")</f>
        <v>#REF!</v>
      </c>
      <c r="EL245" t="e">
        <f>AND(#REF!,"AAAAADvv/40=")</f>
        <v>#REF!</v>
      </c>
      <c r="EM245" t="e">
        <f>AND(#REF!,"AAAAADvv/44=")</f>
        <v>#REF!</v>
      </c>
      <c r="EN245" t="e">
        <f>AND(#REF!,"AAAAADvv/48=")</f>
        <v>#REF!</v>
      </c>
      <c r="EO245" t="e">
        <f>IF(#REF!,"AAAAADvv/5A=",0)</f>
        <v>#REF!</v>
      </c>
      <c r="EP245" t="e">
        <f>AND(#REF!,"AAAAADvv/5E=")</f>
        <v>#REF!</v>
      </c>
      <c r="EQ245" t="e">
        <f>AND(#REF!,"AAAAADvv/5I=")</f>
        <v>#REF!</v>
      </c>
      <c r="ER245" t="e">
        <f>AND(#REF!,"AAAAADvv/5M=")</f>
        <v>#REF!</v>
      </c>
      <c r="ES245" t="e">
        <f>AND(#REF!,"AAAAADvv/5Q=")</f>
        <v>#REF!</v>
      </c>
      <c r="ET245" t="e">
        <f>AND(#REF!,"AAAAADvv/5U=")</f>
        <v>#REF!</v>
      </c>
      <c r="EU245" t="e">
        <f>AND(#REF!,"AAAAADvv/5Y=")</f>
        <v>#REF!</v>
      </c>
      <c r="EV245" t="e">
        <f>AND(#REF!,"AAAAADvv/5c=")</f>
        <v>#REF!</v>
      </c>
      <c r="EW245" t="e">
        <f>AND(#REF!,"AAAAADvv/5g=")</f>
        <v>#REF!</v>
      </c>
      <c r="EX245" t="e">
        <f>AND(#REF!,"AAAAADvv/5k=")</f>
        <v>#REF!</v>
      </c>
      <c r="EY245" t="e">
        <f>AND(#REF!,"AAAAADvv/5o=")</f>
        <v>#REF!</v>
      </c>
      <c r="EZ245" t="e">
        <f>IF(#REF!,"AAAAADvv/5s=",0)</f>
        <v>#REF!</v>
      </c>
      <c r="FA245" t="e">
        <f>AND(#REF!,"AAAAADvv/5w=")</f>
        <v>#REF!</v>
      </c>
      <c r="FB245" t="e">
        <f>AND(#REF!,"AAAAADvv/50=")</f>
        <v>#REF!</v>
      </c>
      <c r="FC245" t="e">
        <f>AND(#REF!,"AAAAADvv/54=")</f>
        <v>#REF!</v>
      </c>
      <c r="FD245" t="e">
        <f>AND(#REF!,"AAAAADvv/58=")</f>
        <v>#REF!</v>
      </c>
      <c r="FE245" t="e">
        <f>AND(#REF!,"AAAAADvv/6A=")</f>
        <v>#REF!</v>
      </c>
      <c r="FF245" t="e">
        <f>AND(#REF!,"AAAAADvv/6E=")</f>
        <v>#REF!</v>
      </c>
      <c r="FG245" t="e">
        <f>AND(#REF!,"AAAAADvv/6I=")</f>
        <v>#REF!</v>
      </c>
      <c r="FH245" t="e">
        <f>AND(#REF!,"AAAAADvv/6M=")</f>
        <v>#REF!</v>
      </c>
      <c r="FI245" t="e">
        <f>AND(#REF!,"AAAAADvv/6Q=")</f>
        <v>#REF!</v>
      </c>
      <c r="FJ245" t="e">
        <f>AND(#REF!,"AAAAADvv/6U=")</f>
        <v>#REF!</v>
      </c>
      <c r="FK245" t="e">
        <f>IF(#REF!,"AAAAADvv/6Y=",0)</f>
        <v>#REF!</v>
      </c>
      <c r="FL245" t="e">
        <f>AND(#REF!,"AAAAADvv/6c=")</f>
        <v>#REF!</v>
      </c>
      <c r="FM245" t="e">
        <f>AND(#REF!,"AAAAADvv/6g=")</f>
        <v>#REF!</v>
      </c>
      <c r="FN245" t="e">
        <f>AND(#REF!,"AAAAADvv/6k=")</f>
        <v>#REF!</v>
      </c>
      <c r="FO245" t="e">
        <f>AND(#REF!,"AAAAADvv/6o=")</f>
        <v>#REF!</v>
      </c>
      <c r="FP245" t="e">
        <f>AND(#REF!,"AAAAADvv/6s=")</f>
        <v>#REF!</v>
      </c>
      <c r="FQ245" t="e">
        <f>AND(#REF!,"AAAAADvv/6w=")</f>
        <v>#REF!</v>
      </c>
      <c r="FR245" t="e">
        <f>AND(#REF!,"AAAAADvv/60=")</f>
        <v>#REF!</v>
      </c>
      <c r="FS245" t="e">
        <f>AND(#REF!,"AAAAADvv/64=")</f>
        <v>#REF!</v>
      </c>
      <c r="FT245" t="e">
        <f>AND(#REF!,"AAAAADvv/68=")</f>
        <v>#REF!</v>
      </c>
      <c r="FU245" t="e">
        <f>AND(#REF!,"AAAAADvv/7A=")</f>
        <v>#REF!</v>
      </c>
      <c r="FV245" t="e">
        <f>IF(#REF!,"AAAAADvv/7E=",0)</f>
        <v>#REF!</v>
      </c>
      <c r="FW245" t="e">
        <f>AND(#REF!,"AAAAADvv/7I=")</f>
        <v>#REF!</v>
      </c>
      <c r="FX245" t="e">
        <f>AND(#REF!,"AAAAADvv/7M=")</f>
        <v>#REF!</v>
      </c>
      <c r="FY245" t="e">
        <f>AND(#REF!,"AAAAADvv/7Q=")</f>
        <v>#REF!</v>
      </c>
      <c r="FZ245" t="e">
        <f>AND(#REF!,"AAAAADvv/7U=")</f>
        <v>#REF!</v>
      </c>
      <c r="GA245" t="e">
        <f>AND(#REF!,"AAAAADvv/7Y=")</f>
        <v>#REF!</v>
      </c>
      <c r="GB245" t="e">
        <f>AND(#REF!,"AAAAADvv/7c=")</f>
        <v>#REF!</v>
      </c>
      <c r="GC245" t="e">
        <f>AND(#REF!,"AAAAADvv/7g=")</f>
        <v>#REF!</v>
      </c>
      <c r="GD245" t="e">
        <f>AND(#REF!,"AAAAADvv/7k=")</f>
        <v>#REF!</v>
      </c>
      <c r="GE245" t="e">
        <f>AND(#REF!,"AAAAADvv/7o=")</f>
        <v>#REF!</v>
      </c>
      <c r="GF245" t="e">
        <f>AND(#REF!,"AAAAADvv/7s=")</f>
        <v>#REF!</v>
      </c>
      <c r="GG245" t="e">
        <f>IF(#REF!,"AAAAADvv/7w=",0)</f>
        <v>#REF!</v>
      </c>
      <c r="GH245" t="e">
        <f>AND(#REF!,"AAAAADvv/70=")</f>
        <v>#REF!</v>
      </c>
      <c r="GI245" t="e">
        <f>AND(#REF!,"AAAAADvv/74=")</f>
        <v>#REF!</v>
      </c>
      <c r="GJ245" t="e">
        <f>AND(#REF!,"AAAAADvv/78=")</f>
        <v>#REF!</v>
      </c>
      <c r="GK245" t="e">
        <f>AND(#REF!,"AAAAADvv/8A=")</f>
        <v>#REF!</v>
      </c>
      <c r="GL245" t="e">
        <f>AND(#REF!,"AAAAADvv/8E=")</f>
        <v>#REF!</v>
      </c>
      <c r="GM245" t="e">
        <f>AND(#REF!,"AAAAADvv/8I=")</f>
        <v>#REF!</v>
      </c>
      <c r="GN245" t="e">
        <f>AND(#REF!,"AAAAADvv/8M=")</f>
        <v>#REF!</v>
      </c>
      <c r="GO245" t="e">
        <f>AND(#REF!,"AAAAADvv/8Q=")</f>
        <v>#REF!</v>
      </c>
      <c r="GP245" t="e">
        <f>AND(#REF!,"AAAAADvv/8U=")</f>
        <v>#REF!</v>
      </c>
      <c r="GQ245" t="e">
        <f>AND(#REF!,"AAAAADvv/8Y=")</f>
        <v>#REF!</v>
      </c>
      <c r="GR245" t="e">
        <f>IF(#REF!,"AAAAADvv/8c=",0)</f>
        <v>#REF!</v>
      </c>
      <c r="GS245" t="e">
        <f>AND(#REF!,"AAAAADvv/8g=")</f>
        <v>#REF!</v>
      </c>
      <c r="GT245" t="e">
        <f>AND(#REF!,"AAAAADvv/8k=")</f>
        <v>#REF!</v>
      </c>
      <c r="GU245" t="e">
        <f>AND(#REF!,"AAAAADvv/8o=")</f>
        <v>#REF!</v>
      </c>
      <c r="GV245" t="e">
        <f>AND(#REF!,"AAAAADvv/8s=")</f>
        <v>#REF!</v>
      </c>
      <c r="GW245" t="e">
        <f>AND(#REF!,"AAAAADvv/8w=")</f>
        <v>#REF!</v>
      </c>
      <c r="GX245" t="e">
        <f>AND(#REF!,"AAAAADvv/80=")</f>
        <v>#REF!</v>
      </c>
      <c r="GY245" t="e">
        <f>AND(#REF!,"AAAAADvv/84=")</f>
        <v>#REF!</v>
      </c>
      <c r="GZ245" t="e">
        <f>AND(#REF!,"AAAAADvv/88=")</f>
        <v>#REF!</v>
      </c>
      <c r="HA245" t="e">
        <f>AND(#REF!,"AAAAADvv/9A=")</f>
        <v>#REF!</v>
      </c>
      <c r="HB245" t="e">
        <f>AND(#REF!,"AAAAADvv/9E=")</f>
        <v>#REF!</v>
      </c>
      <c r="HC245" t="e">
        <f>IF(#REF!,"AAAAADvv/9I=",0)</f>
        <v>#REF!</v>
      </c>
      <c r="HD245" t="e">
        <f>AND(#REF!,"AAAAADvv/9M=")</f>
        <v>#REF!</v>
      </c>
      <c r="HE245" t="e">
        <f>AND(#REF!,"AAAAADvv/9Q=")</f>
        <v>#REF!</v>
      </c>
      <c r="HF245" t="e">
        <f>AND(#REF!,"AAAAADvv/9U=")</f>
        <v>#REF!</v>
      </c>
      <c r="HG245" t="e">
        <f>AND(#REF!,"AAAAADvv/9Y=")</f>
        <v>#REF!</v>
      </c>
      <c r="HH245" t="e">
        <f>AND(#REF!,"AAAAADvv/9c=")</f>
        <v>#REF!</v>
      </c>
      <c r="HI245" t="e">
        <f>AND(#REF!,"AAAAADvv/9g=")</f>
        <v>#REF!</v>
      </c>
      <c r="HJ245" t="e">
        <f>AND(#REF!,"AAAAADvv/9k=")</f>
        <v>#REF!</v>
      </c>
      <c r="HK245" t="e">
        <f>AND(#REF!,"AAAAADvv/9o=")</f>
        <v>#REF!</v>
      </c>
      <c r="HL245" t="e">
        <f>AND(#REF!,"AAAAADvv/9s=")</f>
        <v>#REF!</v>
      </c>
      <c r="HM245" t="e">
        <f>AND(#REF!,"AAAAADvv/9w=")</f>
        <v>#REF!</v>
      </c>
      <c r="HN245" t="e">
        <f>IF(#REF!,"AAAAADvv/90=",0)</f>
        <v>#REF!</v>
      </c>
      <c r="HO245" t="e">
        <f>AND(#REF!,"AAAAADvv/94=")</f>
        <v>#REF!</v>
      </c>
      <c r="HP245" t="e">
        <f>AND(#REF!,"AAAAADvv/98=")</f>
        <v>#REF!</v>
      </c>
      <c r="HQ245" t="e">
        <f>AND(#REF!,"AAAAADvv/+A=")</f>
        <v>#REF!</v>
      </c>
      <c r="HR245" t="e">
        <f>AND(#REF!,"AAAAADvv/+E=")</f>
        <v>#REF!</v>
      </c>
      <c r="HS245" t="e">
        <f>AND(#REF!,"AAAAADvv/+I=")</f>
        <v>#REF!</v>
      </c>
      <c r="HT245" t="e">
        <f>AND(#REF!,"AAAAADvv/+M=")</f>
        <v>#REF!</v>
      </c>
      <c r="HU245" t="e">
        <f>AND(#REF!,"AAAAADvv/+Q=")</f>
        <v>#REF!</v>
      </c>
      <c r="HV245" t="e">
        <f>AND(#REF!,"AAAAADvv/+U=")</f>
        <v>#REF!</v>
      </c>
      <c r="HW245" t="e">
        <f>AND(#REF!,"AAAAADvv/+Y=")</f>
        <v>#REF!</v>
      </c>
      <c r="HX245" t="e">
        <f>AND(#REF!,"AAAAADvv/+c=")</f>
        <v>#REF!</v>
      </c>
      <c r="HY245" t="e">
        <f>IF(#REF!,"AAAAADvv/+g=",0)</f>
        <v>#REF!</v>
      </c>
      <c r="HZ245" t="e">
        <f>AND(#REF!,"AAAAADvv/+k=")</f>
        <v>#REF!</v>
      </c>
      <c r="IA245" t="e">
        <f>AND(#REF!,"AAAAADvv/+o=")</f>
        <v>#REF!</v>
      </c>
      <c r="IB245" t="e">
        <f>AND(#REF!,"AAAAADvv/+s=")</f>
        <v>#REF!</v>
      </c>
      <c r="IC245" t="e">
        <f>AND(#REF!,"AAAAADvv/+w=")</f>
        <v>#REF!</v>
      </c>
      <c r="ID245" t="e">
        <f>AND(#REF!,"AAAAADvv/+0=")</f>
        <v>#REF!</v>
      </c>
      <c r="IE245" t="e">
        <f>AND(#REF!,"AAAAADvv/+4=")</f>
        <v>#REF!</v>
      </c>
      <c r="IF245" t="e">
        <f>AND(#REF!,"AAAAADvv/+8=")</f>
        <v>#REF!</v>
      </c>
      <c r="IG245" t="e">
        <f>AND(#REF!,"AAAAADvv//A=")</f>
        <v>#REF!</v>
      </c>
      <c r="IH245" t="e">
        <f>AND(#REF!,"AAAAADvv//E=")</f>
        <v>#REF!</v>
      </c>
      <c r="II245" t="e">
        <f>AND(#REF!,"AAAAADvv//I=")</f>
        <v>#REF!</v>
      </c>
      <c r="IJ245" t="e">
        <f>IF(#REF!,"AAAAADvv//M=",0)</f>
        <v>#REF!</v>
      </c>
      <c r="IK245" t="e">
        <f>AND(#REF!,"AAAAADvv//Q=")</f>
        <v>#REF!</v>
      </c>
      <c r="IL245" t="e">
        <f>AND(#REF!,"AAAAADvv//U=")</f>
        <v>#REF!</v>
      </c>
      <c r="IM245" t="e">
        <f>AND(#REF!,"AAAAADvv//Y=")</f>
        <v>#REF!</v>
      </c>
      <c r="IN245" t="e">
        <f>AND(#REF!,"AAAAADvv//c=")</f>
        <v>#REF!</v>
      </c>
      <c r="IO245" t="e">
        <f>AND(#REF!,"AAAAADvv//g=")</f>
        <v>#REF!</v>
      </c>
      <c r="IP245" t="e">
        <f>AND(#REF!,"AAAAADvv//k=")</f>
        <v>#REF!</v>
      </c>
      <c r="IQ245" t="e">
        <f>AND(#REF!,"AAAAADvv//o=")</f>
        <v>#REF!</v>
      </c>
      <c r="IR245" t="e">
        <f>AND(#REF!,"AAAAADvv//s=")</f>
        <v>#REF!</v>
      </c>
      <c r="IS245" t="e">
        <f>AND(#REF!,"AAAAADvv//w=")</f>
        <v>#REF!</v>
      </c>
      <c r="IT245" t="e">
        <f>AND(#REF!,"AAAAADvv//0=")</f>
        <v>#REF!</v>
      </c>
      <c r="IU245" t="e">
        <f>IF(#REF!,"AAAAADvv//4=",0)</f>
        <v>#REF!</v>
      </c>
      <c r="IV245" t="e">
        <f>AND(#REF!,"AAAAADvv//8=")</f>
        <v>#REF!</v>
      </c>
    </row>
    <row r="246" spans="1:256" x14ac:dyDescent="0.25">
      <c r="A246" t="e">
        <f>AND(#REF!,"AAAAAH737gA=")</f>
        <v>#REF!</v>
      </c>
      <c r="B246" t="e">
        <f>AND(#REF!,"AAAAAH737gE=")</f>
        <v>#REF!</v>
      </c>
      <c r="C246" t="e">
        <f>AND(#REF!,"AAAAAH737gI=")</f>
        <v>#REF!</v>
      </c>
      <c r="D246" t="e">
        <f>AND(#REF!,"AAAAAH737gM=")</f>
        <v>#REF!</v>
      </c>
      <c r="E246" t="e">
        <f>AND(#REF!,"AAAAAH737gQ=")</f>
        <v>#REF!</v>
      </c>
      <c r="F246" t="e">
        <f>AND(#REF!,"AAAAAH737gU=")</f>
        <v>#REF!</v>
      </c>
      <c r="G246" t="e">
        <f>AND(#REF!,"AAAAAH737gY=")</f>
        <v>#REF!</v>
      </c>
      <c r="H246" t="e">
        <f>AND(#REF!,"AAAAAH737gc=")</f>
        <v>#REF!</v>
      </c>
      <c r="I246" t="e">
        <f>AND(#REF!,"AAAAAH737gg=")</f>
        <v>#REF!</v>
      </c>
      <c r="J246" t="e">
        <f>IF(#REF!,"AAAAAH737gk=",0)</f>
        <v>#REF!</v>
      </c>
      <c r="K246" t="e">
        <f>AND(#REF!,"AAAAAH737go=")</f>
        <v>#REF!</v>
      </c>
      <c r="L246" t="e">
        <f>AND(#REF!,"AAAAAH737gs=")</f>
        <v>#REF!</v>
      </c>
      <c r="M246" t="e">
        <f>AND(#REF!,"AAAAAH737gw=")</f>
        <v>#REF!</v>
      </c>
      <c r="N246" t="e">
        <f>AND(#REF!,"AAAAAH737g0=")</f>
        <v>#REF!</v>
      </c>
      <c r="O246" t="e">
        <f>AND(#REF!,"AAAAAH737g4=")</f>
        <v>#REF!</v>
      </c>
      <c r="P246" t="e">
        <f>AND(#REF!,"AAAAAH737g8=")</f>
        <v>#REF!</v>
      </c>
      <c r="Q246" t="e">
        <f>AND(#REF!,"AAAAAH737hA=")</f>
        <v>#REF!</v>
      </c>
      <c r="R246" t="e">
        <f>AND(#REF!,"AAAAAH737hE=")</f>
        <v>#REF!</v>
      </c>
      <c r="S246" t="e">
        <f>AND(#REF!,"AAAAAH737hI=")</f>
        <v>#REF!</v>
      </c>
      <c r="T246" t="e">
        <f>AND(#REF!,"AAAAAH737hM=")</f>
        <v>#REF!</v>
      </c>
      <c r="U246" t="e">
        <f>IF(#REF!,"AAAAAH737hQ=",0)</f>
        <v>#REF!</v>
      </c>
      <c r="V246" t="e">
        <f>AND(#REF!,"AAAAAH737hU=")</f>
        <v>#REF!</v>
      </c>
      <c r="W246" t="e">
        <f>AND(#REF!,"AAAAAH737hY=")</f>
        <v>#REF!</v>
      </c>
      <c r="X246" t="e">
        <f>AND(#REF!,"AAAAAH737hc=")</f>
        <v>#REF!</v>
      </c>
      <c r="Y246" t="e">
        <f>AND(#REF!,"AAAAAH737hg=")</f>
        <v>#REF!</v>
      </c>
      <c r="Z246" t="e">
        <f>AND(#REF!,"AAAAAH737hk=")</f>
        <v>#REF!</v>
      </c>
      <c r="AA246" t="e">
        <f>AND(#REF!,"AAAAAH737ho=")</f>
        <v>#REF!</v>
      </c>
      <c r="AB246" t="e">
        <f>AND(#REF!,"AAAAAH737hs=")</f>
        <v>#REF!</v>
      </c>
      <c r="AC246" t="e">
        <f>AND(#REF!,"AAAAAH737hw=")</f>
        <v>#REF!</v>
      </c>
      <c r="AD246" t="e">
        <f>AND(#REF!,"AAAAAH737h0=")</f>
        <v>#REF!</v>
      </c>
      <c r="AE246" t="e">
        <f>AND(#REF!,"AAAAAH737h4=")</f>
        <v>#REF!</v>
      </c>
      <c r="AF246" t="e">
        <f>IF(#REF!,"AAAAAH737h8=",0)</f>
        <v>#REF!</v>
      </c>
      <c r="AG246" t="e">
        <f>AND(#REF!,"AAAAAH737iA=")</f>
        <v>#REF!</v>
      </c>
      <c r="AH246" t="e">
        <f>AND(#REF!,"AAAAAH737iE=")</f>
        <v>#REF!</v>
      </c>
      <c r="AI246" t="e">
        <f>AND(#REF!,"AAAAAH737iI=")</f>
        <v>#REF!</v>
      </c>
      <c r="AJ246" t="e">
        <f>AND(#REF!,"AAAAAH737iM=")</f>
        <v>#REF!</v>
      </c>
      <c r="AK246" t="e">
        <f>AND(#REF!,"AAAAAH737iQ=")</f>
        <v>#REF!</v>
      </c>
      <c r="AL246" t="e">
        <f>AND(#REF!,"AAAAAH737iU=")</f>
        <v>#REF!</v>
      </c>
      <c r="AM246" t="e">
        <f>AND(#REF!,"AAAAAH737iY=")</f>
        <v>#REF!</v>
      </c>
      <c r="AN246" t="e">
        <f>AND(#REF!,"AAAAAH737ic=")</f>
        <v>#REF!</v>
      </c>
      <c r="AO246" t="e">
        <f>AND(#REF!,"AAAAAH737ig=")</f>
        <v>#REF!</v>
      </c>
      <c r="AP246" t="e">
        <f>AND(#REF!,"AAAAAH737ik=")</f>
        <v>#REF!</v>
      </c>
      <c r="AQ246" t="e">
        <f>IF(#REF!,"AAAAAH737io=",0)</f>
        <v>#REF!</v>
      </c>
      <c r="AR246" t="e">
        <f>AND(#REF!,"AAAAAH737is=")</f>
        <v>#REF!</v>
      </c>
      <c r="AS246" t="e">
        <f>AND(#REF!,"AAAAAH737iw=")</f>
        <v>#REF!</v>
      </c>
      <c r="AT246" t="e">
        <f>AND(#REF!,"AAAAAH737i0=")</f>
        <v>#REF!</v>
      </c>
      <c r="AU246" t="e">
        <f>AND(#REF!,"AAAAAH737i4=")</f>
        <v>#REF!</v>
      </c>
      <c r="AV246" t="e">
        <f>AND(#REF!,"AAAAAH737i8=")</f>
        <v>#REF!</v>
      </c>
      <c r="AW246" t="e">
        <f>AND(#REF!,"AAAAAH737jA=")</f>
        <v>#REF!</v>
      </c>
      <c r="AX246" t="e">
        <f>AND(#REF!,"AAAAAH737jE=")</f>
        <v>#REF!</v>
      </c>
      <c r="AY246" t="e">
        <f>AND(#REF!,"AAAAAH737jI=")</f>
        <v>#REF!</v>
      </c>
      <c r="AZ246" t="e">
        <f>AND(#REF!,"AAAAAH737jM=")</f>
        <v>#REF!</v>
      </c>
      <c r="BA246" t="e">
        <f>AND(#REF!,"AAAAAH737jQ=")</f>
        <v>#REF!</v>
      </c>
      <c r="BB246" t="e">
        <f>IF(#REF!,"AAAAAH737jU=",0)</f>
        <v>#REF!</v>
      </c>
      <c r="BC246" t="e">
        <f>AND(#REF!,"AAAAAH737jY=")</f>
        <v>#REF!</v>
      </c>
      <c r="BD246" t="e">
        <f>AND(#REF!,"AAAAAH737jc=")</f>
        <v>#REF!</v>
      </c>
      <c r="BE246" t="e">
        <f>AND(#REF!,"AAAAAH737jg=")</f>
        <v>#REF!</v>
      </c>
      <c r="BF246" t="e">
        <f>AND(#REF!,"AAAAAH737jk=")</f>
        <v>#REF!</v>
      </c>
      <c r="BG246" t="e">
        <f>AND(#REF!,"AAAAAH737jo=")</f>
        <v>#REF!</v>
      </c>
      <c r="BH246" t="e">
        <f>AND(#REF!,"AAAAAH737js=")</f>
        <v>#REF!</v>
      </c>
      <c r="BI246" t="e">
        <f>AND(#REF!,"AAAAAH737jw=")</f>
        <v>#REF!</v>
      </c>
      <c r="BJ246" t="e">
        <f>AND(#REF!,"AAAAAH737j0=")</f>
        <v>#REF!</v>
      </c>
      <c r="BK246" t="e">
        <f>AND(#REF!,"AAAAAH737j4=")</f>
        <v>#REF!</v>
      </c>
      <c r="BL246" t="e">
        <f>AND(#REF!,"AAAAAH737j8=")</f>
        <v>#REF!</v>
      </c>
      <c r="BM246" t="e">
        <f>IF(#REF!,"AAAAAH737kA=",0)</f>
        <v>#REF!</v>
      </c>
      <c r="BN246" t="e">
        <f>AND(#REF!,"AAAAAH737kE=")</f>
        <v>#REF!</v>
      </c>
      <c r="BO246" t="e">
        <f>AND(#REF!,"AAAAAH737kI=")</f>
        <v>#REF!</v>
      </c>
      <c r="BP246" t="e">
        <f>AND(#REF!,"AAAAAH737kM=")</f>
        <v>#REF!</v>
      </c>
      <c r="BQ246" t="e">
        <f>AND(#REF!,"AAAAAH737kQ=")</f>
        <v>#REF!</v>
      </c>
      <c r="BR246" t="e">
        <f>AND(#REF!,"AAAAAH737kU=")</f>
        <v>#REF!</v>
      </c>
      <c r="BS246" t="e">
        <f>AND(#REF!,"AAAAAH737kY=")</f>
        <v>#REF!</v>
      </c>
      <c r="BT246" t="e">
        <f>AND(#REF!,"AAAAAH737kc=")</f>
        <v>#REF!</v>
      </c>
      <c r="BU246" t="e">
        <f>AND(#REF!,"AAAAAH737kg=")</f>
        <v>#REF!</v>
      </c>
      <c r="BV246" t="e">
        <f>AND(#REF!,"AAAAAH737kk=")</f>
        <v>#REF!</v>
      </c>
      <c r="BW246" t="e">
        <f>AND(#REF!,"AAAAAH737ko=")</f>
        <v>#REF!</v>
      </c>
      <c r="BX246" t="e">
        <f>IF(#REF!,"AAAAAH737ks=",0)</f>
        <v>#REF!</v>
      </c>
      <c r="BY246" t="e">
        <f>AND(#REF!,"AAAAAH737kw=")</f>
        <v>#REF!</v>
      </c>
      <c r="BZ246" t="e">
        <f>AND(#REF!,"AAAAAH737k0=")</f>
        <v>#REF!</v>
      </c>
      <c r="CA246" t="e">
        <f>AND(#REF!,"AAAAAH737k4=")</f>
        <v>#REF!</v>
      </c>
      <c r="CB246" t="e">
        <f>AND(#REF!,"AAAAAH737k8=")</f>
        <v>#REF!</v>
      </c>
      <c r="CC246" t="e">
        <f>AND(#REF!,"AAAAAH737lA=")</f>
        <v>#REF!</v>
      </c>
      <c r="CD246" t="e">
        <f>AND(#REF!,"AAAAAH737lE=")</f>
        <v>#REF!</v>
      </c>
      <c r="CE246" t="e">
        <f>AND(#REF!,"AAAAAH737lI=")</f>
        <v>#REF!</v>
      </c>
      <c r="CF246" t="e">
        <f>AND(#REF!,"AAAAAH737lM=")</f>
        <v>#REF!</v>
      </c>
      <c r="CG246" t="e">
        <f>AND(#REF!,"AAAAAH737lQ=")</f>
        <v>#REF!</v>
      </c>
      <c r="CH246" t="e">
        <f>AND(#REF!,"AAAAAH737lU=")</f>
        <v>#REF!</v>
      </c>
      <c r="CI246" t="e">
        <f>IF(#REF!,"AAAAAH737lY=",0)</f>
        <v>#REF!</v>
      </c>
      <c r="CJ246" t="e">
        <f>AND(#REF!,"AAAAAH737lc=")</f>
        <v>#REF!</v>
      </c>
      <c r="CK246" t="e">
        <f>AND(#REF!,"AAAAAH737lg=")</f>
        <v>#REF!</v>
      </c>
      <c r="CL246" t="e">
        <f>AND(#REF!,"AAAAAH737lk=")</f>
        <v>#REF!</v>
      </c>
      <c r="CM246" t="e">
        <f>AND(#REF!,"AAAAAH737lo=")</f>
        <v>#REF!</v>
      </c>
      <c r="CN246" t="e">
        <f>AND(#REF!,"AAAAAH737ls=")</f>
        <v>#REF!</v>
      </c>
      <c r="CO246" t="e">
        <f>AND(#REF!,"AAAAAH737lw=")</f>
        <v>#REF!</v>
      </c>
      <c r="CP246" t="e">
        <f>AND(#REF!,"AAAAAH737l0=")</f>
        <v>#REF!</v>
      </c>
      <c r="CQ246" t="e">
        <f>AND(#REF!,"AAAAAH737l4=")</f>
        <v>#REF!</v>
      </c>
      <c r="CR246" t="e">
        <f>AND(#REF!,"AAAAAH737l8=")</f>
        <v>#REF!</v>
      </c>
      <c r="CS246" t="e">
        <f>AND(#REF!,"AAAAAH737mA=")</f>
        <v>#REF!</v>
      </c>
      <c r="CT246" t="e">
        <f>IF(#REF!,"AAAAAH737mE=",0)</f>
        <v>#REF!</v>
      </c>
      <c r="CU246" t="e">
        <f>AND(#REF!,"AAAAAH737mI=")</f>
        <v>#REF!</v>
      </c>
      <c r="CV246" t="e">
        <f>AND(#REF!,"AAAAAH737mM=")</f>
        <v>#REF!</v>
      </c>
      <c r="CW246" t="e">
        <f>AND(#REF!,"AAAAAH737mQ=")</f>
        <v>#REF!</v>
      </c>
      <c r="CX246" t="e">
        <f>AND(#REF!,"AAAAAH737mU=")</f>
        <v>#REF!</v>
      </c>
      <c r="CY246" t="e">
        <f>AND(#REF!,"AAAAAH737mY=")</f>
        <v>#REF!</v>
      </c>
      <c r="CZ246" t="e">
        <f>AND(#REF!,"AAAAAH737mc=")</f>
        <v>#REF!</v>
      </c>
      <c r="DA246" t="e">
        <f>AND(#REF!,"AAAAAH737mg=")</f>
        <v>#REF!</v>
      </c>
      <c r="DB246" t="e">
        <f>AND(#REF!,"AAAAAH737mk=")</f>
        <v>#REF!</v>
      </c>
      <c r="DC246" t="e">
        <f>AND(#REF!,"AAAAAH737mo=")</f>
        <v>#REF!</v>
      </c>
      <c r="DD246" t="e">
        <f>AND(#REF!,"AAAAAH737ms=")</f>
        <v>#REF!</v>
      </c>
      <c r="DE246" t="e">
        <f>IF(#REF!,"AAAAAH737mw=",0)</f>
        <v>#REF!</v>
      </c>
      <c r="DF246" t="e">
        <f>AND(#REF!,"AAAAAH737m0=")</f>
        <v>#REF!</v>
      </c>
      <c r="DG246" t="e">
        <f>AND(#REF!,"AAAAAH737m4=")</f>
        <v>#REF!</v>
      </c>
      <c r="DH246" t="e">
        <f>AND(#REF!,"AAAAAH737m8=")</f>
        <v>#REF!</v>
      </c>
      <c r="DI246" t="e">
        <f>AND(#REF!,"AAAAAH737nA=")</f>
        <v>#REF!</v>
      </c>
      <c r="DJ246" t="e">
        <f>AND(#REF!,"AAAAAH737nE=")</f>
        <v>#REF!</v>
      </c>
      <c r="DK246" t="e">
        <f>AND(#REF!,"AAAAAH737nI=")</f>
        <v>#REF!</v>
      </c>
      <c r="DL246" t="e">
        <f>AND(#REF!,"AAAAAH737nM=")</f>
        <v>#REF!</v>
      </c>
      <c r="DM246" t="e">
        <f>AND(#REF!,"AAAAAH737nQ=")</f>
        <v>#REF!</v>
      </c>
      <c r="DN246" t="e">
        <f>AND(#REF!,"AAAAAH737nU=")</f>
        <v>#REF!</v>
      </c>
      <c r="DO246" t="e">
        <f>AND(#REF!,"AAAAAH737nY=")</f>
        <v>#REF!</v>
      </c>
      <c r="DP246" t="e">
        <f>IF(#REF!,"AAAAAH737nc=",0)</f>
        <v>#REF!</v>
      </c>
      <c r="DQ246" t="e">
        <f>AND(#REF!,"AAAAAH737ng=")</f>
        <v>#REF!</v>
      </c>
      <c r="DR246" t="e">
        <f>AND(#REF!,"AAAAAH737nk=")</f>
        <v>#REF!</v>
      </c>
      <c r="DS246" t="e">
        <f>AND(#REF!,"AAAAAH737no=")</f>
        <v>#REF!</v>
      </c>
      <c r="DT246" t="e">
        <f>AND(#REF!,"AAAAAH737ns=")</f>
        <v>#REF!</v>
      </c>
      <c r="DU246" t="e">
        <f>AND(#REF!,"AAAAAH737nw=")</f>
        <v>#REF!</v>
      </c>
      <c r="DV246" t="e">
        <f>AND(#REF!,"AAAAAH737n0=")</f>
        <v>#REF!</v>
      </c>
      <c r="DW246" t="e">
        <f>AND(#REF!,"AAAAAH737n4=")</f>
        <v>#REF!</v>
      </c>
      <c r="DX246" t="e">
        <f>AND(#REF!,"AAAAAH737n8=")</f>
        <v>#REF!</v>
      </c>
      <c r="DY246" t="e">
        <f>AND(#REF!,"AAAAAH737oA=")</f>
        <v>#REF!</v>
      </c>
      <c r="DZ246" t="e">
        <f>AND(#REF!,"AAAAAH737oE=")</f>
        <v>#REF!</v>
      </c>
      <c r="EA246" t="e">
        <f>IF(#REF!,"AAAAAH737oI=",0)</f>
        <v>#REF!</v>
      </c>
      <c r="EB246" t="e">
        <f>AND(#REF!,"AAAAAH737oM=")</f>
        <v>#REF!</v>
      </c>
      <c r="EC246" t="e">
        <f>AND(#REF!,"AAAAAH737oQ=")</f>
        <v>#REF!</v>
      </c>
      <c r="ED246" t="e">
        <f>AND(#REF!,"AAAAAH737oU=")</f>
        <v>#REF!</v>
      </c>
      <c r="EE246" t="e">
        <f>AND(#REF!,"AAAAAH737oY=")</f>
        <v>#REF!</v>
      </c>
      <c r="EF246" t="e">
        <f>AND(#REF!,"AAAAAH737oc=")</f>
        <v>#REF!</v>
      </c>
      <c r="EG246" t="e">
        <f>AND(#REF!,"AAAAAH737og=")</f>
        <v>#REF!</v>
      </c>
      <c r="EH246" t="e">
        <f>AND(#REF!,"AAAAAH737ok=")</f>
        <v>#REF!</v>
      </c>
      <c r="EI246" t="e">
        <f>AND(#REF!,"AAAAAH737oo=")</f>
        <v>#REF!</v>
      </c>
      <c r="EJ246" t="e">
        <f>AND(#REF!,"AAAAAH737os=")</f>
        <v>#REF!</v>
      </c>
      <c r="EK246" t="e">
        <f>AND(#REF!,"AAAAAH737ow=")</f>
        <v>#REF!</v>
      </c>
      <c r="EL246" t="e">
        <f>IF(#REF!,"AAAAAH737o0=",0)</f>
        <v>#REF!</v>
      </c>
      <c r="EM246" t="e">
        <f>AND(#REF!,"AAAAAH737o4=")</f>
        <v>#REF!</v>
      </c>
      <c r="EN246" t="e">
        <f>AND(#REF!,"AAAAAH737o8=")</f>
        <v>#REF!</v>
      </c>
      <c r="EO246" t="e">
        <f>AND(#REF!,"AAAAAH737pA=")</f>
        <v>#REF!</v>
      </c>
      <c r="EP246" t="e">
        <f>AND(#REF!,"AAAAAH737pE=")</f>
        <v>#REF!</v>
      </c>
      <c r="EQ246" t="e">
        <f>AND(#REF!,"AAAAAH737pI=")</f>
        <v>#REF!</v>
      </c>
      <c r="ER246" t="e">
        <f>AND(#REF!,"AAAAAH737pM=")</f>
        <v>#REF!</v>
      </c>
      <c r="ES246" t="e">
        <f>AND(#REF!,"AAAAAH737pQ=")</f>
        <v>#REF!</v>
      </c>
      <c r="ET246" t="e">
        <f>AND(#REF!,"AAAAAH737pU=")</f>
        <v>#REF!</v>
      </c>
      <c r="EU246" t="e">
        <f>AND(#REF!,"AAAAAH737pY=")</f>
        <v>#REF!</v>
      </c>
      <c r="EV246" t="e">
        <f>AND(#REF!,"AAAAAH737pc=")</f>
        <v>#REF!</v>
      </c>
      <c r="EW246" t="e">
        <f>IF(#REF!,"AAAAAH737pg=",0)</f>
        <v>#REF!</v>
      </c>
      <c r="EX246" t="e">
        <f>AND(#REF!,"AAAAAH737pk=")</f>
        <v>#REF!</v>
      </c>
      <c r="EY246" t="e">
        <f>AND(#REF!,"AAAAAH737po=")</f>
        <v>#REF!</v>
      </c>
      <c r="EZ246" t="e">
        <f>AND(#REF!,"AAAAAH737ps=")</f>
        <v>#REF!</v>
      </c>
      <c r="FA246" t="e">
        <f>AND(#REF!,"AAAAAH737pw=")</f>
        <v>#REF!</v>
      </c>
      <c r="FB246" t="e">
        <f>AND(#REF!,"AAAAAH737p0=")</f>
        <v>#REF!</v>
      </c>
      <c r="FC246" t="e">
        <f>AND(#REF!,"AAAAAH737p4=")</f>
        <v>#REF!</v>
      </c>
      <c r="FD246" t="e">
        <f>AND(#REF!,"AAAAAH737p8=")</f>
        <v>#REF!</v>
      </c>
      <c r="FE246" t="e">
        <f>AND(#REF!,"AAAAAH737qA=")</f>
        <v>#REF!</v>
      </c>
      <c r="FF246" t="e">
        <f>AND(#REF!,"AAAAAH737qE=")</f>
        <v>#REF!</v>
      </c>
      <c r="FG246" t="e">
        <f>AND(#REF!,"AAAAAH737qI=")</f>
        <v>#REF!</v>
      </c>
      <c r="FH246" t="e">
        <f>IF(#REF!,"AAAAAH737qM=",0)</f>
        <v>#REF!</v>
      </c>
      <c r="FI246" t="e">
        <f>AND(#REF!,"AAAAAH737qQ=")</f>
        <v>#REF!</v>
      </c>
      <c r="FJ246" t="e">
        <f>AND(#REF!,"AAAAAH737qU=")</f>
        <v>#REF!</v>
      </c>
      <c r="FK246" t="e">
        <f>AND(#REF!,"AAAAAH737qY=")</f>
        <v>#REF!</v>
      </c>
      <c r="FL246" t="e">
        <f>AND(#REF!,"AAAAAH737qc=")</f>
        <v>#REF!</v>
      </c>
      <c r="FM246" t="e">
        <f>AND(#REF!,"AAAAAH737qg=")</f>
        <v>#REF!</v>
      </c>
      <c r="FN246" t="e">
        <f>AND(#REF!,"AAAAAH737qk=")</f>
        <v>#REF!</v>
      </c>
      <c r="FO246" t="e">
        <f>AND(#REF!,"AAAAAH737qo=")</f>
        <v>#REF!</v>
      </c>
      <c r="FP246" t="e">
        <f>AND(#REF!,"AAAAAH737qs=")</f>
        <v>#REF!</v>
      </c>
      <c r="FQ246" t="e">
        <f>AND(#REF!,"AAAAAH737qw=")</f>
        <v>#REF!</v>
      </c>
      <c r="FR246" t="e">
        <f>AND(#REF!,"AAAAAH737q0=")</f>
        <v>#REF!</v>
      </c>
      <c r="FS246" t="e">
        <f>IF(#REF!,"AAAAAH737q4=",0)</f>
        <v>#REF!</v>
      </c>
      <c r="FT246" t="e">
        <f>AND(#REF!,"AAAAAH737q8=")</f>
        <v>#REF!</v>
      </c>
      <c r="FU246" t="e">
        <f>AND(#REF!,"AAAAAH737rA=")</f>
        <v>#REF!</v>
      </c>
      <c r="FV246" t="e">
        <f>AND(#REF!,"AAAAAH737rE=")</f>
        <v>#REF!</v>
      </c>
      <c r="FW246" t="e">
        <f>AND(#REF!,"AAAAAH737rI=")</f>
        <v>#REF!</v>
      </c>
      <c r="FX246" t="e">
        <f>AND(#REF!,"AAAAAH737rM=")</f>
        <v>#REF!</v>
      </c>
      <c r="FY246" t="e">
        <f>AND(#REF!,"AAAAAH737rQ=")</f>
        <v>#REF!</v>
      </c>
      <c r="FZ246" t="e">
        <f>AND(#REF!,"AAAAAH737rU=")</f>
        <v>#REF!</v>
      </c>
      <c r="GA246" t="e">
        <f>AND(#REF!,"AAAAAH737rY=")</f>
        <v>#REF!</v>
      </c>
      <c r="GB246" t="e">
        <f>AND(#REF!,"AAAAAH737rc=")</f>
        <v>#REF!</v>
      </c>
      <c r="GC246" t="e">
        <f>AND(#REF!,"AAAAAH737rg=")</f>
        <v>#REF!</v>
      </c>
      <c r="GD246" t="e">
        <f>IF(#REF!,"AAAAAH737rk=",0)</f>
        <v>#REF!</v>
      </c>
      <c r="GE246" t="e">
        <f>AND(#REF!,"AAAAAH737ro=")</f>
        <v>#REF!</v>
      </c>
      <c r="GF246" t="e">
        <f>AND(#REF!,"AAAAAH737rs=")</f>
        <v>#REF!</v>
      </c>
      <c r="GG246" t="e">
        <f>AND(#REF!,"AAAAAH737rw=")</f>
        <v>#REF!</v>
      </c>
      <c r="GH246" t="e">
        <f>AND(#REF!,"AAAAAH737r0=")</f>
        <v>#REF!</v>
      </c>
      <c r="GI246" t="e">
        <f>AND(#REF!,"AAAAAH737r4=")</f>
        <v>#REF!</v>
      </c>
      <c r="GJ246" t="e">
        <f>AND(#REF!,"AAAAAH737r8=")</f>
        <v>#REF!</v>
      </c>
      <c r="GK246" t="e">
        <f>AND(#REF!,"AAAAAH737sA=")</f>
        <v>#REF!</v>
      </c>
      <c r="GL246" t="e">
        <f>AND(#REF!,"AAAAAH737sE=")</f>
        <v>#REF!</v>
      </c>
      <c r="GM246" t="e">
        <f>AND(#REF!,"AAAAAH737sI=")</f>
        <v>#REF!</v>
      </c>
      <c r="GN246" t="e">
        <f>AND(#REF!,"AAAAAH737sM=")</f>
        <v>#REF!</v>
      </c>
      <c r="GO246" t="e">
        <f>IF(#REF!,"AAAAAH737sQ=",0)</f>
        <v>#REF!</v>
      </c>
      <c r="GP246" t="e">
        <f>AND(#REF!,"AAAAAH737sU=")</f>
        <v>#REF!</v>
      </c>
      <c r="GQ246" t="e">
        <f>AND(#REF!,"AAAAAH737sY=")</f>
        <v>#REF!</v>
      </c>
      <c r="GR246" t="e">
        <f>AND(#REF!,"AAAAAH737sc=")</f>
        <v>#REF!</v>
      </c>
      <c r="GS246" t="e">
        <f>AND(#REF!,"AAAAAH737sg=")</f>
        <v>#REF!</v>
      </c>
      <c r="GT246" t="e">
        <f>AND(#REF!,"AAAAAH737sk=")</f>
        <v>#REF!</v>
      </c>
      <c r="GU246" t="e">
        <f>AND(#REF!,"AAAAAH737so=")</f>
        <v>#REF!</v>
      </c>
      <c r="GV246" t="e">
        <f>AND(#REF!,"AAAAAH737ss=")</f>
        <v>#REF!</v>
      </c>
      <c r="GW246" t="e">
        <f>AND(#REF!,"AAAAAH737sw=")</f>
        <v>#REF!</v>
      </c>
      <c r="GX246" t="e">
        <f>AND(#REF!,"AAAAAH737s0=")</f>
        <v>#REF!</v>
      </c>
      <c r="GY246" t="e">
        <f>AND(#REF!,"AAAAAH737s4=")</f>
        <v>#REF!</v>
      </c>
      <c r="GZ246" t="e">
        <f>IF(#REF!,"AAAAAH737s8=",0)</f>
        <v>#REF!</v>
      </c>
      <c r="HA246" t="e">
        <f>AND(#REF!,"AAAAAH737tA=")</f>
        <v>#REF!</v>
      </c>
      <c r="HB246" t="e">
        <f>AND(#REF!,"AAAAAH737tE=")</f>
        <v>#REF!</v>
      </c>
      <c r="HC246" t="e">
        <f>AND(#REF!,"AAAAAH737tI=")</f>
        <v>#REF!</v>
      </c>
      <c r="HD246" t="e">
        <f>AND(#REF!,"AAAAAH737tM=")</f>
        <v>#REF!</v>
      </c>
      <c r="HE246" t="e">
        <f>AND(#REF!,"AAAAAH737tQ=")</f>
        <v>#REF!</v>
      </c>
      <c r="HF246" t="e">
        <f>AND(#REF!,"AAAAAH737tU=")</f>
        <v>#REF!</v>
      </c>
      <c r="HG246" t="e">
        <f>AND(#REF!,"AAAAAH737tY=")</f>
        <v>#REF!</v>
      </c>
      <c r="HH246" t="e">
        <f>AND(#REF!,"AAAAAH737tc=")</f>
        <v>#REF!</v>
      </c>
      <c r="HI246" t="e">
        <f>AND(#REF!,"AAAAAH737tg=")</f>
        <v>#REF!</v>
      </c>
      <c r="HJ246" t="e">
        <f>AND(#REF!,"AAAAAH737tk=")</f>
        <v>#REF!</v>
      </c>
      <c r="HK246" t="e">
        <f>IF(#REF!,"AAAAAH737to=",0)</f>
        <v>#REF!</v>
      </c>
      <c r="HL246" t="e">
        <f>AND(#REF!,"AAAAAH737ts=")</f>
        <v>#REF!</v>
      </c>
      <c r="HM246" t="e">
        <f>AND(#REF!,"AAAAAH737tw=")</f>
        <v>#REF!</v>
      </c>
      <c r="HN246" t="e">
        <f>AND(#REF!,"AAAAAH737t0=")</f>
        <v>#REF!</v>
      </c>
      <c r="HO246" t="e">
        <f>AND(#REF!,"AAAAAH737t4=")</f>
        <v>#REF!</v>
      </c>
      <c r="HP246" t="e">
        <f>AND(#REF!,"AAAAAH737t8=")</f>
        <v>#REF!</v>
      </c>
      <c r="HQ246" t="e">
        <f>AND(#REF!,"AAAAAH737uA=")</f>
        <v>#REF!</v>
      </c>
      <c r="HR246" t="e">
        <f>AND(#REF!,"AAAAAH737uE=")</f>
        <v>#REF!</v>
      </c>
      <c r="HS246" t="e">
        <f>AND(#REF!,"AAAAAH737uI=")</f>
        <v>#REF!</v>
      </c>
      <c r="HT246" t="e">
        <f>AND(#REF!,"AAAAAH737uM=")</f>
        <v>#REF!</v>
      </c>
      <c r="HU246" t="e">
        <f>AND(#REF!,"AAAAAH737uQ=")</f>
        <v>#REF!</v>
      </c>
      <c r="HV246" t="e">
        <f>IF(#REF!,"AAAAAH737uU=",0)</f>
        <v>#REF!</v>
      </c>
      <c r="HW246" t="e">
        <f>AND(#REF!,"AAAAAH737uY=")</f>
        <v>#REF!</v>
      </c>
      <c r="HX246" t="e">
        <f>AND(#REF!,"AAAAAH737uc=")</f>
        <v>#REF!</v>
      </c>
      <c r="HY246" t="e">
        <f>AND(#REF!,"AAAAAH737ug=")</f>
        <v>#REF!</v>
      </c>
      <c r="HZ246" t="e">
        <f>AND(#REF!,"AAAAAH737uk=")</f>
        <v>#REF!</v>
      </c>
      <c r="IA246" t="e">
        <f>AND(#REF!,"AAAAAH737uo=")</f>
        <v>#REF!</v>
      </c>
      <c r="IB246" t="e">
        <f>AND(#REF!,"AAAAAH737us=")</f>
        <v>#REF!</v>
      </c>
      <c r="IC246" t="e">
        <f>AND(#REF!,"AAAAAH737uw=")</f>
        <v>#REF!</v>
      </c>
      <c r="ID246" t="e">
        <f>AND(#REF!,"AAAAAH737u0=")</f>
        <v>#REF!</v>
      </c>
      <c r="IE246" t="e">
        <f>AND(#REF!,"AAAAAH737u4=")</f>
        <v>#REF!</v>
      </c>
      <c r="IF246" t="e">
        <f>AND(#REF!,"AAAAAH737u8=")</f>
        <v>#REF!</v>
      </c>
      <c r="IG246" t="e">
        <f>IF(#REF!,"AAAAAH737vA=",0)</f>
        <v>#REF!</v>
      </c>
      <c r="IH246" t="e">
        <f>AND(#REF!,"AAAAAH737vE=")</f>
        <v>#REF!</v>
      </c>
      <c r="II246" t="e">
        <f>AND(#REF!,"AAAAAH737vI=")</f>
        <v>#REF!</v>
      </c>
      <c r="IJ246" t="e">
        <f>AND(#REF!,"AAAAAH737vM=")</f>
        <v>#REF!</v>
      </c>
      <c r="IK246" t="e">
        <f>AND(#REF!,"AAAAAH737vQ=")</f>
        <v>#REF!</v>
      </c>
      <c r="IL246" t="e">
        <f>AND(#REF!,"AAAAAH737vU=")</f>
        <v>#REF!</v>
      </c>
      <c r="IM246" t="e">
        <f>AND(#REF!,"AAAAAH737vY=")</f>
        <v>#REF!</v>
      </c>
      <c r="IN246" t="e">
        <f>AND(#REF!,"AAAAAH737vc=")</f>
        <v>#REF!</v>
      </c>
      <c r="IO246" t="e">
        <f>AND(#REF!,"AAAAAH737vg=")</f>
        <v>#REF!</v>
      </c>
      <c r="IP246" t="e">
        <f>AND(#REF!,"AAAAAH737vk=")</f>
        <v>#REF!</v>
      </c>
      <c r="IQ246" t="e">
        <f>AND(#REF!,"AAAAAH737vo=")</f>
        <v>#REF!</v>
      </c>
      <c r="IR246" t="e">
        <f>IF(#REF!,"AAAAAH737vs=",0)</f>
        <v>#REF!</v>
      </c>
      <c r="IS246" t="e">
        <f>AND(#REF!,"AAAAAH737vw=")</f>
        <v>#REF!</v>
      </c>
      <c r="IT246" t="e">
        <f>AND(#REF!,"AAAAAH737v0=")</f>
        <v>#REF!</v>
      </c>
      <c r="IU246" t="e">
        <f>AND(#REF!,"AAAAAH737v4=")</f>
        <v>#REF!</v>
      </c>
      <c r="IV246" t="e">
        <f>AND(#REF!,"AAAAAH737v8=")</f>
        <v>#REF!</v>
      </c>
    </row>
    <row r="247" spans="1:256" x14ac:dyDescent="0.25">
      <c r="A247" t="e">
        <f>AND(#REF!,"AAAAAHuy7wA=")</f>
        <v>#REF!</v>
      </c>
      <c r="B247" t="e">
        <f>AND(#REF!,"AAAAAHuy7wE=")</f>
        <v>#REF!</v>
      </c>
      <c r="C247" t="e">
        <f>AND(#REF!,"AAAAAHuy7wI=")</f>
        <v>#REF!</v>
      </c>
      <c r="D247" t="e">
        <f>AND(#REF!,"AAAAAHuy7wM=")</f>
        <v>#REF!</v>
      </c>
      <c r="E247" t="e">
        <f>AND(#REF!,"AAAAAHuy7wQ=")</f>
        <v>#REF!</v>
      </c>
      <c r="F247" t="e">
        <f>AND(#REF!,"AAAAAHuy7wU=")</f>
        <v>#REF!</v>
      </c>
      <c r="G247" t="e">
        <f>IF(#REF!,"AAAAAHuy7wY=",0)</f>
        <v>#REF!</v>
      </c>
      <c r="H247" t="e">
        <f>AND(#REF!,"AAAAAHuy7wc=")</f>
        <v>#REF!</v>
      </c>
      <c r="I247" t="e">
        <f>AND(#REF!,"AAAAAHuy7wg=")</f>
        <v>#REF!</v>
      </c>
      <c r="J247" t="e">
        <f>AND(#REF!,"AAAAAHuy7wk=")</f>
        <v>#REF!</v>
      </c>
      <c r="K247" t="e">
        <f>AND(#REF!,"AAAAAHuy7wo=")</f>
        <v>#REF!</v>
      </c>
      <c r="L247" t="e">
        <f>AND(#REF!,"AAAAAHuy7ws=")</f>
        <v>#REF!</v>
      </c>
      <c r="M247" t="e">
        <f>AND(#REF!,"AAAAAHuy7ww=")</f>
        <v>#REF!</v>
      </c>
      <c r="N247" t="e">
        <f>AND(#REF!,"AAAAAHuy7w0=")</f>
        <v>#REF!</v>
      </c>
      <c r="O247" t="e">
        <f>AND(#REF!,"AAAAAHuy7w4=")</f>
        <v>#REF!</v>
      </c>
      <c r="P247" t="e">
        <f>AND(#REF!,"AAAAAHuy7w8=")</f>
        <v>#REF!</v>
      </c>
      <c r="Q247" t="e">
        <f>AND(#REF!,"AAAAAHuy7xA=")</f>
        <v>#REF!</v>
      </c>
      <c r="R247" t="e">
        <f>IF(#REF!,"AAAAAHuy7xE=",0)</f>
        <v>#REF!</v>
      </c>
      <c r="S247" t="e">
        <f>AND(#REF!,"AAAAAHuy7xI=")</f>
        <v>#REF!</v>
      </c>
      <c r="T247" t="e">
        <f>AND(#REF!,"AAAAAHuy7xM=")</f>
        <v>#REF!</v>
      </c>
      <c r="U247" t="e">
        <f>AND(#REF!,"AAAAAHuy7xQ=")</f>
        <v>#REF!</v>
      </c>
      <c r="V247" t="e">
        <f>AND(#REF!,"AAAAAHuy7xU=")</f>
        <v>#REF!</v>
      </c>
      <c r="W247" t="e">
        <f>AND(#REF!,"AAAAAHuy7xY=")</f>
        <v>#REF!</v>
      </c>
      <c r="X247" t="e">
        <f>AND(#REF!,"AAAAAHuy7xc=")</f>
        <v>#REF!</v>
      </c>
      <c r="Y247" t="e">
        <f>AND(#REF!,"AAAAAHuy7xg=")</f>
        <v>#REF!</v>
      </c>
      <c r="Z247" t="e">
        <f>AND(#REF!,"AAAAAHuy7xk=")</f>
        <v>#REF!</v>
      </c>
      <c r="AA247" t="e">
        <f>AND(#REF!,"AAAAAHuy7xo=")</f>
        <v>#REF!</v>
      </c>
      <c r="AB247" t="e">
        <f>AND(#REF!,"AAAAAHuy7xs=")</f>
        <v>#REF!</v>
      </c>
      <c r="AC247" t="e">
        <f>IF(#REF!,"AAAAAHuy7xw=",0)</f>
        <v>#REF!</v>
      </c>
      <c r="AD247" t="e">
        <f>AND(#REF!,"AAAAAHuy7x0=")</f>
        <v>#REF!</v>
      </c>
      <c r="AE247" t="e">
        <f>AND(#REF!,"AAAAAHuy7x4=")</f>
        <v>#REF!</v>
      </c>
      <c r="AF247" t="e">
        <f>AND(#REF!,"AAAAAHuy7x8=")</f>
        <v>#REF!</v>
      </c>
      <c r="AG247" t="e">
        <f>AND(#REF!,"AAAAAHuy7yA=")</f>
        <v>#REF!</v>
      </c>
      <c r="AH247" t="e">
        <f>AND(#REF!,"AAAAAHuy7yE=")</f>
        <v>#REF!</v>
      </c>
      <c r="AI247" t="e">
        <f>AND(#REF!,"AAAAAHuy7yI=")</f>
        <v>#REF!</v>
      </c>
      <c r="AJ247" t="e">
        <f>AND(#REF!,"AAAAAHuy7yM=")</f>
        <v>#REF!</v>
      </c>
      <c r="AK247" t="e">
        <f>AND(#REF!,"AAAAAHuy7yQ=")</f>
        <v>#REF!</v>
      </c>
      <c r="AL247" t="e">
        <f>AND(#REF!,"AAAAAHuy7yU=")</f>
        <v>#REF!</v>
      </c>
      <c r="AM247" t="e">
        <f>AND(#REF!,"AAAAAHuy7yY=")</f>
        <v>#REF!</v>
      </c>
      <c r="AN247" t="e">
        <f>IF(#REF!,"AAAAAHuy7yc=",0)</f>
        <v>#REF!</v>
      </c>
      <c r="AO247" t="e">
        <f>AND(#REF!,"AAAAAHuy7yg=")</f>
        <v>#REF!</v>
      </c>
      <c r="AP247" t="e">
        <f>AND(#REF!,"AAAAAHuy7yk=")</f>
        <v>#REF!</v>
      </c>
      <c r="AQ247" t="e">
        <f>AND(#REF!,"AAAAAHuy7yo=")</f>
        <v>#REF!</v>
      </c>
      <c r="AR247" t="e">
        <f>AND(#REF!,"AAAAAHuy7ys=")</f>
        <v>#REF!</v>
      </c>
      <c r="AS247" t="e">
        <f>AND(#REF!,"AAAAAHuy7yw=")</f>
        <v>#REF!</v>
      </c>
      <c r="AT247" t="e">
        <f>AND(#REF!,"AAAAAHuy7y0=")</f>
        <v>#REF!</v>
      </c>
      <c r="AU247" t="e">
        <f>AND(#REF!,"AAAAAHuy7y4=")</f>
        <v>#REF!</v>
      </c>
      <c r="AV247" t="e">
        <f>AND(#REF!,"AAAAAHuy7y8=")</f>
        <v>#REF!</v>
      </c>
      <c r="AW247" t="e">
        <f>AND(#REF!,"AAAAAHuy7zA=")</f>
        <v>#REF!</v>
      </c>
      <c r="AX247" t="e">
        <f>AND(#REF!,"AAAAAHuy7zE=")</f>
        <v>#REF!</v>
      </c>
      <c r="AY247" t="e">
        <f>IF(#REF!,"AAAAAHuy7zI=",0)</f>
        <v>#REF!</v>
      </c>
      <c r="AZ247" t="e">
        <f>AND(#REF!,"AAAAAHuy7zM=")</f>
        <v>#REF!</v>
      </c>
      <c r="BA247" t="e">
        <f>AND(#REF!,"AAAAAHuy7zQ=")</f>
        <v>#REF!</v>
      </c>
      <c r="BB247" t="e">
        <f>AND(#REF!,"AAAAAHuy7zU=")</f>
        <v>#REF!</v>
      </c>
      <c r="BC247" t="e">
        <f>AND(#REF!,"AAAAAHuy7zY=")</f>
        <v>#REF!</v>
      </c>
      <c r="BD247" t="e">
        <f>AND(#REF!,"AAAAAHuy7zc=")</f>
        <v>#REF!</v>
      </c>
      <c r="BE247" t="e">
        <f>AND(#REF!,"AAAAAHuy7zg=")</f>
        <v>#REF!</v>
      </c>
      <c r="BF247" t="e">
        <f>AND(#REF!,"AAAAAHuy7zk=")</f>
        <v>#REF!</v>
      </c>
      <c r="BG247" t="e">
        <f>AND(#REF!,"AAAAAHuy7zo=")</f>
        <v>#REF!</v>
      </c>
      <c r="BH247" t="e">
        <f>AND(#REF!,"AAAAAHuy7zs=")</f>
        <v>#REF!</v>
      </c>
      <c r="BI247" t="e">
        <f>AND(#REF!,"AAAAAHuy7zw=")</f>
        <v>#REF!</v>
      </c>
      <c r="BJ247" t="e">
        <f>IF(#REF!,"AAAAAHuy7z0=",0)</f>
        <v>#REF!</v>
      </c>
      <c r="BK247" t="e">
        <f>AND(#REF!,"AAAAAHuy7z4=")</f>
        <v>#REF!</v>
      </c>
      <c r="BL247" t="e">
        <f>AND(#REF!,"AAAAAHuy7z8=")</f>
        <v>#REF!</v>
      </c>
      <c r="BM247" t="e">
        <f>AND(#REF!,"AAAAAHuy70A=")</f>
        <v>#REF!</v>
      </c>
      <c r="BN247" t="e">
        <f>AND(#REF!,"AAAAAHuy70E=")</f>
        <v>#REF!</v>
      </c>
      <c r="BO247" t="e">
        <f>AND(#REF!,"AAAAAHuy70I=")</f>
        <v>#REF!</v>
      </c>
      <c r="BP247" t="e">
        <f>AND(#REF!,"AAAAAHuy70M=")</f>
        <v>#REF!</v>
      </c>
      <c r="BQ247" t="e">
        <f>AND(#REF!,"AAAAAHuy70Q=")</f>
        <v>#REF!</v>
      </c>
      <c r="BR247" t="e">
        <f>AND(#REF!,"AAAAAHuy70U=")</f>
        <v>#REF!</v>
      </c>
      <c r="BS247" t="e">
        <f>AND(#REF!,"AAAAAHuy70Y=")</f>
        <v>#REF!</v>
      </c>
      <c r="BT247" t="e">
        <f>AND(#REF!,"AAAAAHuy70c=")</f>
        <v>#REF!</v>
      </c>
      <c r="BU247" t="e">
        <f>IF(#REF!,"AAAAAHuy70g=",0)</f>
        <v>#REF!</v>
      </c>
      <c r="BV247" t="e">
        <f>AND(#REF!,"AAAAAHuy70k=")</f>
        <v>#REF!</v>
      </c>
      <c r="BW247" t="e">
        <f>AND(#REF!,"AAAAAHuy70o=")</f>
        <v>#REF!</v>
      </c>
      <c r="BX247" t="e">
        <f>AND(#REF!,"AAAAAHuy70s=")</f>
        <v>#REF!</v>
      </c>
      <c r="BY247" t="e">
        <f>AND(#REF!,"AAAAAHuy70w=")</f>
        <v>#REF!</v>
      </c>
      <c r="BZ247" t="e">
        <f>AND(#REF!,"AAAAAHuy700=")</f>
        <v>#REF!</v>
      </c>
      <c r="CA247" t="e">
        <f>AND(#REF!,"AAAAAHuy704=")</f>
        <v>#REF!</v>
      </c>
      <c r="CB247" t="e">
        <f>AND(#REF!,"AAAAAHuy708=")</f>
        <v>#REF!</v>
      </c>
      <c r="CC247" t="e">
        <f>AND(#REF!,"AAAAAHuy71A=")</f>
        <v>#REF!</v>
      </c>
      <c r="CD247" t="e">
        <f>AND(#REF!,"AAAAAHuy71E=")</f>
        <v>#REF!</v>
      </c>
      <c r="CE247" t="e">
        <f>AND(#REF!,"AAAAAHuy71I=")</f>
        <v>#REF!</v>
      </c>
      <c r="CF247" t="e">
        <f>IF(#REF!,"AAAAAHuy71M=",0)</f>
        <v>#REF!</v>
      </c>
      <c r="CG247" t="e">
        <f>AND(#REF!,"AAAAAHuy71Q=")</f>
        <v>#REF!</v>
      </c>
      <c r="CH247" t="e">
        <f>AND(#REF!,"AAAAAHuy71U=")</f>
        <v>#REF!</v>
      </c>
      <c r="CI247" t="e">
        <f>AND(#REF!,"AAAAAHuy71Y=")</f>
        <v>#REF!</v>
      </c>
      <c r="CJ247" t="e">
        <f>AND(#REF!,"AAAAAHuy71c=")</f>
        <v>#REF!</v>
      </c>
      <c r="CK247" t="e">
        <f>AND(#REF!,"AAAAAHuy71g=")</f>
        <v>#REF!</v>
      </c>
      <c r="CL247" t="e">
        <f>AND(#REF!,"AAAAAHuy71k=")</f>
        <v>#REF!</v>
      </c>
      <c r="CM247" t="e">
        <f>AND(#REF!,"AAAAAHuy71o=")</f>
        <v>#REF!</v>
      </c>
      <c r="CN247" t="e">
        <f>AND(#REF!,"AAAAAHuy71s=")</f>
        <v>#REF!</v>
      </c>
      <c r="CO247" t="e">
        <f>AND(#REF!,"AAAAAHuy71w=")</f>
        <v>#REF!</v>
      </c>
      <c r="CP247" t="e">
        <f>AND(#REF!,"AAAAAHuy710=")</f>
        <v>#REF!</v>
      </c>
      <c r="CQ247" t="e">
        <f>IF(#REF!,"AAAAAHuy714=",0)</f>
        <v>#REF!</v>
      </c>
      <c r="CR247" t="e">
        <f>AND(#REF!,"AAAAAHuy718=")</f>
        <v>#REF!</v>
      </c>
      <c r="CS247" t="e">
        <f>AND(#REF!,"AAAAAHuy72A=")</f>
        <v>#REF!</v>
      </c>
      <c r="CT247" t="e">
        <f>AND(#REF!,"AAAAAHuy72E=")</f>
        <v>#REF!</v>
      </c>
      <c r="CU247" t="e">
        <f>AND(#REF!,"AAAAAHuy72I=")</f>
        <v>#REF!</v>
      </c>
      <c r="CV247" t="e">
        <f>AND(#REF!,"AAAAAHuy72M=")</f>
        <v>#REF!</v>
      </c>
      <c r="CW247" t="e">
        <f>AND(#REF!,"AAAAAHuy72Q=")</f>
        <v>#REF!</v>
      </c>
      <c r="CX247" t="e">
        <f>AND(#REF!,"AAAAAHuy72U=")</f>
        <v>#REF!</v>
      </c>
      <c r="CY247" t="e">
        <f>AND(#REF!,"AAAAAHuy72Y=")</f>
        <v>#REF!</v>
      </c>
      <c r="CZ247" t="e">
        <f>AND(#REF!,"AAAAAHuy72c=")</f>
        <v>#REF!</v>
      </c>
      <c r="DA247" t="e">
        <f>AND(#REF!,"AAAAAHuy72g=")</f>
        <v>#REF!</v>
      </c>
      <c r="DB247" t="e">
        <f>IF(#REF!,"AAAAAHuy72k=",0)</f>
        <v>#REF!</v>
      </c>
      <c r="DC247" t="e">
        <f>AND(#REF!,"AAAAAHuy72o=")</f>
        <v>#REF!</v>
      </c>
      <c r="DD247" t="e">
        <f>AND(#REF!,"AAAAAHuy72s=")</f>
        <v>#REF!</v>
      </c>
      <c r="DE247" t="e">
        <f>AND(#REF!,"AAAAAHuy72w=")</f>
        <v>#REF!</v>
      </c>
      <c r="DF247" t="e">
        <f>AND(#REF!,"AAAAAHuy720=")</f>
        <v>#REF!</v>
      </c>
      <c r="DG247" t="e">
        <f>AND(#REF!,"AAAAAHuy724=")</f>
        <v>#REF!</v>
      </c>
      <c r="DH247" t="e">
        <f>AND(#REF!,"AAAAAHuy728=")</f>
        <v>#REF!</v>
      </c>
      <c r="DI247" t="e">
        <f>AND(#REF!,"AAAAAHuy73A=")</f>
        <v>#REF!</v>
      </c>
      <c r="DJ247" t="e">
        <f>AND(#REF!,"AAAAAHuy73E=")</f>
        <v>#REF!</v>
      </c>
      <c r="DK247" t="e">
        <f>AND(#REF!,"AAAAAHuy73I=")</f>
        <v>#REF!</v>
      </c>
      <c r="DL247" t="e">
        <f>AND(#REF!,"AAAAAHuy73M=")</f>
        <v>#REF!</v>
      </c>
      <c r="DM247" t="e">
        <f>IF(#REF!,"AAAAAHuy73Q=",0)</f>
        <v>#REF!</v>
      </c>
      <c r="DN247" t="e">
        <f>AND(#REF!,"AAAAAHuy73U=")</f>
        <v>#REF!</v>
      </c>
      <c r="DO247" t="e">
        <f>AND(#REF!,"AAAAAHuy73Y=")</f>
        <v>#REF!</v>
      </c>
      <c r="DP247" t="e">
        <f>AND(#REF!,"AAAAAHuy73c=")</f>
        <v>#REF!</v>
      </c>
      <c r="DQ247" t="e">
        <f>AND(#REF!,"AAAAAHuy73g=")</f>
        <v>#REF!</v>
      </c>
      <c r="DR247" t="e">
        <f>AND(#REF!,"AAAAAHuy73k=")</f>
        <v>#REF!</v>
      </c>
      <c r="DS247" t="e">
        <f>AND(#REF!,"AAAAAHuy73o=")</f>
        <v>#REF!</v>
      </c>
      <c r="DT247" t="e">
        <f>AND(#REF!,"AAAAAHuy73s=")</f>
        <v>#REF!</v>
      </c>
      <c r="DU247" t="e">
        <f>AND(#REF!,"AAAAAHuy73w=")</f>
        <v>#REF!</v>
      </c>
      <c r="DV247" t="e">
        <f>AND(#REF!,"AAAAAHuy730=")</f>
        <v>#REF!</v>
      </c>
      <c r="DW247" t="e">
        <f>AND(#REF!,"AAAAAHuy734=")</f>
        <v>#REF!</v>
      </c>
      <c r="DX247" t="e">
        <f>IF(#REF!,"AAAAAHuy738=",0)</f>
        <v>#REF!</v>
      </c>
      <c r="DY247" t="e">
        <f>AND(#REF!,"AAAAAHuy74A=")</f>
        <v>#REF!</v>
      </c>
      <c r="DZ247" t="e">
        <f>AND(#REF!,"AAAAAHuy74E=")</f>
        <v>#REF!</v>
      </c>
      <c r="EA247" t="e">
        <f>AND(#REF!,"AAAAAHuy74I=")</f>
        <v>#REF!</v>
      </c>
      <c r="EB247" t="e">
        <f>AND(#REF!,"AAAAAHuy74M=")</f>
        <v>#REF!</v>
      </c>
      <c r="EC247" t="e">
        <f>AND(#REF!,"AAAAAHuy74Q=")</f>
        <v>#REF!</v>
      </c>
      <c r="ED247" t="e">
        <f>AND(#REF!,"AAAAAHuy74U=")</f>
        <v>#REF!</v>
      </c>
      <c r="EE247" t="e">
        <f>AND(#REF!,"AAAAAHuy74Y=")</f>
        <v>#REF!</v>
      </c>
      <c r="EF247" t="e">
        <f>AND(#REF!,"AAAAAHuy74c=")</f>
        <v>#REF!</v>
      </c>
      <c r="EG247" t="e">
        <f>AND(#REF!,"AAAAAHuy74g=")</f>
        <v>#REF!</v>
      </c>
      <c r="EH247" t="e">
        <f>AND(#REF!,"AAAAAHuy74k=")</f>
        <v>#REF!</v>
      </c>
      <c r="EI247" t="e">
        <f>IF(#REF!,"AAAAAHuy74o=",0)</f>
        <v>#REF!</v>
      </c>
      <c r="EJ247" t="e">
        <f>AND(#REF!,"AAAAAHuy74s=")</f>
        <v>#REF!</v>
      </c>
      <c r="EK247" t="e">
        <f>AND(#REF!,"AAAAAHuy74w=")</f>
        <v>#REF!</v>
      </c>
      <c r="EL247" t="e">
        <f>AND(#REF!,"AAAAAHuy740=")</f>
        <v>#REF!</v>
      </c>
      <c r="EM247" t="e">
        <f>AND(#REF!,"AAAAAHuy744=")</f>
        <v>#REF!</v>
      </c>
      <c r="EN247" t="e">
        <f>AND(#REF!,"AAAAAHuy748=")</f>
        <v>#REF!</v>
      </c>
      <c r="EO247" t="e">
        <f>AND(#REF!,"AAAAAHuy75A=")</f>
        <v>#REF!</v>
      </c>
      <c r="EP247" t="e">
        <f>AND(#REF!,"AAAAAHuy75E=")</f>
        <v>#REF!</v>
      </c>
      <c r="EQ247" t="e">
        <f>AND(#REF!,"AAAAAHuy75I=")</f>
        <v>#REF!</v>
      </c>
      <c r="ER247" t="e">
        <f>AND(#REF!,"AAAAAHuy75M=")</f>
        <v>#REF!</v>
      </c>
      <c r="ES247" t="e">
        <f>AND(#REF!,"AAAAAHuy75Q=")</f>
        <v>#REF!</v>
      </c>
      <c r="ET247" t="e">
        <f>IF(#REF!,"AAAAAHuy75U=",0)</f>
        <v>#REF!</v>
      </c>
      <c r="EU247" t="e">
        <f>AND(#REF!,"AAAAAHuy75Y=")</f>
        <v>#REF!</v>
      </c>
      <c r="EV247" t="e">
        <f>AND(#REF!,"AAAAAHuy75c=")</f>
        <v>#REF!</v>
      </c>
      <c r="EW247" t="e">
        <f>AND(#REF!,"AAAAAHuy75g=")</f>
        <v>#REF!</v>
      </c>
      <c r="EX247" t="e">
        <f>AND(#REF!,"AAAAAHuy75k=")</f>
        <v>#REF!</v>
      </c>
      <c r="EY247" t="e">
        <f>AND(#REF!,"AAAAAHuy75o=")</f>
        <v>#REF!</v>
      </c>
      <c r="EZ247" t="e">
        <f>AND(#REF!,"AAAAAHuy75s=")</f>
        <v>#REF!</v>
      </c>
      <c r="FA247" t="e">
        <f>AND(#REF!,"AAAAAHuy75w=")</f>
        <v>#REF!</v>
      </c>
      <c r="FB247" t="e">
        <f>AND(#REF!,"AAAAAHuy750=")</f>
        <v>#REF!</v>
      </c>
      <c r="FC247" t="e">
        <f>AND(#REF!,"AAAAAHuy754=")</f>
        <v>#REF!</v>
      </c>
      <c r="FD247" t="e">
        <f>AND(#REF!,"AAAAAHuy758=")</f>
        <v>#REF!</v>
      </c>
      <c r="FE247" t="e">
        <f>IF(#REF!,"AAAAAHuy76A=",0)</f>
        <v>#REF!</v>
      </c>
      <c r="FF247" t="e">
        <f>AND(#REF!,"AAAAAHuy76E=")</f>
        <v>#REF!</v>
      </c>
      <c r="FG247" t="e">
        <f>AND(#REF!,"AAAAAHuy76I=")</f>
        <v>#REF!</v>
      </c>
      <c r="FH247" t="e">
        <f>AND(#REF!,"AAAAAHuy76M=")</f>
        <v>#REF!</v>
      </c>
      <c r="FI247" t="e">
        <f>AND(#REF!,"AAAAAHuy76Q=")</f>
        <v>#REF!</v>
      </c>
      <c r="FJ247" t="e">
        <f>AND(#REF!,"AAAAAHuy76U=")</f>
        <v>#REF!</v>
      </c>
      <c r="FK247" t="e">
        <f>AND(#REF!,"AAAAAHuy76Y=")</f>
        <v>#REF!</v>
      </c>
      <c r="FL247" t="e">
        <f>AND(#REF!,"AAAAAHuy76c=")</f>
        <v>#REF!</v>
      </c>
      <c r="FM247" t="e">
        <f>AND(#REF!,"AAAAAHuy76g=")</f>
        <v>#REF!</v>
      </c>
      <c r="FN247" t="e">
        <f>AND(#REF!,"AAAAAHuy76k=")</f>
        <v>#REF!</v>
      </c>
      <c r="FO247" t="e">
        <f>AND(#REF!,"AAAAAHuy76o=")</f>
        <v>#REF!</v>
      </c>
      <c r="FP247" t="e">
        <f>IF(#REF!,"AAAAAHuy76s=",0)</f>
        <v>#REF!</v>
      </c>
      <c r="FQ247" t="e">
        <f>AND(#REF!,"AAAAAHuy76w=")</f>
        <v>#REF!</v>
      </c>
      <c r="FR247" t="e">
        <f>AND(#REF!,"AAAAAHuy760=")</f>
        <v>#REF!</v>
      </c>
      <c r="FS247" t="e">
        <f>AND(#REF!,"AAAAAHuy764=")</f>
        <v>#REF!</v>
      </c>
      <c r="FT247" t="e">
        <f>AND(#REF!,"AAAAAHuy768=")</f>
        <v>#REF!</v>
      </c>
      <c r="FU247" t="e">
        <f>AND(#REF!,"AAAAAHuy77A=")</f>
        <v>#REF!</v>
      </c>
      <c r="FV247" t="e">
        <f>AND(#REF!,"AAAAAHuy77E=")</f>
        <v>#REF!</v>
      </c>
      <c r="FW247" t="e">
        <f>AND(#REF!,"AAAAAHuy77I=")</f>
        <v>#REF!</v>
      </c>
      <c r="FX247" t="e">
        <f>AND(#REF!,"AAAAAHuy77M=")</f>
        <v>#REF!</v>
      </c>
      <c r="FY247" t="e">
        <f>AND(#REF!,"AAAAAHuy77Q=")</f>
        <v>#REF!</v>
      </c>
      <c r="FZ247" t="e">
        <f>AND(#REF!,"AAAAAHuy77U=")</f>
        <v>#REF!</v>
      </c>
      <c r="GA247" t="e">
        <f>IF(#REF!,"AAAAAHuy77Y=",0)</f>
        <v>#REF!</v>
      </c>
      <c r="GB247" t="e">
        <f>AND(#REF!,"AAAAAHuy77c=")</f>
        <v>#REF!</v>
      </c>
      <c r="GC247" t="e">
        <f>AND(#REF!,"AAAAAHuy77g=")</f>
        <v>#REF!</v>
      </c>
      <c r="GD247" t="e">
        <f>AND(#REF!,"AAAAAHuy77k=")</f>
        <v>#REF!</v>
      </c>
      <c r="GE247" t="e">
        <f>AND(#REF!,"AAAAAHuy77o=")</f>
        <v>#REF!</v>
      </c>
      <c r="GF247" t="e">
        <f>AND(#REF!,"AAAAAHuy77s=")</f>
        <v>#REF!</v>
      </c>
      <c r="GG247" t="e">
        <f>AND(#REF!,"AAAAAHuy77w=")</f>
        <v>#REF!</v>
      </c>
      <c r="GH247" t="e">
        <f>AND(#REF!,"AAAAAHuy770=")</f>
        <v>#REF!</v>
      </c>
      <c r="GI247" t="e">
        <f>AND(#REF!,"AAAAAHuy774=")</f>
        <v>#REF!</v>
      </c>
      <c r="GJ247" t="e">
        <f>AND(#REF!,"AAAAAHuy778=")</f>
        <v>#REF!</v>
      </c>
      <c r="GK247" t="e">
        <f>AND(#REF!,"AAAAAHuy78A=")</f>
        <v>#REF!</v>
      </c>
      <c r="GL247" t="e">
        <f>IF(#REF!,"AAAAAHuy78E=",0)</f>
        <v>#REF!</v>
      </c>
      <c r="GM247" t="e">
        <f>AND(#REF!,"AAAAAHuy78I=")</f>
        <v>#REF!</v>
      </c>
      <c r="GN247" t="e">
        <f>AND(#REF!,"AAAAAHuy78M=")</f>
        <v>#REF!</v>
      </c>
      <c r="GO247" t="e">
        <f>AND(#REF!,"AAAAAHuy78Q=")</f>
        <v>#REF!</v>
      </c>
      <c r="GP247" t="e">
        <f>AND(#REF!,"AAAAAHuy78U=")</f>
        <v>#REF!</v>
      </c>
      <c r="GQ247" t="e">
        <f>AND(#REF!,"AAAAAHuy78Y=")</f>
        <v>#REF!</v>
      </c>
      <c r="GR247" t="e">
        <f>AND(#REF!,"AAAAAHuy78c=")</f>
        <v>#REF!</v>
      </c>
      <c r="GS247" t="e">
        <f>AND(#REF!,"AAAAAHuy78g=")</f>
        <v>#REF!</v>
      </c>
      <c r="GT247" t="e">
        <f>AND(#REF!,"AAAAAHuy78k=")</f>
        <v>#REF!</v>
      </c>
      <c r="GU247" t="e">
        <f>AND(#REF!,"AAAAAHuy78o=")</f>
        <v>#REF!</v>
      </c>
      <c r="GV247" t="e">
        <f>AND(#REF!,"AAAAAHuy78s=")</f>
        <v>#REF!</v>
      </c>
      <c r="GW247" t="e">
        <f>IF(#REF!,"AAAAAHuy78w=",0)</f>
        <v>#REF!</v>
      </c>
      <c r="GX247" t="e">
        <f>AND(#REF!,"AAAAAHuy780=")</f>
        <v>#REF!</v>
      </c>
      <c r="GY247" t="e">
        <f>AND(#REF!,"AAAAAHuy784=")</f>
        <v>#REF!</v>
      </c>
      <c r="GZ247" t="e">
        <f>AND(#REF!,"AAAAAHuy788=")</f>
        <v>#REF!</v>
      </c>
      <c r="HA247" t="e">
        <f>AND(#REF!,"AAAAAHuy79A=")</f>
        <v>#REF!</v>
      </c>
      <c r="HB247" t="e">
        <f>AND(#REF!,"AAAAAHuy79E=")</f>
        <v>#REF!</v>
      </c>
      <c r="HC247" t="e">
        <f>AND(#REF!,"AAAAAHuy79I=")</f>
        <v>#REF!</v>
      </c>
      <c r="HD247" t="e">
        <f>AND(#REF!,"AAAAAHuy79M=")</f>
        <v>#REF!</v>
      </c>
      <c r="HE247" t="e">
        <f>AND(#REF!,"AAAAAHuy79Q=")</f>
        <v>#REF!</v>
      </c>
      <c r="HF247" t="e">
        <f>AND(#REF!,"AAAAAHuy79U=")</f>
        <v>#REF!</v>
      </c>
      <c r="HG247" t="e">
        <f>AND(#REF!,"AAAAAHuy79Y=")</f>
        <v>#REF!</v>
      </c>
      <c r="HH247" t="e">
        <f>IF(#REF!,"AAAAAHuy79c=",0)</f>
        <v>#REF!</v>
      </c>
      <c r="HI247" t="e">
        <f>AND(#REF!,"AAAAAHuy79g=")</f>
        <v>#REF!</v>
      </c>
      <c r="HJ247" t="e">
        <f>AND(#REF!,"AAAAAHuy79k=")</f>
        <v>#REF!</v>
      </c>
      <c r="HK247" t="e">
        <f>AND(#REF!,"AAAAAHuy79o=")</f>
        <v>#REF!</v>
      </c>
      <c r="HL247" t="e">
        <f>AND(#REF!,"AAAAAHuy79s=")</f>
        <v>#REF!</v>
      </c>
      <c r="HM247" t="e">
        <f>AND(#REF!,"AAAAAHuy79w=")</f>
        <v>#REF!</v>
      </c>
      <c r="HN247" t="e">
        <f>AND(#REF!,"AAAAAHuy790=")</f>
        <v>#REF!</v>
      </c>
      <c r="HO247" t="e">
        <f>AND(#REF!,"AAAAAHuy794=")</f>
        <v>#REF!</v>
      </c>
      <c r="HP247" t="e">
        <f>AND(#REF!,"AAAAAHuy798=")</f>
        <v>#REF!</v>
      </c>
      <c r="HQ247" t="e">
        <f>AND(#REF!,"AAAAAHuy7+A=")</f>
        <v>#REF!</v>
      </c>
      <c r="HR247" t="e">
        <f>AND(#REF!,"AAAAAHuy7+E=")</f>
        <v>#REF!</v>
      </c>
      <c r="HS247" t="e">
        <f>IF(#REF!,"AAAAAHuy7+I=",0)</f>
        <v>#REF!</v>
      </c>
      <c r="HT247" t="e">
        <f>AND(#REF!,"AAAAAHuy7+M=")</f>
        <v>#REF!</v>
      </c>
      <c r="HU247" t="e">
        <f>AND(#REF!,"AAAAAHuy7+Q=")</f>
        <v>#REF!</v>
      </c>
      <c r="HV247" t="e">
        <f>AND(#REF!,"AAAAAHuy7+U=")</f>
        <v>#REF!</v>
      </c>
      <c r="HW247" t="e">
        <f>AND(#REF!,"AAAAAHuy7+Y=")</f>
        <v>#REF!</v>
      </c>
      <c r="HX247" t="e">
        <f>AND(#REF!,"AAAAAHuy7+c=")</f>
        <v>#REF!</v>
      </c>
      <c r="HY247" t="e">
        <f>AND(#REF!,"AAAAAHuy7+g=")</f>
        <v>#REF!</v>
      </c>
      <c r="HZ247" t="e">
        <f>AND(#REF!,"AAAAAHuy7+k=")</f>
        <v>#REF!</v>
      </c>
      <c r="IA247" t="e">
        <f>AND(#REF!,"AAAAAHuy7+o=")</f>
        <v>#REF!</v>
      </c>
      <c r="IB247" t="e">
        <f>AND(#REF!,"AAAAAHuy7+s=")</f>
        <v>#REF!</v>
      </c>
      <c r="IC247" t="e">
        <f>AND(#REF!,"AAAAAHuy7+w=")</f>
        <v>#REF!</v>
      </c>
      <c r="ID247" t="e">
        <f>IF(#REF!,"AAAAAHuy7+0=",0)</f>
        <v>#REF!</v>
      </c>
      <c r="IE247" t="e">
        <f>AND(#REF!,"AAAAAHuy7+4=")</f>
        <v>#REF!</v>
      </c>
      <c r="IF247" t="e">
        <f>AND(#REF!,"AAAAAHuy7+8=")</f>
        <v>#REF!</v>
      </c>
      <c r="IG247" t="e">
        <f>AND(#REF!,"AAAAAHuy7/A=")</f>
        <v>#REF!</v>
      </c>
      <c r="IH247" t="e">
        <f>AND(#REF!,"AAAAAHuy7/E=")</f>
        <v>#REF!</v>
      </c>
      <c r="II247" t="e">
        <f>AND(#REF!,"AAAAAHuy7/I=")</f>
        <v>#REF!</v>
      </c>
      <c r="IJ247" t="e">
        <f>AND(#REF!,"AAAAAHuy7/M=")</f>
        <v>#REF!</v>
      </c>
      <c r="IK247" t="e">
        <f>AND(#REF!,"AAAAAHuy7/Q=")</f>
        <v>#REF!</v>
      </c>
      <c r="IL247" t="e">
        <f>AND(#REF!,"AAAAAHuy7/U=")</f>
        <v>#REF!</v>
      </c>
      <c r="IM247" t="e">
        <f>AND(#REF!,"AAAAAHuy7/Y=")</f>
        <v>#REF!</v>
      </c>
      <c r="IN247" t="e">
        <f>AND(#REF!,"AAAAAHuy7/c=")</f>
        <v>#REF!</v>
      </c>
      <c r="IO247" t="e">
        <f>IF(#REF!,"AAAAAHuy7/g=",0)</f>
        <v>#REF!</v>
      </c>
      <c r="IP247" t="e">
        <f>AND(#REF!,"AAAAAHuy7/k=")</f>
        <v>#REF!</v>
      </c>
      <c r="IQ247" t="e">
        <f>AND(#REF!,"AAAAAHuy7/o=")</f>
        <v>#REF!</v>
      </c>
      <c r="IR247" t="e">
        <f>AND(#REF!,"AAAAAHuy7/s=")</f>
        <v>#REF!</v>
      </c>
      <c r="IS247" t="e">
        <f>AND(#REF!,"AAAAAHuy7/w=")</f>
        <v>#REF!</v>
      </c>
      <c r="IT247" t="e">
        <f>AND(#REF!,"AAAAAHuy7/0=")</f>
        <v>#REF!</v>
      </c>
      <c r="IU247" t="e">
        <f>AND(#REF!,"AAAAAHuy7/4=")</f>
        <v>#REF!</v>
      </c>
      <c r="IV247" t="e">
        <f>AND(#REF!,"AAAAAHuy7/8=")</f>
        <v>#REF!</v>
      </c>
    </row>
    <row r="248" spans="1:256" x14ac:dyDescent="0.25">
      <c r="A248" t="e">
        <f>AND(#REF!,"AAAAADra1wA=")</f>
        <v>#REF!</v>
      </c>
      <c r="B248" t="e">
        <f>AND(#REF!,"AAAAADra1wE=")</f>
        <v>#REF!</v>
      </c>
      <c r="C248" t="e">
        <f>AND(#REF!,"AAAAADra1wI=")</f>
        <v>#REF!</v>
      </c>
      <c r="D248" t="e">
        <f>IF(#REF!,"AAAAADra1wM=",0)</f>
        <v>#REF!</v>
      </c>
      <c r="E248" t="e">
        <f>AND(#REF!,"AAAAADra1wQ=")</f>
        <v>#REF!</v>
      </c>
      <c r="F248" t="e">
        <f>AND(#REF!,"AAAAADra1wU=")</f>
        <v>#REF!</v>
      </c>
      <c r="G248" t="e">
        <f>AND(#REF!,"AAAAADra1wY=")</f>
        <v>#REF!</v>
      </c>
      <c r="H248" t="e">
        <f>AND(#REF!,"AAAAADra1wc=")</f>
        <v>#REF!</v>
      </c>
      <c r="I248" t="e">
        <f>AND(#REF!,"AAAAADra1wg=")</f>
        <v>#REF!</v>
      </c>
      <c r="J248" t="e">
        <f>AND(#REF!,"AAAAADra1wk=")</f>
        <v>#REF!</v>
      </c>
      <c r="K248" t="e">
        <f>AND(#REF!,"AAAAADra1wo=")</f>
        <v>#REF!</v>
      </c>
      <c r="L248" t="e">
        <f>AND(#REF!,"AAAAADra1ws=")</f>
        <v>#REF!</v>
      </c>
      <c r="M248" t="e">
        <f>AND(#REF!,"AAAAADra1ww=")</f>
        <v>#REF!</v>
      </c>
      <c r="N248" t="e">
        <f>AND(#REF!,"AAAAADra1w0=")</f>
        <v>#REF!</v>
      </c>
      <c r="O248" t="e">
        <f>IF(#REF!,"AAAAADra1w4=",0)</f>
        <v>#REF!</v>
      </c>
      <c r="P248" t="e">
        <f>AND(#REF!,"AAAAADra1w8=")</f>
        <v>#REF!</v>
      </c>
      <c r="Q248" t="e">
        <f>AND(#REF!,"AAAAADra1xA=")</f>
        <v>#REF!</v>
      </c>
      <c r="R248" t="e">
        <f>AND(#REF!,"AAAAADra1xE=")</f>
        <v>#REF!</v>
      </c>
      <c r="S248" t="e">
        <f>AND(#REF!,"AAAAADra1xI=")</f>
        <v>#REF!</v>
      </c>
      <c r="T248" t="e">
        <f>AND(#REF!,"AAAAADra1xM=")</f>
        <v>#REF!</v>
      </c>
      <c r="U248" t="e">
        <f>AND(#REF!,"AAAAADra1xQ=")</f>
        <v>#REF!</v>
      </c>
      <c r="V248" t="e">
        <f>AND(#REF!,"AAAAADra1xU=")</f>
        <v>#REF!</v>
      </c>
      <c r="W248" t="e">
        <f>AND(#REF!,"AAAAADra1xY=")</f>
        <v>#REF!</v>
      </c>
      <c r="X248" t="e">
        <f>AND(#REF!,"AAAAADra1xc=")</f>
        <v>#REF!</v>
      </c>
      <c r="Y248" t="e">
        <f>AND(#REF!,"AAAAADra1xg=")</f>
        <v>#REF!</v>
      </c>
      <c r="Z248" t="e">
        <f>IF(#REF!,"AAAAADra1xk=",0)</f>
        <v>#REF!</v>
      </c>
      <c r="AA248" t="e">
        <f>AND(#REF!,"AAAAADra1xo=")</f>
        <v>#REF!</v>
      </c>
      <c r="AB248" t="e">
        <f>AND(#REF!,"AAAAADra1xs=")</f>
        <v>#REF!</v>
      </c>
      <c r="AC248" t="e">
        <f>AND(#REF!,"AAAAADra1xw=")</f>
        <v>#REF!</v>
      </c>
      <c r="AD248" t="e">
        <f>AND(#REF!,"AAAAADra1x0=")</f>
        <v>#REF!</v>
      </c>
      <c r="AE248" t="e">
        <f>AND(#REF!,"AAAAADra1x4=")</f>
        <v>#REF!</v>
      </c>
      <c r="AF248" t="e">
        <f>AND(#REF!,"AAAAADra1x8=")</f>
        <v>#REF!</v>
      </c>
      <c r="AG248" t="e">
        <f>AND(#REF!,"AAAAADra1yA=")</f>
        <v>#REF!</v>
      </c>
      <c r="AH248" t="e">
        <f>AND(#REF!,"AAAAADra1yE=")</f>
        <v>#REF!</v>
      </c>
      <c r="AI248" t="e">
        <f>AND(#REF!,"AAAAADra1yI=")</f>
        <v>#REF!</v>
      </c>
      <c r="AJ248" t="e">
        <f>AND(#REF!,"AAAAADra1yM=")</f>
        <v>#REF!</v>
      </c>
      <c r="AK248" t="e">
        <f>IF(#REF!,"AAAAADra1yQ=",0)</f>
        <v>#REF!</v>
      </c>
      <c r="AL248" t="e">
        <f>AND(#REF!,"AAAAADra1yU=")</f>
        <v>#REF!</v>
      </c>
      <c r="AM248" t="e">
        <f>AND(#REF!,"AAAAADra1yY=")</f>
        <v>#REF!</v>
      </c>
      <c r="AN248" t="e">
        <f>AND(#REF!,"AAAAADra1yc=")</f>
        <v>#REF!</v>
      </c>
      <c r="AO248" t="e">
        <f>AND(#REF!,"AAAAADra1yg=")</f>
        <v>#REF!</v>
      </c>
      <c r="AP248" t="e">
        <f>AND(#REF!,"AAAAADra1yk=")</f>
        <v>#REF!</v>
      </c>
      <c r="AQ248" t="e">
        <f>AND(#REF!,"AAAAADra1yo=")</f>
        <v>#REF!</v>
      </c>
      <c r="AR248" t="e">
        <f>AND(#REF!,"AAAAADra1ys=")</f>
        <v>#REF!</v>
      </c>
      <c r="AS248" t="e">
        <f>AND(#REF!,"AAAAADra1yw=")</f>
        <v>#REF!</v>
      </c>
      <c r="AT248" t="e">
        <f>AND(#REF!,"AAAAADra1y0=")</f>
        <v>#REF!</v>
      </c>
      <c r="AU248" t="e">
        <f>AND(#REF!,"AAAAADra1y4=")</f>
        <v>#REF!</v>
      </c>
      <c r="AV248" t="e">
        <f>IF(#REF!,"AAAAADra1y8=",0)</f>
        <v>#REF!</v>
      </c>
      <c r="AW248" t="e">
        <f>AND(#REF!,"AAAAADra1zA=")</f>
        <v>#REF!</v>
      </c>
      <c r="AX248" t="e">
        <f>AND(#REF!,"AAAAADra1zE=")</f>
        <v>#REF!</v>
      </c>
      <c r="AY248" t="e">
        <f>AND(#REF!,"AAAAADra1zI=")</f>
        <v>#REF!</v>
      </c>
      <c r="AZ248" t="e">
        <f>AND(#REF!,"AAAAADra1zM=")</f>
        <v>#REF!</v>
      </c>
      <c r="BA248" t="e">
        <f>AND(#REF!,"AAAAADra1zQ=")</f>
        <v>#REF!</v>
      </c>
      <c r="BB248" t="e">
        <f>AND(#REF!,"AAAAADra1zU=")</f>
        <v>#REF!</v>
      </c>
      <c r="BC248" t="e">
        <f>AND(#REF!,"AAAAADra1zY=")</f>
        <v>#REF!</v>
      </c>
      <c r="BD248" t="e">
        <f>AND(#REF!,"AAAAADra1zc=")</f>
        <v>#REF!</v>
      </c>
      <c r="BE248" t="e">
        <f>AND(#REF!,"AAAAADra1zg=")</f>
        <v>#REF!</v>
      </c>
      <c r="BF248" t="e">
        <f>AND(#REF!,"AAAAADra1zk=")</f>
        <v>#REF!</v>
      </c>
      <c r="BG248" t="e">
        <f>IF(#REF!,"AAAAADra1zo=",0)</f>
        <v>#REF!</v>
      </c>
      <c r="BH248" t="e">
        <f>AND(#REF!,"AAAAADra1zs=")</f>
        <v>#REF!</v>
      </c>
      <c r="BI248" t="e">
        <f>AND(#REF!,"AAAAADra1zw=")</f>
        <v>#REF!</v>
      </c>
      <c r="BJ248" t="e">
        <f>AND(#REF!,"AAAAADra1z0=")</f>
        <v>#REF!</v>
      </c>
      <c r="BK248" t="e">
        <f>AND(#REF!,"AAAAADra1z4=")</f>
        <v>#REF!</v>
      </c>
      <c r="BL248" t="e">
        <f>AND(#REF!,"AAAAADra1z8=")</f>
        <v>#REF!</v>
      </c>
      <c r="BM248" t="e">
        <f>AND(#REF!,"AAAAADra10A=")</f>
        <v>#REF!</v>
      </c>
      <c r="BN248" t="e">
        <f>AND(#REF!,"AAAAADra10E=")</f>
        <v>#REF!</v>
      </c>
      <c r="BO248" t="e">
        <f>AND(#REF!,"AAAAADra10I=")</f>
        <v>#REF!</v>
      </c>
      <c r="BP248" t="e">
        <f>AND(#REF!,"AAAAADra10M=")</f>
        <v>#REF!</v>
      </c>
      <c r="BQ248" t="e">
        <f>AND(#REF!,"AAAAADra10Q=")</f>
        <v>#REF!</v>
      </c>
      <c r="BR248" t="e">
        <f>IF(#REF!,"AAAAADra10U=",0)</f>
        <v>#REF!</v>
      </c>
      <c r="BS248" t="e">
        <f>AND(#REF!,"AAAAADra10Y=")</f>
        <v>#REF!</v>
      </c>
      <c r="BT248" t="e">
        <f>AND(#REF!,"AAAAADra10c=")</f>
        <v>#REF!</v>
      </c>
      <c r="BU248" t="e">
        <f>AND(#REF!,"AAAAADra10g=")</f>
        <v>#REF!</v>
      </c>
      <c r="BV248" t="e">
        <f>AND(#REF!,"AAAAADra10k=")</f>
        <v>#REF!</v>
      </c>
      <c r="BW248" t="e">
        <f>AND(#REF!,"AAAAADra10o=")</f>
        <v>#REF!</v>
      </c>
      <c r="BX248" t="e">
        <f>AND(#REF!,"AAAAADra10s=")</f>
        <v>#REF!</v>
      </c>
      <c r="BY248" t="e">
        <f>AND(#REF!,"AAAAADra10w=")</f>
        <v>#REF!</v>
      </c>
      <c r="BZ248" t="e">
        <f>AND(#REF!,"AAAAADra100=")</f>
        <v>#REF!</v>
      </c>
      <c r="CA248" t="e">
        <f>AND(#REF!,"AAAAADra104=")</f>
        <v>#REF!</v>
      </c>
      <c r="CB248" t="e">
        <f>AND(#REF!,"AAAAADra108=")</f>
        <v>#REF!</v>
      </c>
      <c r="CC248" t="e">
        <f>IF(#REF!,"AAAAADra11A=",0)</f>
        <v>#REF!</v>
      </c>
      <c r="CD248" t="e">
        <f>AND(#REF!,"AAAAADra11E=")</f>
        <v>#REF!</v>
      </c>
      <c r="CE248" t="e">
        <f>AND(#REF!,"AAAAADra11I=")</f>
        <v>#REF!</v>
      </c>
      <c r="CF248" t="e">
        <f>AND(#REF!,"AAAAADra11M=")</f>
        <v>#REF!</v>
      </c>
      <c r="CG248" t="e">
        <f>AND(#REF!,"AAAAADra11Q=")</f>
        <v>#REF!</v>
      </c>
      <c r="CH248" t="e">
        <f>AND(#REF!,"AAAAADra11U=")</f>
        <v>#REF!</v>
      </c>
      <c r="CI248" t="e">
        <f>AND(#REF!,"AAAAADra11Y=")</f>
        <v>#REF!</v>
      </c>
      <c r="CJ248" t="e">
        <f>AND(#REF!,"AAAAADra11c=")</f>
        <v>#REF!</v>
      </c>
      <c r="CK248" t="e">
        <f>AND(#REF!,"AAAAADra11g=")</f>
        <v>#REF!</v>
      </c>
      <c r="CL248" t="e">
        <f>AND(#REF!,"AAAAADra11k=")</f>
        <v>#REF!</v>
      </c>
      <c r="CM248" t="e">
        <f>AND(#REF!,"AAAAADra11o=")</f>
        <v>#REF!</v>
      </c>
      <c r="CN248" t="e">
        <f>IF(#REF!,"AAAAADra11s=",0)</f>
        <v>#REF!</v>
      </c>
      <c r="CO248" t="e">
        <f>AND(#REF!,"AAAAADra11w=")</f>
        <v>#REF!</v>
      </c>
      <c r="CP248" t="e">
        <f>AND(#REF!,"AAAAADra110=")</f>
        <v>#REF!</v>
      </c>
      <c r="CQ248" t="e">
        <f>AND(#REF!,"AAAAADra114=")</f>
        <v>#REF!</v>
      </c>
      <c r="CR248" t="e">
        <f>AND(#REF!,"AAAAADra118=")</f>
        <v>#REF!</v>
      </c>
      <c r="CS248" t="e">
        <f>AND(#REF!,"AAAAADra12A=")</f>
        <v>#REF!</v>
      </c>
      <c r="CT248" t="e">
        <f>AND(#REF!,"AAAAADra12E=")</f>
        <v>#REF!</v>
      </c>
      <c r="CU248" t="e">
        <f>AND(#REF!,"AAAAADra12I=")</f>
        <v>#REF!</v>
      </c>
      <c r="CV248" t="e">
        <f>AND(#REF!,"AAAAADra12M=")</f>
        <v>#REF!</v>
      </c>
      <c r="CW248" t="e">
        <f>AND(#REF!,"AAAAADra12Q=")</f>
        <v>#REF!</v>
      </c>
      <c r="CX248" t="e">
        <f>AND(#REF!,"AAAAADra12U=")</f>
        <v>#REF!</v>
      </c>
      <c r="CY248" t="e">
        <f>IF(#REF!,"AAAAADra12Y=",0)</f>
        <v>#REF!</v>
      </c>
      <c r="CZ248" t="e">
        <f>AND(#REF!,"AAAAADra12c=")</f>
        <v>#REF!</v>
      </c>
      <c r="DA248" t="e">
        <f>AND(#REF!,"AAAAADra12g=")</f>
        <v>#REF!</v>
      </c>
      <c r="DB248" t="e">
        <f>AND(#REF!,"AAAAADra12k=")</f>
        <v>#REF!</v>
      </c>
      <c r="DC248" t="e">
        <f>AND(#REF!,"AAAAADra12o=")</f>
        <v>#REF!</v>
      </c>
      <c r="DD248" t="e">
        <f>AND(#REF!,"AAAAADra12s=")</f>
        <v>#REF!</v>
      </c>
      <c r="DE248" t="e">
        <f>AND(#REF!,"AAAAADra12w=")</f>
        <v>#REF!</v>
      </c>
      <c r="DF248" t="e">
        <f>AND(#REF!,"AAAAADra120=")</f>
        <v>#REF!</v>
      </c>
      <c r="DG248" t="e">
        <f>AND(#REF!,"AAAAADra124=")</f>
        <v>#REF!</v>
      </c>
      <c r="DH248" t="e">
        <f>AND(#REF!,"AAAAADra128=")</f>
        <v>#REF!</v>
      </c>
      <c r="DI248" t="e">
        <f>AND(#REF!,"AAAAADra13A=")</f>
        <v>#REF!</v>
      </c>
      <c r="DJ248" t="e">
        <f>IF(#REF!,"AAAAADra13E=",0)</f>
        <v>#REF!</v>
      </c>
      <c r="DK248" t="e">
        <f>AND(#REF!,"AAAAADra13I=")</f>
        <v>#REF!</v>
      </c>
      <c r="DL248" t="e">
        <f>AND(#REF!,"AAAAADra13M=")</f>
        <v>#REF!</v>
      </c>
      <c r="DM248" t="e">
        <f>AND(#REF!,"AAAAADra13Q=")</f>
        <v>#REF!</v>
      </c>
      <c r="DN248" t="e">
        <f>AND(#REF!,"AAAAADra13U=")</f>
        <v>#REF!</v>
      </c>
      <c r="DO248" t="e">
        <f>AND(#REF!,"AAAAADra13Y=")</f>
        <v>#REF!</v>
      </c>
      <c r="DP248" t="e">
        <f>AND(#REF!,"AAAAADra13c=")</f>
        <v>#REF!</v>
      </c>
      <c r="DQ248" t="e">
        <f>AND(#REF!,"AAAAADra13g=")</f>
        <v>#REF!</v>
      </c>
      <c r="DR248" t="e">
        <f>AND(#REF!,"AAAAADra13k=")</f>
        <v>#REF!</v>
      </c>
      <c r="DS248" t="e">
        <f>AND(#REF!,"AAAAADra13o=")</f>
        <v>#REF!</v>
      </c>
      <c r="DT248" t="e">
        <f>AND(#REF!,"AAAAADra13s=")</f>
        <v>#REF!</v>
      </c>
      <c r="DU248" t="e">
        <f>IF(#REF!,"AAAAADra13w=",0)</f>
        <v>#REF!</v>
      </c>
      <c r="DV248" t="e">
        <f>AND(#REF!,"AAAAADra130=")</f>
        <v>#REF!</v>
      </c>
      <c r="DW248" t="e">
        <f>AND(#REF!,"AAAAADra134=")</f>
        <v>#REF!</v>
      </c>
      <c r="DX248" t="e">
        <f>AND(#REF!,"AAAAADra138=")</f>
        <v>#REF!</v>
      </c>
      <c r="DY248" t="e">
        <f>AND(#REF!,"AAAAADra14A=")</f>
        <v>#REF!</v>
      </c>
      <c r="DZ248" t="e">
        <f>AND(#REF!,"AAAAADra14E=")</f>
        <v>#REF!</v>
      </c>
      <c r="EA248" t="e">
        <f>AND(#REF!,"AAAAADra14I=")</f>
        <v>#REF!</v>
      </c>
      <c r="EB248" t="e">
        <f>AND(#REF!,"AAAAADra14M=")</f>
        <v>#REF!</v>
      </c>
      <c r="EC248" t="e">
        <f>AND(#REF!,"AAAAADra14Q=")</f>
        <v>#REF!</v>
      </c>
      <c r="ED248" t="e">
        <f>AND(#REF!,"AAAAADra14U=")</f>
        <v>#REF!</v>
      </c>
      <c r="EE248" t="e">
        <f>AND(#REF!,"AAAAADra14Y=")</f>
        <v>#REF!</v>
      </c>
      <c r="EF248" t="e">
        <f>IF(#REF!,"AAAAADra14c=",0)</f>
        <v>#REF!</v>
      </c>
      <c r="EG248" t="e">
        <f>AND(#REF!,"AAAAADra14g=")</f>
        <v>#REF!</v>
      </c>
      <c r="EH248" t="e">
        <f>AND(#REF!,"AAAAADra14k=")</f>
        <v>#REF!</v>
      </c>
      <c r="EI248" t="e">
        <f>AND(#REF!,"AAAAADra14o=")</f>
        <v>#REF!</v>
      </c>
      <c r="EJ248" t="e">
        <f>AND(#REF!,"AAAAADra14s=")</f>
        <v>#REF!</v>
      </c>
      <c r="EK248" t="e">
        <f>AND(#REF!,"AAAAADra14w=")</f>
        <v>#REF!</v>
      </c>
      <c r="EL248" t="e">
        <f>AND(#REF!,"AAAAADra140=")</f>
        <v>#REF!</v>
      </c>
      <c r="EM248" t="e">
        <f>AND(#REF!,"AAAAADra144=")</f>
        <v>#REF!</v>
      </c>
      <c r="EN248" t="e">
        <f>AND(#REF!,"AAAAADra148=")</f>
        <v>#REF!</v>
      </c>
      <c r="EO248" t="e">
        <f>AND(#REF!,"AAAAADra15A=")</f>
        <v>#REF!</v>
      </c>
      <c r="EP248" t="e">
        <f>AND(#REF!,"AAAAADra15E=")</f>
        <v>#REF!</v>
      </c>
      <c r="EQ248" t="e">
        <f>IF(#REF!,"AAAAADra15I=",0)</f>
        <v>#REF!</v>
      </c>
      <c r="ER248" t="e">
        <f>AND(#REF!,"AAAAADra15M=")</f>
        <v>#REF!</v>
      </c>
      <c r="ES248" t="e">
        <f>AND(#REF!,"AAAAADra15Q=")</f>
        <v>#REF!</v>
      </c>
      <c r="ET248" t="e">
        <f>AND(#REF!,"AAAAADra15U=")</f>
        <v>#REF!</v>
      </c>
      <c r="EU248" t="e">
        <f>AND(#REF!,"AAAAADra15Y=")</f>
        <v>#REF!</v>
      </c>
      <c r="EV248" t="e">
        <f>AND(#REF!,"AAAAADra15c=")</f>
        <v>#REF!</v>
      </c>
      <c r="EW248" t="e">
        <f>AND(#REF!,"AAAAADra15g=")</f>
        <v>#REF!</v>
      </c>
      <c r="EX248" t="e">
        <f>AND(#REF!,"AAAAADra15k=")</f>
        <v>#REF!</v>
      </c>
      <c r="EY248" t="e">
        <f>AND(#REF!,"AAAAADra15o=")</f>
        <v>#REF!</v>
      </c>
      <c r="EZ248" t="e">
        <f>AND(#REF!,"AAAAADra15s=")</f>
        <v>#REF!</v>
      </c>
      <c r="FA248" t="e">
        <f>AND(#REF!,"AAAAADra15w=")</f>
        <v>#REF!</v>
      </c>
      <c r="FB248" t="e">
        <f>IF(#REF!,"AAAAADra150=",0)</f>
        <v>#REF!</v>
      </c>
      <c r="FC248" t="e">
        <f>AND(#REF!,"AAAAADra154=")</f>
        <v>#REF!</v>
      </c>
      <c r="FD248" t="e">
        <f>AND(#REF!,"AAAAADra158=")</f>
        <v>#REF!</v>
      </c>
      <c r="FE248" t="e">
        <f>AND(#REF!,"AAAAADra16A=")</f>
        <v>#REF!</v>
      </c>
      <c r="FF248" t="e">
        <f>AND(#REF!,"AAAAADra16E=")</f>
        <v>#REF!</v>
      </c>
      <c r="FG248" t="e">
        <f>AND(#REF!,"AAAAADra16I=")</f>
        <v>#REF!</v>
      </c>
      <c r="FH248" t="e">
        <f>AND(#REF!,"AAAAADra16M=")</f>
        <v>#REF!</v>
      </c>
      <c r="FI248" t="e">
        <f>AND(#REF!,"AAAAADra16Q=")</f>
        <v>#REF!</v>
      </c>
      <c r="FJ248" t="e">
        <f>AND(#REF!,"AAAAADra16U=")</f>
        <v>#REF!</v>
      </c>
      <c r="FK248" t="e">
        <f>AND(#REF!,"AAAAADra16Y=")</f>
        <v>#REF!</v>
      </c>
      <c r="FL248" t="e">
        <f>AND(#REF!,"AAAAADra16c=")</f>
        <v>#REF!</v>
      </c>
      <c r="FM248" t="e">
        <f>IF(#REF!,"AAAAADra16g=",0)</f>
        <v>#REF!</v>
      </c>
      <c r="FN248" t="e">
        <f>AND(#REF!,"AAAAADra16k=")</f>
        <v>#REF!</v>
      </c>
      <c r="FO248" t="e">
        <f>AND(#REF!,"AAAAADra16o=")</f>
        <v>#REF!</v>
      </c>
      <c r="FP248" t="e">
        <f>AND(#REF!,"AAAAADra16s=")</f>
        <v>#REF!</v>
      </c>
      <c r="FQ248" t="e">
        <f>AND(#REF!,"AAAAADra16w=")</f>
        <v>#REF!</v>
      </c>
      <c r="FR248" t="e">
        <f>AND(#REF!,"AAAAADra160=")</f>
        <v>#REF!</v>
      </c>
      <c r="FS248" t="e">
        <f>AND(#REF!,"AAAAADra164=")</f>
        <v>#REF!</v>
      </c>
      <c r="FT248" t="e">
        <f>AND(#REF!,"AAAAADra168=")</f>
        <v>#REF!</v>
      </c>
      <c r="FU248" t="e">
        <f>AND(#REF!,"AAAAADra17A=")</f>
        <v>#REF!</v>
      </c>
      <c r="FV248" t="e">
        <f>AND(#REF!,"AAAAADra17E=")</f>
        <v>#REF!</v>
      </c>
      <c r="FW248" t="e">
        <f>AND(#REF!,"AAAAADra17I=")</f>
        <v>#REF!</v>
      </c>
      <c r="FX248" t="e">
        <f>IF(#REF!,"AAAAADra17M=",0)</f>
        <v>#REF!</v>
      </c>
      <c r="FY248" t="e">
        <f>AND(#REF!,"AAAAADra17Q=")</f>
        <v>#REF!</v>
      </c>
      <c r="FZ248" t="e">
        <f>AND(#REF!,"AAAAADra17U=")</f>
        <v>#REF!</v>
      </c>
      <c r="GA248" t="e">
        <f>AND(#REF!,"AAAAADra17Y=")</f>
        <v>#REF!</v>
      </c>
      <c r="GB248" t="e">
        <f>AND(#REF!,"AAAAADra17c=")</f>
        <v>#REF!</v>
      </c>
      <c r="GC248" t="e">
        <f>AND(#REF!,"AAAAADra17g=")</f>
        <v>#REF!</v>
      </c>
      <c r="GD248" t="e">
        <f>AND(#REF!,"AAAAADra17k=")</f>
        <v>#REF!</v>
      </c>
      <c r="GE248" t="e">
        <f>AND(#REF!,"AAAAADra17o=")</f>
        <v>#REF!</v>
      </c>
      <c r="GF248" t="e">
        <f>AND(#REF!,"AAAAADra17s=")</f>
        <v>#REF!</v>
      </c>
      <c r="GG248" t="e">
        <f>AND(#REF!,"AAAAADra17w=")</f>
        <v>#REF!</v>
      </c>
      <c r="GH248" t="e">
        <f>AND(#REF!,"AAAAADra170=")</f>
        <v>#REF!</v>
      </c>
      <c r="GI248" t="e">
        <f>IF(#REF!,"AAAAADra174=",0)</f>
        <v>#REF!</v>
      </c>
      <c r="GJ248" t="e">
        <f>AND(#REF!,"AAAAADra178=")</f>
        <v>#REF!</v>
      </c>
      <c r="GK248" t="e">
        <f>AND(#REF!,"AAAAADra18A=")</f>
        <v>#REF!</v>
      </c>
      <c r="GL248" t="e">
        <f>AND(#REF!,"AAAAADra18E=")</f>
        <v>#REF!</v>
      </c>
      <c r="GM248" t="e">
        <f>AND(#REF!,"AAAAADra18I=")</f>
        <v>#REF!</v>
      </c>
      <c r="GN248" t="e">
        <f>AND(#REF!,"AAAAADra18M=")</f>
        <v>#REF!</v>
      </c>
      <c r="GO248" t="e">
        <f>AND(#REF!,"AAAAADra18Q=")</f>
        <v>#REF!</v>
      </c>
      <c r="GP248" t="e">
        <f>AND(#REF!,"AAAAADra18U=")</f>
        <v>#REF!</v>
      </c>
      <c r="GQ248" t="e">
        <f>AND(#REF!,"AAAAADra18Y=")</f>
        <v>#REF!</v>
      </c>
      <c r="GR248" t="e">
        <f>AND(#REF!,"AAAAADra18c=")</f>
        <v>#REF!</v>
      </c>
      <c r="GS248" t="e">
        <f>AND(#REF!,"AAAAADra18g=")</f>
        <v>#REF!</v>
      </c>
      <c r="GT248" t="e">
        <f>IF(#REF!,"AAAAADra18k=",0)</f>
        <v>#REF!</v>
      </c>
      <c r="GU248" t="e">
        <f>AND(#REF!,"AAAAADra18o=")</f>
        <v>#REF!</v>
      </c>
      <c r="GV248" t="e">
        <f>AND(#REF!,"AAAAADra18s=")</f>
        <v>#REF!</v>
      </c>
      <c r="GW248" t="e">
        <f>AND(#REF!,"AAAAADra18w=")</f>
        <v>#REF!</v>
      </c>
      <c r="GX248" t="e">
        <f>AND(#REF!,"AAAAADra180=")</f>
        <v>#REF!</v>
      </c>
      <c r="GY248" t="e">
        <f>AND(#REF!,"AAAAADra184=")</f>
        <v>#REF!</v>
      </c>
      <c r="GZ248" t="e">
        <f>AND(#REF!,"AAAAADra188=")</f>
        <v>#REF!</v>
      </c>
      <c r="HA248" t="e">
        <f>AND(#REF!,"AAAAADra19A=")</f>
        <v>#REF!</v>
      </c>
      <c r="HB248" t="e">
        <f>AND(#REF!,"AAAAADra19E=")</f>
        <v>#REF!</v>
      </c>
      <c r="HC248" t="e">
        <f>AND(#REF!,"AAAAADra19I=")</f>
        <v>#REF!</v>
      </c>
      <c r="HD248" t="e">
        <f>AND(#REF!,"AAAAADra19M=")</f>
        <v>#REF!</v>
      </c>
      <c r="HE248" t="e">
        <f>IF(#REF!,"AAAAADra19Q=",0)</f>
        <v>#REF!</v>
      </c>
      <c r="HF248" t="e">
        <f>AND(#REF!,"AAAAADra19U=")</f>
        <v>#REF!</v>
      </c>
      <c r="HG248" t="e">
        <f>AND(#REF!,"AAAAADra19Y=")</f>
        <v>#REF!</v>
      </c>
      <c r="HH248" t="e">
        <f>AND(#REF!,"AAAAADra19c=")</f>
        <v>#REF!</v>
      </c>
      <c r="HI248" t="e">
        <f>AND(#REF!,"AAAAADra19g=")</f>
        <v>#REF!</v>
      </c>
      <c r="HJ248" t="e">
        <f>AND(#REF!,"AAAAADra19k=")</f>
        <v>#REF!</v>
      </c>
      <c r="HK248" t="e">
        <f>AND(#REF!,"AAAAADra19o=")</f>
        <v>#REF!</v>
      </c>
      <c r="HL248" t="e">
        <f>AND(#REF!,"AAAAADra19s=")</f>
        <v>#REF!</v>
      </c>
      <c r="HM248" t="e">
        <f>AND(#REF!,"AAAAADra19w=")</f>
        <v>#REF!</v>
      </c>
      <c r="HN248" t="e">
        <f>AND(#REF!,"AAAAADra190=")</f>
        <v>#REF!</v>
      </c>
      <c r="HO248" t="e">
        <f>AND(#REF!,"AAAAADra194=")</f>
        <v>#REF!</v>
      </c>
      <c r="HP248" t="e">
        <f>IF(#REF!,"AAAAADra198=",0)</f>
        <v>#REF!</v>
      </c>
      <c r="HQ248" t="e">
        <f>AND(#REF!,"AAAAADra1+A=")</f>
        <v>#REF!</v>
      </c>
      <c r="HR248" t="e">
        <f>AND(#REF!,"AAAAADra1+E=")</f>
        <v>#REF!</v>
      </c>
      <c r="HS248" t="e">
        <f>AND(#REF!,"AAAAADra1+I=")</f>
        <v>#REF!</v>
      </c>
      <c r="HT248" t="e">
        <f>AND(#REF!,"AAAAADra1+M=")</f>
        <v>#REF!</v>
      </c>
      <c r="HU248" t="e">
        <f>AND(#REF!,"AAAAADra1+Q=")</f>
        <v>#REF!</v>
      </c>
      <c r="HV248" t="e">
        <f>AND(#REF!,"AAAAADra1+U=")</f>
        <v>#REF!</v>
      </c>
      <c r="HW248" t="e">
        <f>AND(#REF!,"AAAAADra1+Y=")</f>
        <v>#REF!</v>
      </c>
      <c r="HX248" t="e">
        <f>AND(#REF!,"AAAAADra1+c=")</f>
        <v>#REF!</v>
      </c>
      <c r="HY248" t="e">
        <f>AND(#REF!,"AAAAADra1+g=")</f>
        <v>#REF!</v>
      </c>
      <c r="HZ248" t="e">
        <f>AND(#REF!,"AAAAADra1+k=")</f>
        <v>#REF!</v>
      </c>
      <c r="IA248" t="e">
        <f>IF(#REF!,"AAAAADra1+o=",0)</f>
        <v>#REF!</v>
      </c>
      <c r="IB248" t="e">
        <f>AND(#REF!,"AAAAADra1+s=")</f>
        <v>#REF!</v>
      </c>
      <c r="IC248" t="e">
        <f>AND(#REF!,"AAAAADra1+w=")</f>
        <v>#REF!</v>
      </c>
      <c r="ID248" t="e">
        <f>AND(#REF!,"AAAAADra1+0=")</f>
        <v>#REF!</v>
      </c>
      <c r="IE248" t="e">
        <f>AND(#REF!,"AAAAADra1+4=")</f>
        <v>#REF!</v>
      </c>
      <c r="IF248" t="e">
        <f>AND(#REF!,"AAAAADra1+8=")</f>
        <v>#REF!</v>
      </c>
      <c r="IG248" t="e">
        <f>AND(#REF!,"AAAAADra1/A=")</f>
        <v>#REF!</v>
      </c>
      <c r="IH248" t="e">
        <f>AND(#REF!,"AAAAADra1/E=")</f>
        <v>#REF!</v>
      </c>
      <c r="II248" t="e">
        <f>AND(#REF!,"AAAAADra1/I=")</f>
        <v>#REF!</v>
      </c>
      <c r="IJ248" t="e">
        <f>AND(#REF!,"AAAAADra1/M=")</f>
        <v>#REF!</v>
      </c>
      <c r="IK248" t="e">
        <f>AND(#REF!,"AAAAADra1/Q=")</f>
        <v>#REF!</v>
      </c>
      <c r="IL248" t="e">
        <f>IF(#REF!,"AAAAADra1/U=",0)</f>
        <v>#REF!</v>
      </c>
      <c r="IM248" t="e">
        <f>AND(#REF!,"AAAAADra1/Y=")</f>
        <v>#REF!</v>
      </c>
      <c r="IN248" t="e">
        <f>AND(#REF!,"AAAAADra1/c=")</f>
        <v>#REF!</v>
      </c>
      <c r="IO248" t="e">
        <f>AND(#REF!,"AAAAADra1/g=")</f>
        <v>#REF!</v>
      </c>
      <c r="IP248" t="e">
        <f>AND(#REF!,"AAAAADra1/k=")</f>
        <v>#REF!</v>
      </c>
      <c r="IQ248" t="e">
        <f>AND(#REF!,"AAAAADra1/o=")</f>
        <v>#REF!</v>
      </c>
      <c r="IR248" t="e">
        <f>AND(#REF!,"AAAAADra1/s=")</f>
        <v>#REF!</v>
      </c>
      <c r="IS248" t="e">
        <f>AND(#REF!,"AAAAADra1/w=")</f>
        <v>#REF!</v>
      </c>
      <c r="IT248" t="e">
        <f>AND(#REF!,"AAAAADra1/0=")</f>
        <v>#REF!</v>
      </c>
      <c r="IU248" t="e">
        <f>AND(#REF!,"AAAAADra1/4=")</f>
        <v>#REF!</v>
      </c>
      <c r="IV248" t="e">
        <f>AND(#REF!,"AAAAADra1/8=")</f>
        <v>#REF!</v>
      </c>
    </row>
    <row r="249" spans="1:256" x14ac:dyDescent="0.25">
      <c r="A249" t="e">
        <f>IF(#REF!,"AAAAAHPv+wA=",0)</f>
        <v>#REF!</v>
      </c>
      <c r="B249" t="e">
        <f>AND(#REF!,"AAAAAHPv+wE=")</f>
        <v>#REF!</v>
      </c>
      <c r="C249" t="e">
        <f>AND(#REF!,"AAAAAHPv+wI=")</f>
        <v>#REF!</v>
      </c>
      <c r="D249" t="e">
        <f>AND(#REF!,"AAAAAHPv+wM=")</f>
        <v>#REF!</v>
      </c>
      <c r="E249" t="e">
        <f>AND(#REF!,"AAAAAHPv+wQ=")</f>
        <v>#REF!</v>
      </c>
      <c r="F249" t="e">
        <f>AND(#REF!,"AAAAAHPv+wU=")</f>
        <v>#REF!</v>
      </c>
      <c r="G249" t="e">
        <f>AND(#REF!,"AAAAAHPv+wY=")</f>
        <v>#REF!</v>
      </c>
      <c r="H249" t="e">
        <f>AND(#REF!,"AAAAAHPv+wc=")</f>
        <v>#REF!</v>
      </c>
      <c r="I249" t="e">
        <f>AND(#REF!,"AAAAAHPv+wg=")</f>
        <v>#REF!</v>
      </c>
      <c r="J249" t="e">
        <f>AND(#REF!,"AAAAAHPv+wk=")</f>
        <v>#REF!</v>
      </c>
      <c r="K249" t="e">
        <f>AND(#REF!,"AAAAAHPv+wo=")</f>
        <v>#REF!</v>
      </c>
      <c r="L249" t="e">
        <f>IF(#REF!,"AAAAAHPv+ws=",0)</f>
        <v>#REF!</v>
      </c>
      <c r="M249" t="e">
        <f>AND(#REF!,"AAAAAHPv+ww=")</f>
        <v>#REF!</v>
      </c>
      <c r="N249" t="e">
        <f>AND(#REF!,"AAAAAHPv+w0=")</f>
        <v>#REF!</v>
      </c>
      <c r="O249" t="e">
        <f>AND(#REF!,"AAAAAHPv+w4=")</f>
        <v>#REF!</v>
      </c>
      <c r="P249" t="e">
        <f>AND(#REF!,"AAAAAHPv+w8=")</f>
        <v>#REF!</v>
      </c>
      <c r="Q249" t="e">
        <f>AND(#REF!,"AAAAAHPv+xA=")</f>
        <v>#REF!</v>
      </c>
      <c r="R249" t="e">
        <f>AND(#REF!,"AAAAAHPv+xE=")</f>
        <v>#REF!</v>
      </c>
      <c r="S249" t="e">
        <f>AND(#REF!,"AAAAAHPv+xI=")</f>
        <v>#REF!</v>
      </c>
      <c r="T249" t="e">
        <f>AND(#REF!,"AAAAAHPv+xM=")</f>
        <v>#REF!</v>
      </c>
      <c r="U249" t="e">
        <f>AND(#REF!,"AAAAAHPv+xQ=")</f>
        <v>#REF!</v>
      </c>
      <c r="V249" t="e">
        <f>AND(#REF!,"AAAAAHPv+xU=")</f>
        <v>#REF!</v>
      </c>
      <c r="W249" t="e">
        <f>IF(#REF!,"AAAAAHPv+xY=",0)</f>
        <v>#REF!</v>
      </c>
      <c r="X249" t="e">
        <f>AND(#REF!,"AAAAAHPv+xc=")</f>
        <v>#REF!</v>
      </c>
      <c r="Y249" t="e">
        <f>AND(#REF!,"AAAAAHPv+xg=")</f>
        <v>#REF!</v>
      </c>
      <c r="Z249" t="e">
        <f>AND(#REF!,"AAAAAHPv+xk=")</f>
        <v>#REF!</v>
      </c>
      <c r="AA249" t="e">
        <f>AND(#REF!,"AAAAAHPv+xo=")</f>
        <v>#REF!</v>
      </c>
      <c r="AB249" t="e">
        <f>AND(#REF!,"AAAAAHPv+xs=")</f>
        <v>#REF!</v>
      </c>
      <c r="AC249" t="e">
        <f>AND(#REF!,"AAAAAHPv+xw=")</f>
        <v>#REF!</v>
      </c>
      <c r="AD249" t="e">
        <f>AND(#REF!,"AAAAAHPv+x0=")</f>
        <v>#REF!</v>
      </c>
      <c r="AE249" t="e">
        <f>AND(#REF!,"AAAAAHPv+x4=")</f>
        <v>#REF!</v>
      </c>
      <c r="AF249" t="e">
        <f>AND(#REF!,"AAAAAHPv+x8=")</f>
        <v>#REF!</v>
      </c>
      <c r="AG249" t="e">
        <f>AND(#REF!,"AAAAAHPv+yA=")</f>
        <v>#REF!</v>
      </c>
      <c r="AH249" t="e">
        <f>IF(#REF!,"AAAAAHPv+yE=",0)</f>
        <v>#REF!</v>
      </c>
      <c r="AI249" t="e">
        <f>AND(#REF!,"AAAAAHPv+yI=")</f>
        <v>#REF!</v>
      </c>
      <c r="AJ249" t="e">
        <f>AND(#REF!,"AAAAAHPv+yM=")</f>
        <v>#REF!</v>
      </c>
      <c r="AK249" t="e">
        <f>AND(#REF!,"AAAAAHPv+yQ=")</f>
        <v>#REF!</v>
      </c>
      <c r="AL249" t="e">
        <f>AND(#REF!,"AAAAAHPv+yU=")</f>
        <v>#REF!</v>
      </c>
      <c r="AM249" t="e">
        <f>AND(#REF!,"AAAAAHPv+yY=")</f>
        <v>#REF!</v>
      </c>
      <c r="AN249" t="e">
        <f>AND(#REF!,"AAAAAHPv+yc=")</f>
        <v>#REF!</v>
      </c>
      <c r="AO249" t="e">
        <f>AND(#REF!,"AAAAAHPv+yg=")</f>
        <v>#REF!</v>
      </c>
      <c r="AP249" t="e">
        <f>AND(#REF!,"AAAAAHPv+yk=")</f>
        <v>#REF!</v>
      </c>
      <c r="AQ249" t="e">
        <f>AND(#REF!,"AAAAAHPv+yo=")</f>
        <v>#REF!</v>
      </c>
      <c r="AR249" t="e">
        <f>AND(#REF!,"AAAAAHPv+ys=")</f>
        <v>#REF!</v>
      </c>
      <c r="AS249" t="e">
        <f>IF(#REF!,"AAAAAHPv+yw=",0)</f>
        <v>#REF!</v>
      </c>
      <c r="AT249" t="e">
        <f>AND(#REF!,"AAAAAHPv+y0=")</f>
        <v>#REF!</v>
      </c>
      <c r="AU249" t="e">
        <f>AND(#REF!,"AAAAAHPv+y4=")</f>
        <v>#REF!</v>
      </c>
      <c r="AV249" t="e">
        <f>AND(#REF!,"AAAAAHPv+y8=")</f>
        <v>#REF!</v>
      </c>
      <c r="AW249" t="e">
        <f>AND(#REF!,"AAAAAHPv+zA=")</f>
        <v>#REF!</v>
      </c>
      <c r="AX249" t="e">
        <f>AND(#REF!,"AAAAAHPv+zE=")</f>
        <v>#REF!</v>
      </c>
      <c r="AY249" t="e">
        <f>AND(#REF!,"AAAAAHPv+zI=")</f>
        <v>#REF!</v>
      </c>
      <c r="AZ249" t="e">
        <f>AND(#REF!,"AAAAAHPv+zM=")</f>
        <v>#REF!</v>
      </c>
      <c r="BA249" t="e">
        <f>AND(#REF!,"AAAAAHPv+zQ=")</f>
        <v>#REF!</v>
      </c>
      <c r="BB249" t="e">
        <f>AND(#REF!,"AAAAAHPv+zU=")</f>
        <v>#REF!</v>
      </c>
      <c r="BC249" t="e">
        <f>AND(#REF!,"AAAAAHPv+zY=")</f>
        <v>#REF!</v>
      </c>
      <c r="BD249" t="e">
        <f>IF(#REF!,"AAAAAHPv+zc=",0)</f>
        <v>#REF!</v>
      </c>
      <c r="BE249" t="e">
        <f>AND(#REF!,"AAAAAHPv+zg=")</f>
        <v>#REF!</v>
      </c>
      <c r="BF249" t="e">
        <f>AND(#REF!,"AAAAAHPv+zk=")</f>
        <v>#REF!</v>
      </c>
      <c r="BG249" t="e">
        <f>AND(#REF!,"AAAAAHPv+zo=")</f>
        <v>#REF!</v>
      </c>
      <c r="BH249" t="e">
        <f>AND(#REF!,"AAAAAHPv+zs=")</f>
        <v>#REF!</v>
      </c>
      <c r="BI249" t="e">
        <f>AND(#REF!,"AAAAAHPv+zw=")</f>
        <v>#REF!</v>
      </c>
      <c r="BJ249" t="e">
        <f>AND(#REF!,"AAAAAHPv+z0=")</f>
        <v>#REF!</v>
      </c>
      <c r="BK249" t="e">
        <f>AND(#REF!,"AAAAAHPv+z4=")</f>
        <v>#REF!</v>
      </c>
      <c r="BL249" t="e">
        <f>AND(#REF!,"AAAAAHPv+z8=")</f>
        <v>#REF!</v>
      </c>
      <c r="BM249" t="e">
        <f>AND(#REF!,"AAAAAHPv+0A=")</f>
        <v>#REF!</v>
      </c>
      <c r="BN249" t="e">
        <f>AND(#REF!,"AAAAAHPv+0E=")</f>
        <v>#REF!</v>
      </c>
      <c r="BO249" t="e">
        <f>IF(#REF!,"AAAAAHPv+0I=",0)</f>
        <v>#REF!</v>
      </c>
      <c r="BP249" t="e">
        <f>AND(#REF!,"AAAAAHPv+0M=")</f>
        <v>#REF!</v>
      </c>
      <c r="BQ249" t="e">
        <f>AND(#REF!,"AAAAAHPv+0Q=")</f>
        <v>#REF!</v>
      </c>
      <c r="BR249" t="e">
        <f>AND(#REF!,"AAAAAHPv+0U=")</f>
        <v>#REF!</v>
      </c>
      <c r="BS249" t="e">
        <f>AND(#REF!,"AAAAAHPv+0Y=")</f>
        <v>#REF!</v>
      </c>
      <c r="BT249" t="e">
        <f>AND(#REF!,"AAAAAHPv+0c=")</f>
        <v>#REF!</v>
      </c>
      <c r="BU249" t="e">
        <f>AND(#REF!,"AAAAAHPv+0g=")</f>
        <v>#REF!</v>
      </c>
      <c r="BV249" t="e">
        <f>AND(#REF!,"AAAAAHPv+0k=")</f>
        <v>#REF!</v>
      </c>
      <c r="BW249" t="e">
        <f>AND(#REF!,"AAAAAHPv+0o=")</f>
        <v>#REF!</v>
      </c>
      <c r="BX249" t="e">
        <f>AND(#REF!,"AAAAAHPv+0s=")</f>
        <v>#REF!</v>
      </c>
      <c r="BY249" t="e">
        <f>AND(#REF!,"AAAAAHPv+0w=")</f>
        <v>#REF!</v>
      </c>
      <c r="BZ249" t="e">
        <f>IF(#REF!,"AAAAAHPv+00=",0)</f>
        <v>#REF!</v>
      </c>
      <c r="CA249" t="e">
        <f>AND(#REF!,"AAAAAHPv+04=")</f>
        <v>#REF!</v>
      </c>
      <c r="CB249" t="e">
        <f>AND(#REF!,"AAAAAHPv+08=")</f>
        <v>#REF!</v>
      </c>
      <c r="CC249" t="e">
        <f>AND(#REF!,"AAAAAHPv+1A=")</f>
        <v>#REF!</v>
      </c>
      <c r="CD249" t="e">
        <f>AND(#REF!,"AAAAAHPv+1E=")</f>
        <v>#REF!</v>
      </c>
      <c r="CE249" t="e">
        <f>AND(#REF!,"AAAAAHPv+1I=")</f>
        <v>#REF!</v>
      </c>
      <c r="CF249" t="e">
        <f>AND(#REF!,"AAAAAHPv+1M=")</f>
        <v>#REF!</v>
      </c>
      <c r="CG249" t="e">
        <f>AND(#REF!,"AAAAAHPv+1Q=")</f>
        <v>#REF!</v>
      </c>
      <c r="CH249" t="e">
        <f>AND(#REF!,"AAAAAHPv+1U=")</f>
        <v>#REF!</v>
      </c>
      <c r="CI249" t="e">
        <f>AND(#REF!,"AAAAAHPv+1Y=")</f>
        <v>#REF!</v>
      </c>
      <c r="CJ249" t="e">
        <f>AND(#REF!,"AAAAAHPv+1c=")</f>
        <v>#REF!</v>
      </c>
      <c r="CK249" t="e">
        <f>IF(#REF!,"AAAAAHPv+1g=",0)</f>
        <v>#REF!</v>
      </c>
      <c r="CL249" t="e">
        <f>AND(#REF!,"AAAAAHPv+1k=")</f>
        <v>#REF!</v>
      </c>
      <c r="CM249" t="e">
        <f>AND(#REF!,"AAAAAHPv+1o=")</f>
        <v>#REF!</v>
      </c>
      <c r="CN249" t="e">
        <f>AND(#REF!,"AAAAAHPv+1s=")</f>
        <v>#REF!</v>
      </c>
      <c r="CO249" t="e">
        <f>AND(#REF!,"AAAAAHPv+1w=")</f>
        <v>#REF!</v>
      </c>
      <c r="CP249" t="e">
        <f>AND(#REF!,"AAAAAHPv+10=")</f>
        <v>#REF!</v>
      </c>
      <c r="CQ249" t="e">
        <f>AND(#REF!,"AAAAAHPv+14=")</f>
        <v>#REF!</v>
      </c>
      <c r="CR249" t="e">
        <f>AND(#REF!,"AAAAAHPv+18=")</f>
        <v>#REF!</v>
      </c>
      <c r="CS249" t="e">
        <f>AND(#REF!,"AAAAAHPv+2A=")</f>
        <v>#REF!</v>
      </c>
      <c r="CT249" t="e">
        <f>AND(#REF!,"AAAAAHPv+2E=")</f>
        <v>#REF!</v>
      </c>
      <c r="CU249" t="e">
        <f>AND(#REF!,"AAAAAHPv+2I=")</f>
        <v>#REF!</v>
      </c>
      <c r="CV249" t="e">
        <f>IF(#REF!,"AAAAAHPv+2M=",0)</f>
        <v>#REF!</v>
      </c>
      <c r="CW249" t="e">
        <f>AND(#REF!,"AAAAAHPv+2Q=")</f>
        <v>#REF!</v>
      </c>
      <c r="CX249" t="e">
        <f>AND(#REF!,"AAAAAHPv+2U=")</f>
        <v>#REF!</v>
      </c>
      <c r="CY249" t="e">
        <f>AND(#REF!,"AAAAAHPv+2Y=")</f>
        <v>#REF!</v>
      </c>
      <c r="CZ249" t="e">
        <f>AND(#REF!,"AAAAAHPv+2c=")</f>
        <v>#REF!</v>
      </c>
      <c r="DA249" t="e">
        <f>AND(#REF!,"AAAAAHPv+2g=")</f>
        <v>#REF!</v>
      </c>
      <c r="DB249" t="e">
        <f>AND(#REF!,"AAAAAHPv+2k=")</f>
        <v>#REF!</v>
      </c>
      <c r="DC249" t="e">
        <f>AND(#REF!,"AAAAAHPv+2o=")</f>
        <v>#REF!</v>
      </c>
      <c r="DD249" t="e">
        <f>AND(#REF!,"AAAAAHPv+2s=")</f>
        <v>#REF!</v>
      </c>
      <c r="DE249" t="e">
        <f>AND(#REF!,"AAAAAHPv+2w=")</f>
        <v>#REF!</v>
      </c>
      <c r="DF249" t="e">
        <f>AND(#REF!,"AAAAAHPv+20=")</f>
        <v>#REF!</v>
      </c>
      <c r="DG249" t="e">
        <f>IF(#REF!,"AAAAAHPv+24=",0)</f>
        <v>#REF!</v>
      </c>
      <c r="DH249" t="e">
        <f>AND(#REF!,"AAAAAHPv+28=")</f>
        <v>#REF!</v>
      </c>
      <c r="DI249" t="e">
        <f>AND(#REF!,"AAAAAHPv+3A=")</f>
        <v>#REF!</v>
      </c>
      <c r="DJ249" t="e">
        <f>AND(#REF!,"AAAAAHPv+3E=")</f>
        <v>#REF!</v>
      </c>
      <c r="DK249" t="e">
        <f>AND(#REF!,"AAAAAHPv+3I=")</f>
        <v>#REF!</v>
      </c>
      <c r="DL249" t="e">
        <f>AND(#REF!,"AAAAAHPv+3M=")</f>
        <v>#REF!</v>
      </c>
      <c r="DM249" t="e">
        <f>AND(#REF!,"AAAAAHPv+3Q=")</f>
        <v>#REF!</v>
      </c>
      <c r="DN249" t="e">
        <f>AND(#REF!,"AAAAAHPv+3U=")</f>
        <v>#REF!</v>
      </c>
      <c r="DO249" t="e">
        <f>AND(#REF!,"AAAAAHPv+3Y=")</f>
        <v>#REF!</v>
      </c>
      <c r="DP249" t="e">
        <f>AND(#REF!,"AAAAAHPv+3c=")</f>
        <v>#REF!</v>
      </c>
      <c r="DQ249" t="e">
        <f>AND(#REF!,"AAAAAHPv+3g=")</f>
        <v>#REF!</v>
      </c>
      <c r="DR249" t="e">
        <f>IF(#REF!,"AAAAAHPv+3k=",0)</f>
        <v>#REF!</v>
      </c>
      <c r="DS249" t="e">
        <f>AND(#REF!,"AAAAAHPv+3o=")</f>
        <v>#REF!</v>
      </c>
      <c r="DT249" t="e">
        <f>AND(#REF!,"AAAAAHPv+3s=")</f>
        <v>#REF!</v>
      </c>
      <c r="DU249" t="e">
        <f>AND(#REF!,"AAAAAHPv+3w=")</f>
        <v>#REF!</v>
      </c>
      <c r="DV249" t="e">
        <f>AND(#REF!,"AAAAAHPv+30=")</f>
        <v>#REF!</v>
      </c>
      <c r="DW249" t="e">
        <f>AND(#REF!,"AAAAAHPv+34=")</f>
        <v>#REF!</v>
      </c>
      <c r="DX249" t="e">
        <f>AND(#REF!,"AAAAAHPv+38=")</f>
        <v>#REF!</v>
      </c>
      <c r="DY249" t="e">
        <f>AND(#REF!,"AAAAAHPv+4A=")</f>
        <v>#REF!</v>
      </c>
      <c r="DZ249" t="e">
        <f>AND(#REF!,"AAAAAHPv+4E=")</f>
        <v>#REF!</v>
      </c>
      <c r="EA249" t="e">
        <f>AND(#REF!,"AAAAAHPv+4I=")</f>
        <v>#REF!</v>
      </c>
      <c r="EB249" t="e">
        <f>AND(#REF!,"AAAAAHPv+4M=")</f>
        <v>#REF!</v>
      </c>
      <c r="EC249" t="e">
        <f>IF(#REF!,"AAAAAHPv+4Q=",0)</f>
        <v>#REF!</v>
      </c>
      <c r="ED249" t="e">
        <f>AND(#REF!,"AAAAAHPv+4U=")</f>
        <v>#REF!</v>
      </c>
      <c r="EE249" t="e">
        <f>AND(#REF!,"AAAAAHPv+4Y=")</f>
        <v>#REF!</v>
      </c>
      <c r="EF249" t="e">
        <f>AND(#REF!,"AAAAAHPv+4c=")</f>
        <v>#REF!</v>
      </c>
      <c r="EG249" t="e">
        <f>AND(#REF!,"AAAAAHPv+4g=")</f>
        <v>#REF!</v>
      </c>
      <c r="EH249" t="e">
        <f>AND(#REF!,"AAAAAHPv+4k=")</f>
        <v>#REF!</v>
      </c>
      <c r="EI249" t="e">
        <f>AND(#REF!,"AAAAAHPv+4o=")</f>
        <v>#REF!</v>
      </c>
      <c r="EJ249" t="e">
        <f>AND(#REF!,"AAAAAHPv+4s=")</f>
        <v>#REF!</v>
      </c>
      <c r="EK249" t="e">
        <f>AND(#REF!,"AAAAAHPv+4w=")</f>
        <v>#REF!</v>
      </c>
      <c r="EL249" t="e">
        <f>AND(#REF!,"AAAAAHPv+40=")</f>
        <v>#REF!</v>
      </c>
      <c r="EM249" t="e">
        <f>AND(#REF!,"AAAAAHPv+44=")</f>
        <v>#REF!</v>
      </c>
      <c r="EN249" t="e">
        <f>IF(#REF!,"AAAAAHPv+48=",0)</f>
        <v>#REF!</v>
      </c>
      <c r="EO249" t="e">
        <f>AND(#REF!,"AAAAAHPv+5A=")</f>
        <v>#REF!</v>
      </c>
      <c r="EP249" t="e">
        <f>AND(#REF!,"AAAAAHPv+5E=")</f>
        <v>#REF!</v>
      </c>
      <c r="EQ249" t="e">
        <f>AND(#REF!,"AAAAAHPv+5I=")</f>
        <v>#REF!</v>
      </c>
      <c r="ER249" t="e">
        <f>AND(#REF!,"AAAAAHPv+5M=")</f>
        <v>#REF!</v>
      </c>
      <c r="ES249" t="e">
        <f>AND(#REF!,"AAAAAHPv+5Q=")</f>
        <v>#REF!</v>
      </c>
      <c r="ET249" t="e">
        <f>AND(#REF!,"AAAAAHPv+5U=")</f>
        <v>#REF!</v>
      </c>
      <c r="EU249" t="e">
        <f>AND(#REF!,"AAAAAHPv+5Y=")</f>
        <v>#REF!</v>
      </c>
      <c r="EV249" t="e">
        <f>AND(#REF!,"AAAAAHPv+5c=")</f>
        <v>#REF!</v>
      </c>
      <c r="EW249" t="e">
        <f>AND(#REF!,"AAAAAHPv+5g=")</f>
        <v>#REF!</v>
      </c>
      <c r="EX249" t="e">
        <f>AND(#REF!,"AAAAAHPv+5k=")</f>
        <v>#REF!</v>
      </c>
      <c r="EY249" t="e">
        <f>IF(#REF!,"AAAAAHPv+5o=",0)</f>
        <v>#REF!</v>
      </c>
      <c r="EZ249" t="e">
        <f>AND(#REF!,"AAAAAHPv+5s=")</f>
        <v>#REF!</v>
      </c>
      <c r="FA249" t="e">
        <f>AND(#REF!,"AAAAAHPv+5w=")</f>
        <v>#REF!</v>
      </c>
      <c r="FB249" t="e">
        <f>AND(#REF!,"AAAAAHPv+50=")</f>
        <v>#REF!</v>
      </c>
      <c r="FC249" t="e">
        <f>AND(#REF!,"AAAAAHPv+54=")</f>
        <v>#REF!</v>
      </c>
      <c r="FD249" t="e">
        <f>AND(#REF!,"AAAAAHPv+58=")</f>
        <v>#REF!</v>
      </c>
      <c r="FE249" t="e">
        <f>AND(#REF!,"AAAAAHPv+6A=")</f>
        <v>#REF!</v>
      </c>
      <c r="FF249" t="e">
        <f>AND(#REF!,"AAAAAHPv+6E=")</f>
        <v>#REF!</v>
      </c>
      <c r="FG249" t="e">
        <f>AND(#REF!,"AAAAAHPv+6I=")</f>
        <v>#REF!</v>
      </c>
      <c r="FH249" t="e">
        <f>AND(#REF!,"AAAAAHPv+6M=")</f>
        <v>#REF!</v>
      </c>
      <c r="FI249" t="e">
        <f>AND(#REF!,"AAAAAHPv+6Q=")</f>
        <v>#REF!</v>
      </c>
      <c r="FJ249" t="e">
        <f>IF(#REF!,"AAAAAHPv+6U=",0)</f>
        <v>#REF!</v>
      </c>
      <c r="FK249" t="e">
        <f>AND(#REF!,"AAAAAHPv+6Y=")</f>
        <v>#REF!</v>
      </c>
      <c r="FL249" t="e">
        <f>AND(#REF!,"AAAAAHPv+6c=")</f>
        <v>#REF!</v>
      </c>
      <c r="FM249" t="e">
        <f>AND(#REF!,"AAAAAHPv+6g=")</f>
        <v>#REF!</v>
      </c>
      <c r="FN249" t="e">
        <f>AND(#REF!,"AAAAAHPv+6k=")</f>
        <v>#REF!</v>
      </c>
      <c r="FO249" t="e">
        <f>AND(#REF!,"AAAAAHPv+6o=")</f>
        <v>#REF!</v>
      </c>
      <c r="FP249" t="e">
        <f>AND(#REF!,"AAAAAHPv+6s=")</f>
        <v>#REF!</v>
      </c>
      <c r="FQ249" t="e">
        <f>AND(#REF!,"AAAAAHPv+6w=")</f>
        <v>#REF!</v>
      </c>
      <c r="FR249" t="e">
        <f>AND(#REF!,"AAAAAHPv+60=")</f>
        <v>#REF!</v>
      </c>
      <c r="FS249" t="e">
        <f>AND(#REF!,"AAAAAHPv+64=")</f>
        <v>#REF!</v>
      </c>
      <c r="FT249" t="e">
        <f>AND(#REF!,"AAAAAHPv+68=")</f>
        <v>#REF!</v>
      </c>
      <c r="FU249" t="e">
        <f>IF(#REF!,"AAAAAHPv+7A=",0)</f>
        <v>#REF!</v>
      </c>
      <c r="FV249" t="e">
        <f>AND(#REF!,"AAAAAHPv+7E=")</f>
        <v>#REF!</v>
      </c>
      <c r="FW249" t="e">
        <f>AND(#REF!,"AAAAAHPv+7I=")</f>
        <v>#REF!</v>
      </c>
      <c r="FX249" t="e">
        <f>AND(#REF!,"AAAAAHPv+7M=")</f>
        <v>#REF!</v>
      </c>
      <c r="FY249" t="e">
        <f>AND(#REF!,"AAAAAHPv+7Q=")</f>
        <v>#REF!</v>
      </c>
      <c r="FZ249" t="e">
        <f>AND(#REF!,"AAAAAHPv+7U=")</f>
        <v>#REF!</v>
      </c>
      <c r="GA249" t="e">
        <f>AND(#REF!,"AAAAAHPv+7Y=")</f>
        <v>#REF!</v>
      </c>
      <c r="GB249" t="e">
        <f>AND(#REF!,"AAAAAHPv+7c=")</f>
        <v>#REF!</v>
      </c>
      <c r="GC249" t="e">
        <f>AND(#REF!,"AAAAAHPv+7g=")</f>
        <v>#REF!</v>
      </c>
      <c r="GD249" t="e">
        <f>AND(#REF!,"AAAAAHPv+7k=")</f>
        <v>#REF!</v>
      </c>
      <c r="GE249" t="e">
        <f>AND(#REF!,"AAAAAHPv+7o=")</f>
        <v>#REF!</v>
      </c>
      <c r="GF249" t="e">
        <f>IF(#REF!,"AAAAAHPv+7s=",0)</f>
        <v>#REF!</v>
      </c>
      <c r="GG249" t="e">
        <f>AND(#REF!,"AAAAAHPv+7w=")</f>
        <v>#REF!</v>
      </c>
      <c r="GH249" t="e">
        <f>AND(#REF!,"AAAAAHPv+70=")</f>
        <v>#REF!</v>
      </c>
      <c r="GI249" t="e">
        <f>AND(#REF!,"AAAAAHPv+74=")</f>
        <v>#REF!</v>
      </c>
      <c r="GJ249" t="e">
        <f>AND(#REF!,"AAAAAHPv+78=")</f>
        <v>#REF!</v>
      </c>
      <c r="GK249" t="e">
        <f>AND(#REF!,"AAAAAHPv+8A=")</f>
        <v>#REF!</v>
      </c>
      <c r="GL249" t="e">
        <f>AND(#REF!,"AAAAAHPv+8E=")</f>
        <v>#REF!</v>
      </c>
      <c r="GM249" t="e">
        <f>AND(#REF!,"AAAAAHPv+8I=")</f>
        <v>#REF!</v>
      </c>
      <c r="GN249" t="e">
        <f>AND(#REF!,"AAAAAHPv+8M=")</f>
        <v>#REF!</v>
      </c>
      <c r="GO249" t="e">
        <f>AND(#REF!,"AAAAAHPv+8Q=")</f>
        <v>#REF!</v>
      </c>
      <c r="GP249" t="e">
        <f>AND(#REF!,"AAAAAHPv+8U=")</f>
        <v>#REF!</v>
      </c>
      <c r="GQ249" t="e">
        <f>IF(#REF!,"AAAAAHPv+8Y=",0)</f>
        <v>#REF!</v>
      </c>
      <c r="GR249" t="e">
        <f>AND(#REF!,"AAAAAHPv+8c=")</f>
        <v>#REF!</v>
      </c>
      <c r="GS249" t="e">
        <f>AND(#REF!,"AAAAAHPv+8g=")</f>
        <v>#REF!</v>
      </c>
      <c r="GT249" t="e">
        <f>AND(#REF!,"AAAAAHPv+8k=")</f>
        <v>#REF!</v>
      </c>
      <c r="GU249" t="e">
        <f>AND(#REF!,"AAAAAHPv+8o=")</f>
        <v>#REF!</v>
      </c>
      <c r="GV249" t="e">
        <f>AND(#REF!,"AAAAAHPv+8s=")</f>
        <v>#REF!</v>
      </c>
      <c r="GW249" t="e">
        <f>AND(#REF!,"AAAAAHPv+8w=")</f>
        <v>#REF!</v>
      </c>
      <c r="GX249" t="e">
        <f>AND(#REF!,"AAAAAHPv+80=")</f>
        <v>#REF!</v>
      </c>
      <c r="GY249" t="e">
        <f>AND(#REF!,"AAAAAHPv+84=")</f>
        <v>#REF!</v>
      </c>
      <c r="GZ249" t="e">
        <f>AND(#REF!,"AAAAAHPv+88=")</f>
        <v>#REF!</v>
      </c>
      <c r="HA249" t="e">
        <f>AND(#REF!,"AAAAAHPv+9A=")</f>
        <v>#REF!</v>
      </c>
      <c r="HB249" t="e">
        <f>IF(#REF!,"AAAAAHPv+9E=",0)</f>
        <v>#REF!</v>
      </c>
      <c r="HC249" t="e">
        <f>AND(#REF!,"AAAAAHPv+9I=")</f>
        <v>#REF!</v>
      </c>
      <c r="HD249" t="e">
        <f>AND(#REF!,"AAAAAHPv+9M=")</f>
        <v>#REF!</v>
      </c>
      <c r="HE249" t="e">
        <f>AND(#REF!,"AAAAAHPv+9Q=")</f>
        <v>#REF!</v>
      </c>
      <c r="HF249" t="e">
        <f>AND(#REF!,"AAAAAHPv+9U=")</f>
        <v>#REF!</v>
      </c>
      <c r="HG249" t="e">
        <f>AND(#REF!,"AAAAAHPv+9Y=")</f>
        <v>#REF!</v>
      </c>
      <c r="HH249" t="e">
        <f>AND(#REF!,"AAAAAHPv+9c=")</f>
        <v>#REF!</v>
      </c>
      <c r="HI249" t="e">
        <f>AND(#REF!,"AAAAAHPv+9g=")</f>
        <v>#REF!</v>
      </c>
      <c r="HJ249" t="e">
        <f>AND(#REF!,"AAAAAHPv+9k=")</f>
        <v>#REF!</v>
      </c>
      <c r="HK249" t="e">
        <f>AND(#REF!,"AAAAAHPv+9o=")</f>
        <v>#REF!</v>
      </c>
      <c r="HL249" t="e">
        <f>AND(#REF!,"AAAAAHPv+9s=")</f>
        <v>#REF!</v>
      </c>
      <c r="HM249" t="e">
        <f>IF(#REF!,"AAAAAHPv+9w=",0)</f>
        <v>#REF!</v>
      </c>
      <c r="HN249" t="e">
        <f>AND(#REF!,"AAAAAHPv+90=")</f>
        <v>#REF!</v>
      </c>
      <c r="HO249" t="e">
        <f>AND(#REF!,"AAAAAHPv+94=")</f>
        <v>#REF!</v>
      </c>
      <c r="HP249" t="e">
        <f>AND(#REF!,"AAAAAHPv+98=")</f>
        <v>#REF!</v>
      </c>
      <c r="HQ249" t="e">
        <f>AND(#REF!,"AAAAAHPv++A=")</f>
        <v>#REF!</v>
      </c>
      <c r="HR249" t="e">
        <f>AND(#REF!,"AAAAAHPv++E=")</f>
        <v>#REF!</v>
      </c>
      <c r="HS249" t="e">
        <f>AND(#REF!,"AAAAAHPv++I=")</f>
        <v>#REF!</v>
      </c>
      <c r="HT249" t="e">
        <f>AND(#REF!,"AAAAAHPv++M=")</f>
        <v>#REF!</v>
      </c>
      <c r="HU249" t="e">
        <f>AND(#REF!,"AAAAAHPv++Q=")</f>
        <v>#REF!</v>
      </c>
      <c r="HV249" t="e">
        <f>AND(#REF!,"AAAAAHPv++U=")</f>
        <v>#REF!</v>
      </c>
      <c r="HW249" t="e">
        <f>AND(#REF!,"AAAAAHPv++Y=")</f>
        <v>#REF!</v>
      </c>
      <c r="HX249" t="e">
        <f>IF(#REF!,"AAAAAHPv++c=",0)</f>
        <v>#REF!</v>
      </c>
      <c r="HY249" t="e">
        <f>AND(#REF!,"AAAAAHPv++g=")</f>
        <v>#REF!</v>
      </c>
      <c r="HZ249" t="e">
        <f>AND(#REF!,"AAAAAHPv++k=")</f>
        <v>#REF!</v>
      </c>
      <c r="IA249" t="e">
        <f>AND(#REF!,"AAAAAHPv++o=")</f>
        <v>#REF!</v>
      </c>
      <c r="IB249" t="e">
        <f>AND(#REF!,"AAAAAHPv++s=")</f>
        <v>#REF!</v>
      </c>
      <c r="IC249" t="e">
        <f>AND(#REF!,"AAAAAHPv++w=")</f>
        <v>#REF!</v>
      </c>
      <c r="ID249" t="e">
        <f>AND(#REF!,"AAAAAHPv++0=")</f>
        <v>#REF!</v>
      </c>
      <c r="IE249" t="e">
        <f>AND(#REF!,"AAAAAHPv++4=")</f>
        <v>#REF!</v>
      </c>
      <c r="IF249" t="e">
        <f>AND(#REF!,"AAAAAHPv++8=")</f>
        <v>#REF!</v>
      </c>
      <c r="IG249" t="e">
        <f>AND(#REF!,"AAAAAHPv+/A=")</f>
        <v>#REF!</v>
      </c>
      <c r="IH249" t="e">
        <f>AND(#REF!,"AAAAAHPv+/E=")</f>
        <v>#REF!</v>
      </c>
      <c r="II249" t="e">
        <f>IF(#REF!,"AAAAAHPv+/I=",0)</f>
        <v>#REF!</v>
      </c>
      <c r="IJ249" t="e">
        <f>AND(#REF!,"AAAAAHPv+/M=")</f>
        <v>#REF!</v>
      </c>
      <c r="IK249" t="e">
        <f>AND(#REF!,"AAAAAHPv+/Q=")</f>
        <v>#REF!</v>
      </c>
      <c r="IL249" t="e">
        <f>AND(#REF!,"AAAAAHPv+/U=")</f>
        <v>#REF!</v>
      </c>
      <c r="IM249" t="e">
        <f>AND(#REF!,"AAAAAHPv+/Y=")</f>
        <v>#REF!</v>
      </c>
      <c r="IN249" t="e">
        <f>AND(#REF!,"AAAAAHPv+/c=")</f>
        <v>#REF!</v>
      </c>
      <c r="IO249" t="e">
        <f>AND(#REF!,"AAAAAHPv+/g=")</f>
        <v>#REF!</v>
      </c>
      <c r="IP249" t="e">
        <f>AND(#REF!,"AAAAAHPv+/k=")</f>
        <v>#REF!</v>
      </c>
      <c r="IQ249" t="e">
        <f>AND(#REF!,"AAAAAHPv+/o=")</f>
        <v>#REF!</v>
      </c>
      <c r="IR249" t="e">
        <f>AND(#REF!,"AAAAAHPv+/s=")</f>
        <v>#REF!</v>
      </c>
      <c r="IS249" t="e">
        <f>AND(#REF!,"AAAAAHPv+/w=")</f>
        <v>#REF!</v>
      </c>
      <c r="IT249" t="e">
        <f>IF(#REF!,"AAAAAHPv+/0=",0)</f>
        <v>#REF!</v>
      </c>
      <c r="IU249" t="e">
        <f>AND(#REF!,"AAAAAHPv+/4=")</f>
        <v>#REF!</v>
      </c>
      <c r="IV249" t="e">
        <f>AND(#REF!,"AAAAAHPv+/8=")</f>
        <v>#REF!</v>
      </c>
    </row>
    <row r="250" spans="1:256" x14ac:dyDescent="0.25">
      <c r="A250" t="e">
        <f>AND(#REF!,"AAAAAF73fAA=")</f>
        <v>#REF!</v>
      </c>
      <c r="B250" t="e">
        <f>AND(#REF!,"AAAAAF73fAE=")</f>
        <v>#REF!</v>
      </c>
      <c r="C250" t="e">
        <f>AND(#REF!,"AAAAAF73fAI=")</f>
        <v>#REF!</v>
      </c>
      <c r="D250" t="e">
        <f>AND(#REF!,"AAAAAF73fAM=")</f>
        <v>#REF!</v>
      </c>
      <c r="E250" t="e">
        <f>AND(#REF!,"AAAAAF73fAQ=")</f>
        <v>#REF!</v>
      </c>
      <c r="F250" t="e">
        <f>AND(#REF!,"AAAAAF73fAU=")</f>
        <v>#REF!</v>
      </c>
      <c r="G250" t="e">
        <f>AND(#REF!,"AAAAAF73fAY=")</f>
        <v>#REF!</v>
      </c>
      <c r="H250" t="e">
        <f>AND(#REF!,"AAAAAF73fAc=")</f>
        <v>#REF!</v>
      </c>
      <c r="I250" t="e">
        <f>IF(#REF!,"AAAAAF73fAg=",0)</f>
        <v>#REF!</v>
      </c>
      <c r="J250" t="e">
        <f>AND(#REF!,"AAAAAF73fAk=")</f>
        <v>#REF!</v>
      </c>
      <c r="K250" t="e">
        <f>AND(#REF!,"AAAAAF73fAo=")</f>
        <v>#REF!</v>
      </c>
      <c r="L250" t="e">
        <f>AND(#REF!,"AAAAAF73fAs=")</f>
        <v>#REF!</v>
      </c>
      <c r="M250" t="e">
        <f>AND(#REF!,"AAAAAF73fAw=")</f>
        <v>#REF!</v>
      </c>
      <c r="N250" t="e">
        <f>AND(#REF!,"AAAAAF73fA0=")</f>
        <v>#REF!</v>
      </c>
      <c r="O250" t="e">
        <f>AND(#REF!,"AAAAAF73fA4=")</f>
        <v>#REF!</v>
      </c>
      <c r="P250" t="e">
        <f>AND(#REF!,"AAAAAF73fA8=")</f>
        <v>#REF!</v>
      </c>
      <c r="Q250" t="e">
        <f>AND(#REF!,"AAAAAF73fBA=")</f>
        <v>#REF!</v>
      </c>
      <c r="R250" t="e">
        <f>AND(#REF!,"AAAAAF73fBE=")</f>
        <v>#REF!</v>
      </c>
      <c r="S250" t="e">
        <f>AND(#REF!,"AAAAAF73fBI=")</f>
        <v>#REF!</v>
      </c>
      <c r="T250" t="e">
        <f>IF(#REF!,"AAAAAF73fBM=",0)</f>
        <v>#REF!</v>
      </c>
      <c r="U250" t="e">
        <f>AND(#REF!,"AAAAAF73fBQ=")</f>
        <v>#REF!</v>
      </c>
      <c r="V250" t="e">
        <f>AND(#REF!,"AAAAAF73fBU=")</f>
        <v>#REF!</v>
      </c>
      <c r="W250" t="e">
        <f>AND(#REF!,"AAAAAF73fBY=")</f>
        <v>#REF!</v>
      </c>
      <c r="X250" t="e">
        <f>AND(#REF!,"AAAAAF73fBc=")</f>
        <v>#REF!</v>
      </c>
      <c r="Y250" t="e">
        <f>AND(#REF!,"AAAAAF73fBg=")</f>
        <v>#REF!</v>
      </c>
      <c r="Z250" t="e">
        <f>AND(#REF!,"AAAAAF73fBk=")</f>
        <v>#REF!</v>
      </c>
      <c r="AA250" t="e">
        <f>AND(#REF!,"AAAAAF73fBo=")</f>
        <v>#REF!</v>
      </c>
      <c r="AB250" t="e">
        <f>AND(#REF!,"AAAAAF73fBs=")</f>
        <v>#REF!</v>
      </c>
      <c r="AC250" t="e">
        <f>AND(#REF!,"AAAAAF73fBw=")</f>
        <v>#REF!</v>
      </c>
      <c r="AD250" t="e">
        <f>AND(#REF!,"AAAAAF73fB0=")</f>
        <v>#REF!</v>
      </c>
      <c r="AE250" t="e">
        <f>IF(#REF!,"AAAAAF73fB4=",0)</f>
        <v>#REF!</v>
      </c>
      <c r="AF250" t="e">
        <f>AND(#REF!,"AAAAAF73fB8=")</f>
        <v>#REF!</v>
      </c>
      <c r="AG250" t="e">
        <f>AND(#REF!,"AAAAAF73fCA=")</f>
        <v>#REF!</v>
      </c>
      <c r="AH250" t="e">
        <f>AND(#REF!,"AAAAAF73fCE=")</f>
        <v>#REF!</v>
      </c>
      <c r="AI250" t="e">
        <f>AND(#REF!,"AAAAAF73fCI=")</f>
        <v>#REF!</v>
      </c>
      <c r="AJ250" t="e">
        <f>AND(#REF!,"AAAAAF73fCM=")</f>
        <v>#REF!</v>
      </c>
      <c r="AK250" t="e">
        <f>AND(#REF!,"AAAAAF73fCQ=")</f>
        <v>#REF!</v>
      </c>
      <c r="AL250" t="e">
        <f>AND(#REF!,"AAAAAF73fCU=")</f>
        <v>#REF!</v>
      </c>
      <c r="AM250" t="e">
        <f>AND(#REF!,"AAAAAF73fCY=")</f>
        <v>#REF!</v>
      </c>
      <c r="AN250" t="e">
        <f>AND(#REF!,"AAAAAF73fCc=")</f>
        <v>#REF!</v>
      </c>
      <c r="AO250" t="e">
        <f>AND(#REF!,"AAAAAF73fCg=")</f>
        <v>#REF!</v>
      </c>
      <c r="AP250" t="e">
        <f>IF(#REF!,"AAAAAF73fCk=",0)</f>
        <v>#REF!</v>
      </c>
      <c r="AQ250" t="e">
        <f>AND(#REF!,"AAAAAF73fCo=")</f>
        <v>#REF!</v>
      </c>
      <c r="AR250" t="e">
        <f>AND(#REF!,"AAAAAF73fCs=")</f>
        <v>#REF!</v>
      </c>
      <c r="AS250" t="e">
        <f>AND(#REF!,"AAAAAF73fCw=")</f>
        <v>#REF!</v>
      </c>
      <c r="AT250" t="e">
        <f>AND(#REF!,"AAAAAF73fC0=")</f>
        <v>#REF!</v>
      </c>
      <c r="AU250" t="e">
        <f>AND(#REF!,"AAAAAF73fC4=")</f>
        <v>#REF!</v>
      </c>
      <c r="AV250" t="e">
        <f>AND(#REF!,"AAAAAF73fC8=")</f>
        <v>#REF!</v>
      </c>
      <c r="AW250" t="e">
        <f>AND(#REF!,"AAAAAF73fDA=")</f>
        <v>#REF!</v>
      </c>
      <c r="AX250" t="e">
        <f>AND(#REF!,"AAAAAF73fDE=")</f>
        <v>#REF!</v>
      </c>
      <c r="AY250" t="e">
        <f>AND(#REF!,"AAAAAF73fDI=")</f>
        <v>#REF!</v>
      </c>
      <c r="AZ250" t="e">
        <f>AND(#REF!,"AAAAAF73fDM=")</f>
        <v>#REF!</v>
      </c>
      <c r="BA250" t="e">
        <f>IF(#REF!,"AAAAAF73fDQ=",0)</f>
        <v>#REF!</v>
      </c>
      <c r="BB250" t="e">
        <f>AND(#REF!,"AAAAAF73fDU=")</f>
        <v>#REF!</v>
      </c>
      <c r="BC250" t="e">
        <f>AND(#REF!,"AAAAAF73fDY=")</f>
        <v>#REF!</v>
      </c>
      <c r="BD250" t="e">
        <f>AND(#REF!,"AAAAAF73fDc=")</f>
        <v>#REF!</v>
      </c>
      <c r="BE250" t="e">
        <f>AND(#REF!,"AAAAAF73fDg=")</f>
        <v>#REF!</v>
      </c>
      <c r="BF250" t="e">
        <f>AND(#REF!,"AAAAAF73fDk=")</f>
        <v>#REF!</v>
      </c>
      <c r="BG250" t="e">
        <f>AND(#REF!,"AAAAAF73fDo=")</f>
        <v>#REF!</v>
      </c>
      <c r="BH250" t="e">
        <f>AND(#REF!,"AAAAAF73fDs=")</f>
        <v>#REF!</v>
      </c>
      <c r="BI250" t="e">
        <f>AND(#REF!,"AAAAAF73fDw=")</f>
        <v>#REF!</v>
      </c>
      <c r="BJ250" t="e">
        <f>AND(#REF!,"AAAAAF73fD0=")</f>
        <v>#REF!</v>
      </c>
      <c r="BK250" t="e">
        <f>AND(#REF!,"AAAAAF73fD4=")</f>
        <v>#REF!</v>
      </c>
      <c r="BL250" t="e">
        <f>IF(#REF!,"AAAAAF73fD8=",0)</f>
        <v>#REF!</v>
      </c>
      <c r="BM250" t="e">
        <f>AND(#REF!,"AAAAAF73fEA=")</f>
        <v>#REF!</v>
      </c>
      <c r="BN250" t="e">
        <f>AND(#REF!,"AAAAAF73fEE=")</f>
        <v>#REF!</v>
      </c>
      <c r="BO250" t="e">
        <f>AND(#REF!,"AAAAAF73fEI=")</f>
        <v>#REF!</v>
      </c>
      <c r="BP250" t="e">
        <f>AND(#REF!,"AAAAAF73fEM=")</f>
        <v>#REF!</v>
      </c>
      <c r="BQ250" t="e">
        <f>AND(#REF!,"AAAAAF73fEQ=")</f>
        <v>#REF!</v>
      </c>
      <c r="BR250" t="e">
        <f>AND(#REF!,"AAAAAF73fEU=")</f>
        <v>#REF!</v>
      </c>
      <c r="BS250" t="e">
        <f>AND(#REF!,"AAAAAF73fEY=")</f>
        <v>#REF!</v>
      </c>
      <c r="BT250" t="e">
        <f>AND(#REF!,"AAAAAF73fEc=")</f>
        <v>#REF!</v>
      </c>
      <c r="BU250" t="e">
        <f>AND(#REF!,"AAAAAF73fEg=")</f>
        <v>#REF!</v>
      </c>
      <c r="BV250" t="e">
        <f>AND(#REF!,"AAAAAF73fEk=")</f>
        <v>#REF!</v>
      </c>
      <c r="BW250" t="e">
        <f>IF(#REF!,"AAAAAF73fEo=",0)</f>
        <v>#REF!</v>
      </c>
      <c r="BX250" t="e">
        <f>AND(#REF!,"AAAAAF73fEs=")</f>
        <v>#REF!</v>
      </c>
      <c r="BY250" t="e">
        <f>AND(#REF!,"AAAAAF73fEw=")</f>
        <v>#REF!</v>
      </c>
      <c r="BZ250" t="e">
        <f>AND(#REF!,"AAAAAF73fE0=")</f>
        <v>#REF!</v>
      </c>
      <c r="CA250" t="e">
        <f>AND(#REF!,"AAAAAF73fE4=")</f>
        <v>#REF!</v>
      </c>
      <c r="CB250" t="e">
        <f>AND(#REF!,"AAAAAF73fE8=")</f>
        <v>#REF!</v>
      </c>
      <c r="CC250" t="e">
        <f>AND(#REF!,"AAAAAF73fFA=")</f>
        <v>#REF!</v>
      </c>
      <c r="CD250" t="e">
        <f>AND(#REF!,"AAAAAF73fFE=")</f>
        <v>#REF!</v>
      </c>
      <c r="CE250" t="e">
        <f>AND(#REF!,"AAAAAF73fFI=")</f>
        <v>#REF!</v>
      </c>
      <c r="CF250" t="e">
        <f>AND(#REF!,"AAAAAF73fFM=")</f>
        <v>#REF!</v>
      </c>
      <c r="CG250" t="e">
        <f>AND(#REF!,"AAAAAF73fFQ=")</f>
        <v>#REF!</v>
      </c>
      <c r="CH250" t="e">
        <f>IF(#REF!,"AAAAAF73fFU=",0)</f>
        <v>#REF!</v>
      </c>
      <c r="CI250" t="e">
        <f>AND(#REF!,"AAAAAF73fFY=")</f>
        <v>#REF!</v>
      </c>
      <c r="CJ250" t="e">
        <f>AND(#REF!,"AAAAAF73fFc=")</f>
        <v>#REF!</v>
      </c>
      <c r="CK250" t="e">
        <f>AND(#REF!,"AAAAAF73fFg=")</f>
        <v>#REF!</v>
      </c>
      <c r="CL250" t="e">
        <f>AND(#REF!,"AAAAAF73fFk=")</f>
        <v>#REF!</v>
      </c>
      <c r="CM250" t="e">
        <f>AND(#REF!,"AAAAAF73fFo=")</f>
        <v>#REF!</v>
      </c>
      <c r="CN250" t="e">
        <f>AND(#REF!,"AAAAAF73fFs=")</f>
        <v>#REF!</v>
      </c>
      <c r="CO250" t="e">
        <f>AND(#REF!,"AAAAAF73fFw=")</f>
        <v>#REF!</v>
      </c>
      <c r="CP250" t="e">
        <f>AND(#REF!,"AAAAAF73fF0=")</f>
        <v>#REF!</v>
      </c>
      <c r="CQ250" t="e">
        <f>AND(#REF!,"AAAAAF73fF4=")</f>
        <v>#REF!</v>
      </c>
      <c r="CR250" t="e">
        <f>AND(#REF!,"AAAAAF73fF8=")</f>
        <v>#REF!</v>
      </c>
      <c r="CS250" t="e">
        <f>IF(#REF!,"AAAAAF73fGA=",0)</f>
        <v>#REF!</v>
      </c>
      <c r="CT250" t="e">
        <f>AND(#REF!,"AAAAAF73fGE=")</f>
        <v>#REF!</v>
      </c>
      <c r="CU250" t="e">
        <f>AND(#REF!,"AAAAAF73fGI=")</f>
        <v>#REF!</v>
      </c>
      <c r="CV250" t="e">
        <f>AND(#REF!,"AAAAAF73fGM=")</f>
        <v>#REF!</v>
      </c>
      <c r="CW250" t="e">
        <f>AND(#REF!,"AAAAAF73fGQ=")</f>
        <v>#REF!</v>
      </c>
      <c r="CX250" t="e">
        <f>AND(#REF!,"AAAAAF73fGU=")</f>
        <v>#REF!</v>
      </c>
      <c r="CY250" t="e">
        <f>AND(#REF!,"AAAAAF73fGY=")</f>
        <v>#REF!</v>
      </c>
      <c r="CZ250" t="e">
        <f>AND(#REF!,"AAAAAF73fGc=")</f>
        <v>#REF!</v>
      </c>
      <c r="DA250" t="e">
        <f>AND(#REF!,"AAAAAF73fGg=")</f>
        <v>#REF!</v>
      </c>
      <c r="DB250" t="e">
        <f>AND(#REF!,"AAAAAF73fGk=")</f>
        <v>#REF!</v>
      </c>
      <c r="DC250" t="e">
        <f>AND(#REF!,"AAAAAF73fGo=")</f>
        <v>#REF!</v>
      </c>
      <c r="DD250" t="e">
        <f>IF(#REF!,"AAAAAF73fGs=",0)</f>
        <v>#REF!</v>
      </c>
      <c r="DE250" t="e">
        <f>AND(#REF!,"AAAAAF73fGw=")</f>
        <v>#REF!</v>
      </c>
      <c r="DF250" t="e">
        <f>AND(#REF!,"AAAAAF73fG0=")</f>
        <v>#REF!</v>
      </c>
      <c r="DG250" t="e">
        <f>AND(#REF!,"AAAAAF73fG4=")</f>
        <v>#REF!</v>
      </c>
      <c r="DH250" t="e">
        <f>AND(#REF!,"AAAAAF73fG8=")</f>
        <v>#REF!</v>
      </c>
      <c r="DI250" t="e">
        <f>AND(#REF!,"AAAAAF73fHA=")</f>
        <v>#REF!</v>
      </c>
      <c r="DJ250" t="e">
        <f>AND(#REF!,"AAAAAF73fHE=")</f>
        <v>#REF!</v>
      </c>
      <c r="DK250" t="e">
        <f>AND(#REF!,"AAAAAF73fHI=")</f>
        <v>#REF!</v>
      </c>
      <c r="DL250" t="e">
        <f>AND(#REF!,"AAAAAF73fHM=")</f>
        <v>#REF!</v>
      </c>
      <c r="DM250" t="e">
        <f>AND(#REF!,"AAAAAF73fHQ=")</f>
        <v>#REF!</v>
      </c>
      <c r="DN250" t="e">
        <f>AND(#REF!,"AAAAAF73fHU=")</f>
        <v>#REF!</v>
      </c>
      <c r="DO250" t="e">
        <f>IF(#REF!,"AAAAAF73fHY=",0)</f>
        <v>#REF!</v>
      </c>
      <c r="DP250" t="e">
        <f>AND(#REF!,"AAAAAF73fHc=")</f>
        <v>#REF!</v>
      </c>
      <c r="DQ250" t="e">
        <f>AND(#REF!,"AAAAAF73fHg=")</f>
        <v>#REF!</v>
      </c>
      <c r="DR250" t="e">
        <f>AND(#REF!,"AAAAAF73fHk=")</f>
        <v>#REF!</v>
      </c>
      <c r="DS250" t="e">
        <f>AND(#REF!,"AAAAAF73fHo=")</f>
        <v>#REF!</v>
      </c>
      <c r="DT250" t="e">
        <f>AND(#REF!,"AAAAAF73fHs=")</f>
        <v>#REF!</v>
      </c>
      <c r="DU250" t="e">
        <f>AND(#REF!,"AAAAAF73fHw=")</f>
        <v>#REF!</v>
      </c>
      <c r="DV250" t="e">
        <f>AND(#REF!,"AAAAAF73fH0=")</f>
        <v>#REF!</v>
      </c>
      <c r="DW250" t="e">
        <f>AND(#REF!,"AAAAAF73fH4=")</f>
        <v>#REF!</v>
      </c>
      <c r="DX250" t="e">
        <f>AND(#REF!,"AAAAAF73fH8=")</f>
        <v>#REF!</v>
      </c>
      <c r="DY250" t="e">
        <f>AND(#REF!,"AAAAAF73fIA=")</f>
        <v>#REF!</v>
      </c>
      <c r="DZ250" t="e">
        <f>IF(#REF!,"AAAAAF73fIE=",0)</f>
        <v>#REF!</v>
      </c>
      <c r="EA250" t="e">
        <f>AND(#REF!,"AAAAAF73fII=")</f>
        <v>#REF!</v>
      </c>
      <c r="EB250" t="e">
        <f>AND(#REF!,"AAAAAF73fIM=")</f>
        <v>#REF!</v>
      </c>
      <c r="EC250" t="e">
        <f>AND(#REF!,"AAAAAF73fIQ=")</f>
        <v>#REF!</v>
      </c>
      <c r="ED250" t="e">
        <f>AND(#REF!,"AAAAAF73fIU=")</f>
        <v>#REF!</v>
      </c>
      <c r="EE250" t="e">
        <f>AND(#REF!,"AAAAAF73fIY=")</f>
        <v>#REF!</v>
      </c>
      <c r="EF250" t="e">
        <f>AND(#REF!,"AAAAAF73fIc=")</f>
        <v>#REF!</v>
      </c>
      <c r="EG250" t="e">
        <f>AND(#REF!,"AAAAAF73fIg=")</f>
        <v>#REF!</v>
      </c>
      <c r="EH250" t="e">
        <f>AND(#REF!,"AAAAAF73fIk=")</f>
        <v>#REF!</v>
      </c>
      <c r="EI250" t="e">
        <f>AND(#REF!,"AAAAAF73fIo=")</f>
        <v>#REF!</v>
      </c>
      <c r="EJ250" t="e">
        <f>AND(#REF!,"AAAAAF73fIs=")</f>
        <v>#REF!</v>
      </c>
      <c r="EK250" t="e">
        <f>IF(#REF!,"AAAAAF73fIw=",0)</f>
        <v>#REF!</v>
      </c>
      <c r="EL250" t="e">
        <f>AND(#REF!,"AAAAAF73fI0=")</f>
        <v>#REF!</v>
      </c>
      <c r="EM250" t="e">
        <f>AND(#REF!,"AAAAAF73fI4=")</f>
        <v>#REF!</v>
      </c>
      <c r="EN250" t="e">
        <f>AND(#REF!,"AAAAAF73fI8=")</f>
        <v>#REF!</v>
      </c>
      <c r="EO250" t="e">
        <f>AND(#REF!,"AAAAAF73fJA=")</f>
        <v>#REF!</v>
      </c>
      <c r="EP250" t="e">
        <f>AND(#REF!,"AAAAAF73fJE=")</f>
        <v>#REF!</v>
      </c>
      <c r="EQ250" t="e">
        <f>AND(#REF!,"AAAAAF73fJI=")</f>
        <v>#REF!</v>
      </c>
      <c r="ER250" t="e">
        <f>AND(#REF!,"AAAAAF73fJM=")</f>
        <v>#REF!</v>
      </c>
      <c r="ES250" t="e">
        <f>AND(#REF!,"AAAAAF73fJQ=")</f>
        <v>#REF!</v>
      </c>
      <c r="ET250" t="e">
        <f>AND(#REF!,"AAAAAF73fJU=")</f>
        <v>#REF!</v>
      </c>
      <c r="EU250" t="e">
        <f>AND(#REF!,"AAAAAF73fJY=")</f>
        <v>#REF!</v>
      </c>
      <c r="EV250" t="e">
        <f>IF(#REF!,"AAAAAF73fJc=",0)</f>
        <v>#REF!</v>
      </c>
      <c r="EW250" t="e">
        <f>AND(#REF!,"AAAAAF73fJg=")</f>
        <v>#REF!</v>
      </c>
      <c r="EX250" t="e">
        <f>AND(#REF!,"AAAAAF73fJk=")</f>
        <v>#REF!</v>
      </c>
      <c r="EY250" t="e">
        <f>AND(#REF!,"AAAAAF73fJo=")</f>
        <v>#REF!</v>
      </c>
      <c r="EZ250" t="e">
        <f>AND(#REF!,"AAAAAF73fJs=")</f>
        <v>#REF!</v>
      </c>
      <c r="FA250" t="e">
        <f>AND(#REF!,"AAAAAF73fJw=")</f>
        <v>#REF!</v>
      </c>
      <c r="FB250" t="e">
        <f>AND(#REF!,"AAAAAF73fJ0=")</f>
        <v>#REF!</v>
      </c>
      <c r="FC250" t="e">
        <f>AND(#REF!,"AAAAAF73fJ4=")</f>
        <v>#REF!</v>
      </c>
      <c r="FD250" t="e">
        <f>AND(#REF!,"AAAAAF73fJ8=")</f>
        <v>#REF!</v>
      </c>
      <c r="FE250" t="e">
        <f>AND(#REF!,"AAAAAF73fKA=")</f>
        <v>#REF!</v>
      </c>
      <c r="FF250" t="e">
        <f>AND(#REF!,"AAAAAF73fKE=")</f>
        <v>#REF!</v>
      </c>
      <c r="FG250" t="e">
        <f>IF(#REF!,"AAAAAF73fKI=",0)</f>
        <v>#REF!</v>
      </c>
      <c r="FH250" t="e">
        <f>AND(#REF!,"AAAAAF73fKM=")</f>
        <v>#REF!</v>
      </c>
      <c r="FI250" t="e">
        <f>AND(#REF!,"AAAAAF73fKQ=")</f>
        <v>#REF!</v>
      </c>
      <c r="FJ250" t="e">
        <f>AND(#REF!,"AAAAAF73fKU=")</f>
        <v>#REF!</v>
      </c>
      <c r="FK250" t="e">
        <f>AND(#REF!,"AAAAAF73fKY=")</f>
        <v>#REF!</v>
      </c>
      <c r="FL250" t="e">
        <f>AND(#REF!,"AAAAAF73fKc=")</f>
        <v>#REF!</v>
      </c>
      <c r="FM250" t="e">
        <f>AND(#REF!,"AAAAAF73fKg=")</f>
        <v>#REF!</v>
      </c>
      <c r="FN250" t="e">
        <f>AND(#REF!,"AAAAAF73fKk=")</f>
        <v>#REF!</v>
      </c>
      <c r="FO250" t="e">
        <f>AND(#REF!,"AAAAAF73fKo=")</f>
        <v>#REF!</v>
      </c>
      <c r="FP250" t="e">
        <f>AND(#REF!,"AAAAAF73fKs=")</f>
        <v>#REF!</v>
      </c>
      <c r="FQ250" t="e">
        <f>AND(#REF!,"AAAAAF73fKw=")</f>
        <v>#REF!</v>
      </c>
      <c r="FR250" t="e">
        <f>IF(#REF!,"AAAAAF73fK0=",0)</f>
        <v>#REF!</v>
      </c>
      <c r="FS250" t="e">
        <f>AND(#REF!,"AAAAAF73fK4=")</f>
        <v>#REF!</v>
      </c>
      <c r="FT250" t="e">
        <f>AND(#REF!,"AAAAAF73fK8=")</f>
        <v>#REF!</v>
      </c>
      <c r="FU250" t="e">
        <f>AND(#REF!,"AAAAAF73fLA=")</f>
        <v>#REF!</v>
      </c>
      <c r="FV250" t="e">
        <f>AND(#REF!,"AAAAAF73fLE=")</f>
        <v>#REF!</v>
      </c>
      <c r="FW250" t="e">
        <f>AND(#REF!,"AAAAAF73fLI=")</f>
        <v>#REF!</v>
      </c>
      <c r="FX250" t="e">
        <f>AND(#REF!,"AAAAAF73fLM=")</f>
        <v>#REF!</v>
      </c>
      <c r="FY250" t="e">
        <f>AND(#REF!,"AAAAAF73fLQ=")</f>
        <v>#REF!</v>
      </c>
      <c r="FZ250" t="e">
        <f>AND(#REF!,"AAAAAF73fLU=")</f>
        <v>#REF!</v>
      </c>
      <c r="GA250" t="e">
        <f>AND(#REF!,"AAAAAF73fLY=")</f>
        <v>#REF!</v>
      </c>
      <c r="GB250" t="e">
        <f>AND(#REF!,"AAAAAF73fLc=")</f>
        <v>#REF!</v>
      </c>
      <c r="GC250" t="e">
        <f>IF(#REF!,"AAAAAF73fLg=",0)</f>
        <v>#REF!</v>
      </c>
      <c r="GD250" t="e">
        <f>AND(#REF!,"AAAAAF73fLk=")</f>
        <v>#REF!</v>
      </c>
      <c r="GE250" t="e">
        <f>AND(#REF!,"AAAAAF73fLo=")</f>
        <v>#REF!</v>
      </c>
      <c r="GF250" t="e">
        <f>AND(#REF!,"AAAAAF73fLs=")</f>
        <v>#REF!</v>
      </c>
      <c r="GG250" t="e">
        <f>AND(#REF!,"AAAAAF73fLw=")</f>
        <v>#REF!</v>
      </c>
      <c r="GH250" t="e">
        <f>AND(#REF!,"AAAAAF73fL0=")</f>
        <v>#REF!</v>
      </c>
      <c r="GI250" t="e">
        <f>AND(#REF!,"AAAAAF73fL4=")</f>
        <v>#REF!</v>
      </c>
      <c r="GJ250" t="e">
        <f>AND(#REF!,"AAAAAF73fL8=")</f>
        <v>#REF!</v>
      </c>
      <c r="GK250" t="e">
        <f>AND(#REF!,"AAAAAF73fMA=")</f>
        <v>#REF!</v>
      </c>
      <c r="GL250" t="e">
        <f>AND(#REF!,"AAAAAF73fME=")</f>
        <v>#REF!</v>
      </c>
      <c r="GM250" t="e">
        <f>AND(#REF!,"AAAAAF73fMI=")</f>
        <v>#REF!</v>
      </c>
      <c r="GN250" t="e">
        <f>IF(#REF!,"AAAAAF73fMM=",0)</f>
        <v>#REF!</v>
      </c>
      <c r="GO250" t="e">
        <f>AND(#REF!,"AAAAAF73fMQ=")</f>
        <v>#REF!</v>
      </c>
      <c r="GP250" t="e">
        <f>AND(#REF!,"AAAAAF73fMU=")</f>
        <v>#REF!</v>
      </c>
      <c r="GQ250" t="e">
        <f>AND(#REF!,"AAAAAF73fMY=")</f>
        <v>#REF!</v>
      </c>
      <c r="GR250" t="e">
        <f>AND(#REF!,"AAAAAF73fMc=")</f>
        <v>#REF!</v>
      </c>
      <c r="GS250" t="e">
        <f>AND(#REF!,"AAAAAF73fMg=")</f>
        <v>#REF!</v>
      </c>
      <c r="GT250" t="e">
        <f>AND(#REF!,"AAAAAF73fMk=")</f>
        <v>#REF!</v>
      </c>
      <c r="GU250" t="e">
        <f>AND(#REF!,"AAAAAF73fMo=")</f>
        <v>#REF!</v>
      </c>
      <c r="GV250" t="e">
        <f>AND(#REF!,"AAAAAF73fMs=")</f>
        <v>#REF!</v>
      </c>
      <c r="GW250" t="e">
        <f>AND(#REF!,"AAAAAF73fMw=")</f>
        <v>#REF!</v>
      </c>
      <c r="GX250" t="e">
        <f>AND(#REF!,"AAAAAF73fM0=")</f>
        <v>#REF!</v>
      </c>
      <c r="GY250" t="e">
        <f>IF(#REF!,"AAAAAF73fM4=",0)</f>
        <v>#REF!</v>
      </c>
      <c r="GZ250" t="e">
        <f>AND(#REF!,"AAAAAF73fM8=")</f>
        <v>#REF!</v>
      </c>
      <c r="HA250" t="e">
        <f>AND(#REF!,"AAAAAF73fNA=")</f>
        <v>#REF!</v>
      </c>
      <c r="HB250" t="e">
        <f>AND(#REF!,"AAAAAF73fNE=")</f>
        <v>#REF!</v>
      </c>
      <c r="HC250" t="e">
        <f>AND(#REF!,"AAAAAF73fNI=")</f>
        <v>#REF!</v>
      </c>
      <c r="HD250" t="e">
        <f>AND(#REF!,"AAAAAF73fNM=")</f>
        <v>#REF!</v>
      </c>
      <c r="HE250" t="e">
        <f>AND(#REF!,"AAAAAF73fNQ=")</f>
        <v>#REF!</v>
      </c>
      <c r="HF250" t="e">
        <f>AND(#REF!,"AAAAAF73fNU=")</f>
        <v>#REF!</v>
      </c>
      <c r="HG250" t="e">
        <f>AND(#REF!,"AAAAAF73fNY=")</f>
        <v>#REF!</v>
      </c>
      <c r="HH250" t="e">
        <f>AND(#REF!,"AAAAAF73fNc=")</f>
        <v>#REF!</v>
      </c>
      <c r="HI250" t="e">
        <f>AND(#REF!,"AAAAAF73fNg=")</f>
        <v>#REF!</v>
      </c>
      <c r="HJ250" t="e">
        <f>IF(#REF!,"AAAAAF73fNk=",0)</f>
        <v>#REF!</v>
      </c>
      <c r="HK250" t="e">
        <f>AND(#REF!,"AAAAAF73fNo=")</f>
        <v>#REF!</v>
      </c>
      <c r="HL250" t="e">
        <f>AND(#REF!,"AAAAAF73fNs=")</f>
        <v>#REF!</v>
      </c>
      <c r="HM250" t="e">
        <f>AND(#REF!,"AAAAAF73fNw=")</f>
        <v>#REF!</v>
      </c>
      <c r="HN250" t="e">
        <f>AND(#REF!,"AAAAAF73fN0=")</f>
        <v>#REF!</v>
      </c>
      <c r="HO250" t="e">
        <f>AND(#REF!,"AAAAAF73fN4=")</f>
        <v>#REF!</v>
      </c>
      <c r="HP250" t="e">
        <f>AND(#REF!,"AAAAAF73fN8=")</f>
        <v>#REF!</v>
      </c>
      <c r="HQ250" t="e">
        <f>AND(#REF!,"AAAAAF73fOA=")</f>
        <v>#REF!</v>
      </c>
      <c r="HR250" t="e">
        <f>AND(#REF!,"AAAAAF73fOE=")</f>
        <v>#REF!</v>
      </c>
      <c r="HS250" t="e">
        <f>AND(#REF!,"AAAAAF73fOI=")</f>
        <v>#REF!</v>
      </c>
      <c r="HT250" t="e">
        <f>AND(#REF!,"AAAAAF73fOM=")</f>
        <v>#REF!</v>
      </c>
      <c r="HU250" t="e">
        <f>IF(#REF!,"AAAAAF73fOQ=",0)</f>
        <v>#REF!</v>
      </c>
      <c r="HV250" t="e">
        <f>AND(#REF!,"AAAAAF73fOU=")</f>
        <v>#REF!</v>
      </c>
      <c r="HW250" t="e">
        <f>AND(#REF!,"AAAAAF73fOY=")</f>
        <v>#REF!</v>
      </c>
      <c r="HX250" t="e">
        <f>AND(#REF!,"AAAAAF73fOc=")</f>
        <v>#REF!</v>
      </c>
      <c r="HY250" t="e">
        <f>AND(#REF!,"AAAAAF73fOg=")</f>
        <v>#REF!</v>
      </c>
      <c r="HZ250" t="e">
        <f>AND(#REF!,"AAAAAF73fOk=")</f>
        <v>#REF!</v>
      </c>
      <c r="IA250" t="e">
        <f>AND(#REF!,"AAAAAF73fOo=")</f>
        <v>#REF!</v>
      </c>
      <c r="IB250" t="e">
        <f>AND(#REF!,"AAAAAF73fOs=")</f>
        <v>#REF!</v>
      </c>
      <c r="IC250" t="e">
        <f>AND(#REF!,"AAAAAF73fOw=")</f>
        <v>#REF!</v>
      </c>
      <c r="ID250" t="e">
        <f>AND(#REF!,"AAAAAF73fO0=")</f>
        <v>#REF!</v>
      </c>
      <c r="IE250" t="e">
        <f>AND(#REF!,"AAAAAF73fO4=")</f>
        <v>#REF!</v>
      </c>
      <c r="IF250" t="e">
        <f>IF(#REF!,"AAAAAF73fO8=",0)</f>
        <v>#REF!</v>
      </c>
      <c r="IG250" t="e">
        <f>AND(#REF!,"AAAAAF73fPA=")</f>
        <v>#REF!</v>
      </c>
      <c r="IH250" t="e">
        <f>AND(#REF!,"AAAAAF73fPE=")</f>
        <v>#REF!</v>
      </c>
      <c r="II250" t="e">
        <f>AND(#REF!,"AAAAAF73fPI=")</f>
        <v>#REF!</v>
      </c>
      <c r="IJ250" t="e">
        <f>AND(#REF!,"AAAAAF73fPM=")</f>
        <v>#REF!</v>
      </c>
      <c r="IK250" t="e">
        <f>AND(#REF!,"AAAAAF73fPQ=")</f>
        <v>#REF!</v>
      </c>
      <c r="IL250" t="e">
        <f>AND(#REF!,"AAAAAF73fPU=")</f>
        <v>#REF!</v>
      </c>
      <c r="IM250" t="e">
        <f>AND(#REF!,"AAAAAF73fPY=")</f>
        <v>#REF!</v>
      </c>
      <c r="IN250" t="e">
        <f>AND(#REF!,"AAAAAF73fPc=")</f>
        <v>#REF!</v>
      </c>
      <c r="IO250" t="e">
        <f>AND(#REF!,"AAAAAF73fPg=")</f>
        <v>#REF!</v>
      </c>
      <c r="IP250" t="e">
        <f>AND(#REF!,"AAAAAF73fPk=")</f>
        <v>#REF!</v>
      </c>
      <c r="IQ250" t="e">
        <f>IF(#REF!,"AAAAAF73fPo=",0)</f>
        <v>#REF!</v>
      </c>
      <c r="IR250" t="e">
        <f>AND(#REF!,"AAAAAF73fPs=")</f>
        <v>#REF!</v>
      </c>
      <c r="IS250" t="e">
        <f>AND(#REF!,"AAAAAF73fPw=")</f>
        <v>#REF!</v>
      </c>
      <c r="IT250" t="e">
        <f>AND(#REF!,"AAAAAF73fP0=")</f>
        <v>#REF!</v>
      </c>
      <c r="IU250" t="e">
        <f>AND(#REF!,"AAAAAF73fP4=")</f>
        <v>#REF!</v>
      </c>
      <c r="IV250" t="e">
        <f>AND(#REF!,"AAAAAF73fP8=")</f>
        <v>#REF!</v>
      </c>
    </row>
    <row r="251" spans="1:256" x14ac:dyDescent="0.25">
      <c r="A251" t="e">
        <f>AND(#REF!,"AAAAAG51/wA=")</f>
        <v>#REF!</v>
      </c>
      <c r="B251" t="e">
        <f>AND(#REF!,"AAAAAG51/wE=")</f>
        <v>#REF!</v>
      </c>
      <c r="C251" t="e">
        <f>AND(#REF!,"AAAAAG51/wI=")</f>
        <v>#REF!</v>
      </c>
      <c r="D251" t="e">
        <f>AND(#REF!,"AAAAAG51/wM=")</f>
        <v>#REF!</v>
      </c>
      <c r="E251" t="e">
        <f>AND(#REF!,"AAAAAG51/wQ=")</f>
        <v>#REF!</v>
      </c>
      <c r="F251" t="e">
        <f>IF(#REF!,"AAAAAG51/wU=",0)</f>
        <v>#REF!</v>
      </c>
      <c r="G251" t="e">
        <f>AND(#REF!,"AAAAAG51/wY=")</f>
        <v>#REF!</v>
      </c>
      <c r="H251" t="e">
        <f>AND(#REF!,"AAAAAG51/wc=")</f>
        <v>#REF!</v>
      </c>
      <c r="I251" t="e">
        <f>AND(#REF!,"AAAAAG51/wg=")</f>
        <v>#REF!</v>
      </c>
      <c r="J251" t="e">
        <f>AND(#REF!,"AAAAAG51/wk=")</f>
        <v>#REF!</v>
      </c>
      <c r="K251" t="e">
        <f>AND(#REF!,"AAAAAG51/wo=")</f>
        <v>#REF!</v>
      </c>
      <c r="L251" t="e">
        <f>AND(#REF!,"AAAAAG51/ws=")</f>
        <v>#REF!</v>
      </c>
      <c r="M251" t="e">
        <f>AND(#REF!,"AAAAAG51/ww=")</f>
        <v>#REF!</v>
      </c>
      <c r="N251" t="e">
        <f>AND(#REF!,"AAAAAG51/w0=")</f>
        <v>#REF!</v>
      </c>
      <c r="O251" t="e">
        <f>AND(#REF!,"AAAAAG51/w4=")</f>
        <v>#REF!</v>
      </c>
      <c r="P251" t="e">
        <f>AND(#REF!,"AAAAAG51/w8=")</f>
        <v>#REF!</v>
      </c>
      <c r="Q251" t="e">
        <f>IF(#REF!,"AAAAAG51/xA=",0)</f>
        <v>#REF!</v>
      </c>
      <c r="R251" t="e">
        <f>AND(#REF!,"AAAAAG51/xE=")</f>
        <v>#REF!</v>
      </c>
      <c r="S251" t="e">
        <f>AND(#REF!,"AAAAAG51/xI=")</f>
        <v>#REF!</v>
      </c>
      <c r="T251" t="e">
        <f>AND(#REF!,"AAAAAG51/xM=")</f>
        <v>#REF!</v>
      </c>
      <c r="U251" t="e">
        <f>AND(#REF!,"AAAAAG51/xQ=")</f>
        <v>#REF!</v>
      </c>
      <c r="V251" t="e">
        <f>AND(#REF!,"AAAAAG51/xU=")</f>
        <v>#REF!</v>
      </c>
      <c r="W251" t="e">
        <f>AND(#REF!,"AAAAAG51/xY=")</f>
        <v>#REF!</v>
      </c>
      <c r="X251" t="e">
        <f>AND(#REF!,"AAAAAG51/xc=")</f>
        <v>#REF!</v>
      </c>
      <c r="Y251" t="e">
        <f>AND(#REF!,"AAAAAG51/xg=")</f>
        <v>#REF!</v>
      </c>
      <c r="Z251" t="e">
        <f>AND(#REF!,"AAAAAG51/xk=")</f>
        <v>#REF!</v>
      </c>
      <c r="AA251" t="e">
        <f>AND(#REF!,"AAAAAG51/xo=")</f>
        <v>#REF!</v>
      </c>
      <c r="AB251" t="e">
        <f>IF(#REF!,"AAAAAG51/xs=",0)</f>
        <v>#REF!</v>
      </c>
      <c r="AC251" t="e">
        <f>AND(#REF!,"AAAAAG51/xw=")</f>
        <v>#REF!</v>
      </c>
      <c r="AD251" t="e">
        <f>AND(#REF!,"AAAAAG51/x0=")</f>
        <v>#REF!</v>
      </c>
      <c r="AE251" t="e">
        <f>AND(#REF!,"AAAAAG51/x4=")</f>
        <v>#REF!</v>
      </c>
      <c r="AF251" t="e">
        <f>AND(#REF!,"AAAAAG51/x8=")</f>
        <v>#REF!</v>
      </c>
      <c r="AG251" t="e">
        <f>AND(#REF!,"AAAAAG51/yA=")</f>
        <v>#REF!</v>
      </c>
      <c r="AH251" t="e">
        <f>AND(#REF!,"AAAAAG51/yE=")</f>
        <v>#REF!</v>
      </c>
      <c r="AI251" t="e">
        <f>AND(#REF!,"AAAAAG51/yI=")</f>
        <v>#REF!</v>
      </c>
      <c r="AJ251" t="e">
        <f>AND(#REF!,"AAAAAG51/yM=")</f>
        <v>#REF!</v>
      </c>
      <c r="AK251" t="e">
        <f>AND(#REF!,"AAAAAG51/yQ=")</f>
        <v>#REF!</v>
      </c>
      <c r="AL251" t="e">
        <f>AND(#REF!,"AAAAAG51/yU=")</f>
        <v>#REF!</v>
      </c>
      <c r="AM251" t="e">
        <f>IF(#REF!,"AAAAAG51/yY=",0)</f>
        <v>#REF!</v>
      </c>
      <c r="AN251" t="e">
        <f>AND(#REF!,"AAAAAG51/yc=")</f>
        <v>#REF!</v>
      </c>
      <c r="AO251" t="e">
        <f>AND(#REF!,"AAAAAG51/yg=")</f>
        <v>#REF!</v>
      </c>
      <c r="AP251" t="e">
        <f>AND(#REF!,"AAAAAG51/yk=")</f>
        <v>#REF!</v>
      </c>
      <c r="AQ251" t="e">
        <f>AND(#REF!,"AAAAAG51/yo=")</f>
        <v>#REF!</v>
      </c>
      <c r="AR251" t="e">
        <f>AND(#REF!,"AAAAAG51/ys=")</f>
        <v>#REF!</v>
      </c>
      <c r="AS251" t="e">
        <f>AND(#REF!,"AAAAAG51/yw=")</f>
        <v>#REF!</v>
      </c>
      <c r="AT251" t="e">
        <f>AND(#REF!,"AAAAAG51/y0=")</f>
        <v>#REF!</v>
      </c>
      <c r="AU251" t="e">
        <f>AND(#REF!,"AAAAAG51/y4=")</f>
        <v>#REF!</v>
      </c>
      <c r="AV251" t="e">
        <f>AND(#REF!,"AAAAAG51/y8=")</f>
        <v>#REF!</v>
      </c>
      <c r="AW251" t="e">
        <f>AND(#REF!,"AAAAAG51/zA=")</f>
        <v>#REF!</v>
      </c>
      <c r="AX251" t="e">
        <f>IF(#REF!,"AAAAAG51/zE=",0)</f>
        <v>#REF!</v>
      </c>
      <c r="AY251" t="e">
        <f>AND(#REF!,"AAAAAG51/zI=")</f>
        <v>#REF!</v>
      </c>
      <c r="AZ251" t="e">
        <f>AND(#REF!,"AAAAAG51/zM=")</f>
        <v>#REF!</v>
      </c>
      <c r="BA251" t="e">
        <f>AND(#REF!,"AAAAAG51/zQ=")</f>
        <v>#REF!</v>
      </c>
      <c r="BB251" t="e">
        <f>AND(#REF!,"AAAAAG51/zU=")</f>
        <v>#REF!</v>
      </c>
      <c r="BC251" t="e">
        <f>AND(#REF!,"AAAAAG51/zY=")</f>
        <v>#REF!</v>
      </c>
      <c r="BD251" t="e">
        <f>AND(#REF!,"AAAAAG51/zc=")</f>
        <v>#REF!</v>
      </c>
      <c r="BE251" t="e">
        <f>AND(#REF!,"AAAAAG51/zg=")</f>
        <v>#REF!</v>
      </c>
      <c r="BF251" t="e">
        <f>AND(#REF!,"AAAAAG51/zk=")</f>
        <v>#REF!</v>
      </c>
      <c r="BG251" t="e">
        <f>AND(#REF!,"AAAAAG51/zo=")</f>
        <v>#REF!</v>
      </c>
      <c r="BH251" t="e">
        <f>AND(#REF!,"AAAAAG51/zs=")</f>
        <v>#REF!</v>
      </c>
      <c r="BI251" t="e">
        <f>IF(#REF!,"AAAAAG51/zw=",0)</f>
        <v>#REF!</v>
      </c>
      <c r="BJ251" t="e">
        <f>AND(#REF!,"AAAAAG51/z0=")</f>
        <v>#REF!</v>
      </c>
      <c r="BK251" t="e">
        <f>AND(#REF!,"AAAAAG51/z4=")</f>
        <v>#REF!</v>
      </c>
      <c r="BL251" t="e">
        <f>AND(#REF!,"AAAAAG51/z8=")</f>
        <v>#REF!</v>
      </c>
      <c r="BM251" t="e">
        <f>AND(#REF!,"AAAAAG51/0A=")</f>
        <v>#REF!</v>
      </c>
      <c r="BN251" t="e">
        <f>AND(#REF!,"AAAAAG51/0E=")</f>
        <v>#REF!</v>
      </c>
      <c r="BO251" t="e">
        <f>AND(#REF!,"AAAAAG51/0I=")</f>
        <v>#REF!</v>
      </c>
      <c r="BP251" t="e">
        <f>AND(#REF!,"AAAAAG51/0M=")</f>
        <v>#REF!</v>
      </c>
      <c r="BQ251" t="e">
        <f>AND(#REF!,"AAAAAG51/0Q=")</f>
        <v>#REF!</v>
      </c>
      <c r="BR251" t="e">
        <f>AND(#REF!,"AAAAAG51/0U=")</f>
        <v>#REF!</v>
      </c>
      <c r="BS251" t="e">
        <f>AND(#REF!,"AAAAAG51/0Y=")</f>
        <v>#REF!</v>
      </c>
      <c r="BT251" t="e">
        <f>IF(#REF!,"AAAAAG51/0c=",0)</f>
        <v>#REF!</v>
      </c>
      <c r="BU251" t="e">
        <f>AND(#REF!,"AAAAAG51/0g=")</f>
        <v>#REF!</v>
      </c>
      <c r="BV251" t="e">
        <f>AND(#REF!,"AAAAAG51/0k=")</f>
        <v>#REF!</v>
      </c>
      <c r="BW251" t="e">
        <f>AND(#REF!,"AAAAAG51/0o=")</f>
        <v>#REF!</v>
      </c>
      <c r="BX251" t="e">
        <f>AND(#REF!,"AAAAAG51/0s=")</f>
        <v>#REF!</v>
      </c>
      <c r="BY251" t="e">
        <f>AND(#REF!,"AAAAAG51/0w=")</f>
        <v>#REF!</v>
      </c>
      <c r="BZ251" t="e">
        <f>AND(#REF!,"AAAAAG51/00=")</f>
        <v>#REF!</v>
      </c>
      <c r="CA251" t="e">
        <f>AND(#REF!,"AAAAAG51/04=")</f>
        <v>#REF!</v>
      </c>
      <c r="CB251" t="e">
        <f>AND(#REF!,"AAAAAG51/08=")</f>
        <v>#REF!</v>
      </c>
      <c r="CC251" t="e">
        <f>AND(#REF!,"AAAAAG51/1A=")</f>
        <v>#REF!</v>
      </c>
      <c r="CD251" t="e">
        <f>AND(#REF!,"AAAAAG51/1E=")</f>
        <v>#REF!</v>
      </c>
      <c r="CE251" t="e">
        <f>IF(#REF!,"AAAAAG51/1I=",0)</f>
        <v>#REF!</v>
      </c>
      <c r="CF251" t="e">
        <f>AND(#REF!,"AAAAAG51/1M=")</f>
        <v>#REF!</v>
      </c>
      <c r="CG251" t="e">
        <f>AND(#REF!,"AAAAAG51/1Q=")</f>
        <v>#REF!</v>
      </c>
      <c r="CH251" t="e">
        <f>AND(#REF!,"AAAAAG51/1U=")</f>
        <v>#REF!</v>
      </c>
      <c r="CI251" t="e">
        <f>AND(#REF!,"AAAAAG51/1Y=")</f>
        <v>#REF!</v>
      </c>
      <c r="CJ251" t="e">
        <f>AND(#REF!,"AAAAAG51/1c=")</f>
        <v>#REF!</v>
      </c>
      <c r="CK251" t="e">
        <f>AND(#REF!,"AAAAAG51/1g=")</f>
        <v>#REF!</v>
      </c>
      <c r="CL251" t="e">
        <f>AND(#REF!,"AAAAAG51/1k=")</f>
        <v>#REF!</v>
      </c>
      <c r="CM251" t="e">
        <f>AND(#REF!,"AAAAAG51/1o=")</f>
        <v>#REF!</v>
      </c>
      <c r="CN251" t="e">
        <f>AND(#REF!,"AAAAAG51/1s=")</f>
        <v>#REF!</v>
      </c>
      <c r="CO251" t="e">
        <f>AND(#REF!,"AAAAAG51/1w=")</f>
        <v>#REF!</v>
      </c>
      <c r="CP251" t="e">
        <f>IF(#REF!,"AAAAAG51/10=",0)</f>
        <v>#REF!</v>
      </c>
      <c r="CQ251" t="e">
        <f>AND(#REF!,"AAAAAG51/14=")</f>
        <v>#REF!</v>
      </c>
      <c r="CR251" t="e">
        <f>AND(#REF!,"AAAAAG51/18=")</f>
        <v>#REF!</v>
      </c>
      <c r="CS251" t="e">
        <f>AND(#REF!,"AAAAAG51/2A=")</f>
        <v>#REF!</v>
      </c>
      <c r="CT251" t="e">
        <f>AND(#REF!,"AAAAAG51/2E=")</f>
        <v>#REF!</v>
      </c>
      <c r="CU251" t="e">
        <f>AND(#REF!,"AAAAAG51/2I=")</f>
        <v>#REF!</v>
      </c>
      <c r="CV251" t="e">
        <f>AND(#REF!,"AAAAAG51/2M=")</f>
        <v>#REF!</v>
      </c>
      <c r="CW251" t="e">
        <f>AND(#REF!,"AAAAAG51/2Q=")</f>
        <v>#REF!</v>
      </c>
      <c r="CX251" t="e">
        <f>AND(#REF!,"AAAAAG51/2U=")</f>
        <v>#REF!</v>
      </c>
      <c r="CY251" t="e">
        <f>AND(#REF!,"AAAAAG51/2Y=")</f>
        <v>#REF!</v>
      </c>
      <c r="CZ251" t="e">
        <f>AND(#REF!,"AAAAAG51/2c=")</f>
        <v>#REF!</v>
      </c>
      <c r="DA251" t="e">
        <f>IF(#REF!,"AAAAAG51/2g=",0)</f>
        <v>#REF!</v>
      </c>
      <c r="DB251" t="e">
        <f>AND(#REF!,"AAAAAG51/2k=")</f>
        <v>#REF!</v>
      </c>
      <c r="DC251" t="e">
        <f>AND(#REF!,"AAAAAG51/2o=")</f>
        <v>#REF!</v>
      </c>
      <c r="DD251" t="e">
        <f>AND(#REF!,"AAAAAG51/2s=")</f>
        <v>#REF!</v>
      </c>
      <c r="DE251" t="e">
        <f>AND(#REF!,"AAAAAG51/2w=")</f>
        <v>#REF!</v>
      </c>
      <c r="DF251" t="e">
        <f>AND(#REF!,"AAAAAG51/20=")</f>
        <v>#REF!</v>
      </c>
      <c r="DG251" t="e">
        <f>AND(#REF!,"AAAAAG51/24=")</f>
        <v>#REF!</v>
      </c>
      <c r="DH251" t="e">
        <f>AND(#REF!,"AAAAAG51/28=")</f>
        <v>#REF!</v>
      </c>
      <c r="DI251" t="e">
        <f>AND(#REF!,"AAAAAG51/3A=")</f>
        <v>#REF!</v>
      </c>
      <c r="DJ251" t="e">
        <f>AND(#REF!,"AAAAAG51/3E=")</f>
        <v>#REF!</v>
      </c>
      <c r="DK251" t="e">
        <f>AND(#REF!,"AAAAAG51/3I=")</f>
        <v>#REF!</v>
      </c>
      <c r="DL251" t="e">
        <f>IF(#REF!,"AAAAAG51/3M=",0)</f>
        <v>#REF!</v>
      </c>
      <c r="DM251" t="e">
        <f>AND(#REF!,"AAAAAG51/3Q=")</f>
        <v>#REF!</v>
      </c>
      <c r="DN251" t="e">
        <f>AND(#REF!,"AAAAAG51/3U=")</f>
        <v>#REF!</v>
      </c>
      <c r="DO251" t="e">
        <f>AND(#REF!,"AAAAAG51/3Y=")</f>
        <v>#REF!</v>
      </c>
      <c r="DP251" t="e">
        <f>AND(#REF!,"AAAAAG51/3c=")</f>
        <v>#REF!</v>
      </c>
      <c r="DQ251" t="e">
        <f>AND(#REF!,"AAAAAG51/3g=")</f>
        <v>#REF!</v>
      </c>
      <c r="DR251" t="e">
        <f>AND(#REF!,"AAAAAG51/3k=")</f>
        <v>#REF!</v>
      </c>
      <c r="DS251" t="e">
        <f>AND(#REF!,"AAAAAG51/3o=")</f>
        <v>#REF!</v>
      </c>
      <c r="DT251" t="e">
        <f>AND(#REF!,"AAAAAG51/3s=")</f>
        <v>#REF!</v>
      </c>
      <c r="DU251" t="e">
        <f>AND(#REF!,"AAAAAG51/3w=")</f>
        <v>#REF!</v>
      </c>
      <c r="DV251" t="e">
        <f>AND(#REF!,"AAAAAG51/30=")</f>
        <v>#REF!</v>
      </c>
      <c r="DW251" t="e">
        <f>IF(#REF!,"AAAAAG51/34=",0)</f>
        <v>#REF!</v>
      </c>
      <c r="DX251" t="e">
        <f>AND(#REF!,"AAAAAG51/38=")</f>
        <v>#REF!</v>
      </c>
      <c r="DY251" t="e">
        <f>AND(#REF!,"AAAAAG51/4A=")</f>
        <v>#REF!</v>
      </c>
      <c r="DZ251" t="e">
        <f>AND(#REF!,"AAAAAG51/4E=")</f>
        <v>#REF!</v>
      </c>
      <c r="EA251" t="e">
        <f>AND(#REF!,"AAAAAG51/4I=")</f>
        <v>#REF!</v>
      </c>
      <c r="EB251" t="e">
        <f>AND(#REF!,"AAAAAG51/4M=")</f>
        <v>#REF!</v>
      </c>
      <c r="EC251" t="e">
        <f>AND(#REF!,"AAAAAG51/4Q=")</f>
        <v>#REF!</v>
      </c>
      <c r="ED251" t="e">
        <f>AND(#REF!,"AAAAAG51/4U=")</f>
        <v>#REF!</v>
      </c>
      <c r="EE251" t="e">
        <f>AND(#REF!,"AAAAAG51/4Y=")</f>
        <v>#REF!</v>
      </c>
      <c r="EF251" t="e">
        <f>AND(#REF!,"AAAAAG51/4c=")</f>
        <v>#REF!</v>
      </c>
      <c r="EG251" t="e">
        <f>AND(#REF!,"AAAAAG51/4g=")</f>
        <v>#REF!</v>
      </c>
      <c r="EH251" t="e">
        <f>IF(#REF!,"AAAAAG51/4k=",0)</f>
        <v>#REF!</v>
      </c>
      <c r="EI251" t="e">
        <f>AND(#REF!,"AAAAAG51/4o=")</f>
        <v>#REF!</v>
      </c>
      <c r="EJ251" t="e">
        <f>AND(#REF!,"AAAAAG51/4s=")</f>
        <v>#REF!</v>
      </c>
      <c r="EK251" t="e">
        <f>AND(#REF!,"AAAAAG51/4w=")</f>
        <v>#REF!</v>
      </c>
      <c r="EL251" t="e">
        <f>AND(#REF!,"AAAAAG51/40=")</f>
        <v>#REF!</v>
      </c>
      <c r="EM251" t="e">
        <f>AND(#REF!,"AAAAAG51/44=")</f>
        <v>#REF!</v>
      </c>
      <c r="EN251" t="e">
        <f>AND(#REF!,"AAAAAG51/48=")</f>
        <v>#REF!</v>
      </c>
      <c r="EO251" t="e">
        <f>AND(#REF!,"AAAAAG51/5A=")</f>
        <v>#REF!</v>
      </c>
      <c r="EP251" t="e">
        <f>AND(#REF!,"AAAAAG51/5E=")</f>
        <v>#REF!</v>
      </c>
      <c r="EQ251" t="e">
        <f>AND(#REF!,"AAAAAG51/5I=")</f>
        <v>#REF!</v>
      </c>
      <c r="ER251" t="e">
        <f>AND(#REF!,"AAAAAG51/5M=")</f>
        <v>#REF!</v>
      </c>
      <c r="ES251" t="e">
        <f>IF(#REF!,"AAAAAG51/5Q=",0)</f>
        <v>#REF!</v>
      </c>
      <c r="ET251" t="e">
        <f>AND(#REF!,"AAAAAG51/5U=")</f>
        <v>#REF!</v>
      </c>
      <c r="EU251" t="e">
        <f>AND(#REF!,"AAAAAG51/5Y=")</f>
        <v>#REF!</v>
      </c>
      <c r="EV251" t="e">
        <f>AND(#REF!,"AAAAAG51/5c=")</f>
        <v>#REF!</v>
      </c>
      <c r="EW251" t="e">
        <f>AND(#REF!,"AAAAAG51/5g=")</f>
        <v>#REF!</v>
      </c>
      <c r="EX251" t="e">
        <f>AND(#REF!,"AAAAAG51/5k=")</f>
        <v>#REF!</v>
      </c>
      <c r="EY251" t="e">
        <f>AND(#REF!,"AAAAAG51/5o=")</f>
        <v>#REF!</v>
      </c>
      <c r="EZ251" t="e">
        <f>AND(#REF!,"AAAAAG51/5s=")</f>
        <v>#REF!</v>
      </c>
      <c r="FA251" t="e">
        <f>AND(#REF!,"AAAAAG51/5w=")</f>
        <v>#REF!</v>
      </c>
      <c r="FB251" t="e">
        <f>AND(#REF!,"AAAAAG51/50=")</f>
        <v>#REF!</v>
      </c>
      <c r="FC251" t="e">
        <f>AND(#REF!,"AAAAAG51/54=")</f>
        <v>#REF!</v>
      </c>
      <c r="FD251" t="e">
        <f>IF(#REF!,"AAAAAG51/58=",0)</f>
        <v>#REF!</v>
      </c>
      <c r="FE251" t="e">
        <f>AND(#REF!,"AAAAAG51/6A=")</f>
        <v>#REF!</v>
      </c>
      <c r="FF251" t="e">
        <f>AND(#REF!,"AAAAAG51/6E=")</f>
        <v>#REF!</v>
      </c>
      <c r="FG251" t="e">
        <f>AND(#REF!,"AAAAAG51/6I=")</f>
        <v>#REF!</v>
      </c>
      <c r="FH251" t="e">
        <f>AND(#REF!,"AAAAAG51/6M=")</f>
        <v>#REF!</v>
      </c>
      <c r="FI251" t="e">
        <f>AND(#REF!,"AAAAAG51/6Q=")</f>
        <v>#REF!</v>
      </c>
      <c r="FJ251" t="e">
        <f>AND(#REF!,"AAAAAG51/6U=")</f>
        <v>#REF!</v>
      </c>
      <c r="FK251" t="e">
        <f>AND(#REF!,"AAAAAG51/6Y=")</f>
        <v>#REF!</v>
      </c>
      <c r="FL251" t="e">
        <f>AND(#REF!,"AAAAAG51/6c=")</f>
        <v>#REF!</v>
      </c>
      <c r="FM251" t="e">
        <f>AND(#REF!,"AAAAAG51/6g=")</f>
        <v>#REF!</v>
      </c>
      <c r="FN251" t="e">
        <f>AND(#REF!,"AAAAAG51/6k=")</f>
        <v>#REF!</v>
      </c>
      <c r="FO251" t="e">
        <f>IF(#REF!,"AAAAAG51/6o=",0)</f>
        <v>#REF!</v>
      </c>
      <c r="FP251" t="e">
        <f>AND(#REF!,"AAAAAG51/6s=")</f>
        <v>#REF!</v>
      </c>
      <c r="FQ251" t="e">
        <f>AND(#REF!,"AAAAAG51/6w=")</f>
        <v>#REF!</v>
      </c>
      <c r="FR251" t="e">
        <f>AND(#REF!,"AAAAAG51/60=")</f>
        <v>#REF!</v>
      </c>
      <c r="FS251" t="e">
        <f>AND(#REF!,"AAAAAG51/64=")</f>
        <v>#REF!</v>
      </c>
      <c r="FT251" t="e">
        <f>AND(#REF!,"AAAAAG51/68=")</f>
        <v>#REF!</v>
      </c>
      <c r="FU251" t="e">
        <f>AND(#REF!,"AAAAAG51/7A=")</f>
        <v>#REF!</v>
      </c>
      <c r="FV251" t="e">
        <f>AND(#REF!,"AAAAAG51/7E=")</f>
        <v>#REF!</v>
      </c>
      <c r="FW251" t="e">
        <f>AND(#REF!,"AAAAAG51/7I=")</f>
        <v>#REF!</v>
      </c>
      <c r="FX251" t="e">
        <f>AND(#REF!,"AAAAAG51/7M=")</f>
        <v>#REF!</v>
      </c>
      <c r="FY251" t="e">
        <f>AND(#REF!,"AAAAAG51/7Q=")</f>
        <v>#REF!</v>
      </c>
      <c r="FZ251" t="e">
        <f>IF(#REF!,"AAAAAG51/7U=",0)</f>
        <v>#REF!</v>
      </c>
      <c r="GA251" t="e">
        <f>AND(#REF!,"AAAAAG51/7Y=")</f>
        <v>#REF!</v>
      </c>
      <c r="GB251" t="e">
        <f>AND(#REF!,"AAAAAG51/7c=")</f>
        <v>#REF!</v>
      </c>
      <c r="GC251" t="e">
        <f>AND(#REF!,"AAAAAG51/7g=")</f>
        <v>#REF!</v>
      </c>
      <c r="GD251" t="e">
        <f>AND(#REF!,"AAAAAG51/7k=")</f>
        <v>#REF!</v>
      </c>
      <c r="GE251" t="e">
        <f>AND(#REF!,"AAAAAG51/7o=")</f>
        <v>#REF!</v>
      </c>
      <c r="GF251" t="e">
        <f>AND(#REF!,"AAAAAG51/7s=")</f>
        <v>#REF!</v>
      </c>
      <c r="GG251" t="e">
        <f>AND(#REF!,"AAAAAG51/7w=")</f>
        <v>#REF!</v>
      </c>
      <c r="GH251" t="e">
        <f>AND(#REF!,"AAAAAG51/70=")</f>
        <v>#REF!</v>
      </c>
      <c r="GI251" t="e">
        <f>AND(#REF!,"AAAAAG51/74=")</f>
        <v>#REF!</v>
      </c>
      <c r="GJ251" t="e">
        <f>AND(#REF!,"AAAAAG51/78=")</f>
        <v>#REF!</v>
      </c>
      <c r="GK251" t="e">
        <f>IF(#REF!,"AAAAAG51/8A=",0)</f>
        <v>#REF!</v>
      </c>
      <c r="GL251" t="e">
        <f>AND(#REF!,"AAAAAG51/8E=")</f>
        <v>#REF!</v>
      </c>
      <c r="GM251" t="e">
        <f>AND(#REF!,"AAAAAG51/8I=")</f>
        <v>#REF!</v>
      </c>
      <c r="GN251" t="e">
        <f>AND(#REF!,"AAAAAG51/8M=")</f>
        <v>#REF!</v>
      </c>
      <c r="GO251" t="e">
        <f>AND(#REF!,"AAAAAG51/8Q=")</f>
        <v>#REF!</v>
      </c>
      <c r="GP251" t="e">
        <f>AND(#REF!,"AAAAAG51/8U=")</f>
        <v>#REF!</v>
      </c>
      <c r="GQ251" t="e">
        <f>AND(#REF!,"AAAAAG51/8Y=")</f>
        <v>#REF!</v>
      </c>
      <c r="GR251" t="e">
        <f>AND(#REF!,"AAAAAG51/8c=")</f>
        <v>#REF!</v>
      </c>
      <c r="GS251" t="e">
        <f>AND(#REF!,"AAAAAG51/8g=")</f>
        <v>#REF!</v>
      </c>
      <c r="GT251" t="e">
        <f>AND(#REF!,"AAAAAG51/8k=")</f>
        <v>#REF!</v>
      </c>
      <c r="GU251" t="e">
        <f>AND(#REF!,"AAAAAG51/8o=")</f>
        <v>#REF!</v>
      </c>
      <c r="GV251" t="e">
        <f>IF(#REF!,"AAAAAG51/8s=",0)</f>
        <v>#REF!</v>
      </c>
      <c r="GW251" t="e">
        <f>AND(#REF!,"AAAAAG51/8w=")</f>
        <v>#REF!</v>
      </c>
      <c r="GX251" t="e">
        <f>AND(#REF!,"AAAAAG51/80=")</f>
        <v>#REF!</v>
      </c>
      <c r="GY251" t="e">
        <f>AND(#REF!,"AAAAAG51/84=")</f>
        <v>#REF!</v>
      </c>
      <c r="GZ251" t="e">
        <f>AND(#REF!,"AAAAAG51/88=")</f>
        <v>#REF!</v>
      </c>
      <c r="HA251" t="e">
        <f>AND(#REF!,"AAAAAG51/9A=")</f>
        <v>#REF!</v>
      </c>
      <c r="HB251" t="e">
        <f>AND(#REF!,"AAAAAG51/9E=")</f>
        <v>#REF!</v>
      </c>
      <c r="HC251" t="e">
        <f>AND(#REF!,"AAAAAG51/9I=")</f>
        <v>#REF!</v>
      </c>
      <c r="HD251" t="e">
        <f>AND(#REF!,"AAAAAG51/9M=")</f>
        <v>#REF!</v>
      </c>
      <c r="HE251" t="e">
        <f>AND(#REF!,"AAAAAG51/9Q=")</f>
        <v>#REF!</v>
      </c>
      <c r="HF251" t="e">
        <f>AND(#REF!,"AAAAAG51/9U=")</f>
        <v>#REF!</v>
      </c>
      <c r="HG251" t="e">
        <f>IF(#REF!,"AAAAAG51/9Y=",0)</f>
        <v>#REF!</v>
      </c>
      <c r="HH251" t="e">
        <f>AND(#REF!,"AAAAAG51/9c=")</f>
        <v>#REF!</v>
      </c>
      <c r="HI251" t="e">
        <f>AND(#REF!,"AAAAAG51/9g=")</f>
        <v>#REF!</v>
      </c>
      <c r="HJ251" t="e">
        <f>AND(#REF!,"AAAAAG51/9k=")</f>
        <v>#REF!</v>
      </c>
      <c r="HK251" t="e">
        <f>AND(#REF!,"AAAAAG51/9o=")</f>
        <v>#REF!</v>
      </c>
      <c r="HL251" t="e">
        <f>AND(#REF!,"AAAAAG51/9s=")</f>
        <v>#REF!</v>
      </c>
      <c r="HM251" t="e">
        <f>AND(#REF!,"AAAAAG51/9w=")</f>
        <v>#REF!</v>
      </c>
      <c r="HN251" t="e">
        <f>AND(#REF!,"AAAAAG51/90=")</f>
        <v>#REF!</v>
      </c>
      <c r="HO251" t="e">
        <f>AND(#REF!,"AAAAAG51/94=")</f>
        <v>#REF!</v>
      </c>
      <c r="HP251" t="e">
        <f>AND(#REF!,"AAAAAG51/98=")</f>
        <v>#REF!</v>
      </c>
      <c r="HQ251" t="e">
        <f>AND(#REF!,"AAAAAG51/+A=")</f>
        <v>#REF!</v>
      </c>
      <c r="HR251" t="e">
        <f>IF(#REF!,"AAAAAG51/+E=",0)</f>
        <v>#REF!</v>
      </c>
      <c r="HS251" t="e">
        <f>AND(#REF!,"AAAAAG51/+I=")</f>
        <v>#REF!</v>
      </c>
      <c r="HT251" t="e">
        <f>AND(#REF!,"AAAAAG51/+M=")</f>
        <v>#REF!</v>
      </c>
      <c r="HU251" t="e">
        <f>AND(#REF!,"AAAAAG51/+Q=")</f>
        <v>#REF!</v>
      </c>
      <c r="HV251" t="e">
        <f>AND(#REF!,"AAAAAG51/+U=")</f>
        <v>#REF!</v>
      </c>
      <c r="HW251" t="e">
        <f>AND(#REF!,"AAAAAG51/+Y=")</f>
        <v>#REF!</v>
      </c>
      <c r="HX251" t="e">
        <f>AND(#REF!,"AAAAAG51/+c=")</f>
        <v>#REF!</v>
      </c>
      <c r="HY251" t="e">
        <f>AND(#REF!,"AAAAAG51/+g=")</f>
        <v>#REF!</v>
      </c>
      <c r="HZ251" t="e">
        <f>AND(#REF!,"AAAAAG51/+k=")</f>
        <v>#REF!</v>
      </c>
      <c r="IA251" t="e">
        <f>AND(#REF!,"AAAAAG51/+o=")</f>
        <v>#REF!</v>
      </c>
      <c r="IB251" t="e">
        <f>AND(#REF!,"AAAAAG51/+s=")</f>
        <v>#REF!</v>
      </c>
      <c r="IC251" t="e">
        <f>IF(#REF!,"AAAAAG51/+w=",0)</f>
        <v>#REF!</v>
      </c>
      <c r="ID251" t="e">
        <f>AND(#REF!,"AAAAAG51/+0=")</f>
        <v>#REF!</v>
      </c>
      <c r="IE251" t="e">
        <f>AND(#REF!,"AAAAAG51/+4=")</f>
        <v>#REF!</v>
      </c>
      <c r="IF251" t="e">
        <f>AND(#REF!,"AAAAAG51/+8=")</f>
        <v>#REF!</v>
      </c>
      <c r="IG251" t="e">
        <f>AND(#REF!,"AAAAAG51//A=")</f>
        <v>#REF!</v>
      </c>
      <c r="IH251" t="e">
        <f>AND(#REF!,"AAAAAG51//E=")</f>
        <v>#REF!</v>
      </c>
      <c r="II251" t="e">
        <f>AND(#REF!,"AAAAAG51//I=")</f>
        <v>#REF!</v>
      </c>
      <c r="IJ251" t="e">
        <f>AND(#REF!,"AAAAAG51//M=")</f>
        <v>#REF!</v>
      </c>
      <c r="IK251" t="e">
        <f>AND(#REF!,"AAAAAG51//Q=")</f>
        <v>#REF!</v>
      </c>
      <c r="IL251" t="e">
        <f>AND(#REF!,"AAAAAG51//U=")</f>
        <v>#REF!</v>
      </c>
      <c r="IM251" t="e">
        <f>AND(#REF!,"AAAAAG51//Y=")</f>
        <v>#REF!</v>
      </c>
      <c r="IN251" t="e">
        <f>IF(#REF!,"AAAAAG51//c=",0)</f>
        <v>#REF!</v>
      </c>
      <c r="IO251" t="e">
        <f>AND(#REF!,"AAAAAG51//g=")</f>
        <v>#REF!</v>
      </c>
      <c r="IP251" t="e">
        <f>AND(#REF!,"AAAAAG51//k=")</f>
        <v>#REF!</v>
      </c>
      <c r="IQ251" t="e">
        <f>AND(#REF!,"AAAAAG51//o=")</f>
        <v>#REF!</v>
      </c>
      <c r="IR251" t="e">
        <f>AND(#REF!,"AAAAAG51//s=")</f>
        <v>#REF!</v>
      </c>
      <c r="IS251" t="e">
        <f>AND(#REF!,"AAAAAG51//w=")</f>
        <v>#REF!</v>
      </c>
      <c r="IT251" t="e">
        <f>AND(#REF!,"AAAAAG51//0=")</f>
        <v>#REF!</v>
      </c>
      <c r="IU251" t="e">
        <f>AND(#REF!,"AAAAAG51//4=")</f>
        <v>#REF!</v>
      </c>
      <c r="IV251" t="e">
        <f>AND(#REF!,"AAAAAG51//8=")</f>
        <v>#REF!</v>
      </c>
    </row>
    <row r="252" spans="1:256" x14ac:dyDescent="0.25">
      <c r="A252" t="e">
        <f>AND(#REF!,"AAAAAFf/3wA=")</f>
        <v>#REF!</v>
      </c>
      <c r="B252" t="e">
        <f>AND(#REF!,"AAAAAFf/3wE=")</f>
        <v>#REF!</v>
      </c>
      <c r="C252" t="e">
        <f>IF(#REF!,"AAAAAFf/3wI=",0)</f>
        <v>#REF!</v>
      </c>
      <c r="D252" t="e">
        <f>AND(#REF!,"AAAAAFf/3wM=")</f>
        <v>#REF!</v>
      </c>
      <c r="E252" t="e">
        <f>AND(#REF!,"AAAAAFf/3wQ=")</f>
        <v>#REF!</v>
      </c>
      <c r="F252" t="e">
        <f>AND(#REF!,"AAAAAFf/3wU=")</f>
        <v>#REF!</v>
      </c>
      <c r="G252" t="e">
        <f>AND(#REF!,"AAAAAFf/3wY=")</f>
        <v>#REF!</v>
      </c>
      <c r="H252" t="e">
        <f>AND(#REF!,"AAAAAFf/3wc=")</f>
        <v>#REF!</v>
      </c>
      <c r="I252" t="e">
        <f>AND(#REF!,"AAAAAFf/3wg=")</f>
        <v>#REF!</v>
      </c>
      <c r="J252" t="e">
        <f>AND(#REF!,"AAAAAFf/3wk=")</f>
        <v>#REF!</v>
      </c>
      <c r="K252" t="e">
        <f>AND(#REF!,"AAAAAFf/3wo=")</f>
        <v>#REF!</v>
      </c>
      <c r="L252" t="e">
        <f>AND(#REF!,"AAAAAFf/3ws=")</f>
        <v>#REF!</v>
      </c>
      <c r="M252" t="e">
        <f>AND(#REF!,"AAAAAFf/3ww=")</f>
        <v>#REF!</v>
      </c>
      <c r="N252" t="e">
        <f>IF(#REF!,"AAAAAFf/3w0=",0)</f>
        <v>#REF!</v>
      </c>
      <c r="O252" t="e">
        <f>AND(#REF!,"AAAAAFf/3w4=")</f>
        <v>#REF!</v>
      </c>
      <c r="P252" t="e">
        <f>AND(#REF!,"AAAAAFf/3w8=")</f>
        <v>#REF!</v>
      </c>
      <c r="Q252" t="e">
        <f>AND(#REF!,"AAAAAFf/3xA=")</f>
        <v>#REF!</v>
      </c>
      <c r="R252" t="e">
        <f>AND(#REF!,"AAAAAFf/3xE=")</f>
        <v>#REF!</v>
      </c>
      <c r="S252" t="e">
        <f>AND(#REF!,"AAAAAFf/3xI=")</f>
        <v>#REF!</v>
      </c>
      <c r="T252" t="e">
        <f>AND(#REF!,"AAAAAFf/3xM=")</f>
        <v>#REF!</v>
      </c>
      <c r="U252" t="e">
        <f>AND(#REF!,"AAAAAFf/3xQ=")</f>
        <v>#REF!</v>
      </c>
      <c r="V252" t="e">
        <f>AND(#REF!,"AAAAAFf/3xU=")</f>
        <v>#REF!</v>
      </c>
      <c r="W252" t="e">
        <f>AND(#REF!,"AAAAAFf/3xY=")</f>
        <v>#REF!</v>
      </c>
      <c r="X252" t="e">
        <f>AND(#REF!,"AAAAAFf/3xc=")</f>
        <v>#REF!</v>
      </c>
      <c r="Y252" t="e">
        <f>IF(#REF!,"AAAAAFf/3xg=",0)</f>
        <v>#REF!</v>
      </c>
      <c r="Z252" t="e">
        <f>AND(#REF!,"AAAAAFf/3xk=")</f>
        <v>#REF!</v>
      </c>
      <c r="AA252" t="e">
        <f>AND(#REF!,"AAAAAFf/3xo=")</f>
        <v>#REF!</v>
      </c>
      <c r="AB252" t="e">
        <f>AND(#REF!,"AAAAAFf/3xs=")</f>
        <v>#REF!</v>
      </c>
      <c r="AC252" t="e">
        <f>AND(#REF!,"AAAAAFf/3xw=")</f>
        <v>#REF!</v>
      </c>
      <c r="AD252" t="e">
        <f>AND(#REF!,"AAAAAFf/3x0=")</f>
        <v>#REF!</v>
      </c>
      <c r="AE252" t="e">
        <f>AND(#REF!,"AAAAAFf/3x4=")</f>
        <v>#REF!</v>
      </c>
      <c r="AF252" t="e">
        <f>AND(#REF!,"AAAAAFf/3x8=")</f>
        <v>#REF!</v>
      </c>
      <c r="AG252" t="e">
        <f>AND(#REF!,"AAAAAFf/3yA=")</f>
        <v>#REF!</v>
      </c>
      <c r="AH252" t="e">
        <f>AND(#REF!,"AAAAAFf/3yE=")</f>
        <v>#REF!</v>
      </c>
      <c r="AI252" t="e">
        <f>AND(#REF!,"AAAAAFf/3yI=")</f>
        <v>#REF!</v>
      </c>
      <c r="AJ252" t="e">
        <f>IF(#REF!,"AAAAAFf/3yM=",0)</f>
        <v>#REF!</v>
      </c>
      <c r="AK252" t="e">
        <f>AND(#REF!,"AAAAAFf/3yQ=")</f>
        <v>#REF!</v>
      </c>
      <c r="AL252" t="e">
        <f>AND(#REF!,"AAAAAFf/3yU=")</f>
        <v>#REF!</v>
      </c>
      <c r="AM252" t="e">
        <f>AND(#REF!,"AAAAAFf/3yY=")</f>
        <v>#REF!</v>
      </c>
      <c r="AN252" t="e">
        <f>AND(#REF!,"AAAAAFf/3yc=")</f>
        <v>#REF!</v>
      </c>
      <c r="AO252" t="e">
        <f>AND(#REF!,"AAAAAFf/3yg=")</f>
        <v>#REF!</v>
      </c>
      <c r="AP252" t="e">
        <f>AND(#REF!,"AAAAAFf/3yk=")</f>
        <v>#REF!</v>
      </c>
      <c r="AQ252" t="e">
        <f>AND(#REF!,"AAAAAFf/3yo=")</f>
        <v>#REF!</v>
      </c>
      <c r="AR252" t="e">
        <f>AND(#REF!,"AAAAAFf/3ys=")</f>
        <v>#REF!</v>
      </c>
      <c r="AS252" t="e">
        <f>AND(#REF!,"AAAAAFf/3yw=")</f>
        <v>#REF!</v>
      </c>
      <c r="AT252" t="e">
        <f>AND(#REF!,"AAAAAFf/3y0=")</f>
        <v>#REF!</v>
      </c>
      <c r="AU252" t="e">
        <f>IF(#REF!,"AAAAAFf/3y4=",0)</f>
        <v>#REF!</v>
      </c>
      <c r="AV252" t="e">
        <f>AND(#REF!,"AAAAAFf/3y8=")</f>
        <v>#REF!</v>
      </c>
      <c r="AW252" t="e">
        <f>AND(#REF!,"AAAAAFf/3zA=")</f>
        <v>#REF!</v>
      </c>
      <c r="AX252" t="e">
        <f>AND(#REF!,"AAAAAFf/3zE=")</f>
        <v>#REF!</v>
      </c>
      <c r="AY252" t="e">
        <f>AND(#REF!,"AAAAAFf/3zI=")</f>
        <v>#REF!</v>
      </c>
      <c r="AZ252" t="e">
        <f>AND(#REF!,"AAAAAFf/3zM=")</f>
        <v>#REF!</v>
      </c>
      <c r="BA252" t="e">
        <f>AND(#REF!,"AAAAAFf/3zQ=")</f>
        <v>#REF!</v>
      </c>
      <c r="BB252" t="e">
        <f>AND(#REF!,"AAAAAFf/3zU=")</f>
        <v>#REF!</v>
      </c>
      <c r="BC252" t="e">
        <f>AND(#REF!,"AAAAAFf/3zY=")</f>
        <v>#REF!</v>
      </c>
      <c r="BD252" t="e">
        <f>AND(#REF!,"AAAAAFf/3zc=")</f>
        <v>#REF!</v>
      </c>
      <c r="BE252" t="e">
        <f>AND(#REF!,"AAAAAFf/3zg=")</f>
        <v>#REF!</v>
      </c>
      <c r="BF252" t="e">
        <f>IF(#REF!,"AAAAAFf/3zk=",0)</f>
        <v>#REF!</v>
      </c>
      <c r="BG252" t="e">
        <f>AND(#REF!,"AAAAAFf/3zo=")</f>
        <v>#REF!</v>
      </c>
      <c r="BH252" t="e">
        <f>AND(#REF!,"AAAAAFf/3zs=")</f>
        <v>#REF!</v>
      </c>
      <c r="BI252" t="e">
        <f>AND(#REF!,"AAAAAFf/3zw=")</f>
        <v>#REF!</v>
      </c>
      <c r="BJ252" t="e">
        <f>AND(#REF!,"AAAAAFf/3z0=")</f>
        <v>#REF!</v>
      </c>
      <c r="BK252" t="e">
        <f>AND(#REF!,"AAAAAFf/3z4=")</f>
        <v>#REF!</v>
      </c>
      <c r="BL252" t="e">
        <f>AND(#REF!,"AAAAAFf/3z8=")</f>
        <v>#REF!</v>
      </c>
      <c r="BM252" t="e">
        <f>AND(#REF!,"AAAAAFf/30A=")</f>
        <v>#REF!</v>
      </c>
      <c r="BN252" t="e">
        <f>AND(#REF!,"AAAAAFf/30E=")</f>
        <v>#REF!</v>
      </c>
      <c r="BO252" t="e">
        <f>AND(#REF!,"AAAAAFf/30I=")</f>
        <v>#REF!</v>
      </c>
      <c r="BP252" t="e">
        <f>AND(#REF!,"AAAAAFf/30M=")</f>
        <v>#REF!</v>
      </c>
      <c r="BQ252" t="e">
        <f>IF(#REF!,"AAAAAFf/30Q=",0)</f>
        <v>#REF!</v>
      </c>
      <c r="BR252" t="e">
        <f>AND(#REF!,"AAAAAFf/30U=")</f>
        <v>#REF!</v>
      </c>
      <c r="BS252" t="e">
        <f>AND(#REF!,"AAAAAFf/30Y=")</f>
        <v>#REF!</v>
      </c>
      <c r="BT252" t="e">
        <f>AND(#REF!,"AAAAAFf/30c=")</f>
        <v>#REF!</v>
      </c>
      <c r="BU252" t="e">
        <f>AND(#REF!,"AAAAAFf/30g=")</f>
        <v>#REF!</v>
      </c>
      <c r="BV252" t="e">
        <f>AND(#REF!,"AAAAAFf/30k=")</f>
        <v>#REF!</v>
      </c>
      <c r="BW252" t="e">
        <f>AND(#REF!,"AAAAAFf/30o=")</f>
        <v>#REF!</v>
      </c>
      <c r="BX252" t="e">
        <f>AND(#REF!,"AAAAAFf/30s=")</f>
        <v>#REF!</v>
      </c>
      <c r="BY252" t="e">
        <f>AND(#REF!,"AAAAAFf/30w=")</f>
        <v>#REF!</v>
      </c>
      <c r="BZ252" t="e">
        <f>AND(#REF!,"AAAAAFf/300=")</f>
        <v>#REF!</v>
      </c>
      <c r="CA252" t="e">
        <f>AND(#REF!,"AAAAAFf/304=")</f>
        <v>#REF!</v>
      </c>
      <c r="CB252" t="e">
        <f>IF(#REF!,"AAAAAFf/308=",0)</f>
        <v>#REF!</v>
      </c>
      <c r="CC252" t="e">
        <f>AND(#REF!,"AAAAAFf/31A=")</f>
        <v>#REF!</v>
      </c>
      <c r="CD252" t="e">
        <f>AND(#REF!,"AAAAAFf/31E=")</f>
        <v>#REF!</v>
      </c>
      <c r="CE252" t="e">
        <f>AND(#REF!,"AAAAAFf/31I=")</f>
        <v>#REF!</v>
      </c>
      <c r="CF252" t="e">
        <f>AND(#REF!,"AAAAAFf/31M=")</f>
        <v>#REF!</v>
      </c>
      <c r="CG252" t="e">
        <f>AND(#REF!,"AAAAAFf/31Q=")</f>
        <v>#REF!</v>
      </c>
      <c r="CH252" t="e">
        <f>AND(#REF!,"AAAAAFf/31U=")</f>
        <v>#REF!</v>
      </c>
      <c r="CI252" t="e">
        <f>AND(#REF!,"AAAAAFf/31Y=")</f>
        <v>#REF!</v>
      </c>
      <c r="CJ252" t="e">
        <f>AND(#REF!,"AAAAAFf/31c=")</f>
        <v>#REF!</v>
      </c>
      <c r="CK252" t="e">
        <f>AND(#REF!,"AAAAAFf/31g=")</f>
        <v>#REF!</v>
      </c>
      <c r="CL252" t="e">
        <f>AND(#REF!,"AAAAAFf/31k=")</f>
        <v>#REF!</v>
      </c>
      <c r="CM252" t="e">
        <f>IF(#REF!,"AAAAAFf/31o=",0)</f>
        <v>#REF!</v>
      </c>
      <c r="CN252" t="e">
        <f>AND(#REF!,"AAAAAFf/31s=")</f>
        <v>#REF!</v>
      </c>
      <c r="CO252" t="e">
        <f>AND(#REF!,"AAAAAFf/31w=")</f>
        <v>#REF!</v>
      </c>
      <c r="CP252" t="e">
        <f>AND(#REF!,"AAAAAFf/310=")</f>
        <v>#REF!</v>
      </c>
      <c r="CQ252" t="e">
        <f>AND(#REF!,"AAAAAFf/314=")</f>
        <v>#REF!</v>
      </c>
      <c r="CR252" t="e">
        <f>AND(#REF!,"AAAAAFf/318=")</f>
        <v>#REF!</v>
      </c>
      <c r="CS252" t="e">
        <f>AND(#REF!,"AAAAAFf/32A=")</f>
        <v>#REF!</v>
      </c>
      <c r="CT252" t="e">
        <f>AND(#REF!,"AAAAAFf/32E=")</f>
        <v>#REF!</v>
      </c>
      <c r="CU252" t="e">
        <f>AND(#REF!,"AAAAAFf/32I=")</f>
        <v>#REF!</v>
      </c>
      <c r="CV252" t="e">
        <f>AND(#REF!,"AAAAAFf/32M=")</f>
        <v>#REF!</v>
      </c>
      <c r="CW252" t="e">
        <f>AND(#REF!,"AAAAAFf/32Q=")</f>
        <v>#REF!</v>
      </c>
      <c r="CX252" t="e">
        <f>IF(#REF!,"AAAAAFf/32U=",0)</f>
        <v>#REF!</v>
      </c>
      <c r="CY252" t="e">
        <f>AND(#REF!,"AAAAAFf/32Y=")</f>
        <v>#REF!</v>
      </c>
      <c r="CZ252" t="e">
        <f>AND(#REF!,"AAAAAFf/32c=")</f>
        <v>#REF!</v>
      </c>
      <c r="DA252" t="e">
        <f>AND(#REF!,"AAAAAFf/32g=")</f>
        <v>#REF!</v>
      </c>
      <c r="DB252" t="e">
        <f>AND(#REF!,"AAAAAFf/32k=")</f>
        <v>#REF!</v>
      </c>
      <c r="DC252" t="e">
        <f>AND(#REF!,"AAAAAFf/32o=")</f>
        <v>#REF!</v>
      </c>
      <c r="DD252" t="e">
        <f>AND(#REF!,"AAAAAFf/32s=")</f>
        <v>#REF!</v>
      </c>
      <c r="DE252" t="e">
        <f>AND(#REF!,"AAAAAFf/32w=")</f>
        <v>#REF!</v>
      </c>
      <c r="DF252" t="e">
        <f>AND(#REF!,"AAAAAFf/320=")</f>
        <v>#REF!</v>
      </c>
      <c r="DG252" t="e">
        <f>AND(#REF!,"AAAAAFf/324=")</f>
        <v>#REF!</v>
      </c>
      <c r="DH252" t="e">
        <f>AND(#REF!,"AAAAAFf/328=")</f>
        <v>#REF!</v>
      </c>
      <c r="DI252" t="e">
        <f>IF(#REF!,"AAAAAFf/33A=",0)</f>
        <v>#REF!</v>
      </c>
      <c r="DJ252" t="e">
        <f>AND(#REF!,"AAAAAFf/33E=")</f>
        <v>#REF!</v>
      </c>
      <c r="DK252" t="e">
        <f>AND(#REF!,"AAAAAFf/33I=")</f>
        <v>#REF!</v>
      </c>
      <c r="DL252" t="e">
        <f>AND(#REF!,"AAAAAFf/33M=")</f>
        <v>#REF!</v>
      </c>
      <c r="DM252" t="e">
        <f>AND(#REF!,"AAAAAFf/33Q=")</f>
        <v>#REF!</v>
      </c>
      <c r="DN252" t="e">
        <f>AND(#REF!,"AAAAAFf/33U=")</f>
        <v>#REF!</v>
      </c>
      <c r="DO252" t="e">
        <f>AND(#REF!,"AAAAAFf/33Y=")</f>
        <v>#REF!</v>
      </c>
      <c r="DP252" t="e">
        <f>AND(#REF!,"AAAAAFf/33c=")</f>
        <v>#REF!</v>
      </c>
      <c r="DQ252" t="e">
        <f>AND(#REF!,"AAAAAFf/33g=")</f>
        <v>#REF!</v>
      </c>
      <c r="DR252" t="e">
        <f>AND(#REF!,"AAAAAFf/33k=")</f>
        <v>#REF!</v>
      </c>
      <c r="DS252" t="e">
        <f>AND(#REF!,"AAAAAFf/33o=")</f>
        <v>#REF!</v>
      </c>
      <c r="DT252" t="e">
        <f>IF(#REF!,"AAAAAFf/33s=",0)</f>
        <v>#REF!</v>
      </c>
      <c r="DU252" t="e">
        <f>AND(#REF!,"AAAAAFf/33w=")</f>
        <v>#REF!</v>
      </c>
      <c r="DV252" t="e">
        <f>AND(#REF!,"AAAAAFf/330=")</f>
        <v>#REF!</v>
      </c>
      <c r="DW252" t="e">
        <f>AND(#REF!,"AAAAAFf/334=")</f>
        <v>#REF!</v>
      </c>
      <c r="DX252" t="e">
        <f>AND(#REF!,"AAAAAFf/338=")</f>
        <v>#REF!</v>
      </c>
      <c r="DY252" t="e">
        <f>AND(#REF!,"AAAAAFf/34A=")</f>
        <v>#REF!</v>
      </c>
      <c r="DZ252" t="e">
        <f>AND(#REF!,"AAAAAFf/34E=")</f>
        <v>#REF!</v>
      </c>
      <c r="EA252" t="e">
        <f>AND(#REF!,"AAAAAFf/34I=")</f>
        <v>#REF!</v>
      </c>
      <c r="EB252" t="e">
        <f>AND(#REF!,"AAAAAFf/34M=")</f>
        <v>#REF!</v>
      </c>
      <c r="EC252" t="e">
        <f>AND(#REF!,"AAAAAFf/34Q=")</f>
        <v>#REF!</v>
      </c>
      <c r="ED252" t="e">
        <f>AND(#REF!,"AAAAAFf/34U=")</f>
        <v>#REF!</v>
      </c>
      <c r="EE252" t="e">
        <f>IF(#REF!,"AAAAAFf/34Y=",0)</f>
        <v>#REF!</v>
      </c>
      <c r="EF252" t="e">
        <f>AND(#REF!,"AAAAAFf/34c=")</f>
        <v>#REF!</v>
      </c>
      <c r="EG252" t="e">
        <f>AND(#REF!,"AAAAAFf/34g=")</f>
        <v>#REF!</v>
      </c>
      <c r="EH252" t="e">
        <f>AND(#REF!,"AAAAAFf/34k=")</f>
        <v>#REF!</v>
      </c>
      <c r="EI252" t="e">
        <f>AND(#REF!,"AAAAAFf/34o=")</f>
        <v>#REF!</v>
      </c>
      <c r="EJ252" t="e">
        <f>AND(#REF!,"AAAAAFf/34s=")</f>
        <v>#REF!</v>
      </c>
      <c r="EK252" t="e">
        <f>AND(#REF!,"AAAAAFf/34w=")</f>
        <v>#REF!</v>
      </c>
      <c r="EL252" t="e">
        <f>AND(#REF!,"AAAAAFf/340=")</f>
        <v>#REF!</v>
      </c>
      <c r="EM252" t="e">
        <f>AND(#REF!,"AAAAAFf/344=")</f>
        <v>#REF!</v>
      </c>
      <c r="EN252" t="e">
        <f>AND(#REF!,"AAAAAFf/348=")</f>
        <v>#REF!</v>
      </c>
      <c r="EO252" t="e">
        <f>AND(#REF!,"AAAAAFf/35A=")</f>
        <v>#REF!</v>
      </c>
      <c r="EP252" t="e">
        <f>IF(#REF!,"AAAAAFf/35E=",0)</f>
        <v>#REF!</v>
      </c>
      <c r="EQ252" t="e">
        <f>AND(#REF!,"AAAAAFf/35I=")</f>
        <v>#REF!</v>
      </c>
      <c r="ER252" t="e">
        <f>AND(#REF!,"AAAAAFf/35M=")</f>
        <v>#REF!</v>
      </c>
      <c r="ES252" t="e">
        <f>AND(#REF!,"AAAAAFf/35Q=")</f>
        <v>#REF!</v>
      </c>
      <c r="ET252" t="e">
        <f>AND(#REF!,"AAAAAFf/35U=")</f>
        <v>#REF!</v>
      </c>
      <c r="EU252" t="e">
        <f>AND(#REF!,"AAAAAFf/35Y=")</f>
        <v>#REF!</v>
      </c>
      <c r="EV252" t="e">
        <f>AND(#REF!,"AAAAAFf/35c=")</f>
        <v>#REF!</v>
      </c>
      <c r="EW252" t="e">
        <f>AND(#REF!,"AAAAAFf/35g=")</f>
        <v>#REF!</v>
      </c>
      <c r="EX252" t="e">
        <f>AND(#REF!,"AAAAAFf/35k=")</f>
        <v>#REF!</v>
      </c>
      <c r="EY252" t="e">
        <f>AND(#REF!,"AAAAAFf/35o=")</f>
        <v>#REF!</v>
      </c>
      <c r="EZ252" t="e">
        <f>AND(#REF!,"AAAAAFf/35s=")</f>
        <v>#REF!</v>
      </c>
      <c r="FA252" t="e">
        <f>IF(#REF!,"AAAAAFf/35w=",0)</f>
        <v>#REF!</v>
      </c>
      <c r="FB252" t="e">
        <f>AND(#REF!,"AAAAAFf/350=")</f>
        <v>#REF!</v>
      </c>
      <c r="FC252" t="e">
        <f>AND(#REF!,"AAAAAFf/354=")</f>
        <v>#REF!</v>
      </c>
      <c r="FD252" t="e">
        <f>AND(#REF!,"AAAAAFf/358=")</f>
        <v>#REF!</v>
      </c>
      <c r="FE252" t="e">
        <f>AND(#REF!,"AAAAAFf/36A=")</f>
        <v>#REF!</v>
      </c>
      <c r="FF252" t="e">
        <f>AND(#REF!,"AAAAAFf/36E=")</f>
        <v>#REF!</v>
      </c>
      <c r="FG252" t="e">
        <f>AND(#REF!,"AAAAAFf/36I=")</f>
        <v>#REF!</v>
      </c>
      <c r="FH252" t="e">
        <f>AND(#REF!,"AAAAAFf/36M=")</f>
        <v>#REF!</v>
      </c>
      <c r="FI252" t="e">
        <f>AND(#REF!,"AAAAAFf/36Q=")</f>
        <v>#REF!</v>
      </c>
      <c r="FJ252" t="e">
        <f>AND(#REF!,"AAAAAFf/36U=")</f>
        <v>#REF!</v>
      </c>
      <c r="FK252" t="e">
        <f>AND(#REF!,"AAAAAFf/36Y=")</f>
        <v>#REF!</v>
      </c>
      <c r="FL252" t="e">
        <f>IF(#REF!,"AAAAAFf/36c=",0)</f>
        <v>#REF!</v>
      </c>
      <c r="FM252" t="e">
        <f>AND(#REF!,"AAAAAFf/36g=")</f>
        <v>#REF!</v>
      </c>
      <c r="FN252" t="e">
        <f>AND(#REF!,"AAAAAFf/36k=")</f>
        <v>#REF!</v>
      </c>
      <c r="FO252" t="e">
        <f>AND(#REF!,"AAAAAFf/36o=")</f>
        <v>#REF!</v>
      </c>
      <c r="FP252" t="e">
        <f>AND(#REF!,"AAAAAFf/36s=")</f>
        <v>#REF!</v>
      </c>
      <c r="FQ252" t="e">
        <f>AND(#REF!,"AAAAAFf/36w=")</f>
        <v>#REF!</v>
      </c>
      <c r="FR252" t="e">
        <f>AND(#REF!,"AAAAAFf/360=")</f>
        <v>#REF!</v>
      </c>
      <c r="FS252" t="e">
        <f>AND(#REF!,"AAAAAFf/364=")</f>
        <v>#REF!</v>
      </c>
      <c r="FT252" t="e">
        <f>AND(#REF!,"AAAAAFf/368=")</f>
        <v>#REF!</v>
      </c>
      <c r="FU252" t="e">
        <f>AND(#REF!,"AAAAAFf/37A=")</f>
        <v>#REF!</v>
      </c>
      <c r="FV252" t="e">
        <f>AND(#REF!,"AAAAAFf/37E=")</f>
        <v>#REF!</v>
      </c>
      <c r="FW252" t="e">
        <f>IF(#REF!,"AAAAAFf/37I=",0)</f>
        <v>#REF!</v>
      </c>
      <c r="FX252" t="e">
        <f>AND(#REF!,"AAAAAFf/37M=")</f>
        <v>#REF!</v>
      </c>
      <c r="FY252" t="e">
        <f>AND(#REF!,"AAAAAFf/37Q=")</f>
        <v>#REF!</v>
      </c>
      <c r="FZ252" t="e">
        <f>AND(#REF!,"AAAAAFf/37U=")</f>
        <v>#REF!</v>
      </c>
      <c r="GA252" t="e">
        <f>AND(#REF!,"AAAAAFf/37Y=")</f>
        <v>#REF!</v>
      </c>
      <c r="GB252" t="e">
        <f>AND(#REF!,"AAAAAFf/37c=")</f>
        <v>#REF!</v>
      </c>
      <c r="GC252" t="e">
        <f>AND(#REF!,"AAAAAFf/37g=")</f>
        <v>#REF!</v>
      </c>
      <c r="GD252" t="e">
        <f>AND(#REF!,"AAAAAFf/37k=")</f>
        <v>#REF!</v>
      </c>
      <c r="GE252" t="e">
        <f>AND(#REF!,"AAAAAFf/37o=")</f>
        <v>#REF!</v>
      </c>
      <c r="GF252" t="e">
        <f>AND(#REF!,"AAAAAFf/37s=")</f>
        <v>#REF!</v>
      </c>
      <c r="GG252" t="e">
        <f>AND(#REF!,"AAAAAFf/37w=")</f>
        <v>#REF!</v>
      </c>
      <c r="GH252" t="e">
        <f>IF(#REF!,"AAAAAFf/370=",0)</f>
        <v>#REF!</v>
      </c>
      <c r="GI252" t="e">
        <f>AND(#REF!,"AAAAAFf/374=")</f>
        <v>#REF!</v>
      </c>
      <c r="GJ252" t="e">
        <f>AND(#REF!,"AAAAAFf/378=")</f>
        <v>#REF!</v>
      </c>
      <c r="GK252" t="e">
        <f>AND(#REF!,"AAAAAFf/38A=")</f>
        <v>#REF!</v>
      </c>
      <c r="GL252" t="e">
        <f>AND(#REF!,"AAAAAFf/38E=")</f>
        <v>#REF!</v>
      </c>
      <c r="GM252" t="e">
        <f>AND(#REF!,"AAAAAFf/38I=")</f>
        <v>#REF!</v>
      </c>
      <c r="GN252" t="e">
        <f>AND(#REF!,"AAAAAFf/38M=")</f>
        <v>#REF!</v>
      </c>
      <c r="GO252" t="e">
        <f>AND(#REF!,"AAAAAFf/38Q=")</f>
        <v>#REF!</v>
      </c>
      <c r="GP252" t="e">
        <f>AND(#REF!,"AAAAAFf/38U=")</f>
        <v>#REF!</v>
      </c>
      <c r="GQ252" t="e">
        <f>AND(#REF!,"AAAAAFf/38Y=")</f>
        <v>#REF!</v>
      </c>
      <c r="GR252" t="e">
        <f>AND(#REF!,"AAAAAFf/38c=")</f>
        <v>#REF!</v>
      </c>
      <c r="GS252" t="e">
        <f>IF(#REF!,"AAAAAFf/38g=",0)</f>
        <v>#REF!</v>
      </c>
      <c r="GT252" t="e">
        <f>AND(#REF!,"AAAAAFf/38k=")</f>
        <v>#REF!</v>
      </c>
      <c r="GU252" t="e">
        <f>AND(#REF!,"AAAAAFf/38o=")</f>
        <v>#REF!</v>
      </c>
      <c r="GV252" t="e">
        <f>AND(#REF!,"AAAAAFf/38s=")</f>
        <v>#REF!</v>
      </c>
      <c r="GW252" t="e">
        <f>AND(#REF!,"AAAAAFf/38w=")</f>
        <v>#REF!</v>
      </c>
      <c r="GX252" t="e">
        <f>AND(#REF!,"AAAAAFf/380=")</f>
        <v>#REF!</v>
      </c>
      <c r="GY252" t="e">
        <f>AND(#REF!,"AAAAAFf/384=")</f>
        <v>#REF!</v>
      </c>
      <c r="GZ252" t="e">
        <f>AND(#REF!,"AAAAAFf/388=")</f>
        <v>#REF!</v>
      </c>
      <c r="HA252" t="e">
        <f>AND(#REF!,"AAAAAFf/39A=")</f>
        <v>#REF!</v>
      </c>
      <c r="HB252" t="e">
        <f>AND(#REF!,"AAAAAFf/39E=")</f>
        <v>#REF!</v>
      </c>
      <c r="HC252" t="e">
        <f>AND(#REF!,"AAAAAFf/39I=")</f>
        <v>#REF!</v>
      </c>
      <c r="HD252" t="e">
        <f>IF(#REF!,"AAAAAFf/39M=",0)</f>
        <v>#REF!</v>
      </c>
      <c r="HE252" t="e">
        <f>AND(#REF!,"AAAAAFf/39Q=")</f>
        <v>#REF!</v>
      </c>
      <c r="HF252" t="e">
        <f>AND(#REF!,"AAAAAFf/39U=")</f>
        <v>#REF!</v>
      </c>
      <c r="HG252" t="e">
        <f>AND(#REF!,"AAAAAFf/39Y=")</f>
        <v>#REF!</v>
      </c>
      <c r="HH252" t="e">
        <f>AND(#REF!,"AAAAAFf/39c=")</f>
        <v>#REF!</v>
      </c>
      <c r="HI252" t="e">
        <f>AND(#REF!,"AAAAAFf/39g=")</f>
        <v>#REF!</v>
      </c>
      <c r="HJ252" t="e">
        <f>AND(#REF!,"AAAAAFf/39k=")</f>
        <v>#REF!</v>
      </c>
      <c r="HK252" t="e">
        <f>AND(#REF!,"AAAAAFf/39o=")</f>
        <v>#REF!</v>
      </c>
      <c r="HL252" t="e">
        <f>AND(#REF!,"AAAAAFf/39s=")</f>
        <v>#REF!</v>
      </c>
      <c r="HM252" t="e">
        <f>AND(#REF!,"AAAAAFf/39w=")</f>
        <v>#REF!</v>
      </c>
      <c r="HN252" t="e">
        <f>AND(#REF!,"AAAAAFf/390=")</f>
        <v>#REF!</v>
      </c>
      <c r="HO252" t="e">
        <f>IF(#REF!,"AAAAAFf/394=",0)</f>
        <v>#REF!</v>
      </c>
      <c r="HP252" t="e">
        <f>AND(#REF!,"AAAAAFf/398=")</f>
        <v>#REF!</v>
      </c>
      <c r="HQ252" t="e">
        <f>AND(#REF!,"AAAAAFf/3+A=")</f>
        <v>#REF!</v>
      </c>
      <c r="HR252" t="e">
        <f>AND(#REF!,"AAAAAFf/3+E=")</f>
        <v>#REF!</v>
      </c>
      <c r="HS252" t="e">
        <f>AND(#REF!,"AAAAAFf/3+I=")</f>
        <v>#REF!</v>
      </c>
      <c r="HT252" t="e">
        <f>AND(#REF!,"AAAAAFf/3+M=")</f>
        <v>#REF!</v>
      </c>
      <c r="HU252" t="e">
        <f>AND(#REF!,"AAAAAFf/3+Q=")</f>
        <v>#REF!</v>
      </c>
      <c r="HV252" t="e">
        <f>AND(#REF!,"AAAAAFf/3+U=")</f>
        <v>#REF!</v>
      </c>
      <c r="HW252" t="e">
        <f>AND(#REF!,"AAAAAFf/3+Y=")</f>
        <v>#REF!</v>
      </c>
      <c r="HX252" t="e">
        <f>AND(#REF!,"AAAAAFf/3+c=")</f>
        <v>#REF!</v>
      </c>
      <c r="HY252" t="e">
        <f>AND(#REF!,"AAAAAFf/3+g=")</f>
        <v>#REF!</v>
      </c>
      <c r="HZ252" t="e">
        <f>IF(#REF!,"AAAAAFf/3+k=",0)</f>
        <v>#REF!</v>
      </c>
      <c r="IA252" t="e">
        <f>AND(#REF!,"AAAAAFf/3+o=")</f>
        <v>#REF!</v>
      </c>
      <c r="IB252" t="e">
        <f>AND(#REF!,"AAAAAFf/3+s=")</f>
        <v>#REF!</v>
      </c>
      <c r="IC252" t="e">
        <f>AND(#REF!,"AAAAAFf/3+w=")</f>
        <v>#REF!</v>
      </c>
      <c r="ID252" t="e">
        <f>AND(#REF!,"AAAAAFf/3+0=")</f>
        <v>#REF!</v>
      </c>
      <c r="IE252" t="e">
        <f>AND(#REF!,"AAAAAFf/3+4=")</f>
        <v>#REF!</v>
      </c>
      <c r="IF252" t="e">
        <f>AND(#REF!,"AAAAAFf/3+8=")</f>
        <v>#REF!</v>
      </c>
      <c r="IG252" t="e">
        <f>AND(#REF!,"AAAAAFf/3/A=")</f>
        <v>#REF!</v>
      </c>
      <c r="IH252" t="e">
        <f>AND(#REF!,"AAAAAFf/3/E=")</f>
        <v>#REF!</v>
      </c>
      <c r="II252" t="e">
        <f>AND(#REF!,"AAAAAFf/3/I=")</f>
        <v>#REF!</v>
      </c>
      <c r="IJ252" t="e">
        <f>AND(#REF!,"AAAAAFf/3/M=")</f>
        <v>#REF!</v>
      </c>
      <c r="IK252" t="e">
        <f>IF(#REF!,"AAAAAFf/3/Q=",0)</f>
        <v>#REF!</v>
      </c>
      <c r="IL252" t="e">
        <f>AND(#REF!,"AAAAAFf/3/U=")</f>
        <v>#REF!</v>
      </c>
      <c r="IM252" t="e">
        <f>AND(#REF!,"AAAAAFf/3/Y=")</f>
        <v>#REF!</v>
      </c>
      <c r="IN252" t="e">
        <f>AND(#REF!,"AAAAAFf/3/c=")</f>
        <v>#REF!</v>
      </c>
      <c r="IO252" t="e">
        <f>AND(#REF!,"AAAAAFf/3/g=")</f>
        <v>#REF!</v>
      </c>
      <c r="IP252" t="e">
        <f>AND(#REF!,"AAAAAFf/3/k=")</f>
        <v>#REF!</v>
      </c>
      <c r="IQ252" t="e">
        <f>AND(#REF!,"AAAAAFf/3/o=")</f>
        <v>#REF!</v>
      </c>
      <c r="IR252" t="e">
        <f>AND(#REF!,"AAAAAFf/3/s=")</f>
        <v>#REF!</v>
      </c>
      <c r="IS252" t="e">
        <f>AND(#REF!,"AAAAAFf/3/w=")</f>
        <v>#REF!</v>
      </c>
      <c r="IT252" t="e">
        <f>AND(#REF!,"AAAAAFf/3/0=")</f>
        <v>#REF!</v>
      </c>
      <c r="IU252" t="e">
        <f>AND(#REF!,"AAAAAFf/3/4=")</f>
        <v>#REF!</v>
      </c>
      <c r="IV252" t="e">
        <f>IF(#REF!,"AAAAAFf/3/8=",0)</f>
        <v>#REF!</v>
      </c>
    </row>
    <row r="253" spans="1:256" x14ac:dyDescent="0.25">
      <c r="A253" t="e">
        <f>AND(#REF!,"AAAAAHfx/wA=")</f>
        <v>#REF!</v>
      </c>
      <c r="B253" t="e">
        <f>AND(#REF!,"AAAAAHfx/wE=")</f>
        <v>#REF!</v>
      </c>
      <c r="C253" t="e">
        <f>AND(#REF!,"AAAAAHfx/wI=")</f>
        <v>#REF!</v>
      </c>
      <c r="D253" t="e">
        <f>AND(#REF!,"AAAAAHfx/wM=")</f>
        <v>#REF!</v>
      </c>
      <c r="E253" t="e">
        <f>AND(#REF!,"AAAAAHfx/wQ=")</f>
        <v>#REF!</v>
      </c>
      <c r="F253" t="e">
        <f>AND(#REF!,"AAAAAHfx/wU=")</f>
        <v>#REF!</v>
      </c>
      <c r="G253" t="e">
        <f>AND(#REF!,"AAAAAHfx/wY=")</f>
        <v>#REF!</v>
      </c>
      <c r="H253" t="e">
        <f>AND(#REF!,"AAAAAHfx/wc=")</f>
        <v>#REF!</v>
      </c>
      <c r="I253" t="e">
        <f>AND(#REF!,"AAAAAHfx/wg=")</f>
        <v>#REF!</v>
      </c>
      <c r="J253" t="e">
        <f>AND(#REF!,"AAAAAHfx/wk=")</f>
        <v>#REF!</v>
      </c>
      <c r="K253" t="e">
        <f>IF(#REF!,"AAAAAHfx/wo=",0)</f>
        <v>#REF!</v>
      </c>
      <c r="L253" t="e">
        <f>AND(#REF!,"AAAAAHfx/ws=")</f>
        <v>#REF!</v>
      </c>
      <c r="M253" t="e">
        <f>AND(#REF!,"AAAAAHfx/ww=")</f>
        <v>#REF!</v>
      </c>
      <c r="N253" t="e">
        <f>AND(#REF!,"AAAAAHfx/w0=")</f>
        <v>#REF!</v>
      </c>
      <c r="O253" t="e">
        <f>AND(#REF!,"AAAAAHfx/w4=")</f>
        <v>#REF!</v>
      </c>
      <c r="P253" t="e">
        <f>AND(#REF!,"AAAAAHfx/w8=")</f>
        <v>#REF!</v>
      </c>
      <c r="Q253" t="e">
        <f>AND(#REF!,"AAAAAHfx/xA=")</f>
        <v>#REF!</v>
      </c>
      <c r="R253" t="e">
        <f>AND(#REF!,"AAAAAHfx/xE=")</f>
        <v>#REF!</v>
      </c>
      <c r="S253" t="e">
        <f>AND(#REF!,"AAAAAHfx/xI=")</f>
        <v>#REF!</v>
      </c>
      <c r="T253" t="e">
        <f>AND(#REF!,"AAAAAHfx/xM=")</f>
        <v>#REF!</v>
      </c>
      <c r="U253" t="e">
        <f>AND(#REF!,"AAAAAHfx/xQ=")</f>
        <v>#REF!</v>
      </c>
      <c r="V253" t="e">
        <f>IF(#REF!,"AAAAAHfx/xU=",0)</f>
        <v>#REF!</v>
      </c>
      <c r="W253" t="e">
        <f>AND(#REF!,"AAAAAHfx/xY=")</f>
        <v>#REF!</v>
      </c>
      <c r="X253" t="e">
        <f>AND(#REF!,"AAAAAHfx/xc=")</f>
        <v>#REF!</v>
      </c>
      <c r="Y253" t="e">
        <f>AND(#REF!,"AAAAAHfx/xg=")</f>
        <v>#REF!</v>
      </c>
      <c r="Z253" t="e">
        <f>AND(#REF!,"AAAAAHfx/xk=")</f>
        <v>#REF!</v>
      </c>
      <c r="AA253" t="e">
        <f>AND(#REF!,"AAAAAHfx/xo=")</f>
        <v>#REF!</v>
      </c>
      <c r="AB253" t="e">
        <f>AND(#REF!,"AAAAAHfx/xs=")</f>
        <v>#REF!</v>
      </c>
      <c r="AC253" t="e">
        <f>AND(#REF!,"AAAAAHfx/xw=")</f>
        <v>#REF!</v>
      </c>
      <c r="AD253" t="e">
        <f>AND(#REF!,"AAAAAHfx/x0=")</f>
        <v>#REF!</v>
      </c>
      <c r="AE253" t="e">
        <f>AND(#REF!,"AAAAAHfx/x4=")</f>
        <v>#REF!</v>
      </c>
      <c r="AF253" t="e">
        <f>AND(#REF!,"AAAAAHfx/x8=")</f>
        <v>#REF!</v>
      </c>
      <c r="AG253" t="e">
        <f>IF(#REF!,"AAAAAHfx/yA=",0)</f>
        <v>#REF!</v>
      </c>
      <c r="AH253" t="e">
        <f>AND(#REF!,"AAAAAHfx/yE=")</f>
        <v>#REF!</v>
      </c>
      <c r="AI253" t="e">
        <f>AND(#REF!,"AAAAAHfx/yI=")</f>
        <v>#REF!</v>
      </c>
      <c r="AJ253" t="e">
        <f>AND(#REF!,"AAAAAHfx/yM=")</f>
        <v>#REF!</v>
      </c>
      <c r="AK253" t="e">
        <f>AND(#REF!,"AAAAAHfx/yQ=")</f>
        <v>#REF!</v>
      </c>
      <c r="AL253" t="e">
        <f>AND(#REF!,"AAAAAHfx/yU=")</f>
        <v>#REF!</v>
      </c>
      <c r="AM253" t="e">
        <f>AND(#REF!,"AAAAAHfx/yY=")</f>
        <v>#REF!</v>
      </c>
      <c r="AN253" t="e">
        <f>AND(#REF!,"AAAAAHfx/yc=")</f>
        <v>#REF!</v>
      </c>
      <c r="AO253" t="e">
        <f>AND(#REF!,"AAAAAHfx/yg=")</f>
        <v>#REF!</v>
      </c>
      <c r="AP253" t="e">
        <f>AND(#REF!,"AAAAAHfx/yk=")</f>
        <v>#REF!</v>
      </c>
      <c r="AQ253" t="e">
        <f>AND(#REF!,"AAAAAHfx/yo=")</f>
        <v>#REF!</v>
      </c>
      <c r="AR253" t="e">
        <f>IF(#REF!,"AAAAAHfx/ys=",0)</f>
        <v>#REF!</v>
      </c>
      <c r="AS253" t="e">
        <f>AND(#REF!,"AAAAAHfx/yw=")</f>
        <v>#REF!</v>
      </c>
      <c r="AT253" t="e">
        <f>AND(#REF!,"AAAAAHfx/y0=")</f>
        <v>#REF!</v>
      </c>
      <c r="AU253" t="e">
        <f>AND(#REF!,"AAAAAHfx/y4=")</f>
        <v>#REF!</v>
      </c>
      <c r="AV253" t="e">
        <f>AND(#REF!,"AAAAAHfx/y8=")</f>
        <v>#REF!</v>
      </c>
      <c r="AW253" t="e">
        <f>AND(#REF!,"AAAAAHfx/zA=")</f>
        <v>#REF!</v>
      </c>
      <c r="AX253" t="e">
        <f>AND(#REF!,"AAAAAHfx/zE=")</f>
        <v>#REF!</v>
      </c>
      <c r="AY253" t="e">
        <f>AND(#REF!,"AAAAAHfx/zI=")</f>
        <v>#REF!</v>
      </c>
      <c r="AZ253" t="e">
        <f>AND(#REF!,"AAAAAHfx/zM=")</f>
        <v>#REF!</v>
      </c>
      <c r="BA253" t="e">
        <f>AND(#REF!,"AAAAAHfx/zQ=")</f>
        <v>#REF!</v>
      </c>
      <c r="BB253" t="e">
        <f>AND(#REF!,"AAAAAHfx/zU=")</f>
        <v>#REF!</v>
      </c>
      <c r="BC253" t="e">
        <f>IF(#REF!,"AAAAAHfx/zY=",0)</f>
        <v>#REF!</v>
      </c>
      <c r="BD253" t="e">
        <f>AND(#REF!,"AAAAAHfx/zc=")</f>
        <v>#REF!</v>
      </c>
      <c r="BE253" t="e">
        <f>AND(#REF!,"AAAAAHfx/zg=")</f>
        <v>#REF!</v>
      </c>
      <c r="BF253" t="e">
        <f>AND(#REF!,"AAAAAHfx/zk=")</f>
        <v>#REF!</v>
      </c>
      <c r="BG253" t="e">
        <f>AND(#REF!,"AAAAAHfx/zo=")</f>
        <v>#REF!</v>
      </c>
      <c r="BH253" t="e">
        <f>AND(#REF!,"AAAAAHfx/zs=")</f>
        <v>#REF!</v>
      </c>
      <c r="BI253" t="e">
        <f>AND(#REF!,"AAAAAHfx/zw=")</f>
        <v>#REF!</v>
      </c>
      <c r="BJ253" t="e">
        <f>AND(#REF!,"AAAAAHfx/z0=")</f>
        <v>#REF!</v>
      </c>
      <c r="BK253" t="e">
        <f>AND(#REF!,"AAAAAHfx/z4=")</f>
        <v>#REF!</v>
      </c>
      <c r="BL253" t="e">
        <f>AND(#REF!,"AAAAAHfx/z8=")</f>
        <v>#REF!</v>
      </c>
      <c r="BM253" t="e">
        <f>AND(#REF!,"AAAAAHfx/0A=")</f>
        <v>#REF!</v>
      </c>
      <c r="BN253" t="e">
        <f>IF(#REF!,"AAAAAHfx/0E=",0)</f>
        <v>#REF!</v>
      </c>
      <c r="BO253" t="e">
        <f>AND(#REF!,"AAAAAHfx/0I=")</f>
        <v>#REF!</v>
      </c>
      <c r="BP253" t="e">
        <f>AND(#REF!,"AAAAAHfx/0M=")</f>
        <v>#REF!</v>
      </c>
      <c r="BQ253" t="e">
        <f>AND(#REF!,"AAAAAHfx/0Q=")</f>
        <v>#REF!</v>
      </c>
      <c r="BR253" t="e">
        <f>AND(#REF!,"AAAAAHfx/0U=")</f>
        <v>#REF!</v>
      </c>
      <c r="BS253" t="e">
        <f>AND(#REF!,"AAAAAHfx/0Y=")</f>
        <v>#REF!</v>
      </c>
      <c r="BT253" t="e">
        <f>AND(#REF!,"AAAAAHfx/0c=")</f>
        <v>#REF!</v>
      </c>
      <c r="BU253" t="e">
        <f>AND(#REF!,"AAAAAHfx/0g=")</f>
        <v>#REF!</v>
      </c>
      <c r="BV253" t="e">
        <f>AND(#REF!,"AAAAAHfx/0k=")</f>
        <v>#REF!</v>
      </c>
      <c r="BW253" t="e">
        <f>AND(#REF!,"AAAAAHfx/0o=")</f>
        <v>#REF!</v>
      </c>
      <c r="BX253" t="e">
        <f>AND(#REF!,"AAAAAHfx/0s=")</f>
        <v>#REF!</v>
      </c>
      <c r="BY253" t="e">
        <f>IF(#REF!,"AAAAAHfx/0w=",0)</f>
        <v>#REF!</v>
      </c>
      <c r="BZ253" t="e">
        <f>AND(#REF!,"AAAAAHfx/00=")</f>
        <v>#REF!</v>
      </c>
      <c r="CA253" t="e">
        <f>AND(#REF!,"AAAAAHfx/04=")</f>
        <v>#REF!</v>
      </c>
      <c r="CB253" t="e">
        <f>AND(#REF!,"AAAAAHfx/08=")</f>
        <v>#REF!</v>
      </c>
      <c r="CC253" t="e">
        <f>AND(#REF!,"AAAAAHfx/1A=")</f>
        <v>#REF!</v>
      </c>
      <c r="CD253" t="e">
        <f>AND(#REF!,"AAAAAHfx/1E=")</f>
        <v>#REF!</v>
      </c>
      <c r="CE253" t="e">
        <f>AND(#REF!,"AAAAAHfx/1I=")</f>
        <v>#REF!</v>
      </c>
      <c r="CF253" t="e">
        <f>AND(#REF!,"AAAAAHfx/1M=")</f>
        <v>#REF!</v>
      </c>
      <c r="CG253" t="e">
        <f>AND(#REF!,"AAAAAHfx/1Q=")</f>
        <v>#REF!</v>
      </c>
      <c r="CH253" t="e">
        <f>AND(#REF!,"AAAAAHfx/1U=")</f>
        <v>#REF!</v>
      </c>
      <c r="CI253" t="e">
        <f>AND(#REF!,"AAAAAHfx/1Y=")</f>
        <v>#REF!</v>
      </c>
      <c r="CJ253" t="e">
        <f>IF(#REF!,"AAAAAHfx/1c=",0)</f>
        <v>#REF!</v>
      </c>
      <c r="CK253" t="e">
        <f>AND(#REF!,"AAAAAHfx/1g=")</f>
        <v>#REF!</v>
      </c>
      <c r="CL253" t="e">
        <f>AND(#REF!,"AAAAAHfx/1k=")</f>
        <v>#REF!</v>
      </c>
      <c r="CM253" t="e">
        <f>AND(#REF!,"AAAAAHfx/1o=")</f>
        <v>#REF!</v>
      </c>
      <c r="CN253" t="e">
        <f>AND(#REF!,"AAAAAHfx/1s=")</f>
        <v>#REF!</v>
      </c>
      <c r="CO253" t="e">
        <f>AND(#REF!,"AAAAAHfx/1w=")</f>
        <v>#REF!</v>
      </c>
      <c r="CP253" t="e">
        <f>AND(#REF!,"AAAAAHfx/10=")</f>
        <v>#REF!</v>
      </c>
      <c r="CQ253" t="e">
        <f>AND(#REF!,"AAAAAHfx/14=")</f>
        <v>#REF!</v>
      </c>
      <c r="CR253" t="e">
        <f>AND(#REF!,"AAAAAHfx/18=")</f>
        <v>#REF!</v>
      </c>
      <c r="CS253" t="e">
        <f>AND(#REF!,"AAAAAHfx/2A=")</f>
        <v>#REF!</v>
      </c>
      <c r="CT253" t="e">
        <f>AND(#REF!,"AAAAAHfx/2E=")</f>
        <v>#REF!</v>
      </c>
      <c r="CU253" t="e">
        <f>IF(#REF!,"AAAAAHfx/2I=",0)</f>
        <v>#REF!</v>
      </c>
      <c r="CV253" t="e">
        <f>AND(#REF!,"AAAAAHfx/2M=")</f>
        <v>#REF!</v>
      </c>
      <c r="CW253" t="e">
        <f>AND(#REF!,"AAAAAHfx/2Q=")</f>
        <v>#REF!</v>
      </c>
      <c r="CX253" t="e">
        <f>AND(#REF!,"AAAAAHfx/2U=")</f>
        <v>#REF!</v>
      </c>
      <c r="CY253" t="e">
        <f>AND(#REF!,"AAAAAHfx/2Y=")</f>
        <v>#REF!</v>
      </c>
      <c r="CZ253" t="e">
        <f>AND(#REF!,"AAAAAHfx/2c=")</f>
        <v>#REF!</v>
      </c>
      <c r="DA253" t="e">
        <f>AND(#REF!,"AAAAAHfx/2g=")</f>
        <v>#REF!</v>
      </c>
      <c r="DB253" t="e">
        <f>AND(#REF!,"AAAAAHfx/2k=")</f>
        <v>#REF!</v>
      </c>
      <c r="DC253" t="e">
        <f>AND(#REF!,"AAAAAHfx/2o=")</f>
        <v>#REF!</v>
      </c>
      <c r="DD253" t="e">
        <f>AND(#REF!,"AAAAAHfx/2s=")</f>
        <v>#REF!</v>
      </c>
      <c r="DE253" t="e">
        <f>AND(#REF!,"AAAAAHfx/2w=")</f>
        <v>#REF!</v>
      </c>
      <c r="DF253" t="e">
        <f>IF(#REF!,"AAAAAHfx/20=",0)</f>
        <v>#REF!</v>
      </c>
      <c r="DG253" t="e">
        <f>AND(#REF!,"AAAAAHfx/24=")</f>
        <v>#REF!</v>
      </c>
      <c r="DH253" t="e">
        <f>AND(#REF!,"AAAAAHfx/28=")</f>
        <v>#REF!</v>
      </c>
      <c r="DI253" t="e">
        <f>AND(#REF!,"AAAAAHfx/3A=")</f>
        <v>#REF!</v>
      </c>
      <c r="DJ253" t="e">
        <f>AND(#REF!,"AAAAAHfx/3E=")</f>
        <v>#REF!</v>
      </c>
      <c r="DK253" t="e">
        <f>AND(#REF!,"AAAAAHfx/3I=")</f>
        <v>#REF!</v>
      </c>
      <c r="DL253" t="e">
        <f>AND(#REF!,"AAAAAHfx/3M=")</f>
        <v>#REF!</v>
      </c>
      <c r="DM253" t="e">
        <f>AND(#REF!,"AAAAAHfx/3Q=")</f>
        <v>#REF!</v>
      </c>
      <c r="DN253" t="e">
        <f>AND(#REF!,"AAAAAHfx/3U=")</f>
        <v>#REF!</v>
      </c>
      <c r="DO253" t="e">
        <f>AND(#REF!,"AAAAAHfx/3Y=")</f>
        <v>#REF!</v>
      </c>
      <c r="DP253" t="e">
        <f>AND(#REF!,"AAAAAHfx/3c=")</f>
        <v>#REF!</v>
      </c>
      <c r="DQ253" t="e">
        <f>IF(#REF!,"AAAAAHfx/3g=",0)</f>
        <v>#REF!</v>
      </c>
      <c r="DR253" t="e">
        <f>AND(#REF!,"AAAAAHfx/3k=")</f>
        <v>#REF!</v>
      </c>
      <c r="DS253" t="e">
        <f>AND(#REF!,"AAAAAHfx/3o=")</f>
        <v>#REF!</v>
      </c>
      <c r="DT253" t="e">
        <f>AND(#REF!,"AAAAAHfx/3s=")</f>
        <v>#REF!</v>
      </c>
      <c r="DU253" t="e">
        <f>AND(#REF!,"AAAAAHfx/3w=")</f>
        <v>#REF!</v>
      </c>
      <c r="DV253" t="e">
        <f>AND(#REF!,"AAAAAHfx/30=")</f>
        <v>#REF!</v>
      </c>
      <c r="DW253" t="e">
        <f>AND(#REF!,"AAAAAHfx/34=")</f>
        <v>#REF!</v>
      </c>
      <c r="DX253" t="e">
        <f>AND(#REF!,"AAAAAHfx/38=")</f>
        <v>#REF!</v>
      </c>
      <c r="DY253" t="e">
        <f>AND(#REF!,"AAAAAHfx/4A=")</f>
        <v>#REF!</v>
      </c>
      <c r="DZ253" t="e">
        <f>AND(#REF!,"AAAAAHfx/4E=")</f>
        <v>#REF!</v>
      </c>
      <c r="EA253" t="e">
        <f>AND(#REF!,"AAAAAHfx/4I=")</f>
        <v>#REF!</v>
      </c>
      <c r="EB253" t="e">
        <f>IF(#REF!,"AAAAAHfx/4M=",0)</f>
        <v>#REF!</v>
      </c>
      <c r="EC253" t="e">
        <f>AND(#REF!,"AAAAAHfx/4Q=")</f>
        <v>#REF!</v>
      </c>
      <c r="ED253" t="e">
        <f>AND(#REF!,"AAAAAHfx/4U=")</f>
        <v>#REF!</v>
      </c>
      <c r="EE253" t="e">
        <f>AND(#REF!,"AAAAAHfx/4Y=")</f>
        <v>#REF!</v>
      </c>
      <c r="EF253" t="e">
        <f>AND(#REF!,"AAAAAHfx/4c=")</f>
        <v>#REF!</v>
      </c>
      <c r="EG253" t="e">
        <f>AND(#REF!,"AAAAAHfx/4g=")</f>
        <v>#REF!</v>
      </c>
      <c r="EH253" t="e">
        <f>AND(#REF!,"AAAAAHfx/4k=")</f>
        <v>#REF!</v>
      </c>
      <c r="EI253" t="e">
        <f>AND(#REF!,"AAAAAHfx/4o=")</f>
        <v>#REF!</v>
      </c>
      <c r="EJ253" t="e">
        <f>AND(#REF!,"AAAAAHfx/4s=")</f>
        <v>#REF!</v>
      </c>
      <c r="EK253" t="e">
        <f>AND(#REF!,"AAAAAHfx/4w=")</f>
        <v>#REF!</v>
      </c>
      <c r="EL253" t="e">
        <f>AND(#REF!,"AAAAAHfx/40=")</f>
        <v>#REF!</v>
      </c>
      <c r="EM253" t="e">
        <f>IF(#REF!,"AAAAAHfx/44=",0)</f>
        <v>#REF!</v>
      </c>
      <c r="EN253" t="e">
        <f>AND(#REF!,"AAAAAHfx/48=")</f>
        <v>#REF!</v>
      </c>
      <c r="EO253" t="e">
        <f>AND(#REF!,"AAAAAHfx/5A=")</f>
        <v>#REF!</v>
      </c>
      <c r="EP253" t="e">
        <f>AND(#REF!,"AAAAAHfx/5E=")</f>
        <v>#REF!</v>
      </c>
      <c r="EQ253" t="e">
        <f>AND(#REF!,"AAAAAHfx/5I=")</f>
        <v>#REF!</v>
      </c>
      <c r="ER253" t="e">
        <f>AND(#REF!,"AAAAAHfx/5M=")</f>
        <v>#REF!</v>
      </c>
      <c r="ES253" t="e">
        <f>AND(#REF!,"AAAAAHfx/5Q=")</f>
        <v>#REF!</v>
      </c>
      <c r="ET253" t="e">
        <f>AND(#REF!,"AAAAAHfx/5U=")</f>
        <v>#REF!</v>
      </c>
      <c r="EU253" t="e">
        <f>AND(#REF!,"AAAAAHfx/5Y=")</f>
        <v>#REF!</v>
      </c>
      <c r="EV253" t="e">
        <f>AND(#REF!,"AAAAAHfx/5c=")</f>
        <v>#REF!</v>
      </c>
      <c r="EW253" t="e">
        <f>AND(#REF!,"AAAAAHfx/5g=")</f>
        <v>#REF!</v>
      </c>
      <c r="EX253" t="e">
        <f>IF(#REF!,"AAAAAHfx/5k=",0)</f>
        <v>#REF!</v>
      </c>
      <c r="EY253" t="e">
        <f>AND(#REF!,"AAAAAHfx/5o=")</f>
        <v>#REF!</v>
      </c>
      <c r="EZ253" t="e">
        <f>AND(#REF!,"AAAAAHfx/5s=")</f>
        <v>#REF!</v>
      </c>
      <c r="FA253" t="e">
        <f>AND(#REF!,"AAAAAHfx/5w=")</f>
        <v>#REF!</v>
      </c>
      <c r="FB253" t="e">
        <f>AND(#REF!,"AAAAAHfx/50=")</f>
        <v>#REF!</v>
      </c>
      <c r="FC253" t="e">
        <f>AND(#REF!,"AAAAAHfx/54=")</f>
        <v>#REF!</v>
      </c>
      <c r="FD253" t="e">
        <f>AND(#REF!,"AAAAAHfx/58=")</f>
        <v>#REF!</v>
      </c>
      <c r="FE253" t="e">
        <f>AND(#REF!,"AAAAAHfx/6A=")</f>
        <v>#REF!</v>
      </c>
      <c r="FF253" t="e">
        <f>AND(#REF!,"AAAAAHfx/6E=")</f>
        <v>#REF!</v>
      </c>
      <c r="FG253" t="e">
        <f>AND(#REF!,"AAAAAHfx/6I=")</f>
        <v>#REF!</v>
      </c>
      <c r="FH253" t="e">
        <f>AND(#REF!,"AAAAAHfx/6M=")</f>
        <v>#REF!</v>
      </c>
      <c r="FI253" t="e">
        <f>IF(#REF!,"AAAAAHfx/6Q=",0)</f>
        <v>#REF!</v>
      </c>
      <c r="FJ253" t="e">
        <f>AND(#REF!,"AAAAAHfx/6U=")</f>
        <v>#REF!</v>
      </c>
      <c r="FK253" t="e">
        <f>AND(#REF!,"AAAAAHfx/6Y=")</f>
        <v>#REF!</v>
      </c>
      <c r="FL253" t="e">
        <f>AND(#REF!,"AAAAAHfx/6c=")</f>
        <v>#REF!</v>
      </c>
      <c r="FM253" t="e">
        <f>AND(#REF!,"AAAAAHfx/6g=")</f>
        <v>#REF!</v>
      </c>
      <c r="FN253" t="e">
        <f>AND(#REF!,"AAAAAHfx/6k=")</f>
        <v>#REF!</v>
      </c>
      <c r="FO253" t="e">
        <f>AND(#REF!,"AAAAAHfx/6o=")</f>
        <v>#REF!</v>
      </c>
      <c r="FP253" t="e">
        <f>AND(#REF!,"AAAAAHfx/6s=")</f>
        <v>#REF!</v>
      </c>
      <c r="FQ253" t="e">
        <f>AND(#REF!,"AAAAAHfx/6w=")</f>
        <v>#REF!</v>
      </c>
      <c r="FR253" t="e">
        <f>AND(#REF!,"AAAAAHfx/60=")</f>
        <v>#REF!</v>
      </c>
      <c r="FS253" t="e">
        <f>AND(#REF!,"AAAAAHfx/64=")</f>
        <v>#REF!</v>
      </c>
      <c r="FT253" t="e">
        <f>IF(#REF!,"AAAAAHfx/68=",0)</f>
        <v>#REF!</v>
      </c>
      <c r="FU253" t="e">
        <f>AND(#REF!,"AAAAAHfx/7A=")</f>
        <v>#REF!</v>
      </c>
      <c r="FV253" t="e">
        <f>AND(#REF!,"AAAAAHfx/7E=")</f>
        <v>#REF!</v>
      </c>
      <c r="FW253" t="e">
        <f>AND(#REF!,"AAAAAHfx/7I=")</f>
        <v>#REF!</v>
      </c>
      <c r="FX253" t="e">
        <f>AND(#REF!,"AAAAAHfx/7M=")</f>
        <v>#REF!</v>
      </c>
      <c r="FY253" t="e">
        <f>AND(#REF!,"AAAAAHfx/7Q=")</f>
        <v>#REF!</v>
      </c>
      <c r="FZ253" t="e">
        <f>AND(#REF!,"AAAAAHfx/7U=")</f>
        <v>#REF!</v>
      </c>
      <c r="GA253" t="e">
        <f>AND(#REF!,"AAAAAHfx/7Y=")</f>
        <v>#REF!</v>
      </c>
      <c r="GB253" t="e">
        <f>AND(#REF!,"AAAAAHfx/7c=")</f>
        <v>#REF!</v>
      </c>
      <c r="GC253" t="e">
        <f>AND(#REF!,"AAAAAHfx/7g=")</f>
        <v>#REF!</v>
      </c>
      <c r="GD253" t="e">
        <f>AND(#REF!,"AAAAAHfx/7k=")</f>
        <v>#REF!</v>
      </c>
      <c r="GE253" t="e">
        <f>IF(#REF!,"AAAAAHfx/7o=",0)</f>
        <v>#REF!</v>
      </c>
      <c r="GF253" t="e">
        <f>AND(#REF!,"AAAAAHfx/7s=")</f>
        <v>#REF!</v>
      </c>
      <c r="GG253" t="e">
        <f>AND(#REF!,"AAAAAHfx/7w=")</f>
        <v>#REF!</v>
      </c>
      <c r="GH253" t="e">
        <f>AND(#REF!,"AAAAAHfx/70=")</f>
        <v>#REF!</v>
      </c>
      <c r="GI253" t="e">
        <f>AND(#REF!,"AAAAAHfx/74=")</f>
        <v>#REF!</v>
      </c>
      <c r="GJ253" t="e">
        <f>AND(#REF!,"AAAAAHfx/78=")</f>
        <v>#REF!</v>
      </c>
      <c r="GK253" t="e">
        <f>AND(#REF!,"AAAAAHfx/8A=")</f>
        <v>#REF!</v>
      </c>
      <c r="GL253" t="e">
        <f>AND(#REF!,"AAAAAHfx/8E=")</f>
        <v>#REF!</v>
      </c>
      <c r="GM253" t="e">
        <f>AND(#REF!,"AAAAAHfx/8I=")</f>
        <v>#REF!</v>
      </c>
      <c r="GN253" t="e">
        <f>AND(#REF!,"AAAAAHfx/8M=")</f>
        <v>#REF!</v>
      </c>
      <c r="GO253" t="e">
        <f>AND(#REF!,"AAAAAHfx/8Q=")</f>
        <v>#REF!</v>
      </c>
      <c r="GP253" t="e">
        <f>IF(#REF!,"AAAAAHfx/8U=",0)</f>
        <v>#REF!</v>
      </c>
      <c r="GQ253" t="e">
        <f>AND(#REF!,"AAAAAHfx/8Y=")</f>
        <v>#REF!</v>
      </c>
      <c r="GR253" t="e">
        <f>AND(#REF!,"AAAAAHfx/8c=")</f>
        <v>#REF!</v>
      </c>
      <c r="GS253" t="e">
        <f>AND(#REF!,"AAAAAHfx/8g=")</f>
        <v>#REF!</v>
      </c>
      <c r="GT253" t="e">
        <f>AND(#REF!,"AAAAAHfx/8k=")</f>
        <v>#REF!</v>
      </c>
      <c r="GU253" t="e">
        <f>AND(#REF!,"AAAAAHfx/8o=")</f>
        <v>#REF!</v>
      </c>
      <c r="GV253" t="e">
        <f>AND(#REF!,"AAAAAHfx/8s=")</f>
        <v>#REF!</v>
      </c>
      <c r="GW253" t="e">
        <f>AND(#REF!,"AAAAAHfx/8w=")</f>
        <v>#REF!</v>
      </c>
      <c r="GX253" t="e">
        <f>AND(#REF!,"AAAAAHfx/80=")</f>
        <v>#REF!</v>
      </c>
      <c r="GY253" t="e">
        <f>AND(#REF!,"AAAAAHfx/84=")</f>
        <v>#REF!</v>
      </c>
      <c r="GZ253" t="e">
        <f>AND(#REF!,"AAAAAHfx/88=")</f>
        <v>#REF!</v>
      </c>
      <c r="HA253" t="e">
        <f>IF(#REF!,"AAAAAHfx/9A=",0)</f>
        <v>#REF!</v>
      </c>
      <c r="HB253" t="e">
        <f>AND(#REF!,"AAAAAHfx/9E=")</f>
        <v>#REF!</v>
      </c>
      <c r="HC253" t="e">
        <f>AND(#REF!,"AAAAAHfx/9I=")</f>
        <v>#REF!</v>
      </c>
      <c r="HD253" t="e">
        <f>AND(#REF!,"AAAAAHfx/9M=")</f>
        <v>#REF!</v>
      </c>
      <c r="HE253" t="e">
        <f>AND(#REF!,"AAAAAHfx/9Q=")</f>
        <v>#REF!</v>
      </c>
      <c r="HF253" t="e">
        <f>AND(#REF!,"AAAAAHfx/9U=")</f>
        <v>#REF!</v>
      </c>
      <c r="HG253" t="e">
        <f>AND(#REF!,"AAAAAHfx/9Y=")</f>
        <v>#REF!</v>
      </c>
      <c r="HH253" t="e">
        <f>AND(#REF!,"AAAAAHfx/9c=")</f>
        <v>#REF!</v>
      </c>
      <c r="HI253" t="e">
        <f>AND(#REF!,"AAAAAHfx/9g=")</f>
        <v>#REF!</v>
      </c>
      <c r="HJ253" t="e">
        <f>AND(#REF!,"AAAAAHfx/9k=")</f>
        <v>#REF!</v>
      </c>
      <c r="HK253" t="e">
        <f>AND(#REF!,"AAAAAHfx/9o=")</f>
        <v>#REF!</v>
      </c>
      <c r="HL253" t="e">
        <f>IF(#REF!,"AAAAAHfx/9s=",0)</f>
        <v>#REF!</v>
      </c>
      <c r="HM253" t="e">
        <f>AND(#REF!,"AAAAAHfx/9w=")</f>
        <v>#REF!</v>
      </c>
      <c r="HN253" t="e">
        <f>AND(#REF!,"AAAAAHfx/90=")</f>
        <v>#REF!</v>
      </c>
      <c r="HO253" t="e">
        <f>AND(#REF!,"AAAAAHfx/94=")</f>
        <v>#REF!</v>
      </c>
      <c r="HP253" t="e">
        <f>AND(#REF!,"AAAAAHfx/98=")</f>
        <v>#REF!</v>
      </c>
      <c r="HQ253" t="e">
        <f>AND(#REF!,"AAAAAHfx/+A=")</f>
        <v>#REF!</v>
      </c>
      <c r="HR253" t="e">
        <f>AND(#REF!,"AAAAAHfx/+E=")</f>
        <v>#REF!</v>
      </c>
      <c r="HS253" t="e">
        <f>AND(#REF!,"AAAAAHfx/+I=")</f>
        <v>#REF!</v>
      </c>
      <c r="HT253" t="e">
        <f>AND(#REF!,"AAAAAHfx/+M=")</f>
        <v>#REF!</v>
      </c>
      <c r="HU253" t="e">
        <f>AND(#REF!,"AAAAAHfx/+Q=")</f>
        <v>#REF!</v>
      </c>
      <c r="HV253" t="e">
        <f>AND(#REF!,"AAAAAHfx/+U=")</f>
        <v>#REF!</v>
      </c>
      <c r="HW253" t="e">
        <f>IF(#REF!,"AAAAAHfx/+Y=",0)</f>
        <v>#REF!</v>
      </c>
      <c r="HX253" t="e">
        <f>AND(#REF!,"AAAAAHfx/+c=")</f>
        <v>#REF!</v>
      </c>
      <c r="HY253" t="e">
        <f>AND(#REF!,"AAAAAHfx/+g=")</f>
        <v>#REF!</v>
      </c>
      <c r="HZ253" t="e">
        <f>AND(#REF!,"AAAAAHfx/+k=")</f>
        <v>#REF!</v>
      </c>
      <c r="IA253" t="e">
        <f>AND(#REF!,"AAAAAHfx/+o=")</f>
        <v>#REF!</v>
      </c>
      <c r="IB253" t="e">
        <f>AND(#REF!,"AAAAAHfx/+s=")</f>
        <v>#REF!</v>
      </c>
      <c r="IC253" t="e">
        <f>AND(#REF!,"AAAAAHfx/+w=")</f>
        <v>#REF!</v>
      </c>
      <c r="ID253" t="e">
        <f>AND(#REF!,"AAAAAHfx/+0=")</f>
        <v>#REF!</v>
      </c>
      <c r="IE253" t="e">
        <f>AND(#REF!,"AAAAAHfx/+4=")</f>
        <v>#REF!</v>
      </c>
      <c r="IF253" t="e">
        <f>AND(#REF!,"AAAAAHfx/+8=")</f>
        <v>#REF!</v>
      </c>
      <c r="IG253" t="e">
        <f>AND(#REF!,"AAAAAHfx//A=")</f>
        <v>#REF!</v>
      </c>
      <c r="IH253" t="e">
        <f>IF(#REF!,"AAAAAHfx//E=",0)</f>
        <v>#REF!</v>
      </c>
      <c r="II253" t="e">
        <f>AND(#REF!,"AAAAAHfx//I=")</f>
        <v>#REF!</v>
      </c>
      <c r="IJ253" t="e">
        <f>AND(#REF!,"AAAAAHfx//M=")</f>
        <v>#REF!</v>
      </c>
      <c r="IK253" t="e">
        <f>AND(#REF!,"AAAAAHfx//Q=")</f>
        <v>#REF!</v>
      </c>
      <c r="IL253" t="e">
        <f>AND(#REF!,"AAAAAHfx//U=")</f>
        <v>#REF!</v>
      </c>
      <c r="IM253" t="e">
        <f>AND(#REF!,"AAAAAHfx//Y=")</f>
        <v>#REF!</v>
      </c>
      <c r="IN253" t="e">
        <f>AND(#REF!,"AAAAAHfx//c=")</f>
        <v>#REF!</v>
      </c>
      <c r="IO253" t="e">
        <f>AND(#REF!,"AAAAAHfx//g=")</f>
        <v>#REF!</v>
      </c>
      <c r="IP253" t="e">
        <f>AND(#REF!,"AAAAAHfx//k=")</f>
        <v>#REF!</v>
      </c>
      <c r="IQ253" t="e">
        <f>AND(#REF!,"AAAAAHfx//o=")</f>
        <v>#REF!</v>
      </c>
      <c r="IR253" t="e">
        <f>AND(#REF!,"AAAAAHfx//s=")</f>
        <v>#REF!</v>
      </c>
      <c r="IS253" t="e">
        <f>IF(#REF!,"AAAAAHfx//w=",0)</f>
        <v>#REF!</v>
      </c>
      <c r="IT253" t="e">
        <f>AND(#REF!,"AAAAAHfx//0=")</f>
        <v>#REF!</v>
      </c>
      <c r="IU253" t="e">
        <f>AND(#REF!,"AAAAAHfx//4=")</f>
        <v>#REF!</v>
      </c>
      <c r="IV253" t="e">
        <f>AND(#REF!,"AAAAAHfx//8=")</f>
        <v>#REF!</v>
      </c>
    </row>
    <row r="254" spans="1:256" x14ac:dyDescent="0.25">
      <c r="A254" t="e">
        <f>AND(#REF!,"AAAAAE9+fwA=")</f>
        <v>#REF!</v>
      </c>
      <c r="B254" t="e">
        <f>AND(#REF!,"AAAAAE9+fwE=")</f>
        <v>#REF!</v>
      </c>
      <c r="C254" t="e">
        <f>AND(#REF!,"AAAAAE9+fwI=")</f>
        <v>#REF!</v>
      </c>
      <c r="D254" t="e">
        <f>AND(#REF!,"AAAAAE9+fwM=")</f>
        <v>#REF!</v>
      </c>
      <c r="E254" t="e">
        <f>AND(#REF!,"AAAAAE9+fwQ=")</f>
        <v>#REF!</v>
      </c>
      <c r="F254" t="e">
        <f>AND(#REF!,"AAAAAE9+fwU=")</f>
        <v>#REF!</v>
      </c>
      <c r="G254" t="e">
        <f>AND(#REF!,"AAAAAE9+fwY=")</f>
        <v>#REF!</v>
      </c>
      <c r="H254" t="e">
        <f>IF(#REF!,"AAAAAE9+fwc=",0)</f>
        <v>#REF!</v>
      </c>
      <c r="I254" t="e">
        <f>AND(#REF!,"AAAAAE9+fwg=")</f>
        <v>#REF!</v>
      </c>
      <c r="J254" t="e">
        <f>AND(#REF!,"AAAAAE9+fwk=")</f>
        <v>#REF!</v>
      </c>
      <c r="K254" t="e">
        <f>AND(#REF!,"AAAAAE9+fwo=")</f>
        <v>#REF!</v>
      </c>
      <c r="L254" t="e">
        <f>AND(#REF!,"AAAAAE9+fws=")</f>
        <v>#REF!</v>
      </c>
      <c r="M254" t="e">
        <f>AND(#REF!,"AAAAAE9+fww=")</f>
        <v>#REF!</v>
      </c>
      <c r="N254" t="e">
        <f>AND(#REF!,"AAAAAE9+fw0=")</f>
        <v>#REF!</v>
      </c>
      <c r="O254" t="e">
        <f>AND(#REF!,"AAAAAE9+fw4=")</f>
        <v>#REF!</v>
      </c>
      <c r="P254" t="e">
        <f>AND(#REF!,"AAAAAE9+fw8=")</f>
        <v>#REF!</v>
      </c>
      <c r="Q254" t="e">
        <f>AND(#REF!,"AAAAAE9+fxA=")</f>
        <v>#REF!</v>
      </c>
      <c r="R254" t="e">
        <f>AND(#REF!,"AAAAAE9+fxE=")</f>
        <v>#REF!</v>
      </c>
      <c r="S254" t="e">
        <f>IF(#REF!,"AAAAAE9+fxI=",0)</f>
        <v>#REF!</v>
      </c>
      <c r="T254" t="e">
        <f>AND(#REF!,"AAAAAE9+fxM=")</f>
        <v>#REF!</v>
      </c>
      <c r="U254" t="e">
        <f>AND(#REF!,"AAAAAE9+fxQ=")</f>
        <v>#REF!</v>
      </c>
      <c r="V254" t="e">
        <f>AND(#REF!,"AAAAAE9+fxU=")</f>
        <v>#REF!</v>
      </c>
      <c r="W254" t="e">
        <f>AND(#REF!,"AAAAAE9+fxY=")</f>
        <v>#REF!</v>
      </c>
      <c r="X254" t="e">
        <f>AND(#REF!,"AAAAAE9+fxc=")</f>
        <v>#REF!</v>
      </c>
      <c r="Y254" t="e">
        <f>AND(#REF!,"AAAAAE9+fxg=")</f>
        <v>#REF!</v>
      </c>
      <c r="Z254" t="e">
        <f>AND(#REF!,"AAAAAE9+fxk=")</f>
        <v>#REF!</v>
      </c>
      <c r="AA254" t="e">
        <f>AND(#REF!,"AAAAAE9+fxo=")</f>
        <v>#REF!</v>
      </c>
      <c r="AB254" t="e">
        <f>AND(#REF!,"AAAAAE9+fxs=")</f>
        <v>#REF!</v>
      </c>
      <c r="AC254" t="e">
        <f>AND(#REF!,"AAAAAE9+fxw=")</f>
        <v>#REF!</v>
      </c>
      <c r="AD254" t="e">
        <f>IF(#REF!,"AAAAAE9+fx0=",0)</f>
        <v>#REF!</v>
      </c>
      <c r="AE254" t="e">
        <f>AND(#REF!,"AAAAAE9+fx4=")</f>
        <v>#REF!</v>
      </c>
      <c r="AF254" t="e">
        <f>AND(#REF!,"AAAAAE9+fx8=")</f>
        <v>#REF!</v>
      </c>
      <c r="AG254" t="e">
        <f>AND(#REF!,"AAAAAE9+fyA=")</f>
        <v>#REF!</v>
      </c>
      <c r="AH254" t="e">
        <f>AND(#REF!,"AAAAAE9+fyE=")</f>
        <v>#REF!</v>
      </c>
      <c r="AI254" t="e">
        <f>AND(#REF!,"AAAAAE9+fyI=")</f>
        <v>#REF!</v>
      </c>
      <c r="AJ254" t="e">
        <f>AND(#REF!,"AAAAAE9+fyM=")</f>
        <v>#REF!</v>
      </c>
      <c r="AK254" t="e">
        <f>AND(#REF!,"AAAAAE9+fyQ=")</f>
        <v>#REF!</v>
      </c>
      <c r="AL254" t="e">
        <f>AND(#REF!,"AAAAAE9+fyU=")</f>
        <v>#REF!</v>
      </c>
      <c r="AM254" t="e">
        <f>AND(#REF!,"AAAAAE9+fyY=")</f>
        <v>#REF!</v>
      </c>
      <c r="AN254" t="e">
        <f>AND(#REF!,"AAAAAE9+fyc=")</f>
        <v>#REF!</v>
      </c>
      <c r="AO254" t="e">
        <f>IF(#REF!,"AAAAAE9+fyg=",0)</f>
        <v>#REF!</v>
      </c>
      <c r="AP254" t="e">
        <f>AND(#REF!,"AAAAAE9+fyk=")</f>
        <v>#REF!</v>
      </c>
      <c r="AQ254" t="e">
        <f>AND(#REF!,"AAAAAE9+fyo=")</f>
        <v>#REF!</v>
      </c>
      <c r="AR254" t="e">
        <f>AND(#REF!,"AAAAAE9+fys=")</f>
        <v>#REF!</v>
      </c>
      <c r="AS254" t="e">
        <f>AND(#REF!,"AAAAAE9+fyw=")</f>
        <v>#REF!</v>
      </c>
      <c r="AT254" t="e">
        <f>AND(#REF!,"AAAAAE9+fy0=")</f>
        <v>#REF!</v>
      </c>
      <c r="AU254" t="e">
        <f>AND(#REF!,"AAAAAE9+fy4=")</f>
        <v>#REF!</v>
      </c>
      <c r="AV254" t="e">
        <f>AND(#REF!,"AAAAAE9+fy8=")</f>
        <v>#REF!</v>
      </c>
      <c r="AW254" t="e">
        <f>AND(#REF!,"AAAAAE9+fzA=")</f>
        <v>#REF!</v>
      </c>
      <c r="AX254" t="e">
        <f>AND(#REF!,"AAAAAE9+fzE=")</f>
        <v>#REF!</v>
      </c>
      <c r="AY254" t="e">
        <f>AND(#REF!,"AAAAAE9+fzI=")</f>
        <v>#REF!</v>
      </c>
      <c r="AZ254" t="e">
        <f>IF(#REF!,"AAAAAE9+fzM=",0)</f>
        <v>#REF!</v>
      </c>
      <c r="BA254" t="e">
        <f>AND(#REF!,"AAAAAE9+fzQ=")</f>
        <v>#REF!</v>
      </c>
      <c r="BB254" t="e">
        <f>AND(#REF!,"AAAAAE9+fzU=")</f>
        <v>#REF!</v>
      </c>
      <c r="BC254" t="e">
        <f>AND(#REF!,"AAAAAE9+fzY=")</f>
        <v>#REF!</v>
      </c>
      <c r="BD254" t="e">
        <f>AND(#REF!,"AAAAAE9+fzc=")</f>
        <v>#REF!</v>
      </c>
      <c r="BE254" t="e">
        <f>AND(#REF!,"AAAAAE9+fzg=")</f>
        <v>#REF!</v>
      </c>
      <c r="BF254" t="e">
        <f>AND(#REF!,"AAAAAE9+fzk=")</f>
        <v>#REF!</v>
      </c>
      <c r="BG254" t="e">
        <f>AND(#REF!,"AAAAAE9+fzo=")</f>
        <v>#REF!</v>
      </c>
      <c r="BH254" t="e">
        <f>AND(#REF!,"AAAAAE9+fzs=")</f>
        <v>#REF!</v>
      </c>
      <c r="BI254" t="e">
        <f>AND(#REF!,"AAAAAE9+fzw=")</f>
        <v>#REF!</v>
      </c>
      <c r="BJ254" t="e">
        <f>AND(#REF!,"AAAAAE9+fz0=")</f>
        <v>#REF!</v>
      </c>
      <c r="BK254" t="e">
        <f>IF(#REF!,"AAAAAE9+fz4=",0)</f>
        <v>#REF!</v>
      </c>
      <c r="BL254" t="e">
        <f>AND(#REF!,"AAAAAE9+fz8=")</f>
        <v>#REF!</v>
      </c>
      <c r="BM254" t="e">
        <f>AND(#REF!,"AAAAAE9+f0A=")</f>
        <v>#REF!</v>
      </c>
      <c r="BN254" t="e">
        <f>AND(#REF!,"AAAAAE9+f0E=")</f>
        <v>#REF!</v>
      </c>
      <c r="BO254" t="e">
        <f>AND(#REF!,"AAAAAE9+f0I=")</f>
        <v>#REF!</v>
      </c>
      <c r="BP254" t="e">
        <f>AND(#REF!,"AAAAAE9+f0M=")</f>
        <v>#REF!</v>
      </c>
      <c r="BQ254" t="e">
        <f>AND(#REF!,"AAAAAE9+f0Q=")</f>
        <v>#REF!</v>
      </c>
      <c r="BR254" t="e">
        <f>AND(#REF!,"AAAAAE9+f0U=")</f>
        <v>#REF!</v>
      </c>
      <c r="BS254" t="e">
        <f>AND(#REF!,"AAAAAE9+f0Y=")</f>
        <v>#REF!</v>
      </c>
      <c r="BT254" t="e">
        <f>AND(#REF!,"AAAAAE9+f0c=")</f>
        <v>#REF!</v>
      </c>
      <c r="BU254" t="e">
        <f>AND(#REF!,"AAAAAE9+f0g=")</f>
        <v>#REF!</v>
      </c>
      <c r="BV254" t="e">
        <f>IF(#REF!,"AAAAAE9+f0k=",0)</f>
        <v>#REF!</v>
      </c>
      <c r="BW254" t="e">
        <f>AND(#REF!,"AAAAAE9+f0o=")</f>
        <v>#REF!</v>
      </c>
      <c r="BX254" t="e">
        <f>AND(#REF!,"AAAAAE9+f0s=")</f>
        <v>#REF!</v>
      </c>
      <c r="BY254" t="e">
        <f>AND(#REF!,"AAAAAE9+f0w=")</f>
        <v>#REF!</v>
      </c>
      <c r="BZ254" t="e">
        <f>AND(#REF!,"AAAAAE9+f00=")</f>
        <v>#REF!</v>
      </c>
      <c r="CA254" t="e">
        <f>AND(#REF!,"AAAAAE9+f04=")</f>
        <v>#REF!</v>
      </c>
      <c r="CB254" t="e">
        <f>AND(#REF!,"AAAAAE9+f08=")</f>
        <v>#REF!</v>
      </c>
      <c r="CC254" t="e">
        <f>AND(#REF!,"AAAAAE9+f1A=")</f>
        <v>#REF!</v>
      </c>
      <c r="CD254" t="e">
        <f>AND(#REF!,"AAAAAE9+f1E=")</f>
        <v>#REF!</v>
      </c>
      <c r="CE254" t="e">
        <f>AND(#REF!,"AAAAAE9+f1I=")</f>
        <v>#REF!</v>
      </c>
      <c r="CF254" t="e">
        <f>AND(#REF!,"AAAAAE9+f1M=")</f>
        <v>#REF!</v>
      </c>
      <c r="CG254" t="e">
        <f>IF(#REF!,"AAAAAE9+f1Q=",0)</f>
        <v>#REF!</v>
      </c>
      <c r="CH254" t="e">
        <f>AND(#REF!,"AAAAAE9+f1U=")</f>
        <v>#REF!</v>
      </c>
      <c r="CI254" t="e">
        <f>AND(#REF!,"AAAAAE9+f1Y=")</f>
        <v>#REF!</v>
      </c>
      <c r="CJ254" t="e">
        <f>AND(#REF!,"AAAAAE9+f1c=")</f>
        <v>#REF!</v>
      </c>
      <c r="CK254" t="e">
        <f>AND(#REF!,"AAAAAE9+f1g=")</f>
        <v>#REF!</v>
      </c>
      <c r="CL254" t="e">
        <f>AND(#REF!,"AAAAAE9+f1k=")</f>
        <v>#REF!</v>
      </c>
      <c r="CM254" t="e">
        <f>AND(#REF!,"AAAAAE9+f1o=")</f>
        <v>#REF!</v>
      </c>
      <c r="CN254" t="e">
        <f>AND(#REF!,"AAAAAE9+f1s=")</f>
        <v>#REF!</v>
      </c>
      <c r="CO254" t="e">
        <f>AND(#REF!,"AAAAAE9+f1w=")</f>
        <v>#REF!</v>
      </c>
      <c r="CP254" t="e">
        <f>AND(#REF!,"AAAAAE9+f10=")</f>
        <v>#REF!</v>
      </c>
      <c r="CQ254" t="e">
        <f>AND(#REF!,"AAAAAE9+f14=")</f>
        <v>#REF!</v>
      </c>
      <c r="CR254" t="e">
        <f>IF(#REF!,"AAAAAE9+f18=",0)</f>
        <v>#REF!</v>
      </c>
      <c r="CS254" t="e">
        <f>AND(#REF!,"AAAAAE9+f2A=")</f>
        <v>#REF!</v>
      </c>
      <c r="CT254" t="e">
        <f>AND(#REF!,"AAAAAE9+f2E=")</f>
        <v>#REF!</v>
      </c>
      <c r="CU254" t="e">
        <f>AND(#REF!,"AAAAAE9+f2I=")</f>
        <v>#REF!</v>
      </c>
      <c r="CV254" t="e">
        <f>AND(#REF!,"AAAAAE9+f2M=")</f>
        <v>#REF!</v>
      </c>
      <c r="CW254" t="e">
        <f>AND(#REF!,"AAAAAE9+f2Q=")</f>
        <v>#REF!</v>
      </c>
      <c r="CX254" t="e">
        <f>AND(#REF!,"AAAAAE9+f2U=")</f>
        <v>#REF!</v>
      </c>
      <c r="CY254" t="e">
        <f>AND(#REF!,"AAAAAE9+f2Y=")</f>
        <v>#REF!</v>
      </c>
      <c r="CZ254" t="e">
        <f>AND(#REF!,"AAAAAE9+f2c=")</f>
        <v>#REF!</v>
      </c>
      <c r="DA254" t="e">
        <f>AND(#REF!,"AAAAAE9+f2g=")</f>
        <v>#REF!</v>
      </c>
      <c r="DB254" t="e">
        <f>AND(#REF!,"AAAAAE9+f2k=")</f>
        <v>#REF!</v>
      </c>
      <c r="DC254" t="e">
        <f>IF(#REF!,"AAAAAE9+f2o=",0)</f>
        <v>#REF!</v>
      </c>
      <c r="DD254" t="e">
        <f>AND(#REF!,"AAAAAE9+f2s=")</f>
        <v>#REF!</v>
      </c>
      <c r="DE254" t="e">
        <f>AND(#REF!,"AAAAAE9+f2w=")</f>
        <v>#REF!</v>
      </c>
      <c r="DF254" t="e">
        <f>AND(#REF!,"AAAAAE9+f20=")</f>
        <v>#REF!</v>
      </c>
      <c r="DG254" t="e">
        <f>AND(#REF!,"AAAAAE9+f24=")</f>
        <v>#REF!</v>
      </c>
      <c r="DH254" t="e">
        <f>AND(#REF!,"AAAAAE9+f28=")</f>
        <v>#REF!</v>
      </c>
      <c r="DI254" t="e">
        <f>AND(#REF!,"AAAAAE9+f3A=")</f>
        <v>#REF!</v>
      </c>
      <c r="DJ254" t="e">
        <f>AND(#REF!,"AAAAAE9+f3E=")</f>
        <v>#REF!</v>
      </c>
      <c r="DK254" t="e">
        <f>AND(#REF!,"AAAAAE9+f3I=")</f>
        <v>#REF!</v>
      </c>
      <c r="DL254" t="e">
        <f>AND(#REF!,"AAAAAE9+f3M=")</f>
        <v>#REF!</v>
      </c>
      <c r="DM254" t="e">
        <f>AND(#REF!,"AAAAAE9+f3Q=")</f>
        <v>#REF!</v>
      </c>
      <c r="DN254" t="e">
        <f>IF(#REF!,"AAAAAE9+f3U=",0)</f>
        <v>#REF!</v>
      </c>
      <c r="DO254" t="e">
        <f>AND(#REF!,"AAAAAE9+f3Y=")</f>
        <v>#REF!</v>
      </c>
      <c r="DP254" t="e">
        <f>AND(#REF!,"AAAAAE9+f3c=")</f>
        <v>#REF!</v>
      </c>
      <c r="DQ254" t="e">
        <f>AND(#REF!,"AAAAAE9+f3g=")</f>
        <v>#REF!</v>
      </c>
      <c r="DR254" t="e">
        <f>AND(#REF!,"AAAAAE9+f3k=")</f>
        <v>#REF!</v>
      </c>
      <c r="DS254" t="e">
        <f>AND(#REF!,"AAAAAE9+f3o=")</f>
        <v>#REF!</v>
      </c>
      <c r="DT254" t="e">
        <f>AND(#REF!,"AAAAAE9+f3s=")</f>
        <v>#REF!</v>
      </c>
      <c r="DU254" t="e">
        <f>AND(#REF!,"AAAAAE9+f3w=")</f>
        <v>#REF!</v>
      </c>
      <c r="DV254" t="e">
        <f>AND(#REF!,"AAAAAE9+f30=")</f>
        <v>#REF!</v>
      </c>
      <c r="DW254" t="e">
        <f>AND(#REF!,"AAAAAE9+f34=")</f>
        <v>#REF!</v>
      </c>
      <c r="DX254" t="e">
        <f>AND(#REF!,"AAAAAE9+f38=")</f>
        <v>#REF!</v>
      </c>
      <c r="DY254" t="e">
        <f>IF(#REF!,"AAAAAE9+f4A=",0)</f>
        <v>#REF!</v>
      </c>
      <c r="DZ254" t="e">
        <f>AND(#REF!,"AAAAAE9+f4E=")</f>
        <v>#REF!</v>
      </c>
      <c r="EA254" t="e">
        <f>AND(#REF!,"AAAAAE9+f4I=")</f>
        <v>#REF!</v>
      </c>
      <c r="EB254" t="e">
        <f>AND(#REF!,"AAAAAE9+f4M=")</f>
        <v>#REF!</v>
      </c>
      <c r="EC254" t="e">
        <f>AND(#REF!,"AAAAAE9+f4Q=")</f>
        <v>#REF!</v>
      </c>
      <c r="ED254" t="e">
        <f>AND(#REF!,"AAAAAE9+f4U=")</f>
        <v>#REF!</v>
      </c>
      <c r="EE254" t="e">
        <f>AND(#REF!,"AAAAAE9+f4Y=")</f>
        <v>#REF!</v>
      </c>
      <c r="EF254" t="e">
        <f>AND(#REF!,"AAAAAE9+f4c=")</f>
        <v>#REF!</v>
      </c>
      <c r="EG254" t="e">
        <f>AND(#REF!,"AAAAAE9+f4g=")</f>
        <v>#REF!</v>
      </c>
      <c r="EH254" t="e">
        <f>AND(#REF!,"AAAAAE9+f4k=")</f>
        <v>#REF!</v>
      </c>
      <c r="EI254" t="e">
        <f>AND(#REF!,"AAAAAE9+f4o=")</f>
        <v>#REF!</v>
      </c>
      <c r="EJ254" t="e">
        <f>IF(#REF!,"AAAAAE9+f4s=",0)</f>
        <v>#REF!</v>
      </c>
      <c r="EK254" t="e">
        <f>AND(#REF!,"AAAAAE9+f4w=")</f>
        <v>#REF!</v>
      </c>
      <c r="EL254" t="e">
        <f>AND(#REF!,"AAAAAE9+f40=")</f>
        <v>#REF!</v>
      </c>
      <c r="EM254" t="e">
        <f>AND(#REF!,"AAAAAE9+f44=")</f>
        <v>#REF!</v>
      </c>
      <c r="EN254" t="e">
        <f>AND(#REF!,"AAAAAE9+f48=")</f>
        <v>#REF!</v>
      </c>
      <c r="EO254" t="e">
        <f>AND(#REF!,"AAAAAE9+f5A=")</f>
        <v>#REF!</v>
      </c>
      <c r="EP254" t="e">
        <f>AND(#REF!,"AAAAAE9+f5E=")</f>
        <v>#REF!</v>
      </c>
      <c r="EQ254" t="e">
        <f>AND(#REF!,"AAAAAE9+f5I=")</f>
        <v>#REF!</v>
      </c>
      <c r="ER254" t="e">
        <f>AND(#REF!,"AAAAAE9+f5M=")</f>
        <v>#REF!</v>
      </c>
      <c r="ES254" t="e">
        <f>AND(#REF!,"AAAAAE9+f5Q=")</f>
        <v>#REF!</v>
      </c>
      <c r="ET254" t="e">
        <f>AND(#REF!,"AAAAAE9+f5U=")</f>
        <v>#REF!</v>
      </c>
      <c r="EU254" t="e">
        <f>IF(#REF!,"AAAAAE9+f5Y=",0)</f>
        <v>#REF!</v>
      </c>
      <c r="EV254" t="e">
        <f>AND(#REF!,"AAAAAE9+f5c=")</f>
        <v>#REF!</v>
      </c>
      <c r="EW254" t="e">
        <f>AND(#REF!,"AAAAAE9+f5g=")</f>
        <v>#REF!</v>
      </c>
      <c r="EX254" t="e">
        <f>AND(#REF!,"AAAAAE9+f5k=")</f>
        <v>#REF!</v>
      </c>
      <c r="EY254" t="e">
        <f>AND(#REF!,"AAAAAE9+f5o=")</f>
        <v>#REF!</v>
      </c>
      <c r="EZ254" t="e">
        <f>AND(#REF!,"AAAAAE9+f5s=")</f>
        <v>#REF!</v>
      </c>
      <c r="FA254" t="e">
        <f>AND(#REF!,"AAAAAE9+f5w=")</f>
        <v>#REF!</v>
      </c>
      <c r="FB254" t="e">
        <f>AND(#REF!,"AAAAAE9+f50=")</f>
        <v>#REF!</v>
      </c>
      <c r="FC254" t="e">
        <f>AND(#REF!,"AAAAAE9+f54=")</f>
        <v>#REF!</v>
      </c>
      <c r="FD254" t="e">
        <f>AND(#REF!,"AAAAAE9+f58=")</f>
        <v>#REF!</v>
      </c>
      <c r="FE254" t="e">
        <f>AND(#REF!,"AAAAAE9+f6A=")</f>
        <v>#REF!</v>
      </c>
      <c r="FF254" t="e">
        <f>IF(#REF!,"AAAAAE9+f6E=",0)</f>
        <v>#REF!</v>
      </c>
      <c r="FG254" t="e">
        <f>AND(#REF!,"AAAAAE9+f6I=")</f>
        <v>#REF!</v>
      </c>
      <c r="FH254" t="e">
        <f>AND(#REF!,"AAAAAE9+f6M=")</f>
        <v>#REF!</v>
      </c>
      <c r="FI254" t="e">
        <f>AND(#REF!,"AAAAAE9+f6Q=")</f>
        <v>#REF!</v>
      </c>
      <c r="FJ254" t="e">
        <f>AND(#REF!,"AAAAAE9+f6U=")</f>
        <v>#REF!</v>
      </c>
      <c r="FK254" t="e">
        <f>AND(#REF!,"AAAAAE9+f6Y=")</f>
        <v>#REF!</v>
      </c>
      <c r="FL254" t="e">
        <f>AND(#REF!,"AAAAAE9+f6c=")</f>
        <v>#REF!</v>
      </c>
      <c r="FM254" t="e">
        <f>AND(#REF!,"AAAAAE9+f6g=")</f>
        <v>#REF!</v>
      </c>
      <c r="FN254" t="e">
        <f>AND(#REF!,"AAAAAE9+f6k=")</f>
        <v>#REF!</v>
      </c>
      <c r="FO254" t="e">
        <f>AND(#REF!,"AAAAAE9+f6o=")</f>
        <v>#REF!</v>
      </c>
      <c r="FP254" t="e">
        <f>AND(#REF!,"AAAAAE9+f6s=")</f>
        <v>#REF!</v>
      </c>
      <c r="FQ254" t="e">
        <f>IF(#REF!,"AAAAAE9+f6w=",0)</f>
        <v>#REF!</v>
      </c>
      <c r="FR254" t="e">
        <f>AND(#REF!,"AAAAAE9+f60=")</f>
        <v>#REF!</v>
      </c>
      <c r="FS254" t="e">
        <f>AND(#REF!,"AAAAAE9+f64=")</f>
        <v>#REF!</v>
      </c>
      <c r="FT254" t="e">
        <f>AND(#REF!,"AAAAAE9+f68=")</f>
        <v>#REF!</v>
      </c>
      <c r="FU254" t="e">
        <f>AND(#REF!,"AAAAAE9+f7A=")</f>
        <v>#REF!</v>
      </c>
      <c r="FV254" t="e">
        <f>AND(#REF!,"AAAAAE9+f7E=")</f>
        <v>#REF!</v>
      </c>
      <c r="FW254" t="e">
        <f>AND(#REF!,"AAAAAE9+f7I=")</f>
        <v>#REF!</v>
      </c>
      <c r="FX254" t="e">
        <f>AND(#REF!,"AAAAAE9+f7M=")</f>
        <v>#REF!</v>
      </c>
      <c r="FY254" t="e">
        <f>AND(#REF!,"AAAAAE9+f7Q=")</f>
        <v>#REF!</v>
      </c>
      <c r="FZ254" t="e">
        <f>AND(#REF!,"AAAAAE9+f7U=")</f>
        <v>#REF!</v>
      </c>
      <c r="GA254" t="e">
        <f>AND(#REF!,"AAAAAE9+f7Y=")</f>
        <v>#REF!</v>
      </c>
      <c r="GB254" t="e">
        <f>IF(#REF!,"AAAAAE9+f7c=",0)</f>
        <v>#REF!</v>
      </c>
      <c r="GC254" t="e">
        <f>AND(#REF!,"AAAAAE9+f7g=")</f>
        <v>#REF!</v>
      </c>
      <c r="GD254" t="e">
        <f>AND(#REF!,"AAAAAE9+f7k=")</f>
        <v>#REF!</v>
      </c>
      <c r="GE254" t="e">
        <f>AND(#REF!,"AAAAAE9+f7o=")</f>
        <v>#REF!</v>
      </c>
      <c r="GF254" t="e">
        <f>AND(#REF!,"AAAAAE9+f7s=")</f>
        <v>#REF!</v>
      </c>
      <c r="GG254" t="e">
        <f>AND(#REF!,"AAAAAE9+f7w=")</f>
        <v>#REF!</v>
      </c>
      <c r="GH254" t="e">
        <f>AND(#REF!,"AAAAAE9+f70=")</f>
        <v>#REF!</v>
      </c>
      <c r="GI254" t="e">
        <f>AND(#REF!,"AAAAAE9+f74=")</f>
        <v>#REF!</v>
      </c>
      <c r="GJ254" t="e">
        <f>AND(#REF!,"AAAAAE9+f78=")</f>
        <v>#REF!</v>
      </c>
      <c r="GK254" t="e">
        <f>AND(#REF!,"AAAAAE9+f8A=")</f>
        <v>#REF!</v>
      </c>
      <c r="GL254" t="e">
        <f>AND(#REF!,"AAAAAE9+f8E=")</f>
        <v>#REF!</v>
      </c>
      <c r="GM254" t="e">
        <f>IF(#REF!,"AAAAAE9+f8I=",0)</f>
        <v>#REF!</v>
      </c>
      <c r="GN254" t="e">
        <f>AND(#REF!,"AAAAAE9+f8M=")</f>
        <v>#REF!</v>
      </c>
      <c r="GO254" t="e">
        <f>AND(#REF!,"AAAAAE9+f8Q=")</f>
        <v>#REF!</v>
      </c>
      <c r="GP254" t="e">
        <f>AND(#REF!,"AAAAAE9+f8U=")</f>
        <v>#REF!</v>
      </c>
      <c r="GQ254" t="e">
        <f>AND(#REF!,"AAAAAE9+f8Y=")</f>
        <v>#REF!</v>
      </c>
      <c r="GR254" t="e">
        <f>AND(#REF!,"AAAAAE9+f8c=")</f>
        <v>#REF!</v>
      </c>
      <c r="GS254" t="e">
        <f>AND(#REF!,"AAAAAE9+f8g=")</f>
        <v>#REF!</v>
      </c>
      <c r="GT254" t="e">
        <f>AND(#REF!,"AAAAAE9+f8k=")</f>
        <v>#REF!</v>
      </c>
      <c r="GU254" t="e">
        <f>AND(#REF!,"AAAAAE9+f8o=")</f>
        <v>#REF!</v>
      </c>
      <c r="GV254" t="e">
        <f>AND(#REF!,"AAAAAE9+f8s=")</f>
        <v>#REF!</v>
      </c>
      <c r="GW254" t="e">
        <f>AND(#REF!,"AAAAAE9+f8w=")</f>
        <v>#REF!</v>
      </c>
      <c r="GX254" t="e">
        <f>IF(#REF!,"AAAAAE9+f80=",0)</f>
        <v>#REF!</v>
      </c>
      <c r="GY254" t="e">
        <f>AND(#REF!,"AAAAAE9+f84=")</f>
        <v>#REF!</v>
      </c>
      <c r="GZ254" t="e">
        <f>AND(#REF!,"AAAAAE9+f88=")</f>
        <v>#REF!</v>
      </c>
      <c r="HA254" t="e">
        <f>AND(#REF!,"AAAAAE9+f9A=")</f>
        <v>#REF!</v>
      </c>
      <c r="HB254" t="e">
        <f>AND(#REF!,"AAAAAE9+f9E=")</f>
        <v>#REF!</v>
      </c>
      <c r="HC254" t="e">
        <f>AND(#REF!,"AAAAAE9+f9I=")</f>
        <v>#REF!</v>
      </c>
      <c r="HD254" t="e">
        <f>AND(#REF!,"AAAAAE9+f9M=")</f>
        <v>#REF!</v>
      </c>
      <c r="HE254" t="e">
        <f>AND(#REF!,"AAAAAE9+f9Q=")</f>
        <v>#REF!</v>
      </c>
      <c r="HF254" t="e">
        <f>AND(#REF!,"AAAAAE9+f9U=")</f>
        <v>#REF!</v>
      </c>
      <c r="HG254" t="e">
        <f>AND(#REF!,"AAAAAE9+f9Y=")</f>
        <v>#REF!</v>
      </c>
      <c r="HH254" t="e">
        <f>AND(#REF!,"AAAAAE9+f9c=")</f>
        <v>#REF!</v>
      </c>
      <c r="HI254" t="e">
        <f>IF(#REF!,"AAAAAE9+f9g=",0)</f>
        <v>#REF!</v>
      </c>
      <c r="HJ254" t="e">
        <f>AND(#REF!,"AAAAAE9+f9k=")</f>
        <v>#REF!</v>
      </c>
      <c r="HK254" t="e">
        <f>AND(#REF!,"AAAAAE9+f9o=")</f>
        <v>#REF!</v>
      </c>
      <c r="HL254" t="e">
        <f>AND(#REF!,"AAAAAE9+f9s=")</f>
        <v>#REF!</v>
      </c>
      <c r="HM254" t="e">
        <f>AND(#REF!,"AAAAAE9+f9w=")</f>
        <v>#REF!</v>
      </c>
      <c r="HN254" t="e">
        <f>AND(#REF!,"AAAAAE9+f90=")</f>
        <v>#REF!</v>
      </c>
      <c r="HO254" t="e">
        <f>AND(#REF!,"AAAAAE9+f94=")</f>
        <v>#REF!</v>
      </c>
      <c r="HP254" t="e">
        <f>AND(#REF!,"AAAAAE9+f98=")</f>
        <v>#REF!</v>
      </c>
      <c r="HQ254" t="e">
        <f>AND(#REF!,"AAAAAE9+f+A=")</f>
        <v>#REF!</v>
      </c>
      <c r="HR254" t="e">
        <f>AND(#REF!,"AAAAAE9+f+E=")</f>
        <v>#REF!</v>
      </c>
      <c r="HS254" t="e">
        <f>AND(#REF!,"AAAAAE9+f+I=")</f>
        <v>#REF!</v>
      </c>
      <c r="HT254" t="e">
        <f>IF(#REF!,"AAAAAE9+f+M=",0)</f>
        <v>#REF!</v>
      </c>
      <c r="HU254" t="e">
        <f>AND(#REF!,"AAAAAE9+f+Q=")</f>
        <v>#REF!</v>
      </c>
      <c r="HV254" t="e">
        <f>AND(#REF!,"AAAAAE9+f+U=")</f>
        <v>#REF!</v>
      </c>
      <c r="HW254" t="e">
        <f>AND(#REF!,"AAAAAE9+f+Y=")</f>
        <v>#REF!</v>
      </c>
      <c r="HX254" t="e">
        <f>AND(#REF!,"AAAAAE9+f+c=")</f>
        <v>#REF!</v>
      </c>
      <c r="HY254" t="e">
        <f>AND(#REF!,"AAAAAE9+f+g=")</f>
        <v>#REF!</v>
      </c>
      <c r="HZ254" t="e">
        <f>AND(#REF!,"AAAAAE9+f+k=")</f>
        <v>#REF!</v>
      </c>
      <c r="IA254" t="e">
        <f>AND(#REF!,"AAAAAE9+f+o=")</f>
        <v>#REF!</v>
      </c>
      <c r="IB254" t="e">
        <f>AND(#REF!,"AAAAAE9+f+s=")</f>
        <v>#REF!</v>
      </c>
      <c r="IC254" t="e">
        <f>AND(#REF!,"AAAAAE9+f+w=")</f>
        <v>#REF!</v>
      </c>
      <c r="ID254" t="e">
        <f>AND(#REF!,"AAAAAE9+f+0=")</f>
        <v>#REF!</v>
      </c>
      <c r="IE254" t="e">
        <f>IF(#REF!,"AAAAAE9+f+4=",0)</f>
        <v>#REF!</v>
      </c>
      <c r="IF254" t="e">
        <f>AND(#REF!,"AAAAAE9+f+8=")</f>
        <v>#REF!</v>
      </c>
      <c r="IG254" t="e">
        <f>AND(#REF!,"AAAAAE9+f/A=")</f>
        <v>#REF!</v>
      </c>
      <c r="IH254" t="e">
        <f>AND(#REF!,"AAAAAE9+f/E=")</f>
        <v>#REF!</v>
      </c>
      <c r="II254" t="e">
        <f>AND(#REF!,"AAAAAE9+f/I=")</f>
        <v>#REF!</v>
      </c>
      <c r="IJ254" t="e">
        <f>AND(#REF!,"AAAAAE9+f/M=")</f>
        <v>#REF!</v>
      </c>
      <c r="IK254" t="e">
        <f>AND(#REF!,"AAAAAE9+f/Q=")</f>
        <v>#REF!</v>
      </c>
      <c r="IL254" t="e">
        <f>AND(#REF!,"AAAAAE9+f/U=")</f>
        <v>#REF!</v>
      </c>
      <c r="IM254" t="e">
        <f>AND(#REF!,"AAAAAE9+f/Y=")</f>
        <v>#REF!</v>
      </c>
      <c r="IN254" t="e">
        <f>AND(#REF!,"AAAAAE9+f/c=")</f>
        <v>#REF!</v>
      </c>
      <c r="IO254" t="e">
        <f>AND(#REF!,"AAAAAE9+f/g=")</f>
        <v>#REF!</v>
      </c>
      <c r="IP254" t="e">
        <f>IF(#REF!,"AAAAAE9+f/k=",0)</f>
        <v>#REF!</v>
      </c>
      <c r="IQ254" t="e">
        <f>AND(#REF!,"AAAAAE9+f/o=")</f>
        <v>#REF!</v>
      </c>
      <c r="IR254" t="e">
        <f>AND(#REF!,"AAAAAE9+f/s=")</f>
        <v>#REF!</v>
      </c>
      <c r="IS254" t="e">
        <f>AND(#REF!,"AAAAAE9+f/w=")</f>
        <v>#REF!</v>
      </c>
      <c r="IT254" t="e">
        <f>AND(#REF!,"AAAAAE9+f/0=")</f>
        <v>#REF!</v>
      </c>
      <c r="IU254" t="e">
        <f>AND(#REF!,"AAAAAE9+f/4=")</f>
        <v>#REF!</v>
      </c>
      <c r="IV254" t="e">
        <f>AND(#REF!,"AAAAAE9+f/8=")</f>
        <v>#REF!</v>
      </c>
    </row>
    <row r="255" spans="1:256" x14ac:dyDescent="0.25">
      <c r="A255" t="e">
        <f>AND(#REF!,"AAAAAH//rwA=")</f>
        <v>#REF!</v>
      </c>
      <c r="B255" t="e">
        <f>AND(#REF!,"AAAAAH//rwE=")</f>
        <v>#REF!</v>
      </c>
      <c r="C255" t="e">
        <f>AND(#REF!,"AAAAAH//rwI=")</f>
        <v>#REF!</v>
      </c>
      <c r="D255" t="e">
        <f>AND(#REF!,"AAAAAH//rwM=")</f>
        <v>#REF!</v>
      </c>
      <c r="E255" t="e">
        <f>IF(#REF!,"AAAAAH//rwQ=",0)</f>
        <v>#REF!</v>
      </c>
      <c r="F255" t="e">
        <f>AND(#REF!,"AAAAAH//rwU=")</f>
        <v>#REF!</v>
      </c>
      <c r="G255" t="e">
        <f>AND(#REF!,"AAAAAH//rwY=")</f>
        <v>#REF!</v>
      </c>
      <c r="H255" t="e">
        <f>AND(#REF!,"AAAAAH//rwc=")</f>
        <v>#REF!</v>
      </c>
      <c r="I255" t="e">
        <f>AND(#REF!,"AAAAAH//rwg=")</f>
        <v>#REF!</v>
      </c>
      <c r="J255" t="e">
        <f>AND(#REF!,"AAAAAH//rwk=")</f>
        <v>#REF!</v>
      </c>
      <c r="K255" t="e">
        <f>AND(#REF!,"AAAAAH//rwo=")</f>
        <v>#REF!</v>
      </c>
      <c r="L255" t="e">
        <f>AND(#REF!,"AAAAAH//rws=")</f>
        <v>#REF!</v>
      </c>
      <c r="M255" t="e">
        <f>AND(#REF!,"AAAAAH//rww=")</f>
        <v>#REF!</v>
      </c>
      <c r="N255" t="e">
        <f>AND(#REF!,"AAAAAH//rw0=")</f>
        <v>#REF!</v>
      </c>
      <c r="O255" t="e">
        <f>AND(#REF!,"AAAAAH//rw4=")</f>
        <v>#REF!</v>
      </c>
      <c r="P255" t="e">
        <f>IF(#REF!,"AAAAAH//rw8=",0)</f>
        <v>#REF!</v>
      </c>
      <c r="Q255" t="e">
        <f>AND(#REF!,"AAAAAH//rxA=")</f>
        <v>#REF!</v>
      </c>
      <c r="R255" t="e">
        <f>AND(#REF!,"AAAAAH//rxE=")</f>
        <v>#REF!</v>
      </c>
      <c r="S255" t="e">
        <f>AND(#REF!,"AAAAAH//rxI=")</f>
        <v>#REF!</v>
      </c>
      <c r="T255" t="e">
        <f>AND(#REF!,"AAAAAH//rxM=")</f>
        <v>#REF!</v>
      </c>
      <c r="U255" t="e">
        <f>AND(#REF!,"AAAAAH//rxQ=")</f>
        <v>#REF!</v>
      </c>
      <c r="V255" t="e">
        <f>AND(#REF!,"AAAAAH//rxU=")</f>
        <v>#REF!</v>
      </c>
      <c r="W255" t="e">
        <f>AND(#REF!,"AAAAAH//rxY=")</f>
        <v>#REF!</v>
      </c>
      <c r="X255" t="e">
        <f>AND(#REF!,"AAAAAH//rxc=")</f>
        <v>#REF!</v>
      </c>
      <c r="Y255" t="e">
        <f>AND(#REF!,"AAAAAH//rxg=")</f>
        <v>#REF!</v>
      </c>
      <c r="Z255" t="e">
        <f>AND(#REF!,"AAAAAH//rxk=")</f>
        <v>#REF!</v>
      </c>
      <c r="AA255" t="e">
        <f>IF(#REF!,"AAAAAH//rxo=",0)</f>
        <v>#REF!</v>
      </c>
      <c r="AB255" t="e">
        <f>AND(#REF!,"AAAAAH//rxs=")</f>
        <v>#REF!</v>
      </c>
      <c r="AC255" t="e">
        <f>AND(#REF!,"AAAAAH//rxw=")</f>
        <v>#REF!</v>
      </c>
      <c r="AD255" t="e">
        <f>AND(#REF!,"AAAAAH//rx0=")</f>
        <v>#REF!</v>
      </c>
      <c r="AE255" t="e">
        <f>AND(#REF!,"AAAAAH//rx4=")</f>
        <v>#REF!</v>
      </c>
      <c r="AF255" t="e">
        <f>AND(#REF!,"AAAAAH//rx8=")</f>
        <v>#REF!</v>
      </c>
      <c r="AG255" t="e">
        <f>AND(#REF!,"AAAAAH//ryA=")</f>
        <v>#REF!</v>
      </c>
      <c r="AH255" t="e">
        <f>AND(#REF!,"AAAAAH//ryE=")</f>
        <v>#REF!</v>
      </c>
      <c r="AI255" t="e">
        <f>AND(#REF!,"AAAAAH//ryI=")</f>
        <v>#REF!</v>
      </c>
      <c r="AJ255" t="e">
        <f>AND(#REF!,"AAAAAH//ryM=")</f>
        <v>#REF!</v>
      </c>
      <c r="AK255" t="e">
        <f>AND(#REF!,"AAAAAH//ryQ=")</f>
        <v>#REF!</v>
      </c>
      <c r="AL255" t="e">
        <f>IF(#REF!,"AAAAAH//ryU=",0)</f>
        <v>#REF!</v>
      </c>
      <c r="AM255" t="e">
        <f>AND(#REF!,"AAAAAH//ryY=")</f>
        <v>#REF!</v>
      </c>
      <c r="AN255" t="e">
        <f>AND(#REF!,"AAAAAH//ryc=")</f>
        <v>#REF!</v>
      </c>
      <c r="AO255" t="e">
        <f>AND(#REF!,"AAAAAH//ryg=")</f>
        <v>#REF!</v>
      </c>
      <c r="AP255" t="e">
        <f>AND(#REF!,"AAAAAH//ryk=")</f>
        <v>#REF!</v>
      </c>
      <c r="AQ255" t="e">
        <f>AND(#REF!,"AAAAAH//ryo=")</f>
        <v>#REF!</v>
      </c>
      <c r="AR255" t="e">
        <f>AND(#REF!,"AAAAAH//rys=")</f>
        <v>#REF!</v>
      </c>
      <c r="AS255" t="e">
        <f>AND(#REF!,"AAAAAH//ryw=")</f>
        <v>#REF!</v>
      </c>
      <c r="AT255" t="e">
        <f>AND(#REF!,"AAAAAH//ry0=")</f>
        <v>#REF!</v>
      </c>
      <c r="AU255" t="e">
        <f>AND(#REF!,"AAAAAH//ry4=")</f>
        <v>#REF!</v>
      </c>
      <c r="AV255" t="e">
        <f>AND(#REF!,"AAAAAH//ry8=")</f>
        <v>#REF!</v>
      </c>
      <c r="AW255" t="e">
        <f>IF(#REF!,"AAAAAH//rzA=",0)</f>
        <v>#REF!</v>
      </c>
      <c r="AX255" t="e">
        <f>AND(#REF!,"AAAAAH//rzE=")</f>
        <v>#REF!</v>
      </c>
      <c r="AY255" t="e">
        <f>AND(#REF!,"AAAAAH//rzI=")</f>
        <v>#REF!</v>
      </c>
      <c r="AZ255" t="e">
        <f>AND(#REF!,"AAAAAH//rzM=")</f>
        <v>#REF!</v>
      </c>
      <c r="BA255" t="e">
        <f>AND(#REF!,"AAAAAH//rzQ=")</f>
        <v>#REF!</v>
      </c>
      <c r="BB255" t="e">
        <f>AND(#REF!,"AAAAAH//rzU=")</f>
        <v>#REF!</v>
      </c>
      <c r="BC255" t="e">
        <f>AND(#REF!,"AAAAAH//rzY=")</f>
        <v>#REF!</v>
      </c>
      <c r="BD255" t="e">
        <f>AND(#REF!,"AAAAAH//rzc=")</f>
        <v>#REF!</v>
      </c>
      <c r="BE255" t="e">
        <f>AND(#REF!,"AAAAAH//rzg=")</f>
        <v>#REF!</v>
      </c>
      <c r="BF255" t="e">
        <f>AND(#REF!,"AAAAAH//rzk=")</f>
        <v>#REF!</v>
      </c>
      <c r="BG255" t="e">
        <f>AND(#REF!,"AAAAAH//rzo=")</f>
        <v>#REF!</v>
      </c>
      <c r="BH255" t="e">
        <f>IF(#REF!,"AAAAAH//rzs=",0)</f>
        <v>#REF!</v>
      </c>
      <c r="BI255" t="e">
        <f>AND(#REF!,"AAAAAH//rzw=")</f>
        <v>#REF!</v>
      </c>
      <c r="BJ255" t="e">
        <f>AND(#REF!,"AAAAAH//rz0=")</f>
        <v>#REF!</v>
      </c>
      <c r="BK255" t="e">
        <f>AND(#REF!,"AAAAAH//rz4=")</f>
        <v>#REF!</v>
      </c>
      <c r="BL255" t="e">
        <f>AND(#REF!,"AAAAAH//rz8=")</f>
        <v>#REF!</v>
      </c>
      <c r="BM255" t="e">
        <f>AND(#REF!,"AAAAAH//r0A=")</f>
        <v>#REF!</v>
      </c>
      <c r="BN255" t="e">
        <f>AND(#REF!,"AAAAAH//r0E=")</f>
        <v>#REF!</v>
      </c>
      <c r="BO255" t="e">
        <f>AND(#REF!,"AAAAAH//r0I=")</f>
        <v>#REF!</v>
      </c>
      <c r="BP255" t="e">
        <f>AND(#REF!,"AAAAAH//r0M=")</f>
        <v>#REF!</v>
      </c>
      <c r="BQ255" t="e">
        <f>AND(#REF!,"AAAAAH//r0Q=")</f>
        <v>#REF!</v>
      </c>
      <c r="BR255" t="e">
        <f>AND(#REF!,"AAAAAH//r0U=")</f>
        <v>#REF!</v>
      </c>
      <c r="BS255" t="e">
        <f>IF(#REF!,"AAAAAH//r0Y=",0)</f>
        <v>#REF!</v>
      </c>
      <c r="BT255" t="e">
        <f>AND(#REF!,"AAAAAH//r0c=")</f>
        <v>#REF!</v>
      </c>
      <c r="BU255" t="e">
        <f>AND(#REF!,"AAAAAH//r0g=")</f>
        <v>#REF!</v>
      </c>
      <c r="BV255" t="e">
        <f>AND(#REF!,"AAAAAH//r0k=")</f>
        <v>#REF!</v>
      </c>
      <c r="BW255" t="e">
        <f>AND(#REF!,"AAAAAH//r0o=")</f>
        <v>#REF!</v>
      </c>
      <c r="BX255" t="e">
        <f>AND(#REF!,"AAAAAH//r0s=")</f>
        <v>#REF!</v>
      </c>
      <c r="BY255" t="e">
        <f>AND(#REF!,"AAAAAH//r0w=")</f>
        <v>#REF!</v>
      </c>
      <c r="BZ255" t="e">
        <f>AND(#REF!,"AAAAAH//r00=")</f>
        <v>#REF!</v>
      </c>
      <c r="CA255" t="e">
        <f>AND(#REF!,"AAAAAH//r04=")</f>
        <v>#REF!</v>
      </c>
      <c r="CB255" t="e">
        <f>AND(#REF!,"AAAAAH//r08=")</f>
        <v>#REF!</v>
      </c>
      <c r="CC255" t="e">
        <f>AND(#REF!,"AAAAAH//r1A=")</f>
        <v>#REF!</v>
      </c>
      <c r="CD255" t="e">
        <f>IF(#REF!,"AAAAAH//r1E=",0)</f>
        <v>#REF!</v>
      </c>
      <c r="CE255" t="e">
        <f>AND(#REF!,"AAAAAH//r1I=")</f>
        <v>#REF!</v>
      </c>
      <c r="CF255" t="e">
        <f>AND(#REF!,"AAAAAH//r1M=")</f>
        <v>#REF!</v>
      </c>
      <c r="CG255" t="e">
        <f>AND(#REF!,"AAAAAH//r1Q=")</f>
        <v>#REF!</v>
      </c>
      <c r="CH255" t="e">
        <f>AND(#REF!,"AAAAAH//r1U=")</f>
        <v>#REF!</v>
      </c>
      <c r="CI255" t="e">
        <f>AND(#REF!,"AAAAAH//r1Y=")</f>
        <v>#REF!</v>
      </c>
      <c r="CJ255" t="e">
        <f>AND(#REF!,"AAAAAH//r1c=")</f>
        <v>#REF!</v>
      </c>
      <c r="CK255" t="e">
        <f>AND(#REF!,"AAAAAH//r1g=")</f>
        <v>#REF!</v>
      </c>
      <c r="CL255" t="e">
        <f>AND(#REF!,"AAAAAH//r1k=")</f>
        <v>#REF!</v>
      </c>
      <c r="CM255" t="e">
        <f>AND(#REF!,"AAAAAH//r1o=")</f>
        <v>#REF!</v>
      </c>
      <c r="CN255" t="e">
        <f>AND(#REF!,"AAAAAH//r1s=")</f>
        <v>#REF!</v>
      </c>
      <c r="CO255" t="e">
        <f>IF(#REF!,"AAAAAH//r1w=",0)</f>
        <v>#REF!</v>
      </c>
      <c r="CP255" t="e">
        <f>AND(#REF!,"AAAAAH//r10=")</f>
        <v>#REF!</v>
      </c>
      <c r="CQ255" t="e">
        <f>AND(#REF!,"AAAAAH//r14=")</f>
        <v>#REF!</v>
      </c>
      <c r="CR255" t="e">
        <f>AND(#REF!,"AAAAAH//r18=")</f>
        <v>#REF!</v>
      </c>
      <c r="CS255" t="e">
        <f>AND(#REF!,"AAAAAH//r2A=")</f>
        <v>#REF!</v>
      </c>
      <c r="CT255" t="e">
        <f>AND(#REF!,"AAAAAH//r2E=")</f>
        <v>#REF!</v>
      </c>
      <c r="CU255" t="e">
        <f>AND(#REF!,"AAAAAH//r2I=")</f>
        <v>#REF!</v>
      </c>
      <c r="CV255" t="e">
        <f>AND(#REF!,"AAAAAH//r2M=")</f>
        <v>#REF!</v>
      </c>
      <c r="CW255" t="e">
        <f>AND(#REF!,"AAAAAH//r2Q=")</f>
        <v>#REF!</v>
      </c>
      <c r="CX255" t="e">
        <f>AND(#REF!,"AAAAAH//r2U=")</f>
        <v>#REF!</v>
      </c>
      <c r="CY255" t="e">
        <f>AND(#REF!,"AAAAAH//r2Y=")</f>
        <v>#REF!</v>
      </c>
      <c r="CZ255" t="e">
        <f>IF(#REF!,"AAAAAH//r2c=",0)</f>
        <v>#REF!</v>
      </c>
      <c r="DA255" t="e">
        <f>AND(#REF!,"AAAAAH//r2g=")</f>
        <v>#REF!</v>
      </c>
      <c r="DB255" t="e">
        <f>AND(#REF!,"AAAAAH//r2k=")</f>
        <v>#REF!</v>
      </c>
      <c r="DC255" t="e">
        <f>AND(#REF!,"AAAAAH//r2o=")</f>
        <v>#REF!</v>
      </c>
      <c r="DD255" t="e">
        <f>AND(#REF!,"AAAAAH//r2s=")</f>
        <v>#REF!</v>
      </c>
      <c r="DE255" t="e">
        <f>AND(#REF!,"AAAAAH//r2w=")</f>
        <v>#REF!</v>
      </c>
      <c r="DF255" t="e">
        <f>AND(#REF!,"AAAAAH//r20=")</f>
        <v>#REF!</v>
      </c>
      <c r="DG255" t="e">
        <f>AND(#REF!,"AAAAAH//r24=")</f>
        <v>#REF!</v>
      </c>
      <c r="DH255" t="e">
        <f>AND(#REF!,"AAAAAH//r28=")</f>
        <v>#REF!</v>
      </c>
      <c r="DI255" t="e">
        <f>AND(#REF!,"AAAAAH//r3A=")</f>
        <v>#REF!</v>
      </c>
      <c r="DJ255" t="e">
        <f>AND(#REF!,"AAAAAH//r3E=")</f>
        <v>#REF!</v>
      </c>
      <c r="DK255" t="e">
        <f>IF(#REF!,"AAAAAH//r3I=",0)</f>
        <v>#REF!</v>
      </c>
      <c r="DL255" t="e">
        <f>AND(#REF!,"AAAAAH//r3M=")</f>
        <v>#REF!</v>
      </c>
      <c r="DM255" t="e">
        <f>AND(#REF!,"AAAAAH//r3Q=")</f>
        <v>#REF!</v>
      </c>
      <c r="DN255" t="e">
        <f>AND(#REF!,"AAAAAH//r3U=")</f>
        <v>#REF!</v>
      </c>
      <c r="DO255" t="e">
        <f>AND(#REF!,"AAAAAH//r3Y=")</f>
        <v>#REF!</v>
      </c>
      <c r="DP255" t="e">
        <f>AND(#REF!,"AAAAAH//r3c=")</f>
        <v>#REF!</v>
      </c>
      <c r="DQ255" t="e">
        <f>AND(#REF!,"AAAAAH//r3g=")</f>
        <v>#REF!</v>
      </c>
      <c r="DR255" t="e">
        <f>AND(#REF!,"AAAAAH//r3k=")</f>
        <v>#REF!</v>
      </c>
      <c r="DS255" t="e">
        <f>AND(#REF!,"AAAAAH//r3o=")</f>
        <v>#REF!</v>
      </c>
      <c r="DT255" t="e">
        <f>AND(#REF!,"AAAAAH//r3s=")</f>
        <v>#REF!</v>
      </c>
      <c r="DU255" t="e">
        <f>AND(#REF!,"AAAAAH//r3w=")</f>
        <v>#REF!</v>
      </c>
      <c r="DV255" t="e">
        <f>IF(#REF!,"AAAAAH//r30=",0)</f>
        <v>#REF!</v>
      </c>
      <c r="DW255" t="e">
        <f>AND(#REF!,"AAAAAH//r34=")</f>
        <v>#REF!</v>
      </c>
      <c r="DX255" t="e">
        <f>AND(#REF!,"AAAAAH//r38=")</f>
        <v>#REF!</v>
      </c>
      <c r="DY255" t="e">
        <f>AND(#REF!,"AAAAAH//r4A=")</f>
        <v>#REF!</v>
      </c>
      <c r="DZ255" t="e">
        <f>AND(#REF!,"AAAAAH//r4E=")</f>
        <v>#REF!</v>
      </c>
      <c r="EA255" t="e">
        <f>AND(#REF!,"AAAAAH//r4I=")</f>
        <v>#REF!</v>
      </c>
      <c r="EB255" t="e">
        <f>AND(#REF!,"AAAAAH//r4M=")</f>
        <v>#REF!</v>
      </c>
      <c r="EC255" t="e">
        <f>AND(#REF!,"AAAAAH//r4Q=")</f>
        <v>#REF!</v>
      </c>
      <c r="ED255" t="e">
        <f>AND(#REF!,"AAAAAH//r4U=")</f>
        <v>#REF!</v>
      </c>
      <c r="EE255" t="e">
        <f>AND(#REF!,"AAAAAH//r4Y=")</f>
        <v>#REF!</v>
      </c>
      <c r="EF255" t="e">
        <f>AND(#REF!,"AAAAAH//r4c=")</f>
        <v>#REF!</v>
      </c>
      <c r="EG255" t="e">
        <f>IF(#REF!,"AAAAAH//r4g=",0)</f>
        <v>#REF!</v>
      </c>
      <c r="EH255" t="e">
        <f>AND(#REF!,"AAAAAH//r4k=")</f>
        <v>#REF!</v>
      </c>
      <c r="EI255" t="e">
        <f>AND(#REF!,"AAAAAH//r4o=")</f>
        <v>#REF!</v>
      </c>
      <c r="EJ255" t="e">
        <f>AND(#REF!,"AAAAAH//r4s=")</f>
        <v>#REF!</v>
      </c>
      <c r="EK255" t="e">
        <f>AND(#REF!,"AAAAAH//r4w=")</f>
        <v>#REF!</v>
      </c>
      <c r="EL255" t="e">
        <f>AND(#REF!,"AAAAAH//r40=")</f>
        <v>#REF!</v>
      </c>
      <c r="EM255" t="e">
        <f>AND(#REF!,"AAAAAH//r44=")</f>
        <v>#REF!</v>
      </c>
      <c r="EN255" t="e">
        <f>AND(#REF!,"AAAAAH//r48=")</f>
        <v>#REF!</v>
      </c>
      <c r="EO255" t="e">
        <f>AND(#REF!,"AAAAAH//r5A=")</f>
        <v>#REF!</v>
      </c>
      <c r="EP255" t="e">
        <f>AND(#REF!,"AAAAAH//r5E=")</f>
        <v>#REF!</v>
      </c>
      <c r="EQ255" t="e">
        <f>AND(#REF!,"AAAAAH//r5I=")</f>
        <v>#REF!</v>
      </c>
      <c r="ER255" t="e">
        <f>IF(#REF!,"AAAAAH//r5M=",0)</f>
        <v>#REF!</v>
      </c>
      <c r="ES255" t="e">
        <f>AND(#REF!,"AAAAAH//r5Q=")</f>
        <v>#REF!</v>
      </c>
      <c r="ET255" t="e">
        <f>AND(#REF!,"AAAAAH//r5U=")</f>
        <v>#REF!</v>
      </c>
      <c r="EU255" t="e">
        <f>AND(#REF!,"AAAAAH//r5Y=")</f>
        <v>#REF!</v>
      </c>
      <c r="EV255" t="e">
        <f>AND(#REF!,"AAAAAH//r5c=")</f>
        <v>#REF!</v>
      </c>
      <c r="EW255" t="e">
        <f>AND(#REF!,"AAAAAH//r5g=")</f>
        <v>#REF!</v>
      </c>
      <c r="EX255" t="e">
        <f>AND(#REF!,"AAAAAH//r5k=")</f>
        <v>#REF!</v>
      </c>
      <c r="EY255" t="e">
        <f>AND(#REF!,"AAAAAH//r5o=")</f>
        <v>#REF!</v>
      </c>
      <c r="EZ255" t="e">
        <f>AND(#REF!,"AAAAAH//r5s=")</f>
        <v>#REF!</v>
      </c>
      <c r="FA255" t="e">
        <f>AND(#REF!,"AAAAAH//r5w=")</f>
        <v>#REF!</v>
      </c>
      <c r="FB255" t="e">
        <f>AND(#REF!,"AAAAAH//r50=")</f>
        <v>#REF!</v>
      </c>
      <c r="FC255" t="e">
        <f>IF(#REF!,"AAAAAH//r54=",0)</f>
        <v>#REF!</v>
      </c>
      <c r="FD255" t="e">
        <f>AND(#REF!,"AAAAAH//r58=")</f>
        <v>#REF!</v>
      </c>
      <c r="FE255" t="e">
        <f>AND(#REF!,"AAAAAH//r6A=")</f>
        <v>#REF!</v>
      </c>
      <c r="FF255" t="e">
        <f>AND(#REF!,"AAAAAH//r6E=")</f>
        <v>#REF!</v>
      </c>
      <c r="FG255" t="e">
        <f>AND(#REF!,"AAAAAH//r6I=")</f>
        <v>#REF!</v>
      </c>
      <c r="FH255" t="e">
        <f>AND(#REF!,"AAAAAH//r6M=")</f>
        <v>#REF!</v>
      </c>
      <c r="FI255" t="e">
        <f>AND(#REF!,"AAAAAH//r6Q=")</f>
        <v>#REF!</v>
      </c>
      <c r="FJ255" t="e">
        <f>AND(#REF!,"AAAAAH//r6U=")</f>
        <v>#REF!</v>
      </c>
      <c r="FK255" t="e">
        <f>AND(#REF!,"AAAAAH//r6Y=")</f>
        <v>#REF!</v>
      </c>
      <c r="FL255" t="e">
        <f>AND(#REF!,"AAAAAH//r6c=")</f>
        <v>#REF!</v>
      </c>
      <c r="FM255" t="e">
        <f>AND(#REF!,"AAAAAH//r6g=")</f>
        <v>#REF!</v>
      </c>
      <c r="FN255" t="e">
        <f>IF(#REF!,"AAAAAH//r6k=",0)</f>
        <v>#REF!</v>
      </c>
      <c r="FO255" t="e">
        <f>AND(#REF!,"AAAAAH//r6o=")</f>
        <v>#REF!</v>
      </c>
      <c r="FP255" t="e">
        <f>AND(#REF!,"AAAAAH//r6s=")</f>
        <v>#REF!</v>
      </c>
      <c r="FQ255" t="e">
        <f>AND(#REF!,"AAAAAH//r6w=")</f>
        <v>#REF!</v>
      </c>
      <c r="FR255" t="e">
        <f>AND(#REF!,"AAAAAH//r60=")</f>
        <v>#REF!</v>
      </c>
      <c r="FS255" t="e">
        <f>AND(#REF!,"AAAAAH//r64=")</f>
        <v>#REF!</v>
      </c>
      <c r="FT255" t="e">
        <f>AND(#REF!,"AAAAAH//r68=")</f>
        <v>#REF!</v>
      </c>
      <c r="FU255" t="e">
        <f>AND(#REF!,"AAAAAH//r7A=")</f>
        <v>#REF!</v>
      </c>
      <c r="FV255" t="e">
        <f>AND(#REF!,"AAAAAH//r7E=")</f>
        <v>#REF!</v>
      </c>
      <c r="FW255" t="e">
        <f>AND(#REF!,"AAAAAH//r7I=")</f>
        <v>#REF!</v>
      </c>
      <c r="FX255" t="e">
        <f>AND(#REF!,"AAAAAH//r7M=")</f>
        <v>#REF!</v>
      </c>
      <c r="FY255" t="e">
        <f>IF(#REF!,"AAAAAH//r7Q=",0)</f>
        <v>#REF!</v>
      </c>
      <c r="FZ255" t="e">
        <f>AND(#REF!,"AAAAAH//r7U=")</f>
        <v>#REF!</v>
      </c>
      <c r="GA255" t="e">
        <f>AND(#REF!,"AAAAAH//r7Y=")</f>
        <v>#REF!</v>
      </c>
      <c r="GB255" t="e">
        <f>AND(#REF!,"AAAAAH//r7c=")</f>
        <v>#REF!</v>
      </c>
      <c r="GC255" t="e">
        <f>AND(#REF!,"AAAAAH//r7g=")</f>
        <v>#REF!</v>
      </c>
      <c r="GD255" t="e">
        <f>AND(#REF!,"AAAAAH//r7k=")</f>
        <v>#REF!</v>
      </c>
      <c r="GE255" t="e">
        <f>AND(#REF!,"AAAAAH//r7o=")</f>
        <v>#REF!</v>
      </c>
      <c r="GF255" t="e">
        <f>AND(#REF!,"AAAAAH//r7s=")</f>
        <v>#REF!</v>
      </c>
      <c r="GG255" t="e">
        <f>AND(#REF!,"AAAAAH//r7w=")</f>
        <v>#REF!</v>
      </c>
      <c r="GH255" t="e">
        <f>AND(#REF!,"AAAAAH//r70=")</f>
        <v>#REF!</v>
      </c>
      <c r="GI255" t="e">
        <f>AND(#REF!,"AAAAAH//r74=")</f>
        <v>#REF!</v>
      </c>
      <c r="GJ255" t="e">
        <f>IF(#REF!,"AAAAAH//r78=",0)</f>
        <v>#REF!</v>
      </c>
      <c r="GK255" t="e">
        <f>AND(#REF!,"AAAAAH//r8A=")</f>
        <v>#REF!</v>
      </c>
      <c r="GL255" t="e">
        <f>AND(#REF!,"AAAAAH//r8E=")</f>
        <v>#REF!</v>
      </c>
      <c r="GM255" t="e">
        <f>AND(#REF!,"AAAAAH//r8I=")</f>
        <v>#REF!</v>
      </c>
      <c r="GN255" t="e">
        <f>AND(#REF!,"AAAAAH//r8M=")</f>
        <v>#REF!</v>
      </c>
      <c r="GO255" t="e">
        <f>AND(#REF!,"AAAAAH//r8Q=")</f>
        <v>#REF!</v>
      </c>
      <c r="GP255" t="e">
        <f>AND(#REF!,"AAAAAH//r8U=")</f>
        <v>#REF!</v>
      </c>
      <c r="GQ255" t="e">
        <f>AND(#REF!,"AAAAAH//r8Y=")</f>
        <v>#REF!</v>
      </c>
      <c r="GR255" t="e">
        <f>AND(#REF!,"AAAAAH//r8c=")</f>
        <v>#REF!</v>
      </c>
      <c r="GS255" t="e">
        <f>AND(#REF!,"AAAAAH//r8g=")</f>
        <v>#REF!</v>
      </c>
      <c r="GT255" t="e">
        <f>AND(#REF!,"AAAAAH//r8k=")</f>
        <v>#REF!</v>
      </c>
      <c r="GU255" t="e">
        <f>IF(#REF!,"AAAAAH//r8o=",0)</f>
        <v>#REF!</v>
      </c>
      <c r="GV255" t="e">
        <f>AND(#REF!,"AAAAAH//r8s=")</f>
        <v>#REF!</v>
      </c>
      <c r="GW255" t="e">
        <f>AND(#REF!,"AAAAAH//r8w=")</f>
        <v>#REF!</v>
      </c>
      <c r="GX255" t="e">
        <f>AND(#REF!,"AAAAAH//r80=")</f>
        <v>#REF!</v>
      </c>
      <c r="GY255" t="e">
        <f>AND(#REF!,"AAAAAH//r84=")</f>
        <v>#REF!</v>
      </c>
      <c r="GZ255" t="e">
        <f>AND(#REF!,"AAAAAH//r88=")</f>
        <v>#REF!</v>
      </c>
      <c r="HA255" t="e">
        <f>AND(#REF!,"AAAAAH//r9A=")</f>
        <v>#REF!</v>
      </c>
      <c r="HB255" t="e">
        <f>AND(#REF!,"AAAAAH//r9E=")</f>
        <v>#REF!</v>
      </c>
      <c r="HC255" t="e">
        <f>AND(#REF!,"AAAAAH//r9I=")</f>
        <v>#REF!</v>
      </c>
      <c r="HD255" t="e">
        <f>AND(#REF!,"AAAAAH//r9M=")</f>
        <v>#REF!</v>
      </c>
      <c r="HE255" t="e">
        <f>AND(#REF!,"AAAAAH//r9Q=")</f>
        <v>#REF!</v>
      </c>
      <c r="HF255" t="e">
        <f>IF(#REF!,"AAAAAH//r9U=",0)</f>
        <v>#REF!</v>
      </c>
      <c r="HG255" t="e">
        <f>AND(#REF!,"AAAAAH//r9Y=")</f>
        <v>#REF!</v>
      </c>
      <c r="HH255" t="e">
        <f>AND(#REF!,"AAAAAH//r9c=")</f>
        <v>#REF!</v>
      </c>
      <c r="HI255" t="e">
        <f>AND(#REF!,"AAAAAH//r9g=")</f>
        <v>#REF!</v>
      </c>
      <c r="HJ255" t="e">
        <f>AND(#REF!,"AAAAAH//r9k=")</f>
        <v>#REF!</v>
      </c>
      <c r="HK255" t="e">
        <f>AND(#REF!,"AAAAAH//r9o=")</f>
        <v>#REF!</v>
      </c>
      <c r="HL255" t="e">
        <f>AND(#REF!,"AAAAAH//r9s=")</f>
        <v>#REF!</v>
      </c>
      <c r="HM255" t="e">
        <f>AND(#REF!,"AAAAAH//r9w=")</f>
        <v>#REF!</v>
      </c>
      <c r="HN255" t="e">
        <f>AND(#REF!,"AAAAAH//r90=")</f>
        <v>#REF!</v>
      </c>
      <c r="HO255" t="e">
        <f>AND(#REF!,"AAAAAH//r94=")</f>
        <v>#REF!</v>
      </c>
      <c r="HP255" t="e">
        <f>AND(#REF!,"AAAAAH//r98=")</f>
        <v>#REF!</v>
      </c>
      <c r="HQ255" t="e">
        <f>IF(#REF!,"AAAAAH//r+A=",0)</f>
        <v>#REF!</v>
      </c>
      <c r="HR255" t="e">
        <f>AND(#REF!,"AAAAAH//r+E=")</f>
        <v>#REF!</v>
      </c>
      <c r="HS255" t="e">
        <f>AND(#REF!,"AAAAAH//r+I=")</f>
        <v>#REF!</v>
      </c>
      <c r="HT255" t="e">
        <f>AND(#REF!,"AAAAAH//r+M=")</f>
        <v>#REF!</v>
      </c>
      <c r="HU255" t="e">
        <f>AND(#REF!,"AAAAAH//r+Q=")</f>
        <v>#REF!</v>
      </c>
      <c r="HV255" t="e">
        <f>AND(#REF!,"AAAAAH//r+U=")</f>
        <v>#REF!</v>
      </c>
      <c r="HW255" t="e">
        <f>AND(#REF!,"AAAAAH//r+Y=")</f>
        <v>#REF!</v>
      </c>
      <c r="HX255" t="e">
        <f>AND(#REF!,"AAAAAH//r+c=")</f>
        <v>#REF!</v>
      </c>
      <c r="HY255" t="e">
        <f>AND(#REF!,"AAAAAH//r+g=")</f>
        <v>#REF!</v>
      </c>
      <c r="HZ255" t="e">
        <f>AND(#REF!,"AAAAAH//r+k=")</f>
        <v>#REF!</v>
      </c>
      <c r="IA255" t="e">
        <f>AND(#REF!,"AAAAAH//r+o=")</f>
        <v>#REF!</v>
      </c>
      <c r="IB255" t="e">
        <f>IF(#REF!,"AAAAAH//r+s=",0)</f>
        <v>#REF!</v>
      </c>
      <c r="IC255" t="e">
        <f>AND(#REF!,"AAAAAH//r+w=")</f>
        <v>#REF!</v>
      </c>
      <c r="ID255" t="e">
        <f>AND(#REF!,"AAAAAH//r+0=")</f>
        <v>#REF!</v>
      </c>
      <c r="IE255" t="e">
        <f>AND(#REF!,"AAAAAH//r+4=")</f>
        <v>#REF!</v>
      </c>
      <c r="IF255" t="e">
        <f>AND(#REF!,"AAAAAH//r+8=")</f>
        <v>#REF!</v>
      </c>
      <c r="IG255" t="e">
        <f>AND(#REF!,"AAAAAH//r/A=")</f>
        <v>#REF!</v>
      </c>
      <c r="IH255" t="e">
        <f>AND(#REF!,"AAAAAH//r/E=")</f>
        <v>#REF!</v>
      </c>
      <c r="II255" t="e">
        <f>AND(#REF!,"AAAAAH//r/I=")</f>
        <v>#REF!</v>
      </c>
      <c r="IJ255" t="e">
        <f>AND(#REF!,"AAAAAH//r/M=")</f>
        <v>#REF!</v>
      </c>
      <c r="IK255" t="e">
        <f>AND(#REF!,"AAAAAH//r/Q=")</f>
        <v>#REF!</v>
      </c>
      <c r="IL255" t="e">
        <f>AND(#REF!,"AAAAAH//r/U=")</f>
        <v>#REF!</v>
      </c>
      <c r="IM255" t="e">
        <f>IF(#REF!,"AAAAAH//r/Y=",0)</f>
        <v>#REF!</v>
      </c>
      <c r="IN255" t="e">
        <f>AND(#REF!,"AAAAAH//r/c=")</f>
        <v>#REF!</v>
      </c>
      <c r="IO255" t="e">
        <f>AND(#REF!,"AAAAAH//r/g=")</f>
        <v>#REF!</v>
      </c>
      <c r="IP255" t="e">
        <f>AND(#REF!,"AAAAAH//r/k=")</f>
        <v>#REF!</v>
      </c>
      <c r="IQ255" t="e">
        <f>AND(#REF!,"AAAAAH//r/o=")</f>
        <v>#REF!</v>
      </c>
      <c r="IR255" t="e">
        <f>AND(#REF!,"AAAAAH//r/s=")</f>
        <v>#REF!</v>
      </c>
      <c r="IS255" t="e">
        <f>AND(#REF!,"AAAAAH//r/w=")</f>
        <v>#REF!</v>
      </c>
      <c r="IT255" t="e">
        <f>AND(#REF!,"AAAAAH//r/0=")</f>
        <v>#REF!</v>
      </c>
      <c r="IU255" t="e">
        <f>AND(#REF!,"AAAAAH//r/4=")</f>
        <v>#REF!</v>
      </c>
      <c r="IV255" t="e">
        <f>AND(#REF!,"AAAAAH//r/8=")</f>
        <v>#REF!</v>
      </c>
    </row>
    <row r="256" spans="1:256" x14ac:dyDescent="0.25">
      <c r="A256" t="e">
        <f>AND(#REF!,"AAAAAG/6igA=")</f>
        <v>#REF!</v>
      </c>
      <c r="B256" t="e">
        <f>IF(#REF!,"AAAAAG/6igE=",0)</f>
        <v>#REF!</v>
      </c>
      <c r="C256" t="e">
        <f>AND(#REF!,"AAAAAG/6igI=")</f>
        <v>#REF!</v>
      </c>
      <c r="D256" t="e">
        <f>AND(#REF!,"AAAAAG/6igM=")</f>
        <v>#REF!</v>
      </c>
      <c r="E256" t="e">
        <f>AND(#REF!,"AAAAAG/6igQ=")</f>
        <v>#REF!</v>
      </c>
      <c r="F256" t="e">
        <f>AND(#REF!,"AAAAAG/6igU=")</f>
        <v>#REF!</v>
      </c>
      <c r="G256" t="e">
        <f>AND(#REF!,"AAAAAG/6igY=")</f>
        <v>#REF!</v>
      </c>
      <c r="H256" t="e">
        <f>AND(#REF!,"AAAAAG/6igc=")</f>
        <v>#REF!</v>
      </c>
      <c r="I256" t="e">
        <f>AND(#REF!,"AAAAAG/6igg=")</f>
        <v>#REF!</v>
      </c>
      <c r="J256" t="e">
        <f>AND(#REF!,"AAAAAG/6igk=")</f>
        <v>#REF!</v>
      </c>
      <c r="K256" t="e">
        <f>AND(#REF!,"AAAAAG/6igo=")</f>
        <v>#REF!</v>
      </c>
      <c r="L256" t="e">
        <f>AND(#REF!,"AAAAAG/6igs=")</f>
        <v>#REF!</v>
      </c>
      <c r="M256" t="e">
        <f>IF(#REF!,"AAAAAG/6igw=",0)</f>
        <v>#REF!</v>
      </c>
      <c r="N256" t="e">
        <f>AND(#REF!,"AAAAAG/6ig0=")</f>
        <v>#REF!</v>
      </c>
      <c r="O256" t="e">
        <f>AND(#REF!,"AAAAAG/6ig4=")</f>
        <v>#REF!</v>
      </c>
      <c r="P256" t="e">
        <f>AND(#REF!,"AAAAAG/6ig8=")</f>
        <v>#REF!</v>
      </c>
      <c r="Q256" t="e">
        <f>AND(#REF!,"AAAAAG/6ihA=")</f>
        <v>#REF!</v>
      </c>
      <c r="R256" t="e">
        <f>AND(#REF!,"AAAAAG/6ihE=")</f>
        <v>#REF!</v>
      </c>
      <c r="S256" t="e">
        <f>AND(#REF!,"AAAAAG/6ihI=")</f>
        <v>#REF!</v>
      </c>
      <c r="T256" t="e">
        <f>AND(#REF!,"AAAAAG/6ihM=")</f>
        <v>#REF!</v>
      </c>
      <c r="U256" t="e">
        <f>AND(#REF!,"AAAAAG/6ihQ=")</f>
        <v>#REF!</v>
      </c>
      <c r="V256" t="e">
        <f>AND(#REF!,"AAAAAG/6ihU=")</f>
        <v>#REF!</v>
      </c>
      <c r="W256" t="e">
        <f>AND(#REF!,"AAAAAG/6ihY=")</f>
        <v>#REF!</v>
      </c>
      <c r="X256" t="e">
        <f>IF(#REF!,"AAAAAG/6ihc=",0)</f>
        <v>#REF!</v>
      </c>
      <c r="Y256" t="e">
        <f>AND(#REF!,"AAAAAG/6ihg=")</f>
        <v>#REF!</v>
      </c>
      <c r="Z256" t="e">
        <f>AND(#REF!,"AAAAAG/6ihk=")</f>
        <v>#REF!</v>
      </c>
      <c r="AA256" t="e">
        <f>AND(#REF!,"AAAAAG/6iho=")</f>
        <v>#REF!</v>
      </c>
      <c r="AB256" t="e">
        <f>AND(#REF!,"AAAAAG/6ihs=")</f>
        <v>#REF!</v>
      </c>
      <c r="AC256" t="e">
        <f>AND(#REF!,"AAAAAG/6ihw=")</f>
        <v>#REF!</v>
      </c>
      <c r="AD256" t="e">
        <f>AND(#REF!,"AAAAAG/6ih0=")</f>
        <v>#REF!</v>
      </c>
      <c r="AE256" t="e">
        <f>AND(#REF!,"AAAAAG/6ih4=")</f>
        <v>#REF!</v>
      </c>
      <c r="AF256" t="e">
        <f>AND(#REF!,"AAAAAG/6ih8=")</f>
        <v>#REF!</v>
      </c>
      <c r="AG256" t="e">
        <f>AND(#REF!,"AAAAAG/6iiA=")</f>
        <v>#REF!</v>
      </c>
      <c r="AH256" t="e">
        <f>AND(#REF!,"AAAAAG/6iiE=")</f>
        <v>#REF!</v>
      </c>
      <c r="AI256" t="e">
        <f>IF(#REF!,"AAAAAG/6iiI=",0)</f>
        <v>#REF!</v>
      </c>
      <c r="AJ256" t="e">
        <f>AND(#REF!,"AAAAAG/6iiM=")</f>
        <v>#REF!</v>
      </c>
      <c r="AK256" t="e">
        <f>AND(#REF!,"AAAAAG/6iiQ=")</f>
        <v>#REF!</v>
      </c>
      <c r="AL256" t="e">
        <f>AND(#REF!,"AAAAAG/6iiU=")</f>
        <v>#REF!</v>
      </c>
      <c r="AM256" t="e">
        <f>AND(#REF!,"AAAAAG/6iiY=")</f>
        <v>#REF!</v>
      </c>
      <c r="AN256" t="e">
        <f>AND(#REF!,"AAAAAG/6iic=")</f>
        <v>#REF!</v>
      </c>
      <c r="AO256" t="e">
        <f>AND(#REF!,"AAAAAG/6iig=")</f>
        <v>#REF!</v>
      </c>
      <c r="AP256" t="e">
        <f>AND(#REF!,"AAAAAG/6iik=")</f>
        <v>#REF!</v>
      </c>
      <c r="AQ256" t="e">
        <f>AND(#REF!,"AAAAAG/6iio=")</f>
        <v>#REF!</v>
      </c>
      <c r="AR256" t="e">
        <f>AND(#REF!,"AAAAAG/6iis=")</f>
        <v>#REF!</v>
      </c>
      <c r="AS256" t="e">
        <f>AND(#REF!,"AAAAAG/6iiw=")</f>
        <v>#REF!</v>
      </c>
      <c r="AT256" t="e">
        <f>IF(#REF!,"AAAAAG/6ii0=",0)</f>
        <v>#REF!</v>
      </c>
      <c r="AU256" t="e">
        <f>AND(#REF!,"AAAAAG/6ii4=")</f>
        <v>#REF!</v>
      </c>
      <c r="AV256" t="e">
        <f>AND(#REF!,"AAAAAG/6ii8=")</f>
        <v>#REF!</v>
      </c>
      <c r="AW256" t="e">
        <f>AND(#REF!,"AAAAAG/6ijA=")</f>
        <v>#REF!</v>
      </c>
      <c r="AX256" t="e">
        <f>AND(#REF!,"AAAAAG/6ijE=")</f>
        <v>#REF!</v>
      </c>
      <c r="AY256" t="e">
        <f>AND(#REF!,"AAAAAG/6ijI=")</f>
        <v>#REF!</v>
      </c>
      <c r="AZ256" t="e">
        <f>AND(#REF!,"AAAAAG/6ijM=")</f>
        <v>#REF!</v>
      </c>
      <c r="BA256" t="e">
        <f>AND(#REF!,"AAAAAG/6ijQ=")</f>
        <v>#REF!</v>
      </c>
      <c r="BB256" t="e">
        <f>AND(#REF!,"AAAAAG/6ijU=")</f>
        <v>#REF!</v>
      </c>
      <c r="BC256" t="e">
        <f>AND(#REF!,"AAAAAG/6ijY=")</f>
        <v>#REF!</v>
      </c>
      <c r="BD256" t="e">
        <f>AND(#REF!,"AAAAAG/6ijc=")</f>
        <v>#REF!</v>
      </c>
      <c r="BE256" t="e">
        <f>IF(#REF!,"AAAAAG/6ijg=",0)</f>
        <v>#REF!</v>
      </c>
      <c r="BF256" t="e">
        <f>AND(#REF!,"AAAAAG/6ijk=")</f>
        <v>#REF!</v>
      </c>
      <c r="BG256" t="e">
        <f>AND(#REF!,"AAAAAG/6ijo=")</f>
        <v>#REF!</v>
      </c>
      <c r="BH256" t="e">
        <f>AND(#REF!,"AAAAAG/6ijs=")</f>
        <v>#REF!</v>
      </c>
      <c r="BI256" t="e">
        <f>AND(#REF!,"AAAAAG/6ijw=")</f>
        <v>#REF!</v>
      </c>
      <c r="BJ256" t="e">
        <f>AND(#REF!,"AAAAAG/6ij0=")</f>
        <v>#REF!</v>
      </c>
      <c r="BK256" t="e">
        <f>AND(#REF!,"AAAAAG/6ij4=")</f>
        <v>#REF!</v>
      </c>
      <c r="BL256" t="e">
        <f>AND(#REF!,"AAAAAG/6ij8=")</f>
        <v>#REF!</v>
      </c>
      <c r="BM256" t="e">
        <f>AND(#REF!,"AAAAAG/6ikA=")</f>
        <v>#REF!</v>
      </c>
      <c r="BN256" t="e">
        <f>AND(#REF!,"AAAAAG/6ikE=")</f>
        <v>#REF!</v>
      </c>
      <c r="BO256" t="e">
        <f>AND(#REF!,"AAAAAG/6ikI=")</f>
        <v>#REF!</v>
      </c>
      <c r="BP256" t="e">
        <f>IF(#REF!,"AAAAAG/6ikM=",0)</f>
        <v>#REF!</v>
      </c>
      <c r="BQ256" t="e">
        <f>AND(#REF!,"AAAAAG/6ikQ=")</f>
        <v>#REF!</v>
      </c>
      <c r="BR256" t="e">
        <f>AND(#REF!,"AAAAAG/6ikU=")</f>
        <v>#REF!</v>
      </c>
      <c r="BS256" t="e">
        <f>AND(#REF!,"AAAAAG/6ikY=")</f>
        <v>#REF!</v>
      </c>
      <c r="BT256" t="e">
        <f>AND(#REF!,"AAAAAG/6ikc=")</f>
        <v>#REF!</v>
      </c>
      <c r="BU256" t="e">
        <f>AND(#REF!,"AAAAAG/6ikg=")</f>
        <v>#REF!</v>
      </c>
      <c r="BV256" t="e">
        <f>AND(#REF!,"AAAAAG/6ikk=")</f>
        <v>#REF!</v>
      </c>
      <c r="BW256" t="e">
        <f>AND(#REF!,"AAAAAG/6iko=")</f>
        <v>#REF!</v>
      </c>
      <c r="BX256" t="e">
        <f>AND(#REF!,"AAAAAG/6iks=")</f>
        <v>#REF!</v>
      </c>
      <c r="BY256" t="e">
        <f>AND(#REF!,"AAAAAG/6ikw=")</f>
        <v>#REF!</v>
      </c>
      <c r="BZ256" t="e">
        <f>AND(#REF!,"AAAAAG/6ik0=")</f>
        <v>#REF!</v>
      </c>
      <c r="CA256" t="e">
        <f>IF(#REF!,"AAAAAG/6ik4=",0)</f>
        <v>#REF!</v>
      </c>
      <c r="CB256" t="e">
        <f>AND(#REF!,"AAAAAG/6ik8=")</f>
        <v>#REF!</v>
      </c>
      <c r="CC256" t="e">
        <f>AND(#REF!,"AAAAAG/6ilA=")</f>
        <v>#REF!</v>
      </c>
      <c r="CD256" t="e">
        <f>AND(#REF!,"AAAAAG/6ilE=")</f>
        <v>#REF!</v>
      </c>
      <c r="CE256" t="e">
        <f>AND(#REF!,"AAAAAG/6ilI=")</f>
        <v>#REF!</v>
      </c>
      <c r="CF256" t="e">
        <f>AND(#REF!,"AAAAAG/6ilM=")</f>
        <v>#REF!</v>
      </c>
      <c r="CG256" t="e">
        <f>AND(#REF!,"AAAAAG/6ilQ=")</f>
        <v>#REF!</v>
      </c>
      <c r="CH256" t="e">
        <f>AND(#REF!,"AAAAAG/6ilU=")</f>
        <v>#REF!</v>
      </c>
      <c r="CI256" t="e">
        <f>AND(#REF!,"AAAAAG/6ilY=")</f>
        <v>#REF!</v>
      </c>
      <c r="CJ256" t="e">
        <f>AND(#REF!,"AAAAAG/6ilc=")</f>
        <v>#REF!</v>
      </c>
      <c r="CK256" t="e">
        <f>AND(#REF!,"AAAAAG/6ilg=")</f>
        <v>#REF!</v>
      </c>
      <c r="CL256" t="e">
        <f>IF(#REF!,"AAAAAG/6ilk=",0)</f>
        <v>#REF!</v>
      </c>
      <c r="CM256" t="e">
        <f>AND(#REF!,"AAAAAG/6ilo=")</f>
        <v>#REF!</v>
      </c>
      <c r="CN256" t="e">
        <f>AND(#REF!,"AAAAAG/6ils=")</f>
        <v>#REF!</v>
      </c>
      <c r="CO256" t="e">
        <f>AND(#REF!,"AAAAAG/6ilw=")</f>
        <v>#REF!</v>
      </c>
      <c r="CP256" t="e">
        <f>AND(#REF!,"AAAAAG/6il0=")</f>
        <v>#REF!</v>
      </c>
      <c r="CQ256" t="e">
        <f>AND(#REF!,"AAAAAG/6il4=")</f>
        <v>#REF!</v>
      </c>
      <c r="CR256" t="e">
        <f>AND(#REF!,"AAAAAG/6il8=")</f>
        <v>#REF!</v>
      </c>
      <c r="CS256" t="e">
        <f>AND(#REF!,"AAAAAG/6imA=")</f>
        <v>#REF!</v>
      </c>
      <c r="CT256" t="e">
        <f>AND(#REF!,"AAAAAG/6imE=")</f>
        <v>#REF!</v>
      </c>
      <c r="CU256" t="e">
        <f>AND(#REF!,"AAAAAG/6imI=")</f>
        <v>#REF!</v>
      </c>
      <c r="CV256" t="e">
        <f>AND(#REF!,"AAAAAG/6imM=")</f>
        <v>#REF!</v>
      </c>
      <c r="CW256" t="e">
        <f>IF(#REF!,"AAAAAG/6imQ=",0)</f>
        <v>#REF!</v>
      </c>
      <c r="CX256" t="e">
        <f>AND(#REF!,"AAAAAG/6imU=")</f>
        <v>#REF!</v>
      </c>
      <c r="CY256" t="e">
        <f>AND(#REF!,"AAAAAG/6imY=")</f>
        <v>#REF!</v>
      </c>
      <c r="CZ256" t="e">
        <f>AND(#REF!,"AAAAAG/6imc=")</f>
        <v>#REF!</v>
      </c>
      <c r="DA256" t="e">
        <f>AND(#REF!,"AAAAAG/6img=")</f>
        <v>#REF!</v>
      </c>
      <c r="DB256" t="e">
        <f>AND(#REF!,"AAAAAG/6imk=")</f>
        <v>#REF!</v>
      </c>
      <c r="DC256" t="e">
        <f>AND(#REF!,"AAAAAG/6imo=")</f>
        <v>#REF!</v>
      </c>
      <c r="DD256" t="e">
        <f>AND(#REF!,"AAAAAG/6ims=")</f>
        <v>#REF!</v>
      </c>
      <c r="DE256" t="e">
        <f>AND(#REF!,"AAAAAG/6imw=")</f>
        <v>#REF!</v>
      </c>
      <c r="DF256" t="e">
        <f>AND(#REF!,"AAAAAG/6im0=")</f>
        <v>#REF!</v>
      </c>
      <c r="DG256" t="e">
        <f>AND(#REF!,"AAAAAG/6im4=")</f>
        <v>#REF!</v>
      </c>
      <c r="DH256" t="e">
        <f>IF(#REF!,"AAAAAG/6im8=",0)</f>
        <v>#REF!</v>
      </c>
      <c r="DI256" t="e">
        <f>AND(#REF!,"AAAAAG/6inA=")</f>
        <v>#REF!</v>
      </c>
      <c r="DJ256" t="e">
        <f>AND(#REF!,"AAAAAG/6inE=")</f>
        <v>#REF!</v>
      </c>
      <c r="DK256" t="e">
        <f>AND(#REF!,"AAAAAG/6inI=")</f>
        <v>#REF!</v>
      </c>
      <c r="DL256" t="e">
        <f>AND(#REF!,"AAAAAG/6inM=")</f>
        <v>#REF!</v>
      </c>
      <c r="DM256" t="e">
        <f>AND(#REF!,"AAAAAG/6inQ=")</f>
        <v>#REF!</v>
      </c>
      <c r="DN256" t="e">
        <f>AND(#REF!,"AAAAAG/6inU=")</f>
        <v>#REF!</v>
      </c>
      <c r="DO256" t="e">
        <f>AND(#REF!,"AAAAAG/6inY=")</f>
        <v>#REF!</v>
      </c>
      <c r="DP256" t="e">
        <f>AND(#REF!,"AAAAAG/6inc=")</f>
        <v>#REF!</v>
      </c>
      <c r="DQ256" t="e">
        <f>AND(#REF!,"AAAAAG/6ing=")</f>
        <v>#REF!</v>
      </c>
      <c r="DR256" t="e">
        <f>AND(#REF!,"AAAAAG/6ink=")</f>
        <v>#REF!</v>
      </c>
      <c r="DS256" t="e">
        <f>IF(#REF!,"AAAAAG/6ino=",0)</f>
        <v>#REF!</v>
      </c>
      <c r="DT256" t="e">
        <f>AND(#REF!,"AAAAAG/6ins=")</f>
        <v>#REF!</v>
      </c>
      <c r="DU256" t="e">
        <f>AND(#REF!,"AAAAAG/6inw=")</f>
        <v>#REF!</v>
      </c>
      <c r="DV256" t="e">
        <f>AND(#REF!,"AAAAAG/6in0=")</f>
        <v>#REF!</v>
      </c>
      <c r="DW256" t="e">
        <f>AND(#REF!,"AAAAAG/6in4=")</f>
        <v>#REF!</v>
      </c>
      <c r="DX256" t="e">
        <f>AND(#REF!,"AAAAAG/6in8=")</f>
        <v>#REF!</v>
      </c>
      <c r="DY256" t="e">
        <f>AND(#REF!,"AAAAAG/6ioA=")</f>
        <v>#REF!</v>
      </c>
      <c r="DZ256" t="e">
        <f>AND(#REF!,"AAAAAG/6ioE=")</f>
        <v>#REF!</v>
      </c>
      <c r="EA256" t="e">
        <f>AND(#REF!,"AAAAAG/6ioI=")</f>
        <v>#REF!</v>
      </c>
      <c r="EB256" t="e">
        <f>AND(#REF!,"AAAAAG/6ioM=")</f>
        <v>#REF!</v>
      </c>
      <c r="EC256" t="e">
        <f>AND(#REF!,"AAAAAG/6ioQ=")</f>
        <v>#REF!</v>
      </c>
      <c r="ED256" t="e">
        <f>IF(#REF!,"AAAAAG/6ioU=",0)</f>
        <v>#REF!</v>
      </c>
      <c r="EE256" t="e">
        <f>AND(#REF!,"AAAAAG/6ioY=")</f>
        <v>#REF!</v>
      </c>
      <c r="EF256" t="e">
        <f>AND(#REF!,"AAAAAG/6ioc=")</f>
        <v>#REF!</v>
      </c>
      <c r="EG256" t="e">
        <f>AND(#REF!,"AAAAAG/6iog=")</f>
        <v>#REF!</v>
      </c>
      <c r="EH256" t="e">
        <f>AND(#REF!,"AAAAAG/6iok=")</f>
        <v>#REF!</v>
      </c>
      <c r="EI256" t="e">
        <f>AND(#REF!,"AAAAAG/6ioo=")</f>
        <v>#REF!</v>
      </c>
      <c r="EJ256" t="e">
        <f>AND(#REF!,"AAAAAG/6ios=")</f>
        <v>#REF!</v>
      </c>
      <c r="EK256" t="e">
        <f>AND(#REF!,"AAAAAG/6iow=")</f>
        <v>#REF!</v>
      </c>
      <c r="EL256" t="e">
        <f>AND(#REF!,"AAAAAG/6io0=")</f>
        <v>#REF!</v>
      </c>
      <c r="EM256" t="e">
        <f>AND(#REF!,"AAAAAG/6io4=")</f>
        <v>#REF!</v>
      </c>
      <c r="EN256" t="e">
        <f>AND(#REF!,"AAAAAG/6io8=")</f>
        <v>#REF!</v>
      </c>
      <c r="EO256" t="e">
        <f>IF(#REF!,"AAAAAG/6ipA=",0)</f>
        <v>#REF!</v>
      </c>
      <c r="EP256" t="e">
        <f>AND(#REF!,"AAAAAG/6ipE=")</f>
        <v>#REF!</v>
      </c>
      <c r="EQ256" t="e">
        <f>AND(#REF!,"AAAAAG/6ipI=")</f>
        <v>#REF!</v>
      </c>
      <c r="ER256" t="e">
        <f>AND(#REF!,"AAAAAG/6ipM=")</f>
        <v>#REF!</v>
      </c>
      <c r="ES256" t="e">
        <f>AND(#REF!,"AAAAAG/6ipQ=")</f>
        <v>#REF!</v>
      </c>
      <c r="ET256" t="e">
        <f>AND(#REF!,"AAAAAG/6ipU=")</f>
        <v>#REF!</v>
      </c>
      <c r="EU256" t="e">
        <f>AND(#REF!,"AAAAAG/6ipY=")</f>
        <v>#REF!</v>
      </c>
      <c r="EV256" t="e">
        <f>AND(#REF!,"AAAAAG/6ipc=")</f>
        <v>#REF!</v>
      </c>
      <c r="EW256" t="e">
        <f>AND(#REF!,"AAAAAG/6ipg=")</f>
        <v>#REF!</v>
      </c>
      <c r="EX256" t="e">
        <f>AND(#REF!,"AAAAAG/6ipk=")</f>
        <v>#REF!</v>
      </c>
      <c r="EY256" t="e">
        <f>AND(#REF!,"AAAAAG/6ipo=")</f>
        <v>#REF!</v>
      </c>
      <c r="EZ256" t="e">
        <f>IF(#REF!,"AAAAAG/6ips=",0)</f>
        <v>#REF!</v>
      </c>
      <c r="FA256" t="e">
        <f>AND(#REF!,"AAAAAG/6ipw=")</f>
        <v>#REF!</v>
      </c>
      <c r="FB256" t="e">
        <f>AND(#REF!,"AAAAAG/6ip0=")</f>
        <v>#REF!</v>
      </c>
      <c r="FC256" t="e">
        <f>AND(#REF!,"AAAAAG/6ip4=")</f>
        <v>#REF!</v>
      </c>
      <c r="FD256" t="e">
        <f>AND(#REF!,"AAAAAG/6ip8=")</f>
        <v>#REF!</v>
      </c>
      <c r="FE256" t="e">
        <f>AND(#REF!,"AAAAAG/6iqA=")</f>
        <v>#REF!</v>
      </c>
      <c r="FF256" t="e">
        <f>AND(#REF!,"AAAAAG/6iqE=")</f>
        <v>#REF!</v>
      </c>
      <c r="FG256" t="e">
        <f>AND(#REF!,"AAAAAG/6iqI=")</f>
        <v>#REF!</v>
      </c>
      <c r="FH256" t="e">
        <f>AND(#REF!,"AAAAAG/6iqM=")</f>
        <v>#REF!</v>
      </c>
      <c r="FI256" t="e">
        <f>AND(#REF!,"AAAAAG/6iqQ=")</f>
        <v>#REF!</v>
      </c>
      <c r="FJ256" t="e">
        <f>AND(#REF!,"AAAAAG/6iqU=")</f>
        <v>#REF!</v>
      </c>
      <c r="FK256" t="e">
        <f>IF(#REF!,"AAAAAG/6iqY=",0)</f>
        <v>#REF!</v>
      </c>
      <c r="FL256" t="e">
        <f>AND(#REF!,"AAAAAG/6iqc=")</f>
        <v>#REF!</v>
      </c>
      <c r="FM256" t="e">
        <f>AND(#REF!,"AAAAAG/6iqg=")</f>
        <v>#REF!</v>
      </c>
      <c r="FN256" t="e">
        <f>AND(#REF!,"AAAAAG/6iqk=")</f>
        <v>#REF!</v>
      </c>
      <c r="FO256" t="e">
        <f>AND(#REF!,"AAAAAG/6iqo=")</f>
        <v>#REF!</v>
      </c>
      <c r="FP256" t="e">
        <f>AND(#REF!,"AAAAAG/6iqs=")</f>
        <v>#REF!</v>
      </c>
      <c r="FQ256" t="e">
        <f>AND(#REF!,"AAAAAG/6iqw=")</f>
        <v>#REF!</v>
      </c>
      <c r="FR256" t="e">
        <f>AND(#REF!,"AAAAAG/6iq0=")</f>
        <v>#REF!</v>
      </c>
      <c r="FS256" t="e">
        <f>AND(#REF!,"AAAAAG/6iq4=")</f>
        <v>#REF!</v>
      </c>
      <c r="FT256" t="e">
        <f>AND(#REF!,"AAAAAG/6iq8=")</f>
        <v>#REF!</v>
      </c>
      <c r="FU256" t="e">
        <f>AND(#REF!,"AAAAAG/6irA=")</f>
        <v>#REF!</v>
      </c>
      <c r="FV256" t="e">
        <f>IF(#REF!,"AAAAAG/6irE=",0)</f>
        <v>#REF!</v>
      </c>
      <c r="FW256" t="e">
        <f>AND(#REF!,"AAAAAG/6irI=")</f>
        <v>#REF!</v>
      </c>
      <c r="FX256" t="e">
        <f>AND(#REF!,"AAAAAG/6irM=")</f>
        <v>#REF!</v>
      </c>
      <c r="FY256" t="e">
        <f>AND(#REF!,"AAAAAG/6irQ=")</f>
        <v>#REF!</v>
      </c>
      <c r="FZ256" t="e">
        <f>AND(#REF!,"AAAAAG/6irU=")</f>
        <v>#REF!</v>
      </c>
      <c r="GA256" t="e">
        <f>AND(#REF!,"AAAAAG/6irY=")</f>
        <v>#REF!</v>
      </c>
      <c r="GB256" t="e">
        <f>AND(#REF!,"AAAAAG/6irc=")</f>
        <v>#REF!</v>
      </c>
      <c r="GC256" t="e">
        <f>AND(#REF!,"AAAAAG/6irg=")</f>
        <v>#REF!</v>
      </c>
      <c r="GD256" t="e">
        <f>AND(#REF!,"AAAAAG/6irk=")</f>
        <v>#REF!</v>
      </c>
      <c r="GE256" t="e">
        <f>AND(#REF!,"AAAAAG/6iro=")</f>
        <v>#REF!</v>
      </c>
      <c r="GF256" t="e">
        <f>AND(#REF!,"AAAAAG/6irs=")</f>
        <v>#REF!</v>
      </c>
      <c r="GG256" t="e">
        <f>IF(#REF!,"AAAAAG/6irw=",0)</f>
        <v>#REF!</v>
      </c>
      <c r="GH256" t="e">
        <f>AND(#REF!,"AAAAAG/6ir0=")</f>
        <v>#REF!</v>
      </c>
      <c r="GI256" t="e">
        <f>AND(#REF!,"AAAAAG/6ir4=")</f>
        <v>#REF!</v>
      </c>
      <c r="GJ256" t="e">
        <f>AND(#REF!,"AAAAAG/6ir8=")</f>
        <v>#REF!</v>
      </c>
      <c r="GK256" t="e">
        <f>AND(#REF!,"AAAAAG/6isA=")</f>
        <v>#REF!</v>
      </c>
      <c r="GL256" t="e">
        <f>AND(#REF!,"AAAAAG/6isE=")</f>
        <v>#REF!</v>
      </c>
      <c r="GM256" t="e">
        <f>AND(#REF!,"AAAAAG/6isI=")</f>
        <v>#REF!</v>
      </c>
      <c r="GN256" t="e">
        <f>AND(#REF!,"AAAAAG/6isM=")</f>
        <v>#REF!</v>
      </c>
      <c r="GO256" t="e">
        <f>AND(#REF!,"AAAAAG/6isQ=")</f>
        <v>#REF!</v>
      </c>
      <c r="GP256" t="e">
        <f>AND(#REF!,"AAAAAG/6isU=")</f>
        <v>#REF!</v>
      </c>
      <c r="GQ256" t="e">
        <f>AND(#REF!,"AAAAAG/6isY=")</f>
        <v>#REF!</v>
      </c>
      <c r="GR256" t="e">
        <f>IF(#REF!,"AAAAAG/6isc=",0)</f>
        <v>#REF!</v>
      </c>
      <c r="GS256" t="e">
        <f>AND(#REF!,"AAAAAG/6isg=")</f>
        <v>#REF!</v>
      </c>
      <c r="GT256" t="e">
        <f>AND(#REF!,"AAAAAG/6isk=")</f>
        <v>#REF!</v>
      </c>
      <c r="GU256" t="e">
        <f>AND(#REF!,"AAAAAG/6iso=")</f>
        <v>#REF!</v>
      </c>
      <c r="GV256" t="e">
        <f>AND(#REF!,"AAAAAG/6iss=")</f>
        <v>#REF!</v>
      </c>
      <c r="GW256" t="e">
        <f>AND(#REF!,"AAAAAG/6isw=")</f>
        <v>#REF!</v>
      </c>
      <c r="GX256" t="e">
        <f>AND(#REF!,"AAAAAG/6is0=")</f>
        <v>#REF!</v>
      </c>
      <c r="GY256" t="e">
        <f>AND(#REF!,"AAAAAG/6is4=")</f>
        <v>#REF!</v>
      </c>
      <c r="GZ256" t="e">
        <f>AND(#REF!,"AAAAAG/6is8=")</f>
        <v>#REF!</v>
      </c>
      <c r="HA256" t="e">
        <f>AND(#REF!,"AAAAAG/6itA=")</f>
        <v>#REF!</v>
      </c>
      <c r="HB256" t="e">
        <f>AND(#REF!,"AAAAAG/6itE=")</f>
        <v>#REF!</v>
      </c>
      <c r="HC256" t="e">
        <f>IF(#REF!,"AAAAAG/6itI=",0)</f>
        <v>#REF!</v>
      </c>
      <c r="HD256" t="e">
        <f>AND(#REF!,"AAAAAG/6itM=")</f>
        <v>#REF!</v>
      </c>
      <c r="HE256" t="e">
        <f>AND(#REF!,"AAAAAG/6itQ=")</f>
        <v>#REF!</v>
      </c>
      <c r="HF256" t="e">
        <f>AND(#REF!,"AAAAAG/6itU=")</f>
        <v>#REF!</v>
      </c>
      <c r="HG256" t="e">
        <f>AND(#REF!,"AAAAAG/6itY=")</f>
        <v>#REF!</v>
      </c>
      <c r="HH256" t="e">
        <f>AND(#REF!,"AAAAAG/6itc=")</f>
        <v>#REF!</v>
      </c>
      <c r="HI256" t="e">
        <f>AND(#REF!,"AAAAAG/6itg=")</f>
        <v>#REF!</v>
      </c>
      <c r="HJ256" t="e">
        <f>AND(#REF!,"AAAAAG/6itk=")</f>
        <v>#REF!</v>
      </c>
      <c r="HK256" t="e">
        <f>AND(#REF!,"AAAAAG/6ito=")</f>
        <v>#REF!</v>
      </c>
      <c r="HL256" t="e">
        <f>AND(#REF!,"AAAAAG/6its=")</f>
        <v>#REF!</v>
      </c>
      <c r="HM256" t="e">
        <f>AND(#REF!,"AAAAAG/6itw=")</f>
        <v>#REF!</v>
      </c>
      <c r="HN256" t="e">
        <f>IF(#REF!,"AAAAAG/6it0=",0)</f>
        <v>#REF!</v>
      </c>
      <c r="HO256" t="e">
        <f>AND(#REF!,"AAAAAG/6it4=")</f>
        <v>#REF!</v>
      </c>
      <c r="HP256" t="e">
        <f>AND(#REF!,"AAAAAG/6it8=")</f>
        <v>#REF!</v>
      </c>
      <c r="HQ256" t="e">
        <f>AND(#REF!,"AAAAAG/6iuA=")</f>
        <v>#REF!</v>
      </c>
      <c r="HR256" t="e">
        <f>AND(#REF!,"AAAAAG/6iuE=")</f>
        <v>#REF!</v>
      </c>
      <c r="HS256" t="e">
        <f>AND(#REF!,"AAAAAG/6iuI=")</f>
        <v>#REF!</v>
      </c>
      <c r="HT256" t="e">
        <f>AND(#REF!,"AAAAAG/6iuM=")</f>
        <v>#REF!</v>
      </c>
      <c r="HU256" t="e">
        <f>AND(#REF!,"AAAAAG/6iuQ=")</f>
        <v>#REF!</v>
      </c>
      <c r="HV256" t="e">
        <f>AND(#REF!,"AAAAAG/6iuU=")</f>
        <v>#REF!</v>
      </c>
      <c r="HW256" t="e">
        <f>AND(#REF!,"AAAAAG/6iuY=")</f>
        <v>#REF!</v>
      </c>
      <c r="HX256" t="e">
        <f>AND(#REF!,"AAAAAG/6iuc=")</f>
        <v>#REF!</v>
      </c>
      <c r="HY256" t="e">
        <f>IF(#REF!,"AAAAAG/6iug=",0)</f>
        <v>#REF!</v>
      </c>
      <c r="HZ256" t="e">
        <f>AND(#REF!,"AAAAAG/6iuk=")</f>
        <v>#REF!</v>
      </c>
      <c r="IA256" t="e">
        <f>AND(#REF!,"AAAAAG/6iuo=")</f>
        <v>#REF!</v>
      </c>
      <c r="IB256" t="e">
        <f>AND(#REF!,"AAAAAG/6ius=")</f>
        <v>#REF!</v>
      </c>
      <c r="IC256" t="e">
        <f>AND(#REF!,"AAAAAG/6iuw=")</f>
        <v>#REF!</v>
      </c>
      <c r="ID256" t="e">
        <f>AND(#REF!,"AAAAAG/6iu0=")</f>
        <v>#REF!</v>
      </c>
      <c r="IE256" t="e">
        <f>AND(#REF!,"AAAAAG/6iu4=")</f>
        <v>#REF!</v>
      </c>
      <c r="IF256" t="e">
        <f>AND(#REF!,"AAAAAG/6iu8=")</f>
        <v>#REF!</v>
      </c>
      <c r="IG256" t="e">
        <f>AND(#REF!,"AAAAAG/6ivA=")</f>
        <v>#REF!</v>
      </c>
      <c r="IH256" t="e">
        <f>AND(#REF!,"AAAAAG/6ivE=")</f>
        <v>#REF!</v>
      </c>
      <c r="II256" t="e">
        <f>AND(#REF!,"AAAAAG/6ivI=")</f>
        <v>#REF!</v>
      </c>
      <c r="IJ256" t="e">
        <f>IF(#REF!,"AAAAAG/6ivM=",0)</f>
        <v>#REF!</v>
      </c>
      <c r="IK256" t="e">
        <f>AND(#REF!,"AAAAAG/6ivQ=")</f>
        <v>#REF!</v>
      </c>
      <c r="IL256" t="e">
        <f>AND(#REF!,"AAAAAG/6ivU=")</f>
        <v>#REF!</v>
      </c>
      <c r="IM256" t="e">
        <f>AND(#REF!,"AAAAAG/6ivY=")</f>
        <v>#REF!</v>
      </c>
      <c r="IN256" t="e">
        <f>AND(#REF!,"AAAAAG/6ivc=")</f>
        <v>#REF!</v>
      </c>
      <c r="IO256" t="e">
        <f>AND(#REF!,"AAAAAG/6ivg=")</f>
        <v>#REF!</v>
      </c>
      <c r="IP256" t="e">
        <f>AND(#REF!,"AAAAAG/6ivk=")</f>
        <v>#REF!</v>
      </c>
      <c r="IQ256" t="e">
        <f>AND(#REF!,"AAAAAG/6ivo=")</f>
        <v>#REF!</v>
      </c>
      <c r="IR256" t="e">
        <f>AND(#REF!,"AAAAAG/6ivs=")</f>
        <v>#REF!</v>
      </c>
      <c r="IS256" t="e">
        <f>AND(#REF!,"AAAAAG/6ivw=")</f>
        <v>#REF!</v>
      </c>
      <c r="IT256" t="e">
        <f>AND(#REF!,"AAAAAG/6iv0=")</f>
        <v>#REF!</v>
      </c>
      <c r="IU256" t="e">
        <f>IF(#REF!,"AAAAAG/6iv4=",0)</f>
        <v>#REF!</v>
      </c>
      <c r="IV256" t="e">
        <f>AND(#REF!,"AAAAAG/6iv8=")</f>
        <v>#REF!</v>
      </c>
    </row>
    <row r="257" spans="1:256" x14ac:dyDescent="0.25">
      <c r="A257" t="e">
        <f>AND(#REF!,"AAAAAB/tvQA=")</f>
        <v>#REF!</v>
      </c>
      <c r="B257" t="e">
        <f>AND(#REF!,"AAAAAB/tvQE=")</f>
        <v>#REF!</v>
      </c>
      <c r="C257" t="e">
        <f>AND(#REF!,"AAAAAB/tvQI=")</f>
        <v>#REF!</v>
      </c>
      <c r="D257" t="e">
        <f>AND(#REF!,"AAAAAB/tvQM=")</f>
        <v>#REF!</v>
      </c>
      <c r="E257" t="e">
        <f>AND(#REF!,"AAAAAB/tvQQ=")</f>
        <v>#REF!</v>
      </c>
      <c r="F257" t="e">
        <f>AND(#REF!,"AAAAAB/tvQU=")</f>
        <v>#REF!</v>
      </c>
      <c r="G257" t="e">
        <f>AND(#REF!,"AAAAAB/tvQY=")</f>
        <v>#REF!</v>
      </c>
      <c r="H257" t="e">
        <f>AND(#REF!,"AAAAAB/tvQc=")</f>
        <v>#REF!</v>
      </c>
      <c r="I257" t="e">
        <f>AND(#REF!,"AAAAAB/tvQg=")</f>
        <v>#REF!</v>
      </c>
      <c r="J257" t="e">
        <f>IF(#REF!,"AAAAAB/tvQk=",0)</f>
        <v>#REF!</v>
      </c>
      <c r="K257" t="e">
        <f>AND(#REF!,"AAAAAB/tvQo=")</f>
        <v>#REF!</v>
      </c>
      <c r="L257" t="e">
        <f>AND(#REF!,"AAAAAB/tvQs=")</f>
        <v>#REF!</v>
      </c>
      <c r="M257" t="e">
        <f>AND(#REF!,"AAAAAB/tvQw=")</f>
        <v>#REF!</v>
      </c>
      <c r="N257" t="e">
        <f>AND(#REF!,"AAAAAB/tvQ0=")</f>
        <v>#REF!</v>
      </c>
      <c r="O257" t="e">
        <f>AND(#REF!,"AAAAAB/tvQ4=")</f>
        <v>#REF!</v>
      </c>
      <c r="P257" t="e">
        <f>AND(#REF!,"AAAAAB/tvQ8=")</f>
        <v>#REF!</v>
      </c>
      <c r="Q257" t="e">
        <f>AND(#REF!,"AAAAAB/tvRA=")</f>
        <v>#REF!</v>
      </c>
      <c r="R257" t="e">
        <f>AND(#REF!,"AAAAAB/tvRE=")</f>
        <v>#REF!</v>
      </c>
      <c r="S257" t="e">
        <f>AND(#REF!,"AAAAAB/tvRI=")</f>
        <v>#REF!</v>
      </c>
      <c r="T257" t="e">
        <f>AND(#REF!,"AAAAAB/tvRM=")</f>
        <v>#REF!</v>
      </c>
      <c r="U257" t="e">
        <f>IF(#REF!,"AAAAAB/tvRQ=",0)</f>
        <v>#REF!</v>
      </c>
      <c r="V257" t="e">
        <f>AND(#REF!,"AAAAAB/tvRU=")</f>
        <v>#REF!</v>
      </c>
      <c r="W257" t="e">
        <f>AND(#REF!,"AAAAAB/tvRY=")</f>
        <v>#REF!</v>
      </c>
      <c r="X257" t="e">
        <f>AND(#REF!,"AAAAAB/tvRc=")</f>
        <v>#REF!</v>
      </c>
      <c r="Y257" t="e">
        <f>AND(#REF!,"AAAAAB/tvRg=")</f>
        <v>#REF!</v>
      </c>
      <c r="Z257" t="e">
        <f>AND(#REF!,"AAAAAB/tvRk=")</f>
        <v>#REF!</v>
      </c>
      <c r="AA257" t="e">
        <f>AND(#REF!,"AAAAAB/tvRo=")</f>
        <v>#REF!</v>
      </c>
      <c r="AB257" t="e">
        <f>AND(#REF!,"AAAAAB/tvRs=")</f>
        <v>#REF!</v>
      </c>
      <c r="AC257" t="e">
        <f>AND(#REF!,"AAAAAB/tvRw=")</f>
        <v>#REF!</v>
      </c>
      <c r="AD257" t="e">
        <f>AND(#REF!,"AAAAAB/tvR0=")</f>
        <v>#REF!</v>
      </c>
      <c r="AE257" t="e">
        <f>AND(#REF!,"AAAAAB/tvR4=")</f>
        <v>#REF!</v>
      </c>
      <c r="AF257" t="e">
        <f>IF(#REF!,"AAAAAB/tvR8=",0)</f>
        <v>#REF!</v>
      </c>
      <c r="AG257" t="e">
        <f>AND(#REF!,"AAAAAB/tvSA=")</f>
        <v>#REF!</v>
      </c>
      <c r="AH257" t="e">
        <f>AND(#REF!,"AAAAAB/tvSE=")</f>
        <v>#REF!</v>
      </c>
      <c r="AI257" t="e">
        <f>AND(#REF!,"AAAAAB/tvSI=")</f>
        <v>#REF!</v>
      </c>
      <c r="AJ257" t="e">
        <f>AND(#REF!,"AAAAAB/tvSM=")</f>
        <v>#REF!</v>
      </c>
      <c r="AK257" t="e">
        <f>AND(#REF!,"AAAAAB/tvSQ=")</f>
        <v>#REF!</v>
      </c>
      <c r="AL257" t="e">
        <f>AND(#REF!,"AAAAAB/tvSU=")</f>
        <v>#REF!</v>
      </c>
      <c r="AM257" t="e">
        <f>AND(#REF!,"AAAAAB/tvSY=")</f>
        <v>#REF!</v>
      </c>
      <c r="AN257" t="e">
        <f>AND(#REF!,"AAAAAB/tvSc=")</f>
        <v>#REF!</v>
      </c>
      <c r="AO257" t="e">
        <f>AND(#REF!,"AAAAAB/tvSg=")</f>
        <v>#REF!</v>
      </c>
      <c r="AP257" t="e">
        <f>AND(#REF!,"AAAAAB/tvSk=")</f>
        <v>#REF!</v>
      </c>
      <c r="AQ257" t="e">
        <f>IF(#REF!,"AAAAAB/tvSo=",0)</f>
        <v>#REF!</v>
      </c>
      <c r="AR257" t="e">
        <f>AND(#REF!,"AAAAAB/tvSs=")</f>
        <v>#REF!</v>
      </c>
      <c r="AS257" t="e">
        <f>AND(#REF!,"AAAAAB/tvSw=")</f>
        <v>#REF!</v>
      </c>
      <c r="AT257" t="e">
        <f>AND(#REF!,"AAAAAB/tvS0=")</f>
        <v>#REF!</v>
      </c>
      <c r="AU257" t="e">
        <f>AND(#REF!,"AAAAAB/tvS4=")</f>
        <v>#REF!</v>
      </c>
      <c r="AV257" t="e">
        <f>AND(#REF!,"AAAAAB/tvS8=")</f>
        <v>#REF!</v>
      </c>
      <c r="AW257" t="e">
        <f>AND(#REF!,"AAAAAB/tvTA=")</f>
        <v>#REF!</v>
      </c>
      <c r="AX257" t="e">
        <f>AND(#REF!,"AAAAAB/tvTE=")</f>
        <v>#REF!</v>
      </c>
      <c r="AY257" t="e">
        <f>AND(#REF!,"AAAAAB/tvTI=")</f>
        <v>#REF!</v>
      </c>
      <c r="AZ257" t="e">
        <f>AND(#REF!,"AAAAAB/tvTM=")</f>
        <v>#REF!</v>
      </c>
      <c r="BA257" t="e">
        <f>AND(#REF!,"AAAAAB/tvTQ=")</f>
        <v>#REF!</v>
      </c>
      <c r="BB257" t="e">
        <f>IF(#REF!,"AAAAAB/tvTU=",0)</f>
        <v>#REF!</v>
      </c>
      <c r="BC257" t="e">
        <f>AND(#REF!,"AAAAAB/tvTY=")</f>
        <v>#REF!</v>
      </c>
      <c r="BD257" t="e">
        <f>AND(#REF!,"AAAAAB/tvTc=")</f>
        <v>#REF!</v>
      </c>
      <c r="BE257" t="e">
        <f>AND(#REF!,"AAAAAB/tvTg=")</f>
        <v>#REF!</v>
      </c>
      <c r="BF257" t="e">
        <f>AND(#REF!,"AAAAAB/tvTk=")</f>
        <v>#REF!</v>
      </c>
      <c r="BG257" t="e">
        <f>AND(#REF!,"AAAAAB/tvTo=")</f>
        <v>#REF!</v>
      </c>
      <c r="BH257" t="e">
        <f>AND(#REF!,"AAAAAB/tvTs=")</f>
        <v>#REF!</v>
      </c>
      <c r="BI257" t="e">
        <f>AND(#REF!,"AAAAAB/tvTw=")</f>
        <v>#REF!</v>
      </c>
      <c r="BJ257" t="e">
        <f>AND(#REF!,"AAAAAB/tvT0=")</f>
        <v>#REF!</v>
      </c>
      <c r="BK257" t="e">
        <f>AND(#REF!,"AAAAAB/tvT4=")</f>
        <v>#REF!</v>
      </c>
      <c r="BL257" t="e">
        <f>AND(#REF!,"AAAAAB/tvT8=")</f>
        <v>#REF!</v>
      </c>
      <c r="BM257" t="e">
        <f>IF(#REF!,"AAAAAB/tvUA=",0)</f>
        <v>#REF!</v>
      </c>
      <c r="BN257" t="e">
        <f>AND(#REF!,"AAAAAB/tvUE=")</f>
        <v>#REF!</v>
      </c>
      <c r="BO257" t="e">
        <f>AND(#REF!,"AAAAAB/tvUI=")</f>
        <v>#REF!</v>
      </c>
      <c r="BP257" t="e">
        <f>AND(#REF!,"AAAAAB/tvUM=")</f>
        <v>#REF!</v>
      </c>
      <c r="BQ257" t="e">
        <f>AND(#REF!,"AAAAAB/tvUQ=")</f>
        <v>#REF!</v>
      </c>
      <c r="BR257" t="e">
        <f>AND(#REF!,"AAAAAB/tvUU=")</f>
        <v>#REF!</v>
      </c>
      <c r="BS257" t="e">
        <f>AND(#REF!,"AAAAAB/tvUY=")</f>
        <v>#REF!</v>
      </c>
      <c r="BT257" t="e">
        <f>AND(#REF!,"AAAAAB/tvUc=")</f>
        <v>#REF!</v>
      </c>
      <c r="BU257" t="e">
        <f>AND(#REF!,"AAAAAB/tvUg=")</f>
        <v>#REF!</v>
      </c>
      <c r="BV257" t="e">
        <f>AND(#REF!,"AAAAAB/tvUk=")</f>
        <v>#REF!</v>
      </c>
      <c r="BW257" t="e">
        <f>AND(#REF!,"AAAAAB/tvUo=")</f>
        <v>#REF!</v>
      </c>
      <c r="BX257" t="e">
        <f>IF(#REF!,"AAAAAB/tvUs=",0)</f>
        <v>#REF!</v>
      </c>
      <c r="BY257" t="e">
        <f>AND(#REF!,"AAAAAB/tvUw=")</f>
        <v>#REF!</v>
      </c>
      <c r="BZ257" t="e">
        <f>AND(#REF!,"AAAAAB/tvU0=")</f>
        <v>#REF!</v>
      </c>
      <c r="CA257" t="e">
        <f>AND(#REF!,"AAAAAB/tvU4=")</f>
        <v>#REF!</v>
      </c>
      <c r="CB257" t="e">
        <f>AND(#REF!,"AAAAAB/tvU8=")</f>
        <v>#REF!</v>
      </c>
      <c r="CC257" t="e">
        <f>AND(#REF!,"AAAAAB/tvVA=")</f>
        <v>#REF!</v>
      </c>
      <c r="CD257" t="e">
        <f>AND(#REF!,"AAAAAB/tvVE=")</f>
        <v>#REF!</v>
      </c>
      <c r="CE257" t="e">
        <f>AND(#REF!,"AAAAAB/tvVI=")</f>
        <v>#REF!</v>
      </c>
      <c r="CF257" t="e">
        <f>AND(#REF!,"AAAAAB/tvVM=")</f>
        <v>#REF!</v>
      </c>
      <c r="CG257" t="e">
        <f>AND(#REF!,"AAAAAB/tvVQ=")</f>
        <v>#REF!</v>
      </c>
      <c r="CH257" t="e">
        <f>AND(#REF!,"AAAAAB/tvVU=")</f>
        <v>#REF!</v>
      </c>
      <c r="CI257" t="e">
        <f>IF(#REF!,"AAAAAB/tvVY=",0)</f>
        <v>#REF!</v>
      </c>
      <c r="CJ257" t="e">
        <f>AND(#REF!,"AAAAAB/tvVc=")</f>
        <v>#REF!</v>
      </c>
      <c r="CK257" t="e">
        <f>AND(#REF!,"AAAAAB/tvVg=")</f>
        <v>#REF!</v>
      </c>
      <c r="CL257" t="e">
        <f>AND(#REF!,"AAAAAB/tvVk=")</f>
        <v>#REF!</v>
      </c>
      <c r="CM257" t="e">
        <f>AND(#REF!,"AAAAAB/tvVo=")</f>
        <v>#REF!</v>
      </c>
      <c r="CN257" t="e">
        <f>AND(#REF!,"AAAAAB/tvVs=")</f>
        <v>#REF!</v>
      </c>
      <c r="CO257" t="e">
        <f>AND(#REF!,"AAAAAB/tvVw=")</f>
        <v>#REF!</v>
      </c>
      <c r="CP257" t="e">
        <f>AND(#REF!,"AAAAAB/tvV0=")</f>
        <v>#REF!</v>
      </c>
      <c r="CQ257" t="e">
        <f>AND(#REF!,"AAAAAB/tvV4=")</f>
        <v>#REF!</v>
      </c>
      <c r="CR257" t="e">
        <f>AND(#REF!,"AAAAAB/tvV8=")</f>
        <v>#REF!</v>
      </c>
      <c r="CS257" t="e">
        <f>AND(#REF!,"AAAAAB/tvWA=")</f>
        <v>#REF!</v>
      </c>
      <c r="CT257" t="e">
        <f>IF(#REF!,"AAAAAB/tvWE=",0)</f>
        <v>#REF!</v>
      </c>
      <c r="CU257" t="e">
        <f>AND(#REF!,"AAAAAB/tvWI=")</f>
        <v>#REF!</v>
      </c>
      <c r="CV257" t="e">
        <f>AND(#REF!,"AAAAAB/tvWM=")</f>
        <v>#REF!</v>
      </c>
      <c r="CW257" t="e">
        <f>AND(#REF!,"AAAAAB/tvWQ=")</f>
        <v>#REF!</v>
      </c>
      <c r="CX257" t="e">
        <f>AND(#REF!,"AAAAAB/tvWU=")</f>
        <v>#REF!</v>
      </c>
      <c r="CY257" t="e">
        <f>AND(#REF!,"AAAAAB/tvWY=")</f>
        <v>#REF!</v>
      </c>
      <c r="CZ257" t="e">
        <f>AND(#REF!,"AAAAAB/tvWc=")</f>
        <v>#REF!</v>
      </c>
      <c r="DA257" t="e">
        <f>AND(#REF!,"AAAAAB/tvWg=")</f>
        <v>#REF!</v>
      </c>
      <c r="DB257" t="e">
        <f>AND(#REF!,"AAAAAB/tvWk=")</f>
        <v>#REF!</v>
      </c>
      <c r="DC257" t="e">
        <f>AND(#REF!,"AAAAAB/tvWo=")</f>
        <v>#REF!</v>
      </c>
      <c r="DD257" t="e">
        <f>AND(#REF!,"AAAAAB/tvWs=")</f>
        <v>#REF!</v>
      </c>
      <c r="DE257" t="e">
        <f>IF(#REF!,"AAAAAB/tvWw=",0)</f>
        <v>#REF!</v>
      </c>
      <c r="DF257" t="e">
        <f>AND(#REF!,"AAAAAB/tvW0=")</f>
        <v>#REF!</v>
      </c>
      <c r="DG257" t="e">
        <f>AND(#REF!,"AAAAAB/tvW4=")</f>
        <v>#REF!</v>
      </c>
      <c r="DH257" t="e">
        <f>AND(#REF!,"AAAAAB/tvW8=")</f>
        <v>#REF!</v>
      </c>
      <c r="DI257" t="e">
        <f>AND(#REF!,"AAAAAB/tvXA=")</f>
        <v>#REF!</v>
      </c>
      <c r="DJ257" t="e">
        <f>AND(#REF!,"AAAAAB/tvXE=")</f>
        <v>#REF!</v>
      </c>
      <c r="DK257" t="e">
        <f>AND(#REF!,"AAAAAB/tvXI=")</f>
        <v>#REF!</v>
      </c>
      <c r="DL257" t="e">
        <f>AND(#REF!,"AAAAAB/tvXM=")</f>
        <v>#REF!</v>
      </c>
      <c r="DM257" t="e">
        <f>AND(#REF!,"AAAAAB/tvXQ=")</f>
        <v>#REF!</v>
      </c>
      <c r="DN257" t="e">
        <f>AND(#REF!,"AAAAAB/tvXU=")</f>
        <v>#REF!</v>
      </c>
      <c r="DO257" t="e">
        <f>AND(#REF!,"AAAAAB/tvXY=")</f>
        <v>#REF!</v>
      </c>
      <c r="DP257" t="e">
        <f>IF(#REF!,"AAAAAB/tvXc=",0)</f>
        <v>#REF!</v>
      </c>
      <c r="DQ257" t="e">
        <f>AND(#REF!,"AAAAAB/tvXg=")</f>
        <v>#REF!</v>
      </c>
      <c r="DR257" t="e">
        <f>AND(#REF!,"AAAAAB/tvXk=")</f>
        <v>#REF!</v>
      </c>
      <c r="DS257" t="e">
        <f>AND(#REF!,"AAAAAB/tvXo=")</f>
        <v>#REF!</v>
      </c>
      <c r="DT257" t="e">
        <f>AND(#REF!,"AAAAAB/tvXs=")</f>
        <v>#REF!</v>
      </c>
      <c r="DU257" t="e">
        <f>AND(#REF!,"AAAAAB/tvXw=")</f>
        <v>#REF!</v>
      </c>
      <c r="DV257" t="e">
        <f>AND(#REF!,"AAAAAB/tvX0=")</f>
        <v>#REF!</v>
      </c>
      <c r="DW257" t="e">
        <f>AND(#REF!,"AAAAAB/tvX4=")</f>
        <v>#REF!</v>
      </c>
      <c r="DX257" t="e">
        <f>AND(#REF!,"AAAAAB/tvX8=")</f>
        <v>#REF!</v>
      </c>
      <c r="DY257" t="e">
        <f>AND(#REF!,"AAAAAB/tvYA=")</f>
        <v>#REF!</v>
      </c>
      <c r="DZ257" t="e">
        <f>AND(#REF!,"AAAAAB/tvYE=")</f>
        <v>#REF!</v>
      </c>
      <c r="EA257" t="e">
        <f>IF(#REF!,"AAAAAB/tvYI=",0)</f>
        <v>#REF!</v>
      </c>
      <c r="EB257" t="e">
        <f>AND(#REF!,"AAAAAB/tvYM=")</f>
        <v>#REF!</v>
      </c>
      <c r="EC257" t="e">
        <f>AND(#REF!,"AAAAAB/tvYQ=")</f>
        <v>#REF!</v>
      </c>
      <c r="ED257" t="e">
        <f>AND(#REF!,"AAAAAB/tvYU=")</f>
        <v>#REF!</v>
      </c>
      <c r="EE257" t="e">
        <f>AND(#REF!,"AAAAAB/tvYY=")</f>
        <v>#REF!</v>
      </c>
      <c r="EF257" t="e">
        <f>AND(#REF!,"AAAAAB/tvYc=")</f>
        <v>#REF!</v>
      </c>
      <c r="EG257" t="e">
        <f>AND(#REF!,"AAAAAB/tvYg=")</f>
        <v>#REF!</v>
      </c>
      <c r="EH257" t="e">
        <f>AND(#REF!,"AAAAAB/tvYk=")</f>
        <v>#REF!</v>
      </c>
      <c r="EI257" t="e">
        <f>AND(#REF!,"AAAAAB/tvYo=")</f>
        <v>#REF!</v>
      </c>
      <c r="EJ257" t="e">
        <f>AND(#REF!,"AAAAAB/tvYs=")</f>
        <v>#REF!</v>
      </c>
      <c r="EK257" t="e">
        <f>AND(#REF!,"AAAAAB/tvYw=")</f>
        <v>#REF!</v>
      </c>
      <c r="EL257" t="e">
        <f>IF(#REF!,"AAAAAB/tvY0=",0)</f>
        <v>#REF!</v>
      </c>
      <c r="EM257" t="e">
        <f>AND(#REF!,"AAAAAB/tvY4=")</f>
        <v>#REF!</v>
      </c>
      <c r="EN257" t="e">
        <f>AND(#REF!,"AAAAAB/tvY8=")</f>
        <v>#REF!</v>
      </c>
      <c r="EO257" t="e">
        <f>AND(#REF!,"AAAAAB/tvZA=")</f>
        <v>#REF!</v>
      </c>
      <c r="EP257" t="e">
        <f>AND(#REF!,"AAAAAB/tvZE=")</f>
        <v>#REF!</v>
      </c>
      <c r="EQ257" t="e">
        <f>AND(#REF!,"AAAAAB/tvZI=")</f>
        <v>#REF!</v>
      </c>
      <c r="ER257" t="e">
        <f>AND(#REF!,"AAAAAB/tvZM=")</f>
        <v>#REF!</v>
      </c>
      <c r="ES257" t="e">
        <f>AND(#REF!,"AAAAAB/tvZQ=")</f>
        <v>#REF!</v>
      </c>
      <c r="ET257" t="e">
        <f>AND(#REF!,"AAAAAB/tvZU=")</f>
        <v>#REF!</v>
      </c>
      <c r="EU257" t="e">
        <f>AND(#REF!,"AAAAAB/tvZY=")</f>
        <v>#REF!</v>
      </c>
      <c r="EV257" t="e">
        <f>AND(#REF!,"AAAAAB/tvZc=")</f>
        <v>#REF!</v>
      </c>
      <c r="EW257" t="e">
        <f>IF(#REF!,"AAAAAB/tvZg=",0)</f>
        <v>#REF!</v>
      </c>
      <c r="EX257" t="e">
        <f>AND(#REF!,"AAAAAB/tvZk=")</f>
        <v>#REF!</v>
      </c>
      <c r="EY257" t="e">
        <f>AND(#REF!,"AAAAAB/tvZo=")</f>
        <v>#REF!</v>
      </c>
      <c r="EZ257" t="e">
        <f>AND(#REF!,"AAAAAB/tvZs=")</f>
        <v>#REF!</v>
      </c>
      <c r="FA257" t="e">
        <f>AND(#REF!,"AAAAAB/tvZw=")</f>
        <v>#REF!</v>
      </c>
      <c r="FB257" t="e">
        <f>AND(#REF!,"AAAAAB/tvZ0=")</f>
        <v>#REF!</v>
      </c>
      <c r="FC257" t="e">
        <f>AND(#REF!,"AAAAAB/tvZ4=")</f>
        <v>#REF!</v>
      </c>
      <c r="FD257" t="e">
        <f>AND(#REF!,"AAAAAB/tvZ8=")</f>
        <v>#REF!</v>
      </c>
      <c r="FE257" t="e">
        <f>AND(#REF!,"AAAAAB/tvaA=")</f>
        <v>#REF!</v>
      </c>
      <c r="FF257" t="e">
        <f>AND(#REF!,"AAAAAB/tvaE=")</f>
        <v>#REF!</v>
      </c>
      <c r="FG257" t="e">
        <f>AND(#REF!,"AAAAAB/tvaI=")</f>
        <v>#REF!</v>
      </c>
      <c r="FH257" t="e">
        <f>IF(#REF!,"AAAAAB/tvaM=",0)</f>
        <v>#REF!</v>
      </c>
      <c r="FI257" t="e">
        <f>AND(#REF!,"AAAAAB/tvaQ=")</f>
        <v>#REF!</v>
      </c>
      <c r="FJ257" t="e">
        <f>AND(#REF!,"AAAAAB/tvaU=")</f>
        <v>#REF!</v>
      </c>
      <c r="FK257" t="e">
        <f>AND(#REF!,"AAAAAB/tvaY=")</f>
        <v>#REF!</v>
      </c>
      <c r="FL257" t="e">
        <f>AND(#REF!,"AAAAAB/tvac=")</f>
        <v>#REF!</v>
      </c>
      <c r="FM257" t="e">
        <f>AND(#REF!,"AAAAAB/tvag=")</f>
        <v>#REF!</v>
      </c>
      <c r="FN257" t="e">
        <f>AND(#REF!,"AAAAAB/tvak=")</f>
        <v>#REF!</v>
      </c>
      <c r="FO257" t="e">
        <f>AND(#REF!,"AAAAAB/tvao=")</f>
        <v>#REF!</v>
      </c>
      <c r="FP257" t="e">
        <f>AND(#REF!,"AAAAAB/tvas=")</f>
        <v>#REF!</v>
      </c>
      <c r="FQ257" t="e">
        <f>AND(#REF!,"AAAAAB/tvaw=")</f>
        <v>#REF!</v>
      </c>
      <c r="FR257" t="e">
        <f>AND(#REF!,"AAAAAB/tva0=")</f>
        <v>#REF!</v>
      </c>
      <c r="FS257" t="e">
        <f>IF(#REF!,"AAAAAB/tva4=",0)</f>
        <v>#REF!</v>
      </c>
      <c r="FT257" t="e">
        <f>AND(#REF!,"AAAAAB/tva8=")</f>
        <v>#REF!</v>
      </c>
      <c r="FU257" t="e">
        <f>AND(#REF!,"AAAAAB/tvbA=")</f>
        <v>#REF!</v>
      </c>
      <c r="FV257" t="e">
        <f>AND(#REF!,"AAAAAB/tvbE=")</f>
        <v>#REF!</v>
      </c>
      <c r="FW257" t="e">
        <f>AND(#REF!,"AAAAAB/tvbI=")</f>
        <v>#REF!</v>
      </c>
      <c r="FX257" t="e">
        <f>AND(#REF!,"AAAAAB/tvbM=")</f>
        <v>#REF!</v>
      </c>
      <c r="FY257" t="e">
        <f>AND(#REF!,"AAAAAB/tvbQ=")</f>
        <v>#REF!</v>
      </c>
      <c r="FZ257" t="e">
        <f>AND(#REF!,"AAAAAB/tvbU=")</f>
        <v>#REF!</v>
      </c>
      <c r="GA257" t="e">
        <f>AND(#REF!,"AAAAAB/tvbY=")</f>
        <v>#REF!</v>
      </c>
      <c r="GB257" t="e">
        <f>AND(#REF!,"AAAAAB/tvbc=")</f>
        <v>#REF!</v>
      </c>
      <c r="GC257" t="e">
        <f>AND(#REF!,"AAAAAB/tvbg=")</f>
        <v>#REF!</v>
      </c>
      <c r="GD257" t="e">
        <f>IF(#REF!,"AAAAAB/tvbk=",0)</f>
        <v>#REF!</v>
      </c>
      <c r="GE257" t="e">
        <f>AND(#REF!,"AAAAAB/tvbo=")</f>
        <v>#REF!</v>
      </c>
      <c r="GF257" t="e">
        <f>AND(#REF!,"AAAAAB/tvbs=")</f>
        <v>#REF!</v>
      </c>
      <c r="GG257" t="e">
        <f>AND(#REF!,"AAAAAB/tvbw=")</f>
        <v>#REF!</v>
      </c>
      <c r="GH257" t="e">
        <f>AND(#REF!,"AAAAAB/tvb0=")</f>
        <v>#REF!</v>
      </c>
      <c r="GI257" t="e">
        <f>AND(#REF!,"AAAAAB/tvb4=")</f>
        <v>#REF!</v>
      </c>
      <c r="GJ257" t="e">
        <f>AND(#REF!,"AAAAAB/tvb8=")</f>
        <v>#REF!</v>
      </c>
      <c r="GK257" t="e">
        <f>AND(#REF!,"AAAAAB/tvcA=")</f>
        <v>#REF!</v>
      </c>
      <c r="GL257" t="e">
        <f>AND(#REF!,"AAAAAB/tvcE=")</f>
        <v>#REF!</v>
      </c>
      <c r="GM257" t="e">
        <f>AND(#REF!,"AAAAAB/tvcI=")</f>
        <v>#REF!</v>
      </c>
      <c r="GN257" t="e">
        <f>AND(#REF!,"AAAAAB/tvcM=")</f>
        <v>#REF!</v>
      </c>
      <c r="GO257" t="e">
        <f>IF(#REF!,"AAAAAB/tvcQ=",0)</f>
        <v>#REF!</v>
      </c>
      <c r="GP257" t="e">
        <f>AND(#REF!,"AAAAAB/tvcU=")</f>
        <v>#REF!</v>
      </c>
      <c r="GQ257" t="e">
        <f>AND(#REF!,"AAAAAB/tvcY=")</f>
        <v>#REF!</v>
      </c>
      <c r="GR257" t="e">
        <f>AND(#REF!,"AAAAAB/tvcc=")</f>
        <v>#REF!</v>
      </c>
      <c r="GS257" t="e">
        <f>AND(#REF!,"AAAAAB/tvcg=")</f>
        <v>#REF!</v>
      </c>
      <c r="GT257" t="e">
        <f>AND(#REF!,"AAAAAB/tvck=")</f>
        <v>#REF!</v>
      </c>
      <c r="GU257" t="e">
        <f>AND(#REF!,"AAAAAB/tvco=")</f>
        <v>#REF!</v>
      </c>
      <c r="GV257" t="e">
        <f>AND(#REF!,"AAAAAB/tvcs=")</f>
        <v>#REF!</v>
      </c>
      <c r="GW257" t="e">
        <f>AND(#REF!,"AAAAAB/tvcw=")</f>
        <v>#REF!</v>
      </c>
      <c r="GX257" t="e">
        <f>AND(#REF!,"AAAAAB/tvc0=")</f>
        <v>#REF!</v>
      </c>
      <c r="GY257" t="e">
        <f>AND(#REF!,"AAAAAB/tvc4=")</f>
        <v>#REF!</v>
      </c>
      <c r="GZ257" t="e">
        <f>IF(#REF!,"AAAAAB/tvc8=",0)</f>
        <v>#REF!</v>
      </c>
      <c r="HA257" t="e">
        <f>AND(#REF!,"AAAAAB/tvdA=")</f>
        <v>#REF!</v>
      </c>
      <c r="HB257" t="e">
        <f>AND(#REF!,"AAAAAB/tvdE=")</f>
        <v>#REF!</v>
      </c>
      <c r="HC257" t="e">
        <f>AND(#REF!,"AAAAAB/tvdI=")</f>
        <v>#REF!</v>
      </c>
      <c r="HD257" t="e">
        <f>AND(#REF!,"AAAAAB/tvdM=")</f>
        <v>#REF!</v>
      </c>
      <c r="HE257" t="e">
        <f>AND(#REF!,"AAAAAB/tvdQ=")</f>
        <v>#REF!</v>
      </c>
      <c r="HF257" t="e">
        <f>AND(#REF!,"AAAAAB/tvdU=")</f>
        <v>#REF!</v>
      </c>
      <c r="HG257" t="e">
        <f>AND(#REF!,"AAAAAB/tvdY=")</f>
        <v>#REF!</v>
      </c>
      <c r="HH257" t="e">
        <f>AND(#REF!,"AAAAAB/tvdc=")</f>
        <v>#REF!</v>
      </c>
      <c r="HI257" t="e">
        <f>AND(#REF!,"AAAAAB/tvdg=")</f>
        <v>#REF!</v>
      </c>
      <c r="HJ257" t="e">
        <f>AND(#REF!,"AAAAAB/tvdk=")</f>
        <v>#REF!</v>
      </c>
      <c r="HK257" t="e">
        <f>IF(#REF!,"AAAAAB/tvdo=",0)</f>
        <v>#REF!</v>
      </c>
      <c r="HL257" t="e">
        <f>AND(#REF!,"AAAAAB/tvds=")</f>
        <v>#REF!</v>
      </c>
      <c r="HM257" t="e">
        <f>AND(#REF!,"AAAAAB/tvdw=")</f>
        <v>#REF!</v>
      </c>
      <c r="HN257" t="e">
        <f>AND(#REF!,"AAAAAB/tvd0=")</f>
        <v>#REF!</v>
      </c>
      <c r="HO257" t="e">
        <f>AND(#REF!,"AAAAAB/tvd4=")</f>
        <v>#REF!</v>
      </c>
      <c r="HP257" t="e">
        <f>AND(#REF!,"AAAAAB/tvd8=")</f>
        <v>#REF!</v>
      </c>
      <c r="HQ257" t="e">
        <f>AND(#REF!,"AAAAAB/tveA=")</f>
        <v>#REF!</v>
      </c>
      <c r="HR257" t="e">
        <f>AND(#REF!,"AAAAAB/tveE=")</f>
        <v>#REF!</v>
      </c>
      <c r="HS257" t="e">
        <f>AND(#REF!,"AAAAAB/tveI=")</f>
        <v>#REF!</v>
      </c>
      <c r="HT257" t="e">
        <f>AND(#REF!,"AAAAAB/tveM=")</f>
        <v>#REF!</v>
      </c>
      <c r="HU257" t="e">
        <f>AND(#REF!,"AAAAAB/tveQ=")</f>
        <v>#REF!</v>
      </c>
      <c r="HV257" t="e">
        <f>IF(#REF!,"AAAAAB/tveU=",0)</f>
        <v>#REF!</v>
      </c>
      <c r="HW257" t="e">
        <f>AND(#REF!,"AAAAAB/tveY=")</f>
        <v>#REF!</v>
      </c>
      <c r="HX257" t="e">
        <f>AND(#REF!,"AAAAAB/tvec=")</f>
        <v>#REF!</v>
      </c>
      <c r="HY257" t="e">
        <f>AND(#REF!,"AAAAAB/tveg=")</f>
        <v>#REF!</v>
      </c>
      <c r="HZ257" t="e">
        <f>AND(#REF!,"AAAAAB/tvek=")</f>
        <v>#REF!</v>
      </c>
      <c r="IA257" t="e">
        <f>AND(#REF!,"AAAAAB/tveo=")</f>
        <v>#REF!</v>
      </c>
      <c r="IB257" t="e">
        <f>AND(#REF!,"AAAAAB/tves=")</f>
        <v>#REF!</v>
      </c>
      <c r="IC257" t="e">
        <f>AND(#REF!,"AAAAAB/tvew=")</f>
        <v>#REF!</v>
      </c>
      <c r="ID257" t="e">
        <f>AND(#REF!,"AAAAAB/tve0=")</f>
        <v>#REF!</v>
      </c>
      <c r="IE257" t="e">
        <f>AND(#REF!,"AAAAAB/tve4=")</f>
        <v>#REF!</v>
      </c>
      <c r="IF257" t="e">
        <f>AND(#REF!,"AAAAAB/tve8=")</f>
        <v>#REF!</v>
      </c>
      <c r="IG257" t="e">
        <f>IF(#REF!,"AAAAAB/tvfA=",0)</f>
        <v>#REF!</v>
      </c>
      <c r="IH257" t="e">
        <f>AND(#REF!,"AAAAAB/tvfE=")</f>
        <v>#REF!</v>
      </c>
      <c r="II257" t="e">
        <f>AND(#REF!,"AAAAAB/tvfI=")</f>
        <v>#REF!</v>
      </c>
      <c r="IJ257" t="e">
        <f>AND(#REF!,"AAAAAB/tvfM=")</f>
        <v>#REF!</v>
      </c>
      <c r="IK257" t="e">
        <f>AND(#REF!,"AAAAAB/tvfQ=")</f>
        <v>#REF!</v>
      </c>
      <c r="IL257" t="e">
        <f>AND(#REF!,"AAAAAB/tvfU=")</f>
        <v>#REF!</v>
      </c>
      <c r="IM257" t="e">
        <f>AND(#REF!,"AAAAAB/tvfY=")</f>
        <v>#REF!</v>
      </c>
      <c r="IN257" t="e">
        <f>AND(#REF!,"AAAAAB/tvfc=")</f>
        <v>#REF!</v>
      </c>
      <c r="IO257" t="e">
        <f>AND(#REF!,"AAAAAB/tvfg=")</f>
        <v>#REF!</v>
      </c>
      <c r="IP257" t="e">
        <f>AND(#REF!,"AAAAAB/tvfk=")</f>
        <v>#REF!</v>
      </c>
      <c r="IQ257" t="e">
        <f>AND(#REF!,"AAAAAB/tvfo=")</f>
        <v>#REF!</v>
      </c>
      <c r="IR257" t="e">
        <f>IF(#REF!,"AAAAAB/tvfs=",0)</f>
        <v>#REF!</v>
      </c>
      <c r="IS257" t="e">
        <f>AND(#REF!,"AAAAAB/tvfw=")</f>
        <v>#REF!</v>
      </c>
      <c r="IT257" t="e">
        <f>AND(#REF!,"AAAAAB/tvf0=")</f>
        <v>#REF!</v>
      </c>
      <c r="IU257" t="e">
        <f>AND(#REF!,"AAAAAB/tvf4=")</f>
        <v>#REF!</v>
      </c>
      <c r="IV257" t="e">
        <f>AND(#REF!,"AAAAAB/tvf8=")</f>
        <v>#REF!</v>
      </c>
    </row>
    <row r="258" spans="1:256" x14ac:dyDescent="0.25">
      <c r="A258" t="e">
        <f>AND(#REF!,"AAAAAEtFfgA=")</f>
        <v>#REF!</v>
      </c>
      <c r="B258" t="e">
        <f>AND(#REF!,"AAAAAEtFfgE=")</f>
        <v>#REF!</v>
      </c>
      <c r="C258" t="e">
        <f>AND(#REF!,"AAAAAEtFfgI=")</f>
        <v>#REF!</v>
      </c>
      <c r="D258" t="e">
        <f>AND(#REF!,"AAAAAEtFfgM=")</f>
        <v>#REF!</v>
      </c>
      <c r="E258" t="e">
        <f>AND(#REF!,"AAAAAEtFfgQ=")</f>
        <v>#REF!</v>
      </c>
      <c r="F258" t="e">
        <f>AND(#REF!,"AAAAAEtFfgU=")</f>
        <v>#REF!</v>
      </c>
      <c r="G258" t="e">
        <f>IF(#REF!,"AAAAAEtFfgY=",0)</f>
        <v>#REF!</v>
      </c>
      <c r="H258" t="e">
        <f>AND(#REF!,"AAAAAEtFfgc=")</f>
        <v>#REF!</v>
      </c>
      <c r="I258" t="e">
        <f>AND(#REF!,"AAAAAEtFfgg=")</f>
        <v>#REF!</v>
      </c>
      <c r="J258" t="e">
        <f>AND(#REF!,"AAAAAEtFfgk=")</f>
        <v>#REF!</v>
      </c>
      <c r="K258" t="e">
        <f>AND(#REF!,"AAAAAEtFfgo=")</f>
        <v>#REF!</v>
      </c>
      <c r="L258" t="e">
        <f>AND(#REF!,"AAAAAEtFfgs=")</f>
        <v>#REF!</v>
      </c>
      <c r="M258" t="e">
        <f>AND(#REF!,"AAAAAEtFfgw=")</f>
        <v>#REF!</v>
      </c>
      <c r="N258" t="e">
        <f>AND(#REF!,"AAAAAEtFfg0=")</f>
        <v>#REF!</v>
      </c>
      <c r="O258" t="e">
        <f>AND(#REF!,"AAAAAEtFfg4=")</f>
        <v>#REF!</v>
      </c>
      <c r="P258" t="e">
        <f>AND(#REF!,"AAAAAEtFfg8=")</f>
        <v>#REF!</v>
      </c>
      <c r="Q258" t="e">
        <f>AND(#REF!,"AAAAAEtFfhA=")</f>
        <v>#REF!</v>
      </c>
      <c r="R258" t="e">
        <f>IF(#REF!,"AAAAAEtFfhE=",0)</f>
        <v>#REF!</v>
      </c>
      <c r="S258" t="e">
        <f>AND(#REF!,"AAAAAEtFfhI=")</f>
        <v>#REF!</v>
      </c>
      <c r="T258" t="e">
        <f>AND(#REF!,"AAAAAEtFfhM=")</f>
        <v>#REF!</v>
      </c>
      <c r="U258" t="e">
        <f>AND(#REF!,"AAAAAEtFfhQ=")</f>
        <v>#REF!</v>
      </c>
      <c r="V258" t="e">
        <f>AND(#REF!,"AAAAAEtFfhU=")</f>
        <v>#REF!</v>
      </c>
      <c r="W258" t="e">
        <f>AND(#REF!,"AAAAAEtFfhY=")</f>
        <v>#REF!</v>
      </c>
      <c r="X258" t="e">
        <f>AND(#REF!,"AAAAAEtFfhc=")</f>
        <v>#REF!</v>
      </c>
      <c r="Y258" t="e">
        <f>AND(#REF!,"AAAAAEtFfhg=")</f>
        <v>#REF!</v>
      </c>
      <c r="Z258" t="e">
        <f>AND(#REF!,"AAAAAEtFfhk=")</f>
        <v>#REF!</v>
      </c>
      <c r="AA258" t="e">
        <f>AND(#REF!,"AAAAAEtFfho=")</f>
        <v>#REF!</v>
      </c>
      <c r="AB258" t="e">
        <f>AND(#REF!,"AAAAAEtFfhs=")</f>
        <v>#REF!</v>
      </c>
      <c r="AC258" t="e">
        <f>IF(#REF!,"AAAAAEtFfhw=",0)</f>
        <v>#REF!</v>
      </c>
      <c r="AD258" t="e">
        <f>AND(#REF!,"AAAAAEtFfh0=")</f>
        <v>#REF!</v>
      </c>
      <c r="AE258" t="e">
        <f>AND(#REF!,"AAAAAEtFfh4=")</f>
        <v>#REF!</v>
      </c>
      <c r="AF258" t="e">
        <f>AND(#REF!,"AAAAAEtFfh8=")</f>
        <v>#REF!</v>
      </c>
      <c r="AG258" t="e">
        <f>AND(#REF!,"AAAAAEtFfiA=")</f>
        <v>#REF!</v>
      </c>
      <c r="AH258" t="e">
        <f>AND(#REF!,"AAAAAEtFfiE=")</f>
        <v>#REF!</v>
      </c>
      <c r="AI258" t="e">
        <f>AND(#REF!,"AAAAAEtFfiI=")</f>
        <v>#REF!</v>
      </c>
      <c r="AJ258" t="e">
        <f>AND(#REF!,"AAAAAEtFfiM=")</f>
        <v>#REF!</v>
      </c>
      <c r="AK258" t="e">
        <f>AND(#REF!,"AAAAAEtFfiQ=")</f>
        <v>#REF!</v>
      </c>
      <c r="AL258" t="e">
        <f>AND(#REF!,"AAAAAEtFfiU=")</f>
        <v>#REF!</v>
      </c>
      <c r="AM258" t="e">
        <f>AND(#REF!,"AAAAAEtFfiY=")</f>
        <v>#REF!</v>
      </c>
      <c r="AN258" t="e">
        <f>IF(#REF!,"AAAAAEtFfic=",0)</f>
        <v>#REF!</v>
      </c>
      <c r="AO258" t="e">
        <f>AND(#REF!,"AAAAAEtFfig=")</f>
        <v>#REF!</v>
      </c>
      <c r="AP258" t="e">
        <f>AND(#REF!,"AAAAAEtFfik=")</f>
        <v>#REF!</v>
      </c>
      <c r="AQ258" t="e">
        <f>AND(#REF!,"AAAAAEtFfio=")</f>
        <v>#REF!</v>
      </c>
      <c r="AR258" t="e">
        <f>AND(#REF!,"AAAAAEtFfis=")</f>
        <v>#REF!</v>
      </c>
      <c r="AS258" t="e">
        <f>AND(#REF!,"AAAAAEtFfiw=")</f>
        <v>#REF!</v>
      </c>
      <c r="AT258" t="e">
        <f>AND(#REF!,"AAAAAEtFfi0=")</f>
        <v>#REF!</v>
      </c>
      <c r="AU258" t="e">
        <f>AND(#REF!,"AAAAAEtFfi4=")</f>
        <v>#REF!</v>
      </c>
      <c r="AV258" t="e">
        <f>AND(#REF!,"AAAAAEtFfi8=")</f>
        <v>#REF!</v>
      </c>
      <c r="AW258" t="e">
        <f>AND(#REF!,"AAAAAEtFfjA=")</f>
        <v>#REF!</v>
      </c>
      <c r="AX258" t="e">
        <f>AND(#REF!,"AAAAAEtFfjE=")</f>
        <v>#REF!</v>
      </c>
      <c r="AY258" t="e">
        <f>IF(#REF!,"AAAAAEtFfjI=",0)</f>
        <v>#REF!</v>
      </c>
      <c r="AZ258" t="e">
        <f>AND(#REF!,"AAAAAEtFfjM=")</f>
        <v>#REF!</v>
      </c>
      <c r="BA258" t="e">
        <f>AND(#REF!,"AAAAAEtFfjQ=")</f>
        <v>#REF!</v>
      </c>
      <c r="BB258" t="e">
        <f>AND(#REF!,"AAAAAEtFfjU=")</f>
        <v>#REF!</v>
      </c>
      <c r="BC258" t="e">
        <f>AND(#REF!,"AAAAAEtFfjY=")</f>
        <v>#REF!</v>
      </c>
      <c r="BD258" t="e">
        <f>AND(#REF!,"AAAAAEtFfjc=")</f>
        <v>#REF!</v>
      </c>
      <c r="BE258" t="e">
        <f>AND(#REF!,"AAAAAEtFfjg=")</f>
        <v>#REF!</v>
      </c>
      <c r="BF258" t="e">
        <f>AND(#REF!,"AAAAAEtFfjk=")</f>
        <v>#REF!</v>
      </c>
      <c r="BG258" t="e">
        <f>AND(#REF!,"AAAAAEtFfjo=")</f>
        <v>#REF!</v>
      </c>
      <c r="BH258" t="e">
        <f>AND(#REF!,"AAAAAEtFfjs=")</f>
        <v>#REF!</v>
      </c>
      <c r="BI258" t="e">
        <f>AND(#REF!,"AAAAAEtFfjw=")</f>
        <v>#REF!</v>
      </c>
      <c r="BJ258" t="e">
        <f>IF(#REF!,"AAAAAEtFfj0=",0)</f>
        <v>#REF!</v>
      </c>
      <c r="BK258" t="e">
        <f>AND(#REF!,"AAAAAEtFfj4=")</f>
        <v>#REF!</v>
      </c>
      <c r="BL258" t="e">
        <f>AND(#REF!,"AAAAAEtFfj8=")</f>
        <v>#REF!</v>
      </c>
      <c r="BM258" t="e">
        <f>AND(#REF!,"AAAAAEtFfkA=")</f>
        <v>#REF!</v>
      </c>
      <c r="BN258" t="e">
        <f>AND(#REF!,"AAAAAEtFfkE=")</f>
        <v>#REF!</v>
      </c>
      <c r="BO258" t="e">
        <f>AND(#REF!,"AAAAAEtFfkI=")</f>
        <v>#REF!</v>
      </c>
      <c r="BP258" t="e">
        <f>AND(#REF!,"AAAAAEtFfkM=")</f>
        <v>#REF!</v>
      </c>
      <c r="BQ258" t="e">
        <f>AND(#REF!,"AAAAAEtFfkQ=")</f>
        <v>#REF!</v>
      </c>
      <c r="BR258" t="e">
        <f>AND(#REF!,"AAAAAEtFfkU=")</f>
        <v>#REF!</v>
      </c>
      <c r="BS258" t="e">
        <f>AND(#REF!,"AAAAAEtFfkY=")</f>
        <v>#REF!</v>
      </c>
      <c r="BT258" t="e">
        <f>AND(#REF!,"AAAAAEtFfkc=")</f>
        <v>#REF!</v>
      </c>
      <c r="BU258" t="e">
        <f>IF(#REF!,"AAAAAEtFfkg=",0)</f>
        <v>#REF!</v>
      </c>
      <c r="BV258" t="e">
        <f>AND(#REF!,"AAAAAEtFfkk=")</f>
        <v>#REF!</v>
      </c>
      <c r="BW258" t="e">
        <f>AND(#REF!,"AAAAAEtFfko=")</f>
        <v>#REF!</v>
      </c>
      <c r="BX258" t="e">
        <f>AND(#REF!,"AAAAAEtFfks=")</f>
        <v>#REF!</v>
      </c>
      <c r="BY258" t="e">
        <f>AND(#REF!,"AAAAAEtFfkw=")</f>
        <v>#REF!</v>
      </c>
      <c r="BZ258" t="e">
        <f>AND(#REF!,"AAAAAEtFfk0=")</f>
        <v>#REF!</v>
      </c>
      <c r="CA258" t="e">
        <f>AND(#REF!,"AAAAAEtFfk4=")</f>
        <v>#REF!</v>
      </c>
      <c r="CB258" t="e">
        <f>AND(#REF!,"AAAAAEtFfk8=")</f>
        <v>#REF!</v>
      </c>
      <c r="CC258" t="e">
        <f>AND(#REF!,"AAAAAEtFflA=")</f>
        <v>#REF!</v>
      </c>
      <c r="CD258" t="e">
        <f>AND(#REF!,"AAAAAEtFflE=")</f>
        <v>#REF!</v>
      </c>
      <c r="CE258" t="e">
        <f>AND(#REF!,"AAAAAEtFflI=")</f>
        <v>#REF!</v>
      </c>
      <c r="CF258" t="e">
        <f>IF(#REF!,"AAAAAEtFflM=",0)</f>
        <v>#REF!</v>
      </c>
      <c r="CG258" t="e">
        <f>AND(#REF!,"AAAAAEtFflQ=")</f>
        <v>#REF!</v>
      </c>
      <c r="CH258" t="e">
        <f>AND(#REF!,"AAAAAEtFflU=")</f>
        <v>#REF!</v>
      </c>
      <c r="CI258" t="e">
        <f>AND(#REF!,"AAAAAEtFflY=")</f>
        <v>#REF!</v>
      </c>
      <c r="CJ258" t="e">
        <f>AND(#REF!,"AAAAAEtFflc=")</f>
        <v>#REF!</v>
      </c>
      <c r="CK258" t="e">
        <f>AND(#REF!,"AAAAAEtFflg=")</f>
        <v>#REF!</v>
      </c>
      <c r="CL258" t="e">
        <f>AND(#REF!,"AAAAAEtFflk=")</f>
        <v>#REF!</v>
      </c>
      <c r="CM258" t="e">
        <f>AND(#REF!,"AAAAAEtFflo=")</f>
        <v>#REF!</v>
      </c>
      <c r="CN258" t="e">
        <f>AND(#REF!,"AAAAAEtFfls=")</f>
        <v>#REF!</v>
      </c>
      <c r="CO258" t="e">
        <f>AND(#REF!,"AAAAAEtFflw=")</f>
        <v>#REF!</v>
      </c>
      <c r="CP258" t="e">
        <f>AND(#REF!,"AAAAAEtFfl0=")</f>
        <v>#REF!</v>
      </c>
      <c r="CQ258" t="e">
        <f>IF(#REF!,"AAAAAEtFfl4=",0)</f>
        <v>#REF!</v>
      </c>
      <c r="CR258" t="e">
        <f>AND(#REF!,"AAAAAEtFfl8=")</f>
        <v>#REF!</v>
      </c>
      <c r="CS258" t="e">
        <f>AND(#REF!,"AAAAAEtFfmA=")</f>
        <v>#REF!</v>
      </c>
      <c r="CT258" t="e">
        <f>AND(#REF!,"AAAAAEtFfmE=")</f>
        <v>#REF!</v>
      </c>
      <c r="CU258" t="e">
        <f>AND(#REF!,"AAAAAEtFfmI=")</f>
        <v>#REF!</v>
      </c>
      <c r="CV258" t="e">
        <f>AND(#REF!,"AAAAAEtFfmM=")</f>
        <v>#REF!</v>
      </c>
      <c r="CW258" t="e">
        <f>AND(#REF!,"AAAAAEtFfmQ=")</f>
        <v>#REF!</v>
      </c>
      <c r="CX258" t="e">
        <f>AND(#REF!,"AAAAAEtFfmU=")</f>
        <v>#REF!</v>
      </c>
      <c r="CY258" t="e">
        <f>AND(#REF!,"AAAAAEtFfmY=")</f>
        <v>#REF!</v>
      </c>
      <c r="CZ258" t="e">
        <f>AND(#REF!,"AAAAAEtFfmc=")</f>
        <v>#REF!</v>
      </c>
      <c r="DA258" t="e">
        <f>AND(#REF!,"AAAAAEtFfmg=")</f>
        <v>#REF!</v>
      </c>
      <c r="DB258" t="e">
        <f>IF(#REF!,"AAAAAEtFfmk=",0)</f>
        <v>#REF!</v>
      </c>
      <c r="DC258" t="e">
        <f>AND(#REF!,"AAAAAEtFfmo=")</f>
        <v>#REF!</v>
      </c>
      <c r="DD258" t="e">
        <f>AND(#REF!,"AAAAAEtFfms=")</f>
        <v>#REF!</v>
      </c>
      <c r="DE258" t="e">
        <f>AND(#REF!,"AAAAAEtFfmw=")</f>
        <v>#REF!</v>
      </c>
      <c r="DF258" t="e">
        <f>AND(#REF!,"AAAAAEtFfm0=")</f>
        <v>#REF!</v>
      </c>
      <c r="DG258" t="e">
        <f>AND(#REF!,"AAAAAEtFfm4=")</f>
        <v>#REF!</v>
      </c>
      <c r="DH258" t="e">
        <f>AND(#REF!,"AAAAAEtFfm8=")</f>
        <v>#REF!</v>
      </c>
      <c r="DI258" t="e">
        <f>AND(#REF!,"AAAAAEtFfnA=")</f>
        <v>#REF!</v>
      </c>
      <c r="DJ258" t="e">
        <f>AND(#REF!,"AAAAAEtFfnE=")</f>
        <v>#REF!</v>
      </c>
      <c r="DK258" t="e">
        <f>AND(#REF!,"AAAAAEtFfnI=")</f>
        <v>#REF!</v>
      </c>
      <c r="DL258" t="e">
        <f>AND(#REF!,"AAAAAEtFfnM=")</f>
        <v>#REF!</v>
      </c>
      <c r="DM258" t="e">
        <f>IF(#REF!,"AAAAAEtFfnQ=",0)</f>
        <v>#REF!</v>
      </c>
      <c r="DN258" t="e">
        <f>AND(#REF!,"AAAAAEtFfnU=")</f>
        <v>#REF!</v>
      </c>
      <c r="DO258" t="e">
        <f>AND(#REF!,"AAAAAEtFfnY=")</f>
        <v>#REF!</v>
      </c>
      <c r="DP258" t="e">
        <f>AND(#REF!,"AAAAAEtFfnc=")</f>
        <v>#REF!</v>
      </c>
      <c r="DQ258" t="e">
        <f>AND(#REF!,"AAAAAEtFfng=")</f>
        <v>#REF!</v>
      </c>
      <c r="DR258" t="e">
        <f>AND(#REF!,"AAAAAEtFfnk=")</f>
        <v>#REF!</v>
      </c>
      <c r="DS258" t="e">
        <f>AND(#REF!,"AAAAAEtFfno=")</f>
        <v>#REF!</v>
      </c>
      <c r="DT258" t="e">
        <f>AND(#REF!,"AAAAAEtFfns=")</f>
        <v>#REF!</v>
      </c>
      <c r="DU258" t="e">
        <f>AND(#REF!,"AAAAAEtFfnw=")</f>
        <v>#REF!</v>
      </c>
      <c r="DV258" t="e">
        <f>AND(#REF!,"AAAAAEtFfn0=")</f>
        <v>#REF!</v>
      </c>
      <c r="DW258" t="e">
        <f>AND(#REF!,"AAAAAEtFfn4=")</f>
        <v>#REF!</v>
      </c>
      <c r="DX258" t="e">
        <f>IF(#REF!,"AAAAAEtFfn8=",0)</f>
        <v>#REF!</v>
      </c>
      <c r="DY258" t="e">
        <f>AND(#REF!,"AAAAAEtFfoA=")</f>
        <v>#REF!</v>
      </c>
      <c r="DZ258" t="e">
        <f>AND(#REF!,"AAAAAEtFfoE=")</f>
        <v>#REF!</v>
      </c>
      <c r="EA258" t="e">
        <f>AND(#REF!,"AAAAAEtFfoI=")</f>
        <v>#REF!</v>
      </c>
      <c r="EB258" t="e">
        <f>AND(#REF!,"AAAAAEtFfoM=")</f>
        <v>#REF!</v>
      </c>
      <c r="EC258" t="e">
        <f>AND(#REF!,"AAAAAEtFfoQ=")</f>
        <v>#REF!</v>
      </c>
      <c r="ED258" t="e">
        <f>AND(#REF!,"AAAAAEtFfoU=")</f>
        <v>#REF!</v>
      </c>
      <c r="EE258" t="e">
        <f>AND(#REF!,"AAAAAEtFfoY=")</f>
        <v>#REF!</v>
      </c>
      <c r="EF258" t="e">
        <f>AND(#REF!,"AAAAAEtFfoc=")</f>
        <v>#REF!</v>
      </c>
      <c r="EG258" t="e">
        <f>AND(#REF!,"AAAAAEtFfog=")</f>
        <v>#REF!</v>
      </c>
      <c r="EH258" t="e">
        <f>AND(#REF!,"AAAAAEtFfok=")</f>
        <v>#REF!</v>
      </c>
      <c r="EI258" t="e">
        <f>IF(#REF!,"AAAAAEtFfoo=",0)</f>
        <v>#REF!</v>
      </c>
      <c r="EJ258" t="e">
        <f>AND(#REF!,"AAAAAEtFfos=")</f>
        <v>#REF!</v>
      </c>
      <c r="EK258" t="e">
        <f>AND(#REF!,"AAAAAEtFfow=")</f>
        <v>#REF!</v>
      </c>
      <c r="EL258" t="e">
        <f>AND(#REF!,"AAAAAEtFfo0=")</f>
        <v>#REF!</v>
      </c>
      <c r="EM258" t="e">
        <f>AND(#REF!,"AAAAAEtFfo4=")</f>
        <v>#REF!</v>
      </c>
      <c r="EN258" t="e">
        <f>AND(#REF!,"AAAAAEtFfo8=")</f>
        <v>#REF!</v>
      </c>
      <c r="EO258" t="e">
        <f>AND(#REF!,"AAAAAEtFfpA=")</f>
        <v>#REF!</v>
      </c>
      <c r="EP258" t="e">
        <f>AND(#REF!,"AAAAAEtFfpE=")</f>
        <v>#REF!</v>
      </c>
      <c r="EQ258" t="e">
        <f>AND(#REF!,"AAAAAEtFfpI=")</f>
        <v>#REF!</v>
      </c>
      <c r="ER258" t="e">
        <f>AND(#REF!,"AAAAAEtFfpM=")</f>
        <v>#REF!</v>
      </c>
      <c r="ES258" t="e">
        <f>AND(#REF!,"AAAAAEtFfpQ=")</f>
        <v>#REF!</v>
      </c>
      <c r="ET258" t="e">
        <f>IF(#REF!,"AAAAAEtFfpU=",0)</f>
        <v>#REF!</v>
      </c>
      <c r="EU258" t="e">
        <f>AND(#REF!,"AAAAAEtFfpY=")</f>
        <v>#REF!</v>
      </c>
      <c r="EV258" t="e">
        <f>AND(#REF!,"AAAAAEtFfpc=")</f>
        <v>#REF!</v>
      </c>
      <c r="EW258" t="e">
        <f>AND(#REF!,"AAAAAEtFfpg=")</f>
        <v>#REF!</v>
      </c>
      <c r="EX258" t="e">
        <f>AND(#REF!,"AAAAAEtFfpk=")</f>
        <v>#REF!</v>
      </c>
      <c r="EY258" t="e">
        <f>AND(#REF!,"AAAAAEtFfpo=")</f>
        <v>#REF!</v>
      </c>
      <c r="EZ258" t="e">
        <f>AND(#REF!,"AAAAAEtFfps=")</f>
        <v>#REF!</v>
      </c>
      <c r="FA258" t="e">
        <f>AND(#REF!,"AAAAAEtFfpw=")</f>
        <v>#REF!</v>
      </c>
      <c r="FB258" t="e">
        <f>AND(#REF!,"AAAAAEtFfp0=")</f>
        <v>#REF!</v>
      </c>
      <c r="FC258" t="e">
        <f>AND(#REF!,"AAAAAEtFfp4=")</f>
        <v>#REF!</v>
      </c>
      <c r="FD258" t="e">
        <f>AND(#REF!,"AAAAAEtFfp8=")</f>
        <v>#REF!</v>
      </c>
      <c r="FE258" t="e">
        <f>IF(#REF!,"AAAAAEtFfqA=",0)</f>
        <v>#REF!</v>
      </c>
      <c r="FF258" t="e">
        <f>AND(#REF!,"AAAAAEtFfqE=")</f>
        <v>#REF!</v>
      </c>
      <c r="FG258" t="e">
        <f>AND(#REF!,"AAAAAEtFfqI=")</f>
        <v>#REF!</v>
      </c>
      <c r="FH258" t="e">
        <f>AND(#REF!,"AAAAAEtFfqM=")</f>
        <v>#REF!</v>
      </c>
      <c r="FI258" t="e">
        <f>AND(#REF!,"AAAAAEtFfqQ=")</f>
        <v>#REF!</v>
      </c>
      <c r="FJ258" t="e">
        <f>AND(#REF!,"AAAAAEtFfqU=")</f>
        <v>#REF!</v>
      </c>
      <c r="FK258" t="e">
        <f>AND(#REF!,"AAAAAEtFfqY=")</f>
        <v>#REF!</v>
      </c>
      <c r="FL258" t="e">
        <f>AND(#REF!,"AAAAAEtFfqc=")</f>
        <v>#REF!</v>
      </c>
      <c r="FM258" t="e">
        <f>AND(#REF!,"AAAAAEtFfqg=")</f>
        <v>#REF!</v>
      </c>
      <c r="FN258" t="e">
        <f>AND(#REF!,"AAAAAEtFfqk=")</f>
        <v>#REF!</v>
      </c>
      <c r="FO258" t="e">
        <f>AND(#REF!,"AAAAAEtFfqo=")</f>
        <v>#REF!</v>
      </c>
      <c r="FP258" t="e">
        <f>IF(#REF!,"AAAAAEtFfqs=",0)</f>
        <v>#REF!</v>
      </c>
      <c r="FQ258" t="e">
        <f>AND(#REF!,"AAAAAEtFfqw=")</f>
        <v>#REF!</v>
      </c>
      <c r="FR258" t="e">
        <f>AND(#REF!,"AAAAAEtFfq0=")</f>
        <v>#REF!</v>
      </c>
      <c r="FS258" t="e">
        <f>AND(#REF!,"AAAAAEtFfq4=")</f>
        <v>#REF!</v>
      </c>
      <c r="FT258" t="e">
        <f>AND(#REF!,"AAAAAEtFfq8=")</f>
        <v>#REF!</v>
      </c>
      <c r="FU258" t="e">
        <f>AND(#REF!,"AAAAAEtFfrA=")</f>
        <v>#REF!</v>
      </c>
      <c r="FV258" t="e">
        <f>AND(#REF!,"AAAAAEtFfrE=")</f>
        <v>#REF!</v>
      </c>
      <c r="FW258" t="e">
        <f>AND(#REF!,"AAAAAEtFfrI=")</f>
        <v>#REF!</v>
      </c>
      <c r="FX258" t="e">
        <f>AND(#REF!,"AAAAAEtFfrM=")</f>
        <v>#REF!</v>
      </c>
      <c r="FY258" t="e">
        <f>AND(#REF!,"AAAAAEtFfrQ=")</f>
        <v>#REF!</v>
      </c>
      <c r="FZ258" t="e">
        <f>AND(#REF!,"AAAAAEtFfrU=")</f>
        <v>#REF!</v>
      </c>
      <c r="GA258" t="e">
        <f>IF(#REF!,"AAAAAEtFfrY=",0)</f>
        <v>#REF!</v>
      </c>
      <c r="GB258" t="e">
        <f>AND(#REF!,"AAAAAEtFfrc=")</f>
        <v>#REF!</v>
      </c>
      <c r="GC258" t="e">
        <f>AND(#REF!,"AAAAAEtFfrg=")</f>
        <v>#REF!</v>
      </c>
      <c r="GD258" t="e">
        <f>AND(#REF!,"AAAAAEtFfrk=")</f>
        <v>#REF!</v>
      </c>
      <c r="GE258" t="e">
        <f>AND(#REF!,"AAAAAEtFfro=")</f>
        <v>#REF!</v>
      </c>
      <c r="GF258" t="e">
        <f>AND(#REF!,"AAAAAEtFfrs=")</f>
        <v>#REF!</v>
      </c>
      <c r="GG258" t="e">
        <f>AND(#REF!,"AAAAAEtFfrw=")</f>
        <v>#REF!</v>
      </c>
      <c r="GH258" t="e">
        <f>AND(#REF!,"AAAAAEtFfr0=")</f>
        <v>#REF!</v>
      </c>
      <c r="GI258" t="e">
        <f>AND(#REF!,"AAAAAEtFfr4=")</f>
        <v>#REF!</v>
      </c>
      <c r="GJ258" t="e">
        <f>AND(#REF!,"AAAAAEtFfr8=")</f>
        <v>#REF!</v>
      </c>
      <c r="GK258" t="e">
        <f>AND(#REF!,"AAAAAEtFfsA=")</f>
        <v>#REF!</v>
      </c>
      <c r="GL258" t="e">
        <f>IF(#REF!,"AAAAAEtFfsE=",0)</f>
        <v>#REF!</v>
      </c>
      <c r="GM258" t="e">
        <f>AND(#REF!,"AAAAAEtFfsI=")</f>
        <v>#REF!</v>
      </c>
      <c r="GN258" t="e">
        <f>AND(#REF!,"AAAAAEtFfsM=")</f>
        <v>#REF!</v>
      </c>
      <c r="GO258" t="e">
        <f>AND(#REF!,"AAAAAEtFfsQ=")</f>
        <v>#REF!</v>
      </c>
      <c r="GP258" t="e">
        <f>AND(#REF!,"AAAAAEtFfsU=")</f>
        <v>#REF!</v>
      </c>
      <c r="GQ258" t="e">
        <f>AND(#REF!,"AAAAAEtFfsY=")</f>
        <v>#REF!</v>
      </c>
      <c r="GR258" t="e">
        <f>AND(#REF!,"AAAAAEtFfsc=")</f>
        <v>#REF!</v>
      </c>
      <c r="GS258" t="e">
        <f>AND(#REF!,"AAAAAEtFfsg=")</f>
        <v>#REF!</v>
      </c>
      <c r="GT258" t="e">
        <f>AND(#REF!,"AAAAAEtFfsk=")</f>
        <v>#REF!</v>
      </c>
      <c r="GU258" t="e">
        <f>AND(#REF!,"AAAAAEtFfso=")</f>
        <v>#REF!</v>
      </c>
      <c r="GV258" t="e">
        <f>AND(#REF!,"AAAAAEtFfss=")</f>
        <v>#REF!</v>
      </c>
      <c r="GW258" t="e">
        <f>IF(#REF!,"AAAAAEtFfsw=",0)</f>
        <v>#REF!</v>
      </c>
      <c r="GX258" t="e">
        <f>AND(#REF!,"AAAAAEtFfs0=")</f>
        <v>#REF!</v>
      </c>
      <c r="GY258" t="e">
        <f>AND(#REF!,"AAAAAEtFfs4=")</f>
        <v>#REF!</v>
      </c>
      <c r="GZ258" t="e">
        <f>AND(#REF!,"AAAAAEtFfs8=")</f>
        <v>#REF!</v>
      </c>
      <c r="HA258" t="e">
        <f>AND(#REF!,"AAAAAEtFftA=")</f>
        <v>#REF!</v>
      </c>
      <c r="HB258" t="e">
        <f>AND(#REF!,"AAAAAEtFftE=")</f>
        <v>#REF!</v>
      </c>
      <c r="HC258" t="e">
        <f>AND(#REF!,"AAAAAEtFftI=")</f>
        <v>#REF!</v>
      </c>
      <c r="HD258" t="e">
        <f>AND(#REF!,"AAAAAEtFftM=")</f>
        <v>#REF!</v>
      </c>
      <c r="HE258" t="e">
        <f>AND(#REF!,"AAAAAEtFftQ=")</f>
        <v>#REF!</v>
      </c>
      <c r="HF258" t="e">
        <f>AND(#REF!,"AAAAAEtFftU=")</f>
        <v>#REF!</v>
      </c>
      <c r="HG258" t="e">
        <f>AND(#REF!,"AAAAAEtFftY=")</f>
        <v>#REF!</v>
      </c>
      <c r="HH258" t="e">
        <f>IF(#REF!,"AAAAAEtFftc=",0)</f>
        <v>#REF!</v>
      </c>
      <c r="HI258" t="e">
        <f>AND(#REF!,"AAAAAEtFftg=")</f>
        <v>#REF!</v>
      </c>
      <c r="HJ258" t="e">
        <f>AND(#REF!,"AAAAAEtFftk=")</f>
        <v>#REF!</v>
      </c>
      <c r="HK258" t="e">
        <f>AND(#REF!,"AAAAAEtFfto=")</f>
        <v>#REF!</v>
      </c>
      <c r="HL258" t="e">
        <f>AND(#REF!,"AAAAAEtFfts=")</f>
        <v>#REF!</v>
      </c>
      <c r="HM258" t="e">
        <f>AND(#REF!,"AAAAAEtFftw=")</f>
        <v>#REF!</v>
      </c>
      <c r="HN258" t="e">
        <f>AND(#REF!,"AAAAAEtFft0=")</f>
        <v>#REF!</v>
      </c>
      <c r="HO258" t="e">
        <f>AND(#REF!,"AAAAAEtFft4=")</f>
        <v>#REF!</v>
      </c>
      <c r="HP258" t="e">
        <f>AND(#REF!,"AAAAAEtFft8=")</f>
        <v>#REF!</v>
      </c>
      <c r="HQ258" t="e">
        <f>AND(#REF!,"AAAAAEtFfuA=")</f>
        <v>#REF!</v>
      </c>
      <c r="HR258" t="e">
        <f>AND(#REF!,"AAAAAEtFfuE=")</f>
        <v>#REF!</v>
      </c>
      <c r="HS258" t="e">
        <f>IF(#REF!,"AAAAAEtFfuI=",0)</f>
        <v>#REF!</v>
      </c>
      <c r="HT258" t="e">
        <f>AND(#REF!,"AAAAAEtFfuM=")</f>
        <v>#REF!</v>
      </c>
      <c r="HU258" t="e">
        <f>AND(#REF!,"AAAAAEtFfuQ=")</f>
        <v>#REF!</v>
      </c>
      <c r="HV258" t="e">
        <f>AND(#REF!,"AAAAAEtFfuU=")</f>
        <v>#REF!</v>
      </c>
      <c r="HW258" t="e">
        <f>AND(#REF!,"AAAAAEtFfuY=")</f>
        <v>#REF!</v>
      </c>
      <c r="HX258" t="e">
        <f>AND(#REF!,"AAAAAEtFfuc=")</f>
        <v>#REF!</v>
      </c>
      <c r="HY258" t="e">
        <f>AND(#REF!,"AAAAAEtFfug=")</f>
        <v>#REF!</v>
      </c>
      <c r="HZ258" t="e">
        <f>AND(#REF!,"AAAAAEtFfuk=")</f>
        <v>#REF!</v>
      </c>
      <c r="IA258" t="e">
        <f>AND(#REF!,"AAAAAEtFfuo=")</f>
        <v>#REF!</v>
      </c>
      <c r="IB258" t="e">
        <f>AND(#REF!,"AAAAAEtFfus=")</f>
        <v>#REF!</v>
      </c>
      <c r="IC258" t="e">
        <f>AND(#REF!,"AAAAAEtFfuw=")</f>
        <v>#REF!</v>
      </c>
      <c r="ID258" t="e">
        <f>IF(#REF!,"AAAAAEtFfu0=",0)</f>
        <v>#REF!</v>
      </c>
      <c r="IE258" t="e">
        <f>AND(#REF!,"AAAAAEtFfu4=")</f>
        <v>#REF!</v>
      </c>
      <c r="IF258" t="e">
        <f>AND(#REF!,"AAAAAEtFfu8=")</f>
        <v>#REF!</v>
      </c>
      <c r="IG258" t="e">
        <f>AND(#REF!,"AAAAAEtFfvA=")</f>
        <v>#REF!</v>
      </c>
      <c r="IH258" t="e">
        <f>AND(#REF!,"AAAAAEtFfvE=")</f>
        <v>#REF!</v>
      </c>
      <c r="II258" t="e">
        <f>AND(#REF!,"AAAAAEtFfvI=")</f>
        <v>#REF!</v>
      </c>
      <c r="IJ258" t="e">
        <f>AND(#REF!,"AAAAAEtFfvM=")</f>
        <v>#REF!</v>
      </c>
      <c r="IK258" t="e">
        <f>AND(#REF!,"AAAAAEtFfvQ=")</f>
        <v>#REF!</v>
      </c>
      <c r="IL258" t="e">
        <f>AND(#REF!,"AAAAAEtFfvU=")</f>
        <v>#REF!</v>
      </c>
      <c r="IM258" t="e">
        <f>AND(#REF!,"AAAAAEtFfvY=")</f>
        <v>#REF!</v>
      </c>
      <c r="IN258" t="e">
        <f>AND(#REF!,"AAAAAEtFfvc=")</f>
        <v>#REF!</v>
      </c>
      <c r="IO258" t="e">
        <f>IF(#REF!,"AAAAAEtFfvg=",0)</f>
        <v>#REF!</v>
      </c>
      <c r="IP258" t="e">
        <f>AND(#REF!,"AAAAAEtFfvk=")</f>
        <v>#REF!</v>
      </c>
      <c r="IQ258" t="e">
        <f>AND(#REF!,"AAAAAEtFfvo=")</f>
        <v>#REF!</v>
      </c>
      <c r="IR258" t="e">
        <f>AND(#REF!,"AAAAAEtFfvs=")</f>
        <v>#REF!</v>
      </c>
      <c r="IS258" t="e">
        <f>AND(#REF!,"AAAAAEtFfvw=")</f>
        <v>#REF!</v>
      </c>
      <c r="IT258" t="e">
        <f>AND(#REF!,"AAAAAEtFfv0=")</f>
        <v>#REF!</v>
      </c>
      <c r="IU258" t="e">
        <f>AND(#REF!,"AAAAAEtFfv4=")</f>
        <v>#REF!</v>
      </c>
      <c r="IV258" t="e">
        <f>AND(#REF!,"AAAAAEtFfv8=")</f>
        <v>#REF!</v>
      </c>
    </row>
    <row r="259" spans="1:256" x14ac:dyDescent="0.25">
      <c r="A259" t="e">
        <f>AND(#REF!,"AAAAAHf++wA=")</f>
        <v>#REF!</v>
      </c>
      <c r="B259" t="e">
        <f>AND(#REF!,"AAAAAHf++wE=")</f>
        <v>#REF!</v>
      </c>
      <c r="C259" t="e">
        <f>AND(#REF!,"AAAAAHf++wI=")</f>
        <v>#REF!</v>
      </c>
      <c r="D259" t="e">
        <f>IF(#REF!,"AAAAAHf++wM=",0)</f>
        <v>#REF!</v>
      </c>
      <c r="E259" t="e">
        <f>AND(#REF!,"AAAAAHf++wQ=")</f>
        <v>#REF!</v>
      </c>
      <c r="F259" t="e">
        <f>AND(#REF!,"AAAAAHf++wU=")</f>
        <v>#REF!</v>
      </c>
      <c r="G259" t="e">
        <f>AND(#REF!,"AAAAAHf++wY=")</f>
        <v>#REF!</v>
      </c>
      <c r="H259" t="e">
        <f>AND(#REF!,"AAAAAHf++wc=")</f>
        <v>#REF!</v>
      </c>
      <c r="I259" t="e">
        <f>AND(#REF!,"AAAAAHf++wg=")</f>
        <v>#REF!</v>
      </c>
      <c r="J259" t="e">
        <f>AND(#REF!,"AAAAAHf++wk=")</f>
        <v>#REF!</v>
      </c>
      <c r="K259" t="e">
        <f>AND(#REF!,"AAAAAHf++wo=")</f>
        <v>#REF!</v>
      </c>
      <c r="L259" t="e">
        <f>AND(#REF!,"AAAAAHf++ws=")</f>
        <v>#REF!</v>
      </c>
      <c r="M259" t="e">
        <f>AND(#REF!,"AAAAAHf++ww=")</f>
        <v>#REF!</v>
      </c>
      <c r="N259" t="e">
        <f>AND(#REF!,"AAAAAHf++w0=")</f>
        <v>#REF!</v>
      </c>
      <c r="O259" t="e">
        <f>IF(#REF!,"AAAAAHf++w4=",0)</f>
        <v>#REF!</v>
      </c>
      <c r="P259" t="e">
        <f>AND(#REF!,"AAAAAHf++w8=")</f>
        <v>#REF!</v>
      </c>
      <c r="Q259" t="e">
        <f>AND(#REF!,"AAAAAHf++xA=")</f>
        <v>#REF!</v>
      </c>
      <c r="R259" t="e">
        <f>AND(#REF!,"AAAAAHf++xE=")</f>
        <v>#REF!</v>
      </c>
      <c r="S259" t="e">
        <f>AND(#REF!,"AAAAAHf++xI=")</f>
        <v>#REF!</v>
      </c>
      <c r="T259" t="e">
        <f>AND(#REF!,"AAAAAHf++xM=")</f>
        <v>#REF!</v>
      </c>
      <c r="U259" t="e">
        <f>AND(#REF!,"AAAAAHf++xQ=")</f>
        <v>#REF!</v>
      </c>
      <c r="V259" t="e">
        <f>AND(#REF!,"AAAAAHf++xU=")</f>
        <v>#REF!</v>
      </c>
      <c r="W259" t="e">
        <f>AND(#REF!,"AAAAAHf++xY=")</f>
        <v>#REF!</v>
      </c>
      <c r="X259" t="e">
        <f>AND(#REF!,"AAAAAHf++xc=")</f>
        <v>#REF!</v>
      </c>
      <c r="Y259" t="e">
        <f>AND(#REF!,"AAAAAHf++xg=")</f>
        <v>#REF!</v>
      </c>
      <c r="Z259" t="e">
        <f>IF(#REF!,"AAAAAHf++xk=",0)</f>
        <v>#REF!</v>
      </c>
      <c r="AA259" t="e">
        <f>AND(#REF!,"AAAAAHf++xo=")</f>
        <v>#REF!</v>
      </c>
      <c r="AB259" t="e">
        <f>AND(#REF!,"AAAAAHf++xs=")</f>
        <v>#REF!</v>
      </c>
      <c r="AC259" t="e">
        <f>AND(#REF!,"AAAAAHf++xw=")</f>
        <v>#REF!</v>
      </c>
      <c r="AD259" t="e">
        <f>AND(#REF!,"AAAAAHf++x0=")</f>
        <v>#REF!</v>
      </c>
      <c r="AE259" t="e">
        <f>AND(#REF!,"AAAAAHf++x4=")</f>
        <v>#REF!</v>
      </c>
      <c r="AF259" t="e">
        <f>AND(#REF!,"AAAAAHf++x8=")</f>
        <v>#REF!</v>
      </c>
      <c r="AG259" t="e">
        <f>AND(#REF!,"AAAAAHf++yA=")</f>
        <v>#REF!</v>
      </c>
      <c r="AH259" t="e">
        <f>AND(#REF!,"AAAAAHf++yE=")</f>
        <v>#REF!</v>
      </c>
      <c r="AI259" t="e">
        <f>AND(#REF!,"AAAAAHf++yI=")</f>
        <v>#REF!</v>
      </c>
      <c r="AJ259" t="e">
        <f>AND(#REF!,"AAAAAHf++yM=")</f>
        <v>#REF!</v>
      </c>
      <c r="AK259" t="e">
        <f>IF(#REF!,"AAAAAHf++yQ=",0)</f>
        <v>#REF!</v>
      </c>
      <c r="AL259" t="e">
        <f>AND(#REF!,"AAAAAHf++yU=")</f>
        <v>#REF!</v>
      </c>
      <c r="AM259" t="e">
        <f>AND(#REF!,"AAAAAHf++yY=")</f>
        <v>#REF!</v>
      </c>
      <c r="AN259" t="e">
        <f>AND(#REF!,"AAAAAHf++yc=")</f>
        <v>#REF!</v>
      </c>
      <c r="AO259" t="e">
        <f>AND(#REF!,"AAAAAHf++yg=")</f>
        <v>#REF!</v>
      </c>
      <c r="AP259" t="e">
        <f>AND(#REF!,"AAAAAHf++yk=")</f>
        <v>#REF!</v>
      </c>
      <c r="AQ259" t="e">
        <f>AND(#REF!,"AAAAAHf++yo=")</f>
        <v>#REF!</v>
      </c>
      <c r="AR259" t="e">
        <f>AND(#REF!,"AAAAAHf++ys=")</f>
        <v>#REF!</v>
      </c>
      <c r="AS259" t="e">
        <f>AND(#REF!,"AAAAAHf++yw=")</f>
        <v>#REF!</v>
      </c>
      <c r="AT259" t="e">
        <f>AND(#REF!,"AAAAAHf++y0=")</f>
        <v>#REF!</v>
      </c>
      <c r="AU259" t="e">
        <f>AND(#REF!,"AAAAAHf++y4=")</f>
        <v>#REF!</v>
      </c>
      <c r="AV259" t="e">
        <f>IF(#REF!,"AAAAAHf++y8=",0)</f>
        <v>#REF!</v>
      </c>
      <c r="AW259" t="e">
        <f>AND(#REF!,"AAAAAHf++zA=")</f>
        <v>#REF!</v>
      </c>
      <c r="AX259" t="e">
        <f>AND(#REF!,"AAAAAHf++zE=")</f>
        <v>#REF!</v>
      </c>
      <c r="AY259" t="e">
        <f>AND(#REF!,"AAAAAHf++zI=")</f>
        <v>#REF!</v>
      </c>
      <c r="AZ259" t="e">
        <f>AND(#REF!,"AAAAAHf++zM=")</f>
        <v>#REF!</v>
      </c>
      <c r="BA259" t="e">
        <f>AND(#REF!,"AAAAAHf++zQ=")</f>
        <v>#REF!</v>
      </c>
      <c r="BB259" t="e">
        <f>AND(#REF!,"AAAAAHf++zU=")</f>
        <v>#REF!</v>
      </c>
      <c r="BC259" t="e">
        <f>AND(#REF!,"AAAAAHf++zY=")</f>
        <v>#REF!</v>
      </c>
      <c r="BD259" t="e">
        <f>AND(#REF!,"AAAAAHf++zc=")</f>
        <v>#REF!</v>
      </c>
      <c r="BE259" t="e">
        <f>AND(#REF!,"AAAAAHf++zg=")</f>
        <v>#REF!</v>
      </c>
      <c r="BF259" t="e">
        <f>AND(#REF!,"AAAAAHf++zk=")</f>
        <v>#REF!</v>
      </c>
      <c r="BG259" t="e">
        <f>IF(#REF!,"AAAAAHf++zo=",0)</f>
        <v>#REF!</v>
      </c>
      <c r="BH259" t="e">
        <f>AND(#REF!,"AAAAAHf++zs=")</f>
        <v>#REF!</v>
      </c>
      <c r="BI259" t="e">
        <f>AND(#REF!,"AAAAAHf++zw=")</f>
        <v>#REF!</v>
      </c>
      <c r="BJ259" t="e">
        <f>AND(#REF!,"AAAAAHf++z0=")</f>
        <v>#REF!</v>
      </c>
      <c r="BK259" t="e">
        <f>AND(#REF!,"AAAAAHf++z4=")</f>
        <v>#REF!</v>
      </c>
      <c r="BL259" t="e">
        <f>AND(#REF!,"AAAAAHf++z8=")</f>
        <v>#REF!</v>
      </c>
      <c r="BM259" t="e">
        <f>AND(#REF!,"AAAAAHf++0A=")</f>
        <v>#REF!</v>
      </c>
      <c r="BN259" t="e">
        <f>AND(#REF!,"AAAAAHf++0E=")</f>
        <v>#REF!</v>
      </c>
      <c r="BO259" t="e">
        <f>AND(#REF!,"AAAAAHf++0I=")</f>
        <v>#REF!</v>
      </c>
      <c r="BP259" t="e">
        <f>AND(#REF!,"AAAAAHf++0M=")</f>
        <v>#REF!</v>
      </c>
      <c r="BQ259" t="e">
        <f>AND(#REF!,"AAAAAHf++0Q=")</f>
        <v>#REF!</v>
      </c>
      <c r="BR259" t="e">
        <f>IF(#REF!,"AAAAAHf++0U=",0)</f>
        <v>#REF!</v>
      </c>
      <c r="BS259" t="e">
        <f>AND(#REF!,"AAAAAHf++0Y=")</f>
        <v>#REF!</v>
      </c>
      <c r="BT259" t="e">
        <f>AND(#REF!,"AAAAAHf++0c=")</f>
        <v>#REF!</v>
      </c>
      <c r="BU259" t="e">
        <f>AND(#REF!,"AAAAAHf++0g=")</f>
        <v>#REF!</v>
      </c>
      <c r="BV259" t="e">
        <f>AND(#REF!,"AAAAAHf++0k=")</f>
        <v>#REF!</v>
      </c>
      <c r="BW259" t="e">
        <f>AND(#REF!,"AAAAAHf++0o=")</f>
        <v>#REF!</v>
      </c>
      <c r="BX259" t="e">
        <f>AND(#REF!,"AAAAAHf++0s=")</f>
        <v>#REF!</v>
      </c>
      <c r="BY259" t="e">
        <f>AND(#REF!,"AAAAAHf++0w=")</f>
        <v>#REF!</v>
      </c>
      <c r="BZ259" t="e">
        <f>AND(#REF!,"AAAAAHf++00=")</f>
        <v>#REF!</v>
      </c>
      <c r="CA259" t="e">
        <f>AND(#REF!,"AAAAAHf++04=")</f>
        <v>#REF!</v>
      </c>
      <c r="CB259" t="e">
        <f>AND(#REF!,"AAAAAHf++08=")</f>
        <v>#REF!</v>
      </c>
      <c r="CC259" t="e">
        <f>IF(#REF!,"AAAAAHf++1A=",0)</f>
        <v>#REF!</v>
      </c>
      <c r="CD259" t="e">
        <f>AND(#REF!,"AAAAAHf++1E=")</f>
        <v>#REF!</v>
      </c>
      <c r="CE259" t="e">
        <f>AND(#REF!,"AAAAAHf++1I=")</f>
        <v>#REF!</v>
      </c>
      <c r="CF259" t="e">
        <f>AND(#REF!,"AAAAAHf++1M=")</f>
        <v>#REF!</v>
      </c>
      <c r="CG259" t="e">
        <f>AND(#REF!,"AAAAAHf++1Q=")</f>
        <v>#REF!</v>
      </c>
      <c r="CH259" t="e">
        <f>AND(#REF!,"AAAAAHf++1U=")</f>
        <v>#REF!</v>
      </c>
      <c r="CI259" t="e">
        <f>AND(#REF!,"AAAAAHf++1Y=")</f>
        <v>#REF!</v>
      </c>
      <c r="CJ259" t="e">
        <f>AND(#REF!,"AAAAAHf++1c=")</f>
        <v>#REF!</v>
      </c>
      <c r="CK259" t="e">
        <f>AND(#REF!,"AAAAAHf++1g=")</f>
        <v>#REF!</v>
      </c>
      <c r="CL259" t="e">
        <f>AND(#REF!,"AAAAAHf++1k=")</f>
        <v>#REF!</v>
      </c>
      <c r="CM259" t="e">
        <f>AND(#REF!,"AAAAAHf++1o=")</f>
        <v>#REF!</v>
      </c>
      <c r="CN259" t="e">
        <f>IF(#REF!,"AAAAAHf++1s=",0)</f>
        <v>#REF!</v>
      </c>
      <c r="CO259" t="e">
        <f>AND(#REF!,"AAAAAHf++1w=")</f>
        <v>#REF!</v>
      </c>
      <c r="CP259" t="e">
        <f>AND(#REF!,"AAAAAHf++10=")</f>
        <v>#REF!</v>
      </c>
      <c r="CQ259" t="e">
        <f>AND(#REF!,"AAAAAHf++14=")</f>
        <v>#REF!</v>
      </c>
      <c r="CR259" t="e">
        <f>AND(#REF!,"AAAAAHf++18=")</f>
        <v>#REF!</v>
      </c>
      <c r="CS259" t="e">
        <f>AND(#REF!,"AAAAAHf++2A=")</f>
        <v>#REF!</v>
      </c>
      <c r="CT259" t="e">
        <f>AND(#REF!,"AAAAAHf++2E=")</f>
        <v>#REF!</v>
      </c>
      <c r="CU259" t="e">
        <f>AND(#REF!,"AAAAAHf++2I=")</f>
        <v>#REF!</v>
      </c>
      <c r="CV259" t="e">
        <f>AND(#REF!,"AAAAAHf++2M=")</f>
        <v>#REF!</v>
      </c>
      <c r="CW259" t="e">
        <f>AND(#REF!,"AAAAAHf++2Q=")</f>
        <v>#REF!</v>
      </c>
      <c r="CX259" t="e">
        <f>AND(#REF!,"AAAAAHf++2U=")</f>
        <v>#REF!</v>
      </c>
      <c r="CY259" t="e">
        <f>IF(#REF!,"AAAAAHf++2Y=",0)</f>
        <v>#REF!</v>
      </c>
      <c r="CZ259" t="e">
        <f>AND(#REF!,"AAAAAHf++2c=")</f>
        <v>#REF!</v>
      </c>
      <c r="DA259" t="e">
        <f>AND(#REF!,"AAAAAHf++2g=")</f>
        <v>#REF!</v>
      </c>
      <c r="DB259" t="e">
        <f>AND(#REF!,"AAAAAHf++2k=")</f>
        <v>#REF!</v>
      </c>
      <c r="DC259" t="e">
        <f>AND(#REF!,"AAAAAHf++2o=")</f>
        <v>#REF!</v>
      </c>
      <c r="DD259" t="e">
        <f>AND(#REF!,"AAAAAHf++2s=")</f>
        <v>#REF!</v>
      </c>
      <c r="DE259" t="e">
        <f>AND(#REF!,"AAAAAHf++2w=")</f>
        <v>#REF!</v>
      </c>
      <c r="DF259" t="e">
        <f>AND(#REF!,"AAAAAHf++20=")</f>
        <v>#REF!</v>
      </c>
      <c r="DG259" t="e">
        <f>AND(#REF!,"AAAAAHf++24=")</f>
        <v>#REF!</v>
      </c>
      <c r="DH259" t="e">
        <f>AND(#REF!,"AAAAAHf++28=")</f>
        <v>#REF!</v>
      </c>
      <c r="DI259" t="e">
        <f>AND(#REF!,"AAAAAHf++3A=")</f>
        <v>#REF!</v>
      </c>
      <c r="DJ259" t="e">
        <f>IF(#REF!,"AAAAAHf++3E=",0)</f>
        <v>#REF!</v>
      </c>
      <c r="DK259" t="e">
        <f>AND(#REF!,"AAAAAHf++3I=")</f>
        <v>#REF!</v>
      </c>
      <c r="DL259" t="e">
        <f>AND(#REF!,"AAAAAHf++3M=")</f>
        <v>#REF!</v>
      </c>
      <c r="DM259" t="e">
        <f>AND(#REF!,"AAAAAHf++3Q=")</f>
        <v>#REF!</v>
      </c>
      <c r="DN259" t="e">
        <f>AND(#REF!,"AAAAAHf++3U=")</f>
        <v>#REF!</v>
      </c>
      <c r="DO259" t="e">
        <f>AND(#REF!,"AAAAAHf++3Y=")</f>
        <v>#REF!</v>
      </c>
      <c r="DP259" t="e">
        <f>AND(#REF!,"AAAAAHf++3c=")</f>
        <v>#REF!</v>
      </c>
      <c r="DQ259" t="e">
        <f>AND(#REF!,"AAAAAHf++3g=")</f>
        <v>#REF!</v>
      </c>
      <c r="DR259" t="e">
        <f>AND(#REF!,"AAAAAHf++3k=")</f>
        <v>#REF!</v>
      </c>
      <c r="DS259" t="e">
        <f>AND(#REF!,"AAAAAHf++3o=")</f>
        <v>#REF!</v>
      </c>
      <c r="DT259" t="e">
        <f>AND(#REF!,"AAAAAHf++3s=")</f>
        <v>#REF!</v>
      </c>
      <c r="DU259" t="e">
        <f>IF(#REF!,"AAAAAHf++3w=",0)</f>
        <v>#REF!</v>
      </c>
      <c r="DV259" t="e">
        <f>AND(#REF!,"AAAAAHf++30=")</f>
        <v>#REF!</v>
      </c>
      <c r="DW259" t="e">
        <f>AND(#REF!,"AAAAAHf++34=")</f>
        <v>#REF!</v>
      </c>
      <c r="DX259" t="e">
        <f>AND(#REF!,"AAAAAHf++38=")</f>
        <v>#REF!</v>
      </c>
      <c r="DY259" t="e">
        <f>AND(#REF!,"AAAAAHf++4A=")</f>
        <v>#REF!</v>
      </c>
      <c r="DZ259" t="e">
        <f>AND(#REF!,"AAAAAHf++4E=")</f>
        <v>#REF!</v>
      </c>
      <c r="EA259" t="e">
        <f>AND(#REF!,"AAAAAHf++4I=")</f>
        <v>#REF!</v>
      </c>
      <c r="EB259" t="e">
        <f>AND(#REF!,"AAAAAHf++4M=")</f>
        <v>#REF!</v>
      </c>
      <c r="EC259" t="e">
        <f>AND(#REF!,"AAAAAHf++4Q=")</f>
        <v>#REF!</v>
      </c>
      <c r="ED259" t="e">
        <f>AND(#REF!,"AAAAAHf++4U=")</f>
        <v>#REF!</v>
      </c>
      <c r="EE259" t="e">
        <f>AND(#REF!,"AAAAAHf++4Y=")</f>
        <v>#REF!</v>
      </c>
      <c r="EF259" t="e">
        <f>IF(#REF!,"AAAAAHf++4c=",0)</f>
        <v>#REF!</v>
      </c>
      <c r="EG259" t="e">
        <f>AND(#REF!,"AAAAAHf++4g=")</f>
        <v>#REF!</v>
      </c>
      <c r="EH259" t="e">
        <f>AND(#REF!,"AAAAAHf++4k=")</f>
        <v>#REF!</v>
      </c>
      <c r="EI259" t="e">
        <f>AND(#REF!,"AAAAAHf++4o=")</f>
        <v>#REF!</v>
      </c>
      <c r="EJ259" t="e">
        <f>AND(#REF!,"AAAAAHf++4s=")</f>
        <v>#REF!</v>
      </c>
      <c r="EK259" t="e">
        <f>AND(#REF!,"AAAAAHf++4w=")</f>
        <v>#REF!</v>
      </c>
      <c r="EL259" t="e">
        <f>AND(#REF!,"AAAAAHf++40=")</f>
        <v>#REF!</v>
      </c>
      <c r="EM259" t="e">
        <f>AND(#REF!,"AAAAAHf++44=")</f>
        <v>#REF!</v>
      </c>
      <c r="EN259" t="e">
        <f>AND(#REF!,"AAAAAHf++48=")</f>
        <v>#REF!</v>
      </c>
      <c r="EO259" t="e">
        <f>AND(#REF!,"AAAAAHf++5A=")</f>
        <v>#REF!</v>
      </c>
      <c r="EP259" t="e">
        <f>AND(#REF!,"AAAAAHf++5E=")</f>
        <v>#REF!</v>
      </c>
      <c r="EQ259" t="e">
        <f>IF(#REF!,"AAAAAHf++5I=",0)</f>
        <v>#REF!</v>
      </c>
      <c r="ER259" t="e">
        <f>AND(#REF!,"AAAAAHf++5M=")</f>
        <v>#REF!</v>
      </c>
      <c r="ES259" t="e">
        <f>AND(#REF!,"AAAAAHf++5Q=")</f>
        <v>#REF!</v>
      </c>
      <c r="ET259" t="e">
        <f>AND(#REF!,"AAAAAHf++5U=")</f>
        <v>#REF!</v>
      </c>
      <c r="EU259" t="e">
        <f>AND(#REF!,"AAAAAHf++5Y=")</f>
        <v>#REF!</v>
      </c>
      <c r="EV259" t="e">
        <f>AND(#REF!,"AAAAAHf++5c=")</f>
        <v>#REF!</v>
      </c>
      <c r="EW259" t="e">
        <f>AND(#REF!,"AAAAAHf++5g=")</f>
        <v>#REF!</v>
      </c>
      <c r="EX259" t="e">
        <f>AND(#REF!,"AAAAAHf++5k=")</f>
        <v>#REF!</v>
      </c>
      <c r="EY259" t="e">
        <f>AND(#REF!,"AAAAAHf++5o=")</f>
        <v>#REF!</v>
      </c>
      <c r="EZ259" t="e">
        <f>AND(#REF!,"AAAAAHf++5s=")</f>
        <v>#REF!</v>
      </c>
      <c r="FA259" t="e">
        <f>AND(#REF!,"AAAAAHf++5w=")</f>
        <v>#REF!</v>
      </c>
      <c r="FB259" t="e">
        <f>IF(#REF!,"AAAAAHf++50=",0)</f>
        <v>#REF!</v>
      </c>
      <c r="FC259" t="e">
        <f>AND(#REF!,"AAAAAHf++54=")</f>
        <v>#REF!</v>
      </c>
      <c r="FD259" t="e">
        <f>AND(#REF!,"AAAAAHf++58=")</f>
        <v>#REF!</v>
      </c>
      <c r="FE259" t="e">
        <f>AND(#REF!,"AAAAAHf++6A=")</f>
        <v>#REF!</v>
      </c>
      <c r="FF259" t="e">
        <f>AND(#REF!,"AAAAAHf++6E=")</f>
        <v>#REF!</v>
      </c>
      <c r="FG259" t="e">
        <f>AND(#REF!,"AAAAAHf++6I=")</f>
        <v>#REF!</v>
      </c>
      <c r="FH259" t="e">
        <f>AND(#REF!,"AAAAAHf++6M=")</f>
        <v>#REF!</v>
      </c>
      <c r="FI259" t="e">
        <f>AND(#REF!,"AAAAAHf++6Q=")</f>
        <v>#REF!</v>
      </c>
      <c r="FJ259" t="e">
        <f>AND(#REF!,"AAAAAHf++6U=")</f>
        <v>#REF!</v>
      </c>
      <c r="FK259" t="e">
        <f>AND(#REF!,"AAAAAHf++6Y=")</f>
        <v>#REF!</v>
      </c>
      <c r="FL259" t="e">
        <f>AND(#REF!,"AAAAAHf++6c=")</f>
        <v>#REF!</v>
      </c>
      <c r="FM259" t="e">
        <f>IF(#REF!,"AAAAAHf++6g=",0)</f>
        <v>#REF!</v>
      </c>
      <c r="FN259" t="e">
        <f>AND(#REF!,"AAAAAHf++6k=")</f>
        <v>#REF!</v>
      </c>
      <c r="FO259" t="e">
        <f>AND(#REF!,"AAAAAHf++6o=")</f>
        <v>#REF!</v>
      </c>
      <c r="FP259" t="e">
        <f>AND(#REF!,"AAAAAHf++6s=")</f>
        <v>#REF!</v>
      </c>
      <c r="FQ259" t="e">
        <f>AND(#REF!,"AAAAAHf++6w=")</f>
        <v>#REF!</v>
      </c>
      <c r="FR259" t="e">
        <f>AND(#REF!,"AAAAAHf++60=")</f>
        <v>#REF!</v>
      </c>
      <c r="FS259" t="e">
        <f>AND(#REF!,"AAAAAHf++64=")</f>
        <v>#REF!</v>
      </c>
      <c r="FT259" t="e">
        <f>AND(#REF!,"AAAAAHf++68=")</f>
        <v>#REF!</v>
      </c>
      <c r="FU259" t="e">
        <f>AND(#REF!,"AAAAAHf++7A=")</f>
        <v>#REF!</v>
      </c>
      <c r="FV259" t="e">
        <f>AND(#REF!,"AAAAAHf++7E=")</f>
        <v>#REF!</v>
      </c>
      <c r="FW259" t="e">
        <f>AND(#REF!,"AAAAAHf++7I=")</f>
        <v>#REF!</v>
      </c>
      <c r="FX259" t="e">
        <f>IF(#REF!,"AAAAAHf++7M=",0)</f>
        <v>#REF!</v>
      </c>
      <c r="FY259" t="e">
        <f>AND(#REF!,"AAAAAHf++7Q=")</f>
        <v>#REF!</v>
      </c>
      <c r="FZ259" t="e">
        <f>AND(#REF!,"AAAAAHf++7U=")</f>
        <v>#REF!</v>
      </c>
      <c r="GA259" t="e">
        <f>AND(#REF!,"AAAAAHf++7Y=")</f>
        <v>#REF!</v>
      </c>
      <c r="GB259" t="e">
        <f>AND(#REF!,"AAAAAHf++7c=")</f>
        <v>#REF!</v>
      </c>
      <c r="GC259" t="e">
        <f>AND(#REF!,"AAAAAHf++7g=")</f>
        <v>#REF!</v>
      </c>
      <c r="GD259" t="e">
        <f>AND(#REF!,"AAAAAHf++7k=")</f>
        <v>#REF!</v>
      </c>
      <c r="GE259" t="e">
        <f>AND(#REF!,"AAAAAHf++7o=")</f>
        <v>#REF!</v>
      </c>
      <c r="GF259" t="e">
        <f>AND(#REF!,"AAAAAHf++7s=")</f>
        <v>#REF!</v>
      </c>
      <c r="GG259" t="e">
        <f>AND(#REF!,"AAAAAHf++7w=")</f>
        <v>#REF!</v>
      </c>
      <c r="GH259" t="e">
        <f>AND(#REF!,"AAAAAHf++70=")</f>
        <v>#REF!</v>
      </c>
      <c r="GI259" t="e">
        <f>IF(#REF!,"AAAAAHf++74=",0)</f>
        <v>#REF!</v>
      </c>
      <c r="GJ259" t="e">
        <f>AND(#REF!,"AAAAAHf++78=")</f>
        <v>#REF!</v>
      </c>
      <c r="GK259" t="e">
        <f>AND(#REF!,"AAAAAHf++8A=")</f>
        <v>#REF!</v>
      </c>
      <c r="GL259" t="e">
        <f>AND(#REF!,"AAAAAHf++8E=")</f>
        <v>#REF!</v>
      </c>
      <c r="GM259" t="e">
        <f>AND(#REF!,"AAAAAHf++8I=")</f>
        <v>#REF!</v>
      </c>
      <c r="GN259" t="e">
        <f>AND(#REF!,"AAAAAHf++8M=")</f>
        <v>#REF!</v>
      </c>
      <c r="GO259" t="e">
        <f>AND(#REF!,"AAAAAHf++8Q=")</f>
        <v>#REF!</v>
      </c>
      <c r="GP259" t="e">
        <f>AND(#REF!,"AAAAAHf++8U=")</f>
        <v>#REF!</v>
      </c>
      <c r="GQ259" t="e">
        <f>AND(#REF!,"AAAAAHf++8Y=")</f>
        <v>#REF!</v>
      </c>
      <c r="GR259" t="e">
        <f>AND(#REF!,"AAAAAHf++8c=")</f>
        <v>#REF!</v>
      </c>
      <c r="GS259" t="e">
        <f>AND(#REF!,"AAAAAHf++8g=")</f>
        <v>#REF!</v>
      </c>
      <c r="GT259" t="e">
        <f>IF(#REF!,"AAAAAHf++8k=",0)</f>
        <v>#REF!</v>
      </c>
      <c r="GU259" t="e">
        <f>AND(#REF!,"AAAAAHf++8o=")</f>
        <v>#REF!</v>
      </c>
      <c r="GV259" t="e">
        <f>AND(#REF!,"AAAAAHf++8s=")</f>
        <v>#REF!</v>
      </c>
      <c r="GW259" t="e">
        <f>AND(#REF!,"AAAAAHf++8w=")</f>
        <v>#REF!</v>
      </c>
      <c r="GX259" t="e">
        <f>AND(#REF!,"AAAAAHf++80=")</f>
        <v>#REF!</v>
      </c>
      <c r="GY259" t="e">
        <f>AND(#REF!,"AAAAAHf++84=")</f>
        <v>#REF!</v>
      </c>
      <c r="GZ259" t="e">
        <f>AND(#REF!,"AAAAAHf++88=")</f>
        <v>#REF!</v>
      </c>
      <c r="HA259" t="e">
        <f>AND(#REF!,"AAAAAHf++9A=")</f>
        <v>#REF!</v>
      </c>
      <c r="HB259" t="e">
        <f>AND(#REF!,"AAAAAHf++9E=")</f>
        <v>#REF!</v>
      </c>
      <c r="HC259" t="e">
        <f>AND(#REF!,"AAAAAHf++9I=")</f>
        <v>#REF!</v>
      </c>
      <c r="HD259" t="e">
        <f>AND(#REF!,"AAAAAHf++9M=")</f>
        <v>#REF!</v>
      </c>
      <c r="HE259" t="e">
        <f>IF(#REF!,"AAAAAHf++9Q=",0)</f>
        <v>#REF!</v>
      </c>
      <c r="HF259" t="e">
        <f>AND(#REF!,"AAAAAHf++9U=")</f>
        <v>#REF!</v>
      </c>
      <c r="HG259" t="e">
        <f>AND(#REF!,"AAAAAHf++9Y=")</f>
        <v>#REF!</v>
      </c>
      <c r="HH259" t="e">
        <f>AND(#REF!,"AAAAAHf++9c=")</f>
        <v>#REF!</v>
      </c>
      <c r="HI259" t="e">
        <f>AND(#REF!,"AAAAAHf++9g=")</f>
        <v>#REF!</v>
      </c>
      <c r="HJ259" t="e">
        <f>AND(#REF!,"AAAAAHf++9k=")</f>
        <v>#REF!</v>
      </c>
      <c r="HK259" t="e">
        <f>AND(#REF!,"AAAAAHf++9o=")</f>
        <v>#REF!</v>
      </c>
      <c r="HL259" t="e">
        <f>AND(#REF!,"AAAAAHf++9s=")</f>
        <v>#REF!</v>
      </c>
      <c r="HM259" t="e">
        <f>AND(#REF!,"AAAAAHf++9w=")</f>
        <v>#REF!</v>
      </c>
      <c r="HN259" t="e">
        <f>AND(#REF!,"AAAAAHf++90=")</f>
        <v>#REF!</v>
      </c>
      <c r="HO259" t="e">
        <f>AND(#REF!,"AAAAAHf++94=")</f>
        <v>#REF!</v>
      </c>
      <c r="HP259" t="e">
        <f>IF(#REF!,"AAAAAHf++98=",0)</f>
        <v>#REF!</v>
      </c>
      <c r="HQ259" t="e">
        <f>AND(#REF!,"AAAAAHf+++A=")</f>
        <v>#REF!</v>
      </c>
      <c r="HR259" t="e">
        <f>AND(#REF!,"AAAAAHf+++E=")</f>
        <v>#REF!</v>
      </c>
      <c r="HS259" t="e">
        <f>AND(#REF!,"AAAAAHf+++I=")</f>
        <v>#REF!</v>
      </c>
      <c r="HT259" t="e">
        <f>AND(#REF!,"AAAAAHf+++M=")</f>
        <v>#REF!</v>
      </c>
      <c r="HU259" t="e">
        <f>AND(#REF!,"AAAAAHf+++Q=")</f>
        <v>#REF!</v>
      </c>
      <c r="HV259" t="e">
        <f>AND(#REF!,"AAAAAHf+++U=")</f>
        <v>#REF!</v>
      </c>
      <c r="HW259" t="e">
        <f>AND(#REF!,"AAAAAHf+++Y=")</f>
        <v>#REF!</v>
      </c>
      <c r="HX259" t="e">
        <f>AND(#REF!,"AAAAAHf+++c=")</f>
        <v>#REF!</v>
      </c>
      <c r="HY259" t="e">
        <f>AND(#REF!,"AAAAAHf+++g=")</f>
        <v>#REF!</v>
      </c>
      <c r="HZ259" t="e">
        <f>AND(#REF!,"AAAAAHf+++k=")</f>
        <v>#REF!</v>
      </c>
      <c r="IA259" t="e">
        <f>IF(#REF!,"AAAAAHf+++o=",0)</f>
        <v>#REF!</v>
      </c>
      <c r="IB259" t="e">
        <f>AND(#REF!,"AAAAAHf+++s=")</f>
        <v>#REF!</v>
      </c>
      <c r="IC259" t="e">
        <f>AND(#REF!,"AAAAAHf+++w=")</f>
        <v>#REF!</v>
      </c>
      <c r="ID259" t="e">
        <f>AND(#REF!,"AAAAAHf+++0=")</f>
        <v>#REF!</v>
      </c>
      <c r="IE259" t="e">
        <f>AND(#REF!,"AAAAAHf+++4=")</f>
        <v>#REF!</v>
      </c>
      <c r="IF259" t="e">
        <f>AND(#REF!,"AAAAAHf+++8=")</f>
        <v>#REF!</v>
      </c>
      <c r="IG259" t="e">
        <f>AND(#REF!,"AAAAAHf++/A=")</f>
        <v>#REF!</v>
      </c>
      <c r="IH259" t="e">
        <f>AND(#REF!,"AAAAAHf++/E=")</f>
        <v>#REF!</v>
      </c>
      <c r="II259" t="e">
        <f>AND(#REF!,"AAAAAHf++/I=")</f>
        <v>#REF!</v>
      </c>
      <c r="IJ259" t="e">
        <f>AND(#REF!,"AAAAAHf++/M=")</f>
        <v>#REF!</v>
      </c>
      <c r="IK259" t="e">
        <f>AND(#REF!,"AAAAAHf++/Q=")</f>
        <v>#REF!</v>
      </c>
      <c r="IL259" t="e">
        <f>IF(#REF!,"AAAAAHf++/U=",0)</f>
        <v>#REF!</v>
      </c>
      <c r="IM259" t="e">
        <f>AND(#REF!,"AAAAAHf++/Y=")</f>
        <v>#REF!</v>
      </c>
      <c r="IN259" t="e">
        <f>AND(#REF!,"AAAAAHf++/c=")</f>
        <v>#REF!</v>
      </c>
      <c r="IO259" t="e">
        <f>AND(#REF!,"AAAAAHf++/g=")</f>
        <v>#REF!</v>
      </c>
      <c r="IP259" t="e">
        <f>AND(#REF!,"AAAAAHf++/k=")</f>
        <v>#REF!</v>
      </c>
      <c r="IQ259" t="e">
        <f>AND(#REF!,"AAAAAHf++/o=")</f>
        <v>#REF!</v>
      </c>
      <c r="IR259" t="e">
        <f>AND(#REF!,"AAAAAHf++/s=")</f>
        <v>#REF!</v>
      </c>
      <c r="IS259" t="e">
        <f>AND(#REF!,"AAAAAHf++/w=")</f>
        <v>#REF!</v>
      </c>
      <c r="IT259" t="e">
        <f>AND(#REF!,"AAAAAHf++/0=")</f>
        <v>#REF!</v>
      </c>
      <c r="IU259" t="e">
        <f>AND(#REF!,"AAAAAHf++/4=")</f>
        <v>#REF!</v>
      </c>
      <c r="IV259" t="e">
        <f>AND(#REF!,"AAAAAHf++/8=")</f>
        <v>#REF!</v>
      </c>
    </row>
    <row r="260" spans="1:256" x14ac:dyDescent="0.25">
      <c r="A260" t="e">
        <f>IF(#REF!,"AAAAAH7b9QA=",0)</f>
        <v>#REF!</v>
      </c>
      <c r="B260" t="e">
        <f>AND(#REF!,"AAAAAH7b9QE=")</f>
        <v>#REF!</v>
      </c>
      <c r="C260" t="e">
        <f>AND(#REF!,"AAAAAH7b9QI=")</f>
        <v>#REF!</v>
      </c>
      <c r="D260" t="e">
        <f>AND(#REF!,"AAAAAH7b9QM=")</f>
        <v>#REF!</v>
      </c>
      <c r="E260" t="e">
        <f>AND(#REF!,"AAAAAH7b9QQ=")</f>
        <v>#REF!</v>
      </c>
      <c r="F260" t="e">
        <f>AND(#REF!,"AAAAAH7b9QU=")</f>
        <v>#REF!</v>
      </c>
      <c r="G260" t="e">
        <f>AND(#REF!,"AAAAAH7b9QY=")</f>
        <v>#REF!</v>
      </c>
      <c r="H260" t="e">
        <f>AND(#REF!,"AAAAAH7b9Qc=")</f>
        <v>#REF!</v>
      </c>
      <c r="I260" t="e">
        <f>AND(#REF!,"AAAAAH7b9Qg=")</f>
        <v>#REF!</v>
      </c>
      <c r="J260" t="e">
        <f>AND(#REF!,"AAAAAH7b9Qk=")</f>
        <v>#REF!</v>
      </c>
      <c r="K260" t="e">
        <f>AND(#REF!,"AAAAAH7b9Qo=")</f>
        <v>#REF!</v>
      </c>
      <c r="L260" t="e">
        <f>IF(#REF!,"AAAAAH7b9Qs=",0)</f>
        <v>#REF!</v>
      </c>
      <c r="M260" t="e">
        <f>AND(#REF!,"AAAAAH7b9Qw=")</f>
        <v>#REF!</v>
      </c>
      <c r="N260" t="e">
        <f>AND(#REF!,"AAAAAH7b9Q0=")</f>
        <v>#REF!</v>
      </c>
      <c r="O260" t="e">
        <f>AND(#REF!,"AAAAAH7b9Q4=")</f>
        <v>#REF!</v>
      </c>
      <c r="P260" t="e">
        <f>AND(#REF!,"AAAAAH7b9Q8=")</f>
        <v>#REF!</v>
      </c>
      <c r="Q260" t="e">
        <f>AND(#REF!,"AAAAAH7b9RA=")</f>
        <v>#REF!</v>
      </c>
      <c r="R260" t="e">
        <f>AND(#REF!,"AAAAAH7b9RE=")</f>
        <v>#REF!</v>
      </c>
      <c r="S260" t="e">
        <f>AND(#REF!,"AAAAAH7b9RI=")</f>
        <v>#REF!</v>
      </c>
      <c r="T260" t="e">
        <f>AND(#REF!,"AAAAAH7b9RM=")</f>
        <v>#REF!</v>
      </c>
      <c r="U260" t="e">
        <f>AND(#REF!,"AAAAAH7b9RQ=")</f>
        <v>#REF!</v>
      </c>
      <c r="V260" t="e">
        <f>AND(#REF!,"AAAAAH7b9RU=")</f>
        <v>#REF!</v>
      </c>
      <c r="W260" t="e">
        <f>IF(#REF!,"AAAAAH7b9RY=",0)</f>
        <v>#REF!</v>
      </c>
      <c r="X260" t="e">
        <f>AND(#REF!,"AAAAAH7b9Rc=")</f>
        <v>#REF!</v>
      </c>
      <c r="Y260" t="e">
        <f>AND(#REF!,"AAAAAH7b9Rg=")</f>
        <v>#REF!</v>
      </c>
      <c r="Z260" t="e">
        <f>AND(#REF!,"AAAAAH7b9Rk=")</f>
        <v>#REF!</v>
      </c>
      <c r="AA260" t="e">
        <f>AND(#REF!,"AAAAAH7b9Ro=")</f>
        <v>#REF!</v>
      </c>
      <c r="AB260" t="e">
        <f>AND(#REF!,"AAAAAH7b9Rs=")</f>
        <v>#REF!</v>
      </c>
      <c r="AC260" t="e">
        <f>AND(#REF!,"AAAAAH7b9Rw=")</f>
        <v>#REF!</v>
      </c>
      <c r="AD260" t="e">
        <f>AND(#REF!,"AAAAAH7b9R0=")</f>
        <v>#REF!</v>
      </c>
      <c r="AE260" t="e">
        <f>AND(#REF!,"AAAAAH7b9R4=")</f>
        <v>#REF!</v>
      </c>
      <c r="AF260" t="e">
        <f>AND(#REF!,"AAAAAH7b9R8=")</f>
        <v>#REF!</v>
      </c>
      <c r="AG260" t="e">
        <f>AND(#REF!,"AAAAAH7b9SA=")</f>
        <v>#REF!</v>
      </c>
      <c r="AH260" t="e">
        <f>IF(#REF!,"AAAAAH7b9SE=",0)</f>
        <v>#REF!</v>
      </c>
      <c r="AI260" t="e">
        <f>AND(#REF!,"AAAAAH7b9SI=")</f>
        <v>#REF!</v>
      </c>
      <c r="AJ260" t="e">
        <f>AND(#REF!,"AAAAAH7b9SM=")</f>
        <v>#REF!</v>
      </c>
      <c r="AK260" t="e">
        <f>AND(#REF!,"AAAAAH7b9SQ=")</f>
        <v>#REF!</v>
      </c>
      <c r="AL260" t="e">
        <f>AND(#REF!,"AAAAAH7b9SU=")</f>
        <v>#REF!</v>
      </c>
      <c r="AM260" t="e">
        <f>AND(#REF!,"AAAAAH7b9SY=")</f>
        <v>#REF!</v>
      </c>
      <c r="AN260" t="e">
        <f>AND(#REF!,"AAAAAH7b9Sc=")</f>
        <v>#REF!</v>
      </c>
      <c r="AO260" t="e">
        <f>AND(#REF!,"AAAAAH7b9Sg=")</f>
        <v>#REF!</v>
      </c>
      <c r="AP260" t="e">
        <f>AND(#REF!,"AAAAAH7b9Sk=")</f>
        <v>#REF!</v>
      </c>
      <c r="AQ260" t="e">
        <f>AND(#REF!,"AAAAAH7b9So=")</f>
        <v>#REF!</v>
      </c>
      <c r="AR260" t="e">
        <f>AND(#REF!,"AAAAAH7b9Ss=")</f>
        <v>#REF!</v>
      </c>
      <c r="AS260" t="e">
        <f>IF(#REF!,"AAAAAH7b9Sw=",0)</f>
        <v>#REF!</v>
      </c>
      <c r="AT260" t="e">
        <f>AND(#REF!,"AAAAAH7b9S0=")</f>
        <v>#REF!</v>
      </c>
      <c r="AU260" t="e">
        <f>AND(#REF!,"AAAAAH7b9S4=")</f>
        <v>#REF!</v>
      </c>
      <c r="AV260" t="e">
        <f>AND(#REF!,"AAAAAH7b9S8=")</f>
        <v>#REF!</v>
      </c>
      <c r="AW260" t="e">
        <f>AND(#REF!,"AAAAAH7b9TA=")</f>
        <v>#REF!</v>
      </c>
      <c r="AX260" t="e">
        <f>AND(#REF!,"AAAAAH7b9TE=")</f>
        <v>#REF!</v>
      </c>
      <c r="AY260" t="e">
        <f>AND(#REF!,"AAAAAH7b9TI=")</f>
        <v>#REF!</v>
      </c>
      <c r="AZ260" t="e">
        <f>AND(#REF!,"AAAAAH7b9TM=")</f>
        <v>#REF!</v>
      </c>
      <c r="BA260" t="e">
        <f>AND(#REF!,"AAAAAH7b9TQ=")</f>
        <v>#REF!</v>
      </c>
      <c r="BB260" t="e">
        <f>AND(#REF!,"AAAAAH7b9TU=")</f>
        <v>#REF!</v>
      </c>
      <c r="BC260" t="e">
        <f>AND(#REF!,"AAAAAH7b9TY=")</f>
        <v>#REF!</v>
      </c>
      <c r="BD260" t="e">
        <f>IF(#REF!,"AAAAAH7b9Tc=",0)</f>
        <v>#REF!</v>
      </c>
      <c r="BE260" t="e">
        <f>AND(#REF!,"AAAAAH7b9Tg=")</f>
        <v>#REF!</v>
      </c>
      <c r="BF260" t="e">
        <f>AND(#REF!,"AAAAAH7b9Tk=")</f>
        <v>#REF!</v>
      </c>
      <c r="BG260" t="e">
        <f>AND(#REF!,"AAAAAH7b9To=")</f>
        <v>#REF!</v>
      </c>
      <c r="BH260" t="e">
        <f>AND(#REF!,"AAAAAH7b9Ts=")</f>
        <v>#REF!</v>
      </c>
      <c r="BI260" t="e">
        <f>AND(#REF!,"AAAAAH7b9Tw=")</f>
        <v>#REF!</v>
      </c>
      <c r="BJ260" t="e">
        <f>AND(#REF!,"AAAAAH7b9T0=")</f>
        <v>#REF!</v>
      </c>
      <c r="BK260" t="e">
        <f>AND(#REF!,"AAAAAH7b9T4=")</f>
        <v>#REF!</v>
      </c>
      <c r="BL260" t="e">
        <f>AND(#REF!,"AAAAAH7b9T8=")</f>
        <v>#REF!</v>
      </c>
      <c r="BM260" t="e">
        <f>AND(#REF!,"AAAAAH7b9UA=")</f>
        <v>#REF!</v>
      </c>
      <c r="BN260" t="e">
        <f>AND(#REF!,"AAAAAH7b9UE=")</f>
        <v>#REF!</v>
      </c>
      <c r="BO260" t="e">
        <f>IF(#REF!,"AAAAAH7b9UI=",0)</f>
        <v>#REF!</v>
      </c>
      <c r="BP260" t="e">
        <f>AND(#REF!,"AAAAAH7b9UM=")</f>
        <v>#REF!</v>
      </c>
      <c r="BQ260" t="e">
        <f>AND(#REF!,"AAAAAH7b9UQ=")</f>
        <v>#REF!</v>
      </c>
      <c r="BR260" t="e">
        <f>AND(#REF!,"AAAAAH7b9UU=")</f>
        <v>#REF!</v>
      </c>
      <c r="BS260" t="e">
        <f>AND(#REF!,"AAAAAH7b9UY=")</f>
        <v>#REF!</v>
      </c>
      <c r="BT260" t="e">
        <f>AND(#REF!,"AAAAAH7b9Uc=")</f>
        <v>#REF!</v>
      </c>
      <c r="BU260" t="e">
        <f>AND(#REF!,"AAAAAH7b9Ug=")</f>
        <v>#REF!</v>
      </c>
      <c r="BV260" t="e">
        <f>AND(#REF!,"AAAAAH7b9Uk=")</f>
        <v>#REF!</v>
      </c>
      <c r="BW260" t="e">
        <f>AND(#REF!,"AAAAAH7b9Uo=")</f>
        <v>#REF!</v>
      </c>
      <c r="BX260" t="e">
        <f>AND(#REF!,"AAAAAH7b9Us=")</f>
        <v>#REF!</v>
      </c>
      <c r="BY260" t="e">
        <f>AND(#REF!,"AAAAAH7b9Uw=")</f>
        <v>#REF!</v>
      </c>
      <c r="BZ260" t="e">
        <f>IF(#REF!,"AAAAAH7b9U0=",0)</f>
        <v>#REF!</v>
      </c>
      <c r="CA260" t="e">
        <f>AND(#REF!,"AAAAAH7b9U4=")</f>
        <v>#REF!</v>
      </c>
      <c r="CB260" t="e">
        <f>AND(#REF!,"AAAAAH7b9U8=")</f>
        <v>#REF!</v>
      </c>
      <c r="CC260" t="e">
        <f>AND(#REF!,"AAAAAH7b9VA=")</f>
        <v>#REF!</v>
      </c>
      <c r="CD260" t="e">
        <f>AND(#REF!,"AAAAAH7b9VE=")</f>
        <v>#REF!</v>
      </c>
      <c r="CE260" t="e">
        <f>AND(#REF!,"AAAAAH7b9VI=")</f>
        <v>#REF!</v>
      </c>
      <c r="CF260" t="e">
        <f>AND(#REF!,"AAAAAH7b9VM=")</f>
        <v>#REF!</v>
      </c>
      <c r="CG260" t="e">
        <f>AND(#REF!,"AAAAAH7b9VQ=")</f>
        <v>#REF!</v>
      </c>
      <c r="CH260" t="e">
        <f>AND(#REF!,"AAAAAH7b9VU=")</f>
        <v>#REF!</v>
      </c>
      <c r="CI260" t="e">
        <f>AND(#REF!,"AAAAAH7b9VY=")</f>
        <v>#REF!</v>
      </c>
      <c r="CJ260" t="e">
        <f>AND(#REF!,"AAAAAH7b9Vc=")</f>
        <v>#REF!</v>
      </c>
      <c r="CK260" t="e">
        <f>IF(#REF!,"AAAAAH7b9Vg=",0)</f>
        <v>#REF!</v>
      </c>
      <c r="CL260" t="e">
        <f>AND(#REF!,"AAAAAH7b9Vk=")</f>
        <v>#REF!</v>
      </c>
      <c r="CM260" t="e">
        <f>AND(#REF!,"AAAAAH7b9Vo=")</f>
        <v>#REF!</v>
      </c>
      <c r="CN260" t="e">
        <f>AND(#REF!,"AAAAAH7b9Vs=")</f>
        <v>#REF!</v>
      </c>
      <c r="CO260" t="e">
        <f>AND(#REF!,"AAAAAH7b9Vw=")</f>
        <v>#REF!</v>
      </c>
      <c r="CP260" t="e">
        <f>AND(#REF!,"AAAAAH7b9V0=")</f>
        <v>#REF!</v>
      </c>
      <c r="CQ260" t="e">
        <f>AND(#REF!,"AAAAAH7b9V4=")</f>
        <v>#REF!</v>
      </c>
      <c r="CR260" t="e">
        <f>AND(#REF!,"AAAAAH7b9V8=")</f>
        <v>#REF!</v>
      </c>
      <c r="CS260" t="e">
        <f>AND(#REF!,"AAAAAH7b9WA=")</f>
        <v>#REF!</v>
      </c>
      <c r="CT260" t="e">
        <f>AND(#REF!,"AAAAAH7b9WE=")</f>
        <v>#REF!</v>
      </c>
      <c r="CU260" t="e">
        <f>AND(#REF!,"AAAAAH7b9WI=")</f>
        <v>#REF!</v>
      </c>
      <c r="CV260" t="e">
        <f>IF(#REF!,"AAAAAH7b9WM=",0)</f>
        <v>#REF!</v>
      </c>
      <c r="CW260" t="e">
        <f>AND(#REF!,"AAAAAH7b9WQ=")</f>
        <v>#REF!</v>
      </c>
      <c r="CX260" t="e">
        <f>AND(#REF!,"AAAAAH7b9WU=")</f>
        <v>#REF!</v>
      </c>
      <c r="CY260" t="e">
        <f>AND(#REF!,"AAAAAH7b9WY=")</f>
        <v>#REF!</v>
      </c>
      <c r="CZ260" t="e">
        <f>AND(#REF!,"AAAAAH7b9Wc=")</f>
        <v>#REF!</v>
      </c>
      <c r="DA260" t="e">
        <f>AND(#REF!,"AAAAAH7b9Wg=")</f>
        <v>#REF!</v>
      </c>
      <c r="DB260" t="e">
        <f>AND(#REF!,"AAAAAH7b9Wk=")</f>
        <v>#REF!</v>
      </c>
      <c r="DC260" t="e">
        <f>AND(#REF!,"AAAAAH7b9Wo=")</f>
        <v>#REF!</v>
      </c>
      <c r="DD260" t="e">
        <f>AND(#REF!,"AAAAAH7b9Ws=")</f>
        <v>#REF!</v>
      </c>
      <c r="DE260" t="e">
        <f>AND(#REF!,"AAAAAH7b9Ww=")</f>
        <v>#REF!</v>
      </c>
      <c r="DF260" t="e">
        <f>AND(#REF!,"AAAAAH7b9W0=")</f>
        <v>#REF!</v>
      </c>
      <c r="DG260" t="e">
        <f>IF(#REF!,"AAAAAH7b9W4=",0)</f>
        <v>#REF!</v>
      </c>
      <c r="DH260" t="e">
        <f>AND(#REF!,"AAAAAH7b9W8=")</f>
        <v>#REF!</v>
      </c>
      <c r="DI260" t="e">
        <f>AND(#REF!,"AAAAAH7b9XA=")</f>
        <v>#REF!</v>
      </c>
      <c r="DJ260" t="e">
        <f>AND(#REF!,"AAAAAH7b9XE=")</f>
        <v>#REF!</v>
      </c>
      <c r="DK260" t="e">
        <f>AND(#REF!,"AAAAAH7b9XI=")</f>
        <v>#REF!</v>
      </c>
      <c r="DL260" t="e">
        <f>AND(#REF!,"AAAAAH7b9XM=")</f>
        <v>#REF!</v>
      </c>
      <c r="DM260" t="e">
        <f>AND(#REF!,"AAAAAH7b9XQ=")</f>
        <v>#REF!</v>
      </c>
      <c r="DN260" t="e">
        <f>AND(#REF!,"AAAAAH7b9XU=")</f>
        <v>#REF!</v>
      </c>
      <c r="DO260" t="e">
        <f>AND(#REF!,"AAAAAH7b9XY=")</f>
        <v>#REF!</v>
      </c>
      <c r="DP260" t="e">
        <f>AND(#REF!,"AAAAAH7b9Xc=")</f>
        <v>#REF!</v>
      </c>
      <c r="DQ260" t="e">
        <f>AND(#REF!,"AAAAAH7b9Xg=")</f>
        <v>#REF!</v>
      </c>
      <c r="DR260" t="e">
        <f>IF(#REF!,"AAAAAH7b9Xk=",0)</f>
        <v>#REF!</v>
      </c>
      <c r="DS260" t="e">
        <f>AND(#REF!,"AAAAAH7b9Xo=")</f>
        <v>#REF!</v>
      </c>
      <c r="DT260" t="e">
        <f>AND(#REF!,"AAAAAH7b9Xs=")</f>
        <v>#REF!</v>
      </c>
      <c r="DU260" t="e">
        <f>AND(#REF!,"AAAAAH7b9Xw=")</f>
        <v>#REF!</v>
      </c>
      <c r="DV260" t="e">
        <f>AND(#REF!,"AAAAAH7b9X0=")</f>
        <v>#REF!</v>
      </c>
      <c r="DW260" t="e">
        <f>AND(#REF!,"AAAAAH7b9X4=")</f>
        <v>#REF!</v>
      </c>
      <c r="DX260" t="e">
        <f>AND(#REF!,"AAAAAH7b9X8=")</f>
        <v>#REF!</v>
      </c>
      <c r="DY260" t="e">
        <f>AND(#REF!,"AAAAAH7b9YA=")</f>
        <v>#REF!</v>
      </c>
      <c r="DZ260" t="e">
        <f>AND(#REF!,"AAAAAH7b9YE=")</f>
        <v>#REF!</v>
      </c>
      <c r="EA260" t="e">
        <f>AND(#REF!,"AAAAAH7b9YI=")</f>
        <v>#REF!</v>
      </c>
      <c r="EB260" t="e">
        <f>AND(#REF!,"AAAAAH7b9YM=")</f>
        <v>#REF!</v>
      </c>
      <c r="EC260" t="e">
        <f>IF(#REF!,"AAAAAH7b9YQ=",0)</f>
        <v>#REF!</v>
      </c>
      <c r="ED260" t="e">
        <f>AND(#REF!,"AAAAAH7b9YU=")</f>
        <v>#REF!</v>
      </c>
      <c r="EE260" t="e">
        <f>AND(#REF!,"AAAAAH7b9YY=")</f>
        <v>#REF!</v>
      </c>
      <c r="EF260" t="e">
        <f>AND(#REF!,"AAAAAH7b9Yc=")</f>
        <v>#REF!</v>
      </c>
      <c r="EG260" t="e">
        <f>AND(#REF!,"AAAAAH7b9Yg=")</f>
        <v>#REF!</v>
      </c>
      <c r="EH260" t="e">
        <f>AND(#REF!,"AAAAAH7b9Yk=")</f>
        <v>#REF!</v>
      </c>
      <c r="EI260" t="e">
        <f>AND(#REF!,"AAAAAH7b9Yo=")</f>
        <v>#REF!</v>
      </c>
      <c r="EJ260" t="e">
        <f>AND(#REF!,"AAAAAH7b9Ys=")</f>
        <v>#REF!</v>
      </c>
      <c r="EK260" t="e">
        <f>AND(#REF!,"AAAAAH7b9Yw=")</f>
        <v>#REF!</v>
      </c>
      <c r="EL260" t="e">
        <f>AND(#REF!,"AAAAAH7b9Y0=")</f>
        <v>#REF!</v>
      </c>
      <c r="EM260" t="e">
        <f>AND(#REF!,"AAAAAH7b9Y4=")</f>
        <v>#REF!</v>
      </c>
      <c r="EN260" t="e">
        <f>IF(#REF!,"AAAAAH7b9Y8=",0)</f>
        <v>#REF!</v>
      </c>
      <c r="EO260" t="e">
        <f>AND(#REF!,"AAAAAH7b9ZA=")</f>
        <v>#REF!</v>
      </c>
      <c r="EP260" t="e">
        <f>AND(#REF!,"AAAAAH7b9ZE=")</f>
        <v>#REF!</v>
      </c>
      <c r="EQ260" t="e">
        <f>AND(#REF!,"AAAAAH7b9ZI=")</f>
        <v>#REF!</v>
      </c>
      <c r="ER260" t="e">
        <f>AND(#REF!,"AAAAAH7b9ZM=")</f>
        <v>#REF!</v>
      </c>
      <c r="ES260" t="e">
        <f>AND(#REF!,"AAAAAH7b9ZQ=")</f>
        <v>#REF!</v>
      </c>
      <c r="ET260" t="e">
        <f>AND(#REF!,"AAAAAH7b9ZU=")</f>
        <v>#REF!</v>
      </c>
      <c r="EU260" t="e">
        <f>AND(#REF!,"AAAAAH7b9ZY=")</f>
        <v>#REF!</v>
      </c>
      <c r="EV260" t="e">
        <f>AND(#REF!,"AAAAAH7b9Zc=")</f>
        <v>#REF!</v>
      </c>
      <c r="EW260" t="e">
        <f>AND(#REF!,"AAAAAH7b9Zg=")</f>
        <v>#REF!</v>
      </c>
      <c r="EX260" t="e">
        <f>AND(#REF!,"AAAAAH7b9Zk=")</f>
        <v>#REF!</v>
      </c>
      <c r="EY260" t="e">
        <f>IF(#REF!,"AAAAAH7b9Zo=",0)</f>
        <v>#REF!</v>
      </c>
      <c r="EZ260" t="e">
        <f>AND(#REF!,"AAAAAH7b9Zs=")</f>
        <v>#REF!</v>
      </c>
      <c r="FA260" t="e">
        <f>AND(#REF!,"AAAAAH7b9Zw=")</f>
        <v>#REF!</v>
      </c>
      <c r="FB260" t="e">
        <f>AND(#REF!,"AAAAAH7b9Z0=")</f>
        <v>#REF!</v>
      </c>
      <c r="FC260" t="e">
        <f>AND(#REF!,"AAAAAH7b9Z4=")</f>
        <v>#REF!</v>
      </c>
      <c r="FD260" t="e">
        <f>AND(#REF!,"AAAAAH7b9Z8=")</f>
        <v>#REF!</v>
      </c>
      <c r="FE260" t="e">
        <f>AND(#REF!,"AAAAAH7b9aA=")</f>
        <v>#REF!</v>
      </c>
      <c r="FF260" t="e">
        <f>AND(#REF!,"AAAAAH7b9aE=")</f>
        <v>#REF!</v>
      </c>
      <c r="FG260" t="e">
        <f>AND(#REF!,"AAAAAH7b9aI=")</f>
        <v>#REF!</v>
      </c>
      <c r="FH260" t="e">
        <f>AND(#REF!,"AAAAAH7b9aM=")</f>
        <v>#REF!</v>
      </c>
      <c r="FI260" t="e">
        <f>AND(#REF!,"AAAAAH7b9aQ=")</f>
        <v>#REF!</v>
      </c>
      <c r="FJ260" t="e">
        <f>IF(#REF!,"AAAAAH7b9aU=",0)</f>
        <v>#REF!</v>
      </c>
      <c r="FK260" t="e">
        <f>AND(#REF!,"AAAAAH7b9aY=")</f>
        <v>#REF!</v>
      </c>
      <c r="FL260" t="e">
        <f>AND(#REF!,"AAAAAH7b9ac=")</f>
        <v>#REF!</v>
      </c>
      <c r="FM260" t="e">
        <f>AND(#REF!,"AAAAAH7b9ag=")</f>
        <v>#REF!</v>
      </c>
      <c r="FN260" t="e">
        <f>AND(#REF!,"AAAAAH7b9ak=")</f>
        <v>#REF!</v>
      </c>
      <c r="FO260" t="e">
        <f>AND(#REF!,"AAAAAH7b9ao=")</f>
        <v>#REF!</v>
      </c>
      <c r="FP260" t="e">
        <f>AND(#REF!,"AAAAAH7b9as=")</f>
        <v>#REF!</v>
      </c>
      <c r="FQ260" t="e">
        <f>AND(#REF!,"AAAAAH7b9aw=")</f>
        <v>#REF!</v>
      </c>
      <c r="FR260" t="e">
        <f>AND(#REF!,"AAAAAH7b9a0=")</f>
        <v>#REF!</v>
      </c>
      <c r="FS260" t="e">
        <f>AND(#REF!,"AAAAAH7b9a4=")</f>
        <v>#REF!</v>
      </c>
      <c r="FT260" t="e">
        <f>AND(#REF!,"AAAAAH7b9a8=")</f>
        <v>#REF!</v>
      </c>
      <c r="FU260" t="e">
        <f>IF(#REF!,"AAAAAH7b9bA=",0)</f>
        <v>#REF!</v>
      </c>
      <c r="FV260" t="e">
        <f>AND(#REF!,"AAAAAH7b9bE=")</f>
        <v>#REF!</v>
      </c>
      <c r="FW260" t="e">
        <f>AND(#REF!,"AAAAAH7b9bI=")</f>
        <v>#REF!</v>
      </c>
      <c r="FX260" t="e">
        <f>AND(#REF!,"AAAAAH7b9bM=")</f>
        <v>#REF!</v>
      </c>
      <c r="FY260" t="e">
        <f>AND(#REF!,"AAAAAH7b9bQ=")</f>
        <v>#REF!</v>
      </c>
      <c r="FZ260" t="e">
        <f>AND(#REF!,"AAAAAH7b9bU=")</f>
        <v>#REF!</v>
      </c>
      <c r="GA260" t="e">
        <f>AND(#REF!,"AAAAAH7b9bY=")</f>
        <v>#REF!</v>
      </c>
      <c r="GB260" t="e">
        <f>AND(#REF!,"AAAAAH7b9bc=")</f>
        <v>#REF!</v>
      </c>
      <c r="GC260" t="e">
        <f>AND(#REF!,"AAAAAH7b9bg=")</f>
        <v>#REF!</v>
      </c>
      <c r="GD260" t="e">
        <f>AND(#REF!,"AAAAAH7b9bk=")</f>
        <v>#REF!</v>
      </c>
      <c r="GE260" t="e">
        <f>AND(#REF!,"AAAAAH7b9bo=")</f>
        <v>#REF!</v>
      </c>
      <c r="GF260" t="e">
        <f>IF(#REF!,"AAAAAH7b9bs=",0)</f>
        <v>#REF!</v>
      </c>
      <c r="GG260" t="e">
        <f>AND(#REF!,"AAAAAH7b9bw=")</f>
        <v>#REF!</v>
      </c>
      <c r="GH260" t="e">
        <f>AND(#REF!,"AAAAAH7b9b0=")</f>
        <v>#REF!</v>
      </c>
      <c r="GI260" t="e">
        <f>AND(#REF!,"AAAAAH7b9b4=")</f>
        <v>#REF!</v>
      </c>
      <c r="GJ260" t="e">
        <f>AND(#REF!,"AAAAAH7b9b8=")</f>
        <v>#REF!</v>
      </c>
      <c r="GK260" t="e">
        <f>AND(#REF!,"AAAAAH7b9cA=")</f>
        <v>#REF!</v>
      </c>
      <c r="GL260" t="e">
        <f>AND(#REF!,"AAAAAH7b9cE=")</f>
        <v>#REF!</v>
      </c>
      <c r="GM260" t="e">
        <f>AND(#REF!,"AAAAAH7b9cI=")</f>
        <v>#REF!</v>
      </c>
      <c r="GN260" t="e">
        <f>AND(#REF!,"AAAAAH7b9cM=")</f>
        <v>#REF!</v>
      </c>
      <c r="GO260" t="e">
        <f>AND(#REF!,"AAAAAH7b9cQ=")</f>
        <v>#REF!</v>
      </c>
      <c r="GP260" t="e">
        <f>AND(#REF!,"AAAAAH7b9cU=")</f>
        <v>#REF!</v>
      </c>
      <c r="GQ260" t="e">
        <f>IF(#REF!,"AAAAAH7b9cY=",0)</f>
        <v>#REF!</v>
      </c>
      <c r="GR260" t="e">
        <f>AND(#REF!,"AAAAAH7b9cc=")</f>
        <v>#REF!</v>
      </c>
      <c r="GS260" t="e">
        <f>AND(#REF!,"AAAAAH7b9cg=")</f>
        <v>#REF!</v>
      </c>
      <c r="GT260" t="e">
        <f>AND(#REF!,"AAAAAH7b9ck=")</f>
        <v>#REF!</v>
      </c>
      <c r="GU260" t="e">
        <f>AND(#REF!,"AAAAAH7b9co=")</f>
        <v>#REF!</v>
      </c>
      <c r="GV260" t="e">
        <f>AND(#REF!,"AAAAAH7b9cs=")</f>
        <v>#REF!</v>
      </c>
      <c r="GW260" t="e">
        <f>AND(#REF!,"AAAAAH7b9cw=")</f>
        <v>#REF!</v>
      </c>
      <c r="GX260" t="e">
        <f>AND(#REF!,"AAAAAH7b9c0=")</f>
        <v>#REF!</v>
      </c>
      <c r="GY260" t="e">
        <f>AND(#REF!,"AAAAAH7b9c4=")</f>
        <v>#REF!</v>
      </c>
      <c r="GZ260" t="e">
        <f>AND(#REF!,"AAAAAH7b9c8=")</f>
        <v>#REF!</v>
      </c>
      <c r="HA260" t="e">
        <f>AND(#REF!,"AAAAAH7b9dA=")</f>
        <v>#REF!</v>
      </c>
      <c r="HB260" t="e">
        <f>IF(#REF!,"AAAAAH7b9dE=",0)</f>
        <v>#REF!</v>
      </c>
      <c r="HC260" t="e">
        <f>AND(#REF!,"AAAAAH7b9dI=")</f>
        <v>#REF!</v>
      </c>
      <c r="HD260" t="e">
        <f>AND(#REF!,"AAAAAH7b9dM=")</f>
        <v>#REF!</v>
      </c>
      <c r="HE260" t="e">
        <f>AND(#REF!,"AAAAAH7b9dQ=")</f>
        <v>#REF!</v>
      </c>
      <c r="HF260" t="e">
        <f>AND(#REF!,"AAAAAH7b9dU=")</f>
        <v>#REF!</v>
      </c>
      <c r="HG260" t="e">
        <f>AND(#REF!,"AAAAAH7b9dY=")</f>
        <v>#REF!</v>
      </c>
      <c r="HH260" t="e">
        <f>AND(#REF!,"AAAAAH7b9dc=")</f>
        <v>#REF!</v>
      </c>
      <c r="HI260" t="e">
        <f>AND(#REF!,"AAAAAH7b9dg=")</f>
        <v>#REF!</v>
      </c>
      <c r="HJ260" t="e">
        <f>AND(#REF!,"AAAAAH7b9dk=")</f>
        <v>#REF!</v>
      </c>
      <c r="HK260" t="e">
        <f>AND(#REF!,"AAAAAH7b9do=")</f>
        <v>#REF!</v>
      </c>
      <c r="HL260" t="e">
        <f>AND(#REF!,"AAAAAH7b9ds=")</f>
        <v>#REF!</v>
      </c>
      <c r="HM260" t="e">
        <f>IF(#REF!,"AAAAAH7b9dw=",0)</f>
        <v>#REF!</v>
      </c>
      <c r="HN260" t="e">
        <f>AND(#REF!,"AAAAAH7b9d0=")</f>
        <v>#REF!</v>
      </c>
      <c r="HO260" t="e">
        <f>AND(#REF!,"AAAAAH7b9d4=")</f>
        <v>#REF!</v>
      </c>
      <c r="HP260" t="e">
        <f>AND(#REF!,"AAAAAH7b9d8=")</f>
        <v>#REF!</v>
      </c>
      <c r="HQ260" t="e">
        <f>AND(#REF!,"AAAAAH7b9eA=")</f>
        <v>#REF!</v>
      </c>
      <c r="HR260" t="e">
        <f>AND(#REF!,"AAAAAH7b9eE=")</f>
        <v>#REF!</v>
      </c>
      <c r="HS260" t="e">
        <f>AND(#REF!,"AAAAAH7b9eI=")</f>
        <v>#REF!</v>
      </c>
      <c r="HT260" t="e">
        <f>AND(#REF!,"AAAAAH7b9eM=")</f>
        <v>#REF!</v>
      </c>
      <c r="HU260" t="e">
        <f>AND(#REF!,"AAAAAH7b9eQ=")</f>
        <v>#REF!</v>
      </c>
      <c r="HV260" t="e">
        <f>AND(#REF!,"AAAAAH7b9eU=")</f>
        <v>#REF!</v>
      </c>
      <c r="HW260" t="e">
        <f>AND(#REF!,"AAAAAH7b9eY=")</f>
        <v>#REF!</v>
      </c>
      <c r="HX260" t="e">
        <f>IF(#REF!,"AAAAAH7b9ec=",0)</f>
        <v>#REF!</v>
      </c>
      <c r="HY260" t="e">
        <f>AND(#REF!,"AAAAAH7b9eg=")</f>
        <v>#REF!</v>
      </c>
      <c r="HZ260" t="e">
        <f>AND(#REF!,"AAAAAH7b9ek=")</f>
        <v>#REF!</v>
      </c>
      <c r="IA260" t="e">
        <f>AND(#REF!,"AAAAAH7b9eo=")</f>
        <v>#REF!</v>
      </c>
      <c r="IB260" t="e">
        <f>AND(#REF!,"AAAAAH7b9es=")</f>
        <v>#REF!</v>
      </c>
      <c r="IC260" t="e">
        <f>AND(#REF!,"AAAAAH7b9ew=")</f>
        <v>#REF!</v>
      </c>
      <c r="ID260" t="e">
        <f>AND(#REF!,"AAAAAH7b9e0=")</f>
        <v>#REF!</v>
      </c>
      <c r="IE260" t="e">
        <f>AND(#REF!,"AAAAAH7b9e4=")</f>
        <v>#REF!</v>
      </c>
      <c r="IF260" t="e">
        <f>AND(#REF!,"AAAAAH7b9e8=")</f>
        <v>#REF!</v>
      </c>
      <c r="IG260" t="e">
        <f>AND(#REF!,"AAAAAH7b9fA=")</f>
        <v>#REF!</v>
      </c>
      <c r="IH260" t="e">
        <f>AND(#REF!,"AAAAAH7b9fE=")</f>
        <v>#REF!</v>
      </c>
      <c r="II260" t="e">
        <f>IF(#REF!,"AAAAAH7b9fI=",0)</f>
        <v>#REF!</v>
      </c>
      <c r="IJ260" t="e">
        <f>AND(#REF!,"AAAAAH7b9fM=")</f>
        <v>#REF!</v>
      </c>
      <c r="IK260" t="e">
        <f>AND(#REF!,"AAAAAH7b9fQ=")</f>
        <v>#REF!</v>
      </c>
      <c r="IL260" t="e">
        <f>AND(#REF!,"AAAAAH7b9fU=")</f>
        <v>#REF!</v>
      </c>
      <c r="IM260" t="e">
        <f>AND(#REF!,"AAAAAH7b9fY=")</f>
        <v>#REF!</v>
      </c>
      <c r="IN260" t="e">
        <f>AND(#REF!,"AAAAAH7b9fc=")</f>
        <v>#REF!</v>
      </c>
      <c r="IO260" t="e">
        <f>AND(#REF!,"AAAAAH7b9fg=")</f>
        <v>#REF!</v>
      </c>
      <c r="IP260" t="e">
        <f>AND(#REF!,"AAAAAH7b9fk=")</f>
        <v>#REF!</v>
      </c>
      <c r="IQ260" t="e">
        <f>AND(#REF!,"AAAAAH7b9fo=")</f>
        <v>#REF!</v>
      </c>
      <c r="IR260" t="e">
        <f>AND(#REF!,"AAAAAH7b9fs=")</f>
        <v>#REF!</v>
      </c>
      <c r="IS260" t="e">
        <f>AND(#REF!,"AAAAAH7b9fw=")</f>
        <v>#REF!</v>
      </c>
      <c r="IT260" t="e">
        <f>IF(#REF!,"AAAAAH7b9f0=",0)</f>
        <v>#REF!</v>
      </c>
      <c r="IU260" t="e">
        <f>AND(#REF!,"AAAAAH7b9f4=")</f>
        <v>#REF!</v>
      </c>
      <c r="IV260" t="e">
        <f>AND(#REF!,"AAAAAH7b9f8=")</f>
        <v>#REF!</v>
      </c>
    </row>
    <row r="261" spans="1:256" x14ac:dyDescent="0.25">
      <c r="A261" t="e">
        <f>AND(#REF!,"AAAAADlONwA=")</f>
        <v>#REF!</v>
      </c>
      <c r="B261" t="e">
        <f>AND(#REF!,"AAAAADlONwE=")</f>
        <v>#REF!</v>
      </c>
      <c r="C261" t="e">
        <f>AND(#REF!,"AAAAADlONwI=")</f>
        <v>#REF!</v>
      </c>
      <c r="D261" t="e">
        <f>AND(#REF!,"AAAAADlONwM=")</f>
        <v>#REF!</v>
      </c>
      <c r="E261" t="e">
        <f>AND(#REF!,"AAAAADlONwQ=")</f>
        <v>#REF!</v>
      </c>
      <c r="F261" t="e">
        <f>AND(#REF!,"AAAAADlONwU=")</f>
        <v>#REF!</v>
      </c>
      <c r="G261" t="e">
        <f>AND(#REF!,"AAAAADlONwY=")</f>
        <v>#REF!</v>
      </c>
      <c r="H261" t="e">
        <f>AND(#REF!,"AAAAADlONwc=")</f>
        <v>#REF!</v>
      </c>
      <c r="I261" t="e">
        <f>IF(#REF!,"AAAAADlONwg=",0)</f>
        <v>#REF!</v>
      </c>
      <c r="J261" t="e">
        <f>AND(#REF!,"AAAAADlONwk=")</f>
        <v>#REF!</v>
      </c>
      <c r="K261" t="e">
        <f>AND(#REF!,"AAAAADlONwo=")</f>
        <v>#REF!</v>
      </c>
      <c r="L261" t="e">
        <f>AND(#REF!,"AAAAADlONws=")</f>
        <v>#REF!</v>
      </c>
      <c r="M261" t="e">
        <f>AND(#REF!,"AAAAADlONww=")</f>
        <v>#REF!</v>
      </c>
      <c r="N261" t="e">
        <f>AND(#REF!,"AAAAADlONw0=")</f>
        <v>#REF!</v>
      </c>
      <c r="O261" t="e">
        <f>AND(#REF!,"AAAAADlONw4=")</f>
        <v>#REF!</v>
      </c>
      <c r="P261" t="e">
        <f>AND(#REF!,"AAAAADlONw8=")</f>
        <v>#REF!</v>
      </c>
      <c r="Q261" t="e">
        <f>AND(#REF!,"AAAAADlONxA=")</f>
        <v>#REF!</v>
      </c>
      <c r="R261" t="e">
        <f>AND(#REF!,"AAAAADlONxE=")</f>
        <v>#REF!</v>
      </c>
      <c r="S261" t="e">
        <f>AND(#REF!,"AAAAADlONxI=")</f>
        <v>#REF!</v>
      </c>
      <c r="T261" t="e">
        <f>IF(#REF!,"AAAAADlONxM=",0)</f>
        <v>#REF!</v>
      </c>
      <c r="U261" t="e">
        <f>AND(#REF!,"AAAAADlONxQ=")</f>
        <v>#REF!</v>
      </c>
      <c r="V261" t="e">
        <f>AND(#REF!,"AAAAADlONxU=")</f>
        <v>#REF!</v>
      </c>
      <c r="W261" t="e">
        <f>AND(#REF!,"AAAAADlONxY=")</f>
        <v>#REF!</v>
      </c>
      <c r="X261" t="e">
        <f>AND(#REF!,"AAAAADlONxc=")</f>
        <v>#REF!</v>
      </c>
      <c r="Y261" t="e">
        <f>AND(#REF!,"AAAAADlONxg=")</f>
        <v>#REF!</v>
      </c>
      <c r="Z261" t="e">
        <f>AND(#REF!,"AAAAADlONxk=")</f>
        <v>#REF!</v>
      </c>
      <c r="AA261" t="e">
        <f>AND(#REF!,"AAAAADlONxo=")</f>
        <v>#REF!</v>
      </c>
      <c r="AB261" t="e">
        <f>AND(#REF!,"AAAAADlONxs=")</f>
        <v>#REF!</v>
      </c>
      <c r="AC261" t="e">
        <f>AND(#REF!,"AAAAADlONxw=")</f>
        <v>#REF!</v>
      </c>
      <c r="AD261" t="e">
        <f>AND(#REF!,"AAAAADlONx0=")</f>
        <v>#REF!</v>
      </c>
      <c r="AE261" t="e">
        <f>IF(#REF!,"AAAAADlONx4=",0)</f>
        <v>#REF!</v>
      </c>
      <c r="AF261" t="e">
        <f>AND(#REF!,"AAAAADlONx8=")</f>
        <v>#REF!</v>
      </c>
      <c r="AG261" t="e">
        <f>AND(#REF!,"AAAAADlONyA=")</f>
        <v>#REF!</v>
      </c>
      <c r="AH261" t="e">
        <f>AND(#REF!,"AAAAADlONyE=")</f>
        <v>#REF!</v>
      </c>
      <c r="AI261" t="e">
        <f>AND(#REF!,"AAAAADlONyI=")</f>
        <v>#REF!</v>
      </c>
      <c r="AJ261" t="e">
        <f>AND(#REF!,"AAAAADlONyM=")</f>
        <v>#REF!</v>
      </c>
      <c r="AK261" t="e">
        <f>AND(#REF!,"AAAAADlONyQ=")</f>
        <v>#REF!</v>
      </c>
      <c r="AL261" t="e">
        <f>AND(#REF!,"AAAAADlONyU=")</f>
        <v>#REF!</v>
      </c>
      <c r="AM261" t="e">
        <f>AND(#REF!,"AAAAADlONyY=")</f>
        <v>#REF!</v>
      </c>
      <c r="AN261" t="e">
        <f>AND(#REF!,"AAAAADlONyc=")</f>
        <v>#REF!</v>
      </c>
      <c r="AO261" t="e">
        <f>AND(#REF!,"AAAAADlONyg=")</f>
        <v>#REF!</v>
      </c>
      <c r="AP261" t="e">
        <f>IF(#REF!,"AAAAADlONyk=",0)</f>
        <v>#REF!</v>
      </c>
      <c r="AQ261" t="e">
        <f>AND(#REF!,"AAAAADlONyo=")</f>
        <v>#REF!</v>
      </c>
      <c r="AR261" t="e">
        <f>AND(#REF!,"AAAAADlONys=")</f>
        <v>#REF!</v>
      </c>
      <c r="AS261" t="e">
        <f>AND(#REF!,"AAAAADlONyw=")</f>
        <v>#REF!</v>
      </c>
      <c r="AT261" t="e">
        <f>AND(#REF!,"AAAAADlONy0=")</f>
        <v>#REF!</v>
      </c>
      <c r="AU261" t="e">
        <f>AND(#REF!,"AAAAADlONy4=")</f>
        <v>#REF!</v>
      </c>
      <c r="AV261" t="e">
        <f>AND(#REF!,"AAAAADlONy8=")</f>
        <v>#REF!</v>
      </c>
      <c r="AW261" t="e">
        <f>AND(#REF!,"AAAAADlONzA=")</f>
        <v>#REF!</v>
      </c>
      <c r="AX261" t="e">
        <f>AND(#REF!,"AAAAADlONzE=")</f>
        <v>#REF!</v>
      </c>
      <c r="AY261" t="e">
        <f>AND(#REF!,"AAAAADlONzI=")</f>
        <v>#REF!</v>
      </c>
      <c r="AZ261" t="e">
        <f>AND(#REF!,"AAAAADlONzM=")</f>
        <v>#REF!</v>
      </c>
      <c r="BA261" t="e">
        <f>IF(#REF!,"AAAAADlONzQ=",0)</f>
        <v>#REF!</v>
      </c>
      <c r="BB261" t="e">
        <f>AND(#REF!,"AAAAADlONzU=")</f>
        <v>#REF!</v>
      </c>
      <c r="BC261" t="e">
        <f>AND(#REF!,"AAAAADlONzY=")</f>
        <v>#REF!</v>
      </c>
      <c r="BD261" t="e">
        <f>AND(#REF!,"AAAAADlONzc=")</f>
        <v>#REF!</v>
      </c>
      <c r="BE261" t="e">
        <f>AND(#REF!,"AAAAADlONzg=")</f>
        <v>#REF!</v>
      </c>
      <c r="BF261" t="e">
        <f>AND(#REF!,"AAAAADlONzk=")</f>
        <v>#REF!</v>
      </c>
      <c r="BG261" t="e">
        <f>AND(#REF!,"AAAAADlONzo=")</f>
        <v>#REF!</v>
      </c>
      <c r="BH261" t="e">
        <f>AND(#REF!,"AAAAADlONzs=")</f>
        <v>#REF!</v>
      </c>
      <c r="BI261" t="e">
        <f>AND(#REF!,"AAAAADlONzw=")</f>
        <v>#REF!</v>
      </c>
      <c r="BJ261" t="e">
        <f>AND(#REF!,"AAAAADlONz0=")</f>
        <v>#REF!</v>
      </c>
      <c r="BK261" t="e">
        <f>AND(#REF!,"AAAAADlONz4=")</f>
        <v>#REF!</v>
      </c>
      <c r="BL261" t="e">
        <f>IF(#REF!,"AAAAADlONz8=",0)</f>
        <v>#REF!</v>
      </c>
      <c r="BM261" t="e">
        <f>AND(#REF!,"AAAAADlON0A=")</f>
        <v>#REF!</v>
      </c>
      <c r="BN261" t="e">
        <f>AND(#REF!,"AAAAADlON0E=")</f>
        <v>#REF!</v>
      </c>
      <c r="BO261" t="e">
        <f>AND(#REF!,"AAAAADlON0I=")</f>
        <v>#REF!</v>
      </c>
      <c r="BP261" t="e">
        <f>AND(#REF!,"AAAAADlON0M=")</f>
        <v>#REF!</v>
      </c>
      <c r="BQ261" t="e">
        <f>AND(#REF!,"AAAAADlON0Q=")</f>
        <v>#REF!</v>
      </c>
      <c r="BR261" t="e">
        <f>AND(#REF!,"AAAAADlON0U=")</f>
        <v>#REF!</v>
      </c>
      <c r="BS261" t="e">
        <f>AND(#REF!,"AAAAADlON0Y=")</f>
        <v>#REF!</v>
      </c>
      <c r="BT261" t="e">
        <f>AND(#REF!,"AAAAADlON0c=")</f>
        <v>#REF!</v>
      </c>
      <c r="BU261" t="e">
        <f>AND(#REF!,"AAAAADlON0g=")</f>
        <v>#REF!</v>
      </c>
      <c r="BV261" t="e">
        <f>AND(#REF!,"AAAAADlON0k=")</f>
        <v>#REF!</v>
      </c>
      <c r="BW261" t="e">
        <f>IF(#REF!,"AAAAADlON0o=",0)</f>
        <v>#REF!</v>
      </c>
      <c r="BX261" t="e">
        <f>AND(#REF!,"AAAAADlON0s=")</f>
        <v>#REF!</v>
      </c>
      <c r="BY261" t="e">
        <f>AND(#REF!,"AAAAADlON0w=")</f>
        <v>#REF!</v>
      </c>
      <c r="BZ261" t="e">
        <f>AND(#REF!,"AAAAADlON00=")</f>
        <v>#REF!</v>
      </c>
      <c r="CA261" t="e">
        <f>AND(#REF!,"AAAAADlON04=")</f>
        <v>#REF!</v>
      </c>
      <c r="CB261" t="e">
        <f>AND(#REF!,"AAAAADlON08=")</f>
        <v>#REF!</v>
      </c>
      <c r="CC261" t="e">
        <f>AND(#REF!,"AAAAADlON1A=")</f>
        <v>#REF!</v>
      </c>
      <c r="CD261" t="e">
        <f>AND(#REF!,"AAAAADlON1E=")</f>
        <v>#REF!</v>
      </c>
      <c r="CE261" t="e">
        <f>AND(#REF!,"AAAAADlON1I=")</f>
        <v>#REF!</v>
      </c>
      <c r="CF261" t="e">
        <f>AND(#REF!,"AAAAADlON1M=")</f>
        <v>#REF!</v>
      </c>
      <c r="CG261" t="e">
        <f>AND(#REF!,"AAAAADlON1Q=")</f>
        <v>#REF!</v>
      </c>
      <c r="CH261" t="e">
        <f>IF(#REF!,"AAAAADlON1U=",0)</f>
        <v>#REF!</v>
      </c>
      <c r="CI261" t="e">
        <f>AND(#REF!,"AAAAADlON1Y=")</f>
        <v>#REF!</v>
      </c>
      <c r="CJ261" t="e">
        <f>AND(#REF!,"AAAAADlON1c=")</f>
        <v>#REF!</v>
      </c>
      <c r="CK261" t="e">
        <f>AND(#REF!,"AAAAADlON1g=")</f>
        <v>#REF!</v>
      </c>
      <c r="CL261" t="e">
        <f>AND(#REF!,"AAAAADlON1k=")</f>
        <v>#REF!</v>
      </c>
      <c r="CM261" t="e">
        <f>AND(#REF!,"AAAAADlON1o=")</f>
        <v>#REF!</v>
      </c>
      <c r="CN261" t="e">
        <f>AND(#REF!,"AAAAADlON1s=")</f>
        <v>#REF!</v>
      </c>
      <c r="CO261" t="e">
        <f>AND(#REF!,"AAAAADlON1w=")</f>
        <v>#REF!</v>
      </c>
      <c r="CP261" t="e">
        <f>AND(#REF!,"AAAAADlON10=")</f>
        <v>#REF!</v>
      </c>
      <c r="CQ261" t="e">
        <f>AND(#REF!,"AAAAADlON14=")</f>
        <v>#REF!</v>
      </c>
      <c r="CR261" t="e">
        <f>AND(#REF!,"AAAAADlON18=")</f>
        <v>#REF!</v>
      </c>
      <c r="CS261" t="e">
        <f>IF(#REF!,"AAAAADlON2A=",0)</f>
        <v>#REF!</v>
      </c>
      <c r="CT261" t="e">
        <f>AND(#REF!,"AAAAADlON2E=")</f>
        <v>#REF!</v>
      </c>
      <c r="CU261" t="e">
        <f>AND(#REF!,"AAAAADlON2I=")</f>
        <v>#REF!</v>
      </c>
      <c r="CV261" t="e">
        <f>AND(#REF!,"AAAAADlON2M=")</f>
        <v>#REF!</v>
      </c>
      <c r="CW261" t="e">
        <f>AND(#REF!,"AAAAADlON2Q=")</f>
        <v>#REF!</v>
      </c>
      <c r="CX261" t="e">
        <f>AND(#REF!,"AAAAADlON2U=")</f>
        <v>#REF!</v>
      </c>
      <c r="CY261" t="e">
        <f>AND(#REF!,"AAAAADlON2Y=")</f>
        <v>#REF!</v>
      </c>
      <c r="CZ261" t="e">
        <f>AND(#REF!,"AAAAADlON2c=")</f>
        <v>#REF!</v>
      </c>
      <c r="DA261" t="e">
        <f>AND(#REF!,"AAAAADlON2g=")</f>
        <v>#REF!</v>
      </c>
      <c r="DB261" t="e">
        <f>AND(#REF!,"AAAAADlON2k=")</f>
        <v>#REF!</v>
      </c>
      <c r="DC261" t="e">
        <f>AND(#REF!,"AAAAADlON2o=")</f>
        <v>#REF!</v>
      </c>
      <c r="DD261" t="e">
        <f>IF(#REF!,"AAAAADlON2s=",0)</f>
        <v>#REF!</v>
      </c>
      <c r="DE261" t="e">
        <f>AND(#REF!,"AAAAADlON2w=")</f>
        <v>#REF!</v>
      </c>
      <c r="DF261" t="e">
        <f>AND(#REF!,"AAAAADlON20=")</f>
        <v>#REF!</v>
      </c>
      <c r="DG261" t="e">
        <f>AND(#REF!,"AAAAADlON24=")</f>
        <v>#REF!</v>
      </c>
      <c r="DH261" t="e">
        <f>AND(#REF!,"AAAAADlON28=")</f>
        <v>#REF!</v>
      </c>
      <c r="DI261" t="e">
        <f>AND(#REF!,"AAAAADlON3A=")</f>
        <v>#REF!</v>
      </c>
      <c r="DJ261" t="e">
        <f>AND(#REF!,"AAAAADlON3E=")</f>
        <v>#REF!</v>
      </c>
      <c r="DK261" t="e">
        <f>AND(#REF!,"AAAAADlON3I=")</f>
        <v>#REF!</v>
      </c>
      <c r="DL261" t="e">
        <f>AND(#REF!,"AAAAADlON3M=")</f>
        <v>#REF!</v>
      </c>
      <c r="DM261" t="e">
        <f>AND(#REF!,"AAAAADlON3Q=")</f>
        <v>#REF!</v>
      </c>
      <c r="DN261" t="e">
        <f>AND(#REF!,"AAAAADlON3U=")</f>
        <v>#REF!</v>
      </c>
      <c r="DO261" t="e">
        <f>IF(#REF!,"AAAAADlON3Y=",0)</f>
        <v>#REF!</v>
      </c>
      <c r="DP261" t="e">
        <f>AND(#REF!,"AAAAADlON3c=")</f>
        <v>#REF!</v>
      </c>
      <c r="DQ261" t="e">
        <f>AND(#REF!,"AAAAADlON3g=")</f>
        <v>#REF!</v>
      </c>
      <c r="DR261" t="e">
        <f>AND(#REF!,"AAAAADlON3k=")</f>
        <v>#REF!</v>
      </c>
      <c r="DS261" t="e">
        <f>AND(#REF!,"AAAAADlON3o=")</f>
        <v>#REF!</v>
      </c>
      <c r="DT261" t="e">
        <f>AND(#REF!,"AAAAADlON3s=")</f>
        <v>#REF!</v>
      </c>
      <c r="DU261" t="e">
        <f>AND(#REF!,"AAAAADlON3w=")</f>
        <v>#REF!</v>
      </c>
      <c r="DV261" t="e">
        <f>AND(#REF!,"AAAAADlON30=")</f>
        <v>#REF!</v>
      </c>
      <c r="DW261" t="e">
        <f>AND(#REF!,"AAAAADlON34=")</f>
        <v>#REF!</v>
      </c>
      <c r="DX261" t="e">
        <f>AND(#REF!,"AAAAADlON38=")</f>
        <v>#REF!</v>
      </c>
      <c r="DY261" t="e">
        <f>AND(#REF!,"AAAAADlON4A=")</f>
        <v>#REF!</v>
      </c>
      <c r="DZ261" t="e">
        <f>IF(#REF!,"AAAAADlON4E=",0)</f>
        <v>#REF!</v>
      </c>
      <c r="EA261" t="e">
        <f>AND(#REF!,"AAAAADlON4I=")</f>
        <v>#REF!</v>
      </c>
      <c r="EB261" t="e">
        <f>AND(#REF!,"AAAAADlON4M=")</f>
        <v>#REF!</v>
      </c>
      <c r="EC261" t="e">
        <f>AND(#REF!,"AAAAADlON4Q=")</f>
        <v>#REF!</v>
      </c>
      <c r="ED261" t="e">
        <f>AND(#REF!,"AAAAADlON4U=")</f>
        <v>#REF!</v>
      </c>
      <c r="EE261" t="e">
        <f>AND(#REF!,"AAAAADlON4Y=")</f>
        <v>#REF!</v>
      </c>
      <c r="EF261" t="e">
        <f>AND(#REF!,"AAAAADlON4c=")</f>
        <v>#REF!</v>
      </c>
      <c r="EG261" t="e">
        <f>AND(#REF!,"AAAAADlON4g=")</f>
        <v>#REF!</v>
      </c>
      <c r="EH261" t="e">
        <f>AND(#REF!,"AAAAADlON4k=")</f>
        <v>#REF!</v>
      </c>
      <c r="EI261" t="e">
        <f>AND(#REF!,"AAAAADlON4o=")</f>
        <v>#REF!</v>
      </c>
      <c r="EJ261" t="e">
        <f>AND(#REF!,"AAAAADlON4s=")</f>
        <v>#REF!</v>
      </c>
      <c r="EK261" t="e">
        <f>IF(#REF!,"AAAAADlON4w=",0)</f>
        <v>#REF!</v>
      </c>
      <c r="EL261" t="e">
        <f>AND(#REF!,"AAAAADlON40=")</f>
        <v>#REF!</v>
      </c>
      <c r="EM261" t="e">
        <f>AND(#REF!,"AAAAADlON44=")</f>
        <v>#REF!</v>
      </c>
      <c r="EN261" t="e">
        <f>AND(#REF!,"AAAAADlON48=")</f>
        <v>#REF!</v>
      </c>
      <c r="EO261" t="e">
        <f>AND(#REF!,"AAAAADlON5A=")</f>
        <v>#REF!</v>
      </c>
      <c r="EP261" t="e">
        <f>AND(#REF!,"AAAAADlON5E=")</f>
        <v>#REF!</v>
      </c>
      <c r="EQ261" t="e">
        <f>AND(#REF!,"AAAAADlON5I=")</f>
        <v>#REF!</v>
      </c>
      <c r="ER261" t="e">
        <f>AND(#REF!,"AAAAADlON5M=")</f>
        <v>#REF!</v>
      </c>
      <c r="ES261" t="e">
        <f>AND(#REF!,"AAAAADlON5Q=")</f>
        <v>#REF!</v>
      </c>
      <c r="ET261" t="e">
        <f>AND(#REF!,"AAAAADlON5U=")</f>
        <v>#REF!</v>
      </c>
      <c r="EU261" t="e">
        <f>AND(#REF!,"AAAAADlON5Y=")</f>
        <v>#REF!</v>
      </c>
      <c r="EV261" t="e">
        <f>IF(#REF!,"AAAAADlON5c=",0)</f>
        <v>#REF!</v>
      </c>
      <c r="EW261" t="e">
        <f>AND(#REF!,"AAAAADlON5g=")</f>
        <v>#REF!</v>
      </c>
      <c r="EX261" t="e">
        <f>AND(#REF!,"AAAAADlON5k=")</f>
        <v>#REF!</v>
      </c>
      <c r="EY261" t="e">
        <f>AND(#REF!,"AAAAADlON5o=")</f>
        <v>#REF!</v>
      </c>
      <c r="EZ261" t="e">
        <f>AND(#REF!,"AAAAADlON5s=")</f>
        <v>#REF!</v>
      </c>
      <c r="FA261" t="e">
        <f>AND(#REF!,"AAAAADlON5w=")</f>
        <v>#REF!</v>
      </c>
      <c r="FB261" t="e">
        <f>AND(#REF!,"AAAAADlON50=")</f>
        <v>#REF!</v>
      </c>
      <c r="FC261" t="e">
        <f>AND(#REF!,"AAAAADlON54=")</f>
        <v>#REF!</v>
      </c>
      <c r="FD261" t="e">
        <f>AND(#REF!,"AAAAADlON58=")</f>
        <v>#REF!</v>
      </c>
      <c r="FE261" t="e">
        <f>AND(#REF!,"AAAAADlON6A=")</f>
        <v>#REF!</v>
      </c>
      <c r="FF261" t="e">
        <f>AND(#REF!,"AAAAADlON6E=")</f>
        <v>#REF!</v>
      </c>
      <c r="FG261" t="e">
        <f>IF(#REF!,"AAAAADlON6I=",0)</f>
        <v>#REF!</v>
      </c>
      <c r="FH261" t="e">
        <f>AND(#REF!,"AAAAADlON6M=")</f>
        <v>#REF!</v>
      </c>
      <c r="FI261" t="e">
        <f>AND(#REF!,"AAAAADlON6Q=")</f>
        <v>#REF!</v>
      </c>
      <c r="FJ261" t="e">
        <f>AND(#REF!,"AAAAADlON6U=")</f>
        <v>#REF!</v>
      </c>
      <c r="FK261" t="e">
        <f>AND(#REF!,"AAAAADlON6Y=")</f>
        <v>#REF!</v>
      </c>
      <c r="FL261" t="e">
        <f>AND(#REF!,"AAAAADlON6c=")</f>
        <v>#REF!</v>
      </c>
      <c r="FM261" t="e">
        <f>AND(#REF!,"AAAAADlON6g=")</f>
        <v>#REF!</v>
      </c>
      <c r="FN261" t="e">
        <f>AND(#REF!,"AAAAADlON6k=")</f>
        <v>#REF!</v>
      </c>
      <c r="FO261" t="e">
        <f>AND(#REF!,"AAAAADlON6o=")</f>
        <v>#REF!</v>
      </c>
      <c r="FP261" t="e">
        <f>AND(#REF!,"AAAAADlON6s=")</f>
        <v>#REF!</v>
      </c>
      <c r="FQ261" t="e">
        <f>AND(#REF!,"AAAAADlON6w=")</f>
        <v>#REF!</v>
      </c>
      <c r="FR261" t="e">
        <f>IF(#REF!,"AAAAADlON60=",0)</f>
        <v>#REF!</v>
      </c>
      <c r="FS261" t="e">
        <f>AND(#REF!,"AAAAADlON64=")</f>
        <v>#REF!</v>
      </c>
      <c r="FT261" t="e">
        <f>AND(#REF!,"AAAAADlON68=")</f>
        <v>#REF!</v>
      </c>
      <c r="FU261" t="e">
        <f>AND(#REF!,"AAAAADlON7A=")</f>
        <v>#REF!</v>
      </c>
      <c r="FV261" t="e">
        <f>AND(#REF!,"AAAAADlON7E=")</f>
        <v>#REF!</v>
      </c>
      <c r="FW261" t="e">
        <f>AND(#REF!,"AAAAADlON7I=")</f>
        <v>#REF!</v>
      </c>
      <c r="FX261" t="e">
        <f>AND(#REF!,"AAAAADlON7M=")</f>
        <v>#REF!</v>
      </c>
      <c r="FY261" t="e">
        <f>AND(#REF!,"AAAAADlON7Q=")</f>
        <v>#REF!</v>
      </c>
      <c r="FZ261" t="e">
        <f>AND(#REF!,"AAAAADlON7U=")</f>
        <v>#REF!</v>
      </c>
      <c r="GA261" t="e">
        <f>AND(#REF!,"AAAAADlON7Y=")</f>
        <v>#REF!</v>
      </c>
      <c r="GB261" t="e">
        <f>AND(#REF!,"AAAAADlON7c=")</f>
        <v>#REF!</v>
      </c>
      <c r="GC261" t="e">
        <f>IF(#REF!,"AAAAADlON7g=",0)</f>
        <v>#REF!</v>
      </c>
      <c r="GD261" t="e">
        <f>AND(#REF!,"AAAAADlON7k=")</f>
        <v>#REF!</v>
      </c>
      <c r="GE261" t="e">
        <f>AND(#REF!,"AAAAADlON7o=")</f>
        <v>#REF!</v>
      </c>
      <c r="GF261" t="e">
        <f>AND(#REF!,"AAAAADlON7s=")</f>
        <v>#REF!</v>
      </c>
      <c r="GG261" t="e">
        <f>AND(#REF!,"AAAAADlON7w=")</f>
        <v>#REF!</v>
      </c>
      <c r="GH261" t="e">
        <f>AND(#REF!,"AAAAADlON70=")</f>
        <v>#REF!</v>
      </c>
      <c r="GI261" t="e">
        <f>AND(#REF!,"AAAAADlON74=")</f>
        <v>#REF!</v>
      </c>
      <c r="GJ261" t="e">
        <f>AND(#REF!,"AAAAADlON78=")</f>
        <v>#REF!</v>
      </c>
      <c r="GK261" t="e">
        <f>AND(#REF!,"AAAAADlON8A=")</f>
        <v>#REF!</v>
      </c>
      <c r="GL261" t="e">
        <f>AND(#REF!,"AAAAADlON8E=")</f>
        <v>#REF!</v>
      </c>
      <c r="GM261" t="e">
        <f>AND(#REF!,"AAAAADlON8I=")</f>
        <v>#REF!</v>
      </c>
      <c r="GN261" t="e">
        <f>IF(#REF!,"AAAAADlON8M=",0)</f>
        <v>#REF!</v>
      </c>
      <c r="GO261" t="e">
        <f>AND(#REF!,"AAAAADlON8Q=")</f>
        <v>#REF!</v>
      </c>
      <c r="GP261" t="e">
        <f>AND(#REF!,"AAAAADlON8U=")</f>
        <v>#REF!</v>
      </c>
      <c r="GQ261" t="e">
        <f>AND(#REF!,"AAAAADlON8Y=")</f>
        <v>#REF!</v>
      </c>
      <c r="GR261" t="e">
        <f>AND(#REF!,"AAAAADlON8c=")</f>
        <v>#REF!</v>
      </c>
      <c r="GS261" t="e">
        <f>AND(#REF!,"AAAAADlON8g=")</f>
        <v>#REF!</v>
      </c>
      <c r="GT261" t="e">
        <f>AND(#REF!,"AAAAADlON8k=")</f>
        <v>#REF!</v>
      </c>
      <c r="GU261" t="e">
        <f>AND(#REF!,"AAAAADlON8o=")</f>
        <v>#REF!</v>
      </c>
      <c r="GV261" t="e">
        <f>AND(#REF!,"AAAAADlON8s=")</f>
        <v>#REF!</v>
      </c>
      <c r="GW261" t="e">
        <f>AND(#REF!,"AAAAADlON8w=")</f>
        <v>#REF!</v>
      </c>
      <c r="GX261" t="e">
        <f>AND(#REF!,"AAAAADlON80=")</f>
        <v>#REF!</v>
      </c>
      <c r="GY261" t="e">
        <f>IF(#REF!,"AAAAADlON84=",0)</f>
        <v>#REF!</v>
      </c>
      <c r="GZ261" t="e">
        <f>AND(#REF!,"AAAAADlON88=")</f>
        <v>#REF!</v>
      </c>
      <c r="HA261" t="e">
        <f>AND(#REF!,"AAAAADlON9A=")</f>
        <v>#REF!</v>
      </c>
      <c r="HB261" t="e">
        <f>AND(#REF!,"AAAAADlON9E=")</f>
        <v>#REF!</v>
      </c>
      <c r="HC261" t="e">
        <f>AND(#REF!,"AAAAADlON9I=")</f>
        <v>#REF!</v>
      </c>
      <c r="HD261" t="e">
        <f>AND(#REF!,"AAAAADlON9M=")</f>
        <v>#REF!</v>
      </c>
      <c r="HE261" t="e">
        <f>AND(#REF!,"AAAAADlON9Q=")</f>
        <v>#REF!</v>
      </c>
      <c r="HF261" t="e">
        <f>AND(#REF!,"AAAAADlON9U=")</f>
        <v>#REF!</v>
      </c>
      <c r="HG261" t="e">
        <f>AND(#REF!,"AAAAADlON9Y=")</f>
        <v>#REF!</v>
      </c>
      <c r="HH261" t="e">
        <f>AND(#REF!,"AAAAADlON9c=")</f>
        <v>#REF!</v>
      </c>
      <c r="HI261" t="e">
        <f>AND(#REF!,"AAAAADlON9g=")</f>
        <v>#REF!</v>
      </c>
      <c r="HJ261" t="e">
        <f>IF(#REF!,"AAAAADlON9k=",0)</f>
        <v>#REF!</v>
      </c>
      <c r="HK261" t="e">
        <f>AND(#REF!,"AAAAADlON9o=")</f>
        <v>#REF!</v>
      </c>
      <c r="HL261" t="e">
        <f>AND(#REF!,"AAAAADlON9s=")</f>
        <v>#REF!</v>
      </c>
      <c r="HM261" t="e">
        <f>AND(#REF!,"AAAAADlON9w=")</f>
        <v>#REF!</v>
      </c>
      <c r="HN261" t="e">
        <f>AND(#REF!,"AAAAADlON90=")</f>
        <v>#REF!</v>
      </c>
      <c r="HO261" t="e">
        <f>AND(#REF!,"AAAAADlON94=")</f>
        <v>#REF!</v>
      </c>
      <c r="HP261" t="e">
        <f>AND(#REF!,"AAAAADlON98=")</f>
        <v>#REF!</v>
      </c>
      <c r="HQ261" t="e">
        <f>AND(#REF!,"AAAAADlON+A=")</f>
        <v>#REF!</v>
      </c>
      <c r="HR261" t="e">
        <f>AND(#REF!,"AAAAADlON+E=")</f>
        <v>#REF!</v>
      </c>
      <c r="HS261" t="e">
        <f>AND(#REF!,"AAAAADlON+I=")</f>
        <v>#REF!</v>
      </c>
      <c r="HT261" t="e">
        <f>AND(#REF!,"AAAAADlON+M=")</f>
        <v>#REF!</v>
      </c>
      <c r="HU261" t="e">
        <f>IF(#REF!,"AAAAADlON+Q=",0)</f>
        <v>#REF!</v>
      </c>
      <c r="HV261" t="e">
        <f>AND(#REF!,"AAAAADlON+U=")</f>
        <v>#REF!</v>
      </c>
      <c r="HW261" t="e">
        <f>AND(#REF!,"AAAAADlON+Y=")</f>
        <v>#REF!</v>
      </c>
      <c r="HX261" t="e">
        <f>AND(#REF!,"AAAAADlON+c=")</f>
        <v>#REF!</v>
      </c>
      <c r="HY261" t="e">
        <f>AND(#REF!,"AAAAADlON+g=")</f>
        <v>#REF!</v>
      </c>
      <c r="HZ261" t="e">
        <f>AND(#REF!,"AAAAADlON+k=")</f>
        <v>#REF!</v>
      </c>
      <c r="IA261" t="e">
        <f>AND(#REF!,"AAAAADlON+o=")</f>
        <v>#REF!</v>
      </c>
      <c r="IB261" t="e">
        <f>AND(#REF!,"AAAAADlON+s=")</f>
        <v>#REF!</v>
      </c>
      <c r="IC261" t="e">
        <f>AND(#REF!,"AAAAADlON+w=")</f>
        <v>#REF!</v>
      </c>
      <c r="ID261" t="e">
        <f>AND(#REF!,"AAAAADlON+0=")</f>
        <v>#REF!</v>
      </c>
      <c r="IE261" t="e">
        <f>AND(#REF!,"AAAAADlON+4=")</f>
        <v>#REF!</v>
      </c>
      <c r="IF261" t="e">
        <f>IF(#REF!,"AAAAADlON+8=",0)</f>
        <v>#REF!</v>
      </c>
      <c r="IG261" t="e">
        <f>AND(#REF!,"AAAAADlON/A=")</f>
        <v>#REF!</v>
      </c>
      <c r="IH261" t="e">
        <f>AND(#REF!,"AAAAADlON/E=")</f>
        <v>#REF!</v>
      </c>
      <c r="II261" t="e">
        <f>AND(#REF!,"AAAAADlON/I=")</f>
        <v>#REF!</v>
      </c>
      <c r="IJ261" t="e">
        <f>AND(#REF!,"AAAAADlON/M=")</f>
        <v>#REF!</v>
      </c>
      <c r="IK261" t="e">
        <f>AND(#REF!,"AAAAADlON/Q=")</f>
        <v>#REF!</v>
      </c>
      <c r="IL261" t="e">
        <f>AND(#REF!,"AAAAADlON/U=")</f>
        <v>#REF!</v>
      </c>
      <c r="IM261" t="e">
        <f>AND(#REF!,"AAAAADlON/Y=")</f>
        <v>#REF!</v>
      </c>
      <c r="IN261" t="e">
        <f>AND(#REF!,"AAAAADlON/c=")</f>
        <v>#REF!</v>
      </c>
      <c r="IO261" t="e">
        <f>AND(#REF!,"AAAAADlON/g=")</f>
        <v>#REF!</v>
      </c>
      <c r="IP261" t="e">
        <f>AND(#REF!,"AAAAADlON/k=")</f>
        <v>#REF!</v>
      </c>
      <c r="IQ261" t="e">
        <f>IF(#REF!,"AAAAADlON/o=",0)</f>
        <v>#REF!</v>
      </c>
      <c r="IR261" t="e">
        <f>AND(#REF!,"AAAAADlON/s=")</f>
        <v>#REF!</v>
      </c>
      <c r="IS261" t="e">
        <f>AND(#REF!,"AAAAADlON/w=")</f>
        <v>#REF!</v>
      </c>
      <c r="IT261" t="e">
        <f>AND(#REF!,"AAAAADlON/0=")</f>
        <v>#REF!</v>
      </c>
      <c r="IU261" t="e">
        <f>AND(#REF!,"AAAAADlON/4=")</f>
        <v>#REF!</v>
      </c>
      <c r="IV261" t="e">
        <f>AND(#REF!,"AAAAADlON/8=")</f>
        <v>#REF!</v>
      </c>
    </row>
    <row r="262" spans="1:256" x14ac:dyDescent="0.25">
      <c r="A262" t="e">
        <f>AND(#REF!,"AAAAADLv8wA=")</f>
        <v>#REF!</v>
      </c>
      <c r="B262" t="e">
        <f>AND(#REF!,"AAAAADLv8wE=")</f>
        <v>#REF!</v>
      </c>
      <c r="C262" t="e">
        <f>AND(#REF!,"AAAAADLv8wI=")</f>
        <v>#REF!</v>
      </c>
      <c r="D262" t="e">
        <f>AND(#REF!,"AAAAADLv8wM=")</f>
        <v>#REF!</v>
      </c>
      <c r="E262" t="e">
        <f>AND(#REF!,"AAAAADLv8wQ=")</f>
        <v>#REF!</v>
      </c>
      <c r="F262" t="e">
        <f>IF(#REF!,"AAAAADLv8wU=",0)</f>
        <v>#REF!</v>
      </c>
      <c r="G262" t="e">
        <f>AND(#REF!,"AAAAADLv8wY=")</f>
        <v>#REF!</v>
      </c>
      <c r="H262" t="e">
        <f>AND(#REF!,"AAAAADLv8wc=")</f>
        <v>#REF!</v>
      </c>
      <c r="I262" t="e">
        <f>AND(#REF!,"AAAAADLv8wg=")</f>
        <v>#REF!</v>
      </c>
      <c r="J262" t="e">
        <f>AND(#REF!,"AAAAADLv8wk=")</f>
        <v>#REF!</v>
      </c>
      <c r="K262" t="e">
        <f>AND(#REF!,"AAAAADLv8wo=")</f>
        <v>#REF!</v>
      </c>
      <c r="L262" t="e">
        <f>AND(#REF!,"AAAAADLv8ws=")</f>
        <v>#REF!</v>
      </c>
      <c r="M262" t="e">
        <f>AND(#REF!,"AAAAADLv8ww=")</f>
        <v>#REF!</v>
      </c>
      <c r="N262" t="e">
        <f>AND(#REF!,"AAAAADLv8w0=")</f>
        <v>#REF!</v>
      </c>
      <c r="O262" t="e">
        <f>AND(#REF!,"AAAAADLv8w4=")</f>
        <v>#REF!</v>
      </c>
      <c r="P262" t="e">
        <f>AND(#REF!,"AAAAADLv8w8=")</f>
        <v>#REF!</v>
      </c>
      <c r="Q262" t="e">
        <f>IF(#REF!,"AAAAADLv8xA=",0)</f>
        <v>#REF!</v>
      </c>
      <c r="R262" t="e">
        <f>AND(#REF!,"AAAAADLv8xE=")</f>
        <v>#REF!</v>
      </c>
      <c r="S262" t="e">
        <f>AND(#REF!,"AAAAADLv8xI=")</f>
        <v>#REF!</v>
      </c>
      <c r="T262" t="e">
        <f>AND(#REF!,"AAAAADLv8xM=")</f>
        <v>#REF!</v>
      </c>
      <c r="U262" t="e">
        <f>AND(#REF!,"AAAAADLv8xQ=")</f>
        <v>#REF!</v>
      </c>
      <c r="V262" t="e">
        <f>AND(#REF!,"AAAAADLv8xU=")</f>
        <v>#REF!</v>
      </c>
      <c r="W262" t="e">
        <f>AND(#REF!,"AAAAADLv8xY=")</f>
        <v>#REF!</v>
      </c>
      <c r="X262" t="e">
        <f>AND(#REF!,"AAAAADLv8xc=")</f>
        <v>#REF!</v>
      </c>
      <c r="Y262" t="e">
        <f>AND(#REF!,"AAAAADLv8xg=")</f>
        <v>#REF!</v>
      </c>
      <c r="Z262" t="e">
        <f>AND(#REF!,"AAAAADLv8xk=")</f>
        <v>#REF!</v>
      </c>
      <c r="AA262" t="e">
        <f>AND(#REF!,"AAAAADLv8xo=")</f>
        <v>#REF!</v>
      </c>
      <c r="AB262" t="e">
        <f>IF(#REF!,"AAAAADLv8xs=",0)</f>
        <v>#REF!</v>
      </c>
      <c r="AC262" t="e">
        <f>AND(#REF!,"AAAAADLv8xw=")</f>
        <v>#REF!</v>
      </c>
      <c r="AD262" t="e">
        <f>AND(#REF!,"AAAAADLv8x0=")</f>
        <v>#REF!</v>
      </c>
      <c r="AE262" t="e">
        <f>AND(#REF!,"AAAAADLv8x4=")</f>
        <v>#REF!</v>
      </c>
      <c r="AF262" t="e">
        <f>AND(#REF!,"AAAAADLv8x8=")</f>
        <v>#REF!</v>
      </c>
      <c r="AG262" t="e">
        <f>AND(#REF!,"AAAAADLv8yA=")</f>
        <v>#REF!</v>
      </c>
      <c r="AH262" t="e">
        <f>AND(#REF!,"AAAAADLv8yE=")</f>
        <v>#REF!</v>
      </c>
      <c r="AI262" t="e">
        <f>AND(#REF!,"AAAAADLv8yI=")</f>
        <v>#REF!</v>
      </c>
      <c r="AJ262" t="e">
        <f>AND(#REF!,"AAAAADLv8yM=")</f>
        <v>#REF!</v>
      </c>
      <c r="AK262" t="e">
        <f>AND(#REF!,"AAAAADLv8yQ=")</f>
        <v>#REF!</v>
      </c>
      <c r="AL262" t="e">
        <f>AND(#REF!,"AAAAADLv8yU=")</f>
        <v>#REF!</v>
      </c>
      <c r="AM262" t="e">
        <f>IF(#REF!,"AAAAADLv8yY=",0)</f>
        <v>#REF!</v>
      </c>
      <c r="AN262" t="e">
        <f>AND(#REF!,"AAAAADLv8yc=")</f>
        <v>#REF!</v>
      </c>
      <c r="AO262" t="e">
        <f>AND(#REF!,"AAAAADLv8yg=")</f>
        <v>#REF!</v>
      </c>
      <c r="AP262" t="e">
        <f>AND(#REF!,"AAAAADLv8yk=")</f>
        <v>#REF!</v>
      </c>
      <c r="AQ262" t="e">
        <f>AND(#REF!,"AAAAADLv8yo=")</f>
        <v>#REF!</v>
      </c>
      <c r="AR262" t="e">
        <f>AND(#REF!,"AAAAADLv8ys=")</f>
        <v>#REF!</v>
      </c>
      <c r="AS262" t="e">
        <f>AND(#REF!,"AAAAADLv8yw=")</f>
        <v>#REF!</v>
      </c>
      <c r="AT262" t="e">
        <f>AND(#REF!,"AAAAADLv8y0=")</f>
        <v>#REF!</v>
      </c>
      <c r="AU262" t="e">
        <f>AND(#REF!,"AAAAADLv8y4=")</f>
        <v>#REF!</v>
      </c>
      <c r="AV262" t="e">
        <f>AND(#REF!,"AAAAADLv8y8=")</f>
        <v>#REF!</v>
      </c>
      <c r="AW262" t="e">
        <f>AND(#REF!,"AAAAADLv8zA=")</f>
        <v>#REF!</v>
      </c>
      <c r="AX262" t="e">
        <f>IF(#REF!,"AAAAADLv8zE=",0)</f>
        <v>#REF!</v>
      </c>
      <c r="AY262" t="e">
        <f>AND(#REF!,"AAAAADLv8zI=")</f>
        <v>#REF!</v>
      </c>
      <c r="AZ262" t="e">
        <f>AND(#REF!,"AAAAADLv8zM=")</f>
        <v>#REF!</v>
      </c>
      <c r="BA262" t="e">
        <f>AND(#REF!,"AAAAADLv8zQ=")</f>
        <v>#REF!</v>
      </c>
      <c r="BB262" t="e">
        <f>AND(#REF!,"AAAAADLv8zU=")</f>
        <v>#REF!</v>
      </c>
      <c r="BC262" t="e">
        <f>AND(#REF!,"AAAAADLv8zY=")</f>
        <v>#REF!</v>
      </c>
      <c r="BD262" t="e">
        <f>AND(#REF!,"AAAAADLv8zc=")</f>
        <v>#REF!</v>
      </c>
      <c r="BE262" t="e">
        <f>AND(#REF!,"AAAAADLv8zg=")</f>
        <v>#REF!</v>
      </c>
      <c r="BF262" t="e">
        <f>AND(#REF!,"AAAAADLv8zk=")</f>
        <v>#REF!</v>
      </c>
      <c r="BG262" t="e">
        <f>AND(#REF!,"AAAAADLv8zo=")</f>
        <v>#REF!</v>
      </c>
      <c r="BH262" t="e">
        <f>AND(#REF!,"AAAAADLv8zs=")</f>
        <v>#REF!</v>
      </c>
      <c r="BI262" t="e">
        <f>IF(#REF!,"AAAAADLv8zw=",0)</f>
        <v>#REF!</v>
      </c>
      <c r="BJ262" t="e">
        <f>AND(#REF!,"AAAAADLv8z0=")</f>
        <v>#REF!</v>
      </c>
      <c r="BK262" t="e">
        <f>AND(#REF!,"AAAAADLv8z4=")</f>
        <v>#REF!</v>
      </c>
      <c r="BL262" t="e">
        <f>AND(#REF!,"AAAAADLv8z8=")</f>
        <v>#REF!</v>
      </c>
      <c r="BM262" t="e">
        <f>AND(#REF!,"AAAAADLv80A=")</f>
        <v>#REF!</v>
      </c>
      <c r="BN262" t="e">
        <f>AND(#REF!,"AAAAADLv80E=")</f>
        <v>#REF!</v>
      </c>
      <c r="BO262" t="e">
        <f>AND(#REF!,"AAAAADLv80I=")</f>
        <v>#REF!</v>
      </c>
      <c r="BP262" t="e">
        <f>AND(#REF!,"AAAAADLv80M=")</f>
        <v>#REF!</v>
      </c>
      <c r="BQ262" t="e">
        <f>AND(#REF!,"AAAAADLv80Q=")</f>
        <v>#REF!</v>
      </c>
      <c r="BR262" t="e">
        <f>AND(#REF!,"AAAAADLv80U=")</f>
        <v>#REF!</v>
      </c>
      <c r="BS262" t="e">
        <f>AND(#REF!,"AAAAADLv80Y=")</f>
        <v>#REF!</v>
      </c>
      <c r="BT262" t="e">
        <f>IF(#REF!,"AAAAADLv80c=",0)</f>
        <v>#REF!</v>
      </c>
      <c r="BU262" t="e">
        <f>AND(#REF!,"AAAAADLv80g=")</f>
        <v>#REF!</v>
      </c>
      <c r="BV262" t="e">
        <f>AND(#REF!,"AAAAADLv80k=")</f>
        <v>#REF!</v>
      </c>
      <c r="BW262" t="e">
        <f>AND(#REF!,"AAAAADLv80o=")</f>
        <v>#REF!</v>
      </c>
      <c r="BX262" t="e">
        <f>AND(#REF!,"AAAAADLv80s=")</f>
        <v>#REF!</v>
      </c>
      <c r="BY262" t="e">
        <f>AND(#REF!,"AAAAADLv80w=")</f>
        <v>#REF!</v>
      </c>
      <c r="BZ262" t="e">
        <f>AND(#REF!,"AAAAADLv800=")</f>
        <v>#REF!</v>
      </c>
      <c r="CA262" t="e">
        <f>AND(#REF!,"AAAAADLv804=")</f>
        <v>#REF!</v>
      </c>
      <c r="CB262" t="e">
        <f>AND(#REF!,"AAAAADLv808=")</f>
        <v>#REF!</v>
      </c>
      <c r="CC262" t="e">
        <f>AND(#REF!,"AAAAADLv81A=")</f>
        <v>#REF!</v>
      </c>
      <c r="CD262" t="e">
        <f>AND(#REF!,"AAAAADLv81E=")</f>
        <v>#REF!</v>
      </c>
      <c r="CE262" t="e">
        <f>IF(#REF!,"AAAAADLv81I=",0)</f>
        <v>#REF!</v>
      </c>
      <c r="CF262" t="e">
        <f>AND(#REF!,"AAAAADLv81M=")</f>
        <v>#REF!</v>
      </c>
      <c r="CG262" t="e">
        <f>AND(#REF!,"AAAAADLv81Q=")</f>
        <v>#REF!</v>
      </c>
      <c r="CH262" t="e">
        <f>AND(#REF!,"AAAAADLv81U=")</f>
        <v>#REF!</v>
      </c>
      <c r="CI262" t="e">
        <f>AND(#REF!,"AAAAADLv81Y=")</f>
        <v>#REF!</v>
      </c>
      <c r="CJ262" t="e">
        <f>AND(#REF!,"AAAAADLv81c=")</f>
        <v>#REF!</v>
      </c>
      <c r="CK262" t="e">
        <f>AND(#REF!,"AAAAADLv81g=")</f>
        <v>#REF!</v>
      </c>
      <c r="CL262" t="e">
        <f>AND(#REF!,"AAAAADLv81k=")</f>
        <v>#REF!</v>
      </c>
      <c r="CM262" t="e">
        <f>AND(#REF!,"AAAAADLv81o=")</f>
        <v>#REF!</v>
      </c>
      <c r="CN262" t="e">
        <f>AND(#REF!,"AAAAADLv81s=")</f>
        <v>#REF!</v>
      </c>
      <c r="CO262" t="e">
        <f>AND(#REF!,"AAAAADLv81w=")</f>
        <v>#REF!</v>
      </c>
      <c r="CP262" t="e">
        <f>IF(#REF!,"AAAAADLv810=",0)</f>
        <v>#REF!</v>
      </c>
      <c r="CQ262" t="e">
        <f>AND(#REF!,"AAAAADLv814=")</f>
        <v>#REF!</v>
      </c>
      <c r="CR262" t="e">
        <f>AND(#REF!,"AAAAADLv818=")</f>
        <v>#REF!</v>
      </c>
      <c r="CS262" t="e">
        <f>AND(#REF!,"AAAAADLv82A=")</f>
        <v>#REF!</v>
      </c>
      <c r="CT262" t="e">
        <f>AND(#REF!,"AAAAADLv82E=")</f>
        <v>#REF!</v>
      </c>
      <c r="CU262" t="e">
        <f>AND(#REF!,"AAAAADLv82I=")</f>
        <v>#REF!</v>
      </c>
      <c r="CV262" t="e">
        <f>AND(#REF!,"AAAAADLv82M=")</f>
        <v>#REF!</v>
      </c>
      <c r="CW262" t="e">
        <f>AND(#REF!,"AAAAADLv82Q=")</f>
        <v>#REF!</v>
      </c>
      <c r="CX262" t="e">
        <f>AND(#REF!,"AAAAADLv82U=")</f>
        <v>#REF!</v>
      </c>
      <c r="CY262" t="e">
        <f>AND(#REF!,"AAAAADLv82Y=")</f>
        <v>#REF!</v>
      </c>
      <c r="CZ262" t="e">
        <f>AND(#REF!,"AAAAADLv82c=")</f>
        <v>#REF!</v>
      </c>
      <c r="DA262" t="e">
        <f>IF(#REF!,"AAAAADLv82g=",0)</f>
        <v>#REF!</v>
      </c>
      <c r="DB262" t="e">
        <f>AND(#REF!,"AAAAADLv82k=")</f>
        <v>#REF!</v>
      </c>
      <c r="DC262" t="e">
        <f>AND(#REF!,"AAAAADLv82o=")</f>
        <v>#REF!</v>
      </c>
      <c r="DD262" t="e">
        <f>AND(#REF!,"AAAAADLv82s=")</f>
        <v>#REF!</v>
      </c>
      <c r="DE262" t="e">
        <f>AND(#REF!,"AAAAADLv82w=")</f>
        <v>#REF!</v>
      </c>
      <c r="DF262" t="e">
        <f>AND(#REF!,"AAAAADLv820=")</f>
        <v>#REF!</v>
      </c>
      <c r="DG262" t="e">
        <f>AND(#REF!,"AAAAADLv824=")</f>
        <v>#REF!</v>
      </c>
      <c r="DH262" t="e">
        <f>AND(#REF!,"AAAAADLv828=")</f>
        <v>#REF!</v>
      </c>
      <c r="DI262" t="e">
        <f>AND(#REF!,"AAAAADLv83A=")</f>
        <v>#REF!</v>
      </c>
      <c r="DJ262" t="e">
        <f>AND(#REF!,"AAAAADLv83E=")</f>
        <v>#REF!</v>
      </c>
      <c r="DK262" t="e">
        <f>AND(#REF!,"AAAAADLv83I=")</f>
        <v>#REF!</v>
      </c>
      <c r="DL262" t="e">
        <f>IF(#REF!,"AAAAADLv83M=",0)</f>
        <v>#REF!</v>
      </c>
      <c r="DM262" t="e">
        <f>AND(#REF!,"AAAAADLv83Q=")</f>
        <v>#REF!</v>
      </c>
      <c r="DN262" t="e">
        <f>AND(#REF!,"AAAAADLv83U=")</f>
        <v>#REF!</v>
      </c>
      <c r="DO262" t="e">
        <f>AND(#REF!,"AAAAADLv83Y=")</f>
        <v>#REF!</v>
      </c>
      <c r="DP262" t="e">
        <f>AND(#REF!,"AAAAADLv83c=")</f>
        <v>#REF!</v>
      </c>
      <c r="DQ262" t="e">
        <f>AND(#REF!,"AAAAADLv83g=")</f>
        <v>#REF!</v>
      </c>
      <c r="DR262" t="e">
        <f>AND(#REF!,"AAAAADLv83k=")</f>
        <v>#REF!</v>
      </c>
      <c r="DS262" t="e">
        <f>AND(#REF!,"AAAAADLv83o=")</f>
        <v>#REF!</v>
      </c>
      <c r="DT262" t="e">
        <f>AND(#REF!,"AAAAADLv83s=")</f>
        <v>#REF!</v>
      </c>
      <c r="DU262" t="e">
        <f>AND(#REF!,"AAAAADLv83w=")</f>
        <v>#REF!</v>
      </c>
      <c r="DV262" t="e">
        <f>AND(#REF!,"AAAAADLv830=")</f>
        <v>#REF!</v>
      </c>
      <c r="DW262" t="e">
        <f>IF(#REF!,"AAAAADLv834=",0)</f>
        <v>#REF!</v>
      </c>
      <c r="DX262" t="e">
        <f>AND(#REF!,"AAAAADLv838=")</f>
        <v>#REF!</v>
      </c>
      <c r="DY262" t="e">
        <f>AND(#REF!,"AAAAADLv84A=")</f>
        <v>#REF!</v>
      </c>
      <c r="DZ262" t="e">
        <f>AND(#REF!,"AAAAADLv84E=")</f>
        <v>#REF!</v>
      </c>
      <c r="EA262" t="e">
        <f>AND(#REF!,"AAAAADLv84I=")</f>
        <v>#REF!</v>
      </c>
      <c r="EB262" t="e">
        <f>AND(#REF!,"AAAAADLv84M=")</f>
        <v>#REF!</v>
      </c>
      <c r="EC262" t="e">
        <f>AND(#REF!,"AAAAADLv84Q=")</f>
        <v>#REF!</v>
      </c>
      <c r="ED262" t="e">
        <f>AND(#REF!,"AAAAADLv84U=")</f>
        <v>#REF!</v>
      </c>
      <c r="EE262" t="e">
        <f>AND(#REF!,"AAAAADLv84Y=")</f>
        <v>#REF!</v>
      </c>
      <c r="EF262" t="e">
        <f>AND(#REF!,"AAAAADLv84c=")</f>
        <v>#REF!</v>
      </c>
      <c r="EG262" t="e">
        <f>AND(#REF!,"AAAAADLv84g=")</f>
        <v>#REF!</v>
      </c>
      <c r="EH262" t="e">
        <f>IF(#REF!,"AAAAADLv84k=",0)</f>
        <v>#REF!</v>
      </c>
      <c r="EI262" t="e">
        <f>AND(#REF!,"AAAAADLv84o=")</f>
        <v>#REF!</v>
      </c>
      <c r="EJ262" t="e">
        <f>AND(#REF!,"AAAAADLv84s=")</f>
        <v>#REF!</v>
      </c>
      <c r="EK262" t="e">
        <f>AND(#REF!,"AAAAADLv84w=")</f>
        <v>#REF!</v>
      </c>
      <c r="EL262" t="e">
        <f>AND(#REF!,"AAAAADLv840=")</f>
        <v>#REF!</v>
      </c>
      <c r="EM262" t="e">
        <f>AND(#REF!,"AAAAADLv844=")</f>
        <v>#REF!</v>
      </c>
      <c r="EN262" t="e">
        <f>AND(#REF!,"AAAAADLv848=")</f>
        <v>#REF!</v>
      </c>
      <c r="EO262" t="e">
        <f>AND(#REF!,"AAAAADLv85A=")</f>
        <v>#REF!</v>
      </c>
      <c r="EP262" t="e">
        <f>AND(#REF!,"AAAAADLv85E=")</f>
        <v>#REF!</v>
      </c>
      <c r="EQ262" t="e">
        <f>AND(#REF!,"AAAAADLv85I=")</f>
        <v>#REF!</v>
      </c>
      <c r="ER262" t="e">
        <f>AND(#REF!,"AAAAADLv85M=")</f>
        <v>#REF!</v>
      </c>
      <c r="ES262" t="e">
        <f>IF(#REF!,"AAAAADLv85Q=",0)</f>
        <v>#REF!</v>
      </c>
      <c r="ET262" t="e">
        <f>AND(#REF!,"AAAAADLv85U=")</f>
        <v>#REF!</v>
      </c>
      <c r="EU262" t="e">
        <f>AND(#REF!,"AAAAADLv85Y=")</f>
        <v>#REF!</v>
      </c>
      <c r="EV262" t="e">
        <f>AND(#REF!,"AAAAADLv85c=")</f>
        <v>#REF!</v>
      </c>
      <c r="EW262" t="e">
        <f>AND(#REF!,"AAAAADLv85g=")</f>
        <v>#REF!</v>
      </c>
      <c r="EX262" t="e">
        <f>AND(#REF!,"AAAAADLv85k=")</f>
        <v>#REF!</v>
      </c>
      <c r="EY262" t="e">
        <f>AND(#REF!,"AAAAADLv85o=")</f>
        <v>#REF!</v>
      </c>
      <c r="EZ262" t="e">
        <f>AND(#REF!,"AAAAADLv85s=")</f>
        <v>#REF!</v>
      </c>
      <c r="FA262" t="e">
        <f>AND(#REF!,"AAAAADLv85w=")</f>
        <v>#REF!</v>
      </c>
      <c r="FB262" t="e">
        <f>AND(#REF!,"AAAAADLv850=")</f>
        <v>#REF!</v>
      </c>
      <c r="FC262" t="e">
        <f>AND(#REF!,"AAAAADLv854=")</f>
        <v>#REF!</v>
      </c>
      <c r="FD262" t="e">
        <f>IF(#REF!,"AAAAADLv858=",0)</f>
        <v>#REF!</v>
      </c>
      <c r="FE262" t="e">
        <f>AND(#REF!,"AAAAADLv86A=")</f>
        <v>#REF!</v>
      </c>
      <c r="FF262" t="e">
        <f>AND(#REF!,"AAAAADLv86E=")</f>
        <v>#REF!</v>
      </c>
      <c r="FG262" t="e">
        <f>AND(#REF!,"AAAAADLv86I=")</f>
        <v>#REF!</v>
      </c>
      <c r="FH262" t="e">
        <f>AND(#REF!,"AAAAADLv86M=")</f>
        <v>#REF!</v>
      </c>
      <c r="FI262" t="e">
        <f>AND(#REF!,"AAAAADLv86Q=")</f>
        <v>#REF!</v>
      </c>
      <c r="FJ262" t="e">
        <f>AND(#REF!,"AAAAADLv86U=")</f>
        <v>#REF!</v>
      </c>
      <c r="FK262" t="e">
        <f>AND(#REF!,"AAAAADLv86Y=")</f>
        <v>#REF!</v>
      </c>
      <c r="FL262" t="e">
        <f>AND(#REF!,"AAAAADLv86c=")</f>
        <v>#REF!</v>
      </c>
      <c r="FM262" t="e">
        <f>AND(#REF!,"AAAAADLv86g=")</f>
        <v>#REF!</v>
      </c>
      <c r="FN262" t="e">
        <f>AND(#REF!,"AAAAADLv86k=")</f>
        <v>#REF!</v>
      </c>
      <c r="FO262" t="e">
        <f>IF(#REF!,"AAAAADLv86o=",0)</f>
        <v>#REF!</v>
      </c>
      <c r="FP262" t="e">
        <f>AND(#REF!,"AAAAADLv86s=")</f>
        <v>#REF!</v>
      </c>
      <c r="FQ262" t="e">
        <f>AND(#REF!,"AAAAADLv86w=")</f>
        <v>#REF!</v>
      </c>
      <c r="FR262" t="e">
        <f>AND(#REF!,"AAAAADLv860=")</f>
        <v>#REF!</v>
      </c>
      <c r="FS262" t="e">
        <f>AND(#REF!,"AAAAADLv864=")</f>
        <v>#REF!</v>
      </c>
      <c r="FT262" t="e">
        <f>AND(#REF!,"AAAAADLv868=")</f>
        <v>#REF!</v>
      </c>
      <c r="FU262" t="e">
        <f>AND(#REF!,"AAAAADLv87A=")</f>
        <v>#REF!</v>
      </c>
      <c r="FV262" t="e">
        <f>AND(#REF!,"AAAAADLv87E=")</f>
        <v>#REF!</v>
      </c>
      <c r="FW262" t="e">
        <f>AND(#REF!,"AAAAADLv87I=")</f>
        <v>#REF!</v>
      </c>
      <c r="FX262" t="e">
        <f>AND(#REF!,"AAAAADLv87M=")</f>
        <v>#REF!</v>
      </c>
      <c r="FY262" t="e">
        <f>AND(#REF!,"AAAAADLv87Q=")</f>
        <v>#REF!</v>
      </c>
      <c r="FZ262" t="e">
        <f>IF(#REF!,"AAAAADLv87U=",0)</f>
        <v>#REF!</v>
      </c>
      <c r="GA262" t="e">
        <f>AND(#REF!,"AAAAADLv87Y=")</f>
        <v>#REF!</v>
      </c>
      <c r="GB262" t="e">
        <f>AND(#REF!,"AAAAADLv87c=")</f>
        <v>#REF!</v>
      </c>
      <c r="GC262" t="e">
        <f>AND(#REF!,"AAAAADLv87g=")</f>
        <v>#REF!</v>
      </c>
      <c r="GD262" t="e">
        <f>AND(#REF!,"AAAAADLv87k=")</f>
        <v>#REF!</v>
      </c>
      <c r="GE262" t="e">
        <f>AND(#REF!,"AAAAADLv87o=")</f>
        <v>#REF!</v>
      </c>
      <c r="GF262" t="e">
        <f>AND(#REF!,"AAAAADLv87s=")</f>
        <v>#REF!</v>
      </c>
      <c r="GG262" t="e">
        <f>AND(#REF!,"AAAAADLv87w=")</f>
        <v>#REF!</v>
      </c>
      <c r="GH262" t="e">
        <f>AND(#REF!,"AAAAADLv870=")</f>
        <v>#REF!</v>
      </c>
      <c r="GI262" t="e">
        <f>AND(#REF!,"AAAAADLv874=")</f>
        <v>#REF!</v>
      </c>
      <c r="GJ262" t="e">
        <f>AND(#REF!,"AAAAADLv878=")</f>
        <v>#REF!</v>
      </c>
      <c r="GK262" t="e">
        <f>IF(#REF!,"AAAAADLv88A=",0)</f>
        <v>#REF!</v>
      </c>
      <c r="GL262" t="e">
        <f>AND(#REF!,"AAAAADLv88E=")</f>
        <v>#REF!</v>
      </c>
      <c r="GM262" t="e">
        <f>AND(#REF!,"AAAAADLv88I=")</f>
        <v>#REF!</v>
      </c>
      <c r="GN262" t="e">
        <f>AND(#REF!,"AAAAADLv88M=")</f>
        <v>#REF!</v>
      </c>
      <c r="GO262" t="e">
        <f>AND(#REF!,"AAAAADLv88Q=")</f>
        <v>#REF!</v>
      </c>
      <c r="GP262" t="e">
        <f>AND(#REF!,"AAAAADLv88U=")</f>
        <v>#REF!</v>
      </c>
      <c r="GQ262" t="e">
        <f>AND(#REF!,"AAAAADLv88Y=")</f>
        <v>#REF!</v>
      </c>
      <c r="GR262" t="e">
        <f>AND(#REF!,"AAAAADLv88c=")</f>
        <v>#REF!</v>
      </c>
      <c r="GS262" t="e">
        <f>AND(#REF!,"AAAAADLv88g=")</f>
        <v>#REF!</v>
      </c>
      <c r="GT262" t="e">
        <f>AND(#REF!,"AAAAADLv88k=")</f>
        <v>#REF!</v>
      </c>
      <c r="GU262" t="e">
        <f>AND(#REF!,"AAAAADLv88o=")</f>
        <v>#REF!</v>
      </c>
      <c r="GV262" t="e">
        <f>IF(#REF!,"AAAAADLv88s=",0)</f>
        <v>#REF!</v>
      </c>
      <c r="GW262" t="e">
        <f>AND(#REF!,"AAAAADLv88w=")</f>
        <v>#REF!</v>
      </c>
      <c r="GX262" t="e">
        <f>AND(#REF!,"AAAAADLv880=")</f>
        <v>#REF!</v>
      </c>
      <c r="GY262" t="e">
        <f>AND(#REF!,"AAAAADLv884=")</f>
        <v>#REF!</v>
      </c>
      <c r="GZ262" t="e">
        <f>AND(#REF!,"AAAAADLv888=")</f>
        <v>#REF!</v>
      </c>
      <c r="HA262" t="e">
        <f>AND(#REF!,"AAAAADLv89A=")</f>
        <v>#REF!</v>
      </c>
      <c r="HB262" t="e">
        <f>AND(#REF!,"AAAAADLv89E=")</f>
        <v>#REF!</v>
      </c>
      <c r="HC262" t="e">
        <f>AND(#REF!,"AAAAADLv89I=")</f>
        <v>#REF!</v>
      </c>
      <c r="HD262" t="e">
        <f>AND(#REF!,"AAAAADLv89M=")</f>
        <v>#REF!</v>
      </c>
      <c r="HE262" t="e">
        <f>AND(#REF!,"AAAAADLv89Q=")</f>
        <v>#REF!</v>
      </c>
      <c r="HF262" t="e">
        <f>AND(#REF!,"AAAAADLv89U=")</f>
        <v>#REF!</v>
      </c>
      <c r="HG262" t="e">
        <f>IF(#REF!,"AAAAADLv89Y=",0)</f>
        <v>#REF!</v>
      </c>
      <c r="HH262" t="e">
        <f>AND(#REF!,"AAAAADLv89c=")</f>
        <v>#REF!</v>
      </c>
      <c r="HI262" t="e">
        <f>AND(#REF!,"AAAAADLv89g=")</f>
        <v>#REF!</v>
      </c>
      <c r="HJ262" t="e">
        <f>AND(#REF!,"AAAAADLv89k=")</f>
        <v>#REF!</v>
      </c>
      <c r="HK262" t="e">
        <f>AND(#REF!,"AAAAADLv89o=")</f>
        <v>#REF!</v>
      </c>
      <c r="HL262" t="e">
        <f>AND(#REF!,"AAAAADLv89s=")</f>
        <v>#REF!</v>
      </c>
      <c r="HM262" t="e">
        <f>AND(#REF!,"AAAAADLv89w=")</f>
        <v>#REF!</v>
      </c>
      <c r="HN262" t="e">
        <f>AND(#REF!,"AAAAADLv890=")</f>
        <v>#REF!</v>
      </c>
      <c r="HO262" t="e">
        <f>AND(#REF!,"AAAAADLv894=")</f>
        <v>#REF!</v>
      </c>
      <c r="HP262" t="e">
        <f>AND(#REF!,"AAAAADLv898=")</f>
        <v>#REF!</v>
      </c>
      <c r="HQ262" t="e">
        <f>AND(#REF!,"AAAAADLv8+A=")</f>
        <v>#REF!</v>
      </c>
      <c r="HR262" t="e">
        <f>IF(#REF!,"AAAAADLv8+E=",0)</f>
        <v>#REF!</v>
      </c>
      <c r="HS262" t="e">
        <f>AND(#REF!,"AAAAADLv8+I=")</f>
        <v>#REF!</v>
      </c>
      <c r="HT262" t="e">
        <f>AND(#REF!,"AAAAADLv8+M=")</f>
        <v>#REF!</v>
      </c>
      <c r="HU262" t="e">
        <f>AND(#REF!,"AAAAADLv8+Q=")</f>
        <v>#REF!</v>
      </c>
      <c r="HV262" t="e">
        <f>AND(#REF!,"AAAAADLv8+U=")</f>
        <v>#REF!</v>
      </c>
      <c r="HW262" t="e">
        <f>AND(#REF!,"AAAAADLv8+Y=")</f>
        <v>#REF!</v>
      </c>
      <c r="HX262" t="e">
        <f>AND(#REF!,"AAAAADLv8+c=")</f>
        <v>#REF!</v>
      </c>
      <c r="HY262" t="e">
        <f>AND(#REF!,"AAAAADLv8+g=")</f>
        <v>#REF!</v>
      </c>
      <c r="HZ262" t="e">
        <f>AND(#REF!,"AAAAADLv8+k=")</f>
        <v>#REF!</v>
      </c>
      <c r="IA262" t="e">
        <f>AND(#REF!,"AAAAADLv8+o=")</f>
        <v>#REF!</v>
      </c>
      <c r="IB262" t="e">
        <f>AND(#REF!,"AAAAADLv8+s=")</f>
        <v>#REF!</v>
      </c>
      <c r="IC262" t="e">
        <f>IF(#REF!,"AAAAADLv8+w=",0)</f>
        <v>#REF!</v>
      </c>
      <c r="ID262" t="e">
        <f>AND(#REF!,"AAAAADLv8+0=")</f>
        <v>#REF!</v>
      </c>
      <c r="IE262" t="e">
        <f>AND(#REF!,"AAAAADLv8+4=")</f>
        <v>#REF!</v>
      </c>
      <c r="IF262" t="e">
        <f>AND(#REF!,"AAAAADLv8+8=")</f>
        <v>#REF!</v>
      </c>
      <c r="IG262" t="e">
        <f>AND(#REF!,"AAAAADLv8/A=")</f>
        <v>#REF!</v>
      </c>
      <c r="IH262" t="e">
        <f>AND(#REF!,"AAAAADLv8/E=")</f>
        <v>#REF!</v>
      </c>
      <c r="II262" t="e">
        <f>AND(#REF!,"AAAAADLv8/I=")</f>
        <v>#REF!</v>
      </c>
      <c r="IJ262" t="e">
        <f>AND(#REF!,"AAAAADLv8/M=")</f>
        <v>#REF!</v>
      </c>
      <c r="IK262" t="e">
        <f>AND(#REF!,"AAAAADLv8/Q=")</f>
        <v>#REF!</v>
      </c>
      <c r="IL262" t="e">
        <f>AND(#REF!,"AAAAADLv8/U=")</f>
        <v>#REF!</v>
      </c>
      <c r="IM262" t="e">
        <f>AND(#REF!,"AAAAADLv8/Y=")</f>
        <v>#REF!</v>
      </c>
      <c r="IN262" t="e">
        <f>IF(#REF!,"AAAAADLv8/c=",0)</f>
        <v>#REF!</v>
      </c>
      <c r="IO262" t="e">
        <f>AND(#REF!,"AAAAADLv8/g=")</f>
        <v>#REF!</v>
      </c>
      <c r="IP262" t="e">
        <f>AND(#REF!,"AAAAADLv8/k=")</f>
        <v>#REF!</v>
      </c>
      <c r="IQ262" t="e">
        <f>AND(#REF!,"AAAAADLv8/o=")</f>
        <v>#REF!</v>
      </c>
      <c r="IR262" t="e">
        <f>AND(#REF!,"AAAAADLv8/s=")</f>
        <v>#REF!</v>
      </c>
      <c r="IS262" t="e">
        <f>AND(#REF!,"AAAAADLv8/w=")</f>
        <v>#REF!</v>
      </c>
      <c r="IT262" t="e">
        <f>AND(#REF!,"AAAAADLv8/0=")</f>
        <v>#REF!</v>
      </c>
      <c r="IU262" t="e">
        <f>AND(#REF!,"AAAAADLv8/4=")</f>
        <v>#REF!</v>
      </c>
      <c r="IV262" t="e">
        <f>AND(#REF!,"AAAAADLv8/8=")</f>
        <v>#REF!</v>
      </c>
    </row>
    <row r="263" spans="1:256" x14ac:dyDescent="0.25">
      <c r="A263" t="e">
        <f>AND(#REF!,"AAAAAHerRgA=")</f>
        <v>#REF!</v>
      </c>
      <c r="B263" t="e">
        <f>AND(#REF!,"AAAAAHerRgE=")</f>
        <v>#REF!</v>
      </c>
      <c r="C263" t="e">
        <f>IF(#REF!,"AAAAAHerRgI=",0)</f>
        <v>#REF!</v>
      </c>
      <c r="D263" t="e">
        <f>AND(#REF!,"AAAAAHerRgM=")</f>
        <v>#REF!</v>
      </c>
      <c r="E263" t="e">
        <f>AND(#REF!,"AAAAAHerRgQ=")</f>
        <v>#REF!</v>
      </c>
      <c r="F263" t="e">
        <f>AND(#REF!,"AAAAAHerRgU=")</f>
        <v>#REF!</v>
      </c>
      <c r="G263" t="e">
        <f>AND(#REF!,"AAAAAHerRgY=")</f>
        <v>#REF!</v>
      </c>
      <c r="H263" t="e">
        <f>AND(#REF!,"AAAAAHerRgc=")</f>
        <v>#REF!</v>
      </c>
      <c r="I263" t="e">
        <f>AND(#REF!,"AAAAAHerRgg=")</f>
        <v>#REF!</v>
      </c>
      <c r="J263" t="e">
        <f>AND(#REF!,"AAAAAHerRgk=")</f>
        <v>#REF!</v>
      </c>
      <c r="K263" t="e">
        <f>AND(#REF!,"AAAAAHerRgo=")</f>
        <v>#REF!</v>
      </c>
      <c r="L263" t="e">
        <f>AND(#REF!,"AAAAAHerRgs=")</f>
        <v>#REF!</v>
      </c>
      <c r="M263" t="e">
        <f>AND(#REF!,"AAAAAHerRgw=")</f>
        <v>#REF!</v>
      </c>
      <c r="N263" t="e">
        <f>IF(#REF!,"AAAAAHerRg0=",0)</f>
        <v>#REF!</v>
      </c>
      <c r="O263" t="e">
        <f>AND(#REF!,"AAAAAHerRg4=")</f>
        <v>#REF!</v>
      </c>
      <c r="P263" t="e">
        <f>AND(#REF!,"AAAAAHerRg8=")</f>
        <v>#REF!</v>
      </c>
      <c r="Q263" t="e">
        <f>AND(#REF!,"AAAAAHerRhA=")</f>
        <v>#REF!</v>
      </c>
      <c r="R263" t="e">
        <f>AND(#REF!,"AAAAAHerRhE=")</f>
        <v>#REF!</v>
      </c>
      <c r="S263" t="e">
        <f>AND(#REF!,"AAAAAHerRhI=")</f>
        <v>#REF!</v>
      </c>
      <c r="T263" t="e">
        <f>AND(#REF!,"AAAAAHerRhM=")</f>
        <v>#REF!</v>
      </c>
      <c r="U263" t="e">
        <f>AND(#REF!,"AAAAAHerRhQ=")</f>
        <v>#REF!</v>
      </c>
      <c r="V263" t="e">
        <f>AND(#REF!,"AAAAAHerRhU=")</f>
        <v>#REF!</v>
      </c>
      <c r="W263" t="e">
        <f>AND(#REF!,"AAAAAHerRhY=")</f>
        <v>#REF!</v>
      </c>
      <c r="X263" t="e">
        <f>AND(#REF!,"AAAAAHerRhc=")</f>
        <v>#REF!</v>
      </c>
      <c r="Y263" t="e">
        <f>IF(#REF!,"AAAAAHerRhg=",0)</f>
        <v>#REF!</v>
      </c>
      <c r="Z263" t="e">
        <f>AND(#REF!,"AAAAAHerRhk=")</f>
        <v>#REF!</v>
      </c>
      <c r="AA263" t="e">
        <f>AND(#REF!,"AAAAAHerRho=")</f>
        <v>#REF!</v>
      </c>
      <c r="AB263" t="e">
        <f>AND(#REF!,"AAAAAHerRhs=")</f>
        <v>#REF!</v>
      </c>
      <c r="AC263" t="e">
        <f>AND(#REF!,"AAAAAHerRhw=")</f>
        <v>#REF!</v>
      </c>
      <c r="AD263" t="e">
        <f>AND(#REF!,"AAAAAHerRh0=")</f>
        <v>#REF!</v>
      </c>
      <c r="AE263" t="e">
        <f>AND(#REF!,"AAAAAHerRh4=")</f>
        <v>#REF!</v>
      </c>
      <c r="AF263" t="e">
        <f>AND(#REF!,"AAAAAHerRh8=")</f>
        <v>#REF!</v>
      </c>
      <c r="AG263" t="e">
        <f>AND(#REF!,"AAAAAHerRiA=")</f>
        <v>#REF!</v>
      </c>
      <c r="AH263" t="e">
        <f>AND(#REF!,"AAAAAHerRiE=")</f>
        <v>#REF!</v>
      </c>
      <c r="AI263" t="e">
        <f>AND(#REF!,"AAAAAHerRiI=")</f>
        <v>#REF!</v>
      </c>
      <c r="AJ263" t="e">
        <f>IF(#REF!,"AAAAAHerRiM=",0)</f>
        <v>#REF!</v>
      </c>
      <c r="AK263" t="e">
        <f>AND(#REF!,"AAAAAHerRiQ=")</f>
        <v>#REF!</v>
      </c>
      <c r="AL263" t="e">
        <f>AND(#REF!,"AAAAAHerRiU=")</f>
        <v>#REF!</v>
      </c>
      <c r="AM263" t="e">
        <f>AND(#REF!,"AAAAAHerRiY=")</f>
        <v>#REF!</v>
      </c>
      <c r="AN263" t="e">
        <f>AND(#REF!,"AAAAAHerRic=")</f>
        <v>#REF!</v>
      </c>
      <c r="AO263" t="e">
        <f>AND(#REF!,"AAAAAHerRig=")</f>
        <v>#REF!</v>
      </c>
      <c r="AP263" t="e">
        <f>AND(#REF!,"AAAAAHerRik=")</f>
        <v>#REF!</v>
      </c>
      <c r="AQ263" t="e">
        <f>AND(#REF!,"AAAAAHerRio=")</f>
        <v>#REF!</v>
      </c>
      <c r="AR263" t="e">
        <f>AND(#REF!,"AAAAAHerRis=")</f>
        <v>#REF!</v>
      </c>
      <c r="AS263" t="e">
        <f>AND(#REF!,"AAAAAHerRiw=")</f>
        <v>#REF!</v>
      </c>
      <c r="AT263" t="e">
        <f>AND(#REF!,"AAAAAHerRi0=")</f>
        <v>#REF!</v>
      </c>
      <c r="AU263" t="e">
        <f>IF(#REF!,"AAAAAHerRi4=",0)</f>
        <v>#REF!</v>
      </c>
      <c r="AV263" t="e">
        <f>AND(#REF!,"AAAAAHerRi8=")</f>
        <v>#REF!</v>
      </c>
      <c r="AW263" t="e">
        <f>AND(#REF!,"AAAAAHerRjA=")</f>
        <v>#REF!</v>
      </c>
      <c r="AX263" t="e">
        <f>AND(#REF!,"AAAAAHerRjE=")</f>
        <v>#REF!</v>
      </c>
      <c r="AY263" t="e">
        <f>AND(#REF!,"AAAAAHerRjI=")</f>
        <v>#REF!</v>
      </c>
      <c r="AZ263" t="e">
        <f>AND(#REF!,"AAAAAHerRjM=")</f>
        <v>#REF!</v>
      </c>
      <c r="BA263" t="e">
        <f>AND(#REF!,"AAAAAHerRjQ=")</f>
        <v>#REF!</v>
      </c>
      <c r="BB263" t="e">
        <f>AND(#REF!,"AAAAAHerRjU=")</f>
        <v>#REF!</v>
      </c>
      <c r="BC263" t="e">
        <f>AND(#REF!,"AAAAAHerRjY=")</f>
        <v>#REF!</v>
      </c>
      <c r="BD263" t="e">
        <f>AND(#REF!,"AAAAAHerRjc=")</f>
        <v>#REF!</v>
      </c>
      <c r="BE263" t="e">
        <f>AND(#REF!,"AAAAAHerRjg=")</f>
        <v>#REF!</v>
      </c>
      <c r="BF263" t="e">
        <f>IF(#REF!,"AAAAAHerRjk=",0)</f>
        <v>#REF!</v>
      </c>
      <c r="BG263" t="e">
        <f>AND(#REF!,"AAAAAHerRjo=")</f>
        <v>#REF!</v>
      </c>
      <c r="BH263" t="e">
        <f>AND(#REF!,"AAAAAHerRjs=")</f>
        <v>#REF!</v>
      </c>
      <c r="BI263" t="e">
        <f>AND(#REF!,"AAAAAHerRjw=")</f>
        <v>#REF!</v>
      </c>
      <c r="BJ263" t="e">
        <f>AND(#REF!,"AAAAAHerRj0=")</f>
        <v>#REF!</v>
      </c>
      <c r="BK263" t="e">
        <f>AND(#REF!,"AAAAAHerRj4=")</f>
        <v>#REF!</v>
      </c>
      <c r="BL263" t="e">
        <f>AND(#REF!,"AAAAAHerRj8=")</f>
        <v>#REF!</v>
      </c>
      <c r="BM263" t="e">
        <f>AND(#REF!,"AAAAAHerRkA=")</f>
        <v>#REF!</v>
      </c>
      <c r="BN263" t="e">
        <f>AND(#REF!,"AAAAAHerRkE=")</f>
        <v>#REF!</v>
      </c>
      <c r="BO263" t="e">
        <f>AND(#REF!,"AAAAAHerRkI=")</f>
        <v>#REF!</v>
      </c>
      <c r="BP263" t="e">
        <f>AND(#REF!,"AAAAAHerRkM=")</f>
        <v>#REF!</v>
      </c>
      <c r="BQ263" t="e">
        <f>IF(#REF!,"AAAAAHerRkQ=",0)</f>
        <v>#REF!</v>
      </c>
      <c r="BR263" t="e">
        <f>AND(#REF!,"AAAAAHerRkU=")</f>
        <v>#REF!</v>
      </c>
      <c r="BS263" t="e">
        <f>AND(#REF!,"AAAAAHerRkY=")</f>
        <v>#REF!</v>
      </c>
      <c r="BT263" t="e">
        <f>AND(#REF!,"AAAAAHerRkc=")</f>
        <v>#REF!</v>
      </c>
      <c r="BU263" t="e">
        <f>AND(#REF!,"AAAAAHerRkg=")</f>
        <v>#REF!</v>
      </c>
      <c r="BV263" t="e">
        <f>AND(#REF!,"AAAAAHerRkk=")</f>
        <v>#REF!</v>
      </c>
      <c r="BW263" t="e">
        <f>AND(#REF!,"AAAAAHerRko=")</f>
        <v>#REF!</v>
      </c>
      <c r="BX263" t="e">
        <f>AND(#REF!,"AAAAAHerRks=")</f>
        <v>#REF!</v>
      </c>
      <c r="BY263" t="e">
        <f>AND(#REF!,"AAAAAHerRkw=")</f>
        <v>#REF!</v>
      </c>
      <c r="BZ263" t="e">
        <f>AND(#REF!,"AAAAAHerRk0=")</f>
        <v>#REF!</v>
      </c>
      <c r="CA263" t="e">
        <f>AND(#REF!,"AAAAAHerRk4=")</f>
        <v>#REF!</v>
      </c>
      <c r="CB263" t="e">
        <f>IF(#REF!,"AAAAAHerRk8=",0)</f>
        <v>#REF!</v>
      </c>
      <c r="CC263" t="e">
        <f>AND(#REF!,"AAAAAHerRlA=")</f>
        <v>#REF!</v>
      </c>
      <c r="CD263" t="e">
        <f>AND(#REF!,"AAAAAHerRlE=")</f>
        <v>#REF!</v>
      </c>
      <c r="CE263" t="e">
        <f>AND(#REF!,"AAAAAHerRlI=")</f>
        <v>#REF!</v>
      </c>
      <c r="CF263" t="e">
        <f>AND(#REF!,"AAAAAHerRlM=")</f>
        <v>#REF!</v>
      </c>
      <c r="CG263" t="e">
        <f>AND(#REF!,"AAAAAHerRlQ=")</f>
        <v>#REF!</v>
      </c>
      <c r="CH263" t="e">
        <f>AND(#REF!,"AAAAAHerRlU=")</f>
        <v>#REF!</v>
      </c>
      <c r="CI263" t="e">
        <f>AND(#REF!,"AAAAAHerRlY=")</f>
        <v>#REF!</v>
      </c>
      <c r="CJ263" t="e">
        <f>AND(#REF!,"AAAAAHerRlc=")</f>
        <v>#REF!</v>
      </c>
      <c r="CK263" t="e">
        <f>AND(#REF!,"AAAAAHerRlg=")</f>
        <v>#REF!</v>
      </c>
      <c r="CL263" t="e">
        <f>AND(#REF!,"AAAAAHerRlk=")</f>
        <v>#REF!</v>
      </c>
      <c r="CM263" t="e">
        <f>IF(#REF!,"AAAAAHerRlo=",0)</f>
        <v>#REF!</v>
      </c>
      <c r="CN263" t="e">
        <f>AND(#REF!,"AAAAAHerRls=")</f>
        <v>#REF!</v>
      </c>
      <c r="CO263" t="e">
        <f>AND(#REF!,"AAAAAHerRlw=")</f>
        <v>#REF!</v>
      </c>
      <c r="CP263" t="e">
        <f>AND(#REF!,"AAAAAHerRl0=")</f>
        <v>#REF!</v>
      </c>
      <c r="CQ263" t="e">
        <f>AND(#REF!,"AAAAAHerRl4=")</f>
        <v>#REF!</v>
      </c>
      <c r="CR263" t="e">
        <f>AND(#REF!,"AAAAAHerRl8=")</f>
        <v>#REF!</v>
      </c>
      <c r="CS263" t="e">
        <f>AND(#REF!,"AAAAAHerRmA=")</f>
        <v>#REF!</v>
      </c>
      <c r="CT263" t="e">
        <f>AND(#REF!,"AAAAAHerRmE=")</f>
        <v>#REF!</v>
      </c>
      <c r="CU263" t="e">
        <f>AND(#REF!,"AAAAAHerRmI=")</f>
        <v>#REF!</v>
      </c>
      <c r="CV263" t="e">
        <f>AND(#REF!,"AAAAAHerRmM=")</f>
        <v>#REF!</v>
      </c>
      <c r="CW263" t="e">
        <f>AND(#REF!,"AAAAAHerRmQ=")</f>
        <v>#REF!</v>
      </c>
      <c r="CX263" t="e">
        <f>IF(#REF!,"AAAAAHerRmU=",0)</f>
        <v>#REF!</v>
      </c>
      <c r="CY263" t="e">
        <f>AND(#REF!,"AAAAAHerRmY=")</f>
        <v>#REF!</v>
      </c>
      <c r="CZ263" t="e">
        <f>AND(#REF!,"AAAAAHerRmc=")</f>
        <v>#REF!</v>
      </c>
      <c r="DA263" t="e">
        <f>AND(#REF!,"AAAAAHerRmg=")</f>
        <v>#REF!</v>
      </c>
      <c r="DB263" t="e">
        <f>AND(#REF!,"AAAAAHerRmk=")</f>
        <v>#REF!</v>
      </c>
      <c r="DC263" t="e">
        <f>AND(#REF!,"AAAAAHerRmo=")</f>
        <v>#REF!</v>
      </c>
      <c r="DD263" t="e">
        <f>AND(#REF!,"AAAAAHerRms=")</f>
        <v>#REF!</v>
      </c>
      <c r="DE263" t="e">
        <f>AND(#REF!,"AAAAAHerRmw=")</f>
        <v>#REF!</v>
      </c>
      <c r="DF263" t="e">
        <f>AND(#REF!,"AAAAAHerRm0=")</f>
        <v>#REF!</v>
      </c>
      <c r="DG263" t="e">
        <f>AND(#REF!,"AAAAAHerRm4=")</f>
        <v>#REF!</v>
      </c>
      <c r="DH263" t="e">
        <f>AND(#REF!,"AAAAAHerRm8=")</f>
        <v>#REF!</v>
      </c>
      <c r="DI263" t="e">
        <f>IF(#REF!,"AAAAAHerRnA=",0)</f>
        <v>#REF!</v>
      </c>
      <c r="DJ263" t="e">
        <f>AND(#REF!,"AAAAAHerRnE=")</f>
        <v>#REF!</v>
      </c>
      <c r="DK263" t="e">
        <f>AND(#REF!,"AAAAAHerRnI=")</f>
        <v>#REF!</v>
      </c>
      <c r="DL263" t="e">
        <f>AND(#REF!,"AAAAAHerRnM=")</f>
        <v>#REF!</v>
      </c>
      <c r="DM263" t="e">
        <f>AND(#REF!,"AAAAAHerRnQ=")</f>
        <v>#REF!</v>
      </c>
      <c r="DN263" t="e">
        <f>AND(#REF!,"AAAAAHerRnU=")</f>
        <v>#REF!</v>
      </c>
      <c r="DO263" t="e">
        <f>AND(#REF!,"AAAAAHerRnY=")</f>
        <v>#REF!</v>
      </c>
      <c r="DP263" t="e">
        <f>AND(#REF!,"AAAAAHerRnc=")</f>
        <v>#REF!</v>
      </c>
      <c r="DQ263" t="e">
        <f>AND(#REF!,"AAAAAHerRng=")</f>
        <v>#REF!</v>
      </c>
      <c r="DR263" t="e">
        <f>AND(#REF!,"AAAAAHerRnk=")</f>
        <v>#REF!</v>
      </c>
      <c r="DS263" t="e">
        <f>AND(#REF!,"AAAAAHerRno=")</f>
        <v>#REF!</v>
      </c>
      <c r="DT263" t="e">
        <f>IF(#REF!,"AAAAAHerRns=",0)</f>
        <v>#REF!</v>
      </c>
      <c r="DU263" t="e">
        <f>AND(#REF!,"AAAAAHerRnw=")</f>
        <v>#REF!</v>
      </c>
      <c r="DV263" t="e">
        <f>AND(#REF!,"AAAAAHerRn0=")</f>
        <v>#REF!</v>
      </c>
      <c r="DW263" t="e">
        <f>AND(#REF!,"AAAAAHerRn4=")</f>
        <v>#REF!</v>
      </c>
      <c r="DX263" t="e">
        <f>AND(#REF!,"AAAAAHerRn8=")</f>
        <v>#REF!</v>
      </c>
      <c r="DY263" t="e">
        <f>AND(#REF!,"AAAAAHerRoA=")</f>
        <v>#REF!</v>
      </c>
      <c r="DZ263" t="e">
        <f>AND(#REF!,"AAAAAHerRoE=")</f>
        <v>#REF!</v>
      </c>
      <c r="EA263" t="e">
        <f>AND(#REF!,"AAAAAHerRoI=")</f>
        <v>#REF!</v>
      </c>
      <c r="EB263" t="e">
        <f>AND(#REF!,"AAAAAHerRoM=")</f>
        <v>#REF!</v>
      </c>
      <c r="EC263" t="e">
        <f>AND(#REF!,"AAAAAHerRoQ=")</f>
        <v>#REF!</v>
      </c>
      <c r="ED263" t="e">
        <f>AND(#REF!,"AAAAAHerRoU=")</f>
        <v>#REF!</v>
      </c>
      <c r="EE263" t="e">
        <f>IF(#REF!,"AAAAAHerRoY=",0)</f>
        <v>#REF!</v>
      </c>
      <c r="EF263" t="e">
        <f>AND(#REF!,"AAAAAHerRoc=")</f>
        <v>#REF!</v>
      </c>
      <c r="EG263" t="e">
        <f>AND(#REF!,"AAAAAHerRog=")</f>
        <v>#REF!</v>
      </c>
      <c r="EH263" t="e">
        <f>AND(#REF!,"AAAAAHerRok=")</f>
        <v>#REF!</v>
      </c>
      <c r="EI263" t="e">
        <f>AND(#REF!,"AAAAAHerRoo=")</f>
        <v>#REF!</v>
      </c>
      <c r="EJ263" t="e">
        <f>AND(#REF!,"AAAAAHerRos=")</f>
        <v>#REF!</v>
      </c>
      <c r="EK263" t="e">
        <f>AND(#REF!,"AAAAAHerRow=")</f>
        <v>#REF!</v>
      </c>
      <c r="EL263" t="e">
        <f>AND(#REF!,"AAAAAHerRo0=")</f>
        <v>#REF!</v>
      </c>
      <c r="EM263" t="e">
        <f>AND(#REF!,"AAAAAHerRo4=")</f>
        <v>#REF!</v>
      </c>
      <c r="EN263" t="e">
        <f>AND(#REF!,"AAAAAHerRo8=")</f>
        <v>#REF!</v>
      </c>
      <c r="EO263" t="e">
        <f>AND(#REF!,"AAAAAHerRpA=")</f>
        <v>#REF!</v>
      </c>
      <c r="EP263" t="e">
        <f>IF(#REF!,"AAAAAHerRpE=",0)</f>
        <v>#REF!</v>
      </c>
      <c r="EQ263" t="e">
        <f>AND(#REF!,"AAAAAHerRpI=")</f>
        <v>#REF!</v>
      </c>
      <c r="ER263" t="e">
        <f>AND(#REF!,"AAAAAHerRpM=")</f>
        <v>#REF!</v>
      </c>
      <c r="ES263" t="e">
        <f>AND(#REF!,"AAAAAHerRpQ=")</f>
        <v>#REF!</v>
      </c>
      <c r="ET263" t="e">
        <f>AND(#REF!,"AAAAAHerRpU=")</f>
        <v>#REF!</v>
      </c>
      <c r="EU263" t="e">
        <f>AND(#REF!,"AAAAAHerRpY=")</f>
        <v>#REF!</v>
      </c>
      <c r="EV263" t="e">
        <f>AND(#REF!,"AAAAAHerRpc=")</f>
        <v>#REF!</v>
      </c>
      <c r="EW263" t="e">
        <f>AND(#REF!,"AAAAAHerRpg=")</f>
        <v>#REF!</v>
      </c>
      <c r="EX263" t="e">
        <f>AND(#REF!,"AAAAAHerRpk=")</f>
        <v>#REF!</v>
      </c>
      <c r="EY263" t="e">
        <f>AND(#REF!,"AAAAAHerRpo=")</f>
        <v>#REF!</v>
      </c>
      <c r="EZ263" t="e">
        <f>AND(#REF!,"AAAAAHerRps=")</f>
        <v>#REF!</v>
      </c>
      <c r="FA263" t="e">
        <f>IF(#REF!,"AAAAAHerRpw=",0)</f>
        <v>#REF!</v>
      </c>
      <c r="FB263" t="e">
        <f>AND(#REF!,"AAAAAHerRp0=")</f>
        <v>#REF!</v>
      </c>
      <c r="FC263" t="e">
        <f>AND(#REF!,"AAAAAHerRp4=")</f>
        <v>#REF!</v>
      </c>
      <c r="FD263" t="e">
        <f>AND(#REF!,"AAAAAHerRp8=")</f>
        <v>#REF!</v>
      </c>
      <c r="FE263" t="e">
        <f>AND(#REF!,"AAAAAHerRqA=")</f>
        <v>#REF!</v>
      </c>
      <c r="FF263" t="e">
        <f>AND(#REF!,"AAAAAHerRqE=")</f>
        <v>#REF!</v>
      </c>
      <c r="FG263" t="e">
        <f>AND(#REF!,"AAAAAHerRqI=")</f>
        <v>#REF!</v>
      </c>
      <c r="FH263" t="e">
        <f>AND(#REF!,"AAAAAHerRqM=")</f>
        <v>#REF!</v>
      </c>
      <c r="FI263" t="e">
        <f>AND(#REF!,"AAAAAHerRqQ=")</f>
        <v>#REF!</v>
      </c>
      <c r="FJ263" t="e">
        <f>AND(#REF!,"AAAAAHerRqU=")</f>
        <v>#REF!</v>
      </c>
      <c r="FK263" t="e">
        <f>AND(#REF!,"AAAAAHerRqY=")</f>
        <v>#REF!</v>
      </c>
      <c r="FL263" t="e">
        <f>IF(#REF!,"AAAAAHerRqc=",0)</f>
        <v>#REF!</v>
      </c>
      <c r="FM263" t="e">
        <f>AND(#REF!,"AAAAAHerRqg=")</f>
        <v>#REF!</v>
      </c>
      <c r="FN263" t="e">
        <f>AND(#REF!,"AAAAAHerRqk=")</f>
        <v>#REF!</v>
      </c>
      <c r="FO263" t="e">
        <f>AND(#REF!,"AAAAAHerRqo=")</f>
        <v>#REF!</v>
      </c>
      <c r="FP263" t="e">
        <f>AND(#REF!,"AAAAAHerRqs=")</f>
        <v>#REF!</v>
      </c>
      <c r="FQ263" t="e">
        <f>AND(#REF!,"AAAAAHerRqw=")</f>
        <v>#REF!</v>
      </c>
      <c r="FR263" t="e">
        <f>AND(#REF!,"AAAAAHerRq0=")</f>
        <v>#REF!</v>
      </c>
      <c r="FS263" t="e">
        <f>AND(#REF!,"AAAAAHerRq4=")</f>
        <v>#REF!</v>
      </c>
      <c r="FT263" t="e">
        <f>AND(#REF!,"AAAAAHerRq8=")</f>
        <v>#REF!</v>
      </c>
      <c r="FU263" t="e">
        <f>AND(#REF!,"AAAAAHerRrA=")</f>
        <v>#REF!</v>
      </c>
      <c r="FV263" t="e">
        <f>AND(#REF!,"AAAAAHerRrE=")</f>
        <v>#REF!</v>
      </c>
      <c r="FW263" t="e">
        <f>IF(#REF!,"AAAAAHerRrI=",0)</f>
        <v>#REF!</v>
      </c>
      <c r="FX263" t="e">
        <f>AND(#REF!,"AAAAAHerRrM=")</f>
        <v>#REF!</v>
      </c>
      <c r="FY263" t="e">
        <f>AND(#REF!,"AAAAAHerRrQ=")</f>
        <v>#REF!</v>
      </c>
      <c r="FZ263" t="e">
        <f>AND(#REF!,"AAAAAHerRrU=")</f>
        <v>#REF!</v>
      </c>
      <c r="GA263" t="e">
        <f>AND(#REF!,"AAAAAHerRrY=")</f>
        <v>#REF!</v>
      </c>
      <c r="GB263" t="e">
        <f>AND(#REF!,"AAAAAHerRrc=")</f>
        <v>#REF!</v>
      </c>
      <c r="GC263" t="e">
        <f>AND(#REF!,"AAAAAHerRrg=")</f>
        <v>#REF!</v>
      </c>
      <c r="GD263" t="e">
        <f>AND(#REF!,"AAAAAHerRrk=")</f>
        <v>#REF!</v>
      </c>
      <c r="GE263" t="e">
        <f>AND(#REF!,"AAAAAHerRro=")</f>
        <v>#REF!</v>
      </c>
      <c r="GF263" t="e">
        <f>AND(#REF!,"AAAAAHerRrs=")</f>
        <v>#REF!</v>
      </c>
      <c r="GG263" t="e">
        <f>AND(#REF!,"AAAAAHerRrw=")</f>
        <v>#REF!</v>
      </c>
      <c r="GH263" t="e">
        <f>IF(#REF!,"AAAAAHerRr0=",0)</f>
        <v>#REF!</v>
      </c>
      <c r="GI263" t="e">
        <f>AND(#REF!,"AAAAAHerRr4=")</f>
        <v>#REF!</v>
      </c>
      <c r="GJ263" t="e">
        <f>AND(#REF!,"AAAAAHerRr8=")</f>
        <v>#REF!</v>
      </c>
      <c r="GK263" t="e">
        <f>AND(#REF!,"AAAAAHerRsA=")</f>
        <v>#REF!</v>
      </c>
      <c r="GL263" t="e">
        <f>AND(#REF!,"AAAAAHerRsE=")</f>
        <v>#REF!</v>
      </c>
      <c r="GM263" t="e">
        <f>AND(#REF!,"AAAAAHerRsI=")</f>
        <v>#REF!</v>
      </c>
      <c r="GN263" t="e">
        <f>AND(#REF!,"AAAAAHerRsM=")</f>
        <v>#REF!</v>
      </c>
      <c r="GO263" t="e">
        <f>AND(#REF!,"AAAAAHerRsQ=")</f>
        <v>#REF!</v>
      </c>
      <c r="GP263" t="e">
        <f>AND(#REF!,"AAAAAHerRsU=")</f>
        <v>#REF!</v>
      </c>
      <c r="GQ263" t="e">
        <f>AND(#REF!,"AAAAAHerRsY=")</f>
        <v>#REF!</v>
      </c>
      <c r="GR263" t="e">
        <f>AND(#REF!,"AAAAAHerRsc=")</f>
        <v>#REF!</v>
      </c>
      <c r="GS263" t="e">
        <f>IF(#REF!,"AAAAAHerRsg=",0)</f>
        <v>#REF!</v>
      </c>
      <c r="GT263" t="e">
        <f>AND(#REF!,"AAAAAHerRsk=")</f>
        <v>#REF!</v>
      </c>
      <c r="GU263" t="e">
        <f>AND(#REF!,"AAAAAHerRso=")</f>
        <v>#REF!</v>
      </c>
      <c r="GV263" t="e">
        <f>AND(#REF!,"AAAAAHerRss=")</f>
        <v>#REF!</v>
      </c>
      <c r="GW263" t="e">
        <f>AND(#REF!,"AAAAAHerRsw=")</f>
        <v>#REF!</v>
      </c>
      <c r="GX263" t="e">
        <f>AND(#REF!,"AAAAAHerRs0=")</f>
        <v>#REF!</v>
      </c>
      <c r="GY263" t="e">
        <f>AND(#REF!,"AAAAAHerRs4=")</f>
        <v>#REF!</v>
      </c>
      <c r="GZ263" t="e">
        <f>AND(#REF!,"AAAAAHerRs8=")</f>
        <v>#REF!</v>
      </c>
      <c r="HA263" t="e">
        <f>AND(#REF!,"AAAAAHerRtA=")</f>
        <v>#REF!</v>
      </c>
      <c r="HB263" t="e">
        <f>AND(#REF!,"AAAAAHerRtE=")</f>
        <v>#REF!</v>
      </c>
      <c r="HC263" t="e">
        <f>AND(#REF!,"AAAAAHerRtI=")</f>
        <v>#REF!</v>
      </c>
      <c r="HD263" t="e">
        <f>IF(#REF!,"AAAAAHerRtM=",0)</f>
        <v>#REF!</v>
      </c>
      <c r="HE263" t="e">
        <f>AND(#REF!,"AAAAAHerRtQ=")</f>
        <v>#REF!</v>
      </c>
      <c r="HF263" t="e">
        <f>AND(#REF!,"AAAAAHerRtU=")</f>
        <v>#REF!</v>
      </c>
      <c r="HG263" t="e">
        <f>AND(#REF!,"AAAAAHerRtY=")</f>
        <v>#REF!</v>
      </c>
      <c r="HH263" t="e">
        <f>AND(#REF!,"AAAAAHerRtc=")</f>
        <v>#REF!</v>
      </c>
      <c r="HI263" t="e">
        <f>AND(#REF!,"AAAAAHerRtg=")</f>
        <v>#REF!</v>
      </c>
      <c r="HJ263" t="e">
        <f>AND(#REF!,"AAAAAHerRtk=")</f>
        <v>#REF!</v>
      </c>
      <c r="HK263" t="e">
        <f>AND(#REF!,"AAAAAHerRto=")</f>
        <v>#REF!</v>
      </c>
      <c r="HL263" t="e">
        <f>AND(#REF!,"AAAAAHerRts=")</f>
        <v>#REF!</v>
      </c>
      <c r="HM263" t="e">
        <f>AND(#REF!,"AAAAAHerRtw=")</f>
        <v>#REF!</v>
      </c>
      <c r="HN263" t="e">
        <f>AND(#REF!,"AAAAAHerRt0=")</f>
        <v>#REF!</v>
      </c>
      <c r="HO263" t="e">
        <f>IF(#REF!,"AAAAAHerRt4=",0)</f>
        <v>#REF!</v>
      </c>
      <c r="HP263" t="e">
        <f>AND(#REF!,"AAAAAHerRt8=")</f>
        <v>#REF!</v>
      </c>
      <c r="HQ263" t="e">
        <f>AND(#REF!,"AAAAAHerRuA=")</f>
        <v>#REF!</v>
      </c>
      <c r="HR263" t="e">
        <f>AND(#REF!,"AAAAAHerRuE=")</f>
        <v>#REF!</v>
      </c>
      <c r="HS263" t="e">
        <f>AND(#REF!,"AAAAAHerRuI=")</f>
        <v>#REF!</v>
      </c>
      <c r="HT263" t="e">
        <f>AND(#REF!,"AAAAAHerRuM=")</f>
        <v>#REF!</v>
      </c>
      <c r="HU263" t="e">
        <f>AND(#REF!,"AAAAAHerRuQ=")</f>
        <v>#REF!</v>
      </c>
      <c r="HV263" t="e">
        <f>AND(#REF!,"AAAAAHerRuU=")</f>
        <v>#REF!</v>
      </c>
      <c r="HW263" t="e">
        <f>AND(#REF!,"AAAAAHerRuY=")</f>
        <v>#REF!</v>
      </c>
      <c r="HX263" t="e">
        <f>AND(#REF!,"AAAAAHerRuc=")</f>
        <v>#REF!</v>
      </c>
      <c r="HY263" t="e">
        <f>AND(#REF!,"AAAAAHerRug=")</f>
        <v>#REF!</v>
      </c>
      <c r="HZ263" t="e">
        <f>IF(#REF!,"AAAAAHerRuk=",0)</f>
        <v>#REF!</v>
      </c>
      <c r="IA263" t="e">
        <f>AND(#REF!,"AAAAAHerRuo=")</f>
        <v>#REF!</v>
      </c>
      <c r="IB263" t="e">
        <f>AND(#REF!,"AAAAAHerRus=")</f>
        <v>#REF!</v>
      </c>
      <c r="IC263" t="e">
        <f>AND(#REF!,"AAAAAHerRuw=")</f>
        <v>#REF!</v>
      </c>
      <c r="ID263" t="e">
        <f>AND(#REF!,"AAAAAHerRu0=")</f>
        <v>#REF!</v>
      </c>
      <c r="IE263" t="e">
        <f>AND(#REF!,"AAAAAHerRu4=")</f>
        <v>#REF!</v>
      </c>
      <c r="IF263" t="e">
        <f>AND(#REF!,"AAAAAHerRu8=")</f>
        <v>#REF!</v>
      </c>
      <c r="IG263" t="e">
        <f>AND(#REF!,"AAAAAHerRvA=")</f>
        <v>#REF!</v>
      </c>
      <c r="IH263" t="e">
        <f>AND(#REF!,"AAAAAHerRvE=")</f>
        <v>#REF!</v>
      </c>
      <c r="II263" t="e">
        <f>AND(#REF!,"AAAAAHerRvI=")</f>
        <v>#REF!</v>
      </c>
      <c r="IJ263" t="e">
        <f>AND(#REF!,"AAAAAHerRvM=")</f>
        <v>#REF!</v>
      </c>
      <c r="IK263" t="e">
        <f>IF(#REF!,"AAAAAHerRvQ=",0)</f>
        <v>#REF!</v>
      </c>
      <c r="IL263" t="e">
        <f>AND(#REF!,"AAAAAHerRvU=")</f>
        <v>#REF!</v>
      </c>
      <c r="IM263" t="e">
        <f>AND(#REF!,"AAAAAHerRvY=")</f>
        <v>#REF!</v>
      </c>
      <c r="IN263" t="e">
        <f>AND(#REF!,"AAAAAHerRvc=")</f>
        <v>#REF!</v>
      </c>
      <c r="IO263" t="e">
        <f>AND(#REF!,"AAAAAHerRvg=")</f>
        <v>#REF!</v>
      </c>
      <c r="IP263" t="e">
        <f>AND(#REF!,"AAAAAHerRvk=")</f>
        <v>#REF!</v>
      </c>
      <c r="IQ263" t="e">
        <f>AND(#REF!,"AAAAAHerRvo=")</f>
        <v>#REF!</v>
      </c>
      <c r="IR263" t="e">
        <f>AND(#REF!,"AAAAAHerRvs=")</f>
        <v>#REF!</v>
      </c>
      <c r="IS263" t="e">
        <f>AND(#REF!,"AAAAAHerRvw=")</f>
        <v>#REF!</v>
      </c>
      <c r="IT263" t="e">
        <f>AND(#REF!,"AAAAAHerRv0=")</f>
        <v>#REF!</v>
      </c>
      <c r="IU263" t="e">
        <f>AND(#REF!,"AAAAAHerRv4=")</f>
        <v>#REF!</v>
      </c>
      <c r="IV263" t="e">
        <f>IF(#REF!,"AAAAAHerRv8=",0)</f>
        <v>#REF!</v>
      </c>
    </row>
    <row r="264" spans="1:256" x14ac:dyDescent="0.25">
      <c r="A264" t="e">
        <f>AND(#REF!,"AAAAADv//QA=")</f>
        <v>#REF!</v>
      </c>
      <c r="B264" t="e">
        <f>AND(#REF!,"AAAAADv//QE=")</f>
        <v>#REF!</v>
      </c>
      <c r="C264" t="e">
        <f>AND(#REF!,"AAAAADv//QI=")</f>
        <v>#REF!</v>
      </c>
      <c r="D264" t="e">
        <f>AND(#REF!,"AAAAADv//QM=")</f>
        <v>#REF!</v>
      </c>
      <c r="E264" t="e">
        <f>AND(#REF!,"AAAAADv//QQ=")</f>
        <v>#REF!</v>
      </c>
      <c r="F264" t="e">
        <f>AND(#REF!,"AAAAADv//QU=")</f>
        <v>#REF!</v>
      </c>
      <c r="G264" t="e">
        <f>AND(#REF!,"AAAAADv//QY=")</f>
        <v>#REF!</v>
      </c>
      <c r="H264" t="e">
        <f>AND(#REF!,"AAAAADv//Qc=")</f>
        <v>#REF!</v>
      </c>
      <c r="I264" t="e">
        <f>AND(#REF!,"AAAAADv//Qg=")</f>
        <v>#REF!</v>
      </c>
      <c r="J264" t="e">
        <f>AND(#REF!,"AAAAADv//Qk=")</f>
        <v>#REF!</v>
      </c>
      <c r="K264" t="e">
        <f>IF(#REF!,"AAAAADv//Qo=",0)</f>
        <v>#REF!</v>
      </c>
      <c r="L264" t="e">
        <f>AND(#REF!,"AAAAADv//Qs=")</f>
        <v>#REF!</v>
      </c>
      <c r="M264" t="e">
        <f>AND(#REF!,"AAAAADv//Qw=")</f>
        <v>#REF!</v>
      </c>
      <c r="N264" t="e">
        <f>AND(#REF!,"AAAAADv//Q0=")</f>
        <v>#REF!</v>
      </c>
      <c r="O264" t="e">
        <f>AND(#REF!,"AAAAADv//Q4=")</f>
        <v>#REF!</v>
      </c>
      <c r="P264" t="e">
        <f>AND(#REF!,"AAAAADv//Q8=")</f>
        <v>#REF!</v>
      </c>
      <c r="Q264" t="e">
        <f>AND(#REF!,"AAAAADv//RA=")</f>
        <v>#REF!</v>
      </c>
      <c r="R264" t="e">
        <f>AND(#REF!,"AAAAADv//RE=")</f>
        <v>#REF!</v>
      </c>
      <c r="S264" t="e">
        <f>AND(#REF!,"AAAAADv//RI=")</f>
        <v>#REF!</v>
      </c>
      <c r="T264" t="e">
        <f>AND(#REF!,"AAAAADv//RM=")</f>
        <v>#REF!</v>
      </c>
      <c r="U264" t="e">
        <f>AND(#REF!,"AAAAADv//RQ=")</f>
        <v>#REF!</v>
      </c>
      <c r="V264" t="e">
        <f>IF(#REF!,"AAAAADv//RU=",0)</f>
        <v>#REF!</v>
      </c>
      <c r="W264" t="e">
        <f>AND(#REF!,"AAAAADv//RY=")</f>
        <v>#REF!</v>
      </c>
      <c r="X264" t="e">
        <f>AND(#REF!,"AAAAADv//Rc=")</f>
        <v>#REF!</v>
      </c>
      <c r="Y264" t="e">
        <f>AND(#REF!,"AAAAADv//Rg=")</f>
        <v>#REF!</v>
      </c>
      <c r="Z264" t="e">
        <f>AND(#REF!,"AAAAADv//Rk=")</f>
        <v>#REF!</v>
      </c>
      <c r="AA264" t="e">
        <f>AND(#REF!,"AAAAADv//Ro=")</f>
        <v>#REF!</v>
      </c>
      <c r="AB264" t="e">
        <f>AND(#REF!,"AAAAADv//Rs=")</f>
        <v>#REF!</v>
      </c>
      <c r="AC264" t="e">
        <f>AND(#REF!,"AAAAADv//Rw=")</f>
        <v>#REF!</v>
      </c>
      <c r="AD264" t="e">
        <f>AND(#REF!,"AAAAADv//R0=")</f>
        <v>#REF!</v>
      </c>
      <c r="AE264" t="e">
        <f>AND(#REF!,"AAAAADv//R4=")</f>
        <v>#REF!</v>
      </c>
      <c r="AF264" t="e">
        <f>AND(#REF!,"AAAAADv//R8=")</f>
        <v>#REF!</v>
      </c>
      <c r="AG264" t="e">
        <f>IF(#REF!,"AAAAADv//SA=",0)</f>
        <v>#REF!</v>
      </c>
      <c r="AH264" t="e">
        <f>AND(#REF!,"AAAAADv//SE=")</f>
        <v>#REF!</v>
      </c>
      <c r="AI264" t="e">
        <f>AND(#REF!,"AAAAADv//SI=")</f>
        <v>#REF!</v>
      </c>
      <c r="AJ264" t="e">
        <f>AND(#REF!,"AAAAADv//SM=")</f>
        <v>#REF!</v>
      </c>
      <c r="AK264" t="e">
        <f>AND(#REF!,"AAAAADv//SQ=")</f>
        <v>#REF!</v>
      </c>
      <c r="AL264" t="e">
        <f>AND(#REF!,"AAAAADv//SU=")</f>
        <v>#REF!</v>
      </c>
      <c r="AM264" t="e">
        <f>AND(#REF!,"AAAAADv//SY=")</f>
        <v>#REF!</v>
      </c>
      <c r="AN264" t="e">
        <f>AND(#REF!,"AAAAADv//Sc=")</f>
        <v>#REF!</v>
      </c>
      <c r="AO264" t="e">
        <f>AND(#REF!,"AAAAADv//Sg=")</f>
        <v>#REF!</v>
      </c>
      <c r="AP264" t="e">
        <f>AND(#REF!,"AAAAADv//Sk=")</f>
        <v>#REF!</v>
      </c>
      <c r="AQ264" t="e">
        <f>AND(#REF!,"AAAAADv//So=")</f>
        <v>#REF!</v>
      </c>
      <c r="AR264" t="e">
        <f>IF(#REF!,"AAAAADv//Ss=",0)</f>
        <v>#REF!</v>
      </c>
      <c r="AS264" t="e">
        <f>AND(#REF!,"AAAAADv//Sw=")</f>
        <v>#REF!</v>
      </c>
      <c r="AT264" t="e">
        <f>AND(#REF!,"AAAAADv//S0=")</f>
        <v>#REF!</v>
      </c>
      <c r="AU264" t="e">
        <f>AND(#REF!,"AAAAADv//S4=")</f>
        <v>#REF!</v>
      </c>
      <c r="AV264" t="e">
        <f>AND(#REF!,"AAAAADv//S8=")</f>
        <v>#REF!</v>
      </c>
      <c r="AW264" t="e">
        <f>AND(#REF!,"AAAAADv//TA=")</f>
        <v>#REF!</v>
      </c>
      <c r="AX264" t="e">
        <f>AND(#REF!,"AAAAADv//TE=")</f>
        <v>#REF!</v>
      </c>
      <c r="AY264" t="e">
        <f>AND(#REF!,"AAAAADv//TI=")</f>
        <v>#REF!</v>
      </c>
      <c r="AZ264" t="e">
        <f>AND(#REF!,"AAAAADv//TM=")</f>
        <v>#REF!</v>
      </c>
      <c r="BA264" t="e">
        <f>AND(#REF!,"AAAAADv//TQ=")</f>
        <v>#REF!</v>
      </c>
      <c r="BB264" t="e">
        <f>AND(#REF!,"AAAAADv//TU=")</f>
        <v>#REF!</v>
      </c>
      <c r="BC264" t="e">
        <f>IF(#REF!,"AAAAADv//TY=",0)</f>
        <v>#REF!</v>
      </c>
      <c r="BD264" t="e">
        <f>AND(#REF!,"AAAAADv//Tc=")</f>
        <v>#REF!</v>
      </c>
      <c r="BE264" t="e">
        <f>AND(#REF!,"AAAAADv//Tg=")</f>
        <v>#REF!</v>
      </c>
      <c r="BF264" t="e">
        <f>AND(#REF!,"AAAAADv//Tk=")</f>
        <v>#REF!</v>
      </c>
      <c r="BG264" t="e">
        <f>AND(#REF!,"AAAAADv//To=")</f>
        <v>#REF!</v>
      </c>
      <c r="BH264" t="e">
        <f>AND(#REF!,"AAAAADv//Ts=")</f>
        <v>#REF!</v>
      </c>
      <c r="BI264" t="e">
        <f>AND(#REF!,"AAAAADv//Tw=")</f>
        <v>#REF!</v>
      </c>
      <c r="BJ264" t="e">
        <f>AND(#REF!,"AAAAADv//T0=")</f>
        <v>#REF!</v>
      </c>
      <c r="BK264" t="e">
        <f>AND(#REF!,"AAAAADv//T4=")</f>
        <v>#REF!</v>
      </c>
      <c r="BL264" t="e">
        <f>AND(#REF!,"AAAAADv//T8=")</f>
        <v>#REF!</v>
      </c>
      <c r="BM264" t="e">
        <f>AND(#REF!,"AAAAADv//UA=")</f>
        <v>#REF!</v>
      </c>
      <c r="BN264" t="e">
        <f>IF(#REF!,"AAAAADv//UE=",0)</f>
        <v>#REF!</v>
      </c>
      <c r="BO264" t="e">
        <f>AND(#REF!,"AAAAADv//UI=")</f>
        <v>#REF!</v>
      </c>
      <c r="BP264" t="e">
        <f>AND(#REF!,"AAAAADv//UM=")</f>
        <v>#REF!</v>
      </c>
      <c r="BQ264" t="e">
        <f>AND(#REF!,"AAAAADv//UQ=")</f>
        <v>#REF!</v>
      </c>
      <c r="BR264" t="e">
        <f>AND(#REF!,"AAAAADv//UU=")</f>
        <v>#REF!</v>
      </c>
      <c r="BS264" t="e">
        <f>AND(#REF!,"AAAAADv//UY=")</f>
        <v>#REF!</v>
      </c>
      <c r="BT264" t="e">
        <f>AND(#REF!,"AAAAADv//Uc=")</f>
        <v>#REF!</v>
      </c>
      <c r="BU264" t="e">
        <f>AND(#REF!,"AAAAADv//Ug=")</f>
        <v>#REF!</v>
      </c>
      <c r="BV264" t="e">
        <f>AND(#REF!,"AAAAADv//Uk=")</f>
        <v>#REF!</v>
      </c>
      <c r="BW264" t="e">
        <f>AND(#REF!,"AAAAADv//Uo=")</f>
        <v>#REF!</v>
      </c>
      <c r="BX264" t="e">
        <f>AND(#REF!,"AAAAADv//Us=")</f>
        <v>#REF!</v>
      </c>
      <c r="BY264" t="e">
        <f>IF(#REF!,"AAAAADv//Uw=",0)</f>
        <v>#REF!</v>
      </c>
      <c r="BZ264" t="e">
        <f>AND(#REF!,"AAAAADv//U0=")</f>
        <v>#REF!</v>
      </c>
      <c r="CA264" t="e">
        <f>AND(#REF!,"AAAAADv//U4=")</f>
        <v>#REF!</v>
      </c>
      <c r="CB264" t="e">
        <f>AND(#REF!,"AAAAADv//U8=")</f>
        <v>#REF!</v>
      </c>
      <c r="CC264" t="e">
        <f>AND(#REF!,"AAAAADv//VA=")</f>
        <v>#REF!</v>
      </c>
      <c r="CD264" t="e">
        <f>AND(#REF!,"AAAAADv//VE=")</f>
        <v>#REF!</v>
      </c>
      <c r="CE264" t="e">
        <f>AND(#REF!,"AAAAADv//VI=")</f>
        <v>#REF!</v>
      </c>
      <c r="CF264" t="e">
        <f>AND(#REF!,"AAAAADv//VM=")</f>
        <v>#REF!</v>
      </c>
      <c r="CG264" t="e">
        <f>AND(#REF!,"AAAAADv//VQ=")</f>
        <v>#REF!</v>
      </c>
      <c r="CH264" t="e">
        <f>AND(#REF!,"AAAAADv//VU=")</f>
        <v>#REF!</v>
      </c>
      <c r="CI264" t="e">
        <f>AND(#REF!,"AAAAADv//VY=")</f>
        <v>#REF!</v>
      </c>
      <c r="CJ264" t="e">
        <f>IF(#REF!,"AAAAADv//Vc=",0)</f>
        <v>#REF!</v>
      </c>
      <c r="CK264" t="e">
        <f>AND(#REF!,"AAAAADv//Vg=")</f>
        <v>#REF!</v>
      </c>
      <c r="CL264" t="e">
        <f>AND(#REF!,"AAAAADv//Vk=")</f>
        <v>#REF!</v>
      </c>
      <c r="CM264" t="e">
        <f>AND(#REF!,"AAAAADv//Vo=")</f>
        <v>#REF!</v>
      </c>
      <c r="CN264" t="e">
        <f>AND(#REF!,"AAAAADv//Vs=")</f>
        <v>#REF!</v>
      </c>
      <c r="CO264" t="e">
        <f>AND(#REF!,"AAAAADv//Vw=")</f>
        <v>#REF!</v>
      </c>
      <c r="CP264" t="e">
        <f>AND(#REF!,"AAAAADv//V0=")</f>
        <v>#REF!</v>
      </c>
      <c r="CQ264" t="e">
        <f>AND(#REF!,"AAAAADv//V4=")</f>
        <v>#REF!</v>
      </c>
      <c r="CR264" t="e">
        <f>AND(#REF!,"AAAAADv//V8=")</f>
        <v>#REF!</v>
      </c>
      <c r="CS264" t="e">
        <f>AND(#REF!,"AAAAADv//WA=")</f>
        <v>#REF!</v>
      </c>
      <c r="CT264" t="e">
        <f>AND(#REF!,"AAAAADv//WE=")</f>
        <v>#REF!</v>
      </c>
      <c r="CU264" t="e">
        <f>IF(#REF!,"AAAAADv//WI=",0)</f>
        <v>#REF!</v>
      </c>
      <c r="CV264" t="e">
        <f>AND(#REF!,"AAAAADv//WM=")</f>
        <v>#REF!</v>
      </c>
      <c r="CW264" t="e">
        <f>AND(#REF!,"AAAAADv//WQ=")</f>
        <v>#REF!</v>
      </c>
      <c r="CX264" t="e">
        <f>AND(#REF!,"AAAAADv//WU=")</f>
        <v>#REF!</v>
      </c>
      <c r="CY264" t="e">
        <f>AND(#REF!,"AAAAADv//WY=")</f>
        <v>#REF!</v>
      </c>
      <c r="CZ264" t="e">
        <f>AND(#REF!,"AAAAADv//Wc=")</f>
        <v>#REF!</v>
      </c>
      <c r="DA264" t="e">
        <f>AND(#REF!,"AAAAADv//Wg=")</f>
        <v>#REF!</v>
      </c>
      <c r="DB264" t="e">
        <f>AND(#REF!,"AAAAADv//Wk=")</f>
        <v>#REF!</v>
      </c>
      <c r="DC264" t="e">
        <f>AND(#REF!,"AAAAADv//Wo=")</f>
        <v>#REF!</v>
      </c>
      <c r="DD264" t="e">
        <f>AND(#REF!,"AAAAADv//Ws=")</f>
        <v>#REF!</v>
      </c>
      <c r="DE264" t="e">
        <f>AND(#REF!,"AAAAADv//Ww=")</f>
        <v>#REF!</v>
      </c>
      <c r="DF264" t="e">
        <f>IF(#REF!,"AAAAADv//W0=",0)</f>
        <v>#REF!</v>
      </c>
      <c r="DG264" t="e">
        <f>AND(#REF!,"AAAAADv//W4=")</f>
        <v>#REF!</v>
      </c>
      <c r="DH264" t="e">
        <f>AND(#REF!,"AAAAADv//W8=")</f>
        <v>#REF!</v>
      </c>
      <c r="DI264" t="e">
        <f>AND(#REF!,"AAAAADv//XA=")</f>
        <v>#REF!</v>
      </c>
      <c r="DJ264" t="e">
        <f>AND(#REF!,"AAAAADv//XE=")</f>
        <v>#REF!</v>
      </c>
      <c r="DK264" t="e">
        <f>AND(#REF!,"AAAAADv//XI=")</f>
        <v>#REF!</v>
      </c>
      <c r="DL264" t="e">
        <f>AND(#REF!,"AAAAADv//XM=")</f>
        <v>#REF!</v>
      </c>
      <c r="DM264" t="e">
        <f>AND(#REF!,"AAAAADv//XQ=")</f>
        <v>#REF!</v>
      </c>
      <c r="DN264" t="e">
        <f>AND(#REF!,"AAAAADv//XU=")</f>
        <v>#REF!</v>
      </c>
      <c r="DO264" t="e">
        <f>AND(#REF!,"AAAAADv//XY=")</f>
        <v>#REF!</v>
      </c>
      <c r="DP264" t="e">
        <f>AND(#REF!,"AAAAADv//Xc=")</f>
        <v>#REF!</v>
      </c>
      <c r="DQ264" t="e">
        <f>IF(#REF!,"AAAAADv//Xg=",0)</f>
        <v>#REF!</v>
      </c>
      <c r="DR264" t="e">
        <f>AND(#REF!,"AAAAADv//Xk=")</f>
        <v>#REF!</v>
      </c>
      <c r="DS264" t="e">
        <f>AND(#REF!,"AAAAADv//Xo=")</f>
        <v>#REF!</v>
      </c>
      <c r="DT264" t="e">
        <f>AND(#REF!,"AAAAADv//Xs=")</f>
        <v>#REF!</v>
      </c>
      <c r="DU264" t="e">
        <f>AND(#REF!,"AAAAADv//Xw=")</f>
        <v>#REF!</v>
      </c>
      <c r="DV264" t="e">
        <f>AND(#REF!,"AAAAADv//X0=")</f>
        <v>#REF!</v>
      </c>
      <c r="DW264" t="e">
        <f>AND(#REF!,"AAAAADv//X4=")</f>
        <v>#REF!</v>
      </c>
      <c r="DX264" t="e">
        <f>AND(#REF!,"AAAAADv//X8=")</f>
        <v>#REF!</v>
      </c>
      <c r="DY264" t="e">
        <f>AND(#REF!,"AAAAADv//YA=")</f>
        <v>#REF!</v>
      </c>
      <c r="DZ264" t="e">
        <f>AND(#REF!,"AAAAADv//YE=")</f>
        <v>#REF!</v>
      </c>
      <c r="EA264" t="e">
        <f>AND(#REF!,"AAAAADv//YI=")</f>
        <v>#REF!</v>
      </c>
      <c r="EB264" t="e">
        <f>IF(#REF!,"AAAAADv//YM=",0)</f>
        <v>#REF!</v>
      </c>
      <c r="EC264" t="e">
        <f>AND(#REF!,"AAAAADv//YQ=")</f>
        <v>#REF!</v>
      </c>
      <c r="ED264" t="e">
        <f>AND(#REF!,"AAAAADv//YU=")</f>
        <v>#REF!</v>
      </c>
      <c r="EE264" t="e">
        <f>AND(#REF!,"AAAAADv//YY=")</f>
        <v>#REF!</v>
      </c>
      <c r="EF264" t="e">
        <f>AND(#REF!,"AAAAADv//Yc=")</f>
        <v>#REF!</v>
      </c>
      <c r="EG264" t="e">
        <f>AND(#REF!,"AAAAADv//Yg=")</f>
        <v>#REF!</v>
      </c>
      <c r="EH264" t="e">
        <f>AND(#REF!,"AAAAADv//Yk=")</f>
        <v>#REF!</v>
      </c>
      <c r="EI264" t="e">
        <f>AND(#REF!,"AAAAADv//Yo=")</f>
        <v>#REF!</v>
      </c>
      <c r="EJ264" t="e">
        <f>AND(#REF!,"AAAAADv//Ys=")</f>
        <v>#REF!</v>
      </c>
      <c r="EK264" t="e">
        <f>AND(#REF!,"AAAAADv//Yw=")</f>
        <v>#REF!</v>
      </c>
      <c r="EL264" t="e">
        <f>AND(#REF!,"AAAAADv//Y0=")</f>
        <v>#REF!</v>
      </c>
      <c r="EM264" t="e">
        <f>IF(#REF!,"AAAAADv//Y4=",0)</f>
        <v>#REF!</v>
      </c>
      <c r="EN264" t="e">
        <f>AND(#REF!,"AAAAADv//Y8=")</f>
        <v>#REF!</v>
      </c>
      <c r="EO264" t="e">
        <f>AND(#REF!,"AAAAADv//ZA=")</f>
        <v>#REF!</v>
      </c>
      <c r="EP264" t="e">
        <f>AND(#REF!,"AAAAADv//ZE=")</f>
        <v>#REF!</v>
      </c>
      <c r="EQ264" t="e">
        <f>AND(#REF!,"AAAAADv//ZI=")</f>
        <v>#REF!</v>
      </c>
      <c r="ER264" t="e">
        <f>AND(#REF!,"AAAAADv//ZM=")</f>
        <v>#REF!</v>
      </c>
      <c r="ES264" t="e">
        <f>AND(#REF!,"AAAAADv//ZQ=")</f>
        <v>#REF!</v>
      </c>
      <c r="ET264" t="e">
        <f>AND(#REF!,"AAAAADv//ZU=")</f>
        <v>#REF!</v>
      </c>
      <c r="EU264" t="e">
        <f>AND(#REF!,"AAAAADv//ZY=")</f>
        <v>#REF!</v>
      </c>
      <c r="EV264" t="e">
        <f>AND(#REF!,"AAAAADv//Zc=")</f>
        <v>#REF!</v>
      </c>
      <c r="EW264" t="e">
        <f>AND(#REF!,"AAAAADv//Zg=")</f>
        <v>#REF!</v>
      </c>
      <c r="EX264" t="e">
        <f>IF(#REF!,"AAAAADv//Zk=",0)</f>
        <v>#REF!</v>
      </c>
      <c r="EY264" t="e">
        <f>AND(#REF!,"AAAAADv//Zo=")</f>
        <v>#REF!</v>
      </c>
      <c r="EZ264" t="e">
        <f>AND(#REF!,"AAAAADv//Zs=")</f>
        <v>#REF!</v>
      </c>
      <c r="FA264" t="e">
        <f>AND(#REF!,"AAAAADv//Zw=")</f>
        <v>#REF!</v>
      </c>
      <c r="FB264" t="e">
        <f>AND(#REF!,"AAAAADv//Z0=")</f>
        <v>#REF!</v>
      </c>
      <c r="FC264" t="e">
        <f>AND(#REF!,"AAAAADv//Z4=")</f>
        <v>#REF!</v>
      </c>
      <c r="FD264" t="e">
        <f>AND(#REF!,"AAAAADv//Z8=")</f>
        <v>#REF!</v>
      </c>
      <c r="FE264" t="e">
        <f>AND(#REF!,"AAAAADv//aA=")</f>
        <v>#REF!</v>
      </c>
      <c r="FF264" t="e">
        <f>AND(#REF!,"AAAAADv//aE=")</f>
        <v>#REF!</v>
      </c>
      <c r="FG264" t="e">
        <f>AND(#REF!,"AAAAADv//aI=")</f>
        <v>#REF!</v>
      </c>
      <c r="FH264" t="e">
        <f>AND(#REF!,"AAAAADv//aM=")</f>
        <v>#REF!</v>
      </c>
      <c r="FI264" t="e">
        <f>IF(#REF!,"AAAAADv//aQ=",0)</f>
        <v>#REF!</v>
      </c>
      <c r="FJ264" t="e">
        <f>AND(#REF!,"AAAAADv//aU=")</f>
        <v>#REF!</v>
      </c>
      <c r="FK264" t="e">
        <f>AND(#REF!,"AAAAADv//aY=")</f>
        <v>#REF!</v>
      </c>
      <c r="FL264" t="e">
        <f>AND(#REF!,"AAAAADv//ac=")</f>
        <v>#REF!</v>
      </c>
      <c r="FM264" t="e">
        <f>AND(#REF!,"AAAAADv//ag=")</f>
        <v>#REF!</v>
      </c>
      <c r="FN264" t="e">
        <f>AND(#REF!,"AAAAADv//ak=")</f>
        <v>#REF!</v>
      </c>
      <c r="FO264" t="e">
        <f>AND(#REF!,"AAAAADv//ao=")</f>
        <v>#REF!</v>
      </c>
      <c r="FP264" t="e">
        <f>AND(#REF!,"AAAAADv//as=")</f>
        <v>#REF!</v>
      </c>
      <c r="FQ264" t="e">
        <f>AND(#REF!,"AAAAADv//aw=")</f>
        <v>#REF!</v>
      </c>
      <c r="FR264" t="e">
        <f>AND(#REF!,"AAAAADv//a0=")</f>
        <v>#REF!</v>
      </c>
      <c r="FS264" t="e">
        <f>AND(#REF!,"AAAAADv//a4=")</f>
        <v>#REF!</v>
      </c>
      <c r="FT264" t="e">
        <f>IF(#REF!,"AAAAADv//a8=",0)</f>
        <v>#REF!</v>
      </c>
      <c r="FU264" t="e">
        <f>AND(#REF!,"AAAAADv//bA=")</f>
        <v>#REF!</v>
      </c>
      <c r="FV264" t="e">
        <f>AND(#REF!,"AAAAADv//bE=")</f>
        <v>#REF!</v>
      </c>
      <c r="FW264" t="e">
        <f>AND(#REF!,"AAAAADv//bI=")</f>
        <v>#REF!</v>
      </c>
      <c r="FX264" t="e">
        <f>AND(#REF!,"AAAAADv//bM=")</f>
        <v>#REF!</v>
      </c>
      <c r="FY264" t="e">
        <f>AND(#REF!,"AAAAADv//bQ=")</f>
        <v>#REF!</v>
      </c>
      <c r="FZ264" t="e">
        <f>AND(#REF!,"AAAAADv//bU=")</f>
        <v>#REF!</v>
      </c>
      <c r="GA264" t="e">
        <f>AND(#REF!,"AAAAADv//bY=")</f>
        <v>#REF!</v>
      </c>
      <c r="GB264" t="e">
        <f>AND(#REF!,"AAAAADv//bc=")</f>
        <v>#REF!</v>
      </c>
      <c r="GC264" t="e">
        <f>AND(#REF!,"AAAAADv//bg=")</f>
        <v>#REF!</v>
      </c>
      <c r="GD264" t="e">
        <f>AND(#REF!,"AAAAADv//bk=")</f>
        <v>#REF!</v>
      </c>
      <c r="GE264" t="e">
        <f>IF(#REF!,"AAAAADv//bo=",0)</f>
        <v>#REF!</v>
      </c>
      <c r="GF264" t="e">
        <f>AND(#REF!,"AAAAADv//bs=")</f>
        <v>#REF!</v>
      </c>
      <c r="GG264" t="e">
        <f>AND(#REF!,"AAAAADv//bw=")</f>
        <v>#REF!</v>
      </c>
      <c r="GH264" t="e">
        <f>AND(#REF!,"AAAAADv//b0=")</f>
        <v>#REF!</v>
      </c>
      <c r="GI264" t="e">
        <f>AND(#REF!,"AAAAADv//b4=")</f>
        <v>#REF!</v>
      </c>
      <c r="GJ264" t="e">
        <f>AND(#REF!,"AAAAADv//b8=")</f>
        <v>#REF!</v>
      </c>
      <c r="GK264" t="e">
        <f>AND(#REF!,"AAAAADv//cA=")</f>
        <v>#REF!</v>
      </c>
      <c r="GL264" t="e">
        <f>AND(#REF!,"AAAAADv//cE=")</f>
        <v>#REF!</v>
      </c>
      <c r="GM264" t="e">
        <f>AND(#REF!,"AAAAADv//cI=")</f>
        <v>#REF!</v>
      </c>
      <c r="GN264" t="e">
        <f>AND(#REF!,"AAAAADv//cM=")</f>
        <v>#REF!</v>
      </c>
      <c r="GO264" t="e">
        <f>AND(#REF!,"AAAAADv//cQ=")</f>
        <v>#REF!</v>
      </c>
      <c r="GP264" t="e">
        <f>IF(#REF!,"AAAAADv//cU=",0)</f>
        <v>#REF!</v>
      </c>
      <c r="GQ264" t="e">
        <f>AND(#REF!,"AAAAADv//cY=")</f>
        <v>#REF!</v>
      </c>
      <c r="GR264" t="e">
        <f>AND(#REF!,"AAAAADv//cc=")</f>
        <v>#REF!</v>
      </c>
      <c r="GS264" t="e">
        <f>AND(#REF!,"AAAAADv//cg=")</f>
        <v>#REF!</v>
      </c>
      <c r="GT264" t="e">
        <f>AND(#REF!,"AAAAADv//ck=")</f>
        <v>#REF!</v>
      </c>
      <c r="GU264" t="e">
        <f>AND(#REF!,"AAAAADv//co=")</f>
        <v>#REF!</v>
      </c>
      <c r="GV264" t="e">
        <f>AND(#REF!,"AAAAADv//cs=")</f>
        <v>#REF!</v>
      </c>
      <c r="GW264" t="e">
        <f>AND(#REF!,"AAAAADv//cw=")</f>
        <v>#REF!</v>
      </c>
      <c r="GX264" t="e">
        <f>AND(#REF!,"AAAAADv//c0=")</f>
        <v>#REF!</v>
      </c>
      <c r="GY264" t="e">
        <f>AND(#REF!,"AAAAADv//c4=")</f>
        <v>#REF!</v>
      </c>
      <c r="GZ264" t="e">
        <f>AND(#REF!,"AAAAADv//c8=")</f>
        <v>#REF!</v>
      </c>
      <c r="HA264" t="e">
        <f>IF(#REF!,"AAAAADv//dA=",0)</f>
        <v>#REF!</v>
      </c>
      <c r="HB264" t="e">
        <f>AND(#REF!,"AAAAADv//dE=")</f>
        <v>#REF!</v>
      </c>
      <c r="HC264" t="e">
        <f>AND(#REF!,"AAAAADv//dI=")</f>
        <v>#REF!</v>
      </c>
      <c r="HD264" t="e">
        <f>AND(#REF!,"AAAAADv//dM=")</f>
        <v>#REF!</v>
      </c>
      <c r="HE264" t="e">
        <f>AND(#REF!,"AAAAADv//dQ=")</f>
        <v>#REF!</v>
      </c>
      <c r="HF264" t="e">
        <f>AND(#REF!,"AAAAADv//dU=")</f>
        <v>#REF!</v>
      </c>
      <c r="HG264" t="e">
        <f>AND(#REF!,"AAAAADv//dY=")</f>
        <v>#REF!</v>
      </c>
      <c r="HH264" t="e">
        <f>AND(#REF!,"AAAAADv//dc=")</f>
        <v>#REF!</v>
      </c>
      <c r="HI264" t="e">
        <f>AND(#REF!,"AAAAADv//dg=")</f>
        <v>#REF!</v>
      </c>
      <c r="HJ264" t="e">
        <f>AND(#REF!,"AAAAADv//dk=")</f>
        <v>#REF!</v>
      </c>
      <c r="HK264" t="e">
        <f>AND(#REF!,"AAAAADv//do=")</f>
        <v>#REF!</v>
      </c>
      <c r="HL264" t="e">
        <f>IF(#REF!,"AAAAADv//ds=",0)</f>
        <v>#REF!</v>
      </c>
      <c r="HM264" t="e">
        <f>AND(#REF!,"AAAAADv//dw=")</f>
        <v>#REF!</v>
      </c>
      <c r="HN264" t="e">
        <f>AND(#REF!,"AAAAADv//d0=")</f>
        <v>#REF!</v>
      </c>
      <c r="HO264" t="e">
        <f>AND(#REF!,"AAAAADv//d4=")</f>
        <v>#REF!</v>
      </c>
      <c r="HP264" t="e">
        <f>AND(#REF!,"AAAAADv//d8=")</f>
        <v>#REF!</v>
      </c>
      <c r="HQ264" t="e">
        <f>AND(#REF!,"AAAAADv//eA=")</f>
        <v>#REF!</v>
      </c>
      <c r="HR264" t="e">
        <f>AND(#REF!,"AAAAADv//eE=")</f>
        <v>#REF!</v>
      </c>
      <c r="HS264" t="e">
        <f>AND(#REF!,"AAAAADv//eI=")</f>
        <v>#REF!</v>
      </c>
      <c r="HT264" t="e">
        <f>AND(#REF!,"AAAAADv//eM=")</f>
        <v>#REF!</v>
      </c>
      <c r="HU264" t="e">
        <f>AND(#REF!,"AAAAADv//eQ=")</f>
        <v>#REF!</v>
      </c>
      <c r="HV264" t="e">
        <f>AND(#REF!,"AAAAADv//eU=")</f>
        <v>#REF!</v>
      </c>
      <c r="HW264" t="e">
        <f>IF(#REF!,"AAAAADv//eY=",0)</f>
        <v>#REF!</v>
      </c>
      <c r="HX264" t="e">
        <f>AND(#REF!,"AAAAADv//ec=")</f>
        <v>#REF!</v>
      </c>
      <c r="HY264" t="e">
        <f>AND(#REF!,"AAAAADv//eg=")</f>
        <v>#REF!</v>
      </c>
      <c r="HZ264" t="e">
        <f>AND(#REF!,"AAAAADv//ek=")</f>
        <v>#REF!</v>
      </c>
      <c r="IA264" t="e">
        <f>AND(#REF!,"AAAAADv//eo=")</f>
        <v>#REF!</v>
      </c>
      <c r="IB264" t="e">
        <f>AND(#REF!,"AAAAADv//es=")</f>
        <v>#REF!</v>
      </c>
      <c r="IC264" t="e">
        <f>AND(#REF!,"AAAAADv//ew=")</f>
        <v>#REF!</v>
      </c>
      <c r="ID264" t="e">
        <f>AND(#REF!,"AAAAADv//e0=")</f>
        <v>#REF!</v>
      </c>
      <c r="IE264" t="e">
        <f>AND(#REF!,"AAAAADv//e4=")</f>
        <v>#REF!</v>
      </c>
      <c r="IF264" t="e">
        <f>AND(#REF!,"AAAAADv//e8=")</f>
        <v>#REF!</v>
      </c>
      <c r="IG264" t="e">
        <f>AND(#REF!,"AAAAADv//fA=")</f>
        <v>#REF!</v>
      </c>
      <c r="IH264" t="e">
        <f>IF(#REF!,"AAAAADv//fE=",0)</f>
        <v>#REF!</v>
      </c>
      <c r="II264" t="e">
        <f>AND(#REF!,"AAAAADv//fI=")</f>
        <v>#REF!</v>
      </c>
      <c r="IJ264" t="e">
        <f>AND(#REF!,"AAAAADv//fM=")</f>
        <v>#REF!</v>
      </c>
      <c r="IK264" t="e">
        <f>AND(#REF!,"AAAAADv//fQ=")</f>
        <v>#REF!</v>
      </c>
      <c r="IL264" t="e">
        <f>AND(#REF!,"AAAAADv//fU=")</f>
        <v>#REF!</v>
      </c>
      <c r="IM264" t="e">
        <f>AND(#REF!,"AAAAADv//fY=")</f>
        <v>#REF!</v>
      </c>
      <c r="IN264" t="e">
        <f>AND(#REF!,"AAAAADv//fc=")</f>
        <v>#REF!</v>
      </c>
      <c r="IO264" t="e">
        <f>AND(#REF!,"AAAAADv//fg=")</f>
        <v>#REF!</v>
      </c>
      <c r="IP264" t="e">
        <f>AND(#REF!,"AAAAADv//fk=")</f>
        <v>#REF!</v>
      </c>
      <c r="IQ264" t="e">
        <f>AND(#REF!,"AAAAADv//fo=")</f>
        <v>#REF!</v>
      </c>
      <c r="IR264" t="e">
        <f>AND(#REF!,"AAAAADv//fs=")</f>
        <v>#REF!</v>
      </c>
      <c r="IS264" t="e">
        <f>IF(#REF!,"AAAAADv//fw=",0)</f>
        <v>#REF!</v>
      </c>
      <c r="IT264" t="e">
        <f>AND(#REF!,"AAAAADv//f0=")</f>
        <v>#REF!</v>
      </c>
      <c r="IU264" t="e">
        <f>AND(#REF!,"AAAAADv//f4=")</f>
        <v>#REF!</v>
      </c>
      <c r="IV264" t="e">
        <f>AND(#REF!,"AAAAADv//f8=")</f>
        <v>#REF!</v>
      </c>
    </row>
    <row r="265" spans="1:256" x14ac:dyDescent="0.25">
      <c r="A265" t="e">
        <f>AND(#REF!,"AAAAAG39/wA=")</f>
        <v>#REF!</v>
      </c>
      <c r="B265" t="e">
        <f>AND(#REF!,"AAAAAG39/wE=")</f>
        <v>#REF!</v>
      </c>
      <c r="C265" t="e">
        <f>AND(#REF!,"AAAAAG39/wI=")</f>
        <v>#REF!</v>
      </c>
      <c r="D265" t="e">
        <f>AND(#REF!,"AAAAAG39/wM=")</f>
        <v>#REF!</v>
      </c>
      <c r="E265" t="e">
        <f>AND(#REF!,"AAAAAG39/wQ=")</f>
        <v>#REF!</v>
      </c>
      <c r="F265" t="e">
        <f>AND(#REF!,"AAAAAG39/wU=")</f>
        <v>#REF!</v>
      </c>
      <c r="G265" t="e">
        <f>AND(#REF!,"AAAAAG39/wY=")</f>
        <v>#REF!</v>
      </c>
      <c r="H265" t="e">
        <f>IF(#REF!,"AAAAAG39/wc=",0)</f>
        <v>#REF!</v>
      </c>
      <c r="I265" t="e">
        <f>AND(#REF!,"AAAAAG39/wg=")</f>
        <v>#REF!</v>
      </c>
      <c r="J265" t="e">
        <f>AND(#REF!,"AAAAAG39/wk=")</f>
        <v>#REF!</v>
      </c>
      <c r="K265" t="e">
        <f>AND(#REF!,"AAAAAG39/wo=")</f>
        <v>#REF!</v>
      </c>
      <c r="L265" t="e">
        <f>AND(#REF!,"AAAAAG39/ws=")</f>
        <v>#REF!</v>
      </c>
      <c r="M265" t="e">
        <f>AND(#REF!,"AAAAAG39/ww=")</f>
        <v>#REF!</v>
      </c>
      <c r="N265" t="e">
        <f>AND(#REF!,"AAAAAG39/w0=")</f>
        <v>#REF!</v>
      </c>
      <c r="O265" t="e">
        <f>AND(#REF!,"AAAAAG39/w4=")</f>
        <v>#REF!</v>
      </c>
      <c r="P265" t="e">
        <f>AND(#REF!,"AAAAAG39/w8=")</f>
        <v>#REF!</v>
      </c>
      <c r="Q265" t="e">
        <f>AND(#REF!,"AAAAAG39/xA=")</f>
        <v>#REF!</v>
      </c>
      <c r="R265" t="e">
        <f>AND(#REF!,"AAAAAG39/xE=")</f>
        <v>#REF!</v>
      </c>
      <c r="S265" t="e">
        <f>IF(#REF!,"AAAAAG39/xI=",0)</f>
        <v>#REF!</v>
      </c>
      <c r="T265" t="e">
        <f>AND(#REF!,"AAAAAG39/xM=")</f>
        <v>#REF!</v>
      </c>
      <c r="U265" t="e">
        <f>AND(#REF!,"AAAAAG39/xQ=")</f>
        <v>#REF!</v>
      </c>
      <c r="V265" t="e">
        <f>AND(#REF!,"AAAAAG39/xU=")</f>
        <v>#REF!</v>
      </c>
      <c r="W265" t="e">
        <f>AND(#REF!,"AAAAAG39/xY=")</f>
        <v>#REF!</v>
      </c>
      <c r="X265" t="e">
        <f>AND(#REF!,"AAAAAG39/xc=")</f>
        <v>#REF!</v>
      </c>
      <c r="Y265" t="e">
        <f>AND(#REF!,"AAAAAG39/xg=")</f>
        <v>#REF!</v>
      </c>
      <c r="Z265" t="e">
        <f>AND(#REF!,"AAAAAG39/xk=")</f>
        <v>#REF!</v>
      </c>
      <c r="AA265" t="e">
        <f>AND(#REF!,"AAAAAG39/xo=")</f>
        <v>#REF!</v>
      </c>
      <c r="AB265" t="e">
        <f>AND(#REF!,"AAAAAG39/xs=")</f>
        <v>#REF!</v>
      </c>
      <c r="AC265" t="e">
        <f>AND(#REF!,"AAAAAG39/xw=")</f>
        <v>#REF!</v>
      </c>
      <c r="AD265" t="e">
        <f>IF(#REF!,"AAAAAG39/x0=",0)</f>
        <v>#REF!</v>
      </c>
      <c r="AE265" t="e">
        <f>AND(#REF!,"AAAAAG39/x4=")</f>
        <v>#REF!</v>
      </c>
      <c r="AF265" t="e">
        <f>AND(#REF!,"AAAAAG39/x8=")</f>
        <v>#REF!</v>
      </c>
      <c r="AG265" t="e">
        <f>AND(#REF!,"AAAAAG39/yA=")</f>
        <v>#REF!</v>
      </c>
      <c r="AH265" t="e">
        <f>AND(#REF!,"AAAAAG39/yE=")</f>
        <v>#REF!</v>
      </c>
      <c r="AI265" t="e">
        <f>AND(#REF!,"AAAAAG39/yI=")</f>
        <v>#REF!</v>
      </c>
      <c r="AJ265" t="e">
        <f>AND(#REF!,"AAAAAG39/yM=")</f>
        <v>#REF!</v>
      </c>
      <c r="AK265" t="e">
        <f>AND(#REF!,"AAAAAG39/yQ=")</f>
        <v>#REF!</v>
      </c>
      <c r="AL265" t="e">
        <f>AND(#REF!,"AAAAAG39/yU=")</f>
        <v>#REF!</v>
      </c>
      <c r="AM265" t="e">
        <f>AND(#REF!,"AAAAAG39/yY=")</f>
        <v>#REF!</v>
      </c>
      <c r="AN265" t="e">
        <f>AND(#REF!,"AAAAAG39/yc=")</f>
        <v>#REF!</v>
      </c>
      <c r="AO265" t="e">
        <f>IF(#REF!,"AAAAAG39/yg=",0)</f>
        <v>#REF!</v>
      </c>
      <c r="AP265" t="e">
        <f>AND(#REF!,"AAAAAG39/yk=")</f>
        <v>#REF!</v>
      </c>
      <c r="AQ265" t="e">
        <f>AND(#REF!,"AAAAAG39/yo=")</f>
        <v>#REF!</v>
      </c>
      <c r="AR265" t="e">
        <f>AND(#REF!,"AAAAAG39/ys=")</f>
        <v>#REF!</v>
      </c>
      <c r="AS265" t="e">
        <f>AND(#REF!,"AAAAAG39/yw=")</f>
        <v>#REF!</v>
      </c>
      <c r="AT265" t="e">
        <f>AND(#REF!,"AAAAAG39/y0=")</f>
        <v>#REF!</v>
      </c>
      <c r="AU265" t="e">
        <f>AND(#REF!,"AAAAAG39/y4=")</f>
        <v>#REF!</v>
      </c>
      <c r="AV265" t="e">
        <f>AND(#REF!,"AAAAAG39/y8=")</f>
        <v>#REF!</v>
      </c>
      <c r="AW265" t="e">
        <f>AND(#REF!,"AAAAAG39/zA=")</f>
        <v>#REF!</v>
      </c>
      <c r="AX265" t="e">
        <f>AND(#REF!,"AAAAAG39/zE=")</f>
        <v>#REF!</v>
      </c>
      <c r="AY265" t="e">
        <f>AND(#REF!,"AAAAAG39/zI=")</f>
        <v>#REF!</v>
      </c>
      <c r="AZ265" t="e">
        <f>IF(#REF!,"AAAAAG39/zM=",0)</f>
        <v>#REF!</v>
      </c>
      <c r="BA265" t="e">
        <f>AND(#REF!,"AAAAAG39/zQ=")</f>
        <v>#REF!</v>
      </c>
      <c r="BB265" t="e">
        <f>AND(#REF!,"AAAAAG39/zU=")</f>
        <v>#REF!</v>
      </c>
      <c r="BC265" t="e">
        <f>AND(#REF!,"AAAAAG39/zY=")</f>
        <v>#REF!</v>
      </c>
      <c r="BD265" t="e">
        <f>AND(#REF!,"AAAAAG39/zc=")</f>
        <v>#REF!</v>
      </c>
      <c r="BE265" t="e">
        <f>AND(#REF!,"AAAAAG39/zg=")</f>
        <v>#REF!</v>
      </c>
      <c r="BF265" t="e">
        <f>AND(#REF!,"AAAAAG39/zk=")</f>
        <v>#REF!</v>
      </c>
      <c r="BG265" t="e">
        <f>AND(#REF!,"AAAAAG39/zo=")</f>
        <v>#REF!</v>
      </c>
      <c r="BH265" t="e">
        <f>AND(#REF!,"AAAAAG39/zs=")</f>
        <v>#REF!</v>
      </c>
      <c r="BI265" t="e">
        <f>AND(#REF!,"AAAAAG39/zw=")</f>
        <v>#REF!</v>
      </c>
      <c r="BJ265" t="e">
        <f>AND(#REF!,"AAAAAG39/z0=")</f>
        <v>#REF!</v>
      </c>
      <c r="BK265" t="e">
        <f>IF(#REF!,"AAAAAG39/z4=",0)</f>
        <v>#REF!</v>
      </c>
      <c r="BL265" t="e">
        <f>AND(#REF!,"AAAAAG39/z8=")</f>
        <v>#REF!</v>
      </c>
      <c r="BM265" t="e">
        <f>AND(#REF!,"AAAAAG39/0A=")</f>
        <v>#REF!</v>
      </c>
      <c r="BN265" t="e">
        <f>AND(#REF!,"AAAAAG39/0E=")</f>
        <v>#REF!</v>
      </c>
      <c r="BO265" t="e">
        <f>AND(#REF!,"AAAAAG39/0I=")</f>
        <v>#REF!</v>
      </c>
      <c r="BP265" t="e">
        <f>AND(#REF!,"AAAAAG39/0M=")</f>
        <v>#REF!</v>
      </c>
      <c r="BQ265" t="e">
        <f>AND(#REF!,"AAAAAG39/0Q=")</f>
        <v>#REF!</v>
      </c>
      <c r="BR265" t="e">
        <f>AND(#REF!,"AAAAAG39/0U=")</f>
        <v>#REF!</v>
      </c>
      <c r="BS265" t="e">
        <f>AND(#REF!,"AAAAAG39/0Y=")</f>
        <v>#REF!</v>
      </c>
      <c r="BT265" t="e">
        <f>AND(#REF!,"AAAAAG39/0c=")</f>
        <v>#REF!</v>
      </c>
      <c r="BU265" t="e">
        <f>AND(#REF!,"AAAAAG39/0g=")</f>
        <v>#REF!</v>
      </c>
      <c r="BV265" t="e">
        <f>IF(#REF!,"AAAAAG39/0k=",0)</f>
        <v>#REF!</v>
      </c>
      <c r="BW265" t="e">
        <f>AND(#REF!,"AAAAAG39/0o=")</f>
        <v>#REF!</v>
      </c>
      <c r="BX265" t="e">
        <f>AND(#REF!,"AAAAAG39/0s=")</f>
        <v>#REF!</v>
      </c>
      <c r="BY265" t="e">
        <f>AND(#REF!,"AAAAAG39/0w=")</f>
        <v>#REF!</v>
      </c>
      <c r="BZ265" t="e">
        <f>AND(#REF!,"AAAAAG39/00=")</f>
        <v>#REF!</v>
      </c>
      <c r="CA265" t="e">
        <f>AND(#REF!,"AAAAAG39/04=")</f>
        <v>#REF!</v>
      </c>
      <c r="CB265" t="e">
        <f>AND(#REF!,"AAAAAG39/08=")</f>
        <v>#REF!</v>
      </c>
      <c r="CC265" t="e">
        <f>AND(#REF!,"AAAAAG39/1A=")</f>
        <v>#REF!</v>
      </c>
      <c r="CD265" t="e">
        <f>AND(#REF!,"AAAAAG39/1E=")</f>
        <v>#REF!</v>
      </c>
      <c r="CE265" t="e">
        <f>AND(#REF!,"AAAAAG39/1I=")</f>
        <v>#REF!</v>
      </c>
      <c r="CF265" t="e">
        <f>AND(#REF!,"AAAAAG39/1M=")</f>
        <v>#REF!</v>
      </c>
      <c r="CG265" t="e">
        <f>IF(#REF!,"AAAAAG39/1Q=",0)</f>
        <v>#REF!</v>
      </c>
      <c r="CH265" t="e">
        <f>AND(#REF!,"AAAAAG39/1U=")</f>
        <v>#REF!</v>
      </c>
      <c r="CI265" t="e">
        <f>AND(#REF!,"AAAAAG39/1Y=")</f>
        <v>#REF!</v>
      </c>
      <c r="CJ265" t="e">
        <f>AND(#REF!,"AAAAAG39/1c=")</f>
        <v>#REF!</v>
      </c>
      <c r="CK265" t="e">
        <f>AND(#REF!,"AAAAAG39/1g=")</f>
        <v>#REF!</v>
      </c>
      <c r="CL265" t="e">
        <f>AND(#REF!,"AAAAAG39/1k=")</f>
        <v>#REF!</v>
      </c>
      <c r="CM265" t="e">
        <f>AND(#REF!,"AAAAAG39/1o=")</f>
        <v>#REF!</v>
      </c>
      <c r="CN265" t="e">
        <f>AND(#REF!,"AAAAAG39/1s=")</f>
        <v>#REF!</v>
      </c>
      <c r="CO265" t="e">
        <f>AND(#REF!,"AAAAAG39/1w=")</f>
        <v>#REF!</v>
      </c>
      <c r="CP265" t="e">
        <f>AND(#REF!,"AAAAAG39/10=")</f>
        <v>#REF!</v>
      </c>
      <c r="CQ265" t="e">
        <f>AND(#REF!,"AAAAAG39/14=")</f>
        <v>#REF!</v>
      </c>
      <c r="CR265" t="e">
        <f>IF(#REF!,"AAAAAG39/18=",0)</f>
        <v>#REF!</v>
      </c>
      <c r="CS265" t="e">
        <f>AND(#REF!,"AAAAAG39/2A=")</f>
        <v>#REF!</v>
      </c>
      <c r="CT265" t="e">
        <f>AND(#REF!,"AAAAAG39/2E=")</f>
        <v>#REF!</v>
      </c>
      <c r="CU265" t="e">
        <f>AND(#REF!,"AAAAAG39/2I=")</f>
        <v>#REF!</v>
      </c>
      <c r="CV265" t="e">
        <f>AND(#REF!,"AAAAAG39/2M=")</f>
        <v>#REF!</v>
      </c>
      <c r="CW265" t="e">
        <f>AND(#REF!,"AAAAAG39/2Q=")</f>
        <v>#REF!</v>
      </c>
      <c r="CX265" t="e">
        <f>AND(#REF!,"AAAAAG39/2U=")</f>
        <v>#REF!</v>
      </c>
      <c r="CY265" t="e">
        <f>AND(#REF!,"AAAAAG39/2Y=")</f>
        <v>#REF!</v>
      </c>
      <c r="CZ265" t="e">
        <f>AND(#REF!,"AAAAAG39/2c=")</f>
        <v>#REF!</v>
      </c>
      <c r="DA265" t="e">
        <f>AND(#REF!,"AAAAAG39/2g=")</f>
        <v>#REF!</v>
      </c>
      <c r="DB265" t="e">
        <f>AND(#REF!,"AAAAAG39/2k=")</f>
        <v>#REF!</v>
      </c>
      <c r="DC265" t="e">
        <f>IF(#REF!,"AAAAAG39/2o=",0)</f>
        <v>#REF!</v>
      </c>
      <c r="DD265" t="e">
        <f>AND(#REF!,"AAAAAG39/2s=")</f>
        <v>#REF!</v>
      </c>
      <c r="DE265" t="e">
        <f>AND(#REF!,"AAAAAG39/2w=")</f>
        <v>#REF!</v>
      </c>
      <c r="DF265" t="e">
        <f>AND(#REF!,"AAAAAG39/20=")</f>
        <v>#REF!</v>
      </c>
      <c r="DG265" t="e">
        <f>AND(#REF!,"AAAAAG39/24=")</f>
        <v>#REF!</v>
      </c>
      <c r="DH265" t="e">
        <f>AND(#REF!,"AAAAAG39/28=")</f>
        <v>#REF!</v>
      </c>
      <c r="DI265" t="e">
        <f>AND(#REF!,"AAAAAG39/3A=")</f>
        <v>#REF!</v>
      </c>
      <c r="DJ265" t="e">
        <f>AND(#REF!,"AAAAAG39/3E=")</f>
        <v>#REF!</v>
      </c>
      <c r="DK265" t="e">
        <f>AND(#REF!,"AAAAAG39/3I=")</f>
        <v>#REF!</v>
      </c>
      <c r="DL265" t="e">
        <f>AND(#REF!,"AAAAAG39/3M=")</f>
        <v>#REF!</v>
      </c>
      <c r="DM265" t="e">
        <f>AND(#REF!,"AAAAAG39/3Q=")</f>
        <v>#REF!</v>
      </c>
      <c r="DN265" t="e">
        <f>IF(#REF!,"AAAAAG39/3U=",0)</f>
        <v>#REF!</v>
      </c>
      <c r="DO265" t="e">
        <f>AND(#REF!,"AAAAAG39/3Y=")</f>
        <v>#REF!</v>
      </c>
      <c r="DP265" t="e">
        <f>AND(#REF!,"AAAAAG39/3c=")</f>
        <v>#REF!</v>
      </c>
      <c r="DQ265" t="e">
        <f>AND(#REF!,"AAAAAG39/3g=")</f>
        <v>#REF!</v>
      </c>
      <c r="DR265" t="e">
        <f>AND(#REF!,"AAAAAG39/3k=")</f>
        <v>#REF!</v>
      </c>
      <c r="DS265" t="e">
        <f>AND(#REF!,"AAAAAG39/3o=")</f>
        <v>#REF!</v>
      </c>
      <c r="DT265" t="e">
        <f>AND(#REF!,"AAAAAG39/3s=")</f>
        <v>#REF!</v>
      </c>
      <c r="DU265" t="e">
        <f>AND(#REF!,"AAAAAG39/3w=")</f>
        <v>#REF!</v>
      </c>
      <c r="DV265" t="e">
        <f>AND(#REF!,"AAAAAG39/30=")</f>
        <v>#REF!</v>
      </c>
      <c r="DW265" t="e">
        <f>AND(#REF!,"AAAAAG39/34=")</f>
        <v>#REF!</v>
      </c>
      <c r="DX265" t="e">
        <f>AND(#REF!,"AAAAAG39/38=")</f>
        <v>#REF!</v>
      </c>
      <c r="DY265" t="e">
        <f>IF(#REF!,"AAAAAG39/4A=",0)</f>
        <v>#REF!</v>
      </c>
      <c r="DZ265" t="e">
        <f>AND(#REF!,"AAAAAG39/4E=")</f>
        <v>#REF!</v>
      </c>
      <c r="EA265" t="e">
        <f>AND(#REF!,"AAAAAG39/4I=")</f>
        <v>#REF!</v>
      </c>
      <c r="EB265" t="e">
        <f>AND(#REF!,"AAAAAG39/4M=")</f>
        <v>#REF!</v>
      </c>
      <c r="EC265" t="e">
        <f>AND(#REF!,"AAAAAG39/4Q=")</f>
        <v>#REF!</v>
      </c>
      <c r="ED265" t="e">
        <f>AND(#REF!,"AAAAAG39/4U=")</f>
        <v>#REF!</v>
      </c>
      <c r="EE265" t="e">
        <f>AND(#REF!,"AAAAAG39/4Y=")</f>
        <v>#REF!</v>
      </c>
      <c r="EF265" t="e">
        <f>AND(#REF!,"AAAAAG39/4c=")</f>
        <v>#REF!</v>
      </c>
      <c r="EG265" t="e">
        <f>AND(#REF!,"AAAAAG39/4g=")</f>
        <v>#REF!</v>
      </c>
      <c r="EH265" t="e">
        <f>AND(#REF!,"AAAAAG39/4k=")</f>
        <v>#REF!</v>
      </c>
      <c r="EI265" t="e">
        <f>AND(#REF!,"AAAAAG39/4o=")</f>
        <v>#REF!</v>
      </c>
      <c r="EJ265" t="e">
        <f>IF(#REF!,"AAAAAG39/4s=",0)</f>
        <v>#REF!</v>
      </c>
      <c r="EK265" t="e">
        <f>AND(#REF!,"AAAAAG39/4w=")</f>
        <v>#REF!</v>
      </c>
      <c r="EL265" t="e">
        <f>AND(#REF!,"AAAAAG39/40=")</f>
        <v>#REF!</v>
      </c>
      <c r="EM265" t="e">
        <f>AND(#REF!,"AAAAAG39/44=")</f>
        <v>#REF!</v>
      </c>
      <c r="EN265" t="e">
        <f>AND(#REF!,"AAAAAG39/48=")</f>
        <v>#REF!</v>
      </c>
      <c r="EO265" t="e">
        <f>AND(#REF!,"AAAAAG39/5A=")</f>
        <v>#REF!</v>
      </c>
      <c r="EP265" t="e">
        <f>AND(#REF!,"AAAAAG39/5E=")</f>
        <v>#REF!</v>
      </c>
      <c r="EQ265" t="e">
        <f>AND(#REF!,"AAAAAG39/5I=")</f>
        <v>#REF!</v>
      </c>
      <c r="ER265" t="e">
        <f>AND(#REF!,"AAAAAG39/5M=")</f>
        <v>#REF!</v>
      </c>
      <c r="ES265" t="e">
        <f>AND(#REF!,"AAAAAG39/5Q=")</f>
        <v>#REF!</v>
      </c>
      <c r="ET265" t="e">
        <f>AND(#REF!,"AAAAAG39/5U=")</f>
        <v>#REF!</v>
      </c>
      <c r="EU265" t="e">
        <f>IF(#REF!,"AAAAAG39/5Y=",0)</f>
        <v>#REF!</v>
      </c>
      <c r="EV265" t="e">
        <f>AND(#REF!,"AAAAAG39/5c=")</f>
        <v>#REF!</v>
      </c>
      <c r="EW265" t="e">
        <f>AND(#REF!,"AAAAAG39/5g=")</f>
        <v>#REF!</v>
      </c>
      <c r="EX265" t="e">
        <f>AND(#REF!,"AAAAAG39/5k=")</f>
        <v>#REF!</v>
      </c>
      <c r="EY265" t="e">
        <f>AND(#REF!,"AAAAAG39/5o=")</f>
        <v>#REF!</v>
      </c>
      <c r="EZ265" t="e">
        <f>AND(#REF!,"AAAAAG39/5s=")</f>
        <v>#REF!</v>
      </c>
      <c r="FA265" t="e">
        <f>AND(#REF!,"AAAAAG39/5w=")</f>
        <v>#REF!</v>
      </c>
      <c r="FB265" t="e">
        <f>AND(#REF!,"AAAAAG39/50=")</f>
        <v>#REF!</v>
      </c>
      <c r="FC265" t="e">
        <f>AND(#REF!,"AAAAAG39/54=")</f>
        <v>#REF!</v>
      </c>
      <c r="FD265" t="e">
        <f>AND(#REF!,"AAAAAG39/58=")</f>
        <v>#REF!</v>
      </c>
      <c r="FE265" t="e">
        <f>AND(#REF!,"AAAAAG39/6A=")</f>
        <v>#REF!</v>
      </c>
      <c r="FF265" t="e">
        <f>IF(#REF!,"AAAAAG39/6E=",0)</f>
        <v>#REF!</v>
      </c>
      <c r="FG265" t="e">
        <f>AND(#REF!,"AAAAAG39/6I=")</f>
        <v>#REF!</v>
      </c>
      <c r="FH265" t="e">
        <f>AND(#REF!,"AAAAAG39/6M=")</f>
        <v>#REF!</v>
      </c>
      <c r="FI265" t="e">
        <f>AND(#REF!,"AAAAAG39/6Q=")</f>
        <v>#REF!</v>
      </c>
      <c r="FJ265" t="e">
        <f>AND(#REF!,"AAAAAG39/6U=")</f>
        <v>#REF!</v>
      </c>
      <c r="FK265" t="e">
        <f>AND(#REF!,"AAAAAG39/6Y=")</f>
        <v>#REF!</v>
      </c>
      <c r="FL265" t="e">
        <f>AND(#REF!,"AAAAAG39/6c=")</f>
        <v>#REF!</v>
      </c>
      <c r="FM265" t="e">
        <f>AND(#REF!,"AAAAAG39/6g=")</f>
        <v>#REF!</v>
      </c>
      <c r="FN265" t="e">
        <f>AND(#REF!,"AAAAAG39/6k=")</f>
        <v>#REF!</v>
      </c>
      <c r="FO265" t="e">
        <f>AND(#REF!,"AAAAAG39/6o=")</f>
        <v>#REF!</v>
      </c>
      <c r="FP265" t="e">
        <f>AND(#REF!,"AAAAAG39/6s=")</f>
        <v>#REF!</v>
      </c>
      <c r="FQ265" t="e">
        <f>IF(#REF!,"AAAAAG39/6w=",0)</f>
        <v>#REF!</v>
      </c>
      <c r="FR265" t="e">
        <f>AND(#REF!,"AAAAAG39/60=")</f>
        <v>#REF!</v>
      </c>
      <c r="FS265" t="e">
        <f>AND(#REF!,"AAAAAG39/64=")</f>
        <v>#REF!</v>
      </c>
      <c r="FT265" t="e">
        <f>AND(#REF!,"AAAAAG39/68=")</f>
        <v>#REF!</v>
      </c>
      <c r="FU265" t="e">
        <f>AND(#REF!,"AAAAAG39/7A=")</f>
        <v>#REF!</v>
      </c>
      <c r="FV265" t="e">
        <f>AND(#REF!,"AAAAAG39/7E=")</f>
        <v>#REF!</v>
      </c>
      <c r="FW265" t="e">
        <f>AND(#REF!,"AAAAAG39/7I=")</f>
        <v>#REF!</v>
      </c>
      <c r="FX265" t="e">
        <f>AND(#REF!,"AAAAAG39/7M=")</f>
        <v>#REF!</v>
      </c>
      <c r="FY265" t="e">
        <f>AND(#REF!,"AAAAAG39/7Q=")</f>
        <v>#REF!</v>
      </c>
      <c r="FZ265" t="e">
        <f>AND(#REF!,"AAAAAG39/7U=")</f>
        <v>#REF!</v>
      </c>
      <c r="GA265" t="e">
        <f>AND(#REF!,"AAAAAG39/7Y=")</f>
        <v>#REF!</v>
      </c>
      <c r="GB265" t="e">
        <f>IF(#REF!,"AAAAAG39/7c=",0)</f>
        <v>#REF!</v>
      </c>
      <c r="GC265" t="e">
        <f>AND(#REF!,"AAAAAG39/7g=")</f>
        <v>#REF!</v>
      </c>
      <c r="GD265" t="e">
        <f>AND(#REF!,"AAAAAG39/7k=")</f>
        <v>#REF!</v>
      </c>
      <c r="GE265" t="e">
        <f>AND(#REF!,"AAAAAG39/7o=")</f>
        <v>#REF!</v>
      </c>
      <c r="GF265" t="e">
        <f>AND(#REF!,"AAAAAG39/7s=")</f>
        <v>#REF!</v>
      </c>
      <c r="GG265" t="e">
        <f>AND(#REF!,"AAAAAG39/7w=")</f>
        <v>#REF!</v>
      </c>
      <c r="GH265" t="e">
        <f>AND(#REF!,"AAAAAG39/70=")</f>
        <v>#REF!</v>
      </c>
      <c r="GI265" t="e">
        <f>AND(#REF!,"AAAAAG39/74=")</f>
        <v>#REF!</v>
      </c>
      <c r="GJ265" t="e">
        <f>AND(#REF!,"AAAAAG39/78=")</f>
        <v>#REF!</v>
      </c>
      <c r="GK265" t="e">
        <f>AND(#REF!,"AAAAAG39/8A=")</f>
        <v>#REF!</v>
      </c>
      <c r="GL265" t="e">
        <f>AND(#REF!,"AAAAAG39/8E=")</f>
        <v>#REF!</v>
      </c>
      <c r="GM265" t="e">
        <f>IF(#REF!,"AAAAAG39/8I=",0)</f>
        <v>#REF!</v>
      </c>
      <c r="GN265" t="e">
        <f>AND(#REF!,"AAAAAG39/8M=")</f>
        <v>#REF!</v>
      </c>
      <c r="GO265" t="e">
        <f>AND(#REF!,"AAAAAG39/8Q=")</f>
        <v>#REF!</v>
      </c>
      <c r="GP265" t="e">
        <f>AND(#REF!,"AAAAAG39/8U=")</f>
        <v>#REF!</v>
      </c>
      <c r="GQ265" t="e">
        <f>AND(#REF!,"AAAAAG39/8Y=")</f>
        <v>#REF!</v>
      </c>
      <c r="GR265" t="e">
        <f>AND(#REF!,"AAAAAG39/8c=")</f>
        <v>#REF!</v>
      </c>
      <c r="GS265" t="e">
        <f>AND(#REF!,"AAAAAG39/8g=")</f>
        <v>#REF!</v>
      </c>
      <c r="GT265" t="e">
        <f>AND(#REF!,"AAAAAG39/8k=")</f>
        <v>#REF!</v>
      </c>
      <c r="GU265" t="e">
        <f>AND(#REF!,"AAAAAG39/8o=")</f>
        <v>#REF!</v>
      </c>
      <c r="GV265" t="e">
        <f>AND(#REF!,"AAAAAG39/8s=")</f>
        <v>#REF!</v>
      </c>
      <c r="GW265" t="e">
        <f>AND(#REF!,"AAAAAG39/8w=")</f>
        <v>#REF!</v>
      </c>
      <c r="GX265" t="e">
        <f>IF(#REF!,"AAAAAG39/80=",0)</f>
        <v>#REF!</v>
      </c>
      <c r="GY265" t="e">
        <f>AND(#REF!,"AAAAAG39/84=")</f>
        <v>#REF!</v>
      </c>
      <c r="GZ265" t="e">
        <f>AND(#REF!,"AAAAAG39/88=")</f>
        <v>#REF!</v>
      </c>
      <c r="HA265" t="e">
        <f>AND(#REF!,"AAAAAG39/9A=")</f>
        <v>#REF!</v>
      </c>
      <c r="HB265" t="e">
        <f>AND(#REF!,"AAAAAG39/9E=")</f>
        <v>#REF!</v>
      </c>
      <c r="HC265" t="e">
        <f>AND(#REF!,"AAAAAG39/9I=")</f>
        <v>#REF!</v>
      </c>
      <c r="HD265" t="e">
        <f>AND(#REF!,"AAAAAG39/9M=")</f>
        <v>#REF!</v>
      </c>
      <c r="HE265" t="e">
        <f>AND(#REF!,"AAAAAG39/9Q=")</f>
        <v>#REF!</v>
      </c>
      <c r="HF265" t="e">
        <f>AND(#REF!,"AAAAAG39/9U=")</f>
        <v>#REF!</v>
      </c>
      <c r="HG265" t="e">
        <f>AND(#REF!,"AAAAAG39/9Y=")</f>
        <v>#REF!</v>
      </c>
      <c r="HH265" t="e">
        <f>AND(#REF!,"AAAAAG39/9c=")</f>
        <v>#REF!</v>
      </c>
      <c r="HI265" t="e">
        <f>IF(#REF!,"AAAAAG39/9g=",0)</f>
        <v>#REF!</v>
      </c>
      <c r="HJ265" t="e">
        <f>AND(#REF!,"AAAAAG39/9k=")</f>
        <v>#REF!</v>
      </c>
      <c r="HK265" t="e">
        <f>AND(#REF!,"AAAAAG39/9o=")</f>
        <v>#REF!</v>
      </c>
      <c r="HL265" t="e">
        <f>AND(#REF!,"AAAAAG39/9s=")</f>
        <v>#REF!</v>
      </c>
      <c r="HM265" t="e">
        <f>AND(#REF!,"AAAAAG39/9w=")</f>
        <v>#REF!</v>
      </c>
      <c r="HN265" t="e">
        <f>AND(#REF!,"AAAAAG39/90=")</f>
        <v>#REF!</v>
      </c>
      <c r="HO265" t="e">
        <f>AND(#REF!,"AAAAAG39/94=")</f>
        <v>#REF!</v>
      </c>
      <c r="HP265" t="e">
        <f>AND(#REF!,"AAAAAG39/98=")</f>
        <v>#REF!</v>
      </c>
      <c r="HQ265" t="e">
        <f>AND(#REF!,"AAAAAG39/+A=")</f>
        <v>#REF!</v>
      </c>
      <c r="HR265" t="e">
        <f>AND(#REF!,"AAAAAG39/+E=")</f>
        <v>#REF!</v>
      </c>
      <c r="HS265" t="e">
        <f>AND(#REF!,"AAAAAG39/+I=")</f>
        <v>#REF!</v>
      </c>
      <c r="HT265" t="e">
        <f>IF(#REF!,"AAAAAG39/+M=",0)</f>
        <v>#REF!</v>
      </c>
      <c r="HU265" t="e">
        <f>AND(#REF!,"AAAAAG39/+Q=")</f>
        <v>#REF!</v>
      </c>
      <c r="HV265" t="e">
        <f>AND(#REF!,"AAAAAG39/+U=")</f>
        <v>#REF!</v>
      </c>
      <c r="HW265" t="e">
        <f>AND(#REF!,"AAAAAG39/+Y=")</f>
        <v>#REF!</v>
      </c>
      <c r="HX265" t="e">
        <f>AND(#REF!,"AAAAAG39/+c=")</f>
        <v>#REF!</v>
      </c>
      <c r="HY265" t="e">
        <f>AND(#REF!,"AAAAAG39/+g=")</f>
        <v>#REF!</v>
      </c>
      <c r="HZ265" t="e">
        <f>AND(#REF!,"AAAAAG39/+k=")</f>
        <v>#REF!</v>
      </c>
      <c r="IA265" t="e">
        <f>AND(#REF!,"AAAAAG39/+o=")</f>
        <v>#REF!</v>
      </c>
      <c r="IB265" t="e">
        <f>AND(#REF!,"AAAAAG39/+s=")</f>
        <v>#REF!</v>
      </c>
      <c r="IC265" t="e">
        <f>AND(#REF!,"AAAAAG39/+w=")</f>
        <v>#REF!</v>
      </c>
      <c r="ID265" t="e">
        <f>AND(#REF!,"AAAAAG39/+0=")</f>
        <v>#REF!</v>
      </c>
      <c r="IE265" t="e">
        <f>IF(#REF!,"AAAAAG39/+4=",0)</f>
        <v>#REF!</v>
      </c>
      <c r="IF265" t="e">
        <f>AND(#REF!,"AAAAAG39/+8=")</f>
        <v>#REF!</v>
      </c>
      <c r="IG265" t="e">
        <f>AND(#REF!,"AAAAAG39//A=")</f>
        <v>#REF!</v>
      </c>
      <c r="IH265" t="e">
        <f>AND(#REF!,"AAAAAG39//E=")</f>
        <v>#REF!</v>
      </c>
      <c r="II265" t="e">
        <f>AND(#REF!,"AAAAAG39//I=")</f>
        <v>#REF!</v>
      </c>
      <c r="IJ265" t="e">
        <f>AND(#REF!,"AAAAAG39//M=")</f>
        <v>#REF!</v>
      </c>
      <c r="IK265" t="e">
        <f>AND(#REF!,"AAAAAG39//Q=")</f>
        <v>#REF!</v>
      </c>
      <c r="IL265" t="e">
        <f>AND(#REF!,"AAAAAG39//U=")</f>
        <v>#REF!</v>
      </c>
      <c r="IM265" t="e">
        <f>AND(#REF!,"AAAAAG39//Y=")</f>
        <v>#REF!</v>
      </c>
      <c r="IN265" t="e">
        <f>AND(#REF!,"AAAAAG39//c=")</f>
        <v>#REF!</v>
      </c>
      <c r="IO265" t="e">
        <f>AND(#REF!,"AAAAAG39//g=")</f>
        <v>#REF!</v>
      </c>
      <c r="IP265" t="e">
        <f>IF(#REF!,"AAAAAG39//k=",0)</f>
        <v>#REF!</v>
      </c>
      <c r="IQ265" t="e">
        <f>AND(#REF!,"AAAAAG39//o=")</f>
        <v>#REF!</v>
      </c>
      <c r="IR265" t="e">
        <f>AND(#REF!,"AAAAAG39//s=")</f>
        <v>#REF!</v>
      </c>
      <c r="IS265" t="e">
        <f>AND(#REF!,"AAAAAG39//w=")</f>
        <v>#REF!</v>
      </c>
      <c r="IT265" t="e">
        <f>AND(#REF!,"AAAAAG39//0=")</f>
        <v>#REF!</v>
      </c>
      <c r="IU265" t="e">
        <f>AND(#REF!,"AAAAAG39//4=")</f>
        <v>#REF!</v>
      </c>
      <c r="IV265" t="e">
        <f>AND(#REF!,"AAAAAG39//8=")</f>
        <v>#REF!</v>
      </c>
    </row>
    <row r="266" spans="1:256" x14ac:dyDescent="0.25">
      <c r="A266" t="e">
        <f>AND(#REF!,"AAAAADbGJwA=")</f>
        <v>#REF!</v>
      </c>
      <c r="B266" t="e">
        <f>AND(#REF!,"AAAAADbGJwE=")</f>
        <v>#REF!</v>
      </c>
      <c r="C266" t="e">
        <f>AND(#REF!,"AAAAADbGJwI=")</f>
        <v>#REF!</v>
      </c>
      <c r="D266" t="e">
        <f>AND(#REF!,"AAAAADbGJwM=")</f>
        <v>#REF!</v>
      </c>
      <c r="E266" t="e">
        <f>IF(#REF!,"AAAAADbGJwQ=",0)</f>
        <v>#REF!</v>
      </c>
      <c r="F266" t="e">
        <f>AND(#REF!,"AAAAADbGJwU=")</f>
        <v>#REF!</v>
      </c>
      <c r="G266" t="e">
        <f>AND(#REF!,"AAAAADbGJwY=")</f>
        <v>#REF!</v>
      </c>
      <c r="H266" t="e">
        <f>AND(#REF!,"AAAAADbGJwc=")</f>
        <v>#REF!</v>
      </c>
      <c r="I266" t="e">
        <f>AND(#REF!,"AAAAADbGJwg=")</f>
        <v>#REF!</v>
      </c>
      <c r="J266" t="e">
        <f>AND(#REF!,"AAAAADbGJwk=")</f>
        <v>#REF!</v>
      </c>
      <c r="K266" t="e">
        <f>AND(#REF!,"AAAAADbGJwo=")</f>
        <v>#REF!</v>
      </c>
      <c r="L266" t="e">
        <f>AND(#REF!,"AAAAADbGJws=")</f>
        <v>#REF!</v>
      </c>
      <c r="M266" t="e">
        <f>AND(#REF!,"AAAAADbGJww=")</f>
        <v>#REF!</v>
      </c>
      <c r="N266" t="e">
        <f>AND(#REF!,"AAAAADbGJw0=")</f>
        <v>#REF!</v>
      </c>
      <c r="O266" t="e">
        <f>AND(#REF!,"AAAAADbGJw4=")</f>
        <v>#REF!</v>
      </c>
      <c r="P266" t="e">
        <f>IF(#REF!,"AAAAADbGJw8=",0)</f>
        <v>#REF!</v>
      </c>
      <c r="Q266" t="e">
        <f>AND(#REF!,"AAAAADbGJxA=")</f>
        <v>#REF!</v>
      </c>
      <c r="R266" t="e">
        <f>AND(#REF!,"AAAAADbGJxE=")</f>
        <v>#REF!</v>
      </c>
      <c r="S266" t="e">
        <f>AND(#REF!,"AAAAADbGJxI=")</f>
        <v>#REF!</v>
      </c>
      <c r="T266" t="e">
        <f>AND(#REF!,"AAAAADbGJxM=")</f>
        <v>#REF!</v>
      </c>
      <c r="U266" t="e">
        <f>AND(#REF!,"AAAAADbGJxQ=")</f>
        <v>#REF!</v>
      </c>
      <c r="V266" t="e">
        <f>AND(#REF!,"AAAAADbGJxU=")</f>
        <v>#REF!</v>
      </c>
      <c r="W266" t="e">
        <f>AND(#REF!,"AAAAADbGJxY=")</f>
        <v>#REF!</v>
      </c>
      <c r="X266" t="e">
        <f>AND(#REF!,"AAAAADbGJxc=")</f>
        <v>#REF!</v>
      </c>
      <c r="Y266" t="e">
        <f>AND(#REF!,"AAAAADbGJxg=")</f>
        <v>#REF!</v>
      </c>
      <c r="Z266" t="e">
        <f>AND(#REF!,"AAAAADbGJxk=")</f>
        <v>#REF!</v>
      </c>
      <c r="AA266" t="e">
        <f>IF(#REF!,"AAAAADbGJxo=",0)</f>
        <v>#REF!</v>
      </c>
      <c r="AB266" t="e">
        <f>AND(#REF!,"AAAAADbGJxs=")</f>
        <v>#REF!</v>
      </c>
      <c r="AC266" t="e">
        <f>AND(#REF!,"AAAAADbGJxw=")</f>
        <v>#REF!</v>
      </c>
      <c r="AD266" t="e">
        <f>AND(#REF!,"AAAAADbGJx0=")</f>
        <v>#REF!</v>
      </c>
      <c r="AE266" t="e">
        <f>AND(#REF!,"AAAAADbGJx4=")</f>
        <v>#REF!</v>
      </c>
      <c r="AF266" t="e">
        <f>AND(#REF!,"AAAAADbGJx8=")</f>
        <v>#REF!</v>
      </c>
      <c r="AG266" t="e">
        <f>AND(#REF!,"AAAAADbGJyA=")</f>
        <v>#REF!</v>
      </c>
      <c r="AH266" t="e">
        <f>AND(#REF!,"AAAAADbGJyE=")</f>
        <v>#REF!</v>
      </c>
      <c r="AI266" t="e">
        <f>AND(#REF!,"AAAAADbGJyI=")</f>
        <v>#REF!</v>
      </c>
      <c r="AJ266" t="e">
        <f>AND(#REF!,"AAAAADbGJyM=")</f>
        <v>#REF!</v>
      </c>
      <c r="AK266" t="e">
        <f>AND(#REF!,"AAAAADbGJyQ=")</f>
        <v>#REF!</v>
      </c>
      <c r="AL266" t="e">
        <f>IF(#REF!,"AAAAADbGJyU=",0)</f>
        <v>#REF!</v>
      </c>
      <c r="AM266" t="e">
        <f>AND(#REF!,"AAAAADbGJyY=")</f>
        <v>#REF!</v>
      </c>
      <c r="AN266" t="e">
        <f>AND(#REF!,"AAAAADbGJyc=")</f>
        <v>#REF!</v>
      </c>
      <c r="AO266" t="e">
        <f>AND(#REF!,"AAAAADbGJyg=")</f>
        <v>#REF!</v>
      </c>
      <c r="AP266" t="e">
        <f>AND(#REF!,"AAAAADbGJyk=")</f>
        <v>#REF!</v>
      </c>
      <c r="AQ266" t="e">
        <f>AND(#REF!,"AAAAADbGJyo=")</f>
        <v>#REF!</v>
      </c>
      <c r="AR266" t="e">
        <f>AND(#REF!,"AAAAADbGJys=")</f>
        <v>#REF!</v>
      </c>
      <c r="AS266" t="e">
        <f>AND(#REF!,"AAAAADbGJyw=")</f>
        <v>#REF!</v>
      </c>
      <c r="AT266" t="e">
        <f>AND(#REF!,"AAAAADbGJy0=")</f>
        <v>#REF!</v>
      </c>
      <c r="AU266" t="e">
        <f>AND(#REF!,"AAAAADbGJy4=")</f>
        <v>#REF!</v>
      </c>
      <c r="AV266" t="e">
        <f>AND(#REF!,"AAAAADbGJy8=")</f>
        <v>#REF!</v>
      </c>
      <c r="AW266" t="e">
        <f>IF(#REF!,"AAAAADbGJzA=",0)</f>
        <v>#REF!</v>
      </c>
      <c r="AX266" t="e">
        <f>AND(#REF!,"AAAAADbGJzE=")</f>
        <v>#REF!</v>
      </c>
      <c r="AY266" t="e">
        <f>AND(#REF!,"AAAAADbGJzI=")</f>
        <v>#REF!</v>
      </c>
      <c r="AZ266" t="e">
        <f>AND(#REF!,"AAAAADbGJzM=")</f>
        <v>#REF!</v>
      </c>
      <c r="BA266" t="e">
        <f>AND(#REF!,"AAAAADbGJzQ=")</f>
        <v>#REF!</v>
      </c>
      <c r="BB266" t="e">
        <f>AND(#REF!,"AAAAADbGJzU=")</f>
        <v>#REF!</v>
      </c>
      <c r="BC266" t="e">
        <f>AND(#REF!,"AAAAADbGJzY=")</f>
        <v>#REF!</v>
      </c>
      <c r="BD266" t="e">
        <f>AND(#REF!,"AAAAADbGJzc=")</f>
        <v>#REF!</v>
      </c>
      <c r="BE266" t="e">
        <f>AND(#REF!,"AAAAADbGJzg=")</f>
        <v>#REF!</v>
      </c>
      <c r="BF266" t="e">
        <f>AND(#REF!,"AAAAADbGJzk=")</f>
        <v>#REF!</v>
      </c>
      <c r="BG266" t="e">
        <f>AND(#REF!,"AAAAADbGJzo=")</f>
        <v>#REF!</v>
      </c>
      <c r="BH266" t="e">
        <f>IF(#REF!,"AAAAADbGJzs=",0)</f>
        <v>#REF!</v>
      </c>
      <c r="BI266" t="e">
        <f>AND(#REF!,"AAAAADbGJzw=")</f>
        <v>#REF!</v>
      </c>
      <c r="BJ266" t="e">
        <f>AND(#REF!,"AAAAADbGJz0=")</f>
        <v>#REF!</v>
      </c>
      <c r="BK266" t="e">
        <f>AND(#REF!,"AAAAADbGJz4=")</f>
        <v>#REF!</v>
      </c>
      <c r="BL266" t="e">
        <f>AND(#REF!,"AAAAADbGJz8=")</f>
        <v>#REF!</v>
      </c>
      <c r="BM266" t="e">
        <f>AND(#REF!,"AAAAADbGJ0A=")</f>
        <v>#REF!</v>
      </c>
      <c r="BN266" t="e">
        <f>AND(#REF!,"AAAAADbGJ0E=")</f>
        <v>#REF!</v>
      </c>
      <c r="BO266" t="e">
        <f>AND(#REF!,"AAAAADbGJ0I=")</f>
        <v>#REF!</v>
      </c>
      <c r="BP266" t="e">
        <f>AND(#REF!,"AAAAADbGJ0M=")</f>
        <v>#REF!</v>
      </c>
      <c r="BQ266" t="e">
        <f>AND(#REF!,"AAAAADbGJ0Q=")</f>
        <v>#REF!</v>
      </c>
      <c r="BR266" t="e">
        <f>AND(#REF!,"AAAAADbGJ0U=")</f>
        <v>#REF!</v>
      </c>
      <c r="BS266" t="e">
        <f>IF(#REF!,"AAAAADbGJ0Y=",0)</f>
        <v>#REF!</v>
      </c>
      <c r="BT266" t="e">
        <f>AND(#REF!,"AAAAADbGJ0c=")</f>
        <v>#REF!</v>
      </c>
      <c r="BU266" t="e">
        <f>AND(#REF!,"AAAAADbGJ0g=")</f>
        <v>#REF!</v>
      </c>
      <c r="BV266" t="e">
        <f>AND(#REF!,"AAAAADbGJ0k=")</f>
        <v>#REF!</v>
      </c>
      <c r="BW266" t="e">
        <f>AND(#REF!,"AAAAADbGJ0o=")</f>
        <v>#REF!</v>
      </c>
      <c r="BX266" t="e">
        <f>AND(#REF!,"AAAAADbGJ0s=")</f>
        <v>#REF!</v>
      </c>
      <c r="BY266" t="e">
        <f>AND(#REF!,"AAAAADbGJ0w=")</f>
        <v>#REF!</v>
      </c>
      <c r="BZ266" t="e">
        <f>AND(#REF!,"AAAAADbGJ00=")</f>
        <v>#REF!</v>
      </c>
      <c r="CA266" t="e">
        <f>AND(#REF!,"AAAAADbGJ04=")</f>
        <v>#REF!</v>
      </c>
      <c r="CB266" t="e">
        <f>AND(#REF!,"AAAAADbGJ08=")</f>
        <v>#REF!</v>
      </c>
      <c r="CC266" t="e">
        <f>AND(#REF!,"AAAAADbGJ1A=")</f>
        <v>#REF!</v>
      </c>
      <c r="CD266" t="e">
        <f>IF(#REF!,"AAAAADbGJ1E=",0)</f>
        <v>#REF!</v>
      </c>
      <c r="CE266" t="e">
        <f>AND(#REF!,"AAAAADbGJ1I=")</f>
        <v>#REF!</v>
      </c>
      <c r="CF266" t="e">
        <f>AND(#REF!,"AAAAADbGJ1M=")</f>
        <v>#REF!</v>
      </c>
      <c r="CG266" t="e">
        <f>AND(#REF!,"AAAAADbGJ1Q=")</f>
        <v>#REF!</v>
      </c>
      <c r="CH266" t="e">
        <f>AND(#REF!,"AAAAADbGJ1U=")</f>
        <v>#REF!</v>
      </c>
      <c r="CI266" t="e">
        <f>AND(#REF!,"AAAAADbGJ1Y=")</f>
        <v>#REF!</v>
      </c>
      <c r="CJ266" t="e">
        <f>AND(#REF!,"AAAAADbGJ1c=")</f>
        <v>#REF!</v>
      </c>
      <c r="CK266" t="e">
        <f>AND(#REF!,"AAAAADbGJ1g=")</f>
        <v>#REF!</v>
      </c>
      <c r="CL266" t="e">
        <f>AND(#REF!,"AAAAADbGJ1k=")</f>
        <v>#REF!</v>
      </c>
      <c r="CM266" t="e">
        <f>AND(#REF!,"AAAAADbGJ1o=")</f>
        <v>#REF!</v>
      </c>
      <c r="CN266" t="e">
        <f>AND(#REF!,"AAAAADbGJ1s=")</f>
        <v>#REF!</v>
      </c>
      <c r="CO266" t="e">
        <f>IF(#REF!,"AAAAADbGJ1w=",0)</f>
        <v>#REF!</v>
      </c>
      <c r="CP266" t="e">
        <f>AND(#REF!,"AAAAADbGJ10=")</f>
        <v>#REF!</v>
      </c>
      <c r="CQ266" t="e">
        <f>AND(#REF!,"AAAAADbGJ14=")</f>
        <v>#REF!</v>
      </c>
      <c r="CR266" t="e">
        <f>AND(#REF!,"AAAAADbGJ18=")</f>
        <v>#REF!</v>
      </c>
      <c r="CS266" t="e">
        <f>AND(#REF!,"AAAAADbGJ2A=")</f>
        <v>#REF!</v>
      </c>
      <c r="CT266" t="e">
        <f>AND(#REF!,"AAAAADbGJ2E=")</f>
        <v>#REF!</v>
      </c>
      <c r="CU266" t="e">
        <f>AND(#REF!,"AAAAADbGJ2I=")</f>
        <v>#REF!</v>
      </c>
      <c r="CV266" t="e">
        <f>AND(#REF!,"AAAAADbGJ2M=")</f>
        <v>#REF!</v>
      </c>
      <c r="CW266" t="e">
        <f>AND(#REF!,"AAAAADbGJ2Q=")</f>
        <v>#REF!</v>
      </c>
      <c r="CX266" t="e">
        <f>AND(#REF!,"AAAAADbGJ2U=")</f>
        <v>#REF!</v>
      </c>
      <c r="CY266" t="e">
        <f>AND(#REF!,"AAAAADbGJ2Y=")</f>
        <v>#REF!</v>
      </c>
      <c r="CZ266" t="e">
        <f>IF(#REF!,"AAAAADbGJ2c=",0)</f>
        <v>#REF!</v>
      </c>
      <c r="DA266" t="e">
        <f>AND(#REF!,"AAAAADbGJ2g=")</f>
        <v>#REF!</v>
      </c>
      <c r="DB266" t="e">
        <f>AND(#REF!,"AAAAADbGJ2k=")</f>
        <v>#REF!</v>
      </c>
      <c r="DC266" t="e">
        <f>AND(#REF!,"AAAAADbGJ2o=")</f>
        <v>#REF!</v>
      </c>
      <c r="DD266" t="e">
        <f>AND(#REF!,"AAAAADbGJ2s=")</f>
        <v>#REF!</v>
      </c>
      <c r="DE266" t="e">
        <f>AND(#REF!,"AAAAADbGJ2w=")</f>
        <v>#REF!</v>
      </c>
      <c r="DF266" t="e">
        <f>AND(#REF!,"AAAAADbGJ20=")</f>
        <v>#REF!</v>
      </c>
      <c r="DG266" t="e">
        <f>AND(#REF!,"AAAAADbGJ24=")</f>
        <v>#REF!</v>
      </c>
      <c r="DH266" t="e">
        <f>AND(#REF!,"AAAAADbGJ28=")</f>
        <v>#REF!</v>
      </c>
      <c r="DI266" t="e">
        <f>AND(#REF!,"AAAAADbGJ3A=")</f>
        <v>#REF!</v>
      </c>
      <c r="DJ266" t="e">
        <f>AND(#REF!,"AAAAADbGJ3E=")</f>
        <v>#REF!</v>
      </c>
      <c r="DK266" t="e">
        <f>IF(#REF!,"AAAAADbGJ3I=",0)</f>
        <v>#REF!</v>
      </c>
      <c r="DL266" t="e">
        <f>AND(#REF!,"AAAAADbGJ3M=")</f>
        <v>#REF!</v>
      </c>
      <c r="DM266" t="e">
        <f>AND(#REF!,"AAAAADbGJ3Q=")</f>
        <v>#REF!</v>
      </c>
      <c r="DN266" t="e">
        <f>AND(#REF!,"AAAAADbGJ3U=")</f>
        <v>#REF!</v>
      </c>
      <c r="DO266" t="e">
        <f>AND(#REF!,"AAAAADbGJ3Y=")</f>
        <v>#REF!</v>
      </c>
      <c r="DP266" t="e">
        <f>AND(#REF!,"AAAAADbGJ3c=")</f>
        <v>#REF!</v>
      </c>
      <c r="DQ266" t="e">
        <f>AND(#REF!,"AAAAADbGJ3g=")</f>
        <v>#REF!</v>
      </c>
      <c r="DR266" t="e">
        <f>AND(#REF!,"AAAAADbGJ3k=")</f>
        <v>#REF!</v>
      </c>
      <c r="DS266" t="e">
        <f>AND(#REF!,"AAAAADbGJ3o=")</f>
        <v>#REF!</v>
      </c>
      <c r="DT266" t="e">
        <f>AND(#REF!,"AAAAADbGJ3s=")</f>
        <v>#REF!</v>
      </c>
      <c r="DU266" t="e">
        <f>AND(#REF!,"AAAAADbGJ3w=")</f>
        <v>#REF!</v>
      </c>
      <c r="DV266" t="e">
        <f>IF(#REF!,"AAAAADbGJ30=",0)</f>
        <v>#REF!</v>
      </c>
      <c r="DW266" t="e">
        <f>AND(#REF!,"AAAAADbGJ34=")</f>
        <v>#REF!</v>
      </c>
      <c r="DX266" t="e">
        <f>AND(#REF!,"AAAAADbGJ38=")</f>
        <v>#REF!</v>
      </c>
      <c r="DY266" t="e">
        <f>AND(#REF!,"AAAAADbGJ4A=")</f>
        <v>#REF!</v>
      </c>
      <c r="DZ266" t="e">
        <f>AND(#REF!,"AAAAADbGJ4E=")</f>
        <v>#REF!</v>
      </c>
      <c r="EA266" t="e">
        <f>AND(#REF!,"AAAAADbGJ4I=")</f>
        <v>#REF!</v>
      </c>
      <c r="EB266" t="e">
        <f>AND(#REF!,"AAAAADbGJ4M=")</f>
        <v>#REF!</v>
      </c>
      <c r="EC266" t="e">
        <f>AND(#REF!,"AAAAADbGJ4Q=")</f>
        <v>#REF!</v>
      </c>
      <c r="ED266" t="e">
        <f>AND(#REF!,"AAAAADbGJ4U=")</f>
        <v>#REF!</v>
      </c>
      <c r="EE266" t="e">
        <f>AND(#REF!,"AAAAADbGJ4Y=")</f>
        <v>#REF!</v>
      </c>
      <c r="EF266" t="e">
        <f>AND(#REF!,"AAAAADbGJ4c=")</f>
        <v>#REF!</v>
      </c>
      <c r="EG266" t="e">
        <f>IF(#REF!,"AAAAADbGJ4g=",0)</f>
        <v>#REF!</v>
      </c>
      <c r="EH266" t="e">
        <f>AND(#REF!,"AAAAADbGJ4k=")</f>
        <v>#REF!</v>
      </c>
      <c r="EI266" t="e">
        <f>AND(#REF!,"AAAAADbGJ4o=")</f>
        <v>#REF!</v>
      </c>
      <c r="EJ266" t="e">
        <f>AND(#REF!,"AAAAADbGJ4s=")</f>
        <v>#REF!</v>
      </c>
      <c r="EK266" t="e">
        <f>AND(#REF!,"AAAAADbGJ4w=")</f>
        <v>#REF!</v>
      </c>
      <c r="EL266" t="e">
        <f>AND(#REF!,"AAAAADbGJ40=")</f>
        <v>#REF!</v>
      </c>
      <c r="EM266" t="e">
        <f>AND(#REF!,"AAAAADbGJ44=")</f>
        <v>#REF!</v>
      </c>
      <c r="EN266" t="e">
        <f>AND(#REF!,"AAAAADbGJ48=")</f>
        <v>#REF!</v>
      </c>
      <c r="EO266" t="e">
        <f>AND(#REF!,"AAAAADbGJ5A=")</f>
        <v>#REF!</v>
      </c>
      <c r="EP266" t="e">
        <f>AND(#REF!,"AAAAADbGJ5E=")</f>
        <v>#REF!</v>
      </c>
      <c r="EQ266" t="e">
        <f>AND(#REF!,"AAAAADbGJ5I=")</f>
        <v>#REF!</v>
      </c>
      <c r="ER266" t="e">
        <f>IF(#REF!,"AAAAADbGJ5M=",0)</f>
        <v>#REF!</v>
      </c>
      <c r="ES266" t="e">
        <f>AND(#REF!,"AAAAADbGJ5Q=")</f>
        <v>#REF!</v>
      </c>
      <c r="ET266" t="e">
        <f>AND(#REF!,"AAAAADbGJ5U=")</f>
        <v>#REF!</v>
      </c>
      <c r="EU266" t="e">
        <f>AND(#REF!,"AAAAADbGJ5Y=")</f>
        <v>#REF!</v>
      </c>
      <c r="EV266" t="e">
        <f>AND(#REF!,"AAAAADbGJ5c=")</f>
        <v>#REF!</v>
      </c>
      <c r="EW266" t="e">
        <f>AND(#REF!,"AAAAADbGJ5g=")</f>
        <v>#REF!</v>
      </c>
      <c r="EX266" t="e">
        <f>AND(#REF!,"AAAAADbGJ5k=")</f>
        <v>#REF!</v>
      </c>
      <c r="EY266" t="e">
        <f>AND(#REF!,"AAAAADbGJ5o=")</f>
        <v>#REF!</v>
      </c>
      <c r="EZ266" t="e">
        <f>AND(#REF!,"AAAAADbGJ5s=")</f>
        <v>#REF!</v>
      </c>
      <c r="FA266" t="e">
        <f>AND(#REF!,"AAAAADbGJ5w=")</f>
        <v>#REF!</v>
      </c>
      <c r="FB266" t="e">
        <f>AND(#REF!,"AAAAADbGJ50=")</f>
        <v>#REF!</v>
      </c>
      <c r="FC266" t="e">
        <f>IF(#REF!,"AAAAADbGJ54=",0)</f>
        <v>#REF!</v>
      </c>
      <c r="FD266" t="e">
        <f>AND(#REF!,"AAAAADbGJ58=")</f>
        <v>#REF!</v>
      </c>
      <c r="FE266" t="e">
        <f>AND(#REF!,"AAAAADbGJ6A=")</f>
        <v>#REF!</v>
      </c>
      <c r="FF266" t="e">
        <f>AND(#REF!,"AAAAADbGJ6E=")</f>
        <v>#REF!</v>
      </c>
      <c r="FG266" t="e">
        <f>AND(#REF!,"AAAAADbGJ6I=")</f>
        <v>#REF!</v>
      </c>
      <c r="FH266" t="e">
        <f>AND(#REF!,"AAAAADbGJ6M=")</f>
        <v>#REF!</v>
      </c>
      <c r="FI266" t="e">
        <f>AND(#REF!,"AAAAADbGJ6Q=")</f>
        <v>#REF!</v>
      </c>
      <c r="FJ266" t="e">
        <f>AND(#REF!,"AAAAADbGJ6U=")</f>
        <v>#REF!</v>
      </c>
      <c r="FK266" t="e">
        <f>AND(#REF!,"AAAAADbGJ6Y=")</f>
        <v>#REF!</v>
      </c>
      <c r="FL266" t="e">
        <f>AND(#REF!,"AAAAADbGJ6c=")</f>
        <v>#REF!</v>
      </c>
      <c r="FM266" t="e">
        <f>AND(#REF!,"AAAAADbGJ6g=")</f>
        <v>#REF!</v>
      </c>
      <c r="FN266" t="e">
        <f>IF(#REF!,"AAAAADbGJ6k=",0)</f>
        <v>#REF!</v>
      </c>
      <c r="FO266" t="e">
        <f>AND(#REF!,"AAAAADbGJ6o=")</f>
        <v>#REF!</v>
      </c>
      <c r="FP266" t="e">
        <f>AND(#REF!,"AAAAADbGJ6s=")</f>
        <v>#REF!</v>
      </c>
      <c r="FQ266" t="e">
        <f>AND(#REF!,"AAAAADbGJ6w=")</f>
        <v>#REF!</v>
      </c>
      <c r="FR266" t="e">
        <f>AND(#REF!,"AAAAADbGJ60=")</f>
        <v>#REF!</v>
      </c>
      <c r="FS266" t="e">
        <f>AND(#REF!,"AAAAADbGJ64=")</f>
        <v>#REF!</v>
      </c>
      <c r="FT266" t="e">
        <f>AND(#REF!,"AAAAADbGJ68=")</f>
        <v>#REF!</v>
      </c>
      <c r="FU266" t="e">
        <f>AND(#REF!,"AAAAADbGJ7A=")</f>
        <v>#REF!</v>
      </c>
      <c r="FV266" t="e">
        <f>AND(#REF!,"AAAAADbGJ7E=")</f>
        <v>#REF!</v>
      </c>
      <c r="FW266" t="e">
        <f>AND(#REF!,"AAAAADbGJ7I=")</f>
        <v>#REF!</v>
      </c>
      <c r="FX266" t="e">
        <f>AND(#REF!,"AAAAADbGJ7M=")</f>
        <v>#REF!</v>
      </c>
      <c r="FY266" t="e">
        <f>IF(#REF!,"AAAAADbGJ7Q=",0)</f>
        <v>#REF!</v>
      </c>
      <c r="FZ266" t="e">
        <f>AND(#REF!,"AAAAADbGJ7U=")</f>
        <v>#REF!</v>
      </c>
      <c r="GA266" t="e">
        <f>AND(#REF!,"AAAAADbGJ7Y=")</f>
        <v>#REF!</v>
      </c>
      <c r="GB266" t="e">
        <f>AND(#REF!,"AAAAADbGJ7c=")</f>
        <v>#REF!</v>
      </c>
      <c r="GC266" t="e">
        <f>AND(#REF!,"AAAAADbGJ7g=")</f>
        <v>#REF!</v>
      </c>
      <c r="GD266" t="e">
        <f>AND(#REF!,"AAAAADbGJ7k=")</f>
        <v>#REF!</v>
      </c>
      <c r="GE266" t="e">
        <f>AND(#REF!,"AAAAADbGJ7o=")</f>
        <v>#REF!</v>
      </c>
      <c r="GF266" t="e">
        <f>AND(#REF!,"AAAAADbGJ7s=")</f>
        <v>#REF!</v>
      </c>
      <c r="GG266" t="e">
        <f>AND(#REF!,"AAAAADbGJ7w=")</f>
        <v>#REF!</v>
      </c>
      <c r="GH266" t="e">
        <f>AND(#REF!,"AAAAADbGJ70=")</f>
        <v>#REF!</v>
      </c>
      <c r="GI266" t="e">
        <f>AND(#REF!,"AAAAADbGJ74=")</f>
        <v>#REF!</v>
      </c>
      <c r="GJ266" t="e">
        <f>IF(#REF!,"AAAAADbGJ78=",0)</f>
        <v>#REF!</v>
      </c>
      <c r="GK266" t="e">
        <f>AND(#REF!,"AAAAADbGJ8A=")</f>
        <v>#REF!</v>
      </c>
      <c r="GL266" t="e">
        <f>AND(#REF!,"AAAAADbGJ8E=")</f>
        <v>#REF!</v>
      </c>
      <c r="GM266" t="e">
        <f>AND(#REF!,"AAAAADbGJ8I=")</f>
        <v>#REF!</v>
      </c>
      <c r="GN266" t="e">
        <f>AND(#REF!,"AAAAADbGJ8M=")</f>
        <v>#REF!</v>
      </c>
      <c r="GO266" t="e">
        <f>AND(#REF!,"AAAAADbGJ8Q=")</f>
        <v>#REF!</v>
      </c>
      <c r="GP266" t="e">
        <f>AND(#REF!,"AAAAADbGJ8U=")</f>
        <v>#REF!</v>
      </c>
      <c r="GQ266" t="e">
        <f>AND(#REF!,"AAAAADbGJ8Y=")</f>
        <v>#REF!</v>
      </c>
      <c r="GR266" t="e">
        <f>AND(#REF!,"AAAAADbGJ8c=")</f>
        <v>#REF!</v>
      </c>
      <c r="GS266" t="e">
        <f>AND(#REF!,"AAAAADbGJ8g=")</f>
        <v>#REF!</v>
      </c>
      <c r="GT266" t="e">
        <f>AND(#REF!,"AAAAADbGJ8k=")</f>
        <v>#REF!</v>
      </c>
      <c r="GU266" t="e">
        <f>IF(#REF!,"AAAAADbGJ8o=",0)</f>
        <v>#REF!</v>
      </c>
      <c r="GV266" t="e">
        <f>AND(#REF!,"AAAAADbGJ8s=")</f>
        <v>#REF!</v>
      </c>
      <c r="GW266" t="e">
        <f>AND(#REF!,"AAAAADbGJ8w=")</f>
        <v>#REF!</v>
      </c>
      <c r="GX266" t="e">
        <f>AND(#REF!,"AAAAADbGJ80=")</f>
        <v>#REF!</v>
      </c>
      <c r="GY266" t="e">
        <f>AND(#REF!,"AAAAADbGJ84=")</f>
        <v>#REF!</v>
      </c>
      <c r="GZ266" t="e">
        <f>AND(#REF!,"AAAAADbGJ88=")</f>
        <v>#REF!</v>
      </c>
      <c r="HA266" t="e">
        <f>AND(#REF!,"AAAAADbGJ9A=")</f>
        <v>#REF!</v>
      </c>
      <c r="HB266" t="e">
        <f>AND(#REF!,"AAAAADbGJ9E=")</f>
        <v>#REF!</v>
      </c>
      <c r="HC266" t="e">
        <f>AND(#REF!,"AAAAADbGJ9I=")</f>
        <v>#REF!</v>
      </c>
      <c r="HD266" t="e">
        <f>AND(#REF!,"AAAAADbGJ9M=")</f>
        <v>#REF!</v>
      </c>
      <c r="HE266" t="e">
        <f>AND(#REF!,"AAAAADbGJ9Q=")</f>
        <v>#REF!</v>
      </c>
      <c r="HF266" t="e">
        <f>IF(#REF!,"AAAAADbGJ9U=",0)</f>
        <v>#REF!</v>
      </c>
      <c r="HG266" t="e">
        <f>AND(#REF!,"AAAAADbGJ9Y=")</f>
        <v>#REF!</v>
      </c>
      <c r="HH266" t="e">
        <f>AND(#REF!,"AAAAADbGJ9c=")</f>
        <v>#REF!</v>
      </c>
      <c r="HI266" t="e">
        <f>AND(#REF!,"AAAAADbGJ9g=")</f>
        <v>#REF!</v>
      </c>
      <c r="HJ266" t="e">
        <f>AND(#REF!,"AAAAADbGJ9k=")</f>
        <v>#REF!</v>
      </c>
      <c r="HK266" t="e">
        <f>AND(#REF!,"AAAAADbGJ9o=")</f>
        <v>#REF!</v>
      </c>
      <c r="HL266" t="e">
        <f>AND(#REF!,"AAAAADbGJ9s=")</f>
        <v>#REF!</v>
      </c>
      <c r="HM266" t="e">
        <f>AND(#REF!,"AAAAADbGJ9w=")</f>
        <v>#REF!</v>
      </c>
      <c r="HN266" t="e">
        <f>AND(#REF!,"AAAAADbGJ90=")</f>
        <v>#REF!</v>
      </c>
      <c r="HO266" t="e">
        <f>AND(#REF!,"AAAAADbGJ94=")</f>
        <v>#REF!</v>
      </c>
      <c r="HP266" t="e">
        <f>AND(#REF!,"AAAAADbGJ98=")</f>
        <v>#REF!</v>
      </c>
      <c r="HQ266" t="e">
        <f>IF(#REF!,"AAAAADbGJ+A=",0)</f>
        <v>#REF!</v>
      </c>
      <c r="HR266" t="e">
        <f>AND(#REF!,"AAAAADbGJ+E=")</f>
        <v>#REF!</v>
      </c>
      <c r="HS266" t="e">
        <f>AND(#REF!,"AAAAADbGJ+I=")</f>
        <v>#REF!</v>
      </c>
      <c r="HT266" t="e">
        <f>AND(#REF!,"AAAAADbGJ+M=")</f>
        <v>#REF!</v>
      </c>
      <c r="HU266" t="e">
        <f>AND(#REF!,"AAAAADbGJ+Q=")</f>
        <v>#REF!</v>
      </c>
      <c r="HV266" t="e">
        <f>AND(#REF!,"AAAAADbGJ+U=")</f>
        <v>#REF!</v>
      </c>
      <c r="HW266" t="e">
        <f>AND(#REF!,"AAAAADbGJ+Y=")</f>
        <v>#REF!</v>
      </c>
      <c r="HX266" t="e">
        <f>AND(#REF!,"AAAAADbGJ+c=")</f>
        <v>#REF!</v>
      </c>
      <c r="HY266" t="e">
        <f>AND(#REF!,"AAAAADbGJ+g=")</f>
        <v>#REF!</v>
      </c>
      <c r="HZ266" t="e">
        <f>AND(#REF!,"AAAAADbGJ+k=")</f>
        <v>#REF!</v>
      </c>
      <c r="IA266" t="e">
        <f>AND(#REF!,"AAAAADbGJ+o=")</f>
        <v>#REF!</v>
      </c>
      <c r="IB266" t="e">
        <f>IF(#REF!,"AAAAADbGJ+s=",0)</f>
        <v>#REF!</v>
      </c>
      <c r="IC266" t="e">
        <f>AND(#REF!,"AAAAADbGJ+w=")</f>
        <v>#REF!</v>
      </c>
      <c r="ID266" t="e">
        <f>AND(#REF!,"AAAAADbGJ+0=")</f>
        <v>#REF!</v>
      </c>
      <c r="IE266" t="e">
        <f>AND(#REF!,"AAAAADbGJ+4=")</f>
        <v>#REF!</v>
      </c>
      <c r="IF266" t="e">
        <f>AND(#REF!,"AAAAADbGJ+8=")</f>
        <v>#REF!</v>
      </c>
      <c r="IG266" t="e">
        <f>AND(#REF!,"AAAAADbGJ/A=")</f>
        <v>#REF!</v>
      </c>
      <c r="IH266" t="e">
        <f>AND(#REF!,"AAAAADbGJ/E=")</f>
        <v>#REF!</v>
      </c>
      <c r="II266" t="e">
        <f>AND(#REF!,"AAAAADbGJ/I=")</f>
        <v>#REF!</v>
      </c>
      <c r="IJ266" t="e">
        <f>AND(#REF!,"AAAAADbGJ/M=")</f>
        <v>#REF!</v>
      </c>
      <c r="IK266" t="e">
        <f>AND(#REF!,"AAAAADbGJ/Q=")</f>
        <v>#REF!</v>
      </c>
      <c r="IL266" t="e">
        <f>AND(#REF!,"AAAAADbGJ/U=")</f>
        <v>#REF!</v>
      </c>
      <c r="IM266" t="e">
        <f>IF(#REF!,"AAAAADbGJ/Y=",0)</f>
        <v>#REF!</v>
      </c>
      <c r="IN266" t="e">
        <f>AND(#REF!,"AAAAADbGJ/c=")</f>
        <v>#REF!</v>
      </c>
      <c r="IO266" t="e">
        <f>AND(#REF!,"AAAAADbGJ/g=")</f>
        <v>#REF!</v>
      </c>
      <c r="IP266" t="e">
        <f>AND(#REF!,"AAAAADbGJ/k=")</f>
        <v>#REF!</v>
      </c>
      <c r="IQ266" t="e">
        <f>AND(#REF!,"AAAAADbGJ/o=")</f>
        <v>#REF!</v>
      </c>
      <c r="IR266" t="e">
        <f>AND(#REF!,"AAAAADbGJ/s=")</f>
        <v>#REF!</v>
      </c>
      <c r="IS266" t="e">
        <f>AND(#REF!,"AAAAADbGJ/w=")</f>
        <v>#REF!</v>
      </c>
      <c r="IT266" t="e">
        <f>AND(#REF!,"AAAAADbGJ/0=")</f>
        <v>#REF!</v>
      </c>
      <c r="IU266" t="e">
        <f>AND(#REF!,"AAAAADbGJ/4=")</f>
        <v>#REF!</v>
      </c>
      <c r="IV266" t="e">
        <f>AND(#REF!,"AAAAADbGJ/8=")</f>
        <v>#REF!</v>
      </c>
    </row>
    <row r="267" spans="1:256" x14ac:dyDescent="0.25">
      <c r="A267" t="e">
        <f>AND(#REF!,"AAAAAFj/NQA=")</f>
        <v>#REF!</v>
      </c>
      <c r="B267" t="e">
        <f>IF(#REF!,"AAAAAFj/NQE=",0)</f>
        <v>#REF!</v>
      </c>
      <c r="C267" t="e">
        <f>AND(#REF!,"AAAAAFj/NQI=")</f>
        <v>#REF!</v>
      </c>
      <c r="D267" t="e">
        <f>AND(#REF!,"AAAAAFj/NQM=")</f>
        <v>#REF!</v>
      </c>
      <c r="E267" t="e">
        <f>AND(#REF!,"AAAAAFj/NQQ=")</f>
        <v>#REF!</v>
      </c>
      <c r="F267" t="e">
        <f>AND(#REF!,"AAAAAFj/NQU=")</f>
        <v>#REF!</v>
      </c>
      <c r="G267" t="e">
        <f>AND(#REF!,"AAAAAFj/NQY=")</f>
        <v>#REF!</v>
      </c>
      <c r="H267" t="e">
        <f>AND(#REF!,"AAAAAFj/NQc=")</f>
        <v>#REF!</v>
      </c>
      <c r="I267" t="e">
        <f>AND(#REF!,"AAAAAFj/NQg=")</f>
        <v>#REF!</v>
      </c>
      <c r="J267" t="e">
        <f>AND(#REF!,"AAAAAFj/NQk=")</f>
        <v>#REF!</v>
      </c>
      <c r="K267" t="e">
        <f>AND(#REF!,"AAAAAFj/NQo=")</f>
        <v>#REF!</v>
      </c>
      <c r="L267" t="e">
        <f>AND(#REF!,"AAAAAFj/NQs=")</f>
        <v>#REF!</v>
      </c>
      <c r="M267" t="e">
        <f>IF(#REF!,"AAAAAFj/NQw=",0)</f>
        <v>#REF!</v>
      </c>
      <c r="N267" t="e">
        <f>AND(#REF!,"AAAAAFj/NQ0=")</f>
        <v>#REF!</v>
      </c>
      <c r="O267" t="e">
        <f>AND(#REF!,"AAAAAFj/NQ4=")</f>
        <v>#REF!</v>
      </c>
      <c r="P267" t="e">
        <f>AND(#REF!,"AAAAAFj/NQ8=")</f>
        <v>#REF!</v>
      </c>
      <c r="Q267" t="e">
        <f>AND(#REF!,"AAAAAFj/NRA=")</f>
        <v>#REF!</v>
      </c>
      <c r="R267" t="e">
        <f>AND(#REF!,"AAAAAFj/NRE=")</f>
        <v>#REF!</v>
      </c>
      <c r="S267" t="e">
        <f>AND(#REF!,"AAAAAFj/NRI=")</f>
        <v>#REF!</v>
      </c>
      <c r="T267" t="e">
        <f>AND(#REF!,"AAAAAFj/NRM=")</f>
        <v>#REF!</v>
      </c>
      <c r="U267" t="e">
        <f>AND(#REF!,"AAAAAFj/NRQ=")</f>
        <v>#REF!</v>
      </c>
      <c r="V267" t="e">
        <f>AND(#REF!,"AAAAAFj/NRU=")</f>
        <v>#REF!</v>
      </c>
      <c r="W267" t="e">
        <f>AND(#REF!,"AAAAAFj/NRY=")</f>
        <v>#REF!</v>
      </c>
      <c r="X267" t="e">
        <f>IF(#REF!,"AAAAAFj/NRc=",0)</f>
        <v>#REF!</v>
      </c>
      <c r="Y267" t="e">
        <f>AND(#REF!,"AAAAAFj/NRg=")</f>
        <v>#REF!</v>
      </c>
      <c r="Z267" t="e">
        <f>AND(#REF!,"AAAAAFj/NRk=")</f>
        <v>#REF!</v>
      </c>
      <c r="AA267" t="e">
        <f>AND(#REF!,"AAAAAFj/NRo=")</f>
        <v>#REF!</v>
      </c>
      <c r="AB267" t="e">
        <f>AND(#REF!,"AAAAAFj/NRs=")</f>
        <v>#REF!</v>
      </c>
      <c r="AC267" t="e">
        <f>AND(#REF!,"AAAAAFj/NRw=")</f>
        <v>#REF!</v>
      </c>
      <c r="AD267" t="e">
        <f>AND(#REF!,"AAAAAFj/NR0=")</f>
        <v>#REF!</v>
      </c>
      <c r="AE267" t="e">
        <f>AND(#REF!,"AAAAAFj/NR4=")</f>
        <v>#REF!</v>
      </c>
      <c r="AF267" t="e">
        <f>AND(#REF!,"AAAAAFj/NR8=")</f>
        <v>#REF!</v>
      </c>
      <c r="AG267" t="e">
        <f>AND(#REF!,"AAAAAFj/NSA=")</f>
        <v>#REF!</v>
      </c>
      <c r="AH267" t="e">
        <f>AND(#REF!,"AAAAAFj/NSE=")</f>
        <v>#REF!</v>
      </c>
      <c r="AI267" t="e">
        <f>IF(#REF!,"AAAAAFj/NSI=",0)</f>
        <v>#REF!</v>
      </c>
      <c r="AJ267" t="e">
        <f>AND(#REF!,"AAAAAFj/NSM=")</f>
        <v>#REF!</v>
      </c>
      <c r="AK267" t="e">
        <f>AND(#REF!,"AAAAAFj/NSQ=")</f>
        <v>#REF!</v>
      </c>
      <c r="AL267" t="e">
        <f>AND(#REF!,"AAAAAFj/NSU=")</f>
        <v>#REF!</v>
      </c>
      <c r="AM267" t="e">
        <f>AND(#REF!,"AAAAAFj/NSY=")</f>
        <v>#REF!</v>
      </c>
      <c r="AN267" t="e">
        <f>AND(#REF!,"AAAAAFj/NSc=")</f>
        <v>#REF!</v>
      </c>
      <c r="AO267" t="e">
        <f>AND(#REF!,"AAAAAFj/NSg=")</f>
        <v>#REF!</v>
      </c>
      <c r="AP267" t="e">
        <f>AND(#REF!,"AAAAAFj/NSk=")</f>
        <v>#REF!</v>
      </c>
      <c r="AQ267" t="e">
        <f>AND(#REF!,"AAAAAFj/NSo=")</f>
        <v>#REF!</v>
      </c>
      <c r="AR267" t="e">
        <f>AND(#REF!,"AAAAAFj/NSs=")</f>
        <v>#REF!</v>
      </c>
      <c r="AS267" t="e">
        <f>AND(#REF!,"AAAAAFj/NSw=")</f>
        <v>#REF!</v>
      </c>
      <c r="AT267" t="e">
        <f>IF(#REF!,"AAAAAFj/NS0=",0)</f>
        <v>#REF!</v>
      </c>
      <c r="AU267" t="e">
        <f>AND(#REF!,"AAAAAFj/NS4=")</f>
        <v>#REF!</v>
      </c>
      <c r="AV267" t="e">
        <f>AND(#REF!,"AAAAAFj/NS8=")</f>
        <v>#REF!</v>
      </c>
      <c r="AW267" t="e">
        <f>AND(#REF!,"AAAAAFj/NTA=")</f>
        <v>#REF!</v>
      </c>
      <c r="AX267" t="e">
        <f>AND(#REF!,"AAAAAFj/NTE=")</f>
        <v>#REF!</v>
      </c>
      <c r="AY267" t="e">
        <f>AND(#REF!,"AAAAAFj/NTI=")</f>
        <v>#REF!</v>
      </c>
      <c r="AZ267" t="e">
        <f>AND(#REF!,"AAAAAFj/NTM=")</f>
        <v>#REF!</v>
      </c>
      <c r="BA267" t="e">
        <f>AND(#REF!,"AAAAAFj/NTQ=")</f>
        <v>#REF!</v>
      </c>
      <c r="BB267" t="e">
        <f>AND(#REF!,"AAAAAFj/NTU=")</f>
        <v>#REF!</v>
      </c>
      <c r="BC267" t="e">
        <f>AND(#REF!,"AAAAAFj/NTY=")</f>
        <v>#REF!</v>
      </c>
      <c r="BD267" t="e">
        <f>AND(#REF!,"AAAAAFj/NTc=")</f>
        <v>#REF!</v>
      </c>
      <c r="BE267" t="e">
        <f>IF(#REF!,"AAAAAFj/NTg=",0)</f>
        <v>#REF!</v>
      </c>
      <c r="BF267" t="e">
        <f>AND(#REF!,"AAAAAFj/NTk=")</f>
        <v>#REF!</v>
      </c>
      <c r="BG267" t="e">
        <f>AND(#REF!,"AAAAAFj/NTo=")</f>
        <v>#REF!</v>
      </c>
      <c r="BH267" t="e">
        <f>AND(#REF!,"AAAAAFj/NTs=")</f>
        <v>#REF!</v>
      </c>
      <c r="BI267" t="e">
        <f>AND(#REF!,"AAAAAFj/NTw=")</f>
        <v>#REF!</v>
      </c>
      <c r="BJ267" t="e">
        <f>AND(#REF!,"AAAAAFj/NT0=")</f>
        <v>#REF!</v>
      </c>
      <c r="BK267" t="e">
        <f>AND(#REF!,"AAAAAFj/NT4=")</f>
        <v>#REF!</v>
      </c>
      <c r="BL267" t="e">
        <f>AND(#REF!,"AAAAAFj/NT8=")</f>
        <v>#REF!</v>
      </c>
      <c r="BM267" t="e">
        <f>AND(#REF!,"AAAAAFj/NUA=")</f>
        <v>#REF!</v>
      </c>
      <c r="BN267" t="e">
        <f>AND(#REF!,"AAAAAFj/NUE=")</f>
        <v>#REF!</v>
      </c>
      <c r="BO267" t="e">
        <f>AND(#REF!,"AAAAAFj/NUI=")</f>
        <v>#REF!</v>
      </c>
      <c r="BP267" t="e">
        <f>IF(#REF!,"AAAAAFj/NUM=",0)</f>
        <v>#REF!</v>
      </c>
      <c r="BQ267" t="e">
        <f>AND(#REF!,"AAAAAFj/NUQ=")</f>
        <v>#REF!</v>
      </c>
      <c r="BR267" t="e">
        <f>AND(#REF!,"AAAAAFj/NUU=")</f>
        <v>#REF!</v>
      </c>
      <c r="BS267" t="e">
        <f>AND(#REF!,"AAAAAFj/NUY=")</f>
        <v>#REF!</v>
      </c>
      <c r="BT267" t="e">
        <f>AND(#REF!,"AAAAAFj/NUc=")</f>
        <v>#REF!</v>
      </c>
      <c r="BU267" t="e">
        <f>AND(#REF!,"AAAAAFj/NUg=")</f>
        <v>#REF!</v>
      </c>
      <c r="BV267" t="e">
        <f>AND(#REF!,"AAAAAFj/NUk=")</f>
        <v>#REF!</v>
      </c>
      <c r="BW267" t="e">
        <f>AND(#REF!,"AAAAAFj/NUo=")</f>
        <v>#REF!</v>
      </c>
      <c r="BX267" t="e">
        <f>AND(#REF!,"AAAAAFj/NUs=")</f>
        <v>#REF!</v>
      </c>
      <c r="BY267" t="e">
        <f>AND(#REF!,"AAAAAFj/NUw=")</f>
        <v>#REF!</v>
      </c>
      <c r="BZ267" t="e">
        <f>AND(#REF!,"AAAAAFj/NU0=")</f>
        <v>#REF!</v>
      </c>
      <c r="CA267" t="e">
        <f>IF(#REF!,"AAAAAFj/NU4=",0)</f>
        <v>#REF!</v>
      </c>
      <c r="CB267" t="e">
        <f>AND(#REF!,"AAAAAFj/NU8=")</f>
        <v>#REF!</v>
      </c>
      <c r="CC267" t="e">
        <f>AND(#REF!,"AAAAAFj/NVA=")</f>
        <v>#REF!</v>
      </c>
      <c r="CD267" t="e">
        <f>AND(#REF!,"AAAAAFj/NVE=")</f>
        <v>#REF!</v>
      </c>
      <c r="CE267" t="e">
        <f>AND(#REF!,"AAAAAFj/NVI=")</f>
        <v>#REF!</v>
      </c>
      <c r="CF267" t="e">
        <f>AND(#REF!,"AAAAAFj/NVM=")</f>
        <v>#REF!</v>
      </c>
      <c r="CG267" t="e">
        <f>AND(#REF!,"AAAAAFj/NVQ=")</f>
        <v>#REF!</v>
      </c>
      <c r="CH267" t="e">
        <f>AND(#REF!,"AAAAAFj/NVU=")</f>
        <v>#REF!</v>
      </c>
      <c r="CI267" t="e">
        <f>AND(#REF!,"AAAAAFj/NVY=")</f>
        <v>#REF!</v>
      </c>
      <c r="CJ267" t="e">
        <f>AND(#REF!,"AAAAAFj/NVc=")</f>
        <v>#REF!</v>
      </c>
      <c r="CK267" t="e">
        <f>AND(#REF!,"AAAAAFj/NVg=")</f>
        <v>#REF!</v>
      </c>
      <c r="CL267" t="e">
        <f>IF(#REF!,"AAAAAFj/NVk=",0)</f>
        <v>#REF!</v>
      </c>
      <c r="CM267" t="e">
        <f>AND(#REF!,"AAAAAFj/NVo=")</f>
        <v>#REF!</v>
      </c>
      <c r="CN267" t="e">
        <f>AND(#REF!,"AAAAAFj/NVs=")</f>
        <v>#REF!</v>
      </c>
      <c r="CO267" t="e">
        <f>AND(#REF!,"AAAAAFj/NVw=")</f>
        <v>#REF!</v>
      </c>
      <c r="CP267" t="e">
        <f>AND(#REF!,"AAAAAFj/NV0=")</f>
        <v>#REF!</v>
      </c>
      <c r="CQ267" t="e">
        <f>AND(#REF!,"AAAAAFj/NV4=")</f>
        <v>#REF!</v>
      </c>
      <c r="CR267" t="e">
        <f>AND(#REF!,"AAAAAFj/NV8=")</f>
        <v>#REF!</v>
      </c>
      <c r="CS267" t="e">
        <f>AND(#REF!,"AAAAAFj/NWA=")</f>
        <v>#REF!</v>
      </c>
      <c r="CT267" t="e">
        <f>AND(#REF!,"AAAAAFj/NWE=")</f>
        <v>#REF!</v>
      </c>
      <c r="CU267" t="e">
        <f>AND(#REF!,"AAAAAFj/NWI=")</f>
        <v>#REF!</v>
      </c>
      <c r="CV267" t="e">
        <f>AND(#REF!,"AAAAAFj/NWM=")</f>
        <v>#REF!</v>
      </c>
      <c r="CW267" t="e">
        <f>IF(#REF!,"AAAAAFj/NWQ=",0)</f>
        <v>#REF!</v>
      </c>
      <c r="CX267" t="e">
        <f>AND(#REF!,"AAAAAFj/NWU=")</f>
        <v>#REF!</v>
      </c>
      <c r="CY267" t="e">
        <f>AND(#REF!,"AAAAAFj/NWY=")</f>
        <v>#REF!</v>
      </c>
      <c r="CZ267" t="e">
        <f>AND(#REF!,"AAAAAFj/NWc=")</f>
        <v>#REF!</v>
      </c>
      <c r="DA267" t="e">
        <f>AND(#REF!,"AAAAAFj/NWg=")</f>
        <v>#REF!</v>
      </c>
      <c r="DB267" t="e">
        <f>AND(#REF!,"AAAAAFj/NWk=")</f>
        <v>#REF!</v>
      </c>
      <c r="DC267" t="e">
        <f>AND(#REF!,"AAAAAFj/NWo=")</f>
        <v>#REF!</v>
      </c>
      <c r="DD267" t="e">
        <f>AND(#REF!,"AAAAAFj/NWs=")</f>
        <v>#REF!</v>
      </c>
      <c r="DE267" t="e">
        <f>AND(#REF!,"AAAAAFj/NWw=")</f>
        <v>#REF!</v>
      </c>
      <c r="DF267" t="e">
        <f>AND(#REF!,"AAAAAFj/NW0=")</f>
        <v>#REF!</v>
      </c>
      <c r="DG267" t="e">
        <f>AND(#REF!,"AAAAAFj/NW4=")</f>
        <v>#REF!</v>
      </c>
      <c r="DH267" t="e">
        <f>IF(#REF!,"AAAAAFj/NW8=",0)</f>
        <v>#REF!</v>
      </c>
      <c r="DI267" t="e">
        <f>AND(#REF!,"AAAAAFj/NXA=")</f>
        <v>#REF!</v>
      </c>
      <c r="DJ267" t="e">
        <f>AND(#REF!,"AAAAAFj/NXE=")</f>
        <v>#REF!</v>
      </c>
      <c r="DK267" t="e">
        <f>AND(#REF!,"AAAAAFj/NXI=")</f>
        <v>#REF!</v>
      </c>
      <c r="DL267" t="e">
        <f>AND(#REF!,"AAAAAFj/NXM=")</f>
        <v>#REF!</v>
      </c>
      <c r="DM267" t="e">
        <f>AND(#REF!,"AAAAAFj/NXQ=")</f>
        <v>#REF!</v>
      </c>
      <c r="DN267" t="e">
        <f>AND(#REF!,"AAAAAFj/NXU=")</f>
        <v>#REF!</v>
      </c>
      <c r="DO267" t="e">
        <f>AND(#REF!,"AAAAAFj/NXY=")</f>
        <v>#REF!</v>
      </c>
      <c r="DP267" t="e">
        <f>AND(#REF!,"AAAAAFj/NXc=")</f>
        <v>#REF!</v>
      </c>
      <c r="DQ267" t="e">
        <f>AND(#REF!,"AAAAAFj/NXg=")</f>
        <v>#REF!</v>
      </c>
      <c r="DR267" t="e">
        <f>AND(#REF!,"AAAAAFj/NXk=")</f>
        <v>#REF!</v>
      </c>
      <c r="DS267" t="e">
        <f>IF(#REF!,"AAAAAFj/NXo=",0)</f>
        <v>#REF!</v>
      </c>
      <c r="DT267" t="e">
        <f>AND(#REF!,"AAAAAFj/NXs=")</f>
        <v>#REF!</v>
      </c>
      <c r="DU267" t="e">
        <f>AND(#REF!,"AAAAAFj/NXw=")</f>
        <v>#REF!</v>
      </c>
      <c r="DV267" t="e">
        <f>AND(#REF!,"AAAAAFj/NX0=")</f>
        <v>#REF!</v>
      </c>
      <c r="DW267" t="e">
        <f>AND(#REF!,"AAAAAFj/NX4=")</f>
        <v>#REF!</v>
      </c>
      <c r="DX267" t="e">
        <f>AND(#REF!,"AAAAAFj/NX8=")</f>
        <v>#REF!</v>
      </c>
      <c r="DY267" t="e">
        <f>AND(#REF!,"AAAAAFj/NYA=")</f>
        <v>#REF!</v>
      </c>
      <c r="DZ267" t="e">
        <f>AND(#REF!,"AAAAAFj/NYE=")</f>
        <v>#REF!</v>
      </c>
      <c r="EA267" t="e">
        <f>AND(#REF!,"AAAAAFj/NYI=")</f>
        <v>#REF!</v>
      </c>
      <c r="EB267" t="e">
        <f>AND(#REF!,"AAAAAFj/NYM=")</f>
        <v>#REF!</v>
      </c>
      <c r="EC267" t="e">
        <f>AND(#REF!,"AAAAAFj/NYQ=")</f>
        <v>#REF!</v>
      </c>
      <c r="ED267" t="e">
        <f>IF(#REF!,"AAAAAFj/NYU=",0)</f>
        <v>#REF!</v>
      </c>
      <c r="EE267" t="e">
        <f>AND(#REF!,"AAAAAFj/NYY=")</f>
        <v>#REF!</v>
      </c>
      <c r="EF267" t="e">
        <f>AND(#REF!,"AAAAAFj/NYc=")</f>
        <v>#REF!</v>
      </c>
      <c r="EG267" t="e">
        <f>AND(#REF!,"AAAAAFj/NYg=")</f>
        <v>#REF!</v>
      </c>
      <c r="EH267" t="e">
        <f>AND(#REF!,"AAAAAFj/NYk=")</f>
        <v>#REF!</v>
      </c>
      <c r="EI267" t="e">
        <f>AND(#REF!,"AAAAAFj/NYo=")</f>
        <v>#REF!</v>
      </c>
      <c r="EJ267" t="e">
        <f>AND(#REF!,"AAAAAFj/NYs=")</f>
        <v>#REF!</v>
      </c>
      <c r="EK267" t="e">
        <f>AND(#REF!,"AAAAAFj/NYw=")</f>
        <v>#REF!</v>
      </c>
      <c r="EL267" t="e">
        <f>AND(#REF!,"AAAAAFj/NY0=")</f>
        <v>#REF!</v>
      </c>
      <c r="EM267" t="e">
        <f>AND(#REF!,"AAAAAFj/NY4=")</f>
        <v>#REF!</v>
      </c>
      <c r="EN267" t="e">
        <f>AND(#REF!,"AAAAAFj/NY8=")</f>
        <v>#REF!</v>
      </c>
      <c r="EO267" t="e">
        <f>IF(#REF!,"AAAAAFj/NZA=",0)</f>
        <v>#REF!</v>
      </c>
      <c r="EP267" t="e">
        <f>AND(#REF!,"AAAAAFj/NZE=")</f>
        <v>#REF!</v>
      </c>
      <c r="EQ267" t="e">
        <f>AND(#REF!,"AAAAAFj/NZI=")</f>
        <v>#REF!</v>
      </c>
      <c r="ER267" t="e">
        <f>AND(#REF!,"AAAAAFj/NZM=")</f>
        <v>#REF!</v>
      </c>
      <c r="ES267" t="e">
        <f>AND(#REF!,"AAAAAFj/NZQ=")</f>
        <v>#REF!</v>
      </c>
      <c r="ET267" t="e">
        <f>AND(#REF!,"AAAAAFj/NZU=")</f>
        <v>#REF!</v>
      </c>
      <c r="EU267" t="e">
        <f>AND(#REF!,"AAAAAFj/NZY=")</f>
        <v>#REF!</v>
      </c>
      <c r="EV267" t="e">
        <f>AND(#REF!,"AAAAAFj/NZc=")</f>
        <v>#REF!</v>
      </c>
      <c r="EW267" t="e">
        <f>AND(#REF!,"AAAAAFj/NZg=")</f>
        <v>#REF!</v>
      </c>
      <c r="EX267" t="e">
        <f>AND(#REF!,"AAAAAFj/NZk=")</f>
        <v>#REF!</v>
      </c>
      <c r="EY267" t="e">
        <f>AND(#REF!,"AAAAAFj/NZo=")</f>
        <v>#REF!</v>
      </c>
      <c r="EZ267" t="e">
        <f>IF(#REF!,"AAAAAFj/NZs=",0)</f>
        <v>#REF!</v>
      </c>
      <c r="FA267" t="e">
        <f>AND(#REF!,"AAAAAFj/NZw=")</f>
        <v>#REF!</v>
      </c>
      <c r="FB267" t="e">
        <f>AND(#REF!,"AAAAAFj/NZ0=")</f>
        <v>#REF!</v>
      </c>
      <c r="FC267" t="e">
        <f>AND(#REF!,"AAAAAFj/NZ4=")</f>
        <v>#REF!</v>
      </c>
      <c r="FD267" t="e">
        <f>AND(#REF!,"AAAAAFj/NZ8=")</f>
        <v>#REF!</v>
      </c>
      <c r="FE267" t="e">
        <f>AND(#REF!,"AAAAAFj/NaA=")</f>
        <v>#REF!</v>
      </c>
      <c r="FF267" t="e">
        <f>AND(#REF!,"AAAAAFj/NaE=")</f>
        <v>#REF!</v>
      </c>
      <c r="FG267" t="e">
        <f>AND(#REF!,"AAAAAFj/NaI=")</f>
        <v>#REF!</v>
      </c>
      <c r="FH267" t="e">
        <f>AND(#REF!,"AAAAAFj/NaM=")</f>
        <v>#REF!</v>
      </c>
      <c r="FI267" t="e">
        <f>AND(#REF!,"AAAAAFj/NaQ=")</f>
        <v>#REF!</v>
      </c>
      <c r="FJ267" t="e">
        <f>AND(#REF!,"AAAAAFj/NaU=")</f>
        <v>#REF!</v>
      </c>
      <c r="FK267" t="e">
        <f>IF(#REF!,"AAAAAFj/NaY=",0)</f>
        <v>#REF!</v>
      </c>
      <c r="FL267" t="e">
        <f>AND(#REF!,"AAAAAFj/Nac=")</f>
        <v>#REF!</v>
      </c>
      <c r="FM267" t="e">
        <f>AND(#REF!,"AAAAAFj/Nag=")</f>
        <v>#REF!</v>
      </c>
      <c r="FN267" t="e">
        <f>AND(#REF!,"AAAAAFj/Nak=")</f>
        <v>#REF!</v>
      </c>
      <c r="FO267" t="e">
        <f>AND(#REF!,"AAAAAFj/Nao=")</f>
        <v>#REF!</v>
      </c>
      <c r="FP267" t="e">
        <f>AND(#REF!,"AAAAAFj/Nas=")</f>
        <v>#REF!</v>
      </c>
      <c r="FQ267" t="e">
        <f>AND(#REF!,"AAAAAFj/Naw=")</f>
        <v>#REF!</v>
      </c>
      <c r="FR267" t="e">
        <f>AND(#REF!,"AAAAAFj/Na0=")</f>
        <v>#REF!</v>
      </c>
      <c r="FS267" t="e">
        <f>AND(#REF!,"AAAAAFj/Na4=")</f>
        <v>#REF!</v>
      </c>
      <c r="FT267" t="e">
        <f>AND(#REF!,"AAAAAFj/Na8=")</f>
        <v>#REF!</v>
      </c>
      <c r="FU267" t="e">
        <f>AND(#REF!,"AAAAAFj/NbA=")</f>
        <v>#REF!</v>
      </c>
      <c r="FV267" t="e">
        <f>IF(#REF!,"AAAAAFj/NbE=",0)</f>
        <v>#REF!</v>
      </c>
      <c r="FW267" t="e">
        <f>AND(#REF!,"AAAAAFj/NbI=")</f>
        <v>#REF!</v>
      </c>
      <c r="FX267" t="e">
        <f>AND(#REF!,"AAAAAFj/NbM=")</f>
        <v>#REF!</v>
      </c>
      <c r="FY267" t="e">
        <f>AND(#REF!,"AAAAAFj/NbQ=")</f>
        <v>#REF!</v>
      </c>
      <c r="FZ267" t="e">
        <f>AND(#REF!,"AAAAAFj/NbU=")</f>
        <v>#REF!</v>
      </c>
      <c r="GA267" t="e">
        <f>AND(#REF!,"AAAAAFj/NbY=")</f>
        <v>#REF!</v>
      </c>
      <c r="GB267" t="e">
        <f>AND(#REF!,"AAAAAFj/Nbc=")</f>
        <v>#REF!</v>
      </c>
      <c r="GC267" t="e">
        <f>AND(#REF!,"AAAAAFj/Nbg=")</f>
        <v>#REF!</v>
      </c>
      <c r="GD267" t="e">
        <f>AND(#REF!,"AAAAAFj/Nbk=")</f>
        <v>#REF!</v>
      </c>
      <c r="GE267" t="e">
        <f>AND(#REF!,"AAAAAFj/Nbo=")</f>
        <v>#REF!</v>
      </c>
      <c r="GF267" t="e">
        <f>AND(#REF!,"AAAAAFj/Nbs=")</f>
        <v>#REF!</v>
      </c>
      <c r="GG267" t="e">
        <f>IF(#REF!,"AAAAAFj/Nbw=",0)</f>
        <v>#REF!</v>
      </c>
      <c r="GH267" t="e">
        <f>AND(#REF!,"AAAAAFj/Nb0=")</f>
        <v>#REF!</v>
      </c>
      <c r="GI267" t="e">
        <f>AND(#REF!,"AAAAAFj/Nb4=")</f>
        <v>#REF!</v>
      </c>
      <c r="GJ267" t="e">
        <f>AND(#REF!,"AAAAAFj/Nb8=")</f>
        <v>#REF!</v>
      </c>
      <c r="GK267" t="e">
        <f>AND(#REF!,"AAAAAFj/NcA=")</f>
        <v>#REF!</v>
      </c>
      <c r="GL267" t="e">
        <f>AND(#REF!,"AAAAAFj/NcE=")</f>
        <v>#REF!</v>
      </c>
      <c r="GM267" t="e">
        <f>AND(#REF!,"AAAAAFj/NcI=")</f>
        <v>#REF!</v>
      </c>
      <c r="GN267" t="e">
        <f>AND(#REF!,"AAAAAFj/NcM=")</f>
        <v>#REF!</v>
      </c>
      <c r="GO267" t="e">
        <f>AND(#REF!,"AAAAAFj/NcQ=")</f>
        <v>#REF!</v>
      </c>
      <c r="GP267" t="e">
        <f>AND(#REF!,"AAAAAFj/NcU=")</f>
        <v>#REF!</v>
      </c>
      <c r="GQ267" t="e">
        <f>AND(#REF!,"AAAAAFj/NcY=")</f>
        <v>#REF!</v>
      </c>
      <c r="GR267" t="e">
        <f>IF(#REF!,"AAAAAFj/Ncc=",0)</f>
        <v>#REF!</v>
      </c>
      <c r="GS267" t="e">
        <f>AND(#REF!,"AAAAAFj/Ncg=")</f>
        <v>#REF!</v>
      </c>
      <c r="GT267" t="e">
        <f>AND(#REF!,"AAAAAFj/Nck=")</f>
        <v>#REF!</v>
      </c>
      <c r="GU267" t="e">
        <f>AND(#REF!,"AAAAAFj/Nco=")</f>
        <v>#REF!</v>
      </c>
      <c r="GV267" t="e">
        <f>AND(#REF!,"AAAAAFj/Ncs=")</f>
        <v>#REF!</v>
      </c>
      <c r="GW267" t="e">
        <f>AND(#REF!,"AAAAAFj/Ncw=")</f>
        <v>#REF!</v>
      </c>
      <c r="GX267" t="e">
        <f>AND(#REF!,"AAAAAFj/Nc0=")</f>
        <v>#REF!</v>
      </c>
      <c r="GY267" t="e">
        <f>AND(#REF!,"AAAAAFj/Nc4=")</f>
        <v>#REF!</v>
      </c>
      <c r="GZ267" t="e">
        <f>AND(#REF!,"AAAAAFj/Nc8=")</f>
        <v>#REF!</v>
      </c>
      <c r="HA267" t="e">
        <f>AND(#REF!,"AAAAAFj/NdA=")</f>
        <v>#REF!</v>
      </c>
      <c r="HB267" t="e">
        <f>AND(#REF!,"AAAAAFj/NdE=")</f>
        <v>#REF!</v>
      </c>
      <c r="HC267" t="e">
        <f>IF(#REF!,"AAAAAFj/NdI=",0)</f>
        <v>#REF!</v>
      </c>
      <c r="HD267" t="e">
        <f>AND(#REF!,"AAAAAFj/NdM=")</f>
        <v>#REF!</v>
      </c>
      <c r="HE267" t="e">
        <f>AND(#REF!,"AAAAAFj/NdQ=")</f>
        <v>#REF!</v>
      </c>
      <c r="HF267" t="e">
        <f>AND(#REF!,"AAAAAFj/NdU=")</f>
        <v>#REF!</v>
      </c>
      <c r="HG267" t="e">
        <f>AND(#REF!,"AAAAAFj/NdY=")</f>
        <v>#REF!</v>
      </c>
      <c r="HH267" t="e">
        <f>AND(#REF!,"AAAAAFj/Ndc=")</f>
        <v>#REF!</v>
      </c>
      <c r="HI267" t="e">
        <f>AND(#REF!,"AAAAAFj/Ndg=")</f>
        <v>#REF!</v>
      </c>
      <c r="HJ267" t="e">
        <f>AND(#REF!,"AAAAAFj/Ndk=")</f>
        <v>#REF!</v>
      </c>
      <c r="HK267" t="e">
        <f>AND(#REF!,"AAAAAFj/Ndo=")</f>
        <v>#REF!</v>
      </c>
      <c r="HL267" t="e">
        <f>AND(#REF!,"AAAAAFj/Nds=")</f>
        <v>#REF!</v>
      </c>
      <c r="HM267" t="e">
        <f>AND(#REF!,"AAAAAFj/Ndw=")</f>
        <v>#REF!</v>
      </c>
      <c r="HN267" t="e">
        <f>IF(#REF!,"AAAAAFj/Nd0=",0)</f>
        <v>#REF!</v>
      </c>
      <c r="HO267" t="e">
        <f>AND(#REF!,"AAAAAFj/Nd4=")</f>
        <v>#REF!</v>
      </c>
      <c r="HP267" t="e">
        <f>AND(#REF!,"AAAAAFj/Nd8=")</f>
        <v>#REF!</v>
      </c>
      <c r="HQ267" t="e">
        <f>AND(#REF!,"AAAAAFj/NeA=")</f>
        <v>#REF!</v>
      </c>
      <c r="HR267" t="e">
        <f>AND(#REF!,"AAAAAFj/NeE=")</f>
        <v>#REF!</v>
      </c>
      <c r="HS267" t="e">
        <f>AND(#REF!,"AAAAAFj/NeI=")</f>
        <v>#REF!</v>
      </c>
      <c r="HT267" t="e">
        <f>AND(#REF!,"AAAAAFj/NeM=")</f>
        <v>#REF!</v>
      </c>
      <c r="HU267" t="e">
        <f>AND(#REF!,"AAAAAFj/NeQ=")</f>
        <v>#REF!</v>
      </c>
      <c r="HV267" t="e">
        <f>AND(#REF!,"AAAAAFj/NeU=")</f>
        <v>#REF!</v>
      </c>
      <c r="HW267" t="e">
        <f>AND(#REF!,"AAAAAFj/NeY=")</f>
        <v>#REF!</v>
      </c>
      <c r="HX267" t="e">
        <f>AND(#REF!,"AAAAAFj/Nec=")</f>
        <v>#REF!</v>
      </c>
      <c r="HY267" t="e">
        <f>IF(#REF!,"AAAAAFj/Neg=",0)</f>
        <v>#REF!</v>
      </c>
      <c r="HZ267" t="e">
        <f>AND(#REF!,"AAAAAFj/Nek=")</f>
        <v>#REF!</v>
      </c>
      <c r="IA267" t="e">
        <f>AND(#REF!,"AAAAAFj/Neo=")</f>
        <v>#REF!</v>
      </c>
      <c r="IB267" t="e">
        <f>AND(#REF!,"AAAAAFj/Nes=")</f>
        <v>#REF!</v>
      </c>
      <c r="IC267" t="e">
        <f>AND(#REF!,"AAAAAFj/New=")</f>
        <v>#REF!</v>
      </c>
      <c r="ID267" t="e">
        <f>AND(#REF!,"AAAAAFj/Ne0=")</f>
        <v>#REF!</v>
      </c>
      <c r="IE267" t="e">
        <f>AND(#REF!,"AAAAAFj/Ne4=")</f>
        <v>#REF!</v>
      </c>
      <c r="IF267" t="e">
        <f>AND(#REF!,"AAAAAFj/Ne8=")</f>
        <v>#REF!</v>
      </c>
      <c r="IG267" t="e">
        <f>AND(#REF!,"AAAAAFj/NfA=")</f>
        <v>#REF!</v>
      </c>
      <c r="IH267" t="e">
        <f>AND(#REF!,"AAAAAFj/NfE=")</f>
        <v>#REF!</v>
      </c>
      <c r="II267" t="e">
        <f>AND(#REF!,"AAAAAFj/NfI=")</f>
        <v>#REF!</v>
      </c>
      <c r="IJ267" t="e">
        <f>IF(#REF!,"AAAAAFj/NfM=",0)</f>
        <v>#REF!</v>
      </c>
      <c r="IK267" t="e">
        <f>AND(#REF!,"AAAAAFj/NfQ=")</f>
        <v>#REF!</v>
      </c>
      <c r="IL267" t="e">
        <f>AND(#REF!,"AAAAAFj/NfU=")</f>
        <v>#REF!</v>
      </c>
      <c r="IM267" t="e">
        <f>AND(#REF!,"AAAAAFj/NfY=")</f>
        <v>#REF!</v>
      </c>
      <c r="IN267" t="e">
        <f>AND(#REF!,"AAAAAFj/Nfc=")</f>
        <v>#REF!</v>
      </c>
      <c r="IO267" t="e">
        <f>AND(#REF!,"AAAAAFj/Nfg=")</f>
        <v>#REF!</v>
      </c>
      <c r="IP267" t="e">
        <f>AND(#REF!,"AAAAAFj/Nfk=")</f>
        <v>#REF!</v>
      </c>
      <c r="IQ267" t="e">
        <f>AND(#REF!,"AAAAAFj/Nfo=")</f>
        <v>#REF!</v>
      </c>
      <c r="IR267" t="e">
        <f>AND(#REF!,"AAAAAFj/Nfs=")</f>
        <v>#REF!</v>
      </c>
      <c r="IS267" t="e">
        <f>AND(#REF!,"AAAAAFj/Nfw=")</f>
        <v>#REF!</v>
      </c>
      <c r="IT267" t="e">
        <f>AND(#REF!,"AAAAAFj/Nf0=")</f>
        <v>#REF!</v>
      </c>
      <c r="IU267" t="e">
        <f>IF(#REF!,"AAAAAFj/Nf4=",0)</f>
        <v>#REF!</v>
      </c>
      <c r="IV267" t="e">
        <f>AND(#REF!,"AAAAAFj/Nf8=")</f>
        <v>#REF!</v>
      </c>
    </row>
    <row r="268" spans="1:256" x14ac:dyDescent="0.25">
      <c r="A268" t="e">
        <f>AND(#REF!,"AAAAAH1v6gA=")</f>
        <v>#REF!</v>
      </c>
      <c r="B268" t="e">
        <f>AND(#REF!,"AAAAAH1v6gE=")</f>
        <v>#REF!</v>
      </c>
      <c r="C268" t="e">
        <f>AND(#REF!,"AAAAAH1v6gI=")</f>
        <v>#REF!</v>
      </c>
      <c r="D268" t="e">
        <f>AND(#REF!,"AAAAAH1v6gM=")</f>
        <v>#REF!</v>
      </c>
      <c r="E268" t="e">
        <f>AND(#REF!,"AAAAAH1v6gQ=")</f>
        <v>#REF!</v>
      </c>
      <c r="F268" t="e">
        <f>AND(#REF!,"AAAAAH1v6gU=")</f>
        <v>#REF!</v>
      </c>
      <c r="G268" t="e">
        <f>AND(#REF!,"AAAAAH1v6gY=")</f>
        <v>#REF!</v>
      </c>
      <c r="H268" t="e">
        <f>AND(#REF!,"AAAAAH1v6gc=")</f>
        <v>#REF!</v>
      </c>
      <c r="I268" t="e">
        <f>AND(#REF!,"AAAAAH1v6gg=")</f>
        <v>#REF!</v>
      </c>
      <c r="J268" t="e">
        <f>IF(#REF!,"AAAAAH1v6gk=",0)</f>
        <v>#REF!</v>
      </c>
      <c r="K268" t="e">
        <f>AND(#REF!,"AAAAAH1v6go=")</f>
        <v>#REF!</v>
      </c>
      <c r="L268" t="e">
        <f>AND(#REF!,"AAAAAH1v6gs=")</f>
        <v>#REF!</v>
      </c>
      <c r="M268" t="e">
        <f>AND(#REF!,"AAAAAH1v6gw=")</f>
        <v>#REF!</v>
      </c>
      <c r="N268" t="e">
        <f>AND(#REF!,"AAAAAH1v6g0=")</f>
        <v>#REF!</v>
      </c>
      <c r="O268" t="e">
        <f>AND(#REF!,"AAAAAH1v6g4=")</f>
        <v>#REF!</v>
      </c>
      <c r="P268" t="e">
        <f>AND(#REF!,"AAAAAH1v6g8=")</f>
        <v>#REF!</v>
      </c>
      <c r="Q268" t="e">
        <f>AND(#REF!,"AAAAAH1v6hA=")</f>
        <v>#REF!</v>
      </c>
      <c r="R268" t="e">
        <f>AND(#REF!,"AAAAAH1v6hE=")</f>
        <v>#REF!</v>
      </c>
      <c r="S268" t="e">
        <f>AND(#REF!,"AAAAAH1v6hI=")</f>
        <v>#REF!</v>
      </c>
      <c r="T268" t="e">
        <f>AND(#REF!,"AAAAAH1v6hM=")</f>
        <v>#REF!</v>
      </c>
      <c r="U268" t="e">
        <f>IF(#REF!,"AAAAAH1v6hQ=",0)</f>
        <v>#REF!</v>
      </c>
      <c r="V268" t="e">
        <f>AND(#REF!,"AAAAAH1v6hU=")</f>
        <v>#REF!</v>
      </c>
      <c r="W268" t="e">
        <f>AND(#REF!,"AAAAAH1v6hY=")</f>
        <v>#REF!</v>
      </c>
      <c r="X268" t="e">
        <f>AND(#REF!,"AAAAAH1v6hc=")</f>
        <v>#REF!</v>
      </c>
      <c r="Y268" t="e">
        <f>AND(#REF!,"AAAAAH1v6hg=")</f>
        <v>#REF!</v>
      </c>
      <c r="Z268" t="e">
        <f>AND(#REF!,"AAAAAH1v6hk=")</f>
        <v>#REF!</v>
      </c>
      <c r="AA268" t="e">
        <f>AND(#REF!,"AAAAAH1v6ho=")</f>
        <v>#REF!</v>
      </c>
      <c r="AB268" t="e">
        <f>AND(#REF!,"AAAAAH1v6hs=")</f>
        <v>#REF!</v>
      </c>
      <c r="AC268" t="e">
        <f>AND(#REF!,"AAAAAH1v6hw=")</f>
        <v>#REF!</v>
      </c>
      <c r="AD268" t="e">
        <f>AND(#REF!,"AAAAAH1v6h0=")</f>
        <v>#REF!</v>
      </c>
      <c r="AE268" t="e">
        <f>AND(#REF!,"AAAAAH1v6h4=")</f>
        <v>#REF!</v>
      </c>
      <c r="AF268" t="e">
        <f>IF(#REF!,"AAAAAH1v6h8=",0)</f>
        <v>#REF!</v>
      </c>
      <c r="AG268" t="e">
        <f>AND(#REF!,"AAAAAH1v6iA=")</f>
        <v>#REF!</v>
      </c>
      <c r="AH268" t="e">
        <f>AND(#REF!,"AAAAAH1v6iE=")</f>
        <v>#REF!</v>
      </c>
      <c r="AI268" t="e">
        <f>AND(#REF!,"AAAAAH1v6iI=")</f>
        <v>#REF!</v>
      </c>
      <c r="AJ268" t="e">
        <f>AND(#REF!,"AAAAAH1v6iM=")</f>
        <v>#REF!</v>
      </c>
      <c r="AK268" t="e">
        <f>AND(#REF!,"AAAAAH1v6iQ=")</f>
        <v>#REF!</v>
      </c>
      <c r="AL268" t="e">
        <f>AND(#REF!,"AAAAAH1v6iU=")</f>
        <v>#REF!</v>
      </c>
      <c r="AM268" t="e">
        <f>AND(#REF!,"AAAAAH1v6iY=")</f>
        <v>#REF!</v>
      </c>
      <c r="AN268" t="e">
        <f>AND(#REF!,"AAAAAH1v6ic=")</f>
        <v>#REF!</v>
      </c>
      <c r="AO268" t="e">
        <f>AND(#REF!,"AAAAAH1v6ig=")</f>
        <v>#REF!</v>
      </c>
      <c r="AP268" t="e">
        <f>AND(#REF!,"AAAAAH1v6ik=")</f>
        <v>#REF!</v>
      </c>
      <c r="AQ268" t="e">
        <f>IF(#REF!,"AAAAAH1v6io=",0)</f>
        <v>#REF!</v>
      </c>
      <c r="AR268" t="e">
        <f>AND(#REF!,"AAAAAH1v6is=")</f>
        <v>#REF!</v>
      </c>
      <c r="AS268" t="e">
        <f>AND(#REF!,"AAAAAH1v6iw=")</f>
        <v>#REF!</v>
      </c>
      <c r="AT268" t="e">
        <f>AND(#REF!,"AAAAAH1v6i0=")</f>
        <v>#REF!</v>
      </c>
      <c r="AU268" t="e">
        <f>AND(#REF!,"AAAAAH1v6i4=")</f>
        <v>#REF!</v>
      </c>
      <c r="AV268" t="e">
        <f>AND(#REF!,"AAAAAH1v6i8=")</f>
        <v>#REF!</v>
      </c>
      <c r="AW268" t="e">
        <f>AND(#REF!,"AAAAAH1v6jA=")</f>
        <v>#REF!</v>
      </c>
      <c r="AX268" t="e">
        <f>AND(#REF!,"AAAAAH1v6jE=")</f>
        <v>#REF!</v>
      </c>
      <c r="AY268" t="e">
        <f>AND(#REF!,"AAAAAH1v6jI=")</f>
        <v>#REF!</v>
      </c>
      <c r="AZ268" t="e">
        <f>AND(#REF!,"AAAAAH1v6jM=")</f>
        <v>#REF!</v>
      </c>
      <c r="BA268" t="e">
        <f>AND(#REF!,"AAAAAH1v6jQ=")</f>
        <v>#REF!</v>
      </c>
      <c r="BB268" t="e">
        <f>IF(#REF!,"AAAAAH1v6jU=",0)</f>
        <v>#REF!</v>
      </c>
      <c r="BC268" t="e">
        <f>AND(#REF!,"AAAAAH1v6jY=")</f>
        <v>#REF!</v>
      </c>
      <c r="BD268" t="e">
        <f>AND(#REF!,"AAAAAH1v6jc=")</f>
        <v>#REF!</v>
      </c>
      <c r="BE268" t="e">
        <f>AND(#REF!,"AAAAAH1v6jg=")</f>
        <v>#REF!</v>
      </c>
      <c r="BF268" t="e">
        <f>AND(#REF!,"AAAAAH1v6jk=")</f>
        <v>#REF!</v>
      </c>
      <c r="BG268" t="e">
        <f>AND(#REF!,"AAAAAH1v6jo=")</f>
        <v>#REF!</v>
      </c>
      <c r="BH268" t="e">
        <f>AND(#REF!,"AAAAAH1v6js=")</f>
        <v>#REF!</v>
      </c>
      <c r="BI268" t="e">
        <f>AND(#REF!,"AAAAAH1v6jw=")</f>
        <v>#REF!</v>
      </c>
      <c r="BJ268" t="e">
        <f>AND(#REF!,"AAAAAH1v6j0=")</f>
        <v>#REF!</v>
      </c>
      <c r="BK268" t="e">
        <f>AND(#REF!,"AAAAAH1v6j4=")</f>
        <v>#REF!</v>
      </c>
      <c r="BL268" t="e">
        <f>AND(#REF!,"AAAAAH1v6j8=")</f>
        <v>#REF!</v>
      </c>
      <c r="BM268" t="e">
        <f>IF(#REF!,"AAAAAH1v6kA=",0)</f>
        <v>#REF!</v>
      </c>
      <c r="BN268" t="e">
        <f>AND(#REF!,"AAAAAH1v6kE=")</f>
        <v>#REF!</v>
      </c>
      <c r="BO268" t="e">
        <f>AND(#REF!,"AAAAAH1v6kI=")</f>
        <v>#REF!</v>
      </c>
      <c r="BP268" t="e">
        <f>AND(#REF!,"AAAAAH1v6kM=")</f>
        <v>#REF!</v>
      </c>
      <c r="BQ268" t="e">
        <f>AND(#REF!,"AAAAAH1v6kQ=")</f>
        <v>#REF!</v>
      </c>
      <c r="BR268" t="e">
        <f>AND(#REF!,"AAAAAH1v6kU=")</f>
        <v>#REF!</v>
      </c>
      <c r="BS268" t="e">
        <f>AND(#REF!,"AAAAAH1v6kY=")</f>
        <v>#REF!</v>
      </c>
      <c r="BT268" t="e">
        <f>AND(#REF!,"AAAAAH1v6kc=")</f>
        <v>#REF!</v>
      </c>
      <c r="BU268" t="e">
        <f>AND(#REF!,"AAAAAH1v6kg=")</f>
        <v>#REF!</v>
      </c>
      <c r="BV268" t="e">
        <f>AND(#REF!,"AAAAAH1v6kk=")</f>
        <v>#REF!</v>
      </c>
      <c r="BW268" t="e">
        <f>AND(#REF!,"AAAAAH1v6ko=")</f>
        <v>#REF!</v>
      </c>
      <c r="BX268" t="e">
        <f>IF(#REF!,"AAAAAH1v6ks=",0)</f>
        <v>#REF!</v>
      </c>
      <c r="BY268" t="e">
        <f>AND(#REF!,"AAAAAH1v6kw=")</f>
        <v>#REF!</v>
      </c>
      <c r="BZ268" t="e">
        <f>AND(#REF!,"AAAAAH1v6k0=")</f>
        <v>#REF!</v>
      </c>
      <c r="CA268" t="e">
        <f>AND(#REF!,"AAAAAH1v6k4=")</f>
        <v>#REF!</v>
      </c>
      <c r="CB268" t="e">
        <f>AND(#REF!,"AAAAAH1v6k8=")</f>
        <v>#REF!</v>
      </c>
      <c r="CC268" t="e">
        <f>AND(#REF!,"AAAAAH1v6lA=")</f>
        <v>#REF!</v>
      </c>
      <c r="CD268" t="e">
        <f>AND(#REF!,"AAAAAH1v6lE=")</f>
        <v>#REF!</v>
      </c>
      <c r="CE268" t="e">
        <f>AND(#REF!,"AAAAAH1v6lI=")</f>
        <v>#REF!</v>
      </c>
      <c r="CF268" t="e">
        <f>AND(#REF!,"AAAAAH1v6lM=")</f>
        <v>#REF!</v>
      </c>
      <c r="CG268" t="e">
        <f>AND(#REF!,"AAAAAH1v6lQ=")</f>
        <v>#REF!</v>
      </c>
      <c r="CH268" t="e">
        <f>AND(#REF!,"AAAAAH1v6lU=")</f>
        <v>#REF!</v>
      </c>
      <c r="CI268" t="e">
        <f>IF(#REF!,"AAAAAH1v6lY=",0)</f>
        <v>#REF!</v>
      </c>
      <c r="CJ268" t="e">
        <f>AND(#REF!,"AAAAAH1v6lc=")</f>
        <v>#REF!</v>
      </c>
      <c r="CK268" t="e">
        <f>AND(#REF!,"AAAAAH1v6lg=")</f>
        <v>#REF!</v>
      </c>
      <c r="CL268" t="e">
        <f>AND(#REF!,"AAAAAH1v6lk=")</f>
        <v>#REF!</v>
      </c>
      <c r="CM268" t="e">
        <f>AND(#REF!,"AAAAAH1v6lo=")</f>
        <v>#REF!</v>
      </c>
      <c r="CN268" t="e">
        <f>AND(#REF!,"AAAAAH1v6ls=")</f>
        <v>#REF!</v>
      </c>
      <c r="CO268" t="e">
        <f>AND(#REF!,"AAAAAH1v6lw=")</f>
        <v>#REF!</v>
      </c>
      <c r="CP268" t="e">
        <f>AND(#REF!,"AAAAAH1v6l0=")</f>
        <v>#REF!</v>
      </c>
      <c r="CQ268" t="e">
        <f>AND(#REF!,"AAAAAH1v6l4=")</f>
        <v>#REF!</v>
      </c>
      <c r="CR268" t="e">
        <f>AND(#REF!,"AAAAAH1v6l8=")</f>
        <v>#REF!</v>
      </c>
      <c r="CS268" t="e">
        <f>AND(#REF!,"AAAAAH1v6mA=")</f>
        <v>#REF!</v>
      </c>
      <c r="CT268" t="e">
        <f>IF(#REF!,"AAAAAH1v6mE=",0)</f>
        <v>#REF!</v>
      </c>
      <c r="CU268" t="e">
        <f>AND(#REF!,"AAAAAH1v6mI=")</f>
        <v>#REF!</v>
      </c>
      <c r="CV268" t="e">
        <f>AND(#REF!,"AAAAAH1v6mM=")</f>
        <v>#REF!</v>
      </c>
      <c r="CW268" t="e">
        <f>AND(#REF!,"AAAAAH1v6mQ=")</f>
        <v>#REF!</v>
      </c>
      <c r="CX268" t="e">
        <f>AND(#REF!,"AAAAAH1v6mU=")</f>
        <v>#REF!</v>
      </c>
      <c r="CY268" t="e">
        <f>AND(#REF!,"AAAAAH1v6mY=")</f>
        <v>#REF!</v>
      </c>
      <c r="CZ268" t="e">
        <f>AND(#REF!,"AAAAAH1v6mc=")</f>
        <v>#REF!</v>
      </c>
      <c r="DA268" t="e">
        <f>AND(#REF!,"AAAAAH1v6mg=")</f>
        <v>#REF!</v>
      </c>
      <c r="DB268" t="e">
        <f>AND(#REF!,"AAAAAH1v6mk=")</f>
        <v>#REF!</v>
      </c>
      <c r="DC268" t="e">
        <f>AND(#REF!,"AAAAAH1v6mo=")</f>
        <v>#REF!</v>
      </c>
      <c r="DD268" t="e">
        <f>AND(#REF!,"AAAAAH1v6ms=")</f>
        <v>#REF!</v>
      </c>
      <c r="DE268" t="e">
        <f>IF(#REF!,"AAAAAH1v6mw=",0)</f>
        <v>#REF!</v>
      </c>
      <c r="DF268" t="e">
        <f>AND(#REF!,"AAAAAH1v6m0=")</f>
        <v>#REF!</v>
      </c>
      <c r="DG268" t="e">
        <f>AND(#REF!,"AAAAAH1v6m4=")</f>
        <v>#REF!</v>
      </c>
      <c r="DH268" t="e">
        <f>AND(#REF!,"AAAAAH1v6m8=")</f>
        <v>#REF!</v>
      </c>
      <c r="DI268" t="e">
        <f>AND(#REF!,"AAAAAH1v6nA=")</f>
        <v>#REF!</v>
      </c>
      <c r="DJ268" t="e">
        <f>AND(#REF!,"AAAAAH1v6nE=")</f>
        <v>#REF!</v>
      </c>
      <c r="DK268" t="e">
        <f>AND(#REF!,"AAAAAH1v6nI=")</f>
        <v>#REF!</v>
      </c>
      <c r="DL268" t="e">
        <f>AND(#REF!,"AAAAAH1v6nM=")</f>
        <v>#REF!</v>
      </c>
      <c r="DM268" t="e">
        <f>AND(#REF!,"AAAAAH1v6nQ=")</f>
        <v>#REF!</v>
      </c>
      <c r="DN268" t="e">
        <f>AND(#REF!,"AAAAAH1v6nU=")</f>
        <v>#REF!</v>
      </c>
      <c r="DO268" t="e">
        <f>AND(#REF!,"AAAAAH1v6nY=")</f>
        <v>#REF!</v>
      </c>
      <c r="DP268" t="e">
        <f>IF(#REF!,"AAAAAH1v6nc=",0)</f>
        <v>#REF!</v>
      </c>
      <c r="DQ268" t="e">
        <f>AND(#REF!,"AAAAAH1v6ng=")</f>
        <v>#REF!</v>
      </c>
      <c r="DR268" t="e">
        <f>AND(#REF!,"AAAAAH1v6nk=")</f>
        <v>#REF!</v>
      </c>
      <c r="DS268" t="e">
        <f>AND(#REF!,"AAAAAH1v6no=")</f>
        <v>#REF!</v>
      </c>
      <c r="DT268" t="e">
        <f>AND(#REF!,"AAAAAH1v6ns=")</f>
        <v>#REF!</v>
      </c>
      <c r="DU268" t="e">
        <f>AND(#REF!,"AAAAAH1v6nw=")</f>
        <v>#REF!</v>
      </c>
      <c r="DV268" t="e">
        <f>AND(#REF!,"AAAAAH1v6n0=")</f>
        <v>#REF!</v>
      </c>
      <c r="DW268" t="e">
        <f>AND(#REF!,"AAAAAH1v6n4=")</f>
        <v>#REF!</v>
      </c>
      <c r="DX268" t="e">
        <f>AND(#REF!,"AAAAAH1v6n8=")</f>
        <v>#REF!</v>
      </c>
      <c r="DY268" t="e">
        <f>AND(#REF!,"AAAAAH1v6oA=")</f>
        <v>#REF!</v>
      </c>
      <c r="DZ268" t="e">
        <f>AND(#REF!,"AAAAAH1v6oE=")</f>
        <v>#REF!</v>
      </c>
      <c r="EA268" t="e">
        <f>IF(#REF!,"AAAAAH1v6oI=",0)</f>
        <v>#REF!</v>
      </c>
      <c r="EB268" t="e">
        <f>AND(#REF!,"AAAAAH1v6oM=")</f>
        <v>#REF!</v>
      </c>
      <c r="EC268" t="e">
        <f>AND(#REF!,"AAAAAH1v6oQ=")</f>
        <v>#REF!</v>
      </c>
      <c r="ED268" t="e">
        <f>AND(#REF!,"AAAAAH1v6oU=")</f>
        <v>#REF!</v>
      </c>
      <c r="EE268" t="e">
        <f>AND(#REF!,"AAAAAH1v6oY=")</f>
        <v>#REF!</v>
      </c>
      <c r="EF268" t="e">
        <f>AND(#REF!,"AAAAAH1v6oc=")</f>
        <v>#REF!</v>
      </c>
      <c r="EG268" t="e">
        <f>AND(#REF!,"AAAAAH1v6og=")</f>
        <v>#REF!</v>
      </c>
      <c r="EH268" t="e">
        <f>AND(#REF!,"AAAAAH1v6ok=")</f>
        <v>#REF!</v>
      </c>
      <c r="EI268" t="e">
        <f>AND(#REF!,"AAAAAH1v6oo=")</f>
        <v>#REF!</v>
      </c>
      <c r="EJ268" t="e">
        <f>AND(#REF!,"AAAAAH1v6os=")</f>
        <v>#REF!</v>
      </c>
      <c r="EK268" t="e">
        <f>AND(#REF!,"AAAAAH1v6ow=")</f>
        <v>#REF!</v>
      </c>
      <c r="EL268" t="e">
        <f>IF(#REF!,"AAAAAH1v6o0=",0)</f>
        <v>#REF!</v>
      </c>
      <c r="EM268" t="e">
        <f>AND(#REF!,"AAAAAH1v6o4=")</f>
        <v>#REF!</v>
      </c>
      <c r="EN268" t="e">
        <f>AND(#REF!,"AAAAAH1v6o8=")</f>
        <v>#REF!</v>
      </c>
      <c r="EO268" t="e">
        <f>AND(#REF!,"AAAAAH1v6pA=")</f>
        <v>#REF!</v>
      </c>
      <c r="EP268" t="e">
        <f>AND(#REF!,"AAAAAH1v6pE=")</f>
        <v>#REF!</v>
      </c>
      <c r="EQ268" t="e">
        <f>AND(#REF!,"AAAAAH1v6pI=")</f>
        <v>#REF!</v>
      </c>
      <c r="ER268" t="e">
        <f>AND(#REF!,"AAAAAH1v6pM=")</f>
        <v>#REF!</v>
      </c>
      <c r="ES268" t="e">
        <f>AND(#REF!,"AAAAAH1v6pQ=")</f>
        <v>#REF!</v>
      </c>
      <c r="ET268" t="e">
        <f>AND(#REF!,"AAAAAH1v6pU=")</f>
        <v>#REF!</v>
      </c>
      <c r="EU268" t="e">
        <f>AND(#REF!,"AAAAAH1v6pY=")</f>
        <v>#REF!</v>
      </c>
      <c r="EV268" t="e">
        <f>AND(#REF!,"AAAAAH1v6pc=")</f>
        <v>#REF!</v>
      </c>
      <c r="EW268" t="e">
        <f>IF(#REF!,"AAAAAH1v6pg=",0)</f>
        <v>#REF!</v>
      </c>
      <c r="EX268" t="e">
        <f>AND(#REF!,"AAAAAH1v6pk=")</f>
        <v>#REF!</v>
      </c>
      <c r="EY268" t="e">
        <f>AND(#REF!,"AAAAAH1v6po=")</f>
        <v>#REF!</v>
      </c>
      <c r="EZ268" t="e">
        <f>AND(#REF!,"AAAAAH1v6ps=")</f>
        <v>#REF!</v>
      </c>
      <c r="FA268" t="e">
        <f>AND(#REF!,"AAAAAH1v6pw=")</f>
        <v>#REF!</v>
      </c>
      <c r="FB268" t="e">
        <f>AND(#REF!,"AAAAAH1v6p0=")</f>
        <v>#REF!</v>
      </c>
      <c r="FC268" t="e">
        <f>AND(#REF!,"AAAAAH1v6p4=")</f>
        <v>#REF!</v>
      </c>
      <c r="FD268" t="e">
        <f>AND(#REF!,"AAAAAH1v6p8=")</f>
        <v>#REF!</v>
      </c>
      <c r="FE268" t="e">
        <f>AND(#REF!,"AAAAAH1v6qA=")</f>
        <v>#REF!</v>
      </c>
      <c r="FF268" t="e">
        <f>AND(#REF!,"AAAAAH1v6qE=")</f>
        <v>#REF!</v>
      </c>
      <c r="FG268" t="e">
        <f>AND(#REF!,"AAAAAH1v6qI=")</f>
        <v>#REF!</v>
      </c>
      <c r="FH268" t="e">
        <f>IF(#REF!,"AAAAAH1v6qM=",0)</f>
        <v>#REF!</v>
      </c>
      <c r="FI268" t="e">
        <f>AND(#REF!,"AAAAAH1v6qQ=")</f>
        <v>#REF!</v>
      </c>
      <c r="FJ268" t="e">
        <f>AND(#REF!,"AAAAAH1v6qU=")</f>
        <v>#REF!</v>
      </c>
      <c r="FK268" t="e">
        <f>AND(#REF!,"AAAAAH1v6qY=")</f>
        <v>#REF!</v>
      </c>
      <c r="FL268" t="e">
        <f>AND(#REF!,"AAAAAH1v6qc=")</f>
        <v>#REF!</v>
      </c>
      <c r="FM268" t="e">
        <f>AND(#REF!,"AAAAAH1v6qg=")</f>
        <v>#REF!</v>
      </c>
      <c r="FN268" t="e">
        <f>AND(#REF!,"AAAAAH1v6qk=")</f>
        <v>#REF!</v>
      </c>
      <c r="FO268" t="e">
        <f>AND(#REF!,"AAAAAH1v6qo=")</f>
        <v>#REF!</v>
      </c>
      <c r="FP268" t="e">
        <f>AND(#REF!,"AAAAAH1v6qs=")</f>
        <v>#REF!</v>
      </c>
      <c r="FQ268" t="e">
        <f>AND(#REF!,"AAAAAH1v6qw=")</f>
        <v>#REF!</v>
      </c>
      <c r="FR268" t="e">
        <f>AND(#REF!,"AAAAAH1v6q0=")</f>
        <v>#REF!</v>
      </c>
      <c r="FS268" t="e">
        <f>IF(#REF!,"AAAAAH1v6q4=",0)</f>
        <v>#REF!</v>
      </c>
      <c r="FT268" t="e">
        <f>AND(#REF!,"AAAAAH1v6q8=")</f>
        <v>#REF!</v>
      </c>
      <c r="FU268" t="e">
        <f>AND(#REF!,"AAAAAH1v6rA=")</f>
        <v>#REF!</v>
      </c>
      <c r="FV268" t="e">
        <f>AND(#REF!,"AAAAAH1v6rE=")</f>
        <v>#REF!</v>
      </c>
      <c r="FW268" t="e">
        <f>AND(#REF!,"AAAAAH1v6rI=")</f>
        <v>#REF!</v>
      </c>
      <c r="FX268" t="e">
        <f>AND(#REF!,"AAAAAH1v6rM=")</f>
        <v>#REF!</v>
      </c>
      <c r="FY268" t="e">
        <f>AND(#REF!,"AAAAAH1v6rQ=")</f>
        <v>#REF!</v>
      </c>
      <c r="FZ268" t="e">
        <f>AND(#REF!,"AAAAAH1v6rU=")</f>
        <v>#REF!</v>
      </c>
      <c r="GA268" t="e">
        <f>AND(#REF!,"AAAAAH1v6rY=")</f>
        <v>#REF!</v>
      </c>
      <c r="GB268" t="e">
        <f>AND(#REF!,"AAAAAH1v6rc=")</f>
        <v>#REF!</v>
      </c>
      <c r="GC268" t="e">
        <f>AND(#REF!,"AAAAAH1v6rg=")</f>
        <v>#REF!</v>
      </c>
      <c r="GD268" t="e">
        <f>IF(#REF!,"AAAAAH1v6rk=",0)</f>
        <v>#REF!</v>
      </c>
      <c r="GE268" t="e">
        <f>AND(#REF!,"AAAAAH1v6ro=")</f>
        <v>#REF!</v>
      </c>
      <c r="GF268" t="e">
        <f>AND(#REF!,"AAAAAH1v6rs=")</f>
        <v>#REF!</v>
      </c>
      <c r="GG268" t="e">
        <f>AND(#REF!,"AAAAAH1v6rw=")</f>
        <v>#REF!</v>
      </c>
      <c r="GH268" t="e">
        <f>AND(#REF!,"AAAAAH1v6r0=")</f>
        <v>#REF!</v>
      </c>
      <c r="GI268" t="e">
        <f>AND(#REF!,"AAAAAH1v6r4=")</f>
        <v>#REF!</v>
      </c>
      <c r="GJ268" t="e">
        <f>AND(#REF!,"AAAAAH1v6r8=")</f>
        <v>#REF!</v>
      </c>
      <c r="GK268" t="e">
        <f>AND(#REF!,"AAAAAH1v6sA=")</f>
        <v>#REF!</v>
      </c>
      <c r="GL268" t="e">
        <f>AND(#REF!,"AAAAAH1v6sE=")</f>
        <v>#REF!</v>
      </c>
      <c r="GM268" t="e">
        <f>AND(#REF!,"AAAAAH1v6sI=")</f>
        <v>#REF!</v>
      </c>
      <c r="GN268" t="e">
        <f>AND(#REF!,"AAAAAH1v6sM=")</f>
        <v>#REF!</v>
      </c>
      <c r="GO268" t="e">
        <f>IF(#REF!,"AAAAAH1v6sQ=",0)</f>
        <v>#REF!</v>
      </c>
      <c r="GP268" t="e">
        <f>AND(#REF!,"AAAAAH1v6sU=")</f>
        <v>#REF!</v>
      </c>
      <c r="GQ268" t="e">
        <f>AND(#REF!,"AAAAAH1v6sY=")</f>
        <v>#REF!</v>
      </c>
      <c r="GR268" t="e">
        <f>AND(#REF!,"AAAAAH1v6sc=")</f>
        <v>#REF!</v>
      </c>
      <c r="GS268" t="e">
        <f>AND(#REF!,"AAAAAH1v6sg=")</f>
        <v>#REF!</v>
      </c>
      <c r="GT268" t="e">
        <f>AND(#REF!,"AAAAAH1v6sk=")</f>
        <v>#REF!</v>
      </c>
      <c r="GU268" t="e">
        <f>AND(#REF!,"AAAAAH1v6so=")</f>
        <v>#REF!</v>
      </c>
      <c r="GV268" t="e">
        <f>AND(#REF!,"AAAAAH1v6ss=")</f>
        <v>#REF!</v>
      </c>
      <c r="GW268" t="e">
        <f>AND(#REF!,"AAAAAH1v6sw=")</f>
        <v>#REF!</v>
      </c>
      <c r="GX268" t="e">
        <f>AND(#REF!,"AAAAAH1v6s0=")</f>
        <v>#REF!</v>
      </c>
      <c r="GY268" t="e">
        <f>AND(#REF!,"AAAAAH1v6s4=")</f>
        <v>#REF!</v>
      </c>
      <c r="GZ268" t="e">
        <f>IF(#REF!,"AAAAAH1v6s8=",0)</f>
        <v>#REF!</v>
      </c>
      <c r="HA268" t="e">
        <f>AND(#REF!,"AAAAAH1v6tA=")</f>
        <v>#REF!</v>
      </c>
      <c r="HB268" t="e">
        <f>AND(#REF!,"AAAAAH1v6tE=")</f>
        <v>#REF!</v>
      </c>
      <c r="HC268" t="e">
        <f>AND(#REF!,"AAAAAH1v6tI=")</f>
        <v>#REF!</v>
      </c>
      <c r="HD268" t="e">
        <f>AND(#REF!,"AAAAAH1v6tM=")</f>
        <v>#REF!</v>
      </c>
      <c r="HE268" t="e">
        <f>AND(#REF!,"AAAAAH1v6tQ=")</f>
        <v>#REF!</v>
      </c>
      <c r="HF268" t="e">
        <f>AND(#REF!,"AAAAAH1v6tU=")</f>
        <v>#REF!</v>
      </c>
      <c r="HG268" t="e">
        <f>AND(#REF!,"AAAAAH1v6tY=")</f>
        <v>#REF!</v>
      </c>
      <c r="HH268" t="e">
        <f>AND(#REF!,"AAAAAH1v6tc=")</f>
        <v>#REF!</v>
      </c>
      <c r="HI268" t="e">
        <f>AND(#REF!,"AAAAAH1v6tg=")</f>
        <v>#REF!</v>
      </c>
      <c r="HJ268" t="e">
        <f>AND(#REF!,"AAAAAH1v6tk=")</f>
        <v>#REF!</v>
      </c>
      <c r="HK268" t="e">
        <f>IF(#REF!,"AAAAAH1v6to=",0)</f>
        <v>#REF!</v>
      </c>
      <c r="HL268" t="e">
        <f>AND(#REF!,"AAAAAH1v6ts=")</f>
        <v>#REF!</v>
      </c>
      <c r="HM268" t="e">
        <f>AND(#REF!,"AAAAAH1v6tw=")</f>
        <v>#REF!</v>
      </c>
      <c r="HN268" t="e">
        <f>AND(#REF!,"AAAAAH1v6t0=")</f>
        <v>#REF!</v>
      </c>
      <c r="HO268" t="e">
        <f>AND(#REF!,"AAAAAH1v6t4=")</f>
        <v>#REF!</v>
      </c>
      <c r="HP268" t="e">
        <f>AND(#REF!,"AAAAAH1v6t8=")</f>
        <v>#REF!</v>
      </c>
      <c r="HQ268" t="e">
        <f>AND(#REF!,"AAAAAH1v6uA=")</f>
        <v>#REF!</v>
      </c>
      <c r="HR268" t="e">
        <f>AND(#REF!,"AAAAAH1v6uE=")</f>
        <v>#REF!</v>
      </c>
      <c r="HS268" t="e">
        <f>AND(#REF!,"AAAAAH1v6uI=")</f>
        <v>#REF!</v>
      </c>
      <c r="HT268" t="e">
        <f>AND(#REF!,"AAAAAH1v6uM=")</f>
        <v>#REF!</v>
      </c>
      <c r="HU268" t="e">
        <f>AND(#REF!,"AAAAAH1v6uQ=")</f>
        <v>#REF!</v>
      </c>
      <c r="HV268" t="e">
        <f>IF(#REF!,"AAAAAH1v6uU=",0)</f>
        <v>#REF!</v>
      </c>
      <c r="HW268" t="e">
        <f>AND(#REF!,"AAAAAH1v6uY=")</f>
        <v>#REF!</v>
      </c>
      <c r="HX268" t="e">
        <f>AND(#REF!,"AAAAAH1v6uc=")</f>
        <v>#REF!</v>
      </c>
      <c r="HY268" t="e">
        <f>AND(#REF!,"AAAAAH1v6ug=")</f>
        <v>#REF!</v>
      </c>
      <c r="HZ268" t="e">
        <f>AND(#REF!,"AAAAAH1v6uk=")</f>
        <v>#REF!</v>
      </c>
      <c r="IA268" t="e">
        <f>AND(#REF!,"AAAAAH1v6uo=")</f>
        <v>#REF!</v>
      </c>
      <c r="IB268" t="e">
        <f>AND(#REF!,"AAAAAH1v6us=")</f>
        <v>#REF!</v>
      </c>
      <c r="IC268" t="e">
        <f>AND(#REF!,"AAAAAH1v6uw=")</f>
        <v>#REF!</v>
      </c>
      <c r="ID268" t="e">
        <f>AND(#REF!,"AAAAAH1v6u0=")</f>
        <v>#REF!</v>
      </c>
      <c r="IE268" t="e">
        <f>AND(#REF!,"AAAAAH1v6u4=")</f>
        <v>#REF!</v>
      </c>
      <c r="IF268" t="e">
        <f>AND(#REF!,"AAAAAH1v6u8=")</f>
        <v>#REF!</v>
      </c>
      <c r="IG268" t="e">
        <f>IF(#REF!,"AAAAAH1v6vA=",0)</f>
        <v>#REF!</v>
      </c>
      <c r="IH268" t="e">
        <f>AND(#REF!,"AAAAAH1v6vE=")</f>
        <v>#REF!</v>
      </c>
      <c r="II268" t="e">
        <f>AND(#REF!,"AAAAAH1v6vI=")</f>
        <v>#REF!</v>
      </c>
      <c r="IJ268" t="e">
        <f>AND(#REF!,"AAAAAH1v6vM=")</f>
        <v>#REF!</v>
      </c>
      <c r="IK268" t="e">
        <f>AND(#REF!,"AAAAAH1v6vQ=")</f>
        <v>#REF!</v>
      </c>
      <c r="IL268" t="e">
        <f>AND(#REF!,"AAAAAH1v6vU=")</f>
        <v>#REF!</v>
      </c>
      <c r="IM268" t="e">
        <f>AND(#REF!,"AAAAAH1v6vY=")</f>
        <v>#REF!</v>
      </c>
      <c r="IN268" t="e">
        <f>AND(#REF!,"AAAAAH1v6vc=")</f>
        <v>#REF!</v>
      </c>
      <c r="IO268" t="e">
        <f>AND(#REF!,"AAAAAH1v6vg=")</f>
        <v>#REF!</v>
      </c>
      <c r="IP268" t="e">
        <f>AND(#REF!,"AAAAAH1v6vk=")</f>
        <v>#REF!</v>
      </c>
      <c r="IQ268" t="e">
        <f>AND(#REF!,"AAAAAH1v6vo=")</f>
        <v>#REF!</v>
      </c>
      <c r="IR268" t="e">
        <f>IF(#REF!,"AAAAAH1v6vs=",0)</f>
        <v>#REF!</v>
      </c>
      <c r="IS268" t="e">
        <f>AND(#REF!,"AAAAAH1v6vw=")</f>
        <v>#REF!</v>
      </c>
      <c r="IT268" t="e">
        <f>AND(#REF!,"AAAAAH1v6v0=")</f>
        <v>#REF!</v>
      </c>
      <c r="IU268" t="e">
        <f>AND(#REF!,"AAAAAH1v6v4=")</f>
        <v>#REF!</v>
      </c>
      <c r="IV268" t="e">
        <f>AND(#REF!,"AAAAAH1v6v8=")</f>
        <v>#REF!</v>
      </c>
    </row>
    <row r="269" spans="1:256" x14ac:dyDescent="0.25">
      <c r="A269" t="e">
        <f>AND(#REF!,"AAAAAHfx9gA=")</f>
        <v>#REF!</v>
      </c>
      <c r="B269" t="e">
        <f>AND(#REF!,"AAAAAHfx9gE=")</f>
        <v>#REF!</v>
      </c>
      <c r="C269" t="e">
        <f>AND(#REF!,"AAAAAHfx9gI=")</f>
        <v>#REF!</v>
      </c>
      <c r="D269" t="e">
        <f>AND(#REF!,"AAAAAHfx9gM=")</f>
        <v>#REF!</v>
      </c>
      <c r="E269" t="e">
        <f>AND(#REF!,"AAAAAHfx9gQ=")</f>
        <v>#REF!</v>
      </c>
      <c r="F269" t="e">
        <f>AND(#REF!,"AAAAAHfx9gU=")</f>
        <v>#REF!</v>
      </c>
      <c r="G269" t="e">
        <f>IF(#REF!,"AAAAAHfx9gY=",0)</f>
        <v>#REF!</v>
      </c>
      <c r="H269" t="e">
        <f>AND(#REF!,"AAAAAHfx9gc=")</f>
        <v>#REF!</v>
      </c>
      <c r="I269" t="e">
        <f>AND(#REF!,"AAAAAHfx9gg=")</f>
        <v>#REF!</v>
      </c>
      <c r="J269" t="e">
        <f>AND(#REF!,"AAAAAHfx9gk=")</f>
        <v>#REF!</v>
      </c>
      <c r="K269" t="e">
        <f>AND(#REF!,"AAAAAHfx9go=")</f>
        <v>#REF!</v>
      </c>
      <c r="L269" t="e">
        <f>AND(#REF!,"AAAAAHfx9gs=")</f>
        <v>#REF!</v>
      </c>
      <c r="M269" t="e">
        <f>AND(#REF!,"AAAAAHfx9gw=")</f>
        <v>#REF!</v>
      </c>
      <c r="N269" t="e">
        <f>AND(#REF!,"AAAAAHfx9g0=")</f>
        <v>#REF!</v>
      </c>
      <c r="O269" t="e">
        <f>AND(#REF!,"AAAAAHfx9g4=")</f>
        <v>#REF!</v>
      </c>
      <c r="P269" t="e">
        <f>AND(#REF!,"AAAAAHfx9g8=")</f>
        <v>#REF!</v>
      </c>
      <c r="Q269" t="e">
        <f>AND(#REF!,"AAAAAHfx9hA=")</f>
        <v>#REF!</v>
      </c>
      <c r="R269" t="e">
        <f>IF(#REF!,"AAAAAHfx9hE=",0)</f>
        <v>#REF!</v>
      </c>
      <c r="S269" t="e">
        <f>AND(#REF!,"AAAAAHfx9hI=")</f>
        <v>#REF!</v>
      </c>
      <c r="T269" t="e">
        <f>AND(#REF!,"AAAAAHfx9hM=")</f>
        <v>#REF!</v>
      </c>
      <c r="U269" t="e">
        <f>AND(#REF!,"AAAAAHfx9hQ=")</f>
        <v>#REF!</v>
      </c>
      <c r="V269" t="e">
        <f>AND(#REF!,"AAAAAHfx9hU=")</f>
        <v>#REF!</v>
      </c>
      <c r="W269" t="e">
        <f>AND(#REF!,"AAAAAHfx9hY=")</f>
        <v>#REF!</v>
      </c>
      <c r="X269" t="e">
        <f>AND(#REF!,"AAAAAHfx9hc=")</f>
        <v>#REF!</v>
      </c>
      <c r="Y269" t="e">
        <f>AND(#REF!,"AAAAAHfx9hg=")</f>
        <v>#REF!</v>
      </c>
      <c r="Z269" t="e">
        <f>AND(#REF!,"AAAAAHfx9hk=")</f>
        <v>#REF!</v>
      </c>
      <c r="AA269" t="e">
        <f>AND(#REF!,"AAAAAHfx9ho=")</f>
        <v>#REF!</v>
      </c>
      <c r="AB269" t="e">
        <f>AND(#REF!,"AAAAAHfx9hs=")</f>
        <v>#REF!</v>
      </c>
      <c r="AC269" t="e">
        <f>IF(#REF!,"AAAAAHfx9hw=",0)</f>
        <v>#REF!</v>
      </c>
      <c r="AD269" t="e">
        <f>AND(#REF!,"AAAAAHfx9h0=")</f>
        <v>#REF!</v>
      </c>
      <c r="AE269" t="e">
        <f>AND(#REF!,"AAAAAHfx9h4=")</f>
        <v>#REF!</v>
      </c>
      <c r="AF269" t="e">
        <f>AND(#REF!,"AAAAAHfx9h8=")</f>
        <v>#REF!</v>
      </c>
      <c r="AG269" t="e">
        <f>AND(#REF!,"AAAAAHfx9iA=")</f>
        <v>#REF!</v>
      </c>
      <c r="AH269" t="e">
        <f>AND(#REF!,"AAAAAHfx9iE=")</f>
        <v>#REF!</v>
      </c>
      <c r="AI269" t="e">
        <f>AND(#REF!,"AAAAAHfx9iI=")</f>
        <v>#REF!</v>
      </c>
      <c r="AJ269" t="e">
        <f>AND(#REF!,"AAAAAHfx9iM=")</f>
        <v>#REF!</v>
      </c>
      <c r="AK269" t="e">
        <f>AND(#REF!,"AAAAAHfx9iQ=")</f>
        <v>#REF!</v>
      </c>
      <c r="AL269" t="e">
        <f>AND(#REF!,"AAAAAHfx9iU=")</f>
        <v>#REF!</v>
      </c>
      <c r="AM269" t="e">
        <f>AND(#REF!,"AAAAAHfx9iY=")</f>
        <v>#REF!</v>
      </c>
      <c r="AN269" t="e">
        <f>IF(#REF!,"AAAAAHfx9ic=",0)</f>
        <v>#REF!</v>
      </c>
      <c r="AO269" t="e">
        <f>AND(#REF!,"AAAAAHfx9ig=")</f>
        <v>#REF!</v>
      </c>
      <c r="AP269" t="e">
        <f>AND(#REF!,"AAAAAHfx9ik=")</f>
        <v>#REF!</v>
      </c>
      <c r="AQ269" t="e">
        <f>AND(#REF!,"AAAAAHfx9io=")</f>
        <v>#REF!</v>
      </c>
      <c r="AR269" t="e">
        <f>AND(#REF!,"AAAAAHfx9is=")</f>
        <v>#REF!</v>
      </c>
      <c r="AS269" t="e">
        <f>AND(#REF!,"AAAAAHfx9iw=")</f>
        <v>#REF!</v>
      </c>
      <c r="AT269" t="e">
        <f>AND(#REF!,"AAAAAHfx9i0=")</f>
        <v>#REF!</v>
      </c>
      <c r="AU269" t="e">
        <f>AND(#REF!,"AAAAAHfx9i4=")</f>
        <v>#REF!</v>
      </c>
      <c r="AV269" t="e">
        <f>AND(#REF!,"AAAAAHfx9i8=")</f>
        <v>#REF!</v>
      </c>
      <c r="AW269" t="e">
        <f>AND(#REF!,"AAAAAHfx9jA=")</f>
        <v>#REF!</v>
      </c>
      <c r="AX269" t="e">
        <f>AND(#REF!,"AAAAAHfx9jE=")</f>
        <v>#REF!</v>
      </c>
      <c r="AY269" t="e">
        <f>IF(#REF!,"AAAAAHfx9jI=",0)</f>
        <v>#REF!</v>
      </c>
      <c r="AZ269" t="e">
        <f>AND(#REF!,"AAAAAHfx9jM=")</f>
        <v>#REF!</v>
      </c>
      <c r="BA269" t="e">
        <f>AND(#REF!,"AAAAAHfx9jQ=")</f>
        <v>#REF!</v>
      </c>
      <c r="BB269" t="e">
        <f>AND(#REF!,"AAAAAHfx9jU=")</f>
        <v>#REF!</v>
      </c>
      <c r="BC269" t="e">
        <f>AND(#REF!,"AAAAAHfx9jY=")</f>
        <v>#REF!</v>
      </c>
      <c r="BD269" t="e">
        <f>AND(#REF!,"AAAAAHfx9jc=")</f>
        <v>#REF!</v>
      </c>
      <c r="BE269" t="e">
        <f>AND(#REF!,"AAAAAHfx9jg=")</f>
        <v>#REF!</v>
      </c>
      <c r="BF269" t="e">
        <f>AND(#REF!,"AAAAAHfx9jk=")</f>
        <v>#REF!</v>
      </c>
      <c r="BG269" t="e">
        <f>AND(#REF!,"AAAAAHfx9jo=")</f>
        <v>#REF!</v>
      </c>
      <c r="BH269" t="e">
        <f>AND(#REF!,"AAAAAHfx9js=")</f>
        <v>#REF!</v>
      </c>
      <c r="BI269" t="e">
        <f>AND(#REF!,"AAAAAHfx9jw=")</f>
        <v>#REF!</v>
      </c>
      <c r="BJ269" t="e">
        <f>IF(#REF!,"AAAAAHfx9j0=",0)</f>
        <v>#REF!</v>
      </c>
      <c r="BK269" t="e">
        <f>AND(#REF!,"AAAAAHfx9j4=")</f>
        <v>#REF!</v>
      </c>
      <c r="BL269" t="e">
        <f>AND(#REF!,"AAAAAHfx9j8=")</f>
        <v>#REF!</v>
      </c>
      <c r="BM269" t="e">
        <f>AND(#REF!,"AAAAAHfx9kA=")</f>
        <v>#REF!</v>
      </c>
      <c r="BN269" t="e">
        <f>AND(#REF!,"AAAAAHfx9kE=")</f>
        <v>#REF!</v>
      </c>
      <c r="BO269" t="e">
        <f>AND(#REF!,"AAAAAHfx9kI=")</f>
        <v>#REF!</v>
      </c>
      <c r="BP269" t="e">
        <f>AND(#REF!,"AAAAAHfx9kM=")</f>
        <v>#REF!</v>
      </c>
      <c r="BQ269" t="e">
        <f>AND(#REF!,"AAAAAHfx9kQ=")</f>
        <v>#REF!</v>
      </c>
      <c r="BR269" t="e">
        <f>AND(#REF!,"AAAAAHfx9kU=")</f>
        <v>#REF!</v>
      </c>
      <c r="BS269" t="e">
        <f>AND(#REF!,"AAAAAHfx9kY=")</f>
        <v>#REF!</v>
      </c>
      <c r="BT269" t="e">
        <f>AND(#REF!,"AAAAAHfx9kc=")</f>
        <v>#REF!</v>
      </c>
      <c r="BU269" t="e">
        <f>IF(#REF!,"AAAAAHfx9kg=",0)</f>
        <v>#REF!</v>
      </c>
      <c r="BV269" t="e">
        <f>AND(#REF!,"AAAAAHfx9kk=")</f>
        <v>#REF!</v>
      </c>
      <c r="BW269" t="e">
        <f>AND(#REF!,"AAAAAHfx9ko=")</f>
        <v>#REF!</v>
      </c>
      <c r="BX269" t="e">
        <f>AND(#REF!,"AAAAAHfx9ks=")</f>
        <v>#REF!</v>
      </c>
      <c r="BY269" t="e">
        <f>AND(#REF!,"AAAAAHfx9kw=")</f>
        <v>#REF!</v>
      </c>
      <c r="BZ269" t="e">
        <f>AND(#REF!,"AAAAAHfx9k0=")</f>
        <v>#REF!</v>
      </c>
      <c r="CA269" t="e">
        <f>AND(#REF!,"AAAAAHfx9k4=")</f>
        <v>#REF!</v>
      </c>
      <c r="CB269" t="e">
        <f>AND(#REF!,"AAAAAHfx9k8=")</f>
        <v>#REF!</v>
      </c>
      <c r="CC269" t="e">
        <f>AND(#REF!,"AAAAAHfx9lA=")</f>
        <v>#REF!</v>
      </c>
      <c r="CD269" t="e">
        <f>AND(#REF!,"AAAAAHfx9lE=")</f>
        <v>#REF!</v>
      </c>
      <c r="CE269" t="e">
        <f>AND(#REF!,"AAAAAHfx9lI=")</f>
        <v>#REF!</v>
      </c>
      <c r="CF269" t="e">
        <f>IF(#REF!,"AAAAAHfx9lM=",0)</f>
        <v>#REF!</v>
      </c>
      <c r="CG269" t="e">
        <f>AND(#REF!,"AAAAAHfx9lQ=")</f>
        <v>#REF!</v>
      </c>
      <c r="CH269" t="e">
        <f>AND(#REF!,"AAAAAHfx9lU=")</f>
        <v>#REF!</v>
      </c>
      <c r="CI269" t="e">
        <f>AND(#REF!,"AAAAAHfx9lY=")</f>
        <v>#REF!</v>
      </c>
      <c r="CJ269" t="e">
        <f>AND(#REF!,"AAAAAHfx9lc=")</f>
        <v>#REF!</v>
      </c>
      <c r="CK269" t="e">
        <f>AND(#REF!,"AAAAAHfx9lg=")</f>
        <v>#REF!</v>
      </c>
      <c r="CL269" t="e">
        <f>AND(#REF!,"AAAAAHfx9lk=")</f>
        <v>#REF!</v>
      </c>
      <c r="CM269" t="e">
        <f>AND(#REF!,"AAAAAHfx9lo=")</f>
        <v>#REF!</v>
      </c>
      <c r="CN269" t="e">
        <f>AND(#REF!,"AAAAAHfx9ls=")</f>
        <v>#REF!</v>
      </c>
      <c r="CO269" t="e">
        <f>AND(#REF!,"AAAAAHfx9lw=")</f>
        <v>#REF!</v>
      </c>
      <c r="CP269" t="e">
        <f>AND(#REF!,"AAAAAHfx9l0=")</f>
        <v>#REF!</v>
      </c>
      <c r="CQ269" t="e">
        <f>IF(#REF!,"AAAAAHfx9l4=",0)</f>
        <v>#REF!</v>
      </c>
      <c r="CR269" t="e">
        <f>AND(#REF!,"AAAAAHfx9l8=")</f>
        <v>#REF!</v>
      </c>
      <c r="CS269" t="e">
        <f>AND(#REF!,"AAAAAHfx9mA=")</f>
        <v>#REF!</v>
      </c>
      <c r="CT269" t="e">
        <f>AND(#REF!,"AAAAAHfx9mE=")</f>
        <v>#REF!</v>
      </c>
      <c r="CU269" t="e">
        <f>AND(#REF!,"AAAAAHfx9mI=")</f>
        <v>#REF!</v>
      </c>
      <c r="CV269" t="e">
        <f>AND(#REF!,"AAAAAHfx9mM=")</f>
        <v>#REF!</v>
      </c>
      <c r="CW269" t="e">
        <f>AND(#REF!,"AAAAAHfx9mQ=")</f>
        <v>#REF!</v>
      </c>
      <c r="CX269" t="e">
        <f>AND(#REF!,"AAAAAHfx9mU=")</f>
        <v>#REF!</v>
      </c>
      <c r="CY269" t="e">
        <f>AND(#REF!,"AAAAAHfx9mY=")</f>
        <v>#REF!</v>
      </c>
      <c r="CZ269" t="e">
        <f>AND(#REF!,"AAAAAHfx9mc=")</f>
        <v>#REF!</v>
      </c>
      <c r="DA269" t="e">
        <f>AND(#REF!,"AAAAAHfx9mg=")</f>
        <v>#REF!</v>
      </c>
      <c r="DB269" t="e">
        <f>IF(#REF!,"AAAAAHfx9mk=",0)</f>
        <v>#REF!</v>
      </c>
      <c r="DC269" t="e">
        <f>AND(#REF!,"AAAAAHfx9mo=")</f>
        <v>#REF!</v>
      </c>
      <c r="DD269" t="e">
        <f>AND(#REF!,"AAAAAHfx9ms=")</f>
        <v>#REF!</v>
      </c>
      <c r="DE269" t="e">
        <f>AND(#REF!,"AAAAAHfx9mw=")</f>
        <v>#REF!</v>
      </c>
      <c r="DF269" t="e">
        <f>AND(#REF!,"AAAAAHfx9m0=")</f>
        <v>#REF!</v>
      </c>
      <c r="DG269" t="e">
        <f>AND(#REF!,"AAAAAHfx9m4=")</f>
        <v>#REF!</v>
      </c>
      <c r="DH269" t="e">
        <f>AND(#REF!,"AAAAAHfx9m8=")</f>
        <v>#REF!</v>
      </c>
      <c r="DI269" t="e">
        <f>AND(#REF!,"AAAAAHfx9nA=")</f>
        <v>#REF!</v>
      </c>
      <c r="DJ269" t="e">
        <f>AND(#REF!,"AAAAAHfx9nE=")</f>
        <v>#REF!</v>
      </c>
      <c r="DK269" t="e">
        <f>AND(#REF!,"AAAAAHfx9nI=")</f>
        <v>#REF!</v>
      </c>
      <c r="DL269" t="e">
        <f>AND(#REF!,"AAAAAHfx9nM=")</f>
        <v>#REF!</v>
      </c>
      <c r="DM269" t="e">
        <f>IF(#REF!,"AAAAAHfx9nQ=",0)</f>
        <v>#REF!</v>
      </c>
      <c r="DN269" t="e">
        <f>AND(#REF!,"AAAAAHfx9nU=")</f>
        <v>#REF!</v>
      </c>
      <c r="DO269" t="e">
        <f>AND(#REF!,"AAAAAHfx9nY=")</f>
        <v>#REF!</v>
      </c>
      <c r="DP269" t="e">
        <f>AND(#REF!,"AAAAAHfx9nc=")</f>
        <v>#REF!</v>
      </c>
      <c r="DQ269" t="e">
        <f>AND(#REF!,"AAAAAHfx9ng=")</f>
        <v>#REF!</v>
      </c>
      <c r="DR269" t="e">
        <f>AND(#REF!,"AAAAAHfx9nk=")</f>
        <v>#REF!</v>
      </c>
      <c r="DS269" t="e">
        <f>AND(#REF!,"AAAAAHfx9no=")</f>
        <v>#REF!</v>
      </c>
      <c r="DT269" t="e">
        <f>AND(#REF!,"AAAAAHfx9ns=")</f>
        <v>#REF!</v>
      </c>
      <c r="DU269" t="e">
        <f>AND(#REF!,"AAAAAHfx9nw=")</f>
        <v>#REF!</v>
      </c>
      <c r="DV269" t="e">
        <f>AND(#REF!,"AAAAAHfx9n0=")</f>
        <v>#REF!</v>
      </c>
      <c r="DW269" t="e">
        <f>AND(#REF!,"AAAAAHfx9n4=")</f>
        <v>#REF!</v>
      </c>
      <c r="DX269" t="e">
        <f>IF(#REF!,"AAAAAHfx9n8=",0)</f>
        <v>#REF!</v>
      </c>
      <c r="DY269" t="e">
        <f>AND(#REF!,"AAAAAHfx9oA=")</f>
        <v>#REF!</v>
      </c>
      <c r="DZ269" t="e">
        <f>AND(#REF!,"AAAAAHfx9oE=")</f>
        <v>#REF!</v>
      </c>
      <c r="EA269" t="e">
        <f>AND(#REF!,"AAAAAHfx9oI=")</f>
        <v>#REF!</v>
      </c>
      <c r="EB269" t="e">
        <f>AND(#REF!,"AAAAAHfx9oM=")</f>
        <v>#REF!</v>
      </c>
      <c r="EC269" t="e">
        <f>AND(#REF!,"AAAAAHfx9oQ=")</f>
        <v>#REF!</v>
      </c>
      <c r="ED269" t="e">
        <f>AND(#REF!,"AAAAAHfx9oU=")</f>
        <v>#REF!</v>
      </c>
      <c r="EE269" t="e">
        <f>AND(#REF!,"AAAAAHfx9oY=")</f>
        <v>#REF!</v>
      </c>
      <c r="EF269" t="e">
        <f>AND(#REF!,"AAAAAHfx9oc=")</f>
        <v>#REF!</v>
      </c>
      <c r="EG269" t="e">
        <f>AND(#REF!,"AAAAAHfx9og=")</f>
        <v>#REF!</v>
      </c>
      <c r="EH269" t="e">
        <f>AND(#REF!,"AAAAAHfx9ok=")</f>
        <v>#REF!</v>
      </c>
      <c r="EI269" t="e">
        <f>IF(#REF!,"AAAAAHfx9oo=",0)</f>
        <v>#REF!</v>
      </c>
      <c r="EJ269" t="e">
        <f>AND(#REF!,"AAAAAHfx9os=")</f>
        <v>#REF!</v>
      </c>
      <c r="EK269" t="e">
        <f>AND(#REF!,"AAAAAHfx9ow=")</f>
        <v>#REF!</v>
      </c>
      <c r="EL269" t="e">
        <f>AND(#REF!,"AAAAAHfx9o0=")</f>
        <v>#REF!</v>
      </c>
      <c r="EM269" t="e">
        <f>AND(#REF!,"AAAAAHfx9o4=")</f>
        <v>#REF!</v>
      </c>
      <c r="EN269" t="e">
        <f>AND(#REF!,"AAAAAHfx9o8=")</f>
        <v>#REF!</v>
      </c>
      <c r="EO269" t="e">
        <f>AND(#REF!,"AAAAAHfx9pA=")</f>
        <v>#REF!</v>
      </c>
      <c r="EP269" t="e">
        <f>AND(#REF!,"AAAAAHfx9pE=")</f>
        <v>#REF!</v>
      </c>
      <c r="EQ269" t="e">
        <f>AND(#REF!,"AAAAAHfx9pI=")</f>
        <v>#REF!</v>
      </c>
      <c r="ER269" t="e">
        <f>AND(#REF!,"AAAAAHfx9pM=")</f>
        <v>#REF!</v>
      </c>
      <c r="ES269" t="e">
        <f>AND(#REF!,"AAAAAHfx9pQ=")</f>
        <v>#REF!</v>
      </c>
      <c r="ET269" t="e">
        <f>IF(#REF!,"AAAAAHfx9pU=",0)</f>
        <v>#REF!</v>
      </c>
      <c r="EU269" t="e">
        <f>AND(#REF!,"AAAAAHfx9pY=")</f>
        <v>#REF!</v>
      </c>
      <c r="EV269" t="e">
        <f>AND(#REF!,"AAAAAHfx9pc=")</f>
        <v>#REF!</v>
      </c>
      <c r="EW269" t="e">
        <f>AND(#REF!,"AAAAAHfx9pg=")</f>
        <v>#REF!</v>
      </c>
      <c r="EX269" t="e">
        <f>AND(#REF!,"AAAAAHfx9pk=")</f>
        <v>#REF!</v>
      </c>
      <c r="EY269" t="e">
        <f>AND(#REF!,"AAAAAHfx9po=")</f>
        <v>#REF!</v>
      </c>
      <c r="EZ269" t="e">
        <f>AND(#REF!,"AAAAAHfx9ps=")</f>
        <v>#REF!</v>
      </c>
      <c r="FA269" t="e">
        <f>AND(#REF!,"AAAAAHfx9pw=")</f>
        <v>#REF!</v>
      </c>
      <c r="FB269" t="e">
        <f>AND(#REF!,"AAAAAHfx9p0=")</f>
        <v>#REF!</v>
      </c>
      <c r="FC269" t="e">
        <f>AND(#REF!,"AAAAAHfx9p4=")</f>
        <v>#REF!</v>
      </c>
      <c r="FD269" t="e">
        <f>AND(#REF!,"AAAAAHfx9p8=")</f>
        <v>#REF!</v>
      </c>
      <c r="FE269" t="e">
        <f>IF(#REF!,"AAAAAHfx9qA=",0)</f>
        <v>#REF!</v>
      </c>
      <c r="FF269" t="e">
        <f>AND(#REF!,"AAAAAHfx9qE=")</f>
        <v>#REF!</v>
      </c>
      <c r="FG269" t="e">
        <f>AND(#REF!,"AAAAAHfx9qI=")</f>
        <v>#REF!</v>
      </c>
      <c r="FH269" t="e">
        <f>AND(#REF!,"AAAAAHfx9qM=")</f>
        <v>#REF!</v>
      </c>
      <c r="FI269" t="e">
        <f>AND(#REF!,"AAAAAHfx9qQ=")</f>
        <v>#REF!</v>
      </c>
      <c r="FJ269" t="e">
        <f>AND(#REF!,"AAAAAHfx9qU=")</f>
        <v>#REF!</v>
      </c>
      <c r="FK269" t="e">
        <f>AND(#REF!,"AAAAAHfx9qY=")</f>
        <v>#REF!</v>
      </c>
      <c r="FL269" t="e">
        <f>AND(#REF!,"AAAAAHfx9qc=")</f>
        <v>#REF!</v>
      </c>
      <c r="FM269" t="e">
        <f>AND(#REF!,"AAAAAHfx9qg=")</f>
        <v>#REF!</v>
      </c>
      <c r="FN269" t="e">
        <f>AND(#REF!,"AAAAAHfx9qk=")</f>
        <v>#REF!</v>
      </c>
      <c r="FO269" t="e">
        <f>AND(#REF!,"AAAAAHfx9qo=")</f>
        <v>#REF!</v>
      </c>
      <c r="FP269" t="e">
        <f>IF(#REF!,"AAAAAHfx9qs=",0)</f>
        <v>#REF!</v>
      </c>
      <c r="FQ269" t="e">
        <f>AND(#REF!,"AAAAAHfx9qw=")</f>
        <v>#REF!</v>
      </c>
      <c r="FR269" t="e">
        <f>AND(#REF!,"AAAAAHfx9q0=")</f>
        <v>#REF!</v>
      </c>
      <c r="FS269" t="e">
        <f>AND(#REF!,"AAAAAHfx9q4=")</f>
        <v>#REF!</v>
      </c>
      <c r="FT269" t="e">
        <f>AND(#REF!,"AAAAAHfx9q8=")</f>
        <v>#REF!</v>
      </c>
      <c r="FU269" t="e">
        <f>AND(#REF!,"AAAAAHfx9rA=")</f>
        <v>#REF!</v>
      </c>
      <c r="FV269" t="e">
        <f>AND(#REF!,"AAAAAHfx9rE=")</f>
        <v>#REF!</v>
      </c>
      <c r="FW269" t="e">
        <f>AND(#REF!,"AAAAAHfx9rI=")</f>
        <v>#REF!</v>
      </c>
      <c r="FX269" t="e">
        <f>AND(#REF!,"AAAAAHfx9rM=")</f>
        <v>#REF!</v>
      </c>
      <c r="FY269" t="e">
        <f>AND(#REF!,"AAAAAHfx9rQ=")</f>
        <v>#REF!</v>
      </c>
      <c r="FZ269" t="e">
        <f>AND(#REF!,"AAAAAHfx9rU=")</f>
        <v>#REF!</v>
      </c>
      <c r="GA269" t="e">
        <f>IF(#REF!,"AAAAAHfx9rY=",0)</f>
        <v>#REF!</v>
      </c>
      <c r="GB269" t="e">
        <f>AND(#REF!,"AAAAAHfx9rc=")</f>
        <v>#REF!</v>
      </c>
      <c r="GC269" t="e">
        <f>AND(#REF!,"AAAAAHfx9rg=")</f>
        <v>#REF!</v>
      </c>
      <c r="GD269" t="e">
        <f>AND(#REF!,"AAAAAHfx9rk=")</f>
        <v>#REF!</v>
      </c>
      <c r="GE269" t="e">
        <f>AND(#REF!,"AAAAAHfx9ro=")</f>
        <v>#REF!</v>
      </c>
      <c r="GF269" t="e">
        <f>AND(#REF!,"AAAAAHfx9rs=")</f>
        <v>#REF!</v>
      </c>
      <c r="GG269" t="e">
        <f>AND(#REF!,"AAAAAHfx9rw=")</f>
        <v>#REF!</v>
      </c>
      <c r="GH269" t="e">
        <f>AND(#REF!,"AAAAAHfx9r0=")</f>
        <v>#REF!</v>
      </c>
      <c r="GI269" t="e">
        <f>AND(#REF!,"AAAAAHfx9r4=")</f>
        <v>#REF!</v>
      </c>
      <c r="GJ269" t="e">
        <f>AND(#REF!,"AAAAAHfx9r8=")</f>
        <v>#REF!</v>
      </c>
      <c r="GK269" t="e">
        <f>AND(#REF!,"AAAAAHfx9sA=")</f>
        <v>#REF!</v>
      </c>
      <c r="GL269" t="e">
        <f>IF(#REF!,"AAAAAHfx9sE=",0)</f>
        <v>#REF!</v>
      </c>
      <c r="GM269" t="e">
        <f>AND(#REF!,"AAAAAHfx9sI=")</f>
        <v>#REF!</v>
      </c>
      <c r="GN269" t="e">
        <f>AND(#REF!,"AAAAAHfx9sM=")</f>
        <v>#REF!</v>
      </c>
      <c r="GO269" t="e">
        <f>AND(#REF!,"AAAAAHfx9sQ=")</f>
        <v>#REF!</v>
      </c>
      <c r="GP269" t="e">
        <f>AND(#REF!,"AAAAAHfx9sU=")</f>
        <v>#REF!</v>
      </c>
      <c r="GQ269" t="e">
        <f>AND(#REF!,"AAAAAHfx9sY=")</f>
        <v>#REF!</v>
      </c>
      <c r="GR269" t="e">
        <f>AND(#REF!,"AAAAAHfx9sc=")</f>
        <v>#REF!</v>
      </c>
      <c r="GS269" t="e">
        <f>AND(#REF!,"AAAAAHfx9sg=")</f>
        <v>#REF!</v>
      </c>
      <c r="GT269" t="e">
        <f>AND(#REF!,"AAAAAHfx9sk=")</f>
        <v>#REF!</v>
      </c>
      <c r="GU269" t="e">
        <f>AND(#REF!,"AAAAAHfx9so=")</f>
        <v>#REF!</v>
      </c>
      <c r="GV269" t="e">
        <f>AND(#REF!,"AAAAAHfx9ss=")</f>
        <v>#REF!</v>
      </c>
      <c r="GW269" t="e">
        <f>IF(#REF!,"AAAAAHfx9sw=",0)</f>
        <v>#REF!</v>
      </c>
      <c r="GX269" t="e">
        <f>AND(#REF!,"AAAAAHfx9s0=")</f>
        <v>#REF!</v>
      </c>
      <c r="GY269" t="e">
        <f>AND(#REF!,"AAAAAHfx9s4=")</f>
        <v>#REF!</v>
      </c>
      <c r="GZ269" t="e">
        <f>AND(#REF!,"AAAAAHfx9s8=")</f>
        <v>#REF!</v>
      </c>
      <c r="HA269" t="e">
        <f>AND(#REF!,"AAAAAHfx9tA=")</f>
        <v>#REF!</v>
      </c>
      <c r="HB269" t="e">
        <f>AND(#REF!,"AAAAAHfx9tE=")</f>
        <v>#REF!</v>
      </c>
      <c r="HC269" t="e">
        <f>AND(#REF!,"AAAAAHfx9tI=")</f>
        <v>#REF!</v>
      </c>
      <c r="HD269" t="e">
        <f>AND(#REF!,"AAAAAHfx9tM=")</f>
        <v>#REF!</v>
      </c>
      <c r="HE269" t="e">
        <f>AND(#REF!,"AAAAAHfx9tQ=")</f>
        <v>#REF!</v>
      </c>
      <c r="HF269" t="e">
        <f>AND(#REF!,"AAAAAHfx9tU=")</f>
        <v>#REF!</v>
      </c>
      <c r="HG269" t="e">
        <f>AND(#REF!,"AAAAAHfx9tY=")</f>
        <v>#REF!</v>
      </c>
      <c r="HH269" t="e">
        <f>IF(#REF!,"AAAAAHfx9tc=",0)</f>
        <v>#REF!</v>
      </c>
      <c r="HI269" t="e">
        <f>AND(#REF!,"AAAAAHfx9tg=")</f>
        <v>#REF!</v>
      </c>
      <c r="HJ269" t="e">
        <f>AND(#REF!,"AAAAAHfx9tk=")</f>
        <v>#REF!</v>
      </c>
      <c r="HK269" t="e">
        <f>AND(#REF!,"AAAAAHfx9to=")</f>
        <v>#REF!</v>
      </c>
      <c r="HL269" t="e">
        <f>AND(#REF!,"AAAAAHfx9ts=")</f>
        <v>#REF!</v>
      </c>
      <c r="HM269" t="e">
        <f>AND(#REF!,"AAAAAHfx9tw=")</f>
        <v>#REF!</v>
      </c>
      <c r="HN269" t="e">
        <f>AND(#REF!,"AAAAAHfx9t0=")</f>
        <v>#REF!</v>
      </c>
      <c r="HO269" t="e">
        <f>AND(#REF!,"AAAAAHfx9t4=")</f>
        <v>#REF!</v>
      </c>
      <c r="HP269" t="e">
        <f>AND(#REF!,"AAAAAHfx9t8=")</f>
        <v>#REF!</v>
      </c>
      <c r="HQ269" t="e">
        <f>AND(#REF!,"AAAAAHfx9uA=")</f>
        <v>#REF!</v>
      </c>
      <c r="HR269" t="e">
        <f>AND(#REF!,"AAAAAHfx9uE=")</f>
        <v>#REF!</v>
      </c>
      <c r="HS269" t="e">
        <f>IF(#REF!,"AAAAAHfx9uI=",0)</f>
        <v>#REF!</v>
      </c>
      <c r="HT269" t="e">
        <f>AND(#REF!,"AAAAAHfx9uM=")</f>
        <v>#REF!</v>
      </c>
      <c r="HU269" t="e">
        <f>AND(#REF!,"AAAAAHfx9uQ=")</f>
        <v>#REF!</v>
      </c>
      <c r="HV269" t="e">
        <f>AND(#REF!,"AAAAAHfx9uU=")</f>
        <v>#REF!</v>
      </c>
      <c r="HW269" t="e">
        <f>AND(#REF!,"AAAAAHfx9uY=")</f>
        <v>#REF!</v>
      </c>
      <c r="HX269" t="e">
        <f>AND(#REF!,"AAAAAHfx9uc=")</f>
        <v>#REF!</v>
      </c>
      <c r="HY269" t="e">
        <f>AND(#REF!,"AAAAAHfx9ug=")</f>
        <v>#REF!</v>
      </c>
      <c r="HZ269" t="e">
        <f>AND(#REF!,"AAAAAHfx9uk=")</f>
        <v>#REF!</v>
      </c>
      <c r="IA269" t="e">
        <f>AND(#REF!,"AAAAAHfx9uo=")</f>
        <v>#REF!</v>
      </c>
      <c r="IB269" t="e">
        <f>AND(#REF!,"AAAAAHfx9us=")</f>
        <v>#REF!</v>
      </c>
      <c r="IC269" t="e">
        <f>AND(#REF!,"AAAAAHfx9uw=")</f>
        <v>#REF!</v>
      </c>
      <c r="ID269" t="e">
        <f>IF(#REF!,"AAAAAHfx9u0=",0)</f>
        <v>#REF!</v>
      </c>
      <c r="IE269" t="e">
        <f>AND(#REF!,"AAAAAHfx9u4=")</f>
        <v>#REF!</v>
      </c>
      <c r="IF269" t="e">
        <f>AND(#REF!,"AAAAAHfx9u8=")</f>
        <v>#REF!</v>
      </c>
      <c r="IG269" t="e">
        <f>AND(#REF!,"AAAAAHfx9vA=")</f>
        <v>#REF!</v>
      </c>
      <c r="IH269" t="e">
        <f>AND(#REF!,"AAAAAHfx9vE=")</f>
        <v>#REF!</v>
      </c>
      <c r="II269" t="e">
        <f>AND(#REF!,"AAAAAHfx9vI=")</f>
        <v>#REF!</v>
      </c>
      <c r="IJ269" t="e">
        <f>AND(#REF!,"AAAAAHfx9vM=")</f>
        <v>#REF!</v>
      </c>
      <c r="IK269" t="e">
        <f>AND(#REF!,"AAAAAHfx9vQ=")</f>
        <v>#REF!</v>
      </c>
      <c r="IL269" t="e">
        <f>AND(#REF!,"AAAAAHfx9vU=")</f>
        <v>#REF!</v>
      </c>
      <c r="IM269" t="e">
        <f>AND(#REF!,"AAAAAHfx9vY=")</f>
        <v>#REF!</v>
      </c>
      <c r="IN269" t="e">
        <f>AND(#REF!,"AAAAAHfx9vc=")</f>
        <v>#REF!</v>
      </c>
      <c r="IO269" t="e">
        <f>IF(#REF!,"AAAAAHfx9vg=",0)</f>
        <v>#REF!</v>
      </c>
      <c r="IP269" t="e">
        <f>AND(#REF!,"AAAAAHfx9vk=")</f>
        <v>#REF!</v>
      </c>
      <c r="IQ269" t="e">
        <f>AND(#REF!,"AAAAAHfx9vo=")</f>
        <v>#REF!</v>
      </c>
      <c r="IR269" t="e">
        <f>AND(#REF!,"AAAAAHfx9vs=")</f>
        <v>#REF!</v>
      </c>
      <c r="IS269" t="e">
        <f>AND(#REF!,"AAAAAHfx9vw=")</f>
        <v>#REF!</v>
      </c>
      <c r="IT269" t="e">
        <f>AND(#REF!,"AAAAAHfx9v0=")</f>
        <v>#REF!</v>
      </c>
      <c r="IU269" t="e">
        <f>AND(#REF!,"AAAAAHfx9v4=")</f>
        <v>#REF!</v>
      </c>
      <c r="IV269" t="e">
        <f>AND(#REF!,"AAAAAHfx9v8=")</f>
        <v>#REF!</v>
      </c>
    </row>
    <row r="270" spans="1:256" x14ac:dyDescent="0.25">
      <c r="A270" t="e">
        <f>AND(#REF!,"AAAAAD//zAA=")</f>
        <v>#REF!</v>
      </c>
      <c r="B270" t="e">
        <f>AND(#REF!,"AAAAAD//zAE=")</f>
        <v>#REF!</v>
      </c>
      <c r="C270" t="e">
        <f>AND(#REF!,"AAAAAD//zAI=")</f>
        <v>#REF!</v>
      </c>
      <c r="D270" t="e">
        <f>IF(#REF!,"AAAAAD//zAM=",0)</f>
        <v>#REF!</v>
      </c>
      <c r="E270" t="e">
        <f>AND(#REF!,"AAAAAD//zAQ=")</f>
        <v>#REF!</v>
      </c>
      <c r="F270" t="e">
        <f>AND(#REF!,"AAAAAD//zAU=")</f>
        <v>#REF!</v>
      </c>
      <c r="G270" t="e">
        <f>AND(#REF!,"AAAAAD//zAY=")</f>
        <v>#REF!</v>
      </c>
      <c r="H270" t="e">
        <f>AND(#REF!,"AAAAAD//zAc=")</f>
        <v>#REF!</v>
      </c>
      <c r="I270" t="e">
        <f>AND(#REF!,"AAAAAD//zAg=")</f>
        <v>#REF!</v>
      </c>
      <c r="J270" t="e">
        <f>AND(#REF!,"AAAAAD//zAk=")</f>
        <v>#REF!</v>
      </c>
      <c r="K270" t="e">
        <f>AND(#REF!,"AAAAAD//zAo=")</f>
        <v>#REF!</v>
      </c>
      <c r="L270" t="e">
        <f>AND(#REF!,"AAAAAD//zAs=")</f>
        <v>#REF!</v>
      </c>
      <c r="M270" t="e">
        <f>AND(#REF!,"AAAAAD//zAw=")</f>
        <v>#REF!</v>
      </c>
      <c r="N270" t="e">
        <f>AND(#REF!,"AAAAAD//zA0=")</f>
        <v>#REF!</v>
      </c>
      <c r="O270" t="e">
        <f>IF(#REF!,"AAAAAD//zA4=",0)</f>
        <v>#REF!</v>
      </c>
      <c r="P270" t="e">
        <f>AND(#REF!,"AAAAAD//zA8=")</f>
        <v>#REF!</v>
      </c>
      <c r="Q270" t="e">
        <f>AND(#REF!,"AAAAAD//zBA=")</f>
        <v>#REF!</v>
      </c>
      <c r="R270" t="e">
        <f>AND(#REF!,"AAAAAD//zBE=")</f>
        <v>#REF!</v>
      </c>
      <c r="S270" t="e">
        <f>AND(#REF!,"AAAAAD//zBI=")</f>
        <v>#REF!</v>
      </c>
      <c r="T270" t="e">
        <f>AND(#REF!,"AAAAAD//zBM=")</f>
        <v>#REF!</v>
      </c>
      <c r="U270" t="e">
        <f>AND(#REF!,"AAAAAD//zBQ=")</f>
        <v>#REF!</v>
      </c>
      <c r="V270" t="e">
        <f>AND(#REF!,"AAAAAD//zBU=")</f>
        <v>#REF!</v>
      </c>
      <c r="W270" t="e">
        <f>AND(#REF!,"AAAAAD//zBY=")</f>
        <v>#REF!</v>
      </c>
      <c r="X270" t="e">
        <f>AND(#REF!,"AAAAAD//zBc=")</f>
        <v>#REF!</v>
      </c>
      <c r="Y270" t="e">
        <f>AND(#REF!,"AAAAAD//zBg=")</f>
        <v>#REF!</v>
      </c>
      <c r="Z270" t="e">
        <f>IF(#REF!,"AAAAAD//zBk=",0)</f>
        <v>#REF!</v>
      </c>
      <c r="AA270" t="e">
        <f>AND(#REF!,"AAAAAD//zBo=")</f>
        <v>#REF!</v>
      </c>
      <c r="AB270" t="e">
        <f>AND(#REF!,"AAAAAD//zBs=")</f>
        <v>#REF!</v>
      </c>
      <c r="AC270" t="e">
        <f>AND(#REF!,"AAAAAD//zBw=")</f>
        <v>#REF!</v>
      </c>
      <c r="AD270" t="e">
        <f>AND(#REF!,"AAAAAD//zB0=")</f>
        <v>#REF!</v>
      </c>
      <c r="AE270" t="e">
        <f>AND(#REF!,"AAAAAD//zB4=")</f>
        <v>#REF!</v>
      </c>
      <c r="AF270" t="e">
        <f>AND(#REF!,"AAAAAD//zB8=")</f>
        <v>#REF!</v>
      </c>
      <c r="AG270" t="e">
        <f>AND(#REF!,"AAAAAD//zCA=")</f>
        <v>#REF!</v>
      </c>
      <c r="AH270" t="e">
        <f>AND(#REF!,"AAAAAD//zCE=")</f>
        <v>#REF!</v>
      </c>
      <c r="AI270" t="e">
        <f>AND(#REF!,"AAAAAD//zCI=")</f>
        <v>#REF!</v>
      </c>
      <c r="AJ270" t="e">
        <f>AND(#REF!,"AAAAAD//zCM=")</f>
        <v>#REF!</v>
      </c>
      <c r="AK270" t="e">
        <f>IF(#REF!,"AAAAAD//zCQ=",0)</f>
        <v>#REF!</v>
      </c>
      <c r="AL270" t="e">
        <f>AND(#REF!,"AAAAAD//zCU=")</f>
        <v>#REF!</v>
      </c>
      <c r="AM270" t="e">
        <f>AND(#REF!,"AAAAAD//zCY=")</f>
        <v>#REF!</v>
      </c>
      <c r="AN270" t="e">
        <f>AND(#REF!,"AAAAAD//zCc=")</f>
        <v>#REF!</v>
      </c>
      <c r="AO270" t="e">
        <f>AND(#REF!,"AAAAAD//zCg=")</f>
        <v>#REF!</v>
      </c>
      <c r="AP270" t="e">
        <f>AND(#REF!,"AAAAAD//zCk=")</f>
        <v>#REF!</v>
      </c>
      <c r="AQ270" t="e">
        <f>AND(#REF!,"AAAAAD//zCo=")</f>
        <v>#REF!</v>
      </c>
      <c r="AR270" t="e">
        <f>AND(#REF!,"AAAAAD//zCs=")</f>
        <v>#REF!</v>
      </c>
      <c r="AS270" t="e">
        <f>AND(#REF!,"AAAAAD//zCw=")</f>
        <v>#REF!</v>
      </c>
      <c r="AT270" t="e">
        <f>AND(#REF!,"AAAAAD//zC0=")</f>
        <v>#REF!</v>
      </c>
      <c r="AU270" t="e">
        <f>AND(#REF!,"AAAAAD//zC4=")</f>
        <v>#REF!</v>
      </c>
      <c r="AV270" t="e">
        <f>IF(#REF!,"AAAAAD//zC8=",0)</f>
        <v>#REF!</v>
      </c>
      <c r="AW270" t="e">
        <f>AND(#REF!,"AAAAAD//zDA=")</f>
        <v>#REF!</v>
      </c>
      <c r="AX270" t="e">
        <f>AND(#REF!,"AAAAAD//zDE=")</f>
        <v>#REF!</v>
      </c>
      <c r="AY270" t="e">
        <f>AND(#REF!,"AAAAAD//zDI=")</f>
        <v>#REF!</v>
      </c>
      <c r="AZ270" t="e">
        <f>AND(#REF!,"AAAAAD//zDM=")</f>
        <v>#REF!</v>
      </c>
      <c r="BA270" t="e">
        <f>AND(#REF!,"AAAAAD//zDQ=")</f>
        <v>#REF!</v>
      </c>
      <c r="BB270" t="e">
        <f>AND(#REF!,"AAAAAD//zDU=")</f>
        <v>#REF!</v>
      </c>
      <c r="BC270" t="e">
        <f>AND(#REF!,"AAAAAD//zDY=")</f>
        <v>#REF!</v>
      </c>
      <c r="BD270" t="e">
        <f>AND(#REF!,"AAAAAD//zDc=")</f>
        <v>#REF!</v>
      </c>
      <c r="BE270" t="e">
        <f>AND(#REF!,"AAAAAD//zDg=")</f>
        <v>#REF!</v>
      </c>
      <c r="BF270" t="e">
        <f>AND(#REF!,"AAAAAD//zDk=")</f>
        <v>#REF!</v>
      </c>
      <c r="BG270" t="e">
        <f>IF(#REF!,"AAAAAD//zDo=",0)</f>
        <v>#REF!</v>
      </c>
      <c r="BH270" t="e">
        <f>AND(#REF!,"AAAAAD//zDs=")</f>
        <v>#REF!</v>
      </c>
      <c r="BI270" t="e">
        <f>AND(#REF!,"AAAAAD//zDw=")</f>
        <v>#REF!</v>
      </c>
      <c r="BJ270" t="e">
        <f>AND(#REF!,"AAAAAD//zD0=")</f>
        <v>#REF!</v>
      </c>
      <c r="BK270" t="e">
        <f>AND(#REF!,"AAAAAD//zD4=")</f>
        <v>#REF!</v>
      </c>
      <c r="BL270" t="e">
        <f>AND(#REF!,"AAAAAD//zD8=")</f>
        <v>#REF!</v>
      </c>
      <c r="BM270" t="e">
        <f>AND(#REF!,"AAAAAD//zEA=")</f>
        <v>#REF!</v>
      </c>
      <c r="BN270" t="e">
        <f>AND(#REF!,"AAAAAD//zEE=")</f>
        <v>#REF!</v>
      </c>
      <c r="BO270" t="e">
        <f>AND(#REF!,"AAAAAD//zEI=")</f>
        <v>#REF!</v>
      </c>
      <c r="BP270" t="e">
        <f>AND(#REF!,"AAAAAD//zEM=")</f>
        <v>#REF!</v>
      </c>
      <c r="BQ270" t="e">
        <f>AND(#REF!,"AAAAAD//zEQ=")</f>
        <v>#REF!</v>
      </c>
      <c r="BR270" t="e">
        <f>IF(#REF!,"AAAAAD//zEU=",0)</f>
        <v>#REF!</v>
      </c>
      <c r="BS270" t="e">
        <f>AND(#REF!,"AAAAAD//zEY=")</f>
        <v>#REF!</v>
      </c>
      <c r="BT270" t="e">
        <f>AND(#REF!,"AAAAAD//zEc=")</f>
        <v>#REF!</v>
      </c>
      <c r="BU270" t="e">
        <f>AND(#REF!,"AAAAAD//zEg=")</f>
        <v>#REF!</v>
      </c>
      <c r="BV270" t="e">
        <f>AND(#REF!,"AAAAAD//zEk=")</f>
        <v>#REF!</v>
      </c>
      <c r="BW270" t="e">
        <f>AND(#REF!,"AAAAAD//zEo=")</f>
        <v>#REF!</v>
      </c>
      <c r="BX270" t="e">
        <f>AND(#REF!,"AAAAAD//zEs=")</f>
        <v>#REF!</v>
      </c>
      <c r="BY270" t="e">
        <f>AND(#REF!,"AAAAAD//zEw=")</f>
        <v>#REF!</v>
      </c>
      <c r="BZ270" t="e">
        <f>AND(#REF!,"AAAAAD//zE0=")</f>
        <v>#REF!</v>
      </c>
      <c r="CA270" t="e">
        <f>AND(#REF!,"AAAAAD//zE4=")</f>
        <v>#REF!</v>
      </c>
      <c r="CB270" t="e">
        <f>AND(#REF!,"AAAAAD//zE8=")</f>
        <v>#REF!</v>
      </c>
      <c r="CC270" t="e">
        <f>IF(#REF!,"AAAAAD//zFA=",0)</f>
        <v>#REF!</v>
      </c>
      <c r="CD270" t="e">
        <f>AND(#REF!,"AAAAAD//zFE=")</f>
        <v>#REF!</v>
      </c>
      <c r="CE270" t="e">
        <f>AND(#REF!,"AAAAAD//zFI=")</f>
        <v>#REF!</v>
      </c>
      <c r="CF270" t="e">
        <f>AND(#REF!,"AAAAAD//zFM=")</f>
        <v>#REF!</v>
      </c>
      <c r="CG270" t="e">
        <f>AND(#REF!,"AAAAAD//zFQ=")</f>
        <v>#REF!</v>
      </c>
      <c r="CH270" t="e">
        <f>AND(#REF!,"AAAAAD//zFU=")</f>
        <v>#REF!</v>
      </c>
      <c r="CI270" t="e">
        <f>AND(#REF!,"AAAAAD//zFY=")</f>
        <v>#REF!</v>
      </c>
      <c r="CJ270" t="e">
        <f>AND(#REF!,"AAAAAD//zFc=")</f>
        <v>#REF!</v>
      </c>
      <c r="CK270" t="e">
        <f>AND(#REF!,"AAAAAD//zFg=")</f>
        <v>#REF!</v>
      </c>
      <c r="CL270" t="e">
        <f>AND(#REF!,"AAAAAD//zFk=")</f>
        <v>#REF!</v>
      </c>
      <c r="CM270" t="e">
        <f>AND(#REF!,"AAAAAD//zFo=")</f>
        <v>#REF!</v>
      </c>
      <c r="CN270" t="e">
        <f>IF(#REF!,"AAAAAD//zFs=",0)</f>
        <v>#REF!</v>
      </c>
      <c r="CO270" t="e">
        <f>AND(#REF!,"AAAAAD//zFw=")</f>
        <v>#REF!</v>
      </c>
      <c r="CP270" t="e">
        <f>AND(#REF!,"AAAAAD//zF0=")</f>
        <v>#REF!</v>
      </c>
      <c r="CQ270" t="e">
        <f>AND(#REF!,"AAAAAD//zF4=")</f>
        <v>#REF!</v>
      </c>
      <c r="CR270" t="e">
        <f>AND(#REF!,"AAAAAD//zF8=")</f>
        <v>#REF!</v>
      </c>
      <c r="CS270" t="e">
        <f>AND(#REF!,"AAAAAD//zGA=")</f>
        <v>#REF!</v>
      </c>
      <c r="CT270" t="e">
        <f>AND(#REF!,"AAAAAD//zGE=")</f>
        <v>#REF!</v>
      </c>
      <c r="CU270" t="e">
        <f>AND(#REF!,"AAAAAD//zGI=")</f>
        <v>#REF!</v>
      </c>
      <c r="CV270" t="e">
        <f>AND(#REF!,"AAAAAD//zGM=")</f>
        <v>#REF!</v>
      </c>
      <c r="CW270" t="e">
        <f>AND(#REF!,"AAAAAD//zGQ=")</f>
        <v>#REF!</v>
      </c>
      <c r="CX270" t="e">
        <f>AND(#REF!,"AAAAAD//zGU=")</f>
        <v>#REF!</v>
      </c>
      <c r="CY270" t="e">
        <f>IF(#REF!,"AAAAAD//zGY=",0)</f>
        <v>#REF!</v>
      </c>
      <c r="CZ270" t="e">
        <f>AND(#REF!,"AAAAAD//zGc=")</f>
        <v>#REF!</v>
      </c>
      <c r="DA270" t="e">
        <f>AND(#REF!,"AAAAAD//zGg=")</f>
        <v>#REF!</v>
      </c>
      <c r="DB270" t="e">
        <f>AND(#REF!,"AAAAAD//zGk=")</f>
        <v>#REF!</v>
      </c>
      <c r="DC270" t="e">
        <f>AND(#REF!,"AAAAAD//zGo=")</f>
        <v>#REF!</v>
      </c>
      <c r="DD270" t="e">
        <f>AND(#REF!,"AAAAAD//zGs=")</f>
        <v>#REF!</v>
      </c>
      <c r="DE270" t="e">
        <f>AND(#REF!,"AAAAAD//zGw=")</f>
        <v>#REF!</v>
      </c>
      <c r="DF270" t="e">
        <f>AND(#REF!,"AAAAAD//zG0=")</f>
        <v>#REF!</v>
      </c>
      <c r="DG270" t="e">
        <f>AND(#REF!,"AAAAAD//zG4=")</f>
        <v>#REF!</v>
      </c>
      <c r="DH270" t="e">
        <f>AND(#REF!,"AAAAAD//zG8=")</f>
        <v>#REF!</v>
      </c>
      <c r="DI270" t="e">
        <f>AND(#REF!,"AAAAAD//zHA=")</f>
        <v>#REF!</v>
      </c>
      <c r="DJ270" t="e">
        <f>IF(#REF!,"AAAAAD//zHE=",0)</f>
        <v>#REF!</v>
      </c>
      <c r="DK270" t="e">
        <f>AND(#REF!,"AAAAAD//zHI=")</f>
        <v>#REF!</v>
      </c>
      <c r="DL270" t="e">
        <f>AND(#REF!,"AAAAAD//zHM=")</f>
        <v>#REF!</v>
      </c>
      <c r="DM270" t="e">
        <f>AND(#REF!,"AAAAAD//zHQ=")</f>
        <v>#REF!</v>
      </c>
      <c r="DN270" t="e">
        <f>AND(#REF!,"AAAAAD//zHU=")</f>
        <v>#REF!</v>
      </c>
      <c r="DO270" t="e">
        <f>AND(#REF!,"AAAAAD//zHY=")</f>
        <v>#REF!</v>
      </c>
      <c r="DP270" t="e">
        <f>AND(#REF!,"AAAAAD//zHc=")</f>
        <v>#REF!</v>
      </c>
      <c r="DQ270" t="e">
        <f>AND(#REF!,"AAAAAD//zHg=")</f>
        <v>#REF!</v>
      </c>
      <c r="DR270" t="e">
        <f>AND(#REF!,"AAAAAD//zHk=")</f>
        <v>#REF!</v>
      </c>
      <c r="DS270" t="e">
        <f>AND(#REF!,"AAAAAD//zHo=")</f>
        <v>#REF!</v>
      </c>
      <c r="DT270" t="e">
        <f>AND(#REF!,"AAAAAD//zHs=")</f>
        <v>#REF!</v>
      </c>
      <c r="DU270" t="e">
        <f>IF(#REF!,"AAAAAD//zHw=",0)</f>
        <v>#REF!</v>
      </c>
      <c r="DV270" t="e">
        <f>AND(#REF!,"AAAAAD//zH0=")</f>
        <v>#REF!</v>
      </c>
      <c r="DW270" t="e">
        <f>AND(#REF!,"AAAAAD//zH4=")</f>
        <v>#REF!</v>
      </c>
      <c r="DX270" t="e">
        <f>AND(#REF!,"AAAAAD//zH8=")</f>
        <v>#REF!</v>
      </c>
      <c r="DY270" t="e">
        <f>AND(#REF!,"AAAAAD//zIA=")</f>
        <v>#REF!</v>
      </c>
      <c r="DZ270" t="e">
        <f>AND(#REF!,"AAAAAD//zIE=")</f>
        <v>#REF!</v>
      </c>
      <c r="EA270" t="e">
        <f>AND(#REF!,"AAAAAD//zII=")</f>
        <v>#REF!</v>
      </c>
      <c r="EB270" t="e">
        <f>AND(#REF!,"AAAAAD//zIM=")</f>
        <v>#REF!</v>
      </c>
      <c r="EC270" t="e">
        <f>AND(#REF!,"AAAAAD//zIQ=")</f>
        <v>#REF!</v>
      </c>
      <c r="ED270" t="e">
        <f>AND(#REF!,"AAAAAD//zIU=")</f>
        <v>#REF!</v>
      </c>
      <c r="EE270" t="e">
        <f>AND(#REF!,"AAAAAD//zIY=")</f>
        <v>#REF!</v>
      </c>
      <c r="EF270" t="e">
        <f>IF(#REF!,"AAAAAD//zIc=",0)</f>
        <v>#REF!</v>
      </c>
      <c r="EG270" t="e">
        <f>AND(#REF!,"AAAAAD//zIg=")</f>
        <v>#REF!</v>
      </c>
      <c r="EH270" t="e">
        <f>AND(#REF!,"AAAAAD//zIk=")</f>
        <v>#REF!</v>
      </c>
      <c r="EI270" t="e">
        <f>AND(#REF!,"AAAAAD//zIo=")</f>
        <v>#REF!</v>
      </c>
      <c r="EJ270" t="e">
        <f>AND(#REF!,"AAAAAD//zIs=")</f>
        <v>#REF!</v>
      </c>
      <c r="EK270" t="e">
        <f>AND(#REF!,"AAAAAD//zIw=")</f>
        <v>#REF!</v>
      </c>
      <c r="EL270" t="e">
        <f>AND(#REF!,"AAAAAD//zI0=")</f>
        <v>#REF!</v>
      </c>
      <c r="EM270" t="e">
        <f>AND(#REF!,"AAAAAD//zI4=")</f>
        <v>#REF!</v>
      </c>
      <c r="EN270" t="e">
        <f>AND(#REF!,"AAAAAD//zI8=")</f>
        <v>#REF!</v>
      </c>
      <c r="EO270" t="e">
        <f>AND(#REF!,"AAAAAD//zJA=")</f>
        <v>#REF!</v>
      </c>
      <c r="EP270" t="e">
        <f>AND(#REF!,"AAAAAD//zJE=")</f>
        <v>#REF!</v>
      </c>
      <c r="EQ270" t="e">
        <f>IF(#REF!,"AAAAAD//zJI=",0)</f>
        <v>#REF!</v>
      </c>
      <c r="ER270" t="e">
        <f>AND(#REF!,"AAAAAD//zJM=")</f>
        <v>#REF!</v>
      </c>
      <c r="ES270" t="e">
        <f>AND(#REF!,"AAAAAD//zJQ=")</f>
        <v>#REF!</v>
      </c>
      <c r="ET270" t="e">
        <f>AND(#REF!,"AAAAAD//zJU=")</f>
        <v>#REF!</v>
      </c>
      <c r="EU270" t="e">
        <f>AND(#REF!,"AAAAAD//zJY=")</f>
        <v>#REF!</v>
      </c>
      <c r="EV270" t="e">
        <f>AND(#REF!,"AAAAAD//zJc=")</f>
        <v>#REF!</v>
      </c>
      <c r="EW270" t="e">
        <f>AND(#REF!,"AAAAAD//zJg=")</f>
        <v>#REF!</v>
      </c>
      <c r="EX270" t="e">
        <f>AND(#REF!,"AAAAAD//zJk=")</f>
        <v>#REF!</v>
      </c>
      <c r="EY270" t="e">
        <f>AND(#REF!,"AAAAAD//zJo=")</f>
        <v>#REF!</v>
      </c>
      <c r="EZ270" t="e">
        <f>AND(#REF!,"AAAAAD//zJs=")</f>
        <v>#REF!</v>
      </c>
      <c r="FA270" t="e">
        <f>AND(#REF!,"AAAAAD//zJw=")</f>
        <v>#REF!</v>
      </c>
      <c r="FB270" t="e">
        <f>IF(#REF!,"AAAAAD//zJ0=",0)</f>
        <v>#REF!</v>
      </c>
      <c r="FC270" t="e">
        <f>AND(#REF!,"AAAAAD//zJ4=")</f>
        <v>#REF!</v>
      </c>
      <c r="FD270" t="e">
        <f>AND(#REF!,"AAAAAD//zJ8=")</f>
        <v>#REF!</v>
      </c>
      <c r="FE270" t="e">
        <f>AND(#REF!,"AAAAAD//zKA=")</f>
        <v>#REF!</v>
      </c>
      <c r="FF270" t="e">
        <f>AND(#REF!,"AAAAAD//zKE=")</f>
        <v>#REF!</v>
      </c>
      <c r="FG270" t="e">
        <f>AND(#REF!,"AAAAAD//zKI=")</f>
        <v>#REF!</v>
      </c>
      <c r="FH270" t="e">
        <f>AND(#REF!,"AAAAAD//zKM=")</f>
        <v>#REF!</v>
      </c>
      <c r="FI270" t="e">
        <f>AND(#REF!,"AAAAAD//zKQ=")</f>
        <v>#REF!</v>
      </c>
      <c r="FJ270" t="e">
        <f>AND(#REF!,"AAAAAD//zKU=")</f>
        <v>#REF!</v>
      </c>
      <c r="FK270" t="e">
        <f>AND(#REF!,"AAAAAD//zKY=")</f>
        <v>#REF!</v>
      </c>
      <c r="FL270" t="e">
        <f>AND(#REF!,"AAAAAD//zKc=")</f>
        <v>#REF!</v>
      </c>
      <c r="FM270" t="e">
        <f>IF(#REF!,"AAAAAD//zKg=",0)</f>
        <v>#REF!</v>
      </c>
      <c r="FN270" t="e">
        <f>AND(#REF!,"AAAAAD//zKk=")</f>
        <v>#REF!</v>
      </c>
      <c r="FO270" t="e">
        <f>AND(#REF!,"AAAAAD//zKo=")</f>
        <v>#REF!</v>
      </c>
      <c r="FP270" t="e">
        <f>AND(#REF!,"AAAAAD//zKs=")</f>
        <v>#REF!</v>
      </c>
      <c r="FQ270" t="e">
        <f>AND(#REF!,"AAAAAD//zKw=")</f>
        <v>#REF!</v>
      </c>
      <c r="FR270" t="e">
        <f>AND(#REF!,"AAAAAD//zK0=")</f>
        <v>#REF!</v>
      </c>
      <c r="FS270" t="e">
        <f>AND(#REF!,"AAAAAD//zK4=")</f>
        <v>#REF!</v>
      </c>
      <c r="FT270" t="e">
        <f>AND(#REF!,"AAAAAD//zK8=")</f>
        <v>#REF!</v>
      </c>
      <c r="FU270" t="e">
        <f>AND(#REF!,"AAAAAD//zLA=")</f>
        <v>#REF!</v>
      </c>
      <c r="FV270" t="e">
        <f>AND(#REF!,"AAAAAD//zLE=")</f>
        <v>#REF!</v>
      </c>
      <c r="FW270" t="e">
        <f>AND(#REF!,"AAAAAD//zLI=")</f>
        <v>#REF!</v>
      </c>
      <c r="FX270" t="e">
        <f>IF(#REF!,"AAAAAD//zLM=",0)</f>
        <v>#REF!</v>
      </c>
      <c r="FY270" t="e">
        <f>AND(#REF!,"AAAAAD//zLQ=")</f>
        <v>#REF!</v>
      </c>
      <c r="FZ270" t="e">
        <f>AND(#REF!,"AAAAAD//zLU=")</f>
        <v>#REF!</v>
      </c>
      <c r="GA270" t="e">
        <f>AND(#REF!,"AAAAAD//zLY=")</f>
        <v>#REF!</v>
      </c>
      <c r="GB270" t="e">
        <f>AND(#REF!,"AAAAAD//zLc=")</f>
        <v>#REF!</v>
      </c>
      <c r="GC270" t="e">
        <f>AND(#REF!,"AAAAAD//zLg=")</f>
        <v>#REF!</v>
      </c>
      <c r="GD270" t="e">
        <f>AND(#REF!,"AAAAAD//zLk=")</f>
        <v>#REF!</v>
      </c>
      <c r="GE270" t="e">
        <f>AND(#REF!,"AAAAAD//zLo=")</f>
        <v>#REF!</v>
      </c>
      <c r="GF270" t="e">
        <f>AND(#REF!,"AAAAAD//zLs=")</f>
        <v>#REF!</v>
      </c>
      <c r="GG270" t="e">
        <f>AND(#REF!,"AAAAAD//zLw=")</f>
        <v>#REF!</v>
      </c>
      <c r="GH270" t="e">
        <f>AND(#REF!,"AAAAAD//zL0=")</f>
        <v>#REF!</v>
      </c>
      <c r="GI270" t="e">
        <f>IF(#REF!,"AAAAAD//zL4=",0)</f>
        <v>#REF!</v>
      </c>
      <c r="GJ270" t="e">
        <f>AND(#REF!,"AAAAAD//zL8=")</f>
        <v>#REF!</v>
      </c>
      <c r="GK270" t="e">
        <f>AND(#REF!,"AAAAAD//zMA=")</f>
        <v>#REF!</v>
      </c>
      <c r="GL270" t="e">
        <f>AND(#REF!,"AAAAAD//zME=")</f>
        <v>#REF!</v>
      </c>
      <c r="GM270" t="e">
        <f>AND(#REF!,"AAAAAD//zMI=")</f>
        <v>#REF!</v>
      </c>
      <c r="GN270" t="e">
        <f>AND(#REF!,"AAAAAD//zMM=")</f>
        <v>#REF!</v>
      </c>
      <c r="GO270" t="e">
        <f>AND(#REF!,"AAAAAD//zMQ=")</f>
        <v>#REF!</v>
      </c>
      <c r="GP270" t="e">
        <f>AND(#REF!,"AAAAAD//zMU=")</f>
        <v>#REF!</v>
      </c>
      <c r="GQ270" t="e">
        <f>AND(#REF!,"AAAAAD//zMY=")</f>
        <v>#REF!</v>
      </c>
      <c r="GR270" t="e">
        <f>AND(#REF!,"AAAAAD//zMc=")</f>
        <v>#REF!</v>
      </c>
      <c r="GS270" t="e">
        <f>AND(#REF!,"AAAAAD//zMg=")</f>
        <v>#REF!</v>
      </c>
      <c r="GT270" t="e">
        <f>IF(#REF!,"AAAAAD//zMk=",0)</f>
        <v>#REF!</v>
      </c>
      <c r="GU270" t="e">
        <f>AND(#REF!,"AAAAAD//zMo=")</f>
        <v>#REF!</v>
      </c>
      <c r="GV270" t="e">
        <f>AND(#REF!,"AAAAAD//zMs=")</f>
        <v>#REF!</v>
      </c>
      <c r="GW270" t="e">
        <f>AND(#REF!,"AAAAAD//zMw=")</f>
        <v>#REF!</v>
      </c>
      <c r="GX270" t="e">
        <f>AND(#REF!,"AAAAAD//zM0=")</f>
        <v>#REF!</v>
      </c>
      <c r="GY270" t="e">
        <f>AND(#REF!,"AAAAAD//zM4=")</f>
        <v>#REF!</v>
      </c>
      <c r="GZ270" t="e">
        <f>AND(#REF!,"AAAAAD//zM8=")</f>
        <v>#REF!</v>
      </c>
      <c r="HA270" t="e">
        <f>AND(#REF!,"AAAAAD//zNA=")</f>
        <v>#REF!</v>
      </c>
      <c r="HB270" t="e">
        <f>AND(#REF!,"AAAAAD//zNE=")</f>
        <v>#REF!</v>
      </c>
      <c r="HC270" t="e">
        <f>AND(#REF!,"AAAAAD//zNI=")</f>
        <v>#REF!</v>
      </c>
      <c r="HD270" t="e">
        <f>AND(#REF!,"AAAAAD//zNM=")</f>
        <v>#REF!</v>
      </c>
      <c r="HE270" t="e">
        <f>IF(#REF!,"AAAAAD//zNQ=",0)</f>
        <v>#REF!</v>
      </c>
      <c r="HF270" t="e">
        <f>AND(#REF!,"AAAAAD//zNU=")</f>
        <v>#REF!</v>
      </c>
      <c r="HG270" t="e">
        <f>AND(#REF!,"AAAAAD//zNY=")</f>
        <v>#REF!</v>
      </c>
      <c r="HH270" t="e">
        <f>AND(#REF!,"AAAAAD//zNc=")</f>
        <v>#REF!</v>
      </c>
      <c r="HI270" t="e">
        <f>AND(#REF!,"AAAAAD//zNg=")</f>
        <v>#REF!</v>
      </c>
      <c r="HJ270" t="e">
        <f>AND(#REF!,"AAAAAD//zNk=")</f>
        <v>#REF!</v>
      </c>
      <c r="HK270" t="e">
        <f>AND(#REF!,"AAAAAD//zNo=")</f>
        <v>#REF!</v>
      </c>
      <c r="HL270" t="e">
        <f>AND(#REF!,"AAAAAD//zNs=")</f>
        <v>#REF!</v>
      </c>
      <c r="HM270" t="e">
        <f>AND(#REF!,"AAAAAD//zNw=")</f>
        <v>#REF!</v>
      </c>
      <c r="HN270" t="e">
        <f>AND(#REF!,"AAAAAD//zN0=")</f>
        <v>#REF!</v>
      </c>
      <c r="HO270" t="e">
        <f>AND(#REF!,"AAAAAD//zN4=")</f>
        <v>#REF!</v>
      </c>
      <c r="HP270" t="e">
        <f>IF(#REF!,"AAAAAD//zN8=",0)</f>
        <v>#REF!</v>
      </c>
      <c r="HQ270" t="e">
        <f>AND(#REF!,"AAAAAD//zOA=")</f>
        <v>#REF!</v>
      </c>
      <c r="HR270" t="e">
        <f>AND(#REF!,"AAAAAD//zOE=")</f>
        <v>#REF!</v>
      </c>
      <c r="HS270" t="e">
        <f>AND(#REF!,"AAAAAD//zOI=")</f>
        <v>#REF!</v>
      </c>
      <c r="HT270" t="e">
        <f>AND(#REF!,"AAAAAD//zOM=")</f>
        <v>#REF!</v>
      </c>
      <c r="HU270" t="e">
        <f>AND(#REF!,"AAAAAD//zOQ=")</f>
        <v>#REF!</v>
      </c>
      <c r="HV270" t="e">
        <f>AND(#REF!,"AAAAAD//zOU=")</f>
        <v>#REF!</v>
      </c>
      <c r="HW270" t="e">
        <f>AND(#REF!,"AAAAAD//zOY=")</f>
        <v>#REF!</v>
      </c>
      <c r="HX270" t="e">
        <f>AND(#REF!,"AAAAAD//zOc=")</f>
        <v>#REF!</v>
      </c>
      <c r="HY270" t="e">
        <f>AND(#REF!,"AAAAAD//zOg=")</f>
        <v>#REF!</v>
      </c>
      <c r="HZ270" t="e">
        <f>AND(#REF!,"AAAAAD//zOk=")</f>
        <v>#REF!</v>
      </c>
      <c r="IA270" t="e">
        <f>IF(#REF!,"AAAAAD//zOo=",0)</f>
        <v>#REF!</v>
      </c>
      <c r="IB270" t="e">
        <f>AND(#REF!,"AAAAAD//zOs=")</f>
        <v>#REF!</v>
      </c>
      <c r="IC270" t="e">
        <f>AND(#REF!,"AAAAAD//zOw=")</f>
        <v>#REF!</v>
      </c>
      <c r="ID270" t="e">
        <f>AND(#REF!,"AAAAAD//zO0=")</f>
        <v>#REF!</v>
      </c>
      <c r="IE270" t="e">
        <f>AND(#REF!,"AAAAAD//zO4=")</f>
        <v>#REF!</v>
      </c>
      <c r="IF270" t="e">
        <f>AND(#REF!,"AAAAAD//zO8=")</f>
        <v>#REF!</v>
      </c>
      <c r="IG270" t="e">
        <f>AND(#REF!,"AAAAAD//zPA=")</f>
        <v>#REF!</v>
      </c>
      <c r="IH270" t="e">
        <f>AND(#REF!,"AAAAAD//zPE=")</f>
        <v>#REF!</v>
      </c>
      <c r="II270" t="e">
        <f>AND(#REF!,"AAAAAD//zPI=")</f>
        <v>#REF!</v>
      </c>
      <c r="IJ270" t="e">
        <f>AND(#REF!,"AAAAAD//zPM=")</f>
        <v>#REF!</v>
      </c>
      <c r="IK270" t="e">
        <f>AND(#REF!,"AAAAAD//zPQ=")</f>
        <v>#REF!</v>
      </c>
      <c r="IL270" t="e">
        <f>IF(#REF!,"AAAAAD//zPU=",0)</f>
        <v>#REF!</v>
      </c>
      <c r="IM270" t="e">
        <f>AND(#REF!,"AAAAAD//zPY=")</f>
        <v>#REF!</v>
      </c>
      <c r="IN270" t="e">
        <f>AND(#REF!,"AAAAAD//zPc=")</f>
        <v>#REF!</v>
      </c>
      <c r="IO270" t="e">
        <f>AND(#REF!,"AAAAAD//zPg=")</f>
        <v>#REF!</v>
      </c>
      <c r="IP270" t="e">
        <f>AND(#REF!,"AAAAAD//zPk=")</f>
        <v>#REF!</v>
      </c>
      <c r="IQ270" t="e">
        <f>AND(#REF!,"AAAAAD//zPo=")</f>
        <v>#REF!</v>
      </c>
      <c r="IR270" t="e">
        <f>AND(#REF!,"AAAAAD//zPs=")</f>
        <v>#REF!</v>
      </c>
      <c r="IS270" t="e">
        <f>AND(#REF!,"AAAAAD//zPw=")</f>
        <v>#REF!</v>
      </c>
      <c r="IT270" t="e">
        <f>AND(#REF!,"AAAAAD//zP0=")</f>
        <v>#REF!</v>
      </c>
      <c r="IU270" t="e">
        <f>AND(#REF!,"AAAAAD//zP4=")</f>
        <v>#REF!</v>
      </c>
      <c r="IV270" t="e">
        <f>AND(#REF!,"AAAAAD//zP8=")</f>
        <v>#REF!</v>
      </c>
    </row>
    <row r="271" spans="1:256" x14ac:dyDescent="0.25">
      <c r="A271" t="e">
        <f>IF(#REF!,"AAAAAG/vawA=",0)</f>
        <v>#REF!</v>
      </c>
      <c r="B271" t="e">
        <f>AND(#REF!,"AAAAAG/vawE=")</f>
        <v>#REF!</v>
      </c>
      <c r="C271" t="e">
        <f>AND(#REF!,"AAAAAG/vawI=")</f>
        <v>#REF!</v>
      </c>
      <c r="D271" t="e">
        <f>AND(#REF!,"AAAAAG/vawM=")</f>
        <v>#REF!</v>
      </c>
      <c r="E271" t="e">
        <f>AND(#REF!,"AAAAAG/vawQ=")</f>
        <v>#REF!</v>
      </c>
      <c r="F271" t="e">
        <f>AND(#REF!,"AAAAAG/vawU=")</f>
        <v>#REF!</v>
      </c>
      <c r="G271" t="e">
        <f>AND(#REF!,"AAAAAG/vawY=")</f>
        <v>#REF!</v>
      </c>
      <c r="H271" t="e">
        <f>AND(#REF!,"AAAAAG/vawc=")</f>
        <v>#REF!</v>
      </c>
      <c r="I271" t="e">
        <f>AND(#REF!,"AAAAAG/vawg=")</f>
        <v>#REF!</v>
      </c>
      <c r="J271" t="e">
        <f>AND(#REF!,"AAAAAG/vawk=")</f>
        <v>#REF!</v>
      </c>
      <c r="K271" t="e">
        <f>AND(#REF!,"AAAAAG/vawo=")</f>
        <v>#REF!</v>
      </c>
      <c r="L271" t="e">
        <f>IF(#REF!,"AAAAAG/vaws=",0)</f>
        <v>#REF!</v>
      </c>
      <c r="M271" t="e">
        <f>AND(#REF!,"AAAAAG/vaww=")</f>
        <v>#REF!</v>
      </c>
      <c r="N271" t="e">
        <f>AND(#REF!,"AAAAAG/vaw0=")</f>
        <v>#REF!</v>
      </c>
      <c r="O271" t="e">
        <f>AND(#REF!,"AAAAAG/vaw4=")</f>
        <v>#REF!</v>
      </c>
      <c r="P271" t="e">
        <f>AND(#REF!,"AAAAAG/vaw8=")</f>
        <v>#REF!</v>
      </c>
      <c r="Q271" t="e">
        <f>AND(#REF!,"AAAAAG/vaxA=")</f>
        <v>#REF!</v>
      </c>
      <c r="R271" t="e">
        <f>AND(#REF!,"AAAAAG/vaxE=")</f>
        <v>#REF!</v>
      </c>
      <c r="S271" t="e">
        <f>AND(#REF!,"AAAAAG/vaxI=")</f>
        <v>#REF!</v>
      </c>
      <c r="T271" t="e">
        <f>AND(#REF!,"AAAAAG/vaxM=")</f>
        <v>#REF!</v>
      </c>
      <c r="U271" t="e">
        <f>AND(#REF!,"AAAAAG/vaxQ=")</f>
        <v>#REF!</v>
      </c>
      <c r="V271" t="e">
        <f>AND(#REF!,"AAAAAG/vaxU=")</f>
        <v>#REF!</v>
      </c>
      <c r="W271" t="e">
        <f>IF(#REF!,"AAAAAG/vaxY=",0)</f>
        <v>#REF!</v>
      </c>
      <c r="X271" t="e">
        <f>AND(#REF!,"AAAAAG/vaxc=")</f>
        <v>#REF!</v>
      </c>
      <c r="Y271" t="e">
        <f>AND(#REF!,"AAAAAG/vaxg=")</f>
        <v>#REF!</v>
      </c>
      <c r="Z271" t="e">
        <f>AND(#REF!,"AAAAAG/vaxk=")</f>
        <v>#REF!</v>
      </c>
      <c r="AA271" t="e">
        <f>AND(#REF!,"AAAAAG/vaxo=")</f>
        <v>#REF!</v>
      </c>
      <c r="AB271" t="e">
        <f>AND(#REF!,"AAAAAG/vaxs=")</f>
        <v>#REF!</v>
      </c>
      <c r="AC271" t="e">
        <f>AND(#REF!,"AAAAAG/vaxw=")</f>
        <v>#REF!</v>
      </c>
      <c r="AD271" t="e">
        <f>AND(#REF!,"AAAAAG/vax0=")</f>
        <v>#REF!</v>
      </c>
      <c r="AE271" t="e">
        <f>AND(#REF!,"AAAAAG/vax4=")</f>
        <v>#REF!</v>
      </c>
      <c r="AF271" t="e">
        <f>AND(#REF!,"AAAAAG/vax8=")</f>
        <v>#REF!</v>
      </c>
      <c r="AG271" t="e">
        <f>AND(#REF!,"AAAAAG/vayA=")</f>
        <v>#REF!</v>
      </c>
      <c r="AH271" t="e">
        <f>IF(#REF!,"AAAAAG/vayE=",0)</f>
        <v>#REF!</v>
      </c>
      <c r="AI271" t="e">
        <f>AND(#REF!,"AAAAAG/vayI=")</f>
        <v>#REF!</v>
      </c>
      <c r="AJ271" t="e">
        <f>AND(#REF!,"AAAAAG/vayM=")</f>
        <v>#REF!</v>
      </c>
      <c r="AK271" t="e">
        <f>AND(#REF!,"AAAAAG/vayQ=")</f>
        <v>#REF!</v>
      </c>
      <c r="AL271" t="e">
        <f>AND(#REF!,"AAAAAG/vayU=")</f>
        <v>#REF!</v>
      </c>
      <c r="AM271" t="e">
        <f>AND(#REF!,"AAAAAG/vayY=")</f>
        <v>#REF!</v>
      </c>
      <c r="AN271" t="e">
        <f>AND(#REF!,"AAAAAG/vayc=")</f>
        <v>#REF!</v>
      </c>
      <c r="AO271" t="e">
        <f>AND(#REF!,"AAAAAG/vayg=")</f>
        <v>#REF!</v>
      </c>
      <c r="AP271" t="e">
        <f>AND(#REF!,"AAAAAG/vayk=")</f>
        <v>#REF!</v>
      </c>
      <c r="AQ271" t="e">
        <f>AND(#REF!,"AAAAAG/vayo=")</f>
        <v>#REF!</v>
      </c>
      <c r="AR271" t="e">
        <f>AND(#REF!,"AAAAAG/vays=")</f>
        <v>#REF!</v>
      </c>
      <c r="AS271" t="e">
        <f>IF(#REF!,"AAAAAG/vayw=",0)</f>
        <v>#REF!</v>
      </c>
      <c r="AT271" t="e">
        <f>AND(#REF!,"AAAAAG/vay0=")</f>
        <v>#REF!</v>
      </c>
      <c r="AU271" t="e">
        <f>AND(#REF!,"AAAAAG/vay4=")</f>
        <v>#REF!</v>
      </c>
      <c r="AV271" t="e">
        <f>AND(#REF!,"AAAAAG/vay8=")</f>
        <v>#REF!</v>
      </c>
      <c r="AW271" t="e">
        <f>AND(#REF!,"AAAAAG/vazA=")</f>
        <v>#REF!</v>
      </c>
      <c r="AX271" t="e">
        <f>AND(#REF!,"AAAAAG/vazE=")</f>
        <v>#REF!</v>
      </c>
      <c r="AY271" t="e">
        <f>AND(#REF!,"AAAAAG/vazI=")</f>
        <v>#REF!</v>
      </c>
      <c r="AZ271" t="e">
        <f>AND(#REF!,"AAAAAG/vazM=")</f>
        <v>#REF!</v>
      </c>
      <c r="BA271" t="e">
        <f>AND(#REF!,"AAAAAG/vazQ=")</f>
        <v>#REF!</v>
      </c>
      <c r="BB271" t="e">
        <f>AND(#REF!,"AAAAAG/vazU=")</f>
        <v>#REF!</v>
      </c>
      <c r="BC271" t="e">
        <f>AND(#REF!,"AAAAAG/vazY=")</f>
        <v>#REF!</v>
      </c>
      <c r="BD271" t="e">
        <f>IF(#REF!,"AAAAAG/vazc=",0)</f>
        <v>#REF!</v>
      </c>
      <c r="BE271" t="e">
        <f>AND(#REF!,"AAAAAG/vazg=")</f>
        <v>#REF!</v>
      </c>
      <c r="BF271" t="e">
        <f>AND(#REF!,"AAAAAG/vazk=")</f>
        <v>#REF!</v>
      </c>
      <c r="BG271" t="e">
        <f>AND(#REF!,"AAAAAG/vazo=")</f>
        <v>#REF!</v>
      </c>
      <c r="BH271" t="e">
        <f>AND(#REF!,"AAAAAG/vazs=")</f>
        <v>#REF!</v>
      </c>
      <c r="BI271" t="e">
        <f>AND(#REF!,"AAAAAG/vazw=")</f>
        <v>#REF!</v>
      </c>
      <c r="BJ271" t="e">
        <f>AND(#REF!,"AAAAAG/vaz0=")</f>
        <v>#REF!</v>
      </c>
      <c r="BK271" t="e">
        <f>AND(#REF!,"AAAAAG/vaz4=")</f>
        <v>#REF!</v>
      </c>
      <c r="BL271" t="e">
        <f>AND(#REF!,"AAAAAG/vaz8=")</f>
        <v>#REF!</v>
      </c>
      <c r="BM271" t="e">
        <f>AND(#REF!,"AAAAAG/va0A=")</f>
        <v>#REF!</v>
      </c>
      <c r="BN271" t="e">
        <f>AND(#REF!,"AAAAAG/va0E=")</f>
        <v>#REF!</v>
      </c>
      <c r="BO271" t="e">
        <f>IF(#REF!,"AAAAAG/va0I=",0)</f>
        <v>#REF!</v>
      </c>
      <c r="BP271" t="e">
        <f>AND(#REF!,"AAAAAG/va0M=")</f>
        <v>#REF!</v>
      </c>
      <c r="BQ271" t="e">
        <f>AND(#REF!,"AAAAAG/va0Q=")</f>
        <v>#REF!</v>
      </c>
      <c r="BR271" t="e">
        <f>AND(#REF!,"AAAAAG/va0U=")</f>
        <v>#REF!</v>
      </c>
      <c r="BS271" t="e">
        <f>AND(#REF!,"AAAAAG/va0Y=")</f>
        <v>#REF!</v>
      </c>
      <c r="BT271" t="e">
        <f>AND(#REF!,"AAAAAG/va0c=")</f>
        <v>#REF!</v>
      </c>
      <c r="BU271" t="e">
        <f>AND(#REF!,"AAAAAG/va0g=")</f>
        <v>#REF!</v>
      </c>
      <c r="BV271" t="e">
        <f>AND(#REF!,"AAAAAG/va0k=")</f>
        <v>#REF!</v>
      </c>
      <c r="BW271" t="e">
        <f>AND(#REF!,"AAAAAG/va0o=")</f>
        <v>#REF!</v>
      </c>
      <c r="BX271" t="e">
        <f>AND(#REF!,"AAAAAG/va0s=")</f>
        <v>#REF!</v>
      </c>
      <c r="BY271" t="e">
        <f>AND(#REF!,"AAAAAG/va0w=")</f>
        <v>#REF!</v>
      </c>
      <c r="BZ271" t="e">
        <f>IF(#REF!,"AAAAAG/va00=",0)</f>
        <v>#REF!</v>
      </c>
      <c r="CA271" t="e">
        <f>AND(#REF!,"AAAAAG/va04=")</f>
        <v>#REF!</v>
      </c>
      <c r="CB271" t="e">
        <f>AND(#REF!,"AAAAAG/va08=")</f>
        <v>#REF!</v>
      </c>
      <c r="CC271" t="e">
        <f>AND(#REF!,"AAAAAG/va1A=")</f>
        <v>#REF!</v>
      </c>
      <c r="CD271" t="e">
        <f>AND(#REF!,"AAAAAG/va1E=")</f>
        <v>#REF!</v>
      </c>
      <c r="CE271" t="e">
        <f>AND(#REF!,"AAAAAG/va1I=")</f>
        <v>#REF!</v>
      </c>
      <c r="CF271" t="e">
        <f>AND(#REF!,"AAAAAG/va1M=")</f>
        <v>#REF!</v>
      </c>
      <c r="CG271" t="e">
        <f>AND(#REF!,"AAAAAG/va1Q=")</f>
        <v>#REF!</v>
      </c>
      <c r="CH271" t="e">
        <f>AND(#REF!,"AAAAAG/va1U=")</f>
        <v>#REF!</v>
      </c>
      <c r="CI271" t="e">
        <f>AND(#REF!,"AAAAAG/va1Y=")</f>
        <v>#REF!</v>
      </c>
      <c r="CJ271" t="e">
        <f>AND(#REF!,"AAAAAG/va1c=")</f>
        <v>#REF!</v>
      </c>
      <c r="CK271" t="e">
        <f>IF(#REF!,"AAAAAG/va1g=",0)</f>
        <v>#REF!</v>
      </c>
      <c r="CL271" t="e">
        <f>AND(#REF!,"AAAAAG/va1k=")</f>
        <v>#REF!</v>
      </c>
      <c r="CM271" t="e">
        <f>AND(#REF!,"AAAAAG/va1o=")</f>
        <v>#REF!</v>
      </c>
      <c r="CN271" t="e">
        <f>AND(#REF!,"AAAAAG/va1s=")</f>
        <v>#REF!</v>
      </c>
      <c r="CO271" t="e">
        <f>AND(#REF!,"AAAAAG/va1w=")</f>
        <v>#REF!</v>
      </c>
      <c r="CP271" t="e">
        <f>AND(#REF!,"AAAAAG/va10=")</f>
        <v>#REF!</v>
      </c>
      <c r="CQ271" t="e">
        <f>AND(#REF!,"AAAAAG/va14=")</f>
        <v>#REF!</v>
      </c>
      <c r="CR271" t="e">
        <f>AND(#REF!,"AAAAAG/va18=")</f>
        <v>#REF!</v>
      </c>
      <c r="CS271" t="e">
        <f>AND(#REF!,"AAAAAG/va2A=")</f>
        <v>#REF!</v>
      </c>
      <c r="CT271" t="e">
        <f>AND(#REF!,"AAAAAG/va2E=")</f>
        <v>#REF!</v>
      </c>
      <c r="CU271" t="e">
        <f>AND(#REF!,"AAAAAG/va2I=")</f>
        <v>#REF!</v>
      </c>
      <c r="CV271" t="e">
        <f>IF(#REF!,"AAAAAG/va2M=",0)</f>
        <v>#REF!</v>
      </c>
      <c r="CW271" t="e">
        <f>AND(#REF!,"AAAAAG/va2Q=")</f>
        <v>#REF!</v>
      </c>
      <c r="CX271" t="e">
        <f>AND(#REF!,"AAAAAG/va2U=")</f>
        <v>#REF!</v>
      </c>
      <c r="CY271" t="e">
        <f>AND(#REF!,"AAAAAG/va2Y=")</f>
        <v>#REF!</v>
      </c>
      <c r="CZ271" t="e">
        <f>AND(#REF!,"AAAAAG/va2c=")</f>
        <v>#REF!</v>
      </c>
      <c r="DA271" t="e">
        <f>AND(#REF!,"AAAAAG/va2g=")</f>
        <v>#REF!</v>
      </c>
      <c r="DB271" t="e">
        <f>AND(#REF!,"AAAAAG/va2k=")</f>
        <v>#REF!</v>
      </c>
      <c r="DC271" t="e">
        <f>AND(#REF!,"AAAAAG/va2o=")</f>
        <v>#REF!</v>
      </c>
      <c r="DD271" t="e">
        <f>AND(#REF!,"AAAAAG/va2s=")</f>
        <v>#REF!</v>
      </c>
      <c r="DE271" t="e">
        <f>AND(#REF!,"AAAAAG/va2w=")</f>
        <v>#REF!</v>
      </c>
      <c r="DF271" t="e">
        <f>AND(#REF!,"AAAAAG/va20=")</f>
        <v>#REF!</v>
      </c>
      <c r="DG271" t="e">
        <f>IF(#REF!,"AAAAAG/va24=",0)</f>
        <v>#REF!</v>
      </c>
      <c r="DH271" t="e">
        <f>AND(#REF!,"AAAAAG/va28=")</f>
        <v>#REF!</v>
      </c>
      <c r="DI271" t="e">
        <f>AND(#REF!,"AAAAAG/va3A=")</f>
        <v>#REF!</v>
      </c>
      <c r="DJ271" t="e">
        <f>AND(#REF!,"AAAAAG/va3E=")</f>
        <v>#REF!</v>
      </c>
      <c r="DK271" t="e">
        <f>AND(#REF!,"AAAAAG/va3I=")</f>
        <v>#REF!</v>
      </c>
      <c r="DL271" t="e">
        <f>AND(#REF!,"AAAAAG/va3M=")</f>
        <v>#REF!</v>
      </c>
      <c r="DM271" t="e">
        <f>AND(#REF!,"AAAAAG/va3Q=")</f>
        <v>#REF!</v>
      </c>
      <c r="DN271" t="e">
        <f>AND(#REF!,"AAAAAG/va3U=")</f>
        <v>#REF!</v>
      </c>
      <c r="DO271" t="e">
        <f>AND(#REF!,"AAAAAG/va3Y=")</f>
        <v>#REF!</v>
      </c>
      <c r="DP271" t="e">
        <f>AND(#REF!,"AAAAAG/va3c=")</f>
        <v>#REF!</v>
      </c>
      <c r="DQ271" t="e">
        <f>AND(#REF!,"AAAAAG/va3g=")</f>
        <v>#REF!</v>
      </c>
      <c r="DR271" t="e">
        <f>IF(#REF!,"AAAAAG/va3k=",0)</f>
        <v>#REF!</v>
      </c>
      <c r="DS271" t="e">
        <f>AND(#REF!,"AAAAAG/va3o=")</f>
        <v>#REF!</v>
      </c>
      <c r="DT271" t="e">
        <f>AND(#REF!,"AAAAAG/va3s=")</f>
        <v>#REF!</v>
      </c>
      <c r="DU271" t="e">
        <f>AND(#REF!,"AAAAAG/va3w=")</f>
        <v>#REF!</v>
      </c>
      <c r="DV271" t="e">
        <f>AND(#REF!,"AAAAAG/va30=")</f>
        <v>#REF!</v>
      </c>
      <c r="DW271" t="e">
        <f>AND(#REF!,"AAAAAG/va34=")</f>
        <v>#REF!</v>
      </c>
      <c r="DX271" t="e">
        <f>AND(#REF!,"AAAAAG/va38=")</f>
        <v>#REF!</v>
      </c>
      <c r="DY271" t="e">
        <f>AND(#REF!,"AAAAAG/va4A=")</f>
        <v>#REF!</v>
      </c>
      <c r="DZ271" t="e">
        <f>AND(#REF!,"AAAAAG/va4E=")</f>
        <v>#REF!</v>
      </c>
      <c r="EA271" t="e">
        <f>AND(#REF!,"AAAAAG/va4I=")</f>
        <v>#REF!</v>
      </c>
      <c r="EB271" t="e">
        <f>AND(#REF!,"AAAAAG/va4M=")</f>
        <v>#REF!</v>
      </c>
      <c r="EC271" t="e">
        <f>IF(#REF!,"AAAAAG/va4Q=",0)</f>
        <v>#REF!</v>
      </c>
      <c r="ED271" t="e">
        <f>AND(#REF!,"AAAAAG/va4U=")</f>
        <v>#REF!</v>
      </c>
      <c r="EE271" t="e">
        <f>AND(#REF!,"AAAAAG/va4Y=")</f>
        <v>#REF!</v>
      </c>
      <c r="EF271" t="e">
        <f>AND(#REF!,"AAAAAG/va4c=")</f>
        <v>#REF!</v>
      </c>
      <c r="EG271" t="e">
        <f>AND(#REF!,"AAAAAG/va4g=")</f>
        <v>#REF!</v>
      </c>
      <c r="EH271" t="e">
        <f>AND(#REF!,"AAAAAG/va4k=")</f>
        <v>#REF!</v>
      </c>
      <c r="EI271" t="e">
        <f>AND(#REF!,"AAAAAG/va4o=")</f>
        <v>#REF!</v>
      </c>
      <c r="EJ271" t="e">
        <f>AND(#REF!,"AAAAAG/va4s=")</f>
        <v>#REF!</v>
      </c>
      <c r="EK271" t="e">
        <f>AND(#REF!,"AAAAAG/va4w=")</f>
        <v>#REF!</v>
      </c>
      <c r="EL271" t="e">
        <f>AND(#REF!,"AAAAAG/va40=")</f>
        <v>#REF!</v>
      </c>
      <c r="EM271" t="e">
        <f>AND(#REF!,"AAAAAG/va44=")</f>
        <v>#REF!</v>
      </c>
      <c r="EN271" t="e">
        <f>IF(#REF!,"AAAAAG/va48=",0)</f>
        <v>#REF!</v>
      </c>
      <c r="EO271" t="e">
        <f>AND(#REF!,"AAAAAG/va5A=")</f>
        <v>#REF!</v>
      </c>
      <c r="EP271" t="e">
        <f>AND(#REF!,"AAAAAG/va5E=")</f>
        <v>#REF!</v>
      </c>
      <c r="EQ271" t="e">
        <f>AND(#REF!,"AAAAAG/va5I=")</f>
        <v>#REF!</v>
      </c>
      <c r="ER271" t="e">
        <f>AND(#REF!,"AAAAAG/va5M=")</f>
        <v>#REF!</v>
      </c>
      <c r="ES271" t="e">
        <f>AND(#REF!,"AAAAAG/va5Q=")</f>
        <v>#REF!</v>
      </c>
      <c r="ET271" t="e">
        <f>AND(#REF!,"AAAAAG/va5U=")</f>
        <v>#REF!</v>
      </c>
      <c r="EU271" t="e">
        <f>AND(#REF!,"AAAAAG/va5Y=")</f>
        <v>#REF!</v>
      </c>
      <c r="EV271" t="e">
        <f>AND(#REF!,"AAAAAG/va5c=")</f>
        <v>#REF!</v>
      </c>
      <c r="EW271" t="e">
        <f>AND(#REF!,"AAAAAG/va5g=")</f>
        <v>#REF!</v>
      </c>
      <c r="EX271" t="e">
        <f>AND(#REF!,"AAAAAG/va5k=")</f>
        <v>#REF!</v>
      </c>
      <c r="EY271" t="e">
        <f>IF(#REF!,"AAAAAG/va5o=",0)</f>
        <v>#REF!</v>
      </c>
      <c r="EZ271" t="e">
        <f>AND(#REF!,"AAAAAG/va5s=")</f>
        <v>#REF!</v>
      </c>
      <c r="FA271" t="e">
        <f>AND(#REF!,"AAAAAG/va5w=")</f>
        <v>#REF!</v>
      </c>
      <c r="FB271" t="e">
        <f>AND(#REF!,"AAAAAG/va50=")</f>
        <v>#REF!</v>
      </c>
      <c r="FC271" t="e">
        <f>AND(#REF!,"AAAAAG/va54=")</f>
        <v>#REF!</v>
      </c>
      <c r="FD271" t="e">
        <f>AND(#REF!,"AAAAAG/va58=")</f>
        <v>#REF!</v>
      </c>
      <c r="FE271" t="e">
        <f>AND(#REF!,"AAAAAG/va6A=")</f>
        <v>#REF!</v>
      </c>
      <c r="FF271" t="e">
        <f>AND(#REF!,"AAAAAG/va6E=")</f>
        <v>#REF!</v>
      </c>
      <c r="FG271" t="e">
        <f>AND(#REF!,"AAAAAG/va6I=")</f>
        <v>#REF!</v>
      </c>
      <c r="FH271" t="e">
        <f>AND(#REF!,"AAAAAG/va6M=")</f>
        <v>#REF!</v>
      </c>
      <c r="FI271" t="e">
        <f>AND(#REF!,"AAAAAG/va6Q=")</f>
        <v>#REF!</v>
      </c>
      <c r="FJ271" t="e">
        <f>IF(#REF!,"AAAAAG/va6U=",0)</f>
        <v>#REF!</v>
      </c>
      <c r="FK271" t="e">
        <f>AND(#REF!,"AAAAAG/va6Y=")</f>
        <v>#REF!</v>
      </c>
      <c r="FL271" t="e">
        <f>AND(#REF!,"AAAAAG/va6c=")</f>
        <v>#REF!</v>
      </c>
      <c r="FM271" t="e">
        <f>AND(#REF!,"AAAAAG/va6g=")</f>
        <v>#REF!</v>
      </c>
      <c r="FN271" t="e">
        <f>AND(#REF!,"AAAAAG/va6k=")</f>
        <v>#REF!</v>
      </c>
      <c r="FO271" t="e">
        <f>AND(#REF!,"AAAAAG/va6o=")</f>
        <v>#REF!</v>
      </c>
      <c r="FP271" t="e">
        <f>AND(#REF!,"AAAAAG/va6s=")</f>
        <v>#REF!</v>
      </c>
      <c r="FQ271" t="e">
        <f>AND(#REF!,"AAAAAG/va6w=")</f>
        <v>#REF!</v>
      </c>
      <c r="FR271" t="e">
        <f>AND(#REF!,"AAAAAG/va60=")</f>
        <v>#REF!</v>
      </c>
      <c r="FS271" t="e">
        <f>AND(#REF!,"AAAAAG/va64=")</f>
        <v>#REF!</v>
      </c>
      <c r="FT271" t="e">
        <f>AND(#REF!,"AAAAAG/va68=")</f>
        <v>#REF!</v>
      </c>
      <c r="FU271" t="e">
        <f>IF(#REF!,"AAAAAG/va7A=",0)</f>
        <v>#REF!</v>
      </c>
      <c r="FV271" t="e">
        <f>AND(#REF!,"AAAAAG/va7E=")</f>
        <v>#REF!</v>
      </c>
      <c r="FW271" t="e">
        <f>AND(#REF!,"AAAAAG/va7I=")</f>
        <v>#REF!</v>
      </c>
      <c r="FX271" t="e">
        <f>AND(#REF!,"AAAAAG/va7M=")</f>
        <v>#REF!</v>
      </c>
      <c r="FY271" t="e">
        <f>AND(#REF!,"AAAAAG/va7Q=")</f>
        <v>#REF!</v>
      </c>
      <c r="FZ271" t="e">
        <f>AND(#REF!,"AAAAAG/va7U=")</f>
        <v>#REF!</v>
      </c>
      <c r="GA271" t="e">
        <f>AND(#REF!,"AAAAAG/va7Y=")</f>
        <v>#REF!</v>
      </c>
      <c r="GB271" t="e">
        <f>AND(#REF!,"AAAAAG/va7c=")</f>
        <v>#REF!</v>
      </c>
      <c r="GC271" t="e">
        <f>AND(#REF!,"AAAAAG/va7g=")</f>
        <v>#REF!</v>
      </c>
      <c r="GD271" t="e">
        <f>AND(#REF!,"AAAAAG/va7k=")</f>
        <v>#REF!</v>
      </c>
      <c r="GE271" t="e">
        <f>AND(#REF!,"AAAAAG/va7o=")</f>
        <v>#REF!</v>
      </c>
      <c r="GF271" t="e">
        <f>IF(#REF!,"AAAAAG/va7s=",0)</f>
        <v>#REF!</v>
      </c>
      <c r="GG271" t="e">
        <f>AND(#REF!,"AAAAAG/va7w=")</f>
        <v>#REF!</v>
      </c>
      <c r="GH271" t="e">
        <f>AND(#REF!,"AAAAAG/va70=")</f>
        <v>#REF!</v>
      </c>
      <c r="GI271" t="e">
        <f>AND(#REF!,"AAAAAG/va74=")</f>
        <v>#REF!</v>
      </c>
      <c r="GJ271" t="e">
        <f>AND(#REF!,"AAAAAG/va78=")</f>
        <v>#REF!</v>
      </c>
      <c r="GK271" t="e">
        <f>AND(#REF!,"AAAAAG/va8A=")</f>
        <v>#REF!</v>
      </c>
      <c r="GL271" t="e">
        <f>AND(#REF!,"AAAAAG/va8E=")</f>
        <v>#REF!</v>
      </c>
      <c r="GM271" t="e">
        <f>AND(#REF!,"AAAAAG/va8I=")</f>
        <v>#REF!</v>
      </c>
      <c r="GN271" t="e">
        <f>AND(#REF!,"AAAAAG/va8M=")</f>
        <v>#REF!</v>
      </c>
      <c r="GO271" t="e">
        <f>AND(#REF!,"AAAAAG/va8Q=")</f>
        <v>#REF!</v>
      </c>
      <c r="GP271" t="e">
        <f>AND(#REF!,"AAAAAG/va8U=")</f>
        <v>#REF!</v>
      </c>
      <c r="GQ271" t="e">
        <f>IF(#REF!,"AAAAAG/va8Y=",0)</f>
        <v>#REF!</v>
      </c>
      <c r="GR271" t="e">
        <f>AND(#REF!,"AAAAAG/va8c=")</f>
        <v>#REF!</v>
      </c>
      <c r="GS271" t="e">
        <f>AND(#REF!,"AAAAAG/va8g=")</f>
        <v>#REF!</v>
      </c>
      <c r="GT271" t="e">
        <f>AND(#REF!,"AAAAAG/va8k=")</f>
        <v>#REF!</v>
      </c>
      <c r="GU271" t="e">
        <f>AND(#REF!,"AAAAAG/va8o=")</f>
        <v>#REF!</v>
      </c>
      <c r="GV271" t="e">
        <f>AND(#REF!,"AAAAAG/va8s=")</f>
        <v>#REF!</v>
      </c>
      <c r="GW271" t="e">
        <f>AND(#REF!,"AAAAAG/va8w=")</f>
        <v>#REF!</v>
      </c>
      <c r="GX271" t="e">
        <f>AND(#REF!,"AAAAAG/va80=")</f>
        <v>#REF!</v>
      </c>
      <c r="GY271" t="e">
        <f>AND(#REF!,"AAAAAG/va84=")</f>
        <v>#REF!</v>
      </c>
      <c r="GZ271" t="e">
        <f>AND(#REF!,"AAAAAG/va88=")</f>
        <v>#REF!</v>
      </c>
      <c r="HA271" t="e">
        <f>AND(#REF!,"AAAAAG/va9A=")</f>
        <v>#REF!</v>
      </c>
      <c r="HB271" t="e">
        <f>IF(#REF!,"AAAAAG/va9E=",0)</f>
        <v>#REF!</v>
      </c>
      <c r="HC271" t="e">
        <f>AND(#REF!,"AAAAAG/va9I=")</f>
        <v>#REF!</v>
      </c>
      <c r="HD271" t="e">
        <f>AND(#REF!,"AAAAAG/va9M=")</f>
        <v>#REF!</v>
      </c>
      <c r="HE271" t="e">
        <f>AND(#REF!,"AAAAAG/va9Q=")</f>
        <v>#REF!</v>
      </c>
      <c r="HF271" t="e">
        <f>AND(#REF!,"AAAAAG/va9U=")</f>
        <v>#REF!</v>
      </c>
      <c r="HG271" t="e">
        <f>AND(#REF!,"AAAAAG/va9Y=")</f>
        <v>#REF!</v>
      </c>
      <c r="HH271" t="e">
        <f>AND(#REF!,"AAAAAG/va9c=")</f>
        <v>#REF!</v>
      </c>
      <c r="HI271" t="e">
        <f>AND(#REF!,"AAAAAG/va9g=")</f>
        <v>#REF!</v>
      </c>
      <c r="HJ271" t="e">
        <f>AND(#REF!,"AAAAAG/va9k=")</f>
        <v>#REF!</v>
      </c>
      <c r="HK271" t="e">
        <f>AND(#REF!,"AAAAAG/va9o=")</f>
        <v>#REF!</v>
      </c>
      <c r="HL271" t="e">
        <f>AND(#REF!,"AAAAAG/va9s=")</f>
        <v>#REF!</v>
      </c>
      <c r="HM271" t="e">
        <f>IF(#REF!,"AAAAAG/va9w=",0)</f>
        <v>#REF!</v>
      </c>
      <c r="HN271" t="e">
        <f>AND(#REF!,"AAAAAG/va90=")</f>
        <v>#REF!</v>
      </c>
      <c r="HO271" t="e">
        <f>AND(#REF!,"AAAAAG/va94=")</f>
        <v>#REF!</v>
      </c>
      <c r="HP271" t="e">
        <f>AND(#REF!,"AAAAAG/va98=")</f>
        <v>#REF!</v>
      </c>
      <c r="HQ271" t="e">
        <f>AND(#REF!,"AAAAAG/va+A=")</f>
        <v>#REF!</v>
      </c>
      <c r="HR271" t="e">
        <f>AND(#REF!,"AAAAAG/va+E=")</f>
        <v>#REF!</v>
      </c>
      <c r="HS271" t="e">
        <f>AND(#REF!,"AAAAAG/va+I=")</f>
        <v>#REF!</v>
      </c>
      <c r="HT271" t="e">
        <f>AND(#REF!,"AAAAAG/va+M=")</f>
        <v>#REF!</v>
      </c>
      <c r="HU271" t="e">
        <f>AND(#REF!,"AAAAAG/va+Q=")</f>
        <v>#REF!</v>
      </c>
      <c r="HV271" t="e">
        <f>AND(#REF!,"AAAAAG/va+U=")</f>
        <v>#REF!</v>
      </c>
      <c r="HW271" t="e">
        <f>AND(#REF!,"AAAAAG/va+Y=")</f>
        <v>#REF!</v>
      </c>
      <c r="HX271" t="e">
        <f>IF(#REF!,"AAAAAG/va+c=",0)</f>
        <v>#REF!</v>
      </c>
      <c r="HY271" t="e">
        <f>AND(#REF!,"AAAAAG/va+g=")</f>
        <v>#REF!</v>
      </c>
      <c r="HZ271" t="e">
        <f>AND(#REF!,"AAAAAG/va+k=")</f>
        <v>#REF!</v>
      </c>
      <c r="IA271" t="e">
        <f>AND(#REF!,"AAAAAG/va+o=")</f>
        <v>#REF!</v>
      </c>
      <c r="IB271" t="e">
        <f>AND(#REF!,"AAAAAG/va+s=")</f>
        <v>#REF!</v>
      </c>
      <c r="IC271" t="e">
        <f>AND(#REF!,"AAAAAG/va+w=")</f>
        <v>#REF!</v>
      </c>
      <c r="ID271" t="e">
        <f>AND(#REF!,"AAAAAG/va+0=")</f>
        <v>#REF!</v>
      </c>
      <c r="IE271" t="e">
        <f>AND(#REF!,"AAAAAG/va+4=")</f>
        <v>#REF!</v>
      </c>
      <c r="IF271" t="e">
        <f>AND(#REF!,"AAAAAG/va+8=")</f>
        <v>#REF!</v>
      </c>
      <c r="IG271" t="e">
        <f>AND(#REF!,"AAAAAG/va/A=")</f>
        <v>#REF!</v>
      </c>
      <c r="IH271" t="e">
        <f>AND(#REF!,"AAAAAG/va/E=")</f>
        <v>#REF!</v>
      </c>
      <c r="II271" t="e">
        <f>IF(#REF!,"AAAAAG/va/I=",0)</f>
        <v>#REF!</v>
      </c>
      <c r="IJ271" t="e">
        <f>AND(#REF!,"AAAAAG/va/M=")</f>
        <v>#REF!</v>
      </c>
      <c r="IK271" t="e">
        <f>AND(#REF!,"AAAAAG/va/Q=")</f>
        <v>#REF!</v>
      </c>
      <c r="IL271" t="e">
        <f>AND(#REF!,"AAAAAG/va/U=")</f>
        <v>#REF!</v>
      </c>
      <c r="IM271" t="e">
        <f>AND(#REF!,"AAAAAG/va/Y=")</f>
        <v>#REF!</v>
      </c>
      <c r="IN271" t="e">
        <f>AND(#REF!,"AAAAAG/va/c=")</f>
        <v>#REF!</v>
      </c>
      <c r="IO271" t="e">
        <f>AND(#REF!,"AAAAAG/va/g=")</f>
        <v>#REF!</v>
      </c>
      <c r="IP271" t="e">
        <f>AND(#REF!,"AAAAAG/va/k=")</f>
        <v>#REF!</v>
      </c>
      <c r="IQ271" t="e">
        <f>AND(#REF!,"AAAAAG/va/o=")</f>
        <v>#REF!</v>
      </c>
      <c r="IR271" t="e">
        <f>AND(#REF!,"AAAAAG/va/s=")</f>
        <v>#REF!</v>
      </c>
      <c r="IS271" t="e">
        <f>AND(#REF!,"AAAAAG/va/w=")</f>
        <v>#REF!</v>
      </c>
      <c r="IT271" t="e">
        <f>IF(#REF!,"AAAAAG/va/0=",0)</f>
        <v>#REF!</v>
      </c>
      <c r="IU271" t="e">
        <f>AND(#REF!,"AAAAAG/va/4=")</f>
        <v>#REF!</v>
      </c>
      <c r="IV271" t="e">
        <f>AND(#REF!,"AAAAAG/va/8=")</f>
        <v>#REF!</v>
      </c>
    </row>
    <row r="272" spans="1:256" x14ac:dyDescent="0.25">
      <c r="A272" t="e">
        <f>AND(#REF!,"AAAAAHqufQA=")</f>
        <v>#REF!</v>
      </c>
      <c r="B272" t="e">
        <f>AND(#REF!,"AAAAAHqufQE=")</f>
        <v>#REF!</v>
      </c>
      <c r="C272" t="e">
        <f>AND(#REF!,"AAAAAHqufQI=")</f>
        <v>#REF!</v>
      </c>
      <c r="D272" t="e">
        <f>AND(#REF!,"AAAAAHqufQM=")</f>
        <v>#REF!</v>
      </c>
      <c r="E272" t="e">
        <f>AND(#REF!,"AAAAAHqufQQ=")</f>
        <v>#REF!</v>
      </c>
      <c r="F272" t="e">
        <f>AND(#REF!,"AAAAAHqufQU=")</f>
        <v>#REF!</v>
      </c>
      <c r="G272" t="e">
        <f>AND(#REF!,"AAAAAHqufQY=")</f>
        <v>#REF!</v>
      </c>
      <c r="H272" t="e">
        <f>AND(#REF!,"AAAAAHqufQc=")</f>
        <v>#REF!</v>
      </c>
      <c r="I272" t="e">
        <f>IF(#REF!,"AAAAAHqufQg=",0)</f>
        <v>#REF!</v>
      </c>
      <c r="J272" t="e">
        <f>AND(#REF!,"AAAAAHqufQk=")</f>
        <v>#REF!</v>
      </c>
      <c r="K272" t="e">
        <f>AND(#REF!,"AAAAAHqufQo=")</f>
        <v>#REF!</v>
      </c>
      <c r="L272" t="e">
        <f>AND(#REF!,"AAAAAHqufQs=")</f>
        <v>#REF!</v>
      </c>
      <c r="M272" t="e">
        <f>AND(#REF!,"AAAAAHqufQw=")</f>
        <v>#REF!</v>
      </c>
      <c r="N272" t="e">
        <f>AND(#REF!,"AAAAAHqufQ0=")</f>
        <v>#REF!</v>
      </c>
      <c r="O272" t="e">
        <f>AND(#REF!,"AAAAAHqufQ4=")</f>
        <v>#REF!</v>
      </c>
      <c r="P272" t="e">
        <f>AND(#REF!,"AAAAAHqufQ8=")</f>
        <v>#REF!</v>
      </c>
      <c r="Q272" t="e">
        <f>AND(#REF!,"AAAAAHqufRA=")</f>
        <v>#REF!</v>
      </c>
      <c r="R272" t="e">
        <f>AND(#REF!,"AAAAAHqufRE=")</f>
        <v>#REF!</v>
      </c>
      <c r="S272" t="e">
        <f>AND(#REF!,"AAAAAHqufRI=")</f>
        <v>#REF!</v>
      </c>
      <c r="T272" t="e">
        <f>IF(#REF!,"AAAAAHqufRM=",0)</f>
        <v>#REF!</v>
      </c>
      <c r="U272" t="e">
        <f>AND(#REF!,"AAAAAHqufRQ=")</f>
        <v>#REF!</v>
      </c>
      <c r="V272" t="e">
        <f>AND(#REF!,"AAAAAHqufRU=")</f>
        <v>#REF!</v>
      </c>
      <c r="W272" t="e">
        <f>AND(#REF!,"AAAAAHqufRY=")</f>
        <v>#REF!</v>
      </c>
      <c r="X272" t="e">
        <f>AND(#REF!,"AAAAAHqufRc=")</f>
        <v>#REF!</v>
      </c>
      <c r="Y272" t="e">
        <f>AND(#REF!,"AAAAAHqufRg=")</f>
        <v>#REF!</v>
      </c>
      <c r="Z272" t="e">
        <f>AND(#REF!,"AAAAAHqufRk=")</f>
        <v>#REF!</v>
      </c>
      <c r="AA272" t="e">
        <f>AND(#REF!,"AAAAAHqufRo=")</f>
        <v>#REF!</v>
      </c>
      <c r="AB272" t="e">
        <f>AND(#REF!,"AAAAAHqufRs=")</f>
        <v>#REF!</v>
      </c>
      <c r="AC272" t="e">
        <f>AND(#REF!,"AAAAAHqufRw=")</f>
        <v>#REF!</v>
      </c>
      <c r="AD272" t="e">
        <f>AND(#REF!,"AAAAAHqufR0=")</f>
        <v>#REF!</v>
      </c>
      <c r="AE272" t="e">
        <f>IF(#REF!,"AAAAAHqufR4=",0)</f>
        <v>#REF!</v>
      </c>
      <c r="AF272" t="e">
        <f>AND(#REF!,"AAAAAHqufR8=")</f>
        <v>#REF!</v>
      </c>
      <c r="AG272" t="e">
        <f>AND(#REF!,"AAAAAHqufSA=")</f>
        <v>#REF!</v>
      </c>
      <c r="AH272" t="e">
        <f>AND(#REF!,"AAAAAHqufSE=")</f>
        <v>#REF!</v>
      </c>
      <c r="AI272" t="e">
        <f>AND(#REF!,"AAAAAHqufSI=")</f>
        <v>#REF!</v>
      </c>
      <c r="AJ272" t="e">
        <f>AND(#REF!,"AAAAAHqufSM=")</f>
        <v>#REF!</v>
      </c>
      <c r="AK272" t="e">
        <f>AND(#REF!,"AAAAAHqufSQ=")</f>
        <v>#REF!</v>
      </c>
      <c r="AL272" t="e">
        <f>AND(#REF!,"AAAAAHqufSU=")</f>
        <v>#REF!</v>
      </c>
      <c r="AM272" t="e">
        <f>AND(#REF!,"AAAAAHqufSY=")</f>
        <v>#REF!</v>
      </c>
      <c r="AN272" t="e">
        <f>AND(#REF!,"AAAAAHqufSc=")</f>
        <v>#REF!</v>
      </c>
      <c r="AO272" t="e">
        <f>AND(#REF!,"AAAAAHqufSg=")</f>
        <v>#REF!</v>
      </c>
      <c r="AP272" t="e">
        <f>IF(#REF!,"AAAAAHqufSk=",0)</f>
        <v>#REF!</v>
      </c>
      <c r="AQ272" t="e">
        <f>AND(#REF!,"AAAAAHqufSo=")</f>
        <v>#REF!</v>
      </c>
      <c r="AR272" t="e">
        <f>AND(#REF!,"AAAAAHqufSs=")</f>
        <v>#REF!</v>
      </c>
      <c r="AS272" t="e">
        <f>AND(#REF!,"AAAAAHqufSw=")</f>
        <v>#REF!</v>
      </c>
      <c r="AT272" t="e">
        <f>AND(#REF!,"AAAAAHqufS0=")</f>
        <v>#REF!</v>
      </c>
      <c r="AU272" t="e">
        <f>AND(#REF!,"AAAAAHqufS4=")</f>
        <v>#REF!</v>
      </c>
      <c r="AV272" t="e">
        <f>AND(#REF!,"AAAAAHqufS8=")</f>
        <v>#REF!</v>
      </c>
      <c r="AW272" t="e">
        <f>AND(#REF!,"AAAAAHqufTA=")</f>
        <v>#REF!</v>
      </c>
      <c r="AX272" t="e">
        <f>AND(#REF!,"AAAAAHqufTE=")</f>
        <v>#REF!</v>
      </c>
      <c r="AY272" t="e">
        <f>AND(#REF!,"AAAAAHqufTI=")</f>
        <v>#REF!</v>
      </c>
      <c r="AZ272" t="e">
        <f>AND(#REF!,"AAAAAHqufTM=")</f>
        <v>#REF!</v>
      </c>
      <c r="BA272" t="e">
        <f>IF(#REF!,"AAAAAHqufTQ=",0)</f>
        <v>#REF!</v>
      </c>
      <c r="BB272" t="e">
        <f>AND(#REF!,"AAAAAHqufTU=")</f>
        <v>#REF!</v>
      </c>
      <c r="BC272" t="e">
        <f>AND(#REF!,"AAAAAHqufTY=")</f>
        <v>#REF!</v>
      </c>
      <c r="BD272" t="e">
        <f>AND(#REF!,"AAAAAHqufTc=")</f>
        <v>#REF!</v>
      </c>
      <c r="BE272" t="e">
        <f>AND(#REF!,"AAAAAHqufTg=")</f>
        <v>#REF!</v>
      </c>
      <c r="BF272" t="e">
        <f>AND(#REF!,"AAAAAHqufTk=")</f>
        <v>#REF!</v>
      </c>
      <c r="BG272" t="e">
        <f>AND(#REF!,"AAAAAHqufTo=")</f>
        <v>#REF!</v>
      </c>
      <c r="BH272" t="e">
        <f>AND(#REF!,"AAAAAHqufTs=")</f>
        <v>#REF!</v>
      </c>
      <c r="BI272" t="e">
        <f>AND(#REF!,"AAAAAHqufTw=")</f>
        <v>#REF!</v>
      </c>
      <c r="BJ272" t="e">
        <f>AND(#REF!,"AAAAAHqufT0=")</f>
        <v>#REF!</v>
      </c>
      <c r="BK272" t="e">
        <f>AND(#REF!,"AAAAAHqufT4=")</f>
        <v>#REF!</v>
      </c>
      <c r="BL272" t="e">
        <f>IF(#REF!,"AAAAAHqufT8=",0)</f>
        <v>#REF!</v>
      </c>
      <c r="BM272" t="e">
        <f>AND(#REF!,"AAAAAHqufUA=")</f>
        <v>#REF!</v>
      </c>
      <c r="BN272" t="e">
        <f>AND(#REF!,"AAAAAHqufUE=")</f>
        <v>#REF!</v>
      </c>
      <c r="BO272" t="e">
        <f>AND(#REF!,"AAAAAHqufUI=")</f>
        <v>#REF!</v>
      </c>
      <c r="BP272" t="e">
        <f>AND(#REF!,"AAAAAHqufUM=")</f>
        <v>#REF!</v>
      </c>
      <c r="BQ272" t="e">
        <f>AND(#REF!,"AAAAAHqufUQ=")</f>
        <v>#REF!</v>
      </c>
      <c r="BR272" t="e">
        <f>AND(#REF!,"AAAAAHqufUU=")</f>
        <v>#REF!</v>
      </c>
      <c r="BS272" t="e">
        <f>AND(#REF!,"AAAAAHqufUY=")</f>
        <v>#REF!</v>
      </c>
      <c r="BT272" t="e">
        <f>AND(#REF!,"AAAAAHqufUc=")</f>
        <v>#REF!</v>
      </c>
      <c r="BU272" t="e">
        <f>AND(#REF!,"AAAAAHqufUg=")</f>
        <v>#REF!</v>
      </c>
      <c r="BV272" t="e">
        <f>AND(#REF!,"AAAAAHqufUk=")</f>
        <v>#REF!</v>
      </c>
      <c r="BW272" t="e">
        <f>IF(#REF!,"AAAAAHqufUo=",0)</f>
        <v>#REF!</v>
      </c>
      <c r="BX272" t="e">
        <f>AND(#REF!,"AAAAAHqufUs=")</f>
        <v>#REF!</v>
      </c>
      <c r="BY272" t="e">
        <f>AND(#REF!,"AAAAAHqufUw=")</f>
        <v>#REF!</v>
      </c>
      <c r="BZ272" t="e">
        <f>AND(#REF!,"AAAAAHqufU0=")</f>
        <v>#REF!</v>
      </c>
      <c r="CA272" t="e">
        <f>AND(#REF!,"AAAAAHqufU4=")</f>
        <v>#REF!</v>
      </c>
      <c r="CB272" t="e">
        <f>AND(#REF!,"AAAAAHqufU8=")</f>
        <v>#REF!</v>
      </c>
      <c r="CC272" t="e">
        <f>AND(#REF!,"AAAAAHqufVA=")</f>
        <v>#REF!</v>
      </c>
      <c r="CD272" t="e">
        <f>AND(#REF!,"AAAAAHqufVE=")</f>
        <v>#REF!</v>
      </c>
      <c r="CE272" t="e">
        <f>AND(#REF!,"AAAAAHqufVI=")</f>
        <v>#REF!</v>
      </c>
      <c r="CF272" t="e">
        <f>AND(#REF!,"AAAAAHqufVM=")</f>
        <v>#REF!</v>
      </c>
      <c r="CG272" t="e">
        <f>AND(#REF!,"AAAAAHqufVQ=")</f>
        <v>#REF!</v>
      </c>
      <c r="CH272" t="e">
        <f>IF(#REF!,"AAAAAHqufVU=",0)</f>
        <v>#REF!</v>
      </c>
      <c r="CI272" t="e">
        <f>AND(#REF!,"AAAAAHqufVY=")</f>
        <v>#REF!</v>
      </c>
      <c r="CJ272" t="e">
        <f>AND(#REF!,"AAAAAHqufVc=")</f>
        <v>#REF!</v>
      </c>
      <c r="CK272" t="e">
        <f>AND(#REF!,"AAAAAHqufVg=")</f>
        <v>#REF!</v>
      </c>
      <c r="CL272" t="e">
        <f>AND(#REF!,"AAAAAHqufVk=")</f>
        <v>#REF!</v>
      </c>
      <c r="CM272" t="e">
        <f>AND(#REF!,"AAAAAHqufVo=")</f>
        <v>#REF!</v>
      </c>
      <c r="CN272" t="e">
        <f>AND(#REF!,"AAAAAHqufVs=")</f>
        <v>#REF!</v>
      </c>
      <c r="CO272" t="e">
        <f>AND(#REF!,"AAAAAHqufVw=")</f>
        <v>#REF!</v>
      </c>
      <c r="CP272" t="e">
        <f>AND(#REF!,"AAAAAHqufV0=")</f>
        <v>#REF!</v>
      </c>
      <c r="CQ272" t="e">
        <f>AND(#REF!,"AAAAAHqufV4=")</f>
        <v>#REF!</v>
      </c>
      <c r="CR272" t="e">
        <f>AND(#REF!,"AAAAAHqufV8=")</f>
        <v>#REF!</v>
      </c>
      <c r="CS272" t="e">
        <f>IF(#REF!,"AAAAAHqufWA=",0)</f>
        <v>#REF!</v>
      </c>
      <c r="CT272" t="e">
        <f>AND(#REF!,"AAAAAHqufWE=")</f>
        <v>#REF!</v>
      </c>
      <c r="CU272" t="e">
        <f>AND(#REF!,"AAAAAHqufWI=")</f>
        <v>#REF!</v>
      </c>
      <c r="CV272" t="e">
        <f>AND(#REF!,"AAAAAHqufWM=")</f>
        <v>#REF!</v>
      </c>
      <c r="CW272" t="e">
        <f>AND(#REF!,"AAAAAHqufWQ=")</f>
        <v>#REF!</v>
      </c>
      <c r="CX272" t="e">
        <f>AND(#REF!,"AAAAAHqufWU=")</f>
        <v>#REF!</v>
      </c>
      <c r="CY272" t="e">
        <f>AND(#REF!,"AAAAAHqufWY=")</f>
        <v>#REF!</v>
      </c>
      <c r="CZ272" t="e">
        <f>AND(#REF!,"AAAAAHqufWc=")</f>
        <v>#REF!</v>
      </c>
      <c r="DA272" t="e">
        <f>AND(#REF!,"AAAAAHqufWg=")</f>
        <v>#REF!</v>
      </c>
      <c r="DB272" t="e">
        <f>AND(#REF!,"AAAAAHqufWk=")</f>
        <v>#REF!</v>
      </c>
      <c r="DC272" t="e">
        <f>AND(#REF!,"AAAAAHqufWo=")</f>
        <v>#REF!</v>
      </c>
      <c r="DD272" t="e">
        <f>IF(#REF!,"AAAAAHqufWs=",0)</f>
        <v>#REF!</v>
      </c>
      <c r="DE272" t="e">
        <f>AND(#REF!,"AAAAAHqufWw=")</f>
        <v>#REF!</v>
      </c>
      <c r="DF272" t="e">
        <f>AND(#REF!,"AAAAAHqufW0=")</f>
        <v>#REF!</v>
      </c>
      <c r="DG272" t="e">
        <f>AND(#REF!,"AAAAAHqufW4=")</f>
        <v>#REF!</v>
      </c>
      <c r="DH272" t="e">
        <f>AND(#REF!,"AAAAAHqufW8=")</f>
        <v>#REF!</v>
      </c>
      <c r="DI272" t="e">
        <f>AND(#REF!,"AAAAAHqufXA=")</f>
        <v>#REF!</v>
      </c>
      <c r="DJ272" t="e">
        <f>AND(#REF!,"AAAAAHqufXE=")</f>
        <v>#REF!</v>
      </c>
      <c r="DK272" t="e">
        <f>AND(#REF!,"AAAAAHqufXI=")</f>
        <v>#REF!</v>
      </c>
      <c r="DL272" t="e">
        <f>AND(#REF!,"AAAAAHqufXM=")</f>
        <v>#REF!</v>
      </c>
      <c r="DM272" t="e">
        <f>AND(#REF!,"AAAAAHqufXQ=")</f>
        <v>#REF!</v>
      </c>
      <c r="DN272" t="e">
        <f>AND(#REF!,"AAAAAHqufXU=")</f>
        <v>#REF!</v>
      </c>
      <c r="DO272" t="e">
        <f>IF(#REF!,"AAAAAHqufXY=",0)</f>
        <v>#REF!</v>
      </c>
      <c r="DP272" t="e">
        <f>AND(#REF!,"AAAAAHqufXc=")</f>
        <v>#REF!</v>
      </c>
      <c r="DQ272" t="e">
        <f>AND(#REF!,"AAAAAHqufXg=")</f>
        <v>#REF!</v>
      </c>
      <c r="DR272" t="e">
        <f>AND(#REF!,"AAAAAHqufXk=")</f>
        <v>#REF!</v>
      </c>
      <c r="DS272" t="e">
        <f>AND(#REF!,"AAAAAHqufXo=")</f>
        <v>#REF!</v>
      </c>
      <c r="DT272" t="e">
        <f>AND(#REF!,"AAAAAHqufXs=")</f>
        <v>#REF!</v>
      </c>
      <c r="DU272" t="e">
        <f>AND(#REF!,"AAAAAHqufXw=")</f>
        <v>#REF!</v>
      </c>
      <c r="DV272" t="e">
        <f>AND(#REF!,"AAAAAHqufX0=")</f>
        <v>#REF!</v>
      </c>
      <c r="DW272" t="e">
        <f>AND(#REF!,"AAAAAHqufX4=")</f>
        <v>#REF!</v>
      </c>
      <c r="DX272" t="e">
        <f>AND(#REF!,"AAAAAHqufX8=")</f>
        <v>#REF!</v>
      </c>
      <c r="DY272" t="e">
        <f>AND(#REF!,"AAAAAHqufYA=")</f>
        <v>#REF!</v>
      </c>
      <c r="DZ272" t="e">
        <f>IF(#REF!,"AAAAAHqufYE=",0)</f>
        <v>#REF!</v>
      </c>
      <c r="EA272" t="e">
        <f>AND(#REF!,"AAAAAHqufYI=")</f>
        <v>#REF!</v>
      </c>
      <c r="EB272" t="e">
        <f>AND(#REF!,"AAAAAHqufYM=")</f>
        <v>#REF!</v>
      </c>
      <c r="EC272" t="e">
        <f>AND(#REF!,"AAAAAHqufYQ=")</f>
        <v>#REF!</v>
      </c>
      <c r="ED272" t="e">
        <f>AND(#REF!,"AAAAAHqufYU=")</f>
        <v>#REF!</v>
      </c>
      <c r="EE272" t="e">
        <f>AND(#REF!,"AAAAAHqufYY=")</f>
        <v>#REF!</v>
      </c>
      <c r="EF272" t="e">
        <f>AND(#REF!,"AAAAAHqufYc=")</f>
        <v>#REF!</v>
      </c>
      <c r="EG272" t="e">
        <f>AND(#REF!,"AAAAAHqufYg=")</f>
        <v>#REF!</v>
      </c>
      <c r="EH272" t="e">
        <f>AND(#REF!,"AAAAAHqufYk=")</f>
        <v>#REF!</v>
      </c>
      <c r="EI272" t="e">
        <f>AND(#REF!,"AAAAAHqufYo=")</f>
        <v>#REF!</v>
      </c>
      <c r="EJ272" t="e">
        <f>AND(#REF!,"AAAAAHqufYs=")</f>
        <v>#REF!</v>
      </c>
      <c r="EK272" t="e">
        <f>IF(#REF!,"AAAAAHqufYw=",0)</f>
        <v>#REF!</v>
      </c>
      <c r="EL272" t="e">
        <f>AND(#REF!,"AAAAAHqufY0=")</f>
        <v>#REF!</v>
      </c>
      <c r="EM272" t="e">
        <f>AND(#REF!,"AAAAAHqufY4=")</f>
        <v>#REF!</v>
      </c>
      <c r="EN272" t="e">
        <f>AND(#REF!,"AAAAAHqufY8=")</f>
        <v>#REF!</v>
      </c>
      <c r="EO272" t="e">
        <f>AND(#REF!,"AAAAAHqufZA=")</f>
        <v>#REF!</v>
      </c>
      <c r="EP272" t="e">
        <f>AND(#REF!,"AAAAAHqufZE=")</f>
        <v>#REF!</v>
      </c>
      <c r="EQ272" t="e">
        <f>AND(#REF!,"AAAAAHqufZI=")</f>
        <v>#REF!</v>
      </c>
      <c r="ER272" t="e">
        <f>AND(#REF!,"AAAAAHqufZM=")</f>
        <v>#REF!</v>
      </c>
      <c r="ES272" t="e">
        <f>AND(#REF!,"AAAAAHqufZQ=")</f>
        <v>#REF!</v>
      </c>
      <c r="ET272" t="e">
        <f>AND(#REF!,"AAAAAHqufZU=")</f>
        <v>#REF!</v>
      </c>
      <c r="EU272" t="e">
        <f>AND(#REF!,"AAAAAHqufZY=")</f>
        <v>#REF!</v>
      </c>
      <c r="EV272" t="e">
        <f>IF(#REF!,"AAAAAHqufZc=",0)</f>
        <v>#REF!</v>
      </c>
      <c r="EW272" t="e">
        <f>AND(#REF!,"AAAAAHqufZg=")</f>
        <v>#REF!</v>
      </c>
      <c r="EX272" t="e">
        <f>AND(#REF!,"AAAAAHqufZk=")</f>
        <v>#REF!</v>
      </c>
      <c r="EY272" t="e">
        <f>AND(#REF!,"AAAAAHqufZo=")</f>
        <v>#REF!</v>
      </c>
      <c r="EZ272" t="e">
        <f>AND(#REF!,"AAAAAHqufZs=")</f>
        <v>#REF!</v>
      </c>
      <c r="FA272" t="e">
        <f>AND(#REF!,"AAAAAHqufZw=")</f>
        <v>#REF!</v>
      </c>
      <c r="FB272" t="e">
        <f>AND(#REF!,"AAAAAHqufZ0=")</f>
        <v>#REF!</v>
      </c>
      <c r="FC272" t="e">
        <f>AND(#REF!,"AAAAAHqufZ4=")</f>
        <v>#REF!</v>
      </c>
      <c r="FD272" t="e">
        <f>AND(#REF!,"AAAAAHqufZ8=")</f>
        <v>#REF!</v>
      </c>
      <c r="FE272" t="e">
        <f>AND(#REF!,"AAAAAHqufaA=")</f>
        <v>#REF!</v>
      </c>
      <c r="FF272" t="e">
        <f>AND(#REF!,"AAAAAHqufaE=")</f>
        <v>#REF!</v>
      </c>
      <c r="FG272" t="e">
        <f>IF(#REF!,"AAAAAHqufaI=",0)</f>
        <v>#REF!</v>
      </c>
      <c r="FH272" t="e">
        <f>AND(#REF!,"AAAAAHqufaM=")</f>
        <v>#REF!</v>
      </c>
      <c r="FI272" t="e">
        <f>AND(#REF!,"AAAAAHqufaQ=")</f>
        <v>#REF!</v>
      </c>
      <c r="FJ272" t="e">
        <f>AND(#REF!,"AAAAAHqufaU=")</f>
        <v>#REF!</v>
      </c>
      <c r="FK272" t="e">
        <f>AND(#REF!,"AAAAAHqufaY=")</f>
        <v>#REF!</v>
      </c>
      <c r="FL272" t="e">
        <f>AND(#REF!,"AAAAAHqufac=")</f>
        <v>#REF!</v>
      </c>
      <c r="FM272" t="e">
        <f>AND(#REF!,"AAAAAHqufag=")</f>
        <v>#REF!</v>
      </c>
      <c r="FN272" t="e">
        <f>AND(#REF!,"AAAAAHqufak=")</f>
        <v>#REF!</v>
      </c>
      <c r="FO272" t="e">
        <f>AND(#REF!,"AAAAAHqufao=")</f>
        <v>#REF!</v>
      </c>
      <c r="FP272" t="e">
        <f>AND(#REF!,"AAAAAHqufas=")</f>
        <v>#REF!</v>
      </c>
      <c r="FQ272" t="e">
        <f>AND(#REF!,"AAAAAHqufaw=")</f>
        <v>#REF!</v>
      </c>
      <c r="FR272" t="e">
        <f>IF(#REF!,"AAAAAHqufa0=",0)</f>
        <v>#REF!</v>
      </c>
      <c r="FS272" t="e">
        <f>AND(#REF!,"AAAAAHqufa4=")</f>
        <v>#REF!</v>
      </c>
      <c r="FT272" t="e">
        <f>AND(#REF!,"AAAAAHqufa8=")</f>
        <v>#REF!</v>
      </c>
      <c r="FU272" t="e">
        <f>AND(#REF!,"AAAAAHqufbA=")</f>
        <v>#REF!</v>
      </c>
      <c r="FV272" t="e">
        <f>AND(#REF!,"AAAAAHqufbE=")</f>
        <v>#REF!</v>
      </c>
      <c r="FW272" t="e">
        <f>AND(#REF!,"AAAAAHqufbI=")</f>
        <v>#REF!</v>
      </c>
      <c r="FX272" t="e">
        <f>AND(#REF!,"AAAAAHqufbM=")</f>
        <v>#REF!</v>
      </c>
      <c r="FY272" t="e">
        <f>AND(#REF!,"AAAAAHqufbQ=")</f>
        <v>#REF!</v>
      </c>
      <c r="FZ272" t="e">
        <f>AND(#REF!,"AAAAAHqufbU=")</f>
        <v>#REF!</v>
      </c>
      <c r="GA272" t="e">
        <f>AND(#REF!,"AAAAAHqufbY=")</f>
        <v>#REF!</v>
      </c>
      <c r="GB272" t="e">
        <f>AND(#REF!,"AAAAAHqufbc=")</f>
        <v>#REF!</v>
      </c>
      <c r="GC272" t="e">
        <f>IF(#REF!,"AAAAAHqufbg=",0)</f>
        <v>#REF!</v>
      </c>
      <c r="GD272" t="e">
        <f>AND(#REF!,"AAAAAHqufbk=")</f>
        <v>#REF!</v>
      </c>
      <c r="GE272" t="e">
        <f>AND(#REF!,"AAAAAHqufbo=")</f>
        <v>#REF!</v>
      </c>
      <c r="GF272" t="e">
        <f>AND(#REF!,"AAAAAHqufbs=")</f>
        <v>#REF!</v>
      </c>
      <c r="GG272" t="e">
        <f>AND(#REF!,"AAAAAHqufbw=")</f>
        <v>#REF!</v>
      </c>
      <c r="GH272" t="e">
        <f>AND(#REF!,"AAAAAHqufb0=")</f>
        <v>#REF!</v>
      </c>
      <c r="GI272" t="e">
        <f>AND(#REF!,"AAAAAHqufb4=")</f>
        <v>#REF!</v>
      </c>
      <c r="GJ272" t="e">
        <f>AND(#REF!,"AAAAAHqufb8=")</f>
        <v>#REF!</v>
      </c>
      <c r="GK272" t="e">
        <f>AND(#REF!,"AAAAAHqufcA=")</f>
        <v>#REF!</v>
      </c>
      <c r="GL272" t="e">
        <f>AND(#REF!,"AAAAAHqufcE=")</f>
        <v>#REF!</v>
      </c>
      <c r="GM272" t="e">
        <f>AND(#REF!,"AAAAAHqufcI=")</f>
        <v>#REF!</v>
      </c>
      <c r="GN272" t="e">
        <f>IF(#REF!,"AAAAAHqufcM=",0)</f>
        <v>#REF!</v>
      </c>
      <c r="GO272" t="e">
        <f>AND(#REF!,"AAAAAHqufcQ=")</f>
        <v>#REF!</v>
      </c>
      <c r="GP272" t="e">
        <f>AND(#REF!,"AAAAAHqufcU=")</f>
        <v>#REF!</v>
      </c>
      <c r="GQ272" t="e">
        <f>AND(#REF!,"AAAAAHqufcY=")</f>
        <v>#REF!</v>
      </c>
      <c r="GR272" t="e">
        <f>AND(#REF!,"AAAAAHqufcc=")</f>
        <v>#REF!</v>
      </c>
      <c r="GS272" t="e">
        <f>AND(#REF!,"AAAAAHqufcg=")</f>
        <v>#REF!</v>
      </c>
      <c r="GT272" t="e">
        <f>AND(#REF!,"AAAAAHqufck=")</f>
        <v>#REF!</v>
      </c>
      <c r="GU272" t="e">
        <f>AND(#REF!,"AAAAAHqufco=")</f>
        <v>#REF!</v>
      </c>
      <c r="GV272" t="e">
        <f>AND(#REF!,"AAAAAHqufcs=")</f>
        <v>#REF!</v>
      </c>
      <c r="GW272" t="e">
        <f>AND(#REF!,"AAAAAHqufcw=")</f>
        <v>#REF!</v>
      </c>
      <c r="GX272" t="e">
        <f>AND(#REF!,"AAAAAHqufc0=")</f>
        <v>#REF!</v>
      </c>
      <c r="GY272" t="e">
        <f>IF(#REF!,"AAAAAHqufc4=",0)</f>
        <v>#REF!</v>
      </c>
      <c r="GZ272" t="e">
        <f>AND(#REF!,"AAAAAHqufc8=")</f>
        <v>#REF!</v>
      </c>
      <c r="HA272" t="e">
        <f>AND(#REF!,"AAAAAHqufdA=")</f>
        <v>#REF!</v>
      </c>
      <c r="HB272" t="e">
        <f>AND(#REF!,"AAAAAHqufdE=")</f>
        <v>#REF!</v>
      </c>
      <c r="HC272" t="e">
        <f>AND(#REF!,"AAAAAHqufdI=")</f>
        <v>#REF!</v>
      </c>
      <c r="HD272" t="e">
        <f>AND(#REF!,"AAAAAHqufdM=")</f>
        <v>#REF!</v>
      </c>
      <c r="HE272" t="e">
        <f>AND(#REF!,"AAAAAHqufdQ=")</f>
        <v>#REF!</v>
      </c>
      <c r="HF272" t="e">
        <f>AND(#REF!,"AAAAAHqufdU=")</f>
        <v>#REF!</v>
      </c>
      <c r="HG272" t="e">
        <f>AND(#REF!,"AAAAAHqufdY=")</f>
        <v>#REF!</v>
      </c>
      <c r="HH272" t="e">
        <f>AND(#REF!,"AAAAAHqufdc=")</f>
        <v>#REF!</v>
      </c>
      <c r="HI272" t="e">
        <f>AND(#REF!,"AAAAAHqufdg=")</f>
        <v>#REF!</v>
      </c>
      <c r="HJ272" t="e">
        <f>IF(#REF!,"AAAAAHqufdk=",0)</f>
        <v>#REF!</v>
      </c>
      <c r="HK272" t="e">
        <f>AND(#REF!,"AAAAAHqufdo=")</f>
        <v>#REF!</v>
      </c>
      <c r="HL272" t="e">
        <f>AND(#REF!,"AAAAAHqufds=")</f>
        <v>#REF!</v>
      </c>
      <c r="HM272" t="e">
        <f>AND(#REF!,"AAAAAHqufdw=")</f>
        <v>#REF!</v>
      </c>
      <c r="HN272" t="e">
        <f>AND(#REF!,"AAAAAHqufd0=")</f>
        <v>#REF!</v>
      </c>
      <c r="HO272" t="e">
        <f>AND(#REF!,"AAAAAHqufd4=")</f>
        <v>#REF!</v>
      </c>
      <c r="HP272" t="e">
        <f>AND(#REF!,"AAAAAHqufd8=")</f>
        <v>#REF!</v>
      </c>
      <c r="HQ272" t="e">
        <f>AND(#REF!,"AAAAAHqufeA=")</f>
        <v>#REF!</v>
      </c>
      <c r="HR272" t="e">
        <f>AND(#REF!,"AAAAAHqufeE=")</f>
        <v>#REF!</v>
      </c>
      <c r="HS272" t="e">
        <f>AND(#REF!,"AAAAAHqufeI=")</f>
        <v>#REF!</v>
      </c>
      <c r="HT272" t="e">
        <f>AND(#REF!,"AAAAAHqufeM=")</f>
        <v>#REF!</v>
      </c>
      <c r="HU272" t="e">
        <f>IF(#REF!,"AAAAAHqufeQ=",0)</f>
        <v>#REF!</v>
      </c>
      <c r="HV272" t="e">
        <f>AND(#REF!,"AAAAAHqufeU=")</f>
        <v>#REF!</v>
      </c>
      <c r="HW272" t="e">
        <f>AND(#REF!,"AAAAAHqufeY=")</f>
        <v>#REF!</v>
      </c>
      <c r="HX272" t="e">
        <f>AND(#REF!,"AAAAAHqufec=")</f>
        <v>#REF!</v>
      </c>
      <c r="HY272" t="e">
        <f>AND(#REF!,"AAAAAHqufeg=")</f>
        <v>#REF!</v>
      </c>
      <c r="HZ272" t="e">
        <f>AND(#REF!,"AAAAAHqufek=")</f>
        <v>#REF!</v>
      </c>
      <c r="IA272" t="e">
        <f>AND(#REF!,"AAAAAHqufeo=")</f>
        <v>#REF!</v>
      </c>
      <c r="IB272" t="e">
        <f>AND(#REF!,"AAAAAHqufes=")</f>
        <v>#REF!</v>
      </c>
      <c r="IC272" t="e">
        <f>AND(#REF!,"AAAAAHqufew=")</f>
        <v>#REF!</v>
      </c>
      <c r="ID272" t="e">
        <f>AND(#REF!,"AAAAAHqufe0=")</f>
        <v>#REF!</v>
      </c>
      <c r="IE272" t="e">
        <f>AND(#REF!,"AAAAAHqufe4=")</f>
        <v>#REF!</v>
      </c>
      <c r="IF272" t="e">
        <f>IF(#REF!,"AAAAAHqufe8=",0)</f>
        <v>#REF!</v>
      </c>
      <c r="IG272" t="e">
        <f>AND(#REF!,"AAAAAHquffA=")</f>
        <v>#REF!</v>
      </c>
      <c r="IH272" t="e">
        <f>AND(#REF!,"AAAAAHquffE=")</f>
        <v>#REF!</v>
      </c>
      <c r="II272" t="e">
        <f>AND(#REF!,"AAAAAHquffI=")</f>
        <v>#REF!</v>
      </c>
      <c r="IJ272" t="e">
        <f>AND(#REF!,"AAAAAHquffM=")</f>
        <v>#REF!</v>
      </c>
      <c r="IK272" t="e">
        <f>AND(#REF!,"AAAAAHquffQ=")</f>
        <v>#REF!</v>
      </c>
      <c r="IL272" t="e">
        <f>AND(#REF!,"AAAAAHquffU=")</f>
        <v>#REF!</v>
      </c>
      <c r="IM272" t="e">
        <f>AND(#REF!,"AAAAAHquffY=")</f>
        <v>#REF!</v>
      </c>
      <c r="IN272" t="e">
        <f>AND(#REF!,"AAAAAHquffc=")</f>
        <v>#REF!</v>
      </c>
      <c r="IO272" t="e">
        <f>AND(#REF!,"AAAAAHquffg=")</f>
        <v>#REF!</v>
      </c>
      <c r="IP272" t="e">
        <f>AND(#REF!,"AAAAAHquffk=")</f>
        <v>#REF!</v>
      </c>
      <c r="IQ272" t="e">
        <f>IF(#REF!,"AAAAAHquffo=",0)</f>
        <v>#REF!</v>
      </c>
      <c r="IR272" t="e">
        <f>AND(#REF!,"AAAAAHquffs=")</f>
        <v>#REF!</v>
      </c>
      <c r="IS272" t="e">
        <f>AND(#REF!,"AAAAAHquffw=")</f>
        <v>#REF!</v>
      </c>
      <c r="IT272" t="e">
        <f>AND(#REF!,"AAAAAHquff0=")</f>
        <v>#REF!</v>
      </c>
      <c r="IU272" t="e">
        <f>AND(#REF!,"AAAAAHquff4=")</f>
        <v>#REF!</v>
      </c>
      <c r="IV272" t="e">
        <f>AND(#REF!,"AAAAAHquff8=")</f>
        <v>#REF!</v>
      </c>
    </row>
    <row r="273" spans="1:256" x14ac:dyDescent="0.25">
      <c r="A273" t="e">
        <f>AND(#REF!,"AAAAAG2tZAA=")</f>
        <v>#REF!</v>
      </c>
      <c r="B273" t="e">
        <f>AND(#REF!,"AAAAAG2tZAE=")</f>
        <v>#REF!</v>
      </c>
      <c r="C273" t="e">
        <f>AND(#REF!,"AAAAAG2tZAI=")</f>
        <v>#REF!</v>
      </c>
      <c r="D273" t="e">
        <f>AND(#REF!,"AAAAAG2tZAM=")</f>
        <v>#REF!</v>
      </c>
      <c r="E273" t="e">
        <f>AND(#REF!,"AAAAAG2tZAQ=")</f>
        <v>#REF!</v>
      </c>
      <c r="F273" t="e">
        <f>IF(#REF!,"AAAAAG2tZAU=",0)</f>
        <v>#REF!</v>
      </c>
      <c r="G273" t="e">
        <f>AND(#REF!,"AAAAAG2tZAY=")</f>
        <v>#REF!</v>
      </c>
      <c r="H273" t="e">
        <f>AND(#REF!,"AAAAAG2tZAc=")</f>
        <v>#REF!</v>
      </c>
      <c r="I273" t="e">
        <f>AND(#REF!,"AAAAAG2tZAg=")</f>
        <v>#REF!</v>
      </c>
      <c r="J273" t="e">
        <f>AND(#REF!,"AAAAAG2tZAk=")</f>
        <v>#REF!</v>
      </c>
      <c r="K273" t="e">
        <f>AND(#REF!,"AAAAAG2tZAo=")</f>
        <v>#REF!</v>
      </c>
      <c r="L273" t="e">
        <f>AND(#REF!,"AAAAAG2tZAs=")</f>
        <v>#REF!</v>
      </c>
      <c r="M273" t="e">
        <f>AND(#REF!,"AAAAAG2tZAw=")</f>
        <v>#REF!</v>
      </c>
      <c r="N273" t="e">
        <f>AND(#REF!,"AAAAAG2tZA0=")</f>
        <v>#REF!</v>
      </c>
      <c r="O273" t="e">
        <f>AND(#REF!,"AAAAAG2tZA4=")</f>
        <v>#REF!</v>
      </c>
      <c r="P273" t="e">
        <f>AND(#REF!,"AAAAAG2tZA8=")</f>
        <v>#REF!</v>
      </c>
      <c r="Q273" t="e">
        <f>IF(#REF!,"AAAAAG2tZBA=",0)</f>
        <v>#REF!</v>
      </c>
      <c r="R273" t="e">
        <f>AND(#REF!,"AAAAAG2tZBE=")</f>
        <v>#REF!</v>
      </c>
      <c r="S273" t="e">
        <f>AND(#REF!,"AAAAAG2tZBI=")</f>
        <v>#REF!</v>
      </c>
      <c r="T273" t="e">
        <f>AND(#REF!,"AAAAAG2tZBM=")</f>
        <v>#REF!</v>
      </c>
      <c r="U273" t="e">
        <f>AND(#REF!,"AAAAAG2tZBQ=")</f>
        <v>#REF!</v>
      </c>
      <c r="V273" t="e">
        <f>AND(#REF!,"AAAAAG2tZBU=")</f>
        <v>#REF!</v>
      </c>
      <c r="W273" t="e">
        <f>AND(#REF!,"AAAAAG2tZBY=")</f>
        <v>#REF!</v>
      </c>
      <c r="X273" t="e">
        <f>AND(#REF!,"AAAAAG2tZBc=")</f>
        <v>#REF!</v>
      </c>
      <c r="Y273" t="e">
        <f>AND(#REF!,"AAAAAG2tZBg=")</f>
        <v>#REF!</v>
      </c>
      <c r="Z273" t="e">
        <f>AND(#REF!,"AAAAAG2tZBk=")</f>
        <v>#REF!</v>
      </c>
      <c r="AA273" t="e">
        <f>AND(#REF!,"AAAAAG2tZBo=")</f>
        <v>#REF!</v>
      </c>
      <c r="AB273" t="e">
        <f>IF(#REF!,"AAAAAG2tZBs=",0)</f>
        <v>#REF!</v>
      </c>
      <c r="AC273" t="e">
        <f>AND(#REF!,"AAAAAG2tZBw=")</f>
        <v>#REF!</v>
      </c>
      <c r="AD273" t="e">
        <f>AND(#REF!,"AAAAAG2tZB0=")</f>
        <v>#REF!</v>
      </c>
      <c r="AE273" t="e">
        <f>AND(#REF!,"AAAAAG2tZB4=")</f>
        <v>#REF!</v>
      </c>
      <c r="AF273" t="e">
        <f>AND(#REF!,"AAAAAG2tZB8=")</f>
        <v>#REF!</v>
      </c>
      <c r="AG273" t="e">
        <f>AND(#REF!,"AAAAAG2tZCA=")</f>
        <v>#REF!</v>
      </c>
      <c r="AH273" t="e">
        <f>AND(#REF!,"AAAAAG2tZCE=")</f>
        <v>#REF!</v>
      </c>
      <c r="AI273" t="e">
        <f>AND(#REF!,"AAAAAG2tZCI=")</f>
        <v>#REF!</v>
      </c>
      <c r="AJ273" t="e">
        <f>AND(#REF!,"AAAAAG2tZCM=")</f>
        <v>#REF!</v>
      </c>
      <c r="AK273" t="e">
        <f>AND(#REF!,"AAAAAG2tZCQ=")</f>
        <v>#REF!</v>
      </c>
      <c r="AL273" t="e">
        <f>AND(#REF!,"AAAAAG2tZCU=")</f>
        <v>#REF!</v>
      </c>
      <c r="AM273" t="e">
        <f>IF(#REF!,"AAAAAG2tZCY=",0)</f>
        <v>#REF!</v>
      </c>
      <c r="AN273" t="e">
        <f>AND(#REF!,"AAAAAG2tZCc=")</f>
        <v>#REF!</v>
      </c>
      <c r="AO273" t="e">
        <f>AND(#REF!,"AAAAAG2tZCg=")</f>
        <v>#REF!</v>
      </c>
      <c r="AP273" t="e">
        <f>AND(#REF!,"AAAAAG2tZCk=")</f>
        <v>#REF!</v>
      </c>
      <c r="AQ273" t="e">
        <f>AND(#REF!,"AAAAAG2tZCo=")</f>
        <v>#REF!</v>
      </c>
      <c r="AR273" t="e">
        <f>AND(#REF!,"AAAAAG2tZCs=")</f>
        <v>#REF!</v>
      </c>
      <c r="AS273" t="e">
        <f>AND(#REF!,"AAAAAG2tZCw=")</f>
        <v>#REF!</v>
      </c>
      <c r="AT273" t="e">
        <f>AND(#REF!,"AAAAAG2tZC0=")</f>
        <v>#REF!</v>
      </c>
      <c r="AU273" t="e">
        <f>AND(#REF!,"AAAAAG2tZC4=")</f>
        <v>#REF!</v>
      </c>
      <c r="AV273" t="e">
        <f>AND(#REF!,"AAAAAG2tZC8=")</f>
        <v>#REF!</v>
      </c>
      <c r="AW273" t="e">
        <f>AND(#REF!,"AAAAAG2tZDA=")</f>
        <v>#REF!</v>
      </c>
      <c r="AX273" t="e">
        <f>IF(#REF!,"AAAAAG2tZDE=",0)</f>
        <v>#REF!</v>
      </c>
      <c r="AY273" t="e">
        <f>AND(#REF!,"AAAAAG2tZDI=")</f>
        <v>#REF!</v>
      </c>
      <c r="AZ273" t="e">
        <f>AND(#REF!,"AAAAAG2tZDM=")</f>
        <v>#REF!</v>
      </c>
      <c r="BA273" t="e">
        <f>AND(#REF!,"AAAAAG2tZDQ=")</f>
        <v>#REF!</v>
      </c>
      <c r="BB273" t="e">
        <f>AND(#REF!,"AAAAAG2tZDU=")</f>
        <v>#REF!</v>
      </c>
      <c r="BC273" t="e">
        <f>AND(#REF!,"AAAAAG2tZDY=")</f>
        <v>#REF!</v>
      </c>
      <c r="BD273" t="e">
        <f>AND(#REF!,"AAAAAG2tZDc=")</f>
        <v>#REF!</v>
      </c>
      <c r="BE273" t="e">
        <f>AND(#REF!,"AAAAAG2tZDg=")</f>
        <v>#REF!</v>
      </c>
      <c r="BF273" t="e">
        <f>AND(#REF!,"AAAAAG2tZDk=")</f>
        <v>#REF!</v>
      </c>
      <c r="BG273" t="e">
        <f>AND(#REF!,"AAAAAG2tZDo=")</f>
        <v>#REF!</v>
      </c>
      <c r="BH273" t="e">
        <f>AND(#REF!,"AAAAAG2tZDs=")</f>
        <v>#REF!</v>
      </c>
      <c r="BI273" t="e">
        <f>IF(#REF!,"AAAAAG2tZDw=",0)</f>
        <v>#REF!</v>
      </c>
      <c r="BJ273" t="e">
        <f>AND(#REF!,"AAAAAG2tZD0=")</f>
        <v>#REF!</v>
      </c>
      <c r="BK273" t="e">
        <f>AND(#REF!,"AAAAAG2tZD4=")</f>
        <v>#REF!</v>
      </c>
      <c r="BL273" t="e">
        <f>AND(#REF!,"AAAAAG2tZD8=")</f>
        <v>#REF!</v>
      </c>
      <c r="BM273" t="e">
        <f>AND(#REF!,"AAAAAG2tZEA=")</f>
        <v>#REF!</v>
      </c>
      <c r="BN273" t="e">
        <f>AND(#REF!,"AAAAAG2tZEE=")</f>
        <v>#REF!</v>
      </c>
      <c r="BO273" t="e">
        <f>AND(#REF!,"AAAAAG2tZEI=")</f>
        <v>#REF!</v>
      </c>
      <c r="BP273" t="e">
        <f>AND(#REF!,"AAAAAG2tZEM=")</f>
        <v>#REF!</v>
      </c>
      <c r="BQ273" t="e">
        <f>AND(#REF!,"AAAAAG2tZEQ=")</f>
        <v>#REF!</v>
      </c>
      <c r="BR273" t="e">
        <f>AND(#REF!,"AAAAAG2tZEU=")</f>
        <v>#REF!</v>
      </c>
      <c r="BS273" t="e">
        <f>AND(#REF!,"AAAAAG2tZEY=")</f>
        <v>#REF!</v>
      </c>
      <c r="BT273" t="e">
        <f>IF(#REF!,"AAAAAG2tZEc=",0)</f>
        <v>#REF!</v>
      </c>
      <c r="BU273" t="e">
        <f>AND(#REF!,"AAAAAG2tZEg=")</f>
        <v>#REF!</v>
      </c>
      <c r="BV273" t="e">
        <f>AND(#REF!,"AAAAAG2tZEk=")</f>
        <v>#REF!</v>
      </c>
      <c r="BW273" t="e">
        <f>AND(#REF!,"AAAAAG2tZEo=")</f>
        <v>#REF!</v>
      </c>
      <c r="BX273" t="e">
        <f>AND(#REF!,"AAAAAG2tZEs=")</f>
        <v>#REF!</v>
      </c>
      <c r="BY273" t="e">
        <f>AND(#REF!,"AAAAAG2tZEw=")</f>
        <v>#REF!</v>
      </c>
      <c r="BZ273" t="e">
        <f>AND(#REF!,"AAAAAG2tZE0=")</f>
        <v>#REF!</v>
      </c>
      <c r="CA273" t="e">
        <f>AND(#REF!,"AAAAAG2tZE4=")</f>
        <v>#REF!</v>
      </c>
      <c r="CB273" t="e">
        <f>AND(#REF!,"AAAAAG2tZE8=")</f>
        <v>#REF!</v>
      </c>
      <c r="CC273" t="e">
        <f>AND(#REF!,"AAAAAG2tZFA=")</f>
        <v>#REF!</v>
      </c>
      <c r="CD273" t="e">
        <f>AND(#REF!,"AAAAAG2tZFE=")</f>
        <v>#REF!</v>
      </c>
      <c r="CE273" t="e">
        <f>IF(#REF!,"AAAAAG2tZFI=",0)</f>
        <v>#REF!</v>
      </c>
      <c r="CF273" t="e">
        <f>AND(#REF!,"AAAAAG2tZFM=")</f>
        <v>#REF!</v>
      </c>
      <c r="CG273" t="e">
        <f>AND(#REF!,"AAAAAG2tZFQ=")</f>
        <v>#REF!</v>
      </c>
      <c r="CH273" t="e">
        <f>AND(#REF!,"AAAAAG2tZFU=")</f>
        <v>#REF!</v>
      </c>
      <c r="CI273" t="e">
        <f>AND(#REF!,"AAAAAG2tZFY=")</f>
        <v>#REF!</v>
      </c>
      <c r="CJ273" t="e">
        <f>AND(#REF!,"AAAAAG2tZFc=")</f>
        <v>#REF!</v>
      </c>
      <c r="CK273" t="e">
        <f>AND(#REF!,"AAAAAG2tZFg=")</f>
        <v>#REF!</v>
      </c>
      <c r="CL273" t="e">
        <f>AND(#REF!,"AAAAAG2tZFk=")</f>
        <v>#REF!</v>
      </c>
      <c r="CM273" t="e">
        <f>AND(#REF!,"AAAAAG2tZFo=")</f>
        <v>#REF!</v>
      </c>
      <c r="CN273" t="e">
        <f>AND(#REF!,"AAAAAG2tZFs=")</f>
        <v>#REF!</v>
      </c>
      <c r="CO273" t="e">
        <f>AND(#REF!,"AAAAAG2tZFw=")</f>
        <v>#REF!</v>
      </c>
      <c r="CP273" t="e">
        <f>IF(#REF!,"AAAAAG2tZF0=",0)</f>
        <v>#REF!</v>
      </c>
      <c r="CQ273" t="e">
        <f>AND(#REF!,"AAAAAG2tZF4=")</f>
        <v>#REF!</v>
      </c>
      <c r="CR273" t="e">
        <f>AND(#REF!,"AAAAAG2tZF8=")</f>
        <v>#REF!</v>
      </c>
      <c r="CS273" t="e">
        <f>AND(#REF!,"AAAAAG2tZGA=")</f>
        <v>#REF!</v>
      </c>
      <c r="CT273" t="e">
        <f>AND(#REF!,"AAAAAG2tZGE=")</f>
        <v>#REF!</v>
      </c>
      <c r="CU273" t="e">
        <f>AND(#REF!,"AAAAAG2tZGI=")</f>
        <v>#REF!</v>
      </c>
      <c r="CV273" t="e">
        <f>AND(#REF!,"AAAAAG2tZGM=")</f>
        <v>#REF!</v>
      </c>
      <c r="CW273" t="e">
        <f>AND(#REF!,"AAAAAG2tZGQ=")</f>
        <v>#REF!</v>
      </c>
      <c r="CX273" t="e">
        <f>AND(#REF!,"AAAAAG2tZGU=")</f>
        <v>#REF!</v>
      </c>
      <c r="CY273" t="e">
        <f>AND(#REF!,"AAAAAG2tZGY=")</f>
        <v>#REF!</v>
      </c>
      <c r="CZ273" t="e">
        <f>AND(#REF!,"AAAAAG2tZGc=")</f>
        <v>#REF!</v>
      </c>
      <c r="DA273" t="e">
        <f>IF(#REF!,"AAAAAG2tZGg=",0)</f>
        <v>#REF!</v>
      </c>
      <c r="DB273" t="e">
        <f>AND(#REF!,"AAAAAG2tZGk=")</f>
        <v>#REF!</v>
      </c>
      <c r="DC273" t="e">
        <f>AND(#REF!,"AAAAAG2tZGo=")</f>
        <v>#REF!</v>
      </c>
      <c r="DD273" t="e">
        <f>AND(#REF!,"AAAAAG2tZGs=")</f>
        <v>#REF!</v>
      </c>
      <c r="DE273" t="e">
        <f>AND(#REF!,"AAAAAG2tZGw=")</f>
        <v>#REF!</v>
      </c>
      <c r="DF273" t="e">
        <f>AND(#REF!,"AAAAAG2tZG0=")</f>
        <v>#REF!</v>
      </c>
      <c r="DG273" t="e">
        <f>AND(#REF!,"AAAAAG2tZG4=")</f>
        <v>#REF!</v>
      </c>
      <c r="DH273" t="e">
        <f>AND(#REF!,"AAAAAG2tZG8=")</f>
        <v>#REF!</v>
      </c>
      <c r="DI273" t="e">
        <f>AND(#REF!,"AAAAAG2tZHA=")</f>
        <v>#REF!</v>
      </c>
      <c r="DJ273" t="e">
        <f>AND(#REF!,"AAAAAG2tZHE=")</f>
        <v>#REF!</v>
      </c>
      <c r="DK273" t="e">
        <f>AND(#REF!,"AAAAAG2tZHI=")</f>
        <v>#REF!</v>
      </c>
      <c r="DL273" t="e">
        <f>IF(#REF!,"AAAAAG2tZHM=",0)</f>
        <v>#REF!</v>
      </c>
      <c r="DM273" t="e">
        <f>AND(#REF!,"AAAAAG2tZHQ=")</f>
        <v>#REF!</v>
      </c>
      <c r="DN273" t="e">
        <f>AND(#REF!,"AAAAAG2tZHU=")</f>
        <v>#REF!</v>
      </c>
      <c r="DO273" t="e">
        <f>AND(#REF!,"AAAAAG2tZHY=")</f>
        <v>#REF!</v>
      </c>
      <c r="DP273" t="e">
        <f>AND(#REF!,"AAAAAG2tZHc=")</f>
        <v>#REF!</v>
      </c>
      <c r="DQ273" t="e">
        <f>AND(#REF!,"AAAAAG2tZHg=")</f>
        <v>#REF!</v>
      </c>
      <c r="DR273" t="e">
        <f>AND(#REF!,"AAAAAG2tZHk=")</f>
        <v>#REF!</v>
      </c>
      <c r="DS273" t="e">
        <f>AND(#REF!,"AAAAAG2tZHo=")</f>
        <v>#REF!</v>
      </c>
      <c r="DT273" t="e">
        <f>AND(#REF!,"AAAAAG2tZHs=")</f>
        <v>#REF!</v>
      </c>
      <c r="DU273" t="e">
        <f>AND(#REF!,"AAAAAG2tZHw=")</f>
        <v>#REF!</v>
      </c>
      <c r="DV273" t="e">
        <f>AND(#REF!,"AAAAAG2tZH0=")</f>
        <v>#REF!</v>
      </c>
      <c r="DW273" t="e">
        <f>IF(#REF!,"AAAAAG2tZH4=",0)</f>
        <v>#REF!</v>
      </c>
      <c r="DX273" t="e">
        <f>AND(#REF!,"AAAAAG2tZH8=")</f>
        <v>#REF!</v>
      </c>
      <c r="DY273" t="e">
        <f>AND(#REF!,"AAAAAG2tZIA=")</f>
        <v>#REF!</v>
      </c>
      <c r="DZ273" t="e">
        <f>AND(#REF!,"AAAAAG2tZIE=")</f>
        <v>#REF!</v>
      </c>
      <c r="EA273" t="e">
        <f>AND(#REF!,"AAAAAG2tZII=")</f>
        <v>#REF!</v>
      </c>
      <c r="EB273" t="e">
        <f>AND(#REF!,"AAAAAG2tZIM=")</f>
        <v>#REF!</v>
      </c>
      <c r="EC273" t="e">
        <f>AND(#REF!,"AAAAAG2tZIQ=")</f>
        <v>#REF!</v>
      </c>
      <c r="ED273" t="e">
        <f>AND(#REF!,"AAAAAG2tZIU=")</f>
        <v>#REF!</v>
      </c>
      <c r="EE273" t="e">
        <f>AND(#REF!,"AAAAAG2tZIY=")</f>
        <v>#REF!</v>
      </c>
      <c r="EF273" t="e">
        <f>AND(#REF!,"AAAAAG2tZIc=")</f>
        <v>#REF!</v>
      </c>
      <c r="EG273" t="e">
        <f>AND(#REF!,"AAAAAG2tZIg=")</f>
        <v>#REF!</v>
      </c>
      <c r="EH273" t="e">
        <f>IF(#REF!,"AAAAAG2tZIk=",0)</f>
        <v>#REF!</v>
      </c>
      <c r="EI273" t="e">
        <f>AND(#REF!,"AAAAAG2tZIo=")</f>
        <v>#REF!</v>
      </c>
      <c r="EJ273" t="e">
        <f>AND(#REF!,"AAAAAG2tZIs=")</f>
        <v>#REF!</v>
      </c>
      <c r="EK273" t="e">
        <f>AND(#REF!,"AAAAAG2tZIw=")</f>
        <v>#REF!</v>
      </c>
      <c r="EL273" t="e">
        <f>AND(#REF!,"AAAAAG2tZI0=")</f>
        <v>#REF!</v>
      </c>
      <c r="EM273" t="e">
        <f>AND(#REF!,"AAAAAG2tZI4=")</f>
        <v>#REF!</v>
      </c>
      <c r="EN273" t="e">
        <f>AND(#REF!,"AAAAAG2tZI8=")</f>
        <v>#REF!</v>
      </c>
      <c r="EO273" t="e">
        <f>AND(#REF!,"AAAAAG2tZJA=")</f>
        <v>#REF!</v>
      </c>
      <c r="EP273" t="e">
        <f>AND(#REF!,"AAAAAG2tZJE=")</f>
        <v>#REF!</v>
      </c>
      <c r="EQ273" t="e">
        <f>AND(#REF!,"AAAAAG2tZJI=")</f>
        <v>#REF!</v>
      </c>
      <c r="ER273" t="e">
        <f>AND(#REF!,"AAAAAG2tZJM=")</f>
        <v>#REF!</v>
      </c>
      <c r="ES273" t="e">
        <f>IF(#REF!,"AAAAAG2tZJQ=",0)</f>
        <v>#REF!</v>
      </c>
      <c r="ET273" t="e">
        <f>AND(#REF!,"AAAAAG2tZJU=")</f>
        <v>#REF!</v>
      </c>
      <c r="EU273" t="e">
        <f>AND(#REF!,"AAAAAG2tZJY=")</f>
        <v>#REF!</v>
      </c>
      <c r="EV273" t="e">
        <f>AND(#REF!,"AAAAAG2tZJc=")</f>
        <v>#REF!</v>
      </c>
      <c r="EW273" t="e">
        <f>AND(#REF!,"AAAAAG2tZJg=")</f>
        <v>#REF!</v>
      </c>
      <c r="EX273" t="e">
        <f>AND(#REF!,"AAAAAG2tZJk=")</f>
        <v>#REF!</v>
      </c>
      <c r="EY273" t="e">
        <f>AND(#REF!,"AAAAAG2tZJo=")</f>
        <v>#REF!</v>
      </c>
      <c r="EZ273" t="e">
        <f>AND(#REF!,"AAAAAG2tZJs=")</f>
        <v>#REF!</v>
      </c>
      <c r="FA273" t="e">
        <f>AND(#REF!,"AAAAAG2tZJw=")</f>
        <v>#REF!</v>
      </c>
      <c r="FB273" t="e">
        <f>AND(#REF!,"AAAAAG2tZJ0=")</f>
        <v>#REF!</v>
      </c>
      <c r="FC273" t="e">
        <f>AND(#REF!,"AAAAAG2tZJ4=")</f>
        <v>#REF!</v>
      </c>
      <c r="FD273" t="e">
        <f>IF(#REF!,"AAAAAG2tZJ8=",0)</f>
        <v>#REF!</v>
      </c>
      <c r="FE273" t="e">
        <f>AND(#REF!,"AAAAAG2tZKA=")</f>
        <v>#REF!</v>
      </c>
      <c r="FF273" t="e">
        <f>AND(#REF!,"AAAAAG2tZKE=")</f>
        <v>#REF!</v>
      </c>
      <c r="FG273" t="e">
        <f>AND(#REF!,"AAAAAG2tZKI=")</f>
        <v>#REF!</v>
      </c>
      <c r="FH273" t="e">
        <f>AND(#REF!,"AAAAAG2tZKM=")</f>
        <v>#REF!</v>
      </c>
      <c r="FI273" t="e">
        <f>AND(#REF!,"AAAAAG2tZKQ=")</f>
        <v>#REF!</v>
      </c>
      <c r="FJ273" t="e">
        <f>AND(#REF!,"AAAAAG2tZKU=")</f>
        <v>#REF!</v>
      </c>
      <c r="FK273" t="e">
        <f>AND(#REF!,"AAAAAG2tZKY=")</f>
        <v>#REF!</v>
      </c>
      <c r="FL273" t="e">
        <f>AND(#REF!,"AAAAAG2tZKc=")</f>
        <v>#REF!</v>
      </c>
      <c r="FM273" t="e">
        <f>AND(#REF!,"AAAAAG2tZKg=")</f>
        <v>#REF!</v>
      </c>
      <c r="FN273" t="e">
        <f>AND(#REF!,"AAAAAG2tZKk=")</f>
        <v>#REF!</v>
      </c>
      <c r="FO273" t="e">
        <f>IF(#REF!,"AAAAAG2tZKo=",0)</f>
        <v>#REF!</v>
      </c>
      <c r="FP273" t="e">
        <f>AND(#REF!,"AAAAAG2tZKs=")</f>
        <v>#REF!</v>
      </c>
      <c r="FQ273" t="e">
        <f>AND(#REF!,"AAAAAG2tZKw=")</f>
        <v>#REF!</v>
      </c>
      <c r="FR273" t="e">
        <f>AND(#REF!,"AAAAAG2tZK0=")</f>
        <v>#REF!</v>
      </c>
      <c r="FS273" t="e">
        <f>AND(#REF!,"AAAAAG2tZK4=")</f>
        <v>#REF!</v>
      </c>
      <c r="FT273" t="e">
        <f>AND(#REF!,"AAAAAG2tZK8=")</f>
        <v>#REF!</v>
      </c>
      <c r="FU273" t="e">
        <f>AND(#REF!,"AAAAAG2tZLA=")</f>
        <v>#REF!</v>
      </c>
      <c r="FV273" t="e">
        <f>AND(#REF!,"AAAAAG2tZLE=")</f>
        <v>#REF!</v>
      </c>
      <c r="FW273" t="e">
        <f>AND(#REF!,"AAAAAG2tZLI=")</f>
        <v>#REF!</v>
      </c>
      <c r="FX273" t="e">
        <f>AND(#REF!,"AAAAAG2tZLM=")</f>
        <v>#REF!</v>
      </c>
      <c r="FY273" t="e">
        <f>AND(#REF!,"AAAAAG2tZLQ=")</f>
        <v>#REF!</v>
      </c>
      <c r="FZ273" t="e">
        <f>IF(#REF!,"AAAAAG2tZLU=",0)</f>
        <v>#REF!</v>
      </c>
      <c r="GA273" t="e">
        <f>AND(#REF!,"AAAAAG2tZLY=")</f>
        <v>#REF!</v>
      </c>
      <c r="GB273" t="e">
        <f>AND(#REF!,"AAAAAG2tZLc=")</f>
        <v>#REF!</v>
      </c>
      <c r="GC273" t="e">
        <f>AND(#REF!,"AAAAAG2tZLg=")</f>
        <v>#REF!</v>
      </c>
      <c r="GD273" t="e">
        <f>AND(#REF!,"AAAAAG2tZLk=")</f>
        <v>#REF!</v>
      </c>
      <c r="GE273" t="e">
        <f>AND(#REF!,"AAAAAG2tZLo=")</f>
        <v>#REF!</v>
      </c>
      <c r="GF273" t="e">
        <f>AND(#REF!,"AAAAAG2tZLs=")</f>
        <v>#REF!</v>
      </c>
      <c r="GG273" t="e">
        <f>AND(#REF!,"AAAAAG2tZLw=")</f>
        <v>#REF!</v>
      </c>
      <c r="GH273" t="e">
        <f>AND(#REF!,"AAAAAG2tZL0=")</f>
        <v>#REF!</v>
      </c>
      <c r="GI273" t="e">
        <f>AND(#REF!,"AAAAAG2tZL4=")</f>
        <v>#REF!</v>
      </c>
      <c r="GJ273" t="e">
        <f>AND(#REF!,"AAAAAG2tZL8=")</f>
        <v>#REF!</v>
      </c>
      <c r="GK273" t="e">
        <f>IF(#REF!,"AAAAAG2tZMA=",0)</f>
        <v>#REF!</v>
      </c>
      <c r="GL273" t="e">
        <f>AND(#REF!,"AAAAAG2tZME=")</f>
        <v>#REF!</v>
      </c>
      <c r="GM273" t="e">
        <f>AND(#REF!,"AAAAAG2tZMI=")</f>
        <v>#REF!</v>
      </c>
      <c r="GN273" t="e">
        <f>AND(#REF!,"AAAAAG2tZMM=")</f>
        <v>#REF!</v>
      </c>
      <c r="GO273" t="e">
        <f>AND(#REF!,"AAAAAG2tZMQ=")</f>
        <v>#REF!</v>
      </c>
      <c r="GP273" t="e">
        <f>AND(#REF!,"AAAAAG2tZMU=")</f>
        <v>#REF!</v>
      </c>
      <c r="GQ273" t="e">
        <f>AND(#REF!,"AAAAAG2tZMY=")</f>
        <v>#REF!</v>
      </c>
      <c r="GR273" t="e">
        <f>AND(#REF!,"AAAAAG2tZMc=")</f>
        <v>#REF!</v>
      </c>
      <c r="GS273" t="e">
        <f>AND(#REF!,"AAAAAG2tZMg=")</f>
        <v>#REF!</v>
      </c>
      <c r="GT273" t="e">
        <f>AND(#REF!,"AAAAAG2tZMk=")</f>
        <v>#REF!</v>
      </c>
      <c r="GU273" t="e">
        <f>AND(#REF!,"AAAAAG2tZMo=")</f>
        <v>#REF!</v>
      </c>
      <c r="GV273" t="e">
        <f>IF(#REF!,"AAAAAG2tZMs=",0)</f>
        <v>#REF!</v>
      </c>
      <c r="GW273" t="e">
        <f>AND(#REF!,"AAAAAG2tZMw=")</f>
        <v>#REF!</v>
      </c>
      <c r="GX273" t="e">
        <f>AND(#REF!,"AAAAAG2tZM0=")</f>
        <v>#REF!</v>
      </c>
      <c r="GY273" t="e">
        <f>AND(#REF!,"AAAAAG2tZM4=")</f>
        <v>#REF!</v>
      </c>
      <c r="GZ273" t="e">
        <f>AND(#REF!,"AAAAAG2tZM8=")</f>
        <v>#REF!</v>
      </c>
      <c r="HA273" t="e">
        <f>AND(#REF!,"AAAAAG2tZNA=")</f>
        <v>#REF!</v>
      </c>
      <c r="HB273" t="e">
        <f>AND(#REF!,"AAAAAG2tZNE=")</f>
        <v>#REF!</v>
      </c>
      <c r="HC273" t="e">
        <f>AND(#REF!,"AAAAAG2tZNI=")</f>
        <v>#REF!</v>
      </c>
      <c r="HD273" t="e">
        <f>AND(#REF!,"AAAAAG2tZNM=")</f>
        <v>#REF!</v>
      </c>
      <c r="HE273" t="e">
        <f>AND(#REF!,"AAAAAG2tZNQ=")</f>
        <v>#REF!</v>
      </c>
      <c r="HF273" t="e">
        <f>AND(#REF!,"AAAAAG2tZNU=")</f>
        <v>#REF!</v>
      </c>
      <c r="HG273" t="e">
        <f>IF(#REF!,"AAAAAG2tZNY=",0)</f>
        <v>#REF!</v>
      </c>
      <c r="HH273" t="e">
        <f>AND(#REF!,"AAAAAG2tZNc=")</f>
        <v>#REF!</v>
      </c>
      <c r="HI273" t="e">
        <f>AND(#REF!,"AAAAAG2tZNg=")</f>
        <v>#REF!</v>
      </c>
      <c r="HJ273" t="e">
        <f>AND(#REF!,"AAAAAG2tZNk=")</f>
        <v>#REF!</v>
      </c>
      <c r="HK273" t="e">
        <f>AND(#REF!,"AAAAAG2tZNo=")</f>
        <v>#REF!</v>
      </c>
      <c r="HL273" t="e">
        <f>AND(#REF!,"AAAAAG2tZNs=")</f>
        <v>#REF!</v>
      </c>
      <c r="HM273" t="e">
        <f>AND(#REF!,"AAAAAG2tZNw=")</f>
        <v>#REF!</v>
      </c>
      <c r="HN273" t="e">
        <f>AND(#REF!,"AAAAAG2tZN0=")</f>
        <v>#REF!</v>
      </c>
      <c r="HO273" t="e">
        <f>AND(#REF!,"AAAAAG2tZN4=")</f>
        <v>#REF!</v>
      </c>
      <c r="HP273" t="e">
        <f>AND(#REF!,"AAAAAG2tZN8=")</f>
        <v>#REF!</v>
      </c>
      <c r="HQ273" t="e">
        <f>AND(#REF!,"AAAAAG2tZOA=")</f>
        <v>#REF!</v>
      </c>
      <c r="HR273" t="e">
        <f>IF(#REF!,"AAAAAG2tZOE=",0)</f>
        <v>#REF!</v>
      </c>
      <c r="HS273" t="e">
        <f>AND(#REF!,"AAAAAG2tZOI=")</f>
        <v>#REF!</v>
      </c>
      <c r="HT273" t="e">
        <f>AND(#REF!,"AAAAAG2tZOM=")</f>
        <v>#REF!</v>
      </c>
      <c r="HU273" t="e">
        <f>AND(#REF!,"AAAAAG2tZOQ=")</f>
        <v>#REF!</v>
      </c>
      <c r="HV273" t="e">
        <f>AND(#REF!,"AAAAAG2tZOU=")</f>
        <v>#REF!</v>
      </c>
      <c r="HW273" t="e">
        <f>AND(#REF!,"AAAAAG2tZOY=")</f>
        <v>#REF!</v>
      </c>
      <c r="HX273" t="e">
        <f>AND(#REF!,"AAAAAG2tZOc=")</f>
        <v>#REF!</v>
      </c>
      <c r="HY273" t="e">
        <f>AND(#REF!,"AAAAAG2tZOg=")</f>
        <v>#REF!</v>
      </c>
      <c r="HZ273" t="e">
        <f>AND(#REF!,"AAAAAG2tZOk=")</f>
        <v>#REF!</v>
      </c>
      <c r="IA273" t="e">
        <f>AND(#REF!,"AAAAAG2tZOo=")</f>
        <v>#REF!</v>
      </c>
      <c r="IB273" t="e">
        <f>AND(#REF!,"AAAAAG2tZOs=")</f>
        <v>#REF!</v>
      </c>
      <c r="IC273" t="e">
        <f>IF(#REF!,"AAAAAG2tZOw=",0)</f>
        <v>#REF!</v>
      </c>
      <c r="ID273" t="e">
        <f>AND(#REF!,"AAAAAG2tZO0=")</f>
        <v>#REF!</v>
      </c>
      <c r="IE273" t="e">
        <f>AND(#REF!,"AAAAAG2tZO4=")</f>
        <v>#REF!</v>
      </c>
      <c r="IF273" t="e">
        <f>AND(#REF!,"AAAAAG2tZO8=")</f>
        <v>#REF!</v>
      </c>
      <c r="IG273" t="e">
        <f>AND(#REF!,"AAAAAG2tZPA=")</f>
        <v>#REF!</v>
      </c>
      <c r="IH273" t="e">
        <f>AND(#REF!,"AAAAAG2tZPE=")</f>
        <v>#REF!</v>
      </c>
      <c r="II273" t="e">
        <f>AND(#REF!,"AAAAAG2tZPI=")</f>
        <v>#REF!</v>
      </c>
      <c r="IJ273" t="e">
        <f>AND(#REF!,"AAAAAG2tZPM=")</f>
        <v>#REF!</v>
      </c>
      <c r="IK273" t="e">
        <f>AND(#REF!,"AAAAAG2tZPQ=")</f>
        <v>#REF!</v>
      </c>
      <c r="IL273" t="e">
        <f>AND(#REF!,"AAAAAG2tZPU=")</f>
        <v>#REF!</v>
      </c>
      <c r="IM273" t="e">
        <f>AND(#REF!,"AAAAAG2tZPY=")</f>
        <v>#REF!</v>
      </c>
      <c r="IN273" t="e">
        <f>IF(#REF!,"AAAAAG2tZPc=",0)</f>
        <v>#REF!</v>
      </c>
      <c r="IO273" t="e">
        <f>AND(#REF!,"AAAAAG2tZPg=")</f>
        <v>#REF!</v>
      </c>
      <c r="IP273" t="e">
        <f>AND(#REF!,"AAAAAG2tZPk=")</f>
        <v>#REF!</v>
      </c>
      <c r="IQ273" t="e">
        <f>AND(#REF!,"AAAAAG2tZPo=")</f>
        <v>#REF!</v>
      </c>
      <c r="IR273" t="e">
        <f>AND(#REF!,"AAAAAG2tZPs=")</f>
        <v>#REF!</v>
      </c>
      <c r="IS273" t="e">
        <f>AND(#REF!,"AAAAAG2tZPw=")</f>
        <v>#REF!</v>
      </c>
      <c r="IT273" t="e">
        <f>AND(#REF!,"AAAAAG2tZP0=")</f>
        <v>#REF!</v>
      </c>
      <c r="IU273" t="e">
        <f>AND(#REF!,"AAAAAG2tZP4=")</f>
        <v>#REF!</v>
      </c>
      <c r="IV273" t="e">
        <f>AND(#REF!,"AAAAAG2tZP8=")</f>
        <v>#REF!</v>
      </c>
    </row>
    <row r="274" spans="1:256" x14ac:dyDescent="0.25">
      <c r="A274" t="e">
        <f>AND(#REF!,"AAAAAHf2uwA=")</f>
        <v>#REF!</v>
      </c>
      <c r="B274" t="e">
        <f>AND(#REF!,"AAAAAHf2uwE=")</f>
        <v>#REF!</v>
      </c>
      <c r="C274" t="e">
        <f>IF(#REF!,"AAAAAHf2uwI=",0)</f>
        <v>#REF!</v>
      </c>
      <c r="D274" t="e">
        <f>AND(#REF!,"AAAAAHf2uwM=")</f>
        <v>#REF!</v>
      </c>
      <c r="E274" t="e">
        <f>AND(#REF!,"AAAAAHf2uwQ=")</f>
        <v>#REF!</v>
      </c>
      <c r="F274" t="e">
        <f>AND(#REF!,"AAAAAHf2uwU=")</f>
        <v>#REF!</v>
      </c>
      <c r="G274" t="e">
        <f>AND(#REF!,"AAAAAHf2uwY=")</f>
        <v>#REF!</v>
      </c>
      <c r="H274" t="e">
        <f>AND(#REF!,"AAAAAHf2uwc=")</f>
        <v>#REF!</v>
      </c>
      <c r="I274" t="e">
        <f>AND(#REF!,"AAAAAHf2uwg=")</f>
        <v>#REF!</v>
      </c>
      <c r="J274" t="e">
        <f>AND(#REF!,"AAAAAHf2uwk=")</f>
        <v>#REF!</v>
      </c>
      <c r="K274" t="e">
        <f>AND(#REF!,"AAAAAHf2uwo=")</f>
        <v>#REF!</v>
      </c>
      <c r="L274" t="e">
        <f>AND(#REF!,"AAAAAHf2uws=")</f>
        <v>#REF!</v>
      </c>
      <c r="M274" t="e">
        <f>AND(#REF!,"AAAAAHf2uww=")</f>
        <v>#REF!</v>
      </c>
      <c r="N274" t="e">
        <f>IF(#REF!,"AAAAAHf2uw0=",0)</f>
        <v>#REF!</v>
      </c>
      <c r="O274" t="e">
        <f>AND(#REF!,"AAAAAHf2uw4=")</f>
        <v>#REF!</v>
      </c>
      <c r="P274" t="e">
        <f>AND(#REF!,"AAAAAHf2uw8=")</f>
        <v>#REF!</v>
      </c>
      <c r="Q274" t="e">
        <f>AND(#REF!,"AAAAAHf2uxA=")</f>
        <v>#REF!</v>
      </c>
      <c r="R274" t="e">
        <f>AND(#REF!,"AAAAAHf2uxE=")</f>
        <v>#REF!</v>
      </c>
      <c r="S274" t="e">
        <f>AND(#REF!,"AAAAAHf2uxI=")</f>
        <v>#REF!</v>
      </c>
      <c r="T274" t="e">
        <f>AND(#REF!,"AAAAAHf2uxM=")</f>
        <v>#REF!</v>
      </c>
      <c r="U274" t="e">
        <f>AND(#REF!,"AAAAAHf2uxQ=")</f>
        <v>#REF!</v>
      </c>
      <c r="V274" t="e">
        <f>AND(#REF!,"AAAAAHf2uxU=")</f>
        <v>#REF!</v>
      </c>
      <c r="W274" t="e">
        <f>AND(#REF!,"AAAAAHf2uxY=")</f>
        <v>#REF!</v>
      </c>
      <c r="X274" t="e">
        <f>AND(#REF!,"AAAAAHf2uxc=")</f>
        <v>#REF!</v>
      </c>
      <c r="Y274" t="e">
        <f>IF(#REF!,"AAAAAHf2uxg=",0)</f>
        <v>#REF!</v>
      </c>
      <c r="Z274" t="e">
        <f>AND(#REF!,"AAAAAHf2uxk=")</f>
        <v>#REF!</v>
      </c>
      <c r="AA274" t="e">
        <f>AND(#REF!,"AAAAAHf2uxo=")</f>
        <v>#REF!</v>
      </c>
      <c r="AB274" t="e">
        <f>AND(#REF!,"AAAAAHf2uxs=")</f>
        <v>#REF!</v>
      </c>
      <c r="AC274" t="e">
        <f>AND(#REF!,"AAAAAHf2uxw=")</f>
        <v>#REF!</v>
      </c>
      <c r="AD274" t="e">
        <f>AND(#REF!,"AAAAAHf2ux0=")</f>
        <v>#REF!</v>
      </c>
      <c r="AE274" t="e">
        <f>AND(#REF!,"AAAAAHf2ux4=")</f>
        <v>#REF!</v>
      </c>
      <c r="AF274" t="e">
        <f>AND(#REF!,"AAAAAHf2ux8=")</f>
        <v>#REF!</v>
      </c>
      <c r="AG274" t="e">
        <f>AND(#REF!,"AAAAAHf2uyA=")</f>
        <v>#REF!</v>
      </c>
      <c r="AH274" t="e">
        <f>AND(#REF!,"AAAAAHf2uyE=")</f>
        <v>#REF!</v>
      </c>
      <c r="AI274" t="e">
        <f>AND(#REF!,"AAAAAHf2uyI=")</f>
        <v>#REF!</v>
      </c>
      <c r="AJ274" t="e">
        <f>IF(#REF!,"AAAAAHf2uyM=",0)</f>
        <v>#REF!</v>
      </c>
      <c r="AK274" t="e">
        <f>AND(#REF!,"AAAAAHf2uyQ=")</f>
        <v>#REF!</v>
      </c>
      <c r="AL274" t="e">
        <f>AND(#REF!,"AAAAAHf2uyU=")</f>
        <v>#REF!</v>
      </c>
      <c r="AM274" t="e">
        <f>AND(#REF!,"AAAAAHf2uyY=")</f>
        <v>#REF!</v>
      </c>
      <c r="AN274" t="e">
        <f>AND(#REF!,"AAAAAHf2uyc=")</f>
        <v>#REF!</v>
      </c>
      <c r="AO274" t="e">
        <f>AND(#REF!,"AAAAAHf2uyg=")</f>
        <v>#REF!</v>
      </c>
      <c r="AP274" t="e">
        <f>AND(#REF!,"AAAAAHf2uyk=")</f>
        <v>#REF!</v>
      </c>
      <c r="AQ274" t="e">
        <f>AND(#REF!,"AAAAAHf2uyo=")</f>
        <v>#REF!</v>
      </c>
      <c r="AR274" t="e">
        <f>AND(#REF!,"AAAAAHf2uys=")</f>
        <v>#REF!</v>
      </c>
      <c r="AS274" t="e">
        <f>AND(#REF!,"AAAAAHf2uyw=")</f>
        <v>#REF!</v>
      </c>
      <c r="AT274" t="e">
        <f>AND(#REF!,"AAAAAHf2uy0=")</f>
        <v>#REF!</v>
      </c>
      <c r="AU274" t="e">
        <f>IF(#REF!,"AAAAAHf2uy4=",0)</f>
        <v>#REF!</v>
      </c>
      <c r="AV274" t="e">
        <f>AND(#REF!,"AAAAAHf2uy8=")</f>
        <v>#REF!</v>
      </c>
      <c r="AW274" t="e">
        <f>AND(#REF!,"AAAAAHf2uzA=")</f>
        <v>#REF!</v>
      </c>
      <c r="AX274" t="e">
        <f>AND(#REF!,"AAAAAHf2uzE=")</f>
        <v>#REF!</v>
      </c>
      <c r="AY274" t="e">
        <f>AND(#REF!,"AAAAAHf2uzI=")</f>
        <v>#REF!</v>
      </c>
      <c r="AZ274" t="e">
        <f>AND(#REF!,"AAAAAHf2uzM=")</f>
        <v>#REF!</v>
      </c>
      <c r="BA274" t="e">
        <f>AND(#REF!,"AAAAAHf2uzQ=")</f>
        <v>#REF!</v>
      </c>
      <c r="BB274" t="e">
        <f>AND(#REF!,"AAAAAHf2uzU=")</f>
        <v>#REF!</v>
      </c>
      <c r="BC274" t="e">
        <f>AND(#REF!,"AAAAAHf2uzY=")</f>
        <v>#REF!</v>
      </c>
      <c r="BD274" t="e">
        <f>AND(#REF!,"AAAAAHf2uzc=")</f>
        <v>#REF!</v>
      </c>
      <c r="BE274" t="e">
        <f>AND(#REF!,"AAAAAHf2uzg=")</f>
        <v>#REF!</v>
      </c>
      <c r="BF274" t="e">
        <f>IF(#REF!,"AAAAAHf2uzk=",0)</f>
        <v>#REF!</v>
      </c>
      <c r="BG274" t="e">
        <f>AND(#REF!,"AAAAAHf2uzo=")</f>
        <v>#REF!</v>
      </c>
      <c r="BH274" t="e">
        <f>AND(#REF!,"AAAAAHf2uzs=")</f>
        <v>#REF!</v>
      </c>
      <c r="BI274" t="e">
        <f>AND(#REF!,"AAAAAHf2uzw=")</f>
        <v>#REF!</v>
      </c>
      <c r="BJ274" t="e">
        <f>AND(#REF!,"AAAAAHf2uz0=")</f>
        <v>#REF!</v>
      </c>
      <c r="BK274" t="e">
        <f>AND(#REF!,"AAAAAHf2uz4=")</f>
        <v>#REF!</v>
      </c>
      <c r="BL274" t="e">
        <f>AND(#REF!,"AAAAAHf2uz8=")</f>
        <v>#REF!</v>
      </c>
      <c r="BM274" t="e">
        <f>AND(#REF!,"AAAAAHf2u0A=")</f>
        <v>#REF!</v>
      </c>
      <c r="BN274" t="e">
        <f>AND(#REF!,"AAAAAHf2u0E=")</f>
        <v>#REF!</v>
      </c>
      <c r="BO274" t="e">
        <f>AND(#REF!,"AAAAAHf2u0I=")</f>
        <v>#REF!</v>
      </c>
      <c r="BP274" t="e">
        <f>AND(#REF!,"AAAAAHf2u0M=")</f>
        <v>#REF!</v>
      </c>
      <c r="BQ274" t="e">
        <f>IF(#REF!,"AAAAAHf2u0Q=",0)</f>
        <v>#REF!</v>
      </c>
      <c r="BR274" t="e">
        <f>AND(#REF!,"AAAAAHf2u0U=")</f>
        <v>#REF!</v>
      </c>
      <c r="BS274" t="e">
        <f>AND(#REF!,"AAAAAHf2u0Y=")</f>
        <v>#REF!</v>
      </c>
      <c r="BT274" t="e">
        <f>AND(#REF!,"AAAAAHf2u0c=")</f>
        <v>#REF!</v>
      </c>
      <c r="BU274" t="e">
        <f>AND(#REF!,"AAAAAHf2u0g=")</f>
        <v>#REF!</v>
      </c>
      <c r="BV274" t="e">
        <f>AND(#REF!,"AAAAAHf2u0k=")</f>
        <v>#REF!</v>
      </c>
      <c r="BW274" t="e">
        <f>AND(#REF!,"AAAAAHf2u0o=")</f>
        <v>#REF!</v>
      </c>
      <c r="BX274" t="e">
        <f>AND(#REF!,"AAAAAHf2u0s=")</f>
        <v>#REF!</v>
      </c>
      <c r="BY274" t="e">
        <f>AND(#REF!,"AAAAAHf2u0w=")</f>
        <v>#REF!</v>
      </c>
      <c r="BZ274" t="e">
        <f>AND(#REF!,"AAAAAHf2u00=")</f>
        <v>#REF!</v>
      </c>
      <c r="CA274" t="e">
        <f>AND(#REF!,"AAAAAHf2u04=")</f>
        <v>#REF!</v>
      </c>
      <c r="CB274" t="e">
        <f>IF(#REF!,"AAAAAHf2u08=",0)</f>
        <v>#REF!</v>
      </c>
      <c r="CC274" t="e">
        <f>AND(#REF!,"AAAAAHf2u1A=")</f>
        <v>#REF!</v>
      </c>
      <c r="CD274" t="e">
        <f>AND(#REF!,"AAAAAHf2u1E=")</f>
        <v>#REF!</v>
      </c>
      <c r="CE274" t="e">
        <f>AND(#REF!,"AAAAAHf2u1I=")</f>
        <v>#REF!</v>
      </c>
      <c r="CF274" t="e">
        <f>AND(#REF!,"AAAAAHf2u1M=")</f>
        <v>#REF!</v>
      </c>
      <c r="CG274" t="e">
        <f>AND(#REF!,"AAAAAHf2u1Q=")</f>
        <v>#REF!</v>
      </c>
      <c r="CH274" t="e">
        <f>AND(#REF!,"AAAAAHf2u1U=")</f>
        <v>#REF!</v>
      </c>
      <c r="CI274" t="e">
        <f>AND(#REF!,"AAAAAHf2u1Y=")</f>
        <v>#REF!</v>
      </c>
      <c r="CJ274" t="e">
        <f>AND(#REF!,"AAAAAHf2u1c=")</f>
        <v>#REF!</v>
      </c>
      <c r="CK274" t="e">
        <f>AND(#REF!,"AAAAAHf2u1g=")</f>
        <v>#REF!</v>
      </c>
      <c r="CL274" t="e">
        <f>AND(#REF!,"AAAAAHf2u1k=")</f>
        <v>#REF!</v>
      </c>
      <c r="CM274" t="e">
        <f>IF(#REF!,"AAAAAHf2u1o=",0)</f>
        <v>#REF!</v>
      </c>
      <c r="CN274" t="e">
        <f>AND(#REF!,"AAAAAHf2u1s=")</f>
        <v>#REF!</v>
      </c>
      <c r="CO274" t="e">
        <f>AND(#REF!,"AAAAAHf2u1w=")</f>
        <v>#REF!</v>
      </c>
      <c r="CP274" t="e">
        <f>AND(#REF!,"AAAAAHf2u10=")</f>
        <v>#REF!</v>
      </c>
      <c r="CQ274" t="e">
        <f>AND(#REF!,"AAAAAHf2u14=")</f>
        <v>#REF!</v>
      </c>
      <c r="CR274" t="e">
        <f>AND(#REF!,"AAAAAHf2u18=")</f>
        <v>#REF!</v>
      </c>
      <c r="CS274" t="e">
        <f>AND(#REF!,"AAAAAHf2u2A=")</f>
        <v>#REF!</v>
      </c>
      <c r="CT274" t="e">
        <f>AND(#REF!,"AAAAAHf2u2E=")</f>
        <v>#REF!</v>
      </c>
      <c r="CU274" t="e">
        <f>AND(#REF!,"AAAAAHf2u2I=")</f>
        <v>#REF!</v>
      </c>
      <c r="CV274" t="e">
        <f>AND(#REF!,"AAAAAHf2u2M=")</f>
        <v>#REF!</v>
      </c>
      <c r="CW274" t="e">
        <f>AND(#REF!,"AAAAAHf2u2Q=")</f>
        <v>#REF!</v>
      </c>
      <c r="CX274" t="e">
        <f>IF(#REF!,"AAAAAHf2u2U=",0)</f>
        <v>#REF!</v>
      </c>
      <c r="CY274" t="e">
        <f>AND(#REF!,"AAAAAHf2u2Y=")</f>
        <v>#REF!</v>
      </c>
      <c r="CZ274" t="e">
        <f>AND(#REF!,"AAAAAHf2u2c=")</f>
        <v>#REF!</v>
      </c>
      <c r="DA274" t="e">
        <f>AND(#REF!,"AAAAAHf2u2g=")</f>
        <v>#REF!</v>
      </c>
      <c r="DB274" t="e">
        <f>AND(#REF!,"AAAAAHf2u2k=")</f>
        <v>#REF!</v>
      </c>
      <c r="DC274" t="e">
        <f>AND(#REF!,"AAAAAHf2u2o=")</f>
        <v>#REF!</v>
      </c>
      <c r="DD274" t="e">
        <f>AND(#REF!,"AAAAAHf2u2s=")</f>
        <v>#REF!</v>
      </c>
      <c r="DE274" t="e">
        <f>AND(#REF!,"AAAAAHf2u2w=")</f>
        <v>#REF!</v>
      </c>
      <c r="DF274" t="e">
        <f>AND(#REF!,"AAAAAHf2u20=")</f>
        <v>#REF!</v>
      </c>
      <c r="DG274" t="e">
        <f>AND(#REF!,"AAAAAHf2u24=")</f>
        <v>#REF!</v>
      </c>
      <c r="DH274" t="e">
        <f>AND(#REF!,"AAAAAHf2u28=")</f>
        <v>#REF!</v>
      </c>
      <c r="DI274" t="e">
        <f>IF(#REF!,"AAAAAHf2u3A=",0)</f>
        <v>#REF!</v>
      </c>
      <c r="DJ274" t="e">
        <f>AND(#REF!,"AAAAAHf2u3E=")</f>
        <v>#REF!</v>
      </c>
      <c r="DK274" t="e">
        <f>AND(#REF!,"AAAAAHf2u3I=")</f>
        <v>#REF!</v>
      </c>
      <c r="DL274" t="e">
        <f>AND(#REF!,"AAAAAHf2u3M=")</f>
        <v>#REF!</v>
      </c>
      <c r="DM274" t="e">
        <f>AND(#REF!,"AAAAAHf2u3Q=")</f>
        <v>#REF!</v>
      </c>
      <c r="DN274" t="e">
        <f>AND(#REF!,"AAAAAHf2u3U=")</f>
        <v>#REF!</v>
      </c>
      <c r="DO274" t="e">
        <f>AND(#REF!,"AAAAAHf2u3Y=")</f>
        <v>#REF!</v>
      </c>
      <c r="DP274" t="e">
        <f>AND(#REF!,"AAAAAHf2u3c=")</f>
        <v>#REF!</v>
      </c>
      <c r="DQ274" t="e">
        <f>AND(#REF!,"AAAAAHf2u3g=")</f>
        <v>#REF!</v>
      </c>
      <c r="DR274" t="e">
        <f>AND(#REF!,"AAAAAHf2u3k=")</f>
        <v>#REF!</v>
      </c>
      <c r="DS274" t="e">
        <f>AND(#REF!,"AAAAAHf2u3o=")</f>
        <v>#REF!</v>
      </c>
      <c r="DT274" t="e">
        <f>IF(#REF!,"AAAAAHf2u3s=",0)</f>
        <v>#REF!</v>
      </c>
      <c r="DU274" t="e">
        <f>AND(#REF!,"AAAAAHf2u3w=")</f>
        <v>#REF!</v>
      </c>
      <c r="DV274" t="e">
        <f>AND(#REF!,"AAAAAHf2u30=")</f>
        <v>#REF!</v>
      </c>
      <c r="DW274" t="e">
        <f>AND(#REF!,"AAAAAHf2u34=")</f>
        <v>#REF!</v>
      </c>
      <c r="DX274" t="e">
        <f>AND(#REF!,"AAAAAHf2u38=")</f>
        <v>#REF!</v>
      </c>
      <c r="DY274" t="e">
        <f>AND(#REF!,"AAAAAHf2u4A=")</f>
        <v>#REF!</v>
      </c>
      <c r="DZ274" t="e">
        <f>AND(#REF!,"AAAAAHf2u4E=")</f>
        <v>#REF!</v>
      </c>
      <c r="EA274" t="e">
        <f>AND(#REF!,"AAAAAHf2u4I=")</f>
        <v>#REF!</v>
      </c>
      <c r="EB274" t="e">
        <f>AND(#REF!,"AAAAAHf2u4M=")</f>
        <v>#REF!</v>
      </c>
      <c r="EC274" t="e">
        <f>AND(#REF!,"AAAAAHf2u4Q=")</f>
        <v>#REF!</v>
      </c>
      <c r="ED274" t="e">
        <f>AND(#REF!,"AAAAAHf2u4U=")</f>
        <v>#REF!</v>
      </c>
      <c r="EE274" t="e">
        <f>IF(#REF!,"AAAAAHf2u4Y=",0)</f>
        <v>#REF!</v>
      </c>
      <c r="EF274" t="e">
        <f>AND(#REF!,"AAAAAHf2u4c=")</f>
        <v>#REF!</v>
      </c>
      <c r="EG274" t="e">
        <f>AND(#REF!,"AAAAAHf2u4g=")</f>
        <v>#REF!</v>
      </c>
      <c r="EH274" t="e">
        <f>AND(#REF!,"AAAAAHf2u4k=")</f>
        <v>#REF!</v>
      </c>
      <c r="EI274" t="e">
        <f>AND(#REF!,"AAAAAHf2u4o=")</f>
        <v>#REF!</v>
      </c>
      <c r="EJ274" t="e">
        <f>AND(#REF!,"AAAAAHf2u4s=")</f>
        <v>#REF!</v>
      </c>
      <c r="EK274" t="e">
        <f>AND(#REF!,"AAAAAHf2u4w=")</f>
        <v>#REF!</v>
      </c>
      <c r="EL274" t="e">
        <f>AND(#REF!,"AAAAAHf2u40=")</f>
        <v>#REF!</v>
      </c>
      <c r="EM274" t="e">
        <f>AND(#REF!,"AAAAAHf2u44=")</f>
        <v>#REF!</v>
      </c>
      <c r="EN274" t="e">
        <f>AND(#REF!,"AAAAAHf2u48=")</f>
        <v>#REF!</v>
      </c>
      <c r="EO274" t="e">
        <f>AND(#REF!,"AAAAAHf2u5A=")</f>
        <v>#REF!</v>
      </c>
      <c r="EP274" t="e">
        <f>IF(#REF!,"AAAAAHf2u5E=",0)</f>
        <v>#REF!</v>
      </c>
      <c r="EQ274" t="e">
        <f>AND(#REF!,"AAAAAHf2u5I=")</f>
        <v>#REF!</v>
      </c>
      <c r="ER274" t="e">
        <f>AND(#REF!,"AAAAAHf2u5M=")</f>
        <v>#REF!</v>
      </c>
      <c r="ES274" t="e">
        <f>AND(#REF!,"AAAAAHf2u5Q=")</f>
        <v>#REF!</v>
      </c>
      <c r="ET274" t="e">
        <f>AND(#REF!,"AAAAAHf2u5U=")</f>
        <v>#REF!</v>
      </c>
      <c r="EU274" t="e">
        <f>AND(#REF!,"AAAAAHf2u5Y=")</f>
        <v>#REF!</v>
      </c>
      <c r="EV274" t="e">
        <f>AND(#REF!,"AAAAAHf2u5c=")</f>
        <v>#REF!</v>
      </c>
      <c r="EW274" t="e">
        <f>AND(#REF!,"AAAAAHf2u5g=")</f>
        <v>#REF!</v>
      </c>
      <c r="EX274" t="e">
        <f>AND(#REF!,"AAAAAHf2u5k=")</f>
        <v>#REF!</v>
      </c>
      <c r="EY274" t="e">
        <f>AND(#REF!,"AAAAAHf2u5o=")</f>
        <v>#REF!</v>
      </c>
      <c r="EZ274" t="e">
        <f>AND(#REF!,"AAAAAHf2u5s=")</f>
        <v>#REF!</v>
      </c>
      <c r="FA274" t="e">
        <f>IF(#REF!,"AAAAAHf2u5w=",0)</f>
        <v>#REF!</v>
      </c>
      <c r="FB274" t="e">
        <f>AND(#REF!,"AAAAAHf2u50=")</f>
        <v>#REF!</v>
      </c>
      <c r="FC274" t="e">
        <f>AND(#REF!,"AAAAAHf2u54=")</f>
        <v>#REF!</v>
      </c>
      <c r="FD274" t="e">
        <f>AND(#REF!,"AAAAAHf2u58=")</f>
        <v>#REF!</v>
      </c>
      <c r="FE274" t="e">
        <f>AND(#REF!,"AAAAAHf2u6A=")</f>
        <v>#REF!</v>
      </c>
      <c r="FF274" t="e">
        <f>AND(#REF!,"AAAAAHf2u6E=")</f>
        <v>#REF!</v>
      </c>
      <c r="FG274" t="e">
        <f>AND(#REF!,"AAAAAHf2u6I=")</f>
        <v>#REF!</v>
      </c>
      <c r="FH274" t="e">
        <f>AND(#REF!,"AAAAAHf2u6M=")</f>
        <v>#REF!</v>
      </c>
      <c r="FI274" t="e">
        <f>AND(#REF!,"AAAAAHf2u6Q=")</f>
        <v>#REF!</v>
      </c>
      <c r="FJ274" t="e">
        <f>AND(#REF!,"AAAAAHf2u6U=")</f>
        <v>#REF!</v>
      </c>
      <c r="FK274" t="e">
        <f>AND(#REF!,"AAAAAHf2u6Y=")</f>
        <v>#REF!</v>
      </c>
      <c r="FL274" t="e">
        <f>IF(#REF!,"AAAAAHf2u6c=",0)</f>
        <v>#REF!</v>
      </c>
      <c r="FM274" t="e">
        <f>AND(#REF!,"AAAAAHf2u6g=")</f>
        <v>#REF!</v>
      </c>
      <c r="FN274" t="e">
        <f>AND(#REF!,"AAAAAHf2u6k=")</f>
        <v>#REF!</v>
      </c>
      <c r="FO274" t="e">
        <f>AND(#REF!,"AAAAAHf2u6o=")</f>
        <v>#REF!</v>
      </c>
      <c r="FP274" t="e">
        <f>AND(#REF!,"AAAAAHf2u6s=")</f>
        <v>#REF!</v>
      </c>
      <c r="FQ274" t="e">
        <f>AND(#REF!,"AAAAAHf2u6w=")</f>
        <v>#REF!</v>
      </c>
      <c r="FR274" t="e">
        <f>AND(#REF!,"AAAAAHf2u60=")</f>
        <v>#REF!</v>
      </c>
      <c r="FS274" t="e">
        <f>AND(#REF!,"AAAAAHf2u64=")</f>
        <v>#REF!</v>
      </c>
      <c r="FT274" t="e">
        <f>AND(#REF!,"AAAAAHf2u68=")</f>
        <v>#REF!</v>
      </c>
      <c r="FU274" t="e">
        <f>AND(#REF!,"AAAAAHf2u7A=")</f>
        <v>#REF!</v>
      </c>
      <c r="FV274" t="e">
        <f>AND(#REF!,"AAAAAHf2u7E=")</f>
        <v>#REF!</v>
      </c>
      <c r="FW274" t="e">
        <f>IF(#REF!,"AAAAAHf2u7I=",0)</f>
        <v>#REF!</v>
      </c>
      <c r="FX274" t="e">
        <f>AND(#REF!,"AAAAAHf2u7M=")</f>
        <v>#REF!</v>
      </c>
      <c r="FY274" t="e">
        <f>AND(#REF!,"AAAAAHf2u7Q=")</f>
        <v>#REF!</v>
      </c>
      <c r="FZ274" t="e">
        <f>AND(#REF!,"AAAAAHf2u7U=")</f>
        <v>#REF!</v>
      </c>
      <c r="GA274" t="e">
        <f>AND(#REF!,"AAAAAHf2u7Y=")</f>
        <v>#REF!</v>
      </c>
      <c r="GB274" t="e">
        <f>AND(#REF!,"AAAAAHf2u7c=")</f>
        <v>#REF!</v>
      </c>
      <c r="GC274" t="e">
        <f>AND(#REF!,"AAAAAHf2u7g=")</f>
        <v>#REF!</v>
      </c>
      <c r="GD274" t="e">
        <f>AND(#REF!,"AAAAAHf2u7k=")</f>
        <v>#REF!</v>
      </c>
      <c r="GE274" t="e">
        <f>AND(#REF!,"AAAAAHf2u7o=")</f>
        <v>#REF!</v>
      </c>
      <c r="GF274" t="e">
        <f>AND(#REF!,"AAAAAHf2u7s=")</f>
        <v>#REF!</v>
      </c>
      <c r="GG274" t="e">
        <f>AND(#REF!,"AAAAAHf2u7w=")</f>
        <v>#REF!</v>
      </c>
      <c r="GH274" t="e">
        <f>IF(#REF!,"AAAAAHf2u70=",0)</f>
        <v>#REF!</v>
      </c>
      <c r="GI274" t="e">
        <f>AND(#REF!,"AAAAAHf2u74=")</f>
        <v>#REF!</v>
      </c>
      <c r="GJ274" t="e">
        <f>AND(#REF!,"AAAAAHf2u78=")</f>
        <v>#REF!</v>
      </c>
      <c r="GK274" t="e">
        <f>AND(#REF!,"AAAAAHf2u8A=")</f>
        <v>#REF!</v>
      </c>
      <c r="GL274" t="e">
        <f>AND(#REF!,"AAAAAHf2u8E=")</f>
        <v>#REF!</v>
      </c>
      <c r="GM274" t="e">
        <f>AND(#REF!,"AAAAAHf2u8I=")</f>
        <v>#REF!</v>
      </c>
      <c r="GN274" t="e">
        <f>AND(#REF!,"AAAAAHf2u8M=")</f>
        <v>#REF!</v>
      </c>
      <c r="GO274" t="e">
        <f>AND(#REF!,"AAAAAHf2u8Q=")</f>
        <v>#REF!</v>
      </c>
      <c r="GP274" t="e">
        <f>AND(#REF!,"AAAAAHf2u8U=")</f>
        <v>#REF!</v>
      </c>
      <c r="GQ274" t="e">
        <f>AND(#REF!,"AAAAAHf2u8Y=")</f>
        <v>#REF!</v>
      </c>
      <c r="GR274" t="e">
        <f>AND(#REF!,"AAAAAHf2u8c=")</f>
        <v>#REF!</v>
      </c>
      <c r="GS274" t="e">
        <f>IF(#REF!,"AAAAAHf2u8g=",0)</f>
        <v>#REF!</v>
      </c>
      <c r="GT274" t="e">
        <f>AND(#REF!,"AAAAAHf2u8k=")</f>
        <v>#REF!</v>
      </c>
      <c r="GU274" t="e">
        <f>AND(#REF!,"AAAAAHf2u8o=")</f>
        <v>#REF!</v>
      </c>
      <c r="GV274" t="e">
        <f>AND(#REF!,"AAAAAHf2u8s=")</f>
        <v>#REF!</v>
      </c>
      <c r="GW274" t="e">
        <f>AND(#REF!,"AAAAAHf2u8w=")</f>
        <v>#REF!</v>
      </c>
      <c r="GX274" t="e">
        <f>AND(#REF!,"AAAAAHf2u80=")</f>
        <v>#REF!</v>
      </c>
      <c r="GY274" t="e">
        <f>AND(#REF!,"AAAAAHf2u84=")</f>
        <v>#REF!</v>
      </c>
      <c r="GZ274" t="e">
        <f>AND(#REF!,"AAAAAHf2u88=")</f>
        <v>#REF!</v>
      </c>
      <c r="HA274" t="e">
        <f>AND(#REF!,"AAAAAHf2u9A=")</f>
        <v>#REF!</v>
      </c>
      <c r="HB274" t="e">
        <f>AND(#REF!,"AAAAAHf2u9E=")</f>
        <v>#REF!</v>
      </c>
      <c r="HC274" t="e">
        <f>AND(#REF!,"AAAAAHf2u9I=")</f>
        <v>#REF!</v>
      </c>
      <c r="HD274" t="e">
        <f>IF(#REF!,"AAAAAHf2u9M=",0)</f>
        <v>#REF!</v>
      </c>
      <c r="HE274" t="e">
        <f>AND(#REF!,"AAAAAHf2u9Q=")</f>
        <v>#REF!</v>
      </c>
      <c r="HF274" t="e">
        <f>AND(#REF!,"AAAAAHf2u9U=")</f>
        <v>#REF!</v>
      </c>
      <c r="HG274" t="e">
        <f>AND(#REF!,"AAAAAHf2u9Y=")</f>
        <v>#REF!</v>
      </c>
      <c r="HH274" t="e">
        <f>AND(#REF!,"AAAAAHf2u9c=")</f>
        <v>#REF!</v>
      </c>
      <c r="HI274" t="e">
        <f>AND(#REF!,"AAAAAHf2u9g=")</f>
        <v>#REF!</v>
      </c>
      <c r="HJ274" t="e">
        <f>AND(#REF!,"AAAAAHf2u9k=")</f>
        <v>#REF!</v>
      </c>
      <c r="HK274" t="e">
        <f>AND(#REF!,"AAAAAHf2u9o=")</f>
        <v>#REF!</v>
      </c>
      <c r="HL274" t="e">
        <f>AND(#REF!,"AAAAAHf2u9s=")</f>
        <v>#REF!</v>
      </c>
      <c r="HM274" t="e">
        <f>AND(#REF!,"AAAAAHf2u9w=")</f>
        <v>#REF!</v>
      </c>
      <c r="HN274" t="e">
        <f>AND(#REF!,"AAAAAHf2u90=")</f>
        <v>#REF!</v>
      </c>
      <c r="HO274" t="e">
        <f>IF(#REF!,"AAAAAHf2u94=",0)</f>
        <v>#REF!</v>
      </c>
      <c r="HP274" t="e">
        <f>AND(#REF!,"AAAAAHf2u98=")</f>
        <v>#REF!</v>
      </c>
      <c r="HQ274" t="e">
        <f>AND(#REF!,"AAAAAHf2u+A=")</f>
        <v>#REF!</v>
      </c>
      <c r="HR274" t="e">
        <f>AND(#REF!,"AAAAAHf2u+E=")</f>
        <v>#REF!</v>
      </c>
      <c r="HS274" t="e">
        <f>AND(#REF!,"AAAAAHf2u+I=")</f>
        <v>#REF!</v>
      </c>
      <c r="HT274" t="e">
        <f>AND(#REF!,"AAAAAHf2u+M=")</f>
        <v>#REF!</v>
      </c>
      <c r="HU274" t="e">
        <f>AND(#REF!,"AAAAAHf2u+Q=")</f>
        <v>#REF!</v>
      </c>
      <c r="HV274" t="e">
        <f>AND(#REF!,"AAAAAHf2u+U=")</f>
        <v>#REF!</v>
      </c>
      <c r="HW274" t="e">
        <f>AND(#REF!,"AAAAAHf2u+Y=")</f>
        <v>#REF!</v>
      </c>
      <c r="HX274" t="e">
        <f>AND(#REF!,"AAAAAHf2u+c=")</f>
        <v>#REF!</v>
      </c>
      <c r="HY274" t="e">
        <f>AND(#REF!,"AAAAAHf2u+g=")</f>
        <v>#REF!</v>
      </c>
      <c r="HZ274" t="e">
        <f>IF(#REF!,"AAAAAHf2u+k=",0)</f>
        <v>#REF!</v>
      </c>
      <c r="IA274" t="e">
        <f>AND(#REF!,"AAAAAHf2u+o=")</f>
        <v>#REF!</v>
      </c>
      <c r="IB274" t="e">
        <f>AND(#REF!,"AAAAAHf2u+s=")</f>
        <v>#REF!</v>
      </c>
      <c r="IC274" t="e">
        <f>AND(#REF!,"AAAAAHf2u+w=")</f>
        <v>#REF!</v>
      </c>
      <c r="ID274" t="e">
        <f>AND(#REF!,"AAAAAHf2u+0=")</f>
        <v>#REF!</v>
      </c>
      <c r="IE274" t="e">
        <f>AND(#REF!,"AAAAAHf2u+4=")</f>
        <v>#REF!</v>
      </c>
      <c r="IF274" t="e">
        <f>AND(#REF!,"AAAAAHf2u+8=")</f>
        <v>#REF!</v>
      </c>
      <c r="IG274" t="e">
        <f>AND(#REF!,"AAAAAHf2u/A=")</f>
        <v>#REF!</v>
      </c>
      <c r="IH274" t="e">
        <f>AND(#REF!,"AAAAAHf2u/E=")</f>
        <v>#REF!</v>
      </c>
      <c r="II274" t="e">
        <f>AND(#REF!,"AAAAAHf2u/I=")</f>
        <v>#REF!</v>
      </c>
      <c r="IJ274" t="e">
        <f>AND(#REF!,"AAAAAHf2u/M=")</f>
        <v>#REF!</v>
      </c>
      <c r="IK274" t="e">
        <f>IF(#REF!,"AAAAAHf2u/Q=",0)</f>
        <v>#REF!</v>
      </c>
      <c r="IL274" t="e">
        <f>AND(#REF!,"AAAAAHf2u/U=")</f>
        <v>#REF!</v>
      </c>
      <c r="IM274" t="e">
        <f>AND(#REF!,"AAAAAHf2u/Y=")</f>
        <v>#REF!</v>
      </c>
      <c r="IN274" t="e">
        <f>AND(#REF!,"AAAAAHf2u/c=")</f>
        <v>#REF!</v>
      </c>
      <c r="IO274" t="e">
        <f>AND(#REF!,"AAAAAHf2u/g=")</f>
        <v>#REF!</v>
      </c>
      <c r="IP274" t="e">
        <f>AND(#REF!,"AAAAAHf2u/k=")</f>
        <v>#REF!</v>
      </c>
      <c r="IQ274" t="e">
        <f>AND(#REF!,"AAAAAHf2u/o=")</f>
        <v>#REF!</v>
      </c>
      <c r="IR274" t="e">
        <f>AND(#REF!,"AAAAAHf2u/s=")</f>
        <v>#REF!</v>
      </c>
      <c r="IS274" t="e">
        <f>AND(#REF!,"AAAAAHf2u/w=")</f>
        <v>#REF!</v>
      </c>
      <c r="IT274" t="e">
        <f>AND(#REF!,"AAAAAHf2u/0=")</f>
        <v>#REF!</v>
      </c>
      <c r="IU274" t="e">
        <f>AND(#REF!,"AAAAAHf2u/4=")</f>
        <v>#REF!</v>
      </c>
      <c r="IV274" t="e">
        <f>IF(#REF!,"AAAAAHf2u/8=",0)</f>
        <v>#REF!</v>
      </c>
    </row>
    <row r="275" spans="1:256" x14ac:dyDescent="0.25">
      <c r="A275" t="e">
        <f>AND(#REF!,"AAAAAB7d/wA=")</f>
        <v>#REF!</v>
      </c>
      <c r="B275" t="e">
        <f>AND(#REF!,"AAAAAB7d/wE=")</f>
        <v>#REF!</v>
      </c>
      <c r="C275" t="e">
        <f>AND(#REF!,"AAAAAB7d/wI=")</f>
        <v>#REF!</v>
      </c>
      <c r="D275" t="e">
        <f>AND(#REF!,"AAAAAB7d/wM=")</f>
        <v>#REF!</v>
      </c>
      <c r="E275" t="e">
        <f>AND(#REF!,"AAAAAB7d/wQ=")</f>
        <v>#REF!</v>
      </c>
      <c r="F275" t="e">
        <f>AND(#REF!,"AAAAAB7d/wU=")</f>
        <v>#REF!</v>
      </c>
      <c r="G275" t="e">
        <f>AND(#REF!,"AAAAAB7d/wY=")</f>
        <v>#REF!</v>
      </c>
      <c r="H275" t="e">
        <f>AND(#REF!,"AAAAAB7d/wc=")</f>
        <v>#REF!</v>
      </c>
      <c r="I275" t="e">
        <f>AND(#REF!,"AAAAAB7d/wg=")</f>
        <v>#REF!</v>
      </c>
      <c r="J275" t="e">
        <f>AND(#REF!,"AAAAAB7d/wk=")</f>
        <v>#REF!</v>
      </c>
      <c r="K275" t="e">
        <f>IF(#REF!,"AAAAAB7d/wo=",0)</f>
        <v>#REF!</v>
      </c>
      <c r="L275" t="e">
        <f>AND(#REF!,"AAAAAB7d/ws=")</f>
        <v>#REF!</v>
      </c>
      <c r="M275" t="e">
        <f>AND(#REF!,"AAAAAB7d/ww=")</f>
        <v>#REF!</v>
      </c>
      <c r="N275" t="e">
        <f>AND(#REF!,"AAAAAB7d/w0=")</f>
        <v>#REF!</v>
      </c>
      <c r="O275" t="e">
        <f>AND(#REF!,"AAAAAB7d/w4=")</f>
        <v>#REF!</v>
      </c>
      <c r="P275" t="e">
        <f>AND(#REF!,"AAAAAB7d/w8=")</f>
        <v>#REF!</v>
      </c>
      <c r="Q275" t="e">
        <f>AND(#REF!,"AAAAAB7d/xA=")</f>
        <v>#REF!</v>
      </c>
      <c r="R275" t="e">
        <f>AND(#REF!,"AAAAAB7d/xE=")</f>
        <v>#REF!</v>
      </c>
      <c r="S275" t="e">
        <f>AND(#REF!,"AAAAAB7d/xI=")</f>
        <v>#REF!</v>
      </c>
      <c r="T275" t="e">
        <f>AND(#REF!,"AAAAAB7d/xM=")</f>
        <v>#REF!</v>
      </c>
      <c r="U275" t="e">
        <f>AND(#REF!,"AAAAAB7d/xQ=")</f>
        <v>#REF!</v>
      </c>
      <c r="V275" t="e">
        <f>IF(#REF!,"AAAAAB7d/xU=",0)</f>
        <v>#REF!</v>
      </c>
      <c r="W275" t="e">
        <f>AND(#REF!,"AAAAAB7d/xY=")</f>
        <v>#REF!</v>
      </c>
      <c r="X275" t="e">
        <f>AND(#REF!,"AAAAAB7d/xc=")</f>
        <v>#REF!</v>
      </c>
      <c r="Y275" t="e">
        <f>AND(#REF!,"AAAAAB7d/xg=")</f>
        <v>#REF!</v>
      </c>
      <c r="Z275" t="e">
        <f>AND(#REF!,"AAAAAB7d/xk=")</f>
        <v>#REF!</v>
      </c>
      <c r="AA275" t="e">
        <f>AND(#REF!,"AAAAAB7d/xo=")</f>
        <v>#REF!</v>
      </c>
      <c r="AB275" t="e">
        <f>AND(#REF!,"AAAAAB7d/xs=")</f>
        <v>#REF!</v>
      </c>
      <c r="AC275" t="e">
        <f>AND(#REF!,"AAAAAB7d/xw=")</f>
        <v>#REF!</v>
      </c>
      <c r="AD275" t="e">
        <f>AND(#REF!,"AAAAAB7d/x0=")</f>
        <v>#REF!</v>
      </c>
      <c r="AE275" t="e">
        <f>AND(#REF!,"AAAAAB7d/x4=")</f>
        <v>#REF!</v>
      </c>
      <c r="AF275" t="e">
        <f>AND(#REF!,"AAAAAB7d/x8=")</f>
        <v>#REF!</v>
      </c>
      <c r="AG275" t="e">
        <f>IF(#REF!,"AAAAAB7d/yA=",0)</f>
        <v>#REF!</v>
      </c>
      <c r="AH275" t="e">
        <f>AND(#REF!,"AAAAAB7d/yE=")</f>
        <v>#REF!</v>
      </c>
      <c r="AI275" t="e">
        <f>AND(#REF!,"AAAAAB7d/yI=")</f>
        <v>#REF!</v>
      </c>
      <c r="AJ275" t="e">
        <f>AND(#REF!,"AAAAAB7d/yM=")</f>
        <v>#REF!</v>
      </c>
      <c r="AK275" t="e">
        <f>AND(#REF!,"AAAAAB7d/yQ=")</f>
        <v>#REF!</v>
      </c>
      <c r="AL275" t="e">
        <f>AND(#REF!,"AAAAAB7d/yU=")</f>
        <v>#REF!</v>
      </c>
      <c r="AM275" t="e">
        <f>AND(#REF!,"AAAAAB7d/yY=")</f>
        <v>#REF!</v>
      </c>
      <c r="AN275" t="e">
        <f>AND(#REF!,"AAAAAB7d/yc=")</f>
        <v>#REF!</v>
      </c>
      <c r="AO275" t="e">
        <f>AND(#REF!,"AAAAAB7d/yg=")</f>
        <v>#REF!</v>
      </c>
      <c r="AP275" t="e">
        <f>AND(#REF!,"AAAAAB7d/yk=")</f>
        <v>#REF!</v>
      </c>
      <c r="AQ275" t="e">
        <f>AND(#REF!,"AAAAAB7d/yo=")</f>
        <v>#REF!</v>
      </c>
      <c r="AR275" t="e">
        <f>IF(#REF!,"AAAAAB7d/ys=",0)</f>
        <v>#REF!</v>
      </c>
      <c r="AS275" t="e">
        <f>AND(#REF!,"AAAAAB7d/yw=")</f>
        <v>#REF!</v>
      </c>
      <c r="AT275" t="e">
        <f>AND(#REF!,"AAAAAB7d/y0=")</f>
        <v>#REF!</v>
      </c>
      <c r="AU275" t="e">
        <f>AND(#REF!,"AAAAAB7d/y4=")</f>
        <v>#REF!</v>
      </c>
      <c r="AV275" t="e">
        <f>AND(#REF!,"AAAAAB7d/y8=")</f>
        <v>#REF!</v>
      </c>
      <c r="AW275" t="e">
        <f>AND(#REF!,"AAAAAB7d/zA=")</f>
        <v>#REF!</v>
      </c>
      <c r="AX275" t="e">
        <f>AND(#REF!,"AAAAAB7d/zE=")</f>
        <v>#REF!</v>
      </c>
      <c r="AY275" t="e">
        <f>AND(#REF!,"AAAAAB7d/zI=")</f>
        <v>#REF!</v>
      </c>
      <c r="AZ275" t="e">
        <f>AND(#REF!,"AAAAAB7d/zM=")</f>
        <v>#REF!</v>
      </c>
      <c r="BA275" t="e">
        <f>AND(#REF!,"AAAAAB7d/zQ=")</f>
        <v>#REF!</v>
      </c>
      <c r="BB275" t="e">
        <f>AND(#REF!,"AAAAAB7d/zU=")</f>
        <v>#REF!</v>
      </c>
      <c r="BC275" t="e">
        <f>IF(#REF!,"AAAAAB7d/zY=",0)</f>
        <v>#REF!</v>
      </c>
      <c r="BD275" t="e">
        <f>AND(#REF!,"AAAAAB7d/zc=")</f>
        <v>#REF!</v>
      </c>
      <c r="BE275" t="e">
        <f>AND(#REF!,"AAAAAB7d/zg=")</f>
        <v>#REF!</v>
      </c>
      <c r="BF275" t="e">
        <f>AND(#REF!,"AAAAAB7d/zk=")</f>
        <v>#REF!</v>
      </c>
      <c r="BG275" t="e">
        <f>AND(#REF!,"AAAAAB7d/zo=")</f>
        <v>#REF!</v>
      </c>
      <c r="BH275" t="e">
        <f>AND(#REF!,"AAAAAB7d/zs=")</f>
        <v>#REF!</v>
      </c>
      <c r="BI275" t="e">
        <f>AND(#REF!,"AAAAAB7d/zw=")</f>
        <v>#REF!</v>
      </c>
      <c r="BJ275" t="e">
        <f>AND(#REF!,"AAAAAB7d/z0=")</f>
        <v>#REF!</v>
      </c>
      <c r="BK275" t="e">
        <f>AND(#REF!,"AAAAAB7d/z4=")</f>
        <v>#REF!</v>
      </c>
      <c r="BL275" t="e">
        <f>AND(#REF!,"AAAAAB7d/z8=")</f>
        <v>#REF!</v>
      </c>
      <c r="BM275" t="e">
        <f>AND(#REF!,"AAAAAB7d/0A=")</f>
        <v>#REF!</v>
      </c>
      <c r="BN275" t="e">
        <f>IF(#REF!,"AAAAAB7d/0E=",0)</f>
        <v>#REF!</v>
      </c>
      <c r="BO275" t="e">
        <f>AND(#REF!,"AAAAAB7d/0I=")</f>
        <v>#REF!</v>
      </c>
      <c r="BP275" t="e">
        <f>AND(#REF!,"AAAAAB7d/0M=")</f>
        <v>#REF!</v>
      </c>
      <c r="BQ275" t="e">
        <f>AND(#REF!,"AAAAAB7d/0Q=")</f>
        <v>#REF!</v>
      </c>
      <c r="BR275" t="e">
        <f>AND(#REF!,"AAAAAB7d/0U=")</f>
        <v>#REF!</v>
      </c>
      <c r="BS275" t="e">
        <f>AND(#REF!,"AAAAAB7d/0Y=")</f>
        <v>#REF!</v>
      </c>
      <c r="BT275" t="e">
        <f>AND(#REF!,"AAAAAB7d/0c=")</f>
        <v>#REF!</v>
      </c>
      <c r="BU275" t="e">
        <f>AND(#REF!,"AAAAAB7d/0g=")</f>
        <v>#REF!</v>
      </c>
      <c r="BV275" t="e">
        <f>AND(#REF!,"AAAAAB7d/0k=")</f>
        <v>#REF!</v>
      </c>
      <c r="BW275" t="e">
        <f>AND(#REF!,"AAAAAB7d/0o=")</f>
        <v>#REF!</v>
      </c>
      <c r="BX275" t="e">
        <f>AND(#REF!,"AAAAAB7d/0s=")</f>
        <v>#REF!</v>
      </c>
      <c r="BY275" t="e">
        <f>IF(#REF!,"AAAAAB7d/0w=",0)</f>
        <v>#REF!</v>
      </c>
      <c r="BZ275" t="e">
        <f>AND(#REF!,"AAAAAB7d/00=")</f>
        <v>#REF!</v>
      </c>
      <c r="CA275" t="e">
        <f>AND(#REF!,"AAAAAB7d/04=")</f>
        <v>#REF!</v>
      </c>
      <c r="CB275" t="e">
        <f>AND(#REF!,"AAAAAB7d/08=")</f>
        <v>#REF!</v>
      </c>
      <c r="CC275" t="e">
        <f>AND(#REF!,"AAAAAB7d/1A=")</f>
        <v>#REF!</v>
      </c>
      <c r="CD275" t="e">
        <f>AND(#REF!,"AAAAAB7d/1E=")</f>
        <v>#REF!</v>
      </c>
      <c r="CE275" t="e">
        <f>AND(#REF!,"AAAAAB7d/1I=")</f>
        <v>#REF!</v>
      </c>
      <c r="CF275" t="e">
        <f>AND(#REF!,"AAAAAB7d/1M=")</f>
        <v>#REF!</v>
      </c>
      <c r="CG275" t="e">
        <f>AND(#REF!,"AAAAAB7d/1Q=")</f>
        <v>#REF!</v>
      </c>
      <c r="CH275" t="e">
        <f>AND(#REF!,"AAAAAB7d/1U=")</f>
        <v>#REF!</v>
      </c>
      <c r="CI275" t="e">
        <f>AND(#REF!,"AAAAAB7d/1Y=")</f>
        <v>#REF!</v>
      </c>
      <c r="CJ275" t="e">
        <f>IF(#REF!,"AAAAAB7d/1c=",0)</f>
        <v>#REF!</v>
      </c>
      <c r="CK275" t="e">
        <f>AND(#REF!,"AAAAAB7d/1g=")</f>
        <v>#REF!</v>
      </c>
      <c r="CL275" t="e">
        <f>AND(#REF!,"AAAAAB7d/1k=")</f>
        <v>#REF!</v>
      </c>
      <c r="CM275" t="e">
        <f>AND(#REF!,"AAAAAB7d/1o=")</f>
        <v>#REF!</v>
      </c>
      <c r="CN275" t="e">
        <f>AND(#REF!,"AAAAAB7d/1s=")</f>
        <v>#REF!</v>
      </c>
      <c r="CO275" t="e">
        <f>AND(#REF!,"AAAAAB7d/1w=")</f>
        <v>#REF!</v>
      </c>
      <c r="CP275" t="e">
        <f>AND(#REF!,"AAAAAB7d/10=")</f>
        <v>#REF!</v>
      </c>
      <c r="CQ275" t="e">
        <f>AND(#REF!,"AAAAAB7d/14=")</f>
        <v>#REF!</v>
      </c>
      <c r="CR275" t="e">
        <f>AND(#REF!,"AAAAAB7d/18=")</f>
        <v>#REF!</v>
      </c>
      <c r="CS275" t="e">
        <f>AND(#REF!,"AAAAAB7d/2A=")</f>
        <v>#REF!</v>
      </c>
      <c r="CT275" t="e">
        <f>AND(#REF!,"AAAAAB7d/2E=")</f>
        <v>#REF!</v>
      </c>
      <c r="CU275" t="e">
        <f>IF(#REF!,"AAAAAB7d/2I=",0)</f>
        <v>#REF!</v>
      </c>
      <c r="CV275" t="e">
        <f>AND(#REF!,"AAAAAB7d/2M=")</f>
        <v>#REF!</v>
      </c>
      <c r="CW275" t="e">
        <f>AND(#REF!,"AAAAAB7d/2Q=")</f>
        <v>#REF!</v>
      </c>
      <c r="CX275" t="e">
        <f>AND(#REF!,"AAAAAB7d/2U=")</f>
        <v>#REF!</v>
      </c>
      <c r="CY275" t="e">
        <f>AND(#REF!,"AAAAAB7d/2Y=")</f>
        <v>#REF!</v>
      </c>
      <c r="CZ275" t="e">
        <f>AND(#REF!,"AAAAAB7d/2c=")</f>
        <v>#REF!</v>
      </c>
      <c r="DA275" t="e">
        <f>AND(#REF!,"AAAAAB7d/2g=")</f>
        <v>#REF!</v>
      </c>
      <c r="DB275" t="e">
        <f>AND(#REF!,"AAAAAB7d/2k=")</f>
        <v>#REF!</v>
      </c>
      <c r="DC275" t="e">
        <f>AND(#REF!,"AAAAAB7d/2o=")</f>
        <v>#REF!</v>
      </c>
      <c r="DD275" t="e">
        <f>AND(#REF!,"AAAAAB7d/2s=")</f>
        <v>#REF!</v>
      </c>
      <c r="DE275" t="e">
        <f>AND(#REF!,"AAAAAB7d/2w=")</f>
        <v>#REF!</v>
      </c>
      <c r="DF275" t="e">
        <f>IF(#REF!,"AAAAAB7d/20=",0)</f>
        <v>#REF!</v>
      </c>
      <c r="DG275" t="e">
        <f>AND(#REF!,"AAAAAB7d/24=")</f>
        <v>#REF!</v>
      </c>
      <c r="DH275" t="e">
        <f>AND(#REF!,"AAAAAB7d/28=")</f>
        <v>#REF!</v>
      </c>
      <c r="DI275" t="e">
        <f>AND(#REF!,"AAAAAB7d/3A=")</f>
        <v>#REF!</v>
      </c>
      <c r="DJ275" t="e">
        <f>AND(#REF!,"AAAAAB7d/3E=")</f>
        <v>#REF!</v>
      </c>
      <c r="DK275" t="e">
        <f>AND(#REF!,"AAAAAB7d/3I=")</f>
        <v>#REF!</v>
      </c>
      <c r="DL275" t="e">
        <f>AND(#REF!,"AAAAAB7d/3M=")</f>
        <v>#REF!</v>
      </c>
      <c r="DM275" t="e">
        <f>AND(#REF!,"AAAAAB7d/3Q=")</f>
        <v>#REF!</v>
      </c>
      <c r="DN275" t="e">
        <f>AND(#REF!,"AAAAAB7d/3U=")</f>
        <v>#REF!</v>
      </c>
      <c r="DO275" t="e">
        <f>AND(#REF!,"AAAAAB7d/3Y=")</f>
        <v>#REF!</v>
      </c>
      <c r="DP275" t="e">
        <f>AND(#REF!,"AAAAAB7d/3c=")</f>
        <v>#REF!</v>
      </c>
      <c r="DQ275" t="e">
        <f>IF(#REF!,"AAAAAB7d/3g=",0)</f>
        <v>#REF!</v>
      </c>
      <c r="DR275" t="e">
        <f>AND(#REF!,"AAAAAB7d/3k=")</f>
        <v>#REF!</v>
      </c>
      <c r="DS275" t="e">
        <f>AND(#REF!,"AAAAAB7d/3o=")</f>
        <v>#REF!</v>
      </c>
      <c r="DT275" t="e">
        <f>AND(#REF!,"AAAAAB7d/3s=")</f>
        <v>#REF!</v>
      </c>
      <c r="DU275" t="e">
        <f>AND(#REF!,"AAAAAB7d/3w=")</f>
        <v>#REF!</v>
      </c>
      <c r="DV275" t="e">
        <f>AND(#REF!,"AAAAAB7d/30=")</f>
        <v>#REF!</v>
      </c>
      <c r="DW275" t="e">
        <f>AND(#REF!,"AAAAAB7d/34=")</f>
        <v>#REF!</v>
      </c>
      <c r="DX275" t="e">
        <f>AND(#REF!,"AAAAAB7d/38=")</f>
        <v>#REF!</v>
      </c>
      <c r="DY275" t="e">
        <f>AND(#REF!,"AAAAAB7d/4A=")</f>
        <v>#REF!</v>
      </c>
      <c r="DZ275" t="e">
        <f>AND(#REF!,"AAAAAB7d/4E=")</f>
        <v>#REF!</v>
      </c>
      <c r="EA275" t="e">
        <f>AND(#REF!,"AAAAAB7d/4I=")</f>
        <v>#REF!</v>
      </c>
      <c r="EB275" t="e">
        <f>IF(#REF!,"AAAAAB7d/4M=",0)</f>
        <v>#REF!</v>
      </c>
      <c r="EC275" t="e">
        <f>AND(#REF!,"AAAAAB7d/4Q=")</f>
        <v>#REF!</v>
      </c>
      <c r="ED275" t="e">
        <f>AND(#REF!,"AAAAAB7d/4U=")</f>
        <v>#REF!</v>
      </c>
      <c r="EE275" t="e">
        <f>AND(#REF!,"AAAAAB7d/4Y=")</f>
        <v>#REF!</v>
      </c>
      <c r="EF275" t="e">
        <f>AND(#REF!,"AAAAAB7d/4c=")</f>
        <v>#REF!</v>
      </c>
      <c r="EG275" t="e">
        <f>AND(#REF!,"AAAAAB7d/4g=")</f>
        <v>#REF!</v>
      </c>
      <c r="EH275" t="e">
        <f>AND(#REF!,"AAAAAB7d/4k=")</f>
        <v>#REF!</v>
      </c>
      <c r="EI275" t="e">
        <f>AND(#REF!,"AAAAAB7d/4o=")</f>
        <v>#REF!</v>
      </c>
      <c r="EJ275" t="e">
        <f>AND(#REF!,"AAAAAB7d/4s=")</f>
        <v>#REF!</v>
      </c>
      <c r="EK275" t="e">
        <f>AND(#REF!,"AAAAAB7d/4w=")</f>
        <v>#REF!</v>
      </c>
      <c r="EL275" t="e">
        <f>AND(#REF!,"AAAAAB7d/40=")</f>
        <v>#REF!</v>
      </c>
      <c r="EM275" t="e">
        <f>IF(#REF!,"AAAAAB7d/44=",0)</f>
        <v>#REF!</v>
      </c>
      <c r="EN275" t="e">
        <f>AND(#REF!,"AAAAAB7d/48=")</f>
        <v>#REF!</v>
      </c>
      <c r="EO275" t="e">
        <f>AND(#REF!,"AAAAAB7d/5A=")</f>
        <v>#REF!</v>
      </c>
      <c r="EP275" t="e">
        <f>AND(#REF!,"AAAAAB7d/5E=")</f>
        <v>#REF!</v>
      </c>
      <c r="EQ275" t="e">
        <f>AND(#REF!,"AAAAAB7d/5I=")</f>
        <v>#REF!</v>
      </c>
      <c r="ER275" t="e">
        <f>AND(#REF!,"AAAAAB7d/5M=")</f>
        <v>#REF!</v>
      </c>
      <c r="ES275" t="e">
        <f>AND(#REF!,"AAAAAB7d/5Q=")</f>
        <v>#REF!</v>
      </c>
      <c r="ET275" t="e">
        <f>AND(#REF!,"AAAAAB7d/5U=")</f>
        <v>#REF!</v>
      </c>
      <c r="EU275" t="e">
        <f>AND(#REF!,"AAAAAB7d/5Y=")</f>
        <v>#REF!</v>
      </c>
      <c r="EV275" t="e">
        <f>AND(#REF!,"AAAAAB7d/5c=")</f>
        <v>#REF!</v>
      </c>
      <c r="EW275" t="e">
        <f>AND(#REF!,"AAAAAB7d/5g=")</f>
        <v>#REF!</v>
      </c>
      <c r="EX275" t="e">
        <f>IF(#REF!,"AAAAAB7d/5k=",0)</f>
        <v>#REF!</v>
      </c>
      <c r="EY275" t="e">
        <f>AND(#REF!,"AAAAAB7d/5o=")</f>
        <v>#REF!</v>
      </c>
      <c r="EZ275" t="e">
        <f>AND(#REF!,"AAAAAB7d/5s=")</f>
        <v>#REF!</v>
      </c>
      <c r="FA275" t="e">
        <f>AND(#REF!,"AAAAAB7d/5w=")</f>
        <v>#REF!</v>
      </c>
      <c r="FB275" t="e">
        <f>AND(#REF!,"AAAAAB7d/50=")</f>
        <v>#REF!</v>
      </c>
      <c r="FC275" t="e">
        <f>AND(#REF!,"AAAAAB7d/54=")</f>
        <v>#REF!</v>
      </c>
      <c r="FD275" t="e">
        <f>AND(#REF!,"AAAAAB7d/58=")</f>
        <v>#REF!</v>
      </c>
      <c r="FE275" t="e">
        <f>AND(#REF!,"AAAAAB7d/6A=")</f>
        <v>#REF!</v>
      </c>
      <c r="FF275" t="e">
        <f>AND(#REF!,"AAAAAB7d/6E=")</f>
        <v>#REF!</v>
      </c>
      <c r="FG275" t="e">
        <f>AND(#REF!,"AAAAAB7d/6I=")</f>
        <v>#REF!</v>
      </c>
      <c r="FH275" t="e">
        <f>AND(#REF!,"AAAAAB7d/6M=")</f>
        <v>#REF!</v>
      </c>
      <c r="FI275" t="e">
        <f>IF(#REF!,"AAAAAB7d/6Q=",0)</f>
        <v>#REF!</v>
      </c>
      <c r="FJ275" t="e">
        <f>AND(#REF!,"AAAAAB7d/6U=")</f>
        <v>#REF!</v>
      </c>
      <c r="FK275" t="e">
        <f>AND(#REF!,"AAAAAB7d/6Y=")</f>
        <v>#REF!</v>
      </c>
      <c r="FL275" t="e">
        <f>AND(#REF!,"AAAAAB7d/6c=")</f>
        <v>#REF!</v>
      </c>
      <c r="FM275" t="e">
        <f>AND(#REF!,"AAAAAB7d/6g=")</f>
        <v>#REF!</v>
      </c>
      <c r="FN275" t="e">
        <f>AND(#REF!,"AAAAAB7d/6k=")</f>
        <v>#REF!</v>
      </c>
      <c r="FO275" t="e">
        <f>AND(#REF!,"AAAAAB7d/6o=")</f>
        <v>#REF!</v>
      </c>
      <c r="FP275" t="e">
        <f>AND(#REF!,"AAAAAB7d/6s=")</f>
        <v>#REF!</v>
      </c>
      <c r="FQ275" t="e">
        <f>AND(#REF!,"AAAAAB7d/6w=")</f>
        <v>#REF!</v>
      </c>
      <c r="FR275" t="e">
        <f>AND(#REF!,"AAAAAB7d/60=")</f>
        <v>#REF!</v>
      </c>
      <c r="FS275" t="e">
        <f>AND(#REF!,"AAAAAB7d/64=")</f>
        <v>#REF!</v>
      </c>
      <c r="FT275" t="e">
        <f>IF(#REF!,"AAAAAB7d/68=",0)</f>
        <v>#REF!</v>
      </c>
      <c r="FU275" t="e">
        <f>AND(#REF!,"AAAAAB7d/7A=")</f>
        <v>#REF!</v>
      </c>
      <c r="FV275" t="e">
        <f>AND(#REF!,"AAAAAB7d/7E=")</f>
        <v>#REF!</v>
      </c>
      <c r="FW275" t="e">
        <f>AND(#REF!,"AAAAAB7d/7I=")</f>
        <v>#REF!</v>
      </c>
      <c r="FX275" t="e">
        <f>AND(#REF!,"AAAAAB7d/7M=")</f>
        <v>#REF!</v>
      </c>
      <c r="FY275" t="e">
        <f>AND(#REF!,"AAAAAB7d/7Q=")</f>
        <v>#REF!</v>
      </c>
      <c r="FZ275" t="e">
        <f>AND(#REF!,"AAAAAB7d/7U=")</f>
        <v>#REF!</v>
      </c>
      <c r="GA275" t="e">
        <f>AND(#REF!,"AAAAAB7d/7Y=")</f>
        <v>#REF!</v>
      </c>
      <c r="GB275" t="e">
        <f>AND(#REF!,"AAAAAB7d/7c=")</f>
        <v>#REF!</v>
      </c>
      <c r="GC275" t="e">
        <f>AND(#REF!,"AAAAAB7d/7g=")</f>
        <v>#REF!</v>
      </c>
      <c r="GD275" t="e">
        <f>AND(#REF!,"AAAAAB7d/7k=")</f>
        <v>#REF!</v>
      </c>
      <c r="GE275" t="e">
        <f>IF(#REF!,"AAAAAB7d/7o=",0)</f>
        <v>#REF!</v>
      </c>
      <c r="GF275" t="e">
        <f>AND(#REF!,"AAAAAB7d/7s=")</f>
        <v>#REF!</v>
      </c>
      <c r="GG275" t="e">
        <f>AND(#REF!,"AAAAAB7d/7w=")</f>
        <v>#REF!</v>
      </c>
      <c r="GH275" t="e">
        <f>AND(#REF!,"AAAAAB7d/70=")</f>
        <v>#REF!</v>
      </c>
      <c r="GI275" t="e">
        <f>AND(#REF!,"AAAAAB7d/74=")</f>
        <v>#REF!</v>
      </c>
      <c r="GJ275" t="e">
        <f>AND(#REF!,"AAAAAB7d/78=")</f>
        <v>#REF!</v>
      </c>
      <c r="GK275" t="e">
        <f>AND(#REF!,"AAAAAB7d/8A=")</f>
        <v>#REF!</v>
      </c>
      <c r="GL275" t="e">
        <f>AND(#REF!,"AAAAAB7d/8E=")</f>
        <v>#REF!</v>
      </c>
      <c r="GM275" t="e">
        <f>AND(#REF!,"AAAAAB7d/8I=")</f>
        <v>#REF!</v>
      </c>
      <c r="GN275" t="e">
        <f>AND(#REF!,"AAAAAB7d/8M=")</f>
        <v>#REF!</v>
      </c>
      <c r="GO275" t="e">
        <f>AND(#REF!,"AAAAAB7d/8Q=")</f>
        <v>#REF!</v>
      </c>
      <c r="GP275" t="e">
        <f>IF(#REF!,"AAAAAB7d/8U=",0)</f>
        <v>#REF!</v>
      </c>
      <c r="GQ275" t="e">
        <f>AND(#REF!,"AAAAAB7d/8Y=")</f>
        <v>#REF!</v>
      </c>
      <c r="GR275" t="e">
        <f>AND(#REF!,"AAAAAB7d/8c=")</f>
        <v>#REF!</v>
      </c>
      <c r="GS275" t="e">
        <f>AND(#REF!,"AAAAAB7d/8g=")</f>
        <v>#REF!</v>
      </c>
      <c r="GT275" t="e">
        <f>AND(#REF!,"AAAAAB7d/8k=")</f>
        <v>#REF!</v>
      </c>
      <c r="GU275" t="e">
        <f>AND(#REF!,"AAAAAB7d/8o=")</f>
        <v>#REF!</v>
      </c>
      <c r="GV275" t="e">
        <f>AND(#REF!,"AAAAAB7d/8s=")</f>
        <v>#REF!</v>
      </c>
      <c r="GW275" t="e">
        <f>AND(#REF!,"AAAAAB7d/8w=")</f>
        <v>#REF!</v>
      </c>
      <c r="GX275" t="e">
        <f>AND(#REF!,"AAAAAB7d/80=")</f>
        <v>#REF!</v>
      </c>
      <c r="GY275" t="e">
        <f>AND(#REF!,"AAAAAB7d/84=")</f>
        <v>#REF!</v>
      </c>
      <c r="GZ275" t="e">
        <f>AND(#REF!,"AAAAAB7d/88=")</f>
        <v>#REF!</v>
      </c>
      <c r="HA275" t="e">
        <f>IF(#REF!,"AAAAAB7d/9A=",0)</f>
        <v>#REF!</v>
      </c>
      <c r="HB275" t="e">
        <f>AND(#REF!,"AAAAAB7d/9E=")</f>
        <v>#REF!</v>
      </c>
      <c r="HC275" t="e">
        <f>AND(#REF!,"AAAAAB7d/9I=")</f>
        <v>#REF!</v>
      </c>
      <c r="HD275" t="e">
        <f>AND(#REF!,"AAAAAB7d/9M=")</f>
        <v>#REF!</v>
      </c>
      <c r="HE275" t="e">
        <f>AND(#REF!,"AAAAAB7d/9Q=")</f>
        <v>#REF!</v>
      </c>
      <c r="HF275" t="e">
        <f>AND(#REF!,"AAAAAB7d/9U=")</f>
        <v>#REF!</v>
      </c>
      <c r="HG275" t="e">
        <f>AND(#REF!,"AAAAAB7d/9Y=")</f>
        <v>#REF!</v>
      </c>
      <c r="HH275" t="e">
        <f>AND(#REF!,"AAAAAB7d/9c=")</f>
        <v>#REF!</v>
      </c>
      <c r="HI275" t="e">
        <f>AND(#REF!,"AAAAAB7d/9g=")</f>
        <v>#REF!</v>
      </c>
      <c r="HJ275" t="e">
        <f>AND(#REF!,"AAAAAB7d/9k=")</f>
        <v>#REF!</v>
      </c>
      <c r="HK275" t="e">
        <f>AND(#REF!,"AAAAAB7d/9o=")</f>
        <v>#REF!</v>
      </c>
      <c r="HL275" t="e">
        <f>IF(#REF!,"AAAAAB7d/9s=",0)</f>
        <v>#REF!</v>
      </c>
      <c r="HM275" t="e">
        <f>AND(#REF!,"AAAAAB7d/9w=")</f>
        <v>#REF!</v>
      </c>
      <c r="HN275" t="e">
        <f>AND(#REF!,"AAAAAB7d/90=")</f>
        <v>#REF!</v>
      </c>
      <c r="HO275" t="e">
        <f>AND(#REF!,"AAAAAB7d/94=")</f>
        <v>#REF!</v>
      </c>
      <c r="HP275" t="e">
        <f>AND(#REF!,"AAAAAB7d/98=")</f>
        <v>#REF!</v>
      </c>
      <c r="HQ275" t="e">
        <f>AND(#REF!,"AAAAAB7d/+A=")</f>
        <v>#REF!</v>
      </c>
      <c r="HR275" t="e">
        <f>AND(#REF!,"AAAAAB7d/+E=")</f>
        <v>#REF!</v>
      </c>
      <c r="HS275" t="e">
        <f>AND(#REF!,"AAAAAB7d/+I=")</f>
        <v>#REF!</v>
      </c>
      <c r="HT275" t="e">
        <f>AND(#REF!,"AAAAAB7d/+M=")</f>
        <v>#REF!</v>
      </c>
      <c r="HU275" t="e">
        <f>AND(#REF!,"AAAAAB7d/+Q=")</f>
        <v>#REF!</v>
      </c>
      <c r="HV275" t="e">
        <f>AND(#REF!,"AAAAAB7d/+U=")</f>
        <v>#REF!</v>
      </c>
      <c r="HW275" t="e">
        <f>IF(#REF!,"AAAAAB7d/+Y=",0)</f>
        <v>#REF!</v>
      </c>
      <c r="HX275" t="e">
        <f>AND(#REF!,"AAAAAB7d/+c=")</f>
        <v>#REF!</v>
      </c>
      <c r="HY275" t="e">
        <f>AND(#REF!,"AAAAAB7d/+g=")</f>
        <v>#REF!</v>
      </c>
      <c r="HZ275" t="e">
        <f>AND(#REF!,"AAAAAB7d/+k=")</f>
        <v>#REF!</v>
      </c>
      <c r="IA275" t="e">
        <f>AND(#REF!,"AAAAAB7d/+o=")</f>
        <v>#REF!</v>
      </c>
      <c r="IB275" t="e">
        <f>AND(#REF!,"AAAAAB7d/+s=")</f>
        <v>#REF!</v>
      </c>
      <c r="IC275" t="e">
        <f>AND(#REF!,"AAAAAB7d/+w=")</f>
        <v>#REF!</v>
      </c>
      <c r="ID275" t="e">
        <f>AND(#REF!,"AAAAAB7d/+0=")</f>
        <v>#REF!</v>
      </c>
      <c r="IE275" t="e">
        <f>AND(#REF!,"AAAAAB7d/+4=")</f>
        <v>#REF!</v>
      </c>
      <c r="IF275" t="e">
        <f>AND(#REF!,"AAAAAB7d/+8=")</f>
        <v>#REF!</v>
      </c>
      <c r="IG275" t="e">
        <f>AND(#REF!,"AAAAAB7d//A=")</f>
        <v>#REF!</v>
      </c>
      <c r="IH275" t="e">
        <f>IF(#REF!,"AAAAAB7d//E=",0)</f>
        <v>#REF!</v>
      </c>
      <c r="II275" t="e">
        <f>AND(#REF!,"AAAAAB7d//I=")</f>
        <v>#REF!</v>
      </c>
      <c r="IJ275" t="e">
        <f>AND(#REF!,"AAAAAB7d//M=")</f>
        <v>#REF!</v>
      </c>
      <c r="IK275" t="e">
        <f>AND(#REF!,"AAAAAB7d//Q=")</f>
        <v>#REF!</v>
      </c>
      <c r="IL275" t="e">
        <f>AND(#REF!,"AAAAAB7d//U=")</f>
        <v>#REF!</v>
      </c>
      <c r="IM275" t="e">
        <f>AND(#REF!,"AAAAAB7d//Y=")</f>
        <v>#REF!</v>
      </c>
      <c r="IN275" t="e">
        <f>AND(#REF!,"AAAAAB7d//c=")</f>
        <v>#REF!</v>
      </c>
      <c r="IO275" t="e">
        <f>AND(#REF!,"AAAAAB7d//g=")</f>
        <v>#REF!</v>
      </c>
      <c r="IP275" t="e">
        <f>AND(#REF!,"AAAAAB7d//k=")</f>
        <v>#REF!</v>
      </c>
      <c r="IQ275" t="e">
        <f>AND(#REF!,"AAAAAB7d//o=")</f>
        <v>#REF!</v>
      </c>
      <c r="IR275" t="e">
        <f>AND(#REF!,"AAAAAB7d//s=")</f>
        <v>#REF!</v>
      </c>
      <c r="IS275" t="e">
        <f>IF(#REF!,"AAAAAB7d//w=",0)</f>
        <v>#REF!</v>
      </c>
      <c r="IT275" t="e">
        <f>AND(#REF!,"AAAAAB7d//0=")</f>
        <v>#REF!</v>
      </c>
      <c r="IU275" t="e">
        <f>AND(#REF!,"AAAAAB7d//4=")</f>
        <v>#REF!</v>
      </c>
      <c r="IV275" t="e">
        <f>AND(#REF!,"AAAAAB7d//8=")</f>
        <v>#REF!</v>
      </c>
    </row>
    <row r="276" spans="1:256" x14ac:dyDescent="0.25">
      <c r="A276" t="e">
        <f>AND(#REF!,"AAAAAC/7+wA=")</f>
        <v>#REF!</v>
      </c>
      <c r="B276" t="e">
        <f>AND(#REF!,"AAAAAC/7+wE=")</f>
        <v>#REF!</v>
      </c>
      <c r="C276" t="e">
        <f>AND(#REF!,"AAAAAC/7+wI=")</f>
        <v>#REF!</v>
      </c>
      <c r="D276" t="e">
        <f>AND(#REF!,"AAAAAC/7+wM=")</f>
        <v>#REF!</v>
      </c>
      <c r="E276" t="e">
        <f>AND(#REF!,"AAAAAC/7+wQ=")</f>
        <v>#REF!</v>
      </c>
      <c r="F276" t="e">
        <f>AND(#REF!,"AAAAAC/7+wU=")</f>
        <v>#REF!</v>
      </c>
      <c r="G276" t="e">
        <f>AND(#REF!,"AAAAAC/7+wY=")</f>
        <v>#REF!</v>
      </c>
      <c r="H276" t="e">
        <f>IF(#REF!,"AAAAAC/7+wc=",0)</f>
        <v>#REF!</v>
      </c>
      <c r="I276" t="e">
        <f>AND(#REF!,"AAAAAC/7+wg=")</f>
        <v>#REF!</v>
      </c>
      <c r="J276" t="e">
        <f>AND(#REF!,"AAAAAC/7+wk=")</f>
        <v>#REF!</v>
      </c>
      <c r="K276" t="e">
        <f>AND(#REF!,"AAAAAC/7+wo=")</f>
        <v>#REF!</v>
      </c>
      <c r="L276" t="e">
        <f>AND(#REF!,"AAAAAC/7+ws=")</f>
        <v>#REF!</v>
      </c>
      <c r="M276" t="e">
        <f>AND(#REF!,"AAAAAC/7+ww=")</f>
        <v>#REF!</v>
      </c>
      <c r="N276" t="e">
        <f>AND(#REF!,"AAAAAC/7+w0=")</f>
        <v>#REF!</v>
      </c>
      <c r="O276" t="e">
        <f>AND(#REF!,"AAAAAC/7+w4=")</f>
        <v>#REF!</v>
      </c>
      <c r="P276" t="e">
        <f>AND(#REF!,"AAAAAC/7+w8=")</f>
        <v>#REF!</v>
      </c>
      <c r="Q276" t="e">
        <f>AND(#REF!,"AAAAAC/7+xA=")</f>
        <v>#REF!</v>
      </c>
      <c r="R276" t="e">
        <f>AND(#REF!,"AAAAAC/7+xE=")</f>
        <v>#REF!</v>
      </c>
      <c r="S276" t="e">
        <f>IF(#REF!,"AAAAAC/7+xI=",0)</f>
        <v>#REF!</v>
      </c>
      <c r="T276" t="e">
        <f>AND(#REF!,"AAAAAC/7+xM=")</f>
        <v>#REF!</v>
      </c>
      <c r="U276" t="e">
        <f>AND(#REF!,"AAAAAC/7+xQ=")</f>
        <v>#REF!</v>
      </c>
      <c r="V276" t="e">
        <f>AND(#REF!,"AAAAAC/7+xU=")</f>
        <v>#REF!</v>
      </c>
      <c r="W276" t="e">
        <f>AND(#REF!,"AAAAAC/7+xY=")</f>
        <v>#REF!</v>
      </c>
      <c r="X276" t="e">
        <f>AND(#REF!,"AAAAAC/7+xc=")</f>
        <v>#REF!</v>
      </c>
      <c r="Y276" t="e">
        <f>AND(#REF!,"AAAAAC/7+xg=")</f>
        <v>#REF!</v>
      </c>
      <c r="Z276" t="e">
        <f>AND(#REF!,"AAAAAC/7+xk=")</f>
        <v>#REF!</v>
      </c>
      <c r="AA276" t="e">
        <f>AND(#REF!,"AAAAAC/7+xo=")</f>
        <v>#REF!</v>
      </c>
      <c r="AB276" t="e">
        <f>AND(#REF!,"AAAAAC/7+xs=")</f>
        <v>#REF!</v>
      </c>
      <c r="AC276" t="e">
        <f>AND(#REF!,"AAAAAC/7+xw=")</f>
        <v>#REF!</v>
      </c>
      <c r="AD276" t="e">
        <f>IF(#REF!,"AAAAAC/7+x0=",0)</f>
        <v>#REF!</v>
      </c>
      <c r="AE276" t="e">
        <f>AND(#REF!,"AAAAAC/7+x4=")</f>
        <v>#REF!</v>
      </c>
      <c r="AF276" t="e">
        <f>AND(#REF!,"AAAAAC/7+x8=")</f>
        <v>#REF!</v>
      </c>
      <c r="AG276" t="e">
        <f>AND(#REF!,"AAAAAC/7+yA=")</f>
        <v>#REF!</v>
      </c>
      <c r="AH276" t="e">
        <f>AND(#REF!,"AAAAAC/7+yE=")</f>
        <v>#REF!</v>
      </c>
      <c r="AI276" t="e">
        <f>AND(#REF!,"AAAAAC/7+yI=")</f>
        <v>#REF!</v>
      </c>
      <c r="AJ276" t="e">
        <f>AND(#REF!,"AAAAAC/7+yM=")</f>
        <v>#REF!</v>
      </c>
      <c r="AK276" t="e">
        <f>AND(#REF!,"AAAAAC/7+yQ=")</f>
        <v>#REF!</v>
      </c>
      <c r="AL276" t="e">
        <f>AND(#REF!,"AAAAAC/7+yU=")</f>
        <v>#REF!</v>
      </c>
      <c r="AM276" t="e">
        <f>AND(#REF!,"AAAAAC/7+yY=")</f>
        <v>#REF!</v>
      </c>
      <c r="AN276" t="e">
        <f>AND(#REF!,"AAAAAC/7+yc=")</f>
        <v>#REF!</v>
      </c>
      <c r="AO276" t="e">
        <f>IF(#REF!,"AAAAAC/7+yg=",0)</f>
        <v>#REF!</v>
      </c>
      <c r="AP276" t="e">
        <f>AND(#REF!,"AAAAAC/7+yk=")</f>
        <v>#REF!</v>
      </c>
      <c r="AQ276" t="e">
        <f>AND(#REF!,"AAAAAC/7+yo=")</f>
        <v>#REF!</v>
      </c>
      <c r="AR276" t="e">
        <f>AND(#REF!,"AAAAAC/7+ys=")</f>
        <v>#REF!</v>
      </c>
      <c r="AS276" t="e">
        <f>AND(#REF!,"AAAAAC/7+yw=")</f>
        <v>#REF!</v>
      </c>
      <c r="AT276" t="e">
        <f>AND(#REF!,"AAAAAC/7+y0=")</f>
        <v>#REF!</v>
      </c>
      <c r="AU276" t="e">
        <f>AND(#REF!,"AAAAAC/7+y4=")</f>
        <v>#REF!</v>
      </c>
      <c r="AV276" t="e">
        <f>AND(#REF!,"AAAAAC/7+y8=")</f>
        <v>#REF!</v>
      </c>
      <c r="AW276" t="e">
        <f>AND(#REF!,"AAAAAC/7+zA=")</f>
        <v>#REF!</v>
      </c>
      <c r="AX276" t="e">
        <f>AND(#REF!,"AAAAAC/7+zE=")</f>
        <v>#REF!</v>
      </c>
      <c r="AY276" t="e">
        <f>AND(#REF!,"AAAAAC/7+zI=")</f>
        <v>#REF!</v>
      </c>
      <c r="AZ276" t="e">
        <f>IF(#REF!,"AAAAAC/7+zM=",0)</f>
        <v>#REF!</v>
      </c>
      <c r="BA276" t="e">
        <f>AND(#REF!,"AAAAAC/7+zQ=")</f>
        <v>#REF!</v>
      </c>
      <c r="BB276" t="e">
        <f>AND(#REF!,"AAAAAC/7+zU=")</f>
        <v>#REF!</v>
      </c>
      <c r="BC276" t="e">
        <f>AND(#REF!,"AAAAAC/7+zY=")</f>
        <v>#REF!</v>
      </c>
      <c r="BD276" t="e">
        <f>AND(#REF!,"AAAAAC/7+zc=")</f>
        <v>#REF!</v>
      </c>
      <c r="BE276" t="e">
        <f>AND(#REF!,"AAAAAC/7+zg=")</f>
        <v>#REF!</v>
      </c>
      <c r="BF276" t="e">
        <f>AND(#REF!,"AAAAAC/7+zk=")</f>
        <v>#REF!</v>
      </c>
      <c r="BG276" t="e">
        <f>AND(#REF!,"AAAAAC/7+zo=")</f>
        <v>#REF!</v>
      </c>
      <c r="BH276" t="e">
        <f>AND(#REF!,"AAAAAC/7+zs=")</f>
        <v>#REF!</v>
      </c>
      <c r="BI276" t="e">
        <f>AND(#REF!,"AAAAAC/7+zw=")</f>
        <v>#REF!</v>
      </c>
      <c r="BJ276" t="e">
        <f>AND(#REF!,"AAAAAC/7+z0=")</f>
        <v>#REF!</v>
      </c>
      <c r="BK276" t="e">
        <f>IF(#REF!,"AAAAAC/7+z4=",0)</f>
        <v>#REF!</v>
      </c>
      <c r="BL276" t="e">
        <f>AND(#REF!,"AAAAAC/7+z8=")</f>
        <v>#REF!</v>
      </c>
      <c r="BM276" t="e">
        <f>AND(#REF!,"AAAAAC/7+0A=")</f>
        <v>#REF!</v>
      </c>
      <c r="BN276" t="e">
        <f>AND(#REF!,"AAAAAC/7+0E=")</f>
        <v>#REF!</v>
      </c>
      <c r="BO276" t="e">
        <f>AND(#REF!,"AAAAAC/7+0I=")</f>
        <v>#REF!</v>
      </c>
      <c r="BP276" t="e">
        <f>AND(#REF!,"AAAAAC/7+0M=")</f>
        <v>#REF!</v>
      </c>
      <c r="BQ276" t="e">
        <f>AND(#REF!,"AAAAAC/7+0Q=")</f>
        <v>#REF!</v>
      </c>
      <c r="BR276" t="e">
        <f>AND(#REF!,"AAAAAC/7+0U=")</f>
        <v>#REF!</v>
      </c>
      <c r="BS276" t="e">
        <f>AND(#REF!,"AAAAAC/7+0Y=")</f>
        <v>#REF!</v>
      </c>
      <c r="BT276" t="e">
        <f>AND(#REF!,"AAAAAC/7+0c=")</f>
        <v>#REF!</v>
      </c>
      <c r="BU276" t="e">
        <f>AND(#REF!,"AAAAAC/7+0g=")</f>
        <v>#REF!</v>
      </c>
      <c r="BV276" t="e">
        <f>IF(#REF!,"AAAAAC/7+0k=",0)</f>
        <v>#REF!</v>
      </c>
      <c r="BW276" t="e">
        <f>AND(#REF!,"AAAAAC/7+0o=")</f>
        <v>#REF!</v>
      </c>
      <c r="BX276" t="e">
        <f>AND(#REF!,"AAAAAC/7+0s=")</f>
        <v>#REF!</v>
      </c>
      <c r="BY276" t="e">
        <f>AND(#REF!,"AAAAAC/7+0w=")</f>
        <v>#REF!</v>
      </c>
      <c r="BZ276" t="e">
        <f>AND(#REF!,"AAAAAC/7+00=")</f>
        <v>#REF!</v>
      </c>
      <c r="CA276" t="e">
        <f>AND(#REF!,"AAAAAC/7+04=")</f>
        <v>#REF!</v>
      </c>
      <c r="CB276" t="e">
        <f>AND(#REF!,"AAAAAC/7+08=")</f>
        <v>#REF!</v>
      </c>
      <c r="CC276" t="e">
        <f>AND(#REF!,"AAAAAC/7+1A=")</f>
        <v>#REF!</v>
      </c>
      <c r="CD276" t="e">
        <f>AND(#REF!,"AAAAAC/7+1E=")</f>
        <v>#REF!</v>
      </c>
      <c r="CE276" t="e">
        <f>AND(#REF!,"AAAAAC/7+1I=")</f>
        <v>#REF!</v>
      </c>
      <c r="CF276" t="e">
        <f>AND(#REF!,"AAAAAC/7+1M=")</f>
        <v>#REF!</v>
      </c>
      <c r="CG276" t="e">
        <f>IF(#REF!,"AAAAAC/7+1Q=",0)</f>
        <v>#REF!</v>
      </c>
      <c r="CH276" t="e">
        <f>AND(#REF!,"AAAAAC/7+1U=")</f>
        <v>#REF!</v>
      </c>
      <c r="CI276" t="e">
        <f>AND(#REF!,"AAAAAC/7+1Y=")</f>
        <v>#REF!</v>
      </c>
      <c r="CJ276" t="e">
        <f>AND(#REF!,"AAAAAC/7+1c=")</f>
        <v>#REF!</v>
      </c>
      <c r="CK276" t="e">
        <f>AND(#REF!,"AAAAAC/7+1g=")</f>
        <v>#REF!</v>
      </c>
      <c r="CL276" t="e">
        <f>AND(#REF!,"AAAAAC/7+1k=")</f>
        <v>#REF!</v>
      </c>
      <c r="CM276" t="e">
        <f>AND(#REF!,"AAAAAC/7+1o=")</f>
        <v>#REF!</v>
      </c>
      <c r="CN276" t="e">
        <f>AND(#REF!,"AAAAAC/7+1s=")</f>
        <v>#REF!</v>
      </c>
      <c r="CO276" t="e">
        <f>AND(#REF!,"AAAAAC/7+1w=")</f>
        <v>#REF!</v>
      </c>
      <c r="CP276" t="e">
        <f>AND(#REF!,"AAAAAC/7+10=")</f>
        <v>#REF!</v>
      </c>
      <c r="CQ276" t="e">
        <f>AND(#REF!,"AAAAAC/7+14=")</f>
        <v>#REF!</v>
      </c>
      <c r="CR276" t="e">
        <f>IF(#REF!,"AAAAAC/7+18=",0)</f>
        <v>#REF!</v>
      </c>
      <c r="CS276" t="e">
        <f>AND(#REF!,"AAAAAC/7+2A=")</f>
        <v>#REF!</v>
      </c>
      <c r="CT276" t="e">
        <f>AND(#REF!,"AAAAAC/7+2E=")</f>
        <v>#REF!</v>
      </c>
      <c r="CU276" t="e">
        <f>AND(#REF!,"AAAAAC/7+2I=")</f>
        <v>#REF!</v>
      </c>
      <c r="CV276" t="e">
        <f>AND(#REF!,"AAAAAC/7+2M=")</f>
        <v>#REF!</v>
      </c>
      <c r="CW276" t="e">
        <f>AND(#REF!,"AAAAAC/7+2Q=")</f>
        <v>#REF!</v>
      </c>
      <c r="CX276" t="e">
        <f>AND(#REF!,"AAAAAC/7+2U=")</f>
        <v>#REF!</v>
      </c>
      <c r="CY276" t="e">
        <f>AND(#REF!,"AAAAAC/7+2Y=")</f>
        <v>#REF!</v>
      </c>
      <c r="CZ276" t="e">
        <f>AND(#REF!,"AAAAAC/7+2c=")</f>
        <v>#REF!</v>
      </c>
      <c r="DA276" t="e">
        <f>AND(#REF!,"AAAAAC/7+2g=")</f>
        <v>#REF!</v>
      </c>
      <c r="DB276" t="e">
        <f>AND(#REF!,"AAAAAC/7+2k=")</f>
        <v>#REF!</v>
      </c>
      <c r="DC276" t="e">
        <f>IF(#REF!,"AAAAAC/7+2o=",0)</f>
        <v>#REF!</v>
      </c>
      <c r="DD276" t="e">
        <f>AND(#REF!,"AAAAAC/7+2s=")</f>
        <v>#REF!</v>
      </c>
      <c r="DE276" t="e">
        <f>AND(#REF!,"AAAAAC/7+2w=")</f>
        <v>#REF!</v>
      </c>
      <c r="DF276" t="e">
        <f>AND(#REF!,"AAAAAC/7+20=")</f>
        <v>#REF!</v>
      </c>
      <c r="DG276" t="e">
        <f>AND(#REF!,"AAAAAC/7+24=")</f>
        <v>#REF!</v>
      </c>
      <c r="DH276" t="e">
        <f>AND(#REF!,"AAAAAC/7+28=")</f>
        <v>#REF!</v>
      </c>
      <c r="DI276" t="e">
        <f>AND(#REF!,"AAAAAC/7+3A=")</f>
        <v>#REF!</v>
      </c>
      <c r="DJ276" t="e">
        <f>AND(#REF!,"AAAAAC/7+3E=")</f>
        <v>#REF!</v>
      </c>
      <c r="DK276" t="e">
        <f>AND(#REF!,"AAAAAC/7+3I=")</f>
        <v>#REF!</v>
      </c>
      <c r="DL276" t="e">
        <f>AND(#REF!,"AAAAAC/7+3M=")</f>
        <v>#REF!</v>
      </c>
      <c r="DM276" t="e">
        <f>AND(#REF!,"AAAAAC/7+3Q=")</f>
        <v>#REF!</v>
      </c>
      <c r="DN276" t="e">
        <f>IF(#REF!,"AAAAAC/7+3U=",0)</f>
        <v>#REF!</v>
      </c>
      <c r="DO276" t="e">
        <f>AND(#REF!,"AAAAAC/7+3Y=")</f>
        <v>#REF!</v>
      </c>
      <c r="DP276" t="e">
        <f>AND(#REF!,"AAAAAC/7+3c=")</f>
        <v>#REF!</v>
      </c>
      <c r="DQ276" t="e">
        <f>AND(#REF!,"AAAAAC/7+3g=")</f>
        <v>#REF!</v>
      </c>
      <c r="DR276" t="e">
        <f>AND(#REF!,"AAAAAC/7+3k=")</f>
        <v>#REF!</v>
      </c>
      <c r="DS276" t="e">
        <f>AND(#REF!,"AAAAAC/7+3o=")</f>
        <v>#REF!</v>
      </c>
      <c r="DT276" t="e">
        <f>AND(#REF!,"AAAAAC/7+3s=")</f>
        <v>#REF!</v>
      </c>
      <c r="DU276" t="e">
        <f>AND(#REF!,"AAAAAC/7+3w=")</f>
        <v>#REF!</v>
      </c>
      <c r="DV276" t="e">
        <f>AND(#REF!,"AAAAAC/7+30=")</f>
        <v>#REF!</v>
      </c>
      <c r="DW276" t="e">
        <f>AND(#REF!,"AAAAAC/7+34=")</f>
        <v>#REF!</v>
      </c>
      <c r="DX276" t="e">
        <f>AND(#REF!,"AAAAAC/7+38=")</f>
        <v>#REF!</v>
      </c>
      <c r="DY276" t="e">
        <f>IF(#REF!,"AAAAAC/7+4A=",0)</f>
        <v>#REF!</v>
      </c>
      <c r="DZ276" t="e">
        <f>AND(#REF!,"AAAAAC/7+4E=")</f>
        <v>#REF!</v>
      </c>
      <c r="EA276" t="e">
        <f>AND(#REF!,"AAAAAC/7+4I=")</f>
        <v>#REF!</v>
      </c>
      <c r="EB276" t="e">
        <f>AND(#REF!,"AAAAAC/7+4M=")</f>
        <v>#REF!</v>
      </c>
      <c r="EC276" t="e">
        <f>AND(#REF!,"AAAAAC/7+4Q=")</f>
        <v>#REF!</v>
      </c>
      <c r="ED276" t="e">
        <f>AND(#REF!,"AAAAAC/7+4U=")</f>
        <v>#REF!</v>
      </c>
      <c r="EE276" t="e">
        <f>AND(#REF!,"AAAAAC/7+4Y=")</f>
        <v>#REF!</v>
      </c>
      <c r="EF276" t="e">
        <f>AND(#REF!,"AAAAAC/7+4c=")</f>
        <v>#REF!</v>
      </c>
      <c r="EG276" t="e">
        <f>AND(#REF!,"AAAAAC/7+4g=")</f>
        <v>#REF!</v>
      </c>
      <c r="EH276" t="e">
        <f>AND(#REF!,"AAAAAC/7+4k=")</f>
        <v>#REF!</v>
      </c>
      <c r="EI276" t="e">
        <f>AND(#REF!,"AAAAAC/7+4o=")</f>
        <v>#REF!</v>
      </c>
      <c r="EJ276" t="e">
        <f>IF(#REF!,"AAAAAC/7+4s=",0)</f>
        <v>#REF!</v>
      </c>
      <c r="EK276" t="e">
        <f>AND(#REF!,"AAAAAC/7+4w=")</f>
        <v>#REF!</v>
      </c>
      <c r="EL276" t="e">
        <f>AND(#REF!,"AAAAAC/7+40=")</f>
        <v>#REF!</v>
      </c>
      <c r="EM276" t="e">
        <f>AND(#REF!,"AAAAAC/7+44=")</f>
        <v>#REF!</v>
      </c>
      <c r="EN276" t="e">
        <f>AND(#REF!,"AAAAAC/7+48=")</f>
        <v>#REF!</v>
      </c>
      <c r="EO276" t="e">
        <f>AND(#REF!,"AAAAAC/7+5A=")</f>
        <v>#REF!</v>
      </c>
      <c r="EP276" t="e">
        <f>AND(#REF!,"AAAAAC/7+5E=")</f>
        <v>#REF!</v>
      </c>
      <c r="EQ276" t="e">
        <f>AND(#REF!,"AAAAAC/7+5I=")</f>
        <v>#REF!</v>
      </c>
      <c r="ER276" t="e">
        <f>AND(#REF!,"AAAAAC/7+5M=")</f>
        <v>#REF!</v>
      </c>
      <c r="ES276" t="e">
        <f>AND(#REF!,"AAAAAC/7+5Q=")</f>
        <v>#REF!</v>
      </c>
      <c r="ET276" t="e">
        <f>AND(#REF!,"AAAAAC/7+5U=")</f>
        <v>#REF!</v>
      </c>
      <c r="EU276" t="e">
        <f>IF(#REF!,"AAAAAC/7+5Y=",0)</f>
        <v>#REF!</v>
      </c>
      <c r="EV276" t="e">
        <f>AND(#REF!,"AAAAAC/7+5c=")</f>
        <v>#REF!</v>
      </c>
      <c r="EW276" t="e">
        <f>AND(#REF!,"AAAAAC/7+5g=")</f>
        <v>#REF!</v>
      </c>
      <c r="EX276" t="e">
        <f>AND(#REF!,"AAAAAC/7+5k=")</f>
        <v>#REF!</v>
      </c>
      <c r="EY276" t="e">
        <f>AND(#REF!,"AAAAAC/7+5o=")</f>
        <v>#REF!</v>
      </c>
      <c r="EZ276" t="e">
        <f>AND(#REF!,"AAAAAC/7+5s=")</f>
        <v>#REF!</v>
      </c>
      <c r="FA276" t="e">
        <f>AND(#REF!,"AAAAAC/7+5w=")</f>
        <v>#REF!</v>
      </c>
      <c r="FB276" t="e">
        <f>AND(#REF!,"AAAAAC/7+50=")</f>
        <v>#REF!</v>
      </c>
      <c r="FC276" t="e">
        <f>AND(#REF!,"AAAAAC/7+54=")</f>
        <v>#REF!</v>
      </c>
      <c r="FD276" t="e">
        <f>AND(#REF!,"AAAAAC/7+58=")</f>
        <v>#REF!</v>
      </c>
      <c r="FE276" t="e">
        <f>AND(#REF!,"AAAAAC/7+6A=")</f>
        <v>#REF!</v>
      </c>
      <c r="FF276" t="e">
        <f>IF(#REF!,"AAAAAC/7+6E=",0)</f>
        <v>#REF!</v>
      </c>
      <c r="FG276" t="e">
        <f>AND(#REF!,"AAAAAC/7+6I=")</f>
        <v>#REF!</v>
      </c>
      <c r="FH276" t="e">
        <f>AND(#REF!,"AAAAAC/7+6M=")</f>
        <v>#REF!</v>
      </c>
      <c r="FI276" t="e">
        <f>AND(#REF!,"AAAAAC/7+6Q=")</f>
        <v>#REF!</v>
      </c>
      <c r="FJ276" t="e">
        <f>AND(#REF!,"AAAAAC/7+6U=")</f>
        <v>#REF!</v>
      </c>
      <c r="FK276" t="e">
        <f>AND(#REF!,"AAAAAC/7+6Y=")</f>
        <v>#REF!</v>
      </c>
      <c r="FL276" t="e">
        <f>AND(#REF!,"AAAAAC/7+6c=")</f>
        <v>#REF!</v>
      </c>
      <c r="FM276" t="e">
        <f>AND(#REF!,"AAAAAC/7+6g=")</f>
        <v>#REF!</v>
      </c>
      <c r="FN276" t="e">
        <f>AND(#REF!,"AAAAAC/7+6k=")</f>
        <v>#REF!</v>
      </c>
      <c r="FO276" t="e">
        <f>AND(#REF!,"AAAAAC/7+6o=")</f>
        <v>#REF!</v>
      </c>
      <c r="FP276" t="e">
        <f>AND(#REF!,"AAAAAC/7+6s=")</f>
        <v>#REF!</v>
      </c>
      <c r="FQ276" t="e">
        <f>IF(#REF!,"AAAAAC/7+6w=",0)</f>
        <v>#REF!</v>
      </c>
      <c r="FR276" t="e">
        <f>AND(#REF!,"AAAAAC/7+60=")</f>
        <v>#REF!</v>
      </c>
      <c r="FS276" t="e">
        <f>AND(#REF!,"AAAAAC/7+64=")</f>
        <v>#REF!</v>
      </c>
      <c r="FT276" t="e">
        <f>AND(#REF!,"AAAAAC/7+68=")</f>
        <v>#REF!</v>
      </c>
      <c r="FU276" t="e">
        <f>AND(#REF!,"AAAAAC/7+7A=")</f>
        <v>#REF!</v>
      </c>
      <c r="FV276" t="e">
        <f>AND(#REF!,"AAAAAC/7+7E=")</f>
        <v>#REF!</v>
      </c>
      <c r="FW276" t="e">
        <f>AND(#REF!,"AAAAAC/7+7I=")</f>
        <v>#REF!</v>
      </c>
      <c r="FX276" t="e">
        <f>AND(#REF!,"AAAAAC/7+7M=")</f>
        <v>#REF!</v>
      </c>
      <c r="FY276" t="e">
        <f>AND(#REF!,"AAAAAC/7+7Q=")</f>
        <v>#REF!</v>
      </c>
      <c r="FZ276" t="e">
        <f>AND(#REF!,"AAAAAC/7+7U=")</f>
        <v>#REF!</v>
      </c>
      <c r="GA276" t="e">
        <f>AND(#REF!,"AAAAAC/7+7Y=")</f>
        <v>#REF!</v>
      </c>
      <c r="GB276" t="e">
        <f>IF(#REF!,"AAAAAC/7+7c=",0)</f>
        <v>#REF!</v>
      </c>
      <c r="GC276" t="e">
        <f>AND(#REF!,"AAAAAC/7+7g=")</f>
        <v>#REF!</v>
      </c>
      <c r="GD276" t="e">
        <f>AND(#REF!,"AAAAAC/7+7k=")</f>
        <v>#REF!</v>
      </c>
      <c r="GE276" t="e">
        <f>AND(#REF!,"AAAAAC/7+7o=")</f>
        <v>#REF!</v>
      </c>
      <c r="GF276" t="e">
        <f>AND(#REF!,"AAAAAC/7+7s=")</f>
        <v>#REF!</v>
      </c>
      <c r="GG276" t="e">
        <f>AND(#REF!,"AAAAAC/7+7w=")</f>
        <v>#REF!</v>
      </c>
      <c r="GH276" t="e">
        <f>AND(#REF!,"AAAAAC/7+70=")</f>
        <v>#REF!</v>
      </c>
      <c r="GI276" t="e">
        <f>AND(#REF!,"AAAAAC/7+74=")</f>
        <v>#REF!</v>
      </c>
      <c r="GJ276" t="e">
        <f>AND(#REF!,"AAAAAC/7+78=")</f>
        <v>#REF!</v>
      </c>
      <c r="GK276" t="e">
        <f>AND(#REF!,"AAAAAC/7+8A=")</f>
        <v>#REF!</v>
      </c>
      <c r="GL276" t="e">
        <f>AND(#REF!,"AAAAAC/7+8E=")</f>
        <v>#REF!</v>
      </c>
      <c r="GM276" t="e">
        <f>IF(#REF!,"AAAAAC/7+8I=",0)</f>
        <v>#REF!</v>
      </c>
      <c r="GN276" t="e">
        <f>AND(#REF!,"AAAAAC/7+8M=")</f>
        <v>#REF!</v>
      </c>
      <c r="GO276" t="e">
        <f>AND(#REF!,"AAAAAC/7+8Q=")</f>
        <v>#REF!</v>
      </c>
      <c r="GP276" t="e">
        <f>AND(#REF!,"AAAAAC/7+8U=")</f>
        <v>#REF!</v>
      </c>
      <c r="GQ276" t="e">
        <f>AND(#REF!,"AAAAAC/7+8Y=")</f>
        <v>#REF!</v>
      </c>
      <c r="GR276" t="e">
        <f>AND(#REF!,"AAAAAC/7+8c=")</f>
        <v>#REF!</v>
      </c>
      <c r="GS276" t="e">
        <f>AND(#REF!,"AAAAAC/7+8g=")</f>
        <v>#REF!</v>
      </c>
      <c r="GT276" t="e">
        <f>AND(#REF!,"AAAAAC/7+8k=")</f>
        <v>#REF!</v>
      </c>
      <c r="GU276" t="e">
        <f>AND(#REF!,"AAAAAC/7+8o=")</f>
        <v>#REF!</v>
      </c>
      <c r="GV276" t="e">
        <f>AND(#REF!,"AAAAAC/7+8s=")</f>
        <v>#REF!</v>
      </c>
      <c r="GW276" t="e">
        <f>AND(#REF!,"AAAAAC/7+8w=")</f>
        <v>#REF!</v>
      </c>
      <c r="GX276" t="e">
        <f>IF(#REF!,"AAAAAC/7+80=",0)</f>
        <v>#REF!</v>
      </c>
      <c r="GY276" t="e">
        <f>AND(#REF!,"AAAAAC/7+84=")</f>
        <v>#REF!</v>
      </c>
      <c r="GZ276" t="e">
        <f>AND(#REF!,"AAAAAC/7+88=")</f>
        <v>#REF!</v>
      </c>
      <c r="HA276" t="e">
        <f>AND(#REF!,"AAAAAC/7+9A=")</f>
        <v>#REF!</v>
      </c>
      <c r="HB276" t="e">
        <f>AND(#REF!,"AAAAAC/7+9E=")</f>
        <v>#REF!</v>
      </c>
      <c r="HC276" t="e">
        <f>AND(#REF!,"AAAAAC/7+9I=")</f>
        <v>#REF!</v>
      </c>
      <c r="HD276" t="e">
        <f>AND(#REF!,"AAAAAC/7+9M=")</f>
        <v>#REF!</v>
      </c>
      <c r="HE276" t="e">
        <f>AND(#REF!,"AAAAAC/7+9Q=")</f>
        <v>#REF!</v>
      </c>
      <c r="HF276" t="e">
        <f>AND(#REF!,"AAAAAC/7+9U=")</f>
        <v>#REF!</v>
      </c>
      <c r="HG276" t="e">
        <f>AND(#REF!,"AAAAAC/7+9Y=")</f>
        <v>#REF!</v>
      </c>
      <c r="HH276" t="e">
        <f>AND(#REF!,"AAAAAC/7+9c=")</f>
        <v>#REF!</v>
      </c>
      <c r="HI276" t="e">
        <f>IF(#REF!,"AAAAAC/7+9g=",0)</f>
        <v>#REF!</v>
      </c>
      <c r="HJ276" t="e">
        <f>AND(#REF!,"AAAAAC/7+9k=")</f>
        <v>#REF!</v>
      </c>
      <c r="HK276" t="e">
        <f>AND(#REF!,"AAAAAC/7+9o=")</f>
        <v>#REF!</v>
      </c>
      <c r="HL276" t="e">
        <f>AND(#REF!,"AAAAAC/7+9s=")</f>
        <v>#REF!</v>
      </c>
      <c r="HM276" t="e">
        <f>AND(#REF!,"AAAAAC/7+9w=")</f>
        <v>#REF!</v>
      </c>
      <c r="HN276" t="e">
        <f>AND(#REF!,"AAAAAC/7+90=")</f>
        <v>#REF!</v>
      </c>
      <c r="HO276" t="e">
        <f>AND(#REF!,"AAAAAC/7+94=")</f>
        <v>#REF!</v>
      </c>
      <c r="HP276" t="e">
        <f>AND(#REF!,"AAAAAC/7+98=")</f>
        <v>#REF!</v>
      </c>
      <c r="HQ276" t="e">
        <f>AND(#REF!,"AAAAAC/7++A=")</f>
        <v>#REF!</v>
      </c>
      <c r="HR276" t="e">
        <f>AND(#REF!,"AAAAAC/7++E=")</f>
        <v>#REF!</v>
      </c>
      <c r="HS276" t="e">
        <f>AND(#REF!,"AAAAAC/7++I=")</f>
        <v>#REF!</v>
      </c>
      <c r="HT276" t="e">
        <f>IF(#REF!,"AAAAAC/7++M=",0)</f>
        <v>#REF!</v>
      </c>
      <c r="HU276" t="e">
        <f>AND(#REF!,"AAAAAC/7++Q=")</f>
        <v>#REF!</v>
      </c>
      <c r="HV276" t="e">
        <f>AND(#REF!,"AAAAAC/7++U=")</f>
        <v>#REF!</v>
      </c>
      <c r="HW276" t="e">
        <f>AND(#REF!,"AAAAAC/7++Y=")</f>
        <v>#REF!</v>
      </c>
      <c r="HX276" t="e">
        <f>AND(#REF!,"AAAAAC/7++c=")</f>
        <v>#REF!</v>
      </c>
      <c r="HY276" t="e">
        <f>AND(#REF!,"AAAAAC/7++g=")</f>
        <v>#REF!</v>
      </c>
      <c r="HZ276" t="e">
        <f>AND(#REF!,"AAAAAC/7++k=")</f>
        <v>#REF!</v>
      </c>
      <c r="IA276" t="e">
        <f>AND(#REF!,"AAAAAC/7++o=")</f>
        <v>#REF!</v>
      </c>
      <c r="IB276" t="e">
        <f>AND(#REF!,"AAAAAC/7++s=")</f>
        <v>#REF!</v>
      </c>
      <c r="IC276" t="e">
        <f>AND(#REF!,"AAAAAC/7++w=")</f>
        <v>#REF!</v>
      </c>
      <c r="ID276" t="e">
        <f>AND(#REF!,"AAAAAC/7++0=")</f>
        <v>#REF!</v>
      </c>
      <c r="IE276" t="e">
        <f>IF(#REF!,"AAAAAC/7++4=",0)</f>
        <v>#REF!</v>
      </c>
      <c r="IF276" t="e">
        <f>AND(#REF!,"AAAAAC/7++8=")</f>
        <v>#REF!</v>
      </c>
      <c r="IG276" t="e">
        <f>AND(#REF!,"AAAAAC/7+/A=")</f>
        <v>#REF!</v>
      </c>
      <c r="IH276" t="e">
        <f>AND(#REF!,"AAAAAC/7+/E=")</f>
        <v>#REF!</v>
      </c>
      <c r="II276" t="e">
        <f>AND(#REF!,"AAAAAC/7+/I=")</f>
        <v>#REF!</v>
      </c>
      <c r="IJ276" t="e">
        <f>AND(#REF!,"AAAAAC/7+/M=")</f>
        <v>#REF!</v>
      </c>
      <c r="IK276" t="e">
        <f>AND(#REF!,"AAAAAC/7+/Q=")</f>
        <v>#REF!</v>
      </c>
      <c r="IL276" t="e">
        <f>AND(#REF!,"AAAAAC/7+/U=")</f>
        <v>#REF!</v>
      </c>
      <c r="IM276" t="e">
        <f>AND(#REF!,"AAAAAC/7+/Y=")</f>
        <v>#REF!</v>
      </c>
      <c r="IN276" t="e">
        <f>AND(#REF!,"AAAAAC/7+/c=")</f>
        <v>#REF!</v>
      </c>
      <c r="IO276" t="e">
        <f>AND(#REF!,"AAAAAC/7+/g=")</f>
        <v>#REF!</v>
      </c>
      <c r="IP276" t="e">
        <f>IF(#REF!,"AAAAAC/7+/k=",0)</f>
        <v>#REF!</v>
      </c>
      <c r="IQ276" t="e">
        <f>AND(#REF!,"AAAAAC/7+/o=")</f>
        <v>#REF!</v>
      </c>
      <c r="IR276" t="e">
        <f>AND(#REF!,"AAAAAC/7+/s=")</f>
        <v>#REF!</v>
      </c>
      <c r="IS276" t="e">
        <f>AND(#REF!,"AAAAAC/7+/w=")</f>
        <v>#REF!</v>
      </c>
      <c r="IT276" t="e">
        <f>AND(#REF!,"AAAAAC/7+/0=")</f>
        <v>#REF!</v>
      </c>
      <c r="IU276" t="e">
        <f>AND(#REF!,"AAAAAC/7+/4=")</f>
        <v>#REF!</v>
      </c>
      <c r="IV276" t="e">
        <f>AND(#REF!,"AAAAAC/7+/8=")</f>
        <v>#REF!</v>
      </c>
    </row>
    <row r="277" spans="1:256" x14ac:dyDescent="0.25">
      <c r="A277" t="e">
        <f>AND(#REF!,"AAAAAFpfOwA=")</f>
        <v>#REF!</v>
      </c>
      <c r="B277" t="e">
        <f>AND(#REF!,"AAAAAFpfOwE=")</f>
        <v>#REF!</v>
      </c>
      <c r="C277" t="e">
        <f>AND(#REF!,"AAAAAFpfOwI=")</f>
        <v>#REF!</v>
      </c>
      <c r="D277" t="e">
        <f>AND(#REF!,"AAAAAFpfOwM=")</f>
        <v>#REF!</v>
      </c>
      <c r="E277" t="e">
        <f>IF(#REF!,"AAAAAFpfOwQ=",0)</f>
        <v>#REF!</v>
      </c>
      <c r="F277" t="e">
        <f>AND(#REF!,"AAAAAFpfOwU=")</f>
        <v>#REF!</v>
      </c>
      <c r="G277" t="e">
        <f>AND(#REF!,"AAAAAFpfOwY=")</f>
        <v>#REF!</v>
      </c>
      <c r="H277" t="e">
        <f>AND(#REF!,"AAAAAFpfOwc=")</f>
        <v>#REF!</v>
      </c>
      <c r="I277" t="e">
        <f>AND(#REF!,"AAAAAFpfOwg=")</f>
        <v>#REF!</v>
      </c>
      <c r="J277" t="e">
        <f>AND(#REF!,"AAAAAFpfOwk=")</f>
        <v>#REF!</v>
      </c>
      <c r="K277" t="e">
        <f>AND(#REF!,"AAAAAFpfOwo=")</f>
        <v>#REF!</v>
      </c>
      <c r="L277" t="e">
        <f>AND(#REF!,"AAAAAFpfOws=")</f>
        <v>#REF!</v>
      </c>
      <c r="M277" t="e">
        <f>AND(#REF!,"AAAAAFpfOww=")</f>
        <v>#REF!</v>
      </c>
      <c r="N277" t="e">
        <f>AND(#REF!,"AAAAAFpfOw0=")</f>
        <v>#REF!</v>
      </c>
      <c r="O277" t="e">
        <f>AND(#REF!,"AAAAAFpfOw4=")</f>
        <v>#REF!</v>
      </c>
      <c r="P277" t="e">
        <f>IF(#REF!,"AAAAAFpfOw8=",0)</f>
        <v>#REF!</v>
      </c>
      <c r="Q277" t="e">
        <f>AND(#REF!,"AAAAAFpfOxA=")</f>
        <v>#REF!</v>
      </c>
      <c r="R277" t="e">
        <f>AND(#REF!,"AAAAAFpfOxE=")</f>
        <v>#REF!</v>
      </c>
      <c r="S277" t="e">
        <f>AND(#REF!,"AAAAAFpfOxI=")</f>
        <v>#REF!</v>
      </c>
      <c r="T277" t="e">
        <f>AND(#REF!,"AAAAAFpfOxM=")</f>
        <v>#REF!</v>
      </c>
      <c r="U277" t="e">
        <f>AND(#REF!,"AAAAAFpfOxQ=")</f>
        <v>#REF!</v>
      </c>
      <c r="V277" t="e">
        <f>AND(#REF!,"AAAAAFpfOxU=")</f>
        <v>#REF!</v>
      </c>
      <c r="W277" t="e">
        <f>AND(#REF!,"AAAAAFpfOxY=")</f>
        <v>#REF!</v>
      </c>
      <c r="X277" t="e">
        <f>AND(#REF!,"AAAAAFpfOxc=")</f>
        <v>#REF!</v>
      </c>
      <c r="Y277" t="e">
        <f>AND(#REF!,"AAAAAFpfOxg=")</f>
        <v>#REF!</v>
      </c>
      <c r="Z277" t="e">
        <f>AND(#REF!,"AAAAAFpfOxk=")</f>
        <v>#REF!</v>
      </c>
      <c r="AA277" t="e">
        <f>IF(#REF!,"AAAAAFpfOxo=",0)</f>
        <v>#REF!</v>
      </c>
      <c r="AB277" t="e">
        <f>AND(#REF!,"AAAAAFpfOxs=")</f>
        <v>#REF!</v>
      </c>
      <c r="AC277" t="e">
        <f>AND(#REF!,"AAAAAFpfOxw=")</f>
        <v>#REF!</v>
      </c>
      <c r="AD277" t="e">
        <f>AND(#REF!,"AAAAAFpfOx0=")</f>
        <v>#REF!</v>
      </c>
      <c r="AE277" t="e">
        <f>AND(#REF!,"AAAAAFpfOx4=")</f>
        <v>#REF!</v>
      </c>
      <c r="AF277" t="e">
        <f>AND(#REF!,"AAAAAFpfOx8=")</f>
        <v>#REF!</v>
      </c>
      <c r="AG277" t="e">
        <f>AND(#REF!,"AAAAAFpfOyA=")</f>
        <v>#REF!</v>
      </c>
      <c r="AH277" t="e">
        <f>AND(#REF!,"AAAAAFpfOyE=")</f>
        <v>#REF!</v>
      </c>
      <c r="AI277" t="e">
        <f>AND(#REF!,"AAAAAFpfOyI=")</f>
        <v>#REF!</v>
      </c>
      <c r="AJ277" t="e">
        <f>AND(#REF!,"AAAAAFpfOyM=")</f>
        <v>#REF!</v>
      </c>
      <c r="AK277" t="e">
        <f>AND(#REF!,"AAAAAFpfOyQ=")</f>
        <v>#REF!</v>
      </c>
      <c r="AL277" t="e">
        <f>IF(#REF!,"AAAAAFpfOyU=",0)</f>
        <v>#REF!</v>
      </c>
      <c r="AM277" t="e">
        <f>AND(#REF!,"AAAAAFpfOyY=")</f>
        <v>#REF!</v>
      </c>
      <c r="AN277" t="e">
        <f>AND(#REF!,"AAAAAFpfOyc=")</f>
        <v>#REF!</v>
      </c>
      <c r="AO277" t="e">
        <f>AND(#REF!,"AAAAAFpfOyg=")</f>
        <v>#REF!</v>
      </c>
      <c r="AP277" t="e">
        <f>AND(#REF!,"AAAAAFpfOyk=")</f>
        <v>#REF!</v>
      </c>
      <c r="AQ277" t="e">
        <f>AND(#REF!,"AAAAAFpfOyo=")</f>
        <v>#REF!</v>
      </c>
      <c r="AR277" t="e">
        <f>AND(#REF!,"AAAAAFpfOys=")</f>
        <v>#REF!</v>
      </c>
      <c r="AS277" t="e">
        <f>AND(#REF!,"AAAAAFpfOyw=")</f>
        <v>#REF!</v>
      </c>
      <c r="AT277" t="e">
        <f>AND(#REF!,"AAAAAFpfOy0=")</f>
        <v>#REF!</v>
      </c>
      <c r="AU277" t="e">
        <f>AND(#REF!,"AAAAAFpfOy4=")</f>
        <v>#REF!</v>
      </c>
      <c r="AV277" t="e">
        <f>AND(#REF!,"AAAAAFpfOy8=")</f>
        <v>#REF!</v>
      </c>
      <c r="AW277" t="e">
        <f>IF(#REF!,"AAAAAFpfOzA=",0)</f>
        <v>#REF!</v>
      </c>
      <c r="AX277" t="e">
        <f>AND(#REF!,"AAAAAFpfOzE=")</f>
        <v>#REF!</v>
      </c>
      <c r="AY277" t="e">
        <f>AND(#REF!,"AAAAAFpfOzI=")</f>
        <v>#REF!</v>
      </c>
      <c r="AZ277" t="e">
        <f>AND(#REF!,"AAAAAFpfOzM=")</f>
        <v>#REF!</v>
      </c>
      <c r="BA277" t="e">
        <f>AND(#REF!,"AAAAAFpfOzQ=")</f>
        <v>#REF!</v>
      </c>
      <c r="BB277" t="e">
        <f>AND(#REF!,"AAAAAFpfOzU=")</f>
        <v>#REF!</v>
      </c>
      <c r="BC277" t="e">
        <f>AND(#REF!,"AAAAAFpfOzY=")</f>
        <v>#REF!</v>
      </c>
      <c r="BD277" t="e">
        <f>AND(#REF!,"AAAAAFpfOzc=")</f>
        <v>#REF!</v>
      </c>
      <c r="BE277" t="e">
        <f>AND(#REF!,"AAAAAFpfOzg=")</f>
        <v>#REF!</v>
      </c>
      <c r="BF277" t="e">
        <f>AND(#REF!,"AAAAAFpfOzk=")</f>
        <v>#REF!</v>
      </c>
      <c r="BG277" t="e">
        <f>AND(#REF!,"AAAAAFpfOzo=")</f>
        <v>#REF!</v>
      </c>
      <c r="BH277" t="e">
        <f>IF(#REF!,"AAAAAFpfOzs=",0)</f>
        <v>#REF!</v>
      </c>
      <c r="BI277" t="e">
        <f>AND(#REF!,"AAAAAFpfOzw=")</f>
        <v>#REF!</v>
      </c>
      <c r="BJ277" t="e">
        <f>AND(#REF!,"AAAAAFpfOz0=")</f>
        <v>#REF!</v>
      </c>
      <c r="BK277" t="e">
        <f>AND(#REF!,"AAAAAFpfOz4=")</f>
        <v>#REF!</v>
      </c>
      <c r="BL277" t="e">
        <f>AND(#REF!,"AAAAAFpfOz8=")</f>
        <v>#REF!</v>
      </c>
      <c r="BM277" t="e">
        <f>AND(#REF!,"AAAAAFpfO0A=")</f>
        <v>#REF!</v>
      </c>
      <c r="BN277" t="e">
        <f>AND(#REF!,"AAAAAFpfO0E=")</f>
        <v>#REF!</v>
      </c>
      <c r="BO277" t="e">
        <f>AND(#REF!,"AAAAAFpfO0I=")</f>
        <v>#REF!</v>
      </c>
      <c r="BP277" t="e">
        <f>AND(#REF!,"AAAAAFpfO0M=")</f>
        <v>#REF!</v>
      </c>
      <c r="BQ277" t="e">
        <f>AND(#REF!,"AAAAAFpfO0Q=")</f>
        <v>#REF!</v>
      </c>
      <c r="BR277" t="e">
        <f>AND(#REF!,"AAAAAFpfO0U=")</f>
        <v>#REF!</v>
      </c>
      <c r="BS277" t="e">
        <f>IF(#REF!,"AAAAAFpfO0Y=",0)</f>
        <v>#REF!</v>
      </c>
      <c r="BT277" t="e">
        <f>AND(#REF!,"AAAAAFpfO0c=")</f>
        <v>#REF!</v>
      </c>
      <c r="BU277" t="e">
        <f>AND(#REF!,"AAAAAFpfO0g=")</f>
        <v>#REF!</v>
      </c>
      <c r="BV277" t="e">
        <f>AND(#REF!,"AAAAAFpfO0k=")</f>
        <v>#REF!</v>
      </c>
      <c r="BW277" t="e">
        <f>AND(#REF!,"AAAAAFpfO0o=")</f>
        <v>#REF!</v>
      </c>
      <c r="BX277" t="e">
        <f>AND(#REF!,"AAAAAFpfO0s=")</f>
        <v>#REF!</v>
      </c>
      <c r="BY277" t="e">
        <f>AND(#REF!,"AAAAAFpfO0w=")</f>
        <v>#REF!</v>
      </c>
      <c r="BZ277" t="e">
        <f>AND(#REF!,"AAAAAFpfO00=")</f>
        <v>#REF!</v>
      </c>
      <c r="CA277" t="e">
        <f>AND(#REF!,"AAAAAFpfO04=")</f>
        <v>#REF!</v>
      </c>
      <c r="CB277" t="e">
        <f>AND(#REF!,"AAAAAFpfO08=")</f>
        <v>#REF!</v>
      </c>
      <c r="CC277" t="e">
        <f>AND(#REF!,"AAAAAFpfO1A=")</f>
        <v>#REF!</v>
      </c>
      <c r="CD277" t="e">
        <f>IF(#REF!,"AAAAAFpfO1E=",0)</f>
        <v>#REF!</v>
      </c>
      <c r="CE277" t="e">
        <f>AND(#REF!,"AAAAAFpfO1I=")</f>
        <v>#REF!</v>
      </c>
      <c r="CF277" t="e">
        <f>AND(#REF!,"AAAAAFpfO1M=")</f>
        <v>#REF!</v>
      </c>
      <c r="CG277" t="e">
        <f>AND(#REF!,"AAAAAFpfO1Q=")</f>
        <v>#REF!</v>
      </c>
      <c r="CH277" t="e">
        <f>AND(#REF!,"AAAAAFpfO1U=")</f>
        <v>#REF!</v>
      </c>
      <c r="CI277" t="e">
        <f>AND(#REF!,"AAAAAFpfO1Y=")</f>
        <v>#REF!</v>
      </c>
      <c r="CJ277" t="e">
        <f>AND(#REF!,"AAAAAFpfO1c=")</f>
        <v>#REF!</v>
      </c>
      <c r="CK277" t="e">
        <f>AND(#REF!,"AAAAAFpfO1g=")</f>
        <v>#REF!</v>
      </c>
      <c r="CL277" t="e">
        <f>AND(#REF!,"AAAAAFpfO1k=")</f>
        <v>#REF!</v>
      </c>
      <c r="CM277" t="e">
        <f>AND(#REF!,"AAAAAFpfO1o=")</f>
        <v>#REF!</v>
      </c>
      <c r="CN277" t="e">
        <f>AND(#REF!,"AAAAAFpfO1s=")</f>
        <v>#REF!</v>
      </c>
      <c r="CO277" t="e">
        <f>IF(#REF!,"AAAAAFpfO1w=",0)</f>
        <v>#REF!</v>
      </c>
      <c r="CP277" t="e">
        <f>AND(#REF!,"AAAAAFpfO10=")</f>
        <v>#REF!</v>
      </c>
      <c r="CQ277" t="e">
        <f>AND(#REF!,"AAAAAFpfO14=")</f>
        <v>#REF!</v>
      </c>
      <c r="CR277" t="e">
        <f>AND(#REF!,"AAAAAFpfO18=")</f>
        <v>#REF!</v>
      </c>
      <c r="CS277" t="e">
        <f>AND(#REF!,"AAAAAFpfO2A=")</f>
        <v>#REF!</v>
      </c>
      <c r="CT277" t="e">
        <f>AND(#REF!,"AAAAAFpfO2E=")</f>
        <v>#REF!</v>
      </c>
      <c r="CU277" t="e">
        <f>AND(#REF!,"AAAAAFpfO2I=")</f>
        <v>#REF!</v>
      </c>
      <c r="CV277" t="e">
        <f>AND(#REF!,"AAAAAFpfO2M=")</f>
        <v>#REF!</v>
      </c>
      <c r="CW277" t="e">
        <f>AND(#REF!,"AAAAAFpfO2Q=")</f>
        <v>#REF!</v>
      </c>
      <c r="CX277" t="e">
        <f>AND(#REF!,"AAAAAFpfO2U=")</f>
        <v>#REF!</v>
      </c>
      <c r="CY277" t="e">
        <f>AND(#REF!,"AAAAAFpfO2Y=")</f>
        <v>#REF!</v>
      </c>
      <c r="CZ277" t="e">
        <f>IF(#REF!,"AAAAAFpfO2c=",0)</f>
        <v>#REF!</v>
      </c>
      <c r="DA277" t="e">
        <f>AND(#REF!,"AAAAAFpfO2g=")</f>
        <v>#REF!</v>
      </c>
      <c r="DB277" t="e">
        <f>AND(#REF!,"AAAAAFpfO2k=")</f>
        <v>#REF!</v>
      </c>
      <c r="DC277" t="e">
        <f>AND(#REF!,"AAAAAFpfO2o=")</f>
        <v>#REF!</v>
      </c>
      <c r="DD277" t="e">
        <f>AND(#REF!,"AAAAAFpfO2s=")</f>
        <v>#REF!</v>
      </c>
      <c r="DE277" t="e">
        <f>AND(#REF!,"AAAAAFpfO2w=")</f>
        <v>#REF!</v>
      </c>
      <c r="DF277" t="e">
        <f>AND(#REF!,"AAAAAFpfO20=")</f>
        <v>#REF!</v>
      </c>
      <c r="DG277" t="e">
        <f>AND(#REF!,"AAAAAFpfO24=")</f>
        <v>#REF!</v>
      </c>
      <c r="DH277" t="e">
        <f>AND(#REF!,"AAAAAFpfO28=")</f>
        <v>#REF!</v>
      </c>
      <c r="DI277" t="e">
        <f>AND(#REF!,"AAAAAFpfO3A=")</f>
        <v>#REF!</v>
      </c>
      <c r="DJ277" t="e">
        <f>AND(#REF!,"AAAAAFpfO3E=")</f>
        <v>#REF!</v>
      </c>
      <c r="DK277" t="e">
        <f>IF(#REF!,"AAAAAFpfO3I=",0)</f>
        <v>#REF!</v>
      </c>
      <c r="DL277" t="e">
        <f>AND(#REF!,"AAAAAFpfO3M=")</f>
        <v>#REF!</v>
      </c>
      <c r="DM277" t="e">
        <f>AND(#REF!,"AAAAAFpfO3Q=")</f>
        <v>#REF!</v>
      </c>
      <c r="DN277" t="e">
        <f>AND(#REF!,"AAAAAFpfO3U=")</f>
        <v>#REF!</v>
      </c>
      <c r="DO277" t="e">
        <f>AND(#REF!,"AAAAAFpfO3Y=")</f>
        <v>#REF!</v>
      </c>
      <c r="DP277" t="e">
        <f>AND(#REF!,"AAAAAFpfO3c=")</f>
        <v>#REF!</v>
      </c>
      <c r="DQ277" t="e">
        <f>AND(#REF!,"AAAAAFpfO3g=")</f>
        <v>#REF!</v>
      </c>
      <c r="DR277" t="e">
        <f>AND(#REF!,"AAAAAFpfO3k=")</f>
        <v>#REF!</v>
      </c>
      <c r="DS277" t="e">
        <f>AND(#REF!,"AAAAAFpfO3o=")</f>
        <v>#REF!</v>
      </c>
      <c r="DT277" t="e">
        <f>AND(#REF!,"AAAAAFpfO3s=")</f>
        <v>#REF!</v>
      </c>
      <c r="DU277" t="e">
        <f>AND(#REF!,"AAAAAFpfO3w=")</f>
        <v>#REF!</v>
      </c>
      <c r="DV277" t="e">
        <f>IF(#REF!,"AAAAAFpfO30=",0)</f>
        <v>#REF!</v>
      </c>
      <c r="DW277" t="e">
        <f>AND(#REF!,"AAAAAFpfO34=")</f>
        <v>#REF!</v>
      </c>
      <c r="DX277" t="e">
        <f>AND(#REF!,"AAAAAFpfO38=")</f>
        <v>#REF!</v>
      </c>
      <c r="DY277" t="e">
        <f>AND(#REF!,"AAAAAFpfO4A=")</f>
        <v>#REF!</v>
      </c>
      <c r="DZ277" t="e">
        <f>AND(#REF!,"AAAAAFpfO4E=")</f>
        <v>#REF!</v>
      </c>
      <c r="EA277" t="e">
        <f>AND(#REF!,"AAAAAFpfO4I=")</f>
        <v>#REF!</v>
      </c>
      <c r="EB277" t="e">
        <f>AND(#REF!,"AAAAAFpfO4M=")</f>
        <v>#REF!</v>
      </c>
      <c r="EC277" t="e">
        <f>AND(#REF!,"AAAAAFpfO4Q=")</f>
        <v>#REF!</v>
      </c>
      <c r="ED277" t="e">
        <f>AND(#REF!,"AAAAAFpfO4U=")</f>
        <v>#REF!</v>
      </c>
      <c r="EE277" t="e">
        <f>AND(#REF!,"AAAAAFpfO4Y=")</f>
        <v>#REF!</v>
      </c>
      <c r="EF277" t="e">
        <f>AND(#REF!,"AAAAAFpfO4c=")</f>
        <v>#REF!</v>
      </c>
      <c r="EG277" t="e">
        <f>IF(#REF!,"AAAAAFpfO4g=",0)</f>
        <v>#REF!</v>
      </c>
      <c r="EH277" t="e">
        <f>AND(#REF!,"AAAAAFpfO4k=")</f>
        <v>#REF!</v>
      </c>
      <c r="EI277" t="e">
        <f>AND(#REF!,"AAAAAFpfO4o=")</f>
        <v>#REF!</v>
      </c>
      <c r="EJ277" t="e">
        <f>AND(#REF!,"AAAAAFpfO4s=")</f>
        <v>#REF!</v>
      </c>
      <c r="EK277" t="e">
        <f>AND(#REF!,"AAAAAFpfO4w=")</f>
        <v>#REF!</v>
      </c>
      <c r="EL277" t="e">
        <f>AND(#REF!,"AAAAAFpfO40=")</f>
        <v>#REF!</v>
      </c>
      <c r="EM277" t="e">
        <f>AND(#REF!,"AAAAAFpfO44=")</f>
        <v>#REF!</v>
      </c>
      <c r="EN277" t="e">
        <f>AND(#REF!,"AAAAAFpfO48=")</f>
        <v>#REF!</v>
      </c>
      <c r="EO277" t="e">
        <f>AND(#REF!,"AAAAAFpfO5A=")</f>
        <v>#REF!</v>
      </c>
      <c r="EP277" t="e">
        <f>AND(#REF!,"AAAAAFpfO5E=")</f>
        <v>#REF!</v>
      </c>
      <c r="EQ277" t="e">
        <f>AND(#REF!,"AAAAAFpfO5I=")</f>
        <v>#REF!</v>
      </c>
      <c r="ER277" t="e">
        <f>IF(#REF!,"AAAAAFpfO5M=",0)</f>
        <v>#REF!</v>
      </c>
      <c r="ES277" t="e">
        <f>AND(#REF!,"AAAAAFpfO5Q=")</f>
        <v>#REF!</v>
      </c>
      <c r="ET277" t="e">
        <f>AND(#REF!,"AAAAAFpfO5U=")</f>
        <v>#REF!</v>
      </c>
      <c r="EU277" t="e">
        <f>AND(#REF!,"AAAAAFpfO5Y=")</f>
        <v>#REF!</v>
      </c>
      <c r="EV277" t="e">
        <f>AND(#REF!,"AAAAAFpfO5c=")</f>
        <v>#REF!</v>
      </c>
      <c r="EW277" t="e">
        <f>AND(#REF!,"AAAAAFpfO5g=")</f>
        <v>#REF!</v>
      </c>
      <c r="EX277" t="e">
        <f>AND(#REF!,"AAAAAFpfO5k=")</f>
        <v>#REF!</v>
      </c>
      <c r="EY277" t="e">
        <f>AND(#REF!,"AAAAAFpfO5o=")</f>
        <v>#REF!</v>
      </c>
      <c r="EZ277" t="e">
        <f>AND(#REF!,"AAAAAFpfO5s=")</f>
        <v>#REF!</v>
      </c>
      <c r="FA277" t="e">
        <f>AND(#REF!,"AAAAAFpfO5w=")</f>
        <v>#REF!</v>
      </c>
      <c r="FB277" t="e">
        <f>AND(#REF!,"AAAAAFpfO50=")</f>
        <v>#REF!</v>
      </c>
      <c r="FC277" t="e">
        <f>IF(#REF!,"AAAAAFpfO54=",0)</f>
        <v>#REF!</v>
      </c>
      <c r="FD277" t="e">
        <f>AND(#REF!,"AAAAAFpfO58=")</f>
        <v>#REF!</v>
      </c>
      <c r="FE277" t="e">
        <f>AND(#REF!,"AAAAAFpfO6A=")</f>
        <v>#REF!</v>
      </c>
      <c r="FF277" t="e">
        <f>AND(#REF!,"AAAAAFpfO6E=")</f>
        <v>#REF!</v>
      </c>
      <c r="FG277" t="e">
        <f>AND(#REF!,"AAAAAFpfO6I=")</f>
        <v>#REF!</v>
      </c>
      <c r="FH277" t="e">
        <f>AND(#REF!,"AAAAAFpfO6M=")</f>
        <v>#REF!</v>
      </c>
      <c r="FI277" t="e">
        <f>AND(#REF!,"AAAAAFpfO6Q=")</f>
        <v>#REF!</v>
      </c>
      <c r="FJ277" t="e">
        <f>AND(#REF!,"AAAAAFpfO6U=")</f>
        <v>#REF!</v>
      </c>
      <c r="FK277" t="e">
        <f>AND(#REF!,"AAAAAFpfO6Y=")</f>
        <v>#REF!</v>
      </c>
      <c r="FL277" t="e">
        <f>AND(#REF!,"AAAAAFpfO6c=")</f>
        <v>#REF!</v>
      </c>
      <c r="FM277" t="e">
        <f>AND(#REF!,"AAAAAFpfO6g=")</f>
        <v>#REF!</v>
      </c>
      <c r="FN277" t="e">
        <f>IF(#REF!,"AAAAAFpfO6k=",0)</f>
        <v>#REF!</v>
      </c>
      <c r="FO277" t="e">
        <f>AND(#REF!,"AAAAAFpfO6o=")</f>
        <v>#REF!</v>
      </c>
      <c r="FP277" t="e">
        <f>AND(#REF!,"AAAAAFpfO6s=")</f>
        <v>#REF!</v>
      </c>
      <c r="FQ277" t="e">
        <f>AND(#REF!,"AAAAAFpfO6w=")</f>
        <v>#REF!</v>
      </c>
      <c r="FR277" t="e">
        <f>AND(#REF!,"AAAAAFpfO60=")</f>
        <v>#REF!</v>
      </c>
      <c r="FS277" t="e">
        <f>AND(#REF!,"AAAAAFpfO64=")</f>
        <v>#REF!</v>
      </c>
      <c r="FT277" t="e">
        <f>AND(#REF!,"AAAAAFpfO68=")</f>
        <v>#REF!</v>
      </c>
      <c r="FU277" t="e">
        <f>AND(#REF!,"AAAAAFpfO7A=")</f>
        <v>#REF!</v>
      </c>
      <c r="FV277" t="e">
        <f>AND(#REF!,"AAAAAFpfO7E=")</f>
        <v>#REF!</v>
      </c>
      <c r="FW277" t="e">
        <f>AND(#REF!,"AAAAAFpfO7I=")</f>
        <v>#REF!</v>
      </c>
      <c r="FX277" t="e">
        <f>AND(#REF!,"AAAAAFpfO7M=")</f>
        <v>#REF!</v>
      </c>
      <c r="FY277" t="e">
        <f>IF(#REF!,"AAAAAFpfO7Q=",0)</f>
        <v>#REF!</v>
      </c>
      <c r="FZ277" t="e">
        <f>AND(#REF!,"AAAAAFpfO7U=")</f>
        <v>#REF!</v>
      </c>
      <c r="GA277" t="e">
        <f>AND(#REF!,"AAAAAFpfO7Y=")</f>
        <v>#REF!</v>
      </c>
      <c r="GB277" t="e">
        <f>AND(#REF!,"AAAAAFpfO7c=")</f>
        <v>#REF!</v>
      </c>
      <c r="GC277" t="e">
        <f>AND(#REF!,"AAAAAFpfO7g=")</f>
        <v>#REF!</v>
      </c>
      <c r="GD277" t="e">
        <f>AND(#REF!,"AAAAAFpfO7k=")</f>
        <v>#REF!</v>
      </c>
      <c r="GE277" t="e">
        <f>AND(#REF!,"AAAAAFpfO7o=")</f>
        <v>#REF!</v>
      </c>
      <c r="GF277" t="e">
        <f>AND(#REF!,"AAAAAFpfO7s=")</f>
        <v>#REF!</v>
      </c>
      <c r="GG277" t="e">
        <f>AND(#REF!,"AAAAAFpfO7w=")</f>
        <v>#REF!</v>
      </c>
      <c r="GH277" t="e">
        <f>AND(#REF!,"AAAAAFpfO70=")</f>
        <v>#REF!</v>
      </c>
      <c r="GI277" t="e">
        <f>AND(#REF!,"AAAAAFpfO74=")</f>
        <v>#REF!</v>
      </c>
      <c r="GJ277" t="e">
        <f>IF(#REF!,"AAAAAFpfO78=",0)</f>
        <v>#REF!</v>
      </c>
      <c r="GK277" t="e">
        <f>AND(#REF!,"AAAAAFpfO8A=")</f>
        <v>#REF!</v>
      </c>
      <c r="GL277" t="e">
        <f>AND(#REF!,"AAAAAFpfO8E=")</f>
        <v>#REF!</v>
      </c>
      <c r="GM277" t="e">
        <f>AND(#REF!,"AAAAAFpfO8I=")</f>
        <v>#REF!</v>
      </c>
      <c r="GN277" t="e">
        <f>AND(#REF!,"AAAAAFpfO8M=")</f>
        <v>#REF!</v>
      </c>
      <c r="GO277" t="e">
        <f>AND(#REF!,"AAAAAFpfO8Q=")</f>
        <v>#REF!</v>
      </c>
      <c r="GP277" t="e">
        <f>AND(#REF!,"AAAAAFpfO8U=")</f>
        <v>#REF!</v>
      </c>
      <c r="GQ277" t="e">
        <f>AND(#REF!,"AAAAAFpfO8Y=")</f>
        <v>#REF!</v>
      </c>
      <c r="GR277" t="e">
        <f>AND(#REF!,"AAAAAFpfO8c=")</f>
        <v>#REF!</v>
      </c>
      <c r="GS277" t="e">
        <f>AND(#REF!,"AAAAAFpfO8g=")</f>
        <v>#REF!</v>
      </c>
      <c r="GT277" t="e">
        <f>AND(#REF!,"AAAAAFpfO8k=")</f>
        <v>#REF!</v>
      </c>
      <c r="GU277" t="e">
        <f>IF(#REF!,"AAAAAFpfO8o=",0)</f>
        <v>#REF!</v>
      </c>
      <c r="GV277" t="e">
        <f>AND(#REF!,"AAAAAFpfO8s=")</f>
        <v>#REF!</v>
      </c>
      <c r="GW277" t="e">
        <f>AND(#REF!,"AAAAAFpfO8w=")</f>
        <v>#REF!</v>
      </c>
      <c r="GX277" t="e">
        <f>AND(#REF!,"AAAAAFpfO80=")</f>
        <v>#REF!</v>
      </c>
      <c r="GY277" t="e">
        <f>AND(#REF!,"AAAAAFpfO84=")</f>
        <v>#REF!</v>
      </c>
      <c r="GZ277" t="e">
        <f>AND(#REF!,"AAAAAFpfO88=")</f>
        <v>#REF!</v>
      </c>
      <c r="HA277" t="e">
        <f>AND(#REF!,"AAAAAFpfO9A=")</f>
        <v>#REF!</v>
      </c>
      <c r="HB277" t="e">
        <f>AND(#REF!,"AAAAAFpfO9E=")</f>
        <v>#REF!</v>
      </c>
      <c r="HC277" t="e">
        <f>AND(#REF!,"AAAAAFpfO9I=")</f>
        <v>#REF!</v>
      </c>
      <c r="HD277" t="e">
        <f>AND(#REF!,"AAAAAFpfO9M=")</f>
        <v>#REF!</v>
      </c>
      <c r="HE277" t="e">
        <f>AND(#REF!,"AAAAAFpfO9Q=")</f>
        <v>#REF!</v>
      </c>
      <c r="HF277" t="e">
        <f>IF(#REF!,"AAAAAFpfO9U=",0)</f>
        <v>#REF!</v>
      </c>
      <c r="HG277" t="e">
        <f>AND(#REF!,"AAAAAFpfO9Y=")</f>
        <v>#REF!</v>
      </c>
      <c r="HH277" t="e">
        <f>AND(#REF!,"AAAAAFpfO9c=")</f>
        <v>#REF!</v>
      </c>
      <c r="HI277" t="e">
        <f>AND(#REF!,"AAAAAFpfO9g=")</f>
        <v>#REF!</v>
      </c>
      <c r="HJ277" t="e">
        <f>AND(#REF!,"AAAAAFpfO9k=")</f>
        <v>#REF!</v>
      </c>
      <c r="HK277" t="e">
        <f>AND(#REF!,"AAAAAFpfO9o=")</f>
        <v>#REF!</v>
      </c>
      <c r="HL277" t="e">
        <f>AND(#REF!,"AAAAAFpfO9s=")</f>
        <v>#REF!</v>
      </c>
      <c r="HM277" t="e">
        <f>AND(#REF!,"AAAAAFpfO9w=")</f>
        <v>#REF!</v>
      </c>
      <c r="HN277" t="e">
        <f>AND(#REF!,"AAAAAFpfO90=")</f>
        <v>#REF!</v>
      </c>
      <c r="HO277" t="e">
        <f>AND(#REF!,"AAAAAFpfO94=")</f>
        <v>#REF!</v>
      </c>
      <c r="HP277" t="e">
        <f>AND(#REF!,"AAAAAFpfO98=")</f>
        <v>#REF!</v>
      </c>
      <c r="HQ277" t="e">
        <f>IF(#REF!,"AAAAAFpfO+A=",0)</f>
        <v>#REF!</v>
      </c>
      <c r="HR277" t="e">
        <f>AND(#REF!,"AAAAAFpfO+E=")</f>
        <v>#REF!</v>
      </c>
      <c r="HS277" t="e">
        <f>AND(#REF!,"AAAAAFpfO+I=")</f>
        <v>#REF!</v>
      </c>
      <c r="HT277" t="e">
        <f>AND(#REF!,"AAAAAFpfO+M=")</f>
        <v>#REF!</v>
      </c>
      <c r="HU277" t="e">
        <f>AND(#REF!,"AAAAAFpfO+Q=")</f>
        <v>#REF!</v>
      </c>
      <c r="HV277" t="e">
        <f>AND(#REF!,"AAAAAFpfO+U=")</f>
        <v>#REF!</v>
      </c>
      <c r="HW277" t="e">
        <f>AND(#REF!,"AAAAAFpfO+Y=")</f>
        <v>#REF!</v>
      </c>
      <c r="HX277" t="e">
        <f>AND(#REF!,"AAAAAFpfO+c=")</f>
        <v>#REF!</v>
      </c>
      <c r="HY277" t="e">
        <f>AND(#REF!,"AAAAAFpfO+g=")</f>
        <v>#REF!</v>
      </c>
      <c r="HZ277" t="e">
        <f>AND(#REF!,"AAAAAFpfO+k=")</f>
        <v>#REF!</v>
      </c>
      <c r="IA277" t="e">
        <f>AND(#REF!,"AAAAAFpfO+o=")</f>
        <v>#REF!</v>
      </c>
      <c r="IB277" t="e">
        <f>IF(#REF!,"AAAAAFpfO+s=",0)</f>
        <v>#REF!</v>
      </c>
      <c r="IC277" t="e">
        <f>AND(#REF!,"AAAAAFpfO+w=")</f>
        <v>#REF!</v>
      </c>
      <c r="ID277" t="e">
        <f>AND(#REF!,"AAAAAFpfO+0=")</f>
        <v>#REF!</v>
      </c>
      <c r="IE277" t="e">
        <f>AND(#REF!,"AAAAAFpfO+4=")</f>
        <v>#REF!</v>
      </c>
      <c r="IF277" t="e">
        <f>AND(#REF!,"AAAAAFpfO+8=")</f>
        <v>#REF!</v>
      </c>
      <c r="IG277" t="e">
        <f>AND(#REF!,"AAAAAFpfO/A=")</f>
        <v>#REF!</v>
      </c>
      <c r="IH277" t="e">
        <f>AND(#REF!,"AAAAAFpfO/E=")</f>
        <v>#REF!</v>
      </c>
      <c r="II277" t="e">
        <f>AND(#REF!,"AAAAAFpfO/I=")</f>
        <v>#REF!</v>
      </c>
      <c r="IJ277" t="e">
        <f>AND(#REF!,"AAAAAFpfO/M=")</f>
        <v>#REF!</v>
      </c>
      <c r="IK277" t="e">
        <f>AND(#REF!,"AAAAAFpfO/Q=")</f>
        <v>#REF!</v>
      </c>
      <c r="IL277" t="e">
        <f>AND(#REF!,"AAAAAFpfO/U=")</f>
        <v>#REF!</v>
      </c>
      <c r="IM277" t="e">
        <f>IF(#REF!,"AAAAAFpfO/Y=",0)</f>
        <v>#REF!</v>
      </c>
      <c r="IN277" t="e">
        <f>AND(#REF!,"AAAAAFpfO/c=")</f>
        <v>#REF!</v>
      </c>
      <c r="IO277" t="e">
        <f>AND(#REF!,"AAAAAFpfO/g=")</f>
        <v>#REF!</v>
      </c>
      <c r="IP277" t="e">
        <f>AND(#REF!,"AAAAAFpfO/k=")</f>
        <v>#REF!</v>
      </c>
      <c r="IQ277" t="e">
        <f>AND(#REF!,"AAAAAFpfO/o=")</f>
        <v>#REF!</v>
      </c>
      <c r="IR277" t="e">
        <f>AND(#REF!,"AAAAAFpfO/s=")</f>
        <v>#REF!</v>
      </c>
      <c r="IS277" t="e">
        <f>AND(#REF!,"AAAAAFpfO/w=")</f>
        <v>#REF!</v>
      </c>
      <c r="IT277" t="e">
        <f>AND(#REF!,"AAAAAFpfO/0=")</f>
        <v>#REF!</v>
      </c>
      <c r="IU277" t="e">
        <f>AND(#REF!,"AAAAAFpfO/4=")</f>
        <v>#REF!</v>
      </c>
      <c r="IV277" t="e">
        <f>AND(#REF!,"AAAAAFpfO/8=")</f>
        <v>#REF!</v>
      </c>
    </row>
    <row r="278" spans="1:256" x14ac:dyDescent="0.25">
      <c r="A278" t="e">
        <f>AND(#REF!,"AAAAAD22tgA=")</f>
        <v>#REF!</v>
      </c>
      <c r="B278" t="e">
        <f>IF(#REF!,"AAAAAD22tgE=",0)</f>
        <v>#REF!</v>
      </c>
      <c r="C278" t="e">
        <f>AND(#REF!,"AAAAAD22tgI=")</f>
        <v>#REF!</v>
      </c>
      <c r="D278" t="e">
        <f>AND(#REF!,"AAAAAD22tgM=")</f>
        <v>#REF!</v>
      </c>
      <c r="E278" t="e">
        <f>AND(#REF!,"AAAAAD22tgQ=")</f>
        <v>#REF!</v>
      </c>
      <c r="F278" t="e">
        <f>AND(#REF!,"AAAAAD22tgU=")</f>
        <v>#REF!</v>
      </c>
      <c r="G278" t="e">
        <f>AND(#REF!,"AAAAAD22tgY=")</f>
        <v>#REF!</v>
      </c>
      <c r="H278" t="e">
        <f>AND(#REF!,"AAAAAD22tgc=")</f>
        <v>#REF!</v>
      </c>
      <c r="I278" t="e">
        <f>AND(#REF!,"AAAAAD22tgg=")</f>
        <v>#REF!</v>
      </c>
      <c r="J278" t="e">
        <f>AND(#REF!,"AAAAAD22tgk=")</f>
        <v>#REF!</v>
      </c>
      <c r="K278" t="e">
        <f>AND(#REF!,"AAAAAD22tgo=")</f>
        <v>#REF!</v>
      </c>
      <c r="L278" t="e">
        <f>AND(#REF!,"AAAAAD22tgs=")</f>
        <v>#REF!</v>
      </c>
      <c r="M278" t="e">
        <f>IF(#REF!,"AAAAAD22tgw=",0)</f>
        <v>#REF!</v>
      </c>
      <c r="N278" t="e">
        <f>AND(#REF!,"AAAAAD22tg0=")</f>
        <v>#REF!</v>
      </c>
      <c r="O278" t="e">
        <f>AND(#REF!,"AAAAAD22tg4=")</f>
        <v>#REF!</v>
      </c>
      <c r="P278" t="e">
        <f>AND(#REF!,"AAAAAD22tg8=")</f>
        <v>#REF!</v>
      </c>
      <c r="Q278" t="e">
        <f>AND(#REF!,"AAAAAD22thA=")</f>
        <v>#REF!</v>
      </c>
      <c r="R278" t="e">
        <f>AND(#REF!,"AAAAAD22thE=")</f>
        <v>#REF!</v>
      </c>
      <c r="S278" t="e">
        <f>AND(#REF!,"AAAAAD22thI=")</f>
        <v>#REF!</v>
      </c>
      <c r="T278" t="e">
        <f>AND(#REF!,"AAAAAD22thM=")</f>
        <v>#REF!</v>
      </c>
      <c r="U278" t="e">
        <f>AND(#REF!,"AAAAAD22thQ=")</f>
        <v>#REF!</v>
      </c>
      <c r="V278" t="e">
        <f>AND(#REF!,"AAAAAD22thU=")</f>
        <v>#REF!</v>
      </c>
      <c r="W278" t="e">
        <f>AND(#REF!,"AAAAAD22thY=")</f>
        <v>#REF!</v>
      </c>
      <c r="X278" t="e">
        <f>IF(#REF!,"AAAAAD22thc=",0)</f>
        <v>#REF!</v>
      </c>
      <c r="Y278" t="e">
        <f>AND(#REF!,"AAAAAD22thg=")</f>
        <v>#REF!</v>
      </c>
      <c r="Z278" t="e">
        <f>AND(#REF!,"AAAAAD22thk=")</f>
        <v>#REF!</v>
      </c>
      <c r="AA278" t="e">
        <f>AND(#REF!,"AAAAAD22tho=")</f>
        <v>#REF!</v>
      </c>
      <c r="AB278" t="e">
        <f>AND(#REF!,"AAAAAD22ths=")</f>
        <v>#REF!</v>
      </c>
      <c r="AC278" t="e">
        <f>AND(#REF!,"AAAAAD22thw=")</f>
        <v>#REF!</v>
      </c>
      <c r="AD278" t="e">
        <f>AND(#REF!,"AAAAAD22th0=")</f>
        <v>#REF!</v>
      </c>
      <c r="AE278" t="e">
        <f>AND(#REF!,"AAAAAD22th4=")</f>
        <v>#REF!</v>
      </c>
      <c r="AF278" t="e">
        <f>AND(#REF!,"AAAAAD22th8=")</f>
        <v>#REF!</v>
      </c>
      <c r="AG278" t="e">
        <f>AND(#REF!,"AAAAAD22tiA=")</f>
        <v>#REF!</v>
      </c>
      <c r="AH278" t="e">
        <f>AND(#REF!,"AAAAAD22tiE=")</f>
        <v>#REF!</v>
      </c>
      <c r="AI278" t="e">
        <f>IF(#REF!,"AAAAAD22tiI=",0)</f>
        <v>#REF!</v>
      </c>
      <c r="AJ278" t="e">
        <f>AND(#REF!,"AAAAAD22tiM=")</f>
        <v>#REF!</v>
      </c>
      <c r="AK278" t="e">
        <f>AND(#REF!,"AAAAAD22tiQ=")</f>
        <v>#REF!</v>
      </c>
      <c r="AL278" t="e">
        <f>AND(#REF!,"AAAAAD22tiU=")</f>
        <v>#REF!</v>
      </c>
      <c r="AM278" t="e">
        <f>AND(#REF!,"AAAAAD22tiY=")</f>
        <v>#REF!</v>
      </c>
      <c r="AN278" t="e">
        <f>AND(#REF!,"AAAAAD22tic=")</f>
        <v>#REF!</v>
      </c>
      <c r="AO278" t="e">
        <f>AND(#REF!,"AAAAAD22tig=")</f>
        <v>#REF!</v>
      </c>
      <c r="AP278" t="e">
        <f>AND(#REF!,"AAAAAD22tik=")</f>
        <v>#REF!</v>
      </c>
      <c r="AQ278" t="e">
        <f>AND(#REF!,"AAAAAD22tio=")</f>
        <v>#REF!</v>
      </c>
      <c r="AR278" t="e">
        <f>AND(#REF!,"AAAAAD22tis=")</f>
        <v>#REF!</v>
      </c>
      <c r="AS278" t="e">
        <f>AND(#REF!,"AAAAAD22tiw=")</f>
        <v>#REF!</v>
      </c>
      <c r="AT278" t="e">
        <f>IF(#REF!,"AAAAAD22ti0=",0)</f>
        <v>#REF!</v>
      </c>
      <c r="AU278" t="e">
        <f>AND(#REF!,"AAAAAD22ti4=")</f>
        <v>#REF!</v>
      </c>
      <c r="AV278" t="e">
        <f>AND(#REF!,"AAAAAD22ti8=")</f>
        <v>#REF!</v>
      </c>
      <c r="AW278" t="e">
        <f>AND(#REF!,"AAAAAD22tjA=")</f>
        <v>#REF!</v>
      </c>
      <c r="AX278" t="e">
        <f>AND(#REF!,"AAAAAD22tjE=")</f>
        <v>#REF!</v>
      </c>
      <c r="AY278" t="e">
        <f>AND(#REF!,"AAAAAD22tjI=")</f>
        <v>#REF!</v>
      </c>
      <c r="AZ278" t="e">
        <f>AND(#REF!,"AAAAAD22tjM=")</f>
        <v>#REF!</v>
      </c>
      <c r="BA278" t="e">
        <f>AND(#REF!,"AAAAAD22tjQ=")</f>
        <v>#REF!</v>
      </c>
      <c r="BB278" t="e">
        <f>AND(#REF!,"AAAAAD22tjU=")</f>
        <v>#REF!</v>
      </c>
      <c r="BC278" t="e">
        <f>AND(#REF!,"AAAAAD22tjY=")</f>
        <v>#REF!</v>
      </c>
      <c r="BD278" t="e">
        <f>AND(#REF!,"AAAAAD22tjc=")</f>
        <v>#REF!</v>
      </c>
      <c r="BE278" t="e">
        <f>IF(#REF!,"AAAAAD22tjg=",0)</f>
        <v>#REF!</v>
      </c>
      <c r="BF278" t="e">
        <f>AND(#REF!,"AAAAAD22tjk=")</f>
        <v>#REF!</v>
      </c>
      <c r="BG278" t="e">
        <f>AND(#REF!,"AAAAAD22tjo=")</f>
        <v>#REF!</v>
      </c>
      <c r="BH278" t="e">
        <f>AND(#REF!,"AAAAAD22tjs=")</f>
        <v>#REF!</v>
      </c>
      <c r="BI278" t="e">
        <f>AND(#REF!,"AAAAAD22tjw=")</f>
        <v>#REF!</v>
      </c>
      <c r="BJ278" t="e">
        <f>AND(#REF!,"AAAAAD22tj0=")</f>
        <v>#REF!</v>
      </c>
      <c r="BK278" t="e">
        <f>AND(#REF!,"AAAAAD22tj4=")</f>
        <v>#REF!</v>
      </c>
      <c r="BL278" t="e">
        <f>AND(#REF!,"AAAAAD22tj8=")</f>
        <v>#REF!</v>
      </c>
      <c r="BM278" t="e">
        <f>AND(#REF!,"AAAAAD22tkA=")</f>
        <v>#REF!</v>
      </c>
      <c r="BN278" t="e">
        <f>AND(#REF!,"AAAAAD22tkE=")</f>
        <v>#REF!</v>
      </c>
      <c r="BO278" t="e">
        <f>AND(#REF!,"AAAAAD22tkI=")</f>
        <v>#REF!</v>
      </c>
      <c r="BP278" t="e">
        <f>IF(#REF!,"AAAAAD22tkM=",0)</f>
        <v>#REF!</v>
      </c>
      <c r="BQ278" t="e">
        <f>AND(#REF!,"AAAAAD22tkQ=")</f>
        <v>#REF!</v>
      </c>
      <c r="BR278" t="e">
        <f>AND(#REF!,"AAAAAD22tkU=")</f>
        <v>#REF!</v>
      </c>
      <c r="BS278" t="e">
        <f>AND(#REF!,"AAAAAD22tkY=")</f>
        <v>#REF!</v>
      </c>
      <c r="BT278" t="e">
        <f>AND(#REF!,"AAAAAD22tkc=")</f>
        <v>#REF!</v>
      </c>
      <c r="BU278" t="e">
        <f>AND(#REF!,"AAAAAD22tkg=")</f>
        <v>#REF!</v>
      </c>
      <c r="BV278" t="e">
        <f>AND(#REF!,"AAAAAD22tkk=")</f>
        <v>#REF!</v>
      </c>
      <c r="BW278" t="e">
        <f>AND(#REF!,"AAAAAD22tko=")</f>
        <v>#REF!</v>
      </c>
      <c r="BX278" t="e">
        <f>AND(#REF!,"AAAAAD22tks=")</f>
        <v>#REF!</v>
      </c>
      <c r="BY278" t="e">
        <f>AND(#REF!,"AAAAAD22tkw=")</f>
        <v>#REF!</v>
      </c>
      <c r="BZ278" t="e">
        <f>AND(#REF!,"AAAAAD22tk0=")</f>
        <v>#REF!</v>
      </c>
      <c r="CA278" t="e">
        <f>IF(#REF!,"AAAAAD22tk4=",0)</f>
        <v>#REF!</v>
      </c>
      <c r="CB278" t="e">
        <f>AND(#REF!,"AAAAAD22tk8=")</f>
        <v>#REF!</v>
      </c>
      <c r="CC278" t="e">
        <f>AND(#REF!,"AAAAAD22tlA=")</f>
        <v>#REF!</v>
      </c>
      <c r="CD278" t="e">
        <f>AND(#REF!,"AAAAAD22tlE=")</f>
        <v>#REF!</v>
      </c>
      <c r="CE278" t="e">
        <f>AND(#REF!,"AAAAAD22tlI=")</f>
        <v>#REF!</v>
      </c>
      <c r="CF278" t="e">
        <f>AND(#REF!,"AAAAAD22tlM=")</f>
        <v>#REF!</v>
      </c>
      <c r="CG278" t="e">
        <f>AND(#REF!,"AAAAAD22tlQ=")</f>
        <v>#REF!</v>
      </c>
      <c r="CH278" t="e">
        <f>AND(#REF!,"AAAAAD22tlU=")</f>
        <v>#REF!</v>
      </c>
      <c r="CI278" t="e">
        <f>AND(#REF!,"AAAAAD22tlY=")</f>
        <v>#REF!</v>
      </c>
      <c r="CJ278" t="e">
        <f>AND(#REF!,"AAAAAD22tlc=")</f>
        <v>#REF!</v>
      </c>
      <c r="CK278" t="e">
        <f>AND(#REF!,"AAAAAD22tlg=")</f>
        <v>#REF!</v>
      </c>
      <c r="CL278" t="e">
        <f>IF(#REF!,"AAAAAD22tlk=",0)</f>
        <v>#REF!</v>
      </c>
      <c r="CM278" t="e">
        <f>AND(#REF!,"AAAAAD22tlo=")</f>
        <v>#REF!</v>
      </c>
      <c r="CN278" t="e">
        <f>AND(#REF!,"AAAAAD22tls=")</f>
        <v>#REF!</v>
      </c>
      <c r="CO278" t="e">
        <f>AND(#REF!,"AAAAAD22tlw=")</f>
        <v>#REF!</v>
      </c>
      <c r="CP278" t="e">
        <f>AND(#REF!,"AAAAAD22tl0=")</f>
        <v>#REF!</v>
      </c>
      <c r="CQ278" t="e">
        <f>AND(#REF!,"AAAAAD22tl4=")</f>
        <v>#REF!</v>
      </c>
      <c r="CR278" t="e">
        <f>AND(#REF!,"AAAAAD22tl8=")</f>
        <v>#REF!</v>
      </c>
      <c r="CS278" t="e">
        <f>AND(#REF!,"AAAAAD22tmA=")</f>
        <v>#REF!</v>
      </c>
      <c r="CT278" t="e">
        <f>AND(#REF!,"AAAAAD22tmE=")</f>
        <v>#REF!</v>
      </c>
      <c r="CU278" t="e">
        <f>AND(#REF!,"AAAAAD22tmI=")</f>
        <v>#REF!</v>
      </c>
      <c r="CV278" t="e">
        <f>AND(#REF!,"AAAAAD22tmM=")</f>
        <v>#REF!</v>
      </c>
      <c r="CW278" t="e">
        <f>IF(#REF!,"AAAAAD22tmQ=",0)</f>
        <v>#REF!</v>
      </c>
      <c r="CX278" t="e">
        <f>AND(#REF!,"AAAAAD22tmU=")</f>
        <v>#REF!</v>
      </c>
      <c r="CY278" t="e">
        <f>AND(#REF!,"AAAAAD22tmY=")</f>
        <v>#REF!</v>
      </c>
      <c r="CZ278" t="e">
        <f>AND(#REF!,"AAAAAD22tmc=")</f>
        <v>#REF!</v>
      </c>
      <c r="DA278" t="e">
        <f>AND(#REF!,"AAAAAD22tmg=")</f>
        <v>#REF!</v>
      </c>
      <c r="DB278" t="e">
        <f>AND(#REF!,"AAAAAD22tmk=")</f>
        <v>#REF!</v>
      </c>
      <c r="DC278" t="e">
        <f>AND(#REF!,"AAAAAD22tmo=")</f>
        <v>#REF!</v>
      </c>
      <c r="DD278" t="e">
        <f>AND(#REF!,"AAAAAD22tms=")</f>
        <v>#REF!</v>
      </c>
      <c r="DE278" t="e">
        <f>AND(#REF!,"AAAAAD22tmw=")</f>
        <v>#REF!</v>
      </c>
      <c r="DF278" t="e">
        <f>AND(#REF!,"AAAAAD22tm0=")</f>
        <v>#REF!</v>
      </c>
      <c r="DG278" t="e">
        <f>AND(#REF!,"AAAAAD22tm4=")</f>
        <v>#REF!</v>
      </c>
      <c r="DH278" t="e">
        <f>IF(#REF!,"AAAAAD22tm8=",0)</f>
        <v>#REF!</v>
      </c>
      <c r="DI278" t="e">
        <f>AND(#REF!,"AAAAAD22tnA=")</f>
        <v>#REF!</v>
      </c>
      <c r="DJ278" t="e">
        <f>AND(#REF!,"AAAAAD22tnE=")</f>
        <v>#REF!</v>
      </c>
      <c r="DK278" t="e">
        <f>AND(#REF!,"AAAAAD22tnI=")</f>
        <v>#REF!</v>
      </c>
      <c r="DL278" t="e">
        <f>AND(#REF!,"AAAAAD22tnM=")</f>
        <v>#REF!</v>
      </c>
      <c r="DM278" t="e">
        <f>AND(#REF!,"AAAAAD22tnQ=")</f>
        <v>#REF!</v>
      </c>
      <c r="DN278" t="e">
        <f>AND(#REF!,"AAAAAD22tnU=")</f>
        <v>#REF!</v>
      </c>
      <c r="DO278" t="e">
        <f>AND(#REF!,"AAAAAD22tnY=")</f>
        <v>#REF!</v>
      </c>
      <c r="DP278" t="e">
        <f>AND(#REF!,"AAAAAD22tnc=")</f>
        <v>#REF!</v>
      </c>
      <c r="DQ278" t="e">
        <f>AND(#REF!,"AAAAAD22tng=")</f>
        <v>#REF!</v>
      </c>
      <c r="DR278" t="e">
        <f>AND(#REF!,"AAAAAD22tnk=")</f>
        <v>#REF!</v>
      </c>
      <c r="DS278" t="e">
        <f>IF(#REF!,"AAAAAD22tno=",0)</f>
        <v>#REF!</v>
      </c>
      <c r="DT278" t="e">
        <f>AND(#REF!,"AAAAAD22tns=")</f>
        <v>#REF!</v>
      </c>
      <c r="DU278" t="e">
        <f>AND(#REF!,"AAAAAD22tnw=")</f>
        <v>#REF!</v>
      </c>
      <c r="DV278" t="e">
        <f>AND(#REF!,"AAAAAD22tn0=")</f>
        <v>#REF!</v>
      </c>
      <c r="DW278" t="e">
        <f>AND(#REF!,"AAAAAD22tn4=")</f>
        <v>#REF!</v>
      </c>
      <c r="DX278" t="e">
        <f>AND(#REF!,"AAAAAD22tn8=")</f>
        <v>#REF!</v>
      </c>
      <c r="DY278" t="e">
        <f>AND(#REF!,"AAAAAD22toA=")</f>
        <v>#REF!</v>
      </c>
      <c r="DZ278" t="e">
        <f>AND(#REF!,"AAAAAD22toE=")</f>
        <v>#REF!</v>
      </c>
      <c r="EA278" t="e">
        <f>AND(#REF!,"AAAAAD22toI=")</f>
        <v>#REF!</v>
      </c>
      <c r="EB278" t="e">
        <f>AND(#REF!,"AAAAAD22toM=")</f>
        <v>#REF!</v>
      </c>
      <c r="EC278" t="e">
        <f>AND(#REF!,"AAAAAD22toQ=")</f>
        <v>#REF!</v>
      </c>
      <c r="ED278" t="e">
        <f>IF(#REF!,"AAAAAD22toU=",0)</f>
        <v>#REF!</v>
      </c>
      <c r="EE278" t="e">
        <f>AND(#REF!,"AAAAAD22toY=")</f>
        <v>#REF!</v>
      </c>
      <c r="EF278" t="e">
        <f>AND(#REF!,"AAAAAD22toc=")</f>
        <v>#REF!</v>
      </c>
      <c r="EG278" t="e">
        <f>AND(#REF!,"AAAAAD22tog=")</f>
        <v>#REF!</v>
      </c>
      <c r="EH278" t="e">
        <f>AND(#REF!,"AAAAAD22tok=")</f>
        <v>#REF!</v>
      </c>
      <c r="EI278" t="e">
        <f>AND(#REF!,"AAAAAD22too=")</f>
        <v>#REF!</v>
      </c>
      <c r="EJ278" t="e">
        <f>AND(#REF!,"AAAAAD22tos=")</f>
        <v>#REF!</v>
      </c>
      <c r="EK278" t="e">
        <f>AND(#REF!,"AAAAAD22tow=")</f>
        <v>#REF!</v>
      </c>
      <c r="EL278" t="e">
        <f>AND(#REF!,"AAAAAD22to0=")</f>
        <v>#REF!</v>
      </c>
      <c r="EM278" t="e">
        <f>AND(#REF!,"AAAAAD22to4=")</f>
        <v>#REF!</v>
      </c>
      <c r="EN278" t="e">
        <f>AND(#REF!,"AAAAAD22to8=")</f>
        <v>#REF!</v>
      </c>
      <c r="EO278" t="e">
        <f>IF(#REF!,"AAAAAD22tpA=",0)</f>
        <v>#REF!</v>
      </c>
      <c r="EP278" t="e">
        <f>AND(#REF!,"AAAAAD22tpE=")</f>
        <v>#REF!</v>
      </c>
      <c r="EQ278" t="e">
        <f>AND(#REF!,"AAAAAD22tpI=")</f>
        <v>#REF!</v>
      </c>
      <c r="ER278" t="e">
        <f>AND(#REF!,"AAAAAD22tpM=")</f>
        <v>#REF!</v>
      </c>
      <c r="ES278" t="e">
        <f>AND(#REF!,"AAAAAD22tpQ=")</f>
        <v>#REF!</v>
      </c>
      <c r="ET278" t="e">
        <f>AND(#REF!,"AAAAAD22tpU=")</f>
        <v>#REF!</v>
      </c>
      <c r="EU278" t="e">
        <f>AND(#REF!,"AAAAAD22tpY=")</f>
        <v>#REF!</v>
      </c>
      <c r="EV278" t="e">
        <f>AND(#REF!,"AAAAAD22tpc=")</f>
        <v>#REF!</v>
      </c>
      <c r="EW278" t="e">
        <f>AND(#REF!,"AAAAAD22tpg=")</f>
        <v>#REF!</v>
      </c>
      <c r="EX278" t="e">
        <f>AND(#REF!,"AAAAAD22tpk=")</f>
        <v>#REF!</v>
      </c>
      <c r="EY278" t="e">
        <f>AND(#REF!,"AAAAAD22tpo=")</f>
        <v>#REF!</v>
      </c>
      <c r="EZ278" t="e">
        <f>IF(#REF!,"AAAAAD22tps=",0)</f>
        <v>#REF!</v>
      </c>
      <c r="FA278" t="e">
        <f>AND(#REF!,"AAAAAD22tpw=")</f>
        <v>#REF!</v>
      </c>
      <c r="FB278" t="e">
        <f>AND(#REF!,"AAAAAD22tp0=")</f>
        <v>#REF!</v>
      </c>
      <c r="FC278" t="e">
        <f>AND(#REF!,"AAAAAD22tp4=")</f>
        <v>#REF!</v>
      </c>
      <c r="FD278" t="e">
        <f>AND(#REF!,"AAAAAD22tp8=")</f>
        <v>#REF!</v>
      </c>
      <c r="FE278" t="e">
        <f>AND(#REF!,"AAAAAD22tqA=")</f>
        <v>#REF!</v>
      </c>
      <c r="FF278" t="e">
        <f>AND(#REF!,"AAAAAD22tqE=")</f>
        <v>#REF!</v>
      </c>
      <c r="FG278" t="e">
        <f>AND(#REF!,"AAAAAD22tqI=")</f>
        <v>#REF!</v>
      </c>
      <c r="FH278" t="e">
        <f>AND(#REF!,"AAAAAD22tqM=")</f>
        <v>#REF!</v>
      </c>
      <c r="FI278" t="e">
        <f>AND(#REF!,"AAAAAD22tqQ=")</f>
        <v>#REF!</v>
      </c>
      <c r="FJ278" t="e">
        <f>AND(#REF!,"AAAAAD22tqU=")</f>
        <v>#REF!</v>
      </c>
      <c r="FK278" t="e">
        <f>IF(#REF!,"AAAAAD22tqY=",0)</f>
        <v>#REF!</v>
      </c>
      <c r="FL278" t="e">
        <f>AND(#REF!,"AAAAAD22tqc=")</f>
        <v>#REF!</v>
      </c>
      <c r="FM278" t="e">
        <f>AND(#REF!,"AAAAAD22tqg=")</f>
        <v>#REF!</v>
      </c>
      <c r="FN278" t="e">
        <f>AND(#REF!,"AAAAAD22tqk=")</f>
        <v>#REF!</v>
      </c>
      <c r="FO278" t="e">
        <f>AND(#REF!,"AAAAAD22tqo=")</f>
        <v>#REF!</v>
      </c>
      <c r="FP278" t="e">
        <f>AND(#REF!,"AAAAAD22tqs=")</f>
        <v>#REF!</v>
      </c>
      <c r="FQ278" t="e">
        <f>AND(#REF!,"AAAAAD22tqw=")</f>
        <v>#REF!</v>
      </c>
      <c r="FR278" t="e">
        <f>AND(#REF!,"AAAAAD22tq0=")</f>
        <v>#REF!</v>
      </c>
      <c r="FS278" t="e">
        <f>AND(#REF!,"AAAAAD22tq4=")</f>
        <v>#REF!</v>
      </c>
      <c r="FT278" t="e">
        <f>AND(#REF!,"AAAAAD22tq8=")</f>
        <v>#REF!</v>
      </c>
      <c r="FU278" t="e">
        <f>AND(#REF!,"AAAAAD22trA=")</f>
        <v>#REF!</v>
      </c>
      <c r="FV278" t="e">
        <f>IF(#REF!,"AAAAAD22trE=",0)</f>
        <v>#REF!</v>
      </c>
      <c r="FW278" t="e">
        <f>AND(#REF!,"AAAAAD22trI=")</f>
        <v>#REF!</v>
      </c>
      <c r="FX278" t="e">
        <f>AND(#REF!,"AAAAAD22trM=")</f>
        <v>#REF!</v>
      </c>
      <c r="FY278" t="e">
        <f>AND(#REF!,"AAAAAD22trQ=")</f>
        <v>#REF!</v>
      </c>
      <c r="FZ278" t="e">
        <f>AND(#REF!,"AAAAAD22trU=")</f>
        <v>#REF!</v>
      </c>
      <c r="GA278" t="e">
        <f>AND(#REF!,"AAAAAD22trY=")</f>
        <v>#REF!</v>
      </c>
      <c r="GB278" t="e">
        <f>AND(#REF!,"AAAAAD22trc=")</f>
        <v>#REF!</v>
      </c>
      <c r="GC278" t="e">
        <f>AND(#REF!,"AAAAAD22trg=")</f>
        <v>#REF!</v>
      </c>
      <c r="GD278" t="e">
        <f>AND(#REF!,"AAAAAD22trk=")</f>
        <v>#REF!</v>
      </c>
      <c r="GE278" t="e">
        <f>AND(#REF!,"AAAAAD22tro=")</f>
        <v>#REF!</v>
      </c>
      <c r="GF278" t="e">
        <f>AND(#REF!,"AAAAAD22trs=")</f>
        <v>#REF!</v>
      </c>
      <c r="GG278" t="e">
        <f>IF(#REF!,"AAAAAD22trw=",0)</f>
        <v>#REF!</v>
      </c>
      <c r="GH278" t="e">
        <f>AND(#REF!,"AAAAAD22tr0=")</f>
        <v>#REF!</v>
      </c>
      <c r="GI278" t="e">
        <f>AND(#REF!,"AAAAAD22tr4=")</f>
        <v>#REF!</v>
      </c>
      <c r="GJ278" t="e">
        <f>AND(#REF!,"AAAAAD22tr8=")</f>
        <v>#REF!</v>
      </c>
      <c r="GK278" t="e">
        <f>AND(#REF!,"AAAAAD22tsA=")</f>
        <v>#REF!</v>
      </c>
      <c r="GL278" t="e">
        <f>AND(#REF!,"AAAAAD22tsE=")</f>
        <v>#REF!</v>
      </c>
      <c r="GM278" t="e">
        <f>AND(#REF!,"AAAAAD22tsI=")</f>
        <v>#REF!</v>
      </c>
      <c r="GN278" t="e">
        <f>AND(#REF!,"AAAAAD22tsM=")</f>
        <v>#REF!</v>
      </c>
      <c r="GO278" t="e">
        <f>AND(#REF!,"AAAAAD22tsQ=")</f>
        <v>#REF!</v>
      </c>
      <c r="GP278" t="e">
        <f>AND(#REF!,"AAAAAD22tsU=")</f>
        <v>#REF!</v>
      </c>
      <c r="GQ278" t="e">
        <f>AND(#REF!,"AAAAAD22tsY=")</f>
        <v>#REF!</v>
      </c>
      <c r="GR278" t="e">
        <f>IF(#REF!,"AAAAAD22tsc=",0)</f>
        <v>#REF!</v>
      </c>
      <c r="GS278" t="e">
        <f>AND(#REF!,"AAAAAD22tsg=")</f>
        <v>#REF!</v>
      </c>
      <c r="GT278" t="e">
        <f>AND(#REF!,"AAAAAD22tsk=")</f>
        <v>#REF!</v>
      </c>
      <c r="GU278" t="e">
        <f>AND(#REF!,"AAAAAD22tso=")</f>
        <v>#REF!</v>
      </c>
      <c r="GV278" t="e">
        <f>AND(#REF!,"AAAAAD22tss=")</f>
        <v>#REF!</v>
      </c>
      <c r="GW278" t="e">
        <f>AND(#REF!,"AAAAAD22tsw=")</f>
        <v>#REF!</v>
      </c>
      <c r="GX278" t="e">
        <f>AND(#REF!,"AAAAAD22ts0=")</f>
        <v>#REF!</v>
      </c>
      <c r="GY278" t="e">
        <f>AND(#REF!,"AAAAAD22ts4=")</f>
        <v>#REF!</v>
      </c>
      <c r="GZ278" t="e">
        <f>AND(#REF!,"AAAAAD22ts8=")</f>
        <v>#REF!</v>
      </c>
      <c r="HA278" t="e">
        <f>AND(#REF!,"AAAAAD22ttA=")</f>
        <v>#REF!</v>
      </c>
      <c r="HB278" t="e">
        <f>AND(#REF!,"AAAAAD22ttE=")</f>
        <v>#REF!</v>
      </c>
      <c r="HC278" t="e">
        <f>IF(#REF!,"AAAAAD22ttI=",0)</f>
        <v>#REF!</v>
      </c>
      <c r="HD278" t="e">
        <f>AND(#REF!,"AAAAAD22ttM=")</f>
        <v>#REF!</v>
      </c>
      <c r="HE278" t="e">
        <f>AND(#REF!,"AAAAAD22ttQ=")</f>
        <v>#REF!</v>
      </c>
      <c r="HF278" t="e">
        <f>AND(#REF!,"AAAAAD22ttU=")</f>
        <v>#REF!</v>
      </c>
      <c r="HG278" t="e">
        <f>AND(#REF!,"AAAAAD22ttY=")</f>
        <v>#REF!</v>
      </c>
      <c r="HH278" t="e">
        <f>AND(#REF!,"AAAAAD22ttc=")</f>
        <v>#REF!</v>
      </c>
      <c r="HI278" t="e">
        <f>AND(#REF!,"AAAAAD22ttg=")</f>
        <v>#REF!</v>
      </c>
      <c r="HJ278" t="e">
        <f>AND(#REF!,"AAAAAD22ttk=")</f>
        <v>#REF!</v>
      </c>
      <c r="HK278" t="e">
        <f>AND(#REF!,"AAAAAD22tto=")</f>
        <v>#REF!</v>
      </c>
      <c r="HL278" t="e">
        <f>AND(#REF!,"AAAAAD22tts=")</f>
        <v>#REF!</v>
      </c>
      <c r="HM278" t="e">
        <f>AND(#REF!,"AAAAAD22ttw=")</f>
        <v>#REF!</v>
      </c>
      <c r="HN278" t="e">
        <f>IF(#REF!,"AAAAAD22tt0=",0)</f>
        <v>#REF!</v>
      </c>
      <c r="HO278" t="e">
        <f>AND(#REF!,"AAAAAD22tt4=")</f>
        <v>#REF!</v>
      </c>
      <c r="HP278" t="e">
        <f>AND(#REF!,"AAAAAD22tt8=")</f>
        <v>#REF!</v>
      </c>
      <c r="HQ278" t="e">
        <f>AND(#REF!,"AAAAAD22tuA=")</f>
        <v>#REF!</v>
      </c>
      <c r="HR278" t="e">
        <f>AND(#REF!,"AAAAAD22tuE=")</f>
        <v>#REF!</v>
      </c>
      <c r="HS278" t="e">
        <f>AND(#REF!,"AAAAAD22tuI=")</f>
        <v>#REF!</v>
      </c>
      <c r="HT278" t="e">
        <f>AND(#REF!,"AAAAAD22tuM=")</f>
        <v>#REF!</v>
      </c>
      <c r="HU278" t="e">
        <f>AND(#REF!,"AAAAAD22tuQ=")</f>
        <v>#REF!</v>
      </c>
      <c r="HV278" t="e">
        <f>AND(#REF!,"AAAAAD22tuU=")</f>
        <v>#REF!</v>
      </c>
      <c r="HW278" t="e">
        <f>AND(#REF!,"AAAAAD22tuY=")</f>
        <v>#REF!</v>
      </c>
      <c r="HX278" t="e">
        <f>AND(#REF!,"AAAAAD22tuc=")</f>
        <v>#REF!</v>
      </c>
      <c r="HY278" t="e">
        <f>IF(#REF!,"AAAAAD22tug=",0)</f>
        <v>#REF!</v>
      </c>
      <c r="HZ278" t="e">
        <f>AND(#REF!,"AAAAAD22tuk=")</f>
        <v>#REF!</v>
      </c>
      <c r="IA278" t="e">
        <f>AND(#REF!,"AAAAAD22tuo=")</f>
        <v>#REF!</v>
      </c>
      <c r="IB278" t="e">
        <f>AND(#REF!,"AAAAAD22tus=")</f>
        <v>#REF!</v>
      </c>
      <c r="IC278" t="e">
        <f>AND(#REF!,"AAAAAD22tuw=")</f>
        <v>#REF!</v>
      </c>
      <c r="ID278" t="e">
        <f>AND(#REF!,"AAAAAD22tu0=")</f>
        <v>#REF!</v>
      </c>
      <c r="IE278" t="e">
        <f>AND(#REF!,"AAAAAD22tu4=")</f>
        <v>#REF!</v>
      </c>
      <c r="IF278" t="e">
        <f>AND(#REF!,"AAAAAD22tu8=")</f>
        <v>#REF!</v>
      </c>
      <c r="IG278" t="e">
        <f>AND(#REF!,"AAAAAD22tvA=")</f>
        <v>#REF!</v>
      </c>
      <c r="IH278" t="e">
        <f>AND(#REF!,"AAAAAD22tvE=")</f>
        <v>#REF!</v>
      </c>
      <c r="II278" t="e">
        <f>AND(#REF!,"AAAAAD22tvI=")</f>
        <v>#REF!</v>
      </c>
      <c r="IJ278" t="e">
        <f>IF(#REF!,"AAAAAD22tvM=",0)</f>
        <v>#REF!</v>
      </c>
      <c r="IK278" t="e">
        <f>AND(#REF!,"AAAAAD22tvQ=")</f>
        <v>#REF!</v>
      </c>
      <c r="IL278" t="e">
        <f>AND(#REF!,"AAAAAD22tvU=")</f>
        <v>#REF!</v>
      </c>
      <c r="IM278" t="e">
        <f>AND(#REF!,"AAAAAD22tvY=")</f>
        <v>#REF!</v>
      </c>
      <c r="IN278" t="e">
        <f>AND(#REF!,"AAAAAD22tvc=")</f>
        <v>#REF!</v>
      </c>
      <c r="IO278" t="e">
        <f>AND(#REF!,"AAAAAD22tvg=")</f>
        <v>#REF!</v>
      </c>
      <c r="IP278" t="e">
        <f>AND(#REF!,"AAAAAD22tvk=")</f>
        <v>#REF!</v>
      </c>
      <c r="IQ278" t="e">
        <f>AND(#REF!,"AAAAAD22tvo=")</f>
        <v>#REF!</v>
      </c>
      <c r="IR278" t="e">
        <f>AND(#REF!,"AAAAAD22tvs=")</f>
        <v>#REF!</v>
      </c>
      <c r="IS278" t="e">
        <f>AND(#REF!,"AAAAAD22tvw=")</f>
        <v>#REF!</v>
      </c>
      <c r="IT278" t="e">
        <f>AND(#REF!,"AAAAAD22tv0=")</f>
        <v>#REF!</v>
      </c>
      <c r="IU278" t="e">
        <f>IF(#REF!,"AAAAAD22tv4=",0)</f>
        <v>#REF!</v>
      </c>
      <c r="IV278" t="e">
        <f>AND(#REF!,"AAAAAD22tv8=")</f>
        <v>#REF!</v>
      </c>
    </row>
    <row r="279" spans="1:256" x14ac:dyDescent="0.25">
      <c r="A279" t="e">
        <f>AND(#REF!,"AAAAAD9fzwA=")</f>
        <v>#REF!</v>
      </c>
      <c r="B279" t="e">
        <f>AND(#REF!,"AAAAAD9fzwE=")</f>
        <v>#REF!</v>
      </c>
      <c r="C279" t="e">
        <f>AND(#REF!,"AAAAAD9fzwI=")</f>
        <v>#REF!</v>
      </c>
      <c r="D279" t="e">
        <f>AND(#REF!,"AAAAAD9fzwM=")</f>
        <v>#REF!</v>
      </c>
      <c r="E279" t="e">
        <f>AND(#REF!,"AAAAAD9fzwQ=")</f>
        <v>#REF!</v>
      </c>
      <c r="F279" t="e">
        <f>AND(#REF!,"AAAAAD9fzwU=")</f>
        <v>#REF!</v>
      </c>
      <c r="G279" t="e">
        <f>AND(#REF!,"AAAAAD9fzwY=")</f>
        <v>#REF!</v>
      </c>
      <c r="H279" t="e">
        <f>AND(#REF!,"AAAAAD9fzwc=")</f>
        <v>#REF!</v>
      </c>
      <c r="I279" t="e">
        <f>AND(#REF!,"AAAAAD9fzwg=")</f>
        <v>#REF!</v>
      </c>
      <c r="J279" t="e">
        <f>IF(#REF!,"AAAAAD9fzwk=",0)</f>
        <v>#REF!</v>
      </c>
      <c r="K279" t="e">
        <f>AND(#REF!,"AAAAAD9fzwo=")</f>
        <v>#REF!</v>
      </c>
      <c r="L279" t="e">
        <f>AND(#REF!,"AAAAAD9fzws=")</f>
        <v>#REF!</v>
      </c>
      <c r="M279" t="e">
        <f>AND(#REF!,"AAAAAD9fzww=")</f>
        <v>#REF!</v>
      </c>
      <c r="N279" t="e">
        <f>AND(#REF!,"AAAAAD9fzw0=")</f>
        <v>#REF!</v>
      </c>
      <c r="O279" t="e">
        <f>AND(#REF!,"AAAAAD9fzw4=")</f>
        <v>#REF!</v>
      </c>
      <c r="P279" t="e">
        <f>AND(#REF!,"AAAAAD9fzw8=")</f>
        <v>#REF!</v>
      </c>
      <c r="Q279" t="e">
        <f>AND(#REF!,"AAAAAD9fzxA=")</f>
        <v>#REF!</v>
      </c>
      <c r="R279" t="e">
        <f>AND(#REF!,"AAAAAD9fzxE=")</f>
        <v>#REF!</v>
      </c>
      <c r="S279" t="e">
        <f>AND(#REF!,"AAAAAD9fzxI=")</f>
        <v>#REF!</v>
      </c>
      <c r="T279" t="e">
        <f>AND(#REF!,"AAAAAD9fzxM=")</f>
        <v>#REF!</v>
      </c>
      <c r="U279" t="e">
        <f>IF(#REF!,"AAAAAD9fzxQ=",0)</f>
        <v>#REF!</v>
      </c>
      <c r="V279" t="e">
        <f>AND(#REF!,"AAAAAD9fzxU=")</f>
        <v>#REF!</v>
      </c>
      <c r="W279" t="e">
        <f>AND(#REF!,"AAAAAD9fzxY=")</f>
        <v>#REF!</v>
      </c>
      <c r="X279" t="e">
        <f>AND(#REF!,"AAAAAD9fzxc=")</f>
        <v>#REF!</v>
      </c>
      <c r="Y279" t="e">
        <f>AND(#REF!,"AAAAAD9fzxg=")</f>
        <v>#REF!</v>
      </c>
      <c r="Z279" t="e">
        <f>AND(#REF!,"AAAAAD9fzxk=")</f>
        <v>#REF!</v>
      </c>
      <c r="AA279" t="e">
        <f>AND(#REF!,"AAAAAD9fzxo=")</f>
        <v>#REF!</v>
      </c>
      <c r="AB279" t="e">
        <f>AND(#REF!,"AAAAAD9fzxs=")</f>
        <v>#REF!</v>
      </c>
      <c r="AC279" t="e">
        <f>AND(#REF!,"AAAAAD9fzxw=")</f>
        <v>#REF!</v>
      </c>
      <c r="AD279" t="e">
        <f>AND(#REF!,"AAAAAD9fzx0=")</f>
        <v>#REF!</v>
      </c>
      <c r="AE279" t="e">
        <f>AND(#REF!,"AAAAAD9fzx4=")</f>
        <v>#REF!</v>
      </c>
      <c r="AF279" t="e">
        <f>IF(#REF!,"AAAAAD9fzx8=",0)</f>
        <v>#REF!</v>
      </c>
      <c r="AG279" t="e">
        <f>AND(#REF!,"AAAAAD9fzyA=")</f>
        <v>#REF!</v>
      </c>
      <c r="AH279" t="e">
        <f>AND(#REF!,"AAAAAD9fzyE=")</f>
        <v>#REF!</v>
      </c>
      <c r="AI279" t="e">
        <f>AND(#REF!,"AAAAAD9fzyI=")</f>
        <v>#REF!</v>
      </c>
      <c r="AJ279" t="e">
        <f>AND(#REF!,"AAAAAD9fzyM=")</f>
        <v>#REF!</v>
      </c>
      <c r="AK279" t="e">
        <f>AND(#REF!,"AAAAAD9fzyQ=")</f>
        <v>#REF!</v>
      </c>
      <c r="AL279" t="e">
        <f>AND(#REF!,"AAAAAD9fzyU=")</f>
        <v>#REF!</v>
      </c>
      <c r="AM279" t="e">
        <f>AND(#REF!,"AAAAAD9fzyY=")</f>
        <v>#REF!</v>
      </c>
      <c r="AN279" t="e">
        <f>AND(#REF!,"AAAAAD9fzyc=")</f>
        <v>#REF!</v>
      </c>
      <c r="AO279" t="e">
        <f>AND(#REF!,"AAAAAD9fzyg=")</f>
        <v>#REF!</v>
      </c>
      <c r="AP279" t="e">
        <f>AND(#REF!,"AAAAAD9fzyk=")</f>
        <v>#REF!</v>
      </c>
      <c r="AQ279" t="e">
        <f>IF(#REF!,"AAAAAD9fzyo=",0)</f>
        <v>#REF!</v>
      </c>
      <c r="AR279" t="e">
        <f>AND(#REF!,"AAAAAD9fzys=")</f>
        <v>#REF!</v>
      </c>
      <c r="AS279" t="e">
        <f>AND(#REF!,"AAAAAD9fzyw=")</f>
        <v>#REF!</v>
      </c>
      <c r="AT279" t="e">
        <f>AND(#REF!,"AAAAAD9fzy0=")</f>
        <v>#REF!</v>
      </c>
      <c r="AU279" t="e">
        <f>AND(#REF!,"AAAAAD9fzy4=")</f>
        <v>#REF!</v>
      </c>
      <c r="AV279" t="e">
        <f>AND(#REF!,"AAAAAD9fzy8=")</f>
        <v>#REF!</v>
      </c>
      <c r="AW279" t="e">
        <f>AND(#REF!,"AAAAAD9fzzA=")</f>
        <v>#REF!</v>
      </c>
      <c r="AX279" t="e">
        <f>AND(#REF!,"AAAAAD9fzzE=")</f>
        <v>#REF!</v>
      </c>
      <c r="AY279" t="e">
        <f>AND(#REF!,"AAAAAD9fzzI=")</f>
        <v>#REF!</v>
      </c>
      <c r="AZ279" t="e">
        <f>AND(#REF!,"AAAAAD9fzzM=")</f>
        <v>#REF!</v>
      </c>
      <c r="BA279" t="e">
        <f>AND(#REF!,"AAAAAD9fzzQ=")</f>
        <v>#REF!</v>
      </c>
      <c r="BB279" t="e">
        <f>IF(#REF!,"AAAAAD9fzzU=",0)</f>
        <v>#REF!</v>
      </c>
      <c r="BC279" t="e">
        <f>AND(#REF!,"AAAAAD9fzzY=")</f>
        <v>#REF!</v>
      </c>
      <c r="BD279" t="e">
        <f>AND(#REF!,"AAAAAD9fzzc=")</f>
        <v>#REF!</v>
      </c>
      <c r="BE279" t="e">
        <f>AND(#REF!,"AAAAAD9fzzg=")</f>
        <v>#REF!</v>
      </c>
      <c r="BF279" t="e">
        <f>AND(#REF!,"AAAAAD9fzzk=")</f>
        <v>#REF!</v>
      </c>
      <c r="BG279" t="e">
        <f>AND(#REF!,"AAAAAD9fzzo=")</f>
        <v>#REF!</v>
      </c>
      <c r="BH279" t="e">
        <f>AND(#REF!,"AAAAAD9fzzs=")</f>
        <v>#REF!</v>
      </c>
      <c r="BI279" t="e">
        <f>AND(#REF!,"AAAAAD9fzzw=")</f>
        <v>#REF!</v>
      </c>
      <c r="BJ279" t="e">
        <f>AND(#REF!,"AAAAAD9fzz0=")</f>
        <v>#REF!</v>
      </c>
      <c r="BK279" t="e">
        <f>AND(#REF!,"AAAAAD9fzz4=")</f>
        <v>#REF!</v>
      </c>
      <c r="BL279" t="e">
        <f>AND(#REF!,"AAAAAD9fzz8=")</f>
        <v>#REF!</v>
      </c>
      <c r="BM279" t="e">
        <f>IF(#REF!,"AAAAAD9fz0A=",0)</f>
        <v>#REF!</v>
      </c>
      <c r="BN279" t="e">
        <f>AND(#REF!,"AAAAAD9fz0E=")</f>
        <v>#REF!</v>
      </c>
      <c r="BO279" t="e">
        <f>AND(#REF!,"AAAAAD9fz0I=")</f>
        <v>#REF!</v>
      </c>
      <c r="BP279" t="e">
        <f>AND(#REF!,"AAAAAD9fz0M=")</f>
        <v>#REF!</v>
      </c>
      <c r="BQ279" t="e">
        <f>AND(#REF!,"AAAAAD9fz0Q=")</f>
        <v>#REF!</v>
      </c>
      <c r="BR279" t="e">
        <f>AND(#REF!,"AAAAAD9fz0U=")</f>
        <v>#REF!</v>
      </c>
      <c r="BS279" t="e">
        <f>AND(#REF!,"AAAAAD9fz0Y=")</f>
        <v>#REF!</v>
      </c>
      <c r="BT279" t="e">
        <f>AND(#REF!,"AAAAAD9fz0c=")</f>
        <v>#REF!</v>
      </c>
      <c r="BU279" t="e">
        <f>AND(#REF!,"AAAAAD9fz0g=")</f>
        <v>#REF!</v>
      </c>
      <c r="BV279" t="e">
        <f>AND(#REF!,"AAAAAD9fz0k=")</f>
        <v>#REF!</v>
      </c>
      <c r="BW279" t="e">
        <f>AND(#REF!,"AAAAAD9fz0o=")</f>
        <v>#REF!</v>
      </c>
      <c r="BX279" t="e">
        <f>IF(#REF!,"AAAAAD9fz0s=",0)</f>
        <v>#REF!</v>
      </c>
      <c r="BY279" t="e">
        <f>AND(#REF!,"AAAAAD9fz0w=")</f>
        <v>#REF!</v>
      </c>
      <c r="BZ279" t="e">
        <f>AND(#REF!,"AAAAAD9fz00=")</f>
        <v>#REF!</v>
      </c>
      <c r="CA279" t="e">
        <f>AND(#REF!,"AAAAAD9fz04=")</f>
        <v>#REF!</v>
      </c>
      <c r="CB279" t="e">
        <f>AND(#REF!,"AAAAAD9fz08=")</f>
        <v>#REF!</v>
      </c>
      <c r="CC279" t="e">
        <f>AND(#REF!,"AAAAAD9fz1A=")</f>
        <v>#REF!</v>
      </c>
      <c r="CD279" t="e">
        <f>AND(#REF!,"AAAAAD9fz1E=")</f>
        <v>#REF!</v>
      </c>
      <c r="CE279" t="e">
        <f>AND(#REF!,"AAAAAD9fz1I=")</f>
        <v>#REF!</v>
      </c>
      <c r="CF279" t="e">
        <f>AND(#REF!,"AAAAAD9fz1M=")</f>
        <v>#REF!</v>
      </c>
      <c r="CG279" t="e">
        <f>AND(#REF!,"AAAAAD9fz1Q=")</f>
        <v>#REF!</v>
      </c>
      <c r="CH279" t="e">
        <f>AND(#REF!,"AAAAAD9fz1U=")</f>
        <v>#REF!</v>
      </c>
      <c r="CI279" t="e">
        <f>IF(#REF!,"AAAAAD9fz1Y=",0)</f>
        <v>#REF!</v>
      </c>
      <c r="CJ279" t="e">
        <f>AND(#REF!,"AAAAAD9fz1c=")</f>
        <v>#REF!</v>
      </c>
      <c r="CK279" t="e">
        <f>AND(#REF!,"AAAAAD9fz1g=")</f>
        <v>#REF!</v>
      </c>
      <c r="CL279" t="e">
        <f>AND(#REF!,"AAAAAD9fz1k=")</f>
        <v>#REF!</v>
      </c>
      <c r="CM279" t="e">
        <f>AND(#REF!,"AAAAAD9fz1o=")</f>
        <v>#REF!</v>
      </c>
      <c r="CN279" t="e">
        <f>AND(#REF!,"AAAAAD9fz1s=")</f>
        <v>#REF!</v>
      </c>
      <c r="CO279" t="e">
        <f>AND(#REF!,"AAAAAD9fz1w=")</f>
        <v>#REF!</v>
      </c>
      <c r="CP279" t="e">
        <f>AND(#REF!,"AAAAAD9fz10=")</f>
        <v>#REF!</v>
      </c>
      <c r="CQ279" t="e">
        <f>AND(#REF!,"AAAAAD9fz14=")</f>
        <v>#REF!</v>
      </c>
      <c r="CR279" t="e">
        <f>AND(#REF!,"AAAAAD9fz18=")</f>
        <v>#REF!</v>
      </c>
      <c r="CS279" t="e">
        <f>AND(#REF!,"AAAAAD9fz2A=")</f>
        <v>#REF!</v>
      </c>
      <c r="CT279" t="e">
        <f>IF(#REF!,"AAAAAD9fz2E=",0)</f>
        <v>#REF!</v>
      </c>
      <c r="CU279" t="e">
        <f>AND(#REF!,"AAAAAD9fz2I=")</f>
        <v>#REF!</v>
      </c>
      <c r="CV279" t="e">
        <f>AND(#REF!,"AAAAAD9fz2M=")</f>
        <v>#REF!</v>
      </c>
      <c r="CW279" t="e">
        <f>AND(#REF!,"AAAAAD9fz2Q=")</f>
        <v>#REF!</v>
      </c>
      <c r="CX279" t="e">
        <f>AND(#REF!,"AAAAAD9fz2U=")</f>
        <v>#REF!</v>
      </c>
      <c r="CY279" t="e">
        <f>AND(#REF!,"AAAAAD9fz2Y=")</f>
        <v>#REF!</v>
      </c>
      <c r="CZ279" t="e">
        <f>AND(#REF!,"AAAAAD9fz2c=")</f>
        <v>#REF!</v>
      </c>
      <c r="DA279" t="e">
        <f>AND(#REF!,"AAAAAD9fz2g=")</f>
        <v>#REF!</v>
      </c>
      <c r="DB279" t="e">
        <f>AND(#REF!,"AAAAAD9fz2k=")</f>
        <v>#REF!</v>
      </c>
      <c r="DC279" t="e">
        <f>AND(#REF!,"AAAAAD9fz2o=")</f>
        <v>#REF!</v>
      </c>
      <c r="DD279" t="e">
        <f>AND(#REF!,"AAAAAD9fz2s=")</f>
        <v>#REF!</v>
      </c>
      <c r="DE279" t="e">
        <f>IF(#REF!,"AAAAAD9fz2w=",0)</f>
        <v>#REF!</v>
      </c>
      <c r="DF279" t="e">
        <f>AND(#REF!,"AAAAAD9fz20=")</f>
        <v>#REF!</v>
      </c>
      <c r="DG279" t="e">
        <f>AND(#REF!,"AAAAAD9fz24=")</f>
        <v>#REF!</v>
      </c>
      <c r="DH279" t="e">
        <f>AND(#REF!,"AAAAAD9fz28=")</f>
        <v>#REF!</v>
      </c>
      <c r="DI279" t="e">
        <f>AND(#REF!,"AAAAAD9fz3A=")</f>
        <v>#REF!</v>
      </c>
      <c r="DJ279" t="e">
        <f>AND(#REF!,"AAAAAD9fz3E=")</f>
        <v>#REF!</v>
      </c>
      <c r="DK279" t="e">
        <f>AND(#REF!,"AAAAAD9fz3I=")</f>
        <v>#REF!</v>
      </c>
      <c r="DL279" t="e">
        <f>AND(#REF!,"AAAAAD9fz3M=")</f>
        <v>#REF!</v>
      </c>
      <c r="DM279" t="e">
        <f>AND(#REF!,"AAAAAD9fz3Q=")</f>
        <v>#REF!</v>
      </c>
      <c r="DN279" t="e">
        <f>AND(#REF!,"AAAAAD9fz3U=")</f>
        <v>#REF!</v>
      </c>
      <c r="DO279" t="e">
        <f>AND(#REF!,"AAAAAD9fz3Y=")</f>
        <v>#REF!</v>
      </c>
      <c r="DP279" t="e">
        <f>IF(#REF!,"AAAAAD9fz3c=",0)</f>
        <v>#REF!</v>
      </c>
      <c r="DQ279" t="e">
        <f>AND(#REF!,"AAAAAD9fz3g=")</f>
        <v>#REF!</v>
      </c>
      <c r="DR279" t="e">
        <f>AND(#REF!,"AAAAAD9fz3k=")</f>
        <v>#REF!</v>
      </c>
      <c r="DS279" t="e">
        <f>AND(#REF!,"AAAAAD9fz3o=")</f>
        <v>#REF!</v>
      </c>
      <c r="DT279" t="e">
        <f>AND(#REF!,"AAAAAD9fz3s=")</f>
        <v>#REF!</v>
      </c>
      <c r="DU279" t="e">
        <f>AND(#REF!,"AAAAAD9fz3w=")</f>
        <v>#REF!</v>
      </c>
      <c r="DV279" t="e">
        <f>AND(#REF!,"AAAAAD9fz30=")</f>
        <v>#REF!</v>
      </c>
      <c r="DW279" t="e">
        <f>AND(#REF!,"AAAAAD9fz34=")</f>
        <v>#REF!</v>
      </c>
      <c r="DX279" t="e">
        <f>AND(#REF!,"AAAAAD9fz38=")</f>
        <v>#REF!</v>
      </c>
      <c r="DY279" t="e">
        <f>AND(#REF!,"AAAAAD9fz4A=")</f>
        <v>#REF!</v>
      </c>
      <c r="DZ279" t="e">
        <f>AND(#REF!,"AAAAAD9fz4E=")</f>
        <v>#REF!</v>
      </c>
      <c r="EA279" t="e">
        <f>IF(#REF!,"AAAAAD9fz4I=",0)</f>
        <v>#REF!</v>
      </c>
      <c r="EB279" t="e">
        <f>AND(#REF!,"AAAAAD9fz4M=")</f>
        <v>#REF!</v>
      </c>
      <c r="EC279" t="e">
        <f>AND(#REF!,"AAAAAD9fz4Q=")</f>
        <v>#REF!</v>
      </c>
      <c r="ED279" t="e">
        <f>AND(#REF!,"AAAAAD9fz4U=")</f>
        <v>#REF!</v>
      </c>
      <c r="EE279" t="e">
        <f>AND(#REF!,"AAAAAD9fz4Y=")</f>
        <v>#REF!</v>
      </c>
      <c r="EF279" t="e">
        <f>AND(#REF!,"AAAAAD9fz4c=")</f>
        <v>#REF!</v>
      </c>
      <c r="EG279" t="e">
        <f>AND(#REF!,"AAAAAD9fz4g=")</f>
        <v>#REF!</v>
      </c>
      <c r="EH279" t="e">
        <f>AND(#REF!,"AAAAAD9fz4k=")</f>
        <v>#REF!</v>
      </c>
      <c r="EI279" t="e">
        <f>AND(#REF!,"AAAAAD9fz4o=")</f>
        <v>#REF!</v>
      </c>
      <c r="EJ279" t="e">
        <f>AND(#REF!,"AAAAAD9fz4s=")</f>
        <v>#REF!</v>
      </c>
      <c r="EK279" t="e">
        <f>AND(#REF!,"AAAAAD9fz4w=")</f>
        <v>#REF!</v>
      </c>
      <c r="EL279" t="e">
        <f>IF(#REF!,"AAAAAD9fz40=",0)</f>
        <v>#REF!</v>
      </c>
      <c r="EM279" t="e">
        <f>AND(#REF!,"AAAAAD9fz44=")</f>
        <v>#REF!</v>
      </c>
      <c r="EN279" t="e">
        <f>AND(#REF!,"AAAAAD9fz48=")</f>
        <v>#REF!</v>
      </c>
      <c r="EO279" t="e">
        <f>AND(#REF!,"AAAAAD9fz5A=")</f>
        <v>#REF!</v>
      </c>
      <c r="EP279" t="e">
        <f>AND(#REF!,"AAAAAD9fz5E=")</f>
        <v>#REF!</v>
      </c>
      <c r="EQ279" t="e">
        <f>AND(#REF!,"AAAAAD9fz5I=")</f>
        <v>#REF!</v>
      </c>
      <c r="ER279" t="e">
        <f>AND(#REF!,"AAAAAD9fz5M=")</f>
        <v>#REF!</v>
      </c>
      <c r="ES279" t="e">
        <f>AND(#REF!,"AAAAAD9fz5Q=")</f>
        <v>#REF!</v>
      </c>
      <c r="ET279" t="e">
        <f>AND(#REF!,"AAAAAD9fz5U=")</f>
        <v>#REF!</v>
      </c>
      <c r="EU279" t="e">
        <f>AND(#REF!,"AAAAAD9fz5Y=")</f>
        <v>#REF!</v>
      </c>
      <c r="EV279" t="e">
        <f>AND(#REF!,"AAAAAD9fz5c=")</f>
        <v>#REF!</v>
      </c>
      <c r="EW279" t="e">
        <f>IF(#REF!,"AAAAAD9fz5g=",0)</f>
        <v>#REF!</v>
      </c>
      <c r="EX279" t="e">
        <f>AND(#REF!,"AAAAAD9fz5k=")</f>
        <v>#REF!</v>
      </c>
      <c r="EY279" t="e">
        <f>AND(#REF!,"AAAAAD9fz5o=")</f>
        <v>#REF!</v>
      </c>
      <c r="EZ279" t="e">
        <f>AND(#REF!,"AAAAAD9fz5s=")</f>
        <v>#REF!</v>
      </c>
      <c r="FA279" t="e">
        <f>AND(#REF!,"AAAAAD9fz5w=")</f>
        <v>#REF!</v>
      </c>
      <c r="FB279" t="e">
        <f>AND(#REF!,"AAAAAD9fz50=")</f>
        <v>#REF!</v>
      </c>
      <c r="FC279" t="e">
        <f>AND(#REF!,"AAAAAD9fz54=")</f>
        <v>#REF!</v>
      </c>
      <c r="FD279" t="e">
        <f>AND(#REF!,"AAAAAD9fz58=")</f>
        <v>#REF!</v>
      </c>
      <c r="FE279" t="e">
        <f>AND(#REF!,"AAAAAD9fz6A=")</f>
        <v>#REF!</v>
      </c>
      <c r="FF279" t="e">
        <f>AND(#REF!,"AAAAAD9fz6E=")</f>
        <v>#REF!</v>
      </c>
      <c r="FG279" t="e">
        <f>AND(#REF!,"AAAAAD9fz6I=")</f>
        <v>#REF!</v>
      </c>
      <c r="FH279" t="e">
        <f>IF(#REF!,"AAAAAD9fz6M=",0)</f>
        <v>#REF!</v>
      </c>
      <c r="FI279" t="e">
        <f>AND(#REF!,"AAAAAD9fz6Q=")</f>
        <v>#REF!</v>
      </c>
      <c r="FJ279" t="e">
        <f>AND(#REF!,"AAAAAD9fz6U=")</f>
        <v>#REF!</v>
      </c>
      <c r="FK279" t="e">
        <f>AND(#REF!,"AAAAAD9fz6Y=")</f>
        <v>#REF!</v>
      </c>
      <c r="FL279" t="e">
        <f>AND(#REF!,"AAAAAD9fz6c=")</f>
        <v>#REF!</v>
      </c>
      <c r="FM279" t="e">
        <f>AND(#REF!,"AAAAAD9fz6g=")</f>
        <v>#REF!</v>
      </c>
      <c r="FN279" t="e">
        <f>AND(#REF!,"AAAAAD9fz6k=")</f>
        <v>#REF!</v>
      </c>
      <c r="FO279" t="e">
        <f>AND(#REF!,"AAAAAD9fz6o=")</f>
        <v>#REF!</v>
      </c>
      <c r="FP279" t="e">
        <f>AND(#REF!,"AAAAAD9fz6s=")</f>
        <v>#REF!</v>
      </c>
      <c r="FQ279" t="e">
        <f>AND(#REF!,"AAAAAD9fz6w=")</f>
        <v>#REF!</v>
      </c>
      <c r="FR279" t="e">
        <f>AND(#REF!,"AAAAAD9fz60=")</f>
        <v>#REF!</v>
      </c>
      <c r="FS279" t="e">
        <f>IF(#REF!,"AAAAAD9fz64=",0)</f>
        <v>#REF!</v>
      </c>
      <c r="FT279" t="e">
        <f>AND(#REF!,"AAAAAD9fz68=")</f>
        <v>#REF!</v>
      </c>
      <c r="FU279" t="e">
        <f>AND(#REF!,"AAAAAD9fz7A=")</f>
        <v>#REF!</v>
      </c>
      <c r="FV279" t="e">
        <f>AND(#REF!,"AAAAAD9fz7E=")</f>
        <v>#REF!</v>
      </c>
      <c r="FW279" t="e">
        <f>AND(#REF!,"AAAAAD9fz7I=")</f>
        <v>#REF!</v>
      </c>
      <c r="FX279" t="e">
        <f>AND(#REF!,"AAAAAD9fz7M=")</f>
        <v>#REF!</v>
      </c>
      <c r="FY279" t="e">
        <f>AND(#REF!,"AAAAAD9fz7Q=")</f>
        <v>#REF!</v>
      </c>
      <c r="FZ279" t="e">
        <f>AND(#REF!,"AAAAAD9fz7U=")</f>
        <v>#REF!</v>
      </c>
      <c r="GA279" t="e">
        <f>AND(#REF!,"AAAAAD9fz7Y=")</f>
        <v>#REF!</v>
      </c>
      <c r="GB279" t="e">
        <f>AND(#REF!,"AAAAAD9fz7c=")</f>
        <v>#REF!</v>
      </c>
      <c r="GC279" t="e">
        <f>AND(#REF!,"AAAAAD9fz7g=")</f>
        <v>#REF!</v>
      </c>
      <c r="GD279" t="e">
        <f>IF(#REF!,"AAAAAD9fz7k=",0)</f>
        <v>#REF!</v>
      </c>
      <c r="GE279" t="e">
        <f>AND(#REF!,"AAAAAD9fz7o=")</f>
        <v>#REF!</v>
      </c>
      <c r="GF279" t="e">
        <f>AND(#REF!,"AAAAAD9fz7s=")</f>
        <v>#REF!</v>
      </c>
      <c r="GG279" t="e">
        <f>AND(#REF!,"AAAAAD9fz7w=")</f>
        <v>#REF!</v>
      </c>
      <c r="GH279" t="e">
        <f>AND(#REF!,"AAAAAD9fz70=")</f>
        <v>#REF!</v>
      </c>
      <c r="GI279" t="e">
        <f>AND(#REF!,"AAAAAD9fz74=")</f>
        <v>#REF!</v>
      </c>
      <c r="GJ279" t="e">
        <f>AND(#REF!,"AAAAAD9fz78=")</f>
        <v>#REF!</v>
      </c>
      <c r="GK279" t="e">
        <f>AND(#REF!,"AAAAAD9fz8A=")</f>
        <v>#REF!</v>
      </c>
      <c r="GL279" t="e">
        <f>AND(#REF!,"AAAAAD9fz8E=")</f>
        <v>#REF!</v>
      </c>
      <c r="GM279" t="e">
        <f>AND(#REF!,"AAAAAD9fz8I=")</f>
        <v>#REF!</v>
      </c>
      <c r="GN279" t="e">
        <f>AND(#REF!,"AAAAAD9fz8M=")</f>
        <v>#REF!</v>
      </c>
      <c r="GO279" t="e">
        <f>IF(#REF!,"AAAAAD9fz8Q=",0)</f>
        <v>#REF!</v>
      </c>
      <c r="GP279" t="e">
        <f>AND(#REF!,"AAAAAD9fz8U=")</f>
        <v>#REF!</v>
      </c>
      <c r="GQ279" t="e">
        <f>AND(#REF!,"AAAAAD9fz8Y=")</f>
        <v>#REF!</v>
      </c>
      <c r="GR279" t="e">
        <f>AND(#REF!,"AAAAAD9fz8c=")</f>
        <v>#REF!</v>
      </c>
      <c r="GS279" t="e">
        <f>AND(#REF!,"AAAAAD9fz8g=")</f>
        <v>#REF!</v>
      </c>
      <c r="GT279" t="e">
        <f>AND(#REF!,"AAAAAD9fz8k=")</f>
        <v>#REF!</v>
      </c>
      <c r="GU279" t="e">
        <f>AND(#REF!,"AAAAAD9fz8o=")</f>
        <v>#REF!</v>
      </c>
      <c r="GV279" t="e">
        <f>AND(#REF!,"AAAAAD9fz8s=")</f>
        <v>#REF!</v>
      </c>
      <c r="GW279" t="e">
        <f>AND(#REF!,"AAAAAD9fz8w=")</f>
        <v>#REF!</v>
      </c>
      <c r="GX279" t="e">
        <f>AND(#REF!,"AAAAAD9fz80=")</f>
        <v>#REF!</v>
      </c>
      <c r="GY279" t="e">
        <f>AND(#REF!,"AAAAAD9fz84=")</f>
        <v>#REF!</v>
      </c>
      <c r="GZ279" t="e">
        <f>IF(#REF!,"AAAAAD9fz88=",0)</f>
        <v>#REF!</v>
      </c>
      <c r="HA279" t="e">
        <f>AND(#REF!,"AAAAAD9fz9A=")</f>
        <v>#REF!</v>
      </c>
      <c r="HB279" t="e">
        <f>AND(#REF!,"AAAAAD9fz9E=")</f>
        <v>#REF!</v>
      </c>
      <c r="HC279" t="e">
        <f>AND(#REF!,"AAAAAD9fz9I=")</f>
        <v>#REF!</v>
      </c>
      <c r="HD279" t="e">
        <f>AND(#REF!,"AAAAAD9fz9M=")</f>
        <v>#REF!</v>
      </c>
      <c r="HE279" t="e">
        <f>AND(#REF!,"AAAAAD9fz9Q=")</f>
        <v>#REF!</v>
      </c>
      <c r="HF279" t="e">
        <f>AND(#REF!,"AAAAAD9fz9U=")</f>
        <v>#REF!</v>
      </c>
      <c r="HG279" t="e">
        <f>AND(#REF!,"AAAAAD9fz9Y=")</f>
        <v>#REF!</v>
      </c>
      <c r="HH279" t="e">
        <f>AND(#REF!,"AAAAAD9fz9c=")</f>
        <v>#REF!</v>
      </c>
      <c r="HI279" t="e">
        <f>AND(#REF!,"AAAAAD9fz9g=")</f>
        <v>#REF!</v>
      </c>
      <c r="HJ279" t="e">
        <f>AND(#REF!,"AAAAAD9fz9k=")</f>
        <v>#REF!</v>
      </c>
      <c r="HK279" t="e">
        <f>IF(#REF!,"AAAAAD9fz9o=",0)</f>
        <v>#REF!</v>
      </c>
      <c r="HL279" t="e">
        <f>AND(#REF!,"AAAAAD9fz9s=")</f>
        <v>#REF!</v>
      </c>
      <c r="HM279" t="e">
        <f>AND(#REF!,"AAAAAD9fz9w=")</f>
        <v>#REF!</v>
      </c>
      <c r="HN279" t="e">
        <f>AND(#REF!,"AAAAAD9fz90=")</f>
        <v>#REF!</v>
      </c>
      <c r="HO279" t="e">
        <f>AND(#REF!,"AAAAAD9fz94=")</f>
        <v>#REF!</v>
      </c>
      <c r="HP279" t="e">
        <f>AND(#REF!,"AAAAAD9fz98=")</f>
        <v>#REF!</v>
      </c>
      <c r="HQ279" t="e">
        <f>AND(#REF!,"AAAAAD9fz+A=")</f>
        <v>#REF!</v>
      </c>
      <c r="HR279" t="e">
        <f>AND(#REF!,"AAAAAD9fz+E=")</f>
        <v>#REF!</v>
      </c>
      <c r="HS279" t="e">
        <f>AND(#REF!,"AAAAAD9fz+I=")</f>
        <v>#REF!</v>
      </c>
      <c r="HT279" t="e">
        <f>AND(#REF!,"AAAAAD9fz+M=")</f>
        <v>#REF!</v>
      </c>
      <c r="HU279" t="e">
        <f>AND(#REF!,"AAAAAD9fz+Q=")</f>
        <v>#REF!</v>
      </c>
      <c r="HV279" t="e">
        <f>IF(#REF!,"AAAAAD9fz+U=",0)</f>
        <v>#REF!</v>
      </c>
      <c r="HW279" t="e">
        <f>AND(#REF!,"AAAAAD9fz+Y=")</f>
        <v>#REF!</v>
      </c>
      <c r="HX279" t="e">
        <f>AND(#REF!,"AAAAAD9fz+c=")</f>
        <v>#REF!</v>
      </c>
      <c r="HY279" t="e">
        <f>AND(#REF!,"AAAAAD9fz+g=")</f>
        <v>#REF!</v>
      </c>
      <c r="HZ279" t="e">
        <f>AND(#REF!,"AAAAAD9fz+k=")</f>
        <v>#REF!</v>
      </c>
      <c r="IA279" t="e">
        <f>AND(#REF!,"AAAAAD9fz+o=")</f>
        <v>#REF!</v>
      </c>
      <c r="IB279" t="e">
        <f>AND(#REF!,"AAAAAD9fz+s=")</f>
        <v>#REF!</v>
      </c>
      <c r="IC279" t="e">
        <f>AND(#REF!,"AAAAAD9fz+w=")</f>
        <v>#REF!</v>
      </c>
      <c r="ID279" t="e">
        <f>AND(#REF!,"AAAAAD9fz+0=")</f>
        <v>#REF!</v>
      </c>
      <c r="IE279" t="e">
        <f>AND(#REF!,"AAAAAD9fz+4=")</f>
        <v>#REF!</v>
      </c>
      <c r="IF279" t="e">
        <f>AND(#REF!,"AAAAAD9fz+8=")</f>
        <v>#REF!</v>
      </c>
      <c r="IG279" t="e">
        <f>IF(#REF!,"AAAAAD9fz/A=",0)</f>
        <v>#REF!</v>
      </c>
      <c r="IH279" t="e">
        <f>AND(#REF!,"AAAAAD9fz/E=")</f>
        <v>#REF!</v>
      </c>
      <c r="II279" t="e">
        <f>AND(#REF!,"AAAAAD9fz/I=")</f>
        <v>#REF!</v>
      </c>
      <c r="IJ279" t="e">
        <f>AND(#REF!,"AAAAAD9fz/M=")</f>
        <v>#REF!</v>
      </c>
      <c r="IK279" t="e">
        <f>AND(#REF!,"AAAAAD9fz/Q=")</f>
        <v>#REF!</v>
      </c>
      <c r="IL279" t="e">
        <f>AND(#REF!,"AAAAAD9fz/U=")</f>
        <v>#REF!</v>
      </c>
      <c r="IM279" t="e">
        <f>AND(#REF!,"AAAAAD9fz/Y=")</f>
        <v>#REF!</v>
      </c>
      <c r="IN279" t="e">
        <f>AND(#REF!,"AAAAAD9fz/c=")</f>
        <v>#REF!</v>
      </c>
      <c r="IO279" t="e">
        <f>AND(#REF!,"AAAAAD9fz/g=")</f>
        <v>#REF!</v>
      </c>
      <c r="IP279" t="e">
        <f>AND(#REF!,"AAAAAD9fz/k=")</f>
        <v>#REF!</v>
      </c>
      <c r="IQ279" t="e">
        <f>AND(#REF!,"AAAAAD9fz/o=")</f>
        <v>#REF!</v>
      </c>
      <c r="IR279" t="e">
        <f>IF(#REF!,"AAAAAD9fz/s=",0)</f>
        <v>#REF!</v>
      </c>
      <c r="IS279" t="e">
        <f>AND(#REF!,"AAAAAD9fz/w=")</f>
        <v>#REF!</v>
      </c>
      <c r="IT279" t="e">
        <f>AND(#REF!,"AAAAAD9fz/0=")</f>
        <v>#REF!</v>
      </c>
      <c r="IU279" t="e">
        <f>AND(#REF!,"AAAAAD9fz/4=")</f>
        <v>#REF!</v>
      </c>
      <c r="IV279" t="e">
        <f>AND(#REF!,"AAAAAD9fz/8=")</f>
        <v>#REF!</v>
      </c>
    </row>
    <row r="280" spans="1:256" x14ac:dyDescent="0.25">
      <c r="A280" t="e">
        <f>AND(#REF!,"AAAAAHN14QA=")</f>
        <v>#REF!</v>
      </c>
      <c r="B280" t="e">
        <f>AND(#REF!,"AAAAAHN14QE=")</f>
        <v>#REF!</v>
      </c>
      <c r="C280" t="e">
        <f>AND(#REF!,"AAAAAHN14QI=")</f>
        <v>#REF!</v>
      </c>
      <c r="D280" t="e">
        <f>AND(#REF!,"AAAAAHN14QM=")</f>
        <v>#REF!</v>
      </c>
      <c r="E280" t="e">
        <f>AND(#REF!,"AAAAAHN14QQ=")</f>
        <v>#REF!</v>
      </c>
      <c r="F280" t="e">
        <f>AND(#REF!,"AAAAAHN14QU=")</f>
        <v>#REF!</v>
      </c>
      <c r="G280" t="e">
        <f>IF(#REF!,"AAAAAHN14QY=",0)</f>
        <v>#REF!</v>
      </c>
      <c r="H280" t="e">
        <f>AND(#REF!,"AAAAAHN14Qc=")</f>
        <v>#REF!</v>
      </c>
      <c r="I280" t="e">
        <f>AND(#REF!,"AAAAAHN14Qg=")</f>
        <v>#REF!</v>
      </c>
      <c r="J280" t="e">
        <f>AND(#REF!,"AAAAAHN14Qk=")</f>
        <v>#REF!</v>
      </c>
      <c r="K280" t="e">
        <f>AND(#REF!,"AAAAAHN14Qo=")</f>
        <v>#REF!</v>
      </c>
      <c r="L280" t="e">
        <f>AND(#REF!,"AAAAAHN14Qs=")</f>
        <v>#REF!</v>
      </c>
      <c r="M280" t="e">
        <f>AND(#REF!,"AAAAAHN14Qw=")</f>
        <v>#REF!</v>
      </c>
      <c r="N280" t="e">
        <f>AND(#REF!,"AAAAAHN14Q0=")</f>
        <v>#REF!</v>
      </c>
      <c r="O280" t="e">
        <f>AND(#REF!,"AAAAAHN14Q4=")</f>
        <v>#REF!</v>
      </c>
      <c r="P280" t="e">
        <f>AND(#REF!,"AAAAAHN14Q8=")</f>
        <v>#REF!</v>
      </c>
      <c r="Q280" t="e">
        <f>AND(#REF!,"AAAAAHN14RA=")</f>
        <v>#REF!</v>
      </c>
      <c r="R280" t="e">
        <f>IF(#REF!,"AAAAAHN14RE=",0)</f>
        <v>#REF!</v>
      </c>
      <c r="S280" t="e">
        <f>AND(#REF!,"AAAAAHN14RI=")</f>
        <v>#REF!</v>
      </c>
      <c r="T280" t="e">
        <f>AND(#REF!,"AAAAAHN14RM=")</f>
        <v>#REF!</v>
      </c>
      <c r="U280" t="e">
        <f>AND(#REF!,"AAAAAHN14RQ=")</f>
        <v>#REF!</v>
      </c>
      <c r="V280" t="e">
        <f>AND(#REF!,"AAAAAHN14RU=")</f>
        <v>#REF!</v>
      </c>
      <c r="W280" t="e">
        <f>AND(#REF!,"AAAAAHN14RY=")</f>
        <v>#REF!</v>
      </c>
      <c r="X280" t="e">
        <f>AND(#REF!,"AAAAAHN14Rc=")</f>
        <v>#REF!</v>
      </c>
      <c r="Y280" t="e">
        <f>AND(#REF!,"AAAAAHN14Rg=")</f>
        <v>#REF!</v>
      </c>
      <c r="Z280" t="e">
        <f>AND(#REF!,"AAAAAHN14Rk=")</f>
        <v>#REF!</v>
      </c>
      <c r="AA280" t="e">
        <f>AND(#REF!,"AAAAAHN14Ro=")</f>
        <v>#REF!</v>
      </c>
      <c r="AB280" t="e">
        <f>AND(#REF!,"AAAAAHN14Rs=")</f>
        <v>#REF!</v>
      </c>
      <c r="AC280" t="e">
        <f>IF(#REF!,"AAAAAHN14Rw=",0)</f>
        <v>#REF!</v>
      </c>
      <c r="AD280" t="e">
        <f>AND(#REF!,"AAAAAHN14R0=")</f>
        <v>#REF!</v>
      </c>
      <c r="AE280" t="e">
        <f>AND(#REF!,"AAAAAHN14R4=")</f>
        <v>#REF!</v>
      </c>
      <c r="AF280" t="e">
        <f>AND(#REF!,"AAAAAHN14R8=")</f>
        <v>#REF!</v>
      </c>
      <c r="AG280" t="e">
        <f>AND(#REF!,"AAAAAHN14SA=")</f>
        <v>#REF!</v>
      </c>
      <c r="AH280" t="e">
        <f>AND(#REF!,"AAAAAHN14SE=")</f>
        <v>#REF!</v>
      </c>
      <c r="AI280" t="e">
        <f>AND(#REF!,"AAAAAHN14SI=")</f>
        <v>#REF!</v>
      </c>
      <c r="AJ280" t="e">
        <f>AND(#REF!,"AAAAAHN14SM=")</f>
        <v>#REF!</v>
      </c>
      <c r="AK280" t="e">
        <f>AND(#REF!,"AAAAAHN14SQ=")</f>
        <v>#REF!</v>
      </c>
      <c r="AL280" t="e">
        <f>AND(#REF!,"AAAAAHN14SU=")</f>
        <v>#REF!</v>
      </c>
      <c r="AM280" t="e">
        <f>AND(#REF!,"AAAAAHN14SY=")</f>
        <v>#REF!</v>
      </c>
      <c r="AN280" t="e">
        <f>IF(#REF!,"AAAAAHN14Sc=",0)</f>
        <v>#REF!</v>
      </c>
      <c r="AO280" t="e">
        <f>AND(#REF!,"AAAAAHN14Sg=")</f>
        <v>#REF!</v>
      </c>
      <c r="AP280" t="e">
        <f>AND(#REF!,"AAAAAHN14Sk=")</f>
        <v>#REF!</v>
      </c>
      <c r="AQ280" t="e">
        <f>AND(#REF!,"AAAAAHN14So=")</f>
        <v>#REF!</v>
      </c>
      <c r="AR280" t="e">
        <f>AND(#REF!,"AAAAAHN14Ss=")</f>
        <v>#REF!</v>
      </c>
      <c r="AS280" t="e">
        <f>AND(#REF!,"AAAAAHN14Sw=")</f>
        <v>#REF!</v>
      </c>
      <c r="AT280" t="e">
        <f>AND(#REF!,"AAAAAHN14S0=")</f>
        <v>#REF!</v>
      </c>
      <c r="AU280" t="e">
        <f>AND(#REF!,"AAAAAHN14S4=")</f>
        <v>#REF!</v>
      </c>
      <c r="AV280" t="e">
        <f>AND(#REF!,"AAAAAHN14S8=")</f>
        <v>#REF!</v>
      </c>
      <c r="AW280" t="e">
        <f>AND(#REF!,"AAAAAHN14TA=")</f>
        <v>#REF!</v>
      </c>
      <c r="AX280" t="e">
        <f>AND(#REF!,"AAAAAHN14TE=")</f>
        <v>#REF!</v>
      </c>
      <c r="AY280" t="e">
        <f>IF(#REF!,"AAAAAHN14TI=",0)</f>
        <v>#REF!</v>
      </c>
      <c r="AZ280" t="e">
        <f>AND(#REF!,"AAAAAHN14TM=")</f>
        <v>#REF!</v>
      </c>
      <c r="BA280" t="e">
        <f>AND(#REF!,"AAAAAHN14TQ=")</f>
        <v>#REF!</v>
      </c>
      <c r="BB280" t="e">
        <f>AND(#REF!,"AAAAAHN14TU=")</f>
        <v>#REF!</v>
      </c>
      <c r="BC280" t="e">
        <f>AND(#REF!,"AAAAAHN14TY=")</f>
        <v>#REF!</v>
      </c>
      <c r="BD280" t="e">
        <f>AND(#REF!,"AAAAAHN14Tc=")</f>
        <v>#REF!</v>
      </c>
      <c r="BE280" t="e">
        <f>AND(#REF!,"AAAAAHN14Tg=")</f>
        <v>#REF!</v>
      </c>
      <c r="BF280" t="e">
        <f>AND(#REF!,"AAAAAHN14Tk=")</f>
        <v>#REF!</v>
      </c>
      <c r="BG280" t="e">
        <f>AND(#REF!,"AAAAAHN14To=")</f>
        <v>#REF!</v>
      </c>
      <c r="BH280" t="e">
        <f>AND(#REF!,"AAAAAHN14Ts=")</f>
        <v>#REF!</v>
      </c>
      <c r="BI280" t="e">
        <f>AND(#REF!,"AAAAAHN14Tw=")</f>
        <v>#REF!</v>
      </c>
      <c r="BJ280" t="e">
        <f>IF(#REF!,"AAAAAHN14T0=",0)</f>
        <v>#REF!</v>
      </c>
      <c r="BK280" t="e">
        <f>AND(#REF!,"AAAAAHN14T4=")</f>
        <v>#REF!</v>
      </c>
      <c r="BL280" t="e">
        <f>AND(#REF!,"AAAAAHN14T8=")</f>
        <v>#REF!</v>
      </c>
      <c r="BM280" t="e">
        <f>AND(#REF!,"AAAAAHN14UA=")</f>
        <v>#REF!</v>
      </c>
      <c r="BN280" t="e">
        <f>AND(#REF!,"AAAAAHN14UE=")</f>
        <v>#REF!</v>
      </c>
      <c r="BO280" t="e">
        <f>AND(#REF!,"AAAAAHN14UI=")</f>
        <v>#REF!</v>
      </c>
      <c r="BP280" t="e">
        <f>AND(#REF!,"AAAAAHN14UM=")</f>
        <v>#REF!</v>
      </c>
      <c r="BQ280" t="e">
        <f>AND(#REF!,"AAAAAHN14UQ=")</f>
        <v>#REF!</v>
      </c>
      <c r="BR280" t="e">
        <f>AND(#REF!,"AAAAAHN14UU=")</f>
        <v>#REF!</v>
      </c>
      <c r="BS280" t="e">
        <f>AND(#REF!,"AAAAAHN14UY=")</f>
        <v>#REF!</v>
      </c>
      <c r="BT280" t="e">
        <f>AND(#REF!,"AAAAAHN14Uc=")</f>
        <v>#REF!</v>
      </c>
      <c r="BU280" t="e">
        <f>IF(#REF!,"AAAAAHN14Ug=",0)</f>
        <v>#REF!</v>
      </c>
      <c r="BV280" t="e">
        <f>AND(#REF!,"AAAAAHN14Uk=")</f>
        <v>#REF!</v>
      </c>
      <c r="BW280" t="e">
        <f>AND(#REF!,"AAAAAHN14Uo=")</f>
        <v>#REF!</v>
      </c>
      <c r="BX280" t="e">
        <f>AND(#REF!,"AAAAAHN14Us=")</f>
        <v>#REF!</v>
      </c>
      <c r="BY280" t="e">
        <f>AND(#REF!,"AAAAAHN14Uw=")</f>
        <v>#REF!</v>
      </c>
      <c r="BZ280" t="e">
        <f>AND(#REF!,"AAAAAHN14U0=")</f>
        <v>#REF!</v>
      </c>
      <c r="CA280" t="e">
        <f>AND(#REF!,"AAAAAHN14U4=")</f>
        <v>#REF!</v>
      </c>
      <c r="CB280" t="e">
        <f>AND(#REF!,"AAAAAHN14U8=")</f>
        <v>#REF!</v>
      </c>
      <c r="CC280" t="e">
        <f>AND(#REF!,"AAAAAHN14VA=")</f>
        <v>#REF!</v>
      </c>
      <c r="CD280" t="e">
        <f>AND(#REF!,"AAAAAHN14VE=")</f>
        <v>#REF!</v>
      </c>
      <c r="CE280" t="e">
        <f>AND(#REF!,"AAAAAHN14VI=")</f>
        <v>#REF!</v>
      </c>
      <c r="CF280" t="e">
        <f>IF(#REF!,"AAAAAHN14VM=",0)</f>
        <v>#REF!</v>
      </c>
      <c r="CG280" t="e">
        <f>AND(#REF!,"AAAAAHN14VQ=")</f>
        <v>#REF!</v>
      </c>
      <c r="CH280" t="e">
        <f>AND(#REF!,"AAAAAHN14VU=")</f>
        <v>#REF!</v>
      </c>
      <c r="CI280" t="e">
        <f>AND(#REF!,"AAAAAHN14VY=")</f>
        <v>#REF!</v>
      </c>
      <c r="CJ280" t="e">
        <f>AND(#REF!,"AAAAAHN14Vc=")</f>
        <v>#REF!</v>
      </c>
      <c r="CK280" t="e">
        <f>AND(#REF!,"AAAAAHN14Vg=")</f>
        <v>#REF!</v>
      </c>
      <c r="CL280" t="e">
        <f>AND(#REF!,"AAAAAHN14Vk=")</f>
        <v>#REF!</v>
      </c>
      <c r="CM280" t="e">
        <f>AND(#REF!,"AAAAAHN14Vo=")</f>
        <v>#REF!</v>
      </c>
      <c r="CN280" t="e">
        <f>AND(#REF!,"AAAAAHN14Vs=")</f>
        <v>#REF!</v>
      </c>
      <c r="CO280" t="e">
        <f>AND(#REF!,"AAAAAHN14Vw=")</f>
        <v>#REF!</v>
      </c>
      <c r="CP280" t="e">
        <f>AND(#REF!,"AAAAAHN14V0=")</f>
        <v>#REF!</v>
      </c>
      <c r="CQ280" t="e">
        <f>IF(#REF!,"AAAAAHN14V4=",0)</f>
        <v>#REF!</v>
      </c>
      <c r="CR280" t="e">
        <f>AND(#REF!,"AAAAAHN14V8=")</f>
        <v>#REF!</v>
      </c>
      <c r="CS280" t="e">
        <f>AND(#REF!,"AAAAAHN14WA=")</f>
        <v>#REF!</v>
      </c>
      <c r="CT280" t="e">
        <f>AND(#REF!,"AAAAAHN14WE=")</f>
        <v>#REF!</v>
      </c>
      <c r="CU280" t="e">
        <f>AND(#REF!,"AAAAAHN14WI=")</f>
        <v>#REF!</v>
      </c>
      <c r="CV280" t="e">
        <f>AND(#REF!,"AAAAAHN14WM=")</f>
        <v>#REF!</v>
      </c>
      <c r="CW280" t="e">
        <f>AND(#REF!,"AAAAAHN14WQ=")</f>
        <v>#REF!</v>
      </c>
      <c r="CX280" t="e">
        <f>AND(#REF!,"AAAAAHN14WU=")</f>
        <v>#REF!</v>
      </c>
      <c r="CY280" t="e">
        <f>AND(#REF!,"AAAAAHN14WY=")</f>
        <v>#REF!</v>
      </c>
      <c r="CZ280" t="e">
        <f>AND(#REF!,"AAAAAHN14Wc=")</f>
        <v>#REF!</v>
      </c>
      <c r="DA280" t="e">
        <f>AND(#REF!,"AAAAAHN14Wg=")</f>
        <v>#REF!</v>
      </c>
      <c r="DB280" t="e">
        <f>IF(#REF!,"AAAAAHN14Wk=",0)</f>
        <v>#REF!</v>
      </c>
      <c r="DC280" t="e">
        <f>AND(#REF!,"AAAAAHN14Wo=")</f>
        <v>#REF!</v>
      </c>
      <c r="DD280" t="e">
        <f>AND(#REF!,"AAAAAHN14Ws=")</f>
        <v>#REF!</v>
      </c>
      <c r="DE280" t="e">
        <f>AND(#REF!,"AAAAAHN14Ww=")</f>
        <v>#REF!</v>
      </c>
      <c r="DF280" t="e">
        <f>AND(#REF!,"AAAAAHN14W0=")</f>
        <v>#REF!</v>
      </c>
      <c r="DG280" t="e">
        <f>AND(#REF!,"AAAAAHN14W4=")</f>
        <v>#REF!</v>
      </c>
      <c r="DH280" t="e">
        <f>AND(#REF!,"AAAAAHN14W8=")</f>
        <v>#REF!</v>
      </c>
      <c r="DI280" t="e">
        <f>AND(#REF!,"AAAAAHN14XA=")</f>
        <v>#REF!</v>
      </c>
      <c r="DJ280" t="e">
        <f>AND(#REF!,"AAAAAHN14XE=")</f>
        <v>#REF!</v>
      </c>
      <c r="DK280" t="e">
        <f>AND(#REF!,"AAAAAHN14XI=")</f>
        <v>#REF!</v>
      </c>
      <c r="DL280" t="e">
        <f>AND(#REF!,"AAAAAHN14XM=")</f>
        <v>#REF!</v>
      </c>
      <c r="DM280" t="e">
        <f>IF(#REF!,"AAAAAHN14XQ=",0)</f>
        <v>#REF!</v>
      </c>
      <c r="DN280" t="e">
        <f>AND(#REF!,"AAAAAHN14XU=")</f>
        <v>#REF!</v>
      </c>
      <c r="DO280" t="e">
        <f>AND(#REF!,"AAAAAHN14XY=")</f>
        <v>#REF!</v>
      </c>
      <c r="DP280" t="e">
        <f>AND(#REF!,"AAAAAHN14Xc=")</f>
        <v>#REF!</v>
      </c>
      <c r="DQ280" t="e">
        <f>AND(#REF!,"AAAAAHN14Xg=")</f>
        <v>#REF!</v>
      </c>
      <c r="DR280" t="e">
        <f>AND(#REF!,"AAAAAHN14Xk=")</f>
        <v>#REF!</v>
      </c>
      <c r="DS280" t="e">
        <f>AND(#REF!,"AAAAAHN14Xo=")</f>
        <v>#REF!</v>
      </c>
      <c r="DT280" t="e">
        <f>AND(#REF!,"AAAAAHN14Xs=")</f>
        <v>#REF!</v>
      </c>
      <c r="DU280" t="e">
        <f>AND(#REF!,"AAAAAHN14Xw=")</f>
        <v>#REF!</v>
      </c>
      <c r="DV280" t="e">
        <f>AND(#REF!,"AAAAAHN14X0=")</f>
        <v>#REF!</v>
      </c>
      <c r="DW280" t="e">
        <f>AND(#REF!,"AAAAAHN14X4=")</f>
        <v>#REF!</v>
      </c>
      <c r="DX280" t="e">
        <f>IF(#REF!,"AAAAAHN14X8=",0)</f>
        <v>#REF!</v>
      </c>
      <c r="DY280" t="e">
        <f>AND(#REF!,"AAAAAHN14YA=")</f>
        <v>#REF!</v>
      </c>
      <c r="DZ280" t="e">
        <f>AND(#REF!,"AAAAAHN14YE=")</f>
        <v>#REF!</v>
      </c>
      <c r="EA280" t="e">
        <f>AND(#REF!,"AAAAAHN14YI=")</f>
        <v>#REF!</v>
      </c>
      <c r="EB280" t="e">
        <f>AND(#REF!,"AAAAAHN14YM=")</f>
        <v>#REF!</v>
      </c>
      <c r="EC280" t="e">
        <f>AND(#REF!,"AAAAAHN14YQ=")</f>
        <v>#REF!</v>
      </c>
      <c r="ED280" t="e">
        <f>AND(#REF!,"AAAAAHN14YU=")</f>
        <v>#REF!</v>
      </c>
      <c r="EE280" t="e">
        <f>AND(#REF!,"AAAAAHN14YY=")</f>
        <v>#REF!</v>
      </c>
      <c r="EF280" t="e">
        <f>AND(#REF!,"AAAAAHN14Yc=")</f>
        <v>#REF!</v>
      </c>
      <c r="EG280" t="e">
        <f>AND(#REF!,"AAAAAHN14Yg=")</f>
        <v>#REF!</v>
      </c>
      <c r="EH280" t="e">
        <f>AND(#REF!,"AAAAAHN14Yk=")</f>
        <v>#REF!</v>
      </c>
      <c r="EI280" t="e">
        <f>IF(#REF!,"AAAAAHN14Yo=",0)</f>
        <v>#REF!</v>
      </c>
      <c r="EJ280" t="e">
        <f>AND(#REF!,"AAAAAHN14Ys=")</f>
        <v>#REF!</v>
      </c>
      <c r="EK280" t="e">
        <f>AND(#REF!,"AAAAAHN14Yw=")</f>
        <v>#REF!</v>
      </c>
      <c r="EL280" t="e">
        <f>AND(#REF!,"AAAAAHN14Y0=")</f>
        <v>#REF!</v>
      </c>
      <c r="EM280" t="e">
        <f>AND(#REF!,"AAAAAHN14Y4=")</f>
        <v>#REF!</v>
      </c>
      <c r="EN280" t="e">
        <f>AND(#REF!,"AAAAAHN14Y8=")</f>
        <v>#REF!</v>
      </c>
      <c r="EO280" t="e">
        <f>AND(#REF!,"AAAAAHN14ZA=")</f>
        <v>#REF!</v>
      </c>
      <c r="EP280" t="e">
        <f>AND(#REF!,"AAAAAHN14ZE=")</f>
        <v>#REF!</v>
      </c>
      <c r="EQ280" t="e">
        <f>AND(#REF!,"AAAAAHN14ZI=")</f>
        <v>#REF!</v>
      </c>
      <c r="ER280" t="e">
        <f>AND(#REF!,"AAAAAHN14ZM=")</f>
        <v>#REF!</v>
      </c>
      <c r="ES280" t="e">
        <f>AND(#REF!,"AAAAAHN14ZQ=")</f>
        <v>#REF!</v>
      </c>
      <c r="ET280" t="e">
        <f>IF(#REF!,"AAAAAHN14ZU=",0)</f>
        <v>#REF!</v>
      </c>
      <c r="EU280" t="e">
        <f>AND(#REF!,"AAAAAHN14ZY=")</f>
        <v>#REF!</v>
      </c>
      <c r="EV280" t="e">
        <f>AND(#REF!,"AAAAAHN14Zc=")</f>
        <v>#REF!</v>
      </c>
      <c r="EW280" t="e">
        <f>AND(#REF!,"AAAAAHN14Zg=")</f>
        <v>#REF!</v>
      </c>
      <c r="EX280" t="e">
        <f>AND(#REF!,"AAAAAHN14Zk=")</f>
        <v>#REF!</v>
      </c>
      <c r="EY280" t="e">
        <f>AND(#REF!,"AAAAAHN14Zo=")</f>
        <v>#REF!</v>
      </c>
      <c r="EZ280" t="e">
        <f>AND(#REF!,"AAAAAHN14Zs=")</f>
        <v>#REF!</v>
      </c>
      <c r="FA280" t="e">
        <f>AND(#REF!,"AAAAAHN14Zw=")</f>
        <v>#REF!</v>
      </c>
      <c r="FB280" t="e">
        <f>AND(#REF!,"AAAAAHN14Z0=")</f>
        <v>#REF!</v>
      </c>
      <c r="FC280" t="e">
        <f>AND(#REF!,"AAAAAHN14Z4=")</f>
        <v>#REF!</v>
      </c>
      <c r="FD280" t="e">
        <f>AND(#REF!,"AAAAAHN14Z8=")</f>
        <v>#REF!</v>
      </c>
      <c r="FE280" t="e">
        <f>IF(#REF!,"AAAAAHN14aA=",0)</f>
        <v>#REF!</v>
      </c>
      <c r="FF280" t="e">
        <f>AND(#REF!,"AAAAAHN14aE=")</f>
        <v>#REF!</v>
      </c>
      <c r="FG280" t="e">
        <f>AND(#REF!,"AAAAAHN14aI=")</f>
        <v>#REF!</v>
      </c>
      <c r="FH280" t="e">
        <f>AND(#REF!,"AAAAAHN14aM=")</f>
        <v>#REF!</v>
      </c>
      <c r="FI280" t="e">
        <f>AND(#REF!,"AAAAAHN14aQ=")</f>
        <v>#REF!</v>
      </c>
      <c r="FJ280" t="e">
        <f>AND(#REF!,"AAAAAHN14aU=")</f>
        <v>#REF!</v>
      </c>
      <c r="FK280" t="e">
        <f>AND(#REF!,"AAAAAHN14aY=")</f>
        <v>#REF!</v>
      </c>
      <c r="FL280" t="e">
        <f>AND(#REF!,"AAAAAHN14ac=")</f>
        <v>#REF!</v>
      </c>
      <c r="FM280" t="e">
        <f>AND(#REF!,"AAAAAHN14ag=")</f>
        <v>#REF!</v>
      </c>
      <c r="FN280" t="e">
        <f>AND(#REF!,"AAAAAHN14ak=")</f>
        <v>#REF!</v>
      </c>
      <c r="FO280" t="e">
        <f>AND(#REF!,"AAAAAHN14ao=")</f>
        <v>#REF!</v>
      </c>
      <c r="FP280" t="e">
        <f>IF(#REF!,"AAAAAHN14as=",0)</f>
        <v>#REF!</v>
      </c>
      <c r="FQ280" t="e">
        <f>AND(#REF!,"AAAAAHN14aw=")</f>
        <v>#REF!</v>
      </c>
      <c r="FR280" t="e">
        <f>AND(#REF!,"AAAAAHN14a0=")</f>
        <v>#REF!</v>
      </c>
      <c r="FS280" t="e">
        <f>AND(#REF!,"AAAAAHN14a4=")</f>
        <v>#REF!</v>
      </c>
      <c r="FT280" t="e">
        <f>AND(#REF!,"AAAAAHN14a8=")</f>
        <v>#REF!</v>
      </c>
      <c r="FU280" t="e">
        <f>AND(#REF!,"AAAAAHN14bA=")</f>
        <v>#REF!</v>
      </c>
      <c r="FV280" t="e">
        <f>AND(#REF!,"AAAAAHN14bE=")</f>
        <v>#REF!</v>
      </c>
      <c r="FW280" t="e">
        <f>AND(#REF!,"AAAAAHN14bI=")</f>
        <v>#REF!</v>
      </c>
      <c r="FX280" t="e">
        <f>AND(#REF!,"AAAAAHN14bM=")</f>
        <v>#REF!</v>
      </c>
      <c r="FY280" t="e">
        <f>AND(#REF!,"AAAAAHN14bQ=")</f>
        <v>#REF!</v>
      </c>
      <c r="FZ280" t="e">
        <f>AND(#REF!,"AAAAAHN14bU=")</f>
        <v>#REF!</v>
      </c>
      <c r="GA280" t="e">
        <f>IF(#REF!,"AAAAAHN14bY=",0)</f>
        <v>#REF!</v>
      </c>
      <c r="GB280" t="e">
        <f>AND(#REF!,"AAAAAHN14bc=")</f>
        <v>#REF!</v>
      </c>
      <c r="GC280" t="e">
        <f>AND(#REF!,"AAAAAHN14bg=")</f>
        <v>#REF!</v>
      </c>
      <c r="GD280" t="e">
        <f>AND(#REF!,"AAAAAHN14bk=")</f>
        <v>#REF!</v>
      </c>
      <c r="GE280" t="e">
        <f>AND(#REF!,"AAAAAHN14bo=")</f>
        <v>#REF!</v>
      </c>
      <c r="GF280" t="e">
        <f>AND(#REF!,"AAAAAHN14bs=")</f>
        <v>#REF!</v>
      </c>
      <c r="GG280" t="e">
        <f>AND(#REF!,"AAAAAHN14bw=")</f>
        <v>#REF!</v>
      </c>
      <c r="GH280" t="e">
        <f>AND(#REF!,"AAAAAHN14b0=")</f>
        <v>#REF!</v>
      </c>
      <c r="GI280" t="e">
        <f>AND(#REF!,"AAAAAHN14b4=")</f>
        <v>#REF!</v>
      </c>
      <c r="GJ280" t="e">
        <f>AND(#REF!,"AAAAAHN14b8=")</f>
        <v>#REF!</v>
      </c>
      <c r="GK280" t="e">
        <f>AND(#REF!,"AAAAAHN14cA=")</f>
        <v>#REF!</v>
      </c>
      <c r="GL280" t="e">
        <f>IF(#REF!,"AAAAAHN14cE=",0)</f>
        <v>#REF!</v>
      </c>
      <c r="GM280" t="e">
        <f>AND(#REF!,"AAAAAHN14cI=")</f>
        <v>#REF!</v>
      </c>
      <c r="GN280" t="e">
        <f>AND(#REF!,"AAAAAHN14cM=")</f>
        <v>#REF!</v>
      </c>
      <c r="GO280" t="e">
        <f>AND(#REF!,"AAAAAHN14cQ=")</f>
        <v>#REF!</v>
      </c>
      <c r="GP280" t="e">
        <f>AND(#REF!,"AAAAAHN14cU=")</f>
        <v>#REF!</v>
      </c>
      <c r="GQ280" t="e">
        <f>AND(#REF!,"AAAAAHN14cY=")</f>
        <v>#REF!</v>
      </c>
      <c r="GR280" t="e">
        <f>AND(#REF!,"AAAAAHN14cc=")</f>
        <v>#REF!</v>
      </c>
      <c r="GS280" t="e">
        <f>AND(#REF!,"AAAAAHN14cg=")</f>
        <v>#REF!</v>
      </c>
      <c r="GT280" t="e">
        <f>AND(#REF!,"AAAAAHN14ck=")</f>
        <v>#REF!</v>
      </c>
      <c r="GU280" t="e">
        <f>AND(#REF!,"AAAAAHN14co=")</f>
        <v>#REF!</v>
      </c>
      <c r="GV280" t="e">
        <f>AND(#REF!,"AAAAAHN14cs=")</f>
        <v>#REF!</v>
      </c>
      <c r="GW280" t="e">
        <f>IF(#REF!,"AAAAAHN14cw=",0)</f>
        <v>#REF!</v>
      </c>
      <c r="GX280" t="e">
        <f>AND(#REF!,"AAAAAHN14c0=")</f>
        <v>#REF!</v>
      </c>
      <c r="GY280" t="e">
        <f>AND(#REF!,"AAAAAHN14c4=")</f>
        <v>#REF!</v>
      </c>
      <c r="GZ280" t="e">
        <f>AND(#REF!,"AAAAAHN14c8=")</f>
        <v>#REF!</v>
      </c>
      <c r="HA280" t="e">
        <f>AND(#REF!,"AAAAAHN14dA=")</f>
        <v>#REF!</v>
      </c>
      <c r="HB280" t="e">
        <f>AND(#REF!,"AAAAAHN14dE=")</f>
        <v>#REF!</v>
      </c>
      <c r="HC280" t="e">
        <f>AND(#REF!,"AAAAAHN14dI=")</f>
        <v>#REF!</v>
      </c>
      <c r="HD280" t="e">
        <f>AND(#REF!,"AAAAAHN14dM=")</f>
        <v>#REF!</v>
      </c>
      <c r="HE280" t="e">
        <f>AND(#REF!,"AAAAAHN14dQ=")</f>
        <v>#REF!</v>
      </c>
      <c r="HF280" t="e">
        <f>AND(#REF!,"AAAAAHN14dU=")</f>
        <v>#REF!</v>
      </c>
      <c r="HG280" t="e">
        <f>AND(#REF!,"AAAAAHN14dY=")</f>
        <v>#REF!</v>
      </c>
      <c r="HH280" t="e">
        <f>IF(#REF!,"AAAAAHN14dc=",0)</f>
        <v>#REF!</v>
      </c>
      <c r="HI280" t="e">
        <f>AND(#REF!,"AAAAAHN14dg=")</f>
        <v>#REF!</v>
      </c>
      <c r="HJ280" t="e">
        <f>AND(#REF!,"AAAAAHN14dk=")</f>
        <v>#REF!</v>
      </c>
      <c r="HK280" t="e">
        <f>AND(#REF!,"AAAAAHN14do=")</f>
        <v>#REF!</v>
      </c>
      <c r="HL280" t="e">
        <f>AND(#REF!,"AAAAAHN14ds=")</f>
        <v>#REF!</v>
      </c>
      <c r="HM280" t="e">
        <f>AND(#REF!,"AAAAAHN14dw=")</f>
        <v>#REF!</v>
      </c>
      <c r="HN280" t="e">
        <f>AND(#REF!,"AAAAAHN14d0=")</f>
        <v>#REF!</v>
      </c>
      <c r="HO280" t="e">
        <f>AND(#REF!,"AAAAAHN14d4=")</f>
        <v>#REF!</v>
      </c>
      <c r="HP280" t="e">
        <f>AND(#REF!,"AAAAAHN14d8=")</f>
        <v>#REF!</v>
      </c>
      <c r="HQ280" t="e">
        <f>AND(#REF!,"AAAAAHN14eA=")</f>
        <v>#REF!</v>
      </c>
      <c r="HR280" t="e">
        <f>AND(#REF!,"AAAAAHN14eE=")</f>
        <v>#REF!</v>
      </c>
      <c r="HS280" t="e">
        <f>IF(#REF!,"AAAAAHN14eI=",0)</f>
        <v>#REF!</v>
      </c>
      <c r="HT280" t="e">
        <f>AND(#REF!,"AAAAAHN14eM=")</f>
        <v>#REF!</v>
      </c>
      <c r="HU280" t="e">
        <f>AND(#REF!,"AAAAAHN14eQ=")</f>
        <v>#REF!</v>
      </c>
      <c r="HV280" t="e">
        <f>AND(#REF!,"AAAAAHN14eU=")</f>
        <v>#REF!</v>
      </c>
      <c r="HW280" t="e">
        <f>AND(#REF!,"AAAAAHN14eY=")</f>
        <v>#REF!</v>
      </c>
      <c r="HX280" t="e">
        <f>AND(#REF!,"AAAAAHN14ec=")</f>
        <v>#REF!</v>
      </c>
      <c r="HY280" t="e">
        <f>AND(#REF!,"AAAAAHN14eg=")</f>
        <v>#REF!</v>
      </c>
      <c r="HZ280" t="e">
        <f>AND(#REF!,"AAAAAHN14ek=")</f>
        <v>#REF!</v>
      </c>
      <c r="IA280" t="e">
        <f>AND(#REF!,"AAAAAHN14eo=")</f>
        <v>#REF!</v>
      </c>
      <c r="IB280" t="e">
        <f>AND(#REF!,"AAAAAHN14es=")</f>
        <v>#REF!</v>
      </c>
      <c r="IC280" t="e">
        <f>AND(#REF!,"AAAAAHN14ew=")</f>
        <v>#REF!</v>
      </c>
      <c r="ID280" t="e">
        <f>IF(#REF!,"AAAAAHN14e0=",0)</f>
        <v>#REF!</v>
      </c>
      <c r="IE280" t="e">
        <f>AND(#REF!,"AAAAAHN14e4=")</f>
        <v>#REF!</v>
      </c>
      <c r="IF280" t="e">
        <f>AND(#REF!,"AAAAAHN14e8=")</f>
        <v>#REF!</v>
      </c>
      <c r="IG280" t="e">
        <f>AND(#REF!,"AAAAAHN14fA=")</f>
        <v>#REF!</v>
      </c>
      <c r="IH280" t="e">
        <f>AND(#REF!,"AAAAAHN14fE=")</f>
        <v>#REF!</v>
      </c>
      <c r="II280" t="e">
        <f>AND(#REF!,"AAAAAHN14fI=")</f>
        <v>#REF!</v>
      </c>
      <c r="IJ280" t="e">
        <f>AND(#REF!,"AAAAAHN14fM=")</f>
        <v>#REF!</v>
      </c>
      <c r="IK280" t="e">
        <f>AND(#REF!,"AAAAAHN14fQ=")</f>
        <v>#REF!</v>
      </c>
      <c r="IL280" t="e">
        <f>AND(#REF!,"AAAAAHN14fU=")</f>
        <v>#REF!</v>
      </c>
      <c r="IM280" t="e">
        <f>AND(#REF!,"AAAAAHN14fY=")</f>
        <v>#REF!</v>
      </c>
      <c r="IN280" t="e">
        <f>AND(#REF!,"AAAAAHN14fc=")</f>
        <v>#REF!</v>
      </c>
      <c r="IO280" t="e">
        <f>IF(#REF!,"AAAAAHN14fg=",0)</f>
        <v>#REF!</v>
      </c>
      <c r="IP280" t="e">
        <f>AND(#REF!,"AAAAAHN14fk=")</f>
        <v>#REF!</v>
      </c>
      <c r="IQ280" t="e">
        <f>AND(#REF!,"AAAAAHN14fo=")</f>
        <v>#REF!</v>
      </c>
      <c r="IR280" t="e">
        <f>AND(#REF!,"AAAAAHN14fs=")</f>
        <v>#REF!</v>
      </c>
      <c r="IS280" t="e">
        <f>AND(#REF!,"AAAAAHN14fw=")</f>
        <v>#REF!</v>
      </c>
      <c r="IT280" t="e">
        <f>AND(#REF!,"AAAAAHN14f0=")</f>
        <v>#REF!</v>
      </c>
      <c r="IU280" t="e">
        <f>AND(#REF!,"AAAAAHN14f4=")</f>
        <v>#REF!</v>
      </c>
      <c r="IV280" t="e">
        <f>AND(#REF!,"AAAAAHN14f8=")</f>
        <v>#REF!</v>
      </c>
    </row>
    <row r="281" spans="1:256" x14ac:dyDescent="0.25">
      <c r="A281" t="e">
        <f>AND(#REF!,"AAAAADff/QA=")</f>
        <v>#REF!</v>
      </c>
      <c r="B281" t="e">
        <f>AND(#REF!,"AAAAADff/QE=")</f>
        <v>#REF!</v>
      </c>
      <c r="C281" t="e">
        <f>AND(#REF!,"AAAAADff/QI=")</f>
        <v>#REF!</v>
      </c>
      <c r="D281" t="e">
        <f>IF(#REF!,"AAAAADff/QM=",0)</f>
        <v>#REF!</v>
      </c>
      <c r="E281" t="e">
        <f>AND(#REF!,"AAAAADff/QQ=")</f>
        <v>#REF!</v>
      </c>
      <c r="F281" t="e">
        <f>AND(#REF!,"AAAAADff/QU=")</f>
        <v>#REF!</v>
      </c>
      <c r="G281" t="e">
        <f>AND(#REF!,"AAAAADff/QY=")</f>
        <v>#REF!</v>
      </c>
      <c r="H281" t="e">
        <f>AND(#REF!,"AAAAADff/Qc=")</f>
        <v>#REF!</v>
      </c>
      <c r="I281" t="e">
        <f>AND(#REF!,"AAAAADff/Qg=")</f>
        <v>#REF!</v>
      </c>
      <c r="J281" t="e">
        <f>AND(#REF!,"AAAAADff/Qk=")</f>
        <v>#REF!</v>
      </c>
      <c r="K281" t="e">
        <f>AND(#REF!,"AAAAADff/Qo=")</f>
        <v>#REF!</v>
      </c>
      <c r="L281" t="e">
        <f>AND(#REF!,"AAAAADff/Qs=")</f>
        <v>#REF!</v>
      </c>
      <c r="M281" t="e">
        <f>AND(#REF!,"AAAAADff/Qw=")</f>
        <v>#REF!</v>
      </c>
      <c r="N281" t="e">
        <f>AND(#REF!,"AAAAADff/Q0=")</f>
        <v>#REF!</v>
      </c>
      <c r="O281" t="e">
        <f>IF(#REF!,"AAAAADff/Q4=",0)</f>
        <v>#REF!</v>
      </c>
      <c r="P281" t="e">
        <f>AND(#REF!,"AAAAADff/Q8=")</f>
        <v>#REF!</v>
      </c>
      <c r="Q281" t="e">
        <f>AND(#REF!,"AAAAADff/RA=")</f>
        <v>#REF!</v>
      </c>
      <c r="R281" t="e">
        <f>AND(#REF!,"AAAAADff/RE=")</f>
        <v>#REF!</v>
      </c>
      <c r="S281" t="e">
        <f>AND(#REF!,"AAAAADff/RI=")</f>
        <v>#REF!</v>
      </c>
      <c r="T281" t="e">
        <f>AND(#REF!,"AAAAADff/RM=")</f>
        <v>#REF!</v>
      </c>
      <c r="U281" t="e">
        <f>AND(#REF!,"AAAAADff/RQ=")</f>
        <v>#REF!</v>
      </c>
      <c r="V281" t="e">
        <f>AND(#REF!,"AAAAADff/RU=")</f>
        <v>#REF!</v>
      </c>
      <c r="W281" t="e">
        <f>AND(#REF!,"AAAAADff/RY=")</f>
        <v>#REF!</v>
      </c>
      <c r="X281" t="e">
        <f>AND(#REF!,"AAAAADff/Rc=")</f>
        <v>#REF!</v>
      </c>
      <c r="Y281" t="e">
        <f>AND(#REF!,"AAAAADff/Rg=")</f>
        <v>#REF!</v>
      </c>
      <c r="Z281" t="e">
        <f>IF(#REF!,"AAAAADff/Rk=",0)</f>
        <v>#REF!</v>
      </c>
      <c r="AA281" t="e">
        <f>AND(#REF!,"AAAAADff/Ro=")</f>
        <v>#REF!</v>
      </c>
      <c r="AB281" t="e">
        <f>AND(#REF!,"AAAAADff/Rs=")</f>
        <v>#REF!</v>
      </c>
      <c r="AC281" t="e">
        <f>AND(#REF!,"AAAAADff/Rw=")</f>
        <v>#REF!</v>
      </c>
      <c r="AD281" t="e">
        <f>AND(#REF!,"AAAAADff/R0=")</f>
        <v>#REF!</v>
      </c>
      <c r="AE281" t="e">
        <f>AND(#REF!,"AAAAADff/R4=")</f>
        <v>#REF!</v>
      </c>
      <c r="AF281" t="e">
        <f>AND(#REF!,"AAAAADff/R8=")</f>
        <v>#REF!</v>
      </c>
      <c r="AG281" t="e">
        <f>AND(#REF!,"AAAAADff/SA=")</f>
        <v>#REF!</v>
      </c>
      <c r="AH281" t="e">
        <f>AND(#REF!,"AAAAADff/SE=")</f>
        <v>#REF!</v>
      </c>
      <c r="AI281" t="e">
        <f>AND(#REF!,"AAAAADff/SI=")</f>
        <v>#REF!</v>
      </c>
      <c r="AJ281" t="e">
        <f>AND(#REF!,"AAAAADff/SM=")</f>
        <v>#REF!</v>
      </c>
      <c r="AK281" t="e">
        <f>IF(#REF!,"AAAAADff/SQ=",0)</f>
        <v>#REF!</v>
      </c>
      <c r="AL281" t="e">
        <f>AND(#REF!,"AAAAADff/SU=")</f>
        <v>#REF!</v>
      </c>
      <c r="AM281" t="e">
        <f>AND(#REF!,"AAAAADff/SY=")</f>
        <v>#REF!</v>
      </c>
      <c r="AN281" t="e">
        <f>AND(#REF!,"AAAAADff/Sc=")</f>
        <v>#REF!</v>
      </c>
      <c r="AO281" t="e">
        <f>AND(#REF!,"AAAAADff/Sg=")</f>
        <v>#REF!</v>
      </c>
      <c r="AP281" t="e">
        <f>AND(#REF!,"AAAAADff/Sk=")</f>
        <v>#REF!</v>
      </c>
      <c r="AQ281" t="e">
        <f>AND(#REF!,"AAAAADff/So=")</f>
        <v>#REF!</v>
      </c>
      <c r="AR281" t="e">
        <f>AND(#REF!,"AAAAADff/Ss=")</f>
        <v>#REF!</v>
      </c>
      <c r="AS281" t="e">
        <f>AND(#REF!,"AAAAADff/Sw=")</f>
        <v>#REF!</v>
      </c>
      <c r="AT281" t="e">
        <f>AND(#REF!,"AAAAADff/S0=")</f>
        <v>#REF!</v>
      </c>
      <c r="AU281" t="e">
        <f>AND(#REF!,"AAAAADff/S4=")</f>
        <v>#REF!</v>
      </c>
      <c r="AV281" t="e">
        <f>IF(#REF!,"AAAAADff/S8=",0)</f>
        <v>#REF!</v>
      </c>
      <c r="AW281" t="e">
        <f>AND(#REF!,"AAAAADff/TA=")</f>
        <v>#REF!</v>
      </c>
      <c r="AX281" t="e">
        <f>AND(#REF!,"AAAAADff/TE=")</f>
        <v>#REF!</v>
      </c>
      <c r="AY281" t="e">
        <f>AND(#REF!,"AAAAADff/TI=")</f>
        <v>#REF!</v>
      </c>
      <c r="AZ281" t="e">
        <f>AND(#REF!,"AAAAADff/TM=")</f>
        <v>#REF!</v>
      </c>
      <c r="BA281" t="e">
        <f>AND(#REF!,"AAAAADff/TQ=")</f>
        <v>#REF!</v>
      </c>
      <c r="BB281" t="e">
        <f>AND(#REF!,"AAAAADff/TU=")</f>
        <v>#REF!</v>
      </c>
      <c r="BC281" t="e">
        <f>AND(#REF!,"AAAAADff/TY=")</f>
        <v>#REF!</v>
      </c>
      <c r="BD281" t="e">
        <f>AND(#REF!,"AAAAADff/Tc=")</f>
        <v>#REF!</v>
      </c>
      <c r="BE281" t="e">
        <f>AND(#REF!,"AAAAADff/Tg=")</f>
        <v>#REF!</v>
      </c>
      <c r="BF281" t="e">
        <f>AND(#REF!,"AAAAADff/Tk=")</f>
        <v>#REF!</v>
      </c>
      <c r="BG281" t="e">
        <f>IF(#REF!,"AAAAADff/To=",0)</f>
        <v>#REF!</v>
      </c>
      <c r="BH281" t="e">
        <f>AND(#REF!,"AAAAADff/Ts=")</f>
        <v>#REF!</v>
      </c>
      <c r="BI281" t="e">
        <f>AND(#REF!,"AAAAADff/Tw=")</f>
        <v>#REF!</v>
      </c>
      <c r="BJ281" t="e">
        <f>AND(#REF!,"AAAAADff/T0=")</f>
        <v>#REF!</v>
      </c>
      <c r="BK281" t="e">
        <f>AND(#REF!,"AAAAADff/T4=")</f>
        <v>#REF!</v>
      </c>
      <c r="BL281" t="e">
        <f>AND(#REF!,"AAAAADff/T8=")</f>
        <v>#REF!</v>
      </c>
      <c r="BM281" t="e">
        <f>AND(#REF!,"AAAAADff/UA=")</f>
        <v>#REF!</v>
      </c>
      <c r="BN281" t="e">
        <f>AND(#REF!,"AAAAADff/UE=")</f>
        <v>#REF!</v>
      </c>
      <c r="BO281" t="e">
        <f>AND(#REF!,"AAAAADff/UI=")</f>
        <v>#REF!</v>
      </c>
      <c r="BP281" t="e">
        <f>AND(#REF!,"AAAAADff/UM=")</f>
        <v>#REF!</v>
      </c>
      <c r="BQ281" t="e">
        <f>AND(#REF!,"AAAAADff/UQ=")</f>
        <v>#REF!</v>
      </c>
      <c r="BR281" t="e">
        <f>IF(#REF!,"AAAAADff/UU=",0)</f>
        <v>#REF!</v>
      </c>
      <c r="BS281" t="e">
        <f>AND(#REF!,"AAAAADff/UY=")</f>
        <v>#REF!</v>
      </c>
      <c r="BT281" t="e">
        <f>AND(#REF!,"AAAAADff/Uc=")</f>
        <v>#REF!</v>
      </c>
      <c r="BU281" t="e">
        <f>AND(#REF!,"AAAAADff/Ug=")</f>
        <v>#REF!</v>
      </c>
      <c r="BV281" t="e">
        <f>AND(#REF!,"AAAAADff/Uk=")</f>
        <v>#REF!</v>
      </c>
      <c r="BW281" t="e">
        <f>AND(#REF!,"AAAAADff/Uo=")</f>
        <v>#REF!</v>
      </c>
      <c r="BX281" t="e">
        <f>AND(#REF!,"AAAAADff/Us=")</f>
        <v>#REF!</v>
      </c>
      <c r="BY281" t="e">
        <f>AND(#REF!,"AAAAADff/Uw=")</f>
        <v>#REF!</v>
      </c>
      <c r="BZ281" t="e">
        <f>AND(#REF!,"AAAAADff/U0=")</f>
        <v>#REF!</v>
      </c>
      <c r="CA281" t="e">
        <f>AND(#REF!,"AAAAADff/U4=")</f>
        <v>#REF!</v>
      </c>
      <c r="CB281" t="e">
        <f>AND(#REF!,"AAAAADff/U8=")</f>
        <v>#REF!</v>
      </c>
      <c r="CC281" t="e">
        <f>IF(#REF!,"AAAAADff/VA=",0)</f>
        <v>#REF!</v>
      </c>
      <c r="CD281" t="e">
        <f>AND(#REF!,"AAAAADff/VE=")</f>
        <v>#REF!</v>
      </c>
      <c r="CE281" t="e">
        <f>AND(#REF!,"AAAAADff/VI=")</f>
        <v>#REF!</v>
      </c>
      <c r="CF281" t="e">
        <f>AND(#REF!,"AAAAADff/VM=")</f>
        <v>#REF!</v>
      </c>
      <c r="CG281" t="e">
        <f>AND(#REF!,"AAAAADff/VQ=")</f>
        <v>#REF!</v>
      </c>
      <c r="CH281" t="e">
        <f>AND(#REF!,"AAAAADff/VU=")</f>
        <v>#REF!</v>
      </c>
      <c r="CI281" t="e">
        <f>AND(#REF!,"AAAAADff/VY=")</f>
        <v>#REF!</v>
      </c>
      <c r="CJ281" t="e">
        <f>AND(#REF!,"AAAAADff/Vc=")</f>
        <v>#REF!</v>
      </c>
      <c r="CK281" t="e">
        <f>AND(#REF!,"AAAAADff/Vg=")</f>
        <v>#REF!</v>
      </c>
      <c r="CL281" t="e">
        <f>AND(#REF!,"AAAAADff/Vk=")</f>
        <v>#REF!</v>
      </c>
      <c r="CM281" t="e">
        <f>AND(#REF!,"AAAAADff/Vo=")</f>
        <v>#REF!</v>
      </c>
      <c r="CN281" t="e">
        <f>IF(#REF!,"AAAAADff/Vs=",0)</f>
        <v>#REF!</v>
      </c>
      <c r="CO281" t="e">
        <f>AND(#REF!,"AAAAADff/Vw=")</f>
        <v>#REF!</v>
      </c>
      <c r="CP281" t="e">
        <f>AND(#REF!,"AAAAADff/V0=")</f>
        <v>#REF!</v>
      </c>
      <c r="CQ281" t="e">
        <f>AND(#REF!,"AAAAADff/V4=")</f>
        <v>#REF!</v>
      </c>
      <c r="CR281" t="e">
        <f>AND(#REF!,"AAAAADff/V8=")</f>
        <v>#REF!</v>
      </c>
      <c r="CS281" t="e">
        <f>AND(#REF!,"AAAAADff/WA=")</f>
        <v>#REF!</v>
      </c>
      <c r="CT281" t="e">
        <f>AND(#REF!,"AAAAADff/WE=")</f>
        <v>#REF!</v>
      </c>
      <c r="CU281" t="e">
        <f>AND(#REF!,"AAAAADff/WI=")</f>
        <v>#REF!</v>
      </c>
      <c r="CV281" t="e">
        <f>AND(#REF!,"AAAAADff/WM=")</f>
        <v>#REF!</v>
      </c>
      <c r="CW281" t="e">
        <f>AND(#REF!,"AAAAADff/WQ=")</f>
        <v>#REF!</v>
      </c>
      <c r="CX281" t="e">
        <f>AND(#REF!,"AAAAADff/WU=")</f>
        <v>#REF!</v>
      </c>
      <c r="CY281" t="e">
        <f>IF(#REF!,"AAAAADff/WY=",0)</f>
        <v>#REF!</v>
      </c>
      <c r="CZ281" t="e">
        <f>AND(#REF!,"AAAAADff/Wc=")</f>
        <v>#REF!</v>
      </c>
      <c r="DA281" t="e">
        <f>AND(#REF!,"AAAAADff/Wg=")</f>
        <v>#REF!</v>
      </c>
      <c r="DB281" t="e">
        <f>AND(#REF!,"AAAAADff/Wk=")</f>
        <v>#REF!</v>
      </c>
      <c r="DC281" t="e">
        <f>AND(#REF!,"AAAAADff/Wo=")</f>
        <v>#REF!</v>
      </c>
      <c r="DD281" t="e">
        <f>AND(#REF!,"AAAAADff/Ws=")</f>
        <v>#REF!</v>
      </c>
      <c r="DE281" t="e">
        <f>AND(#REF!,"AAAAADff/Ww=")</f>
        <v>#REF!</v>
      </c>
      <c r="DF281" t="e">
        <f>AND(#REF!,"AAAAADff/W0=")</f>
        <v>#REF!</v>
      </c>
      <c r="DG281" t="e">
        <f>AND(#REF!,"AAAAADff/W4=")</f>
        <v>#REF!</v>
      </c>
      <c r="DH281" t="e">
        <f>AND(#REF!,"AAAAADff/W8=")</f>
        <v>#REF!</v>
      </c>
      <c r="DI281" t="e">
        <f>AND(#REF!,"AAAAADff/XA=")</f>
        <v>#REF!</v>
      </c>
      <c r="DJ281" t="e">
        <f>IF(#REF!,"AAAAADff/XE=",0)</f>
        <v>#REF!</v>
      </c>
      <c r="DK281" t="e">
        <f>AND(#REF!,"AAAAADff/XI=")</f>
        <v>#REF!</v>
      </c>
      <c r="DL281" t="e">
        <f>AND(#REF!,"AAAAADff/XM=")</f>
        <v>#REF!</v>
      </c>
      <c r="DM281" t="e">
        <f>AND(#REF!,"AAAAADff/XQ=")</f>
        <v>#REF!</v>
      </c>
      <c r="DN281" t="e">
        <f>AND(#REF!,"AAAAADff/XU=")</f>
        <v>#REF!</v>
      </c>
      <c r="DO281" t="e">
        <f>AND(#REF!,"AAAAADff/XY=")</f>
        <v>#REF!</v>
      </c>
      <c r="DP281" t="e">
        <f>AND(#REF!,"AAAAADff/Xc=")</f>
        <v>#REF!</v>
      </c>
      <c r="DQ281" t="e">
        <f>AND(#REF!,"AAAAADff/Xg=")</f>
        <v>#REF!</v>
      </c>
      <c r="DR281" t="e">
        <f>AND(#REF!,"AAAAADff/Xk=")</f>
        <v>#REF!</v>
      </c>
      <c r="DS281" t="e">
        <f>AND(#REF!,"AAAAADff/Xo=")</f>
        <v>#REF!</v>
      </c>
      <c r="DT281" t="e">
        <f>AND(#REF!,"AAAAADff/Xs=")</f>
        <v>#REF!</v>
      </c>
      <c r="DU281" t="e">
        <f>IF(#REF!,"AAAAADff/Xw=",0)</f>
        <v>#REF!</v>
      </c>
      <c r="DV281" t="e">
        <f>AND(#REF!,"AAAAADff/X0=")</f>
        <v>#REF!</v>
      </c>
      <c r="DW281" t="e">
        <f>AND(#REF!,"AAAAADff/X4=")</f>
        <v>#REF!</v>
      </c>
      <c r="DX281" t="e">
        <f>AND(#REF!,"AAAAADff/X8=")</f>
        <v>#REF!</v>
      </c>
      <c r="DY281" t="e">
        <f>AND(#REF!,"AAAAADff/YA=")</f>
        <v>#REF!</v>
      </c>
      <c r="DZ281" t="e">
        <f>AND(#REF!,"AAAAADff/YE=")</f>
        <v>#REF!</v>
      </c>
      <c r="EA281" t="e">
        <f>AND(#REF!,"AAAAADff/YI=")</f>
        <v>#REF!</v>
      </c>
      <c r="EB281" t="e">
        <f>AND(#REF!,"AAAAADff/YM=")</f>
        <v>#REF!</v>
      </c>
      <c r="EC281" t="e">
        <f>AND(#REF!,"AAAAADff/YQ=")</f>
        <v>#REF!</v>
      </c>
      <c r="ED281" t="e">
        <f>AND(#REF!,"AAAAADff/YU=")</f>
        <v>#REF!</v>
      </c>
      <c r="EE281" t="e">
        <f>AND(#REF!,"AAAAADff/YY=")</f>
        <v>#REF!</v>
      </c>
      <c r="EF281" t="e">
        <f>IF(#REF!,"AAAAADff/Yc=",0)</f>
        <v>#REF!</v>
      </c>
      <c r="EG281" t="e">
        <f>AND(#REF!,"AAAAADff/Yg=")</f>
        <v>#REF!</v>
      </c>
      <c r="EH281" t="e">
        <f>AND(#REF!,"AAAAADff/Yk=")</f>
        <v>#REF!</v>
      </c>
      <c r="EI281" t="e">
        <f>AND(#REF!,"AAAAADff/Yo=")</f>
        <v>#REF!</v>
      </c>
      <c r="EJ281" t="e">
        <f>AND(#REF!,"AAAAADff/Ys=")</f>
        <v>#REF!</v>
      </c>
      <c r="EK281" t="e">
        <f>AND(#REF!,"AAAAADff/Yw=")</f>
        <v>#REF!</v>
      </c>
      <c r="EL281" t="e">
        <f>AND(#REF!,"AAAAADff/Y0=")</f>
        <v>#REF!</v>
      </c>
      <c r="EM281" t="e">
        <f>AND(#REF!,"AAAAADff/Y4=")</f>
        <v>#REF!</v>
      </c>
      <c r="EN281" t="e">
        <f>AND(#REF!,"AAAAADff/Y8=")</f>
        <v>#REF!</v>
      </c>
      <c r="EO281" t="e">
        <f>AND(#REF!,"AAAAADff/ZA=")</f>
        <v>#REF!</v>
      </c>
      <c r="EP281" t="e">
        <f>AND(#REF!,"AAAAADff/ZE=")</f>
        <v>#REF!</v>
      </c>
      <c r="EQ281" t="e">
        <f>IF(#REF!,"AAAAADff/ZI=",0)</f>
        <v>#REF!</v>
      </c>
      <c r="ER281" t="e">
        <f>AND(#REF!,"AAAAADff/ZM=")</f>
        <v>#REF!</v>
      </c>
      <c r="ES281" t="e">
        <f>AND(#REF!,"AAAAADff/ZQ=")</f>
        <v>#REF!</v>
      </c>
      <c r="ET281" t="e">
        <f>AND(#REF!,"AAAAADff/ZU=")</f>
        <v>#REF!</v>
      </c>
      <c r="EU281" t="e">
        <f>AND(#REF!,"AAAAADff/ZY=")</f>
        <v>#REF!</v>
      </c>
      <c r="EV281" t="e">
        <f>AND(#REF!,"AAAAADff/Zc=")</f>
        <v>#REF!</v>
      </c>
      <c r="EW281" t="e">
        <f>AND(#REF!,"AAAAADff/Zg=")</f>
        <v>#REF!</v>
      </c>
      <c r="EX281" t="e">
        <f>AND(#REF!,"AAAAADff/Zk=")</f>
        <v>#REF!</v>
      </c>
      <c r="EY281" t="e">
        <f>AND(#REF!,"AAAAADff/Zo=")</f>
        <v>#REF!</v>
      </c>
      <c r="EZ281" t="e">
        <f>AND(#REF!,"AAAAADff/Zs=")</f>
        <v>#REF!</v>
      </c>
      <c r="FA281" t="e">
        <f>AND(#REF!,"AAAAADff/Zw=")</f>
        <v>#REF!</v>
      </c>
      <c r="FB281" t="e">
        <f>IF(#REF!,"AAAAADff/Z0=",0)</f>
        <v>#REF!</v>
      </c>
      <c r="FC281" t="e">
        <f>AND(#REF!,"AAAAADff/Z4=")</f>
        <v>#REF!</v>
      </c>
      <c r="FD281" t="e">
        <f>AND(#REF!,"AAAAADff/Z8=")</f>
        <v>#REF!</v>
      </c>
      <c r="FE281" t="e">
        <f>AND(#REF!,"AAAAADff/aA=")</f>
        <v>#REF!</v>
      </c>
      <c r="FF281" t="e">
        <f>AND(#REF!,"AAAAADff/aE=")</f>
        <v>#REF!</v>
      </c>
      <c r="FG281" t="e">
        <f>AND(#REF!,"AAAAADff/aI=")</f>
        <v>#REF!</v>
      </c>
      <c r="FH281" t="e">
        <f>AND(#REF!,"AAAAADff/aM=")</f>
        <v>#REF!</v>
      </c>
      <c r="FI281" t="e">
        <f>AND(#REF!,"AAAAADff/aQ=")</f>
        <v>#REF!</v>
      </c>
      <c r="FJ281" t="e">
        <f>AND(#REF!,"AAAAADff/aU=")</f>
        <v>#REF!</v>
      </c>
      <c r="FK281" t="e">
        <f>AND(#REF!,"AAAAADff/aY=")</f>
        <v>#REF!</v>
      </c>
      <c r="FL281" t="e">
        <f>AND(#REF!,"AAAAADff/ac=")</f>
        <v>#REF!</v>
      </c>
      <c r="FM281" t="e">
        <f>IF(#REF!,"AAAAADff/ag=",0)</f>
        <v>#REF!</v>
      </c>
      <c r="FN281" t="e">
        <f>AND(#REF!,"AAAAADff/ak=")</f>
        <v>#REF!</v>
      </c>
      <c r="FO281" t="e">
        <f>AND(#REF!,"AAAAADff/ao=")</f>
        <v>#REF!</v>
      </c>
      <c r="FP281" t="e">
        <f>AND(#REF!,"AAAAADff/as=")</f>
        <v>#REF!</v>
      </c>
      <c r="FQ281" t="e">
        <f>AND(#REF!,"AAAAADff/aw=")</f>
        <v>#REF!</v>
      </c>
      <c r="FR281" t="e">
        <f>AND(#REF!,"AAAAADff/a0=")</f>
        <v>#REF!</v>
      </c>
      <c r="FS281" t="e">
        <f>AND(#REF!,"AAAAADff/a4=")</f>
        <v>#REF!</v>
      </c>
      <c r="FT281" t="e">
        <f>AND(#REF!,"AAAAADff/a8=")</f>
        <v>#REF!</v>
      </c>
      <c r="FU281" t="e">
        <f>AND(#REF!,"AAAAADff/bA=")</f>
        <v>#REF!</v>
      </c>
      <c r="FV281" t="e">
        <f>AND(#REF!,"AAAAADff/bE=")</f>
        <v>#REF!</v>
      </c>
      <c r="FW281" t="e">
        <f>AND(#REF!,"AAAAADff/bI=")</f>
        <v>#REF!</v>
      </c>
      <c r="FX281" t="e">
        <f>IF(#REF!,"AAAAADff/bM=",0)</f>
        <v>#REF!</v>
      </c>
      <c r="FY281" t="e">
        <f>AND(#REF!,"AAAAADff/bQ=")</f>
        <v>#REF!</v>
      </c>
      <c r="FZ281" t="e">
        <f>AND(#REF!,"AAAAADff/bU=")</f>
        <v>#REF!</v>
      </c>
      <c r="GA281" t="e">
        <f>AND(#REF!,"AAAAADff/bY=")</f>
        <v>#REF!</v>
      </c>
      <c r="GB281" t="e">
        <f>AND(#REF!,"AAAAADff/bc=")</f>
        <v>#REF!</v>
      </c>
      <c r="GC281" t="e">
        <f>AND(#REF!,"AAAAADff/bg=")</f>
        <v>#REF!</v>
      </c>
      <c r="GD281" t="e">
        <f>AND(#REF!,"AAAAADff/bk=")</f>
        <v>#REF!</v>
      </c>
      <c r="GE281" t="e">
        <f>AND(#REF!,"AAAAADff/bo=")</f>
        <v>#REF!</v>
      </c>
      <c r="GF281" t="e">
        <f>AND(#REF!,"AAAAADff/bs=")</f>
        <v>#REF!</v>
      </c>
      <c r="GG281" t="e">
        <f>AND(#REF!,"AAAAADff/bw=")</f>
        <v>#REF!</v>
      </c>
      <c r="GH281" t="e">
        <f>AND(#REF!,"AAAAADff/b0=")</f>
        <v>#REF!</v>
      </c>
      <c r="GI281" t="e">
        <f>IF(#REF!,"AAAAADff/b4=",0)</f>
        <v>#REF!</v>
      </c>
      <c r="GJ281" t="e">
        <f>AND(#REF!,"AAAAADff/b8=")</f>
        <v>#REF!</v>
      </c>
      <c r="GK281" t="e">
        <f>AND(#REF!,"AAAAADff/cA=")</f>
        <v>#REF!</v>
      </c>
      <c r="GL281" t="e">
        <f>AND(#REF!,"AAAAADff/cE=")</f>
        <v>#REF!</v>
      </c>
      <c r="GM281" t="e">
        <f>AND(#REF!,"AAAAADff/cI=")</f>
        <v>#REF!</v>
      </c>
      <c r="GN281" t="e">
        <f>AND(#REF!,"AAAAADff/cM=")</f>
        <v>#REF!</v>
      </c>
      <c r="GO281" t="e">
        <f>AND(#REF!,"AAAAADff/cQ=")</f>
        <v>#REF!</v>
      </c>
      <c r="GP281" t="e">
        <f>AND(#REF!,"AAAAADff/cU=")</f>
        <v>#REF!</v>
      </c>
      <c r="GQ281" t="e">
        <f>AND(#REF!,"AAAAADff/cY=")</f>
        <v>#REF!</v>
      </c>
      <c r="GR281" t="e">
        <f>AND(#REF!,"AAAAADff/cc=")</f>
        <v>#REF!</v>
      </c>
      <c r="GS281" t="e">
        <f>AND(#REF!,"AAAAADff/cg=")</f>
        <v>#REF!</v>
      </c>
      <c r="GT281" t="e">
        <f>IF(#REF!,"AAAAADff/ck=",0)</f>
        <v>#REF!</v>
      </c>
      <c r="GU281" t="e">
        <f>AND(#REF!,"AAAAADff/co=")</f>
        <v>#REF!</v>
      </c>
      <c r="GV281" t="e">
        <f>AND(#REF!,"AAAAADff/cs=")</f>
        <v>#REF!</v>
      </c>
      <c r="GW281" t="e">
        <f>AND(#REF!,"AAAAADff/cw=")</f>
        <v>#REF!</v>
      </c>
      <c r="GX281" t="e">
        <f>AND(#REF!,"AAAAADff/c0=")</f>
        <v>#REF!</v>
      </c>
      <c r="GY281" t="e">
        <f>AND(#REF!,"AAAAADff/c4=")</f>
        <v>#REF!</v>
      </c>
      <c r="GZ281" t="e">
        <f>AND(#REF!,"AAAAADff/c8=")</f>
        <v>#REF!</v>
      </c>
      <c r="HA281" t="e">
        <f>AND(#REF!,"AAAAADff/dA=")</f>
        <v>#REF!</v>
      </c>
      <c r="HB281" t="e">
        <f>AND(#REF!,"AAAAADff/dE=")</f>
        <v>#REF!</v>
      </c>
      <c r="HC281" t="e">
        <f>AND(#REF!,"AAAAADff/dI=")</f>
        <v>#REF!</v>
      </c>
      <c r="HD281" t="e">
        <f>AND(#REF!,"AAAAADff/dM=")</f>
        <v>#REF!</v>
      </c>
      <c r="HE281" t="e">
        <f>IF(#REF!,"AAAAADff/dQ=",0)</f>
        <v>#REF!</v>
      </c>
      <c r="HF281" t="e">
        <f>AND(#REF!,"AAAAADff/dU=")</f>
        <v>#REF!</v>
      </c>
      <c r="HG281" t="e">
        <f>AND(#REF!,"AAAAADff/dY=")</f>
        <v>#REF!</v>
      </c>
      <c r="HH281" t="e">
        <f>AND(#REF!,"AAAAADff/dc=")</f>
        <v>#REF!</v>
      </c>
      <c r="HI281" t="e">
        <f>AND(#REF!,"AAAAADff/dg=")</f>
        <v>#REF!</v>
      </c>
      <c r="HJ281" t="e">
        <f>AND(#REF!,"AAAAADff/dk=")</f>
        <v>#REF!</v>
      </c>
      <c r="HK281" t="e">
        <f>AND(#REF!,"AAAAADff/do=")</f>
        <v>#REF!</v>
      </c>
      <c r="HL281" t="e">
        <f>AND(#REF!,"AAAAADff/ds=")</f>
        <v>#REF!</v>
      </c>
      <c r="HM281" t="e">
        <f>AND(#REF!,"AAAAADff/dw=")</f>
        <v>#REF!</v>
      </c>
      <c r="HN281" t="e">
        <f>AND(#REF!,"AAAAADff/d0=")</f>
        <v>#REF!</v>
      </c>
      <c r="HO281" t="e">
        <f>AND(#REF!,"AAAAADff/d4=")</f>
        <v>#REF!</v>
      </c>
      <c r="HP281" t="e">
        <f>IF(#REF!,"AAAAADff/d8=",0)</f>
        <v>#REF!</v>
      </c>
      <c r="HQ281" t="e">
        <f>AND(#REF!,"AAAAADff/eA=")</f>
        <v>#REF!</v>
      </c>
      <c r="HR281" t="e">
        <f>AND(#REF!,"AAAAADff/eE=")</f>
        <v>#REF!</v>
      </c>
      <c r="HS281" t="e">
        <f>AND(#REF!,"AAAAADff/eI=")</f>
        <v>#REF!</v>
      </c>
      <c r="HT281" t="e">
        <f>AND(#REF!,"AAAAADff/eM=")</f>
        <v>#REF!</v>
      </c>
      <c r="HU281" t="e">
        <f>AND(#REF!,"AAAAADff/eQ=")</f>
        <v>#REF!</v>
      </c>
      <c r="HV281" t="e">
        <f>AND(#REF!,"AAAAADff/eU=")</f>
        <v>#REF!</v>
      </c>
      <c r="HW281" t="e">
        <f>AND(#REF!,"AAAAADff/eY=")</f>
        <v>#REF!</v>
      </c>
      <c r="HX281" t="e">
        <f>AND(#REF!,"AAAAADff/ec=")</f>
        <v>#REF!</v>
      </c>
      <c r="HY281" t="e">
        <f>AND(#REF!,"AAAAADff/eg=")</f>
        <v>#REF!</v>
      </c>
      <c r="HZ281" t="e">
        <f>AND(#REF!,"AAAAADff/ek=")</f>
        <v>#REF!</v>
      </c>
      <c r="IA281" t="e">
        <f>IF(#REF!,"AAAAADff/eo=",0)</f>
        <v>#REF!</v>
      </c>
      <c r="IB281" t="e">
        <f>AND(#REF!,"AAAAADff/es=")</f>
        <v>#REF!</v>
      </c>
      <c r="IC281" t="e">
        <f>AND(#REF!,"AAAAADff/ew=")</f>
        <v>#REF!</v>
      </c>
      <c r="ID281" t="e">
        <f>AND(#REF!,"AAAAADff/e0=")</f>
        <v>#REF!</v>
      </c>
      <c r="IE281" t="e">
        <f>AND(#REF!,"AAAAADff/e4=")</f>
        <v>#REF!</v>
      </c>
      <c r="IF281" t="e">
        <f>AND(#REF!,"AAAAADff/e8=")</f>
        <v>#REF!</v>
      </c>
      <c r="IG281" t="e">
        <f>AND(#REF!,"AAAAADff/fA=")</f>
        <v>#REF!</v>
      </c>
      <c r="IH281" t="e">
        <f>AND(#REF!,"AAAAADff/fE=")</f>
        <v>#REF!</v>
      </c>
      <c r="II281" t="e">
        <f>AND(#REF!,"AAAAADff/fI=")</f>
        <v>#REF!</v>
      </c>
      <c r="IJ281" t="e">
        <f>AND(#REF!,"AAAAADff/fM=")</f>
        <v>#REF!</v>
      </c>
      <c r="IK281" t="e">
        <f>AND(#REF!,"AAAAADff/fQ=")</f>
        <v>#REF!</v>
      </c>
      <c r="IL281" t="e">
        <f>IF(#REF!,"AAAAADff/fU=",0)</f>
        <v>#REF!</v>
      </c>
      <c r="IM281" t="e">
        <f>AND(#REF!,"AAAAADff/fY=")</f>
        <v>#REF!</v>
      </c>
      <c r="IN281" t="e">
        <f>AND(#REF!,"AAAAADff/fc=")</f>
        <v>#REF!</v>
      </c>
      <c r="IO281" t="e">
        <f>AND(#REF!,"AAAAADff/fg=")</f>
        <v>#REF!</v>
      </c>
      <c r="IP281" t="e">
        <f>AND(#REF!,"AAAAADff/fk=")</f>
        <v>#REF!</v>
      </c>
      <c r="IQ281" t="e">
        <f>AND(#REF!,"AAAAADff/fo=")</f>
        <v>#REF!</v>
      </c>
      <c r="IR281" t="e">
        <f>AND(#REF!,"AAAAADff/fs=")</f>
        <v>#REF!</v>
      </c>
      <c r="IS281" t="e">
        <f>AND(#REF!,"AAAAADff/fw=")</f>
        <v>#REF!</v>
      </c>
      <c r="IT281" t="e">
        <f>AND(#REF!,"AAAAADff/f0=")</f>
        <v>#REF!</v>
      </c>
      <c r="IU281" t="e">
        <f>AND(#REF!,"AAAAADff/f4=")</f>
        <v>#REF!</v>
      </c>
      <c r="IV281" t="e">
        <f>AND(#REF!,"AAAAADff/f8=")</f>
        <v>#REF!</v>
      </c>
    </row>
    <row r="282" spans="1:256" x14ac:dyDescent="0.25">
      <c r="A282" t="e">
        <f>IF(#REF!,"AAAAAG1bvgA=",0)</f>
        <v>#REF!</v>
      </c>
      <c r="B282" t="e">
        <f>AND(#REF!,"AAAAAG1bvgE=")</f>
        <v>#REF!</v>
      </c>
      <c r="C282" t="e">
        <f>AND(#REF!,"AAAAAG1bvgI=")</f>
        <v>#REF!</v>
      </c>
      <c r="D282" t="e">
        <f>AND(#REF!,"AAAAAG1bvgM=")</f>
        <v>#REF!</v>
      </c>
      <c r="E282" t="e">
        <f>AND(#REF!,"AAAAAG1bvgQ=")</f>
        <v>#REF!</v>
      </c>
      <c r="F282" t="e">
        <f>AND(#REF!,"AAAAAG1bvgU=")</f>
        <v>#REF!</v>
      </c>
      <c r="G282" t="e">
        <f>AND(#REF!,"AAAAAG1bvgY=")</f>
        <v>#REF!</v>
      </c>
      <c r="H282" t="e">
        <f>AND(#REF!,"AAAAAG1bvgc=")</f>
        <v>#REF!</v>
      </c>
      <c r="I282" t="e">
        <f>AND(#REF!,"AAAAAG1bvgg=")</f>
        <v>#REF!</v>
      </c>
      <c r="J282" t="e">
        <f>AND(#REF!,"AAAAAG1bvgk=")</f>
        <v>#REF!</v>
      </c>
      <c r="K282" t="e">
        <f>AND(#REF!,"AAAAAG1bvgo=")</f>
        <v>#REF!</v>
      </c>
      <c r="L282" t="e">
        <f>IF(#REF!,"AAAAAG1bvgs=",0)</f>
        <v>#REF!</v>
      </c>
      <c r="M282" t="e">
        <f>AND(#REF!,"AAAAAG1bvgw=")</f>
        <v>#REF!</v>
      </c>
      <c r="N282" t="e">
        <f>AND(#REF!,"AAAAAG1bvg0=")</f>
        <v>#REF!</v>
      </c>
      <c r="O282" t="e">
        <f>AND(#REF!,"AAAAAG1bvg4=")</f>
        <v>#REF!</v>
      </c>
      <c r="P282" t="e">
        <f>AND(#REF!,"AAAAAG1bvg8=")</f>
        <v>#REF!</v>
      </c>
      <c r="Q282" t="e">
        <f>AND(#REF!,"AAAAAG1bvhA=")</f>
        <v>#REF!</v>
      </c>
      <c r="R282" t="e">
        <f>AND(#REF!,"AAAAAG1bvhE=")</f>
        <v>#REF!</v>
      </c>
      <c r="S282" t="e">
        <f>AND(#REF!,"AAAAAG1bvhI=")</f>
        <v>#REF!</v>
      </c>
      <c r="T282" t="e">
        <f>AND(#REF!,"AAAAAG1bvhM=")</f>
        <v>#REF!</v>
      </c>
      <c r="U282" t="e">
        <f>AND(#REF!,"AAAAAG1bvhQ=")</f>
        <v>#REF!</v>
      </c>
      <c r="V282" t="e">
        <f>AND(#REF!,"AAAAAG1bvhU=")</f>
        <v>#REF!</v>
      </c>
      <c r="W282" t="e">
        <f>IF(#REF!,"AAAAAG1bvhY=",0)</f>
        <v>#REF!</v>
      </c>
      <c r="X282" t="e">
        <f>AND(#REF!,"AAAAAG1bvhc=")</f>
        <v>#REF!</v>
      </c>
      <c r="Y282" t="e">
        <f>AND(#REF!,"AAAAAG1bvhg=")</f>
        <v>#REF!</v>
      </c>
      <c r="Z282" t="e">
        <f>AND(#REF!,"AAAAAG1bvhk=")</f>
        <v>#REF!</v>
      </c>
      <c r="AA282" t="e">
        <f>AND(#REF!,"AAAAAG1bvho=")</f>
        <v>#REF!</v>
      </c>
      <c r="AB282" t="e">
        <f>AND(#REF!,"AAAAAG1bvhs=")</f>
        <v>#REF!</v>
      </c>
      <c r="AC282" t="e">
        <f>AND(#REF!,"AAAAAG1bvhw=")</f>
        <v>#REF!</v>
      </c>
      <c r="AD282" t="e">
        <f>AND(#REF!,"AAAAAG1bvh0=")</f>
        <v>#REF!</v>
      </c>
      <c r="AE282" t="e">
        <f>AND(#REF!,"AAAAAG1bvh4=")</f>
        <v>#REF!</v>
      </c>
      <c r="AF282" t="e">
        <f>AND(#REF!,"AAAAAG1bvh8=")</f>
        <v>#REF!</v>
      </c>
      <c r="AG282" t="e">
        <f>AND(#REF!,"AAAAAG1bviA=")</f>
        <v>#REF!</v>
      </c>
      <c r="AH282" t="e">
        <f>IF(#REF!,"AAAAAG1bviE=",0)</f>
        <v>#REF!</v>
      </c>
      <c r="AI282" t="e">
        <f>AND(#REF!,"AAAAAG1bviI=")</f>
        <v>#REF!</v>
      </c>
      <c r="AJ282" t="e">
        <f>AND(#REF!,"AAAAAG1bviM=")</f>
        <v>#REF!</v>
      </c>
      <c r="AK282" t="e">
        <f>AND(#REF!,"AAAAAG1bviQ=")</f>
        <v>#REF!</v>
      </c>
      <c r="AL282" t="e">
        <f>AND(#REF!,"AAAAAG1bviU=")</f>
        <v>#REF!</v>
      </c>
      <c r="AM282" t="e">
        <f>AND(#REF!,"AAAAAG1bviY=")</f>
        <v>#REF!</v>
      </c>
      <c r="AN282" t="e">
        <f>AND(#REF!,"AAAAAG1bvic=")</f>
        <v>#REF!</v>
      </c>
      <c r="AO282" t="e">
        <f>AND(#REF!,"AAAAAG1bvig=")</f>
        <v>#REF!</v>
      </c>
      <c r="AP282" t="e">
        <f>AND(#REF!,"AAAAAG1bvik=")</f>
        <v>#REF!</v>
      </c>
      <c r="AQ282" t="e">
        <f>AND(#REF!,"AAAAAG1bvio=")</f>
        <v>#REF!</v>
      </c>
      <c r="AR282" t="e">
        <f>AND(#REF!,"AAAAAG1bvis=")</f>
        <v>#REF!</v>
      </c>
      <c r="AS282" t="e">
        <f>IF(#REF!,"AAAAAG1bviw=",0)</f>
        <v>#REF!</v>
      </c>
      <c r="AT282" t="e">
        <f>AND(#REF!,"AAAAAG1bvi0=")</f>
        <v>#REF!</v>
      </c>
      <c r="AU282" t="e">
        <f>AND(#REF!,"AAAAAG1bvi4=")</f>
        <v>#REF!</v>
      </c>
      <c r="AV282" t="e">
        <f>AND(#REF!,"AAAAAG1bvi8=")</f>
        <v>#REF!</v>
      </c>
      <c r="AW282" t="e">
        <f>AND(#REF!,"AAAAAG1bvjA=")</f>
        <v>#REF!</v>
      </c>
      <c r="AX282" t="e">
        <f>AND(#REF!,"AAAAAG1bvjE=")</f>
        <v>#REF!</v>
      </c>
      <c r="AY282" t="e">
        <f>AND(#REF!,"AAAAAG1bvjI=")</f>
        <v>#REF!</v>
      </c>
      <c r="AZ282" t="e">
        <f>AND(#REF!,"AAAAAG1bvjM=")</f>
        <v>#REF!</v>
      </c>
      <c r="BA282" t="e">
        <f>AND(#REF!,"AAAAAG1bvjQ=")</f>
        <v>#REF!</v>
      </c>
      <c r="BB282" t="e">
        <f>AND(#REF!,"AAAAAG1bvjU=")</f>
        <v>#REF!</v>
      </c>
      <c r="BC282" t="e">
        <f>AND(#REF!,"AAAAAG1bvjY=")</f>
        <v>#REF!</v>
      </c>
      <c r="BD282" t="e">
        <f>IF(#REF!,"AAAAAG1bvjc=",0)</f>
        <v>#REF!</v>
      </c>
      <c r="BE282" t="e">
        <f>AND(#REF!,"AAAAAG1bvjg=")</f>
        <v>#REF!</v>
      </c>
      <c r="BF282" t="e">
        <f>AND(#REF!,"AAAAAG1bvjk=")</f>
        <v>#REF!</v>
      </c>
      <c r="BG282" t="e">
        <f>AND(#REF!,"AAAAAG1bvjo=")</f>
        <v>#REF!</v>
      </c>
      <c r="BH282" t="e">
        <f>AND(#REF!,"AAAAAG1bvjs=")</f>
        <v>#REF!</v>
      </c>
      <c r="BI282" t="e">
        <f>AND(#REF!,"AAAAAG1bvjw=")</f>
        <v>#REF!</v>
      </c>
      <c r="BJ282" t="e">
        <f>AND(#REF!,"AAAAAG1bvj0=")</f>
        <v>#REF!</v>
      </c>
      <c r="BK282" t="e">
        <f>AND(#REF!,"AAAAAG1bvj4=")</f>
        <v>#REF!</v>
      </c>
      <c r="BL282" t="e">
        <f>AND(#REF!,"AAAAAG1bvj8=")</f>
        <v>#REF!</v>
      </c>
      <c r="BM282" t="e">
        <f>AND(#REF!,"AAAAAG1bvkA=")</f>
        <v>#REF!</v>
      </c>
      <c r="BN282" t="e">
        <f>AND(#REF!,"AAAAAG1bvkE=")</f>
        <v>#REF!</v>
      </c>
      <c r="BO282" t="e">
        <f>IF(#REF!,"AAAAAG1bvkI=",0)</f>
        <v>#REF!</v>
      </c>
      <c r="BP282" t="e">
        <f>AND(#REF!,"AAAAAG1bvkM=")</f>
        <v>#REF!</v>
      </c>
      <c r="BQ282" t="e">
        <f>AND(#REF!,"AAAAAG1bvkQ=")</f>
        <v>#REF!</v>
      </c>
      <c r="BR282" t="e">
        <f>AND(#REF!,"AAAAAG1bvkU=")</f>
        <v>#REF!</v>
      </c>
      <c r="BS282" t="e">
        <f>AND(#REF!,"AAAAAG1bvkY=")</f>
        <v>#REF!</v>
      </c>
      <c r="BT282" t="e">
        <f>AND(#REF!,"AAAAAG1bvkc=")</f>
        <v>#REF!</v>
      </c>
      <c r="BU282" t="e">
        <f>AND(#REF!,"AAAAAG1bvkg=")</f>
        <v>#REF!</v>
      </c>
      <c r="BV282" t="e">
        <f>AND(#REF!,"AAAAAG1bvkk=")</f>
        <v>#REF!</v>
      </c>
      <c r="BW282" t="e">
        <f>AND(#REF!,"AAAAAG1bvko=")</f>
        <v>#REF!</v>
      </c>
      <c r="BX282" t="e">
        <f>AND(#REF!,"AAAAAG1bvks=")</f>
        <v>#REF!</v>
      </c>
      <c r="BY282" t="e">
        <f>AND(#REF!,"AAAAAG1bvkw=")</f>
        <v>#REF!</v>
      </c>
      <c r="BZ282" t="e">
        <f>IF(#REF!,"AAAAAG1bvk0=",0)</f>
        <v>#REF!</v>
      </c>
      <c r="CA282" t="e">
        <f>AND(#REF!,"AAAAAG1bvk4=")</f>
        <v>#REF!</v>
      </c>
      <c r="CB282" t="e">
        <f>AND(#REF!,"AAAAAG1bvk8=")</f>
        <v>#REF!</v>
      </c>
      <c r="CC282" t="e">
        <f>AND(#REF!,"AAAAAG1bvlA=")</f>
        <v>#REF!</v>
      </c>
      <c r="CD282" t="e">
        <f>AND(#REF!,"AAAAAG1bvlE=")</f>
        <v>#REF!</v>
      </c>
      <c r="CE282" t="e">
        <f>AND(#REF!,"AAAAAG1bvlI=")</f>
        <v>#REF!</v>
      </c>
      <c r="CF282" t="e">
        <f>AND(#REF!,"AAAAAG1bvlM=")</f>
        <v>#REF!</v>
      </c>
      <c r="CG282" t="e">
        <f>AND(#REF!,"AAAAAG1bvlQ=")</f>
        <v>#REF!</v>
      </c>
      <c r="CH282" t="e">
        <f>AND(#REF!,"AAAAAG1bvlU=")</f>
        <v>#REF!</v>
      </c>
      <c r="CI282" t="e">
        <f>AND(#REF!,"AAAAAG1bvlY=")</f>
        <v>#REF!</v>
      </c>
      <c r="CJ282" t="e">
        <f>AND(#REF!,"AAAAAG1bvlc=")</f>
        <v>#REF!</v>
      </c>
      <c r="CK282" t="e">
        <f>IF(#REF!,"AAAAAG1bvlg=",0)</f>
        <v>#REF!</v>
      </c>
      <c r="CL282" t="e">
        <f>AND(#REF!,"AAAAAG1bvlk=")</f>
        <v>#REF!</v>
      </c>
      <c r="CM282" t="e">
        <f>AND(#REF!,"AAAAAG1bvlo=")</f>
        <v>#REF!</v>
      </c>
      <c r="CN282" t="e">
        <f>AND(#REF!,"AAAAAG1bvls=")</f>
        <v>#REF!</v>
      </c>
      <c r="CO282" t="e">
        <f>AND(#REF!,"AAAAAG1bvlw=")</f>
        <v>#REF!</v>
      </c>
      <c r="CP282" t="e">
        <f>AND(#REF!,"AAAAAG1bvl0=")</f>
        <v>#REF!</v>
      </c>
      <c r="CQ282" t="e">
        <f>AND(#REF!,"AAAAAG1bvl4=")</f>
        <v>#REF!</v>
      </c>
      <c r="CR282" t="e">
        <f>AND(#REF!,"AAAAAG1bvl8=")</f>
        <v>#REF!</v>
      </c>
      <c r="CS282" t="e">
        <f>AND(#REF!,"AAAAAG1bvmA=")</f>
        <v>#REF!</v>
      </c>
      <c r="CT282" t="e">
        <f>AND(#REF!,"AAAAAG1bvmE=")</f>
        <v>#REF!</v>
      </c>
      <c r="CU282" t="e">
        <f>AND(#REF!,"AAAAAG1bvmI=")</f>
        <v>#REF!</v>
      </c>
      <c r="CV282" t="e">
        <f>IF(#REF!,"AAAAAG1bvmM=",0)</f>
        <v>#REF!</v>
      </c>
      <c r="CW282" t="e">
        <f>AND(#REF!,"AAAAAG1bvmQ=")</f>
        <v>#REF!</v>
      </c>
      <c r="CX282" t="e">
        <f>AND(#REF!,"AAAAAG1bvmU=")</f>
        <v>#REF!</v>
      </c>
      <c r="CY282" t="e">
        <f>AND(#REF!,"AAAAAG1bvmY=")</f>
        <v>#REF!</v>
      </c>
      <c r="CZ282" t="e">
        <f>AND(#REF!,"AAAAAG1bvmc=")</f>
        <v>#REF!</v>
      </c>
      <c r="DA282" t="e">
        <f>AND(#REF!,"AAAAAG1bvmg=")</f>
        <v>#REF!</v>
      </c>
      <c r="DB282" t="e">
        <f>AND(#REF!,"AAAAAG1bvmk=")</f>
        <v>#REF!</v>
      </c>
      <c r="DC282" t="e">
        <f>AND(#REF!,"AAAAAG1bvmo=")</f>
        <v>#REF!</v>
      </c>
      <c r="DD282" t="e">
        <f>AND(#REF!,"AAAAAG1bvms=")</f>
        <v>#REF!</v>
      </c>
      <c r="DE282" t="e">
        <f>AND(#REF!,"AAAAAG1bvmw=")</f>
        <v>#REF!</v>
      </c>
      <c r="DF282" t="e">
        <f>AND(#REF!,"AAAAAG1bvm0=")</f>
        <v>#REF!</v>
      </c>
      <c r="DG282" t="e">
        <f>IF(#REF!,"AAAAAG1bvm4=",0)</f>
        <v>#REF!</v>
      </c>
      <c r="DH282" t="e">
        <f>AND(#REF!,"AAAAAG1bvm8=")</f>
        <v>#REF!</v>
      </c>
      <c r="DI282" t="e">
        <f>AND(#REF!,"AAAAAG1bvnA=")</f>
        <v>#REF!</v>
      </c>
      <c r="DJ282" t="e">
        <f>AND(#REF!,"AAAAAG1bvnE=")</f>
        <v>#REF!</v>
      </c>
      <c r="DK282" t="e">
        <f>AND(#REF!,"AAAAAG1bvnI=")</f>
        <v>#REF!</v>
      </c>
      <c r="DL282" t="e">
        <f>AND(#REF!,"AAAAAG1bvnM=")</f>
        <v>#REF!</v>
      </c>
      <c r="DM282" t="e">
        <f>AND(#REF!,"AAAAAG1bvnQ=")</f>
        <v>#REF!</v>
      </c>
      <c r="DN282" t="e">
        <f>AND(#REF!,"AAAAAG1bvnU=")</f>
        <v>#REF!</v>
      </c>
      <c r="DO282" t="e">
        <f>AND(#REF!,"AAAAAG1bvnY=")</f>
        <v>#REF!</v>
      </c>
      <c r="DP282" t="e">
        <f>AND(#REF!,"AAAAAG1bvnc=")</f>
        <v>#REF!</v>
      </c>
      <c r="DQ282" t="e">
        <f>AND(#REF!,"AAAAAG1bvng=")</f>
        <v>#REF!</v>
      </c>
      <c r="DR282" t="e">
        <f>IF(#REF!,"AAAAAG1bvnk=",0)</f>
        <v>#REF!</v>
      </c>
      <c r="DS282" t="e">
        <f>AND(#REF!,"AAAAAG1bvno=")</f>
        <v>#REF!</v>
      </c>
      <c r="DT282" t="e">
        <f>AND(#REF!,"AAAAAG1bvns=")</f>
        <v>#REF!</v>
      </c>
      <c r="DU282" t="e">
        <f>AND(#REF!,"AAAAAG1bvnw=")</f>
        <v>#REF!</v>
      </c>
      <c r="DV282" t="e">
        <f>AND(#REF!,"AAAAAG1bvn0=")</f>
        <v>#REF!</v>
      </c>
      <c r="DW282" t="e">
        <f>AND(#REF!,"AAAAAG1bvn4=")</f>
        <v>#REF!</v>
      </c>
      <c r="DX282" t="e">
        <f>AND(#REF!,"AAAAAG1bvn8=")</f>
        <v>#REF!</v>
      </c>
      <c r="DY282" t="e">
        <f>AND(#REF!,"AAAAAG1bvoA=")</f>
        <v>#REF!</v>
      </c>
      <c r="DZ282" t="e">
        <f>AND(#REF!,"AAAAAG1bvoE=")</f>
        <v>#REF!</v>
      </c>
      <c r="EA282" t="e">
        <f>AND(#REF!,"AAAAAG1bvoI=")</f>
        <v>#REF!</v>
      </c>
      <c r="EB282" t="e">
        <f>AND(#REF!,"AAAAAG1bvoM=")</f>
        <v>#REF!</v>
      </c>
      <c r="EC282" t="e">
        <f>IF(#REF!,"AAAAAG1bvoQ=",0)</f>
        <v>#REF!</v>
      </c>
      <c r="ED282" t="e">
        <f>AND(#REF!,"AAAAAG1bvoU=")</f>
        <v>#REF!</v>
      </c>
      <c r="EE282" t="e">
        <f>AND(#REF!,"AAAAAG1bvoY=")</f>
        <v>#REF!</v>
      </c>
      <c r="EF282" t="e">
        <f>AND(#REF!,"AAAAAG1bvoc=")</f>
        <v>#REF!</v>
      </c>
      <c r="EG282" t="e">
        <f>AND(#REF!,"AAAAAG1bvog=")</f>
        <v>#REF!</v>
      </c>
      <c r="EH282" t="e">
        <f>AND(#REF!,"AAAAAG1bvok=")</f>
        <v>#REF!</v>
      </c>
      <c r="EI282" t="e">
        <f>AND(#REF!,"AAAAAG1bvoo=")</f>
        <v>#REF!</v>
      </c>
      <c r="EJ282" t="e">
        <f>AND(#REF!,"AAAAAG1bvos=")</f>
        <v>#REF!</v>
      </c>
      <c r="EK282" t="e">
        <f>AND(#REF!,"AAAAAG1bvow=")</f>
        <v>#REF!</v>
      </c>
      <c r="EL282" t="e">
        <f>AND(#REF!,"AAAAAG1bvo0=")</f>
        <v>#REF!</v>
      </c>
      <c r="EM282" t="e">
        <f>AND(#REF!,"AAAAAG1bvo4=")</f>
        <v>#REF!</v>
      </c>
      <c r="EN282" t="e">
        <f>IF(#REF!,"AAAAAG1bvo8=",0)</f>
        <v>#REF!</v>
      </c>
      <c r="EO282" t="e">
        <f>AND(#REF!,"AAAAAG1bvpA=")</f>
        <v>#REF!</v>
      </c>
      <c r="EP282" t="e">
        <f>AND(#REF!,"AAAAAG1bvpE=")</f>
        <v>#REF!</v>
      </c>
      <c r="EQ282" t="e">
        <f>AND(#REF!,"AAAAAG1bvpI=")</f>
        <v>#REF!</v>
      </c>
      <c r="ER282" t="e">
        <f>AND(#REF!,"AAAAAG1bvpM=")</f>
        <v>#REF!</v>
      </c>
      <c r="ES282" t="e">
        <f>AND(#REF!,"AAAAAG1bvpQ=")</f>
        <v>#REF!</v>
      </c>
      <c r="ET282" t="e">
        <f>AND(#REF!,"AAAAAG1bvpU=")</f>
        <v>#REF!</v>
      </c>
      <c r="EU282" t="e">
        <f>AND(#REF!,"AAAAAG1bvpY=")</f>
        <v>#REF!</v>
      </c>
      <c r="EV282" t="e">
        <f>AND(#REF!,"AAAAAG1bvpc=")</f>
        <v>#REF!</v>
      </c>
      <c r="EW282" t="e">
        <f>AND(#REF!,"AAAAAG1bvpg=")</f>
        <v>#REF!</v>
      </c>
      <c r="EX282" t="e">
        <f>AND(#REF!,"AAAAAG1bvpk=")</f>
        <v>#REF!</v>
      </c>
      <c r="EY282" t="e">
        <f>IF(#REF!,"AAAAAG1bvpo=",0)</f>
        <v>#REF!</v>
      </c>
      <c r="EZ282" t="e">
        <f>AND(#REF!,"AAAAAG1bvps=")</f>
        <v>#REF!</v>
      </c>
      <c r="FA282" t="e">
        <f>AND(#REF!,"AAAAAG1bvpw=")</f>
        <v>#REF!</v>
      </c>
      <c r="FB282" t="e">
        <f>AND(#REF!,"AAAAAG1bvp0=")</f>
        <v>#REF!</v>
      </c>
      <c r="FC282" t="e">
        <f>AND(#REF!,"AAAAAG1bvp4=")</f>
        <v>#REF!</v>
      </c>
      <c r="FD282" t="e">
        <f>AND(#REF!,"AAAAAG1bvp8=")</f>
        <v>#REF!</v>
      </c>
      <c r="FE282" t="e">
        <f>AND(#REF!,"AAAAAG1bvqA=")</f>
        <v>#REF!</v>
      </c>
      <c r="FF282" t="e">
        <f>AND(#REF!,"AAAAAG1bvqE=")</f>
        <v>#REF!</v>
      </c>
      <c r="FG282" t="e">
        <f>AND(#REF!,"AAAAAG1bvqI=")</f>
        <v>#REF!</v>
      </c>
      <c r="FH282" t="e">
        <f>AND(#REF!,"AAAAAG1bvqM=")</f>
        <v>#REF!</v>
      </c>
      <c r="FI282" t="e">
        <f>AND(#REF!,"AAAAAG1bvqQ=")</f>
        <v>#REF!</v>
      </c>
      <c r="FJ282" t="e">
        <f>IF(#REF!,"AAAAAG1bvqU=",0)</f>
        <v>#REF!</v>
      </c>
      <c r="FK282" t="e">
        <f>AND(#REF!,"AAAAAG1bvqY=")</f>
        <v>#REF!</v>
      </c>
      <c r="FL282" t="e">
        <f>AND(#REF!,"AAAAAG1bvqc=")</f>
        <v>#REF!</v>
      </c>
      <c r="FM282" t="e">
        <f>AND(#REF!,"AAAAAG1bvqg=")</f>
        <v>#REF!</v>
      </c>
      <c r="FN282" t="e">
        <f>AND(#REF!,"AAAAAG1bvqk=")</f>
        <v>#REF!</v>
      </c>
      <c r="FO282" t="e">
        <f>AND(#REF!,"AAAAAG1bvqo=")</f>
        <v>#REF!</v>
      </c>
      <c r="FP282" t="e">
        <f>AND(#REF!,"AAAAAG1bvqs=")</f>
        <v>#REF!</v>
      </c>
      <c r="FQ282" t="e">
        <f>AND(#REF!,"AAAAAG1bvqw=")</f>
        <v>#REF!</v>
      </c>
      <c r="FR282" t="e">
        <f>AND(#REF!,"AAAAAG1bvq0=")</f>
        <v>#REF!</v>
      </c>
      <c r="FS282" t="e">
        <f>AND(#REF!,"AAAAAG1bvq4=")</f>
        <v>#REF!</v>
      </c>
      <c r="FT282" t="e">
        <f>AND(#REF!,"AAAAAG1bvq8=")</f>
        <v>#REF!</v>
      </c>
      <c r="FU282" t="e">
        <f>IF(#REF!,"AAAAAG1bvrA=",0)</f>
        <v>#REF!</v>
      </c>
      <c r="FV282" t="e">
        <f>AND(#REF!,"AAAAAG1bvrE=")</f>
        <v>#REF!</v>
      </c>
      <c r="FW282" t="e">
        <f>AND(#REF!,"AAAAAG1bvrI=")</f>
        <v>#REF!</v>
      </c>
      <c r="FX282" t="e">
        <f>AND(#REF!,"AAAAAG1bvrM=")</f>
        <v>#REF!</v>
      </c>
      <c r="FY282" t="e">
        <f>AND(#REF!,"AAAAAG1bvrQ=")</f>
        <v>#REF!</v>
      </c>
      <c r="FZ282" t="e">
        <f>AND(#REF!,"AAAAAG1bvrU=")</f>
        <v>#REF!</v>
      </c>
      <c r="GA282" t="e">
        <f>AND(#REF!,"AAAAAG1bvrY=")</f>
        <v>#REF!</v>
      </c>
      <c r="GB282" t="e">
        <f>AND(#REF!,"AAAAAG1bvrc=")</f>
        <v>#REF!</v>
      </c>
      <c r="GC282" t="e">
        <f>AND(#REF!,"AAAAAG1bvrg=")</f>
        <v>#REF!</v>
      </c>
      <c r="GD282" t="e">
        <f>AND(#REF!,"AAAAAG1bvrk=")</f>
        <v>#REF!</v>
      </c>
      <c r="GE282" t="e">
        <f>AND(#REF!,"AAAAAG1bvro=")</f>
        <v>#REF!</v>
      </c>
      <c r="GF282" t="e">
        <f>IF(#REF!,"AAAAAG1bvrs=",0)</f>
        <v>#REF!</v>
      </c>
      <c r="GG282" t="e">
        <f>AND(#REF!,"AAAAAG1bvrw=")</f>
        <v>#REF!</v>
      </c>
      <c r="GH282" t="e">
        <f>AND(#REF!,"AAAAAG1bvr0=")</f>
        <v>#REF!</v>
      </c>
      <c r="GI282" t="e">
        <f>AND(#REF!,"AAAAAG1bvr4=")</f>
        <v>#REF!</v>
      </c>
      <c r="GJ282" t="e">
        <f>AND(#REF!,"AAAAAG1bvr8=")</f>
        <v>#REF!</v>
      </c>
      <c r="GK282" t="e">
        <f>AND(#REF!,"AAAAAG1bvsA=")</f>
        <v>#REF!</v>
      </c>
      <c r="GL282" t="e">
        <f>AND(#REF!,"AAAAAG1bvsE=")</f>
        <v>#REF!</v>
      </c>
      <c r="GM282" t="e">
        <f>AND(#REF!,"AAAAAG1bvsI=")</f>
        <v>#REF!</v>
      </c>
      <c r="GN282" t="e">
        <f>AND(#REF!,"AAAAAG1bvsM=")</f>
        <v>#REF!</v>
      </c>
      <c r="GO282" t="e">
        <f>AND(#REF!,"AAAAAG1bvsQ=")</f>
        <v>#REF!</v>
      </c>
      <c r="GP282" t="e">
        <f>AND(#REF!,"AAAAAG1bvsU=")</f>
        <v>#REF!</v>
      </c>
      <c r="GQ282" t="e">
        <f>IF(#REF!,"AAAAAG1bvsY=",0)</f>
        <v>#REF!</v>
      </c>
      <c r="GR282" t="e">
        <f>AND(#REF!,"AAAAAG1bvsc=")</f>
        <v>#REF!</v>
      </c>
      <c r="GS282" t="e">
        <f>AND(#REF!,"AAAAAG1bvsg=")</f>
        <v>#REF!</v>
      </c>
      <c r="GT282" t="e">
        <f>AND(#REF!,"AAAAAG1bvsk=")</f>
        <v>#REF!</v>
      </c>
      <c r="GU282" t="e">
        <f>AND(#REF!,"AAAAAG1bvso=")</f>
        <v>#REF!</v>
      </c>
      <c r="GV282" t="e">
        <f>AND(#REF!,"AAAAAG1bvss=")</f>
        <v>#REF!</v>
      </c>
      <c r="GW282" t="e">
        <f>AND(#REF!,"AAAAAG1bvsw=")</f>
        <v>#REF!</v>
      </c>
      <c r="GX282" t="e">
        <f>AND(#REF!,"AAAAAG1bvs0=")</f>
        <v>#REF!</v>
      </c>
      <c r="GY282" t="e">
        <f>AND(#REF!,"AAAAAG1bvs4=")</f>
        <v>#REF!</v>
      </c>
      <c r="GZ282" t="e">
        <f>AND(#REF!,"AAAAAG1bvs8=")</f>
        <v>#REF!</v>
      </c>
      <c r="HA282" t="e">
        <f>AND(#REF!,"AAAAAG1bvtA=")</f>
        <v>#REF!</v>
      </c>
      <c r="HB282" t="e">
        <f>IF(#REF!,"AAAAAG1bvtE=",0)</f>
        <v>#REF!</v>
      </c>
      <c r="HC282" t="e">
        <f>AND(#REF!,"AAAAAG1bvtI=")</f>
        <v>#REF!</v>
      </c>
      <c r="HD282" t="e">
        <f>AND(#REF!,"AAAAAG1bvtM=")</f>
        <v>#REF!</v>
      </c>
      <c r="HE282" t="e">
        <f>AND(#REF!,"AAAAAG1bvtQ=")</f>
        <v>#REF!</v>
      </c>
      <c r="HF282" t="e">
        <f>AND(#REF!,"AAAAAG1bvtU=")</f>
        <v>#REF!</v>
      </c>
      <c r="HG282" t="e">
        <f>AND(#REF!,"AAAAAG1bvtY=")</f>
        <v>#REF!</v>
      </c>
      <c r="HH282" t="e">
        <f>AND(#REF!,"AAAAAG1bvtc=")</f>
        <v>#REF!</v>
      </c>
      <c r="HI282" t="e">
        <f>AND(#REF!,"AAAAAG1bvtg=")</f>
        <v>#REF!</v>
      </c>
      <c r="HJ282" t="e">
        <f>AND(#REF!,"AAAAAG1bvtk=")</f>
        <v>#REF!</v>
      </c>
      <c r="HK282" t="e">
        <f>AND(#REF!,"AAAAAG1bvto=")</f>
        <v>#REF!</v>
      </c>
      <c r="HL282" t="e">
        <f>AND(#REF!,"AAAAAG1bvts=")</f>
        <v>#REF!</v>
      </c>
      <c r="HM282" t="e">
        <f>IF(#REF!,"AAAAAG1bvtw=",0)</f>
        <v>#REF!</v>
      </c>
      <c r="HN282" t="e">
        <f>AND(#REF!,"AAAAAG1bvt0=")</f>
        <v>#REF!</v>
      </c>
      <c r="HO282" t="e">
        <f>AND(#REF!,"AAAAAG1bvt4=")</f>
        <v>#REF!</v>
      </c>
      <c r="HP282" t="e">
        <f>AND(#REF!,"AAAAAG1bvt8=")</f>
        <v>#REF!</v>
      </c>
      <c r="HQ282" t="e">
        <f>AND(#REF!,"AAAAAG1bvuA=")</f>
        <v>#REF!</v>
      </c>
      <c r="HR282" t="e">
        <f>AND(#REF!,"AAAAAG1bvuE=")</f>
        <v>#REF!</v>
      </c>
      <c r="HS282" t="e">
        <f>AND(#REF!,"AAAAAG1bvuI=")</f>
        <v>#REF!</v>
      </c>
      <c r="HT282" t="e">
        <f>AND(#REF!,"AAAAAG1bvuM=")</f>
        <v>#REF!</v>
      </c>
      <c r="HU282" t="e">
        <f>AND(#REF!,"AAAAAG1bvuQ=")</f>
        <v>#REF!</v>
      </c>
      <c r="HV282" t="e">
        <f>AND(#REF!,"AAAAAG1bvuU=")</f>
        <v>#REF!</v>
      </c>
      <c r="HW282" t="e">
        <f>AND(#REF!,"AAAAAG1bvuY=")</f>
        <v>#REF!</v>
      </c>
      <c r="HX282" t="e">
        <f>IF(#REF!,"AAAAAG1bvuc=",0)</f>
        <v>#REF!</v>
      </c>
      <c r="HY282" t="e">
        <f>AND(#REF!,"AAAAAG1bvug=")</f>
        <v>#REF!</v>
      </c>
      <c r="HZ282" t="e">
        <f>AND(#REF!,"AAAAAG1bvuk=")</f>
        <v>#REF!</v>
      </c>
      <c r="IA282" t="e">
        <f>AND(#REF!,"AAAAAG1bvuo=")</f>
        <v>#REF!</v>
      </c>
      <c r="IB282" t="e">
        <f>AND(#REF!,"AAAAAG1bvus=")</f>
        <v>#REF!</v>
      </c>
      <c r="IC282" t="e">
        <f>AND(#REF!,"AAAAAG1bvuw=")</f>
        <v>#REF!</v>
      </c>
      <c r="ID282" t="e">
        <f>AND(#REF!,"AAAAAG1bvu0=")</f>
        <v>#REF!</v>
      </c>
      <c r="IE282" t="e">
        <f>AND(#REF!,"AAAAAG1bvu4=")</f>
        <v>#REF!</v>
      </c>
      <c r="IF282" t="e">
        <f>AND(#REF!,"AAAAAG1bvu8=")</f>
        <v>#REF!</v>
      </c>
      <c r="IG282" t="e">
        <f>AND(#REF!,"AAAAAG1bvvA=")</f>
        <v>#REF!</v>
      </c>
      <c r="IH282" t="e">
        <f>AND(#REF!,"AAAAAG1bvvE=")</f>
        <v>#REF!</v>
      </c>
      <c r="II282" t="e">
        <f>IF(#REF!,"AAAAAG1bvvI=",0)</f>
        <v>#REF!</v>
      </c>
      <c r="IJ282" t="e">
        <f>AND(#REF!,"AAAAAG1bvvM=")</f>
        <v>#REF!</v>
      </c>
      <c r="IK282" t="e">
        <f>AND(#REF!,"AAAAAG1bvvQ=")</f>
        <v>#REF!</v>
      </c>
      <c r="IL282" t="e">
        <f>AND(#REF!,"AAAAAG1bvvU=")</f>
        <v>#REF!</v>
      </c>
      <c r="IM282" t="e">
        <f>AND(#REF!,"AAAAAG1bvvY=")</f>
        <v>#REF!</v>
      </c>
      <c r="IN282" t="e">
        <f>AND(#REF!,"AAAAAG1bvvc=")</f>
        <v>#REF!</v>
      </c>
      <c r="IO282" t="e">
        <f>AND(#REF!,"AAAAAG1bvvg=")</f>
        <v>#REF!</v>
      </c>
      <c r="IP282" t="e">
        <f>AND(#REF!,"AAAAAG1bvvk=")</f>
        <v>#REF!</v>
      </c>
      <c r="IQ282" t="e">
        <f>AND(#REF!,"AAAAAG1bvvo=")</f>
        <v>#REF!</v>
      </c>
      <c r="IR282" t="e">
        <f>AND(#REF!,"AAAAAG1bvvs=")</f>
        <v>#REF!</v>
      </c>
      <c r="IS282" t="e">
        <f>AND(#REF!,"AAAAAG1bvvw=")</f>
        <v>#REF!</v>
      </c>
      <c r="IT282" t="e">
        <f>IF(#REF!,"AAAAAG1bvv0=",0)</f>
        <v>#REF!</v>
      </c>
      <c r="IU282" t="e">
        <f>AND(#REF!,"AAAAAG1bvv4=")</f>
        <v>#REF!</v>
      </c>
      <c r="IV282" t="e">
        <f>AND(#REF!,"AAAAAG1bvv8=")</f>
        <v>#REF!</v>
      </c>
    </row>
    <row r="283" spans="1:256" x14ac:dyDescent="0.25">
      <c r="A283" t="e">
        <f>AND(#REF!,"AAAAACt//QA=")</f>
        <v>#REF!</v>
      </c>
      <c r="B283" t="e">
        <f>AND(#REF!,"AAAAACt//QE=")</f>
        <v>#REF!</v>
      </c>
      <c r="C283" t="e">
        <f>AND(#REF!,"AAAAACt//QI=")</f>
        <v>#REF!</v>
      </c>
      <c r="D283" t="e">
        <f>AND(#REF!,"AAAAACt//QM=")</f>
        <v>#REF!</v>
      </c>
      <c r="E283" t="e">
        <f>AND(#REF!,"AAAAACt//QQ=")</f>
        <v>#REF!</v>
      </c>
      <c r="F283" t="e">
        <f>AND(#REF!,"AAAAACt//QU=")</f>
        <v>#REF!</v>
      </c>
      <c r="G283" t="e">
        <f>AND(#REF!,"AAAAACt//QY=")</f>
        <v>#REF!</v>
      </c>
      <c r="H283" t="e">
        <f>AND(#REF!,"AAAAACt//Qc=")</f>
        <v>#REF!</v>
      </c>
      <c r="I283" t="e">
        <f>IF(#REF!,"AAAAACt//Qg=",0)</f>
        <v>#REF!</v>
      </c>
      <c r="J283" t="e">
        <f>AND(#REF!,"AAAAACt//Qk=")</f>
        <v>#REF!</v>
      </c>
      <c r="K283" t="e">
        <f>AND(#REF!,"AAAAACt//Qo=")</f>
        <v>#REF!</v>
      </c>
      <c r="L283" t="e">
        <f>AND(#REF!,"AAAAACt//Qs=")</f>
        <v>#REF!</v>
      </c>
      <c r="M283" t="e">
        <f>AND(#REF!,"AAAAACt//Qw=")</f>
        <v>#REF!</v>
      </c>
      <c r="N283" t="e">
        <f>AND(#REF!,"AAAAACt//Q0=")</f>
        <v>#REF!</v>
      </c>
      <c r="O283" t="e">
        <f>AND(#REF!,"AAAAACt//Q4=")</f>
        <v>#REF!</v>
      </c>
      <c r="P283" t="e">
        <f>AND(#REF!,"AAAAACt//Q8=")</f>
        <v>#REF!</v>
      </c>
      <c r="Q283" t="e">
        <f>AND(#REF!,"AAAAACt//RA=")</f>
        <v>#REF!</v>
      </c>
      <c r="R283" t="e">
        <f>AND(#REF!,"AAAAACt//RE=")</f>
        <v>#REF!</v>
      </c>
      <c r="S283" t="e">
        <f>AND(#REF!,"AAAAACt//RI=")</f>
        <v>#REF!</v>
      </c>
      <c r="T283" t="e">
        <f>IF(#REF!,"AAAAACt//RM=",0)</f>
        <v>#REF!</v>
      </c>
      <c r="U283" t="e">
        <f>AND(#REF!,"AAAAACt//RQ=")</f>
        <v>#REF!</v>
      </c>
      <c r="V283" t="e">
        <f>AND(#REF!,"AAAAACt//RU=")</f>
        <v>#REF!</v>
      </c>
      <c r="W283" t="e">
        <f>AND(#REF!,"AAAAACt//RY=")</f>
        <v>#REF!</v>
      </c>
      <c r="X283" t="e">
        <f>AND(#REF!,"AAAAACt//Rc=")</f>
        <v>#REF!</v>
      </c>
      <c r="Y283" t="e">
        <f>AND(#REF!,"AAAAACt//Rg=")</f>
        <v>#REF!</v>
      </c>
      <c r="Z283" t="e">
        <f>AND(#REF!,"AAAAACt//Rk=")</f>
        <v>#REF!</v>
      </c>
      <c r="AA283" t="e">
        <f>AND(#REF!,"AAAAACt//Ro=")</f>
        <v>#REF!</v>
      </c>
      <c r="AB283" t="e">
        <f>AND(#REF!,"AAAAACt//Rs=")</f>
        <v>#REF!</v>
      </c>
      <c r="AC283" t="e">
        <f>AND(#REF!,"AAAAACt//Rw=")</f>
        <v>#REF!</v>
      </c>
      <c r="AD283" t="e">
        <f>AND(#REF!,"AAAAACt//R0=")</f>
        <v>#REF!</v>
      </c>
      <c r="AE283" t="e">
        <f>IF(#REF!,"AAAAACt//R4=",0)</f>
        <v>#REF!</v>
      </c>
      <c r="AF283" t="e">
        <f>AND(#REF!,"AAAAACt//R8=")</f>
        <v>#REF!</v>
      </c>
      <c r="AG283" t="e">
        <f>AND(#REF!,"AAAAACt//SA=")</f>
        <v>#REF!</v>
      </c>
      <c r="AH283" t="e">
        <f>AND(#REF!,"AAAAACt//SE=")</f>
        <v>#REF!</v>
      </c>
      <c r="AI283" t="e">
        <f>AND(#REF!,"AAAAACt//SI=")</f>
        <v>#REF!</v>
      </c>
      <c r="AJ283" t="e">
        <f>AND(#REF!,"AAAAACt//SM=")</f>
        <v>#REF!</v>
      </c>
      <c r="AK283" t="e">
        <f>AND(#REF!,"AAAAACt//SQ=")</f>
        <v>#REF!</v>
      </c>
      <c r="AL283" t="e">
        <f>AND(#REF!,"AAAAACt//SU=")</f>
        <v>#REF!</v>
      </c>
      <c r="AM283" t="e">
        <f>AND(#REF!,"AAAAACt//SY=")</f>
        <v>#REF!</v>
      </c>
      <c r="AN283" t="e">
        <f>AND(#REF!,"AAAAACt//Sc=")</f>
        <v>#REF!</v>
      </c>
      <c r="AO283" t="e">
        <f>AND(#REF!,"AAAAACt//Sg=")</f>
        <v>#REF!</v>
      </c>
      <c r="AP283" t="e">
        <f>IF(#REF!,"AAAAACt//Sk=",0)</f>
        <v>#REF!</v>
      </c>
      <c r="AQ283" t="e">
        <f>AND(#REF!,"AAAAACt//So=")</f>
        <v>#REF!</v>
      </c>
      <c r="AR283" t="e">
        <f>AND(#REF!,"AAAAACt//Ss=")</f>
        <v>#REF!</v>
      </c>
      <c r="AS283" t="e">
        <f>AND(#REF!,"AAAAACt//Sw=")</f>
        <v>#REF!</v>
      </c>
      <c r="AT283" t="e">
        <f>AND(#REF!,"AAAAACt//S0=")</f>
        <v>#REF!</v>
      </c>
      <c r="AU283" t="e">
        <f>AND(#REF!,"AAAAACt//S4=")</f>
        <v>#REF!</v>
      </c>
      <c r="AV283" t="e">
        <f>AND(#REF!,"AAAAACt//S8=")</f>
        <v>#REF!</v>
      </c>
      <c r="AW283" t="e">
        <f>AND(#REF!,"AAAAACt//TA=")</f>
        <v>#REF!</v>
      </c>
      <c r="AX283" t="e">
        <f>AND(#REF!,"AAAAACt//TE=")</f>
        <v>#REF!</v>
      </c>
      <c r="AY283" t="e">
        <f>AND(#REF!,"AAAAACt//TI=")</f>
        <v>#REF!</v>
      </c>
      <c r="AZ283" t="e">
        <f>AND(#REF!,"AAAAACt//TM=")</f>
        <v>#REF!</v>
      </c>
      <c r="BA283" t="e">
        <f>IF(#REF!,"AAAAACt//TQ=",0)</f>
        <v>#REF!</v>
      </c>
      <c r="BB283" t="e">
        <f>AND(#REF!,"AAAAACt//TU=")</f>
        <v>#REF!</v>
      </c>
      <c r="BC283" t="e">
        <f>AND(#REF!,"AAAAACt//TY=")</f>
        <v>#REF!</v>
      </c>
      <c r="BD283" t="e">
        <f>AND(#REF!,"AAAAACt//Tc=")</f>
        <v>#REF!</v>
      </c>
      <c r="BE283" t="e">
        <f>AND(#REF!,"AAAAACt//Tg=")</f>
        <v>#REF!</v>
      </c>
      <c r="BF283" t="e">
        <f>AND(#REF!,"AAAAACt//Tk=")</f>
        <v>#REF!</v>
      </c>
      <c r="BG283" t="e">
        <f>AND(#REF!,"AAAAACt//To=")</f>
        <v>#REF!</v>
      </c>
      <c r="BH283" t="e">
        <f>AND(#REF!,"AAAAACt//Ts=")</f>
        <v>#REF!</v>
      </c>
      <c r="BI283" t="e">
        <f>AND(#REF!,"AAAAACt//Tw=")</f>
        <v>#REF!</v>
      </c>
      <c r="BJ283" t="e">
        <f>AND(#REF!,"AAAAACt//T0=")</f>
        <v>#REF!</v>
      </c>
      <c r="BK283" t="e">
        <f>AND(#REF!,"AAAAACt//T4=")</f>
        <v>#REF!</v>
      </c>
      <c r="BL283" t="e">
        <f>IF(#REF!,"AAAAACt//T8=",0)</f>
        <v>#REF!</v>
      </c>
      <c r="BM283" t="e">
        <f>AND(#REF!,"AAAAACt//UA=")</f>
        <v>#REF!</v>
      </c>
      <c r="BN283" t="e">
        <f>AND(#REF!,"AAAAACt//UE=")</f>
        <v>#REF!</v>
      </c>
      <c r="BO283" t="e">
        <f>AND(#REF!,"AAAAACt//UI=")</f>
        <v>#REF!</v>
      </c>
      <c r="BP283" t="e">
        <f>AND(#REF!,"AAAAACt//UM=")</f>
        <v>#REF!</v>
      </c>
      <c r="BQ283" t="e">
        <f>AND(#REF!,"AAAAACt//UQ=")</f>
        <v>#REF!</v>
      </c>
      <c r="BR283" t="e">
        <f>AND(#REF!,"AAAAACt//UU=")</f>
        <v>#REF!</v>
      </c>
      <c r="BS283" t="e">
        <f>AND(#REF!,"AAAAACt//UY=")</f>
        <v>#REF!</v>
      </c>
      <c r="BT283" t="e">
        <f>AND(#REF!,"AAAAACt//Uc=")</f>
        <v>#REF!</v>
      </c>
      <c r="BU283" t="e">
        <f>AND(#REF!,"AAAAACt//Ug=")</f>
        <v>#REF!</v>
      </c>
      <c r="BV283" t="e">
        <f>AND(#REF!,"AAAAACt//Uk=")</f>
        <v>#REF!</v>
      </c>
      <c r="BW283" t="e">
        <f>IF(#REF!,"AAAAACt//Uo=",0)</f>
        <v>#REF!</v>
      </c>
      <c r="BX283" t="e">
        <f>AND(#REF!,"AAAAACt//Us=")</f>
        <v>#REF!</v>
      </c>
      <c r="BY283" t="e">
        <f>AND(#REF!,"AAAAACt//Uw=")</f>
        <v>#REF!</v>
      </c>
      <c r="BZ283" t="e">
        <f>AND(#REF!,"AAAAACt//U0=")</f>
        <v>#REF!</v>
      </c>
      <c r="CA283" t="e">
        <f>AND(#REF!,"AAAAACt//U4=")</f>
        <v>#REF!</v>
      </c>
      <c r="CB283" t="e">
        <f>AND(#REF!,"AAAAACt//U8=")</f>
        <v>#REF!</v>
      </c>
      <c r="CC283" t="e">
        <f>AND(#REF!,"AAAAACt//VA=")</f>
        <v>#REF!</v>
      </c>
      <c r="CD283" t="e">
        <f>AND(#REF!,"AAAAACt//VE=")</f>
        <v>#REF!</v>
      </c>
      <c r="CE283" t="e">
        <f>AND(#REF!,"AAAAACt//VI=")</f>
        <v>#REF!</v>
      </c>
      <c r="CF283" t="e">
        <f>AND(#REF!,"AAAAACt//VM=")</f>
        <v>#REF!</v>
      </c>
      <c r="CG283" t="e">
        <f>AND(#REF!,"AAAAACt//VQ=")</f>
        <v>#REF!</v>
      </c>
      <c r="CH283" t="e">
        <f>IF(#REF!,"AAAAACt//VU=",0)</f>
        <v>#REF!</v>
      </c>
      <c r="CI283" t="e">
        <f>AND(#REF!,"AAAAACt//VY=")</f>
        <v>#REF!</v>
      </c>
      <c r="CJ283" t="e">
        <f>AND(#REF!,"AAAAACt//Vc=")</f>
        <v>#REF!</v>
      </c>
      <c r="CK283" t="e">
        <f>AND(#REF!,"AAAAACt//Vg=")</f>
        <v>#REF!</v>
      </c>
      <c r="CL283" t="e">
        <f>AND(#REF!,"AAAAACt//Vk=")</f>
        <v>#REF!</v>
      </c>
      <c r="CM283" t="e">
        <f>AND(#REF!,"AAAAACt//Vo=")</f>
        <v>#REF!</v>
      </c>
      <c r="CN283" t="e">
        <f>AND(#REF!,"AAAAACt//Vs=")</f>
        <v>#REF!</v>
      </c>
      <c r="CO283" t="e">
        <f>AND(#REF!,"AAAAACt//Vw=")</f>
        <v>#REF!</v>
      </c>
      <c r="CP283" t="e">
        <f>AND(#REF!,"AAAAACt//V0=")</f>
        <v>#REF!</v>
      </c>
      <c r="CQ283" t="e">
        <f>AND(#REF!,"AAAAACt//V4=")</f>
        <v>#REF!</v>
      </c>
      <c r="CR283" t="e">
        <f>AND(#REF!,"AAAAACt//V8=")</f>
        <v>#REF!</v>
      </c>
      <c r="CS283" t="e">
        <f>IF(#REF!,"AAAAACt//WA=",0)</f>
        <v>#REF!</v>
      </c>
      <c r="CT283" t="e">
        <f>AND(#REF!,"AAAAACt//WE=")</f>
        <v>#REF!</v>
      </c>
      <c r="CU283" t="e">
        <f>AND(#REF!,"AAAAACt//WI=")</f>
        <v>#REF!</v>
      </c>
      <c r="CV283" t="e">
        <f>AND(#REF!,"AAAAACt//WM=")</f>
        <v>#REF!</v>
      </c>
      <c r="CW283" t="e">
        <f>AND(#REF!,"AAAAACt//WQ=")</f>
        <v>#REF!</v>
      </c>
      <c r="CX283" t="e">
        <f>AND(#REF!,"AAAAACt//WU=")</f>
        <v>#REF!</v>
      </c>
      <c r="CY283" t="e">
        <f>AND(#REF!,"AAAAACt//WY=")</f>
        <v>#REF!</v>
      </c>
      <c r="CZ283" t="e">
        <f>AND(#REF!,"AAAAACt//Wc=")</f>
        <v>#REF!</v>
      </c>
      <c r="DA283" t="e">
        <f>AND(#REF!,"AAAAACt//Wg=")</f>
        <v>#REF!</v>
      </c>
      <c r="DB283" t="e">
        <f>AND(#REF!,"AAAAACt//Wk=")</f>
        <v>#REF!</v>
      </c>
      <c r="DC283" t="e">
        <f>AND(#REF!,"AAAAACt//Wo=")</f>
        <v>#REF!</v>
      </c>
      <c r="DD283" t="e">
        <f>IF(#REF!,"AAAAACt//Ws=",0)</f>
        <v>#REF!</v>
      </c>
      <c r="DE283" t="e">
        <f>AND(#REF!,"AAAAACt//Ww=")</f>
        <v>#REF!</v>
      </c>
      <c r="DF283" t="e">
        <f>AND(#REF!,"AAAAACt//W0=")</f>
        <v>#REF!</v>
      </c>
      <c r="DG283" t="e">
        <f>AND(#REF!,"AAAAACt//W4=")</f>
        <v>#REF!</v>
      </c>
      <c r="DH283" t="e">
        <f>AND(#REF!,"AAAAACt//W8=")</f>
        <v>#REF!</v>
      </c>
      <c r="DI283" t="e">
        <f>AND(#REF!,"AAAAACt//XA=")</f>
        <v>#REF!</v>
      </c>
      <c r="DJ283" t="e">
        <f>AND(#REF!,"AAAAACt//XE=")</f>
        <v>#REF!</v>
      </c>
      <c r="DK283" t="e">
        <f>AND(#REF!,"AAAAACt//XI=")</f>
        <v>#REF!</v>
      </c>
      <c r="DL283" t="e">
        <f>AND(#REF!,"AAAAACt//XM=")</f>
        <v>#REF!</v>
      </c>
      <c r="DM283" t="e">
        <f>AND(#REF!,"AAAAACt//XQ=")</f>
        <v>#REF!</v>
      </c>
      <c r="DN283" t="e">
        <f>AND(#REF!,"AAAAACt//XU=")</f>
        <v>#REF!</v>
      </c>
      <c r="DO283" t="e">
        <f>IF(#REF!,"AAAAACt//XY=",0)</f>
        <v>#REF!</v>
      </c>
      <c r="DP283" t="e">
        <f>AND(#REF!,"AAAAACt//Xc=")</f>
        <v>#REF!</v>
      </c>
      <c r="DQ283" t="e">
        <f>AND(#REF!,"AAAAACt//Xg=")</f>
        <v>#REF!</v>
      </c>
      <c r="DR283" t="e">
        <f>AND(#REF!,"AAAAACt//Xk=")</f>
        <v>#REF!</v>
      </c>
      <c r="DS283" t="e">
        <f>AND(#REF!,"AAAAACt//Xo=")</f>
        <v>#REF!</v>
      </c>
      <c r="DT283" t="e">
        <f>AND(#REF!,"AAAAACt//Xs=")</f>
        <v>#REF!</v>
      </c>
      <c r="DU283" t="e">
        <f>AND(#REF!,"AAAAACt//Xw=")</f>
        <v>#REF!</v>
      </c>
      <c r="DV283" t="e">
        <f>AND(#REF!,"AAAAACt//X0=")</f>
        <v>#REF!</v>
      </c>
      <c r="DW283" t="e">
        <f>AND(#REF!,"AAAAACt//X4=")</f>
        <v>#REF!</v>
      </c>
      <c r="DX283" t="e">
        <f>AND(#REF!,"AAAAACt//X8=")</f>
        <v>#REF!</v>
      </c>
      <c r="DY283" t="e">
        <f>AND(#REF!,"AAAAACt//YA=")</f>
        <v>#REF!</v>
      </c>
      <c r="DZ283" t="e">
        <f>IF(#REF!,"AAAAACt//YE=",0)</f>
        <v>#REF!</v>
      </c>
      <c r="EA283" t="e">
        <f>AND(#REF!,"AAAAACt//YI=")</f>
        <v>#REF!</v>
      </c>
      <c r="EB283" t="e">
        <f>AND(#REF!,"AAAAACt//YM=")</f>
        <v>#REF!</v>
      </c>
      <c r="EC283" t="e">
        <f>AND(#REF!,"AAAAACt//YQ=")</f>
        <v>#REF!</v>
      </c>
      <c r="ED283" t="e">
        <f>AND(#REF!,"AAAAACt//YU=")</f>
        <v>#REF!</v>
      </c>
      <c r="EE283" t="e">
        <f>AND(#REF!,"AAAAACt//YY=")</f>
        <v>#REF!</v>
      </c>
      <c r="EF283" t="e">
        <f>AND(#REF!,"AAAAACt//Yc=")</f>
        <v>#REF!</v>
      </c>
      <c r="EG283" t="e">
        <f>AND(#REF!,"AAAAACt//Yg=")</f>
        <v>#REF!</v>
      </c>
      <c r="EH283" t="e">
        <f>AND(#REF!,"AAAAACt//Yk=")</f>
        <v>#REF!</v>
      </c>
      <c r="EI283" t="e">
        <f>AND(#REF!,"AAAAACt//Yo=")</f>
        <v>#REF!</v>
      </c>
      <c r="EJ283" t="e">
        <f>AND(#REF!,"AAAAACt//Ys=")</f>
        <v>#REF!</v>
      </c>
      <c r="EK283" t="e">
        <f>IF(#REF!,"AAAAACt//Yw=",0)</f>
        <v>#REF!</v>
      </c>
      <c r="EL283" t="e">
        <f>AND(#REF!,"AAAAACt//Y0=")</f>
        <v>#REF!</v>
      </c>
      <c r="EM283" t="e">
        <f>AND(#REF!,"AAAAACt//Y4=")</f>
        <v>#REF!</v>
      </c>
      <c r="EN283" t="e">
        <f>AND(#REF!,"AAAAACt//Y8=")</f>
        <v>#REF!</v>
      </c>
      <c r="EO283" t="e">
        <f>AND(#REF!,"AAAAACt//ZA=")</f>
        <v>#REF!</v>
      </c>
      <c r="EP283" t="e">
        <f>AND(#REF!,"AAAAACt//ZE=")</f>
        <v>#REF!</v>
      </c>
      <c r="EQ283" t="e">
        <f>AND(#REF!,"AAAAACt//ZI=")</f>
        <v>#REF!</v>
      </c>
      <c r="ER283" t="e">
        <f>AND(#REF!,"AAAAACt//ZM=")</f>
        <v>#REF!</v>
      </c>
      <c r="ES283" t="e">
        <f>AND(#REF!,"AAAAACt//ZQ=")</f>
        <v>#REF!</v>
      </c>
      <c r="ET283" t="e">
        <f>AND(#REF!,"AAAAACt//ZU=")</f>
        <v>#REF!</v>
      </c>
      <c r="EU283" t="e">
        <f>AND(#REF!,"AAAAACt//ZY=")</f>
        <v>#REF!</v>
      </c>
      <c r="EV283" t="e">
        <f>IF(#REF!,"AAAAACt//Zc=",0)</f>
        <v>#REF!</v>
      </c>
      <c r="EW283" t="e">
        <f>AND(#REF!,"AAAAACt//Zg=")</f>
        <v>#REF!</v>
      </c>
      <c r="EX283" t="e">
        <f>AND(#REF!,"AAAAACt//Zk=")</f>
        <v>#REF!</v>
      </c>
      <c r="EY283" t="e">
        <f>AND(#REF!,"AAAAACt//Zo=")</f>
        <v>#REF!</v>
      </c>
      <c r="EZ283" t="e">
        <f>AND(#REF!,"AAAAACt//Zs=")</f>
        <v>#REF!</v>
      </c>
      <c r="FA283" t="e">
        <f>AND(#REF!,"AAAAACt//Zw=")</f>
        <v>#REF!</v>
      </c>
      <c r="FB283" t="e">
        <f>AND(#REF!,"AAAAACt//Z0=")</f>
        <v>#REF!</v>
      </c>
      <c r="FC283" t="e">
        <f>AND(#REF!,"AAAAACt//Z4=")</f>
        <v>#REF!</v>
      </c>
      <c r="FD283" t="e">
        <f>AND(#REF!,"AAAAACt//Z8=")</f>
        <v>#REF!</v>
      </c>
      <c r="FE283" t="e">
        <f>AND(#REF!,"AAAAACt//aA=")</f>
        <v>#REF!</v>
      </c>
      <c r="FF283" t="e">
        <f>AND(#REF!,"AAAAACt//aE=")</f>
        <v>#REF!</v>
      </c>
      <c r="FG283" t="e">
        <f>IF(#REF!,"AAAAACt//aI=",0)</f>
        <v>#REF!</v>
      </c>
      <c r="FH283" t="e">
        <f>AND(#REF!,"AAAAACt//aM=")</f>
        <v>#REF!</v>
      </c>
      <c r="FI283" t="e">
        <f>AND(#REF!,"AAAAACt//aQ=")</f>
        <v>#REF!</v>
      </c>
      <c r="FJ283" t="e">
        <f>AND(#REF!,"AAAAACt//aU=")</f>
        <v>#REF!</v>
      </c>
      <c r="FK283" t="e">
        <f>AND(#REF!,"AAAAACt//aY=")</f>
        <v>#REF!</v>
      </c>
      <c r="FL283" t="e">
        <f>AND(#REF!,"AAAAACt//ac=")</f>
        <v>#REF!</v>
      </c>
      <c r="FM283" t="e">
        <f>AND(#REF!,"AAAAACt//ag=")</f>
        <v>#REF!</v>
      </c>
      <c r="FN283" t="e">
        <f>AND(#REF!,"AAAAACt//ak=")</f>
        <v>#REF!</v>
      </c>
      <c r="FO283" t="e">
        <f>AND(#REF!,"AAAAACt//ao=")</f>
        <v>#REF!</v>
      </c>
      <c r="FP283" t="e">
        <f>AND(#REF!,"AAAAACt//as=")</f>
        <v>#REF!</v>
      </c>
      <c r="FQ283" t="e">
        <f>AND(#REF!,"AAAAACt//aw=")</f>
        <v>#REF!</v>
      </c>
      <c r="FR283" t="e">
        <f>IF(#REF!,"AAAAACt//a0=",0)</f>
        <v>#REF!</v>
      </c>
      <c r="FS283" t="e">
        <f>AND(#REF!,"AAAAACt//a4=")</f>
        <v>#REF!</v>
      </c>
      <c r="FT283" t="e">
        <f>AND(#REF!,"AAAAACt//a8=")</f>
        <v>#REF!</v>
      </c>
      <c r="FU283" t="e">
        <f>AND(#REF!,"AAAAACt//bA=")</f>
        <v>#REF!</v>
      </c>
      <c r="FV283" t="e">
        <f>AND(#REF!,"AAAAACt//bE=")</f>
        <v>#REF!</v>
      </c>
      <c r="FW283" t="e">
        <f>AND(#REF!,"AAAAACt//bI=")</f>
        <v>#REF!</v>
      </c>
      <c r="FX283" t="e">
        <f>AND(#REF!,"AAAAACt//bM=")</f>
        <v>#REF!</v>
      </c>
      <c r="FY283" t="e">
        <f>AND(#REF!,"AAAAACt//bQ=")</f>
        <v>#REF!</v>
      </c>
      <c r="FZ283" t="e">
        <f>AND(#REF!,"AAAAACt//bU=")</f>
        <v>#REF!</v>
      </c>
      <c r="GA283" t="e">
        <f>AND(#REF!,"AAAAACt//bY=")</f>
        <v>#REF!</v>
      </c>
      <c r="GB283" t="e">
        <f>AND(#REF!,"AAAAACt//bc=")</f>
        <v>#REF!</v>
      </c>
      <c r="GC283" t="e">
        <f>IF(#REF!,"AAAAACt//bg=",0)</f>
        <v>#REF!</v>
      </c>
      <c r="GD283" t="e">
        <f>AND(#REF!,"AAAAACt//bk=")</f>
        <v>#REF!</v>
      </c>
      <c r="GE283" t="e">
        <f>AND(#REF!,"AAAAACt//bo=")</f>
        <v>#REF!</v>
      </c>
      <c r="GF283" t="e">
        <f>AND(#REF!,"AAAAACt//bs=")</f>
        <v>#REF!</v>
      </c>
      <c r="GG283" t="e">
        <f>AND(#REF!,"AAAAACt//bw=")</f>
        <v>#REF!</v>
      </c>
      <c r="GH283" t="e">
        <f>AND(#REF!,"AAAAACt//b0=")</f>
        <v>#REF!</v>
      </c>
      <c r="GI283" t="e">
        <f>AND(#REF!,"AAAAACt//b4=")</f>
        <v>#REF!</v>
      </c>
      <c r="GJ283" t="e">
        <f>AND(#REF!,"AAAAACt//b8=")</f>
        <v>#REF!</v>
      </c>
      <c r="GK283" t="e">
        <f>AND(#REF!,"AAAAACt//cA=")</f>
        <v>#REF!</v>
      </c>
      <c r="GL283" t="e">
        <f>AND(#REF!,"AAAAACt//cE=")</f>
        <v>#REF!</v>
      </c>
      <c r="GM283" t="e">
        <f>AND(#REF!,"AAAAACt//cI=")</f>
        <v>#REF!</v>
      </c>
      <c r="GN283" t="e">
        <f>IF(#REF!,"AAAAACt//cM=",0)</f>
        <v>#REF!</v>
      </c>
      <c r="GO283" t="e">
        <f>AND(#REF!,"AAAAACt//cQ=")</f>
        <v>#REF!</v>
      </c>
      <c r="GP283" t="e">
        <f>AND(#REF!,"AAAAACt//cU=")</f>
        <v>#REF!</v>
      </c>
      <c r="GQ283" t="e">
        <f>AND(#REF!,"AAAAACt//cY=")</f>
        <v>#REF!</v>
      </c>
      <c r="GR283" t="e">
        <f>AND(#REF!,"AAAAACt//cc=")</f>
        <v>#REF!</v>
      </c>
      <c r="GS283" t="e">
        <f>AND(#REF!,"AAAAACt//cg=")</f>
        <v>#REF!</v>
      </c>
      <c r="GT283" t="e">
        <f>AND(#REF!,"AAAAACt//ck=")</f>
        <v>#REF!</v>
      </c>
      <c r="GU283" t="e">
        <f>AND(#REF!,"AAAAACt//co=")</f>
        <v>#REF!</v>
      </c>
      <c r="GV283" t="e">
        <f>AND(#REF!,"AAAAACt//cs=")</f>
        <v>#REF!</v>
      </c>
      <c r="GW283" t="e">
        <f>AND(#REF!,"AAAAACt//cw=")</f>
        <v>#REF!</v>
      </c>
      <c r="GX283" t="e">
        <f>AND(#REF!,"AAAAACt//c0=")</f>
        <v>#REF!</v>
      </c>
      <c r="GY283" t="e">
        <f>IF(#REF!,"AAAAACt//c4=",0)</f>
        <v>#REF!</v>
      </c>
      <c r="GZ283" t="e">
        <f>AND(#REF!,"AAAAACt//c8=")</f>
        <v>#REF!</v>
      </c>
      <c r="HA283" t="e">
        <f>AND(#REF!,"AAAAACt//dA=")</f>
        <v>#REF!</v>
      </c>
      <c r="HB283" t="e">
        <f>AND(#REF!,"AAAAACt//dE=")</f>
        <v>#REF!</v>
      </c>
      <c r="HC283" t="e">
        <f>AND(#REF!,"AAAAACt//dI=")</f>
        <v>#REF!</v>
      </c>
      <c r="HD283" t="e">
        <f>AND(#REF!,"AAAAACt//dM=")</f>
        <v>#REF!</v>
      </c>
      <c r="HE283" t="e">
        <f>AND(#REF!,"AAAAACt//dQ=")</f>
        <v>#REF!</v>
      </c>
      <c r="HF283" t="e">
        <f>AND(#REF!,"AAAAACt//dU=")</f>
        <v>#REF!</v>
      </c>
      <c r="HG283" t="e">
        <f>AND(#REF!,"AAAAACt//dY=")</f>
        <v>#REF!</v>
      </c>
      <c r="HH283" t="e">
        <f>AND(#REF!,"AAAAACt//dc=")</f>
        <v>#REF!</v>
      </c>
      <c r="HI283" t="e">
        <f>AND(#REF!,"AAAAACt//dg=")</f>
        <v>#REF!</v>
      </c>
      <c r="HJ283" t="e">
        <f>IF(#REF!,"AAAAACt//dk=",0)</f>
        <v>#REF!</v>
      </c>
      <c r="HK283" t="e">
        <f>AND(#REF!,"AAAAACt//do=")</f>
        <v>#REF!</v>
      </c>
      <c r="HL283" t="e">
        <f>AND(#REF!,"AAAAACt//ds=")</f>
        <v>#REF!</v>
      </c>
      <c r="HM283" t="e">
        <f>AND(#REF!,"AAAAACt//dw=")</f>
        <v>#REF!</v>
      </c>
      <c r="HN283" t="e">
        <f>AND(#REF!,"AAAAACt//d0=")</f>
        <v>#REF!</v>
      </c>
      <c r="HO283" t="e">
        <f>AND(#REF!,"AAAAACt//d4=")</f>
        <v>#REF!</v>
      </c>
      <c r="HP283" t="e">
        <f>AND(#REF!,"AAAAACt//d8=")</f>
        <v>#REF!</v>
      </c>
      <c r="HQ283" t="e">
        <f>AND(#REF!,"AAAAACt//eA=")</f>
        <v>#REF!</v>
      </c>
      <c r="HR283" t="e">
        <f>AND(#REF!,"AAAAACt//eE=")</f>
        <v>#REF!</v>
      </c>
      <c r="HS283" t="e">
        <f>AND(#REF!,"AAAAACt//eI=")</f>
        <v>#REF!</v>
      </c>
      <c r="HT283" t="e">
        <f>AND(#REF!,"AAAAACt//eM=")</f>
        <v>#REF!</v>
      </c>
      <c r="HU283" t="e">
        <f>IF(#REF!,"AAAAACt//eQ=",0)</f>
        <v>#REF!</v>
      </c>
      <c r="HV283" t="e">
        <f>AND(#REF!,"AAAAACt//eU=")</f>
        <v>#REF!</v>
      </c>
      <c r="HW283" t="e">
        <f>AND(#REF!,"AAAAACt//eY=")</f>
        <v>#REF!</v>
      </c>
      <c r="HX283" t="e">
        <f>AND(#REF!,"AAAAACt//ec=")</f>
        <v>#REF!</v>
      </c>
      <c r="HY283" t="e">
        <f>AND(#REF!,"AAAAACt//eg=")</f>
        <v>#REF!</v>
      </c>
      <c r="HZ283" t="e">
        <f>AND(#REF!,"AAAAACt//ek=")</f>
        <v>#REF!</v>
      </c>
      <c r="IA283" t="e">
        <f>AND(#REF!,"AAAAACt//eo=")</f>
        <v>#REF!</v>
      </c>
      <c r="IB283" t="e">
        <f>AND(#REF!,"AAAAACt//es=")</f>
        <v>#REF!</v>
      </c>
      <c r="IC283" t="e">
        <f>AND(#REF!,"AAAAACt//ew=")</f>
        <v>#REF!</v>
      </c>
      <c r="ID283" t="e">
        <f>AND(#REF!,"AAAAACt//e0=")</f>
        <v>#REF!</v>
      </c>
      <c r="IE283" t="e">
        <f>AND(#REF!,"AAAAACt//e4=")</f>
        <v>#REF!</v>
      </c>
      <c r="IF283" t="e">
        <f>IF(#REF!,"AAAAACt//e8=",0)</f>
        <v>#REF!</v>
      </c>
      <c r="IG283" t="e">
        <f>AND(#REF!,"AAAAACt//fA=")</f>
        <v>#REF!</v>
      </c>
      <c r="IH283" t="e">
        <f>AND(#REF!,"AAAAACt//fE=")</f>
        <v>#REF!</v>
      </c>
      <c r="II283" t="e">
        <f>AND(#REF!,"AAAAACt//fI=")</f>
        <v>#REF!</v>
      </c>
      <c r="IJ283" t="e">
        <f>AND(#REF!,"AAAAACt//fM=")</f>
        <v>#REF!</v>
      </c>
      <c r="IK283" t="e">
        <f>AND(#REF!,"AAAAACt//fQ=")</f>
        <v>#REF!</v>
      </c>
      <c r="IL283" t="e">
        <f>AND(#REF!,"AAAAACt//fU=")</f>
        <v>#REF!</v>
      </c>
      <c r="IM283" t="e">
        <f>AND(#REF!,"AAAAACt//fY=")</f>
        <v>#REF!</v>
      </c>
      <c r="IN283" t="e">
        <f>AND(#REF!,"AAAAACt//fc=")</f>
        <v>#REF!</v>
      </c>
      <c r="IO283" t="e">
        <f>AND(#REF!,"AAAAACt//fg=")</f>
        <v>#REF!</v>
      </c>
      <c r="IP283" t="e">
        <f>AND(#REF!,"AAAAACt//fk=")</f>
        <v>#REF!</v>
      </c>
      <c r="IQ283" t="e">
        <f>IF(#REF!,"AAAAACt//fo=",0)</f>
        <v>#REF!</v>
      </c>
      <c r="IR283" t="e">
        <f>AND(#REF!,"AAAAACt//fs=")</f>
        <v>#REF!</v>
      </c>
      <c r="IS283" t="e">
        <f>AND(#REF!,"AAAAACt//fw=")</f>
        <v>#REF!</v>
      </c>
      <c r="IT283" t="e">
        <f>AND(#REF!,"AAAAACt//f0=")</f>
        <v>#REF!</v>
      </c>
      <c r="IU283" t="e">
        <f>AND(#REF!,"AAAAACt//f4=")</f>
        <v>#REF!</v>
      </c>
      <c r="IV283" t="e">
        <f>AND(#REF!,"AAAAACt//f8=")</f>
        <v>#REF!</v>
      </c>
    </row>
    <row r="284" spans="1:256" x14ac:dyDescent="0.25">
      <c r="A284" t="e">
        <f>AND(#REF!,"AAAAAE771QA=")</f>
        <v>#REF!</v>
      </c>
      <c r="B284" t="e">
        <f>AND(#REF!,"AAAAAE771QE=")</f>
        <v>#REF!</v>
      </c>
      <c r="C284" t="e">
        <f>AND(#REF!,"AAAAAE771QI=")</f>
        <v>#REF!</v>
      </c>
      <c r="D284" t="e">
        <f>AND(#REF!,"AAAAAE771QM=")</f>
        <v>#REF!</v>
      </c>
      <c r="E284" t="e">
        <f>AND(#REF!,"AAAAAE771QQ=")</f>
        <v>#REF!</v>
      </c>
      <c r="F284" t="e">
        <f>IF(#REF!,"AAAAAE771QU=",0)</f>
        <v>#REF!</v>
      </c>
      <c r="G284" t="e">
        <f>AND(#REF!,"AAAAAE771QY=")</f>
        <v>#REF!</v>
      </c>
      <c r="H284" t="e">
        <f>AND(#REF!,"AAAAAE771Qc=")</f>
        <v>#REF!</v>
      </c>
      <c r="I284" t="e">
        <f>AND(#REF!,"AAAAAE771Qg=")</f>
        <v>#REF!</v>
      </c>
      <c r="J284" t="e">
        <f>AND(#REF!,"AAAAAE771Qk=")</f>
        <v>#REF!</v>
      </c>
      <c r="K284" t="e">
        <f>AND(#REF!,"AAAAAE771Qo=")</f>
        <v>#REF!</v>
      </c>
      <c r="L284" t="e">
        <f>AND(#REF!,"AAAAAE771Qs=")</f>
        <v>#REF!</v>
      </c>
      <c r="M284" t="e">
        <f>AND(#REF!,"AAAAAE771Qw=")</f>
        <v>#REF!</v>
      </c>
      <c r="N284" t="e">
        <f>AND(#REF!,"AAAAAE771Q0=")</f>
        <v>#REF!</v>
      </c>
      <c r="O284" t="e">
        <f>AND(#REF!,"AAAAAE771Q4=")</f>
        <v>#REF!</v>
      </c>
      <c r="P284" t="e">
        <f>AND(#REF!,"AAAAAE771Q8=")</f>
        <v>#REF!</v>
      </c>
      <c r="Q284" t="e">
        <f>IF(#REF!,"AAAAAE771RA=",0)</f>
        <v>#REF!</v>
      </c>
      <c r="R284" t="e">
        <f>AND(#REF!,"AAAAAE771RE=")</f>
        <v>#REF!</v>
      </c>
      <c r="S284" t="e">
        <f>AND(#REF!,"AAAAAE771RI=")</f>
        <v>#REF!</v>
      </c>
      <c r="T284" t="e">
        <f>AND(#REF!,"AAAAAE771RM=")</f>
        <v>#REF!</v>
      </c>
      <c r="U284" t="e">
        <f>AND(#REF!,"AAAAAE771RQ=")</f>
        <v>#REF!</v>
      </c>
      <c r="V284" t="e">
        <f>AND(#REF!,"AAAAAE771RU=")</f>
        <v>#REF!</v>
      </c>
      <c r="W284" t="e">
        <f>AND(#REF!,"AAAAAE771RY=")</f>
        <v>#REF!</v>
      </c>
      <c r="X284" t="e">
        <f>AND(#REF!,"AAAAAE771Rc=")</f>
        <v>#REF!</v>
      </c>
      <c r="Y284" t="e">
        <f>AND(#REF!,"AAAAAE771Rg=")</f>
        <v>#REF!</v>
      </c>
      <c r="Z284" t="e">
        <f>AND(#REF!,"AAAAAE771Rk=")</f>
        <v>#REF!</v>
      </c>
      <c r="AA284" t="e">
        <f>AND(#REF!,"AAAAAE771Ro=")</f>
        <v>#REF!</v>
      </c>
      <c r="AB284" t="e">
        <f>IF(#REF!,"AAAAAE771Rs=",0)</f>
        <v>#REF!</v>
      </c>
      <c r="AC284" t="e">
        <f>AND(#REF!,"AAAAAE771Rw=")</f>
        <v>#REF!</v>
      </c>
      <c r="AD284" t="e">
        <f>AND(#REF!,"AAAAAE771R0=")</f>
        <v>#REF!</v>
      </c>
      <c r="AE284" t="e">
        <f>AND(#REF!,"AAAAAE771R4=")</f>
        <v>#REF!</v>
      </c>
      <c r="AF284" t="e">
        <f>AND(#REF!,"AAAAAE771R8=")</f>
        <v>#REF!</v>
      </c>
      <c r="AG284" t="e">
        <f>AND(#REF!,"AAAAAE771SA=")</f>
        <v>#REF!</v>
      </c>
      <c r="AH284" t="e">
        <f>AND(#REF!,"AAAAAE771SE=")</f>
        <v>#REF!</v>
      </c>
      <c r="AI284" t="e">
        <f>AND(#REF!,"AAAAAE771SI=")</f>
        <v>#REF!</v>
      </c>
      <c r="AJ284" t="e">
        <f>AND(#REF!,"AAAAAE771SM=")</f>
        <v>#REF!</v>
      </c>
      <c r="AK284" t="e">
        <f>AND(#REF!,"AAAAAE771SQ=")</f>
        <v>#REF!</v>
      </c>
      <c r="AL284" t="e">
        <f>AND(#REF!,"AAAAAE771SU=")</f>
        <v>#REF!</v>
      </c>
      <c r="AM284" t="e">
        <f>IF(#REF!,"AAAAAE771SY=",0)</f>
        <v>#REF!</v>
      </c>
      <c r="AN284" t="e">
        <f>AND(#REF!,"AAAAAE771Sc=")</f>
        <v>#REF!</v>
      </c>
      <c r="AO284" t="e">
        <f>AND(#REF!,"AAAAAE771Sg=")</f>
        <v>#REF!</v>
      </c>
      <c r="AP284" t="e">
        <f>AND(#REF!,"AAAAAE771Sk=")</f>
        <v>#REF!</v>
      </c>
      <c r="AQ284" t="e">
        <f>AND(#REF!,"AAAAAE771So=")</f>
        <v>#REF!</v>
      </c>
      <c r="AR284" t="e">
        <f>AND(#REF!,"AAAAAE771Ss=")</f>
        <v>#REF!</v>
      </c>
      <c r="AS284" t="e">
        <f>AND(#REF!,"AAAAAE771Sw=")</f>
        <v>#REF!</v>
      </c>
      <c r="AT284" t="e">
        <f>AND(#REF!,"AAAAAE771S0=")</f>
        <v>#REF!</v>
      </c>
      <c r="AU284" t="e">
        <f>AND(#REF!,"AAAAAE771S4=")</f>
        <v>#REF!</v>
      </c>
      <c r="AV284" t="e">
        <f>AND(#REF!,"AAAAAE771S8=")</f>
        <v>#REF!</v>
      </c>
      <c r="AW284" t="e">
        <f>AND(#REF!,"AAAAAE771TA=")</f>
        <v>#REF!</v>
      </c>
      <c r="AX284" t="e">
        <f>IF(#REF!,"AAAAAE771TE=",0)</f>
        <v>#REF!</v>
      </c>
      <c r="AY284" t="e">
        <f>AND(#REF!,"AAAAAE771TI=")</f>
        <v>#REF!</v>
      </c>
      <c r="AZ284" t="e">
        <f>AND(#REF!,"AAAAAE771TM=")</f>
        <v>#REF!</v>
      </c>
      <c r="BA284" t="e">
        <f>AND(#REF!,"AAAAAE771TQ=")</f>
        <v>#REF!</v>
      </c>
      <c r="BB284" t="e">
        <f>AND(#REF!,"AAAAAE771TU=")</f>
        <v>#REF!</v>
      </c>
      <c r="BC284" t="e">
        <f>AND(#REF!,"AAAAAE771TY=")</f>
        <v>#REF!</v>
      </c>
      <c r="BD284" t="e">
        <f>AND(#REF!,"AAAAAE771Tc=")</f>
        <v>#REF!</v>
      </c>
      <c r="BE284" t="e">
        <f>AND(#REF!,"AAAAAE771Tg=")</f>
        <v>#REF!</v>
      </c>
      <c r="BF284" t="e">
        <f>AND(#REF!,"AAAAAE771Tk=")</f>
        <v>#REF!</v>
      </c>
      <c r="BG284" t="e">
        <f>AND(#REF!,"AAAAAE771To=")</f>
        <v>#REF!</v>
      </c>
      <c r="BH284" t="e">
        <f>AND(#REF!,"AAAAAE771Ts=")</f>
        <v>#REF!</v>
      </c>
      <c r="BI284" t="e">
        <f>IF(#REF!,"AAAAAE771Tw=",0)</f>
        <v>#REF!</v>
      </c>
      <c r="BJ284" t="e">
        <f>AND(#REF!,"AAAAAE771T0=")</f>
        <v>#REF!</v>
      </c>
      <c r="BK284" t="e">
        <f>AND(#REF!,"AAAAAE771T4=")</f>
        <v>#REF!</v>
      </c>
      <c r="BL284" t="e">
        <f>AND(#REF!,"AAAAAE771T8=")</f>
        <v>#REF!</v>
      </c>
      <c r="BM284" t="e">
        <f>AND(#REF!,"AAAAAE771UA=")</f>
        <v>#REF!</v>
      </c>
      <c r="BN284" t="e">
        <f>AND(#REF!,"AAAAAE771UE=")</f>
        <v>#REF!</v>
      </c>
      <c r="BO284" t="e">
        <f>AND(#REF!,"AAAAAE771UI=")</f>
        <v>#REF!</v>
      </c>
      <c r="BP284" t="e">
        <f>AND(#REF!,"AAAAAE771UM=")</f>
        <v>#REF!</v>
      </c>
      <c r="BQ284" t="e">
        <f>AND(#REF!,"AAAAAE771UQ=")</f>
        <v>#REF!</v>
      </c>
      <c r="BR284" t="e">
        <f>AND(#REF!,"AAAAAE771UU=")</f>
        <v>#REF!</v>
      </c>
      <c r="BS284" t="e">
        <f>AND(#REF!,"AAAAAE771UY=")</f>
        <v>#REF!</v>
      </c>
      <c r="BT284" t="e">
        <f>IF(#REF!,"AAAAAE771Uc=",0)</f>
        <v>#REF!</v>
      </c>
      <c r="BU284" t="e">
        <f>AND(#REF!,"AAAAAE771Ug=")</f>
        <v>#REF!</v>
      </c>
      <c r="BV284" t="e">
        <f>AND(#REF!,"AAAAAE771Uk=")</f>
        <v>#REF!</v>
      </c>
      <c r="BW284" t="e">
        <f>AND(#REF!,"AAAAAE771Uo=")</f>
        <v>#REF!</v>
      </c>
      <c r="BX284" t="e">
        <f>AND(#REF!,"AAAAAE771Us=")</f>
        <v>#REF!</v>
      </c>
      <c r="BY284" t="e">
        <f>AND(#REF!,"AAAAAE771Uw=")</f>
        <v>#REF!</v>
      </c>
      <c r="BZ284" t="e">
        <f>AND(#REF!,"AAAAAE771U0=")</f>
        <v>#REF!</v>
      </c>
      <c r="CA284" t="e">
        <f>AND(#REF!,"AAAAAE771U4=")</f>
        <v>#REF!</v>
      </c>
      <c r="CB284" t="e">
        <f>AND(#REF!,"AAAAAE771U8=")</f>
        <v>#REF!</v>
      </c>
      <c r="CC284" t="e">
        <f>AND(#REF!,"AAAAAE771VA=")</f>
        <v>#REF!</v>
      </c>
      <c r="CD284" t="e">
        <f>AND(#REF!,"AAAAAE771VE=")</f>
        <v>#REF!</v>
      </c>
      <c r="CE284" t="e">
        <f>IF(#REF!,"AAAAAE771VI=",0)</f>
        <v>#REF!</v>
      </c>
      <c r="CF284" t="e">
        <f>AND(#REF!,"AAAAAE771VM=")</f>
        <v>#REF!</v>
      </c>
      <c r="CG284" t="e">
        <f>AND(#REF!,"AAAAAE771VQ=")</f>
        <v>#REF!</v>
      </c>
      <c r="CH284" t="e">
        <f>AND(#REF!,"AAAAAE771VU=")</f>
        <v>#REF!</v>
      </c>
      <c r="CI284" t="e">
        <f>AND(#REF!,"AAAAAE771VY=")</f>
        <v>#REF!</v>
      </c>
      <c r="CJ284" t="e">
        <f>AND(#REF!,"AAAAAE771Vc=")</f>
        <v>#REF!</v>
      </c>
      <c r="CK284" t="e">
        <f>AND(#REF!,"AAAAAE771Vg=")</f>
        <v>#REF!</v>
      </c>
      <c r="CL284" t="e">
        <f>AND(#REF!,"AAAAAE771Vk=")</f>
        <v>#REF!</v>
      </c>
      <c r="CM284" t="e">
        <f>AND(#REF!,"AAAAAE771Vo=")</f>
        <v>#REF!</v>
      </c>
      <c r="CN284" t="e">
        <f>AND(#REF!,"AAAAAE771Vs=")</f>
        <v>#REF!</v>
      </c>
      <c r="CO284" t="e">
        <f>AND(#REF!,"AAAAAE771Vw=")</f>
        <v>#REF!</v>
      </c>
      <c r="CP284" t="e">
        <f>IF(#REF!,"AAAAAE771V0=",0)</f>
        <v>#REF!</v>
      </c>
      <c r="CQ284" t="e">
        <f>AND(#REF!,"AAAAAE771V4=")</f>
        <v>#REF!</v>
      </c>
      <c r="CR284" t="e">
        <f>AND(#REF!,"AAAAAE771V8=")</f>
        <v>#REF!</v>
      </c>
      <c r="CS284" t="e">
        <f>AND(#REF!,"AAAAAE771WA=")</f>
        <v>#REF!</v>
      </c>
      <c r="CT284" t="e">
        <f>AND(#REF!,"AAAAAE771WE=")</f>
        <v>#REF!</v>
      </c>
      <c r="CU284" t="e">
        <f>AND(#REF!,"AAAAAE771WI=")</f>
        <v>#REF!</v>
      </c>
      <c r="CV284" t="e">
        <f>AND(#REF!,"AAAAAE771WM=")</f>
        <v>#REF!</v>
      </c>
      <c r="CW284" t="e">
        <f>AND(#REF!,"AAAAAE771WQ=")</f>
        <v>#REF!</v>
      </c>
      <c r="CX284" t="e">
        <f>AND(#REF!,"AAAAAE771WU=")</f>
        <v>#REF!</v>
      </c>
      <c r="CY284" t="e">
        <f>AND(#REF!,"AAAAAE771WY=")</f>
        <v>#REF!</v>
      </c>
      <c r="CZ284" t="e">
        <f>AND(#REF!,"AAAAAE771Wc=")</f>
        <v>#REF!</v>
      </c>
      <c r="DA284" t="e">
        <f>IF(#REF!,"AAAAAE771Wg=",0)</f>
        <v>#REF!</v>
      </c>
      <c r="DB284" t="e">
        <f>AND(#REF!,"AAAAAE771Wk=")</f>
        <v>#REF!</v>
      </c>
      <c r="DC284" t="e">
        <f>AND(#REF!,"AAAAAE771Wo=")</f>
        <v>#REF!</v>
      </c>
      <c r="DD284" t="e">
        <f>AND(#REF!,"AAAAAE771Ws=")</f>
        <v>#REF!</v>
      </c>
      <c r="DE284" t="e">
        <f>AND(#REF!,"AAAAAE771Ww=")</f>
        <v>#REF!</v>
      </c>
      <c r="DF284" t="e">
        <f>AND(#REF!,"AAAAAE771W0=")</f>
        <v>#REF!</v>
      </c>
      <c r="DG284" t="e">
        <f>AND(#REF!,"AAAAAE771W4=")</f>
        <v>#REF!</v>
      </c>
      <c r="DH284" t="e">
        <f>AND(#REF!,"AAAAAE771W8=")</f>
        <v>#REF!</v>
      </c>
      <c r="DI284" t="e">
        <f>AND(#REF!,"AAAAAE771XA=")</f>
        <v>#REF!</v>
      </c>
      <c r="DJ284" t="e">
        <f>AND(#REF!,"AAAAAE771XE=")</f>
        <v>#REF!</v>
      </c>
      <c r="DK284" t="e">
        <f>AND(#REF!,"AAAAAE771XI=")</f>
        <v>#REF!</v>
      </c>
      <c r="DL284" t="e">
        <f>IF(#REF!,"AAAAAE771XM=",0)</f>
        <v>#REF!</v>
      </c>
      <c r="DM284" t="e">
        <f>AND(#REF!,"AAAAAE771XQ=")</f>
        <v>#REF!</v>
      </c>
      <c r="DN284" t="e">
        <f>AND(#REF!,"AAAAAE771XU=")</f>
        <v>#REF!</v>
      </c>
      <c r="DO284" t="e">
        <f>AND(#REF!,"AAAAAE771XY=")</f>
        <v>#REF!</v>
      </c>
      <c r="DP284" t="e">
        <f>AND(#REF!,"AAAAAE771Xc=")</f>
        <v>#REF!</v>
      </c>
      <c r="DQ284" t="e">
        <f>AND(#REF!,"AAAAAE771Xg=")</f>
        <v>#REF!</v>
      </c>
      <c r="DR284" t="e">
        <f>AND(#REF!,"AAAAAE771Xk=")</f>
        <v>#REF!</v>
      </c>
      <c r="DS284" t="e">
        <f>AND(#REF!,"AAAAAE771Xo=")</f>
        <v>#REF!</v>
      </c>
      <c r="DT284" t="e">
        <f>AND(#REF!,"AAAAAE771Xs=")</f>
        <v>#REF!</v>
      </c>
      <c r="DU284" t="e">
        <f>AND(#REF!,"AAAAAE771Xw=")</f>
        <v>#REF!</v>
      </c>
      <c r="DV284" t="e">
        <f>AND(#REF!,"AAAAAE771X0=")</f>
        <v>#REF!</v>
      </c>
      <c r="DW284" t="e">
        <f>IF(#REF!,"AAAAAE771X4=",0)</f>
        <v>#REF!</v>
      </c>
      <c r="DX284" t="e">
        <f>AND(#REF!,"AAAAAE771X8=")</f>
        <v>#REF!</v>
      </c>
      <c r="DY284" t="e">
        <f>AND(#REF!,"AAAAAE771YA=")</f>
        <v>#REF!</v>
      </c>
      <c r="DZ284" t="e">
        <f>AND(#REF!,"AAAAAE771YE=")</f>
        <v>#REF!</v>
      </c>
      <c r="EA284" t="e">
        <f>AND(#REF!,"AAAAAE771YI=")</f>
        <v>#REF!</v>
      </c>
      <c r="EB284" t="e">
        <f>AND(#REF!,"AAAAAE771YM=")</f>
        <v>#REF!</v>
      </c>
      <c r="EC284" t="e">
        <f>AND(#REF!,"AAAAAE771YQ=")</f>
        <v>#REF!</v>
      </c>
      <c r="ED284" t="e">
        <f>AND(#REF!,"AAAAAE771YU=")</f>
        <v>#REF!</v>
      </c>
      <c r="EE284" t="e">
        <f>AND(#REF!,"AAAAAE771YY=")</f>
        <v>#REF!</v>
      </c>
      <c r="EF284" t="e">
        <f>AND(#REF!,"AAAAAE771Yc=")</f>
        <v>#REF!</v>
      </c>
      <c r="EG284" t="e">
        <f>AND(#REF!,"AAAAAE771Yg=")</f>
        <v>#REF!</v>
      </c>
      <c r="EH284" t="e">
        <f>IF(#REF!,"AAAAAE771Yk=",0)</f>
        <v>#REF!</v>
      </c>
      <c r="EI284" t="e">
        <f>AND(#REF!,"AAAAAE771Yo=")</f>
        <v>#REF!</v>
      </c>
      <c r="EJ284" t="e">
        <f>AND(#REF!,"AAAAAE771Ys=")</f>
        <v>#REF!</v>
      </c>
      <c r="EK284" t="e">
        <f>AND(#REF!,"AAAAAE771Yw=")</f>
        <v>#REF!</v>
      </c>
      <c r="EL284" t="e">
        <f>AND(#REF!,"AAAAAE771Y0=")</f>
        <v>#REF!</v>
      </c>
      <c r="EM284" t="e">
        <f>AND(#REF!,"AAAAAE771Y4=")</f>
        <v>#REF!</v>
      </c>
      <c r="EN284" t="e">
        <f>AND(#REF!,"AAAAAE771Y8=")</f>
        <v>#REF!</v>
      </c>
      <c r="EO284" t="e">
        <f>AND(#REF!,"AAAAAE771ZA=")</f>
        <v>#REF!</v>
      </c>
      <c r="EP284" t="e">
        <f>AND(#REF!,"AAAAAE771ZE=")</f>
        <v>#REF!</v>
      </c>
      <c r="EQ284" t="e">
        <f>AND(#REF!,"AAAAAE771ZI=")</f>
        <v>#REF!</v>
      </c>
      <c r="ER284" t="e">
        <f>AND(#REF!,"AAAAAE771ZM=")</f>
        <v>#REF!</v>
      </c>
      <c r="ES284" t="e">
        <f>IF(#REF!,"AAAAAE771ZQ=",0)</f>
        <v>#REF!</v>
      </c>
      <c r="ET284" t="e">
        <f>AND(#REF!,"AAAAAE771ZU=")</f>
        <v>#REF!</v>
      </c>
      <c r="EU284" t="e">
        <f>AND(#REF!,"AAAAAE771ZY=")</f>
        <v>#REF!</v>
      </c>
      <c r="EV284" t="e">
        <f>AND(#REF!,"AAAAAE771Zc=")</f>
        <v>#REF!</v>
      </c>
      <c r="EW284" t="e">
        <f>AND(#REF!,"AAAAAE771Zg=")</f>
        <v>#REF!</v>
      </c>
      <c r="EX284" t="e">
        <f>AND(#REF!,"AAAAAE771Zk=")</f>
        <v>#REF!</v>
      </c>
      <c r="EY284" t="e">
        <f>AND(#REF!,"AAAAAE771Zo=")</f>
        <v>#REF!</v>
      </c>
      <c r="EZ284" t="e">
        <f>AND(#REF!,"AAAAAE771Zs=")</f>
        <v>#REF!</v>
      </c>
      <c r="FA284" t="e">
        <f>AND(#REF!,"AAAAAE771Zw=")</f>
        <v>#REF!</v>
      </c>
      <c r="FB284" t="e">
        <f>AND(#REF!,"AAAAAE771Z0=")</f>
        <v>#REF!</v>
      </c>
      <c r="FC284" t="e">
        <f>AND(#REF!,"AAAAAE771Z4=")</f>
        <v>#REF!</v>
      </c>
      <c r="FD284" t="e">
        <f>IF(#REF!,"AAAAAE771Z8=",0)</f>
        <v>#REF!</v>
      </c>
      <c r="FE284" t="e">
        <f>AND(#REF!,"AAAAAE771aA=")</f>
        <v>#REF!</v>
      </c>
      <c r="FF284" t="e">
        <f>AND(#REF!,"AAAAAE771aE=")</f>
        <v>#REF!</v>
      </c>
      <c r="FG284" t="e">
        <f>AND(#REF!,"AAAAAE771aI=")</f>
        <v>#REF!</v>
      </c>
      <c r="FH284" t="e">
        <f>AND(#REF!,"AAAAAE771aM=")</f>
        <v>#REF!</v>
      </c>
      <c r="FI284" t="e">
        <f>AND(#REF!,"AAAAAE771aQ=")</f>
        <v>#REF!</v>
      </c>
      <c r="FJ284" t="e">
        <f>AND(#REF!,"AAAAAE771aU=")</f>
        <v>#REF!</v>
      </c>
      <c r="FK284" t="e">
        <f>AND(#REF!,"AAAAAE771aY=")</f>
        <v>#REF!</v>
      </c>
      <c r="FL284" t="e">
        <f>AND(#REF!,"AAAAAE771ac=")</f>
        <v>#REF!</v>
      </c>
      <c r="FM284" t="e">
        <f>AND(#REF!,"AAAAAE771ag=")</f>
        <v>#REF!</v>
      </c>
      <c r="FN284" t="e">
        <f>AND(#REF!,"AAAAAE771ak=")</f>
        <v>#REF!</v>
      </c>
      <c r="FO284" t="e">
        <f>IF(#REF!,"AAAAAE771ao=",0)</f>
        <v>#REF!</v>
      </c>
      <c r="FP284" t="e">
        <f>AND(#REF!,"AAAAAE771as=")</f>
        <v>#REF!</v>
      </c>
      <c r="FQ284" t="e">
        <f>AND(#REF!,"AAAAAE771aw=")</f>
        <v>#REF!</v>
      </c>
      <c r="FR284" t="e">
        <f>AND(#REF!,"AAAAAE771a0=")</f>
        <v>#REF!</v>
      </c>
      <c r="FS284" t="e">
        <f>AND(#REF!,"AAAAAE771a4=")</f>
        <v>#REF!</v>
      </c>
      <c r="FT284" t="e">
        <f>AND(#REF!,"AAAAAE771a8=")</f>
        <v>#REF!</v>
      </c>
      <c r="FU284" t="e">
        <f>AND(#REF!,"AAAAAE771bA=")</f>
        <v>#REF!</v>
      </c>
      <c r="FV284" t="e">
        <f>AND(#REF!,"AAAAAE771bE=")</f>
        <v>#REF!</v>
      </c>
      <c r="FW284" t="e">
        <f>AND(#REF!,"AAAAAE771bI=")</f>
        <v>#REF!</v>
      </c>
      <c r="FX284" t="e">
        <f>AND(#REF!,"AAAAAE771bM=")</f>
        <v>#REF!</v>
      </c>
      <c r="FY284" t="e">
        <f>AND(#REF!,"AAAAAE771bQ=")</f>
        <v>#REF!</v>
      </c>
      <c r="FZ284" t="e">
        <f>IF(#REF!,"AAAAAE771bU=",0)</f>
        <v>#REF!</v>
      </c>
      <c r="GA284" t="e">
        <f>AND(#REF!,"AAAAAE771bY=")</f>
        <v>#REF!</v>
      </c>
      <c r="GB284" t="e">
        <f>AND(#REF!,"AAAAAE771bc=")</f>
        <v>#REF!</v>
      </c>
      <c r="GC284" t="e">
        <f>AND(#REF!,"AAAAAE771bg=")</f>
        <v>#REF!</v>
      </c>
      <c r="GD284" t="e">
        <f>AND(#REF!,"AAAAAE771bk=")</f>
        <v>#REF!</v>
      </c>
      <c r="GE284" t="e">
        <f>AND(#REF!,"AAAAAE771bo=")</f>
        <v>#REF!</v>
      </c>
      <c r="GF284" t="e">
        <f>AND(#REF!,"AAAAAE771bs=")</f>
        <v>#REF!</v>
      </c>
      <c r="GG284" t="e">
        <f>AND(#REF!,"AAAAAE771bw=")</f>
        <v>#REF!</v>
      </c>
      <c r="GH284" t="e">
        <f>AND(#REF!,"AAAAAE771b0=")</f>
        <v>#REF!</v>
      </c>
      <c r="GI284" t="e">
        <f>AND(#REF!,"AAAAAE771b4=")</f>
        <v>#REF!</v>
      </c>
      <c r="GJ284" t="e">
        <f>AND(#REF!,"AAAAAE771b8=")</f>
        <v>#REF!</v>
      </c>
      <c r="GK284" t="e">
        <f>IF(#REF!,"AAAAAE771cA=",0)</f>
        <v>#REF!</v>
      </c>
      <c r="GL284" t="e">
        <f>AND(#REF!,"AAAAAE771cE=")</f>
        <v>#REF!</v>
      </c>
      <c r="GM284" t="e">
        <f>AND(#REF!,"AAAAAE771cI=")</f>
        <v>#REF!</v>
      </c>
      <c r="GN284" t="e">
        <f>AND(#REF!,"AAAAAE771cM=")</f>
        <v>#REF!</v>
      </c>
      <c r="GO284" t="e">
        <f>AND(#REF!,"AAAAAE771cQ=")</f>
        <v>#REF!</v>
      </c>
      <c r="GP284" t="e">
        <f>AND(#REF!,"AAAAAE771cU=")</f>
        <v>#REF!</v>
      </c>
      <c r="GQ284" t="e">
        <f>AND(#REF!,"AAAAAE771cY=")</f>
        <v>#REF!</v>
      </c>
      <c r="GR284" t="e">
        <f>AND(#REF!,"AAAAAE771cc=")</f>
        <v>#REF!</v>
      </c>
      <c r="GS284" t="e">
        <f>AND(#REF!,"AAAAAE771cg=")</f>
        <v>#REF!</v>
      </c>
      <c r="GT284" t="e">
        <f>AND(#REF!,"AAAAAE771ck=")</f>
        <v>#REF!</v>
      </c>
      <c r="GU284" t="e">
        <f>AND(#REF!,"AAAAAE771co=")</f>
        <v>#REF!</v>
      </c>
      <c r="GV284" t="e">
        <f>IF(#REF!,"AAAAAE771cs=",0)</f>
        <v>#REF!</v>
      </c>
      <c r="GW284" t="e">
        <f>AND(#REF!,"AAAAAE771cw=")</f>
        <v>#REF!</v>
      </c>
      <c r="GX284" t="e">
        <f>AND(#REF!,"AAAAAE771c0=")</f>
        <v>#REF!</v>
      </c>
      <c r="GY284" t="e">
        <f>AND(#REF!,"AAAAAE771c4=")</f>
        <v>#REF!</v>
      </c>
      <c r="GZ284" t="e">
        <f>AND(#REF!,"AAAAAE771c8=")</f>
        <v>#REF!</v>
      </c>
      <c r="HA284" t="e">
        <f>AND(#REF!,"AAAAAE771dA=")</f>
        <v>#REF!</v>
      </c>
      <c r="HB284" t="e">
        <f>AND(#REF!,"AAAAAE771dE=")</f>
        <v>#REF!</v>
      </c>
      <c r="HC284" t="e">
        <f>AND(#REF!,"AAAAAE771dI=")</f>
        <v>#REF!</v>
      </c>
      <c r="HD284" t="e">
        <f>AND(#REF!,"AAAAAE771dM=")</f>
        <v>#REF!</v>
      </c>
      <c r="HE284" t="e">
        <f>AND(#REF!,"AAAAAE771dQ=")</f>
        <v>#REF!</v>
      </c>
      <c r="HF284" t="e">
        <f>AND(#REF!,"AAAAAE771dU=")</f>
        <v>#REF!</v>
      </c>
      <c r="HG284" t="e">
        <f>IF(#REF!,"AAAAAE771dY=",0)</f>
        <v>#REF!</v>
      </c>
      <c r="HH284" t="e">
        <f>AND(#REF!,"AAAAAE771dc=")</f>
        <v>#REF!</v>
      </c>
      <c r="HI284" t="e">
        <f>AND(#REF!,"AAAAAE771dg=")</f>
        <v>#REF!</v>
      </c>
      <c r="HJ284" t="e">
        <f>AND(#REF!,"AAAAAE771dk=")</f>
        <v>#REF!</v>
      </c>
      <c r="HK284" t="e">
        <f>AND(#REF!,"AAAAAE771do=")</f>
        <v>#REF!</v>
      </c>
      <c r="HL284" t="e">
        <f>AND(#REF!,"AAAAAE771ds=")</f>
        <v>#REF!</v>
      </c>
      <c r="HM284" t="e">
        <f>AND(#REF!,"AAAAAE771dw=")</f>
        <v>#REF!</v>
      </c>
      <c r="HN284" t="e">
        <f>AND(#REF!,"AAAAAE771d0=")</f>
        <v>#REF!</v>
      </c>
      <c r="HO284" t="e">
        <f>AND(#REF!,"AAAAAE771d4=")</f>
        <v>#REF!</v>
      </c>
      <c r="HP284" t="e">
        <f>AND(#REF!,"AAAAAE771d8=")</f>
        <v>#REF!</v>
      </c>
      <c r="HQ284" t="e">
        <f>AND(#REF!,"AAAAAE771eA=")</f>
        <v>#REF!</v>
      </c>
      <c r="HR284" t="e">
        <f>IF(#REF!,"AAAAAE771eE=",0)</f>
        <v>#REF!</v>
      </c>
      <c r="HS284" t="e">
        <f>AND(#REF!,"AAAAAE771eI=")</f>
        <v>#REF!</v>
      </c>
      <c r="HT284" t="e">
        <f>AND(#REF!,"AAAAAE771eM=")</f>
        <v>#REF!</v>
      </c>
      <c r="HU284" t="e">
        <f>AND(#REF!,"AAAAAE771eQ=")</f>
        <v>#REF!</v>
      </c>
      <c r="HV284" t="e">
        <f>AND(#REF!,"AAAAAE771eU=")</f>
        <v>#REF!</v>
      </c>
      <c r="HW284" t="e">
        <f>AND(#REF!,"AAAAAE771eY=")</f>
        <v>#REF!</v>
      </c>
      <c r="HX284" t="e">
        <f>AND(#REF!,"AAAAAE771ec=")</f>
        <v>#REF!</v>
      </c>
      <c r="HY284" t="e">
        <f>AND(#REF!,"AAAAAE771eg=")</f>
        <v>#REF!</v>
      </c>
      <c r="HZ284" t="e">
        <f>AND(#REF!,"AAAAAE771ek=")</f>
        <v>#REF!</v>
      </c>
      <c r="IA284" t="e">
        <f>AND(#REF!,"AAAAAE771eo=")</f>
        <v>#REF!</v>
      </c>
      <c r="IB284" t="e">
        <f>AND(#REF!,"AAAAAE771es=")</f>
        <v>#REF!</v>
      </c>
      <c r="IC284" t="e">
        <f>IF(#REF!,"AAAAAE771ew=",0)</f>
        <v>#REF!</v>
      </c>
      <c r="ID284" t="e">
        <f>AND(#REF!,"AAAAAE771e0=")</f>
        <v>#REF!</v>
      </c>
      <c r="IE284" t="e">
        <f>AND(#REF!,"AAAAAE771e4=")</f>
        <v>#REF!</v>
      </c>
      <c r="IF284" t="e">
        <f>AND(#REF!,"AAAAAE771e8=")</f>
        <v>#REF!</v>
      </c>
      <c r="IG284" t="e">
        <f>AND(#REF!,"AAAAAE771fA=")</f>
        <v>#REF!</v>
      </c>
      <c r="IH284" t="e">
        <f>AND(#REF!,"AAAAAE771fE=")</f>
        <v>#REF!</v>
      </c>
      <c r="II284" t="e">
        <f>AND(#REF!,"AAAAAE771fI=")</f>
        <v>#REF!</v>
      </c>
      <c r="IJ284" t="e">
        <f>AND(#REF!,"AAAAAE771fM=")</f>
        <v>#REF!</v>
      </c>
      <c r="IK284" t="e">
        <f>AND(#REF!,"AAAAAE771fQ=")</f>
        <v>#REF!</v>
      </c>
      <c r="IL284" t="e">
        <f>AND(#REF!,"AAAAAE771fU=")</f>
        <v>#REF!</v>
      </c>
      <c r="IM284" t="e">
        <f>AND(#REF!,"AAAAAE771fY=")</f>
        <v>#REF!</v>
      </c>
      <c r="IN284" t="e">
        <f>IF(#REF!,"AAAAAE771fc=",0)</f>
        <v>#REF!</v>
      </c>
      <c r="IO284" t="e">
        <f>AND(#REF!,"AAAAAE771fg=")</f>
        <v>#REF!</v>
      </c>
      <c r="IP284" t="e">
        <f>AND(#REF!,"AAAAAE771fk=")</f>
        <v>#REF!</v>
      </c>
      <c r="IQ284" t="e">
        <f>AND(#REF!,"AAAAAE771fo=")</f>
        <v>#REF!</v>
      </c>
      <c r="IR284" t="e">
        <f>AND(#REF!,"AAAAAE771fs=")</f>
        <v>#REF!</v>
      </c>
      <c r="IS284" t="e">
        <f>AND(#REF!,"AAAAAE771fw=")</f>
        <v>#REF!</v>
      </c>
      <c r="IT284" t="e">
        <f>AND(#REF!,"AAAAAE771f0=")</f>
        <v>#REF!</v>
      </c>
      <c r="IU284" t="e">
        <f>AND(#REF!,"AAAAAE771f4=")</f>
        <v>#REF!</v>
      </c>
      <c r="IV284" t="e">
        <f>AND(#REF!,"AAAAAE771f8=")</f>
        <v>#REF!</v>
      </c>
    </row>
    <row r="285" spans="1:256" x14ac:dyDescent="0.25">
      <c r="A285" t="e">
        <f>AND(#REF!,"AAAAACz++gA=")</f>
        <v>#REF!</v>
      </c>
      <c r="B285" t="e">
        <f>AND(#REF!,"AAAAACz++gE=")</f>
        <v>#REF!</v>
      </c>
      <c r="C285" t="e">
        <f>IF(#REF!,"AAAAACz++gI=",0)</f>
        <v>#REF!</v>
      </c>
      <c r="D285" t="e">
        <f>AND(#REF!,"AAAAACz++gM=")</f>
        <v>#REF!</v>
      </c>
      <c r="E285" t="e">
        <f>AND(#REF!,"AAAAACz++gQ=")</f>
        <v>#REF!</v>
      </c>
      <c r="F285" t="e">
        <f>AND(#REF!,"AAAAACz++gU=")</f>
        <v>#REF!</v>
      </c>
      <c r="G285" t="e">
        <f>AND(#REF!,"AAAAACz++gY=")</f>
        <v>#REF!</v>
      </c>
      <c r="H285" t="e">
        <f>AND(#REF!,"AAAAACz++gc=")</f>
        <v>#REF!</v>
      </c>
      <c r="I285" t="e">
        <f>AND(#REF!,"AAAAACz++gg=")</f>
        <v>#REF!</v>
      </c>
      <c r="J285" t="e">
        <f>AND(#REF!,"AAAAACz++gk=")</f>
        <v>#REF!</v>
      </c>
      <c r="K285" t="e">
        <f>AND(#REF!,"AAAAACz++go=")</f>
        <v>#REF!</v>
      </c>
      <c r="L285" t="e">
        <f>AND(#REF!,"AAAAACz++gs=")</f>
        <v>#REF!</v>
      </c>
      <c r="M285" t="e">
        <f>AND(#REF!,"AAAAACz++gw=")</f>
        <v>#REF!</v>
      </c>
      <c r="N285" t="e">
        <f>IF(#REF!,"AAAAACz++g0=",0)</f>
        <v>#REF!</v>
      </c>
      <c r="O285" t="e">
        <f>AND(#REF!,"AAAAACz++g4=")</f>
        <v>#REF!</v>
      </c>
      <c r="P285" t="e">
        <f>AND(#REF!,"AAAAACz++g8=")</f>
        <v>#REF!</v>
      </c>
      <c r="Q285" t="e">
        <f>AND(#REF!,"AAAAACz++hA=")</f>
        <v>#REF!</v>
      </c>
      <c r="R285" t="e">
        <f>AND(#REF!,"AAAAACz++hE=")</f>
        <v>#REF!</v>
      </c>
      <c r="S285" t="e">
        <f>AND(#REF!,"AAAAACz++hI=")</f>
        <v>#REF!</v>
      </c>
      <c r="T285" t="e">
        <f>AND(#REF!,"AAAAACz++hM=")</f>
        <v>#REF!</v>
      </c>
      <c r="U285" t="e">
        <f>AND(#REF!,"AAAAACz++hQ=")</f>
        <v>#REF!</v>
      </c>
      <c r="V285" t="e">
        <f>AND(#REF!,"AAAAACz++hU=")</f>
        <v>#REF!</v>
      </c>
      <c r="W285" t="e">
        <f>AND(#REF!,"AAAAACz++hY=")</f>
        <v>#REF!</v>
      </c>
      <c r="X285" t="e">
        <f>AND(#REF!,"AAAAACz++hc=")</f>
        <v>#REF!</v>
      </c>
      <c r="Y285" t="e">
        <f>IF(#REF!,"AAAAACz++hg=",0)</f>
        <v>#REF!</v>
      </c>
      <c r="Z285" t="e">
        <f>AND(#REF!,"AAAAACz++hk=")</f>
        <v>#REF!</v>
      </c>
      <c r="AA285" t="e">
        <f>AND(#REF!,"AAAAACz++ho=")</f>
        <v>#REF!</v>
      </c>
      <c r="AB285" t="e">
        <f>AND(#REF!,"AAAAACz++hs=")</f>
        <v>#REF!</v>
      </c>
      <c r="AC285" t="e">
        <f>AND(#REF!,"AAAAACz++hw=")</f>
        <v>#REF!</v>
      </c>
      <c r="AD285" t="e">
        <f>AND(#REF!,"AAAAACz++h0=")</f>
        <v>#REF!</v>
      </c>
      <c r="AE285" t="e">
        <f>AND(#REF!,"AAAAACz++h4=")</f>
        <v>#REF!</v>
      </c>
      <c r="AF285" t="e">
        <f>AND(#REF!,"AAAAACz++h8=")</f>
        <v>#REF!</v>
      </c>
      <c r="AG285" t="e">
        <f>AND(#REF!,"AAAAACz++iA=")</f>
        <v>#REF!</v>
      </c>
      <c r="AH285" t="e">
        <f>AND(#REF!,"AAAAACz++iE=")</f>
        <v>#REF!</v>
      </c>
      <c r="AI285" t="e">
        <f>AND(#REF!,"AAAAACz++iI=")</f>
        <v>#REF!</v>
      </c>
      <c r="AJ285" t="e">
        <f>IF(#REF!,"AAAAACz++iM=",0)</f>
        <v>#REF!</v>
      </c>
      <c r="AK285" t="e">
        <f>AND(#REF!,"AAAAACz++iQ=")</f>
        <v>#REF!</v>
      </c>
      <c r="AL285" t="e">
        <f>AND(#REF!,"AAAAACz++iU=")</f>
        <v>#REF!</v>
      </c>
      <c r="AM285" t="e">
        <f>AND(#REF!,"AAAAACz++iY=")</f>
        <v>#REF!</v>
      </c>
      <c r="AN285" t="e">
        <f>AND(#REF!,"AAAAACz++ic=")</f>
        <v>#REF!</v>
      </c>
      <c r="AO285" t="e">
        <f>AND(#REF!,"AAAAACz++ig=")</f>
        <v>#REF!</v>
      </c>
      <c r="AP285" t="e">
        <f>AND(#REF!,"AAAAACz++ik=")</f>
        <v>#REF!</v>
      </c>
      <c r="AQ285" t="e">
        <f>AND(#REF!,"AAAAACz++io=")</f>
        <v>#REF!</v>
      </c>
      <c r="AR285" t="e">
        <f>AND(#REF!,"AAAAACz++is=")</f>
        <v>#REF!</v>
      </c>
      <c r="AS285" t="e">
        <f>AND(#REF!,"AAAAACz++iw=")</f>
        <v>#REF!</v>
      </c>
      <c r="AT285" t="e">
        <f>AND(#REF!,"AAAAACz++i0=")</f>
        <v>#REF!</v>
      </c>
      <c r="AU285" t="e">
        <f>IF(#REF!,"AAAAACz++i4=",0)</f>
        <v>#REF!</v>
      </c>
      <c r="AV285" t="e">
        <f>AND(#REF!,"AAAAACz++i8=")</f>
        <v>#REF!</v>
      </c>
      <c r="AW285" t="e">
        <f>AND(#REF!,"AAAAACz++jA=")</f>
        <v>#REF!</v>
      </c>
      <c r="AX285" t="e">
        <f>AND(#REF!,"AAAAACz++jE=")</f>
        <v>#REF!</v>
      </c>
      <c r="AY285" t="e">
        <f>AND(#REF!,"AAAAACz++jI=")</f>
        <v>#REF!</v>
      </c>
      <c r="AZ285" t="e">
        <f>AND(#REF!,"AAAAACz++jM=")</f>
        <v>#REF!</v>
      </c>
      <c r="BA285" t="e">
        <f>AND(#REF!,"AAAAACz++jQ=")</f>
        <v>#REF!</v>
      </c>
      <c r="BB285" t="e">
        <f>AND(#REF!,"AAAAACz++jU=")</f>
        <v>#REF!</v>
      </c>
      <c r="BC285" t="e">
        <f>AND(#REF!,"AAAAACz++jY=")</f>
        <v>#REF!</v>
      </c>
      <c r="BD285" t="e">
        <f>AND(#REF!,"AAAAACz++jc=")</f>
        <v>#REF!</v>
      </c>
      <c r="BE285" t="e">
        <f>AND(#REF!,"AAAAACz++jg=")</f>
        <v>#REF!</v>
      </c>
      <c r="BF285" t="e">
        <f>IF(#REF!,"AAAAACz++jk=",0)</f>
        <v>#REF!</v>
      </c>
      <c r="BG285" t="e">
        <f>AND(#REF!,"AAAAACz++jo=")</f>
        <v>#REF!</v>
      </c>
      <c r="BH285" t="e">
        <f>AND(#REF!,"AAAAACz++js=")</f>
        <v>#REF!</v>
      </c>
      <c r="BI285" t="e">
        <f>AND(#REF!,"AAAAACz++jw=")</f>
        <v>#REF!</v>
      </c>
      <c r="BJ285" t="e">
        <f>AND(#REF!,"AAAAACz++j0=")</f>
        <v>#REF!</v>
      </c>
      <c r="BK285" t="e">
        <f>AND(#REF!,"AAAAACz++j4=")</f>
        <v>#REF!</v>
      </c>
      <c r="BL285" t="e">
        <f>AND(#REF!,"AAAAACz++j8=")</f>
        <v>#REF!</v>
      </c>
      <c r="BM285" t="e">
        <f>AND(#REF!,"AAAAACz++kA=")</f>
        <v>#REF!</v>
      </c>
      <c r="BN285" t="e">
        <f>AND(#REF!,"AAAAACz++kE=")</f>
        <v>#REF!</v>
      </c>
      <c r="BO285" t="e">
        <f>AND(#REF!,"AAAAACz++kI=")</f>
        <v>#REF!</v>
      </c>
      <c r="BP285" t="e">
        <f>AND(#REF!,"AAAAACz++kM=")</f>
        <v>#REF!</v>
      </c>
      <c r="BQ285" t="e">
        <f>IF(#REF!,"AAAAACz++kQ=",0)</f>
        <v>#REF!</v>
      </c>
      <c r="BR285" t="e">
        <f>AND(#REF!,"AAAAACz++kU=")</f>
        <v>#REF!</v>
      </c>
      <c r="BS285" t="e">
        <f>AND(#REF!,"AAAAACz++kY=")</f>
        <v>#REF!</v>
      </c>
      <c r="BT285" t="e">
        <f>AND(#REF!,"AAAAACz++kc=")</f>
        <v>#REF!</v>
      </c>
      <c r="BU285" t="e">
        <f>AND(#REF!,"AAAAACz++kg=")</f>
        <v>#REF!</v>
      </c>
      <c r="BV285" t="e">
        <f>AND(#REF!,"AAAAACz++kk=")</f>
        <v>#REF!</v>
      </c>
      <c r="BW285" t="e">
        <f>AND(#REF!,"AAAAACz++ko=")</f>
        <v>#REF!</v>
      </c>
      <c r="BX285" t="e">
        <f>AND(#REF!,"AAAAACz++ks=")</f>
        <v>#REF!</v>
      </c>
      <c r="BY285" t="e">
        <f>AND(#REF!,"AAAAACz++kw=")</f>
        <v>#REF!</v>
      </c>
      <c r="BZ285" t="e">
        <f>AND(#REF!,"AAAAACz++k0=")</f>
        <v>#REF!</v>
      </c>
      <c r="CA285" t="e">
        <f>AND(#REF!,"AAAAACz++k4=")</f>
        <v>#REF!</v>
      </c>
      <c r="CB285" t="e">
        <f>IF(#REF!,"AAAAACz++k8=",0)</f>
        <v>#REF!</v>
      </c>
      <c r="CC285" t="e">
        <f>AND(#REF!,"AAAAACz++lA=")</f>
        <v>#REF!</v>
      </c>
      <c r="CD285" t="e">
        <f>AND(#REF!,"AAAAACz++lE=")</f>
        <v>#REF!</v>
      </c>
      <c r="CE285" t="e">
        <f>AND(#REF!,"AAAAACz++lI=")</f>
        <v>#REF!</v>
      </c>
      <c r="CF285" t="e">
        <f>AND(#REF!,"AAAAACz++lM=")</f>
        <v>#REF!</v>
      </c>
      <c r="CG285" t="e">
        <f>AND(#REF!,"AAAAACz++lQ=")</f>
        <v>#REF!</v>
      </c>
      <c r="CH285" t="e">
        <f>AND(#REF!,"AAAAACz++lU=")</f>
        <v>#REF!</v>
      </c>
      <c r="CI285" t="e">
        <f>AND(#REF!,"AAAAACz++lY=")</f>
        <v>#REF!</v>
      </c>
      <c r="CJ285" t="e">
        <f>AND(#REF!,"AAAAACz++lc=")</f>
        <v>#REF!</v>
      </c>
      <c r="CK285" t="e">
        <f>AND(#REF!,"AAAAACz++lg=")</f>
        <v>#REF!</v>
      </c>
      <c r="CL285" t="e">
        <f>AND(#REF!,"AAAAACz++lk=")</f>
        <v>#REF!</v>
      </c>
      <c r="CM285" t="e">
        <f>IF(#REF!,"AAAAACz++lo=",0)</f>
        <v>#REF!</v>
      </c>
      <c r="CN285" t="e">
        <f>AND(#REF!,"AAAAACz++ls=")</f>
        <v>#REF!</v>
      </c>
      <c r="CO285" t="e">
        <f>AND(#REF!,"AAAAACz++lw=")</f>
        <v>#REF!</v>
      </c>
      <c r="CP285" t="e">
        <f>AND(#REF!,"AAAAACz++l0=")</f>
        <v>#REF!</v>
      </c>
      <c r="CQ285" t="e">
        <f>AND(#REF!,"AAAAACz++l4=")</f>
        <v>#REF!</v>
      </c>
      <c r="CR285" t="e">
        <f>AND(#REF!,"AAAAACz++l8=")</f>
        <v>#REF!</v>
      </c>
      <c r="CS285" t="e">
        <f>AND(#REF!,"AAAAACz++mA=")</f>
        <v>#REF!</v>
      </c>
      <c r="CT285" t="e">
        <f>AND(#REF!,"AAAAACz++mE=")</f>
        <v>#REF!</v>
      </c>
      <c r="CU285" t="e">
        <f>AND(#REF!,"AAAAACz++mI=")</f>
        <v>#REF!</v>
      </c>
      <c r="CV285" t="e">
        <f>AND(#REF!,"AAAAACz++mM=")</f>
        <v>#REF!</v>
      </c>
      <c r="CW285" t="e">
        <f>AND(#REF!,"AAAAACz++mQ=")</f>
        <v>#REF!</v>
      </c>
      <c r="CX285" t="e">
        <f>IF(#REF!,"AAAAACz++mU=",0)</f>
        <v>#REF!</v>
      </c>
      <c r="CY285" t="e">
        <f>AND(#REF!,"AAAAACz++mY=")</f>
        <v>#REF!</v>
      </c>
      <c r="CZ285" t="e">
        <f>AND(#REF!,"AAAAACz++mc=")</f>
        <v>#REF!</v>
      </c>
      <c r="DA285" t="e">
        <f>AND(#REF!,"AAAAACz++mg=")</f>
        <v>#REF!</v>
      </c>
      <c r="DB285" t="e">
        <f>AND(#REF!,"AAAAACz++mk=")</f>
        <v>#REF!</v>
      </c>
      <c r="DC285" t="e">
        <f>AND(#REF!,"AAAAACz++mo=")</f>
        <v>#REF!</v>
      </c>
      <c r="DD285" t="e">
        <f>AND(#REF!,"AAAAACz++ms=")</f>
        <v>#REF!</v>
      </c>
      <c r="DE285" t="e">
        <f>AND(#REF!,"AAAAACz++mw=")</f>
        <v>#REF!</v>
      </c>
      <c r="DF285" t="e">
        <f>AND(#REF!,"AAAAACz++m0=")</f>
        <v>#REF!</v>
      </c>
      <c r="DG285" t="e">
        <f>AND(#REF!,"AAAAACz++m4=")</f>
        <v>#REF!</v>
      </c>
      <c r="DH285" t="e">
        <f>AND(#REF!,"AAAAACz++m8=")</f>
        <v>#REF!</v>
      </c>
      <c r="DI285" t="e">
        <f>IF(#REF!,"AAAAACz++nA=",0)</f>
        <v>#REF!</v>
      </c>
      <c r="DJ285" t="e">
        <f>AND(#REF!,"AAAAACz++nE=")</f>
        <v>#REF!</v>
      </c>
      <c r="DK285" t="e">
        <f>AND(#REF!,"AAAAACz++nI=")</f>
        <v>#REF!</v>
      </c>
      <c r="DL285" t="e">
        <f>AND(#REF!,"AAAAACz++nM=")</f>
        <v>#REF!</v>
      </c>
      <c r="DM285" t="e">
        <f>AND(#REF!,"AAAAACz++nQ=")</f>
        <v>#REF!</v>
      </c>
      <c r="DN285" t="e">
        <f>AND(#REF!,"AAAAACz++nU=")</f>
        <v>#REF!</v>
      </c>
      <c r="DO285" t="e">
        <f>AND(#REF!,"AAAAACz++nY=")</f>
        <v>#REF!</v>
      </c>
      <c r="DP285" t="e">
        <f>AND(#REF!,"AAAAACz++nc=")</f>
        <v>#REF!</v>
      </c>
      <c r="DQ285" t="e">
        <f>AND(#REF!,"AAAAACz++ng=")</f>
        <v>#REF!</v>
      </c>
      <c r="DR285" t="e">
        <f>AND(#REF!,"AAAAACz++nk=")</f>
        <v>#REF!</v>
      </c>
      <c r="DS285" t="e">
        <f>AND(#REF!,"AAAAACz++no=")</f>
        <v>#REF!</v>
      </c>
      <c r="DT285" t="e">
        <f>IF(#REF!,"AAAAACz++ns=",0)</f>
        <v>#REF!</v>
      </c>
      <c r="DU285" t="e">
        <f>AND(#REF!,"AAAAACz++nw=")</f>
        <v>#REF!</v>
      </c>
      <c r="DV285" t="e">
        <f>AND(#REF!,"AAAAACz++n0=")</f>
        <v>#REF!</v>
      </c>
      <c r="DW285" t="e">
        <f>AND(#REF!,"AAAAACz++n4=")</f>
        <v>#REF!</v>
      </c>
      <c r="DX285" t="e">
        <f>AND(#REF!,"AAAAACz++n8=")</f>
        <v>#REF!</v>
      </c>
      <c r="DY285" t="e">
        <f>AND(#REF!,"AAAAACz++oA=")</f>
        <v>#REF!</v>
      </c>
      <c r="DZ285" t="e">
        <f>AND(#REF!,"AAAAACz++oE=")</f>
        <v>#REF!</v>
      </c>
      <c r="EA285" t="e">
        <f>AND(#REF!,"AAAAACz++oI=")</f>
        <v>#REF!</v>
      </c>
      <c r="EB285" t="e">
        <f>AND(#REF!,"AAAAACz++oM=")</f>
        <v>#REF!</v>
      </c>
      <c r="EC285" t="e">
        <f>AND(#REF!,"AAAAACz++oQ=")</f>
        <v>#REF!</v>
      </c>
      <c r="ED285" t="e">
        <f>AND(#REF!,"AAAAACz++oU=")</f>
        <v>#REF!</v>
      </c>
      <c r="EE285" t="e">
        <f>IF(#REF!,"AAAAACz++oY=",0)</f>
        <v>#REF!</v>
      </c>
      <c r="EF285" t="e">
        <f>AND(#REF!,"AAAAACz++oc=")</f>
        <v>#REF!</v>
      </c>
      <c r="EG285" t="e">
        <f>AND(#REF!,"AAAAACz++og=")</f>
        <v>#REF!</v>
      </c>
      <c r="EH285" t="e">
        <f>AND(#REF!,"AAAAACz++ok=")</f>
        <v>#REF!</v>
      </c>
      <c r="EI285" t="e">
        <f>AND(#REF!,"AAAAACz++oo=")</f>
        <v>#REF!</v>
      </c>
      <c r="EJ285" t="e">
        <f>AND(#REF!,"AAAAACz++os=")</f>
        <v>#REF!</v>
      </c>
      <c r="EK285" t="e">
        <f>AND(#REF!,"AAAAACz++ow=")</f>
        <v>#REF!</v>
      </c>
      <c r="EL285" t="e">
        <f>AND(#REF!,"AAAAACz++o0=")</f>
        <v>#REF!</v>
      </c>
      <c r="EM285" t="e">
        <f>AND(#REF!,"AAAAACz++o4=")</f>
        <v>#REF!</v>
      </c>
      <c r="EN285" t="e">
        <f>AND(#REF!,"AAAAACz++o8=")</f>
        <v>#REF!</v>
      </c>
      <c r="EO285" t="e">
        <f>AND(#REF!,"AAAAACz++pA=")</f>
        <v>#REF!</v>
      </c>
      <c r="EP285" t="e">
        <f>IF(#REF!,"AAAAACz++pE=",0)</f>
        <v>#REF!</v>
      </c>
      <c r="EQ285" t="e">
        <f>AND(#REF!,"AAAAACz++pI=")</f>
        <v>#REF!</v>
      </c>
      <c r="ER285" t="e">
        <f>AND(#REF!,"AAAAACz++pM=")</f>
        <v>#REF!</v>
      </c>
      <c r="ES285" t="e">
        <f>AND(#REF!,"AAAAACz++pQ=")</f>
        <v>#REF!</v>
      </c>
      <c r="ET285" t="e">
        <f>AND(#REF!,"AAAAACz++pU=")</f>
        <v>#REF!</v>
      </c>
      <c r="EU285" t="e">
        <f>AND(#REF!,"AAAAACz++pY=")</f>
        <v>#REF!</v>
      </c>
      <c r="EV285" t="e">
        <f>AND(#REF!,"AAAAACz++pc=")</f>
        <v>#REF!</v>
      </c>
      <c r="EW285" t="e">
        <f>AND(#REF!,"AAAAACz++pg=")</f>
        <v>#REF!</v>
      </c>
      <c r="EX285" t="e">
        <f>AND(#REF!,"AAAAACz++pk=")</f>
        <v>#REF!</v>
      </c>
      <c r="EY285" t="e">
        <f>AND(#REF!,"AAAAACz++po=")</f>
        <v>#REF!</v>
      </c>
      <c r="EZ285" t="e">
        <f>AND(#REF!,"AAAAACz++ps=")</f>
        <v>#REF!</v>
      </c>
      <c r="FA285" t="e">
        <f>IF(#REF!,"AAAAACz++pw=",0)</f>
        <v>#REF!</v>
      </c>
      <c r="FB285" t="e">
        <f>AND(#REF!,"AAAAACz++p0=")</f>
        <v>#REF!</v>
      </c>
      <c r="FC285" t="e">
        <f>AND(#REF!,"AAAAACz++p4=")</f>
        <v>#REF!</v>
      </c>
      <c r="FD285" t="e">
        <f>AND(#REF!,"AAAAACz++p8=")</f>
        <v>#REF!</v>
      </c>
      <c r="FE285" t="e">
        <f>AND(#REF!,"AAAAACz++qA=")</f>
        <v>#REF!</v>
      </c>
      <c r="FF285" t="e">
        <f>AND(#REF!,"AAAAACz++qE=")</f>
        <v>#REF!</v>
      </c>
      <c r="FG285" t="e">
        <f>AND(#REF!,"AAAAACz++qI=")</f>
        <v>#REF!</v>
      </c>
      <c r="FH285" t="e">
        <f>AND(#REF!,"AAAAACz++qM=")</f>
        <v>#REF!</v>
      </c>
      <c r="FI285" t="e">
        <f>AND(#REF!,"AAAAACz++qQ=")</f>
        <v>#REF!</v>
      </c>
      <c r="FJ285" t="e">
        <f>AND(#REF!,"AAAAACz++qU=")</f>
        <v>#REF!</v>
      </c>
      <c r="FK285" t="e">
        <f>AND(#REF!,"AAAAACz++qY=")</f>
        <v>#REF!</v>
      </c>
      <c r="FL285" t="e">
        <f>IF(#REF!,"AAAAACz++qc=",0)</f>
        <v>#REF!</v>
      </c>
      <c r="FM285" t="e">
        <f>AND(#REF!,"AAAAACz++qg=")</f>
        <v>#REF!</v>
      </c>
      <c r="FN285" t="e">
        <f>AND(#REF!,"AAAAACz++qk=")</f>
        <v>#REF!</v>
      </c>
      <c r="FO285" t="e">
        <f>AND(#REF!,"AAAAACz++qo=")</f>
        <v>#REF!</v>
      </c>
      <c r="FP285" t="e">
        <f>AND(#REF!,"AAAAACz++qs=")</f>
        <v>#REF!</v>
      </c>
      <c r="FQ285" t="e">
        <f>AND(#REF!,"AAAAACz++qw=")</f>
        <v>#REF!</v>
      </c>
      <c r="FR285" t="e">
        <f>AND(#REF!,"AAAAACz++q0=")</f>
        <v>#REF!</v>
      </c>
      <c r="FS285" t="e">
        <f>AND(#REF!,"AAAAACz++q4=")</f>
        <v>#REF!</v>
      </c>
      <c r="FT285" t="e">
        <f>AND(#REF!,"AAAAACz++q8=")</f>
        <v>#REF!</v>
      </c>
      <c r="FU285" t="e">
        <f>AND(#REF!,"AAAAACz++rA=")</f>
        <v>#REF!</v>
      </c>
      <c r="FV285" t="e">
        <f>AND(#REF!,"AAAAACz++rE=")</f>
        <v>#REF!</v>
      </c>
      <c r="FW285" t="e">
        <f>IF(#REF!,"AAAAACz++rI=",0)</f>
        <v>#REF!</v>
      </c>
      <c r="FX285" t="e">
        <f>AND(#REF!,"AAAAACz++rM=")</f>
        <v>#REF!</v>
      </c>
      <c r="FY285" t="e">
        <f>AND(#REF!,"AAAAACz++rQ=")</f>
        <v>#REF!</v>
      </c>
      <c r="FZ285" t="e">
        <f>AND(#REF!,"AAAAACz++rU=")</f>
        <v>#REF!</v>
      </c>
      <c r="GA285" t="e">
        <f>AND(#REF!,"AAAAACz++rY=")</f>
        <v>#REF!</v>
      </c>
      <c r="GB285" t="e">
        <f>AND(#REF!,"AAAAACz++rc=")</f>
        <v>#REF!</v>
      </c>
      <c r="GC285" t="e">
        <f>AND(#REF!,"AAAAACz++rg=")</f>
        <v>#REF!</v>
      </c>
      <c r="GD285" t="e">
        <f>AND(#REF!,"AAAAACz++rk=")</f>
        <v>#REF!</v>
      </c>
      <c r="GE285" t="e">
        <f>AND(#REF!,"AAAAACz++ro=")</f>
        <v>#REF!</v>
      </c>
      <c r="GF285" t="e">
        <f>AND(#REF!,"AAAAACz++rs=")</f>
        <v>#REF!</v>
      </c>
      <c r="GG285" t="e">
        <f>AND(#REF!,"AAAAACz++rw=")</f>
        <v>#REF!</v>
      </c>
      <c r="GH285" t="e">
        <f>IF(#REF!,"AAAAACz++r0=",0)</f>
        <v>#REF!</v>
      </c>
      <c r="GI285" t="e">
        <f>AND(#REF!,"AAAAACz++r4=")</f>
        <v>#REF!</v>
      </c>
      <c r="GJ285" t="e">
        <f>AND(#REF!,"AAAAACz++r8=")</f>
        <v>#REF!</v>
      </c>
      <c r="GK285" t="e">
        <f>AND(#REF!,"AAAAACz++sA=")</f>
        <v>#REF!</v>
      </c>
      <c r="GL285" t="e">
        <f>AND(#REF!,"AAAAACz++sE=")</f>
        <v>#REF!</v>
      </c>
      <c r="GM285" t="e">
        <f>AND(#REF!,"AAAAACz++sI=")</f>
        <v>#REF!</v>
      </c>
      <c r="GN285" t="e">
        <f>AND(#REF!,"AAAAACz++sM=")</f>
        <v>#REF!</v>
      </c>
      <c r="GO285" t="e">
        <f>AND(#REF!,"AAAAACz++sQ=")</f>
        <v>#REF!</v>
      </c>
      <c r="GP285" t="e">
        <f>AND(#REF!,"AAAAACz++sU=")</f>
        <v>#REF!</v>
      </c>
      <c r="GQ285" t="e">
        <f>AND(#REF!,"AAAAACz++sY=")</f>
        <v>#REF!</v>
      </c>
      <c r="GR285" t="e">
        <f>AND(#REF!,"AAAAACz++sc=")</f>
        <v>#REF!</v>
      </c>
      <c r="GS285" t="e">
        <f>IF(#REF!,"AAAAACz++sg=",0)</f>
        <v>#REF!</v>
      </c>
      <c r="GT285" t="e">
        <f>AND(#REF!,"AAAAACz++sk=")</f>
        <v>#REF!</v>
      </c>
      <c r="GU285" t="e">
        <f>AND(#REF!,"AAAAACz++so=")</f>
        <v>#REF!</v>
      </c>
      <c r="GV285" t="e">
        <f>AND(#REF!,"AAAAACz++ss=")</f>
        <v>#REF!</v>
      </c>
      <c r="GW285" t="e">
        <f>AND(#REF!,"AAAAACz++sw=")</f>
        <v>#REF!</v>
      </c>
      <c r="GX285" t="e">
        <f>AND(#REF!,"AAAAACz++s0=")</f>
        <v>#REF!</v>
      </c>
      <c r="GY285" t="e">
        <f>AND(#REF!,"AAAAACz++s4=")</f>
        <v>#REF!</v>
      </c>
      <c r="GZ285" t="e">
        <f>AND(#REF!,"AAAAACz++s8=")</f>
        <v>#REF!</v>
      </c>
      <c r="HA285" t="e">
        <f>AND(#REF!,"AAAAACz++tA=")</f>
        <v>#REF!</v>
      </c>
      <c r="HB285" t="e">
        <f>AND(#REF!,"AAAAACz++tE=")</f>
        <v>#REF!</v>
      </c>
      <c r="HC285" t="e">
        <f>AND(#REF!,"AAAAACz++tI=")</f>
        <v>#REF!</v>
      </c>
      <c r="HD285" t="e">
        <f>IF(#REF!,"AAAAACz++tM=",0)</f>
        <v>#REF!</v>
      </c>
      <c r="HE285" t="e">
        <f>AND(#REF!,"AAAAACz++tQ=")</f>
        <v>#REF!</v>
      </c>
      <c r="HF285" t="e">
        <f>AND(#REF!,"AAAAACz++tU=")</f>
        <v>#REF!</v>
      </c>
      <c r="HG285" t="e">
        <f>AND(#REF!,"AAAAACz++tY=")</f>
        <v>#REF!</v>
      </c>
      <c r="HH285" t="e">
        <f>AND(#REF!,"AAAAACz++tc=")</f>
        <v>#REF!</v>
      </c>
      <c r="HI285" t="e">
        <f>AND(#REF!,"AAAAACz++tg=")</f>
        <v>#REF!</v>
      </c>
      <c r="HJ285" t="e">
        <f>AND(#REF!,"AAAAACz++tk=")</f>
        <v>#REF!</v>
      </c>
      <c r="HK285" t="e">
        <f>AND(#REF!,"AAAAACz++to=")</f>
        <v>#REF!</v>
      </c>
      <c r="HL285" t="e">
        <f>AND(#REF!,"AAAAACz++ts=")</f>
        <v>#REF!</v>
      </c>
      <c r="HM285" t="e">
        <f>AND(#REF!,"AAAAACz++tw=")</f>
        <v>#REF!</v>
      </c>
      <c r="HN285" t="e">
        <f>AND(#REF!,"AAAAACz++t0=")</f>
        <v>#REF!</v>
      </c>
      <c r="HO285" t="e">
        <f>IF(#REF!,"AAAAACz++t4=",0)</f>
        <v>#REF!</v>
      </c>
      <c r="HP285" t="e">
        <f>AND(#REF!,"AAAAACz++t8=")</f>
        <v>#REF!</v>
      </c>
      <c r="HQ285" t="e">
        <f>AND(#REF!,"AAAAACz++uA=")</f>
        <v>#REF!</v>
      </c>
      <c r="HR285" t="e">
        <f>AND(#REF!,"AAAAACz++uE=")</f>
        <v>#REF!</v>
      </c>
      <c r="HS285" t="e">
        <f>AND(#REF!,"AAAAACz++uI=")</f>
        <v>#REF!</v>
      </c>
      <c r="HT285" t="e">
        <f>AND(#REF!,"AAAAACz++uM=")</f>
        <v>#REF!</v>
      </c>
      <c r="HU285" t="e">
        <f>AND(#REF!,"AAAAACz++uQ=")</f>
        <v>#REF!</v>
      </c>
      <c r="HV285" t="e">
        <f>AND(#REF!,"AAAAACz++uU=")</f>
        <v>#REF!</v>
      </c>
      <c r="HW285" t="e">
        <f>AND(#REF!,"AAAAACz++uY=")</f>
        <v>#REF!</v>
      </c>
      <c r="HX285" t="e">
        <f>AND(#REF!,"AAAAACz++uc=")</f>
        <v>#REF!</v>
      </c>
      <c r="HY285" t="e">
        <f>AND(#REF!,"AAAAACz++ug=")</f>
        <v>#REF!</v>
      </c>
      <c r="HZ285" t="e">
        <f>IF(#REF!,"AAAAACz++uk=",0)</f>
        <v>#REF!</v>
      </c>
      <c r="IA285" t="e">
        <f>AND(#REF!,"AAAAACz++uo=")</f>
        <v>#REF!</v>
      </c>
      <c r="IB285" t="e">
        <f>AND(#REF!,"AAAAACz++us=")</f>
        <v>#REF!</v>
      </c>
      <c r="IC285" t="e">
        <f>AND(#REF!,"AAAAACz++uw=")</f>
        <v>#REF!</v>
      </c>
      <c r="ID285" t="e">
        <f>AND(#REF!,"AAAAACz++u0=")</f>
        <v>#REF!</v>
      </c>
      <c r="IE285" t="e">
        <f>AND(#REF!,"AAAAACz++u4=")</f>
        <v>#REF!</v>
      </c>
      <c r="IF285" t="e">
        <f>AND(#REF!,"AAAAACz++u8=")</f>
        <v>#REF!</v>
      </c>
      <c r="IG285" t="e">
        <f>AND(#REF!,"AAAAACz++vA=")</f>
        <v>#REF!</v>
      </c>
      <c r="IH285" t="e">
        <f>AND(#REF!,"AAAAACz++vE=")</f>
        <v>#REF!</v>
      </c>
      <c r="II285" t="e">
        <f>AND(#REF!,"AAAAACz++vI=")</f>
        <v>#REF!</v>
      </c>
      <c r="IJ285" t="e">
        <f>AND(#REF!,"AAAAACz++vM=")</f>
        <v>#REF!</v>
      </c>
      <c r="IK285" t="e">
        <f>IF(#REF!,"AAAAACz++vQ=",0)</f>
        <v>#REF!</v>
      </c>
      <c r="IL285" t="e">
        <f>AND(#REF!,"AAAAACz++vU=")</f>
        <v>#REF!</v>
      </c>
      <c r="IM285" t="e">
        <f>AND(#REF!,"AAAAACz++vY=")</f>
        <v>#REF!</v>
      </c>
      <c r="IN285" t="e">
        <f>AND(#REF!,"AAAAACz++vc=")</f>
        <v>#REF!</v>
      </c>
      <c r="IO285" t="e">
        <f>AND(#REF!,"AAAAACz++vg=")</f>
        <v>#REF!</v>
      </c>
      <c r="IP285" t="e">
        <f>AND(#REF!,"AAAAACz++vk=")</f>
        <v>#REF!</v>
      </c>
      <c r="IQ285" t="e">
        <f>AND(#REF!,"AAAAACz++vo=")</f>
        <v>#REF!</v>
      </c>
      <c r="IR285" t="e">
        <f>AND(#REF!,"AAAAACz++vs=")</f>
        <v>#REF!</v>
      </c>
      <c r="IS285" t="e">
        <f>AND(#REF!,"AAAAACz++vw=")</f>
        <v>#REF!</v>
      </c>
      <c r="IT285" t="e">
        <f>AND(#REF!,"AAAAACz++v0=")</f>
        <v>#REF!</v>
      </c>
      <c r="IU285" t="e">
        <f>AND(#REF!,"AAAAACz++v4=")</f>
        <v>#REF!</v>
      </c>
      <c r="IV285" t="e">
        <f>IF(#REF!,"AAAAACz++v8=",0)</f>
        <v>#REF!</v>
      </c>
    </row>
    <row r="286" spans="1:256" x14ac:dyDescent="0.25">
      <c r="A286" t="e">
        <f>AND(#REF!,"AAAAAH97XQA=")</f>
        <v>#REF!</v>
      </c>
      <c r="B286" t="e">
        <f>AND(#REF!,"AAAAAH97XQE=")</f>
        <v>#REF!</v>
      </c>
      <c r="C286" t="e">
        <f>AND(#REF!,"AAAAAH97XQI=")</f>
        <v>#REF!</v>
      </c>
      <c r="D286" t="e">
        <f>AND(#REF!,"AAAAAH97XQM=")</f>
        <v>#REF!</v>
      </c>
      <c r="E286" t="e">
        <f>AND(#REF!,"AAAAAH97XQQ=")</f>
        <v>#REF!</v>
      </c>
      <c r="F286" t="e">
        <f>AND(#REF!,"AAAAAH97XQU=")</f>
        <v>#REF!</v>
      </c>
      <c r="G286" t="e">
        <f>AND(#REF!,"AAAAAH97XQY=")</f>
        <v>#REF!</v>
      </c>
      <c r="H286" t="e">
        <f>AND(#REF!,"AAAAAH97XQc=")</f>
        <v>#REF!</v>
      </c>
      <c r="I286" t="e">
        <f>AND(#REF!,"AAAAAH97XQg=")</f>
        <v>#REF!</v>
      </c>
      <c r="J286" t="e">
        <f>AND(#REF!,"AAAAAH97XQk=")</f>
        <v>#REF!</v>
      </c>
      <c r="K286" t="e">
        <f>IF(#REF!,"AAAAAH97XQo=",0)</f>
        <v>#REF!</v>
      </c>
      <c r="L286" t="e">
        <f>AND(#REF!,"AAAAAH97XQs=")</f>
        <v>#REF!</v>
      </c>
      <c r="M286" t="e">
        <f>AND(#REF!,"AAAAAH97XQw=")</f>
        <v>#REF!</v>
      </c>
      <c r="N286" t="e">
        <f>AND(#REF!,"AAAAAH97XQ0=")</f>
        <v>#REF!</v>
      </c>
      <c r="O286" t="e">
        <f>AND(#REF!,"AAAAAH97XQ4=")</f>
        <v>#REF!</v>
      </c>
      <c r="P286" t="e">
        <f>AND(#REF!,"AAAAAH97XQ8=")</f>
        <v>#REF!</v>
      </c>
      <c r="Q286" t="e">
        <f>AND(#REF!,"AAAAAH97XRA=")</f>
        <v>#REF!</v>
      </c>
      <c r="R286" t="e">
        <f>AND(#REF!,"AAAAAH97XRE=")</f>
        <v>#REF!</v>
      </c>
      <c r="S286" t="e">
        <f>AND(#REF!,"AAAAAH97XRI=")</f>
        <v>#REF!</v>
      </c>
      <c r="T286" t="e">
        <f>AND(#REF!,"AAAAAH97XRM=")</f>
        <v>#REF!</v>
      </c>
      <c r="U286" t="e">
        <f>AND(#REF!,"AAAAAH97XRQ=")</f>
        <v>#REF!</v>
      </c>
      <c r="V286" t="e">
        <f>IF(#REF!,"AAAAAH97XRU=",0)</f>
        <v>#REF!</v>
      </c>
      <c r="W286" t="e">
        <f>AND(#REF!,"AAAAAH97XRY=")</f>
        <v>#REF!</v>
      </c>
      <c r="X286" t="e">
        <f>AND(#REF!,"AAAAAH97XRc=")</f>
        <v>#REF!</v>
      </c>
      <c r="Y286" t="e">
        <f>AND(#REF!,"AAAAAH97XRg=")</f>
        <v>#REF!</v>
      </c>
      <c r="Z286" t="e">
        <f>AND(#REF!,"AAAAAH97XRk=")</f>
        <v>#REF!</v>
      </c>
      <c r="AA286" t="e">
        <f>AND(#REF!,"AAAAAH97XRo=")</f>
        <v>#REF!</v>
      </c>
      <c r="AB286" t="e">
        <f>AND(#REF!,"AAAAAH97XRs=")</f>
        <v>#REF!</v>
      </c>
      <c r="AC286" t="e">
        <f>AND(#REF!,"AAAAAH97XRw=")</f>
        <v>#REF!</v>
      </c>
      <c r="AD286" t="e">
        <f>AND(#REF!,"AAAAAH97XR0=")</f>
        <v>#REF!</v>
      </c>
      <c r="AE286" t="e">
        <f>AND(#REF!,"AAAAAH97XR4=")</f>
        <v>#REF!</v>
      </c>
      <c r="AF286" t="e">
        <f>AND(#REF!,"AAAAAH97XR8=")</f>
        <v>#REF!</v>
      </c>
      <c r="AG286" t="e">
        <f>IF(#REF!,"AAAAAH97XSA=",0)</f>
        <v>#REF!</v>
      </c>
      <c r="AH286" t="e">
        <f>AND(#REF!,"AAAAAH97XSE=")</f>
        <v>#REF!</v>
      </c>
      <c r="AI286" t="e">
        <f>AND(#REF!,"AAAAAH97XSI=")</f>
        <v>#REF!</v>
      </c>
      <c r="AJ286" t="e">
        <f>AND(#REF!,"AAAAAH97XSM=")</f>
        <v>#REF!</v>
      </c>
      <c r="AK286" t="e">
        <f>AND(#REF!,"AAAAAH97XSQ=")</f>
        <v>#REF!</v>
      </c>
      <c r="AL286" t="e">
        <f>AND(#REF!,"AAAAAH97XSU=")</f>
        <v>#REF!</v>
      </c>
      <c r="AM286" t="e">
        <f>AND(#REF!,"AAAAAH97XSY=")</f>
        <v>#REF!</v>
      </c>
      <c r="AN286" t="e">
        <f>AND(#REF!,"AAAAAH97XSc=")</f>
        <v>#REF!</v>
      </c>
      <c r="AO286" t="e">
        <f>AND(#REF!,"AAAAAH97XSg=")</f>
        <v>#REF!</v>
      </c>
      <c r="AP286" t="e">
        <f>AND(#REF!,"AAAAAH97XSk=")</f>
        <v>#REF!</v>
      </c>
      <c r="AQ286" t="e">
        <f>AND(#REF!,"AAAAAH97XSo=")</f>
        <v>#REF!</v>
      </c>
      <c r="AR286" t="e">
        <f>IF(#REF!,"AAAAAH97XSs=",0)</f>
        <v>#REF!</v>
      </c>
      <c r="AS286" t="e">
        <f>AND(#REF!,"AAAAAH97XSw=")</f>
        <v>#REF!</v>
      </c>
      <c r="AT286" t="e">
        <f>AND(#REF!,"AAAAAH97XS0=")</f>
        <v>#REF!</v>
      </c>
      <c r="AU286" t="e">
        <f>AND(#REF!,"AAAAAH97XS4=")</f>
        <v>#REF!</v>
      </c>
      <c r="AV286" t="e">
        <f>AND(#REF!,"AAAAAH97XS8=")</f>
        <v>#REF!</v>
      </c>
      <c r="AW286" t="e">
        <f>AND(#REF!,"AAAAAH97XTA=")</f>
        <v>#REF!</v>
      </c>
      <c r="AX286" t="e">
        <f>AND(#REF!,"AAAAAH97XTE=")</f>
        <v>#REF!</v>
      </c>
      <c r="AY286" t="e">
        <f>AND(#REF!,"AAAAAH97XTI=")</f>
        <v>#REF!</v>
      </c>
      <c r="AZ286" t="e">
        <f>AND(#REF!,"AAAAAH97XTM=")</f>
        <v>#REF!</v>
      </c>
      <c r="BA286" t="e">
        <f>AND(#REF!,"AAAAAH97XTQ=")</f>
        <v>#REF!</v>
      </c>
      <c r="BB286" t="e">
        <f>AND(#REF!,"AAAAAH97XTU=")</f>
        <v>#REF!</v>
      </c>
      <c r="BC286" t="e">
        <f>IF(#REF!,"AAAAAH97XTY=",0)</f>
        <v>#REF!</v>
      </c>
      <c r="BD286" t="e">
        <f>AND(#REF!,"AAAAAH97XTc=")</f>
        <v>#REF!</v>
      </c>
      <c r="BE286" t="e">
        <f>AND(#REF!,"AAAAAH97XTg=")</f>
        <v>#REF!</v>
      </c>
      <c r="BF286" t="e">
        <f>AND(#REF!,"AAAAAH97XTk=")</f>
        <v>#REF!</v>
      </c>
      <c r="BG286" t="e">
        <f>AND(#REF!,"AAAAAH97XTo=")</f>
        <v>#REF!</v>
      </c>
      <c r="BH286" t="e">
        <f>AND(#REF!,"AAAAAH97XTs=")</f>
        <v>#REF!</v>
      </c>
      <c r="BI286" t="e">
        <f>AND(#REF!,"AAAAAH97XTw=")</f>
        <v>#REF!</v>
      </c>
      <c r="BJ286" t="e">
        <f>AND(#REF!,"AAAAAH97XT0=")</f>
        <v>#REF!</v>
      </c>
      <c r="BK286" t="e">
        <f>AND(#REF!,"AAAAAH97XT4=")</f>
        <v>#REF!</v>
      </c>
      <c r="BL286" t="e">
        <f>AND(#REF!,"AAAAAH97XT8=")</f>
        <v>#REF!</v>
      </c>
      <c r="BM286" t="e">
        <f>AND(#REF!,"AAAAAH97XUA=")</f>
        <v>#REF!</v>
      </c>
      <c r="BN286" t="e">
        <f>IF(#REF!,"AAAAAH97XUE=",0)</f>
        <v>#REF!</v>
      </c>
      <c r="BO286" t="e">
        <f>AND(#REF!,"AAAAAH97XUI=")</f>
        <v>#REF!</v>
      </c>
      <c r="BP286" t="e">
        <f>AND(#REF!,"AAAAAH97XUM=")</f>
        <v>#REF!</v>
      </c>
      <c r="BQ286" t="e">
        <f>AND(#REF!,"AAAAAH97XUQ=")</f>
        <v>#REF!</v>
      </c>
      <c r="BR286" t="e">
        <f>AND(#REF!,"AAAAAH97XUU=")</f>
        <v>#REF!</v>
      </c>
      <c r="BS286" t="e">
        <f>AND(#REF!,"AAAAAH97XUY=")</f>
        <v>#REF!</v>
      </c>
      <c r="BT286" t="e">
        <f>AND(#REF!,"AAAAAH97XUc=")</f>
        <v>#REF!</v>
      </c>
      <c r="BU286" t="e">
        <f>AND(#REF!,"AAAAAH97XUg=")</f>
        <v>#REF!</v>
      </c>
      <c r="BV286" t="e">
        <f>AND(#REF!,"AAAAAH97XUk=")</f>
        <v>#REF!</v>
      </c>
      <c r="BW286" t="e">
        <f>AND(#REF!,"AAAAAH97XUo=")</f>
        <v>#REF!</v>
      </c>
      <c r="BX286" t="e">
        <f>AND(#REF!,"AAAAAH97XUs=")</f>
        <v>#REF!</v>
      </c>
      <c r="BY286" t="e">
        <f>IF(#REF!,"AAAAAH97XUw=",0)</f>
        <v>#REF!</v>
      </c>
      <c r="BZ286" t="e">
        <f>AND(#REF!,"AAAAAH97XU0=")</f>
        <v>#REF!</v>
      </c>
      <c r="CA286" t="e">
        <f>AND(#REF!,"AAAAAH97XU4=")</f>
        <v>#REF!</v>
      </c>
      <c r="CB286" t="e">
        <f>AND(#REF!,"AAAAAH97XU8=")</f>
        <v>#REF!</v>
      </c>
      <c r="CC286" t="e">
        <f>AND(#REF!,"AAAAAH97XVA=")</f>
        <v>#REF!</v>
      </c>
      <c r="CD286" t="e">
        <f>AND(#REF!,"AAAAAH97XVE=")</f>
        <v>#REF!</v>
      </c>
      <c r="CE286" t="e">
        <f>AND(#REF!,"AAAAAH97XVI=")</f>
        <v>#REF!</v>
      </c>
      <c r="CF286" t="e">
        <f>AND(#REF!,"AAAAAH97XVM=")</f>
        <v>#REF!</v>
      </c>
      <c r="CG286" t="e">
        <f>AND(#REF!,"AAAAAH97XVQ=")</f>
        <v>#REF!</v>
      </c>
      <c r="CH286" t="e">
        <f>AND(#REF!,"AAAAAH97XVU=")</f>
        <v>#REF!</v>
      </c>
      <c r="CI286" t="e">
        <f>AND(#REF!,"AAAAAH97XVY=")</f>
        <v>#REF!</v>
      </c>
      <c r="CJ286" t="e">
        <f>IF(#REF!,"AAAAAH97XVc=",0)</f>
        <v>#REF!</v>
      </c>
      <c r="CK286" t="e">
        <f>AND(#REF!,"AAAAAH97XVg=")</f>
        <v>#REF!</v>
      </c>
      <c r="CL286" t="e">
        <f>AND(#REF!,"AAAAAH97XVk=")</f>
        <v>#REF!</v>
      </c>
      <c r="CM286" t="e">
        <f>AND(#REF!,"AAAAAH97XVo=")</f>
        <v>#REF!</v>
      </c>
      <c r="CN286" t="e">
        <f>AND(#REF!,"AAAAAH97XVs=")</f>
        <v>#REF!</v>
      </c>
      <c r="CO286" t="e">
        <f>AND(#REF!,"AAAAAH97XVw=")</f>
        <v>#REF!</v>
      </c>
      <c r="CP286" t="e">
        <f>AND(#REF!,"AAAAAH97XV0=")</f>
        <v>#REF!</v>
      </c>
      <c r="CQ286" t="e">
        <f>AND(#REF!,"AAAAAH97XV4=")</f>
        <v>#REF!</v>
      </c>
      <c r="CR286" t="e">
        <f>AND(#REF!,"AAAAAH97XV8=")</f>
        <v>#REF!</v>
      </c>
      <c r="CS286" t="e">
        <f>AND(#REF!,"AAAAAH97XWA=")</f>
        <v>#REF!</v>
      </c>
      <c r="CT286" t="e">
        <f>AND(#REF!,"AAAAAH97XWE=")</f>
        <v>#REF!</v>
      </c>
      <c r="CU286" t="e">
        <f>IF(#REF!,"AAAAAH97XWI=",0)</f>
        <v>#REF!</v>
      </c>
      <c r="CV286" t="e">
        <f>AND(#REF!,"AAAAAH97XWM=")</f>
        <v>#REF!</v>
      </c>
      <c r="CW286" t="e">
        <f>AND(#REF!,"AAAAAH97XWQ=")</f>
        <v>#REF!</v>
      </c>
      <c r="CX286" t="e">
        <f>AND(#REF!,"AAAAAH97XWU=")</f>
        <v>#REF!</v>
      </c>
      <c r="CY286" t="e">
        <f>AND(#REF!,"AAAAAH97XWY=")</f>
        <v>#REF!</v>
      </c>
      <c r="CZ286" t="e">
        <f>AND(#REF!,"AAAAAH97XWc=")</f>
        <v>#REF!</v>
      </c>
      <c r="DA286" t="e">
        <f>AND(#REF!,"AAAAAH97XWg=")</f>
        <v>#REF!</v>
      </c>
      <c r="DB286" t="e">
        <f>AND(#REF!,"AAAAAH97XWk=")</f>
        <v>#REF!</v>
      </c>
      <c r="DC286" t="e">
        <f>AND(#REF!,"AAAAAH97XWo=")</f>
        <v>#REF!</v>
      </c>
      <c r="DD286" t="e">
        <f>AND(#REF!,"AAAAAH97XWs=")</f>
        <v>#REF!</v>
      </c>
      <c r="DE286" t="e">
        <f>AND(#REF!,"AAAAAH97XWw=")</f>
        <v>#REF!</v>
      </c>
      <c r="DF286" t="e">
        <f>IF(#REF!,"AAAAAH97XW0=",0)</f>
        <v>#REF!</v>
      </c>
      <c r="DG286" t="e">
        <f>AND(#REF!,"AAAAAH97XW4=")</f>
        <v>#REF!</v>
      </c>
      <c r="DH286" t="e">
        <f>AND(#REF!,"AAAAAH97XW8=")</f>
        <v>#REF!</v>
      </c>
      <c r="DI286" t="e">
        <f>AND(#REF!,"AAAAAH97XXA=")</f>
        <v>#REF!</v>
      </c>
      <c r="DJ286" t="e">
        <f>AND(#REF!,"AAAAAH97XXE=")</f>
        <v>#REF!</v>
      </c>
      <c r="DK286" t="e">
        <f>AND(#REF!,"AAAAAH97XXI=")</f>
        <v>#REF!</v>
      </c>
      <c r="DL286" t="e">
        <f>AND(#REF!,"AAAAAH97XXM=")</f>
        <v>#REF!</v>
      </c>
      <c r="DM286" t="e">
        <f>AND(#REF!,"AAAAAH97XXQ=")</f>
        <v>#REF!</v>
      </c>
      <c r="DN286" t="e">
        <f>AND(#REF!,"AAAAAH97XXU=")</f>
        <v>#REF!</v>
      </c>
      <c r="DO286" t="e">
        <f>AND(#REF!,"AAAAAH97XXY=")</f>
        <v>#REF!</v>
      </c>
      <c r="DP286" t="e">
        <f>AND(#REF!,"AAAAAH97XXc=")</f>
        <v>#REF!</v>
      </c>
      <c r="DQ286" t="e">
        <f>IF(#REF!,"AAAAAH97XXg=",0)</f>
        <v>#REF!</v>
      </c>
      <c r="DR286" t="e">
        <f>AND(#REF!,"AAAAAH97XXk=")</f>
        <v>#REF!</v>
      </c>
      <c r="DS286" t="e">
        <f>AND(#REF!,"AAAAAH97XXo=")</f>
        <v>#REF!</v>
      </c>
      <c r="DT286" t="e">
        <f>AND(#REF!,"AAAAAH97XXs=")</f>
        <v>#REF!</v>
      </c>
      <c r="DU286" t="e">
        <f>AND(#REF!,"AAAAAH97XXw=")</f>
        <v>#REF!</v>
      </c>
      <c r="DV286" t="e">
        <f>AND(#REF!,"AAAAAH97XX0=")</f>
        <v>#REF!</v>
      </c>
      <c r="DW286" t="e">
        <f>AND(#REF!,"AAAAAH97XX4=")</f>
        <v>#REF!</v>
      </c>
      <c r="DX286" t="e">
        <f>AND(#REF!,"AAAAAH97XX8=")</f>
        <v>#REF!</v>
      </c>
      <c r="DY286" t="e">
        <f>AND(#REF!,"AAAAAH97XYA=")</f>
        <v>#REF!</v>
      </c>
      <c r="DZ286" t="e">
        <f>AND(#REF!,"AAAAAH97XYE=")</f>
        <v>#REF!</v>
      </c>
      <c r="EA286" t="e">
        <f>AND(#REF!,"AAAAAH97XYI=")</f>
        <v>#REF!</v>
      </c>
      <c r="EB286" t="e">
        <f>IF(#REF!,"AAAAAH97XYM=",0)</f>
        <v>#REF!</v>
      </c>
      <c r="EC286" t="e">
        <f>AND(#REF!,"AAAAAH97XYQ=")</f>
        <v>#REF!</v>
      </c>
      <c r="ED286" t="e">
        <f>AND(#REF!,"AAAAAH97XYU=")</f>
        <v>#REF!</v>
      </c>
      <c r="EE286" t="e">
        <f>AND(#REF!,"AAAAAH97XYY=")</f>
        <v>#REF!</v>
      </c>
      <c r="EF286" t="e">
        <f>AND(#REF!,"AAAAAH97XYc=")</f>
        <v>#REF!</v>
      </c>
      <c r="EG286" t="e">
        <f>AND(#REF!,"AAAAAH97XYg=")</f>
        <v>#REF!</v>
      </c>
      <c r="EH286" t="e">
        <f>AND(#REF!,"AAAAAH97XYk=")</f>
        <v>#REF!</v>
      </c>
      <c r="EI286" t="e">
        <f>AND(#REF!,"AAAAAH97XYo=")</f>
        <v>#REF!</v>
      </c>
      <c r="EJ286" t="e">
        <f>AND(#REF!,"AAAAAH97XYs=")</f>
        <v>#REF!</v>
      </c>
      <c r="EK286" t="e">
        <f>AND(#REF!,"AAAAAH97XYw=")</f>
        <v>#REF!</v>
      </c>
      <c r="EL286" t="e">
        <f>AND(#REF!,"AAAAAH97XY0=")</f>
        <v>#REF!</v>
      </c>
      <c r="EM286" t="e">
        <f>IF(#REF!,"AAAAAH97XY4=",0)</f>
        <v>#REF!</v>
      </c>
      <c r="EN286" t="e">
        <f>AND(#REF!,"AAAAAH97XY8=")</f>
        <v>#REF!</v>
      </c>
      <c r="EO286" t="e">
        <f>AND(#REF!,"AAAAAH97XZA=")</f>
        <v>#REF!</v>
      </c>
      <c r="EP286" t="e">
        <f>AND(#REF!,"AAAAAH97XZE=")</f>
        <v>#REF!</v>
      </c>
      <c r="EQ286" t="e">
        <f>AND(#REF!,"AAAAAH97XZI=")</f>
        <v>#REF!</v>
      </c>
      <c r="ER286" t="e">
        <f>AND(#REF!,"AAAAAH97XZM=")</f>
        <v>#REF!</v>
      </c>
      <c r="ES286" t="e">
        <f>AND(#REF!,"AAAAAH97XZQ=")</f>
        <v>#REF!</v>
      </c>
      <c r="ET286" t="e">
        <f>AND(#REF!,"AAAAAH97XZU=")</f>
        <v>#REF!</v>
      </c>
      <c r="EU286" t="e">
        <f>AND(#REF!,"AAAAAH97XZY=")</f>
        <v>#REF!</v>
      </c>
      <c r="EV286" t="e">
        <f>AND(#REF!,"AAAAAH97XZc=")</f>
        <v>#REF!</v>
      </c>
      <c r="EW286" t="e">
        <f>AND(#REF!,"AAAAAH97XZg=")</f>
        <v>#REF!</v>
      </c>
      <c r="EX286" t="e">
        <f>IF(#REF!,"AAAAAH97XZk=",0)</f>
        <v>#REF!</v>
      </c>
      <c r="EY286" t="e">
        <f>AND(#REF!,"AAAAAH97XZo=")</f>
        <v>#REF!</v>
      </c>
      <c r="EZ286" t="e">
        <f>AND(#REF!,"AAAAAH97XZs=")</f>
        <v>#REF!</v>
      </c>
      <c r="FA286" t="e">
        <f>AND(#REF!,"AAAAAH97XZw=")</f>
        <v>#REF!</v>
      </c>
      <c r="FB286" t="e">
        <f>AND(#REF!,"AAAAAH97XZ0=")</f>
        <v>#REF!</v>
      </c>
      <c r="FC286" t="e">
        <f>AND(#REF!,"AAAAAH97XZ4=")</f>
        <v>#REF!</v>
      </c>
      <c r="FD286" t="e">
        <f>AND(#REF!,"AAAAAH97XZ8=")</f>
        <v>#REF!</v>
      </c>
      <c r="FE286" t="e">
        <f>AND(#REF!,"AAAAAH97XaA=")</f>
        <v>#REF!</v>
      </c>
      <c r="FF286" t="e">
        <f>AND(#REF!,"AAAAAH97XaE=")</f>
        <v>#REF!</v>
      </c>
      <c r="FG286" t="e">
        <f>AND(#REF!,"AAAAAH97XaI=")</f>
        <v>#REF!</v>
      </c>
      <c r="FH286" t="e">
        <f>AND(#REF!,"AAAAAH97XaM=")</f>
        <v>#REF!</v>
      </c>
      <c r="FI286" t="e">
        <f>IF(#REF!,"AAAAAH97XaQ=",0)</f>
        <v>#REF!</v>
      </c>
      <c r="FJ286" t="e">
        <f>AND(#REF!,"AAAAAH97XaU=")</f>
        <v>#REF!</v>
      </c>
      <c r="FK286" t="e">
        <f>AND(#REF!,"AAAAAH97XaY=")</f>
        <v>#REF!</v>
      </c>
      <c r="FL286" t="e">
        <f>AND(#REF!,"AAAAAH97Xac=")</f>
        <v>#REF!</v>
      </c>
      <c r="FM286" t="e">
        <f>AND(#REF!,"AAAAAH97Xag=")</f>
        <v>#REF!</v>
      </c>
      <c r="FN286" t="e">
        <f>AND(#REF!,"AAAAAH97Xak=")</f>
        <v>#REF!</v>
      </c>
      <c r="FO286" t="e">
        <f>AND(#REF!,"AAAAAH97Xao=")</f>
        <v>#REF!</v>
      </c>
      <c r="FP286" t="e">
        <f>AND(#REF!,"AAAAAH97Xas=")</f>
        <v>#REF!</v>
      </c>
      <c r="FQ286" t="e">
        <f>AND(#REF!,"AAAAAH97Xaw=")</f>
        <v>#REF!</v>
      </c>
      <c r="FR286" t="e">
        <f>AND(#REF!,"AAAAAH97Xa0=")</f>
        <v>#REF!</v>
      </c>
      <c r="FS286" t="e">
        <f>AND(#REF!,"AAAAAH97Xa4=")</f>
        <v>#REF!</v>
      </c>
      <c r="FT286" t="e">
        <f>IF(#REF!,"AAAAAH97Xa8=",0)</f>
        <v>#REF!</v>
      </c>
      <c r="FU286" t="e">
        <f>AND(#REF!,"AAAAAH97XbA=")</f>
        <v>#REF!</v>
      </c>
      <c r="FV286" t="e">
        <f>AND(#REF!,"AAAAAH97XbE=")</f>
        <v>#REF!</v>
      </c>
      <c r="FW286" t="e">
        <f>AND(#REF!,"AAAAAH97XbI=")</f>
        <v>#REF!</v>
      </c>
      <c r="FX286" t="e">
        <f>AND(#REF!,"AAAAAH97XbM=")</f>
        <v>#REF!</v>
      </c>
      <c r="FY286" t="e">
        <f>AND(#REF!,"AAAAAH97XbQ=")</f>
        <v>#REF!</v>
      </c>
      <c r="FZ286" t="e">
        <f>AND(#REF!,"AAAAAH97XbU=")</f>
        <v>#REF!</v>
      </c>
      <c r="GA286" t="e">
        <f>AND(#REF!,"AAAAAH97XbY=")</f>
        <v>#REF!</v>
      </c>
      <c r="GB286" t="e">
        <f>AND(#REF!,"AAAAAH97Xbc=")</f>
        <v>#REF!</v>
      </c>
      <c r="GC286" t="e">
        <f>AND(#REF!,"AAAAAH97Xbg=")</f>
        <v>#REF!</v>
      </c>
      <c r="GD286" t="e">
        <f>AND(#REF!,"AAAAAH97Xbk=")</f>
        <v>#REF!</v>
      </c>
      <c r="GE286" t="e">
        <f>IF(#REF!,"AAAAAH97Xbo=",0)</f>
        <v>#REF!</v>
      </c>
      <c r="GF286" t="e">
        <f>AND(#REF!,"AAAAAH97Xbs=")</f>
        <v>#REF!</v>
      </c>
      <c r="GG286" t="e">
        <f>AND(#REF!,"AAAAAH97Xbw=")</f>
        <v>#REF!</v>
      </c>
      <c r="GH286" t="e">
        <f>AND(#REF!,"AAAAAH97Xb0=")</f>
        <v>#REF!</v>
      </c>
      <c r="GI286" t="e">
        <f>AND(#REF!,"AAAAAH97Xb4=")</f>
        <v>#REF!</v>
      </c>
      <c r="GJ286" t="e">
        <f>AND(#REF!,"AAAAAH97Xb8=")</f>
        <v>#REF!</v>
      </c>
      <c r="GK286" t="e">
        <f>AND(#REF!,"AAAAAH97XcA=")</f>
        <v>#REF!</v>
      </c>
      <c r="GL286" t="e">
        <f>AND(#REF!,"AAAAAH97XcE=")</f>
        <v>#REF!</v>
      </c>
      <c r="GM286" t="e">
        <f>AND(#REF!,"AAAAAH97XcI=")</f>
        <v>#REF!</v>
      </c>
      <c r="GN286" t="e">
        <f>AND(#REF!,"AAAAAH97XcM=")</f>
        <v>#REF!</v>
      </c>
      <c r="GO286" t="e">
        <f>AND(#REF!,"AAAAAH97XcQ=")</f>
        <v>#REF!</v>
      </c>
      <c r="GP286" t="e">
        <f>IF(#REF!,"AAAAAH97XcU=",0)</f>
        <v>#REF!</v>
      </c>
      <c r="GQ286" t="e">
        <f>AND(#REF!,"AAAAAH97XcY=")</f>
        <v>#REF!</v>
      </c>
      <c r="GR286" t="e">
        <f>AND(#REF!,"AAAAAH97Xcc=")</f>
        <v>#REF!</v>
      </c>
      <c r="GS286" t="e">
        <f>AND(#REF!,"AAAAAH97Xcg=")</f>
        <v>#REF!</v>
      </c>
      <c r="GT286" t="e">
        <f>AND(#REF!,"AAAAAH97Xck=")</f>
        <v>#REF!</v>
      </c>
      <c r="GU286" t="e">
        <f>AND(#REF!,"AAAAAH97Xco=")</f>
        <v>#REF!</v>
      </c>
      <c r="GV286" t="e">
        <f>AND(#REF!,"AAAAAH97Xcs=")</f>
        <v>#REF!</v>
      </c>
      <c r="GW286" t="e">
        <f>AND(#REF!,"AAAAAH97Xcw=")</f>
        <v>#REF!</v>
      </c>
      <c r="GX286" t="e">
        <f>AND(#REF!,"AAAAAH97Xc0=")</f>
        <v>#REF!</v>
      </c>
      <c r="GY286" t="e">
        <f>AND(#REF!,"AAAAAH97Xc4=")</f>
        <v>#REF!</v>
      </c>
      <c r="GZ286" t="e">
        <f>AND(#REF!,"AAAAAH97Xc8=")</f>
        <v>#REF!</v>
      </c>
      <c r="HA286" t="e">
        <f>IF(#REF!,"AAAAAH97XdA=",0)</f>
        <v>#REF!</v>
      </c>
      <c r="HB286" t="e">
        <f>AND(#REF!,"AAAAAH97XdE=")</f>
        <v>#REF!</v>
      </c>
      <c r="HC286" t="e">
        <f>AND(#REF!,"AAAAAH97XdI=")</f>
        <v>#REF!</v>
      </c>
      <c r="HD286" t="e">
        <f>AND(#REF!,"AAAAAH97XdM=")</f>
        <v>#REF!</v>
      </c>
      <c r="HE286" t="e">
        <f>AND(#REF!,"AAAAAH97XdQ=")</f>
        <v>#REF!</v>
      </c>
      <c r="HF286" t="e">
        <f>AND(#REF!,"AAAAAH97XdU=")</f>
        <v>#REF!</v>
      </c>
      <c r="HG286" t="e">
        <f>AND(#REF!,"AAAAAH97XdY=")</f>
        <v>#REF!</v>
      </c>
      <c r="HH286" t="e">
        <f>AND(#REF!,"AAAAAH97Xdc=")</f>
        <v>#REF!</v>
      </c>
      <c r="HI286" t="e">
        <f>AND(#REF!,"AAAAAH97Xdg=")</f>
        <v>#REF!</v>
      </c>
      <c r="HJ286" t="e">
        <f>AND(#REF!,"AAAAAH97Xdk=")</f>
        <v>#REF!</v>
      </c>
      <c r="HK286" t="e">
        <f>AND(#REF!,"AAAAAH97Xdo=")</f>
        <v>#REF!</v>
      </c>
      <c r="HL286" t="e">
        <f>IF(#REF!,"AAAAAH97Xds=",0)</f>
        <v>#REF!</v>
      </c>
      <c r="HM286" t="e">
        <f>AND(#REF!,"AAAAAH97Xdw=")</f>
        <v>#REF!</v>
      </c>
      <c r="HN286" t="e">
        <f>AND(#REF!,"AAAAAH97Xd0=")</f>
        <v>#REF!</v>
      </c>
      <c r="HO286" t="e">
        <f>AND(#REF!,"AAAAAH97Xd4=")</f>
        <v>#REF!</v>
      </c>
      <c r="HP286" t="e">
        <f>AND(#REF!,"AAAAAH97Xd8=")</f>
        <v>#REF!</v>
      </c>
      <c r="HQ286" t="e">
        <f>AND(#REF!,"AAAAAH97XeA=")</f>
        <v>#REF!</v>
      </c>
      <c r="HR286" t="e">
        <f>AND(#REF!,"AAAAAH97XeE=")</f>
        <v>#REF!</v>
      </c>
      <c r="HS286" t="e">
        <f>AND(#REF!,"AAAAAH97XeI=")</f>
        <v>#REF!</v>
      </c>
      <c r="HT286" t="e">
        <f>AND(#REF!,"AAAAAH97XeM=")</f>
        <v>#REF!</v>
      </c>
      <c r="HU286" t="e">
        <f>AND(#REF!,"AAAAAH97XeQ=")</f>
        <v>#REF!</v>
      </c>
      <c r="HV286" t="e">
        <f>AND(#REF!,"AAAAAH97XeU=")</f>
        <v>#REF!</v>
      </c>
      <c r="HW286" t="e">
        <f>IF(#REF!,"AAAAAH97XeY=",0)</f>
        <v>#REF!</v>
      </c>
      <c r="HX286" t="e">
        <f>AND(#REF!,"AAAAAH97Xec=")</f>
        <v>#REF!</v>
      </c>
      <c r="HY286" t="e">
        <f>AND(#REF!,"AAAAAH97Xeg=")</f>
        <v>#REF!</v>
      </c>
      <c r="HZ286" t="e">
        <f>AND(#REF!,"AAAAAH97Xek=")</f>
        <v>#REF!</v>
      </c>
      <c r="IA286" t="e">
        <f>AND(#REF!,"AAAAAH97Xeo=")</f>
        <v>#REF!</v>
      </c>
      <c r="IB286" t="e">
        <f>AND(#REF!,"AAAAAH97Xes=")</f>
        <v>#REF!</v>
      </c>
      <c r="IC286" t="e">
        <f>AND(#REF!,"AAAAAH97Xew=")</f>
        <v>#REF!</v>
      </c>
      <c r="ID286" t="e">
        <f>AND(#REF!,"AAAAAH97Xe0=")</f>
        <v>#REF!</v>
      </c>
      <c r="IE286" t="e">
        <f>AND(#REF!,"AAAAAH97Xe4=")</f>
        <v>#REF!</v>
      </c>
      <c r="IF286" t="e">
        <f>AND(#REF!,"AAAAAH97Xe8=")</f>
        <v>#REF!</v>
      </c>
      <c r="IG286" t="e">
        <f>AND(#REF!,"AAAAAH97XfA=")</f>
        <v>#REF!</v>
      </c>
      <c r="IH286" t="e">
        <f>IF(#REF!,"AAAAAH97XfE=",0)</f>
        <v>#REF!</v>
      </c>
      <c r="II286" t="e">
        <f>AND(#REF!,"AAAAAH97XfI=")</f>
        <v>#REF!</v>
      </c>
      <c r="IJ286" t="e">
        <f>AND(#REF!,"AAAAAH97XfM=")</f>
        <v>#REF!</v>
      </c>
      <c r="IK286" t="e">
        <f>AND(#REF!,"AAAAAH97XfQ=")</f>
        <v>#REF!</v>
      </c>
      <c r="IL286" t="e">
        <f>AND(#REF!,"AAAAAH97XfU=")</f>
        <v>#REF!</v>
      </c>
      <c r="IM286" t="e">
        <f>AND(#REF!,"AAAAAH97XfY=")</f>
        <v>#REF!</v>
      </c>
      <c r="IN286" t="e">
        <f>AND(#REF!,"AAAAAH97Xfc=")</f>
        <v>#REF!</v>
      </c>
      <c r="IO286" t="e">
        <f>AND(#REF!,"AAAAAH97Xfg=")</f>
        <v>#REF!</v>
      </c>
      <c r="IP286" t="e">
        <f>AND(#REF!,"AAAAAH97Xfk=")</f>
        <v>#REF!</v>
      </c>
      <c r="IQ286" t="e">
        <f>AND(#REF!,"AAAAAH97Xfo=")</f>
        <v>#REF!</v>
      </c>
      <c r="IR286" t="e">
        <f>AND(#REF!,"AAAAAH97Xfs=")</f>
        <v>#REF!</v>
      </c>
      <c r="IS286" t="e">
        <f>IF(#REF!,"AAAAAH97Xfw=",0)</f>
        <v>#REF!</v>
      </c>
      <c r="IT286" t="e">
        <f>AND(#REF!,"AAAAAH97Xf0=")</f>
        <v>#REF!</v>
      </c>
      <c r="IU286" t="e">
        <f>AND(#REF!,"AAAAAH97Xf4=")</f>
        <v>#REF!</v>
      </c>
      <c r="IV286" t="e">
        <f>AND(#REF!,"AAAAAH97Xf8=")</f>
        <v>#REF!</v>
      </c>
    </row>
    <row r="287" spans="1:256" x14ac:dyDescent="0.25">
      <c r="A287" t="e">
        <f>AND(#REF!,"AAAAAH9+9wA=")</f>
        <v>#REF!</v>
      </c>
      <c r="B287" t="e">
        <f>AND(#REF!,"AAAAAH9+9wE=")</f>
        <v>#REF!</v>
      </c>
      <c r="C287" t="e">
        <f>AND(#REF!,"AAAAAH9+9wI=")</f>
        <v>#REF!</v>
      </c>
      <c r="D287" t="e">
        <f>AND(#REF!,"AAAAAH9+9wM=")</f>
        <v>#REF!</v>
      </c>
      <c r="E287" t="e">
        <f>AND(#REF!,"AAAAAH9+9wQ=")</f>
        <v>#REF!</v>
      </c>
      <c r="F287" t="e">
        <f>AND(#REF!,"AAAAAH9+9wU=")</f>
        <v>#REF!</v>
      </c>
      <c r="G287" t="e">
        <f>AND(#REF!,"AAAAAH9+9wY=")</f>
        <v>#REF!</v>
      </c>
      <c r="H287" t="e">
        <f>IF(#REF!,"AAAAAH9+9wc=",0)</f>
        <v>#REF!</v>
      </c>
      <c r="I287" t="e">
        <f>AND(#REF!,"AAAAAH9+9wg=")</f>
        <v>#REF!</v>
      </c>
      <c r="J287" t="e">
        <f>AND(#REF!,"AAAAAH9+9wk=")</f>
        <v>#REF!</v>
      </c>
      <c r="K287" t="e">
        <f>AND(#REF!,"AAAAAH9+9wo=")</f>
        <v>#REF!</v>
      </c>
      <c r="L287" t="e">
        <f>AND(#REF!,"AAAAAH9+9ws=")</f>
        <v>#REF!</v>
      </c>
      <c r="M287" t="e">
        <f>AND(#REF!,"AAAAAH9+9ww=")</f>
        <v>#REF!</v>
      </c>
      <c r="N287" t="e">
        <f>AND(#REF!,"AAAAAH9+9w0=")</f>
        <v>#REF!</v>
      </c>
      <c r="O287" t="e">
        <f>AND(#REF!,"AAAAAH9+9w4=")</f>
        <v>#REF!</v>
      </c>
      <c r="P287" t="e">
        <f>AND(#REF!,"AAAAAH9+9w8=")</f>
        <v>#REF!</v>
      </c>
      <c r="Q287" t="e">
        <f>AND(#REF!,"AAAAAH9+9xA=")</f>
        <v>#REF!</v>
      </c>
      <c r="R287" t="e">
        <f>AND(#REF!,"AAAAAH9+9xE=")</f>
        <v>#REF!</v>
      </c>
      <c r="S287" t="e">
        <f>IF(#REF!,"AAAAAH9+9xI=",0)</f>
        <v>#REF!</v>
      </c>
      <c r="T287" t="e">
        <f>AND(#REF!,"AAAAAH9+9xM=")</f>
        <v>#REF!</v>
      </c>
      <c r="U287" t="e">
        <f>AND(#REF!,"AAAAAH9+9xQ=")</f>
        <v>#REF!</v>
      </c>
      <c r="V287" t="e">
        <f>AND(#REF!,"AAAAAH9+9xU=")</f>
        <v>#REF!</v>
      </c>
      <c r="W287" t="e">
        <f>AND(#REF!,"AAAAAH9+9xY=")</f>
        <v>#REF!</v>
      </c>
      <c r="X287" t="e">
        <f>AND(#REF!,"AAAAAH9+9xc=")</f>
        <v>#REF!</v>
      </c>
      <c r="Y287" t="e">
        <f>AND(#REF!,"AAAAAH9+9xg=")</f>
        <v>#REF!</v>
      </c>
      <c r="Z287" t="e">
        <f>AND(#REF!,"AAAAAH9+9xk=")</f>
        <v>#REF!</v>
      </c>
      <c r="AA287" t="e">
        <f>AND(#REF!,"AAAAAH9+9xo=")</f>
        <v>#REF!</v>
      </c>
      <c r="AB287" t="e">
        <f>AND(#REF!,"AAAAAH9+9xs=")</f>
        <v>#REF!</v>
      </c>
      <c r="AC287" t="e">
        <f>AND(#REF!,"AAAAAH9+9xw=")</f>
        <v>#REF!</v>
      </c>
      <c r="AD287" t="e">
        <f>IF(#REF!,"AAAAAH9+9x0=",0)</f>
        <v>#REF!</v>
      </c>
      <c r="AE287" t="e">
        <f>AND(#REF!,"AAAAAH9+9x4=")</f>
        <v>#REF!</v>
      </c>
      <c r="AF287" t="e">
        <f>AND(#REF!,"AAAAAH9+9x8=")</f>
        <v>#REF!</v>
      </c>
      <c r="AG287" t="e">
        <f>AND(#REF!,"AAAAAH9+9yA=")</f>
        <v>#REF!</v>
      </c>
      <c r="AH287" t="e">
        <f>AND(#REF!,"AAAAAH9+9yE=")</f>
        <v>#REF!</v>
      </c>
      <c r="AI287" t="e">
        <f>AND(#REF!,"AAAAAH9+9yI=")</f>
        <v>#REF!</v>
      </c>
      <c r="AJ287" t="e">
        <f>AND(#REF!,"AAAAAH9+9yM=")</f>
        <v>#REF!</v>
      </c>
      <c r="AK287" t="e">
        <f>AND(#REF!,"AAAAAH9+9yQ=")</f>
        <v>#REF!</v>
      </c>
      <c r="AL287" t="e">
        <f>AND(#REF!,"AAAAAH9+9yU=")</f>
        <v>#REF!</v>
      </c>
      <c r="AM287" t="e">
        <f>AND(#REF!,"AAAAAH9+9yY=")</f>
        <v>#REF!</v>
      </c>
      <c r="AN287" t="e">
        <f>AND(#REF!,"AAAAAH9+9yc=")</f>
        <v>#REF!</v>
      </c>
      <c r="AO287" t="e">
        <f>IF(#REF!,"AAAAAH9+9yg=",0)</f>
        <v>#REF!</v>
      </c>
      <c r="AP287" t="e">
        <f>AND(#REF!,"AAAAAH9+9yk=")</f>
        <v>#REF!</v>
      </c>
      <c r="AQ287" t="e">
        <f>AND(#REF!,"AAAAAH9+9yo=")</f>
        <v>#REF!</v>
      </c>
      <c r="AR287" t="e">
        <f>AND(#REF!,"AAAAAH9+9ys=")</f>
        <v>#REF!</v>
      </c>
      <c r="AS287" t="e">
        <f>AND(#REF!,"AAAAAH9+9yw=")</f>
        <v>#REF!</v>
      </c>
      <c r="AT287" t="e">
        <f>AND(#REF!,"AAAAAH9+9y0=")</f>
        <v>#REF!</v>
      </c>
      <c r="AU287" t="e">
        <f>AND(#REF!,"AAAAAH9+9y4=")</f>
        <v>#REF!</v>
      </c>
      <c r="AV287" t="e">
        <f>AND(#REF!,"AAAAAH9+9y8=")</f>
        <v>#REF!</v>
      </c>
      <c r="AW287" t="e">
        <f>AND(#REF!,"AAAAAH9+9zA=")</f>
        <v>#REF!</v>
      </c>
      <c r="AX287" t="e">
        <f>AND(#REF!,"AAAAAH9+9zE=")</f>
        <v>#REF!</v>
      </c>
      <c r="AY287" t="e">
        <f>AND(#REF!,"AAAAAH9+9zI=")</f>
        <v>#REF!</v>
      </c>
      <c r="AZ287" t="e">
        <f>IF(#REF!,"AAAAAH9+9zM=",0)</f>
        <v>#REF!</v>
      </c>
      <c r="BA287" t="e">
        <f>AND(#REF!,"AAAAAH9+9zQ=")</f>
        <v>#REF!</v>
      </c>
      <c r="BB287" t="e">
        <f>AND(#REF!,"AAAAAH9+9zU=")</f>
        <v>#REF!</v>
      </c>
      <c r="BC287" t="e">
        <f>AND(#REF!,"AAAAAH9+9zY=")</f>
        <v>#REF!</v>
      </c>
      <c r="BD287" t="e">
        <f>AND(#REF!,"AAAAAH9+9zc=")</f>
        <v>#REF!</v>
      </c>
      <c r="BE287" t="e">
        <f>AND(#REF!,"AAAAAH9+9zg=")</f>
        <v>#REF!</v>
      </c>
      <c r="BF287" t="e">
        <f>AND(#REF!,"AAAAAH9+9zk=")</f>
        <v>#REF!</v>
      </c>
      <c r="BG287" t="e">
        <f>AND(#REF!,"AAAAAH9+9zo=")</f>
        <v>#REF!</v>
      </c>
      <c r="BH287" t="e">
        <f>AND(#REF!,"AAAAAH9+9zs=")</f>
        <v>#REF!</v>
      </c>
      <c r="BI287" t="e">
        <f>AND(#REF!,"AAAAAH9+9zw=")</f>
        <v>#REF!</v>
      </c>
      <c r="BJ287" t="e">
        <f>AND(#REF!,"AAAAAH9+9z0=")</f>
        <v>#REF!</v>
      </c>
      <c r="BK287" t="e">
        <f>IF(#REF!,"AAAAAH9+9z4=",0)</f>
        <v>#REF!</v>
      </c>
      <c r="BL287" t="e">
        <f>AND(#REF!,"AAAAAH9+9z8=")</f>
        <v>#REF!</v>
      </c>
      <c r="BM287" t="e">
        <f>AND(#REF!,"AAAAAH9+90A=")</f>
        <v>#REF!</v>
      </c>
      <c r="BN287" t="e">
        <f>AND(#REF!,"AAAAAH9+90E=")</f>
        <v>#REF!</v>
      </c>
      <c r="BO287" t="e">
        <f>AND(#REF!,"AAAAAH9+90I=")</f>
        <v>#REF!</v>
      </c>
      <c r="BP287" t="e">
        <f>AND(#REF!,"AAAAAH9+90M=")</f>
        <v>#REF!</v>
      </c>
      <c r="BQ287" t="e">
        <f>AND(#REF!,"AAAAAH9+90Q=")</f>
        <v>#REF!</v>
      </c>
      <c r="BR287" t="e">
        <f>AND(#REF!,"AAAAAH9+90U=")</f>
        <v>#REF!</v>
      </c>
      <c r="BS287" t="e">
        <f>AND(#REF!,"AAAAAH9+90Y=")</f>
        <v>#REF!</v>
      </c>
      <c r="BT287" t="e">
        <f>AND(#REF!,"AAAAAH9+90c=")</f>
        <v>#REF!</v>
      </c>
      <c r="BU287" t="e">
        <f>AND(#REF!,"AAAAAH9+90g=")</f>
        <v>#REF!</v>
      </c>
      <c r="BV287" t="e">
        <f>IF(#REF!,"AAAAAH9+90k=",0)</f>
        <v>#REF!</v>
      </c>
      <c r="BW287" t="e">
        <f>AND(#REF!,"AAAAAH9+90o=")</f>
        <v>#REF!</v>
      </c>
      <c r="BX287" t="e">
        <f>AND(#REF!,"AAAAAH9+90s=")</f>
        <v>#REF!</v>
      </c>
      <c r="BY287" t="e">
        <f>AND(#REF!,"AAAAAH9+90w=")</f>
        <v>#REF!</v>
      </c>
      <c r="BZ287" t="e">
        <f>AND(#REF!,"AAAAAH9+900=")</f>
        <v>#REF!</v>
      </c>
      <c r="CA287" t="e">
        <f>AND(#REF!,"AAAAAH9+904=")</f>
        <v>#REF!</v>
      </c>
      <c r="CB287" t="e">
        <f>AND(#REF!,"AAAAAH9+908=")</f>
        <v>#REF!</v>
      </c>
      <c r="CC287" t="e">
        <f>AND(#REF!,"AAAAAH9+91A=")</f>
        <v>#REF!</v>
      </c>
      <c r="CD287" t="e">
        <f>AND(#REF!,"AAAAAH9+91E=")</f>
        <v>#REF!</v>
      </c>
      <c r="CE287" t="e">
        <f>AND(#REF!,"AAAAAH9+91I=")</f>
        <v>#REF!</v>
      </c>
      <c r="CF287" t="e">
        <f>AND(#REF!,"AAAAAH9+91M=")</f>
        <v>#REF!</v>
      </c>
      <c r="CG287" t="e">
        <f>IF(#REF!,"AAAAAH9+91Q=",0)</f>
        <v>#REF!</v>
      </c>
      <c r="CH287" t="e">
        <f>AND(#REF!,"AAAAAH9+91U=")</f>
        <v>#REF!</v>
      </c>
      <c r="CI287" t="e">
        <f>AND(#REF!,"AAAAAH9+91Y=")</f>
        <v>#REF!</v>
      </c>
      <c r="CJ287" t="e">
        <f>AND(#REF!,"AAAAAH9+91c=")</f>
        <v>#REF!</v>
      </c>
      <c r="CK287" t="e">
        <f>AND(#REF!,"AAAAAH9+91g=")</f>
        <v>#REF!</v>
      </c>
      <c r="CL287" t="e">
        <f>AND(#REF!,"AAAAAH9+91k=")</f>
        <v>#REF!</v>
      </c>
      <c r="CM287" t="e">
        <f>AND(#REF!,"AAAAAH9+91o=")</f>
        <v>#REF!</v>
      </c>
      <c r="CN287" t="e">
        <f>AND(#REF!,"AAAAAH9+91s=")</f>
        <v>#REF!</v>
      </c>
      <c r="CO287" t="e">
        <f>AND(#REF!,"AAAAAH9+91w=")</f>
        <v>#REF!</v>
      </c>
      <c r="CP287" t="e">
        <f>AND(#REF!,"AAAAAH9+910=")</f>
        <v>#REF!</v>
      </c>
      <c r="CQ287" t="e">
        <f>AND(#REF!,"AAAAAH9+914=")</f>
        <v>#REF!</v>
      </c>
      <c r="CR287" t="e">
        <f>IF(#REF!,"AAAAAH9+918=",0)</f>
        <v>#REF!</v>
      </c>
      <c r="CS287" t="e">
        <f>AND(#REF!,"AAAAAH9+92A=")</f>
        <v>#REF!</v>
      </c>
      <c r="CT287" t="e">
        <f>AND(#REF!,"AAAAAH9+92E=")</f>
        <v>#REF!</v>
      </c>
      <c r="CU287" t="e">
        <f>AND(#REF!,"AAAAAH9+92I=")</f>
        <v>#REF!</v>
      </c>
      <c r="CV287" t="e">
        <f>AND(#REF!,"AAAAAH9+92M=")</f>
        <v>#REF!</v>
      </c>
      <c r="CW287" t="e">
        <f>AND(#REF!,"AAAAAH9+92Q=")</f>
        <v>#REF!</v>
      </c>
      <c r="CX287" t="e">
        <f>AND(#REF!,"AAAAAH9+92U=")</f>
        <v>#REF!</v>
      </c>
      <c r="CY287" t="e">
        <f>AND(#REF!,"AAAAAH9+92Y=")</f>
        <v>#REF!</v>
      </c>
      <c r="CZ287" t="e">
        <f>AND(#REF!,"AAAAAH9+92c=")</f>
        <v>#REF!</v>
      </c>
      <c r="DA287" t="e">
        <f>AND(#REF!,"AAAAAH9+92g=")</f>
        <v>#REF!</v>
      </c>
      <c r="DB287" t="e">
        <f>AND(#REF!,"AAAAAH9+92k=")</f>
        <v>#REF!</v>
      </c>
      <c r="DC287" t="e">
        <f>IF(#REF!,"AAAAAH9+92o=",0)</f>
        <v>#REF!</v>
      </c>
      <c r="DD287" t="e">
        <f>AND(#REF!,"AAAAAH9+92s=")</f>
        <v>#REF!</v>
      </c>
      <c r="DE287" t="e">
        <f>AND(#REF!,"AAAAAH9+92w=")</f>
        <v>#REF!</v>
      </c>
      <c r="DF287" t="e">
        <f>AND(#REF!,"AAAAAH9+920=")</f>
        <v>#REF!</v>
      </c>
      <c r="DG287" t="e">
        <f>AND(#REF!,"AAAAAH9+924=")</f>
        <v>#REF!</v>
      </c>
      <c r="DH287" t="e">
        <f>AND(#REF!,"AAAAAH9+928=")</f>
        <v>#REF!</v>
      </c>
      <c r="DI287" t="e">
        <f>AND(#REF!,"AAAAAH9+93A=")</f>
        <v>#REF!</v>
      </c>
      <c r="DJ287" t="e">
        <f>AND(#REF!,"AAAAAH9+93E=")</f>
        <v>#REF!</v>
      </c>
      <c r="DK287" t="e">
        <f>AND(#REF!,"AAAAAH9+93I=")</f>
        <v>#REF!</v>
      </c>
      <c r="DL287" t="e">
        <f>AND(#REF!,"AAAAAH9+93M=")</f>
        <v>#REF!</v>
      </c>
      <c r="DM287" t="e">
        <f>AND(#REF!,"AAAAAH9+93Q=")</f>
        <v>#REF!</v>
      </c>
      <c r="DN287" t="e">
        <f>IF(#REF!,"AAAAAH9+93U=",0)</f>
        <v>#REF!</v>
      </c>
      <c r="DO287" t="e">
        <f>AND(#REF!,"AAAAAH9+93Y=")</f>
        <v>#REF!</v>
      </c>
      <c r="DP287" t="e">
        <f>AND(#REF!,"AAAAAH9+93c=")</f>
        <v>#REF!</v>
      </c>
      <c r="DQ287" t="e">
        <f>AND(#REF!,"AAAAAH9+93g=")</f>
        <v>#REF!</v>
      </c>
      <c r="DR287" t="e">
        <f>AND(#REF!,"AAAAAH9+93k=")</f>
        <v>#REF!</v>
      </c>
      <c r="DS287" t="e">
        <f>AND(#REF!,"AAAAAH9+93o=")</f>
        <v>#REF!</v>
      </c>
      <c r="DT287" t="e">
        <f>AND(#REF!,"AAAAAH9+93s=")</f>
        <v>#REF!</v>
      </c>
      <c r="DU287" t="e">
        <f>AND(#REF!,"AAAAAH9+93w=")</f>
        <v>#REF!</v>
      </c>
      <c r="DV287" t="e">
        <f>AND(#REF!,"AAAAAH9+930=")</f>
        <v>#REF!</v>
      </c>
      <c r="DW287" t="e">
        <f>AND(#REF!,"AAAAAH9+934=")</f>
        <v>#REF!</v>
      </c>
      <c r="DX287" t="e">
        <f>AND(#REF!,"AAAAAH9+938=")</f>
        <v>#REF!</v>
      </c>
      <c r="DY287" t="e">
        <f>IF(#REF!,"AAAAAH9+94A=",0)</f>
        <v>#REF!</v>
      </c>
      <c r="DZ287" t="e">
        <f>AND(#REF!,"AAAAAH9+94E=")</f>
        <v>#REF!</v>
      </c>
      <c r="EA287" t="e">
        <f>AND(#REF!,"AAAAAH9+94I=")</f>
        <v>#REF!</v>
      </c>
      <c r="EB287" t="e">
        <f>AND(#REF!,"AAAAAH9+94M=")</f>
        <v>#REF!</v>
      </c>
      <c r="EC287" t="e">
        <f>AND(#REF!,"AAAAAH9+94Q=")</f>
        <v>#REF!</v>
      </c>
      <c r="ED287" t="e">
        <f>AND(#REF!,"AAAAAH9+94U=")</f>
        <v>#REF!</v>
      </c>
      <c r="EE287" t="e">
        <f>AND(#REF!,"AAAAAH9+94Y=")</f>
        <v>#REF!</v>
      </c>
      <c r="EF287" t="e">
        <f>AND(#REF!,"AAAAAH9+94c=")</f>
        <v>#REF!</v>
      </c>
      <c r="EG287" t="e">
        <f>AND(#REF!,"AAAAAH9+94g=")</f>
        <v>#REF!</v>
      </c>
      <c r="EH287" t="e">
        <f>AND(#REF!,"AAAAAH9+94k=")</f>
        <v>#REF!</v>
      </c>
      <c r="EI287" t="e">
        <f>AND(#REF!,"AAAAAH9+94o=")</f>
        <v>#REF!</v>
      </c>
      <c r="EJ287" t="e">
        <f>IF(#REF!,"AAAAAH9+94s=",0)</f>
        <v>#REF!</v>
      </c>
      <c r="EK287" t="e">
        <f>AND(#REF!,"AAAAAH9+94w=")</f>
        <v>#REF!</v>
      </c>
      <c r="EL287" t="e">
        <f>AND(#REF!,"AAAAAH9+940=")</f>
        <v>#REF!</v>
      </c>
      <c r="EM287" t="e">
        <f>AND(#REF!,"AAAAAH9+944=")</f>
        <v>#REF!</v>
      </c>
      <c r="EN287" t="e">
        <f>AND(#REF!,"AAAAAH9+948=")</f>
        <v>#REF!</v>
      </c>
      <c r="EO287" t="e">
        <f>AND(#REF!,"AAAAAH9+95A=")</f>
        <v>#REF!</v>
      </c>
      <c r="EP287" t="e">
        <f>AND(#REF!,"AAAAAH9+95E=")</f>
        <v>#REF!</v>
      </c>
      <c r="EQ287" t="e">
        <f>AND(#REF!,"AAAAAH9+95I=")</f>
        <v>#REF!</v>
      </c>
      <c r="ER287" t="e">
        <f>AND(#REF!,"AAAAAH9+95M=")</f>
        <v>#REF!</v>
      </c>
      <c r="ES287" t="e">
        <f>AND(#REF!,"AAAAAH9+95Q=")</f>
        <v>#REF!</v>
      </c>
      <c r="ET287" t="e">
        <f>AND(#REF!,"AAAAAH9+95U=")</f>
        <v>#REF!</v>
      </c>
      <c r="EU287" t="e">
        <f>IF(#REF!,"AAAAAH9+95Y=",0)</f>
        <v>#REF!</v>
      </c>
      <c r="EV287" t="e">
        <f>AND(#REF!,"AAAAAH9+95c=")</f>
        <v>#REF!</v>
      </c>
      <c r="EW287" t="e">
        <f>AND(#REF!,"AAAAAH9+95g=")</f>
        <v>#REF!</v>
      </c>
      <c r="EX287" t="e">
        <f>AND(#REF!,"AAAAAH9+95k=")</f>
        <v>#REF!</v>
      </c>
      <c r="EY287" t="e">
        <f>AND(#REF!,"AAAAAH9+95o=")</f>
        <v>#REF!</v>
      </c>
      <c r="EZ287" t="e">
        <f>AND(#REF!,"AAAAAH9+95s=")</f>
        <v>#REF!</v>
      </c>
      <c r="FA287" t="e">
        <f>AND(#REF!,"AAAAAH9+95w=")</f>
        <v>#REF!</v>
      </c>
      <c r="FB287" t="e">
        <f>AND(#REF!,"AAAAAH9+950=")</f>
        <v>#REF!</v>
      </c>
      <c r="FC287" t="e">
        <f>AND(#REF!,"AAAAAH9+954=")</f>
        <v>#REF!</v>
      </c>
      <c r="FD287" t="e">
        <f>AND(#REF!,"AAAAAH9+958=")</f>
        <v>#REF!</v>
      </c>
      <c r="FE287" t="e">
        <f>AND(#REF!,"AAAAAH9+96A=")</f>
        <v>#REF!</v>
      </c>
      <c r="FF287" t="e">
        <f>IF(#REF!,"AAAAAH9+96E=",0)</f>
        <v>#REF!</v>
      </c>
      <c r="FG287" t="e">
        <f>AND(#REF!,"AAAAAH9+96I=")</f>
        <v>#REF!</v>
      </c>
      <c r="FH287" t="e">
        <f>AND(#REF!,"AAAAAH9+96M=")</f>
        <v>#REF!</v>
      </c>
      <c r="FI287" t="e">
        <f>AND(#REF!,"AAAAAH9+96Q=")</f>
        <v>#REF!</v>
      </c>
      <c r="FJ287" t="e">
        <f>AND(#REF!,"AAAAAH9+96U=")</f>
        <v>#REF!</v>
      </c>
      <c r="FK287" t="e">
        <f>AND(#REF!,"AAAAAH9+96Y=")</f>
        <v>#REF!</v>
      </c>
      <c r="FL287" t="e">
        <f>AND(#REF!,"AAAAAH9+96c=")</f>
        <v>#REF!</v>
      </c>
      <c r="FM287" t="e">
        <f>AND(#REF!,"AAAAAH9+96g=")</f>
        <v>#REF!</v>
      </c>
      <c r="FN287" t="e">
        <f>AND(#REF!,"AAAAAH9+96k=")</f>
        <v>#REF!</v>
      </c>
      <c r="FO287" t="e">
        <f>AND(#REF!,"AAAAAH9+96o=")</f>
        <v>#REF!</v>
      </c>
      <c r="FP287" t="e">
        <f>AND(#REF!,"AAAAAH9+96s=")</f>
        <v>#REF!</v>
      </c>
      <c r="FQ287" t="e">
        <f>IF(#REF!,"AAAAAH9+96w=",0)</f>
        <v>#REF!</v>
      </c>
      <c r="FR287" t="e">
        <f>AND(#REF!,"AAAAAH9+960=")</f>
        <v>#REF!</v>
      </c>
      <c r="FS287" t="e">
        <f>AND(#REF!,"AAAAAH9+964=")</f>
        <v>#REF!</v>
      </c>
      <c r="FT287" t="e">
        <f>AND(#REF!,"AAAAAH9+968=")</f>
        <v>#REF!</v>
      </c>
      <c r="FU287" t="e">
        <f>AND(#REF!,"AAAAAH9+97A=")</f>
        <v>#REF!</v>
      </c>
      <c r="FV287" t="e">
        <f>AND(#REF!,"AAAAAH9+97E=")</f>
        <v>#REF!</v>
      </c>
      <c r="FW287" t="e">
        <f>AND(#REF!,"AAAAAH9+97I=")</f>
        <v>#REF!</v>
      </c>
      <c r="FX287" t="e">
        <f>AND(#REF!,"AAAAAH9+97M=")</f>
        <v>#REF!</v>
      </c>
      <c r="FY287" t="e">
        <f>AND(#REF!,"AAAAAH9+97Q=")</f>
        <v>#REF!</v>
      </c>
      <c r="FZ287" t="e">
        <f>AND(#REF!,"AAAAAH9+97U=")</f>
        <v>#REF!</v>
      </c>
      <c r="GA287" t="e">
        <f>AND(#REF!,"AAAAAH9+97Y=")</f>
        <v>#REF!</v>
      </c>
      <c r="GB287" t="e">
        <f>IF(#REF!,"AAAAAH9+97c=",0)</f>
        <v>#REF!</v>
      </c>
      <c r="GC287" t="e">
        <f>AND(#REF!,"AAAAAH9+97g=")</f>
        <v>#REF!</v>
      </c>
      <c r="GD287" t="e">
        <f>AND(#REF!,"AAAAAH9+97k=")</f>
        <v>#REF!</v>
      </c>
      <c r="GE287" t="e">
        <f>AND(#REF!,"AAAAAH9+97o=")</f>
        <v>#REF!</v>
      </c>
      <c r="GF287" t="e">
        <f>AND(#REF!,"AAAAAH9+97s=")</f>
        <v>#REF!</v>
      </c>
      <c r="GG287" t="e">
        <f>AND(#REF!,"AAAAAH9+97w=")</f>
        <v>#REF!</v>
      </c>
      <c r="GH287" t="e">
        <f>AND(#REF!,"AAAAAH9+970=")</f>
        <v>#REF!</v>
      </c>
      <c r="GI287" t="e">
        <f>AND(#REF!,"AAAAAH9+974=")</f>
        <v>#REF!</v>
      </c>
      <c r="GJ287" t="e">
        <f>AND(#REF!,"AAAAAH9+978=")</f>
        <v>#REF!</v>
      </c>
      <c r="GK287" t="e">
        <f>AND(#REF!,"AAAAAH9+98A=")</f>
        <v>#REF!</v>
      </c>
      <c r="GL287" t="e">
        <f>AND(#REF!,"AAAAAH9+98E=")</f>
        <v>#REF!</v>
      </c>
      <c r="GM287" t="e">
        <f>IF(#REF!,"AAAAAH9+98I=",0)</f>
        <v>#REF!</v>
      </c>
      <c r="GN287" t="e">
        <f>AND(#REF!,"AAAAAH9+98M=")</f>
        <v>#REF!</v>
      </c>
      <c r="GO287" t="e">
        <f>AND(#REF!,"AAAAAH9+98Q=")</f>
        <v>#REF!</v>
      </c>
      <c r="GP287" t="e">
        <f>AND(#REF!,"AAAAAH9+98U=")</f>
        <v>#REF!</v>
      </c>
      <c r="GQ287" t="e">
        <f>AND(#REF!,"AAAAAH9+98Y=")</f>
        <v>#REF!</v>
      </c>
      <c r="GR287" t="e">
        <f>AND(#REF!,"AAAAAH9+98c=")</f>
        <v>#REF!</v>
      </c>
      <c r="GS287" t="e">
        <f>AND(#REF!,"AAAAAH9+98g=")</f>
        <v>#REF!</v>
      </c>
      <c r="GT287" t="e">
        <f>AND(#REF!,"AAAAAH9+98k=")</f>
        <v>#REF!</v>
      </c>
      <c r="GU287" t="e">
        <f>AND(#REF!,"AAAAAH9+98o=")</f>
        <v>#REF!</v>
      </c>
      <c r="GV287" t="e">
        <f>AND(#REF!,"AAAAAH9+98s=")</f>
        <v>#REF!</v>
      </c>
      <c r="GW287" t="e">
        <f>AND(#REF!,"AAAAAH9+98w=")</f>
        <v>#REF!</v>
      </c>
      <c r="GX287" t="e">
        <f>IF(#REF!,"AAAAAH9+980=",0)</f>
        <v>#REF!</v>
      </c>
      <c r="GY287" t="e">
        <f>AND(#REF!,"AAAAAH9+984=")</f>
        <v>#REF!</v>
      </c>
      <c r="GZ287" t="e">
        <f>AND(#REF!,"AAAAAH9+988=")</f>
        <v>#REF!</v>
      </c>
      <c r="HA287" t="e">
        <f>AND(#REF!,"AAAAAH9+99A=")</f>
        <v>#REF!</v>
      </c>
      <c r="HB287" t="e">
        <f>AND(#REF!,"AAAAAH9+99E=")</f>
        <v>#REF!</v>
      </c>
      <c r="HC287" t="e">
        <f>AND(#REF!,"AAAAAH9+99I=")</f>
        <v>#REF!</v>
      </c>
      <c r="HD287" t="e">
        <f>AND(#REF!,"AAAAAH9+99M=")</f>
        <v>#REF!</v>
      </c>
      <c r="HE287" t="e">
        <f>AND(#REF!,"AAAAAH9+99Q=")</f>
        <v>#REF!</v>
      </c>
      <c r="HF287" t="e">
        <f>AND(#REF!,"AAAAAH9+99U=")</f>
        <v>#REF!</v>
      </c>
      <c r="HG287" t="e">
        <f>AND(#REF!,"AAAAAH9+99Y=")</f>
        <v>#REF!</v>
      </c>
      <c r="HH287" t="e">
        <f>AND(#REF!,"AAAAAH9+99c=")</f>
        <v>#REF!</v>
      </c>
      <c r="HI287" t="e">
        <f>IF(#REF!,"AAAAAH9+99g=",0)</f>
        <v>#REF!</v>
      </c>
      <c r="HJ287" t="e">
        <f>AND(#REF!,"AAAAAH9+99k=")</f>
        <v>#REF!</v>
      </c>
      <c r="HK287" t="e">
        <f>AND(#REF!,"AAAAAH9+99o=")</f>
        <v>#REF!</v>
      </c>
      <c r="HL287" t="e">
        <f>AND(#REF!,"AAAAAH9+99s=")</f>
        <v>#REF!</v>
      </c>
      <c r="HM287" t="e">
        <f>AND(#REF!,"AAAAAH9+99w=")</f>
        <v>#REF!</v>
      </c>
      <c r="HN287" t="e">
        <f>AND(#REF!,"AAAAAH9+990=")</f>
        <v>#REF!</v>
      </c>
      <c r="HO287" t="e">
        <f>AND(#REF!,"AAAAAH9+994=")</f>
        <v>#REF!</v>
      </c>
      <c r="HP287" t="e">
        <f>AND(#REF!,"AAAAAH9+998=")</f>
        <v>#REF!</v>
      </c>
      <c r="HQ287" t="e">
        <f>AND(#REF!,"AAAAAH9+9+A=")</f>
        <v>#REF!</v>
      </c>
      <c r="HR287" t="e">
        <f>AND(#REF!,"AAAAAH9+9+E=")</f>
        <v>#REF!</v>
      </c>
      <c r="HS287" t="e">
        <f>AND(#REF!,"AAAAAH9+9+I=")</f>
        <v>#REF!</v>
      </c>
      <c r="HT287" t="e">
        <f>IF(#REF!,"AAAAAH9+9+M=",0)</f>
        <v>#REF!</v>
      </c>
      <c r="HU287" t="e">
        <f>AND(#REF!,"AAAAAH9+9+Q=")</f>
        <v>#REF!</v>
      </c>
      <c r="HV287" t="e">
        <f>AND(#REF!,"AAAAAH9+9+U=")</f>
        <v>#REF!</v>
      </c>
      <c r="HW287" t="e">
        <f>AND(#REF!,"AAAAAH9+9+Y=")</f>
        <v>#REF!</v>
      </c>
      <c r="HX287" t="e">
        <f>AND(#REF!,"AAAAAH9+9+c=")</f>
        <v>#REF!</v>
      </c>
      <c r="HY287" t="e">
        <f>AND(#REF!,"AAAAAH9+9+g=")</f>
        <v>#REF!</v>
      </c>
      <c r="HZ287" t="e">
        <f>AND(#REF!,"AAAAAH9+9+k=")</f>
        <v>#REF!</v>
      </c>
      <c r="IA287" t="e">
        <f>AND(#REF!,"AAAAAH9+9+o=")</f>
        <v>#REF!</v>
      </c>
      <c r="IB287" t="e">
        <f>AND(#REF!,"AAAAAH9+9+s=")</f>
        <v>#REF!</v>
      </c>
      <c r="IC287" t="e">
        <f>AND(#REF!,"AAAAAH9+9+w=")</f>
        <v>#REF!</v>
      </c>
      <c r="ID287" t="e">
        <f>AND(#REF!,"AAAAAH9+9+0=")</f>
        <v>#REF!</v>
      </c>
      <c r="IE287" t="e">
        <f>IF(#REF!,"AAAAAH9+9+4=",0)</f>
        <v>#REF!</v>
      </c>
      <c r="IF287" t="e">
        <f>AND(#REF!,"AAAAAH9+9+8=")</f>
        <v>#REF!</v>
      </c>
      <c r="IG287" t="e">
        <f>AND(#REF!,"AAAAAH9+9/A=")</f>
        <v>#REF!</v>
      </c>
      <c r="IH287" t="e">
        <f>AND(#REF!,"AAAAAH9+9/E=")</f>
        <v>#REF!</v>
      </c>
      <c r="II287" t="e">
        <f>AND(#REF!,"AAAAAH9+9/I=")</f>
        <v>#REF!</v>
      </c>
      <c r="IJ287" t="e">
        <f>AND(#REF!,"AAAAAH9+9/M=")</f>
        <v>#REF!</v>
      </c>
      <c r="IK287" t="e">
        <f>AND(#REF!,"AAAAAH9+9/Q=")</f>
        <v>#REF!</v>
      </c>
      <c r="IL287" t="e">
        <f>AND(#REF!,"AAAAAH9+9/U=")</f>
        <v>#REF!</v>
      </c>
      <c r="IM287" t="e">
        <f>AND(#REF!,"AAAAAH9+9/Y=")</f>
        <v>#REF!</v>
      </c>
      <c r="IN287" t="e">
        <f>AND(#REF!,"AAAAAH9+9/c=")</f>
        <v>#REF!</v>
      </c>
      <c r="IO287" t="e">
        <f>AND(#REF!,"AAAAAH9+9/g=")</f>
        <v>#REF!</v>
      </c>
      <c r="IP287" t="e">
        <f>IF(#REF!,"AAAAAH9+9/k=",0)</f>
        <v>#REF!</v>
      </c>
      <c r="IQ287" t="e">
        <f>AND(#REF!,"AAAAAH9+9/o=")</f>
        <v>#REF!</v>
      </c>
      <c r="IR287" t="e">
        <f>AND(#REF!,"AAAAAH9+9/s=")</f>
        <v>#REF!</v>
      </c>
      <c r="IS287" t="e">
        <f>AND(#REF!,"AAAAAH9+9/w=")</f>
        <v>#REF!</v>
      </c>
      <c r="IT287" t="e">
        <f>AND(#REF!,"AAAAAH9+9/0=")</f>
        <v>#REF!</v>
      </c>
      <c r="IU287" t="e">
        <f>AND(#REF!,"AAAAAH9+9/4=")</f>
        <v>#REF!</v>
      </c>
      <c r="IV287" t="e">
        <f>AND(#REF!,"AAAAAH9+9/8=")</f>
        <v>#REF!</v>
      </c>
    </row>
    <row r="288" spans="1:256" x14ac:dyDescent="0.25">
      <c r="A288" t="e">
        <f>AND(#REF!,"AAAAAFjz3QA=")</f>
        <v>#REF!</v>
      </c>
      <c r="B288" t="e">
        <f>AND(#REF!,"AAAAAFjz3QE=")</f>
        <v>#REF!</v>
      </c>
      <c r="C288" t="e">
        <f>AND(#REF!,"AAAAAFjz3QI=")</f>
        <v>#REF!</v>
      </c>
      <c r="D288" t="e">
        <f>AND(#REF!,"AAAAAFjz3QM=")</f>
        <v>#REF!</v>
      </c>
      <c r="E288" t="e">
        <f>IF(#REF!,"AAAAAFjz3QQ=",0)</f>
        <v>#REF!</v>
      </c>
      <c r="F288" t="e">
        <f>AND(#REF!,"AAAAAFjz3QU=")</f>
        <v>#REF!</v>
      </c>
      <c r="G288" t="e">
        <f>AND(#REF!,"AAAAAFjz3QY=")</f>
        <v>#REF!</v>
      </c>
      <c r="H288" t="e">
        <f>AND(#REF!,"AAAAAFjz3Qc=")</f>
        <v>#REF!</v>
      </c>
      <c r="I288" t="e">
        <f>AND(#REF!,"AAAAAFjz3Qg=")</f>
        <v>#REF!</v>
      </c>
      <c r="J288" t="e">
        <f>AND(#REF!,"AAAAAFjz3Qk=")</f>
        <v>#REF!</v>
      </c>
      <c r="K288" t="e">
        <f>AND(#REF!,"AAAAAFjz3Qo=")</f>
        <v>#REF!</v>
      </c>
      <c r="L288" t="e">
        <f>AND(#REF!,"AAAAAFjz3Qs=")</f>
        <v>#REF!</v>
      </c>
      <c r="M288" t="e">
        <f>AND(#REF!,"AAAAAFjz3Qw=")</f>
        <v>#REF!</v>
      </c>
      <c r="N288" t="e">
        <f>AND(#REF!,"AAAAAFjz3Q0=")</f>
        <v>#REF!</v>
      </c>
      <c r="O288" t="e">
        <f>AND(#REF!,"AAAAAFjz3Q4=")</f>
        <v>#REF!</v>
      </c>
      <c r="P288" t="e">
        <f>IF(#REF!,"AAAAAFjz3Q8=",0)</f>
        <v>#REF!</v>
      </c>
      <c r="Q288" t="e">
        <f>AND(#REF!,"AAAAAFjz3RA=")</f>
        <v>#REF!</v>
      </c>
      <c r="R288" t="e">
        <f>AND(#REF!,"AAAAAFjz3RE=")</f>
        <v>#REF!</v>
      </c>
      <c r="S288" t="e">
        <f>AND(#REF!,"AAAAAFjz3RI=")</f>
        <v>#REF!</v>
      </c>
      <c r="T288" t="e">
        <f>AND(#REF!,"AAAAAFjz3RM=")</f>
        <v>#REF!</v>
      </c>
      <c r="U288" t="e">
        <f>AND(#REF!,"AAAAAFjz3RQ=")</f>
        <v>#REF!</v>
      </c>
      <c r="V288" t="e">
        <f>AND(#REF!,"AAAAAFjz3RU=")</f>
        <v>#REF!</v>
      </c>
      <c r="W288" t="e">
        <f>AND(#REF!,"AAAAAFjz3RY=")</f>
        <v>#REF!</v>
      </c>
      <c r="X288" t="e">
        <f>AND(#REF!,"AAAAAFjz3Rc=")</f>
        <v>#REF!</v>
      </c>
      <c r="Y288" t="e">
        <f>AND(#REF!,"AAAAAFjz3Rg=")</f>
        <v>#REF!</v>
      </c>
      <c r="Z288" t="e">
        <f>AND(#REF!,"AAAAAFjz3Rk=")</f>
        <v>#REF!</v>
      </c>
      <c r="AA288" t="e">
        <f>IF(#REF!,"AAAAAFjz3Ro=",0)</f>
        <v>#REF!</v>
      </c>
      <c r="AB288" t="e">
        <f>AND(#REF!,"AAAAAFjz3Rs=")</f>
        <v>#REF!</v>
      </c>
      <c r="AC288" t="e">
        <f>AND(#REF!,"AAAAAFjz3Rw=")</f>
        <v>#REF!</v>
      </c>
      <c r="AD288" t="e">
        <f>AND(#REF!,"AAAAAFjz3R0=")</f>
        <v>#REF!</v>
      </c>
      <c r="AE288" t="e">
        <f>AND(#REF!,"AAAAAFjz3R4=")</f>
        <v>#REF!</v>
      </c>
      <c r="AF288" t="e">
        <f>AND(#REF!,"AAAAAFjz3R8=")</f>
        <v>#REF!</v>
      </c>
      <c r="AG288" t="e">
        <f>AND(#REF!,"AAAAAFjz3SA=")</f>
        <v>#REF!</v>
      </c>
      <c r="AH288" t="e">
        <f>AND(#REF!,"AAAAAFjz3SE=")</f>
        <v>#REF!</v>
      </c>
      <c r="AI288" t="e">
        <f>AND(#REF!,"AAAAAFjz3SI=")</f>
        <v>#REF!</v>
      </c>
      <c r="AJ288" t="e">
        <f>AND(#REF!,"AAAAAFjz3SM=")</f>
        <v>#REF!</v>
      </c>
      <c r="AK288" t="e">
        <f>AND(#REF!,"AAAAAFjz3SQ=")</f>
        <v>#REF!</v>
      </c>
      <c r="AL288" t="e">
        <f>IF(#REF!,"AAAAAFjz3SU=",0)</f>
        <v>#REF!</v>
      </c>
      <c r="AM288" t="e">
        <f>AND(#REF!,"AAAAAFjz3SY=")</f>
        <v>#REF!</v>
      </c>
      <c r="AN288" t="e">
        <f>AND(#REF!,"AAAAAFjz3Sc=")</f>
        <v>#REF!</v>
      </c>
      <c r="AO288" t="e">
        <f>AND(#REF!,"AAAAAFjz3Sg=")</f>
        <v>#REF!</v>
      </c>
      <c r="AP288" t="e">
        <f>AND(#REF!,"AAAAAFjz3Sk=")</f>
        <v>#REF!</v>
      </c>
      <c r="AQ288" t="e">
        <f>AND(#REF!,"AAAAAFjz3So=")</f>
        <v>#REF!</v>
      </c>
      <c r="AR288" t="e">
        <f>AND(#REF!,"AAAAAFjz3Ss=")</f>
        <v>#REF!</v>
      </c>
      <c r="AS288" t="e">
        <f>AND(#REF!,"AAAAAFjz3Sw=")</f>
        <v>#REF!</v>
      </c>
      <c r="AT288" t="e">
        <f>AND(#REF!,"AAAAAFjz3S0=")</f>
        <v>#REF!</v>
      </c>
      <c r="AU288" t="e">
        <f>AND(#REF!,"AAAAAFjz3S4=")</f>
        <v>#REF!</v>
      </c>
      <c r="AV288" t="e">
        <f>AND(#REF!,"AAAAAFjz3S8=")</f>
        <v>#REF!</v>
      </c>
      <c r="AW288" t="e">
        <f>IF(#REF!,"AAAAAFjz3TA=",0)</f>
        <v>#REF!</v>
      </c>
      <c r="AX288" t="e">
        <f>AND(#REF!,"AAAAAFjz3TE=")</f>
        <v>#REF!</v>
      </c>
      <c r="AY288" t="e">
        <f>AND(#REF!,"AAAAAFjz3TI=")</f>
        <v>#REF!</v>
      </c>
      <c r="AZ288" t="e">
        <f>AND(#REF!,"AAAAAFjz3TM=")</f>
        <v>#REF!</v>
      </c>
      <c r="BA288" t="e">
        <f>AND(#REF!,"AAAAAFjz3TQ=")</f>
        <v>#REF!</v>
      </c>
      <c r="BB288" t="e">
        <f>AND(#REF!,"AAAAAFjz3TU=")</f>
        <v>#REF!</v>
      </c>
      <c r="BC288" t="e">
        <f>AND(#REF!,"AAAAAFjz3TY=")</f>
        <v>#REF!</v>
      </c>
      <c r="BD288" t="e">
        <f>AND(#REF!,"AAAAAFjz3Tc=")</f>
        <v>#REF!</v>
      </c>
      <c r="BE288" t="e">
        <f>AND(#REF!,"AAAAAFjz3Tg=")</f>
        <v>#REF!</v>
      </c>
      <c r="BF288" t="e">
        <f>AND(#REF!,"AAAAAFjz3Tk=")</f>
        <v>#REF!</v>
      </c>
      <c r="BG288" t="e">
        <f>AND(#REF!,"AAAAAFjz3To=")</f>
        <v>#REF!</v>
      </c>
      <c r="BH288" t="e">
        <f>IF(#REF!,"AAAAAFjz3Ts=",0)</f>
        <v>#REF!</v>
      </c>
      <c r="BI288" t="e">
        <f>AND(#REF!,"AAAAAFjz3Tw=")</f>
        <v>#REF!</v>
      </c>
      <c r="BJ288" t="e">
        <f>AND(#REF!,"AAAAAFjz3T0=")</f>
        <v>#REF!</v>
      </c>
      <c r="BK288" t="e">
        <f>AND(#REF!,"AAAAAFjz3T4=")</f>
        <v>#REF!</v>
      </c>
      <c r="BL288" t="e">
        <f>AND(#REF!,"AAAAAFjz3T8=")</f>
        <v>#REF!</v>
      </c>
      <c r="BM288" t="e">
        <f>AND(#REF!,"AAAAAFjz3UA=")</f>
        <v>#REF!</v>
      </c>
      <c r="BN288" t="e">
        <f>AND(#REF!,"AAAAAFjz3UE=")</f>
        <v>#REF!</v>
      </c>
      <c r="BO288" t="e">
        <f>AND(#REF!,"AAAAAFjz3UI=")</f>
        <v>#REF!</v>
      </c>
      <c r="BP288" t="e">
        <f>AND(#REF!,"AAAAAFjz3UM=")</f>
        <v>#REF!</v>
      </c>
      <c r="BQ288" t="e">
        <f>AND(#REF!,"AAAAAFjz3UQ=")</f>
        <v>#REF!</v>
      </c>
      <c r="BR288" t="e">
        <f>AND(#REF!,"AAAAAFjz3UU=")</f>
        <v>#REF!</v>
      </c>
      <c r="BS288" t="e">
        <f>IF(#REF!,"AAAAAFjz3UY=",0)</f>
        <v>#REF!</v>
      </c>
      <c r="BT288" t="e">
        <f>AND(#REF!,"AAAAAFjz3Uc=")</f>
        <v>#REF!</v>
      </c>
      <c r="BU288" t="e">
        <f>AND(#REF!,"AAAAAFjz3Ug=")</f>
        <v>#REF!</v>
      </c>
      <c r="BV288" t="e">
        <f>AND(#REF!,"AAAAAFjz3Uk=")</f>
        <v>#REF!</v>
      </c>
      <c r="BW288" t="e">
        <f>AND(#REF!,"AAAAAFjz3Uo=")</f>
        <v>#REF!</v>
      </c>
      <c r="BX288" t="e">
        <f>AND(#REF!,"AAAAAFjz3Us=")</f>
        <v>#REF!</v>
      </c>
      <c r="BY288" t="e">
        <f>AND(#REF!,"AAAAAFjz3Uw=")</f>
        <v>#REF!</v>
      </c>
      <c r="BZ288" t="e">
        <f>AND(#REF!,"AAAAAFjz3U0=")</f>
        <v>#REF!</v>
      </c>
      <c r="CA288" t="e">
        <f>AND(#REF!,"AAAAAFjz3U4=")</f>
        <v>#REF!</v>
      </c>
      <c r="CB288" t="e">
        <f>AND(#REF!,"AAAAAFjz3U8=")</f>
        <v>#REF!</v>
      </c>
      <c r="CC288" t="e">
        <f>AND(#REF!,"AAAAAFjz3VA=")</f>
        <v>#REF!</v>
      </c>
      <c r="CD288" t="e">
        <f>IF(#REF!,"AAAAAFjz3VE=",0)</f>
        <v>#REF!</v>
      </c>
      <c r="CE288" t="e">
        <f>AND(#REF!,"AAAAAFjz3VI=")</f>
        <v>#REF!</v>
      </c>
      <c r="CF288" t="e">
        <f>AND(#REF!,"AAAAAFjz3VM=")</f>
        <v>#REF!</v>
      </c>
      <c r="CG288" t="e">
        <f>AND(#REF!,"AAAAAFjz3VQ=")</f>
        <v>#REF!</v>
      </c>
      <c r="CH288" t="e">
        <f>AND(#REF!,"AAAAAFjz3VU=")</f>
        <v>#REF!</v>
      </c>
      <c r="CI288" t="e">
        <f>AND(#REF!,"AAAAAFjz3VY=")</f>
        <v>#REF!</v>
      </c>
      <c r="CJ288" t="e">
        <f>AND(#REF!,"AAAAAFjz3Vc=")</f>
        <v>#REF!</v>
      </c>
      <c r="CK288" t="e">
        <f>AND(#REF!,"AAAAAFjz3Vg=")</f>
        <v>#REF!</v>
      </c>
      <c r="CL288" t="e">
        <f>AND(#REF!,"AAAAAFjz3Vk=")</f>
        <v>#REF!</v>
      </c>
      <c r="CM288" t="e">
        <f>AND(#REF!,"AAAAAFjz3Vo=")</f>
        <v>#REF!</v>
      </c>
      <c r="CN288" t="e">
        <f>AND(#REF!,"AAAAAFjz3Vs=")</f>
        <v>#REF!</v>
      </c>
      <c r="CO288" t="e">
        <f>IF(#REF!,"AAAAAFjz3Vw=",0)</f>
        <v>#REF!</v>
      </c>
      <c r="CP288" t="e">
        <f>AND(#REF!,"AAAAAFjz3V0=")</f>
        <v>#REF!</v>
      </c>
      <c r="CQ288" t="e">
        <f>AND(#REF!,"AAAAAFjz3V4=")</f>
        <v>#REF!</v>
      </c>
      <c r="CR288" t="e">
        <f>AND(#REF!,"AAAAAFjz3V8=")</f>
        <v>#REF!</v>
      </c>
      <c r="CS288" t="e">
        <f>AND(#REF!,"AAAAAFjz3WA=")</f>
        <v>#REF!</v>
      </c>
      <c r="CT288" t="e">
        <f>AND(#REF!,"AAAAAFjz3WE=")</f>
        <v>#REF!</v>
      </c>
      <c r="CU288" t="e">
        <f>AND(#REF!,"AAAAAFjz3WI=")</f>
        <v>#REF!</v>
      </c>
      <c r="CV288" t="e">
        <f>AND(#REF!,"AAAAAFjz3WM=")</f>
        <v>#REF!</v>
      </c>
      <c r="CW288" t="e">
        <f>AND(#REF!,"AAAAAFjz3WQ=")</f>
        <v>#REF!</v>
      </c>
      <c r="CX288" t="e">
        <f>AND(#REF!,"AAAAAFjz3WU=")</f>
        <v>#REF!</v>
      </c>
      <c r="CY288" t="e">
        <f>AND(#REF!,"AAAAAFjz3WY=")</f>
        <v>#REF!</v>
      </c>
      <c r="CZ288" t="e">
        <f>IF(#REF!,"AAAAAFjz3Wc=",0)</f>
        <v>#REF!</v>
      </c>
      <c r="DA288" t="e">
        <f>AND(#REF!,"AAAAAFjz3Wg=")</f>
        <v>#REF!</v>
      </c>
      <c r="DB288" t="e">
        <f>AND(#REF!,"AAAAAFjz3Wk=")</f>
        <v>#REF!</v>
      </c>
      <c r="DC288" t="e">
        <f>AND(#REF!,"AAAAAFjz3Wo=")</f>
        <v>#REF!</v>
      </c>
      <c r="DD288" t="e">
        <f>AND(#REF!,"AAAAAFjz3Ws=")</f>
        <v>#REF!</v>
      </c>
      <c r="DE288" t="e">
        <f>AND(#REF!,"AAAAAFjz3Ww=")</f>
        <v>#REF!</v>
      </c>
      <c r="DF288" t="e">
        <f>AND(#REF!,"AAAAAFjz3W0=")</f>
        <v>#REF!</v>
      </c>
      <c r="DG288" t="e">
        <f>AND(#REF!,"AAAAAFjz3W4=")</f>
        <v>#REF!</v>
      </c>
      <c r="DH288" t="e">
        <f>AND(#REF!,"AAAAAFjz3W8=")</f>
        <v>#REF!</v>
      </c>
      <c r="DI288" t="e">
        <f>AND(#REF!,"AAAAAFjz3XA=")</f>
        <v>#REF!</v>
      </c>
      <c r="DJ288" t="e">
        <f>AND(#REF!,"AAAAAFjz3XE=")</f>
        <v>#REF!</v>
      </c>
      <c r="DK288" t="e">
        <f>IF(#REF!,"AAAAAFjz3XI=",0)</f>
        <v>#REF!</v>
      </c>
      <c r="DL288" t="e">
        <f>AND(#REF!,"AAAAAFjz3XM=")</f>
        <v>#REF!</v>
      </c>
      <c r="DM288" t="e">
        <f>AND(#REF!,"AAAAAFjz3XQ=")</f>
        <v>#REF!</v>
      </c>
      <c r="DN288" t="e">
        <f>AND(#REF!,"AAAAAFjz3XU=")</f>
        <v>#REF!</v>
      </c>
      <c r="DO288" t="e">
        <f>AND(#REF!,"AAAAAFjz3XY=")</f>
        <v>#REF!</v>
      </c>
      <c r="DP288" t="e">
        <f>AND(#REF!,"AAAAAFjz3Xc=")</f>
        <v>#REF!</v>
      </c>
      <c r="DQ288" t="e">
        <f>AND(#REF!,"AAAAAFjz3Xg=")</f>
        <v>#REF!</v>
      </c>
      <c r="DR288" t="e">
        <f>AND(#REF!,"AAAAAFjz3Xk=")</f>
        <v>#REF!</v>
      </c>
      <c r="DS288" t="e">
        <f>AND(#REF!,"AAAAAFjz3Xo=")</f>
        <v>#REF!</v>
      </c>
      <c r="DT288" t="e">
        <f>AND(#REF!,"AAAAAFjz3Xs=")</f>
        <v>#REF!</v>
      </c>
      <c r="DU288" t="e">
        <f>AND(#REF!,"AAAAAFjz3Xw=")</f>
        <v>#REF!</v>
      </c>
      <c r="DV288" t="e">
        <f>IF(#REF!,"AAAAAFjz3X0=",0)</f>
        <v>#REF!</v>
      </c>
      <c r="DW288" t="e">
        <f>AND(#REF!,"AAAAAFjz3X4=")</f>
        <v>#REF!</v>
      </c>
      <c r="DX288" t="e">
        <f>AND(#REF!,"AAAAAFjz3X8=")</f>
        <v>#REF!</v>
      </c>
      <c r="DY288" t="e">
        <f>AND(#REF!,"AAAAAFjz3YA=")</f>
        <v>#REF!</v>
      </c>
      <c r="DZ288" t="e">
        <f>AND(#REF!,"AAAAAFjz3YE=")</f>
        <v>#REF!</v>
      </c>
      <c r="EA288" t="e">
        <f>AND(#REF!,"AAAAAFjz3YI=")</f>
        <v>#REF!</v>
      </c>
      <c r="EB288" t="e">
        <f>AND(#REF!,"AAAAAFjz3YM=")</f>
        <v>#REF!</v>
      </c>
      <c r="EC288" t="e">
        <f>AND(#REF!,"AAAAAFjz3YQ=")</f>
        <v>#REF!</v>
      </c>
      <c r="ED288" t="e">
        <f>AND(#REF!,"AAAAAFjz3YU=")</f>
        <v>#REF!</v>
      </c>
      <c r="EE288" t="e">
        <f>AND(#REF!,"AAAAAFjz3YY=")</f>
        <v>#REF!</v>
      </c>
      <c r="EF288" t="e">
        <f>AND(#REF!,"AAAAAFjz3Yc=")</f>
        <v>#REF!</v>
      </c>
      <c r="EG288" t="e">
        <f>IF(#REF!,"AAAAAFjz3Yg=",0)</f>
        <v>#REF!</v>
      </c>
      <c r="EH288" t="e">
        <f>AND(#REF!,"AAAAAFjz3Yk=")</f>
        <v>#REF!</v>
      </c>
      <c r="EI288" t="e">
        <f>AND(#REF!,"AAAAAFjz3Yo=")</f>
        <v>#REF!</v>
      </c>
      <c r="EJ288" t="e">
        <f>AND(#REF!,"AAAAAFjz3Ys=")</f>
        <v>#REF!</v>
      </c>
      <c r="EK288" t="e">
        <f>AND(#REF!,"AAAAAFjz3Yw=")</f>
        <v>#REF!</v>
      </c>
      <c r="EL288" t="e">
        <f>AND(#REF!,"AAAAAFjz3Y0=")</f>
        <v>#REF!</v>
      </c>
      <c r="EM288" t="e">
        <f>AND(#REF!,"AAAAAFjz3Y4=")</f>
        <v>#REF!</v>
      </c>
      <c r="EN288" t="e">
        <f>AND(#REF!,"AAAAAFjz3Y8=")</f>
        <v>#REF!</v>
      </c>
      <c r="EO288" t="e">
        <f>AND(#REF!,"AAAAAFjz3ZA=")</f>
        <v>#REF!</v>
      </c>
      <c r="EP288" t="e">
        <f>AND(#REF!,"AAAAAFjz3ZE=")</f>
        <v>#REF!</v>
      </c>
      <c r="EQ288" t="e">
        <f>AND(#REF!,"AAAAAFjz3ZI=")</f>
        <v>#REF!</v>
      </c>
      <c r="ER288" t="e">
        <f>IF(#REF!,"AAAAAFjz3ZM=",0)</f>
        <v>#REF!</v>
      </c>
      <c r="ES288" t="e">
        <f>AND(#REF!,"AAAAAFjz3ZQ=")</f>
        <v>#REF!</v>
      </c>
      <c r="ET288" t="e">
        <f>AND(#REF!,"AAAAAFjz3ZU=")</f>
        <v>#REF!</v>
      </c>
      <c r="EU288" t="e">
        <f>AND(#REF!,"AAAAAFjz3ZY=")</f>
        <v>#REF!</v>
      </c>
      <c r="EV288" t="e">
        <f>AND(#REF!,"AAAAAFjz3Zc=")</f>
        <v>#REF!</v>
      </c>
      <c r="EW288" t="e">
        <f>AND(#REF!,"AAAAAFjz3Zg=")</f>
        <v>#REF!</v>
      </c>
      <c r="EX288" t="e">
        <f>AND(#REF!,"AAAAAFjz3Zk=")</f>
        <v>#REF!</v>
      </c>
      <c r="EY288" t="e">
        <f>AND(#REF!,"AAAAAFjz3Zo=")</f>
        <v>#REF!</v>
      </c>
      <c r="EZ288" t="e">
        <f>AND(#REF!,"AAAAAFjz3Zs=")</f>
        <v>#REF!</v>
      </c>
      <c r="FA288" t="e">
        <f>AND(#REF!,"AAAAAFjz3Zw=")</f>
        <v>#REF!</v>
      </c>
      <c r="FB288" t="e">
        <f>AND(#REF!,"AAAAAFjz3Z0=")</f>
        <v>#REF!</v>
      </c>
      <c r="FC288" t="e">
        <f>IF(#REF!,"AAAAAFjz3Z4=",0)</f>
        <v>#REF!</v>
      </c>
      <c r="FD288" t="e">
        <f>AND(#REF!,"AAAAAFjz3Z8=")</f>
        <v>#REF!</v>
      </c>
      <c r="FE288" t="e">
        <f>AND(#REF!,"AAAAAFjz3aA=")</f>
        <v>#REF!</v>
      </c>
      <c r="FF288" t="e">
        <f>AND(#REF!,"AAAAAFjz3aE=")</f>
        <v>#REF!</v>
      </c>
      <c r="FG288" t="e">
        <f>AND(#REF!,"AAAAAFjz3aI=")</f>
        <v>#REF!</v>
      </c>
      <c r="FH288" t="e">
        <f>AND(#REF!,"AAAAAFjz3aM=")</f>
        <v>#REF!</v>
      </c>
      <c r="FI288" t="e">
        <f>AND(#REF!,"AAAAAFjz3aQ=")</f>
        <v>#REF!</v>
      </c>
      <c r="FJ288" t="e">
        <f>AND(#REF!,"AAAAAFjz3aU=")</f>
        <v>#REF!</v>
      </c>
      <c r="FK288" t="e">
        <f>AND(#REF!,"AAAAAFjz3aY=")</f>
        <v>#REF!</v>
      </c>
      <c r="FL288" t="e">
        <f>AND(#REF!,"AAAAAFjz3ac=")</f>
        <v>#REF!</v>
      </c>
      <c r="FM288" t="e">
        <f>AND(#REF!,"AAAAAFjz3ag=")</f>
        <v>#REF!</v>
      </c>
      <c r="FN288" t="e">
        <f>IF(#REF!,"AAAAAFjz3ak=",0)</f>
        <v>#REF!</v>
      </c>
      <c r="FO288" t="e">
        <f>AND(#REF!,"AAAAAFjz3ao=")</f>
        <v>#REF!</v>
      </c>
      <c r="FP288" t="e">
        <f>AND(#REF!,"AAAAAFjz3as=")</f>
        <v>#REF!</v>
      </c>
      <c r="FQ288" t="e">
        <f>AND(#REF!,"AAAAAFjz3aw=")</f>
        <v>#REF!</v>
      </c>
      <c r="FR288" t="e">
        <f>AND(#REF!,"AAAAAFjz3a0=")</f>
        <v>#REF!</v>
      </c>
      <c r="FS288" t="e">
        <f>AND(#REF!,"AAAAAFjz3a4=")</f>
        <v>#REF!</v>
      </c>
      <c r="FT288" t="e">
        <f>AND(#REF!,"AAAAAFjz3a8=")</f>
        <v>#REF!</v>
      </c>
      <c r="FU288" t="e">
        <f>AND(#REF!,"AAAAAFjz3bA=")</f>
        <v>#REF!</v>
      </c>
      <c r="FV288" t="e">
        <f>AND(#REF!,"AAAAAFjz3bE=")</f>
        <v>#REF!</v>
      </c>
      <c r="FW288" t="e">
        <f>AND(#REF!,"AAAAAFjz3bI=")</f>
        <v>#REF!</v>
      </c>
      <c r="FX288" t="e">
        <f>AND(#REF!,"AAAAAFjz3bM=")</f>
        <v>#REF!</v>
      </c>
      <c r="FY288" t="e">
        <f>IF(#REF!,"AAAAAFjz3bQ=",0)</f>
        <v>#REF!</v>
      </c>
      <c r="FZ288" t="e">
        <f>AND(#REF!,"AAAAAFjz3bU=")</f>
        <v>#REF!</v>
      </c>
      <c r="GA288" t="e">
        <f>AND(#REF!,"AAAAAFjz3bY=")</f>
        <v>#REF!</v>
      </c>
      <c r="GB288" t="e">
        <f>AND(#REF!,"AAAAAFjz3bc=")</f>
        <v>#REF!</v>
      </c>
      <c r="GC288" t="e">
        <f>AND(#REF!,"AAAAAFjz3bg=")</f>
        <v>#REF!</v>
      </c>
      <c r="GD288" t="e">
        <f>AND(#REF!,"AAAAAFjz3bk=")</f>
        <v>#REF!</v>
      </c>
      <c r="GE288" t="e">
        <f>AND(#REF!,"AAAAAFjz3bo=")</f>
        <v>#REF!</v>
      </c>
      <c r="GF288" t="e">
        <f>AND(#REF!,"AAAAAFjz3bs=")</f>
        <v>#REF!</v>
      </c>
      <c r="GG288" t="e">
        <f>AND(#REF!,"AAAAAFjz3bw=")</f>
        <v>#REF!</v>
      </c>
      <c r="GH288" t="e">
        <f>AND(#REF!,"AAAAAFjz3b0=")</f>
        <v>#REF!</v>
      </c>
      <c r="GI288" t="e">
        <f>AND(#REF!,"AAAAAFjz3b4=")</f>
        <v>#REF!</v>
      </c>
      <c r="GJ288" t="e">
        <f>IF(#REF!,"AAAAAFjz3b8=",0)</f>
        <v>#REF!</v>
      </c>
      <c r="GK288" t="e">
        <f>AND(#REF!,"AAAAAFjz3cA=")</f>
        <v>#REF!</v>
      </c>
      <c r="GL288" t="e">
        <f>AND(#REF!,"AAAAAFjz3cE=")</f>
        <v>#REF!</v>
      </c>
      <c r="GM288" t="e">
        <f>AND(#REF!,"AAAAAFjz3cI=")</f>
        <v>#REF!</v>
      </c>
      <c r="GN288" t="e">
        <f>AND(#REF!,"AAAAAFjz3cM=")</f>
        <v>#REF!</v>
      </c>
      <c r="GO288" t="e">
        <f>AND(#REF!,"AAAAAFjz3cQ=")</f>
        <v>#REF!</v>
      </c>
      <c r="GP288" t="e">
        <f>AND(#REF!,"AAAAAFjz3cU=")</f>
        <v>#REF!</v>
      </c>
      <c r="GQ288" t="e">
        <f>AND(#REF!,"AAAAAFjz3cY=")</f>
        <v>#REF!</v>
      </c>
      <c r="GR288" t="e">
        <f>AND(#REF!,"AAAAAFjz3cc=")</f>
        <v>#REF!</v>
      </c>
      <c r="GS288" t="e">
        <f>AND(#REF!,"AAAAAFjz3cg=")</f>
        <v>#REF!</v>
      </c>
      <c r="GT288" t="e">
        <f>AND(#REF!,"AAAAAFjz3ck=")</f>
        <v>#REF!</v>
      </c>
      <c r="GU288" t="e">
        <f>IF(#REF!,"AAAAAFjz3co=",0)</f>
        <v>#REF!</v>
      </c>
      <c r="GV288" t="e">
        <f>AND(#REF!,"AAAAAFjz3cs=")</f>
        <v>#REF!</v>
      </c>
      <c r="GW288" t="e">
        <f>AND(#REF!,"AAAAAFjz3cw=")</f>
        <v>#REF!</v>
      </c>
      <c r="GX288" t="e">
        <f>AND(#REF!,"AAAAAFjz3c0=")</f>
        <v>#REF!</v>
      </c>
      <c r="GY288" t="e">
        <f>AND(#REF!,"AAAAAFjz3c4=")</f>
        <v>#REF!</v>
      </c>
      <c r="GZ288" t="e">
        <f>AND(#REF!,"AAAAAFjz3c8=")</f>
        <v>#REF!</v>
      </c>
      <c r="HA288" t="e">
        <f>AND(#REF!,"AAAAAFjz3dA=")</f>
        <v>#REF!</v>
      </c>
      <c r="HB288" t="e">
        <f>AND(#REF!,"AAAAAFjz3dE=")</f>
        <v>#REF!</v>
      </c>
      <c r="HC288" t="e">
        <f>AND(#REF!,"AAAAAFjz3dI=")</f>
        <v>#REF!</v>
      </c>
      <c r="HD288" t="e">
        <f>AND(#REF!,"AAAAAFjz3dM=")</f>
        <v>#REF!</v>
      </c>
      <c r="HE288" t="e">
        <f>AND(#REF!,"AAAAAFjz3dQ=")</f>
        <v>#REF!</v>
      </c>
      <c r="HF288" t="e">
        <f>IF(#REF!,"AAAAAFjz3dU=",0)</f>
        <v>#REF!</v>
      </c>
      <c r="HG288" t="e">
        <f>AND(#REF!,"AAAAAFjz3dY=")</f>
        <v>#REF!</v>
      </c>
      <c r="HH288" t="e">
        <f>AND(#REF!,"AAAAAFjz3dc=")</f>
        <v>#REF!</v>
      </c>
      <c r="HI288" t="e">
        <f>AND(#REF!,"AAAAAFjz3dg=")</f>
        <v>#REF!</v>
      </c>
      <c r="HJ288" t="e">
        <f>AND(#REF!,"AAAAAFjz3dk=")</f>
        <v>#REF!</v>
      </c>
      <c r="HK288" t="e">
        <f>AND(#REF!,"AAAAAFjz3do=")</f>
        <v>#REF!</v>
      </c>
      <c r="HL288" t="e">
        <f>AND(#REF!,"AAAAAFjz3ds=")</f>
        <v>#REF!</v>
      </c>
      <c r="HM288" t="e">
        <f>AND(#REF!,"AAAAAFjz3dw=")</f>
        <v>#REF!</v>
      </c>
      <c r="HN288" t="e">
        <f>AND(#REF!,"AAAAAFjz3d0=")</f>
        <v>#REF!</v>
      </c>
      <c r="HO288" t="e">
        <f>AND(#REF!,"AAAAAFjz3d4=")</f>
        <v>#REF!</v>
      </c>
      <c r="HP288" t="e">
        <f>AND(#REF!,"AAAAAFjz3d8=")</f>
        <v>#REF!</v>
      </c>
      <c r="HQ288" t="e">
        <f>IF(#REF!,"AAAAAFjz3eA=",0)</f>
        <v>#REF!</v>
      </c>
      <c r="HR288" t="e">
        <f>AND(#REF!,"AAAAAFjz3eE=")</f>
        <v>#REF!</v>
      </c>
      <c r="HS288" t="e">
        <f>AND(#REF!,"AAAAAFjz3eI=")</f>
        <v>#REF!</v>
      </c>
      <c r="HT288" t="e">
        <f>AND(#REF!,"AAAAAFjz3eM=")</f>
        <v>#REF!</v>
      </c>
      <c r="HU288" t="e">
        <f>AND(#REF!,"AAAAAFjz3eQ=")</f>
        <v>#REF!</v>
      </c>
      <c r="HV288" t="e">
        <f>AND(#REF!,"AAAAAFjz3eU=")</f>
        <v>#REF!</v>
      </c>
      <c r="HW288" t="e">
        <f>AND(#REF!,"AAAAAFjz3eY=")</f>
        <v>#REF!</v>
      </c>
      <c r="HX288" t="e">
        <f>AND(#REF!,"AAAAAFjz3ec=")</f>
        <v>#REF!</v>
      </c>
      <c r="HY288" t="e">
        <f>AND(#REF!,"AAAAAFjz3eg=")</f>
        <v>#REF!</v>
      </c>
      <c r="HZ288" t="e">
        <f>AND(#REF!,"AAAAAFjz3ek=")</f>
        <v>#REF!</v>
      </c>
      <c r="IA288" t="e">
        <f>AND(#REF!,"AAAAAFjz3eo=")</f>
        <v>#REF!</v>
      </c>
      <c r="IB288" t="e">
        <f>IF(#REF!,"AAAAAFjz3es=",0)</f>
        <v>#REF!</v>
      </c>
      <c r="IC288" t="e">
        <f>AND(#REF!,"AAAAAFjz3ew=")</f>
        <v>#REF!</v>
      </c>
      <c r="ID288" t="e">
        <f>AND(#REF!,"AAAAAFjz3e0=")</f>
        <v>#REF!</v>
      </c>
      <c r="IE288" t="e">
        <f>AND(#REF!,"AAAAAFjz3e4=")</f>
        <v>#REF!</v>
      </c>
      <c r="IF288" t="e">
        <f>AND(#REF!,"AAAAAFjz3e8=")</f>
        <v>#REF!</v>
      </c>
      <c r="IG288" t="e">
        <f>AND(#REF!,"AAAAAFjz3fA=")</f>
        <v>#REF!</v>
      </c>
      <c r="IH288" t="e">
        <f>AND(#REF!,"AAAAAFjz3fE=")</f>
        <v>#REF!</v>
      </c>
      <c r="II288" t="e">
        <f>AND(#REF!,"AAAAAFjz3fI=")</f>
        <v>#REF!</v>
      </c>
      <c r="IJ288" t="e">
        <f>AND(#REF!,"AAAAAFjz3fM=")</f>
        <v>#REF!</v>
      </c>
      <c r="IK288" t="e">
        <f>AND(#REF!,"AAAAAFjz3fQ=")</f>
        <v>#REF!</v>
      </c>
      <c r="IL288" t="e">
        <f>AND(#REF!,"AAAAAFjz3fU=")</f>
        <v>#REF!</v>
      </c>
      <c r="IM288" t="e">
        <f>IF(#REF!,"AAAAAFjz3fY=",0)</f>
        <v>#REF!</v>
      </c>
      <c r="IN288" t="e">
        <f>AND(#REF!,"AAAAAFjz3fc=")</f>
        <v>#REF!</v>
      </c>
      <c r="IO288" t="e">
        <f>AND(#REF!,"AAAAAFjz3fg=")</f>
        <v>#REF!</v>
      </c>
      <c r="IP288" t="e">
        <f>AND(#REF!,"AAAAAFjz3fk=")</f>
        <v>#REF!</v>
      </c>
      <c r="IQ288" t="e">
        <f>AND(#REF!,"AAAAAFjz3fo=")</f>
        <v>#REF!</v>
      </c>
      <c r="IR288" t="e">
        <f>AND(#REF!,"AAAAAFjz3fs=")</f>
        <v>#REF!</v>
      </c>
      <c r="IS288" t="e">
        <f>AND(#REF!,"AAAAAFjz3fw=")</f>
        <v>#REF!</v>
      </c>
      <c r="IT288" t="e">
        <f>AND(#REF!,"AAAAAFjz3f0=")</f>
        <v>#REF!</v>
      </c>
      <c r="IU288" t="e">
        <f>AND(#REF!,"AAAAAFjz3f4=")</f>
        <v>#REF!</v>
      </c>
      <c r="IV288" t="e">
        <f>AND(#REF!,"AAAAAFjz3f8=")</f>
        <v>#REF!</v>
      </c>
    </row>
    <row r="289" spans="1:256" x14ac:dyDescent="0.25">
      <c r="A289" t="e">
        <f>AND(#REF!,"AAAAAGD3vQA=")</f>
        <v>#REF!</v>
      </c>
      <c r="B289" t="e">
        <f>IF(#REF!,"AAAAAGD3vQE=",0)</f>
        <v>#REF!</v>
      </c>
      <c r="C289" t="e">
        <f>AND(#REF!,"AAAAAGD3vQI=")</f>
        <v>#REF!</v>
      </c>
      <c r="D289" t="e">
        <f>AND(#REF!,"AAAAAGD3vQM=")</f>
        <v>#REF!</v>
      </c>
      <c r="E289" t="e">
        <f>AND(#REF!,"AAAAAGD3vQQ=")</f>
        <v>#REF!</v>
      </c>
      <c r="F289" t="e">
        <f>AND(#REF!,"AAAAAGD3vQU=")</f>
        <v>#REF!</v>
      </c>
      <c r="G289" t="e">
        <f>AND(#REF!,"AAAAAGD3vQY=")</f>
        <v>#REF!</v>
      </c>
      <c r="H289" t="e">
        <f>AND(#REF!,"AAAAAGD3vQc=")</f>
        <v>#REF!</v>
      </c>
      <c r="I289" t="e">
        <f>AND(#REF!,"AAAAAGD3vQg=")</f>
        <v>#REF!</v>
      </c>
      <c r="J289" t="e">
        <f>AND(#REF!,"AAAAAGD3vQk=")</f>
        <v>#REF!</v>
      </c>
      <c r="K289" t="e">
        <f>AND(#REF!,"AAAAAGD3vQo=")</f>
        <v>#REF!</v>
      </c>
      <c r="L289" t="e">
        <f>AND(#REF!,"AAAAAGD3vQs=")</f>
        <v>#REF!</v>
      </c>
      <c r="M289" t="e">
        <f>IF(#REF!,"AAAAAGD3vQw=",0)</f>
        <v>#REF!</v>
      </c>
      <c r="N289" t="e">
        <f>AND(#REF!,"AAAAAGD3vQ0=")</f>
        <v>#REF!</v>
      </c>
      <c r="O289" t="e">
        <f>AND(#REF!,"AAAAAGD3vQ4=")</f>
        <v>#REF!</v>
      </c>
      <c r="P289" t="e">
        <f>AND(#REF!,"AAAAAGD3vQ8=")</f>
        <v>#REF!</v>
      </c>
      <c r="Q289" t="e">
        <f>AND(#REF!,"AAAAAGD3vRA=")</f>
        <v>#REF!</v>
      </c>
      <c r="R289" t="e">
        <f>AND(#REF!,"AAAAAGD3vRE=")</f>
        <v>#REF!</v>
      </c>
      <c r="S289" t="e">
        <f>AND(#REF!,"AAAAAGD3vRI=")</f>
        <v>#REF!</v>
      </c>
      <c r="T289" t="e">
        <f>AND(#REF!,"AAAAAGD3vRM=")</f>
        <v>#REF!</v>
      </c>
      <c r="U289" t="e">
        <f>AND(#REF!,"AAAAAGD3vRQ=")</f>
        <v>#REF!</v>
      </c>
      <c r="V289" t="e">
        <f>AND(#REF!,"AAAAAGD3vRU=")</f>
        <v>#REF!</v>
      </c>
      <c r="W289" t="e">
        <f>AND(#REF!,"AAAAAGD3vRY=")</f>
        <v>#REF!</v>
      </c>
      <c r="X289" t="e">
        <f>IF(#REF!,"AAAAAGD3vRc=",0)</f>
        <v>#REF!</v>
      </c>
      <c r="Y289" t="e">
        <f>AND(#REF!,"AAAAAGD3vRg=")</f>
        <v>#REF!</v>
      </c>
      <c r="Z289" t="e">
        <f>AND(#REF!,"AAAAAGD3vRk=")</f>
        <v>#REF!</v>
      </c>
      <c r="AA289" t="e">
        <f>AND(#REF!,"AAAAAGD3vRo=")</f>
        <v>#REF!</v>
      </c>
      <c r="AB289" t="e">
        <f>AND(#REF!,"AAAAAGD3vRs=")</f>
        <v>#REF!</v>
      </c>
      <c r="AC289" t="e">
        <f>AND(#REF!,"AAAAAGD3vRw=")</f>
        <v>#REF!</v>
      </c>
      <c r="AD289" t="e">
        <f>AND(#REF!,"AAAAAGD3vR0=")</f>
        <v>#REF!</v>
      </c>
      <c r="AE289" t="e">
        <f>AND(#REF!,"AAAAAGD3vR4=")</f>
        <v>#REF!</v>
      </c>
      <c r="AF289" t="e">
        <f>AND(#REF!,"AAAAAGD3vR8=")</f>
        <v>#REF!</v>
      </c>
      <c r="AG289" t="e">
        <f>AND(#REF!,"AAAAAGD3vSA=")</f>
        <v>#REF!</v>
      </c>
      <c r="AH289" t="e">
        <f>AND(#REF!,"AAAAAGD3vSE=")</f>
        <v>#REF!</v>
      </c>
      <c r="AI289" t="e">
        <f>IF(#REF!,"AAAAAGD3vSI=",0)</f>
        <v>#REF!</v>
      </c>
      <c r="AJ289" t="e">
        <f>AND(#REF!,"AAAAAGD3vSM=")</f>
        <v>#REF!</v>
      </c>
      <c r="AK289" t="e">
        <f>AND(#REF!,"AAAAAGD3vSQ=")</f>
        <v>#REF!</v>
      </c>
      <c r="AL289" t="e">
        <f>AND(#REF!,"AAAAAGD3vSU=")</f>
        <v>#REF!</v>
      </c>
      <c r="AM289" t="e">
        <f>AND(#REF!,"AAAAAGD3vSY=")</f>
        <v>#REF!</v>
      </c>
      <c r="AN289" t="e">
        <f>AND(#REF!,"AAAAAGD3vSc=")</f>
        <v>#REF!</v>
      </c>
      <c r="AO289" t="e">
        <f>AND(#REF!,"AAAAAGD3vSg=")</f>
        <v>#REF!</v>
      </c>
      <c r="AP289" t="e">
        <f>AND(#REF!,"AAAAAGD3vSk=")</f>
        <v>#REF!</v>
      </c>
      <c r="AQ289" t="e">
        <f>AND(#REF!,"AAAAAGD3vSo=")</f>
        <v>#REF!</v>
      </c>
      <c r="AR289" t="e">
        <f>AND(#REF!,"AAAAAGD3vSs=")</f>
        <v>#REF!</v>
      </c>
      <c r="AS289" t="e">
        <f>AND(#REF!,"AAAAAGD3vSw=")</f>
        <v>#REF!</v>
      </c>
      <c r="AT289" t="e">
        <f>IF(#REF!,"AAAAAGD3vS0=",0)</f>
        <v>#REF!</v>
      </c>
      <c r="AU289" t="e">
        <f>AND(#REF!,"AAAAAGD3vS4=")</f>
        <v>#REF!</v>
      </c>
      <c r="AV289" t="e">
        <f>AND(#REF!,"AAAAAGD3vS8=")</f>
        <v>#REF!</v>
      </c>
      <c r="AW289" t="e">
        <f>AND(#REF!,"AAAAAGD3vTA=")</f>
        <v>#REF!</v>
      </c>
      <c r="AX289" t="e">
        <f>AND(#REF!,"AAAAAGD3vTE=")</f>
        <v>#REF!</v>
      </c>
      <c r="AY289" t="e">
        <f>AND(#REF!,"AAAAAGD3vTI=")</f>
        <v>#REF!</v>
      </c>
      <c r="AZ289" t="e">
        <f>AND(#REF!,"AAAAAGD3vTM=")</f>
        <v>#REF!</v>
      </c>
      <c r="BA289" t="e">
        <f>AND(#REF!,"AAAAAGD3vTQ=")</f>
        <v>#REF!</v>
      </c>
      <c r="BB289" t="e">
        <f>AND(#REF!,"AAAAAGD3vTU=")</f>
        <v>#REF!</v>
      </c>
      <c r="BC289" t="e">
        <f>AND(#REF!,"AAAAAGD3vTY=")</f>
        <v>#REF!</v>
      </c>
      <c r="BD289" t="e">
        <f>AND(#REF!,"AAAAAGD3vTc=")</f>
        <v>#REF!</v>
      </c>
      <c r="BE289" t="e">
        <f>IF(#REF!,"AAAAAGD3vTg=",0)</f>
        <v>#REF!</v>
      </c>
      <c r="BF289" t="e">
        <f>AND(#REF!,"AAAAAGD3vTk=")</f>
        <v>#REF!</v>
      </c>
      <c r="BG289" t="e">
        <f>AND(#REF!,"AAAAAGD3vTo=")</f>
        <v>#REF!</v>
      </c>
      <c r="BH289" t="e">
        <f>AND(#REF!,"AAAAAGD3vTs=")</f>
        <v>#REF!</v>
      </c>
      <c r="BI289" t="e">
        <f>AND(#REF!,"AAAAAGD3vTw=")</f>
        <v>#REF!</v>
      </c>
      <c r="BJ289" t="e">
        <f>AND(#REF!,"AAAAAGD3vT0=")</f>
        <v>#REF!</v>
      </c>
      <c r="BK289" t="e">
        <f>AND(#REF!,"AAAAAGD3vT4=")</f>
        <v>#REF!</v>
      </c>
      <c r="BL289" t="e">
        <f>AND(#REF!,"AAAAAGD3vT8=")</f>
        <v>#REF!</v>
      </c>
      <c r="BM289" t="e">
        <f>AND(#REF!,"AAAAAGD3vUA=")</f>
        <v>#REF!</v>
      </c>
      <c r="BN289" t="e">
        <f>AND(#REF!,"AAAAAGD3vUE=")</f>
        <v>#REF!</v>
      </c>
      <c r="BO289" t="e">
        <f>AND(#REF!,"AAAAAGD3vUI=")</f>
        <v>#REF!</v>
      </c>
      <c r="BP289" t="e">
        <f>IF(#REF!,"AAAAAGD3vUM=",0)</f>
        <v>#REF!</v>
      </c>
      <c r="BQ289" t="e">
        <f>AND(#REF!,"AAAAAGD3vUQ=")</f>
        <v>#REF!</v>
      </c>
      <c r="BR289" t="e">
        <f>AND(#REF!,"AAAAAGD3vUU=")</f>
        <v>#REF!</v>
      </c>
      <c r="BS289" t="e">
        <f>AND(#REF!,"AAAAAGD3vUY=")</f>
        <v>#REF!</v>
      </c>
      <c r="BT289" t="e">
        <f>AND(#REF!,"AAAAAGD3vUc=")</f>
        <v>#REF!</v>
      </c>
      <c r="BU289" t="e">
        <f>AND(#REF!,"AAAAAGD3vUg=")</f>
        <v>#REF!</v>
      </c>
      <c r="BV289" t="e">
        <f>AND(#REF!,"AAAAAGD3vUk=")</f>
        <v>#REF!</v>
      </c>
      <c r="BW289" t="e">
        <f>AND(#REF!,"AAAAAGD3vUo=")</f>
        <v>#REF!</v>
      </c>
      <c r="BX289" t="e">
        <f>AND(#REF!,"AAAAAGD3vUs=")</f>
        <v>#REF!</v>
      </c>
      <c r="BY289" t="e">
        <f>AND(#REF!,"AAAAAGD3vUw=")</f>
        <v>#REF!</v>
      </c>
      <c r="BZ289" t="e">
        <f>AND(#REF!,"AAAAAGD3vU0=")</f>
        <v>#REF!</v>
      </c>
      <c r="CA289" t="e">
        <f>IF(#REF!,"AAAAAGD3vU4=",0)</f>
        <v>#REF!</v>
      </c>
      <c r="CB289" t="e">
        <f>AND(#REF!,"AAAAAGD3vU8=")</f>
        <v>#REF!</v>
      </c>
      <c r="CC289" t="e">
        <f>AND(#REF!,"AAAAAGD3vVA=")</f>
        <v>#REF!</v>
      </c>
      <c r="CD289" t="e">
        <f>AND(#REF!,"AAAAAGD3vVE=")</f>
        <v>#REF!</v>
      </c>
      <c r="CE289" t="e">
        <f>AND(#REF!,"AAAAAGD3vVI=")</f>
        <v>#REF!</v>
      </c>
      <c r="CF289" t="e">
        <f>AND(#REF!,"AAAAAGD3vVM=")</f>
        <v>#REF!</v>
      </c>
      <c r="CG289" t="e">
        <f>AND(#REF!,"AAAAAGD3vVQ=")</f>
        <v>#REF!</v>
      </c>
      <c r="CH289" t="e">
        <f>AND(#REF!,"AAAAAGD3vVU=")</f>
        <v>#REF!</v>
      </c>
      <c r="CI289" t="e">
        <f>AND(#REF!,"AAAAAGD3vVY=")</f>
        <v>#REF!</v>
      </c>
      <c r="CJ289" t="e">
        <f>AND(#REF!,"AAAAAGD3vVc=")</f>
        <v>#REF!</v>
      </c>
      <c r="CK289" t="e">
        <f>AND(#REF!,"AAAAAGD3vVg=")</f>
        <v>#REF!</v>
      </c>
      <c r="CL289" t="e">
        <f>IF(#REF!,"AAAAAGD3vVk=",0)</f>
        <v>#REF!</v>
      </c>
      <c r="CM289" t="e">
        <f>AND(#REF!,"AAAAAGD3vVo=")</f>
        <v>#REF!</v>
      </c>
      <c r="CN289" t="e">
        <f>AND(#REF!,"AAAAAGD3vVs=")</f>
        <v>#REF!</v>
      </c>
      <c r="CO289" t="e">
        <f>AND(#REF!,"AAAAAGD3vVw=")</f>
        <v>#REF!</v>
      </c>
      <c r="CP289" t="e">
        <f>AND(#REF!,"AAAAAGD3vV0=")</f>
        <v>#REF!</v>
      </c>
      <c r="CQ289" t="e">
        <f>AND(#REF!,"AAAAAGD3vV4=")</f>
        <v>#REF!</v>
      </c>
      <c r="CR289" t="e">
        <f>AND(#REF!,"AAAAAGD3vV8=")</f>
        <v>#REF!</v>
      </c>
      <c r="CS289" t="e">
        <f>AND(#REF!,"AAAAAGD3vWA=")</f>
        <v>#REF!</v>
      </c>
      <c r="CT289" t="e">
        <f>AND(#REF!,"AAAAAGD3vWE=")</f>
        <v>#REF!</v>
      </c>
      <c r="CU289" t="e">
        <f>AND(#REF!,"AAAAAGD3vWI=")</f>
        <v>#REF!</v>
      </c>
      <c r="CV289" t="e">
        <f>AND(#REF!,"AAAAAGD3vWM=")</f>
        <v>#REF!</v>
      </c>
      <c r="CW289" t="e">
        <f>IF(#REF!,"AAAAAGD3vWQ=",0)</f>
        <v>#REF!</v>
      </c>
      <c r="CX289" t="e">
        <f>AND(#REF!,"AAAAAGD3vWU=")</f>
        <v>#REF!</v>
      </c>
      <c r="CY289" t="e">
        <f>AND(#REF!,"AAAAAGD3vWY=")</f>
        <v>#REF!</v>
      </c>
      <c r="CZ289" t="e">
        <f>AND(#REF!,"AAAAAGD3vWc=")</f>
        <v>#REF!</v>
      </c>
      <c r="DA289" t="e">
        <f>AND(#REF!,"AAAAAGD3vWg=")</f>
        <v>#REF!</v>
      </c>
      <c r="DB289" t="e">
        <f>AND(#REF!,"AAAAAGD3vWk=")</f>
        <v>#REF!</v>
      </c>
      <c r="DC289" t="e">
        <f>AND(#REF!,"AAAAAGD3vWo=")</f>
        <v>#REF!</v>
      </c>
      <c r="DD289" t="e">
        <f>AND(#REF!,"AAAAAGD3vWs=")</f>
        <v>#REF!</v>
      </c>
      <c r="DE289" t="e">
        <f>AND(#REF!,"AAAAAGD3vWw=")</f>
        <v>#REF!</v>
      </c>
      <c r="DF289" t="e">
        <f>AND(#REF!,"AAAAAGD3vW0=")</f>
        <v>#REF!</v>
      </c>
      <c r="DG289" t="e">
        <f>AND(#REF!,"AAAAAGD3vW4=")</f>
        <v>#REF!</v>
      </c>
      <c r="DH289" t="e">
        <f>IF(#REF!,"AAAAAGD3vW8=",0)</f>
        <v>#REF!</v>
      </c>
      <c r="DI289" t="e">
        <f>AND(#REF!,"AAAAAGD3vXA=")</f>
        <v>#REF!</v>
      </c>
      <c r="DJ289" t="e">
        <f>AND(#REF!,"AAAAAGD3vXE=")</f>
        <v>#REF!</v>
      </c>
      <c r="DK289" t="e">
        <f>AND(#REF!,"AAAAAGD3vXI=")</f>
        <v>#REF!</v>
      </c>
      <c r="DL289" t="e">
        <f>AND(#REF!,"AAAAAGD3vXM=")</f>
        <v>#REF!</v>
      </c>
      <c r="DM289" t="e">
        <f>AND(#REF!,"AAAAAGD3vXQ=")</f>
        <v>#REF!</v>
      </c>
      <c r="DN289" t="e">
        <f>AND(#REF!,"AAAAAGD3vXU=")</f>
        <v>#REF!</v>
      </c>
      <c r="DO289" t="e">
        <f>AND(#REF!,"AAAAAGD3vXY=")</f>
        <v>#REF!</v>
      </c>
      <c r="DP289" t="e">
        <f>AND(#REF!,"AAAAAGD3vXc=")</f>
        <v>#REF!</v>
      </c>
      <c r="DQ289" t="e">
        <f>AND(#REF!,"AAAAAGD3vXg=")</f>
        <v>#REF!</v>
      </c>
      <c r="DR289" t="e">
        <f>AND(#REF!,"AAAAAGD3vXk=")</f>
        <v>#REF!</v>
      </c>
      <c r="DS289" t="e">
        <f>IF(#REF!,"AAAAAGD3vXo=",0)</f>
        <v>#REF!</v>
      </c>
      <c r="DT289" t="e">
        <f>AND(#REF!,"AAAAAGD3vXs=")</f>
        <v>#REF!</v>
      </c>
      <c r="DU289" t="e">
        <f>AND(#REF!,"AAAAAGD3vXw=")</f>
        <v>#REF!</v>
      </c>
      <c r="DV289" t="e">
        <f>AND(#REF!,"AAAAAGD3vX0=")</f>
        <v>#REF!</v>
      </c>
      <c r="DW289" t="e">
        <f>AND(#REF!,"AAAAAGD3vX4=")</f>
        <v>#REF!</v>
      </c>
      <c r="DX289" t="e">
        <f>AND(#REF!,"AAAAAGD3vX8=")</f>
        <v>#REF!</v>
      </c>
      <c r="DY289" t="e">
        <f>AND(#REF!,"AAAAAGD3vYA=")</f>
        <v>#REF!</v>
      </c>
      <c r="DZ289" t="e">
        <f>AND(#REF!,"AAAAAGD3vYE=")</f>
        <v>#REF!</v>
      </c>
      <c r="EA289" t="e">
        <f>AND(#REF!,"AAAAAGD3vYI=")</f>
        <v>#REF!</v>
      </c>
      <c r="EB289" t="e">
        <f>AND(#REF!,"AAAAAGD3vYM=")</f>
        <v>#REF!</v>
      </c>
      <c r="EC289" t="e">
        <f>AND(#REF!,"AAAAAGD3vYQ=")</f>
        <v>#REF!</v>
      </c>
      <c r="ED289" t="e">
        <f>IF(#REF!,"AAAAAGD3vYU=",0)</f>
        <v>#REF!</v>
      </c>
      <c r="EE289" t="e">
        <f>AND(#REF!,"AAAAAGD3vYY=")</f>
        <v>#REF!</v>
      </c>
      <c r="EF289" t="e">
        <f>AND(#REF!,"AAAAAGD3vYc=")</f>
        <v>#REF!</v>
      </c>
      <c r="EG289" t="e">
        <f>AND(#REF!,"AAAAAGD3vYg=")</f>
        <v>#REF!</v>
      </c>
      <c r="EH289" t="e">
        <f>AND(#REF!,"AAAAAGD3vYk=")</f>
        <v>#REF!</v>
      </c>
      <c r="EI289" t="e">
        <f>AND(#REF!,"AAAAAGD3vYo=")</f>
        <v>#REF!</v>
      </c>
      <c r="EJ289" t="e">
        <f>AND(#REF!,"AAAAAGD3vYs=")</f>
        <v>#REF!</v>
      </c>
      <c r="EK289" t="e">
        <f>AND(#REF!,"AAAAAGD3vYw=")</f>
        <v>#REF!</v>
      </c>
      <c r="EL289" t="e">
        <f>AND(#REF!,"AAAAAGD3vY0=")</f>
        <v>#REF!</v>
      </c>
      <c r="EM289" t="e">
        <f>AND(#REF!,"AAAAAGD3vY4=")</f>
        <v>#REF!</v>
      </c>
      <c r="EN289" t="e">
        <f>AND(#REF!,"AAAAAGD3vY8=")</f>
        <v>#REF!</v>
      </c>
      <c r="EO289" t="e">
        <f>IF(#REF!,"AAAAAGD3vZA=",0)</f>
        <v>#REF!</v>
      </c>
      <c r="EP289" t="e">
        <f>AND(#REF!,"AAAAAGD3vZE=")</f>
        <v>#REF!</v>
      </c>
      <c r="EQ289" t="e">
        <f>AND(#REF!,"AAAAAGD3vZI=")</f>
        <v>#REF!</v>
      </c>
      <c r="ER289" t="e">
        <f>AND(#REF!,"AAAAAGD3vZM=")</f>
        <v>#REF!</v>
      </c>
      <c r="ES289" t="e">
        <f>AND(#REF!,"AAAAAGD3vZQ=")</f>
        <v>#REF!</v>
      </c>
      <c r="ET289" t="e">
        <f>AND(#REF!,"AAAAAGD3vZU=")</f>
        <v>#REF!</v>
      </c>
      <c r="EU289" t="e">
        <f>AND(#REF!,"AAAAAGD3vZY=")</f>
        <v>#REF!</v>
      </c>
      <c r="EV289" t="e">
        <f>AND(#REF!,"AAAAAGD3vZc=")</f>
        <v>#REF!</v>
      </c>
      <c r="EW289" t="e">
        <f>AND(#REF!,"AAAAAGD3vZg=")</f>
        <v>#REF!</v>
      </c>
      <c r="EX289" t="e">
        <f>AND(#REF!,"AAAAAGD3vZk=")</f>
        <v>#REF!</v>
      </c>
      <c r="EY289" t="e">
        <f>AND(#REF!,"AAAAAGD3vZo=")</f>
        <v>#REF!</v>
      </c>
      <c r="EZ289" t="e">
        <f>IF(#REF!,"AAAAAGD3vZs=",0)</f>
        <v>#REF!</v>
      </c>
      <c r="FA289" t="e">
        <f>AND(#REF!,"AAAAAGD3vZw=")</f>
        <v>#REF!</v>
      </c>
      <c r="FB289" t="e">
        <f>AND(#REF!,"AAAAAGD3vZ0=")</f>
        <v>#REF!</v>
      </c>
      <c r="FC289" t="e">
        <f>AND(#REF!,"AAAAAGD3vZ4=")</f>
        <v>#REF!</v>
      </c>
      <c r="FD289" t="e">
        <f>AND(#REF!,"AAAAAGD3vZ8=")</f>
        <v>#REF!</v>
      </c>
      <c r="FE289" t="e">
        <f>AND(#REF!,"AAAAAGD3vaA=")</f>
        <v>#REF!</v>
      </c>
      <c r="FF289" t="e">
        <f>AND(#REF!,"AAAAAGD3vaE=")</f>
        <v>#REF!</v>
      </c>
      <c r="FG289" t="e">
        <f>AND(#REF!,"AAAAAGD3vaI=")</f>
        <v>#REF!</v>
      </c>
      <c r="FH289" t="e">
        <f>AND(#REF!,"AAAAAGD3vaM=")</f>
        <v>#REF!</v>
      </c>
      <c r="FI289" t="e">
        <f>AND(#REF!,"AAAAAGD3vaQ=")</f>
        <v>#REF!</v>
      </c>
      <c r="FJ289" t="e">
        <f>AND(#REF!,"AAAAAGD3vaU=")</f>
        <v>#REF!</v>
      </c>
      <c r="FK289" t="e">
        <f>IF(#REF!,"AAAAAGD3vaY=",0)</f>
        <v>#REF!</v>
      </c>
      <c r="FL289" t="e">
        <f>AND(#REF!,"AAAAAGD3vac=")</f>
        <v>#REF!</v>
      </c>
      <c r="FM289" t="e">
        <f>AND(#REF!,"AAAAAGD3vag=")</f>
        <v>#REF!</v>
      </c>
      <c r="FN289" t="e">
        <f>AND(#REF!,"AAAAAGD3vak=")</f>
        <v>#REF!</v>
      </c>
      <c r="FO289" t="e">
        <f>AND(#REF!,"AAAAAGD3vao=")</f>
        <v>#REF!</v>
      </c>
      <c r="FP289" t="e">
        <f>AND(#REF!,"AAAAAGD3vas=")</f>
        <v>#REF!</v>
      </c>
      <c r="FQ289" t="e">
        <f>AND(#REF!,"AAAAAGD3vaw=")</f>
        <v>#REF!</v>
      </c>
      <c r="FR289" t="e">
        <f>AND(#REF!,"AAAAAGD3va0=")</f>
        <v>#REF!</v>
      </c>
      <c r="FS289" t="e">
        <f>AND(#REF!,"AAAAAGD3va4=")</f>
        <v>#REF!</v>
      </c>
      <c r="FT289" t="e">
        <f>AND(#REF!,"AAAAAGD3va8=")</f>
        <v>#REF!</v>
      </c>
      <c r="FU289" t="e">
        <f>AND(#REF!,"AAAAAGD3vbA=")</f>
        <v>#REF!</v>
      </c>
      <c r="FV289" t="e">
        <f>IF(#REF!,"AAAAAGD3vbE=",0)</f>
        <v>#REF!</v>
      </c>
      <c r="FW289" t="e">
        <f>AND(#REF!,"AAAAAGD3vbI=")</f>
        <v>#REF!</v>
      </c>
      <c r="FX289" t="e">
        <f>AND(#REF!,"AAAAAGD3vbM=")</f>
        <v>#REF!</v>
      </c>
      <c r="FY289" t="e">
        <f>AND(#REF!,"AAAAAGD3vbQ=")</f>
        <v>#REF!</v>
      </c>
      <c r="FZ289" t="e">
        <f>AND(#REF!,"AAAAAGD3vbU=")</f>
        <v>#REF!</v>
      </c>
      <c r="GA289" t="e">
        <f>AND(#REF!,"AAAAAGD3vbY=")</f>
        <v>#REF!</v>
      </c>
      <c r="GB289" t="e">
        <f>AND(#REF!,"AAAAAGD3vbc=")</f>
        <v>#REF!</v>
      </c>
      <c r="GC289" t="e">
        <f>AND(#REF!,"AAAAAGD3vbg=")</f>
        <v>#REF!</v>
      </c>
      <c r="GD289" t="e">
        <f>AND(#REF!,"AAAAAGD3vbk=")</f>
        <v>#REF!</v>
      </c>
      <c r="GE289" t="e">
        <f>AND(#REF!,"AAAAAGD3vbo=")</f>
        <v>#REF!</v>
      </c>
      <c r="GF289" t="e">
        <f>AND(#REF!,"AAAAAGD3vbs=")</f>
        <v>#REF!</v>
      </c>
      <c r="GG289" t="e">
        <f>IF(#REF!,"AAAAAGD3vbw=",0)</f>
        <v>#REF!</v>
      </c>
      <c r="GH289" t="e">
        <f>AND(#REF!,"AAAAAGD3vb0=")</f>
        <v>#REF!</v>
      </c>
      <c r="GI289" t="e">
        <f>AND(#REF!,"AAAAAGD3vb4=")</f>
        <v>#REF!</v>
      </c>
      <c r="GJ289" t="e">
        <f>AND(#REF!,"AAAAAGD3vb8=")</f>
        <v>#REF!</v>
      </c>
      <c r="GK289" t="e">
        <f>AND(#REF!,"AAAAAGD3vcA=")</f>
        <v>#REF!</v>
      </c>
      <c r="GL289" t="e">
        <f>AND(#REF!,"AAAAAGD3vcE=")</f>
        <v>#REF!</v>
      </c>
      <c r="GM289" t="e">
        <f>AND(#REF!,"AAAAAGD3vcI=")</f>
        <v>#REF!</v>
      </c>
      <c r="GN289" t="e">
        <f>AND(#REF!,"AAAAAGD3vcM=")</f>
        <v>#REF!</v>
      </c>
      <c r="GO289" t="e">
        <f>AND(#REF!,"AAAAAGD3vcQ=")</f>
        <v>#REF!</v>
      </c>
      <c r="GP289" t="e">
        <f>AND(#REF!,"AAAAAGD3vcU=")</f>
        <v>#REF!</v>
      </c>
      <c r="GQ289" t="e">
        <f>AND(#REF!,"AAAAAGD3vcY=")</f>
        <v>#REF!</v>
      </c>
      <c r="GR289" t="e">
        <f>IF(#REF!,"AAAAAGD3vcc=",0)</f>
        <v>#REF!</v>
      </c>
      <c r="GS289" t="e">
        <f>AND(#REF!,"AAAAAGD3vcg=")</f>
        <v>#REF!</v>
      </c>
      <c r="GT289" t="e">
        <f>AND(#REF!,"AAAAAGD3vck=")</f>
        <v>#REF!</v>
      </c>
      <c r="GU289" t="e">
        <f>AND(#REF!,"AAAAAGD3vco=")</f>
        <v>#REF!</v>
      </c>
      <c r="GV289" t="e">
        <f>AND(#REF!,"AAAAAGD3vcs=")</f>
        <v>#REF!</v>
      </c>
      <c r="GW289" t="e">
        <f>AND(#REF!,"AAAAAGD3vcw=")</f>
        <v>#REF!</v>
      </c>
      <c r="GX289" t="e">
        <f>AND(#REF!,"AAAAAGD3vc0=")</f>
        <v>#REF!</v>
      </c>
      <c r="GY289" t="e">
        <f>AND(#REF!,"AAAAAGD3vc4=")</f>
        <v>#REF!</v>
      </c>
      <c r="GZ289" t="e">
        <f>AND(#REF!,"AAAAAGD3vc8=")</f>
        <v>#REF!</v>
      </c>
      <c r="HA289" t="e">
        <f>AND(#REF!,"AAAAAGD3vdA=")</f>
        <v>#REF!</v>
      </c>
      <c r="HB289" t="e">
        <f>AND(#REF!,"AAAAAGD3vdE=")</f>
        <v>#REF!</v>
      </c>
      <c r="HC289" t="e">
        <f>IF(#REF!,"AAAAAGD3vdI=",0)</f>
        <v>#REF!</v>
      </c>
      <c r="HD289" t="e">
        <f>AND(#REF!,"AAAAAGD3vdM=")</f>
        <v>#REF!</v>
      </c>
      <c r="HE289" t="e">
        <f>AND(#REF!,"AAAAAGD3vdQ=")</f>
        <v>#REF!</v>
      </c>
      <c r="HF289" t="e">
        <f>AND(#REF!,"AAAAAGD3vdU=")</f>
        <v>#REF!</v>
      </c>
      <c r="HG289" t="e">
        <f>AND(#REF!,"AAAAAGD3vdY=")</f>
        <v>#REF!</v>
      </c>
      <c r="HH289" t="e">
        <f>AND(#REF!,"AAAAAGD3vdc=")</f>
        <v>#REF!</v>
      </c>
      <c r="HI289" t="e">
        <f>AND(#REF!,"AAAAAGD3vdg=")</f>
        <v>#REF!</v>
      </c>
      <c r="HJ289" t="e">
        <f>AND(#REF!,"AAAAAGD3vdk=")</f>
        <v>#REF!</v>
      </c>
      <c r="HK289" t="e">
        <f>AND(#REF!,"AAAAAGD3vdo=")</f>
        <v>#REF!</v>
      </c>
      <c r="HL289" t="e">
        <f>AND(#REF!,"AAAAAGD3vds=")</f>
        <v>#REF!</v>
      </c>
      <c r="HM289" t="e">
        <f>AND(#REF!,"AAAAAGD3vdw=")</f>
        <v>#REF!</v>
      </c>
      <c r="HN289" t="e">
        <f>IF(#REF!,"AAAAAGD3vd0=",0)</f>
        <v>#REF!</v>
      </c>
      <c r="HO289" t="e">
        <f>AND(#REF!,"AAAAAGD3vd4=")</f>
        <v>#REF!</v>
      </c>
      <c r="HP289" t="e">
        <f>AND(#REF!,"AAAAAGD3vd8=")</f>
        <v>#REF!</v>
      </c>
      <c r="HQ289" t="e">
        <f>AND(#REF!,"AAAAAGD3veA=")</f>
        <v>#REF!</v>
      </c>
      <c r="HR289" t="e">
        <f>AND(#REF!,"AAAAAGD3veE=")</f>
        <v>#REF!</v>
      </c>
      <c r="HS289" t="e">
        <f>AND(#REF!,"AAAAAGD3veI=")</f>
        <v>#REF!</v>
      </c>
      <c r="HT289" t="e">
        <f>AND(#REF!,"AAAAAGD3veM=")</f>
        <v>#REF!</v>
      </c>
      <c r="HU289" t="e">
        <f>AND(#REF!,"AAAAAGD3veQ=")</f>
        <v>#REF!</v>
      </c>
      <c r="HV289" t="e">
        <f>AND(#REF!,"AAAAAGD3veU=")</f>
        <v>#REF!</v>
      </c>
      <c r="HW289" t="e">
        <f>AND(#REF!,"AAAAAGD3veY=")</f>
        <v>#REF!</v>
      </c>
      <c r="HX289" t="e">
        <f>AND(#REF!,"AAAAAGD3vec=")</f>
        <v>#REF!</v>
      </c>
      <c r="HY289" t="e">
        <f>IF(#REF!,"AAAAAGD3veg=",0)</f>
        <v>#REF!</v>
      </c>
      <c r="HZ289" t="e">
        <f>AND(#REF!,"AAAAAGD3vek=")</f>
        <v>#REF!</v>
      </c>
      <c r="IA289" t="e">
        <f>AND(#REF!,"AAAAAGD3veo=")</f>
        <v>#REF!</v>
      </c>
      <c r="IB289" t="e">
        <f>AND(#REF!,"AAAAAGD3ves=")</f>
        <v>#REF!</v>
      </c>
      <c r="IC289" t="e">
        <f>AND(#REF!,"AAAAAGD3vew=")</f>
        <v>#REF!</v>
      </c>
      <c r="ID289" t="e">
        <f>AND(#REF!,"AAAAAGD3ve0=")</f>
        <v>#REF!</v>
      </c>
      <c r="IE289" t="e">
        <f>AND(#REF!,"AAAAAGD3ve4=")</f>
        <v>#REF!</v>
      </c>
      <c r="IF289" t="e">
        <f>AND(#REF!,"AAAAAGD3ve8=")</f>
        <v>#REF!</v>
      </c>
      <c r="IG289" t="e">
        <f>AND(#REF!,"AAAAAGD3vfA=")</f>
        <v>#REF!</v>
      </c>
      <c r="IH289" t="e">
        <f>AND(#REF!,"AAAAAGD3vfE=")</f>
        <v>#REF!</v>
      </c>
      <c r="II289" t="e">
        <f>AND(#REF!,"AAAAAGD3vfI=")</f>
        <v>#REF!</v>
      </c>
      <c r="IJ289" t="e">
        <f>IF(#REF!,"AAAAAGD3vfM=",0)</f>
        <v>#REF!</v>
      </c>
      <c r="IK289" t="e">
        <f>AND(#REF!,"AAAAAGD3vfQ=")</f>
        <v>#REF!</v>
      </c>
      <c r="IL289" t="e">
        <f>AND(#REF!,"AAAAAGD3vfU=")</f>
        <v>#REF!</v>
      </c>
      <c r="IM289" t="e">
        <f>AND(#REF!,"AAAAAGD3vfY=")</f>
        <v>#REF!</v>
      </c>
      <c r="IN289" t="e">
        <f>AND(#REF!,"AAAAAGD3vfc=")</f>
        <v>#REF!</v>
      </c>
      <c r="IO289" t="e">
        <f>AND(#REF!,"AAAAAGD3vfg=")</f>
        <v>#REF!</v>
      </c>
      <c r="IP289" t="e">
        <f>AND(#REF!,"AAAAAGD3vfk=")</f>
        <v>#REF!</v>
      </c>
      <c r="IQ289" t="e">
        <f>AND(#REF!,"AAAAAGD3vfo=")</f>
        <v>#REF!</v>
      </c>
      <c r="IR289" t="e">
        <f>AND(#REF!,"AAAAAGD3vfs=")</f>
        <v>#REF!</v>
      </c>
      <c r="IS289" t="e">
        <f>AND(#REF!,"AAAAAGD3vfw=")</f>
        <v>#REF!</v>
      </c>
      <c r="IT289" t="e">
        <f>AND(#REF!,"AAAAAGD3vf0=")</f>
        <v>#REF!</v>
      </c>
      <c r="IU289" t="e">
        <f>IF(#REF!,"AAAAAGD3vf4=",0)</f>
        <v>#REF!</v>
      </c>
      <c r="IV289" t="e">
        <f>AND(#REF!,"AAAAAGD3vf8=")</f>
        <v>#REF!</v>
      </c>
    </row>
    <row r="290" spans="1:256" x14ac:dyDescent="0.25">
      <c r="A290" t="e">
        <f>AND(#REF!,"AAAAADfK7QA=")</f>
        <v>#REF!</v>
      </c>
      <c r="B290" t="e">
        <f>AND(#REF!,"AAAAADfK7QE=")</f>
        <v>#REF!</v>
      </c>
      <c r="C290" t="e">
        <f>AND(#REF!,"AAAAADfK7QI=")</f>
        <v>#REF!</v>
      </c>
      <c r="D290" t="e">
        <f>AND(#REF!,"AAAAADfK7QM=")</f>
        <v>#REF!</v>
      </c>
      <c r="E290" t="e">
        <f>AND(#REF!,"AAAAADfK7QQ=")</f>
        <v>#REF!</v>
      </c>
      <c r="F290" t="e">
        <f>AND(#REF!,"AAAAADfK7QU=")</f>
        <v>#REF!</v>
      </c>
      <c r="G290" t="e">
        <f>AND(#REF!,"AAAAADfK7QY=")</f>
        <v>#REF!</v>
      </c>
      <c r="H290" t="e">
        <f>AND(#REF!,"AAAAADfK7Qc=")</f>
        <v>#REF!</v>
      </c>
      <c r="I290" t="e">
        <f>AND(#REF!,"AAAAADfK7Qg=")</f>
        <v>#REF!</v>
      </c>
      <c r="J290" t="e">
        <f>IF(#REF!,"AAAAADfK7Qk=",0)</f>
        <v>#REF!</v>
      </c>
      <c r="K290" t="e">
        <f>AND(#REF!,"AAAAADfK7Qo=")</f>
        <v>#REF!</v>
      </c>
      <c r="L290" t="e">
        <f>AND(#REF!,"AAAAADfK7Qs=")</f>
        <v>#REF!</v>
      </c>
      <c r="M290" t="e">
        <f>AND(#REF!,"AAAAADfK7Qw=")</f>
        <v>#REF!</v>
      </c>
      <c r="N290" t="e">
        <f>AND(#REF!,"AAAAADfK7Q0=")</f>
        <v>#REF!</v>
      </c>
      <c r="O290" t="e">
        <f>AND(#REF!,"AAAAADfK7Q4=")</f>
        <v>#REF!</v>
      </c>
      <c r="P290" t="e">
        <f>AND(#REF!,"AAAAADfK7Q8=")</f>
        <v>#REF!</v>
      </c>
      <c r="Q290" t="e">
        <f>AND(#REF!,"AAAAADfK7RA=")</f>
        <v>#REF!</v>
      </c>
      <c r="R290" t="e">
        <f>AND(#REF!,"AAAAADfK7RE=")</f>
        <v>#REF!</v>
      </c>
      <c r="S290" t="e">
        <f>AND(#REF!,"AAAAADfK7RI=")</f>
        <v>#REF!</v>
      </c>
      <c r="T290" t="e">
        <f>AND(#REF!,"AAAAADfK7RM=")</f>
        <v>#REF!</v>
      </c>
      <c r="U290" t="e">
        <f>IF(#REF!,"AAAAADfK7RQ=",0)</f>
        <v>#REF!</v>
      </c>
      <c r="V290" t="e">
        <f>AND(#REF!,"AAAAADfK7RU=")</f>
        <v>#REF!</v>
      </c>
      <c r="W290" t="e">
        <f>AND(#REF!,"AAAAADfK7RY=")</f>
        <v>#REF!</v>
      </c>
      <c r="X290" t="e">
        <f>AND(#REF!,"AAAAADfK7Rc=")</f>
        <v>#REF!</v>
      </c>
      <c r="Y290" t="e">
        <f>AND(#REF!,"AAAAADfK7Rg=")</f>
        <v>#REF!</v>
      </c>
      <c r="Z290" t="e">
        <f>AND(#REF!,"AAAAADfK7Rk=")</f>
        <v>#REF!</v>
      </c>
      <c r="AA290" t="e">
        <f>AND(#REF!,"AAAAADfK7Ro=")</f>
        <v>#REF!</v>
      </c>
      <c r="AB290" t="e">
        <f>AND(#REF!,"AAAAADfK7Rs=")</f>
        <v>#REF!</v>
      </c>
      <c r="AC290" t="e">
        <f>AND(#REF!,"AAAAADfK7Rw=")</f>
        <v>#REF!</v>
      </c>
      <c r="AD290" t="e">
        <f>AND(#REF!,"AAAAADfK7R0=")</f>
        <v>#REF!</v>
      </c>
      <c r="AE290" t="e">
        <f>AND(#REF!,"AAAAADfK7R4=")</f>
        <v>#REF!</v>
      </c>
      <c r="AF290" t="e">
        <f>IF(#REF!,"AAAAADfK7R8=",0)</f>
        <v>#REF!</v>
      </c>
      <c r="AG290" t="e">
        <f>AND(#REF!,"AAAAADfK7SA=")</f>
        <v>#REF!</v>
      </c>
      <c r="AH290" t="e">
        <f>AND(#REF!,"AAAAADfK7SE=")</f>
        <v>#REF!</v>
      </c>
      <c r="AI290" t="e">
        <f>AND(#REF!,"AAAAADfK7SI=")</f>
        <v>#REF!</v>
      </c>
      <c r="AJ290" t="e">
        <f>AND(#REF!,"AAAAADfK7SM=")</f>
        <v>#REF!</v>
      </c>
      <c r="AK290" t="e">
        <f>AND(#REF!,"AAAAADfK7SQ=")</f>
        <v>#REF!</v>
      </c>
      <c r="AL290" t="e">
        <f>AND(#REF!,"AAAAADfK7SU=")</f>
        <v>#REF!</v>
      </c>
      <c r="AM290" t="e">
        <f>AND(#REF!,"AAAAADfK7SY=")</f>
        <v>#REF!</v>
      </c>
      <c r="AN290" t="e">
        <f>AND(#REF!,"AAAAADfK7Sc=")</f>
        <v>#REF!</v>
      </c>
      <c r="AO290" t="e">
        <f>AND(#REF!,"AAAAADfK7Sg=")</f>
        <v>#REF!</v>
      </c>
      <c r="AP290" t="e">
        <f>AND(#REF!,"AAAAADfK7Sk=")</f>
        <v>#REF!</v>
      </c>
      <c r="AQ290" t="e">
        <f>IF(#REF!,"AAAAADfK7So=",0)</f>
        <v>#REF!</v>
      </c>
      <c r="AR290" t="e">
        <f>AND(#REF!,"AAAAADfK7Ss=")</f>
        <v>#REF!</v>
      </c>
      <c r="AS290" t="e">
        <f>AND(#REF!,"AAAAADfK7Sw=")</f>
        <v>#REF!</v>
      </c>
      <c r="AT290" t="e">
        <f>AND(#REF!,"AAAAADfK7S0=")</f>
        <v>#REF!</v>
      </c>
      <c r="AU290" t="e">
        <f>AND(#REF!,"AAAAADfK7S4=")</f>
        <v>#REF!</v>
      </c>
      <c r="AV290" t="e">
        <f>AND(#REF!,"AAAAADfK7S8=")</f>
        <v>#REF!</v>
      </c>
      <c r="AW290" t="e">
        <f>AND(#REF!,"AAAAADfK7TA=")</f>
        <v>#REF!</v>
      </c>
      <c r="AX290" t="e">
        <f>AND(#REF!,"AAAAADfK7TE=")</f>
        <v>#REF!</v>
      </c>
      <c r="AY290" t="e">
        <f>AND(#REF!,"AAAAADfK7TI=")</f>
        <v>#REF!</v>
      </c>
      <c r="AZ290" t="e">
        <f>AND(#REF!,"AAAAADfK7TM=")</f>
        <v>#REF!</v>
      </c>
      <c r="BA290" t="e">
        <f>AND(#REF!,"AAAAADfK7TQ=")</f>
        <v>#REF!</v>
      </c>
      <c r="BB290" t="e">
        <f>IF(#REF!,"AAAAADfK7TU=",0)</f>
        <v>#REF!</v>
      </c>
      <c r="BC290" t="e">
        <f>AND(#REF!,"AAAAADfK7TY=")</f>
        <v>#REF!</v>
      </c>
      <c r="BD290" t="e">
        <f>AND(#REF!,"AAAAADfK7Tc=")</f>
        <v>#REF!</v>
      </c>
      <c r="BE290" t="e">
        <f>AND(#REF!,"AAAAADfK7Tg=")</f>
        <v>#REF!</v>
      </c>
      <c r="BF290" t="e">
        <f>AND(#REF!,"AAAAADfK7Tk=")</f>
        <v>#REF!</v>
      </c>
      <c r="BG290" t="e">
        <f>AND(#REF!,"AAAAADfK7To=")</f>
        <v>#REF!</v>
      </c>
      <c r="BH290" t="e">
        <f>AND(#REF!,"AAAAADfK7Ts=")</f>
        <v>#REF!</v>
      </c>
      <c r="BI290" t="e">
        <f>AND(#REF!,"AAAAADfK7Tw=")</f>
        <v>#REF!</v>
      </c>
      <c r="BJ290" t="e">
        <f>AND(#REF!,"AAAAADfK7T0=")</f>
        <v>#REF!</v>
      </c>
      <c r="BK290" t="e">
        <f>AND(#REF!,"AAAAADfK7T4=")</f>
        <v>#REF!</v>
      </c>
      <c r="BL290" t="e">
        <f>AND(#REF!,"AAAAADfK7T8=")</f>
        <v>#REF!</v>
      </c>
      <c r="BM290" t="e">
        <f>IF(#REF!,"AAAAADfK7UA=",0)</f>
        <v>#REF!</v>
      </c>
      <c r="BN290" t="e">
        <f>AND(#REF!,"AAAAADfK7UE=")</f>
        <v>#REF!</v>
      </c>
      <c r="BO290" t="e">
        <f>AND(#REF!,"AAAAADfK7UI=")</f>
        <v>#REF!</v>
      </c>
      <c r="BP290" t="e">
        <f>AND(#REF!,"AAAAADfK7UM=")</f>
        <v>#REF!</v>
      </c>
      <c r="BQ290" t="e">
        <f>AND(#REF!,"AAAAADfK7UQ=")</f>
        <v>#REF!</v>
      </c>
      <c r="BR290" t="e">
        <f>AND(#REF!,"AAAAADfK7UU=")</f>
        <v>#REF!</v>
      </c>
      <c r="BS290" t="e">
        <f>AND(#REF!,"AAAAADfK7UY=")</f>
        <v>#REF!</v>
      </c>
      <c r="BT290" t="e">
        <f>AND(#REF!,"AAAAADfK7Uc=")</f>
        <v>#REF!</v>
      </c>
      <c r="BU290" t="e">
        <f>AND(#REF!,"AAAAADfK7Ug=")</f>
        <v>#REF!</v>
      </c>
      <c r="BV290" t="e">
        <f>AND(#REF!,"AAAAADfK7Uk=")</f>
        <v>#REF!</v>
      </c>
      <c r="BW290" t="e">
        <f>AND(#REF!,"AAAAADfK7Uo=")</f>
        <v>#REF!</v>
      </c>
      <c r="BX290" t="e">
        <f>IF(#REF!,"AAAAADfK7Us=",0)</f>
        <v>#REF!</v>
      </c>
      <c r="BY290" t="e">
        <f>AND(#REF!,"AAAAADfK7Uw=")</f>
        <v>#REF!</v>
      </c>
      <c r="BZ290" t="e">
        <f>AND(#REF!,"AAAAADfK7U0=")</f>
        <v>#REF!</v>
      </c>
      <c r="CA290" t="e">
        <f>AND(#REF!,"AAAAADfK7U4=")</f>
        <v>#REF!</v>
      </c>
      <c r="CB290" t="e">
        <f>AND(#REF!,"AAAAADfK7U8=")</f>
        <v>#REF!</v>
      </c>
      <c r="CC290" t="e">
        <f>AND(#REF!,"AAAAADfK7VA=")</f>
        <v>#REF!</v>
      </c>
      <c r="CD290" t="e">
        <f>AND(#REF!,"AAAAADfK7VE=")</f>
        <v>#REF!</v>
      </c>
      <c r="CE290" t="e">
        <f>AND(#REF!,"AAAAADfK7VI=")</f>
        <v>#REF!</v>
      </c>
      <c r="CF290" t="e">
        <f>AND(#REF!,"AAAAADfK7VM=")</f>
        <v>#REF!</v>
      </c>
      <c r="CG290" t="e">
        <f>AND(#REF!,"AAAAADfK7VQ=")</f>
        <v>#REF!</v>
      </c>
      <c r="CH290" t="e">
        <f>AND(#REF!,"AAAAADfK7VU=")</f>
        <v>#REF!</v>
      </c>
      <c r="CI290" t="e">
        <f>IF(#REF!,"AAAAADfK7VY=",0)</f>
        <v>#REF!</v>
      </c>
      <c r="CJ290" t="e">
        <f>AND(#REF!,"AAAAADfK7Vc=")</f>
        <v>#REF!</v>
      </c>
      <c r="CK290" t="e">
        <f>AND(#REF!,"AAAAADfK7Vg=")</f>
        <v>#REF!</v>
      </c>
      <c r="CL290" t="e">
        <f>AND(#REF!,"AAAAADfK7Vk=")</f>
        <v>#REF!</v>
      </c>
      <c r="CM290" t="e">
        <f>AND(#REF!,"AAAAADfK7Vo=")</f>
        <v>#REF!</v>
      </c>
      <c r="CN290" t="e">
        <f>AND(#REF!,"AAAAADfK7Vs=")</f>
        <v>#REF!</v>
      </c>
      <c r="CO290" t="e">
        <f>AND(#REF!,"AAAAADfK7Vw=")</f>
        <v>#REF!</v>
      </c>
      <c r="CP290" t="e">
        <f>AND(#REF!,"AAAAADfK7V0=")</f>
        <v>#REF!</v>
      </c>
      <c r="CQ290" t="e">
        <f>AND(#REF!,"AAAAADfK7V4=")</f>
        <v>#REF!</v>
      </c>
      <c r="CR290" t="e">
        <f>AND(#REF!,"AAAAADfK7V8=")</f>
        <v>#REF!</v>
      </c>
      <c r="CS290" t="e">
        <f>AND(#REF!,"AAAAADfK7WA=")</f>
        <v>#REF!</v>
      </c>
      <c r="CT290" t="e">
        <f>IF(#REF!,"AAAAADfK7WE=",0)</f>
        <v>#REF!</v>
      </c>
      <c r="CU290" t="e">
        <f>AND(#REF!,"AAAAADfK7WI=")</f>
        <v>#REF!</v>
      </c>
      <c r="CV290" t="e">
        <f>AND(#REF!,"AAAAADfK7WM=")</f>
        <v>#REF!</v>
      </c>
      <c r="CW290" t="e">
        <f>AND(#REF!,"AAAAADfK7WQ=")</f>
        <v>#REF!</v>
      </c>
      <c r="CX290" t="e">
        <f>AND(#REF!,"AAAAADfK7WU=")</f>
        <v>#REF!</v>
      </c>
      <c r="CY290" t="e">
        <f>AND(#REF!,"AAAAADfK7WY=")</f>
        <v>#REF!</v>
      </c>
      <c r="CZ290" t="e">
        <f>AND(#REF!,"AAAAADfK7Wc=")</f>
        <v>#REF!</v>
      </c>
      <c r="DA290" t="e">
        <f>AND(#REF!,"AAAAADfK7Wg=")</f>
        <v>#REF!</v>
      </c>
      <c r="DB290" t="e">
        <f>AND(#REF!,"AAAAADfK7Wk=")</f>
        <v>#REF!</v>
      </c>
      <c r="DC290" t="e">
        <f>AND(#REF!,"AAAAADfK7Wo=")</f>
        <v>#REF!</v>
      </c>
      <c r="DD290" t="e">
        <f>AND(#REF!,"AAAAADfK7Ws=")</f>
        <v>#REF!</v>
      </c>
      <c r="DE290" t="e">
        <f>IF(#REF!,"AAAAADfK7Ww=",0)</f>
        <v>#REF!</v>
      </c>
      <c r="DF290" t="e">
        <f>AND(#REF!,"AAAAADfK7W0=")</f>
        <v>#REF!</v>
      </c>
      <c r="DG290" t="e">
        <f>AND(#REF!,"AAAAADfK7W4=")</f>
        <v>#REF!</v>
      </c>
      <c r="DH290" t="e">
        <f>AND(#REF!,"AAAAADfK7W8=")</f>
        <v>#REF!</v>
      </c>
      <c r="DI290" t="e">
        <f>AND(#REF!,"AAAAADfK7XA=")</f>
        <v>#REF!</v>
      </c>
      <c r="DJ290" t="e">
        <f>AND(#REF!,"AAAAADfK7XE=")</f>
        <v>#REF!</v>
      </c>
      <c r="DK290" t="e">
        <f>AND(#REF!,"AAAAADfK7XI=")</f>
        <v>#REF!</v>
      </c>
      <c r="DL290" t="e">
        <f>AND(#REF!,"AAAAADfK7XM=")</f>
        <v>#REF!</v>
      </c>
      <c r="DM290" t="e">
        <f>AND(#REF!,"AAAAADfK7XQ=")</f>
        <v>#REF!</v>
      </c>
      <c r="DN290" t="e">
        <f>AND(#REF!,"AAAAADfK7XU=")</f>
        <v>#REF!</v>
      </c>
      <c r="DO290" t="e">
        <f>AND(#REF!,"AAAAADfK7XY=")</f>
        <v>#REF!</v>
      </c>
      <c r="DP290" t="e">
        <f>IF(#REF!,"AAAAADfK7Xc=",0)</f>
        <v>#REF!</v>
      </c>
      <c r="DQ290" t="e">
        <f>AND(#REF!,"AAAAADfK7Xg=")</f>
        <v>#REF!</v>
      </c>
      <c r="DR290" t="e">
        <f>AND(#REF!,"AAAAADfK7Xk=")</f>
        <v>#REF!</v>
      </c>
      <c r="DS290" t="e">
        <f>AND(#REF!,"AAAAADfK7Xo=")</f>
        <v>#REF!</v>
      </c>
      <c r="DT290" t="e">
        <f>AND(#REF!,"AAAAADfK7Xs=")</f>
        <v>#REF!</v>
      </c>
      <c r="DU290" t="e">
        <f>AND(#REF!,"AAAAADfK7Xw=")</f>
        <v>#REF!</v>
      </c>
      <c r="DV290" t="e">
        <f>AND(#REF!,"AAAAADfK7X0=")</f>
        <v>#REF!</v>
      </c>
      <c r="DW290" t="e">
        <f>AND(#REF!,"AAAAADfK7X4=")</f>
        <v>#REF!</v>
      </c>
      <c r="DX290" t="e">
        <f>AND(#REF!,"AAAAADfK7X8=")</f>
        <v>#REF!</v>
      </c>
      <c r="DY290" t="e">
        <f>AND(#REF!,"AAAAADfK7YA=")</f>
        <v>#REF!</v>
      </c>
      <c r="DZ290" t="e">
        <f>AND(#REF!,"AAAAADfK7YE=")</f>
        <v>#REF!</v>
      </c>
      <c r="EA290" t="e">
        <f>IF(#REF!,"AAAAADfK7YI=",0)</f>
        <v>#REF!</v>
      </c>
      <c r="EB290" t="e">
        <f>AND(#REF!,"AAAAADfK7YM=")</f>
        <v>#REF!</v>
      </c>
      <c r="EC290" t="e">
        <f>AND(#REF!,"AAAAADfK7YQ=")</f>
        <v>#REF!</v>
      </c>
      <c r="ED290" t="e">
        <f>AND(#REF!,"AAAAADfK7YU=")</f>
        <v>#REF!</v>
      </c>
      <c r="EE290" t="e">
        <f>AND(#REF!,"AAAAADfK7YY=")</f>
        <v>#REF!</v>
      </c>
      <c r="EF290" t="e">
        <f>AND(#REF!,"AAAAADfK7Yc=")</f>
        <v>#REF!</v>
      </c>
      <c r="EG290" t="e">
        <f>AND(#REF!,"AAAAADfK7Yg=")</f>
        <v>#REF!</v>
      </c>
      <c r="EH290" t="e">
        <f>AND(#REF!,"AAAAADfK7Yk=")</f>
        <v>#REF!</v>
      </c>
      <c r="EI290" t="e">
        <f>AND(#REF!,"AAAAADfK7Yo=")</f>
        <v>#REF!</v>
      </c>
      <c r="EJ290" t="e">
        <f>AND(#REF!,"AAAAADfK7Ys=")</f>
        <v>#REF!</v>
      </c>
      <c r="EK290" t="e">
        <f>AND(#REF!,"AAAAADfK7Yw=")</f>
        <v>#REF!</v>
      </c>
      <c r="EL290" t="e">
        <f>IF(#REF!,"AAAAADfK7Y0=",0)</f>
        <v>#REF!</v>
      </c>
      <c r="EM290" t="e">
        <f>AND(#REF!,"AAAAADfK7Y4=")</f>
        <v>#REF!</v>
      </c>
      <c r="EN290" t="e">
        <f>AND(#REF!,"AAAAADfK7Y8=")</f>
        <v>#REF!</v>
      </c>
      <c r="EO290" t="e">
        <f>AND(#REF!,"AAAAADfK7ZA=")</f>
        <v>#REF!</v>
      </c>
      <c r="EP290" t="e">
        <f>AND(#REF!,"AAAAADfK7ZE=")</f>
        <v>#REF!</v>
      </c>
      <c r="EQ290" t="e">
        <f>AND(#REF!,"AAAAADfK7ZI=")</f>
        <v>#REF!</v>
      </c>
      <c r="ER290" t="e">
        <f>AND(#REF!,"AAAAADfK7ZM=")</f>
        <v>#REF!</v>
      </c>
      <c r="ES290" t="e">
        <f>AND(#REF!,"AAAAADfK7ZQ=")</f>
        <v>#REF!</v>
      </c>
      <c r="ET290" t="e">
        <f>AND(#REF!,"AAAAADfK7ZU=")</f>
        <v>#REF!</v>
      </c>
      <c r="EU290" t="e">
        <f>AND(#REF!,"AAAAADfK7ZY=")</f>
        <v>#REF!</v>
      </c>
      <c r="EV290" t="e">
        <f>AND(#REF!,"AAAAADfK7Zc=")</f>
        <v>#REF!</v>
      </c>
      <c r="EW290" t="e">
        <f>IF(#REF!,"AAAAADfK7Zg=",0)</f>
        <v>#REF!</v>
      </c>
      <c r="EX290" t="e">
        <f>AND(#REF!,"AAAAADfK7Zk=")</f>
        <v>#REF!</v>
      </c>
      <c r="EY290" t="e">
        <f>AND(#REF!,"AAAAADfK7Zo=")</f>
        <v>#REF!</v>
      </c>
      <c r="EZ290" t="e">
        <f>AND(#REF!,"AAAAADfK7Zs=")</f>
        <v>#REF!</v>
      </c>
      <c r="FA290" t="e">
        <f>AND(#REF!,"AAAAADfK7Zw=")</f>
        <v>#REF!</v>
      </c>
      <c r="FB290" t="e">
        <f>AND(#REF!,"AAAAADfK7Z0=")</f>
        <v>#REF!</v>
      </c>
      <c r="FC290" t="e">
        <f>AND(#REF!,"AAAAADfK7Z4=")</f>
        <v>#REF!</v>
      </c>
      <c r="FD290" t="e">
        <f>AND(#REF!,"AAAAADfK7Z8=")</f>
        <v>#REF!</v>
      </c>
      <c r="FE290" t="e">
        <f>AND(#REF!,"AAAAADfK7aA=")</f>
        <v>#REF!</v>
      </c>
      <c r="FF290" t="e">
        <f>AND(#REF!,"AAAAADfK7aE=")</f>
        <v>#REF!</v>
      </c>
      <c r="FG290" t="e">
        <f>AND(#REF!,"AAAAADfK7aI=")</f>
        <v>#REF!</v>
      </c>
      <c r="FH290" t="e">
        <f>IF(#REF!,"AAAAADfK7aM=",0)</f>
        <v>#REF!</v>
      </c>
      <c r="FI290" t="e">
        <f>AND(#REF!,"AAAAADfK7aQ=")</f>
        <v>#REF!</v>
      </c>
      <c r="FJ290" t="e">
        <f>AND(#REF!,"AAAAADfK7aU=")</f>
        <v>#REF!</v>
      </c>
      <c r="FK290" t="e">
        <f>AND(#REF!,"AAAAADfK7aY=")</f>
        <v>#REF!</v>
      </c>
      <c r="FL290" t="e">
        <f>AND(#REF!,"AAAAADfK7ac=")</f>
        <v>#REF!</v>
      </c>
      <c r="FM290" t="e">
        <f>AND(#REF!,"AAAAADfK7ag=")</f>
        <v>#REF!</v>
      </c>
      <c r="FN290" t="e">
        <f>AND(#REF!,"AAAAADfK7ak=")</f>
        <v>#REF!</v>
      </c>
      <c r="FO290" t="e">
        <f>AND(#REF!,"AAAAADfK7ao=")</f>
        <v>#REF!</v>
      </c>
      <c r="FP290" t="e">
        <f>AND(#REF!,"AAAAADfK7as=")</f>
        <v>#REF!</v>
      </c>
      <c r="FQ290" t="e">
        <f>AND(#REF!,"AAAAADfK7aw=")</f>
        <v>#REF!</v>
      </c>
      <c r="FR290" t="e">
        <f>AND(#REF!,"AAAAADfK7a0=")</f>
        <v>#REF!</v>
      </c>
      <c r="FS290" t="e">
        <f>IF(#REF!,"AAAAADfK7a4=",0)</f>
        <v>#REF!</v>
      </c>
      <c r="FT290" t="e">
        <f>AND(#REF!,"AAAAADfK7a8=")</f>
        <v>#REF!</v>
      </c>
      <c r="FU290" t="e">
        <f>AND(#REF!,"AAAAADfK7bA=")</f>
        <v>#REF!</v>
      </c>
      <c r="FV290" t="e">
        <f>AND(#REF!,"AAAAADfK7bE=")</f>
        <v>#REF!</v>
      </c>
      <c r="FW290" t="e">
        <f>AND(#REF!,"AAAAADfK7bI=")</f>
        <v>#REF!</v>
      </c>
      <c r="FX290" t="e">
        <f>AND(#REF!,"AAAAADfK7bM=")</f>
        <v>#REF!</v>
      </c>
      <c r="FY290" t="e">
        <f>AND(#REF!,"AAAAADfK7bQ=")</f>
        <v>#REF!</v>
      </c>
      <c r="FZ290" t="e">
        <f>AND(#REF!,"AAAAADfK7bU=")</f>
        <v>#REF!</v>
      </c>
      <c r="GA290" t="e">
        <f>AND(#REF!,"AAAAADfK7bY=")</f>
        <v>#REF!</v>
      </c>
      <c r="GB290" t="e">
        <f>AND(#REF!,"AAAAADfK7bc=")</f>
        <v>#REF!</v>
      </c>
      <c r="GC290" t="e">
        <f>AND(#REF!,"AAAAADfK7bg=")</f>
        <v>#REF!</v>
      </c>
      <c r="GD290" t="e">
        <f>IF(#REF!,"AAAAADfK7bk=",0)</f>
        <v>#REF!</v>
      </c>
      <c r="GE290" t="e">
        <f>AND(#REF!,"AAAAADfK7bo=")</f>
        <v>#REF!</v>
      </c>
      <c r="GF290" t="e">
        <f>AND(#REF!,"AAAAADfK7bs=")</f>
        <v>#REF!</v>
      </c>
      <c r="GG290" t="e">
        <f>AND(#REF!,"AAAAADfK7bw=")</f>
        <v>#REF!</v>
      </c>
      <c r="GH290" t="e">
        <f>AND(#REF!,"AAAAADfK7b0=")</f>
        <v>#REF!</v>
      </c>
      <c r="GI290" t="e">
        <f>AND(#REF!,"AAAAADfK7b4=")</f>
        <v>#REF!</v>
      </c>
      <c r="GJ290" t="e">
        <f>AND(#REF!,"AAAAADfK7b8=")</f>
        <v>#REF!</v>
      </c>
      <c r="GK290" t="e">
        <f>AND(#REF!,"AAAAADfK7cA=")</f>
        <v>#REF!</v>
      </c>
      <c r="GL290" t="e">
        <f>AND(#REF!,"AAAAADfK7cE=")</f>
        <v>#REF!</v>
      </c>
      <c r="GM290" t="e">
        <f>AND(#REF!,"AAAAADfK7cI=")</f>
        <v>#REF!</v>
      </c>
      <c r="GN290" t="e">
        <f>AND(#REF!,"AAAAADfK7cM=")</f>
        <v>#REF!</v>
      </c>
      <c r="GO290" t="e">
        <f>IF(#REF!,"AAAAADfK7cQ=",0)</f>
        <v>#REF!</v>
      </c>
      <c r="GP290" t="e">
        <f>AND(#REF!,"AAAAADfK7cU=")</f>
        <v>#REF!</v>
      </c>
      <c r="GQ290" t="e">
        <f>AND(#REF!,"AAAAADfK7cY=")</f>
        <v>#REF!</v>
      </c>
      <c r="GR290" t="e">
        <f>AND(#REF!,"AAAAADfK7cc=")</f>
        <v>#REF!</v>
      </c>
      <c r="GS290" t="e">
        <f>AND(#REF!,"AAAAADfK7cg=")</f>
        <v>#REF!</v>
      </c>
      <c r="GT290" t="e">
        <f>AND(#REF!,"AAAAADfK7ck=")</f>
        <v>#REF!</v>
      </c>
      <c r="GU290" t="e">
        <f>AND(#REF!,"AAAAADfK7co=")</f>
        <v>#REF!</v>
      </c>
      <c r="GV290" t="e">
        <f>AND(#REF!,"AAAAADfK7cs=")</f>
        <v>#REF!</v>
      </c>
      <c r="GW290" t="e">
        <f>AND(#REF!,"AAAAADfK7cw=")</f>
        <v>#REF!</v>
      </c>
      <c r="GX290" t="e">
        <f>AND(#REF!,"AAAAADfK7c0=")</f>
        <v>#REF!</v>
      </c>
      <c r="GY290" t="e">
        <f>AND(#REF!,"AAAAADfK7c4=")</f>
        <v>#REF!</v>
      </c>
      <c r="GZ290" t="e">
        <f>IF(#REF!,"AAAAADfK7c8=",0)</f>
        <v>#REF!</v>
      </c>
      <c r="HA290" t="e">
        <f>AND(#REF!,"AAAAADfK7dA=")</f>
        <v>#REF!</v>
      </c>
      <c r="HB290" t="e">
        <f>AND(#REF!,"AAAAADfK7dE=")</f>
        <v>#REF!</v>
      </c>
      <c r="HC290" t="e">
        <f>AND(#REF!,"AAAAADfK7dI=")</f>
        <v>#REF!</v>
      </c>
      <c r="HD290" t="e">
        <f>AND(#REF!,"AAAAADfK7dM=")</f>
        <v>#REF!</v>
      </c>
      <c r="HE290" t="e">
        <f>AND(#REF!,"AAAAADfK7dQ=")</f>
        <v>#REF!</v>
      </c>
      <c r="HF290" t="e">
        <f>AND(#REF!,"AAAAADfK7dU=")</f>
        <v>#REF!</v>
      </c>
      <c r="HG290" t="e">
        <f>AND(#REF!,"AAAAADfK7dY=")</f>
        <v>#REF!</v>
      </c>
      <c r="HH290" t="e">
        <f>AND(#REF!,"AAAAADfK7dc=")</f>
        <v>#REF!</v>
      </c>
      <c r="HI290" t="e">
        <f>AND(#REF!,"AAAAADfK7dg=")</f>
        <v>#REF!</v>
      </c>
      <c r="HJ290" t="e">
        <f>AND(#REF!,"AAAAADfK7dk=")</f>
        <v>#REF!</v>
      </c>
      <c r="HK290" t="e">
        <f>IF(#REF!,"AAAAADfK7do=",0)</f>
        <v>#REF!</v>
      </c>
      <c r="HL290" t="e">
        <f>AND(#REF!,"AAAAADfK7ds=")</f>
        <v>#REF!</v>
      </c>
      <c r="HM290" t="e">
        <f>AND(#REF!,"AAAAADfK7dw=")</f>
        <v>#REF!</v>
      </c>
      <c r="HN290" t="e">
        <f>AND(#REF!,"AAAAADfK7d0=")</f>
        <v>#REF!</v>
      </c>
      <c r="HO290" t="e">
        <f>AND(#REF!,"AAAAADfK7d4=")</f>
        <v>#REF!</v>
      </c>
      <c r="HP290" t="e">
        <f>AND(#REF!,"AAAAADfK7d8=")</f>
        <v>#REF!</v>
      </c>
      <c r="HQ290" t="e">
        <f>AND(#REF!,"AAAAADfK7eA=")</f>
        <v>#REF!</v>
      </c>
      <c r="HR290" t="e">
        <f>AND(#REF!,"AAAAADfK7eE=")</f>
        <v>#REF!</v>
      </c>
      <c r="HS290" t="e">
        <f>AND(#REF!,"AAAAADfK7eI=")</f>
        <v>#REF!</v>
      </c>
      <c r="HT290" t="e">
        <f>AND(#REF!,"AAAAADfK7eM=")</f>
        <v>#REF!</v>
      </c>
      <c r="HU290" t="e">
        <f>AND(#REF!,"AAAAADfK7eQ=")</f>
        <v>#REF!</v>
      </c>
      <c r="HV290" t="e">
        <f>IF(#REF!,"AAAAADfK7eU=",0)</f>
        <v>#REF!</v>
      </c>
      <c r="HW290" t="e">
        <f>AND(#REF!,"AAAAADfK7eY=")</f>
        <v>#REF!</v>
      </c>
      <c r="HX290" t="e">
        <f>AND(#REF!,"AAAAADfK7ec=")</f>
        <v>#REF!</v>
      </c>
      <c r="HY290" t="e">
        <f>AND(#REF!,"AAAAADfK7eg=")</f>
        <v>#REF!</v>
      </c>
      <c r="HZ290" t="e">
        <f>AND(#REF!,"AAAAADfK7ek=")</f>
        <v>#REF!</v>
      </c>
      <c r="IA290" t="e">
        <f>AND(#REF!,"AAAAADfK7eo=")</f>
        <v>#REF!</v>
      </c>
      <c r="IB290" t="e">
        <f>AND(#REF!,"AAAAADfK7es=")</f>
        <v>#REF!</v>
      </c>
      <c r="IC290" t="e">
        <f>AND(#REF!,"AAAAADfK7ew=")</f>
        <v>#REF!</v>
      </c>
      <c r="ID290" t="e">
        <f>AND(#REF!,"AAAAADfK7e0=")</f>
        <v>#REF!</v>
      </c>
      <c r="IE290" t="e">
        <f>AND(#REF!,"AAAAADfK7e4=")</f>
        <v>#REF!</v>
      </c>
      <c r="IF290" t="e">
        <f>AND(#REF!,"AAAAADfK7e8=")</f>
        <v>#REF!</v>
      </c>
      <c r="IG290" t="e">
        <f>IF(#REF!,"AAAAADfK7fA=",0)</f>
        <v>#REF!</v>
      </c>
      <c r="IH290" t="e">
        <f>AND(#REF!,"AAAAADfK7fE=")</f>
        <v>#REF!</v>
      </c>
      <c r="II290" t="e">
        <f>AND(#REF!,"AAAAADfK7fI=")</f>
        <v>#REF!</v>
      </c>
      <c r="IJ290" t="e">
        <f>AND(#REF!,"AAAAADfK7fM=")</f>
        <v>#REF!</v>
      </c>
      <c r="IK290" t="e">
        <f>AND(#REF!,"AAAAADfK7fQ=")</f>
        <v>#REF!</v>
      </c>
      <c r="IL290" t="e">
        <f>AND(#REF!,"AAAAADfK7fU=")</f>
        <v>#REF!</v>
      </c>
      <c r="IM290" t="e">
        <f>AND(#REF!,"AAAAADfK7fY=")</f>
        <v>#REF!</v>
      </c>
      <c r="IN290" t="e">
        <f>AND(#REF!,"AAAAADfK7fc=")</f>
        <v>#REF!</v>
      </c>
      <c r="IO290" t="e">
        <f>AND(#REF!,"AAAAADfK7fg=")</f>
        <v>#REF!</v>
      </c>
      <c r="IP290" t="e">
        <f>AND(#REF!,"AAAAADfK7fk=")</f>
        <v>#REF!</v>
      </c>
      <c r="IQ290" t="e">
        <f>AND(#REF!,"AAAAADfK7fo=")</f>
        <v>#REF!</v>
      </c>
      <c r="IR290" t="e">
        <f>IF(#REF!,"AAAAADfK7fs=",0)</f>
        <v>#REF!</v>
      </c>
      <c r="IS290" t="e">
        <f>AND(#REF!,"AAAAADfK7fw=")</f>
        <v>#REF!</v>
      </c>
      <c r="IT290" t="e">
        <f>AND(#REF!,"AAAAADfK7f0=")</f>
        <v>#REF!</v>
      </c>
      <c r="IU290" t="e">
        <f>AND(#REF!,"AAAAADfK7f4=")</f>
        <v>#REF!</v>
      </c>
      <c r="IV290" t="e">
        <f>AND(#REF!,"AAAAADfK7f8=")</f>
        <v>#REF!</v>
      </c>
    </row>
    <row r="291" spans="1:256" x14ac:dyDescent="0.25">
      <c r="A291" t="e">
        <f>AND(#REF!,"AAAAAFp66QA=")</f>
        <v>#REF!</v>
      </c>
      <c r="B291" t="e">
        <f>AND(#REF!,"AAAAAFp66QE=")</f>
        <v>#REF!</v>
      </c>
      <c r="C291" t="e">
        <f>AND(#REF!,"AAAAAFp66QI=")</f>
        <v>#REF!</v>
      </c>
      <c r="D291" t="e">
        <f>AND(#REF!,"AAAAAFp66QM=")</f>
        <v>#REF!</v>
      </c>
      <c r="E291" t="e">
        <f>AND(#REF!,"AAAAAFp66QQ=")</f>
        <v>#REF!</v>
      </c>
      <c r="F291" t="e">
        <f>AND(#REF!,"AAAAAFp66QU=")</f>
        <v>#REF!</v>
      </c>
      <c r="G291" t="e">
        <f>IF(#REF!,"AAAAAFp66QY=",0)</f>
        <v>#REF!</v>
      </c>
      <c r="H291" t="e">
        <f>AND(#REF!,"AAAAAFp66Qc=")</f>
        <v>#REF!</v>
      </c>
      <c r="I291" t="e">
        <f>AND(#REF!,"AAAAAFp66Qg=")</f>
        <v>#REF!</v>
      </c>
      <c r="J291" t="e">
        <f>AND(#REF!,"AAAAAFp66Qk=")</f>
        <v>#REF!</v>
      </c>
      <c r="K291" t="e">
        <f>AND(#REF!,"AAAAAFp66Qo=")</f>
        <v>#REF!</v>
      </c>
      <c r="L291" t="e">
        <f>AND(#REF!,"AAAAAFp66Qs=")</f>
        <v>#REF!</v>
      </c>
      <c r="M291" t="e">
        <f>AND(#REF!,"AAAAAFp66Qw=")</f>
        <v>#REF!</v>
      </c>
      <c r="N291" t="e">
        <f>AND(#REF!,"AAAAAFp66Q0=")</f>
        <v>#REF!</v>
      </c>
      <c r="O291" t="e">
        <f>AND(#REF!,"AAAAAFp66Q4=")</f>
        <v>#REF!</v>
      </c>
      <c r="P291" t="e">
        <f>AND(#REF!,"AAAAAFp66Q8=")</f>
        <v>#REF!</v>
      </c>
      <c r="Q291" t="e">
        <f>AND(#REF!,"AAAAAFp66RA=")</f>
        <v>#REF!</v>
      </c>
      <c r="R291" t="e">
        <f>IF(#REF!,"AAAAAFp66RE=",0)</f>
        <v>#REF!</v>
      </c>
      <c r="S291" t="e">
        <f>AND(#REF!,"AAAAAFp66RI=")</f>
        <v>#REF!</v>
      </c>
      <c r="T291" t="e">
        <f>AND(#REF!,"AAAAAFp66RM=")</f>
        <v>#REF!</v>
      </c>
      <c r="U291" t="e">
        <f>AND(#REF!,"AAAAAFp66RQ=")</f>
        <v>#REF!</v>
      </c>
      <c r="V291" t="e">
        <f>AND(#REF!,"AAAAAFp66RU=")</f>
        <v>#REF!</v>
      </c>
      <c r="W291" t="e">
        <f>AND(#REF!,"AAAAAFp66RY=")</f>
        <v>#REF!</v>
      </c>
      <c r="X291" t="e">
        <f>AND(#REF!,"AAAAAFp66Rc=")</f>
        <v>#REF!</v>
      </c>
      <c r="Y291" t="e">
        <f>AND(#REF!,"AAAAAFp66Rg=")</f>
        <v>#REF!</v>
      </c>
      <c r="Z291" t="e">
        <f>AND(#REF!,"AAAAAFp66Rk=")</f>
        <v>#REF!</v>
      </c>
      <c r="AA291" t="e">
        <f>AND(#REF!,"AAAAAFp66Ro=")</f>
        <v>#REF!</v>
      </c>
      <c r="AB291" t="e">
        <f>AND(#REF!,"AAAAAFp66Rs=")</f>
        <v>#REF!</v>
      </c>
      <c r="AC291" t="e">
        <f>IF(#REF!,"AAAAAFp66Rw=",0)</f>
        <v>#REF!</v>
      </c>
      <c r="AD291" t="e">
        <f>AND(#REF!,"AAAAAFp66R0=")</f>
        <v>#REF!</v>
      </c>
      <c r="AE291" t="e">
        <f>AND(#REF!,"AAAAAFp66R4=")</f>
        <v>#REF!</v>
      </c>
      <c r="AF291" t="e">
        <f>AND(#REF!,"AAAAAFp66R8=")</f>
        <v>#REF!</v>
      </c>
      <c r="AG291" t="e">
        <f>AND(#REF!,"AAAAAFp66SA=")</f>
        <v>#REF!</v>
      </c>
      <c r="AH291" t="e">
        <f>AND(#REF!,"AAAAAFp66SE=")</f>
        <v>#REF!</v>
      </c>
      <c r="AI291" t="e">
        <f>AND(#REF!,"AAAAAFp66SI=")</f>
        <v>#REF!</v>
      </c>
      <c r="AJ291" t="e">
        <f>AND(#REF!,"AAAAAFp66SM=")</f>
        <v>#REF!</v>
      </c>
      <c r="AK291" t="e">
        <f>AND(#REF!,"AAAAAFp66SQ=")</f>
        <v>#REF!</v>
      </c>
      <c r="AL291" t="e">
        <f>AND(#REF!,"AAAAAFp66SU=")</f>
        <v>#REF!</v>
      </c>
      <c r="AM291" t="e">
        <f>AND(#REF!,"AAAAAFp66SY=")</f>
        <v>#REF!</v>
      </c>
      <c r="AN291" t="e">
        <f>IF(#REF!,"AAAAAFp66Sc=",0)</f>
        <v>#REF!</v>
      </c>
      <c r="AO291" t="e">
        <f>AND(#REF!,"AAAAAFp66Sg=")</f>
        <v>#REF!</v>
      </c>
      <c r="AP291" t="e">
        <f>AND(#REF!,"AAAAAFp66Sk=")</f>
        <v>#REF!</v>
      </c>
      <c r="AQ291" t="e">
        <f>AND(#REF!,"AAAAAFp66So=")</f>
        <v>#REF!</v>
      </c>
      <c r="AR291" t="e">
        <f>AND(#REF!,"AAAAAFp66Ss=")</f>
        <v>#REF!</v>
      </c>
      <c r="AS291" t="e">
        <f>AND(#REF!,"AAAAAFp66Sw=")</f>
        <v>#REF!</v>
      </c>
      <c r="AT291" t="e">
        <f>AND(#REF!,"AAAAAFp66S0=")</f>
        <v>#REF!</v>
      </c>
      <c r="AU291" t="e">
        <f>AND(#REF!,"AAAAAFp66S4=")</f>
        <v>#REF!</v>
      </c>
      <c r="AV291" t="e">
        <f>AND(#REF!,"AAAAAFp66S8=")</f>
        <v>#REF!</v>
      </c>
      <c r="AW291" t="e">
        <f>AND(#REF!,"AAAAAFp66TA=")</f>
        <v>#REF!</v>
      </c>
      <c r="AX291" t="e">
        <f>AND(#REF!,"AAAAAFp66TE=")</f>
        <v>#REF!</v>
      </c>
      <c r="AY291" t="e">
        <f>IF(#REF!,"AAAAAFp66TI=",0)</f>
        <v>#REF!</v>
      </c>
      <c r="AZ291" t="e">
        <f>AND(#REF!,"AAAAAFp66TM=")</f>
        <v>#REF!</v>
      </c>
      <c r="BA291" t="e">
        <f>AND(#REF!,"AAAAAFp66TQ=")</f>
        <v>#REF!</v>
      </c>
      <c r="BB291" t="e">
        <f>AND(#REF!,"AAAAAFp66TU=")</f>
        <v>#REF!</v>
      </c>
      <c r="BC291" t="e">
        <f>AND(#REF!,"AAAAAFp66TY=")</f>
        <v>#REF!</v>
      </c>
      <c r="BD291" t="e">
        <f>AND(#REF!,"AAAAAFp66Tc=")</f>
        <v>#REF!</v>
      </c>
      <c r="BE291" t="e">
        <f>AND(#REF!,"AAAAAFp66Tg=")</f>
        <v>#REF!</v>
      </c>
      <c r="BF291" t="e">
        <f>AND(#REF!,"AAAAAFp66Tk=")</f>
        <v>#REF!</v>
      </c>
      <c r="BG291" t="e">
        <f>AND(#REF!,"AAAAAFp66To=")</f>
        <v>#REF!</v>
      </c>
      <c r="BH291" t="e">
        <f>AND(#REF!,"AAAAAFp66Ts=")</f>
        <v>#REF!</v>
      </c>
      <c r="BI291" t="e">
        <f>AND(#REF!,"AAAAAFp66Tw=")</f>
        <v>#REF!</v>
      </c>
      <c r="BJ291" t="e">
        <f>IF(#REF!,"AAAAAFp66T0=",0)</f>
        <v>#REF!</v>
      </c>
      <c r="BK291" t="e">
        <f>AND(#REF!,"AAAAAFp66T4=")</f>
        <v>#REF!</v>
      </c>
      <c r="BL291" t="e">
        <f>AND(#REF!,"AAAAAFp66T8=")</f>
        <v>#REF!</v>
      </c>
      <c r="BM291" t="e">
        <f>AND(#REF!,"AAAAAFp66UA=")</f>
        <v>#REF!</v>
      </c>
      <c r="BN291" t="e">
        <f>AND(#REF!,"AAAAAFp66UE=")</f>
        <v>#REF!</v>
      </c>
      <c r="BO291" t="e">
        <f>AND(#REF!,"AAAAAFp66UI=")</f>
        <v>#REF!</v>
      </c>
      <c r="BP291" t="e">
        <f>AND(#REF!,"AAAAAFp66UM=")</f>
        <v>#REF!</v>
      </c>
      <c r="BQ291" t="e">
        <f>AND(#REF!,"AAAAAFp66UQ=")</f>
        <v>#REF!</v>
      </c>
      <c r="BR291" t="e">
        <f>AND(#REF!,"AAAAAFp66UU=")</f>
        <v>#REF!</v>
      </c>
      <c r="BS291" t="e">
        <f>AND(#REF!,"AAAAAFp66UY=")</f>
        <v>#REF!</v>
      </c>
      <c r="BT291" t="e">
        <f>AND(#REF!,"AAAAAFp66Uc=")</f>
        <v>#REF!</v>
      </c>
      <c r="BU291" t="e">
        <f>IF(#REF!,"AAAAAFp66Ug=",0)</f>
        <v>#REF!</v>
      </c>
      <c r="BV291" t="e">
        <f>AND(#REF!,"AAAAAFp66Uk=")</f>
        <v>#REF!</v>
      </c>
      <c r="BW291" t="e">
        <f>AND(#REF!,"AAAAAFp66Uo=")</f>
        <v>#REF!</v>
      </c>
      <c r="BX291" t="e">
        <f>AND(#REF!,"AAAAAFp66Us=")</f>
        <v>#REF!</v>
      </c>
      <c r="BY291" t="e">
        <f>AND(#REF!,"AAAAAFp66Uw=")</f>
        <v>#REF!</v>
      </c>
      <c r="BZ291" t="e">
        <f>AND(#REF!,"AAAAAFp66U0=")</f>
        <v>#REF!</v>
      </c>
      <c r="CA291" t="e">
        <f>AND(#REF!,"AAAAAFp66U4=")</f>
        <v>#REF!</v>
      </c>
      <c r="CB291" t="e">
        <f>AND(#REF!,"AAAAAFp66U8=")</f>
        <v>#REF!</v>
      </c>
      <c r="CC291" t="e">
        <f>AND(#REF!,"AAAAAFp66VA=")</f>
        <v>#REF!</v>
      </c>
      <c r="CD291" t="e">
        <f>AND(#REF!,"AAAAAFp66VE=")</f>
        <v>#REF!</v>
      </c>
      <c r="CE291" t="e">
        <f>AND(#REF!,"AAAAAFp66VI=")</f>
        <v>#REF!</v>
      </c>
      <c r="CF291" t="e">
        <f>IF(#REF!,"AAAAAFp66VM=",0)</f>
        <v>#REF!</v>
      </c>
      <c r="CG291" t="e">
        <f>AND(#REF!,"AAAAAFp66VQ=")</f>
        <v>#REF!</v>
      </c>
      <c r="CH291" t="e">
        <f>AND(#REF!,"AAAAAFp66VU=")</f>
        <v>#REF!</v>
      </c>
      <c r="CI291" t="e">
        <f>AND(#REF!,"AAAAAFp66VY=")</f>
        <v>#REF!</v>
      </c>
      <c r="CJ291" t="e">
        <f>AND(#REF!,"AAAAAFp66Vc=")</f>
        <v>#REF!</v>
      </c>
      <c r="CK291" t="e">
        <f>AND(#REF!,"AAAAAFp66Vg=")</f>
        <v>#REF!</v>
      </c>
      <c r="CL291" t="e">
        <f>AND(#REF!,"AAAAAFp66Vk=")</f>
        <v>#REF!</v>
      </c>
      <c r="CM291" t="e">
        <f>AND(#REF!,"AAAAAFp66Vo=")</f>
        <v>#REF!</v>
      </c>
      <c r="CN291" t="e">
        <f>AND(#REF!,"AAAAAFp66Vs=")</f>
        <v>#REF!</v>
      </c>
      <c r="CO291" t="e">
        <f>AND(#REF!,"AAAAAFp66Vw=")</f>
        <v>#REF!</v>
      </c>
      <c r="CP291" t="e">
        <f>AND(#REF!,"AAAAAFp66V0=")</f>
        <v>#REF!</v>
      </c>
      <c r="CQ291" t="e">
        <f>IF(#REF!,"AAAAAFp66V4=",0)</f>
        <v>#REF!</v>
      </c>
      <c r="CR291" t="e">
        <f>AND(#REF!,"AAAAAFp66V8=")</f>
        <v>#REF!</v>
      </c>
      <c r="CS291" t="e">
        <f>AND(#REF!,"AAAAAFp66WA=")</f>
        <v>#REF!</v>
      </c>
      <c r="CT291" t="e">
        <f>AND(#REF!,"AAAAAFp66WE=")</f>
        <v>#REF!</v>
      </c>
      <c r="CU291" t="e">
        <f>AND(#REF!,"AAAAAFp66WI=")</f>
        <v>#REF!</v>
      </c>
      <c r="CV291" t="e">
        <f>AND(#REF!,"AAAAAFp66WM=")</f>
        <v>#REF!</v>
      </c>
      <c r="CW291" t="e">
        <f>AND(#REF!,"AAAAAFp66WQ=")</f>
        <v>#REF!</v>
      </c>
      <c r="CX291" t="e">
        <f>AND(#REF!,"AAAAAFp66WU=")</f>
        <v>#REF!</v>
      </c>
      <c r="CY291" t="e">
        <f>AND(#REF!,"AAAAAFp66WY=")</f>
        <v>#REF!</v>
      </c>
      <c r="CZ291" t="e">
        <f>AND(#REF!,"AAAAAFp66Wc=")</f>
        <v>#REF!</v>
      </c>
      <c r="DA291" t="e">
        <f>AND(#REF!,"AAAAAFp66Wg=")</f>
        <v>#REF!</v>
      </c>
      <c r="DB291" t="e">
        <f>IF(#REF!,"AAAAAFp66Wk=",0)</f>
        <v>#REF!</v>
      </c>
      <c r="DC291" t="e">
        <f>AND(#REF!,"AAAAAFp66Wo=")</f>
        <v>#REF!</v>
      </c>
      <c r="DD291" t="e">
        <f>AND(#REF!,"AAAAAFp66Ws=")</f>
        <v>#REF!</v>
      </c>
      <c r="DE291" t="e">
        <f>AND(#REF!,"AAAAAFp66Ww=")</f>
        <v>#REF!</v>
      </c>
      <c r="DF291" t="e">
        <f>AND(#REF!,"AAAAAFp66W0=")</f>
        <v>#REF!</v>
      </c>
      <c r="DG291" t="e">
        <f>AND(#REF!,"AAAAAFp66W4=")</f>
        <v>#REF!</v>
      </c>
      <c r="DH291" t="e">
        <f>AND(#REF!,"AAAAAFp66W8=")</f>
        <v>#REF!</v>
      </c>
      <c r="DI291" t="e">
        <f>AND(#REF!,"AAAAAFp66XA=")</f>
        <v>#REF!</v>
      </c>
      <c r="DJ291" t="e">
        <f>AND(#REF!,"AAAAAFp66XE=")</f>
        <v>#REF!</v>
      </c>
      <c r="DK291" t="e">
        <f>AND(#REF!,"AAAAAFp66XI=")</f>
        <v>#REF!</v>
      </c>
      <c r="DL291" t="e">
        <f>AND(#REF!,"AAAAAFp66XM=")</f>
        <v>#REF!</v>
      </c>
      <c r="DM291" t="e">
        <f>IF(#REF!,"AAAAAFp66XQ=",0)</f>
        <v>#REF!</v>
      </c>
      <c r="DN291" t="e">
        <f>AND(#REF!,"AAAAAFp66XU=")</f>
        <v>#REF!</v>
      </c>
      <c r="DO291" t="e">
        <f>AND(#REF!,"AAAAAFp66XY=")</f>
        <v>#REF!</v>
      </c>
      <c r="DP291" t="e">
        <f>AND(#REF!,"AAAAAFp66Xc=")</f>
        <v>#REF!</v>
      </c>
      <c r="DQ291" t="e">
        <f>AND(#REF!,"AAAAAFp66Xg=")</f>
        <v>#REF!</v>
      </c>
      <c r="DR291" t="e">
        <f>AND(#REF!,"AAAAAFp66Xk=")</f>
        <v>#REF!</v>
      </c>
      <c r="DS291" t="e">
        <f>AND(#REF!,"AAAAAFp66Xo=")</f>
        <v>#REF!</v>
      </c>
      <c r="DT291" t="e">
        <f>AND(#REF!,"AAAAAFp66Xs=")</f>
        <v>#REF!</v>
      </c>
      <c r="DU291" t="e">
        <f>AND(#REF!,"AAAAAFp66Xw=")</f>
        <v>#REF!</v>
      </c>
      <c r="DV291" t="e">
        <f>AND(#REF!,"AAAAAFp66X0=")</f>
        <v>#REF!</v>
      </c>
      <c r="DW291" t="e">
        <f>AND(#REF!,"AAAAAFp66X4=")</f>
        <v>#REF!</v>
      </c>
      <c r="DX291" t="e">
        <f>IF(#REF!,"AAAAAFp66X8=",0)</f>
        <v>#REF!</v>
      </c>
      <c r="DY291" t="e">
        <f>AND(#REF!,"AAAAAFp66YA=")</f>
        <v>#REF!</v>
      </c>
      <c r="DZ291" t="e">
        <f>AND(#REF!,"AAAAAFp66YE=")</f>
        <v>#REF!</v>
      </c>
      <c r="EA291" t="e">
        <f>AND(#REF!,"AAAAAFp66YI=")</f>
        <v>#REF!</v>
      </c>
      <c r="EB291" t="e">
        <f>AND(#REF!,"AAAAAFp66YM=")</f>
        <v>#REF!</v>
      </c>
      <c r="EC291" t="e">
        <f>AND(#REF!,"AAAAAFp66YQ=")</f>
        <v>#REF!</v>
      </c>
      <c r="ED291" t="e">
        <f>AND(#REF!,"AAAAAFp66YU=")</f>
        <v>#REF!</v>
      </c>
      <c r="EE291" t="e">
        <f>AND(#REF!,"AAAAAFp66YY=")</f>
        <v>#REF!</v>
      </c>
      <c r="EF291" t="e">
        <f>AND(#REF!,"AAAAAFp66Yc=")</f>
        <v>#REF!</v>
      </c>
      <c r="EG291" t="e">
        <f>AND(#REF!,"AAAAAFp66Yg=")</f>
        <v>#REF!</v>
      </c>
      <c r="EH291" t="e">
        <f>AND(#REF!,"AAAAAFp66Yk=")</f>
        <v>#REF!</v>
      </c>
      <c r="EI291" t="e">
        <f>IF(#REF!,"AAAAAFp66Yo=",0)</f>
        <v>#REF!</v>
      </c>
      <c r="EJ291" t="e">
        <f>AND(#REF!,"AAAAAFp66Ys=")</f>
        <v>#REF!</v>
      </c>
      <c r="EK291" t="e">
        <f>AND(#REF!,"AAAAAFp66Yw=")</f>
        <v>#REF!</v>
      </c>
      <c r="EL291" t="e">
        <f>AND(#REF!,"AAAAAFp66Y0=")</f>
        <v>#REF!</v>
      </c>
      <c r="EM291" t="e">
        <f>AND(#REF!,"AAAAAFp66Y4=")</f>
        <v>#REF!</v>
      </c>
      <c r="EN291" t="e">
        <f>AND(#REF!,"AAAAAFp66Y8=")</f>
        <v>#REF!</v>
      </c>
      <c r="EO291" t="e">
        <f>AND(#REF!,"AAAAAFp66ZA=")</f>
        <v>#REF!</v>
      </c>
      <c r="EP291" t="e">
        <f>AND(#REF!,"AAAAAFp66ZE=")</f>
        <v>#REF!</v>
      </c>
      <c r="EQ291" t="e">
        <f>AND(#REF!,"AAAAAFp66ZI=")</f>
        <v>#REF!</v>
      </c>
      <c r="ER291" t="e">
        <f>AND(#REF!,"AAAAAFp66ZM=")</f>
        <v>#REF!</v>
      </c>
      <c r="ES291" t="e">
        <f>AND(#REF!,"AAAAAFp66ZQ=")</f>
        <v>#REF!</v>
      </c>
      <c r="ET291" t="e">
        <f>IF(#REF!,"AAAAAFp66ZU=",0)</f>
        <v>#REF!</v>
      </c>
      <c r="EU291" t="e">
        <f>AND(#REF!,"AAAAAFp66ZY=")</f>
        <v>#REF!</v>
      </c>
      <c r="EV291" t="e">
        <f>AND(#REF!,"AAAAAFp66Zc=")</f>
        <v>#REF!</v>
      </c>
      <c r="EW291" t="e">
        <f>AND(#REF!,"AAAAAFp66Zg=")</f>
        <v>#REF!</v>
      </c>
      <c r="EX291" t="e">
        <f>AND(#REF!,"AAAAAFp66Zk=")</f>
        <v>#REF!</v>
      </c>
      <c r="EY291" t="e">
        <f>AND(#REF!,"AAAAAFp66Zo=")</f>
        <v>#REF!</v>
      </c>
      <c r="EZ291" t="e">
        <f>AND(#REF!,"AAAAAFp66Zs=")</f>
        <v>#REF!</v>
      </c>
      <c r="FA291" t="e">
        <f>AND(#REF!,"AAAAAFp66Zw=")</f>
        <v>#REF!</v>
      </c>
      <c r="FB291" t="e">
        <f>AND(#REF!,"AAAAAFp66Z0=")</f>
        <v>#REF!</v>
      </c>
      <c r="FC291" t="e">
        <f>AND(#REF!,"AAAAAFp66Z4=")</f>
        <v>#REF!</v>
      </c>
      <c r="FD291" t="e">
        <f>AND(#REF!,"AAAAAFp66Z8=")</f>
        <v>#REF!</v>
      </c>
      <c r="FE291" t="e">
        <f>IF(#REF!,"AAAAAFp66aA=",0)</f>
        <v>#REF!</v>
      </c>
      <c r="FF291" t="e">
        <f>AND(#REF!,"AAAAAFp66aE=")</f>
        <v>#REF!</v>
      </c>
      <c r="FG291" t="e">
        <f>AND(#REF!,"AAAAAFp66aI=")</f>
        <v>#REF!</v>
      </c>
      <c r="FH291" t="e">
        <f>AND(#REF!,"AAAAAFp66aM=")</f>
        <v>#REF!</v>
      </c>
      <c r="FI291" t="e">
        <f>AND(#REF!,"AAAAAFp66aQ=")</f>
        <v>#REF!</v>
      </c>
      <c r="FJ291" t="e">
        <f>AND(#REF!,"AAAAAFp66aU=")</f>
        <v>#REF!</v>
      </c>
      <c r="FK291" t="e">
        <f>AND(#REF!,"AAAAAFp66aY=")</f>
        <v>#REF!</v>
      </c>
      <c r="FL291" t="e">
        <f>AND(#REF!,"AAAAAFp66ac=")</f>
        <v>#REF!</v>
      </c>
      <c r="FM291" t="e">
        <f>AND(#REF!,"AAAAAFp66ag=")</f>
        <v>#REF!</v>
      </c>
      <c r="FN291" t="e">
        <f>AND(#REF!,"AAAAAFp66ak=")</f>
        <v>#REF!</v>
      </c>
      <c r="FO291" t="e">
        <f>AND(#REF!,"AAAAAFp66ao=")</f>
        <v>#REF!</v>
      </c>
      <c r="FP291" t="e">
        <f>IF(#REF!,"AAAAAFp66as=",0)</f>
        <v>#REF!</v>
      </c>
      <c r="FQ291" t="e">
        <f>AND(#REF!,"AAAAAFp66aw=")</f>
        <v>#REF!</v>
      </c>
      <c r="FR291" t="e">
        <f>AND(#REF!,"AAAAAFp66a0=")</f>
        <v>#REF!</v>
      </c>
      <c r="FS291" t="e">
        <f>AND(#REF!,"AAAAAFp66a4=")</f>
        <v>#REF!</v>
      </c>
      <c r="FT291" t="e">
        <f>AND(#REF!,"AAAAAFp66a8=")</f>
        <v>#REF!</v>
      </c>
      <c r="FU291" t="e">
        <f>AND(#REF!,"AAAAAFp66bA=")</f>
        <v>#REF!</v>
      </c>
      <c r="FV291" t="e">
        <f>AND(#REF!,"AAAAAFp66bE=")</f>
        <v>#REF!</v>
      </c>
      <c r="FW291" t="e">
        <f>AND(#REF!,"AAAAAFp66bI=")</f>
        <v>#REF!</v>
      </c>
      <c r="FX291" t="e">
        <f>AND(#REF!,"AAAAAFp66bM=")</f>
        <v>#REF!</v>
      </c>
      <c r="FY291" t="e">
        <f>AND(#REF!,"AAAAAFp66bQ=")</f>
        <v>#REF!</v>
      </c>
      <c r="FZ291" t="e">
        <f>AND(#REF!,"AAAAAFp66bU=")</f>
        <v>#REF!</v>
      </c>
      <c r="GA291" t="e">
        <f>IF(#REF!,"AAAAAFp66bY=",0)</f>
        <v>#REF!</v>
      </c>
      <c r="GB291" t="e">
        <f>AND(#REF!,"AAAAAFp66bc=")</f>
        <v>#REF!</v>
      </c>
      <c r="GC291" t="e">
        <f>AND(#REF!,"AAAAAFp66bg=")</f>
        <v>#REF!</v>
      </c>
      <c r="GD291" t="e">
        <f>AND(#REF!,"AAAAAFp66bk=")</f>
        <v>#REF!</v>
      </c>
      <c r="GE291" t="e">
        <f>AND(#REF!,"AAAAAFp66bo=")</f>
        <v>#REF!</v>
      </c>
      <c r="GF291" t="e">
        <f>AND(#REF!,"AAAAAFp66bs=")</f>
        <v>#REF!</v>
      </c>
      <c r="GG291" t="e">
        <f>AND(#REF!,"AAAAAFp66bw=")</f>
        <v>#REF!</v>
      </c>
      <c r="GH291" t="e">
        <f>AND(#REF!,"AAAAAFp66b0=")</f>
        <v>#REF!</v>
      </c>
      <c r="GI291" t="e">
        <f>AND(#REF!,"AAAAAFp66b4=")</f>
        <v>#REF!</v>
      </c>
      <c r="GJ291" t="e">
        <f>AND(#REF!,"AAAAAFp66b8=")</f>
        <v>#REF!</v>
      </c>
      <c r="GK291" t="e">
        <f>AND(#REF!,"AAAAAFp66cA=")</f>
        <v>#REF!</v>
      </c>
      <c r="GL291" t="e">
        <f>IF(#REF!,"AAAAAFp66cE=",0)</f>
        <v>#REF!</v>
      </c>
      <c r="GM291" t="e">
        <f>AND(#REF!,"AAAAAFp66cI=")</f>
        <v>#REF!</v>
      </c>
      <c r="GN291" t="e">
        <f>AND(#REF!,"AAAAAFp66cM=")</f>
        <v>#REF!</v>
      </c>
      <c r="GO291" t="e">
        <f>AND(#REF!,"AAAAAFp66cQ=")</f>
        <v>#REF!</v>
      </c>
      <c r="GP291" t="e">
        <f>AND(#REF!,"AAAAAFp66cU=")</f>
        <v>#REF!</v>
      </c>
      <c r="GQ291" t="e">
        <f>AND(#REF!,"AAAAAFp66cY=")</f>
        <v>#REF!</v>
      </c>
      <c r="GR291" t="e">
        <f>AND(#REF!,"AAAAAFp66cc=")</f>
        <v>#REF!</v>
      </c>
      <c r="GS291" t="e">
        <f>AND(#REF!,"AAAAAFp66cg=")</f>
        <v>#REF!</v>
      </c>
      <c r="GT291" t="e">
        <f>AND(#REF!,"AAAAAFp66ck=")</f>
        <v>#REF!</v>
      </c>
      <c r="GU291" t="e">
        <f>AND(#REF!,"AAAAAFp66co=")</f>
        <v>#REF!</v>
      </c>
      <c r="GV291" t="e">
        <f>AND(#REF!,"AAAAAFp66cs=")</f>
        <v>#REF!</v>
      </c>
      <c r="GW291" t="e">
        <f>IF(#REF!,"AAAAAFp66cw=",0)</f>
        <v>#REF!</v>
      </c>
      <c r="GX291" t="e">
        <f>AND(#REF!,"AAAAAFp66c0=")</f>
        <v>#REF!</v>
      </c>
      <c r="GY291" t="e">
        <f>AND(#REF!,"AAAAAFp66c4=")</f>
        <v>#REF!</v>
      </c>
      <c r="GZ291" t="e">
        <f>AND(#REF!,"AAAAAFp66c8=")</f>
        <v>#REF!</v>
      </c>
      <c r="HA291" t="e">
        <f>AND(#REF!,"AAAAAFp66dA=")</f>
        <v>#REF!</v>
      </c>
      <c r="HB291" t="e">
        <f>AND(#REF!,"AAAAAFp66dE=")</f>
        <v>#REF!</v>
      </c>
      <c r="HC291" t="e">
        <f>AND(#REF!,"AAAAAFp66dI=")</f>
        <v>#REF!</v>
      </c>
      <c r="HD291" t="e">
        <f>AND(#REF!,"AAAAAFp66dM=")</f>
        <v>#REF!</v>
      </c>
      <c r="HE291" t="e">
        <f>AND(#REF!,"AAAAAFp66dQ=")</f>
        <v>#REF!</v>
      </c>
      <c r="HF291" t="e">
        <f>AND(#REF!,"AAAAAFp66dU=")</f>
        <v>#REF!</v>
      </c>
      <c r="HG291" t="e">
        <f>AND(#REF!,"AAAAAFp66dY=")</f>
        <v>#REF!</v>
      </c>
      <c r="HH291" t="e">
        <f>IF(#REF!,"AAAAAFp66dc=",0)</f>
        <v>#REF!</v>
      </c>
      <c r="HI291" t="e">
        <f>AND(#REF!,"AAAAAFp66dg=")</f>
        <v>#REF!</v>
      </c>
      <c r="HJ291" t="e">
        <f>AND(#REF!,"AAAAAFp66dk=")</f>
        <v>#REF!</v>
      </c>
      <c r="HK291" t="e">
        <f>AND(#REF!,"AAAAAFp66do=")</f>
        <v>#REF!</v>
      </c>
      <c r="HL291" t="e">
        <f>AND(#REF!,"AAAAAFp66ds=")</f>
        <v>#REF!</v>
      </c>
      <c r="HM291" t="e">
        <f>AND(#REF!,"AAAAAFp66dw=")</f>
        <v>#REF!</v>
      </c>
      <c r="HN291" t="e">
        <f>AND(#REF!,"AAAAAFp66d0=")</f>
        <v>#REF!</v>
      </c>
      <c r="HO291" t="e">
        <f>AND(#REF!,"AAAAAFp66d4=")</f>
        <v>#REF!</v>
      </c>
      <c r="HP291" t="e">
        <f>AND(#REF!,"AAAAAFp66d8=")</f>
        <v>#REF!</v>
      </c>
      <c r="HQ291" t="e">
        <f>AND(#REF!,"AAAAAFp66eA=")</f>
        <v>#REF!</v>
      </c>
      <c r="HR291" t="e">
        <f>AND(#REF!,"AAAAAFp66eE=")</f>
        <v>#REF!</v>
      </c>
      <c r="HS291" t="e">
        <f>IF(#REF!,"AAAAAFp66eI=",0)</f>
        <v>#REF!</v>
      </c>
      <c r="HT291" t="e">
        <f>AND(#REF!,"AAAAAFp66eM=")</f>
        <v>#REF!</v>
      </c>
      <c r="HU291" t="e">
        <f>AND(#REF!,"AAAAAFp66eQ=")</f>
        <v>#REF!</v>
      </c>
      <c r="HV291" t="e">
        <f>AND(#REF!,"AAAAAFp66eU=")</f>
        <v>#REF!</v>
      </c>
      <c r="HW291" t="e">
        <f>AND(#REF!,"AAAAAFp66eY=")</f>
        <v>#REF!</v>
      </c>
      <c r="HX291" t="e">
        <f>AND(#REF!,"AAAAAFp66ec=")</f>
        <v>#REF!</v>
      </c>
      <c r="HY291" t="e">
        <f>AND(#REF!,"AAAAAFp66eg=")</f>
        <v>#REF!</v>
      </c>
      <c r="HZ291" t="e">
        <f>AND(#REF!,"AAAAAFp66ek=")</f>
        <v>#REF!</v>
      </c>
      <c r="IA291" t="e">
        <f>AND(#REF!,"AAAAAFp66eo=")</f>
        <v>#REF!</v>
      </c>
      <c r="IB291" t="e">
        <f>AND(#REF!,"AAAAAFp66es=")</f>
        <v>#REF!</v>
      </c>
      <c r="IC291" t="e">
        <f>AND(#REF!,"AAAAAFp66ew=")</f>
        <v>#REF!</v>
      </c>
      <c r="ID291" t="e">
        <f>IF(#REF!,"AAAAAFp66e0=",0)</f>
        <v>#REF!</v>
      </c>
      <c r="IE291" t="e">
        <f>AND(#REF!,"AAAAAFp66e4=")</f>
        <v>#REF!</v>
      </c>
      <c r="IF291" t="e">
        <f>AND(#REF!,"AAAAAFp66e8=")</f>
        <v>#REF!</v>
      </c>
      <c r="IG291" t="e">
        <f>AND(#REF!,"AAAAAFp66fA=")</f>
        <v>#REF!</v>
      </c>
      <c r="IH291" t="e">
        <f>AND(#REF!,"AAAAAFp66fE=")</f>
        <v>#REF!</v>
      </c>
      <c r="II291" t="e">
        <f>AND(#REF!,"AAAAAFp66fI=")</f>
        <v>#REF!</v>
      </c>
      <c r="IJ291" t="e">
        <f>AND(#REF!,"AAAAAFp66fM=")</f>
        <v>#REF!</v>
      </c>
      <c r="IK291" t="e">
        <f>AND(#REF!,"AAAAAFp66fQ=")</f>
        <v>#REF!</v>
      </c>
      <c r="IL291" t="e">
        <f>AND(#REF!,"AAAAAFp66fU=")</f>
        <v>#REF!</v>
      </c>
      <c r="IM291" t="e">
        <f>AND(#REF!,"AAAAAFp66fY=")</f>
        <v>#REF!</v>
      </c>
      <c r="IN291" t="e">
        <f>AND(#REF!,"AAAAAFp66fc=")</f>
        <v>#REF!</v>
      </c>
      <c r="IO291" t="e">
        <f>IF(#REF!,"AAAAAFp66fg=",0)</f>
        <v>#REF!</v>
      </c>
      <c r="IP291" t="e">
        <f>AND(#REF!,"AAAAAFp66fk=")</f>
        <v>#REF!</v>
      </c>
      <c r="IQ291" t="e">
        <f>AND(#REF!,"AAAAAFp66fo=")</f>
        <v>#REF!</v>
      </c>
      <c r="IR291" t="e">
        <f>AND(#REF!,"AAAAAFp66fs=")</f>
        <v>#REF!</v>
      </c>
      <c r="IS291" t="e">
        <f>AND(#REF!,"AAAAAFp66fw=")</f>
        <v>#REF!</v>
      </c>
      <c r="IT291" t="e">
        <f>AND(#REF!,"AAAAAFp66f0=")</f>
        <v>#REF!</v>
      </c>
      <c r="IU291" t="e">
        <f>AND(#REF!,"AAAAAFp66f4=")</f>
        <v>#REF!</v>
      </c>
      <c r="IV291" t="e">
        <f>AND(#REF!,"AAAAAFp66f8=")</f>
        <v>#REF!</v>
      </c>
    </row>
    <row r="292" spans="1:256" x14ac:dyDescent="0.25">
      <c r="A292" t="e">
        <f>AND(#REF!,"AAAAABP92QA=")</f>
        <v>#REF!</v>
      </c>
      <c r="B292" t="e">
        <f>AND(#REF!,"AAAAABP92QE=")</f>
        <v>#REF!</v>
      </c>
      <c r="C292" t="e">
        <f>AND(#REF!,"AAAAABP92QI=")</f>
        <v>#REF!</v>
      </c>
      <c r="D292" t="e">
        <f>IF(#REF!,"AAAAABP92QM=",0)</f>
        <v>#REF!</v>
      </c>
      <c r="E292" t="e">
        <f>AND(#REF!,"AAAAABP92QQ=")</f>
        <v>#REF!</v>
      </c>
      <c r="F292" t="e">
        <f>AND(#REF!,"AAAAABP92QU=")</f>
        <v>#REF!</v>
      </c>
      <c r="G292" t="e">
        <f>AND(#REF!,"AAAAABP92QY=")</f>
        <v>#REF!</v>
      </c>
      <c r="H292" t="e">
        <f>AND(#REF!,"AAAAABP92Qc=")</f>
        <v>#REF!</v>
      </c>
      <c r="I292" t="e">
        <f>AND(#REF!,"AAAAABP92Qg=")</f>
        <v>#REF!</v>
      </c>
      <c r="J292" t="e">
        <f>AND(#REF!,"AAAAABP92Qk=")</f>
        <v>#REF!</v>
      </c>
      <c r="K292" t="e">
        <f>AND(#REF!,"AAAAABP92Qo=")</f>
        <v>#REF!</v>
      </c>
      <c r="L292" t="e">
        <f>AND(#REF!,"AAAAABP92Qs=")</f>
        <v>#REF!</v>
      </c>
      <c r="M292" t="e">
        <f>AND(#REF!,"AAAAABP92Qw=")</f>
        <v>#REF!</v>
      </c>
      <c r="N292" t="e">
        <f>AND(#REF!,"AAAAABP92Q0=")</f>
        <v>#REF!</v>
      </c>
      <c r="O292" t="e">
        <f>IF(#REF!,"AAAAABP92Q4=",0)</f>
        <v>#REF!</v>
      </c>
      <c r="P292" t="e">
        <f>AND(#REF!,"AAAAABP92Q8=")</f>
        <v>#REF!</v>
      </c>
      <c r="Q292" t="e">
        <f>AND(#REF!,"AAAAABP92RA=")</f>
        <v>#REF!</v>
      </c>
      <c r="R292" t="e">
        <f>AND(#REF!,"AAAAABP92RE=")</f>
        <v>#REF!</v>
      </c>
      <c r="S292" t="e">
        <f>AND(#REF!,"AAAAABP92RI=")</f>
        <v>#REF!</v>
      </c>
      <c r="T292" t="e">
        <f>AND(#REF!,"AAAAABP92RM=")</f>
        <v>#REF!</v>
      </c>
      <c r="U292" t="e">
        <f>AND(#REF!,"AAAAABP92RQ=")</f>
        <v>#REF!</v>
      </c>
      <c r="V292" t="e">
        <f>AND(#REF!,"AAAAABP92RU=")</f>
        <v>#REF!</v>
      </c>
      <c r="W292" t="e">
        <f>AND(#REF!,"AAAAABP92RY=")</f>
        <v>#REF!</v>
      </c>
      <c r="X292" t="e">
        <f>AND(#REF!,"AAAAABP92Rc=")</f>
        <v>#REF!</v>
      </c>
      <c r="Y292" t="e">
        <f>AND(#REF!,"AAAAABP92Rg=")</f>
        <v>#REF!</v>
      </c>
      <c r="Z292" t="e">
        <f>IF(#REF!,"AAAAABP92Rk=",0)</f>
        <v>#REF!</v>
      </c>
      <c r="AA292" t="e">
        <f>AND(#REF!,"AAAAABP92Ro=")</f>
        <v>#REF!</v>
      </c>
      <c r="AB292" t="e">
        <f>AND(#REF!,"AAAAABP92Rs=")</f>
        <v>#REF!</v>
      </c>
      <c r="AC292" t="e">
        <f>AND(#REF!,"AAAAABP92Rw=")</f>
        <v>#REF!</v>
      </c>
      <c r="AD292" t="e">
        <f>AND(#REF!,"AAAAABP92R0=")</f>
        <v>#REF!</v>
      </c>
      <c r="AE292" t="e">
        <f>AND(#REF!,"AAAAABP92R4=")</f>
        <v>#REF!</v>
      </c>
      <c r="AF292" t="e">
        <f>AND(#REF!,"AAAAABP92R8=")</f>
        <v>#REF!</v>
      </c>
      <c r="AG292" t="e">
        <f>AND(#REF!,"AAAAABP92SA=")</f>
        <v>#REF!</v>
      </c>
      <c r="AH292" t="e">
        <f>AND(#REF!,"AAAAABP92SE=")</f>
        <v>#REF!</v>
      </c>
      <c r="AI292" t="e">
        <f>AND(#REF!,"AAAAABP92SI=")</f>
        <v>#REF!</v>
      </c>
      <c r="AJ292" t="e">
        <f>AND(#REF!,"AAAAABP92SM=")</f>
        <v>#REF!</v>
      </c>
      <c r="AK292" t="e">
        <f>IF(#REF!,"AAAAABP92SQ=",0)</f>
        <v>#REF!</v>
      </c>
      <c r="AL292" t="e">
        <f>AND(#REF!,"AAAAABP92SU=")</f>
        <v>#REF!</v>
      </c>
      <c r="AM292" t="e">
        <f>AND(#REF!,"AAAAABP92SY=")</f>
        <v>#REF!</v>
      </c>
      <c r="AN292" t="e">
        <f>AND(#REF!,"AAAAABP92Sc=")</f>
        <v>#REF!</v>
      </c>
      <c r="AO292" t="e">
        <f>AND(#REF!,"AAAAABP92Sg=")</f>
        <v>#REF!</v>
      </c>
      <c r="AP292" t="e">
        <f>AND(#REF!,"AAAAABP92Sk=")</f>
        <v>#REF!</v>
      </c>
      <c r="AQ292" t="e">
        <f>AND(#REF!,"AAAAABP92So=")</f>
        <v>#REF!</v>
      </c>
      <c r="AR292" t="e">
        <f>AND(#REF!,"AAAAABP92Ss=")</f>
        <v>#REF!</v>
      </c>
      <c r="AS292" t="e">
        <f>AND(#REF!,"AAAAABP92Sw=")</f>
        <v>#REF!</v>
      </c>
      <c r="AT292" t="e">
        <f>AND(#REF!,"AAAAABP92S0=")</f>
        <v>#REF!</v>
      </c>
      <c r="AU292" t="e">
        <f>AND(#REF!,"AAAAABP92S4=")</f>
        <v>#REF!</v>
      </c>
      <c r="AV292" t="e">
        <f>IF(#REF!,"AAAAABP92S8=",0)</f>
        <v>#REF!</v>
      </c>
      <c r="AW292" t="e">
        <f>AND(#REF!,"AAAAABP92TA=")</f>
        <v>#REF!</v>
      </c>
      <c r="AX292" t="e">
        <f>AND(#REF!,"AAAAABP92TE=")</f>
        <v>#REF!</v>
      </c>
      <c r="AY292" t="e">
        <f>AND(#REF!,"AAAAABP92TI=")</f>
        <v>#REF!</v>
      </c>
      <c r="AZ292" t="e">
        <f>AND(#REF!,"AAAAABP92TM=")</f>
        <v>#REF!</v>
      </c>
      <c r="BA292" t="e">
        <f>AND(#REF!,"AAAAABP92TQ=")</f>
        <v>#REF!</v>
      </c>
      <c r="BB292" t="e">
        <f>AND(#REF!,"AAAAABP92TU=")</f>
        <v>#REF!</v>
      </c>
      <c r="BC292" t="e">
        <f>AND(#REF!,"AAAAABP92TY=")</f>
        <v>#REF!</v>
      </c>
      <c r="BD292" t="e">
        <f>AND(#REF!,"AAAAABP92Tc=")</f>
        <v>#REF!</v>
      </c>
      <c r="BE292" t="e">
        <f>AND(#REF!,"AAAAABP92Tg=")</f>
        <v>#REF!</v>
      </c>
      <c r="BF292" t="e">
        <f>AND(#REF!,"AAAAABP92Tk=")</f>
        <v>#REF!</v>
      </c>
      <c r="BG292" t="e">
        <f>IF(#REF!,"AAAAABP92To=",0)</f>
        <v>#REF!</v>
      </c>
      <c r="BH292" t="e">
        <f>AND(#REF!,"AAAAABP92Ts=")</f>
        <v>#REF!</v>
      </c>
      <c r="BI292" t="e">
        <f>AND(#REF!,"AAAAABP92Tw=")</f>
        <v>#REF!</v>
      </c>
      <c r="BJ292" t="e">
        <f>AND(#REF!,"AAAAABP92T0=")</f>
        <v>#REF!</v>
      </c>
      <c r="BK292" t="e">
        <f>AND(#REF!,"AAAAABP92T4=")</f>
        <v>#REF!</v>
      </c>
      <c r="BL292" t="e">
        <f>AND(#REF!,"AAAAABP92T8=")</f>
        <v>#REF!</v>
      </c>
      <c r="BM292" t="e">
        <f>AND(#REF!,"AAAAABP92UA=")</f>
        <v>#REF!</v>
      </c>
      <c r="BN292" t="e">
        <f>AND(#REF!,"AAAAABP92UE=")</f>
        <v>#REF!</v>
      </c>
      <c r="BO292" t="e">
        <f>AND(#REF!,"AAAAABP92UI=")</f>
        <v>#REF!</v>
      </c>
      <c r="BP292" t="e">
        <f>AND(#REF!,"AAAAABP92UM=")</f>
        <v>#REF!</v>
      </c>
      <c r="BQ292" t="e">
        <f>AND(#REF!,"AAAAABP92UQ=")</f>
        <v>#REF!</v>
      </c>
      <c r="BR292" t="e">
        <f>IF(#REF!,"AAAAABP92UU=",0)</f>
        <v>#REF!</v>
      </c>
      <c r="BS292" t="e">
        <f>AND(#REF!,"AAAAABP92UY=")</f>
        <v>#REF!</v>
      </c>
      <c r="BT292" t="e">
        <f>AND(#REF!,"AAAAABP92Uc=")</f>
        <v>#REF!</v>
      </c>
      <c r="BU292" t="e">
        <f>AND(#REF!,"AAAAABP92Ug=")</f>
        <v>#REF!</v>
      </c>
      <c r="BV292" t="e">
        <f>AND(#REF!,"AAAAABP92Uk=")</f>
        <v>#REF!</v>
      </c>
      <c r="BW292" t="e">
        <f>AND(#REF!,"AAAAABP92Uo=")</f>
        <v>#REF!</v>
      </c>
      <c r="BX292" t="e">
        <f>AND(#REF!,"AAAAABP92Us=")</f>
        <v>#REF!</v>
      </c>
      <c r="BY292" t="e">
        <f>AND(#REF!,"AAAAABP92Uw=")</f>
        <v>#REF!</v>
      </c>
      <c r="BZ292" t="e">
        <f>AND(#REF!,"AAAAABP92U0=")</f>
        <v>#REF!</v>
      </c>
      <c r="CA292" t="e">
        <f>AND(#REF!,"AAAAABP92U4=")</f>
        <v>#REF!</v>
      </c>
      <c r="CB292" t="e">
        <f>AND(#REF!,"AAAAABP92U8=")</f>
        <v>#REF!</v>
      </c>
      <c r="CC292" t="e">
        <f>IF(#REF!,"AAAAABP92VA=",0)</f>
        <v>#REF!</v>
      </c>
      <c r="CD292" t="e">
        <f>AND(#REF!,"AAAAABP92VE=")</f>
        <v>#REF!</v>
      </c>
      <c r="CE292" t="e">
        <f>AND(#REF!,"AAAAABP92VI=")</f>
        <v>#REF!</v>
      </c>
      <c r="CF292" t="e">
        <f>AND(#REF!,"AAAAABP92VM=")</f>
        <v>#REF!</v>
      </c>
      <c r="CG292" t="e">
        <f>AND(#REF!,"AAAAABP92VQ=")</f>
        <v>#REF!</v>
      </c>
      <c r="CH292" t="e">
        <f>AND(#REF!,"AAAAABP92VU=")</f>
        <v>#REF!</v>
      </c>
      <c r="CI292" t="e">
        <f>AND(#REF!,"AAAAABP92VY=")</f>
        <v>#REF!</v>
      </c>
      <c r="CJ292" t="e">
        <f>AND(#REF!,"AAAAABP92Vc=")</f>
        <v>#REF!</v>
      </c>
      <c r="CK292" t="e">
        <f>AND(#REF!,"AAAAABP92Vg=")</f>
        <v>#REF!</v>
      </c>
      <c r="CL292" t="e">
        <f>AND(#REF!,"AAAAABP92Vk=")</f>
        <v>#REF!</v>
      </c>
      <c r="CM292" t="e">
        <f>AND(#REF!,"AAAAABP92Vo=")</f>
        <v>#REF!</v>
      </c>
      <c r="CN292" t="e">
        <f>IF(#REF!,"AAAAABP92Vs=",0)</f>
        <v>#REF!</v>
      </c>
      <c r="CO292" t="e">
        <f>AND(#REF!,"AAAAABP92Vw=")</f>
        <v>#REF!</v>
      </c>
      <c r="CP292" t="e">
        <f>AND(#REF!,"AAAAABP92V0=")</f>
        <v>#REF!</v>
      </c>
      <c r="CQ292" t="e">
        <f>AND(#REF!,"AAAAABP92V4=")</f>
        <v>#REF!</v>
      </c>
      <c r="CR292" t="e">
        <f>AND(#REF!,"AAAAABP92V8=")</f>
        <v>#REF!</v>
      </c>
      <c r="CS292" t="e">
        <f>AND(#REF!,"AAAAABP92WA=")</f>
        <v>#REF!</v>
      </c>
      <c r="CT292" t="e">
        <f>AND(#REF!,"AAAAABP92WE=")</f>
        <v>#REF!</v>
      </c>
      <c r="CU292" t="e">
        <f>AND(#REF!,"AAAAABP92WI=")</f>
        <v>#REF!</v>
      </c>
      <c r="CV292" t="e">
        <f>AND(#REF!,"AAAAABP92WM=")</f>
        <v>#REF!</v>
      </c>
      <c r="CW292" t="e">
        <f>AND(#REF!,"AAAAABP92WQ=")</f>
        <v>#REF!</v>
      </c>
      <c r="CX292" t="e">
        <f>AND(#REF!,"AAAAABP92WU=")</f>
        <v>#REF!</v>
      </c>
      <c r="CY292" t="e">
        <f>IF(#REF!,"AAAAABP92WY=",0)</f>
        <v>#REF!</v>
      </c>
      <c r="CZ292" t="e">
        <f>AND(#REF!,"AAAAABP92Wc=")</f>
        <v>#REF!</v>
      </c>
      <c r="DA292" t="e">
        <f>AND(#REF!,"AAAAABP92Wg=")</f>
        <v>#REF!</v>
      </c>
      <c r="DB292" t="e">
        <f>AND(#REF!,"AAAAABP92Wk=")</f>
        <v>#REF!</v>
      </c>
      <c r="DC292" t="e">
        <f>AND(#REF!,"AAAAABP92Wo=")</f>
        <v>#REF!</v>
      </c>
      <c r="DD292" t="e">
        <f>AND(#REF!,"AAAAABP92Ws=")</f>
        <v>#REF!</v>
      </c>
      <c r="DE292" t="e">
        <f>AND(#REF!,"AAAAABP92Ww=")</f>
        <v>#REF!</v>
      </c>
      <c r="DF292" t="e">
        <f>AND(#REF!,"AAAAABP92W0=")</f>
        <v>#REF!</v>
      </c>
      <c r="DG292" t="e">
        <f>AND(#REF!,"AAAAABP92W4=")</f>
        <v>#REF!</v>
      </c>
      <c r="DH292" t="e">
        <f>AND(#REF!,"AAAAABP92W8=")</f>
        <v>#REF!</v>
      </c>
      <c r="DI292" t="e">
        <f>AND(#REF!,"AAAAABP92XA=")</f>
        <v>#REF!</v>
      </c>
      <c r="DJ292" t="e">
        <f>IF(#REF!,"AAAAABP92XE=",0)</f>
        <v>#REF!</v>
      </c>
      <c r="DK292" t="e">
        <f>AND(#REF!,"AAAAABP92XI=")</f>
        <v>#REF!</v>
      </c>
      <c r="DL292" t="e">
        <f>AND(#REF!,"AAAAABP92XM=")</f>
        <v>#REF!</v>
      </c>
      <c r="DM292" t="e">
        <f>AND(#REF!,"AAAAABP92XQ=")</f>
        <v>#REF!</v>
      </c>
      <c r="DN292" t="e">
        <f>AND(#REF!,"AAAAABP92XU=")</f>
        <v>#REF!</v>
      </c>
      <c r="DO292" t="e">
        <f>AND(#REF!,"AAAAABP92XY=")</f>
        <v>#REF!</v>
      </c>
      <c r="DP292" t="e">
        <f>AND(#REF!,"AAAAABP92Xc=")</f>
        <v>#REF!</v>
      </c>
      <c r="DQ292" t="e">
        <f>AND(#REF!,"AAAAABP92Xg=")</f>
        <v>#REF!</v>
      </c>
      <c r="DR292" t="e">
        <f>AND(#REF!,"AAAAABP92Xk=")</f>
        <v>#REF!</v>
      </c>
      <c r="DS292" t="e">
        <f>AND(#REF!,"AAAAABP92Xo=")</f>
        <v>#REF!</v>
      </c>
      <c r="DT292" t="e">
        <f>AND(#REF!,"AAAAABP92Xs=")</f>
        <v>#REF!</v>
      </c>
      <c r="DU292" t="e">
        <f>IF(#REF!,"AAAAABP92Xw=",0)</f>
        <v>#REF!</v>
      </c>
      <c r="DV292" t="e">
        <f>AND(#REF!,"AAAAABP92X0=")</f>
        <v>#REF!</v>
      </c>
      <c r="DW292" t="e">
        <f>AND(#REF!,"AAAAABP92X4=")</f>
        <v>#REF!</v>
      </c>
      <c r="DX292" t="e">
        <f>AND(#REF!,"AAAAABP92X8=")</f>
        <v>#REF!</v>
      </c>
      <c r="DY292" t="e">
        <f>AND(#REF!,"AAAAABP92YA=")</f>
        <v>#REF!</v>
      </c>
      <c r="DZ292" t="e">
        <f>AND(#REF!,"AAAAABP92YE=")</f>
        <v>#REF!</v>
      </c>
      <c r="EA292" t="e">
        <f>AND(#REF!,"AAAAABP92YI=")</f>
        <v>#REF!</v>
      </c>
      <c r="EB292" t="e">
        <f>AND(#REF!,"AAAAABP92YM=")</f>
        <v>#REF!</v>
      </c>
      <c r="EC292" t="e">
        <f>AND(#REF!,"AAAAABP92YQ=")</f>
        <v>#REF!</v>
      </c>
      <c r="ED292" t="e">
        <f>AND(#REF!,"AAAAABP92YU=")</f>
        <v>#REF!</v>
      </c>
      <c r="EE292" t="e">
        <f>AND(#REF!,"AAAAABP92YY=")</f>
        <v>#REF!</v>
      </c>
      <c r="EF292" t="e">
        <f>IF(#REF!,"AAAAABP92Yc=",0)</f>
        <v>#REF!</v>
      </c>
      <c r="EG292" t="e">
        <f>AND(#REF!,"AAAAABP92Yg=")</f>
        <v>#REF!</v>
      </c>
      <c r="EH292" t="e">
        <f>AND(#REF!,"AAAAABP92Yk=")</f>
        <v>#REF!</v>
      </c>
      <c r="EI292" t="e">
        <f>AND(#REF!,"AAAAABP92Yo=")</f>
        <v>#REF!</v>
      </c>
      <c r="EJ292" t="e">
        <f>AND(#REF!,"AAAAABP92Ys=")</f>
        <v>#REF!</v>
      </c>
      <c r="EK292" t="e">
        <f>AND(#REF!,"AAAAABP92Yw=")</f>
        <v>#REF!</v>
      </c>
      <c r="EL292" t="e">
        <f>AND(#REF!,"AAAAABP92Y0=")</f>
        <v>#REF!</v>
      </c>
      <c r="EM292" t="e">
        <f>AND(#REF!,"AAAAABP92Y4=")</f>
        <v>#REF!</v>
      </c>
      <c r="EN292" t="e">
        <f>AND(#REF!,"AAAAABP92Y8=")</f>
        <v>#REF!</v>
      </c>
      <c r="EO292" t="e">
        <f>AND(#REF!,"AAAAABP92ZA=")</f>
        <v>#REF!</v>
      </c>
      <c r="EP292" t="e">
        <f>AND(#REF!,"AAAAABP92ZE=")</f>
        <v>#REF!</v>
      </c>
      <c r="EQ292" t="e">
        <f>IF(#REF!,"AAAAABP92ZI=",0)</f>
        <v>#REF!</v>
      </c>
      <c r="ER292" t="e">
        <f>AND(#REF!,"AAAAABP92ZM=")</f>
        <v>#REF!</v>
      </c>
      <c r="ES292" t="e">
        <f>AND(#REF!,"AAAAABP92ZQ=")</f>
        <v>#REF!</v>
      </c>
      <c r="ET292" t="e">
        <f>AND(#REF!,"AAAAABP92ZU=")</f>
        <v>#REF!</v>
      </c>
      <c r="EU292" t="e">
        <f>AND(#REF!,"AAAAABP92ZY=")</f>
        <v>#REF!</v>
      </c>
      <c r="EV292" t="e">
        <f>AND(#REF!,"AAAAABP92Zc=")</f>
        <v>#REF!</v>
      </c>
      <c r="EW292" t="e">
        <f>AND(#REF!,"AAAAABP92Zg=")</f>
        <v>#REF!</v>
      </c>
      <c r="EX292" t="e">
        <f>AND(#REF!,"AAAAABP92Zk=")</f>
        <v>#REF!</v>
      </c>
      <c r="EY292" t="e">
        <f>AND(#REF!,"AAAAABP92Zo=")</f>
        <v>#REF!</v>
      </c>
      <c r="EZ292" t="e">
        <f>AND(#REF!,"AAAAABP92Zs=")</f>
        <v>#REF!</v>
      </c>
      <c r="FA292" t="e">
        <f>AND(#REF!,"AAAAABP92Zw=")</f>
        <v>#REF!</v>
      </c>
      <c r="FB292" t="e">
        <f>IF(#REF!,"AAAAABP92Z0=",0)</f>
        <v>#REF!</v>
      </c>
      <c r="FC292" t="e">
        <f>AND(#REF!,"AAAAABP92Z4=")</f>
        <v>#REF!</v>
      </c>
      <c r="FD292" t="e">
        <f>AND(#REF!,"AAAAABP92Z8=")</f>
        <v>#REF!</v>
      </c>
      <c r="FE292" t="e">
        <f>AND(#REF!,"AAAAABP92aA=")</f>
        <v>#REF!</v>
      </c>
      <c r="FF292" t="e">
        <f>AND(#REF!,"AAAAABP92aE=")</f>
        <v>#REF!</v>
      </c>
      <c r="FG292" t="e">
        <f>AND(#REF!,"AAAAABP92aI=")</f>
        <v>#REF!</v>
      </c>
      <c r="FH292" t="e">
        <f>AND(#REF!,"AAAAABP92aM=")</f>
        <v>#REF!</v>
      </c>
      <c r="FI292" t="e">
        <f>AND(#REF!,"AAAAABP92aQ=")</f>
        <v>#REF!</v>
      </c>
      <c r="FJ292" t="e">
        <f>AND(#REF!,"AAAAABP92aU=")</f>
        <v>#REF!</v>
      </c>
      <c r="FK292" t="e">
        <f>AND(#REF!,"AAAAABP92aY=")</f>
        <v>#REF!</v>
      </c>
      <c r="FL292" t="e">
        <f>AND(#REF!,"AAAAABP92ac=")</f>
        <v>#REF!</v>
      </c>
      <c r="FM292" t="e">
        <f>IF(#REF!,"AAAAABP92ag=",0)</f>
        <v>#REF!</v>
      </c>
      <c r="FN292" t="e">
        <f>AND(#REF!,"AAAAABP92ak=")</f>
        <v>#REF!</v>
      </c>
      <c r="FO292" t="e">
        <f>AND(#REF!,"AAAAABP92ao=")</f>
        <v>#REF!</v>
      </c>
      <c r="FP292" t="e">
        <f>AND(#REF!,"AAAAABP92as=")</f>
        <v>#REF!</v>
      </c>
      <c r="FQ292" t="e">
        <f>AND(#REF!,"AAAAABP92aw=")</f>
        <v>#REF!</v>
      </c>
      <c r="FR292" t="e">
        <f>AND(#REF!,"AAAAABP92a0=")</f>
        <v>#REF!</v>
      </c>
      <c r="FS292" t="e">
        <f>AND(#REF!,"AAAAABP92a4=")</f>
        <v>#REF!</v>
      </c>
      <c r="FT292" t="e">
        <f>AND(#REF!,"AAAAABP92a8=")</f>
        <v>#REF!</v>
      </c>
      <c r="FU292" t="e">
        <f>AND(#REF!,"AAAAABP92bA=")</f>
        <v>#REF!</v>
      </c>
      <c r="FV292" t="e">
        <f>AND(#REF!,"AAAAABP92bE=")</f>
        <v>#REF!</v>
      </c>
      <c r="FW292" t="e">
        <f>AND(#REF!,"AAAAABP92bI=")</f>
        <v>#REF!</v>
      </c>
      <c r="FX292" t="e">
        <f>IF(#REF!,"AAAAABP92bM=",0)</f>
        <v>#REF!</v>
      </c>
      <c r="FY292" t="e">
        <f>AND(#REF!,"AAAAABP92bQ=")</f>
        <v>#REF!</v>
      </c>
      <c r="FZ292" t="e">
        <f>AND(#REF!,"AAAAABP92bU=")</f>
        <v>#REF!</v>
      </c>
      <c r="GA292" t="e">
        <f>AND(#REF!,"AAAAABP92bY=")</f>
        <v>#REF!</v>
      </c>
      <c r="GB292" t="e">
        <f>AND(#REF!,"AAAAABP92bc=")</f>
        <v>#REF!</v>
      </c>
      <c r="GC292" t="e">
        <f>AND(#REF!,"AAAAABP92bg=")</f>
        <v>#REF!</v>
      </c>
      <c r="GD292" t="e">
        <f>AND(#REF!,"AAAAABP92bk=")</f>
        <v>#REF!</v>
      </c>
      <c r="GE292" t="e">
        <f>AND(#REF!,"AAAAABP92bo=")</f>
        <v>#REF!</v>
      </c>
      <c r="GF292" t="e">
        <f>AND(#REF!,"AAAAABP92bs=")</f>
        <v>#REF!</v>
      </c>
      <c r="GG292" t="e">
        <f>AND(#REF!,"AAAAABP92bw=")</f>
        <v>#REF!</v>
      </c>
      <c r="GH292" t="e">
        <f>AND(#REF!,"AAAAABP92b0=")</f>
        <v>#REF!</v>
      </c>
      <c r="GI292" t="e">
        <f>IF(#REF!,"AAAAABP92b4=",0)</f>
        <v>#REF!</v>
      </c>
      <c r="GJ292" t="e">
        <f>AND(#REF!,"AAAAABP92b8=")</f>
        <v>#REF!</v>
      </c>
      <c r="GK292" t="e">
        <f>AND(#REF!,"AAAAABP92cA=")</f>
        <v>#REF!</v>
      </c>
      <c r="GL292" t="e">
        <f>AND(#REF!,"AAAAABP92cE=")</f>
        <v>#REF!</v>
      </c>
      <c r="GM292" t="e">
        <f>AND(#REF!,"AAAAABP92cI=")</f>
        <v>#REF!</v>
      </c>
      <c r="GN292" t="e">
        <f>AND(#REF!,"AAAAABP92cM=")</f>
        <v>#REF!</v>
      </c>
      <c r="GO292" t="e">
        <f>AND(#REF!,"AAAAABP92cQ=")</f>
        <v>#REF!</v>
      </c>
      <c r="GP292" t="e">
        <f>AND(#REF!,"AAAAABP92cU=")</f>
        <v>#REF!</v>
      </c>
      <c r="GQ292" t="e">
        <f>AND(#REF!,"AAAAABP92cY=")</f>
        <v>#REF!</v>
      </c>
      <c r="GR292" t="e">
        <f>AND(#REF!,"AAAAABP92cc=")</f>
        <v>#REF!</v>
      </c>
      <c r="GS292" t="e">
        <f>AND(#REF!,"AAAAABP92cg=")</f>
        <v>#REF!</v>
      </c>
      <c r="GT292" t="e">
        <f>IF(#REF!,"AAAAABP92ck=",0)</f>
        <v>#REF!</v>
      </c>
      <c r="GU292" t="e">
        <f>AND(#REF!,"AAAAABP92co=")</f>
        <v>#REF!</v>
      </c>
      <c r="GV292" t="e">
        <f>AND(#REF!,"AAAAABP92cs=")</f>
        <v>#REF!</v>
      </c>
      <c r="GW292" t="e">
        <f>AND(#REF!,"AAAAABP92cw=")</f>
        <v>#REF!</v>
      </c>
      <c r="GX292" t="e">
        <f>AND(#REF!,"AAAAABP92c0=")</f>
        <v>#REF!</v>
      </c>
      <c r="GY292" t="e">
        <f>AND(#REF!,"AAAAABP92c4=")</f>
        <v>#REF!</v>
      </c>
      <c r="GZ292" t="e">
        <f>AND(#REF!,"AAAAABP92c8=")</f>
        <v>#REF!</v>
      </c>
      <c r="HA292" t="e">
        <f>AND(#REF!,"AAAAABP92dA=")</f>
        <v>#REF!</v>
      </c>
      <c r="HB292" t="e">
        <f>AND(#REF!,"AAAAABP92dE=")</f>
        <v>#REF!</v>
      </c>
      <c r="HC292" t="e">
        <f>AND(#REF!,"AAAAABP92dI=")</f>
        <v>#REF!</v>
      </c>
      <c r="HD292" t="e">
        <f>AND(#REF!,"AAAAABP92dM=")</f>
        <v>#REF!</v>
      </c>
      <c r="HE292" t="e">
        <f>IF(#REF!,"AAAAABP92dQ=",0)</f>
        <v>#REF!</v>
      </c>
      <c r="HF292" t="e">
        <f>AND(#REF!,"AAAAABP92dU=")</f>
        <v>#REF!</v>
      </c>
      <c r="HG292" t="e">
        <f>AND(#REF!,"AAAAABP92dY=")</f>
        <v>#REF!</v>
      </c>
      <c r="HH292" t="e">
        <f>AND(#REF!,"AAAAABP92dc=")</f>
        <v>#REF!</v>
      </c>
      <c r="HI292" t="e">
        <f>AND(#REF!,"AAAAABP92dg=")</f>
        <v>#REF!</v>
      </c>
      <c r="HJ292" t="e">
        <f>AND(#REF!,"AAAAABP92dk=")</f>
        <v>#REF!</v>
      </c>
      <c r="HK292" t="e">
        <f>AND(#REF!,"AAAAABP92do=")</f>
        <v>#REF!</v>
      </c>
      <c r="HL292" t="e">
        <f>AND(#REF!,"AAAAABP92ds=")</f>
        <v>#REF!</v>
      </c>
      <c r="HM292" t="e">
        <f>AND(#REF!,"AAAAABP92dw=")</f>
        <v>#REF!</v>
      </c>
      <c r="HN292" t="e">
        <f>AND(#REF!,"AAAAABP92d0=")</f>
        <v>#REF!</v>
      </c>
      <c r="HO292" t="e">
        <f>AND(#REF!,"AAAAABP92d4=")</f>
        <v>#REF!</v>
      </c>
      <c r="HP292" t="e">
        <f>IF(#REF!,"AAAAABP92d8=",0)</f>
        <v>#REF!</v>
      </c>
      <c r="HQ292" t="e">
        <f>AND(#REF!,"AAAAABP92eA=")</f>
        <v>#REF!</v>
      </c>
      <c r="HR292" t="e">
        <f>AND(#REF!,"AAAAABP92eE=")</f>
        <v>#REF!</v>
      </c>
      <c r="HS292" t="e">
        <f>AND(#REF!,"AAAAABP92eI=")</f>
        <v>#REF!</v>
      </c>
      <c r="HT292" t="e">
        <f>AND(#REF!,"AAAAABP92eM=")</f>
        <v>#REF!</v>
      </c>
      <c r="HU292" t="e">
        <f>AND(#REF!,"AAAAABP92eQ=")</f>
        <v>#REF!</v>
      </c>
      <c r="HV292" t="e">
        <f>AND(#REF!,"AAAAABP92eU=")</f>
        <v>#REF!</v>
      </c>
      <c r="HW292" t="e">
        <f>AND(#REF!,"AAAAABP92eY=")</f>
        <v>#REF!</v>
      </c>
      <c r="HX292" t="e">
        <f>AND(#REF!,"AAAAABP92ec=")</f>
        <v>#REF!</v>
      </c>
      <c r="HY292" t="e">
        <f>AND(#REF!,"AAAAABP92eg=")</f>
        <v>#REF!</v>
      </c>
      <c r="HZ292" t="e">
        <f>AND(#REF!,"AAAAABP92ek=")</f>
        <v>#REF!</v>
      </c>
      <c r="IA292" t="e">
        <f>IF(#REF!,"AAAAABP92eo=",0)</f>
        <v>#REF!</v>
      </c>
      <c r="IB292" t="e">
        <f>AND(#REF!,"AAAAABP92es=")</f>
        <v>#REF!</v>
      </c>
      <c r="IC292" t="e">
        <f>AND(#REF!,"AAAAABP92ew=")</f>
        <v>#REF!</v>
      </c>
      <c r="ID292" t="e">
        <f>AND(#REF!,"AAAAABP92e0=")</f>
        <v>#REF!</v>
      </c>
      <c r="IE292" t="e">
        <f>AND(#REF!,"AAAAABP92e4=")</f>
        <v>#REF!</v>
      </c>
      <c r="IF292" t="e">
        <f>AND(#REF!,"AAAAABP92e8=")</f>
        <v>#REF!</v>
      </c>
      <c r="IG292" t="e">
        <f>AND(#REF!,"AAAAABP92fA=")</f>
        <v>#REF!</v>
      </c>
      <c r="IH292" t="e">
        <f>AND(#REF!,"AAAAABP92fE=")</f>
        <v>#REF!</v>
      </c>
      <c r="II292" t="e">
        <f>AND(#REF!,"AAAAABP92fI=")</f>
        <v>#REF!</v>
      </c>
      <c r="IJ292" t="e">
        <f>AND(#REF!,"AAAAABP92fM=")</f>
        <v>#REF!</v>
      </c>
      <c r="IK292" t="e">
        <f>AND(#REF!,"AAAAABP92fQ=")</f>
        <v>#REF!</v>
      </c>
      <c r="IL292" t="e">
        <f>IF(#REF!,"AAAAABP92fU=",0)</f>
        <v>#REF!</v>
      </c>
      <c r="IM292" t="e">
        <f>AND(#REF!,"AAAAABP92fY=")</f>
        <v>#REF!</v>
      </c>
      <c r="IN292" t="e">
        <f>AND(#REF!,"AAAAABP92fc=")</f>
        <v>#REF!</v>
      </c>
      <c r="IO292" t="e">
        <f>AND(#REF!,"AAAAABP92fg=")</f>
        <v>#REF!</v>
      </c>
      <c r="IP292" t="e">
        <f>AND(#REF!,"AAAAABP92fk=")</f>
        <v>#REF!</v>
      </c>
      <c r="IQ292" t="e">
        <f>AND(#REF!,"AAAAABP92fo=")</f>
        <v>#REF!</v>
      </c>
      <c r="IR292" t="e">
        <f>AND(#REF!,"AAAAABP92fs=")</f>
        <v>#REF!</v>
      </c>
      <c r="IS292" t="e">
        <f>AND(#REF!,"AAAAABP92fw=")</f>
        <v>#REF!</v>
      </c>
      <c r="IT292" t="e">
        <f>AND(#REF!,"AAAAABP92f0=")</f>
        <v>#REF!</v>
      </c>
      <c r="IU292" t="e">
        <f>AND(#REF!,"AAAAABP92f4=")</f>
        <v>#REF!</v>
      </c>
      <c r="IV292" t="e">
        <f>AND(#REF!,"AAAAABP92f8=")</f>
        <v>#REF!</v>
      </c>
    </row>
    <row r="293" spans="1:256" x14ac:dyDescent="0.25">
      <c r="A293" t="e">
        <f>IF(#REF!,"AAAAAG/79wA=",0)</f>
        <v>#REF!</v>
      </c>
      <c r="B293" t="e">
        <f>AND(#REF!,"AAAAAG/79wE=")</f>
        <v>#REF!</v>
      </c>
      <c r="C293" t="e">
        <f>AND(#REF!,"AAAAAG/79wI=")</f>
        <v>#REF!</v>
      </c>
      <c r="D293" t="e">
        <f>AND(#REF!,"AAAAAG/79wM=")</f>
        <v>#REF!</v>
      </c>
      <c r="E293" t="e">
        <f>AND(#REF!,"AAAAAG/79wQ=")</f>
        <v>#REF!</v>
      </c>
      <c r="F293" t="e">
        <f>AND(#REF!,"AAAAAG/79wU=")</f>
        <v>#REF!</v>
      </c>
      <c r="G293" t="e">
        <f>AND(#REF!,"AAAAAG/79wY=")</f>
        <v>#REF!</v>
      </c>
      <c r="H293" t="e">
        <f>AND(#REF!,"AAAAAG/79wc=")</f>
        <v>#REF!</v>
      </c>
      <c r="I293" t="e">
        <f>AND(#REF!,"AAAAAG/79wg=")</f>
        <v>#REF!</v>
      </c>
      <c r="J293" t="e">
        <f>AND(#REF!,"AAAAAG/79wk=")</f>
        <v>#REF!</v>
      </c>
      <c r="K293" t="e">
        <f>AND(#REF!,"AAAAAG/79wo=")</f>
        <v>#REF!</v>
      </c>
      <c r="L293" t="e">
        <f>IF(#REF!,"AAAAAG/79ws=",0)</f>
        <v>#REF!</v>
      </c>
      <c r="M293" t="e">
        <f>AND(#REF!,"AAAAAG/79ww=")</f>
        <v>#REF!</v>
      </c>
      <c r="N293" t="e">
        <f>AND(#REF!,"AAAAAG/79w0=")</f>
        <v>#REF!</v>
      </c>
      <c r="O293" t="e">
        <f>AND(#REF!,"AAAAAG/79w4=")</f>
        <v>#REF!</v>
      </c>
      <c r="P293" t="e">
        <f>AND(#REF!,"AAAAAG/79w8=")</f>
        <v>#REF!</v>
      </c>
      <c r="Q293" t="e">
        <f>AND(#REF!,"AAAAAG/79xA=")</f>
        <v>#REF!</v>
      </c>
      <c r="R293" t="e">
        <f>AND(#REF!,"AAAAAG/79xE=")</f>
        <v>#REF!</v>
      </c>
      <c r="S293" t="e">
        <f>AND(#REF!,"AAAAAG/79xI=")</f>
        <v>#REF!</v>
      </c>
      <c r="T293" t="e">
        <f>AND(#REF!,"AAAAAG/79xM=")</f>
        <v>#REF!</v>
      </c>
      <c r="U293" t="e">
        <f>AND(#REF!,"AAAAAG/79xQ=")</f>
        <v>#REF!</v>
      </c>
      <c r="V293" t="e">
        <f>AND(#REF!,"AAAAAG/79xU=")</f>
        <v>#REF!</v>
      </c>
      <c r="W293" t="e">
        <f>IF(#REF!,"AAAAAG/79xY=",0)</f>
        <v>#REF!</v>
      </c>
      <c r="X293" t="e">
        <f>AND(#REF!,"AAAAAG/79xc=")</f>
        <v>#REF!</v>
      </c>
      <c r="Y293" t="e">
        <f>AND(#REF!,"AAAAAG/79xg=")</f>
        <v>#REF!</v>
      </c>
      <c r="Z293" t="e">
        <f>AND(#REF!,"AAAAAG/79xk=")</f>
        <v>#REF!</v>
      </c>
      <c r="AA293" t="e">
        <f>AND(#REF!,"AAAAAG/79xo=")</f>
        <v>#REF!</v>
      </c>
      <c r="AB293" t="e">
        <f>AND(#REF!,"AAAAAG/79xs=")</f>
        <v>#REF!</v>
      </c>
      <c r="AC293" t="e">
        <f>AND(#REF!,"AAAAAG/79xw=")</f>
        <v>#REF!</v>
      </c>
      <c r="AD293" t="e">
        <f>AND(#REF!,"AAAAAG/79x0=")</f>
        <v>#REF!</v>
      </c>
      <c r="AE293" t="e">
        <f>AND(#REF!,"AAAAAG/79x4=")</f>
        <v>#REF!</v>
      </c>
      <c r="AF293" t="e">
        <f>AND(#REF!,"AAAAAG/79x8=")</f>
        <v>#REF!</v>
      </c>
      <c r="AG293" t="e">
        <f>AND(#REF!,"AAAAAG/79yA=")</f>
        <v>#REF!</v>
      </c>
      <c r="AH293" t="e">
        <f>IF(#REF!,"AAAAAG/79yE=",0)</f>
        <v>#REF!</v>
      </c>
      <c r="AI293" t="e">
        <f>AND(#REF!,"AAAAAG/79yI=")</f>
        <v>#REF!</v>
      </c>
      <c r="AJ293" t="e">
        <f>AND(#REF!,"AAAAAG/79yM=")</f>
        <v>#REF!</v>
      </c>
      <c r="AK293" t="e">
        <f>AND(#REF!,"AAAAAG/79yQ=")</f>
        <v>#REF!</v>
      </c>
      <c r="AL293" t="e">
        <f>AND(#REF!,"AAAAAG/79yU=")</f>
        <v>#REF!</v>
      </c>
      <c r="AM293" t="e">
        <f>AND(#REF!,"AAAAAG/79yY=")</f>
        <v>#REF!</v>
      </c>
      <c r="AN293" t="e">
        <f>AND(#REF!,"AAAAAG/79yc=")</f>
        <v>#REF!</v>
      </c>
      <c r="AO293" t="e">
        <f>AND(#REF!,"AAAAAG/79yg=")</f>
        <v>#REF!</v>
      </c>
      <c r="AP293" t="e">
        <f>AND(#REF!,"AAAAAG/79yk=")</f>
        <v>#REF!</v>
      </c>
      <c r="AQ293" t="e">
        <f>AND(#REF!,"AAAAAG/79yo=")</f>
        <v>#REF!</v>
      </c>
      <c r="AR293" t="e">
        <f>AND(#REF!,"AAAAAG/79ys=")</f>
        <v>#REF!</v>
      </c>
      <c r="AS293" t="e">
        <f>IF(#REF!,"AAAAAG/79yw=",0)</f>
        <v>#REF!</v>
      </c>
      <c r="AT293" t="e">
        <f>AND(#REF!,"AAAAAG/79y0=")</f>
        <v>#REF!</v>
      </c>
      <c r="AU293" t="e">
        <f>AND(#REF!,"AAAAAG/79y4=")</f>
        <v>#REF!</v>
      </c>
      <c r="AV293" t="e">
        <f>AND(#REF!,"AAAAAG/79y8=")</f>
        <v>#REF!</v>
      </c>
      <c r="AW293" t="e">
        <f>AND(#REF!,"AAAAAG/79zA=")</f>
        <v>#REF!</v>
      </c>
      <c r="AX293" t="e">
        <f>AND(#REF!,"AAAAAG/79zE=")</f>
        <v>#REF!</v>
      </c>
      <c r="AY293" t="e">
        <f>AND(#REF!,"AAAAAG/79zI=")</f>
        <v>#REF!</v>
      </c>
      <c r="AZ293" t="e">
        <f>AND(#REF!,"AAAAAG/79zM=")</f>
        <v>#REF!</v>
      </c>
      <c r="BA293" t="e">
        <f>AND(#REF!,"AAAAAG/79zQ=")</f>
        <v>#REF!</v>
      </c>
      <c r="BB293" t="e">
        <f>AND(#REF!,"AAAAAG/79zU=")</f>
        <v>#REF!</v>
      </c>
      <c r="BC293" t="e">
        <f>AND(#REF!,"AAAAAG/79zY=")</f>
        <v>#REF!</v>
      </c>
      <c r="BD293" t="e">
        <f>IF(#REF!,"AAAAAG/79zc=",0)</f>
        <v>#REF!</v>
      </c>
      <c r="BE293" t="e">
        <f>AND(#REF!,"AAAAAG/79zg=")</f>
        <v>#REF!</v>
      </c>
      <c r="BF293" t="e">
        <f>AND(#REF!,"AAAAAG/79zk=")</f>
        <v>#REF!</v>
      </c>
      <c r="BG293" t="e">
        <f>AND(#REF!,"AAAAAG/79zo=")</f>
        <v>#REF!</v>
      </c>
      <c r="BH293" t="e">
        <f>AND(#REF!,"AAAAAG/79zs=")</f>
        <v>#REF!</v>
      </c>
      <c r="BI293" t="e">
        <f>AND(#REF!,"AAAAAG/79zw=")</f>
        <v>#REF!</v>
      </c>
      <c r="BJ293" t="e">
        <f>AND(#REF!,"AAAAAG/79z0=")</f>
        <v>#REF!</v>
      </c>
      <c r="BK293" t="e">
        <f>AND(#REF!,"AAAAAG/79z4=")</f>
        <v>#REF!</v>
      </c>
      <c r="BL293" t="e">
        <f>AND(#REF!,"AAAAAG/79z8=")</f>
        <v>#REF!</v>
      </c>
      <c r="BM293" t="e">
        <f>AND(#REF!,"AAAAAG/790A=")</f>
        <v>#REF!</v>
      </c>
      <c r="BN293" t="e">
        <f>AND(#REF!,"AAAAAG/790E=")</f>
        <v>#REF!</v>
      </c>
      <c r="BO293" t="e">
        <f>IF(#REF!,"AAAAAG/790I=",0)</f>
        <v>#REF!</v>
      </c>
      <c r="BP293" t="e">
        <f>AND(#REF!,"AAAAAG/790M=")</f>
        <v>#REF!</v>
      </c>
      <c r="BQ293" t="e">
        <f>AND(#REF!,"AAAAAG/790Q=")</f>
        <v>#REF!</v>
      </c>
      <c r="BR293" t="e">
        <f>AND(#REF!,"AAAAAG/790U=")</f>
        <v>#REF!</v>
      </c>
      <c r="BS293" t="e">
        <f>AND(#REF!,"AAAAAG/790Y=")</f>
        <v>#REF!</v>
      </c>
      <c r="BT293" t="e">
        <f>AND(#REF!,"AAAAAG/790c=")</f>
        <v>#REF!</v>
      </c>
      <c r="BU293" t="e">
        <f>AND(#REF!,"AAAAAG/790g=")</f>
        <v>#REF!</v>
      </c>
      <c r="BV293" t="e">
        <f>AND(#REF!,"AAAAAG/790k=")</f>
        <v>#REF!</v>
      </c>
      <c r="BW293" t="e">
        <f>AND(#REF!,"AAAAAG/790o=")</f>
        <v>#REF!</v>
      </c>
      <c r="BX293" t="e">
        <f>AND(#REF!,"AAAAAG/790s=")</f>
        <v>#REF!</v>
      </c>
      <c r="BY293" t="e">
        <f>AND(#REF!,"AAAAAG/790w=")</f>
        <v>#REF!</v>
      </c>
      <c r="BZ293" t="e">
        <f>IF(#REF!,"AAAAAG/7900=",0)</f>
        <v>#REF!</v>
      </c>
      <c r="CA293" t="e">
        <f>AND(#REF!,"AAAAAG/7904=")</f>
        <v>#REF!</v>
      </c>
      <c r="CB293" t="e">
        <f>AND(#REF!,"AAAAAG/7908=")</f>
        <v>#REF!</v>
      </c>
      <c r="CC293" t="e">
        <f>AND(#REF!,"AAAAAG/791A=")</f>
        <v>#REF!</v>
      </c>
      <c r="CD293" t="e">
        <f>AND(#REF!,"AAAAAG/791E=")</f>
        <v>#REF!</v>
      </c>
      <c r="CE293" t="e">
        <f>AND(#REF!,"AAAAAG/791I=")</f>
        <v>#REF!</v>
      </c>
      <c r="CF293" t="e">
        <f>AND(#REF!,"AAAAAG/791M=")</f>
        <v>#REF!</v>
      </c>
      <c r="CG293" t="e">
        <f>AND(#REF!,"AAAAAG/791Q=")</f>
        <v>#REF!</v>
      </c>
      <c r="CH293" t="e">
        <f>AND(#REF!,"AAAAAG/791U=")</f>
        <v>#REF!</v>
      </c>
      <c r="CI293" t="e">
        <f>AND(#REF!,"AAAAAG/791Y=")</f>
        <v>#REF!</v>
      </c>
      <c r="CJ293" t="e">
        <f>AND(#REF!,"AAAAAG/791c=")</f>
        <v>#REF!</v>
      </c>
      <c r="CK293" t="e">
        <f>IF(#REF!,"AAAAAG/791g=",0)</f>
        <v>#REF!</v>
      </c>
      <c r="CL293" t="e">
        <f>AND(#REF!,"AAAAAG/791k=")</f>
        <v>#REF!</v>
      </c>
      <c r="CM293" t="e">
        <f>AND(#REF!,"AAAAAG/791o=")</f>
        <v>#REF!</v>
      </c>
      <c r="CN293" t="e">
        <f>AND(#REF!,"AAAAAG/791s=")</f>
        <v>#REF!</v>
      </c>
      <c r="CO293" t="e">
        <f>AND(#REF!,"AAAAAG/791w=")</f>
        <v>#REF!</v>
      </c>
      <c r="CP293" t="e">
        <f>AND(#REF!,"AAAAAG/7910=")</f>
        <v>#REF!</v>
      </c>
      <c r="CQ293" t="e">
        <f>AND(#REF!,"AAAAAG/7914=")</f>
        <v>#REF!</v>
      </c>
      <c r="CR293" t="e">
        <f>AND(#REF!,"AAAAAG/7918=")</f>
        <v>#REF!</v>
      </c>
      <c r="CS293" t="e">
        <f>AND(#REF!,"AAAAAG/792A=")</f>
        <v>#REF!</v>
      </c>
      <c r="CT293" t="e">
        <f>AND(#REF!,"AAAAAG/792E=")</f>
        <v>#REF!</v>
      </c>
      <c r="CU293" t="e">
        <f>AND(#REF!,"AAAAAG/792I=")</f>
        <v>#REF!</v>
      </c>
      <c r="CV293" t="e">
        <f>IF(#REF!,"AAAAAG/792M=",0)</f>
        <v>#REF!</v>
      </c>
      <c r="CW293" t="e">
        <f>AND(#REF!,"AAAAAG/792Q=")</f>
        <v>#REF!</v>
      </c>
      <c r="CX293" t="e">
        <f>AND(#REF!,"AAAAAG/792U=")</f>
        <v>#REF!</v>
      </c>
      <c r="CY293" t="e">
        <f>AND(#REF!,"AAAAAG/792Y=")</f>
        <v>#REF!</v>
      </c>
      <c r="CZ293" t="e">
        <f>AND(#REF!,"AAAAAG/792c=")</f>
        <v>#REF!</v>
      </c>
      <c r="DA293" t="e">
        <f>AND(#REF!,"AAAAAG/792g=")</f>
        <v>#REF!</v>
      </c>
      <c r="DB293" t="e">
        <f>AND(#REF!,"AAAAAG/792k=")</f>
        <v>#REF!</v>
      </c>
      <c r="DC293" t="e">
        <f>AND(#REF!,"AAAAAG/792o=")</f>
        <v>#REF!</v>
      </c>
      <c r="DD293" t="e">
        <f>AND(#REF!,"AAAAAG/792s=")</f>
        <v>#REF!</v>
      </c>
      <c r="DE293" t="e">
        <f>AND(#REF!,"AAAAAG/792w=")</f>
        <v>#REF!</v>
      </c>
      <c r="DF293" t="e">
        <f>AND(#REF!,"AAAAAG/7920=")</f>
        <v>#REF!</v>
      </c>
      <c r="DG293" t="e">
        <f>IF(#REF!,"AAAAAG/7924=",0)</f>
        <v>#REF!</v>
      </c>
      <c r="DH293" t="e">
        <f>AND(#REF!,"AAAAAG/7928=")</f>
        <v>#REF!</v>
      </c>
      <c r="DI293" t="e">
        <f>AND(#REF!,"AAAAAG/793A=")</f>
        <v>#REF!</v>
      </c>
      <c r="DJ293" t="e">
        <f>AND(#REF!,"AAAAAG/793E=")</f>
        <v>#REF!</v>
      </c>
      <c r="DK293" t="e">
        <f>AND(#REF!,"AAAAAG/793I=")</f>
        <v>#REF!</v>
      </c>
      <c r="DL293" t="e">
        <f>AND(#REF!,"AAAAAG/793M=")</f>
        <v>#REF!</v>
      </c>
      <c r="DM293" t="e">
        <f>AND(#REF!,"AAAAAG/793Q=")</f>
        <v>#REF!</v>
      </c>
      <c r="DN293" t="e">
        <f>AND(#REF!,"AAAAAG/793U=")</f>
        <v>#REF!</v>
      </c>
      <c r="DO293" t="e">
        <f>AND(#REF!,"AAAAAG/793Y=")</f>
        <v>#REF!</v>
      </c>
      <c r="DP293" t="e">
        <f>AND(#REF!,"AAAAAG/793c=")</f>
        <v>#REF!</v>
      </c>
      <c r="DQ293" t="e">
        <f>AND(#REF!,"AAAAAG/793g=")</f>
        <v>#REF!</v>
      </c>
      <c r="DR293" t="e">
        <f>IF(#REF!,"AAAAAG/793k=",0)</f>
        <v>#REF!</v>
      </c>
      <c r="DS293" t="e">
        <f>AND(#REF!,"AAAAAG/793o=")</f>
        <v>#REF!</v>
      </c>
      <c r="DT293" t="e">
        <f>AND(#REF!,"AAAAAG/793s=")</f>
        <v>#REF!</v>
      </c>
      <c r="DU293" t="e">
        <f>AND(#REF!,"AAAAAG/793w=")</f>
        <v>#REF!</v>
      </c>
      <c r="DV293" t="e">
        <f>AND(#REF!,"AAAAAG/7930=")</f>
        <v>#REF!</v>
      </c>
      <c r="DW293" t="e">
        <f>AND(#REF!,"AAAAAG/7934=")</f>
        <v>#REF!</v>
      </c>
      <c r="DX293" t="e">
        <f>AND(#REF!,"AAAAAG/7938=")</f>
        <v>#REF!</v>
      </c>
      <c r="DY293" t="e">
        <f>AND(#REF!,"AAAAAG/794A=")</f>
        <v>#REF!</v>
      </c>
      <c r="DZ293" t="e">
        <f>AND(#REF!,"AAAAAG/794E=")</f>
        <v>#REF!</v>
      </c>
      <c r="EA293" t="e">
        <f>AND(#REF!,"AAAAAG/794I=")</f>
        <v>#REF!</v>
      </c>
      <c r="EB293" t="e">
        <f>AND(#REF!,"AAAAAG/794M=")</f>
        <v>#REF!</v>
      </c>
      <c r="EC293" t="e">
        <f>IF(#REF!,"AAAAAG/794Q=",0)</f>
        <v>#REF!</v>
      </c>
      <c r="ED293" t="e">
        <f>AND(#REF!,"AAAAAG/794U=")</f>
        <v>#REF!</v>
      </c>
      <c r="EE293" t="e">
        <f>AND(#REF!,"AAAAAG/794Y=")</f>
        <v>#REF!</v>
      </c>
      <c r="EF293" t="e">
        <f>AND(#REF!,"AAAAAG/794c=")</f>
        <v>#REF!</v>
      </c>
      <c r="EG293" t="e">
        <f>AND(#REF!,"AAAAAG/794g=")</f>
        <v>#REF!</v>
      </c>
      <c r="EH293" t="e">
        <f>AND(#REF!,"AAAAAG/794k=")</f>
        <v>#REF!</v>
      </c>
      <c r="EI293" t="e">
        <f>AND(#REF!,"AAAAAG/794o=")</f>
        <v>#REF!</v>
      </c>
      <c r="EJ293" t="e">
        <f>AND(#REF!,"AAAAAG/794s=")</f>
        <v>#REF!</v>
      </c>
      <c r="EK293" t="e">
        <f>AND(#REF!,"AAAAAG/794w=")</f>
        <v>#REF!</v>
      </c>
      <c r="EL293" t="e">
        <f>AND(#REF!,"AAAAAG/7940=")</f>
        <v>#REF!</v>
      </c>
      <c r="EM293" t="e">
        <f>AND(#REF!,"AAAAAG/7944=")</f>
        <v>#REF!</v>
      </c>
      <c r="EN293" t="e">
        <f>IF(#REF!,"AAAAAG/7948=",0)</f>
        <v>#REF!</v>
      </c>
      <c r="EO293" t="e">
        <f>AND(#REF!,"AAAAAG/795A=")</f>
        <v>#REF!</v>
      </c>
      <c r="EP293" t="e">
        <f>AND(#REF!,"AAAAAG/795E=")</f>
        <v>#REF!</v>
      </c>
      <c r="EQ293" t="e">
        <f>AND(#REF!,"AAAAAG/795I=")</f>
        <v>#REF!</v>
      </c>
      <c r="ER293" t="e">
        <f>AND(#REF!,"AAAAAG/795M=")</f>
        <v>#REF!</v>
      </c>
      <c r="ES293" t="e">
        <f>AND(#REF!,"AAAAAG/795Q=")</f>
        <v>#REF!</v>
      </c>
      <c r="ET293" t="e">
        <f>AND(#REF!,"AAAAAG/795U=")</f>
        <v>#REF!</v>
      </c>
      <c r="EU293" t="e">
        <f>AND(#REF!,"AAAAAG/795Y=")</f>
        <v>#REF!</v>
      </c>
      <c r="EV293" t="e">
        <f>AND(#REF!,"AAAAAG/795c=")</f>
        <v>#REF!</v>
      </c>
      <c r="EW293" t="e">
        <f>AND(#REF!,"AAAAAG/795g=")</f>
        <v>#REF!</v>
      </c>
      <c r="EX293" t="e">
        <f>AND(#REF!,"AAAAAG/795k=")</f>
        <v>#REF!</v>
      </c>
      <c r="EY293" t="e">
        <f>IF(#REF!,"AAAAAG/795o=",0)</f>
        <v>#REF!</v>
      </c>
      <c r="EZ293" t="e">
        <f>AND(#REF!,"AAAAAG/795s=")</f>
        <v>#REF!</v>
      </c>
      <c r="FA293" t="e">
        <f>AND(#REF!,"AAAAAG/795w=")</f>
        <v>#REF!</v>
      </c>
      <c r="FB293" t="e">
        <f>AND(#REF!,"AAAAAG/7950=")</f>
        <v>#REF!</v>
      </c>
      <c r="FC293" t="e">
        <f>AND(#REF!,"AAAAAG/7954=")</f>
        <v>#REF!</v>
      </c>
      <c r="FD293" t="e">
        <f>AND(#REF!,"AAAAAG/7958=")</f>
        <v>#REF!</v>
      </c>
      <c r="FE293" t="e">
        <f>AND(#REF!,"AAAAAG/796A=")</f>
        <v>#REF!</v>
      </c>
      <c r="FF293" t="e">
        <f>AND(#REF!,"AAAAAG/796E=")</f>
        <v>#REF!</v>
      </c>
      <c r="FG293" t="e">
        <f>AND(#REF!,"AAAAAG/796I=")</f>
        <v>#REF!</v>
      </c>
      <c r="FH293" t="e">
        <f>AND(#REF!,"AAAAAG/796M=")</f>
        <v>#REF!</v>
      </c>
      <c r="FI293" t="e">
        <f>AND(#REF!,"AAAAAG/796Q=")</f>
        <v>#REF!</v>
      </c>
      <c r="FJ293" t="e">
        <f>IF(#REF!,"AAAAAG/796U=",0)</f>
        <v>#REF!</v>
      </c>
      <c r="FK293" t="e">
        <f>AND(#REF!,"AAAAAG/796Y=")</f>
        <v>#REF!</v>
      </c>
      <c r="FL293" t="e">
        <f>AND(#REF!,"AAAAAG/796c=")</f>
        <v>#REF!</v>
      </c>
      <c r="FM293" t="e">
        <f>AND(#REF!,"AAAAAG/796g=")</f>
        <v>#REF!</v>
      </c>
      <c r="FN293" t="e">
        <f>AND(#REF!,"AAAAAG/796k=")</f>
        <v>#REF!</v>
      </c>
      <c r="FO293" t="e">
        <f>AND(#REF!,"AAAAAG/796o=")</f>
        <v>#REF!</v>
      </c>
      <c r="FP293" t="e">
        <f>AND(#REF!,"AAAAAG/796s=")</f>
        <v>#REF!</v>
      </c>
      <c r="FQ293" t="e">
        <f>AND(#REF!,"AAAAAG/796w=")</f>
        <v>#REF!</v>
      </c>
      <c r="FR293" t="e">
        <f>AND(#REF!,"AAAAAG/7960=")</f>
        <v>#REF!</v>
      </c>
      <c r="FS293" t="e">
        <f>AND(#REF!,"AAAAAG/7964=")</f>
        <v>#REF!</v>
      </c>
      <c r="FT293" t="e">
        <f>AND(#REF!,"AAAAAG/7968=")</f>
        <v>#REF!</v>
      </c>
      <c r="FU293" t="e">
        <f>IF(#REF!,"AAAAAG/797A=",0)</f>
        <v>#REF!</v>
      </c>
      <c r="FV293" t="e">
        <f>AND(#REF!,"AAAAAG/797E=")</f>
        <v>#REF!</v>
      </c>
      <c r="FW293" t="e">
        <f>AND(#REF!,"AAAAAG/797I=")</f>
        <v>#REF!</v>
      </c>
      <c r="FX293" t="e">
        <f>AND(#REF!,"AAAAAG/797M=")</f>
        <v>#REF!</v>
      </c>
      <c r="FY293" t="e">
        <f>AND(#REF!,"AAAAAG/797Q=")</f>
        <v>#REF!</v>
      </c>
      <c r="FZ293" t="e">
        <f>AND(#REF!,"AAAAAG/797U=")</f>
        <v>#REF!</v>
      </c>
      <c r="GA293" t="e">
        <f>AND(#REF!,"AAAAAG/797Y=")</f>
        <v>#REF!</v>
      </c>
      <c r="GB293" t="e">
        <f>AND(#REF!,"AAAAAG/797c=")</f>
        <v>#REF!</v>
      </c>
      <c r="GC293" t="e">
        <f>AND(#REF!,"AAAAAG/797g=")</f>
        <v>#REF!</v>
      </c>
      <c r="GD293" t="e">
        <f>AND(#REF!,"AAAAAG/797k=")</f>
        <v>#REF!</v>
      </c>
      <c r="GE293" t="e">
        <f>AND(#REF!,"AAAAAG/797o=")</f>
        <v>#REF!</v>
      </c>
      <c r="GF293" t="e">
        <f>IF(#REF!,"AAAAAG/797s=",0)</f>
        <v>#REF!</v>
      </c>
      <c r="GG293" t="e">
        <f>AND(#REF!,"AAAAAG/797w=")</f>
        <v>#REF!</v>
      </c>
      <c r="GH293" t="e">
        <f>AND(#REF!,"AAAAAG/7970=")</f>
        <v>#REF!</v>
      </c>
      <c r="GI293" t="e">
        <f>AND(#REF!,"AAAAAG/7974=")</f>
        <v>#REF!</v>
      </c>
      <c r="GJ293" t="e">
        <f>AND(#REF!,"AAAAAG/7978=")</f>
        <v>#REF!</v>
      </c>
      <c r="GK293" t="e">
        <f>AND(#REF!,"AAAAAG/798A=")</f>
        <v>#REF!</v>
      </c>
      <c r="GL293" t="e">
        <f>AND(#REF!,"AAAAAG/798E=")</f>
        <v>#REF!</v>
      </c>
      <c r="GM293" t="e">
        <f>AND(#REF!,"AAAAAG/798I=")</f>
        <v>#REF!</v>
      </c>
      <c r="GN293" t="e">
        <f>AND(#REF!,"AAAAAG/798M=")</f>
        <v>#REF!</v>
      </c>
      <c r="GO293" t="e">
        <f>AND(#REF!,"AAAAAG/798Q=")</f>
        <v>#REF!</v>
      </c>
      <c r="GP293" t="e">
        <f>AND(#REF!,"AAAAAG/798U=")</f>
        <v>#REF!</v>
      </c>
      <c r="GQ293" t="e">
        <f>IF(#REF!,"AAAAAG/798Y=",0)</f>
        <v>#REF!</v>
      </c>
      <c r="GR293" t="e">
        <f>AND(#REF!,"AAAAAG/798c=")</f>
        <v>#REF!</v>
      </c>
      <c r="GS293" t="e">
        <f>AND(#REF!,"AAAAAG/798g=")</f>
        <v>#REF!</v>
      </c>
      <c r="GT293" t="e">
        <f>AND(#REF!,"AAAAAG/798k=")</f>
        <v>#REF!</v>
      </c>
      <c r="GU293" t="e">
        <f>AND(#REF!,"AAAAAG/798o=")</f>
        <v>#REF!</v>
      </c>
      <c r="GV293" t="e">
        <f>AND(#REF!,"AAAAAG/798s=")</f>
        <v>#REF!</v>
      </c>
      <c r="GW293" t="e">
        <f>AND(#REF!,"AAAAAG/798w=")</f>
        <v>#REF!</v>
      </c>
      <c r="GX293" t="e">
        <f>AND(#REF!,"AAAAAG/7980=")</f>
        <v>#REF!</v>
      </c>
      <c r="GY293" t="e">
        <f>AND(#REF!,"AAAAAG/7984=")</f>
        <v>#REF!</v>
      </c>
      <c r="GZ293" t="e">
        <f>AND(#REF!,"AAAAAG/7988=")</f>
        <v>#REF!</v>
      </c>
      <c r="HA293" t="e">
        <f>AND(#REF!,"AAAAAG/799A=")</f>
        <v>#REF!</v>
      </c>
      <c r="HB293" t="e">
        <f>IF(#REF!,"AAAAAG/799E=",0)</f>
        <v>#REF!</v>
      </c>
      <c r="HC293" t="e">
        <f>AND(#REF!,"AAAAAG/799I=")</f>
        <v>#REF!</v>
      </c>
      <c r="HD293" t="e">
        <f>AND(#REF!,"AAAAAG/799M=")</f>
        <v>#REF!</v>
      </c>
      <c r="HE293" t="e">
        <f>AND(#REF!,"AAAAAG/799Q=")</f>
        <v>#REF!</v>
      </c>
      <c r="HF293" t="e">
        <f>AND(#REF!,"AAAAAG/799U=")</f>
        <v>#REF!</v>
      </c>
      <c r="HG293" t="e">
        <f>AND(#REF!,"AAAAAG/799Y=")</f>
        <v>#REF!</v>
      </c>
      <c r="HH293" t="e">
        <f>AND(#REF!,"AAAAAG/799c=")</f>
        <v>#REF!</v>
      </c>
      <c r="HI293" t="e">
        <f>AND(#REF!,"AAAAAG/799g=")</f>
        <v>#REF!</v>
      </c>
      <c r="HJ293" t="e">
        <f>AND(#REF!,"AAAAAG/799k=")</f>
        <v>#REF!</v>
      </c>
      <c r="HK293" t="e">
        <f>AND(#REF!,"AAAAAG/799o=")</f>
        <v>#REF!</v>
      </c>
      <c r="HL293" t="e">
        <f>AND(#REF!,"AAAAAG/799s=")</f>
        <v>#REF!</v>
      </c>
      <c r="HM293" t="e">
        <f>IF(#REF!,"AAAAAG/799w=",0)</f>
        <v>#REF!</v>
      </c>
      <c r="HN293" t="e">
        <f>AND(#REF!,"AAAAAG/7990=")</f>
        <v>#REF!</v>
      </c>
      <c r="HO293" t="e">
        <f>AND(#REF!,"AAAAAG/7994=")</f>
        <v>#REF!</v>
      </c>
      <c r="HP293" t="e">
        <f>AND(#REF!,"AAAAAG/7998=")</f>
        <v>#REF!</v>
      </c>
      <c r="HQ293" t="e">
        <f>AND(#REF!,"AAAAAG/79+A=")</f>
        <v>#REF!</v>
      </c>
      <c r="HR293" t="e">
        <f>AND(#REF!,"AAAAAG/79+E=")</f>
        <v>#REF!</v>
      </c>
      <c r="HS293" t="e">
        <f>AND(#REF!,"AAAAAG/79+I=")</f>
        <v>#REF!</v>
      </c>
      <c r="HT293" t="e">
        <f>AND(#REF!,"AAAAAG/79+M=")</f>
        <v>#REF!</v>
      </c>
      <c r="HU293" t="e">
        <f>AND(#REF!,"AAAAAG/79+Q=")</f>
        <v>#REF!</v>
      </c>
      <c r="HV293" t="e">
        <f>AND(#REF!,"AAAAAG/79+U=")</f>
        <v>#REF!</v>
      </c>
      <c r="HW293" t="e">
        <f>AND(#REF!,"AAAAAG/79+Y=")</f>
        <v>#REF!</v>
      </c>
      <c r="HX293" t="e">
        <f>IF(#REF!,"AAAAAG/79+c=",0)</f>
        <v>#REF!</v>
      </c>
      <c r="HY293" t="e">
        <f>AND(#REF!,"AAAAAG/79+g=")</f>
        <v>#REF!</v>
      </c>
      <c r="HZ293" t="e">
        <f>AND(#REF!,"AAAAAG/79+k=")</f>
        <v>#REF!</v>
      </c>
      <c r="IA293" t="e">
        <f>AND(#REF!,"AAAAAG/79+o=")</f>
        <v>#REF!</v>
      </c>
      <c r="IB293" t="e">
        <f>AND(#REF!,"AAAAAG/79+s=")</f>
        <v>#REF!</v>
      </c>
      <c r="IC293" t="e">
        <f>AND(#REF!,"AAAAAG/79+w=")</f>
        <v>#REF!</v>
      </c>
      <c r="ID293" t="e">
        <f>AND(#REF!,"AAAAAG/79+0=")</f>
        <v>#REF!</v>
      </c>
      <c r="IE293" t="e">
        <f>AND(#REF!,"AAAAAG/79+4=")</f>
        <v>#REF!</v>
      </c>
      <c r="IF293" t="e">
        <f>AND(#REF!,"AAAAAG/79+8=")</f>
        <v>#REF!</v>
      </c>
      <c r="IG293" t="e">
        <f>AND(#REF!,"AAAAAG/79/A=")</f>
        <v>#REF!</v>
      </c>
      <c r="IH293" t="e">
        <f>AND(#REF!,"AAAAAG/79/E=")</f>
        <v>#REF!</v>
      </c>
      <c r="II293" t="e">
        <f>IF(#REF!,"AAAAAG/79/I=",0)</f>
        <v>#REF!</v>
      </c>
      <c r="IJ293" t="e">
        <f>AND(#REF!,"AAAAAG/79/M=")</f>
        <v>#REF!</v>
      </c>
      <c r="IK293" t="e">
        <f>AND(#REF!,"AAAAAG/79/Q=")</f>
        <v>#REF!</v>
      </c>
      <c r="IL293" t="e">
        <f>AND(#REF!,"AAAAAG/79/U=")</f>
        <v>#REF!</v>
      </c>
      <c r="IM293" t="e">
        <f>AND(#REF!,"AAAAAG/79/Y=")</f>
        <v>#REF!</v>
      </c>
      <c r="IN293" t="e">
        <f>AND(#REF!,"AAAAAG/79/c=")</f>
        <v>#REF!</v>
      </c>
      <c r="IO293" t="e">
        <f>AND(#REF!,"AAAAAG/79/g=")</f>
        <v>#REF!</v>
      </c>
      <c r="IP293" t="e">
        <f>AND(#REF!,"AAAAAG/79/k=")</f>
        <v>#REF!</v>
      </c>
      <c r="IQ293" t="e">
        <f>AND(#REF!,"AAAAAG/79/o=")</f>
        <v>#REF!</v>
      </c>
      <c r="IR293" t="e">
        <f>AND(#REF!,"AAAAAG/79/s=")</f>
        <v>#REF!</v>
      </c>
      <c r="IS293" t="e">
        <f>AND(#REF!,"AAAAAG/79/w=")</f>
        <v>#REF!</v>
      </c>
      <c r="IT293" t="e">
        <f>IF(#REF!,"AAAAAG/79/0=",0)</f>
        <v>#REF!</v>
      </c>
      <c r="IU293" t="e">
        <f>AND(#REF!,"AAAAAG/79/4=")</f>
        <v>#REF!</v>
      </c>
      <c r="IV293" t="e">
        <f>AND(#REF!,"AAAAAG/79/8=")</f>
        <v>#REF!</v>
      </c>
    </row>
    <row r="294" spans="1:256" x14ac:dyDescent="0.25">
      <c r="A294" t="e">
        <f>AND(#REF!,"AAAAAH33zwA=")</f>
        <v>#REF!</v>
      </c>
      <c r="B294" t="e">
        <f>AND(#REF!,"AAAAAH33zwE=")</f>
        <v>#REF!</v>
      </c>
      <c r="C294" t="e">
        <f>AND(#REF!,"AAAAAH33zwI=")</f>
        <v>#REF!</v>
      </c>
      <c r="D294" t="e">
        <f>AND(#REF!,"AAAAAH33zwM=")</f>
        <v>#REF!</v>
      </c>
      <c r="E294" t="e">
        <f>AND(#REF!,"AAAAAH33zwQ=")</f>
        <v>#REF!</v>
      </c>
      <c r="F294" t="e">
        <f>AND(#REF!,"AAAAAH33zwU=")</f>
        <v>#REF!</v>
      </c>
      <c r="G294" t="e">
        <f>AND(#REF!,"AAAAAH33zwY=")</f>
        <v>#REF!</v>
      </c>
      <c r="H294" t="e">
        <f>AND(#REF!,"AAAAAH33zwc=")</f>
        <v>#REF!</v>
      </c>
      <c r="I294" t="e">
        <f>IF(#REF!,"AAAAAH33zwg=",0)</f>
        <v>#REF!</v>
      </c>
      <c r="J294" t="e">
        <f>AND(#REF!,"AAAAAH33zwk=")</f>
        <v>#REF!</v>
      </c>
      <c r="K294" t="e">
        <f>AND(#REF!,"AAAAAH33zwo=")</f>
        <v>#REF!</v>
      </c>
      <c r="L294" t="e">
        <f>AND(#REF!,"AAAAAH33zws=")</f>
        <v>#REF!</v>
      </c>
      <c r="M294" t="e">
        <f>AND(#REF!,"AAAAAH33zww=")</f>
        <v>#REF!</v>
      </c>
      <c r="N294" t="e">
        <f>AND(#REF!,"AAAAAH33zw0=")</f>
        <v>#REF!</v>
      </c>
      <c r="O294" t="e">
        <f>AND(#REF!,"AAAAAH33zw4=")</f>
        <v>#REF!</v>
      </c>
      <c r="P294" t="e">
        <f>AND(#REF!,"AAAAAH33zw8=")</f>
        <v>#REF!</v>
      </c>
      <c r="Q294" t="e">
        <f>AND(#REF!,"AAAAAH33zxA=")</f>
        <v>#REF!</v>
      </c>
      <c r="R294" t="e">
        <f>AND(#REF!,"AAAAAH33zxE=")</f>
        <v>#REF!</v>
      </c>
      <c r="S294" t="e">
        <f>AND(#REF!,"AAAAAH33zxI=")</f>
        <v>#REF!</v>
      </c>
      <c r="T294" t="e">
        <f>IF(#REF!,"AAAAAH33zxM=",0)</f>
        <v>#REF!</v>
      </c>
      <c r="U294" t="e">
        <f>AND(#REF!,"AAAAAH33zxQ=")</f>
        <v>#REF!</v>
      </c>
      <c r="V294" t="e">
        <f>AND(#REF!,"AAAAAH33zxU=")</f>
        <v>#REF!</v>
      </c>
      <c r="W294" t="e">
        <f>AND(#REF!,"AAAAAH33zxY=")</f>
        <v>#REF!</v>
      </c>
      <c r="X294" t="e">
        <f>AND(#REF!,"AAAAAH33zxc=")</f>
        <v>#REF!</v>
      </c>
      <c r="Y294" t="e">
        <f>AND(#REF!,"AAAAAH33zxg=")</f>
        <v>#REF!</v>
      </c>
      <c r="Z294" t="e">
        <f>AND(#REF!,"AAAAAH33zxk=")</f>
        <v>#REF!</v>
      </c>
      <c r="AA294" t="e">
        <f>AND(#REF!,"AAAAAH33zxo=")</f>
        <v>#REF!</v>
      </c>
      <c r="AB294" t="e">
        <f>AND(#REF!,"AAAAAH33zxs=")</f>
        <v>#REF!</v>
      </c>
      <c r="AC294" t="e">
        <f>AND(#REF!,"AAAAAH33zxw=")</f>
        <v>#REF!</v>
      </c>
      <c r="AD294" t="e">
        <f>AND(#REF!,"AAAAAH33zx0=")</f>
        <v>#REF!</v>
      </c>
      <c r="AE294" t="e">
        <f>IF(#REF!,"AAAAAH33zx4=",0)</f>
        <v>#REF!</v>
      </c>
      <c r="AF294" t="e">
        <f>AND(#REF!,"AAAAAH33zx8=")</f>
        <v>#REF!</v>
      </c>
      <c r="AG294" t="e">
        <f>AND(#REF!,"AAAAAH33zyA=")</f>
        <v>#REF!</v>
      </c>
      <c r="AH294" t="e">
        <f>AND(#REF!,"AAAAAH33zyE=")</f>
        <v>#REF!</v>
      </c>
      <c r="AI294" t="e">
        <f>AND(#REF!,"AAAAAH33zyI=")</f>
        <v>#REF!</v>
      </c>
      <c r="AJ294" t="e">
        <f>AND(#REF!,"AAAAAH33zyM=")</f>
        <v>#REF!</v>
      </c>
      <c r="AK294" t="e">
        <f>AND(#REF!,"AAAAAH33zyQ=")</f>
        <v>#REF!</v>
      </c>
      <c r="AL294" t="e">
        <f>AND(#REF!,"AAAAAH33zyU=")</f>
        <v>#REF!</v>
      </c>
      <c r="AM294" t="e">
        <f>AND(#REF!,"AAAAAH33zyY=")</f>
        <v>#REF!</v>
      </c>
      <c r="AN294" t="e">
        <f>AND(#REF!,"AAAAAH33zyc=")</f>
        <v>#REF!</v>
      </c>
      <c r="AO294" t="e">
        <f>AND(#REF!,"AAAAAH33zyg=")</f>
        <v>#REF!</v>
      </c>
      <c r="AP294" t="e">
        <f>IF(#REF!,"AAAAAH33zyk=",0)</f>
        <v>#REF!</v>
      </c>
      <c r="AQ294" t="e">
        <f>AND(#REF!,"AAAAAH33zyo=")</f>
        <v>#REF!</v>
      </c>
      <c r="AR294" t="e">
        <f>AND(#REF!,"AAAAAH33zys=")</f>
        <v>#REF!</v>
      </c>
      <c r="AS294" t="e">
        <f>AND(#REF!,"AAAAAH33zyw=")</f>
        <v>#REF!</v>
      </c>
      <c r="AT294" t="e">
        <f>AND(#REF!,"AAAAAH33zy0=")</f>
        <v>#REF!</v>
      </c>
      <c r="AU294" t="e">
        <f>AND(#REF!,"AAAAAH33zy4=")</f>
        <v>#REF!</v>
      </c>
      <c r="AV294" t="e">
        <f>AND(#REF!,"AAAAAH33zy8=")</f>
        <v>#REF!</v>
      </c>
      <c r="AW294" t="e">
        <f>AND(#REF!,"AAAAAH33zzA=")</f>
        <v>#REF!</v>
      </c>
      <c r="AX294" t="e">
        <f>AND(#REF!,"AAAAAH33zzE=")</f>
        <v>#REF!</v>
      </c>
      <c r="AY294" t="e">
        <f>AND(#REF!,"AAAAAH33zzI=")</f>
        <v>#REF!</v>
      </c>
      <c r="AZ294" t="e">
        <f>AND(#REF!,"AAAAAH33zzM=")</f>
        <v>#REF!</v>
      </c>
      <c r="BA294" t="e">
        <f>IF(#REF!,"AAAAAH33zzQ=",0)</f>
        <v>#REF!</v>
      </c>
      <c r="BB294" t="e">
        <f>AND(#REF!,"AAAAAH33zzU=")</f>
        <v>#REF!</v>
      </c>
      <c r="BC294" t="e">
        <f>AND(#REF!,"AAAAAH33zzY=")</f>
        <v>#REF!</v>
      </c>
      <c r="BD294" t="e">
        <f>AND(#REF!,"AAAAAH33zzc=")</f>
        <v>#REF!</v>
      </c>
      <c r="BE294" t="e">
        <f>AND(#REF!,"AAAAAH33zzg=")</f>
        <v>#REF!</v>
      </c>
      <c r="BF294" t="e">
        <f>AND(#REF!,"AAAAAH33zzk=")</f>
        <v>#REF!</v>
      </c>
      <c r="BG294" t="e">
        <f>AND(#REF!,"AAAAAH33zzo=")</f>
        <v>#REF!</v>
      </c>
      <c r="BH294" t="e">
        <f>AND(#REF!,"AAAAAH33zzs=")</f>
        <v>#REF!</v>
      </c>
      <c r="BI294" t="e">
        <f>AND(#REF!,"AAAAAH33zzw=")</f>
        <v>#REF!</v>
      </c>
      <c r="BJ294" t="e">
        <f>AND(#REF!,"AAAAAH33zz0=")</f>
        <v>#REF!</v>
      </c>
      <c r="BK294" t="e">
        <f>AND(#REF!,"AAAAAH33zz4=")</f>
        <v>#REF!</v>
      </c>
      <c r="BL294" t="e">
        <f>IF(#REF!,"AAAAAH33zz8=",0)</f>
        <v>#REF!</v>
      </c>
      <c r="BM294" t="e">
        <f>AND(#REF!,"AAAAAH33z0A=")</f>
        <v>#REF!</v>
      </c>
      <c r="BN294" t="e">
        <f>AND(#REF!,"AAAAAH33z0E=")</f>
        <v>#REF!</v>
      </c>
      <c r="BO294" t="e">
        <f>AND(#REF!,"AAAAAH33z0I=")</f>
        <v>#REF!</v>
      </c>
      <c r="BP294" t="e">
        <f>AND(#REF!,"AAAAAH33z0M=")</f>
        <v>#REF!</v>
      </c>
      <c r="BQ294" t="e">
        <f>AND(#REF!,"AAAAAH33z0Q=")</f>
        <v>#REF!</v>
      </c>
      <c r="BR294" t="e">
        <f>AND(#REF!,"AAAAAH33z0U=")</f>
        <v>#REF!</v>
      </c>
      <c r="BS294" t="e">
        <f>AND(#REF!,"AAAAAH33z0Y=")</f>
        <v>#REF!</v>
      </c>
      <c r="BT294" t="e">
        <f>AND(#REF!,"AAAAAH33z0c=")</f>
        <v>#REF!</v>
      </c>
      <c r="BU294" t="e">
        <f>AND(#REF!,"AAAAAH33z0g=")</f>
        <v>#REF!</v>
      </c>
      <c r="BV294" t="e">
        <f>AND(#REF!,"AAAAAH33z0k=")</f>
        <v>#REF!</v>
      </c>
      <c r="BW294" t="e">
        <f>IF(#REF!,"AAAAAH33z0o=",0)</f>
        <v>#REF!</v>
      </c>
      <c r="BX294" t="e">
        <f>AND(#REF!,"AAAAAH33z0s=")</f>
        <v>#REF!</v>
      </c>
      <c r="BY294" t="e">
        <f>AND(#REF!,"AAAAAH33z0w=")</f>
        <v>#REF!</v>
      </c>
      <c r="BZ294" t="e">
        <f>AND(#REF!,"AAAAAH33z00=")</f>
        <v>#REF!</v>
      </c>
      <c r="CA294" t="e">
        <f>AND(#REF!,"AAAAAH33z04=")</f>
        <v>#REF!</v>
      </c>
      <c r="CB294" t="e">
        <f>AND(#REF!,"AAAAAH33z08=")</f>
        <v>#REF!</v>
      </c>
      <c r="CC294" t="e">
        <f>AND(#REF!,"AAAAAH33z1A=")</f>
        <v>#REF!</v>
      </c>
      <c r="CD294" t="e">
        <f>AND(#REF!,"AAAAAH33z1E=")</f>
        <v>#REF!</v>
      </c>
      <c r="CE294" t="e">
        <f>AND(#REF!,"AAAAAH33z1I=")</f>
        <v>#REF!</v>
      </c>
      <c r="CF294" t="e">
        <f>AND(#REF!,"AAAAAH33z1M=")</f>
        <v>#REF!</v>
      </c>
      <c r="CG294" t="e">
        <f>AND(#REF!,"AAAAAH33z1Q=")</f>
        <v>#REF!</v>
      </c>
      <c r="CH294" t="e">
        <f>IF(#REF!,"AAAAAH33z1U=",0)</f>
        <v>#REF!</v>
      </c>
      <c r="CI294" t="e">
        <f>AND(#REF!,"AAAAAH33z1Y=")</f>
        <v>#REF!</v>
      </c>
      <c r="CJ294" t="e">
        <f>AND(#REF!,"AAAAAH33z1c=")</f>
        <v>#REF!</v>
      </c>
      <c r="CK294" t="e">
        <f>AND(#REF!,"AAAAAH33z1g=")</f>
        <v>#REF!</v>
      </c>
      <c r="CL294" t="e">
        <f>AND(#REF!,"AAAAAH33z1k=")</f>
        <v>#REF!</v>
      </c>
      <c r="CM294" t="e">
        <f>AND(#REF!,"AAAAAH33z1o=")</f>
        <v>#REF!</v>
      </c>
      <c r="CN294" t="e">
        <f>AND(#REF!,"AAAAAH33z1s=")</f>
        <v>#REF!</v>
      </c>
      <c r="CO294" t="e">
        <f>AND(#REF!,"AAAAAH33z1w=")</f>
        <v>#REF!</v>
      </c>
      <c r="CP294" t="e">
        <f>AND(#REF!,"AAAAAH33z10=")</f>
        <v>#REF!</v>
      </c>
      <c r="CQ294" t="e">
        <f>AND(#REF!,"AAAAAH33z14=")</f>
        <v>#REF!</v>
      </c>
      <c r="CR294" t="e">
        <f>AND(#REF!,"AAAAAH33z18=")</f>
        <v>#REF!</v>
      </c>
      <c r="CS294" t="e">
        <f>IF(#REF!,"AAAAAH33z2A=",0)</f>
        <v>#REF!</v>
      </c>
      <c r="CT294" t="e">
        <f>AND(#REF!,"AAAAAH33z2E=")</f>
        <v>#REF!</v>
      </c>
      <c r="CU294" t="e">
        <f>AND(#REF!,"AAAAAH33z2I=")</f>
        <v>#REF!</v>
      </c>
      <c r="CV294" t="e">
        <f>AND(#REF!,"AAAAAH33z2M=")</f>
        <v>#REF!</v>
      </c>
      <c r="CW294" t="e">
        <f>AND(#REF!,"AAAAAH33z2Q=")</f>
        <v>#REF!</v>
      </c>
      <c r="CX294" t="e">
        <f>AND(#REF!,"AAAAAH33z2U=")</f>
        <v>#REF!</v>
      </c>
      <c r="CY294" t="e">
        <f>AND(#REF!,"AAAAAH33z2Y=")</f>
        <v>#REF!</v>
      </c>
      <c r="CZ294" t="e">
        <f>AND(#REF!,"AAAAAH33z2c=")</f>
        <v>#REF!</v>
      </c>
      <c r="DA294" t="e">
        <f>AND(#REF!,"AAAAAH33z2g=")</f>
        <v>#REF!</v>
      </c>
      <c r="DB294" t="e">
        <f>AND(#REF!,"AAAAAH33z2k=")</f>
        <v>#REF!</v>
      </c>
      <c r="DC294" t="e">
        <f>AND(#REF!,"AAAAAH33z2o=")</f>
        <v>#REF!</v>
      </c>
      <c r="DD294" t="e">
        <f>IF(#REF!,"AAAAAH33z2s=",0)</f>
        <v>#REF!</v>
      </c>
      <c r="DE294" t="e">
        <f>AND(#REF!,"AAAAAH33z2w=")</f>
        <v>#REF!</v>
      </c>
      <c r="DF294" t="e">
        <f>AND(#REF!,"AAAAAH33z20=")</f>
        <v>#REF!</v>
      </c>
      <c r="DG294" t="e">
        <f>AND(#REF!,"AAAAAH33z24=")</f>
        <v>#REF!</v>
      </c>
      <c r="DH294" t="e">
        <f>AND(#REF!,"AAAAAH33z28=")</f>
        <v>#REF!</v>
      </c>
      <c r="DI294" t="e">
        <f>AND(#REF!,"AAAAAH33z3A=")</f>
        <v>#REF!</v>
      </c>
      <c r="DJ294" t="e">
        <f>AND(#REF!,"AAAAAH33z3E=")</f>
        <v>#REF!</v>
      </c>
      <c r="DK294" t="e">
        <f>AND(#REF!,"AAAAAH33z3I=")</f>
        <v>#REF!</v>
      </c>
      <c r="DL294" t="e">
        <f>AND(#REF!,"AAAAAH33z3M=")</f>
        <v>#REF!</v>
      </c>
      <c r="DM294" t="e">
        <f>AND(#REF!,"AAAAAH33z3Q=")</f>
        <v>#REF!</v>
      </c>
      <c r="DN294" t="e">
        <f>AND(#REF!,"AAAAAH33z3U=")</f>
        <v>#REF!</v>
      </c>
      <c r="DO294" t="e">
        <f>IF(#REF!,"AAAAAH33z3Y=",0)</f>
        <v>#REF!</v>
      </c>
      <c r="DP294" t="e">
        <f>AND(#REF!,"AAAAAH33z3c=")</f>
        <v>#REF!</v>
      </c>
      <c r="DQ294" t="e">
        <f>AND(#REF!,"AAAAAH33z3g=")</f>
        <v>#REF!</v>
      </c>
      <c r="DR294" t="e">
        <f>AND(#REF!,"AAAAAH33z3k=")</f>
        <v>#REF!</v>
      </c>
      <c r="DS294" t="e">
        <f>AND(#REF!,"AAAAAH33z3o=")</f>
        <v>#REF!</v>
      </c>
      <c r="DT294" t="e">
        <f>AND(#REF!,"AAAAAH33z3s=")</f>
        <v>#REF!</v>
      </c>
      <c r="DU294" t="e">
        <f>AND(#REF!,"AAAAAH33z3w=")</f>
        <v>#REF!</v>
      </c>
      <c r="DV294" t="e">
        <f>AND(#REF!,"AAAAAH33z30=")</f>
        <v>#REF!</v>
      </c>
      <c r="DW294" t="e">
        <f>AND(#REF!,"AAAAAH33z34=")</f>
        <v>#REF!</v>
      </c>
      <c r="DX294" t="e">
        <f>AND(#REF!,"AAAAAH33z38=")</f>
        <v>#REF!</v>
      </c>
      <c r="DY294" t="e">
        <f>AND(#REF!,"AAAAAH33z4A=")</f>
        <v>#REF!</v>
      </c>
      <c r="DZ294" t="e">
        <f>IF(#REF!,"AAAAAH33z4E=",0)</f>
        <v>#REF!</v>
      </c>
      <c r="EA294" t="e">
        <f>AND(#REF!,"AAAAAH33z4I=")</f>
        <v>#REF!</v>
      </c>
      <c r="EB294" t="e">
        <f>AND(#REF!,"AAAAAH33z4M=")</f>
        <v>#REF!</v>
      </c>
      <c r="EC294" t="e">
        <f>AND(#REF!,"AAAAAH33z4Q=")</f>
        <v>#REF!</v>
      </c>
      <c r="ED294" t="e">
        <f>AND(#REF!,"AAAAAH33z4U=")</f>
        <v>#REF!</v>
      </c>
      <c r="EE294" t="e">
        <f>AND(#REF!,"AAAAAH33z4Y=")</f>
        <v>#REF!</v>
      </c>
      <c r="EF294" t="e">
        <f>AND(#REF!,"AAAAAH33z4c=")</f>
        <v>#REF!</v>
      </c>
      <c r="EG294" t="e">
        <f>AND(#REF!,"AAAAAH33z4g=")</f>
        <v>#REF!</v>
      </c>
      <c r="EH294" t="e">
        <f>AND(#REF!,"AAAAAH33z4k=")</f>
        <v>#REF!</v>
      </c>
      <c r="EI294" t="e">
        <f>AND(#REF!,"AAAAAH33z4o=")</f>
        <v>#REF!</v>
      </c>
      <c r="EJ294" t="e">
        <f>AND(#REF!,"AAAAAH33z4s=")</f>
        <v>#REF!</v>
      </c>
      <c r="EK294" t="e">
        <f>IF(#REF!,"AAAAAH33z4w=",0)</f>
        <v>#REF!</v>
      </c>
      <c r="EL294" t="e">
        <f>AND(#REF!,"AAAAAH33z40=")</f>
        <v>#REF!</v>
      </c>
      <c r="EM294" t="e">
        <f>AND(#REF!,"AAAAAH33z44=")</f>
        <v>#REF!</v>
      </c>
      <c r="EN294" t="e">
        <f>AND(#REF!,"AAAAAH33z48=")</f>
        <v>#REF!</v>
      </c>
      <c r="EO294" t="e">
        <f>AND(#REF!,"AAAAAH33z5A=")</f>
        <v>#REF!</v>
      </c>
      <c r="EP294" t="e">
        <f>AND(#REF!,"AAAAAH33z5E=")</f>
        <v>#REF!</v>
      </c>
      <c r="EQ294" t="e">
        <f>AND(#REF!,"AAAAAH33z5I=")</f>
        <v>#REF!</v>
      </c>
      <c r="ER294" t="e">
        <f>AND(#REF!,"AAAAAH33z5M=")</f>
        <v>#REF!</v>
      </c>
      <c r="ES294" t="e">
        <f>AND(#REF!,"AAAAAH33z5Q=")</f>
        <v>#REF!</v>
      </c>
      <c r="ET294" t="e">
        <f>AND(#REF!,"AAAAAH33z5U=")</f>
        <v>#REF!</v>
      </c>
      <c r="EU294" t="e">
        <f>AND(#REF!,"AAAAAH33z5Y=")</f>
        <v>#REF!</v>
      </c>
      <c r="EV294" t="e">
        <f>IF(#REF!,"AAAAAH33z5c=",0)</f>
        <v>#REF!</v>
      </c>
      <c r="EW294" t="e">
        <f>AND(#REF!,"AAAAAH33z5g=")</f>
        <v>#REF!</v>
      </c>
      <c r="EX294" t="e">
        <f>AND(#REF!,"AAAAAH33z5k=")</f>
        <v>#REF!</v>
      </c>
      <c r="EY294" t="e">
        <f>AND(#REF!,"AAAAAH33z5o=")</f>
        <v>#REF!</v>
      </c>
      <c r="EZ294" t="e">
        <f>AND(#REF!,"AAAAAH33z5s=")</f>
        <v>#REF!</v>
      </c>
      <c r="FA294" t="e">
        <f>AND(#REF!,"AAAAAH33z5w=")</f>
        <v>#REF!</v>
      </c>
      <c r="FB294" t="e">
        <f>AND(#REF!,"AAAAAH33z50=")</f>
        <v>#REF!</v>
      </c>
      <c r="FC294" t="e">
        <f>AND(#REF!,"AAAAAH33z54=")</f>
        <v>#REF!</v>
      </c>
      <c r="FD294" t="e">
        <f>AND(#REF!,"AAAAAH33z58=")</f>
        <v>#REF!</v>
      </c>
      <c r="FE294" t="e">
        <f>AND(#REF!,"AAAAAH33z6A=")</f>
        <v>#REF!</v>
      </c>
      <c r="FF294" t="e">
        <f>AND(#REF!,"AAAAAH33z6E=")</f>
        <v>#REF!</v>
      </c>
      <c r="FG294" t="e">
        <f>IF(#REF!,"AAAAAH33z6I=",0)</f>
        <v>#REF!</v>
      </c>
      <c r="FH294" t="e">
        <f>AND(#REF!,"AAAAAH33z6M=")</f>
        <v>#REF!</v>
      </c>
      <c r="FI294" t="e">
        <f>AND(#REF!,"AAAAAH33z6Q=")</f>
        <v>#REF!</v>
      </c>
      <c r="FJ294" t="e">
        <f>AND(#REF!,"AAAAAH33z6U=")</f>
        <v>#REF!</v>
      </c>
      <c r="FK294" t="e">
        <f>AND(#REF!,"AAAAAH33z6Y=")</f>
        <v>#REF!</v>
      </c>
      <c r="FL294" t="e">
        <f>AND(#REF!,"AAAAAH33z6c=")</f>
        <v>#REF!</v>
      </c>
      <c r="FM294" t="e">
        <f>AND(#REF!,"AAAAAH33z6g=")</f>
        <v>#REF!</v>
      </c>
      <c r="FN294" t="e">
        <f>AND(#REF!,"AAAAAH33z6k=")</f>
        <v>#REF!</v>
      </c>
      <c r="FO294" t="e">
        <f>AND(#REF!,"AAAAAH33z6o=")</f>
        <v>#REF!</v>
      </c>
      <c r="FP294" t="e">
        <f>AND(#REF!,"AAAAAH33z6s=")</f>
        <v>#REF!</v>
      </c>
      <c r="FQ294" t="e">
        <f>AND(#REF!,"AAAAAH33z6w=")</f>
        <v>#REF!</v>
      </c>
      <c r="FR294" t="e">
        <f>IF(#REF!,"AAAAAH33z60=",0)</f>
        <v>#REF!</v>
      </c>
      <c r="FS294" t="e">
        <f>AND(#REF!,"AAAAAH33z64=")</f>
        <v>#REF!</v>
      </c>
      <c r="FT294" t="e">
        <f>AND(#REF!,"AAAAAH33z68=")</f>
        <v>#REF!</v>
      </c>
      <c r="FU294" t="e">
        <f>AND(#REF!,"AAAAAH33z7A=")</f>
        <v>#REF!</v>
      </c>
      <c r="FV294" t="e">
        <f>AND(#REF!,"AAAAAH33z7E=")</f>
        <v>#REF!</v>
      </c>
      <c r="FW294" t="e">
        <f>AND(#REF!,"AAAAAH33z7I=")</f>
        <v>#REF!</v>
      </c>
      <c r="FX294" t="e">
        <f>AND(#REF!,"AAAAAH33z7M=")</f>
        <v>#REF!</v>
      </c>
      <c r="FY294" t="e">
        <f>AND(#REF!,"AAAAAH33z7Q=")</f>
        <v>#REF!</v>
      </c>
      <c r="FZ294" t="e">
        <f>AND(#REF!,"AAAAAH33z7U=")</f>
        <v>#REF!</v>
      </c>
      <c r="GA294" t="e">
        <f>AND(#REF!,"AAAAAH33z7Y=")</f>
        <v>#REF!</v>
      </c>
      <c r="GB294" t="e">
        <f>AND(#REF!,"AAAAAH33z7c=")</f>
        <v>#REF!</v>
      </c>
      <c r="GC294" t="e">
        <f>IF(#REF!,"AAAAAH33z7g=",0)</f>
        <v>#REF!</v>
      </c>
      <c r="GD294" t="e">
        <f>AND(#REF!,"AAAAAH33z7k=")</f>
        <v>#REF!</v>
      </c>
      <c r="GE294" t="e">
        <f>AND(#REF!,"AAAAAH33z7o=")</f>
        <v>#REF!</v>
      </c>
      <c r="GF294" t="e">
        <f>AND(#REF!,"AAAAAH33z7s=")</f>
        <v>#REF!</v>
      </c>
      <c r="GG294" t="e">
        <f>AND(#REF!,"AAAAAH33z7w=")</f>
        <v>#REF!</v>
      </c>
      <c r="GH294" t="e">
        <f>AND(#REF!,"AAAAAH33z70=")</f>
        <v>#REF!</v>
      </c>
      <c r="GI294" t="e">
        <f>AND(#REF!,"AAAAAH33z74=")</f>
        <v>#REF!</v>
      </c>
      <c r="GJ294" t="e">
        <f>AND(#REF!,"AAAAAH33z78=")</f>
        <v>#REF!</v>
      </c>
      <c r="GK294" t="e">
        <f>AND(#REF!,"AAAAAH33z8A=")</f>
        <v>#REF!</v>
      </c>
      <c r="GL294" t="e">
        <f>AND(#REF!,"AAAAAH33z8E=")</f>
        <v>#REF!</v>
      </c>
      <c r="GM294" t="e">
        <f>AND(#REF!,"AAAAAH33z8I=")</f>
        <v>#REF!</v>
      </c>
      <c r="GN294" t="e">
        <f>IF(#REF!,"AAAAAH33z8M=",0)</f>
        <v>#REF!</v>
      </c>
      <c r="GO294" t="e">
        <f>AND(#REF!,"AAAAAH33z8Q=")</f>
        <v>#REF!</v>
      </c>
      <c r="GP294" t="e">
        <f>AND(#REF!,"AAAAAH33z8U=")</f>
        <v>#REF!</v>
      </c>
      <c r="GQ294" t="e">
        <f>AND(#REF!,"AAAAAH33z8Y=")</f>
        <v>#REF!</v>
      </c>
      <c r="GR294" t="e">
        <f>AND(#REF!,"AAAAAH33z8c=")</f>
        <v>#REF!</v>
      </c>
      <c r="GS294" t="e">
        <f>AND(#REF!,"AAAAAH33z8g=")</f>
        <v>#REF!</v>
      </c>
      <c r="GT294" t="e">
        <f>AND(#REF!,"AAAAAH33z8k=")</f>
        <v>#REF!</v>
      </c>
      <c r="GU294" t="e">
        <f>AND(#REF!,"AAAAAH33z8o=")</f>
        <v>#REF!</v>
      </c>
      <c r="GV294" t="e">
        <f>AND(#REF!,"AAAAAH33z8s=")</f>
        <v>#REF!</v>
      </c>
      <c r="GW294" t="e">
        <f>AND(#REF!,"AAAAAH33z8w=")</f>
        <v>#REF!</v>
      </c>
      <c r="GX294" t="e">
        <f>AND(#REF!,"AAAAAH33z80=")</f>
        <v>#REF!</v>
      </c>
      <c r="GY294" t="e">
        <f>IF(#REF!,"AAAAAH33z84=",0)</f>
        <v>#REF!</v>
      </c>
      <c r="GZ294" t="e">
        <f>AND(#REF!,"AAAAAH33z88=")</f>
        <v>#REF!</v>
      </c>
      <c r="HA294" t="e">
        <f>AND(#REF!,"AAAAAH33z9A=")</f>
        <v>#REF!</v>
      </c>
      <c r="HB294" t="e">
        <f>AND(#REF!,"AAAAAH33z9E=")</f>
        <v>#REF!</v>
      </c>
      <c r="HC294" t="e">
        <f>AND(#REF!,"AAAAAH33z9I=")</f>
        <v>#REF!</v>
      </c>
      <c r="HD294" t="e">
        <f>AND(#REF!,"AAAAAH33z9M=")</f>
        <v>#REF!</v>
      </c>
      <c r="HE294" t="e">
        <f>AND(#REF!,"AAAAAH33z9Q=")</f>
        <v>#REF!</v>
      </c>
      <c r="HF294" t="e">
        <f>AND(#REF!,"AAAAAH33z9U=")</f>
        <v>#REF!</v>
      </c>
      <c r="HG294" t="e">
        <f>AND(#REF!,"AAAAAH33z9Y=")</f>
        <v>#REF!</v>
      </c>
      <c r="HH294" t="e">
        <f>AND(#REF!,"AAAAAH33z9c=")</f>
        <v>#REF!</v>
      </c>
      <c r="HI294" t="e">
        <f>AND(#REF!,"AAAAAH33z9g=")</f>
        <v>#REF!</v>
      </c>
      <c r="HJ294" t="e">
        <f>IF(#REF!,"AAAAAH33z9k=",0)</f>
        <v>#REF!</v>
      </c>
      <c r="HK294" t="e">
        <f>AND(#REF!,"AAAAAH33z9o=")</f>
        <v>#REF!</v>
      </c>
      <c r="HL294" t="e">
        <f>AND(#REF!,"AAAAAH33z9s=")</f>
        <v>#REF!</v>
      </c>
      <c r="HM294" t="e">
        <f>AND(#REF!,"AAAAAH33z9w=")</f>
        <v>#REF!</v>
      </c>
      <c r="HN294" t="e">
        <f>AND(#REF!,"AAAAAH33z90=")</f>
        <v>#REF!</v>
      </c>
      <c r="HO294" t="e">
        <f>AND(#REF!,"AAAAAH33z94=")</f>
        <v>#REF!</v>
      </c>
      <c r="HP294" t="e">
        <f>AND(#REF!,"AAAAAH33z98=")</f>
        <v>#REF!</v>
      </c>
      <c r="HQ294" t="e">
        <f>AND(#REF!,"AAAAAH33z+A=")</f>
        <v>#REF!</v>
      </c>
      <c r="HR294" t="e">
        <f>AND(#REF!,"AAAAAH33z+E=")</f>
        <v>#REF!</v>
      </c>
      <c r="HS294" t="e">
        <f>AND(#REF!,"AAAAAH33z+I=")</f>
        <v>#REF!</v>
      </c>
      <c r="HT294" t="e">
        <f>AND(#REF!,"AAAAAH33z+M=")</f>
        <v>#REF!</v>
      </c>
      <c r="HU294" t="e">
        <f>IF(#REF!,"AAAAAH33z+Q=",0)</f>
        <v>#REF!</v>
      </c>
      <c r="HV294" t="e">
        <f>AND(#REF!,"AAAAAH33z+U=")</f>
        <v>#REF!</v>
      </c>
      <c r="HW294" t="e">
        <f>AND(#REF!,"AAAAAH33z+Y=")</f>
        <v>#REF!</v>
      </c>
      <c r="HX294" t="e">
        <f>AND(#REF!,"AAAAAH33z+c=")</f>
        <v>#REF!</v>
      </c>
      <c r="HY294" t="e">
        <f>AND(#REF!,"AAAAAH33z+g=")</f>
        <v>#REF!</v>
      </c>
      <c r="HZ294" t="e">
        <f>AND(#REF!,"AAAAAH33z+k=")</f>
        <v>#REF!</v>
      </c>
      <c r="IA294" t="e">
        <f>AND(#REF!,"AAAAAH33z+o=")</f>
        <v>#REF!</v>
      </c>
      <c r="IB294" t="e">
        <f>AND(#REF!,"AAAAAH33z+s=")</f>
        <v>#REF!</v>
      </c>
      <c r="IC294" t="e">
        <f>AND(#REF!,"AAAAAH33z+w=")</f>
        <v>#REF!</v>
      </c>
      <c r="ID294" t="e">
        <f>AND(#REF!,"AAAAAH33z+0=")</f>
        <v>#REF!</v>
      </c>
      <c r="IE294" t="e">
        <f>AND(#REF!,"AAAAAH33z+4=")</f>
        <v>#REF!</v>
      </c>
      <c r="IF294" t="e">
        <f>IF(#REF!,"AAAAAH33z+8=",0)</f>
        <v>#REF!</v>
      </c>
      <c r="IG294" t="e">
        <f>AND(#REF!,"AAAAAH33z/A=")</f>
        <v>#REF!</v>
      </c>
      <c r="IH294" t="e">
        <f>AND(#REF!,"AAAAAH33z/E=")</f>
        <v>#REF!</v>
      </c>
      <c r="II294" t="e">
        <f>AND(#REF!,"AAAAAH33z/I=")</f>
        <v>#REF!</v>
      </c>
      <c r="IJ294" t="e">
        <f>AND(#REF!,"AAAAAH33z/M=")</f>
        <v>#REF!</v>
      </c>
      <c r="IK294" t="e">
        <f>AND(#REF!,"AAAAAH33z/Q=")</f>
        <v>#REF!</v>
      </c>
      <c r="IL294" t="e">
        <f>AND(#REF!,"AAAAAH33z/U=")</f>
        <v>#REF!</v>
      </c>
      <c r="IM294" t="e">
        <f>AND(#REF!,"AAAAAH33z/Y=")</f>
        <v>#REF!</v>
      </c>
      <c r="IN294" t="e">
        <f>AND(#REF!,"AAAAAH33z/c=")</f>
        <v>#REF!</v>
      </c>
      <c r="IO294" t="e">
        <f>AND(#REF!,"AAAAAH33z/g=")</f>
        <v>#REF!</v>
      </c>
      <c r="IP294" t="e">
        <f>AND(#REF!,"AAAAAH33z/k=")</f>
        <v>#REF!</v>
      </c>
      <c r="IQ294" t="e">
        <f>IF(#REF!,"AAAAAH33z/o=",0)</f>
        <v>#REF!</v>
      </c>
      <c r="IR294" t="e">
        <f>AND(#REF!,"AAAAAH33z/s=")</f>
        <v>#REF!</v>
      </c>
      <c r="IS294" t="e">
        <f>AND(#REF!,"AAAAAH33z/w=")</f>
        <v>#REF!</v>
      </c>
      <c r="IT294" t="e">
        <f>AND(#REF!,"AAAAAH33z/0=")</f>
        <v>#REF!</v>
      </c>
      <c r="IU294" t="e">
        <f>AND(#REF!,"AAAAAH33z/4=")</f>
        <v>#REF!</v>
      </c>
      <c r="IV294" t="e">
        <f>AND(#REF!,"AAAAAH33z/8=")</f>
        <v>#REF!</v>
      </c>
    </row>
    <row r="295" spans="1:256" x14ac:dyDescent="0.25">
      <c r="A295" t="e">
        <f>AND(#REF!,"AAAAAFxt/wA=")</f>
        <v>#REF!</v>
      </c>
      <c r="B295" t="e">
        <f>AND(#REF!,"AAAAAFxt/wE=")</f>
        <v>#REF!</v>
      </c>
      <c r="C295" t="e">
        <f>AND(#REF!,"AAAAAFxt/wI=")</f>
        <v>#REF!</v>
      </c>
      <c r="D295" t="e">
        <f>AND(#REF!,"AAAAAFxt/wM=")</f>
        <v>#REF!</v>
      </c>
      <c r="E295" t="e">
        <f>AND(#REF!,"AAAAAFxt/wQ=")</f>
        <v>#REF!</v>
      </c>
      <c r="F295" t="e">
        <f>IF(#REF!,"AAAAAFxt/wU=",0)</f>
        <v>#REF!</v>
      </c>
      <c r="G295" t="e">
        <f>AND(#REF!,"AAAAAFxt/wY=")</f>
        <v>#REF!</v>
      </c>
      <c r="H295" t="e">
        <f>AND(#REF!,"AAAAAFxt/wc=")</f>
        <v>#REF!</v>
      </c>
      <c r="I295" t="e">
        <f>AND(#REF!,"AAAAAFxt/wg=")</f>
        <v>#REF!</v>
      </c>
      <c r="J295" t="e">
        <f>AND(#REF!,"AAAAAFxt/wk=")</f>
        <v>#REF!</v>
      </c>
      <c r="K295" t="e">
        <f>AND(#REF!,"AAAAAFxt/wo=")</f>
        <v>#REF!</v>
      </c>
      <c r="L295" t="e">
        <f>AND(#REF!,"AAAAAFxt/ws=")</f>
        <v>#REF!</v>
      </c>
      <c r="M295" t="e">
        <f>AND(#REF!,"AAAAAFxt/ww=")</f>
        <v>#REF!</v>
      </c>
      <c r="N295" t="e">
        <f>AND(#REF!,"AAAAAFxt/w0=")</f>
        <v>#REF!</v>
      </c>
      <c r="O295" t="e">
        <f>AND(#REF!,"AAAAAFxt/w4=")</f>
        <v>#REF!</v>
      </c>
      <c r="P295" t="e">
        <f>AND(#REF!,"AAAAAFxt/w8=")</f>
        <v>#REF!</v>
      </c>
      <c r="Q295" t="e">
        <f>IF(#REF!,"AAAAAFxt/xA=",0)</f>
        <v>#REF!</v>
      </c>
      <c r="R295" t="e">
        <f>AND(#REF!,"AAAAAFxt/xE=")</f>
        <v>#REF!</v>
      </c>
      <c r="S295" t="e">
        <f>AND(#REF!,"AAAAAFxt/xI=")</f>
        <v>#REF!</v>
      </c>
      <c r="T295" t="e">
        <f>AND(#REF!,"AAAAAFxt/xM=")</f>
        <v>#REF!</v>
      </c>
      <c r="U295" t="e">
        <f>AND(#REF!,"AAAAAFxt/xQ=")</f>
        <v>#REF!</v>
      </c>
      <c r="V295" t="e">
        <f>AND(#REF!,"AAAAAFxt/xU=")</f>
        <v>#REF!</v>
      </c>
      <c r="W295" t="e">
        <f>AND(#REF!,"AAAAAFxt/xY=")</f>
        <v>#REF!</v>
      </c>
      <c r="X295" t="e">
        <f>AND(#REF!,"AAAAAFxt/xc=")</f>
        <v>#REF!</v>
      </c>
      <c r="Y295" t="e">
        <f>AND(#REF!,"AAAAAFxt/xg=")</f>
        <v>#REF!</v>
      </c>
      <c r="Z295" t="e">
        <f>AND(#REF!,"AAAAAFxt/xk=")</f>
        <v>#REF!</v>
      </c>
      <c r="AA295" t="e">
        <f>AND(#REF!,"AAAAAFxt/xo=")</f>
        <v>#REF!</v>
      </c>
      <c r="AB295" t="e">
        <f>IF(#REF!,"AAAAAFxt/xs=",0)</f>
        <v>#REF!</v>
      </c>
      <c r="AC295" t="e">
        <f>AND(#REF!,"AAAAAFxt/xw=")</f>
        <v>#REF!</v>
      </c>
      <c r="AD295" t="e">
        <f>AND(#REF!,"AAAAAFxt/x0=")</f>
        <v>#REF!</v>
      </c>
      <c r="AE295" t="e">
        <f>AND(#REF!,"AAAAAFxt/x4=")</f>
        <v>#REF!</v>
      </c>
      <c r="AF295" t="e">
        <f>AND(#REF!,"AAAAAFxt/x8=")</f>
        <v>#REF!</v>
      </c>
      <c r="AG295" t="e">
        <f>AND(#REF!,"AAAAAFxt/yA=")</f>
        <v>#REF!</v>
      </c>
      <c r="AH295" t="e">
        <f>AND(#REF!,"AAAAAFxt/yE=")</f>
        <v>#REF!</v>
      </c>
      <c r="AI295" t="e">
        <f>AND(#REF!,"AAAAAFxt/yI=")</f>
        <v>#REF!</v>
      </c>
      <c r="AJ295" t="e">
        <f>AND(#REF!,"AAAAAFxt/yM=")</f>
        <v>#REF!</v>
      </c>
      <c r="AK295" t="e">
        <f>AND(#REF!,"AAAAAFxt/yQ=")</f>
        <v>#REF!</v>
      </c>
      <c r="AL295" t="e">
        <f>AND(#REF!,"AAAAAFxt/yU=")</f>
        <v>#REF!</v>
      </c>
      <c r="AM295" t="e">
        <f>IF(#REF!,"AAAAAFxt/yY=",0)</f>
        <v>#REF!</v>
      </c>
      <c r="AN295" t="e">
        <f>AND(#REF!,"AAAAAFxt/yc=")</f>
        <v>#REF!</v>
      </c>
      <c r="AO295" t="e">
        <f>AND(#REF!,"AAAAAFxt/yg=")</f>
        <v>#REF!</v>
      </c>
      <c r="AP295" t="e">
        <f>AND(#REF!,"AAAAAFxt/yk=")</f>
        <v>#REF!</v>
      </c>
      <c r="AQ295" t="e">
        <f>AND(#REF!,"AAAAAFxt/yo=")</f>
        <v>#REF!</v>
      </c>
      <c r="AR295" t="e">
        <f>AND(#REF!,"AAAAAFxt/ys=")</f>
        <v>#REF!</v>
      </c>
      <c r="AS295" t="e">
        <f>AND(#REF!,"AAAAAFxt/yw=")</f>
        <v>#REF!</v>
      </c>
      <c r="AT295" t="e">
        <f>AND(#REF!,"AAAAAFxt/y0=")</f>
        <v>#REF!</v>
      </c>
      <c r="AU295" t="e">
        <f>AND(#REF!,"AAAAAFxt/y4=")</f>
        <v>#REF!</v>
      </c>
      <c r="AV295" t="e">
        <f>AND(#REF!,"AAAAAFxt/y8=")</f>
        <v>#REF!</v>
      </c>
      <c r="AW295" t="e">
        <f>AND(#REF!,"AAAAAFxt/zA=")</f>
        <v>#REF!</v>
      </c>
      <c r="AX295" t="e">
        <f>IF(#REF!,"AAAAAFxt/zE=",0)</f>
        <v>#REF!</v>
      </c>
      <c r="AY295" t="e">
        <f>AND(#REF!,"AAAAAFxt/zI=")</f>
        <v>#REF!</v>
      </c>
      <c r="AZ295" t="e">
        <f>AND(#REF!,"AAAAAFxt/zM=")</f>
        <v>#REF!</v>
      </c>
      <c r="BA295" t="e">
        <f>AND(#REF!,"AAAAAFxt/zQ=")</f>
        <v>#REF!</v>
      </c>
      <c r="BB295" t="e">
        <f>AND(#REF!,"AAAAAFxt/zU=")</f>
        <v>#REF!</v>
      </c>
      <c r="BC295" t="e">
        <f>AND(#REF!,"AAAAAFxt/zY=")</f>
        <v>#REF!</v>
      </c>
      <c r="BD295" t="e">
        <f>AND(#REF!,"AAAAAFxt/zc=")</f>
        <v>#REF!</v>
      </c>
      <c r="BE295" t="e">
        <f>AND(#REF!,"AAAAAFxt/zg=")</f>
        <v>#REF!</v>
      </c>
      <c r="BF295" t="e">
        <f>AND(#REF!,"AAAAAFxt/zk=")</f>
        <v>#REF!</v>
      </c>
      <c r="BG295" t="e">
        <f>AND(#REF!,"AAAAAFxt/zo=")</f>
        <v>#REF!</v>
      </c>
      <c r="BH295" t="e">
        <f>AND(#REF!,"AAAAAFxt/zs=")</f>
        <v>#REF!</v>
      </c>
      <c r="BI295" t="e">
        <f>IF(#REF!,"AAAAAFxt/zw=",0)</f>
        <v>#REF!</v>
      </c>
      <c r="BJ295" t="e">
        <f>AND(#REF!,"AAAAAFxt/z0=")</f>
        <v>#REF!</v>
      </c>
      <c r="BK295" t="e">
        <f>AND(#REF!,"AAAAAFxt/z4=")</f>
        <v>#REF!</v>
      </c>
      <c r="BL295" t="e">
        <f>AND(#REF!,"AAAAAFxt/z8=")</f>
        <v>#REF!</v>
      </c>
      <c r="BM295" t="e">
        <f>AND(#REF!,"AAAAAFxt/0A=")</f>
        <v>#REF!</v>
      </c>
      <c r="BN295" t="e">
        <f>AND(#REF!,"AAAAAFxt/0E=")</f>
        <v>#REF!</v>
      </c>
      <c r="BO295" t="e">
        <f>AND(#REF!,"AAAAAFxt/0I=")</f>
        <v>#REF!</v>
      </c>
      <c r="BP295" t="e">
        <f>AND(#REF!,"AAAAAFxt/0M=")</f>
        <v>#REF!</v>
      </c>
      <c r="BQ295" t="e">
        <f>AND(#REF!,"AAAAAFxt/0Q=")</f>
        <v>#REF!</v>
      </c>
      <c r="BR295" t="e">
        <f>AND(#REF!,"AAAAAFxt/0U=")</f>
        <v>#REF!</v>
      </c>
      <c r="BS295" t="e">
        <f>AND(#REF!,"AAAAAFxt/0Y=")</f>
        <v>#REF!</v>
      </c>
      <c r="BT295" t="e">
        <f>IF(#REF!,"AAAAAFxt/0c=",0)</f>
        <v>#REF!</v>
      </c>
      <c r="BU295" t="e">
        <f>AND(#REF!,"AAAAAFxt/0g=")</f>
        <v>#REF!</v>
      </c>
      <c r="BV295" t="e">
        <f>AND(#REF!,"AAAAAFxt/0k=")</f>
        <v>#REF!</v>
      </c>
      <c r="BW295" t="e">
        <f>AND(#REF!,"AAAAAFxt/0o=")</f>
        <v>#REF!</v>
      </c>
      <c r="BX295" t="e">
        <f>AND(#REF!,"AAAAAFxt/0s=")</f>
        <v>#REF!</v>
      </c>
      <c r="BY295" t="e">
        <f>AND(#REF!,"AAAAAFxt/0w=")</f>
        <v>#REF!</v>
      </c>
      <c r="BZ295" t="e">
        <f>AND(#REF!,"AAAAAFxt/00=")</f>
        <v>#REF!</v>
      </c>
      <c r="CA295" t="e">
        <f>AND(#REF!,"AAAAAFxt/04=")</f>
        <v>#REF!</v>
      </c>
      <c r="CB295" t="e">
        <f>AND(#REF!,"AAAAAFxt/08=")</f>
        <v>#REF!</v>
      </c>
      <c r="CC295" t="e">
        <f>AND(#REF!,"AAAAAFxt/1A=")</f>
        <v>#REF!</v>
      </c>
      <c r="CD295" t="e">
        <f>AND(#REF!,"AAAAAFxt/1E=")</f>
        <v>#REF!</v>
      </c>
      <c r="CE295" t="e">
        <f>IF(#REF!,"AAAAAFxt/1I=",0)</f>
        <v>#REF!</v>
      </c>
      <c r="CF295" t="e">
        <f>AND(#REF!,"AAAAAFxt/1M=")</f>
        <v>#REF!</v>
      </c>
      <c r="CG295" t="e">
        <f>AND(#REF!,"AAAAAFxt/1Q=")</f>
        <v>#REF!</v>
      </c>
      <c r="CH295" t="e">
        <f>AND(#REF!,"AAAAAFxt/1U=")</f>
        <v>#REF!</v>
      </c>
      <c r="CI295" t="e">
        <f>AND(#REF!,"AAAAAFxt/1Y=")</f>
        <v>#REF!</v>
      </c>
      <c r="CJ295" t="e">
        <f>AND(#REF!,"AAAAAFxt/1c=")</f>
        <v>#REF!</v>
      </c>
      <c r="CK295" t="e">
        <f>AND(#REF!,"AAAAAFxt/1g=")</f>
        <v>#REF!</v>
      </c>
      <c r="CL295" t="e">
        <f>AND(#REF!,"AAAAAFxt/1k=")</f>
        <v>#REF!</v>
      </c>
      <c r="CM295" t="e">
        <f>AND(#REF!,"AAAAAFxt/1o=")</f>
        <v>#REF!</v>
      </c>
      <c r="CN295" t="e">
        <f>AND(#REF!,"AAAAAFxt/1s=")</f>
        <v>#REF!</v>
      </c>
      <c r="CO295" t="e">
        <f>AND(#REF!,"AAAAAFxt/1w=")</f>
        <v>#REF!</v>
      </c>
      <c r="CP295" t="e">
        <f>IF(#REF!,"AAAAAFxt/10=",0)</f>
        <v>#REF!</v>
      </c>
      <c r="CQ295" t="e">
        <f>AND(#REF!,"AAAAAFxt/14=")</f>
        <v>#REF!</v>
      </c>
      <c r="CR295" t="e">
        <f>AND(#REF!,"AAAAAFxt/18=")</f>
        <v>#REF!</v>
      </c>
      <c r="CS295" t="e">
        <f>AND(#REF!,"AAAAAFxt/2A=")</f>
        <v>#REF!</v>
      </c>
      <c r="CT295" t="e">
        <f>AND(#REF!,"AAAAAFxt/2E=")</f>
        <v>#REF!</v>
      </c>
      <c r="CU295" t="e">
        <f>AND(#REF!,"AAAAAFxt/2I=")</f>
        <v>#REF!</v>
      </c>
      <c r="CV295" t="e">
        <f>AND(#REF!,"AAAAAFxt/2M=")</f>
        <v>#REF!</v>
      </c>
      <c r="CW295" t="e">
        <f>AND(#REF!,"AAAAAFxt/2Q=")</f>
        <v>#REF!</v>
      </c>
      <c r="CX295" t="e">
        <f>AND(#REF!,"AAAAAFxt/2U=")</f>
        <v>#REF!</v>
      </c>
      <c r="CY295" t="e">
        <f>AND(#REF!,"AAAAAFxt/2Y=")</f>
        <v>#REF!</v>
      </c>
      <c r="CZ295" t="e">
        <f>AND(#REF!,"AAAAAFxt/2c=")</f>
        <v>#REF!</v>
      </c>
      <c r="DA295" t="e">
        <f>IF(#REF!,"AAAAAFxt/2g=",0)</f>
        <v>#REF!</v>
      </c>
      <c r="DB295" t="e">
        <f>AND(#REF!,"AAAAAFxt/2k=")</f>
        <v>#REF!</v>
      </c>
      <c r="DC295" t="e">
        <f>AND(#REF!,"AAAAAFxt/2o=")</f>
        <v>#REF!</v>
      </c>
      <c r="DD295" t="e">
        <f>AND(#REF!,"AAAAAFxt/2s=")</f>
        <v>#REF!</v>
      </c>
      <c r="DE295" t="e">
        <f>AND(#REF!,"AAAAAFxt/2w=")</f>
        <v>#REF!</v>
      </c>
      <c r="DF295" t="e">
        <f>AND(#REF!,"AAAAAFxt/20=")</f>
        <v>#REF!</v>
      </c>
      <c r="DG295" t="e">
        <f>AND(#REF!,"AAAAAFxt/24=")</f>
        <v>#REF!</v>
      </c>
      <c r="DH295" t="e">
        <f>AND(#REF!,"AAAAAFxt/28=")</f>
        <v>#REF!</v>
      </c>
      <c r="DI295" t="e">
        <f>AND(#REF!,"AAAAAFxt/3A=")</f>
        <v>#REF!</v>
      </c>
      <c r="DJ295" t="e">
        <f>AND(#REF!,"AAAAAFxt/3E=")</f>
        <v>#REF!</v>
      </c>
      <c r="DK295" t="e">
        <f>AND(#REF!,"AAAAAFxt/3I=")</f>
        <v>#REF!</v>
      </c>
      <c r="DL295" t="e">
        <f>IF(#REF!,"AAAAAFxt/3M=",0)</f>
        <v>#REF!</v>
      </c>
      <c r="DM295" t="e">
        <f>AND(#REF!,"AAAAAFxt/3Q=")</f>
        <v>#REF!</v>
      </c>
      <c r="DN295" t="e">
        <f>AND(#REF!,"AAAAAFxt/3U=")</f>
        <v>#REF!</v>
      </c>
      <c r="DO295" t="e">
        <f>AND(#REF!,"AAAAAFxt/3Y=")</f>
        <v>#REF!</v>
      </c>
      <c r="DP295" t="e">
        <f>AND(#REF!,"AAAAAFxt/3c=")</f>
        <v>#REF!</v>
      </c>
      <c r="DQ295" t="e">
        <f>AND(#REF!,"AAAAAFxt/3g=")</f>
        <v>#REF!</v>
      </c>
      <c r="DR295" t="e">
        <f>AND(#REF!,"AAAAAFxt/3k=")</f>
        <v>#REF!</v>
      </c>
      <c r="DS295" t="e">
        <f>AND(#REF!,"AAAAAFxt/3o=")</f>
        <v>#REF!</v>
      </c>
      <c r="DT295" t="e">
        <f>AND(#REF!,"AAAAAFxt/3s=")</f>
        <v>#REF!</v>
      </c>
      <c r="DU295" t="e">
        <f>AND(#REF!,"AAAAAFxt/3w=")</f>
        <v>#REF!</v>
      </c>
      <c r="DV295" t="e">
        <f>AND(#REF!,"AAAAAFxt/30=")</f>
        <v>#REF!</v>
      </c>
      <c r="DW295" t="e">
        <f>IF(#REF!,"AAAAAFxt/34=",0)</f>
        <v>#REF!</v>
      </c>
      <c r="DX295" t="e">
        <f>AND(#REF!,"AAAAAFxt/38=")</f>
        <v>#REF!</v>
      </c>
      <c r="DY295" t="e">
        <f>AND(#REF!,"AAAAAFxt/4A=")</f>
        <v>#REF!</v>
      </c>
      <c r="DZ295" t="e">
        <f>AND(#REF!,"AAAAAFxt/4E=")</f>
        <v>#REF!</v>
      </c>
      <c r="EA295" t="e">
        <f>AND(#REF!,"AAAAAFxt/4I=")</f>
        <v>#REF!</v>
      </c>
      <c r="EB295" t="e">
        <f>AND(#REF!,"AAAAAFxt/4M=")</f>
        <v>#REF!</v>
      </c>
      <c r="EC295" t="e">
        <f>AND(#REF!,"AAAAAFxt/4Q=")</f>
        <v>#REF!</v>
      </c>
      <c r="ED295" t="e">
        <f>AND(#REF!,"AAAAAFxt/4U=")</f>
        <v>#REF!</v>
      </c>
      <c r="EE295" t="e">
        <f>AND(#REF!,"AAAAAFxt/4Y=")</f>
        <v>#REF!</v>
      </c>
      <c r="EF295" t="e">
        <f>AND(#REF!,"AAAAAFxt/4c=")</f>
        <v>#REF!</v>
      </c>
      <c r="EG295" t="e">
        <f>AND(#REF!,"AAAAAFxt/4g=")</f>
        <v>#REF!</v>
      </c>
      <c r="EH295" t="e">
        <f>IF(#REF!,"AAAAAFxt/4k=",0)</f>
        <v>#REF!</v>
      </c>
      <c r="EI295" t="e">
        <f>AND(#REF!,"AAAAAFxt/4o=")</f>
        <v>#REF!</v>
      </c>
      <c r="EJ295" t="e">
        <f>AND(#REF!,"AAAAAFxt/4s=")</f>
        <v>#REF!</v>
      </c>
      <c r="EK295" t="e">
        <f>AND(#REF!,"AAAAAFxt/4w=")</f>
        <v>#REF!</v>
      </c>
      <c r="EL295" t="e">
        <f>AND(#REF!,"AAAAAFxt/40=")</f>
        <v>#REF!</v>
      </c>
      <c r="EM295" t="e">
        <f>AND(#REF!,"AAAAAFxt/44=")</f>
        <v>#REF!</v>
      </c>
      <c r="EN295" t="e">
        <f>AND(#REF!,"AAAAAFxt/48=")</f>
        <v>#REF!</v>
      </c>
      <c r="EO295" t="e">
        <f>AND(#REF!,"AAAAAFxt/5A=")</f>
        <v>#REF!</v>
      </c>
      <c r="EP295" t="e">
        <f>AND(#REF!,"AAAAAFxt/5E=")</f>
        <v>#REF!</v>
      </c>
      <c r="EQ295" t="e">
        <f>AND(#REF!,"AAAAAFxt/5I=")</f>
        <v>#REF!</v>
      </c>
      <c r="ER295" t="e">
        <f>AND(#REF!,"AAAAAFxt/5M=")</f>
        <v>#REF!</v>
      </c>
      <c r="ES295" t="e">
        <f>IF(#REF!,"AAAAAFxt/5Q=",0)</f>
        <v>#REF!</v>
      </c>
      <c r="ET295" t="e">
        <f>AND(#REF!,"AAAAAFxt/5U=")</f>
        <v>#REF!</v>
      </c>
      <c r="EU295" t="e">
        <f>AND(#REF!,"AAAAAFxt/5Y=")</f>
        <v>#REF!</v>
      </c>
      <c r="EV295" t="e">
        <f>AND(#REF!,"AAAAAFxt/5c=")</f>
        <v>#REF!</v>
      </c>
      <c r="EW295" t="e">
        <f>AND(#REF!,"AAAAAFxt/5g=")</f>
        <v>#REF!</v>
      </c>
      <c r="EX295" t="e">
        <f>AND(#REF!,"AAAAAFxt/5k=")</f>
        <v>#REF!</v>
      </c>
      <c r="EY295" t="e">
        <f>AND(#REF!,"AAAAAFxt/5o=")</f>
        <v>#REF!</v>
      </c>
      <c r="EZ295" t="e">
        <f>AND(#REF!,"AAAAAFxt/5s=")</f>
        <v>#REF!</v>
      </c>
      <c r="FA295" t="e">
        <f>AND(#REF!,"AAAAAFxt/5w=")</f>
        <v>#REF!</v>
      </c>
      <c r="FB295" t="e">
        <f>AND(#REF!,"AAAAAFxt/50=")</f>
        <v>#REF!</v>
      </c>
      <c r="FC295" t="e">
        <f>AND(#REF!,"AAAAAFxt/54=")</f>
        <v>#REF!</v>
      </c>
      <c r="FD295" t="e">
        <f>IF(#REF!,"AAAAAFxt/58=",0)</f>
        <v>#REF!</v>
      </c>
      <c r="FE295" t="e">
        <f>AND(#REF!,"AAAAAFxt/6A=")</f>
        <v>#REF!</v>
      </c>
      <c r="FF295" t="e">
        <f>AND(#REF!,"AAAAAFxt/6E=")</f>
        <v>#REF!</v>
      </c>
      <c r="FG295" t="e">
        <f>AND(#REF!,"AAAAAFxt/6I=")</f>
        <v>#REF!</v>
      </c>
      <c r="FH295" t="e">
        <f>AND(#REF!,"AAAAAFxt/6M=")</f>
        <v>#REF!</v>
      </c>
      <c r="FI295" t="e">
        <f>AND(#REF!,"AAAAAFxt/6Q=")</f>
        <v>#REF!</v>
      </c>
      <c r="FJ295" t="e">
        <f>AND(#REF!,"AAAAAFxt/6U=")</f>
        <v>#REF!</v>
      </c>
      <c r="FK295" t="e">
        <f>AND(#REF!,"AAAAAFxt/6Y=")</f>
        <v>#REF!</v>
      </c>
      <c r="FL295" t="e">
        <f>AND(#REF!,"AAAAAFxt/6c=")</f>
        <v>#REF!</v>
      </c>
      <c r="FM295" t="e">
        <f>AND(#REF!,"AAAAAFxt/6g=")</f>
        <v>#REF!</v>
      </c>
      <c r="FN295" t="e">
        <f>AND(#REF!,"AAAAAFxt/6k=")</f>
        <v>#REF!</v>
      </c>
      <c r="FO295" t="e">
        <f>IF(#REF!,"AAAAAFxt/6o=",0)</f>
        <v>#REF!</v>
      </c>
      <c r="FP295" t="e">
        <f>AND(#REF!,"AAAAAFxt/6s=")</f>
        <v>#REF!</v>
      </c>
      <c r="FQ295" t="e">
        <f>AND(#REF!,"AAAAAFxt/6w=")</f>
        <v>#REF!</v>
      </c>
      <c r="FR295" t="e">
        <f>AND(#REF!,"AAAAAFxt/60=")</f>
        <v>#REF!</v>
      </c>
      <c r="FS295" t="e">
        <f>AND(#REF!,"AAAAAFxt/64=")</f>
        <v>#REF!</v>
      </c>
      <c r="FT295" t="e">
        <f>AND(#REF!,"AAAAAFxt/68=")</f>
        <v>#REF!</v>
      </c>
      <c r="FU295" t="e">
        <f>AND(#REF!,"AAAAAFxt/7A=")</f>
        <v>#REF!</v>
      </c>
      <c r="FV295" t="e">
        <f>AND(#REF!,"AAAAAFxt/7E=")</f>
        <v>#REF!</v>
      </c>
      <c r="FW295" t="e">
        <f>AND(#REF!,"AAAAAFxt/7I=")</f>
        <v>#REF!</v>
      </c>
      <c r="FX295" t="e">
        <f>AND(#REF!,"AAAAAFxt/7M=")</f>
        <v>#REF!</v>
      </c>
      <c r="FY295" t="e">
        <f>AND(#REF!,"AAAAAFxt/7Q=")</f>
        <v>#REF!</v>
      </c>
      <c r="FZ295" t="e">
        <f>IF(#REF!,"AAAAAFxt/7U=",0)</f>
        <v>#REF!</v>
      </c>
      <c r="GA295" t="e">
        <f>AND(#REF!,"AAAAAFxt/7Y=")</f>
        <v>#REF!</v>
      </c>
      <c r="GB295" t="e">
        <f>AND(#REF!,"AAAAAFxt/7c=")</f>
        <v>#REF!</v>
      </c>
      <c r="GC295" t="e">
        <f>AND(#REF!,"AAAAAFxt/7g=")</f>
        <v>#REF!</v>
      </c>
      <c r="GD295" t="e">
        <f>AND(#REF!,"AAAAAFxt/7k=")</f>
        <v>#REF!</v>
      </c>
      <c r="GE295" t="e">
        <f>AND(#REF!,"AAAAAFxt/7o=")</f>
        <v>#REF!</v>
      </c>
      <c r="GF295" t="e">
        <f>AND(#REF!,"AAAAAFxt/7s=")</f>
        <v>#REF!</v>
      </c>
      <c r="GG295" t="e">
        <f>AND(#REF!,"AAAAAFxt/7w=")</f>
        <v>#REF!</v>
      </c>
      <c r="GH295" t="e">
        <f>AND(#REF!,"AAAAAFxt/70=")</f>
        <v>#REF!</v>
      </c>
      <c r="GI295" t="e">
        <f>AND(#REF!,"AAAAAFxt/74=")</f>
        <v>#REF!</v>
      </c>
      <c r="GJ295" t="e">
        <f>AND(#REF!,"AAAAAFxt/78=")</f>
        <v>#REF!</v>
      </c>
      <c r="GK295" t="e">
        <f>IF(#REF!,"AAAAAFxt/8A=",0)</f>
        <v>#REF!</v>
      </c>
      <c r="GL295" t="e">
        <f>AND(#REF!,"AAAAAFxt/8E=")</f>
        <v>#REF!</v>
      </c>
      <c r="GM295" t="e">
        <f>AND(#REF!,"AAAAAFxt/8I=")</f>
        <v>#REF!</v>
      </c>
      <c r="GN295" t="e">
        <f>AND(#REF!,"AAAAAFxt/8M=")</f>
        <v>#REF!</v>
      </c>
      <c r="GO295" t="e">
        <f>AND(#REF!,"AAAAAFxt/8Q=")</f>
        <v>#REF!</v>
      </c>
      <c r="GP295" t="e">
        <f>AND(#REF!,"AAAAAFxt/8U=")</f>
        <v>#REF!</v>
      </c>
      <c r="GQ295" t="e">
        <f>AND(#REF!,"AAAAAFxt/8Y=")</f>
        <v>#REF!</v>
      </c>
      <c r="GR295" t="e">
        <f>AND(#REF!,"AAAAAFxt/8c=")</f>
        <v>#REF!</v>
      </c>
      <c r="GS295" t="e">
        <f>AND(#REF!,"AAAAAFxt/8g=")</f>
        <v>#REF!</v>
      </c>
      <c r="GT295" t="e">
        <f>AND(#REF!,"AAAAAFxt/8k=")</f>
        <v>#REF!</v>
      </c>
      <c r="GU295" t="e">
        <f>AND(#REF!,"AAAAAFxt/8o=")</f>
        <v>#REF!</v>
      </c>
      <c r="GV295" t="e">
        <f>IF(#REF!,"AAAAAFxt/8s=",0)</f>
        <v>#REF!</v>
      </c>
      <c r="GW295" t="e">
        <f>AND(#REF!,"AAAAAFxt/8w=")</f>
        <v>#REF!</v>
      </c>
      <c r="GX295" t="e">
        <f>AND(#REF!,"AAAAAFxt/80=")</f>
        <v>#REF!</v>
      </c>
      <c r="GY295" t="e">
        <f>AND(#REF!,"AAAAAFxt/84=")</f>
        <v>#REF!</v>
      </c>
      <c r="GZ295" t="e">
        <f>AND(#REF!,"AAAAAFxt/88=")</f>
        <v>#REF!</v>
      </c>
      <c r="HA295" t="e">
        <f>AND(#REF!,"AAAAAFxt/9A=")</f>
        <v>#REF!</v>
      </c>
      <c r="HB295" t="e">
        <f>AND(#REF!,"AAAAAFxt/9E=")</f>
        <v>#REF!</v>
      </c>
      <c r="HC295" t="e">
        <f>AND(#REF!,"AAAAAFxt/9I=")</f>
        <v>#REF!</v>
      </c>
      <c r="HD295" t="e">
        <f>AND(#REF!,"AAAAAFxt/9M=")</f>
        <v>#REF!</v>
      </c>
      <c r="HE295" t="e">
        <f>AND(#REF!,"AAAAAFxt/9Q=")</f>
        <v>#REF!</v>
      </c>
      <c r="HF295" t="e">
        <f>AND(#REF!,"AAAAAFxt/9U=")</f>
        <v>#REF!</v>
      </c>
      <c r="HG295" t="e">
        <f>IF(#REF!,"AAAAAFxt/9Y=",0)</f>
        <v>#REF!</v>
      </c>
      <c r="HH295" t="e">
        <f>AND(#REF!,"AAAAAFxt/9c=")</f>
        <v>#REF!</v>
      </c>
      <c r="HI295" t="e">
        <f>AND(#REF!,"AAAAAFxt/9g=")</f>
        <v>#REF!</v>
      </c>
      <c r="HJ295" t="e">
        <f>AND(#REF!,"AAAAAFxt/9k=")</f>
        <v>#REF!</v>
      </c>
      <c r="HK295" t="e">
        <f>AND(#REF!,"AAAAAFxt/9o=")</f>
        <v>#REF!</v>
      </c>
      <c r="HL295" t="e">
        <f>AND(#REF!,"AAAAAFxt/9s=")</f>
        <v>#REF!</v>
      </c>
      <c r="HM295" t="e">
        <f>AND(#REF!,"AAAAAFxt/9w=")</f>
        <v>#REF!</v>
      </c>
      <c r="HN295" t="e">
        <f>AND(#REF!,"AAAAAFxt/90=")</f>
        <v>#REF!</v>
      </c>
      <c r="HO295" t="e">
        <f>AND(#REF!,"AAAAAFxt/94=")</f>
        <v>#REF!</v>
      </c>
      <c r="HP295" t="e">
        <f>AND(#REF!,"AAAAAFxt/98=")</f>
        <v>#REF!</v>
      </c>
      <c r="HQ295" t="e">
        <f>AND(#REF!,"AAAAAFxt/+A=")</f>
        <v>#REF!</v>
      </c>
      <c r="HR295" t="e">
        <f>IF(#REF!,"AAAAAFxt/+E=",0)</f>
        <v>#REF!</v>
      </c>
      <c r="HS295" t="e">
        <f>AND(#REF!,"AAAAAFxt/+I=")</f>
        <v>#REF!</v>
      </c>
      <c r="HT295" t="e">
        <f>AND(#REF!,"AAAAAFxt/+M=")</f>
        <v>#REF!</v>
      </c>
      <c r="HU295" t="e">
        <f>AND(#REF!,"AAAAAFxt/+Q=")</f>
        <v>#REF!</v>
      </c>
      <c r="HV295" t="e">
        <f>AND(#REF!,"AAAAAFxt/+U=")</f>
        <v>#REF!</v>
      </c>
      <c r="HW295" t="e">
        <f>AND(#REF!,"AAAAAFxt/+Y=")</f>
        <v>#REF!</v>
      </c>
      <c r="HX295" t="e">
        <f>AND(#REF!,"AAAAAFxt/+c=")</f>
        <v>#REF!</v>
      </c>
      <c r="HY295" t="e">
        <f>AND(#REF!,"AAAAAFxt/+g=")</f>
        <v>#REF!</v>
      </c>
      <c r="HZ295" t="e">
        <f>AND(#REF!,"AAAAAFxt/+k=")</f>
        <v>#REF!</v>
      </c>
      <c r="IA295" t="e">
        <f>AND(#REF!,"AAAAAFxt/+o=")</f>
        <v>#REF!</v>
      </c>
      <c r="IB295" t="e">
        <f>AND(#REF!,"AAAAAFxt/+s=")</f>
        <v>#REF!</v>
      </c>
      <c r="IC295" t="e">
        <f>IF(#REF!,"AAAAAFxt/+w=",0)</f>
        <v>#REF!</v>
      </c>
      <c r="ID295" t="e">
        <f>AND(#REF!,"AAAAAFxt/+0=")</f>
        <v>#REF!</v>
      </c>
      <c r="IE295" t="e">
        <f>AND(#REF!,"AAAAAFxt/+4=")</f>
        <v>#REF!</v>
      </c>
      <c r="IF295" t="e">
        <f>AND(#REF!,"AAAAAFxt/+8=")</f>
        <v>#REF!</v>
      </c>
      <c r="IG295" t="e">
        <f>AND(#REF!,"AAAAAFxt//A=")</f>
        <v>#REF!</v>
      </c>
      <c r="IH295" t="e">
        <f>AND(#REF!,"AAAAAFxt//E=")</f>
        <v>#REF!</v>
      </c>
      <c r="II295" t="e">
        <f>AND(#REF!,"AAAAAFxt//I=")</f>
        <v>#REF!</v>
      </c>
      <c r="IJ295" t="e">
        <f>AND(#REF!,"AAAAAFxt//M=")</f>
        <v>#REF!</v>
      </c>
      <c r="IK295" t="e">
        <f>AND(#REF!,"AAAAAFxt//Q=")</f>
        <v>#REF!</v>
      </c>
      <c r="IL295" t="e">
        <f>AND(#REF!,"AAAAAFxt//U=")</f>
        <v>#REF!</v>
      </c>
      <c r="IM295" t="e">
        <f>AND(#REF!,"AAAAAFxt//Y=")</f>
        <v>#REF!</v>
      </c>
      <c r="IN295" t="e">
        <f>IF(#REF!,"AAAAAFxt//c=",0)</f>
        <v>#REF!</v>
      </c>
      <c r="IO295" t="e">
        <f>AND(#REF!,"AAAAAFxt//g=")</f>
        <v>#REF!</v>
      </c>
      <c r="IP295" t="e">
        <f>AND(#REF!,"AAAAAFxt//k=")</f>
        <v>#REF!</v>
      </c>
      <c r="IQ295" t="e">
        <f>AND(#REF!,"AAAAAFxt//o=")</f>
        <v>#REF!</v>
      </c>
      <c r="IR295" t="e">
        <f>AND(#REF!,"AAAAAFxt//s=")</f>
        <v>#REF!</v>
      </c>
      <c r="IS295" t="e">
        <f>AND(#REF!,"AAAAAFxt//w=")</f>
        <v>#REF!</v>
      </c>
      <c r="IT295" t="e">
        <f>AND(#REF!,"AAAAAFxt//0=")</f>
        <v>#REF!</v>
      </c>
      <c r="IU295" t="e">
        <f>AND(#REF!,"AAAAAFxt//4=")</f>
        <v>#REF!</v>
      </c>
      <c r="IV295" t="e">
        <f>AND(#REF!,"AAAAAFxt//8=")</f>
        <v>#REF!</v>
      </c>
    </row>
    <row r="296" spans="1:256" x14ac:dyDescent="0.25">
      <c r="A296" t="e">
        <f>AND(#REF!,"AAAAAH32/wA=")</f>
        <v>#REF!</v>
      </c>
      <c r="B296" t="e">
        <f>AND(#REF!,"AAAAAH32/wE=")</f>
        <v>#REF!</v>
      </c>
      <c r="C296" t="e">
        <f>IF(#REF!,"AAAAAH32/wI=",0)</f>
        <v>#REF!</v>
      </c>
      <c r="D296" t="e">
        <f>AND(#REF!,"AAAAAH32/wM=")</f>
        <v>#REF!</v>
      </c>
      <c r="E296" t="e">
        <f>AND(#REF!,"AAAAAH32/wQ=")</f>
        <v>#REF!</v>
      </c>
      <c r="F296" t="e">
        <f>AND(#REF!,"AAAAAH32/wU=")</f>
        <v>#REF!</v>
      </c>
      <c r="G296" t="e">
        <f>AND(#REF!,"AAAAAH32/wY=")</f>
        <v>#REF!</v>
      </c>
      <c r="H296" t="e">
        <f>AND(#REF!,"AAAAAH32/wc=")</f>
        <v>#REF!</v>
      </c>
      <c r="I296" t="e">
        <f>AND(#REF!,"AAAAAH32/wg=")</f>
        <v>#REF!</v>
      </c>
      <c r="J296" t="e">
        <f>AND(#REF!,"AAAAAH32/wk=")</f>
        <v>#REF!</v>
      </c>
      <c r="K296" t="e">
        <f>AND(#REF!,"AAAAAH32/wo=")</f>
        <v>#REF!</v>
      </c>
      <c r="L296" t="e">
        <f>AND(#REF!,"AAAAAH32/ws=")</f>
        <v>#REF!</v>
      </c>
      <c r="M296" t="e">
        <f>AND(#REF!,"AAAAAH32/ww=")</f>
        <v>#REF!</v>
      </c>
      <c r="N296" t="e">
        <f>IF(#REF!,"AAAAAH32/w0=",0)</f>
        <v>#REF!</v>
      </c>
      <c r="O296" t="e">
        <f>AND(#REF!,"AAAAAH32/w4=")</f>
        <v>#REF!</v>
      </c>
      <c r="P296" t="e">
        <f>AND(#REF!,"AAAAAH32/w8=")</f>
        <v>#REF!</v>
      </c>
      <c r="Q296" t="e">
        <f>AND(#REF!,"AAAAAH32/xA=")</f>
        <v>#REF!</v>
      </c>
      <c r="R296" t="e">
        <f>AND(#REF!,"AAAAAH32/xE=")</f>
        <v>#REF!</v>
      </c>
      <c r="S296" t="e">
        <f>AND(#REF!,"AAAAAH32/xI=")</f>
        <v>#REF!</v>
      </c>
      <c r="T296" t="e">
        <f>AND(#REF!,"AAAAAH32/xM=")</f>
        <v>#REF!</v>
      </c>
      <c r="U296" t="e">
        <f>AND(#REF!,"AAAAAH32/xQ=")</f>
        <v>#REF!</v>
      </c>
      <c r="V296" t="e">
        <f>AND(#REF!,"AAAAAH32/xU=")</f>
        <v>#REF!</v>
      </c>
      <c r="W296" t="e">
        <f>AND(#REF!,"AAAAAH32/xY=")</f>
        <v>#REF!</v>
      </c>
      <c r="X296" t="e">
        <f>AND(#REF!,"AAAAAH32/xc=")</f>
        <v>#REF!</v>
      </c>
      <c r="Y296" t="e">
        <f>IF(#REF!,"AAAAAH32/xg=",0)</f>
        <v>#REF!</v>
      </c>
      <c r="Z296" t="e">
        <f>AND(#REF!,"AAAAAH32/xk=")</f>
        <v>#REF!</v>
      </c>
      <c r="AA296" t="e">
        <f>AND(#REF!,"AAAAAH32/xo=")</f>
        <v>#REF!</v>
      </c>
      <c r="AB296" t="e">
        <f>AND(#REF!,"AAAAAH32/xs=")</f>
        <v>#REF!</v>
      </c>
      <c r="AC296" t="e">
        <f>AND(#REF!,"AAAAAH32/xw=")</f>
        <v>#REF!</v>
      </c>
      <c r="AD296" t="e">
        <f>AND(#REF!,"AAAAAH32/x0=")</f>
        <v>#REF!</v>
      </c>
      <c r="AE296" t="e">
        <f>AND(#REF!,"AAAAAH32/x4=")</f>
        <v>#REF!</v>
      </c>
      <c r="AF296" t="e">
        <f>AND(#REF!,"AAAAAH32/x8=")</f>
        <v>#REF!</v>
      </c>
      <c r="AG296" t="e">
        <f>AND(#REF!,"AAAAAH32/yA=")</f>
        <v>#REF!</v>
      </c>
      <c r="AH296" t="e">
        <f>AND(#REF!,"AAAAAH32/yE=")</f>
        <v>#REF!</v>
      </c>
      <c r="AI296" t="e">
        <f>AND(#REF!,"AAAAAH32/yI=")</f>
        <v>#REF!</v>
      </c>
      <c r="AJ296" t="e">
        <f>IF(#REF!,"AAAAAH32/yM=",0)</f>
        <v>#REF!</v>
      </c>
      <c r="AK296" t="e">
        <f>AND(#REF!,"AAAAAH32/yQ=")</f>
        <v>#REF!</v>
      </c>
      <c r="AL296" t="e">
        <f>AND(#REF!,"AAAAAH32/yU=")</f>
        <v>#REF!</v>
      </c>
      <c r="AM296" t="e">
        <f>AND(#REF!,"AAAAAH32/yY=")</f>
        <v>#REF!</v>
      </c>
      <c r="AN296" t="e">
        <f>AND(#REF!,"AAAAAH32/yc=")</f>
        <v>#REF!</v>
      </c>
      <c r="AO296" t="e">
        <f>AND(#REF!,"AAAAAH32/yg=")</f>
        <v>#REF!</v>
      </c>
      <c r="AP296" t="e">
        <f>AND(#REF!,"AAAAAH32/yk=")</f>
        <v>#REF!</v>
      </c>
      <c r="AQ296" t="e">
        <f>AND(#REF!,"AAAAAH32/yo=")</f>
        <v>#REF!</v>
      </c>
      <c r="AR296" t="e">
        <f>AND(#REF!,"AAAAAH32/ys=")</f>
        <v>#REF!</v>
      </c>
      <c r="AS296" t="e">
        <f>AND(#REF!,"AAAAAH32/yw=")</f>
        <v>#REF!</v>
      </c>
      <c r="AT296" t="e">
        <f>AND(#REF!,"AAAAAH32/y0=")</f>
        <v>#REF!</v>
      </c>
      <c r="AU296" t="e">
        <f>IF(#REF!,"AAAAAH32/y4=",0)</f>
        <v>#REF!</v>
      </c>
      <c r="AV296" t="e">
        <f>AND(#REF!,"AAAAAH32/y8=")</f>
        <v>#REF!</v>
      </c>
      <c r="AW296" t="e">
        <f>AND(#REF!,"AAAAAH32/zA=")</f>
        <v>#REF!</v>
      </c>
      <c r="AX296" t="e">
        <f>AND(#REF!,"AAAAAH32/zE=")</f>
        <v>#REF!</v>
      </c>
      <c r="AY296" t="e">
        <f>AND(#REF!,"AAAAAH32/zI=")</f>
        <v>#REF!</v>
      </c>
      <c r="AZ296" t="e">
        <f>AND(#REF!,"AAAAAH32/zM=")</f>
        <v>#REF!</v>
      </c>
      <c r="BA296" t="e">
        <f>AND(#REF!,"AAAAAH32/zQ=")</f>
        <v>#REF!</v>
      </c>
      <c r="BB296" t="e">
        <f>AND(#REF!,"AAAAAH32/zU=")</f>
        <v>#REF!</v>
      </c>
      <c r="BC296" t="e">
        <f>AND(#REF!,"AAAAAH32/zY=")</f>
        <v>#REF!</v>
      </c>
      <c r="BD296" t="e">
        <f>AND(#REF!,"AAAAAH32/zc=")</f>
        <v>#REF!</v>
      </c>
      <c r="BE296" t="e">
        <f>AND(#REF!,"AAAAAH32/zg=")</f>
        <v>#REF!</v>
      </c>
      <c r="BF296" t="e">
        <f>IF(#REF!,"AAAAAH32/zk=",0)</f>
        <v>#REF!</v>
      </c>
      <c r="BG296" t="e">
        <f>AND(#REF!,"AAAAAH32/zo=")</f>
        <v>#REF!</v>
      </c>
      <c r="BH296" t="e">
        <f>AND(#REF!,"AAAAAH32/zs=")</f>
        <v>#REF!</v>
      </c>
      <c r="BI296" t="e">
        <f>AND(#REF!,"AAAAAH32/zw=")</f>
        <v>#REF!</v>
      </c>
      <c r="BJ296" t="e">
        <f>AND(#REF!,"AAAAAH32/z0=")</f>
        <v>#REF!</v>
      </c>
      <c r="BK296" t="e">
        <f>AND(#REF!,"AAAAAH32/z4=")</f>
        <v>#REF!</v>
      </c>
      <c r="BL296" t="e">
        <f>AND(#REF!,"AAAAAH32/z8=")</f>
        <v>#REF!</v>
      </c>
      <c r="BM296" t="e">
        <f>AND(#REF!,"AAAAAH32/0A=")</f>
        <v>#REF!</v>
      </c>
      <c r="BN296" t="e">
        <f>AND(#REF!,"AAAAAH32/0E=")</f>
        <v>#REF!</v>
      </c>
      <c r="BO296" t="e">
        <f>AND(#REF!,"AAAAAH32/0I=")</f>
        <v>#REF!</v>
      </c>
      <c r="BP296" t="e">
        <f>AND(#REF!,"AAAAAH32/0M=")</f>
        <v>#REF!</v>
      </c>
      <c r="BQ296" t="e">
        <f>IF(#REF!,"AAAAAH32/0Q=",0)</f>
        <v>#REF!</v>
      </c>
      <c r="BR296" t="e">
        <f>AND(#REF!,"AAAAAH32/0U=")</f>
        <v>#REF!</v>
      </c>
      <c r="BS296" t="e">
        <f>AND(#REF!,"AAAAAH32/0Y=")</f>
        <v>#REF!</v>
      </c>
      <c r="BT296" t="e">
        <f>AND(#REF!,"AAAAAH32/0c=")</f>
        <v>#REF!</v>
      </c>
      <c r="BU296" t="e">
        <f>AND(#REF!,"AAAAAH32/0g=")</f>
        <v>#REF!</v>
      </c>
      <c r="BV296" t="e">
        <f>AND(#REF!,"AAAAAH32/0k=")</f>
        <v>#REF!</v>
      </c>
      <c r="BW296" t="e">
        <f>AND(#REF!,"AAAAAH32/0o=")</f>
        <v>#REF!</v>
      </c>
      <c r="BX296" t="e">
        <f>AND(#REF!,"AAAAAH32/0s=")</f>
        <v>#REF!</v>
      </c>
      <c r="BY296" t="e">
        <f>AND(#REF!,"AAAAAH32/0w=")</f>
        <v>#REF!</v>
      </c>
      <c r="BZ296" t="e">
        <f>AND(#REF!,"AAAAAH32/00=")</f>
        <v>#REF!</v>
      </c>
      <c r="CA296" t="e">
        <f>AND(#REF!,"AAAAAH32/04=")</f>
        <v>#REF!</v>
      </c>
      <c r="CB296" t="e">
        <f>IF(#REF!,"AAAAAH32/08=",0)</f>
        <v>#REF!</v>
      </c>
      <c r="CC296" t="e">
        <f>AND(#REF!,"AAAAAH32/1A=")</f>
        <v>#REF!</v>
      </c>
      <c r="CD296" t="e">
        <f>AND(#REF!,"AAAAAH32/1E=")</f>
        <v>#REF!</v>
      </c>
      <c r="CE296" t="e">
        <f>AND(#REF!,"AAAAAH32/1I=")</f>
        <v>#REF!</v>
      </c>
      <c r="CF296" t="e">
        <f>AND(#REF!,"AAAAAH32/1M=")</f>
        <v>#REF!</v>
      </c>
      <c r="CG296" t="e">
        <f>AND(#REF!,"AAAAAH32/1Q=")</f>
        <v>#REF!</v>
      </c>
      <c r="CH296" t="e">
        <f>AND(#REF!,"AAAAAH32/1U=")</f>
        <v>#REF!</v>
      </c>
      <c r="CI296" t="e">
        <f>AND(#REF!,"AAAAAH32/1Y=")</f>
        <v>#REF!</v>
      </c>
      <c r="CJ296" t="e">
        <f>AND(#REF!,"AAAAAH32/1c=")</f>
        <v>#REF!</v>
      </c>
      <c r="CK296" t="e">
        <f>AND(#REF!,"AAAAAH32/1g=")</f>
        <v>#REF!</v>
      </c>
      <c r="CL296" t="e">
        <f>AND(#REF!,"AAAAAH32/1k=")</f>
        <v>#REF!</v>
      </c>
      <c r="CM296" t="e">
        <f>IF(#REF!,"AAAAAH32/1o=",0)</f>
        <v>#REF!</v>
      </c>
      <c r="CN296" t="e">
        <f>AND(#REF!,"AAAAAH32/1s=")</f>
        <v>#REF!</v>
      </c>
      <c r="CO296" t="e">
        <f>AND(#REF!,"AAAAAH32/1w=")</f>
        <v>#REF!</v>
      </c>
      <c r="CP296" t="e">
        <f>AND(#REF!,"AAAAAH32/10=")</f>
        <v>#REF!</v>
      </c>
      <c r="CQ296" t="e">
        <f>AND(#REF!,"AAAAAH32/14=")</f>
        <v>#REF!</v>
      </c>
      <c r="CR296" t="e">
        <f>AND(#REF!,"AAAAAH32/18=")</f>
        <v>#REF!</v>
      </c>
      <c r="CS296" t="e">
        <f>AND(#REF!,"AAAAAH32/2A=")</f>
        <v>#REF!</v>
      </c>
      <c r="CT296" t="e">
        <f>AND(#REF!,"AAAAAH32/2E=")</f>
        <v>#REF!</v>
      </c>
      <c r="CU296" t="e">
        <f>AND(#REF!,"AAAAAH32/2I=")</f>
        <v>#REF!</v>
      </c>
      <c r="CV296" t="e">
        <f>AND(#REF!,"AAAAAH32/2M=")</f>
        <v>#REF!</v>
      </c>
      <c r="CW296" t="e">
        <f>AND(#REF!,"AAAAAH32/2Q=")</f>
        <v>#REF!</v>
      </c>
      <c r="CX296" t="e">
        <f>IF(#REF!,"AAAAAH32/2U=",0)</f>
        <v>#REF!</v>
      </c>
      <c r="CY296" t="e">
        <f>AND(#REF!,"AAAAAH32/2Y=")</f>
        <v>#REF!</v>
      </c>
      <c r="CZ296" t="e">
        <f>AND(#REF!,"AAAAAH32/2c=")</f>
        <v>#REF!</v>
      </c>
      <c r="DA296" t="e">
        <f>AND(#REF!,"AAAAAH32/2g=")</f>
        <v>#REF!</v>
      </c>
      <c r="DB296" t="e">
        <f>AND(#REF!,"AAAAAH32/2k=")</f>
        <v>#REF!</v>
      </c>
      <c r="DC296" t="e">
        <f>AND(#REF!,"AAAAAH32/2o=")</f>
        <v>#REF!</v>
      </c>
      <c r="DD296" t="e">
        <f>AND(#REF!,"AAAAAH32/2s=")</f>
        <v>#REF!</v>
      </c>
      <c r="DE296" t="e">
        <f>AND(#REF!,"AAAAAH32/2w=")</f>
        <v>#REF!</v>
      </c>
      <c r="DF296" t="e">
        <f>AND(#REF!,"AAAAAH32/20=")</f>
        <v>#REF!</v>
      </c>
      <c r="DG296" t="e">
        <f>AND(#REF!,"AAAAAH32/24=")</f>
        <v>#REF!</v>
      </c>
      <c r="DH296" t="e">
        <f>AND(#REF!,"AAAAAH32/28=")</f>
        <v>#REF!</v>
      </c>
      <c r="DI296" t="e">
        <f>IF(#REF!,"AAAAAH32/3A=",0)</f>
        <v>#REF!</v>
      </c>
      <c r="DJ296" t="e">
        <f>AND(#REF!,"AAAAAH32/3E=")</f>
        <v>#REF!</v>
      </c>
      <c r="DK296" t="e">
        <f>AND(#REF!,"AAAAAH32/3I=")</f>
        <v>#REF!</v>
      </c>
      <c r="DL296" t="e">
        <f>AND(#REF!,"AAAAAH32/3M=")</f>
        <v>#REF!</v>
      </c>
      <c r="DM296" t="e">
        <f>AND(#REF!,"AAAAAH32/3Q=")</f>
        <v>#REF!</v>
      </c>
      <c r="DN296" t="e">
        <f>AND(#REF!,"AAAAAH32/3U=")</f>
        <v>#REF!</v>
      </c>
      <c r="DO296" t="e">
        <f>AND(#REF!,"AAAAAH32/3Y=")</f>
        <v>#REF!</v>
      </c>
      <c r="DP296" t="e">
        <f>AND(#REF!,"AAAAAH32/3c=")</f>
        <v>#REF!</v>
      </c>
      <c r="DQ296" t="e">
        <f>AND(#REF!,"AAAAAH32/3g=")</f>
        <v>#REF!</v>
      </c>
      <c r="DR296" t="e">
        <f>AND(#REF!,"AAAAAH32/3k=")</f>
        <v>#REF!</v>
      </c>
      <c r="DS296" t="e">
        <f>AND(#REF!,"AAAAAH32/3o=")</f>
        <v>#REF!</v>
      </c>
      <c r="DT296" t="e">
        <f>IF(#REF!,"AAAAAH32/3s=",0)</f>
        <v>#REF!</v>
      </c>
      <c r="DU296" t="e">
        <f>AND(#REF!,"AAAAAH32/3w=")</f>
        <v>#REF!</v>
      </c>
      <c r="DV296" t="e">
        <f>AND(#REF!,"AAAAAH32/30=")</f>
        <v>#REF!</v>
      </c>
      <c r="DW296" t="e">
        <f>AND(#REF!,"AAAAAH32/34=")</f>
        <v>#REF!</v>
      </c>
      <c r="DX296" t="e">
        <f>AND(#REF!,"AAAAAH32/38=")</f>
        <v>#REF!</v>
      </c>
      <c r="DY296" t="e">
        <f>AND(#REF!,"AAAAAH32/4A=")</f>
        <v>#REF!</v>
      </c>
      <c r="DZ296" t="e">
        <f>AND(#REF!,"AAAAAH32/4E=")</f>
        <v>#REF!</v>
      </c>
      <c r="EA296" t="e">
        <f>AND(#REF!,"AAAAAH32/4I=")</f>
        <v>#REF!</v>
      </c>
      <c r="EB296" t="e">
        <f>AND(#REF!,"AAAAAH32/4M=")</f>
        <v>#REF!</v>
      </c>
      <c r="EC296" t="e">
        <f>AND(#REF!,"AAAAAH32/4Q=")</f>
        <v>#REF!</v>
      </c>
      <c r="ED296" t="e">
        <f>AND(#REF!,"AAAAAH32/4U=")</f>
        <v>#REF!</v>
      </c>
      <c r="EE296" t="e">
        <f>IF(#REF!,"AAAAAH32/4Y=",0)</f>
        <v>#REF!</v>
      </c>
      <c r="EF296" t="e">
        <f>AND(#REF!,"AAAAAH32/4c=")</f>
        <v>#REF!</v>
      </c>
      <c r="EG296" t="e">
        <f>AND(#REF!,"AAAAAH32/4g=")</f>
        <v>#REF!</v>
      </c>
      <c r="EH296" t="e">
        <f>AND(#REF!,"AAAAAH32/4k=")</f>
        <v>#REF!</v>
      </c>
      <c r="EI296" t="e">
        <f>AND(#REF!,"AAAAAH32/4o=")</f>
        <v>#REF!</v>
      </c>
      <c r="EJ296" t="e">
        <f>AND(#REF!,"AAAAAH32/4s=")</f>
        <v>#REF!</v>
      </c>
      <c r="EK296" t="e">
        <f>AND(#REF!,"AAAAAH32/4w=")</f>
        <v>#REF!</v>
      </c>
      <c r="EL296" t="e">
        <f>AND(#REF!,"AAAAAH32/40=")</f>
        <v>#REF!</v>
      </c>
      <c r="EM296" t="e">
        <f>AND(#REF!,"AAAAAH32/44=")</f>
        <v>#REF!</v>
      </c>
      <c r="EN296" t="e">
        <f>AND(#REF!,"AAAAAH32/48=")</f>
        <v>#REF!</v>
      </c>
      <c r="EO296" t="e">
        <f>AND(#REF!,"AAAAAH32/5A=")</f>
        <v>#REF!</v>
      </c>
      <c r="EP296" t="e">
        <f>IF(#REF!,"AAAAAH32/5E=",0)</f>
        <v>#REF!</v>
      </c>
      <c r="EQ296" t="e">
        <f>AND(#REF!,"AAAAAH32/5I=")</f>
        <v>#REF!</v>
      </c>
      <c r="ER296" t="e">
        <f>AND(#REF!,"AAAAAH32/5M=")</f>
        <v>#REF!</v>
      </c>
      <c r="ES296" t="e">
        <f>AND(#REF!,"AAAAAH32/5Q=")</f>
        <v>#REF!</v>
      </c>
      <c r="ET296" t="e">
        <f>AND(#REF!,"AAAAAH32/5U=")</f>
        <v>#REF!</v>
      </c>
      <c r="EU296" t="e">
        <f>AND(#REF!,"AAAAAH32/5Y=")</f>
        <v>#REF!</v>
      </c>
      <c r="EV296" t="e">
        <f>AND(#REF!,"AAAAAH32/5c=")</f>
        <v>#REF!</v>
      </c>
      <c r="EW296" t="e">
        <f>AND(#REF!,"AAAAAH32/5g=")</f>
        <v>#REF!</v>
      </c>
      <c r="EX296" t="e">
        <f>AND(#REF!,"AAAAAH32/5k=")</f>
        <v>#REF!</v>
      </c>
      <c r="EY296" t="e">
        <f>AND(#REF!,"AAAAAH32/5o=")</f>
        <v>#REF!</v>
      </c>
      <c r="EZ296" t="e">
        <f>AND(#REF!,"AAAAAH32/5s=")</f>
        <v>#REF!</v>
      </c>
      <c r="FA296" t="e">
        <f>IF(#REF!,"AAAAAH32/5w=",0)</f>
        <v>#REF!</v>
      </c>
      <c r="FB296" t="e">
        <f>AND(#REF!,"AAAAAH32/50=")</f>
        <v>#REF!</v>
      </c>
      <c r="FC296" t="e">
        <f>AND(#REF!,"AAAAAH32/54=")</f>
        <v>#REF!</v>
      </c>
      <c r="FD296" t="e">
        <f>AND(#REF!,"AAAAAH32/58=")</f>
        <v>#REF!</v>
      </c>
      <c r="FE296" t="e">
        <f>AND(#REF!,"AAAAAH32/6A=")</f>
        <v>#REF!</v>
      </c>
      <c r="FF296" t="e">
        <f>AND(#REF!,"AAAAAH32/6E=")</f>
        <v>#REF!</v>
      </c>
      <c r="FG296" t="e">
        <f>AND(#REF!,"AAAAAH32/6I=")</f>
        <v>#REF!</v>
      </c>
      <c r="FH296" t="e">
        <f>AND(#REF!,"AAAAAH32/6M=")</f>
        <v>#REF!</v>
      </c>
      <c r="FI296" t="e">
        <f>AND(#REF!,"AAAAAH32/6Q=")</f>
        <v>#REF!</v>
      </c>
      <c r="FJ296" t="e">
        <f>AND(#REF!,"AAAAAH32/6U=")</f>
        <v>#REF!</v>
      </c>
      <c r="FK296" t="e">
        <f>AND(#REF!,"AAAAAH32/6Y=")</f>
        <v>#REF!</v>
      </c>
      <c r="FL296" t="e">
        <f>IF(#REF!,"AAAAAH32/6c=",0)</f>
        <v>#REF!</v>
      </c>
      <c r="FM296" t="e">
        <f>AND(#REF!,"AAAAAH32/6g=")</f>
        <v>#REF!</v>
      </c>
      <c r="FN296" t="e">
        <f>AND(#REF!,"AAAAAH32/6k=")</f>
        <v>#REF!</v>
      </c>
      <c r="FO296" t="e">
        <f>AND(#REF!,"AAAAAH32/6o=")</f>
        <v>#REF!</v>
      </c>
      <c r="FP296" t="e">
        <f>AND(#REF!,"AAAAAH32/6s=")</f>
        <v>#REF!</v>
      </c>
      <c r="FQ296" t="e">
        <f>AND(#REF!,"AAAAAH32/6w=")</f>
        <v>#REF!</v>
      </c>
      <c r="FR296" t="e">
        <f>AND(#REF!,"AAAAAH32/60=")</f>
        <v>#REF!</v>
      </c>
      <c r="FS296" t="e">
        <f>AND(#REF!,"AAAAAH32/64=")</f>
        <v>#REF!</v>
      </c>
      <c r="FT296" t="e">
        <f>AND(#REF!,"AAAAAH32/68=")</f>
        <v>#REF!</v>
      </c>
      <c r="FU296" t="e">
        <f>AND(#REF!,"AAAAAH32/7A=")</f>
        <v>#REF!</v>
      </c>
      <c r="FV296" t="e">
        <f>AND(#REF!,"AAAAAH32/7E=")</f>
        <v>#REF!</v>
      </c>
      <c r="FW296" t="e">
        <f>IF(#REF!,"AAAAAH32/7I=",0)</f>
        <v>#REF!</v>
      </c>
      <c r="FX296" t="e">
        <f>AND(#REF!,"AAAAAH32/7M=")</f>
        <v>#REF!</v>
      </c>
      <c r="FY296" t="e">
        <f>AND(#REF!,"AAAAAH32/7Q=")</f>
        <v>#REF!</v>
      </c>
      <c r="FZ296" t="e">
        <f>AND(#REF!,"AAAAAH32/7U=")</f>
        <v>#REF!</v>
      </c>
      <c r="GA296" t="e">
        <f>AND(#REF!,"AAAAAH32/7Y=")</f>
        <v>#REF!</v>
      </c>
      <c r="GB296" t="e">
        <f>AND(#REF!,"AAAAAH32/7c=")</f>
        <v>#REF!</v>
      </c>
      <c r="GC296" t="e">
        <f>AND(#REF!,"AAAAAH32/7g=")</f>
        <v>#REF!</v>
      </c>
      <c r="GD296" t="e">
        <f>AND(#REF!,"AAAAAH32/7k=")</f>
        <v>#REF!</v>
      </c>
      <c r="GE296" t="e">
        <f>AND(#REF!,"AAAAAH32/7o=")</f>
        <v>#REF!</v>
      </c>
      <c r="GF296" t="e">
        <f>AND(#REF!,"AAAAAH32/7s=")</f>
        <v>#REF!</v>
      </c>
      <c r="GG296" t="e">
        <f>AND(#REF!,"AAAAAH32/7w=")</f>
        <v>#REF!</v>
      </c>
      <c r="GH296" t="e">
        <f>IF(#REF!,"AAAAAH32/70=",0)</f>
        <v>#REF!</v>
      </c>
      <c r="GI296" t="e">
        <f>AND(#REF!,"AAAAAH32/74=")</f>
        <v>#REF!</v>
      </c>
      <c r="GJ296" t="e">
        <f>AND(#REF!,"AAAAAH32/78=")</f>
        <v>#REF!</v>
      </c>
      <c r="GK296" t="e">
        <f>AND(#REF!,"AAAAAH32/8A=")</f>
        <v>#REF!</v>
      </c>
      <c r="GL296" t="e">
        <f>AND(#REF!,"AAAAAH32/8E=")</f>
        <v>#REF!</v>
      </c>
      <c r="GM296" t="e">
        <f>AND(#REF!,"AAAAAH32/8I=")</f>
        <v>#REF!</v>
      </c>
      <c r="GN296" t="e">
        <f>AND(#REF!,"AAAAAH32/8M=")</f>
        <v>#REF!</v>
      </c>
      <c r="GO296" t="e">
        <f>AND(#REF!,"AAAAAH32/8Q=")</f>
        <v>#REF!</v>
      </c>
      <c r="GP296" t="e">
        <f>AND(#REF!,"AAAAAH32/8U=")</f>
        <v>#REF!</v>
      </c>
      <c r="GQ296" t="e">
        <f>AND(#REF!,"AAAAAH32/8Y=")</f>
        <v>#REF!</v>
      </c>
      <c r="GR296" t="e">
        <f>AND(#REF!,"AAAAAH32/8c=")</f>
        <v>#REF!</v>
      </c>
      <c r="GS296" t="e">
        <f>IF(#REF!,"AAAAAH32/8g=",0)</f>
        <v>#REF!</v>
      </c>
      <c r="GT296" t="e">
        <f>AND(#REF!,"AAAAAH32/8k=")</f>
        <v>#REF!</v>
      </c>
      <c r="GU296" t="e">
        <f>AND(#REF!,"AAAAAH32/8o=")</f>
        <v>#REF!</v>
      </c>
      <c r="GV296" t="e">
        <f>AND(#REF!,"AAAAAH32/8s=")</f>
        <v>#REF!</v>
      </c>
      <c r="GW296" t="e">
        <f>AND(#REF!,"AAAAAH32/8w=")</f>
        <v>#REF!</v>
      </c>
      <c r="GX296" t="e">
        <f>AND(#REF!,"AAAAAH32/80=")</f>
        <v>#REF!</v>
      </c>
      <c r="GY296" t="e">
        <f>AND(#REF!,"AAAAAH32/84=")</f>
        <v>#REF!</v>
      </c>
      <c r="GZ296" t="e">
        <f>AND(#REF!,"AAAAAH32/88=")</f>
        <v>#REF!</v>
      </c>
      <c r="HA296" t="e">
        <f>AND(#REF!,"AAAAAH32/9A=")</f>
        <v>#REF!</v>
      </c>
      <c r="HB296" t="e">
        <f>AND(#REF!,"AAAAAH32/9E=")</f>
        <v>#REF!</v>
      </c>
      <c r="HC296" t="e">
        <f>AND(#REF!,"AAAAAH32/9I=")</f>
        <v>#REF!</v>
      </c>
      <c r="HD296" t="e">
        <f>IF(#REF!,"AAAAAH32/9M=",0)</f>
        <v>#REF!</v>
      </c>
      <c r="HE296" t="e">
        <f>AND(#REF!,"AAAAAH32/9Q=")</f>
        <v>#REF!</v>
      </c>
      <c r="HF296" t="e">
        <f>AND(#REF!,"AAAAAH32/9U=")</f>
        <v>#REF!</v>
      </c>
      <c r="HG296" t="e">
        <f>AND(#REF!,"AAAAAH32/9Y=")</f>
        <v>#REF!</v>
      </c>
      <c r="HH296" t="e">
        <f>AND(#REF!,"AAAAAH32/9c=")</f>
        <v>#REF!</v>
      </c>
      <c r="HI296" t="e">
        <f>AND(#REF!,"AAAAAH32/9g=")</f>
        <v>#REF!</v>
      </c>
      <c r="HJ296" t="e">
        <f>AND(#REF!,"AAAAAH32/9k=")</f>
        <v>#REF!</v>
      </c>
      <c r="HK296" t="e">
        <f>AND(#REF!,"AAAAAH32/9o=")</f>
        <v>#REF!</v>
      </c>
      <c r="HL296" t="e">
        <f>AND(#REF!,"AAAAAH32/9s=")</f>
        <v>#REF!</v>
      </c>
      <c r="HM296" t="e">
        <f>AND(#REF!,"AAAAAH32/9w=")</f>
        <v>#REF!</v>
      </c>
      <c r="HN296" t="e">
        <f>AND(#REF!,"AAAAAH32/90=")</f>
        <v>#REF!</v>
      </c>
      <c r="HO296" t="e">
        <f>IF(#REF!,"AAAAAH32/94=",0)</f>
        <v>#REF!</v>
      </c>
      <c r="HP296" t="e">
        <f>AND(#REF!,"AAAAAH32/98=")</f>
        <v>#REF!</v>
      </c>
      <c r="HQ296" t="e">
        <f>AND(#REF!,"AAAAAH32/+A=")</f>
        <v>#REF!</v>
      </c>
      <c r="HR296" t="e">
        <f>AND(#REF!,"AAAAAH32/+E=")</f>
        <v>#REF!</v>
      </c>
      <c r="HS296" t="e">
        <f>AND(#REF!,"AAAAAH32/+I=")</f>
        <v>#REF!</v>
      </c>
      <c r="HT296" t="e">
        <f>AND(#REF!,"AAAAAH32/+M=")</f>
        <v>#REF!</v>
      </c>
      <c r="HU296" t="e">
        <f>AND(#REF!,"AAAAAH32/+Q=")</f>
        <v>#REF!</v>
      </c>
      <c r="HV296" t="e">
        <f>AND(#REF!,"AAAAAH32/+U=")</f>
        <v>#REF!</v>
      </c>
      <c r="HW296" t="e">
        <f>AND(#REF!,"AAAAAH32/+Y=")</f>
        <v>#REF!</v>
      </c>
      <c r="HX296" t="e">
        <f>AND(#REF!,"AAAAAH32/+c=")</f>
        <v>#REF!</v>
      </c>
      <c r="HY296" t="e">
        <f>AND(#REF!,"AAAAAH32/+g=")</f>
        <v>#REF!</v>
      </c>
      <c r="HZ296" t="e">
        <f>IF(#REF!,"AAAAAH32/+k=",0)</f>
        <v>#REF!</v>
      </c>
      <c r="IA296" t="e">
        <f>AND(#REF!,"AAAAAH32/+o=")</f>
        <v>#REF!</v>
      </c>
      <c r="IB296" t="e">
        <f>AND(#REF!,"AAAAAH32/+s=")</f>
        <v>#REF!</v>
      </c>
      <c r="IC296" t="e">
        <f>AND(#REF!,"AAAAAH32/+w=")</f>
        <v>#REF!</v>
      </c>
      <c r="ID296" t="e">
        <f>AND(#REF!,"AAAAAH32/+0=")</f>
        <v>#REF!</v>
      </c>
      <c r="IE296" t="e">
        <f>AND(#REF!,"AAAAAH32/+4=")</f>
        <v>#REF!</v>
      </c>
      <c r="IF296" t="e">
        <f>AND(#REF!,"AAAAAH32/+8=")</f>
        <v>#REF!</v>
      </c>
      <c r="IG296" t="e">
        <f>AND(#REF!,"AAAAAH32//A=")</f>
        <v>#REF!</v>
      </c>
      <c r="IH296" t="e">
        <f>AND(#REF!,"AAAAAH32//E=")</f>
        <v>#REF!</v>
      </c>
      <c r="II296" t="e">
        <f>AND(#REF!,"AAAAAH32//I=")</f>
        <v>#REF!</v>
      </c>
      <c r="IJ296" t="e">
        <f>AND(#REF!,"AAAAAH32//M=")</f>
        <v>#REF!</v>
      </c>
      <c r="IK296" t="e">
        <f>IF(#REF!,"AAAAAH32//Q=",0)</f>
        <v>#REF!</v>
      </c>
      <c r="IL296" t="e">
        <f>AND(#REF!,"AAAAAH32//U=")</f>
        <v>#REF!</v>
      </c>
      <c r="IM296" t="e">
        <f>AND(#REF!,"AAAAAH32//Y=")</f>
        <v>#REF!</v>
      </c>
      <c r="IN296" t="e">
        <f>AND(#REF!,"AAAAAH32//c=")</f>
        <v>#REF!</v>
      </c>
      <c r="IO296" t="e">
        <f>AND(#REF!,"AAAAAH32//g=")</f>
        <v>#REF!</v>
      </c>
      <c r="IP296" t="e">
        <f>AND(#REF!,"AAAAAH32//k=")</f>
        <v>#REF!</v>
      </c>
      <c r="IQ296" t="e">
        <f>AND(#REF!,"AAAAAH32//o=")</f>
        <v>#REF!</v>
      </c>
      <c r="IR296" t="e">
        <f>AND(#REF!,"AAAAAH32//s=")</f>
        <v>#REF!</v>
      </c>
      <c r="IS296" t="e">
        <f>AND(#REF!,"AAAAAH32//w=")</f>
        <v>#REF!</v>
      </c>
      <c r="IT296" t="e">
        <f>AND(#REF!,"AAAAAH32//0=")</f>
        <v>#REF!</v>
      </c>
      <c r="IU296" t="e">
        <f>AND(#REF!,"AAAAAH32//4=")</f>
        <v>#REF!</v>
      </c>
      <c r="IV296" t="e">
        <f>IF(#REF!,"AAAAAH32//8=",0)</f>
        <v>#REF!</v>
      </c>
    </row>
    <row r="297" spans="1:256" x14ac:dyDescent="0.25">
      <c r="A297" t="e">
        <f>AND(#REF!,"AAAAAHntbwA=")</f>
        <v>#REF!</v>
      </c>
      <c r="B297" t="e">
        <f>AND(#REF!,"AAAAAHntbwE=")</f>
        <v>#REF!</v>
      </c>
      <c r="C297" t="e">
        <f>AND(#REF!,"AAAAAHntbwI=")</f>
        <v>#REF!</v>
      </c>
      <c r="D297" t="e">
        <f>AND(#REF!,"AAAAAHntbwM=")</f>
        <v>#REF!</v>
      </c>
      <c r="E297" t="e">
        <f>AND(#REF!,"AAAAAHntbwQ=")</f>
        <v>#REF!</v>
      </c>
      <c r="F297" t="e">
        <f>AND(#REF!,"AAAAAHntbwU=")</f>
        <v>#REF!</v>
      </c>
      <c r="G297" t="e">
        <f>AND(#REF!,"AAAAAHntbwY=")</f>
        <v>#REF!</v>
      </c>
      <c r="H297" t="e">
        <f>AND(#REF!,"AAAAAHntbwc=")</f>
        <v>#REF!</v>
      </c>
      <c r="I297" t="e">
        <f>AND(#REF!,"AAAAAHntbwg=")</f>
        <v>#REF!</v>
      </c>
      <c r="J297" t="e">
        <f>AND(#REF!,"AAAAAHntbwk=")</f>
        <v>#REF!</v>
      </c>
      <c r="K297" t="e">
        <f>IF(#REF!,"AAAAAHntbwo=",0)</f>
        <v>#REF!</v>
      </c>
      <c r="L297" t="e">
        <f>AND(#REF!,"AAAAAHntbws=")</f>
        <v>#REF!</v>
      </c>
      <c r="M297" t="e">
        <f>AND(#REF!,"AAAAAHntbww=")</f>
        <v>#REF!</v>
      </c>
      <c r="N297" t="e">
        <f>AND(#REF!,"AAAAAHntbw0=")</f>
        <v>#REF!</v>
      </c>
      <c r="O297" t="e">
        <f>AND(#REF!,"AAAAAHntbw4=")</f>
        <v>#REF!</v>
      </c>
      <c r="P297" t="e">
        <f>AND(#REF!,"AAAAAHntbw8=")</f>
        <v>#REF!</v>
      </c>
      <c r="Q297" t="e">
        <f>AND(#REF!,"AAAAAHntbxA=")</f>
        <v>#REF!</v>
      </c>
      <c r="R297" t="e">
        <f>AND(#REF!,"AAAAAHntbxE=")</f>
        <v>#REF!</v>
      </c>
      <c r="S297" t="e">
        <f>AND(#REF!,"AAAAAHntbxI=")</f>
        <v>#REF!</v>
      </c>
      <c r="T297" t="e">
        <f>AND(#REF!,"AAAAAHntbxM=")</f>
        <v>#REF!</v>
      </c>
      <c r="U297" t="e">
        <f>AND(#REF!,"AAAAAHntbxQ=")</f>
        <v>#REF!</v>
      </c>
      <c r="V297" t="e">
        <f>IF(#REF!,"AAAAAHntbxU=",0)</f>
        <v>#REF!</v>
      </c>
      <c r="W297" t="e">
        <f>AND(#REF!,"AAAAAHntbxY=")</f>
        <v>#REF!</v>
      </c>
      <c r="X297" t="e">
        <f>AND(#REF!,"AAAAAHntbxc=")</f>
        <v>#REF!</v>
      </c>
      <c r="Y297" t="e">
        <f>AND(#REF!,"AAAAAHntbxg=")</f>
        <v>#REF!</v>
      </c>
      <c r="Z297" t="e">
        <f>AND(#REF!,"AAAAAHntbxk=")</f>
        <v>#REF!</v>
      </c>
      <c r="AA297" t="e">
        <f>AND(#REF!,"AAAAAHntbxo=")</f>
        <v>#REF!</v>
      </c>
      <c r="AB297" t="e">
        <f>AND(#REF!,"AAAAAHntbxs=")</f>
        <v>#REF!</v>
      </c>
      <c r="AC297" t="e">
        <f>AND(#REF!,"AAAAAHntbxw=")</f>
        <v>#REF!</v>
      </c>
      <c r="AD297" t="e">
        <f>AND(#REF!,"AAAAAHntbx0=")</f>
        <v>#REF!</v>
      </c>
      <c r="AE297" t="e">
        <f>AND(#REF!,"AAAAAHntbx4=")</f>
        <v>#REF!</v>
      </c>
      <c r="AF297" t="e">
        <f>AND(#REF!,"AAAAAHntbx8=")</f>
        <v>#REF!</v>
      </c>
      <c r="AG297" t="e">
        <f>IF(#REF!,"AAAAAHntbyA=",0)</f>
        <v>#REF!</v>
      </c>
      <c r="AH297" t="e">
        <f>AND(#REF!,"AAAAAHntbyE=")</f>
        <v>#REF!</v>
      </c>
      <c r="AI297" t="e">
        <f>AND(#REF!,"AAAAAHntbyI=")</f>
        <v>#REF!</v>
      </c>
      <c r="AJ297" t="e">
        <f>AND(#REF!,"AAAAAHntbyM=")</f>
        <v>#REF!</v>
      </c>
      <c r="AK297" t="e">
        <f>AND(#REF!,"AAAAAHntbyQ=")</f>
        <v>#REF!</v>
      </c>
      <c r="AL297" t="e">
        <f>AND(#REF!,"AAAAAHntbyU=")</f>
        <v>#REF!</v>
      </c>
      <c r="AM297" t="e">
        <f>AND(#REF!,"AAAAAHntbyY=")</f>
        <v>#REF!</v>
      </c>
      <c r="AN297" t="e">
        <f>AND(#REF!,"AAAAAHntbyc=")</f>
        <v>#REF!</v>
      </c>
      <c r="AO297" t="e">
        <f>AND(#REF!,"AAAAAHntbyg=")</f>
        <v>#REF!</v>
      </c>
      <c r="AP297" t="e">
        <f>AND(#REF!,"AAAAAHntbyk=")</f>
        <v>#REF!</v>
      </c>
      <c r="AQ297" t="e">
        <f>AND(#REF!,"AAAAAHntbyo=")</f>
        <v>#REF!</v>
      </c>
      <c r="AR297" t="e">
        <f>IF(#REF!,"AAAAAHntbys=",0)</f>
        <v>#REF!</v>
      </c>
      <c r="AS297" t="e">
        <f>AND(#REF!,"AAAAAHntbyw=")</f>
        <v>#REF!</v>
      </c>
      <c r="AT297" t="e">
        <f>AND(#REF!,"AAAAAHntby0=")</f>
        <v>#REF!</v>
      </c>
      <c r="AU297" t="e">
        <f>AND(#REF!,"AAAAAHntby4=")</f>
        <v>#REF!</v>
      </c>
      <c r="AV297" t="e">
        <f>AND(#REF!,"AAAAAHntby8=")</f>
        <v>#REF!</v>
      </c>
      <c r="AW297" t="e">
        <f>AND(#REF!,"AAAAAHntbzA=")</f>
        <v>#REF!</v>
      </c>
      <c r="AX297" t="e">
        <f>AND(#REF!,"AAAAAHntbzE=")</f>
        <v>#REF!</v>
      </c>
      <c r="AY297" t="e">
        <f>AND(#REF!,"AAAAAHntbzI=")</f>
        <v>#REF!</v>
      </c>
      <c r="AZ297" t="e">
        <f>AND(#REF!,"AAAAAHntbzM=")</f>
        <v>#REF!</v>
      </c>
      <c r="BA297" t="e">
        <f>AND(#REF!,"AAAAAHntbzQ=")</f>
        <v>#REF!</v>
      </c>
      <c r="BB297" t="e">
        <f>AND(#REF!,"AAAAAHntbzU=")</f>
        <v>#REF!</v>
      </c>
      <c r="BC297" t="e">
        <f>IF(#REF!,"AAAAAHntbzY=",0)</f>
        <v>#REF!</v>
      </c>
      <c r="BD297" t="e">
        <f>AND(#REF!,"AAAAAHntbzc=")</f>
        <v>#REF!</v>
      </c>
      <c r="BE297" t="e">
        <f>AND(#REF!,"AAAAAHntbzg=")</f>
        <v>#REF!</v>
      </c>
      <c r="BF297" t="e">
        <f>AND(#REF!,"AAAAAHntbzk=")</f>
        <v>#REF!</v>
      </c>
      <c r="BG297" t="e">
        <f>AND(#REF!,"AAAAAHntbzo=")</f>
        <v>#REF!</v>
      </c>
      <c r="BH297" t="e">
        <f>AND(#REF!,"AAAAAHntbzs=")</f>
        <v>#REF!</v>
      </c>
      <c r="BI297" t="e">
        <f>AND(#REF!,"AAAAAHntbzw=")</f>
        <v>#REF!</v>
      </c>
      <c r="BJ297" t="e">
        <f>AND(#REF!,"AAAAAHntbz0=")</f>
        <v>#REF!</v>
      </c>
      <c r="BK297" t="e">
        <f>AND(#REF!,"AAAAAHntbz4=")</f>
        <v>#REF!</v>
      </c>
      <c r="BL297" t="e">
        <f>AND(#REF!,"AAAAAHntbz8=")</f>
        <v>#REF!</v>
      </c>
      <c r="BM297" t="e">
        <f>AND(#REF!,"AAAAAHntb0A=")</f>
        <v>#REF!</v>
      </c>
      <c r="BN297" t="e">
        <f>IF(#REF!,"AAAAAHntb0E=",0)</f>
        <v>#REF!</v>
      </c>
      <c r="BO297" t="e">
        <f>AND(#REF!,"AAAAAHntb0I=")</f>
        <v>#REF!</v>
      </c>
      <c r="BP297" t="e">
        <f>AND(#REF!,"AAAAAHntb0M=")</f>
        <v>#REF!</v>
      </c>
      <c r="BQ297" t="e">
        <f>AND(#REF!,"AAAAAHntb0Q=")</f>
        <v>#REF!</v>
      </c>
      <c r="BR297" t="e">
        <f>AND(#REF!,"AAAAAHntb0U=")</f>
        <v>#REF!</v>
      </c>
      <c r="BS297" t="e">
        <f>AND(#REF!,"AAAAAHntb0Y=")</f>
        <v>#REF!</v>
      </c>
      <c r="BT297" t="e">
        <f>AND(#REF!,"AAAAAHntb0c=")</f>
        <v>#REF!</v>
      </c>
      <c r="BU297" t="e">
        <f>AND(#REF!,"AAAAAHntb0g=")</f>
        <v>#REF!</v>
      </c>
      <c r="BV297" t="e">
        <f>AND(#REF!,"AAAAAHntb0k=")</f>
        <v>#REF!</v>
      </c>
      <c r="BW297" t="e">
        <f>AND(#REF!,"AAAAAHntb0o=")</f>
        <v>#REF!</v>
      </c>
      <c r="BX297" t="e">
        <f>AND(#REF!,"AAAAAHntb0s=")</f>
        <v>#REF!</v>
      </c>
      <c r="BY297" t="e">
        <f>IF(#REF!,"AAAAAHntb0w=",0)</f>
        <v>#REF!</v>
      </c>
      <c r="BZ297" t="e">
        <f>AND(#REF!,"AAAAAHntb00=")</f>
        <v>#REF!</v>
      </c>
      <c r="CA297" t="e">
        <f>AND(#REF!,"AAAAAHntb04=")</f>
        <v>#REF!</v>
      </c>
      <c r="CB297" t="e">
        <f>AND(#REF!,"AAAAAHntb08=")</f>
        <v>#REF!</v>
      </c>
      <c r="CC297" t="e">
        <f>AND(#REF!,"AAAAAHntb1A=")</f>
        <v>#REF!</v>
      </c>
      <c r="CD297" t="e">
        <f>AND(#REF!,"AAAAAHntb1E=")</f>
        <v>#REF!</v>
      </c>
      <c r="CE297" t="e">
        <f>AND(#REF!,"AAAAAHntb1I=")</f>
        <v>#REF!</v>
      </c>
      <c r="CF297" t="e">
        <f>AND(#REF!,"AAAAAHntb1M=")</f>
        <v>#REF!</v>
      </c>
      <c r="CG297" t="e">
        <f>AND(#REF!,"AAAAAHntb1Q=")</f>
        <v>#REF!</v>
      </c>
      <c r="CH297" t="e">
        <f>AND(#REF!,"AAAAAHntb1U=")</f>
        <v>#REF!</v>
      </c>
      <c r="CI297" t="e">
        <f>AND(#REF!,"AAAAAHntb1Y=")</f>
        <v>#REF!</v>
      </c>
      <c r="CJ297" t="e">
        <f>IF(#REF!,"AAAAAHntb1c=",0)</f>
        <v>#REF!</v>
      </c>
      <c r="CK297" t="e">
        <f>AND(#REF!,"AAAAAHntb1g=")</f>
        <v>#REF!</v>
      </c>
      <c r="CL297" t="e">
        <f>AND(#REF!,"AAAAAHntb1k=")</f>
        <v>#REF!</v>
      </c>
      <c r="CM297" t="e">
        <f>AND(#REF!,"AAAAAHntb1o=")</f>
        <v>#REF!</v>
      </c>
      <c r="CN297" t="e">
        <f>AND(#REF!,"AAAAAHntb1s=")</f>
        <v>#REF!</v>
      </c>
      <c r="CO297" t="e">
        <f>AND(#REF!,"AAAAAHntb1w=")</f>
        <v>#REF!</v>
      </c>
      <c r="CP297" t="e">
        <f>AND(#REF!,"AAAAAHntb10=")</f>
        <v>#REF!</v>
      </c>
      <c r="CQ297" t="e">
        <f>AND(#REF!,"AAAAAHntb14=")</f>
        <v>#REF!</v>
      </c>
      <c r="CR297" t="e">
        <f>AND(#REF!,"AAAAAHntb18=")</f>
        <v>#REF!</v>
      </c>
      <c r="CS297" t="e">
        <f>AND(#REF!,"AAAAAHntb2A=")</f>
        <v>#REF!</v>
      </c>
      <c r="CT297" t="e">
        <f>AND(#REF!,"AAAAAHntb2E=")</f>
        <v>#REF!</v>
      </c>
      <c r="CU297" t="e">
        <f>IF(#REF!,"AAAAAHntb2I=",0)</f>
        <v>#REF!</v>
      </c>
      <c r="CV297" t="e">
        <f>AND(#REF!,"AAAAAHntb2M=")</f>
        <v>#REF!</v>
      </c>
      <c r="CW297" t="e">
        <f>AND(#REF!,"AAAAAHntb2Q=")</f>
        <v>#REF!</v>
      </c>
      <c r="CX297" t="e">
        <f>AND(#REF!,"AAAAAHntb2U=")</f>
        <v>#REF!</v>
      </c>
      <c r="CY297" t="e">
        <f>AND(#REF!,"AAAAAHntb2Y=")</f>
        <v>#REF!</v>
      </c>
      <c r="CZ297" t="e">
        <f>AND(#REF!,"AAAAAHntb2c=")</f>
        <v>#REF!</v>
      </c>
      <c r="DA297" t="e">
        <f>AND(#REF!,"AAAAAHntb2g=")</f>
        <v>#REF!</v>
      </c>
      <c r="DB297" t="e">
        <f>AND(#REF!,"AAAAAHntb2k=")</f>
        <v>#REF!</v>
      </c>
      <c r="DC297" t="e">
        <f>AND(#REF!,"AAAAAHntb2o=")</f>
        <v>#REF!</v>
      </c>
      <c r="DD297" t="e">
        <f>AND(#REF!,"AAAAAHntb2s=")</f>
        <v>#REF!</v>
      </c>
      <c r="DE297" t="e">
        <f>AND(#REF!,"AAAAAHntb2w=")</f>
        <v>#REF!</v>
      </c>
      <c r="DF297" t="e">
        <f>IF(#REF!,"AAAAAHntb20=",0)</f>
        <v>#REF!</v>
      </c>
      <c r="DG297" t="e">
        <f>AND(#REF!,"AAAAAHntb24=")</f>
        <v>#REF!</v>
      </c>
      <c r="DH297" t="e">
        <f>AND(#REF!,"AAAAAHntb28=")</f>
        <v>#REF!</v>
      </c>
      <c r="DI297" t="e">
        <f>AND(#REF!,"AAAAAHntb3A=")</f>
        <v>#REF!</v>
      </c>
      <c r="DJ297" t="e">
        <f>AND(#REF!,"AAAAAHntb3E=")</f>
        <v>#REF!</v>
      </c>
      <c r="DK297" t="e">
        <f>AND(#REF!,"AAAAAHntb3I=")</f>
        <v>#REF!</v>
      </c>
      <c r="DL297" t="e">
        <f>AND(#REF!,"AAAAAHntb3M=")</f>
        <v>#REF!</v>
      </c>
      <c r="DM297" t="e">
        <f>AND(#REF!,"AAAAAHntb3Q=")</f>
        <v>#REF!</v>
      </c>
      <c r="DN297" t="e">
        <f>AND(#REF!,"AAAAAHntb3U=")</f>
        <v>#REF!</v>
      </c>
      <c r="DO297" t="e">
        <f>AND(#REF!,"AAAAAHntb3Y=")</f>
        <v>#REF!</v>
      </c>
      <c r="DP297" t="e">
        <f>AND(#REF!,"AAAAAHntb3c=")</f>
        <v>#REF!</v>
      </c>
      <c r="DQ297" t="e">
        <f>IF(#REF!,"AAAAAHntb3g=",0)</f>
        <v>#REF!</v>
      </c>
      <c r="DR297" t="e">
        <f>AND(#REF!,"AAAAAHntb3k=")</f>
        <v>#REF!</v>
      </c>
      <c r="DS297" t="e">
        <f>AND(#REF!,"AAAAAHntb3o=")</f>
        <v>#REF!</v>
      </c>
      <c r="DT297" t="e">
        <f>AND(#REF!,"AAAAAHntb3s=")</f>
        <v>#REF!</v>
      </c>
      <c r="DU297" t="e">
        <f>AND(#REF!,"AAAAAHntb3w=")</f>
        <v>#REF!</v>
      </c>
      <c r="DV297" t="e">
        <f>AND(#REF!,"AAAAAHntb30=")</f>
        <v>#REF!</v>
      </c>
      <c r="DW297" t="e">
        <f>AND(#REF!,"AAAAAHntb34=")</f>
        <v>#REF!</v>
      </c>
      <c r="DX297" t="e">
        <f>AND(#REF!,"AAAAAHntb38=")</f>
        <v>#REF!</v>
      </c>
      <c r="DY297" t="e">
        <f>AND(#REF!,"AAAAAHntb4A=")</f>
        <v>#REF!</v>
      </c>
      <c r="DZ297" t="e">
        <f>AND(#REF!,"AAAAAHntb4E=")</f>
        <v>#REF!</v>
      </c>
      <c r="EA297" t="e">
        <f>AND(#REF!,"AAAAAHntb4I=")</f>
        <v>#REF!</v>
      </c>
      <c r="EB297" t="e">
        <f>IF(#REF!,"AAAAAHntb4M=",0)</f>
        <v>#REF!</v>
      </c>
      <c r="EC297" t="e">
        <f>AND(#REF!,"AAAAAHntb4Q=")</f>
        <v>#REF!</v>
      </c>
      <c r="ED297" t="e">
        <f>AND(#REF!,"AAAAAHntb4U=")</f>
        <v>#REF!</v>
      </c>
      <c r="EE297" t="e">
        <f>AND(#REF!,"AAAAAHntb4Y=")</f>
        <v>#REF!</v>
      </c>
      <c r="EF297" t="e">
        <f>AND(#REF!,"AAAAAHntb4c=")</f>
        <v>#REF!</v>
      </c>
      <c r="EG297" t="e">
        <f>AND(#REF!,"AAAAAHntb4g=")</f>
        <v>#REF!</v>
      </c>
      <c r="EH297" t="e">
        <f>AND(#REF!,"AAAAAHntb4k=")</f>
        <v>#REF!</v>
      </c>
      <c r="EI297" t="e">
        <f>AND(#REF!,"AAAAAHntb4o=")</f>
        <v>#REF!</v>
      </c>
      <c r="EJ297" t="e">
        <f>AND(#REF!,"AAAAAHntb4s=")</f>
        <v>#REF!</v>
      </c>
      <c r="EK297" t="e">
        <f>AND(#REF!,"AAAAAHntb4w=")</f>
        <v>#REF!</v>
      </c>
      <c r="EL297" t="e">
        <f>AND(#REF!,"AAAAAHntb40=")</f>
        <v>#REF!</v>
      </c>
      <c r="EM297" t="e">
        <f>IF(#REF!,"AAAAAHntb44=",0)</f>
        <v>#REF!</v>
      </c>
      <c r="EN297" t="e">
        <f>AND(#REF!,"AAAAAHntb48=")</f>
        <v>#REF!</v>
      </c>
      <c r="EO297" t="e">
        <f>AND(#REF!,"AAAAAHntb5A=")</f>
        <v>#REF!</v>
      </c>
      <c r="EP297" t="e">
        <f>AND(#REF!,"AAAAAHntb5E=")</f>
        <v>#REF!</v>
      </c>
      <c r="EQ297" t="e">
        <f>AND(#REF!,"AAAAAHntb5I=")</f>
        <v>#REF!</v>
      </c>
      <c r="ER297" t="e">
        <f>AND(#REF!,"AAAAAHntb5M=")</f>
        <v>#REF!</v>
      </c>
      <c r="ES297" t="e">
        <f>AND(#REF!,"AAAAAHntb5Q=")</f>
        <v>#REF!</v>
      </c>
      <c r="ET297" t="e">
        <f>AND(#REF!,"AAAAAHntb5U=")</f>
        <v>#REF!</v>
      </c>
      <c r="EU297" t="e">
        <f>AND(#REF!,"AAAAAHntb5Y=")</f>
        <v>#REF!</v>
      </c>
      <c r="EV297" t="e">
        <f>AND(#REF!,"AAAAAHntb5c=")</f>
        <v>#REF!</v>
      </c>
      <c r="EW297" t="e">
        <f>AND(#REF!,"AAAAAHntb5g=")</f>
        <v>#REF!</v>
      </c>
      <c r="EX297" t="e">
        <f>IF(#REF!,"AAAAAHntb5k=",0)</f>
        <v>#REF!</v>
      </c>
      <c r="EY297" t="e">
        <f>AND(#REF!,"AAAAAHntb5o=")</f>
        <v>#REF!</v>
      </c>
      <c r="EZ297" t="e">
        <f>AND(#REF!,"AAAAAHntb5s=")</f>
        <v>#REF!</v>
      </c>
      <c r="FA297" t="e">
        <f>AND(#REF!,"AAAAAHntb5w=")</f>
        <v>#REF!</v>
      </c>
      <c r="FB297" t="e">
        <f>AND(#REF!,"AAAAAHntb50=")</f>
        <v>#REF!</v>
      </c>
      <c r="FC297" t="e">
        <f>AND(#REF!,"AAAAAHntb54=")</f>
        <v>#REF!</v>
      </c>
      <c r="FD297" t="e">
        <f>AND(#REF!,"AAAAAHntb58=")</f>
        <v>#REF!</v>
      </c>
      <c r="FE297" t="e">
        <f>AND(#REF!,"AAAAAHntb6A=")</f>
        <v>#REF!</v>
      </c>
      <c r="FF297" t="e">
        <f>AND(#REF!,"AAAAAHntb6E=")</f>
        <v>#REF!</v>
      </c>
      <c r="FG297" t="e">
        <f>AND(#REF!,"AAAAAHntb6I=")</f>
        <v>#REF!</v>
      </c>
      <c r="FH297" t="e">
        <f>AND(#REF!,"AAAAAHntb6M=")</f>
        <v>#REF!</v>
      </c>
      <c r="FI297" t="e">
        <f>IF(#REF!,"AAAAAHntb6Q=",0)</f>
        <v>#REF!</v>
      </c>
      <c r="FJ297" t="e">
        <f>AND(#REF!,"AAAAAHntb6U=")</f>
        <v>#REF!</v>
      </c>
      <c r="FK297" t="e">
        <f>AND(#REF!,"AAAAAHntb6Y=")</f>
        <v>#REF!</v>
      </c>
      <c r="FL297" t="e">
        <f>AND(#REF!,"AAAAAHntb6c=")</f>
        <v>#REF!</v>
      </c>
      <c r="FM297" t="e">
        <f>AND(#REF!,"AAAAAHntb6g=")</f>
        <v>#REF!</v>
      </c>
      <c r="FN297" t="e">
        <f>AND(#REF!,"AAAAAHntb6k=")</f>
        <v>#REF!</v>
      </c>
      <c r="FO297" t="e">
        <f>AND(#REF!,"AAAAAHntb6o=")</f>
        <v>#REF!</v>
      </c>
      <c r="FP297" t="e">
        <f>AND(#REF!,"AAAAAHntb6s=")</f>
        <v>#REF!</v>
      </c>
      <c r="FQ297" t="e">
        <f>AND(#REF!,"AAAAAHntb6w=")</f>
        <v>#REF!</v>
      </c>
      <c r="FR297" t="e">
        <f>AND(#REF!,"AAAAAHntb60=")</f>
        <v>#REF!</v>
      </c>
      <c r="FS297" t="e">
        <f>AND(#REF!,"AAAAAHntb64=")</f>
        <v>#REF!</v>
      </c>
      <c r="FT297" t="e">
        <f>IF(#REF!,"AAAAAHntb68=",0)</f>
        <v>#REF!</v>
      </c>
      <c r="FU297" t="e">
        <f>AND(#REF!,"AAAAAHntb7A=")</f>
        <v>#REF!</v>
      </c>
      <c r="FV297" t="e">
        <f>AND(#REF!,"AAAAAHntb7E=")</f>
        <v>#REF!</v>
      </c>
      <c r="FW297" t="e">
        <f>AND(#REF!,"AAAAAHntb7I=")</f>
        <v>#REF!</v>
      </c>
      <c r="FX297" t="e">
        <f>AND(#REF!,"AAAAAHntb7M=")</f>
        <v>#REF!</v>
      </c>
      <c r="FY297" t="e">
        <f>AND(#REF!,"AAAAAHntb7Q=")</f>
        <v>#REF!</v>
      </c>
      <c r="FZ297" t="e">
        <f>AND(#REF!,"AAAAAHntb7U=")</f>
        <v>#REF!</v>
      </c>
      <c r="GA297" t="e">
        <f>AND(#REF!,"AAAAAHntb7Y=")</f>
        <v>#REF!</v>
      </c>
      <c r="GB297" t="e">
        <f>AND(#REF!,"AAAAAHntb7c=")</f>
        <v>#REF!</v>
      </c>
      <c r="GC297" t="e">
        <f>AND(#REF!,"AAAAAHntb7g=")</f>
        <v>#REF!</v>
      </c>
      <c r="GD297" t="e">
        <f>AND(#REF!,"AAAAAHntb7k=")</f>
        <v>#REF!</v>
      </c>
      <c r="GE297" t="e">
        <f>IF(#REF!,"AAAAAHntb7o=",0)</f>
        <v>#REF!</v>
      </c>
      <c r="GF297" t="e">
        <f>AND(#REF!,"AAAAAHntb7s=")</f>
        <v>#REF!</v>
      </c>
      <c r="GG297" t="e">
        <f>AND(#REF!,"AAAAAHntb7w=")</f>
        <v>#REF!</v>
      </c>
      <c r="GH297" t="e">
        <f>AND(#REF!,"AAAAAHntb70=")</f>
        <v>#REF!</v>
      </c>
      <c r="GI297" t="e">
        <f>AND(#REF!,"AAAAAHntb74=")</f>
        <v>#REF!</v>
      </c>
      <c r="GJ297" t="e">
        <f>AND(#REF!,"AAAAAHntb78=")</f>
        <v>#REF!</v>
      </c>
      <c r="GK297" t="e">
        <f>AND(#REF!,"AAAAAHntb8A=")</f>
        <v>#REF!</v>
      </c>
      <c r="GL297" t="e">
        <f>AND(#REF!,"AAAAAHntb8E=")</f>
        <v>#REF!</v>
      </c>
      <c r="GM297" t="e">
        <f>AND(#REF!,"AAAAAHntb8I=")</f>
        <v>#REF!</v>
      </c>
      <c r="GN297" t="e">
        <f>AND(#REF!,"AAAAAHntb8M=")</f>
        <v>#REF!</v>
      </c>
      <c r="GO297" t="e">
        <f>AND(#REF!,"AAAAAHntb8Q=")</f>
        <v>#REF!</v>
      </c>
      <c r="GP297" t="e">
        <f>IF(#REF!,"AAAAAHntb8U=",0)</f>
        <v>#REF!</v>
      </c>
      <c r="GQ297" t="e">
        <f>AND(#REF!,"AAAAAHntb8Y=")</f>
        <v>#REF!</v>
      </c>
      <c r="GR297" t="e">
        <f>AND(#REF!,"AAAAAHntb8c=")</f>
        <v>#REF!</v>
      </c>
      <c r="GS297" t="e">
        <f>AND(#REF!,"AAAAAHntb8g=")</f>
        <v>#REF!</v>
      </c>
      <c r="GT297" t="e">
        <f>AND(#REF!,"AAAAAHntb8k=")</f>
        <v>#REF!</v>
      </c>
      <c r="GU297" t="e">
        <f>AND(#REF!,"AAAAAHntb8o=")</f>
        <v>#REF!</v>
      </c>
      <c r="GV297" t="e">
        <f>AND(#REF!,"AAAAAHntb8s=")</f>
        <v>#REF!</v>
      </c>
      <c r="GW297" t="e">
        <f>AND(#REF!,"AAAAAHntb8w=")</f>
        <v>#REF!</v>
      </c>
      <c r="GX297" t="e">
        <f>AND(#REF!,"AAAAAHntb80=")</f>
        <v>#REF!</v>
      </c>
      <c r="GY297" t="e">
        <f>AND(#REF!,"AAAAAHntb84=")</f>
        <v>#REF!</v>
      </c>
      <c r="GZ297" t="e">
        <f>AND(#REF!,"AAAAAHntb88=")</f>
        <v>#REF!</v>
      </c>
      <c r="HA297" t="e">
        <f>IF(#REF!,"AAAAAHntb9A=",0)</f>
        <v>#REF!</v>
      </c>
      <c r="HB297" t="e">
        <f>AND(#REF!,"AAAAAHntb9E=")</f>
        <v>#REF!</v>
      </c>
      <c r="HC297" t="e">
        <f>AND(#REF!,"AAAAAHntb9I=")</f>
        <v>#REF!</v>
      </c>
      <c r="HD297" t="e">
        <f>AND(#REF!,"AAAAAHntb9M=")</f>
        <v>#REF!</v>
      </c>
      <c r="HE297" t="e">
        <f>AND(#REF!,"AAAAAHntb9Q=")</f>
        <v>#REF!</v>
      </c>
      <c r="HF297" t="e">
        <f>AND(#REF!,"AAAAAHntb9U=")</f>
        <v>#REF!</v>
      </c>
      <c r="HG297" t="e">
        <f>AND(#REF!,"AAAAAHntb9Y=")</f>
        <v>#REF!</v>
      </c>
      <c r="HH297" t="e">
        <f>AND(#REF!,"AAAAAHntb9c=")</f>
        <v>#REF!</v>
      </c>
      <c r="HI297" t="e">
        <f>AND(#REF!,"AAAAAHntb9g=")</f>
        <v>#REF!</v>
      </c>
      <c r="HJ297" t="e">
        <f>AND(#REF!,"AAAAAHntb9k=")</f>
        <v>#REF!</v>
      </c>
      <c r="HK297" t="e">
        <f>AND(#REF!,"AAAAAHntb9o=")</f>
        <v>#REF!</v>
      </c>
      <c r="HL297" t="e">
        <f>IF(#REF!,"AAAAAHntb9s=",0)</f>
        <v>#REF!</v>
      </c>
      <c r="HM297" t="e">
        <f>AND(#REF!,"AAAAAHntb9w=")</f>
        <v>#REF!</v>
      </c>
      <c r="HN297" t="e">
        <f>AND(#REF!,"AAAAAHntb90=")</f>
        <v>#REF!</v>
      </c>
      <c r="HO297" t="e">
        <f>AND(#REF!,"AAAAAHntb94=")</f>
        <v>#REF!</v>
      </c>
      <c r="HP297" t="e">
        <f>AND(#REF!,"AAAAAHntb98=")</f>
        <v>#REF!</v>
      </c>
      <c r="HQ297" t="e">
        <f>AND(#REF!,"AAAAAHntb+A=")</f>
        <v>#REF!</v>
      </c>
      <c r="HR297" t="e">
        <f>AND(#REF!,"AAAAAHntb+E=")</f>
        <v>#REF!</v>
      </c>
      <c r="HS297" t="e">
        <f>AND(#REF!,"AAAAAHntb+I=")</f>
        <v>#REF!</v>
      </c>
      <c r="HT297" t="e">
        <f>AND(#REF!,"AAAAAHntb+M=")</f>
        <v>#REF!</v>
      </c>
      <c r="HU297" t="e">
        <f>AND(#REF!,"AAAAAHntb+Q=")</f>
        <v>#REF!</v>
      </c>
      <c r="HV297" t="e">
        <f>AND(#REF!,"AAAAAHntb+U=")</f>
        <v>#REF!</v>
      </c>
      <c r="HW297" t="e">
        <f>IF(#REF!,"AAAAAHntb+Y=",0)</f>
        <v>#REF!</v>
      </c>
      <c r="HX297" t="e">
        <f>AND(#REF!,"AAAAAHntb+c=")</f>
        <v>#REF!</v>
      </c>
      <c r="HY297" t="e">
        <f>AND(#REF!,"AAAAAHntb+g=")</f>
        <v>#REF!</v>
      </c>
      <c r="HZ297" t="e">
        <f>AND(#REF!,"AAAAAHntb+k=")</f>
        <v>#REF!</v>
      </c>
      <c r="IA297" t="e">
        <f>AND(#REF!,"AAAAAHntb+o=")</f>
        <v>#REF!</v>
      </c>
      <c r="IB297" t="e">
        <f>AND(#REF!,"AAAAAHntb+s=")</f>
        <v>#REF!</v>
      </c>
      <c r="IC297" t="e">
        <f>AND(#REF!,"AAAAAHntb+w=")</f>
        <v>#REF!</v>
      </c>
      <c r="ID297" t="e">
        <f>AND(#REF!,"AAAAAHntb+0=")</f>
        <v>#REF!</v>
      </c>
      <c r="IE297" t="e">
        <f>AND(#REF!,"AAAAAHntb+4=")</f>
        <v>#REF!</v>
      </c>
      <c r="IF297" t="e">
        <f>AND(#REF!,"AAAAAHntb+8=")</f>
        <v>#REF!</v>
      </c>
      <c r="IG297" t="e">
        <f>AND(#REF!,"AAAAAHntb/A=")</f>
        <v>#REF!</v>
      </c>
      <c r="IH297" t="e">
        <f>IF(#REF!,"AAAAAHntb/E=",0)</f>
        <v>#REF!</v>
      </c>
      <c r="II297" t="e">
        <f>AND(#REF!,"AAAAAHntb/I=")</f>
        <v>#REF!</v>
      </c>
      <c r="IJ297" t="e">
        <f>AND(#REF!,"AAAAAHntb/M=")</f>
        <v>#REF!</v>
      </c>
      <c r="IK297" t="e">
        <f>AND(#REF!,"AAAAAHntb/Q=")</f>
        <v>#REF!</v>
      </c>
      <c r="IL297" t="e">
        <f>AND(#REF!,"AAAAAHntb/U=")</f>
        <v>#REF!</v>
      </c>
      <c r="IM297" t="e">
        <f>AND(#REF!,"AAAAAHntb/Y=")</f>
        <v>#REF!</v>
      </c>
      <c r="IN297" t="e">
        <f>AND(#REF!,"AAAAAHntb/c=")</f>
        <v>#REF!</v>
      </c>
      <c r="IO297" t="e">
        <f>AND(#REF!,"AAAAAHntb/g=")</f>
        <v>#REF!</v>
      </c>
      <c r="IP297" t="e">
        <f>AND(#REF!,"AAAAAHntb/k=")</f>
        <v>#REF!</v>
      </c>
      <c r="IQ297" t="e">
        <f>AND(#REF!,"AAAAAHntb/o=")</f>
        <v>#REF!</v>
      </c>
      <c r="IR297" t="e">
        <f>AND(#REF!,"AAAAAHntb/s=")</f>
        <v>#REF!</v>
      </c>
      <c r="IS297" t="e">
        <f>IF(#REF!,"AAAAAHntb/w=",0)</f>
        <v>#REF!</v>
      </c>
      <c r="IT297" t="e">
        <f>AND(#REF!,"AAAAAHntb/0=")</f>
        <v>#REF!</v>
      </c>
      <c r="IU297" t="e">
        <f>AND(#REF!,"AAAAAHntb/4=")</f>
        <v>#REF!</v>
      </c>
      <c r="IV297" t="e">
        <f>AND(#REF!,"AAAAAHntb/8=")</f>
        <v>#REF!</v>
      </c>
    </row>
    <row r="298" spans="1:256" x14ac:dyDescent="0.25">
      <c r="A298" t="e">
        <f>AND(#REF!,"AAAAAH8/7wA=")</f>
        <v>#REF!</v>
      </c>
      <c r="B298" t="e">
        <f>AND(#REF!,"AAAAAH8/7wE=")</f>
        <v>#REF!</v>
      </c>
      <c r="C298" t="e">
        <f>AND(#REF!,"AAAAAH8/7wI=")</f>
        <v>#REF!</v>
      </c>
      <c r="D298" t="e">
        <f>AND(#REF!,"AAAAAH8/7wM=")</f>
        <v>#REF!</v>
      </c>
      <c r="E298" t="e">
        <f>AND(#REF!,"AAAAAH8/7wQ=")</f>
        <v>#REF!</v>
      </c>
      <c r="F298" t="e">
        <f>AND(#REF!,"AAAAAH8/7wU=")</f>
        <v>#REF!</v>
      </c>
      <c r="G298" t="e">
        <f>AND(#REF!,"AAAAAH8/7wY=")</f>
        <v>#REF!</v>
      </c>
      <c r="H298" t="e">
        <f>IF(#REF!,"AAAAAH8/7wc=",0)</f>
        <v>#REF!</v>
      </c>
      <c r="I298" t="e">
        <f>AND(#REF!,"AAAAAH8/7wg=")</f>
        <v>#REF!</v>
      </c>
      <c r="J298" t="e">
        <f>AND(#REF!,"AAAAAH8/7wk=")</f>
        <v>#REF!</v>
      </c>
      <c r="K298" t="e">
        <f>AND(#REF!,"AAAAAH8/7wo=")</f>
        <v>#REF!</v>
      </c>
      <c r="L298" t="e">
        <f>AND(#REF!,"AAAAAH8/7ws=")</f>
        <v>#REF!</v>
      </c>
      <c r="M298" t="e">
        <f>AND(#REF!,"AAAAAH8/7ww=")</f>
        <v>#REF!</v>
      </c>
      <c r="N298" t="e">
        <f>AND(#REF!,"AAAAAH8/7w0=")</f>
        <v>#REF!</v>
      </c>
      <c r="O298" t="e">
        <f>AND(#REF!,"AAAAAH8/7w4=")</f>
        <v>#REF!</v>
      </c>
      <c r="P298" t="e">
        <f>AND(#REF!,"AAAAAH8/7w8=")</f>
        <v>#REF!</v>
      </c>
      <c r="Q298" t="e">
        <f>AND(#REF!,"AAAAAH8/7xA=")</f>
        <v>#REF!</v>
      </c>
      <c r="R298" t="e">
        <f>AND(#REF!,"AAAAAH8/7xE=")</f>
        <v>#REF!</v>
      </c>
      <c r="S298" t="e">
        <f>IF(#REF!,"AAAAAH8/7xI=",0)</f>
        <v>#REF!</v>
      </c>
      <c r="T298" t="e">
        <f>AND(#REF!,"AAAAAH8/7xM=")</f>
        <v>#REF!</v>
      </c>
      <c r="U298" t="e">
        <f>AND(#REF!,"AAAAAH8/7xQ=")</f>
        <v>#REF!</v>
      </c>
      <c r="V298" t="e">
        <f>AND(#REF!,"AAAAAH8/7xU=")</f>
        <v>#REF!</v>
      </c>
      <c r="W298" t="e">
        <f>AND(#REF!,"AAAAAH8/7xY=")</f>
        <v>#REF!</v>
      </c>
      <c r="X298" t="e">
        <f>AND(#REF!,"AAAAAH8/7xc=")</f>
        <v>#REF!</v>
      </c>
      <c r="Y298" t="e">
        <f>AND(#REF!,"AAAAAH8/7xg=")</f>
        <v>#REF!</v>
      </c>
      <c r="Z298" t="e">
        <f>AND(#REF!,"AAAAAH8/7xk=")</f>
        <v>#REF!</v>
      </c>
      <c r="AA298" t="e">
        <f>AND(#REF!,"AAAAAH8/7xo=")</f>
        <v>#REF!</v>
      </c>
      <c r="AB298" t="e">
        <f>AND(#REF!,"AAAAAH8/7xs=")</f>
        <v>#REF!</v>
      </c>
      <c r="AC298" t="e">
        <f>AND(#REF!,"AAAAAH8/7xw=")</f>
        <v>#REF!</v>
      </c>
      <c r="AD298" t="e">
        <f>IF(#REF!,"AAAAAH8/7x0=",0)</f>
        <v>#REF!</v>
      </c>
      <c r="AE298" t="e">
        <f>AND(#REF!,"AAAAAH8/7x4=")</f>
        <v>#REF!</v>
      </c>
      <c r="AF298" t="e">
        <f>AND(#REF!,"AAAAAH8/7x8=")</f>
        <v>#REF!</v>
      </c>
      <c r="AG298" t="e">
        <f>AND(#REF!,"AAAAAH8/7yA=")</f>
        <v>#REF!</v>
      </c>
      <c r="AH298" t="e">
        <f>AND(#REF!,"AAAAAH8/7yE=")</f>
        <v>#REF!</v>
      </c>
      <c r="AI298" t="e">
        <f>AND(#REF!,"AAAAAH8/7yI=")</f>
        <v>#REF!</v>
      </c>
      <c r="AJ298" t="e">
        <f>AND(#REF!,"AAAAAH8/7yM=")</f>
        <v>#REF!</v>
      </c>
      <c r="AK298" t="e">
        <f>AND(#REF!,"AAAAAH8/7yQ=")</f>
        <v>#REF!</v>
      </c>
      <c r="AL298" t="e">
        <f>AND(#REF!,"AAAAAH8/7yU=")</f>
        <v>#REF!</v>
      </c>
      <c r="AM298" t="e">
        <f>AND(#REF!,"AAAAAH8/7yY=")</f>
        <v>#REF!</v>
      </c>
      <c r="AN298" t="e">
        <f>AND(#REF!,"AAAAAH8/7yc=")</f>
        <v>#REF!</v>
      </c>
      <c r="AO298" t="e">
        <f>IF(#REF!,"AAAAAH8/7yg=",0)</f>
        <v>#REF!</v>
      </c>
      <c r="AP298" t="e">
        <f>AND(#REF!,"AAAAAH8/7yk=")</f>
        <v>#REF!</v>
      </c>
      <c r="AQ298" t="e">
        <f>AND(#REF!,"AAAAAH8/7yo=")</f>
        <v>#REF!</v>
      </c>
      <c r="AR298" t="e">
        <f>AND(#REF!,"AAAAAH8/7ys=")</f>
        <v>#REF!</v>
      </c>
      <c r="AS298" t="e">
        <f>AND(#REF!,"AAAAAH8/7yw=")</f>
        <v>#REF!</v>
      </c>
      <c r="AT298" t="e">
        <f>AND(#REF!,"AAAAAH8/7y0=")</f>
        <v>#REF!</v>
      </c>
      <c r="AU298" t="e">
        <f>AND(#REF!,"AAAAAH8/7y4=")</f>
        <v>#REF!</v>
      </c>
      <c r="AV298" t="e">
        <f>AND(#REF!,"AAAAAH8/7y8=")</f>
        <v>#REF!</v>
      </c>
      <c r="AW298" t="e">
        <f>AND(#REF!,"AAAAAH8/7zA=")</f>
        <v>#REF!</v>
      </c>
      <c r="AX298" t="e">
        <f>AND(#REF!,"AAAAAH8/7zE=")</f>
        <v>#REF!</v>
      </c>
      <c r="AY298" t="e">
        <f>AND(#REF!,"AAAAAH8/7zI=")</f>
        <v>#REF!</v>
      </c>
      <c r="AZ298" t="e">
        <f>IF(#REF!,"AAAAAH8/7zM=",0)</f>
        <v>#REF!</v>
      </c>
      <c r="BA298" t="e">
        <f>AND(#REF!,"AAAAAH8/7zQ=")</f>
        <v>#REF!</v>
      </c>
      <c r="BB298" t="e">
        <f>AND(#REF!,"AAAAAH8/7zU=")</f>
        <v>#REF!</v>
      </c>
      <c r="BC298" t="e">
        <f>AND(#REF!,"AAAAAH8/7zY=")</f>
        <v>#REF!</v>
      </c>
      <c r="BD298" t="e">
        <f>AND(#REF!,"AAAAAH8/7zc=")</f>
        <v>#REF!</v>
      </c>
      <c r="BE298" t="e">
        <f>AND(#REF!,"AAAAAH8/7zg=")</f>
        <v>#REF!</v>
      </c>
      <c r="BF298" t="e">
        <f>AND(#REF!,"AAAAAH8/7zk=")</f>
        <v>#REF!</v>
      </c>
      <c r="BG298" t="e">
        <f>AND(#REF!,"AAAAAH8/7zo=")</f>
        <v>#REF!</v>
      </c>
      <c r="BH298" t="e">
        <f>AND(#REF!,"AAAAAH8/7zs=")</f>
        <v>#REF!</v>
      </c>
      <c r="BI298" t="e">
        <f>AND(#REF!,"AAAAAH8/7zw=")</f>
        <v>#REF!</v>
      </c>
      <c r="BJ298" t="e">
        <f>AND(#REF!,"AAAAAH8/7z0=")</f>
        <v>#REF!</v>
      </c>
      <c r="BK298" t="e">
        <f>IF(#REF!,"AAAAAH8/7z4=",0)</f>
        <v>#REF!</v>
      </c>
      <c r="BL298" t="e">
        <f>AND(#REF!,"AAAAAH8/7z8=")</f>
        <v>#REF!</v>
      </c>
      <c r="BM298" t="e">
        <f>AND(#REF!,"AAAAAH8/70A=")</f>
        <v>#REF!</v>
      </c>
      <c r="BN298" t="e">
        <f>AND(#REF!,"AAAAAH8/70E=")</f>
        <v>#REF!</v>
      </c>
      <c r="BO298" t="e">
        <f>AND(#REF!,"AAAAAH8/70I=")</f>
        <v>#REF!</v>
      </c>
      <c r="BP298" t="e">
        <f>AND(#REF!,"AAAAAH8/70M=")</f>
        <v>#REF!</v>
      </c>
      <c r="BQ298" t="e">
        <f>AND(#REF!,"AAAAAH8/70Q=")</f>
        <v>#REF!</v>
      </c>
      <c r="BR298" t="e">
        <f>AND(#REF!,"AAAAAH8/70U=")</f>
        <v>#REF!</v>
      </c>
      <c r="BS298" t="e">
        <f>AND(#REF!,"AAAAAH8/70Y=")</f>
        <v>#REF!</v>
      </c>
      <c r="BT298" t="e">
        <f>AND(#REF!,"AAAAAH8/70c=")</f>
        <v>#REF!</v>
      </c>
      <c r="BU298" t="e">
        <f>AND(#REF!,"AAAAAH8/70g=")</f>
        <v>#REF!</v>
      </c>
      <c r="BV298" t="e">
        <f>IF(#REF!,"AAAAAH8/70k=",0)</f>
        <v>#REF!</v>
      </c>
      <c r="BW298" t="e">
        <f>AND(#REF!,"AAAAAH8/70o=")</f>
        <v>#REF!</v>
      </c>
      <c r="BX298" t="e">
        <f>AND(#REF!,"AAAAAH8/70s=")</f>
        <v>#REF!</v>
      </c>
      <c r="BY298" t="e">
        <f>AND(#REF!,"AAAAAH8/70w=")</f>
        <v>#REF!</v>
      </c>
      <c r="BZ298" t="e">
        <f>AND(#REF!,"AAAAAH8/700=")</f>
        <v>#REF!</v>
      </c>
      <c r="CA298" t="e">
        <f>AND(#REF!,"AAAAAH8/704=")</f>
        <v>#REF!</v>
      </c>
      <c r="CB298" t="e">
        <f>AND(#REF!,"AAAAAH8/708=")</f>
        <v>#REF!</v>
      </c>
      <c r="CC298" t="e">
        <f>AND(#REF!,"AAAAAH8/71A=")</f>
        <v>#REF!</v>
      </c>
      <c r="CD298" t="e">
        <f>AND(#REF!,"AAAAAH8/71E=")</f>
        <v>#REF!</v>
      </c>
      <c r="CE298" t="e">
        <f>AND(#REF!,"AAAAAH8/71I=")</f>
        <v>#REF!</v>
      </c>
      <c r="CF298" t="e">
        <f>AND(#REF!,"AAAAAH8/71M=")</f>
        <v>#REF!</v>
      </c>
      <c r="CG298" t="e">
        <f>IF(#REF!,"AAAAAH8/71Q=",0)</f>
        <v>#REF!</v>
      </c>
      <c r="CH298" t="e">
        <f>AND(#REF!,"AAAAAH8/71U=")</f>
        <v>#REF!</v>
      </c>
      <c r="CI298" t="e">
        <f>AND(#REF!,"AAAAAH8/71Y=")</f>
        <v>#REF!</v>
      </c>
      <c r="CJ298" t="e">
        <f>AND(#REF!,"AAAAAH8/71c=")</f>
        <v>#REF!</v>
      </c>
      <c r="CK298" t="e">
        <f>AND(#REF!,"AAAAAH8/71g=")</f>
        <v>#REF!</v>
      </c>
      <c r="CL298" t="e">
        <f>AND(#REF!,"AAAAAH8/71k=")</f>
        <v>#REF!</v>
      </c>
      <c r="CM298" t="e">
        <f>AND(#REF!,"AAAAAH8/71o=")</f>
        <v>#REF!</v>
      </c>
      <c r="CN298" t="e">
        <f>AND(#REF!,"AAAAAH8/71s=")</f>
        <v>#REF!</v>
      </c>
      <c r="CO298" t="e">
        <f>AND(#REF!,"AAAAAH8/71w=")</f>
        <v>#REF!</v>
      </c>
      <c r="CP298" t="e">
        <f>AND(#REF!,"AAAAAH8/710=")</f>
        <v>#REF!</v>
      </c>
      <c r="CQ298" t="e">
        <f>AND(#REF!,"AAAAAH8/714=")</f>
        <v>#REF!</v>
      </c>
      <c r="CR298" t="e">
        <f>IF(#REF!,"AAAAAH8/718=",0)</f>
        <v>#REF!</v>
      </c>
      <c r="CS298" t="e">
        <f>AND(#REF!,"AAAAAH8/72A=")</f>
        <v>#REF!</v>
      </c>
      <c r="CT298" t="e">
        <f>AND(#REF!,"AAAAAH8/72E=")</f>
        <v>#REF!</v>
      </c>
      <c r="CU298" t="e">
        <f>AND(#REF!,"AAAAAH8/72I=")</f>
        <v>#REF!</v>
      </c>
      <c r="CV298" t="e">
        <f>AND(#REF!,"AAAAAH8/72M=")</f>
        <v>#REF!</v>
      </c>
      <c r="CW298" t="e">
        <f>AND(#REF!,"AAAAAH8/72Q=")</f>
        <v>#REF!</v>
      </c>
      <c r="CX298" t="e">
        <f>AND(#REF!,"AAAAAH8/72U=")</f>
        <v>#REF!</v>
      </c>
      <c r="CY298" t="e">
        <f>AND(#REF!,"AAAAAH8/72Y=")</f>
        <v>#REF!</v>
      </c>
      <c r="CZ298" t="e">
        <f>AND(#REF!,"AAAAAH8/72c=")</f>
        <v>#REF!</v>
      </c>
      <c r="DA298" t="e">
        <f>AND(#REF!,"AAAAAH8/72g=")</f>
        <v>#REF!</v>
      </c>
      <c r="DB298" t="e">
        <f>AND(#REF!,"AAAAAH8/72k=")</f>
        <v>#REF!</v>
      </c>
      <c r="DC298" t="e">
        <f>IF(#REF!,"AAAAAH8/72o=",0)</f>
        <v>#REF!</v>
      </c>
      <c r="DD298" t="e">
        <f>AND(#REF!,"AAAAAH8/72s=")</f>
        <v>#REF!</v>
      </c>
      <c r="DE298" t="e">
        <f>AND(#REF!,"AAAAAH8/72w=")</f>
        <v>#REF!</v>
      </c>
      <c r="DF298" t="e">
        <f>AND(#REF!,"AAAAAH8/720=")</f>
        <v>#REF!</v>
      </c>
      <c r="DG298" t="e">
        <f>AND(#REF!,"AAAAAH8/724=")</f>
        <v>#REF!</v>
      </c>
      <c r="DH298" t="e">
        <f>AND(#REF!,"AAAAAH8/728=")</f>
        <v>#REF!</v>
      </c>
      <c r="DI298" t="e">
        <f>AND(#REF!,"AAAAAH8/73A=")</f>
        <v>#REF!</v>
      </c>
      <c r="DJ298" t="e">
        <f>AND(#REF!,"AAAAAH8/73E=")</f>
        <v>#REF!</v>
      </c>
      <c r="DK298" t="e">
        <f>AND(#REF!,"AAAAAH8/73I=")</f>
        <v>#REF!</v>
      </c>
      <c r="DL298" t="e">
        <f>AND(#REF!,"AAAAAH8/73M=")</f>
        <v>#REF!</v>
      </c>
      <c r="DM298" t="e">
        <f>AND(#REF!,"AAAAAH8/73Q=")</f>
        <v>#REF!</v>
      </c>
      <c r="DN298" t="e">
        <f>IF(#REF!,"AAAAAH8/73U=",0)</f>
        <v>#REF!</v>
      </c>
      <c r="DO298" t="e">
        <f>AND(#REF!,"AAAAAH8/73Y=")</f>
        <v>#REF!</v>
      </c>
      <c r="DP298" t="e">
        <f>AND(#REF!,"AAAAAH8/73c=")</f>
        <v>#REF!</v>
      </c>
      <c r="DQ298" t="e">
        <f>AND(#REF!,"AAAAAH8/73g=")</f>
        <v>#REF!</v>
      </c>
      <c r="DR298" t="e">
        <f>AND(#REF!,"AAAAAH8/73k=")</f>
        <v>#REF!</v>
      </c>
      <c r="DS298" t="e">
        <f>AND(#REF!,"AAAAAH8/73o=")</f>
        <v>#REF!</v>
      </c>
      <c r="DT298" t="e">
        <f>AND(#REF!,"AAAAAH8/73s=")</f>
        <v>#REF!</v>
      </c>
      <c r="DU298" t="e">
        <f>AND(#REF!,"AAAAAH8/73w=")</f>
        <v>#REF!</v>
      </c>
      <c r="DV298" t="e">
        <f>AND(#REF!,"AAAAAH8/730=")</f>
        <v>#REF!</v>
      </c>
      <c r="DW298" t="e">
        <f>AND(#REF!,"AAAAAH8/734=")</f>
        <v>#REF!</v>
      </c>
      <c r="DX298" t="e">
        <f>AND(#REF!,"AAAAAH8/738=")</f>
        <v>#REF!</v>
      </c>
      <c r="DY298" t="e">
        <f>IF(#REF!,"AAAAAH8/74A=",0)</f>
        <v>#REF!</v>
      </c>
      <c r="DZ298" t="e">
        <f>AND(#REF!,"AAAAAH8/74E=")</f>
        <v>#REF!</v>
      </c>
      <c r="EA298" t="e">
        <f>AND(#REF!,"AAAAAH8/74I=")</f>
        <v>#REF!</v>
      </c>
      <c r="EB298" t="e">
        <f>AND(#REF!,"AAAAAH8/74M=")</f>
        <v>#REF!</v>
      </c>
      <c r="EC298" t="e">
        <f>AND(#REF!,"AAAAAH8/74Q=")</f>
        <v>#REF!</v>
      </c>
      <c r="ED298" t="e">
        <f>AND(#REF!,"AAAAAH8/74U=")</f>
        <v>#REF!</v>
      </c>
      <c r="EE298" t="e">
        <f>AND(#REF!,"AAAAAH8/74Y=")</f>
        <v>#REF!</v>
      </c>
      <c r="EF298" t="e">
        <f>AND(#REF!,"AAAAAH8/74c=")</f>
        <v>#REF!</v>
      </c>
      <c r="EG298" t="e">
        <f>AND(#REF!,"AAAAAH8/74g=")</f>
        <v>#REF!</v>
      </c>
      <c r="EH298" t="e">
        <f>AND(#REF!,"AAAAAH8/74k=")</f>
        <v>#REF!</v>
      </c>
      <c r="EI298" t="e">
        <f>AND(#REF!,"AAAAAH8/74o=")</f>
        <v>#REF!</v>
      </c>
      <c r="EJ298" t="e">
        <f>IF(#REF!,"AAAAAH8/74s=",0)</f>
        <v>#REF!</v>
      </c>
      <c r="EK298" t="e">
        <f>AND(#REF!,"AAAAAH8/74w=")</f>
        <v>#REF!</v>
      </c>
      <c r="EL298" t="e">
        <f>AND(#REF!,"AAAAAH8/740=")</f>
        <v>#REF!</v>
      </c>
      <c r="EM298" t="e">
        <f>AND(#REF!,"AAAAAH8/744=")</f>
        <v>#REF!</v>
      </c>
      <c r="EN298" t="e">
        <f>AND(#REF!,"AAAAAH8/748=")</f>
        <v>#REF!</v>
      </c>
      <c r="EO298" t="e">
        <f>AND(#REF!,"AAAAAH8/75A=")</f>
        <v>#REF!</v>
      </c>
      <c r="EP298" t="e">
        <f>AND(#REF!,"AAAAAH8/75E=")</f>
        <v>#REF!</v>
      </c>
      <c r="EQ298" t="e">
        <f>AND(#REF!,"AAAAAH8/75I=")</f>
        <v>#REF!</v>
      </c>
      <c r="ER298" t="e">
        <f>AND(#REF!,"AAAAAH8/75M=")</f>
        <v>#REF!</v>
      </c>
      <c r="ES298" t="e">
        <f>AND(#REF!,"AAAAAH8/75Q=")</f>
        <v>#REF!</v>
      </c>
      <c r="ET298" t="e">
        <f>AND(#REF!,"AAAAAH8/75U=")</f>
        <v>#REF!</v>
      </c>
      <c r="EU298" t="e">
        <f>IF(#REF!,"AAAAAH8/75Y=",0)</f>
        <v>#REF!</v>
      </c>
      <c r="EV298" t="e">
        <f>AND(#REF!,"AAAAAH8/75c=")</f>
        <v>#REF!</v>
      </c>
      <c r="EW298" t="e">
        <f>AND(#REF!,"AAAAAH8/75g=")</f>
        <v>#REF!</v>
      </c>
      <c r="EX298" t="e">
        <f>AND(#REF!,"AAAAAH8/75k=")</f>
        <v>#REF!</v>
      </c>
      <c r="EY298" t="e">
        <f>AND(#REF!,"AAAAAH8/75o=")</f>
        <v>#REF!</v>
      </c>
      <c r="EZ298" t="e">
        <f>AND(#REF!,"AAAAAH8/75s=")</f>
        <v>#REF!</v>
      </c>
      <c r="FA298" t="e">
        <f>AND(#REF!,"AAAAAH8/75w=")</f>
        <v>#REF!</v>
      </c>
      <c r="FB298" t="e">
        <f>AND(#REF!,"AAAAAH8/750=")</f>
        <v>#REF!</v>
      </c>
      <c r="FC298" t="e">
        <f>AND(#REF!,"AAAAAH8/754=")</f>
        <v>#REF!</v>
      </c>
      <c r="FD298" t="e">
        <f>AND(#REF!,"AAAAAH8/758=")</f>
        <v>#REF!</v>
      </c>
      <c r="FE298" t="e">
        <f>AND(#REF!,"AAAAAH8/76A=")</f>
        <v>#REF!</v>
      </c>
      <c r="FF298" t="e">
        <f>IF(#REF!,"AAAAAH8/76E=",0)</f>
        <v>#REF!</v>
      </c>
      <c r="FG298" t="e">
        <f>AND(#REF!,"AAAAAH8/76I=")</f>
        <v>#REF!</v>
      </c>
      <c r="FH298" t="e">
        <f>AND(#REF!,"AAAAAH8/76M=")</f>
        <v>#REF!</v>
      </c>
      <c r="FI298" t="e">
        <f>AND(#REF!,"AAAAAH8/76Q=")</f>
        <v>#REF!</v>
      </c>
      <c r="FJ298" t="e">
        <f>AND(#REF!,"AAAAAH8/76U=")</f>
        <v>#REF!</v>
      </c>
      <c r="FK298" t="e">
        <f>AND(#REF!,"AAAAAH8/76Y=")</f>
        <v>#REF!</v>
      </c>
      <c r="FL298" t="e">
        <f>AND(#REF!,"AAAAAH8/76c=")</f>
        <v>#REF!</v>
      </c>
      <c r="FM298" t="e">
        <f>AND(#REF!,"AAAAAH8/76g=")</f>
        <v>#REF!</v>
      </c>
      <c r="FN298" t="e">
        <f>AND(#REF!,"AAAAAH8/76k=")</f>
        <v>#REF!</v>
      </c>
      <c r="FO298" t="e">
        <f>AND(#REF!,"AAAAAH8/76o=")</f>
        <v>#REF!</v>
      </c>
      <c r="FP298" t="e">
        <f>AND(#REF!,"AAAAAH8/76s=")</f>
        <v>#REF!</v>
      </c>
      <c r="FQ298" t="e">
        <f>IF(#REF!,"AAAAAH8/76w=",0)</f>
        <v>#REF!</v>
      </c>
      <c r="FR298" t="e">
        <f>AND(#REF!,"AAAAAH8/760=")</f>
        <v>#REF!</v>
      </c>
      <c r="FS298" t="e">
        <f>AND(#REF!,"AAAAAH8/764=")</f>
        <v>#REF!</v>
      </c>
      <c r="FT298" t="e">
        <f>AND(#REF!,"AAAAAH8/768=")</f>
        <v>#REF!</v>
      </c>
      <c r="FU298" t="e">
        <f>AND(#REF!,"AAAAAH8/77A=")</f>
        <v>#REF!</v>
      </c>
      <c r="FV298" t="e">
        <f>AND(#REF!,"AAAAAH8/77E=")</f>
        <v>#REF!</v>
      </c>
      <c r="FW298" t="e">
        <f>AND(#REF!,"AAAAAH8/77I=")</f>
        <v>#REF!</v>
      </c>
      <c r="FX298" t="e">
        <f>AND(#REF!,"AAAAAH8/77M=")</f>
        <v>#REF!</v>
      </c>
      <c r="FY298" t="e">
        <f>AND(#REF!,"AAAAAH8/77Q=")</f>
        <v>#REF!</v>
      </c>
      <c r="FZ298" t="e">
        <f>AND(#REF!,"AAAAAH8/77U=")</f>
        <v>#REF!</v>
      </c>
      <c r="GA298" t="e">
        <f>AND(#REF!,"AAAAAH8/77Y=")</f>
        <v>#REF!</v>
      </c>
      <c r="GB298" t="e">
        <f>IF(#REF!,"AAAAAH8/77c=",0)</f>
        <v>#REF!</v>
      </c>
      <c r="GC298" t="e">
        <f>AND(#REF!,"AAAAAH8/77g=")</f>
        <v>#REF!</v>
      </c>
      <c r="GD298" t="e">
        <f>AND(#REF!,"AAAAAH8/77k=")</f>
        <v>#REF!</v>
      </c>
      <c r="GE298" t="e">
        <f>AND(#REF!,"AAAAAH8/77o=")</f>
        <v>#REF!</v>
      </c>
      <c r="GF298" t="e">
        <f>AND(#REF!,"AAAAAH8/77s=")</f>
        <v>#REF!</v>
      </c>
      <c r="GG298" t="e">
        <f>AND(#REF!,"AAAAAH8/77w=")</f>
        <v>#REF!</v>
      </c>
      <c r="GH298" t="e">
        <f>AND(#REF!,"AAAAAH8/770=")</f>
        <v>#REF!</v>
      </c>
      <c r="GI298" t="e">
        <f>AND(#REF!,"AAAAAH8/774=")</f>
        <v>#REF!</v>
      </c>
      <c r="GJ298" t="e">
        <f>AND(#REF!,"AAAAAH8/778=")</f>
        <v>#REF!</v>
      </c>
      <c r="GK298" t="e">
        <f>AND(#REF!,"AAAAAH8/78A=")</f>
        <v>#REF!</v>
      </c>
      <c r="GL298" t="e">
        <f>AND(#REF!,"AAAAAH8/78E=")</f>
        <v>#REF!</v>
      </c>
      <c r="GM298" t="e">
        <f>IF(#REF!,"AAAAAH8/78I=",0)</f>
        <v>#REF!</v>
      </c>
      <c r="GN298" t="e">
        <f>AND(#REF!,"AAAAAH8/78M=")</f>
        <v>#REF!</v>
      </c>
      <c r="GO298" t="e">
        <f>AND(#REF!,"AAAAAH8/78Q=")</f>
        <v>#REF!</v>
      </c>
      <c r="GP298" t="e">
        <f>AND(#REF!,"AAAAAH8/78U=")</f>
        <v>#REF!</v>
      </c>
      <c r="GQ298" t="e">
        <f>AND(#REF!,"AAAAAH8/78Y=")</f>
        <v>#REF!</v>
      </c>
      <c r="GR298" t="e">
        <f>AND(#REF!,"AAAAAH8/78c=")</f>
        <v>#REF!</v>
      </c>
      <c r="GS298" t="e">
        <f>AND(#REF!,"AAAAAH8/78g=")</f>
        <v>#REF!</v>
      </c>
      <c r="GT298" t="e">
        <f>AND(#REF!,"AAAAAH8/78k=")</f>
        <v>#REF!</v>
      </c>
      <c r="GU298" t="e">
        <f>AND(#REF!,"AAAAAH8/78o=")</f>
        <v>#REF!</v>
      </c>
      <c r="GV298" t="e">
        <f>AND(#REF!,"AAAAAH8/78s=")</f>
        <v>#REF!</v>
      </c>
      <c r="GW298" t="e">
        <f>AND(#REF!,"AAAAAH8/78w=")</f>
        <v>#REF!</v>
      </c>
      <c r="GX298" t="e">
        <f>IF(#REF!,"AAAAAH8/780=",0)</f>
        <v>#REF!</v>
      </c>
      <c r="GY298" t="e">
        <f>AND(#REF!,"AAAAAH8/784=")</f>
        <v>#REF!</v>
      </c>
      <c r="GZ298" t="e">
        <f>AND(#REF!,"AAAAAH8/788=")</f>
        <v>#REF!</v>
      </c>
      <c r="HA298" t="e">
        <f>AND(#REF!,"AAAAAH8/79A=")</f>
        <v>#REF!</v>
      </c>
      <c r="HB298" t="e">
        <f>AND(#REF!,"AAAAAH8/79E=")</f>
        <v>#REF!</v>
      </c>
      <c r="HC298" t="e">
        <f>AND(#REF!,"AAAAAH8/79I=")</f>
        <v>#REF!</v>
      </c>
      <c r="HD298" t="e">
        <f>AND(#REF!,"AAAAAH8/79M=")</f>
        <v>#REF!</v>
      </c>
      <c r="HE298" t="e">
        <f>AND(#REF!,"AAAAAH8/79Q=")</f>
        <v>#REF!</v>
      </c>
      <c r="HF298" t="e">
        <f>AND(#REF!,"AAAAAH8/79U=")</f>
        <v>#REF!</v>
      </c>
      <c r="HG298" t="e">
        <f>AND(#REF!,"AAAAAH8/79Y=")</f>
        <v>#REF!</v>
      </c>
      <c r="HH298" t="e">
        <f>AND(#REF!,"AAAAAH8/79c=")</f>
        <v>#REF!</v>
      </c>
      <c r="HI298" t="e">
        <f>IF(#REF!,"AAAAAH8/79g=",0)</f>
        <v>#REF!</v>
      </c>
      <c r="HJ298" t="e">
        <f>AND(#REF!,"AAAAAH8/79k=")</f>
        <v>#REF!</v>
      </c>
      <c r="HK298" t="e">
        <f>AND(#REF!,"AAAAAH8/79o=")</f>
        <v>#REF!</v>
      </c>
      <c r="HL298" t="e">
        <f>AND(#REF!,"AAAAAH8/79s=")</f>
        <v>#REF!</v>
      </c>
      <c r="HM298" t="e">
        <f>AND(#REF!,"AAAAAH8/79w=")</f>
        <v>#REF!</v>
      </c>
      <c r="HN298" t="e">
        <f>AND(#REF!,"AAAAAH8/790=")</f>
        <v>#REF!</v>
      </c>
      <c r="HO298" t="e">
        <f>AND(#REF!,"AAAAAH8/794=")</f>
        <v>#REF!</v>
      </c>
      <c r="HP298" t="e">
        <f>AND(#REF!,"AAAAAH8/798=")</f>
        <v>#REF!</v>
      </c>
      <c r="HQ298" t="e">
        <f>AND(#REF!,"AAAAAH8/7+A=")</f>
        <v>#REF!</v>
      </c>
      <c r="HR298" t="e">
        <f>AND(#REF!,"AAAAAH8/7+E=")</f>
        <v>#REF!</v>
      </c>
      <c r="HS298" t="e">
        <f>AND(#REF!,"AAAAAH8/7+I=")</f>
        <v>#REF!</v>
      </c>
      <c r="HT298" t="e">
        <f>IF(#REF!,"AAAAAH8/7+M=",0)</f>
        <v>#REF!</v>
      </c>
      <c r="HU298" t="e">
        <f>AND(#REF!,"AAAAAH8/7+Q=")</f>
        <v>#REF!</v>
      </c>
      <c r="HV298" t="e">
        <f>AND(#REF!,"AAAAAH8/7+U=")</f>
        <v>#REF!</v>
      </c>
      <c r="HW298" t="e">
        <f>AND(#REF!,"AAAAAH8/7+Y=")</f>
        <v>#REF!</v>
      </c>
      <c r="HX298" t="e">
        <f>AND(#REF!,"AAAAAH8/7+c=")</f>
        <v>#REF!</v>
      </c>
      <c r="HY298" t="e">
        <f>AND(#REF!,"AAAAAH8/7+g=")</f>
        <v>#REF!</v>
      </c>
      <c r="HZ298" t="e">
        <f>AND(#REF!,"AAAAAH8/7+k=")</f>
        <v>#REF!</v>
      </c>
      <c r="IA298" t="e">
        <f>AND(#REF!,"AAAAAH8/7+o=")</f>
        <v>#REF!</v>
      </c>
      <c r="IB298" t="e">
        <f>AND(#REF!,"AAAAAH8/7+s=")</f>
        <v>#REF!</v>
      </c>
      <c r="IC298" t="e">
        <f>AND(#REF!,"AAAAAH8/7+w=")</f>
        <v>#REF!</v>
      </c>
      <c r="ID298" t="e">
        <f>AND(#REF!,"AAAAAH8/7+0=")</f>
        <v>#REF!</v>
      </c>
      <c r="IE298" t="e">
        <f>IF(#REF!,"AAAAAH8/7+4=",0)</f>
        <v>#REF!</v>
      </c>
      <c r="IF298" t="e">
        <f>AND(#REF!,"AAAAAH8/7+8=")</f>
        <v>#REF!</v>
      </c>
      <c r="IG298" t="e">
        <f>AND(#REF!,"AAAAAH8/7/A=")</f>
        <v>#REF!</v>
      </c>
      <c r="IH298" t="e">
        <f>AND(#REF!,"AAAAAH8/7/E=")</f>
        <v>#REF!</v>
      </c>
      <c r="II298" t="e">
        <f>AND(#REF!,"AAAAAH8/7/I=")</f>
        <v>#REF!</v>
      </c>
      <c r="IJ298" t="e">
        <f>AND(#REF!,"AAAAAH8/7/M=")</f>
        <v>#REF!</v>
      </c>
      <c r="IK298" t="e">
        <f>AND(#REF!,"AAAAAH8/7/Q=")</f>
        <v>#REF!</v>
      </c>
      <c r="IL298" t="e">
        <f>AND(#REF!,"AAAAAH8/7/U=")</f>
        <v>#REF!</v>
      </c>
      <c r="IM298" t="e">
        <f>AND(#REF!,"AAAAAH8/7/Y=")</f>
        <v>#REF!</v>
      </c>
      <c r="IN298" t="e">
        <f>AND(#REF!,"AAAAAH8/7/c=")</f>
        <v>#REF!</v>
      </c>
      <c r="IO298" t="e">
        <f>AND(#REF!,"AAAAAH8/7/g=")</f>
        <v>#REF!</v>
      </c>
      <c r="IP298" t="e">
        <f>IF(#REF!,"AAAAAH8/7/k=",0)</f>
        <v>#REF!</v>
      </c>
      <c r="IQ298" t="e">
        <f>AND(#REF!,"AAAAAH8/7/o=")</f>
        <v>#REF!</v>
      </c>
      <c r="IR298" t="e">
        <f>AND(#REF!,"AAAAAH8/7/s=")</f>
        <v>#REF!</v>
      </c>
      <c r="IS298" t="e">
        <f>AND(#REF!,"AAAAAH8/7/w=")</f>
        <v>#REF!</v>
      </c>
      <c r="IT298" t="e">
        <f>AND(#REF!,"AAAAAH8/7/0=")</f>
        <v>#REF!</v>
      </c>
      <c r="IU298" t="e">
        <f>AND(#REF!,"AAAAAH8/7/4=")</f>
        <v>#REF!</v>
      </c>
      <c r="IV298" t="e">
        <f>AND(#REF!,"AAAAAH8/7/8=")</f>
        <v>#REF!</v>
      </c>
    </row>
    <row r="299" spans="1:256" x14ac:dyDescent="0.25">
      <c r="A299" t="e">
        <f>AND(#REF!,"AAAAADp+uwA=")</f>
        <v>#REF!</v>
      </c>
      <c r="B299" t="e">
        <f>AND(#REF!,"AAAAADp+uwE=")</f>
        <v>#REF!</v>
      </c>
      <c r="C299" t="e">
        <f>AND(#REF!,"AAAAADp+uwI=")</f>
        <v>#REF!</v>
      </c>
      <c r="D299" t="e">
        <f>AND(#REF!,"AAAAADp+uwM=")</f>
        <v>#REF!</v>
      </c>
      <c r="E299" t="e">
        <f>IF(#REF!,"AAAAADp+uwQ=",0)</f>
        <v>#REF!</v>
      </c>
      <c r="F299" t="e">
        <f>AND(#REF!,"AAAAADp+uwU=")</f>
        <v>#REF!</v>
      </c>
      <c r="G299" t="e">
        <f>AND(#REF!,"AAAAADp+uwY=")</f>
        <v>#REF!</v>
      </c>
      <c r="H299" t="e">
        <f>AND(#REF!,"AAAAADp+uwc=")</f>
        <v>#REF!</v>
      </c>
      <c r="I299" t="e">
        <f>AND(#REF!,"AAAAADp+uwg=")</f>
        <v>#REF!</v>
      </c>
      <c r="J299" t="e">
        <f>AND(#REF!,"AAAAADp+uwk=")</f>
        <v>#REF!</v>
      </c>
      <c r="K299" t="e">
        <f>AND(#REF!,"AAAAADp+uwo=")</f>
        <v>#REF!</v>
      </c>
      <c r="L299" t="e">
        <f>AND(#REF!,"AAAAADp+uws=")</f>
        <v>#REF!</v>
      </c>
      <c r="M299" t="e">
        <f>AND(#REF!,"AAAAADp+uww=")</f>
        <v>#REF!</v>
      </c>
      <c r="N299" t="e">
        <f>AND(#REF!,"AAAAADp+uw0=")</f>
        <v>#REF!</v>
      </c>
      <c r="O299" t="e">
        <f>AND(#REF!,"AAAAADp+uw4=")</f>
        <v>#REF!</v>
      </c>
      <c r="P299" t="e">
        <f>IF(#REF!,"AAAAADp+uw8=",0)</f>
        <v>#REF!</v>
      </c>
      <c r="Q299" t="e">
        <f>AND(#REF!,"AAAAADp+uxA=")</f>
        <v>#REF!</v>
      </c>
      <c r="R299" t="e">
        <f>AND(#REF!,"AAAAADp+uxE=")</f>
        <v>#REF!</v>
      </c>
      <c r="S299" t="e">
        <f>AND(#REF!,"AAAAADp+uxI=")</f>
        <v>#REF!</v>
      </c>
      <c r="T299" t="e">
        <f>AND(#REF!,"AAAAADp+uxM=")</f>
        <v>#REF!</v>
      </c>
      <c r="U299" t="e">
        <f>AND(#REF!,"AAAAADp+uxQ=")</f>
        <v>#REF!</v>
      </c>
      <c r="V299" t="e">
        <f>AND(#REF!,"AAAAADp+uxU=")</f>
        <v>#REF!</v>
      </c>
      <c r="W299" t="e">
        <f>AND(#REF!,"AAAAADp+uxY=")</f>
        <v>#REF!</v>
      </c>
      <c r="X299" t="e">
        <f>AND(#REF!,"AAAAADp+uxc=")</f>
        <v>#REF!</v>
      </c>
      <c r="Y299" t="e">
        <f>AND(#REF!,"AAAAADp+uxg=")</f>
        <v>#REF!</v>
      </c>
      <c r="Z299" t="e">
        <f>AND(#REF!,"AAAAADp+uxk=")</f>
        <v>#REF!</v>
      </c>
      <c r="AA299" t="e">
        <f>IF(#REF!,"AAAAADp+uxo=",0)</f>
        <v>#REF!</v>
      </c>
      <c r="AB299" t="e">
        <f>AND(#REF!,"AAAAADp+uxs=")</f>
        <v>#REF!</v>
      </c>
      <c r="AC299" t="e">
        <f>AND(#REF!,"AAAAADp+uxw=")</f>
        <v>#REF!</v>
      </c>
      <c r="AD299" t="e">
        <f>AND(#REF!,"AAAAADp+ux0=")</f>
        <v>#REF!</v>
      </c>
      <c r="AE299" t="e">
        <f>AND(#REF!,"AAAAADp+ux4=")</f>
        <v>#REF!</v>
      </c>
      <c r="AF299" t="e">
        <f>AND(#REF!,"AAAAADp+ux8=")</f>
        <v>#REF!</v>
      </c>
      <c r="AG299" t="e">
        <f>AND(#REF!,"AAAAADp+uyA=")</f>
        <v>#REF!</v>
      </c>
      <c r="AH299" t="e">
        <f>AND(#REF!,"AAAAADp+uyE=")</f>
        <v>#REF!</v>
      </c>
      <c r="AI299" t="e">
        <f>AND(#REF!,"AAAAADp+uyI=")</f>
        <v>#REF!</v>
      </c>
      <c r="AJ299" t="e">
        <f>AND(#REF!,"AAAAADp+uyM=")</f>
        <v>#REF!</v>
      </c>
      <c r="AK299" t="e">
        <f>AND(#REF!,"AAAAADp+uyQ=")</f>
        <v>#REF!</v>
      </c>
      <c r="AL299" t="e">
        <f>IF(#REF!,"AAAAADp+uyU=",0)</f>
        <v>#REF!</v>
      </c>
      <c r="AM299" t="e">
        <f>AND(#REF!,"AAAAADp+uyY=")</f>
        <v>#REF!</v>
      </c>
      <c r="AN299" t="e">
        <f>AND(#REF!,"AAAAADp+uyc=")</f>
        <v>#REF!</v>
      </c>
      <c r="AO299" t="e">
        <f>AND(#REF!,"AAAAADp+uyg=")</f>
        <v>#REF!</v>
      </c>
      <c r="AP299" t="e">
        <f>AND(#REF!,"AAAAADp+uyk=")</f>
        <v>#REF!</v>
      </c>
      <c r="AQ299" t="e">
        <f>AND(#REF!,"AAAAADp+uyo=")</f>
        <v>#REF!</v>
      </c>
      <c r="AR299" t="e">
        <f>AND(#REF!,"AAAAADp+uys=")</f>
        <v>#REF!</v>
      </c>
      <c r="AS299" t="e">
        <f>AND(#REF!,"AAAAADp+uyw=")</f>
        <v>#REF!</v>
      </c>
      <c r="AT299" t="e">
        <f>AND(#REF!,"AAAAADp+uy0=")</f>
        <v>#REF!</v>
      </c>
      <c r="AU299" t="e">
        <f>AND(#REF!,"AAAAADp+uy4=")</f>
        <v>#REF!</v>
      </c>
      <c r="AV299" t="e">
        <f>AND(#REF!,"AAAAADp+uy8=")</f>
        <v>#REF!</v>
      </c>
      <c r="AW299" t="e">
        <f>IF(#REF!,"AAAAADp+uzA=",0)</f>
        <v>#REF!</v>
      </c>
      <c r="AX299" t="e">
        <f>AND(#REF!,"AAAAADp+uzE=")</f>
        <v>#REF!</v>
      </c>
      <c r="AY299" t="e">
        <f>AND(#REF!,"AAAAADp+uzI=")</f>
        <v>#REF!</v>
      </c>
      <c r="AZ299" t="e">
        <f>AND(#REF!,"AAAAADp+uzM=")</f>
        <v>#REF!</v>
      </c>
      <c r="BA299" t="e">
        <f>AND(#REF!,"AAAAADp+uzQ=")</f>
        <v>#REF!</v>
      </c>
      <c r="BB299" t="e">
        <f>AND(#REF!,"AAAAADp+uzU=")</f>
        <v>#REF!</v>
      </c>
      <c r="BC299" t="e">
        <f>AND(#REF!,"AAAAADp+uzY=")</f>
        <v>#REF!</v>
      </c>
      <c r="BD299" t="e">
        <f>AND(#REF!,"AAAAADp+uzc=")</f>
        <v>#REF!</v>
      </c>
      <c r="BE299" t="e">
        <f>AND(#REF!,"AAAAADp+uzg=")</f>
        <v>#REF!</v>
      </c>
      <c r="BF299" t="e">
        <f>AND(#REF!,"AAAAADp+uzk=")</f>
        <v>#REF!</v>
      </c>
      <c r="BG299" t="e">
        <f>AND(#REF!,"AAAAADp+uzo=")</f>
        <v>#REF!</v>
      </c>
      <c r="BH299" t="e">
        <f>IF(#REF!,"AAAAADp+uzs=",0)</f>
        <v>#REF!</v>
      </c>
      <c r="BI299" t="e">
        <f>AND(#REF!,"AAAAADp+uzw=")</f>
        <v>#REF!</v>
      </c>
      <c r="BJ299" t="e">
        <f>AND(#REF!,"AAAAADp+uz0=")</f>
        <v>#REF!</v>
      </c>
      <c r="BK299" t="e">
        <f>AND(#REF!,"AAAAADp+uz4=")</f>
        <v>#REF!</v>
      </c>
      <c r="BL299" t="e">
        <f>AND(#REF!,"AAAAADp+uz8=")</f>
        <v>#REF!</v>
      </c>
      <c r="BM299" t="e">
        <f>AND(#REF!,"AAAAADp+u0A=")</f>
        <v>#REF!</v>
      </c>
      <c r="BN299" t="e">
        <f>AND(#REF!,"AAAAADp+u0E=")</f>
        <v>#REF!</v>
      </c>
      <c r="BO299" t="e">
        <f>AND(#REF!,"AAAAADp+u0I=")</f>
        <v>#REF!</v>
      </c>
      <c r="BP299" t="e">
        <f>AND(#REF!,"AAAAADp+u0M=")</f>
        <v>#REF!</v>
      </c>
      <c r="BQ299" t="e">
        <f>AND(#REF!,"AAAAADp+u0Q=")</f>
        <v>#REF!</v>
      </c>
      <c r="BR299" t="e">
        <f>AND(#REF!,"AAAAADp+u0U=")</f>
        <v>#REF!</v>
      </c>
      <c r="BS299" t="e">
        <f>IF(#REF!,"AAAAADp+u0Y=",0)</f>
        <v>#REF!</v>
      </c>
      <c r="BT299" t="e">
        <f>AND(#REF!,"AAAAADp+u0c=")</f>
        <v>#REF!</v>
      </c>
      <c r="BU299" t="e">
        <f>AND(#REF!,"AAAAADp+u0g=")</f>
        <v>#REF!</v>
      </c>
      <c r="BV299" t="e">
        <f>AND(#REF!,"AAAAADp+u0k=")</f>
        <v>#REF!</v>
      </c>
      <c r="BW299" t="e">
        <f>AND(#REF!,"AAAAADp+u0o=")</f>
        <v>#REF!</v>
      </c>
      <c r="BX299" t="e">
        <f>AND(#REF!,"AAAAADp+u0s=")</f>
        <v>#REF!</v>
      </c>
      <c r="BY299" t="e">
        <f>AND(#REF!,"AAAAADp+u0w=")</f>
        <v>#REF!</v>
      </c>
      <c r="BZ299" t="e">
        <f>AND(#REF!,"AAAAADp+u00=")</f>
        <v>#REF!</v>
      </c>
      <c r="CA299" t="e">
        <f>AND(#REF!,"AAAAADp+u04=")</f>
        <v>#REF!</v>
      </c>
      <c r="CB299" t="e">
        <f>AND(#REF!,"AAAAADp+u08=")</f>
        <v>#REF!</v>
      </c>
      <c r="CC299" t="e">
        <f>AND(#REF!,"AAAAADp+u1A=")</f>
        <v>#REF!</v>
      </c>
      <c r="CD299" t="e">
        <f>IF(#REF!,"AAAAADp+u1E=",0)</f>
        <v>#REF!</v>
      </c>
      <c r="CE299" t="e">
        <f>AND(#REF!,"AAAAADp+u1I=")</f>
        <v>#REF!</v>
      </c>
      <c r="CF299" t="e">
        <f>AND(#REF!,"AAAAADp+u1M=")</f>
        <v>#REF!</v>
      </c>
      <c r="CG299" t="e">
        <f>AND(#REF!,"AAAAADp+u1Q=")</f>
        <v>#REF!</v>
      </c>
      <c r="CH299" t="e">
        <f>AND(#REF!,"AAAAADp+u1U=")</f>
        <v>#REF!</v>
      </c>
      <c r="CI299" t="e">
        <f>AND(#REF!,"AAAAADp+u1Y=")</f>
        <v>#REF!</v>
      </c>
      <c r="CJ299" t="e">
        <f>AND(#REF!,"AAAAADp+u1c=")</f>
        <v>#REF!</v>
      </c>
      <c r="CK299" t="e">
        <f>AND(#REF!,"AAAAADp+u1g=")</f>
        <v>#REF!</v>
      </c>
      <c r="CL299" t="e">
        <f>AND(#REF!,"AAAAADp+u1k=")</f>
        <v>#REF!</v>
      </c>
      <c r="CM299" t="e">
        <f>AND(#REF!,"AAAAADp+u1o=")</f>
        <v>#REF!</v>
      </c>
      <c r="CN299" t="e">
        <f>AND(#REF!,"AAAAADp+u1s=")</f>
        <v>#REF!</v>
      </c>
      <c r="CO299" t="e">
        <f>IF(#REF!,"AAAAADp+u1w=",0)</f>
        <v>#REF!</v>
      </c>
      <c r="CP299" t="e">
        <f>AND(#REF!,"AAAAADp+u10=")</f>
        <v>#REF!</v>
      </c>
      <c r="CQ299" t="e">
        <f>AND(#REF!,"AAAAADp+u14=")</f>
        <v>#REF!</v>
      </c>
      <c r="CR299" t="e">
        <f>AND(#REF!,"AAAAADp+u18=")</f>
        <v>#REF!</v>
      </c>
      <c r="CS299" t="e">
        <f>AND(#REF!,"AAAAADp+u2A=")</f>
        <v>#REF!</v>
      </c>
      <c r="CT299" t="e">
        <f>AND(#REF!,"AAAAADp+u2E=")</f>
        <v>#REF!</v>
      </c>
      <c r="CU299" t="e">
        <f>AND(#REF!,"AAAAADp+u2I=")</f>
        <v>#REF!</v>
      </c>
      <c r="CV299" t="e">
        <f>AND(#REF!,"AAAAADp+u2M=")</f>
        <v>#REF!</v>
      </c>
      <c r="CW299" t="e">
        <f>AND(#REF!,"AAAAADp+u2Q=")</f>
        <v>#REF!</v>
      </c>
      <c r="CX299" t="e">
        <f>AND(#REF!,"AAAAADp+u2U=")</f>
        <v>#REF!</v>
      </c>
      <c r="CY299" t="e">
        <f>AND(#REF!,"AAAAADp+u2Y=")</f>
        <v>#REF!</v>
      </c>
      <c r="CZ299" t="e">
        <f>IF(#REF!,"AAAAADp+u2c=",0)</f>
        <v>#REF!</v>
      </c>
      <c r="DA299" t="e">
        <f>AND(#REF!,"AAAAADp+u2g=")</f>
        <v>#REF!</v>
      </c>
      <c r="DB299" t="e">
        <f>AND(#REF!,"AAAAADp+u2k=")</f>
        <v>#REF!</v>
      </c>
      <c r="DC299" t="e">
        <f>AND(#REF!,"AAAAADp+u2o=")</f>
        <v>#REF!</v>
      </c>
      <c r="DD299" t="e">
        <f>AND(#REF!,"AAAAADp+u2s=")</f>
        <v>#REF!</v>
      </c>
      <c r="DE299" t="e">
        <f>AND(#REF!,"AAAAADp+u2w=")</f>
        <v>#REF!</v>
      </c>
      <c r="DF299" t="e">
        <f>AND(#REF!,"AAAAADp+u20=")</f>
        <v>#REF!</v>
      </c>
      <c r="DG299" t="e">
        <f>AND(#REF!,"AAAAADp+u24=")</f>
        <v>#REF!</v>
      </c>
      <c r="DH299" t="e">
        <f>AND(#REF!,"AAAAADp+u28=")</f>
        <v>#REF!</v>
      </c>
      <c r="DI299" t="e">
        <f>AND(#REF!,"AAAAADp+u3A=")</f>
        <v>#REF!</v>
      </c>
      <c r="DJ299" t="e">
        <f>AND(#REF!,"AAAAADp+u3E=")</f>
        <v>#REF!</v>
      </c>
      <c r="DK299" t="e">
        <f>IF(#REF!,"AAAAADp+u3I=",0)</f>
        <v>#REF!</v>
      </c>
      <c r="DL299" t="e">
        <f>AND(#REF!,"AAAAADp+u3M=")</f>
        <v>#REF!</v>
      </c>
      <c r="DM299" t="e">
        <f>AND(#REF!,"AAAAADp+u3Q=")</f>
        <v>#REF!</v>
      </c>
      <c r="DN299" t="e">
        <f>AND(#REF!,"AAAAADp+u3U=")</f>
        <v>#REF!</v>
      </c>
      <c r="DO299" t="e">
        <f>AND(#REF!,"AAAAADp+u3Y=")</f>
        <v>#REF!</v>
      </c>
      <c r="DP299" t="e">
        <f>AND(#REF!,"AAAAADp+u3c=")</f>
        <v>#REF!</v>
      </c>
      <c r="DQ299" t="e">
        <f>AND(#REF!,"AAAAADp+u3g=")</f>
        <v>#REF!</v>
      </c>
      <c r="DR299" t="e">
        <f>AND(#REF!,"AAAAADp+u3k=")</f>
        <v>#REF!</v>
      </c>
      <c r="DS299" t="e">
        <f>AND(#REF!,"AAAAADp+u3o=")</f>
        <v>#REF!</v>
      </c>
      <c r="DT299" t="e">
        <f>AND(#REF!,"AAAAADp+u3s=")</f>
        <v>#REF!</v>
      </c>
      <c r="DU299" t="e">
        <f>AND(#REF!,"AAAAADp+u3w=")</f>
        <v>#REF!</v>
      </c>
      <c r="DV299" t="e">
        <f>IF(#REF!,"AAAAADp+u30=",0)</f>
        <v>#REF!</v>
      </c>
      <c r="DW299" t="e">
        <f>AND(#REF!,"AAAAADp+u34=")</f>
        <v>#REF!</v>
      </c>
      <c r="DX299" t="e">
        <f>AND(#REF!,"AAAAADp+u38=")</f>
        <v>#REF!</v>
      </c>
      <c r="DY299" t="e">
        <f>AND(#REF!,"AAAAADp+u4A=")</f>
        <v>#REF!</v>
      </c>
      <c r="DZ299" t="e">
        <f>AND(#REF!,"AAAAADp+u4E=")</f>
        <v>#REF!</v>
      </c>
      <c r="EA299" t="e">
        <f>AND(#REF!,"AAAAADp+u4I=")</f>
        <v>#REF!</v>
      </c>
      <c r="EB299" t="e">
        <f>AND(#REF!,"AAAAADp+u4M=")</f>
        <v>#REF!</v>
      </c>
      <c r="EC299" t="e">
        <f>AND(#REF!,"AAAAADp+u4Q=")</f>
        <v>#REF!</v>
      </c>
      <c r="ED299" t="e">
        <f>AND(#REF!,"AAAAADp+u4U=")</f>
        <v>#REF!</v>
      </c>
      <c r="EE299" t="e">
        <f>AND(#REF!,"AAAAADp+u4Y=")</f>
        <v>#REF!</v>
      </c>
      <c r="EF299" t="e">
        <f>AND(#REF!,"AAAAADp+u4c=")</f>
        <v>#REF!</v>
      </c>
      <c r="EG299" t="e">
        <f>IF(#REF!,"AAAAADp+u4g=",0)</f>
        <v>#REF!</v>
      </c>
      <c r="EH299" t="e">
        <f>AND(#REF!,"AAAAADp+u4k=")</f>
        <v>#REF!</v>
      </c>
      <c r="EI299" t="e">
        <f>AND(#REF!,"AAAAADp+u4o=")</f>
        <v>#REF!</v>
      </c>
      <c r="EJ299" t="e">
        <f>AND(#REF!,"AAAAADp+u4s=")</f>
        <v>#REF!</v>
      </c>
      <c r="EK299" t="e">
        <f>AND(#REF!,"AAAAADp+u4w=")</f>
        <v>#REF!</v>
      </c>
      <c r="EL299" t="e">
        <f>AND(#REF!,"AAAAADp+u40=")</f>
        <v>#REF!</v>
      </c>
      <c r="EM299" t="e">
        <f>AND(#REF!,"AAAAADp+u44=")</f>
        <v>#REF!</v>
      </c>
      <c r="EN299" t="e">
        <f>AND(#REF!,"AAAAADp+u48=")</f>
        <v>#REF!</v>
      </c>
      <c r="EO299" t="e">
        <f>AND(#REF!,"AAAAADp+u5A=")</f>
        <v>#REF!</v>
      </c>
      <c r="EP299" t="e">
        <f>AND(#REF!,"AAAAADp+u5E=")</f>
        <v>#REF!</v>
      </c>
      <c r="EQ299" t="e">
        <f>AND(#REF!,"AAAAADp+u5I=")</f>
        <v>#REF!</v>
      </c>
      <c r="ER299" t="e">
        <f>IF(#REF!,"AAAAADp+u5M=",0)</f>
        <v>#REF!</v>
      </c>
      <c r="ES299" t="e">
        <f>AND(#REF!,"AAAAADp+u5Q=")</f>
        <v>#REF!</v>
      </c>
      <c r="ET299" t="e">
        <f>AND(#REF!,"AAAAADp+u5U=")</f>
        <v>#REF!</v>
      </c>
      <c r="EU299" t="e">
        <f>AND(#REF!,"AAAAADp+u5Y=")</f>
        <v>#REF!</v>
      </c>
      <c r="EV299" t="e">
        <f>AND(#REF!,"AAAAADp+u5c=")</f>
        <v>#REF!</v>
      </c>
      <c r="EW299" t="e">
        <f>AND(#REF!,"AAAAADp+u5g=")</f>
        <v>#REF!</v>
      </c>
      <c r="EX299" t="e">
        <f>AND(#REF!,"AAAAADp+u5k=")</f>
        <v>#REF!</v>
      </c>
      <c r="EY299" t="e">
        <f>AND(#REF!,"AAAAADp+u5o=")</f>
        <v>#REF!</v>
      </c>
      <c r="EZ299" t="e">
        <f>AND(#REF!,"AAAAADp+u5s=")</f>
        <v>#REF!</v>
      </c>
      <c r="FA299" t="e">
        <f>AND(#REF!,"AAAAADp+u5w=")</f>
        <v>#REF!</v>
      </c>
      <c r="FB299" t="e">
        <f>AND(#REF!,"AAAAADp+u50=")</f>
        <v>#REF!</v>
      </c>
      <c r="FC299" t="e">
        <f>IF(#REF!,"AAAAADp+u54=",0)</f>
        <v>#REF!</v>
      </c>
      <c r="FD299" t="e">
        <f>AND(#REF!,"AAAAADp+u58=")</f>
        <v>#REF!</v>
      </c>
      <c r="FE299" t="e">
        <f>AND(#REF!,"AAAAADp+u6A=")</f>
        <v>#REF!</v>
      </c>
      <c r="FF299" t="e">
        <f>AND(#REF!,"AAAAADp+u6E=")</f>
        <v>#REF!</v>
      </c>
      <c r="FG299" t="e">
        <f>AND(#REF!,"AAAAADp+u6I=")</f>
        <v>#REF!</v>
      </c>
      <c r="FH299" t="e">
        <f>AND(#REF!,"AAAAADp+u6M=")</f>
        <v>#REF!</v>
      </c>
      <c r="FI299" t="e">
        <f>AND(#REF!,"AAAAADp+u6Q=")</f>
        <v>#REF!</v>
      </c>
      <c r="FJ299" t="e">
        <f>AND(#REF!,"AAAAADp+u6U=")</f>
        <v>#REF!</v>
      </c>
      <c r="FK299" t="e">
        <f>AND(#REF!,"AAAAADp+u6Y=")</f>
        <v>#REF!</v>
      </c>
      <c r="FL299" t="e">
        <f>AND(#REF!,"AAAAADp+u6c=")</f>
        <v>#REF!</v>
      </c>
      <c r="FM299" t="e">
        <f>AND(#REF!,"AAAAADp+u6g=")</f>
        <v>#REF!</v>
      </c>
      <c r="FN299" t="e">
        <f>IF(#REF!,"AAAAADp+u6k=",0)</f>
        <v>#REF!</v>
      </c>
      <c r="FO299" t="e">
        <f>AND(#REF!,"AAAAADp+u6o=")</f>
        <v>#REF!</v>
      </c>
      <c r="FP299" t="e">
        <f>AND(#REF!,"AAAAADp+u6s=")</f>
        <v>#REF!</v>
      </c>
      <c r="FQ299" t="e">
        <f>AND(#REF!,"AAAAADp+u6w=")</f>
        <v>#REF!</v>
      </c>
      <c r="FR299" t="e">
        <f>AND(#REF!,"AAAAADp+u60=")</f>
        <v>#REF!</v>
      </c>
      <c r="FS299" t="e">
        <f>AND(#REF!,"AAAAADp+u64=")</f>
        <v>#REF!</v>
      </c>
      <c r="FT299" t="e">
        <f>AND(#REF!,"AAAAADp+u68=")</f>
        <v>#REF!</v>
      </c>
      <c r="FU299" t="e">
        <f>AND(#REF!,"AAAAADp+u7A=")</f>
        <v>#REF!</v>
      </c>
      <c r="FV299" t="e">
        <f>AND(#REF!,"AAAAADp+u7E=")</f>
        <v>#REF!</v>
      </c>
      <c r="FW299" t="e">
        <f>AND(#REF!,"AAAAADp+u7I=")</f>
        <v>#REF!</v>
      </c>
      <c r="FX299" t="e">
        <f>AND(#REF!,"AAAAADp+u7M=")</f>
        <v>#REF!</v>
      </c>
      <c r="FY299" t="e">
        <f>IF(#REF!,"AAAAADp+u7Q=",0)</f>
        <v>#REF!</v>
      </c>
      <c r="FZ299" t="e">
        <f>AND(#REF!,"AAAAADp+u7U=")</f>
        <v>#REF!</v>
      </c>
      <c r="GA299" t="e">
        <f>AND(#REF!,"AAAAADp+u7Y=")</f>
        <v>#REF!</v>
      </c>
      <c r="GB299" t="e">
        <f>AND(#REF!,"AAAAADp+u7c=")</f>
        <v>#REF!</v>
      </c>
      <c r="GC299" t="e">
        <f>AND(#REF!,"AAAAADp+u7g=")</f>
        <v>#REF!</v>
      </c>
      <c r="GD299" t="e">
        <f>AND(#REF!,"AAAAADp+u7k=")</f>
        <v>#REF!</v>
      </c>
      <c r="GE299" t="e">
        <f>AND(#REF!,"AAAAADp+u7o=")</f>
        <v>#REF!</v>
      </c>
      <c r="GF299" t="e">
        <f>AND(#REF!,"AAAAADp+u7s=")</f>
        <v>#REF!</v>
      </c>
      <c r="GG299" t="e">
        <f>AND(#REF!,"AAAAADp+u7w=")</f>
        <v>#REF!</v>
      </c>
      <c r="GH299" t="e">
        <f>AND(#REF!,"AAAAADp+u70=")</f>
        <v>#REF!</v>
      </c>
      <c r="GI299" t="e">
        <f>AND(#REF!,"AAAAADp+u74=")</f>
        <v>#REF!</v>
      </c>
      <c r="GJ299" t="e">
        <f>IF(#REF!,"AAAAADp+u78=",0)</f>
        <v>#REF!</v>
      </c>
      <c r="GK299" t="e">
        <f>AND(#REF!,"AAAAADp+u8A=")</f>
        <v>#REF!</v>
      </c>
      <c r="GL299" t="e">
        <f>AND(#REF!,"AAAAADp+u8E=")</f>
        <v>#REF!</v>
      </c>
      <c r="GM299" t="e">
        <f>AND(#REF!,"AAAAADp+u8I=")</f>
        <v>#REF!</v>
      </c>
      <c r="GN299" t="e">
        <f>AND(#REF!,"AAAAADp+u8M=")</f>
        <v>#REF!</v>
      </c>
      <c r="GO299" t="e">
        <f>AND(#REF!,"AAAAADp+u8Q=")</f>
        <v>#REF!</v>
      </c>
      <c r="GP299" t="e">
        <f>AND(#REF!,"AAAAADp+u8U=")</f>
        <v>#REF!</v>
      </c>
      <c r="GQ299" t="e">
        <f>AND(#REF!,"AAAAADp+u8Y=")</f>
        <v>#REF!</v>
      </c>
      <c r="GR299" t="e">
        <f>AND(#REF!,"AAAAADp+u8c=")</f>
        <v>#REF!</v>
      </c>
      <c r="GS299" t="e">
        <f>AND(#REF!,"AAAAADp+u8g=")</f>
        <v>#REF!</v>
      </c>
      <c r="GT299" t="e">
        <f>AND(#REF!,"AAAAADp+u8k=")</f>
        <v>#REF!</v>
      </c>
      <c r="GU299" t="e">
        <f>IF(#REF!,"AAAAADp+u8o=",0)</f>
        <v>#REF!</v>
      </c>
      <c r="GV299" t="e">
        <f>AND(#REF!,"AAAAADp+u8s=")</f>
        <v>#REF!</v>
      </c>
      <c r="GW299" t="e">
        <f>AND(#REF!,"AAAAADp+u8w=")</f>
        <v>#REF!</v>
      </c>
      <c r="GX299" t="e">
        <f>AND(#REF!,"AAAAADp+u80=")</f>
        <v>#REF!</v>
      </c>
      <c r="GY299" t="e">
        <f>AND(#REF!,"AAAAADp+u84=")</f>
        <v>#REF!</v>
      </c>
      <c r="GZ299" t="e">
        <f>AND(#REF!,"AAAAADp+u88=")</f>
        <v>#REF!</v>
      </c>
      <c r="HA299" t="e">
        <f>AND(#REF!,"AAAAADp+u9A=")</f>
        <v>#REF!</v>
      </c>
      <c r="HB299" t="e">
        <f>AND(#REF!,"AAAAADp+u9E=")</f>
        <v>#REF!</v>
      </c>
      <c r="HC299" t="e">
        <f>AND(#REF!,"AAAAADp+u9I=")</f>
        <v>#REF!</v>
      </c>
      <c r="HD299" t="e">
        <f>AND(#REF!,"AAAAADp+u9M=")</f>
        <v>#REF!</v>
      </c>
      <c r="HE299" t="e">
        <f>AND(#REF!,"AAAAADp+u9Q=")</f>
        <v>#REF!</v>
      </c>
      <c r="HF299" t="e">
        <f>IF(#REF!,"AAAAADp+u9U=",0)</f>
        <v>#REF!</v>
      </c>
      <c r="HG299" t="e">
        <f>AND(#REF!,"AAAAADp+u9Y=")</f>
        <v>#REF!</v>
      </c>
      <c r="HH299" t="e">
        <f>AND(#REF!,"AAAAADp+u9c=")</f>
        <v>#REF!</v>
      </c>
      <c r="HI299" t="e">
        <f>AND(#REF!,"AAAAADp+u9g=")</f>
        <v>#REF!</v>
      </c>
      <c r="HJ299" t="e">
        <f>AND(#REF!,"AAAAADp+u9k=")</f>
        <v>#REF!</v>
      </c>
      <c r="HK299" t="e">
        <f>AND(#REF!,"AAAAADp+u9o=")</f>
        <v>#REF!</v>
      </c>
      <c r="HL299" t="e">
        <f>AND(#REF!,"AAAAADp+u9s=")</f>
        <v>#REF!</v>
      </c>
      <c r="HM299" t="e">
        <f>AND(#REF!,"AAAAADp+u9w=")</f>
        <v>#REF!</v>
      </c>
      <c r="HN299" t="e">
        <f>AND(#REF!,"AAAAADp+u90=")</f>
        <v>#REF!</v>
      </c>
      <c r="HO299" t="e">
        <f>AND(#REF!,"AAAAADp+u94=")</f>
        <v>#REF!</v>
      </c>
      <c r="HP299" t="e">
        <f>AND(#REF!,"AAAAADp+u98=")</f>
        <v>#REF!</v>
      </c>
      <c r="HQ299" t="e">
        <f>IF(#REF!,"AAAAADp+u+A=",0)</f>
        <v>#REF!</v>
      </c>
      <c r="HR299" t="e">
        <f>AND(#REF!,"AAAAADp+u+E=")</f>
        <v>#REF!</v>
      </c>
      <c r="HS299" t="e">
        <f>AND(#REF!,"AAAAADp+u+I=")</f>
        <v>#REF!</v>
      </c>
      <c r="HT299" t="e">
        <f>AND(#REF!,"AAAAADp+u+M=")</f>
        <v>#REF!</v>
      </c>
      <c r="HU299" t="e">
        <f>AND(#REF!,"AAAAADp+u+Q=")</f>
        <v>#REF!</v>
      </c>
      <c r="HV299" t="e">
        <f>AND(#REF!,"AAAAADp+u+U=")</f>
        <v>#REF!</v>
      </c>
      <c r="HW299" t="e">
        <f>AND(#REF!,"AAAAADp+u+Y=")</f>
        <v>#REF!</v>
      </c>
      <c r="HX299" t="e">
        <f>AND(#REF!,"AAAAADp+u+c=")</f>
        <v>#REF!</v>
      </c>
      <c r="HY299" t="e">
        <f>AND(#REF!,"AAAAADp+u+g=")</f>
        <v>#REF!</v>
      </c>
      <c r="HZ299" t="e">
        <f>AND(#REF!,"AAAAADp+u+k=")</f>
        <v>#REF!</v>
      </c>
      <c r="IA299" t="e">
        <f>AND(#REF!,"AAAAADp+u+o=")</f>
        <v>#REF!</v>
      </c>
      <c r="IB299" t="e">
        <f>IF(#REF!,"AAAAADp+u+s=",0)</f>
        <v>#REF!</v>
      </c>
      <c r="IC299" t="e">
        <f>AND(#REF!,"AAAAADp+u+w=")</f>
        <v>#REF!</v>
      </c>
      <c r="ID299" t="e">
        <f>AND(#REF!,"AAAAADp+u+0=")</f>
        <v>#REF!</v>
      </c>
      <c r="IE299" t="e">
        <f>AND(#REF!,"AAAAADp+u+4=")</f>
        <v>#REF!</v>
      </c>
      <c r="IF299" t="e">
        <f>AND(#REF!,"AAAAADp+u+8=")</f>
        <v>#REF!</v>
      </c>
      <c r="IG299" t="e">
        <f>AND(#REF!,"AAAAADp+u/A=")</f>
        <v>#REF!</v>
      </c>
      <c r="IH299" t="e">
        <f>AND(#REF!,"AAAAADp+u/E=")</f>
        <v>#REF!</v>
      </c>
      <c r="II299" t="e">
        <f>AND(#REF!,"AAAAADp+u/I=")</f>
        <v>#REF!</v>
      </c>
      <c r="IJ299" t="e">
        <f>AND(#REF!,"AAAAADp+u/M=")</f>
        <v>#REF!</v>
      </c>
      <c r="IK299" t="e">
        <f>AND(#REF!,"AAAAADp+u/Q=")</f>
        <v>#REF!</v>
      </c>
      <c r="IL299" t="e">
        <f>AND(#REF!,"AAAAADp+u/U=")</f>
        <v>#REF!</v>
      </c>
      <c r="IM299" t="e">
        <f>IF(#REF!,"AAAAADp+u/Y=",0)</f>
        <v>#REF!</v>
      </c>
      <c r="IN299" t="e">
        <f>AND(#REF!,"AAAAADp+u/c=")</f>
        <v>#REF!</v>
      </c>
      <c r="IO299" t="e">
        <f>AND(#REF!,"AAAAADp+u/g=")</f>
        <v>#REF!</v>
      </c>
      <c r="IP299" t="e">
        <f>AND(#REF!,"AAAAADp+u/k=")</f>
        <v>#REF!</v>
      </c>
      <c r="IQ299" t="e">
        <f>AND(#REF!,"AAAAADp+u/o=")</f>
        <v>#REF!</v>
      </c>
      <c r="IR299" t="e">
        <f>AND(#REF!,"AAAAADp+u/s=")</f>
        <v>#REF!</v>
      </c>
      <c r="IS299" t="e">
        <f>AND(#REF!,"AAAAADp+u/w=")</f>
        <v>#REF!</v>
      </c>
      <c r="IT299" t="e">
        <f>AND(#REF!,"AAAAADp+u/0=")</f>
        <v>#REF!</v>
      </c>
      <c r="IU299" t="e">
        <f>AND(#REF!,"AAAAADp+u/4=")</f>
        <v>#REF!</v>
      </c>
      <c r="IV299" t="e">
        <f>AND(#REF!,"AAAAADp+u/8=")</f>
        <v>#REF!</v>
      </c>
    </row>
    <row r="300" spans="1:256" x14ac:dyDescent="0.25">
      <c r="A300" t="e">
        <f>AND(#REF!,"AAAAAFO65wA=")</f>
        <v>#REF!</v>
      </c>
      <c r="B300" t="e">
        <f>IF(#REF!,"AAAAAFO65wE=",0)</f>
        <v>#REF!</v>
      </c>
      <c r="C300" t="e">
        <f>AND(#REF!,"AAAAAFO65wI=")</f>
        <v>#REF!</v>
      </c>
      <c r="D300" t="e">
        <f>AND(#REF!,"AAAAAFO65wM=")</f>
        <v>#REF!</v>
      </c>
      <c r="E300" t="e">
        <f>AND(#REF!,"AAAAAFO65wQ=")</f>
        <v>#REF!</v>
      </c>
      <c r="F300" t="e">
        <f>AND(#REF!,"AAAAAFO65wU=")</f>
        <v>#REF!</v>
      </c>
      <c r="G300" t="e">
        <f>AND(#REF!,"AAAAAFO65wY=")</f>
        <v>#REF!</v>
      </c>
      <c r="H300" t="e">
        <f>AND(#REF!,"AAAAAFO65wc=")</f>
        <v>#REF!</v>
      </c>
      <c r="I300" t="e">
        <f>AND(#REF!,"AAAAAFO65wg=")</f>
        <v>#REF!</v>
      </c>
      <c r="J300" t="e">
        <f>AND(#REF!,"AAAAAFO65wk=")</f>
        <v>#REF!</v>
      </c>
      <c r="K300" t="e">
        <f>AND(#REF!,"AAAAAFO65wo=")</f>
        <v>#REF!</v>
      </c>
      <c r="L300" t="e">
        <f>AND(#REF!,"AAAAAFO65ws=")</f>
        <v>#REF!</v>
      </c>
      <c r="M300" t="e">
        <f>IF(#REF!,"AAAAAFO65ww=",0)</f>
        <v>#REF!</v>
      </c>
      <c r="N300" t="e">
        <f>AND(#REF!,"AAAAAFO65w0=")</f>
        <v>#REF!</v>
      </c>
      <c r="O300" t="e">
        <f>AND(#REF!,"AAAAAFO65w4=")</f>
        <v>#REF!</v>
      </c>
      <c r="P300" t="e">
        <f>AND(#REF!,"AAAAAFO65w8=")</f>
        <v>#REF!</v>
      </c>
      <c r="Q300" t="e">
        <f>AND(#REF!,"AAAAAFO65xA=")</f>
        <v>#REF!</v>
      </c>
      <c r="R300" t="e">
        <f>AND(#REF!,"AAAAAFO65xE=")</f>
        <v>#REF!</v>
      </c>
      <c r="S300" t="e">
        <f>AND(#REF!,"AAAAAFO65xI=")</f>
        <v>#REF!</v>
      </c>
      <c r="T300" t="e">
        <f>AND(#REF!,"AAAAAFO65xM=")</f>
        <v>#REF!</v>
      </c>
      <c r="U300" t="e">
        <f>AND(#REF!,"AAAAAFO65xQ=")</f>
        <v>#REF!</v>
      </c>
      <c r="V300" t="e">
        <f>AND(#REF!,"AAAAAFO65xU=")</f>
        <v>#REF!</v>
      </c>
      <c r="W300" t="e">
        <f>AND(#REF!,"AAAAAFO65xY=")</f>
        <v>#REF!</v>
      </c>
      <c r="X300" t="e">
        <f>IF(#REF!,"AAAAAFO65xc=",0)</f>
        <v>#REF!</v>
      </c>
      <c r="Y300" t="e">
        <f>AND(#REF!,"AAAAAFO65xg=")</f>
        <v>#REF!</v>
      </c>
      <c r="Z300" t="e">
        <f>AND(#REF!,"AAAAAFO65xk=")</f>
        <v>#REF!</v>
      </c>
      <c r="AA300" t="e">
        <f>AND(#REF!,"AAAAAFO65xo=")</f>
        <v>#REF!</v>
      </c>
      <c r="AB300" t="e">
        <f>AND(#REF!,"AAAAAFO65xs=")</f>
        <v>#REF!</v>
      </c>
      <c r="AC300" t="e">
        <f>AND(#REF!,"AAAAAFO65xw=")</f>
        <v>#REF!</v>
      </c>
      <c r="AD300" t="e">
        <f>AND(#REF!,"AAAAAFO65x0=")</f>
        <v>#REF!</v>
      </c>
      <c r="AE300" t="e">
        <f>AND(#REF!,"AAAAAFO65x4=")</f>
        <v>#REF!</v>
      </c>
      <c r="AF300" t="e">
        <f>AND(#REF!,"AAAAAFO65x8=")</f>
        <v>#REF!</v>
      </c>
      <c r="AG300" t="e">
        <f>AND(#REF!,"AAAAAFO65yA=")</f>
        <v>#REF!</v>
      </c>
      <c r="AH300" t="e">
        <f>AND(#REF!,"AAAAAFO65yE=")</f>
        <v>#REF!</v>
      </c>
      <c r="AI300" t="e">
        <f>IF(#REF!,"AAAAAFO65yI=",0)</f>
        <v>#REF!</v>
      </c>
      <c r="AJ300" t="e">
        <f>AND(#REF!,"AAAAAFO65yM=")</f>
        <v>#REF!</v>
      </c>
      <c r="AK300" t="e">
        <f>AND(#REF!,"AAAAAFO65yQ=")</f>
        <v>#REF!</v>
      </c>
      <c r="AL300" t="e">
        <f>AND(#REF!,"AAAAAFO65yU=")</f>
        <v>#REF!</v>
      </c>
      <c r="AM300" t="e">
        <f>AND(#REF!,"AAAAAFO65yY=")</f>
        <v>#REF!</v>
      </c>
      <c r="AN300" t="e">
        <f>AND(#REF!,"AAAAAFO65yc=")</f>
        <v>#REF!</v>
      </c>
      <c r="AO300" t="e">
        <f>AND(#REF!,"AAAAAFO65yg=")</f>
        <v>#REF!</v>
      </c>
      <c r="AP300" t="e">
        <f>AND(#REF!,"AAAAAFO65yk=")</f>
        <v>#REF!</v>
      </c>
      <c r="AQ300" t="e">
        <f>AND(#REF!,"AAAAAFO65yo=")</f>
        <v>#REF!</v>
      </c>
      <c r="AR300" t="e">
        <f>AND(#REF!,"AAAAAFO65ys=")</f>
        <v>#REF!</v>
      </c>
      <c r="AS300" t="e">
        <f>AND(#REF!,"AAAAAFO65yw=")</f>
        <v>#REF!</v>
      </c>
      <c r="AT300" t="e">
        <f>IF(#REF!,"AAAAAFO65y0=",0)</f>
        <v>#REF!</v>
      </c>
      <c r="AU300" t="e">
        <f>AND(#REF!,"AAAAAFO65y4=")</f>
        <v>#REF!</v>
      </c>
      <c r="AV300" t="e">
        <f>AND(#REF!,"AAAAAFO65y8=")</f>
        <v>#REF!</v>
      </c>
      <c r="AW300" t="e">
        <f>AND(#REF!,"AAAAAFO65zA=")</f>
        <v>#REF!</v>
      </c>
      <c r="AX300" t="e">
        <f>AND(#REF!,"AAAAAFO65zE=")</f>
        <v>#REF!</v>
      </c>
      <c r="AY300" t="e">
        <f>AND(#REF!,"AAAAAFO65zI=")</f>
        <v>#REF!</v>
      </c>
      <c r="AZ300" t="e">
        <f>AND(#REF!,"AAAAAFO65zM=")</f>
        <v>#REF!</v>
      </c>
      <c r="BA300" t="e">
        <f>AND(#REF!,"AAAAAFO65zQ=")</f>
        <v>#REF!</v>
      </c>
      <c r="BB300" t="e">
        <f>AND(#REF!,"AAAAAFO65zU=")</f>
        <v>#REF!</v>
      </c>
      <c r="BC300" t="e">
        <f>AND(#REF!,"AAAAAFO65zY=")</f>
        <v>#REF!</v>
      </c>
      <c r="BD300" t="e">
        <f>AND(#REF!,"AAAAAFO65zc=")</f>
        <v>#REF!</v>
      </c>
      <c r="BE300" t="e">
        <f>IF(#REF!,"AAAAAFO65zg=",0)</f>
        <v>#REF!</v>
      </c>
      <c r="BF300" t="e">
        <f>AND(#REF!,"AAAAAFO65zk=")</f>
        <v>#REF!</v>
      </c>
      <c r="BG300" t="e">
        <f>AND(#REF!,"AAAAAFO65zo=")</f>
        <v>#REF!</v>
      </c>
      <c r="BH300" t="e">
        <f>AND(#REF!,"AAAAAFO65zs=")</f>
        <v>#REF!</v>
      </c>
      <c r="BI300" t="e">
        <f>AND(#REF!,"AAAAAFO65zw=")</f>
        <v>#REF!</v>
      </c>
      <c r="BJ300" t="e">
        <f>AND(#REF!,"AAAAAFO65z0=")</f>
        <v>#REF!</v>
      </c>
      <c r="BK300" t="e">
        <f>AND(#REF!,"AAAAAFO65z4=")</f>
        <v>#REF!</v>
      </c>
      <c r="BL300" t="e">
        <f>AND(#REF!,"AAAAAFO65z8=")</f>
        <v>#REF!</v>
      </c>
      <c r="BM300" t="e">
        <f>AND(#REF!,"AAAAAFO650A=")</f>
        <v>#REF!</v>
      </c>
      <c r="BN300" t="e">
        <f>AND(#REF!,"AAAAAFO650E=")</f>
        <v>#REF!</v>
      </c>
      <c r="BO300" t="e">
        <f>AND(#REF!,"AAAAAFO650I=")</f>
        <v>#REF!</v>
      </c>
      <c r="BP300" t="e">
        <f>IF(#REF!,"AAAAAFO650M=",0)</f>
        <v>#REF!</v>
      </c>
      <c r="BQ300" t="e">
        <f>AND(#REF!,"AAAAAFO650Q=")</f>
        <v>#REF!</v>
      </c>
      <c r="BR300" t="e">
        <f>AND(#REF!,"AAAAAFO650U=")</f>
        <v>#REF!</v>
      </c>
      <c r="BS300" t="e">
        <f>AND(#REF!,"AAAAAFO650Y=")</f>
        <v>#REF!</v>
      </c>
      <c r="BT300" t="e">
        <f>AND(#REF!,"AAAAAFO650c=")</f>
        <v>#REF!</v>
      </c>
      <c r="BU300" t="e">
        <f>AND(#REF!,"AAAAAFO650g=")</f>
        <v>#REF!</v>
      </c>
      <c r="BV300" t="e">
        <f>AND(#REF!,"AAAAAFO650k=")</f>
        <v>#REF!</v>
      </c>
      <c r="BW300" t="e">
        <f>AND(#REF!,"AAAAAFO650o=")</f>
        <v>#REF!</v>
      </c>
      <c r="BX300" t="e">
        <f>AND(#REF!,"AAAAAFO650s=")</f>
        <v>#REF!</v>
      </c>
      <c r="BY300" t="e">
        <f>AND(#REF!,"AAAAAFO650w=")</f>
        <v>#REF!</v>
      </c>
      <c r="BZ300" t="e">
        <f>AND(#REF!,"AAAAAFO6500=")</f>
        <v>#REF!</v>
      </c>
      <c r="CA300" t="e">
        <f>IF(#REF!,"AAAAAFO6504=",0)</f>
        <v>#REF!</v>
      </c>
      <c r="CB300" t="e">
        <f>AND(#REF!,"AAAAAFO6508=")</f>
        <v>#REF!</v>
      </c>
      <c r="CC300" t="e">
        <f>AND(#REF!,"AAAAAFO651A=")</f>
        <v>#REF!</v>
      </c>
      <c r="CD300" t="e">
        <f>AND(#REF!,"AAAAAFO651E=")</f>
        <v>#REF!</v>
      </c>
      <c r="CE300" t="e">
        <f>AND(#REF!,"AAAAAFO651I=")</f>
        <v>#REF!</v>
      </c>
      <c r="CF300" t="e">
        <f>AND(#REF!,"AAAAAFO651M=")</f>
        <v>#REF!</v>
      </c>
      <c r="CG300" t="e">
        <f>AND(#REF!,"AAAAAFO651Q=")</f>
        <v>#REF!</v>
      </c>
      <c r="CH300" t="e">
        <f>AND(#REF!,"AAAAAFO651U=")</f>
        <v>#REF!</v>
      </c>
      <c r="CI300" t="e">
        <f>AND(#REF!,"AAAAAFO651Y=")</f>
        <v>#REF!</v>
      </c>
      <c r="CJ300" t="e">
        <f>AND(#REF!,"AAAAAFO651c=")</f>
        <v>#REF!</v>
      </c>
      <c r="CK300" t="e">
        <f>AND(#REF!,"AAAAAFO651g=")</f>
        <v>#REF!</v>
      </c>
      <c r="CL300" t="e">
        <f>IF(#REF!,"AAAAAFO651k=",0)</f>
        <v>#REF!</v>
      </c>
      <c r="CM300" t="e">
        <f>AND(#REF!,"AAAAAFO651o=")</f>
        <v>#REF!</v>
      </c>
      <c r="CN300" t="e">
        <f>AND(#REF!,"AAAAAFO651s=")</f>
        <v>#REF!</v>
      </c>
      <c r="CO300" t="e">
        <f>AND(#REF!,"AAAAAFO651w=")</f>
        <v>#REF!</v>
      </c>
      <c r="CP300" t="e">
        <f>AND(#REF!,"AAAAAFO6510=")</f>
        <v>#REF!</v>
      </c>
      <c r="CQ300" t="e">
        <f>AND(#REF!,"AAAAAFO6514=")</f>
        <v>#REF!</v>
      </c>
      <c r="CR300" t="e">
        <f>AND(#REF!,"AAAAAFO6518=")</f>
        <v>#REF!</v>
      </c>
      <c r="CS300" t="e">
        <f>AND(#REF!,"AAAAAFO652A=")</f>
        <v>#REF!</v>
      </c>
      <c r="CT300" t="e">
        <f>AND(#REF!,"AAAAAFO652E=")</f>
        <v>#REF!</v>
      </c>
      <c r="CU300" t="e">
        <f>AND(#REF!,"AAAAAFO652I=")</f>
        <v>#REF!</v>
      </c>
      <c r="CV300" t="e">
        <f>AND(#REF!,"AAAAAFO652M=")</f>
        <v>#REF!</v>
      </c>
      <c r="CW300" t="e">
        <f>IF(#REF!,"AAAAAFO652Q=",0)</f>
        <v>#REF!</v>
      </c>
      <c r="CX300" t="e">
        <f>AND(#REF!,"AAAAAFO652U=")</f>
        <v>#REF!</v>
      </c>
      <c r="CY300" t="e">
        <f>AND(#REF!,"AAAAAFO652Y=")</f>
        <v>#REF!</v>
      </c>
      <c r="CZ300" t="e">
        <f>AND(#REF!,"AAAAAFO652c=")</f>
        <v>#REF!</v>
      </c>
      <c r="DA300" t="e">
        <f>AND(#REF!,"AAAAAFO652g=")</f>
        <v>#REF!</v>
      </c>
      <c r="DB300" t="e">
        <f>AND(#REF!,"AAAAAFO652k=")</f>
        <v>#REF!</v>
      </c>
      <c r="DC300" t="e">
        <f>AND(#REF!,"AAAAAFO652o=")</f>
        <v>#REF!</v>
      </c>
      <c r="DD300" t="e">
        <f>AND(#REF!,"AAAAAFO652s=")</f>
        <v>#REF!</v>
      </c>
      <c r="DE300" t="e">
        <f>AND(#REF!,"AAAAAFO652w=")</f>
        <v>#REF!</v>
      </c>
      <c r="DF300" t="e">
        <f>AND(#REF!,"AAAAAFO6520=")</f>
        <v>#REF!</v>
      </c>
      <c r="DG300" t="e">
        <f>AND(#REF!,"AAAAAFO6524=")</f>
        <v>#REF!</v>
      </c>
      <c r="DH300" t="e">
        <f>IF(#REF!,"AAAAAFO6528=",0)</f>
        <v>#REF!</v>
      </c>
      <c r="DI300" t="e">
        <f>AND(#REF!,"AAAAAFO653A=")</f>
        <v>#REF!</v>
      </c>
      <c r="DJ300" t="e">
        <f>AND(#REF!,"AAAAAFO653E=")</f>
        <v>#REF!</v>
      </c>
      <c r="DK300" t="e">
        <f>AND(#REF!,"AAAAAFO653I=")</f>
        <v>#REF!</v>
      </c>
      <c r="DL300" t="e">
        <f>AND(#REF!,"AAAAAFO653M=")</f>
        <v>#REF!</v>
      </c>
      <c r="DM300" t="e">
        <f>AND(#REF!,"AAAAAFO653Q=")</f>
        <v>#REF!</v>
      </c>
      <c r="DN300" t="e">
        <f>AND(#REF!,"AAAAAFO653U=")</f>
        <v>#REF!</v>
      </c>
      <c r="DO300" t="e">
        <f>AND(#REF!,"AAAAAFO653Y=")</f>
        <v>#REF!</v>
      </c>
      <c r="DP300" t="e">
        <f>AND(#REF!,"AAAAAFO653c=")</f>
        <v>#REF!</v>
      </c>
      <c r="DQ300" t="e">
        <f>AND(#REF!,"AAAAAFO653g=")</f>
        <v>#REF!</v>
      </c>
      <c r="DR300" t="e">
        <f>AND(#REF!,"AAAAAFO653k=")</f>
        <v>#REF!</v>
      </c>
      <c r="DS300" t="e">
        <f>IF(#REF!,"AAAAAFO653o=",0)</f>
        <v>#REF!</v>
      </c>
      <c r="DT300" t="e">
        <f>AND(#REF!,"AAAAAFO653s=")</f>
        <v>#REF!</v>
      </c>
      <c r="DU300" t="e">
        <f>AND(#REF!,"AAAAAFO653w=")</f>
        <v>#REF!</v>
      </c>
      <c r="DV300" t="e">
        <f>AND(#REF!,"AAAAAFO6530=")</f>
        <v>#REF!</v>
      </c>
      <c r="DW300" t="e">
        <f>AND(#REF!,"AAAAAFO6534=")</f>
        <v>#REF!</v>
      </c>
      <c r="DX300" t="e">
        <f>AND(#REF!,"AAAAAFO6538=")</f>
        <v>#REF!</v>
      </c>
      <c r="DY300" t="e">
        <f>AND(#REF!,"AAAAAFO654A=")</f>
        <v>#REF!</v>
      </c>
      <c r="DZ300" t="e">
        <f>AND(#REF!,"AAAAAFO654E=")</f>
        <v>#REF!</v>
      </c>
      <c r="EA300" t="e">
        <f>AND(#REF!,"AAAAAFO654I=")</f>
        <v>#REF!</v>
      </c>
      <c r="EB300" t="e">
        <f>AND(#REF!,"AAAAAFO654M=")</f>
        <v>#REF!</v>
      </c>
      <c r="EC300" t="e">
        <f>AND(#REF!,"AAAAAFO654Q=")</f>
        <v>#REF!</v>
      </c>
      <c r="ED300" t="e">
        <f>IF(#REF!,"AAAAAFO654U=",0)</f>
        <v>#REF!</v>
      </c>
      <c r="EE300" t="e">
        <f>AND(#REF!,"AAAAAFO654Y=")</f>
        <v>#REF!</v>
      </c>
      <c r="EF300" t="e">
        <f>AND(#REF!,"AAAAAFO654c=")</f>
        <v>#REF!</v>
      </c>
      <c r="EG300" t="e">
        <f>AND(#REF!,"AAAAAFO654g=")</f>
        <v>#REF!</v>
      </c>
      <c r="EH300" t="e">
        <f>AND(#REF!,"AAAAAFO654k=")</f>
        <v>#REF!</v>
      </c>
      <c r="EI300" t="e">
        <f>AND(#REF!,"AAAAAFO654o=")</f>
        <v>#REF!</v>
      </c>
      <c r="EJ300" t="e">
        <f>AND(#REF!,"AAAAAFO654s=")</f>
        <v>#REF!</v>
      </c>
      <c r="EK300" t="e">
        <f>AND(#REF!,"AAAAAFO654w=")</f>
        <v>#REF!</v>
      </c>
      <c r="EL300" t="e">
        <f>AND(#REF!,"AAAAAFO6540=")</f>
        <v>#REF!</v>
      </c>
      <c r="EM300" t="e">
        <f>AND(#REF!,"AAAAAFO6544=")</f>
        <v>#REF!</v>
      </c>
      <c r="EN300" t="e">
        <f>AND(#REF!,"AAAAAFO6548=")</f>
        <v>#REF!</v>
      </c>
      <c r="EO300" t="e">
        <f>IF(#REF!,"AAAAAFO655A=",0)</f>
        <v>#REF!</v>
      </c>
      <c r="EP300" t="e">
        <f>AND(#REF!,"AAAAAFO655E=")</f>
        <v>#REF!</v>
      </c>
      <c r="EQ300" t="e">
        <f>AND(#REF!,"AAAAAFO655I=")</f>
        <v>#REF!</v>
      </c>
      <c r="ER300" t="e">
        <f>AND(#REF!,"AAAAAFO655M=")</f>
        <v>#REF!</v>
      </c>
      <c r="ES300" t="e">
        <f>AND(#REF!,"AAAAAFO655Q=")</f>
        <v>#REF!</v>
      </c>
      <c r="ET300" t="e">
        <f>AND(#REF!,"AAAAAFO655U=")</f>
        <v>#REF!</v>
      </c>
      <c r="EU300" t="e">
        <f>AND(#REF!,"AAAAAFO655Y=")</f>
        <v>#REF!</v>
      </c>
      <c r="EV300" t="e">
        <f>AND(#REF!,"AAAAAFO655c=")</f>
        <v>#REF!</v>
      </c>
      <c r="EW300" t="e">
        <f>AND(#REF!,"AAAAAFO655g=")</f>
        <v>#REF!</v>
      </c>
      <c r="EX300" t="e">
        <f>AND(#REF!,"AAAAAFO655k=")</f>
        <v>#REF!</v>
      </c>
      <c r="EY300" t="e">
        <f>AND(#REF!,"AAAAAFO655o=")</f>
        <v>#REF!</v>
      </c>
      <c r="EZ300" t="e">
        <f>IF(#REF!,"AAAAAFO655s=",0)</f>
        <v>#REF!</v>
      </c>
      <c r="FA300" t="e">
        <f>AND(#REF!,"AAAAAFO655w=")</f>
        <v>#REF!</v>
      </c>
      <c r="FB300" t="e">
        <f>AND(#REF!,"AAAAAFO6550=")</f>
        <v>#REF!</v>
      </c>
      <c r="FC300" t="e">
        <f>AND(#REF!,"AAAAAFO6554=")</f>
        <v>#REF!</v>
      </c>
      <c r="FD300" t="e">
        <f>AND(#REF!,"AAAAAFO6558=")</f>
        <v>#REF!</v>
      </c>
      <c r="FE300" t="e">
        <f>AND(#REF!,"AAAAAFO656A=")</f>
        <v>#REF!</v>
      </c>
      <c r="FF300" t="e">
        <f>AND(#REF!,"AAAAAFO656E=")</f>
        <v>#REF!</v>
      </c>
      <c r="FG300" t="e">
        <f>AND(#REF!,"AAAAAFO656I=")</f>
        <v>#REF!</v>
      </c>
      <c r="FH300" t="e">
        <f>AND(#REF!,"AAAAAFO656M=")</f>
        <v>#REF!</v>
      </c>
      <c r="FI300" t="e">
        <f>AND(#REF!,"AAAAAFO656Q=")</f>
        <v>#REF!</v>
      </c>
      <c r="FJ300" t="e">
        <f>AND(#REF!,"AAAAAFO656U=")</f>
        <v>#REF!</v>
      </c>
      <c r="FK300" t="e">
        <f>IF(#REF!,"AAAAAFO656Y=",0)</f>
        <v>#REF!</v>
      </c>
      <c r="FL300" t="e">
        <f>AND(#REF!,"AAAAAFO656c=")</f>
        <v>#REF!</v>
      </c>
      <c r="FM300" t="e">
        <f>AND(#REF!,"AAAAAFO656g=")</f>
        <v>#REF!</v>
      </c>
      <c r="FN300" t="e">
        <f>AND(#REF!,"AAAAAFO656k=")</f>
        <v>#REF!</v>
      </c>
      <c r="FO300" t="e">
        <f>AND(#REF!,"AAAAAFO656o=")</f>
        <v>#REF!</v>
      </c>
      <c r="FP300" t="e">
        <f>AND(#REF!,"AAAAAFO656s=")</f>
        <v>#REF!</v>
      </c>
      <c r="FQ300" t="e">
        <f>AND(#REF!,"AAAAAFO656w=")</f>
        <v>#REF!</v>
      </c>
      <c r="FR300" t="e">
        <f>AND(#REF!,"AAAAAFO6560=")</f>
        <v>#REF!</v>
      </c>
      <c r="FS300" t="e">
        <f>AND(#REF!,"AAAAAFO6564=")</f>
        <v>#REF!</v>
      </c>
      <c r="FT300" t="e">
        <f>AND(#REF!,"AAAAAFO6568=")</f>
        <v>#REF!</v>
      </c>
      <c r="FU300" t="e">
        <f>AND(#REF!,"AAAAAFO657A=")</f>
        <v>#REF!</v>
      </c>
      <c r="FV300" t="e">
        <f>IF(#REF!,"AAAAAFO657E=",0)</f>
        <v>#REF!</v>
      </c>
      <c r="FW300" t="e">
        <f>AND(#REF!,"AAAAAFO657I=")</f>
        <v>#REF!</v>
      </c>
      <c r="FX300" t="e">
        <f>AND(#REF!,"AAAAAFO657M=")</f>
        <v>#REF!</v>
      </c>
      <c r="FY300" t="e">
        <f>AND(#REF!,"AAAAAFO657Q=")</f>
        <v>#REF!</v>
      </c>
      <c r="FZ300" t="e">
        <f>AND(#REF!,"AAAAAFO657U=")</f>
        <v>#REF!</v>
      </c>
      <c r="GA300" t="e">
        <f>AND(#REF!,"AAAAAFO657Y=")</f>
        <v>#REF!</v>
      </c>
      <c r="GB300" t="e">
        <f>AND(#REF!,"AAAAAFO657c=")</f>
        <v>#REF!</v>
      </c>
      <c r="GC300" t="e">
        <f>AND(#REF!,"AAAAAFO657g=")</f>
        <v>#REF!</v>
      </c>
      <c r="GD300" t="e">
        <f>AND(#REF!,"AAAAAFO657k=")</f>
        <v>#REF!</v>
      </c>
      <c r="GE300" t="e">
        <f>AND(#REF!,"AAAAAFO657o=")</f>
        <v>#REF!</v>
      </c>
      <c r="GF300" t="e">
        <f>AND(#REF!,"AAAAAFO657s=")</f>
        <v>#REF!</v>
      </c>
      <c r="GG300" t="e">
        <f>IF(#REF!,"AAAAAFO657w=",0)</f>
        <v>#REF!</v>
      </c>
      <c r="GH300" t="e">
        <f>AND(#REF!,"AAAAAFO6570=")</f>
        <v>#REF!</v>
      </c>
      <c r="GI300" t="e">
        <f>AND(#REF!,"AAAAAFO6574=")</f>
        <v>#REF!</v>
      </c>
      <c r="GJ300" t="e">
        <f>AND(#REF!,"AAAAAFO6578=")</f>
        <v>#REF!</v>
      </c>
      <c r="GK300" t="e">
        <f>AND(#REF!,"AAAAAFO658A=")</f>
        <v>#REF!</v>
      </c>
      <c r="GL300" t="e">
        <f>AND(#REF!,"AAAAAFO658E=")</f>
        <v>#REF!</v>
      </c>
      <c r="GM300" t="e">
        <f>AND(#REF!,"AAAAAFO658I=")</f>
        <v>#REF!</v>
      </c>
      <c r="GN300" t="e">
        <f>AND(#REF!,"AAAAAFO658M=")</f>
        <v>#REF!</v>
      </c>
      <c r="GO300" t="e">
        <f>AND(#REF!,"AAAAAFO658Q=")</f>
        <v>#REF!</v>
      </c>
      <c r="GP300" t="e">
        <f>AND(#REF!,"AAAAAFO658U=")</f>
        <v>#REF!</v>
      </c>
      <c r="GQ300" t="e">
        <f>AND(#REF!,"AAAAAFO658Y=")</f>
        <v>#REF!</v>
      </c>
      <c r="GR300" t="e">
        <f>IF(#REF!,"AAAAAFO658c=",0)</f>
        <v>#REF!</v>
      </c>
      <c r="GS300" t="e">
        <f>AND(#REF!,"AAAAAFO658g=")</f>
        <v>#REF!</v>
      </c>
      <c r="GT300" t="e">
        <f>AND(#REF!,"AAAAAFO658k=")</f>
        <v>#REF!</v>
      </c>
      <c r="GU300" t="e">
        <f>AND(#REF!,"AAAAAFO658o=")</f>
        <v>#REF!</v>
      </c>
      <c r="GV300" t="e">
        <f>AND(#REF!,"AAAAAFO658s=")</f>
        <v>#REF!</v>
      </c>
      <c r="GW300" t="e">
        <f>AND(#REF!,"AAAAAFO658w=")</f>
        <v>#REF!</v>
      </c>
      <c r="GX300" t="e">
        <f>AND(#REF!,"AAAAAFO6580=")</f>
        <v>#REF!</v>
      </c>
      <c r="GY300" t="e">
        <f>AND(#REF!,"AAAAAFO6584=")</f>
        <v>#REF!</v>
      </c>
      <c r="GZ300" t="e">
        <f>AND(#REF!,"AAAAAFO6588=")</f>
        <v>#REF!</v>
      </c>
      <c r="HA300" t="e">
        <f>AND(#REF!,"AAAAAFO659A=")</f>
        <v>#REF!</v>
      </c>
      <c r="HB300" t="e">
        <f>AND(#REF!,"AAAAAFO659E=")</f>
        <v>#REF!</v>
      </c>
      <c r="HC300" t="e">
        <f>IF(#REF!,"AAAAAFO659I=",0)</f>
        <v>#REF!</v>
      </c>
      <c r="HD300" t="e">
        <f>AND(#REF!,"AAAAAFO659M=")</f>
        <v>#REF!</v>
      </c>
      <c r="HE300" t="e">
        <f>AND(#REF!,"AAAAAFO659Q=")</f>
        <v>#REF!</v>
      </c>
      <c r="HF300" t="e">
        <f>AND(#REF!,"AAAAAFO659U=")</f>
        <v>#REF!</v>
      </c>
      <c r="HG300" t="e">
        <f>AND(#REF!,"AAAAAFO659Y=")</f>
        <v>#REF!</v>
      </c>
      <c r="HH300" t="e">
        <f>AND(#REF!,"AAAAAFO659c=")</f>
        <v>#REF!</v>
      </c>
      <c r="HI300" t="e">
        <f>AND(#REF!,"AAAAAFO659g=")</f>
        <v>#REF!</v>
      </c>
      <c r="HJ300" t="e">
        <f>AND(#REF!,"AAAAAFO659k=")</f>
        <v>#REF!</v>
      </c>
      <c r="HK300" t="e">
        <f>AND(#REF!,"AAAAAFO659o=")</f>
        <v>#REF!</v>
      </c>
      <c r="HL300" t="e">
        <f>AND(#REF!,"AAAAAFO659s=")</f>
        <v>#REF!</v>
      </c>
      <c r="HM300" t="e">
        <f>AND(#REF!,"AAAAAFO659w=")</f>
        <v>#REF!</v>
      </c>
      <c r="HN300" t="e">
        <f>IF(#REF!,"AAAAAFO6590=",0)</f>
        <v>#REF!</v>
      </c>
      <c r="HO300" t="e">
        <f>AND(#REF!,"AAAAAFO6594=")</f>
        <v>#REF!</v>
      </c>
      <c r="HP300" t="e">
        <f>AND(#REF!,"AAAAAFO6598=")</f>
        <v>#REF!</v>
      </c>
      <c r="HQ300" t="e">
        <f>AND(#REF!,"AAAAAFO65+A=")</f>
        <v>#REF!</v>
      </c>
      <c r="HR300" t="e">
        <f>AND(#REF!,"AAAAAFO65+E=")</f>
        <v>#REF!</v>
      </c>
      <c r="HS300" t="e">
        <f>AND(#REF!,"AAAAAFO65+I=")</f>
        <v>#REF!</v>
      </c>
      <c r="HT300" t="e">
        <f>AND(#REF!,"AAAAAFO65+M=")</f>
        <v>#REF!</v>
      </c>
      <c r="HU300" t="e">
        <f>AND(#REF!,"AAAAAFO65+Q=")</f>
        <v>#REF!</v>
      </c>
      <c r="HV300" t="e">
        <f>AND(#REF!,"AAAAAFO65+U=")</f>
        <v>#REF!</v>
      </c>
      <c r="HW300" t="e">
        <f>AND(#REF!,"AAAAAFO65+Y=")</f>
        <v>#REF!</v>
      </c>
      <c r="HX300" t="e">
        <f>AND(#REF!,"AAAAAFO65+c=")</f>
        <v>#REF!</v>
      </c>
      <c r="HY300" t="e">
        <f>IF(#REF!,"AAAAAFO65+g=",0)</f>
        <v>#REF!</v>
      </c>
      <c r="HZ300" t="e">
        <f>AND(#REF!,"AAAAAFO65+k=")</f>
        <v>#REF!</v>
      </c>
      <c r="IA300" t="e">
        <f>AND(#REF!,"AAAAAFO65+o=")</f>
        <v>#REF!</v>
      </c>
      <c r="IB300" t="e">
        <f>AND(#REF!,"AAAAAFO65+s=")</f>
        <v>#REF!</v>
      </c>
      <c r="IC300" t="e">
        <f>AND(#REF!,"AAAAAFO65+w=")</f>
        <v>#REF!</v>
      </c>
      <c r="ID300" t="e">
        <f>AND(#REF!,"AAAAAFO65+0=")</f>
        <v>#REF!</v>
      </c>
      <c r="IE300" t="e">
        <f>AND(#REF!,"AAAAAFO65+4=")</f>
        <v>#REF!</v>
      </c>
      <c r="IF300" t="e">
        <f>AND(#REF!,"AAAAAFO65+8=")</f>
        <v>#REF!</v>
      </c>
      <c r="IG300" t="e">
        <f>AND(#REF!,"AAAAAFO65/A=")</f>
        <v>#REF!</v>
      </c>
      <c r="IH300" t="e">
        <f>AND(#REF!,"AAAAAFO65/E=")</f>
        <v>#REF!</v>
      </c>
      <c r="II300" t="e">
        <f>AND(#REF!,"AAAAAFO65/I=")</f>
        <v>#REF!</v>
      </c>
      <c r="IJ300" t="e">
        <f>IF(#REF!,"AAAAAFO65/M=",0)</f>
        <v>#REF!</v>
      </c>
      <c r="IK300" t="e">
        <f>AND(#REF!,"AAAAAFO65/Q=")</f>
        <v>#REF!</v>
      </c>
      <c r="IL300" t="e">
        <f>AND(#REF!,"AAAAAFO65/U=")</f>
        <v>#REF!</v>
      </c>
      <c r="IM300" t="e">
        <f>AND(#REF!,"AAAAAFO65/Y=")</f>
        <v>#REF!</v>
      </c>
      <c r="IN300" t="e">
        <f>AND(#REF!,"AAAAAFO65/c=")</f>
        <v>#REF!</v>
      </c>
      <c r="IO300" t="e">
        <f>AND(#REF!,"AAAAAFO65/g=")</f>
        <v>#REF!</v>
      </c>
      <c r="IP300" t="e">
        <f>AND(#REF!,"AAAAAFO65/k=")</f>
        <v>#REF!</v>
      </c>
      <c r="IQ300" t="e">
        <f>AND(#REF!,"AAAAAFO65/o=")</f>
        <v>#REF!</v>
      </c>
      <c r="IR300" t="e">
        <f>AND(#REF!,"AAAAAFO65/s=")</f>
        <v>#REF!</v>
      </c>
      <c r="IS300" t="e">
        <f>AND(#REF!,"AAAAAFO65/w=")</f>
        <v>#REF!</v>
      </c>
      <c r="IT300" t="e">
        <f>AND(#REF!,"AAAAAFO65/0=")</f>
        <v>#REF!</v>
      </c>
      <c r="IU300" t="e">
        <f>IF(#REF!,"AAAAAFO65/4=",0)</f>
        <v>#REF!</v>
      </c>
      <c r="IV300" t="e">
        <f>AND(#REF!,"AAAAAFO65/8=")</f>
        <v>#REF!</v>
      </c>
    </row>
    <row r="301" spans="1:256" x14ac:dyDescent="0.25">
      <c r="A301" t="e">
        <f>AND(#REF!,"AAAAAH//ugA=")</f>
        <v>#REF!</v>
      </c>
      <c r="B301" t="e">
        <f>AND(#REF!,"AAAAAH//ugE=")</f>
        <v>#REF!</v>
      </c>
      <c r="C301" t="e">
        <f>AND(#REF!,"AAAAAH//ugI=")</f>
        <v>#REF!</v>
      </c>
      <c r="D301" t="e">
        <f>AND(#REF!,"AAAAAH//ugM=")</f>
        <v>#REF!</v>
      </c>
      <c r="E301" t="e">
        <f>AND(#REF!,"AAAAAH//ugQ=")</f>
        <v>#REF!</v>
      </c>
      <c r="F301" t="e">
        <f>AND(#REF!,"AAAAAH//ugU=")</f>
        <v>#REF!</v>
      </c>
      <c r="G301" t="e">
        <f>AND(#REF!,"AAAAAH//ugY=")</f>
        <v>#REF!</v>
      </c>
      <c r="H301" t="e">
        <f>AND(#REF!,"AAAAAH//ugc=")</f>
        <v>#REF!</v>
      </c>
      <c r="I301" t="e">
        <f>AND(#REF!,"AAAAAH//ugg=")</f>
        <v>#REF!</v>
      </c>
      <c r="J301" t="e">
        <f>IF(#REF!,"AAAAAH//ugk=",0)</f>
        <v>#REF!</v>
      </c>
      <c r="K301" t="e">
        <f>AND(#REF!,"AAAAAH//ugo=")</f>
        <v>#REF!</v>
      </c>
      <c r="L301" t="e">
        <f>AND(#REF!,"AAAAAH//ugs=")</f>
        <v>#REF!</v>
      </c>
      <c r="M301" t="e">
        <f>AND(#REF!,"AAAAAH//ugw=")</f>
        <v>#REF!</v>
      </c>
      <c r="N301" t="e">
        <f>AND(#REF!,"AAAAAH//ug0=")</f>
        <v>#REF!</v>
      </c>
      <c r="O301" t="e">
        <f>AND(#REF!,"AAAAAH//ug4=")</f>
        <v>#REF!</v>
      </c>
      <c r="P301" t="e">
        <f>AND(#REF!,"AAAAAH//ug8=")</f>
        <v>#REF!</v>
      </c>
      <c r="Q301" t="e">
        <f>AND(#REF!,"AAAAAH//uhA=")</f>
        <v>#REF!</v>
      </c>
      <c r="R301" t="e">
        <f>AND(#REF!,"AAAAAH//uhE=")</f>
        <v>#REF!</v>
      </c>
      <c r="S301" t="e">
        <f>AND(#REF!,"AAAAAH//uhI=")</f>
        <v>#REF!</v>
      </c>
      <c r="T301" t="e">
        <f>AND(#REF!,"AAAAAH//uhM=")</f>
        <v>#REF!</v>
      </c>
      <c r="U301" t="e">
        <f>IF(#REF!,"AAAAAH//uhQ=",0)</f>
        <v>#REF!</v>
      </c>
      <c r="V301" t="e">
        <f>AND(#REF!,"AAAAAH//uhU=")</f>
        <v>#REF!</v>
      </c>
      <c r="W301" t="e">
        <f>AND(#REF!,"AAAAAH//uhY=")</f>
        <v>#REF!</v>
      </c>
      <c r="X301" t="e">
        <f>AND(#REF!,"AAAAAH//uhc=")</f>
        <v>#REF!</v>
      </c>
      <c r="Y301" t="e">
        <f>AND(#REF!,"AAAAAH//uhg=")</f>
        <v>#REF!</v>
      </c>
      <c r="Z301" t="e">
        <f>AND(#REF!,"AAAAAH//uhk=")</f>
        <v>#REF!</v>
      </c>
      <c r="AA301" t="e">
        <f>AND(#REF!,"AAAAAH//uho=")</f>
        <v>#REF!</v>
      </c>
      <c r="AB301" t="e">
        <f>AND(#REF!,"AAAAAH//uhs=")</f>
        <v>#REF!</v>
      </c>
      <c r="AC301" t="e">
        <f>AND(#REF!,"AAAAAH//uhw=")</f>
        <v>#REF!</v>
      </c>
      <c r="AD301" t="e">
        <f>AND(#REF!,"AAAAAH//uh0=")</f>
        <v>#REF!</v>
      </c>
      <c r="AE301" t="e">
        <f>AND(#REF!,"AAAAAH//uh4=")</f>
        <v>#REF!</v>
      </c>
      <c r="AF301" t="e">
        <f>IF(#REF!,"AAAAAH//uh8=",0)</f>
        <v>#REF!</v>
      </c>
      <c r="AG301" t="e">
        <f>AND(#REF!,"AAAAAH//uiA=")</f>
        <v>#REF!</v>
      </c>
      <c r="AH301" t="e">
        <f>AND(#REF!,"AAAAAH//uiE=")</f>
        <v>#REF!</v>
      </c>
      <c r="AI301" t="e">
        <f>AND(#REF!,"AAAAAH//uiI=")</f>
        <v>#REF!</v>
      </c>
      <c r="AJ301" t="e">
        <f>AND(#REF!,"AAAAAH//uiM=")</f>
        <v>#REF!</v>
      </c>
      <c r="AK301" t="e">
        <f>AND(#REF!,"AAAAAH//uiQ=")</f>
        <v>#REF!</v>
      </c>
      <c r="AL301" t="e">
        <f>AND(#REF!,"AAAAAH//uiU=")</f>
        <v>#REF!</v>
      </c>
      <c r="AM301" t="e">
        <f>AND(#REF!,"AAAAAH//uiY=")</f>
        <v>#REF!</v>
      </c>
      <c r="AN301" t="e">
        <f>AND(#REF!,"AAAAAH//uic=")</f>
        <v>#REF!</v>
      </c>
      <c r="AO301" t="e">
        <f>AND(#REF!,"AAAAAH//uig=")</f>
        <v>#REF!</v>
      </c>
      <c r="AP301" t="e">
        <f>AND(#REF!,"AAAAAH//uik=")</f>
        <v>#REF!</v>
      </c>
      <c r="AQ301" t="e">
        <f>IF(#REF!,"AAAAAH//uio=",0)</f>
        <v>#REF!</v>
      </c>
      <c r="AR301" t="e">
        <f>AND(#REF!,"AAAAAH//uis=")</f>
        <v>#REF!</v>
      </c>
      <c r="AS301" t="e">
        <f>AND(#REF!,"AAAAAH//uiw=")</f>
        <v>#REF!</v>
      </c>
      <c r="AT301" t="e">
        <f>AND(#REF!,"AAAAAH//ui0=")</f>
        <v>#REF!</v>
      </c>
      <c r="AU301" t="e">
        <f>AND(#REF!,"AAAAAH//ui4=")</f>
        <v>#REF!</v>
      </c>
      <c r="AV301" t="e">
        <f>AND(#REF!,"AAAAAH//ui8=")</f>
        <v>#REF!</v>
      </c>
      <c r="AW301" t="e">
        <f>AND(#REF!,"AAAAAH//ujA=")</f>
        <v>#REF!</v>
      </c>
      <c r="AX301" t="e">
        <f>AND(#REF!,"AAAAAH//ujE=")</f>
        <v>#REF!</v>
      </c>
      <c r="AY301" t="e">
        <f>AND(#REF!,"AAAAAH//ujI=")</f>
        <v>#REF!</v>
      </c>
      <c r="AZ301" t="e">
        <f>AND(#REF!,"AAAAAH//ujM=")</f>
        <v>#REF!</v>
      </c>
      <c r="BA301" t="e">
        <f>AND(#REF!,"AAAAAH//ujQ=")</f>
        <v>#REF!</v>
      </c>
      <c r="BB301" t="e">
        <f>IF(#REF!,"AAAAAH//ujU=",0)</f>
        <v>#REF!</v>
      </c>
      <c r="BC301" t="e">
        <f>AND(#REF!,"AAAAAH//ujY=")</f>
        <v>#REF!</v>
      </c>
      <c r="BD301" t="e">
        <f>AND(#REF!,"AAAAAH//ujc=")</f>
        <v>#REF!</v>
      </c>
      <c r="BE301" t="e">
        <f>AND(#REF!,"AAAAAH//ujg=")</f>
        <v>#REF!</v>
      </c>
      <c r="BF301" t="e">
        <f>AND(#REF!,"AAAAAH//ujk=")</f>
        <v>#REF!</v>
      </c>
      <c r="BG301" t="e">
        <f>AND(#REF!,"AAAAAH//ujo=")</f>
        <v>#REF!</v>
      </c>
      <c r="BH301" t="e">
        <f>AND(#REF!,"AAAAAH//ujs=")</f>
        <v>#REF!</v>
      </c>
      <c r="BI301" t="e">
        <f>AND(#REF!,"AAAAAH//ujw=")</f>
        <v>#REF!</v>
      </c>
      <c r="BJ301" t="e">
        <f>AND(#REF!,"AAAAAH//uj0=")</f>
        <v>#REF!</v>
      </c>
      <c r="BK301" t="e">
        <f>AND(#REF!,"AAAAAH//uj4=")</f>
        <v>#REF!</v>
      </c>
      <c r="BL301" t="e">
        <f>AND(#REF!,"AAAAAH//uj8=")</f>
        <v>#REF!</v>
      </c>
      <c r="BM301" t="e">
        <f>IF(#REF!,"AAAAAH//ukA=",0)</f>
        <v>#REF!</v>
      </c>
      <c r="BN301" t="e">
        <f>AND(#REF!,"AAAAAH//ukE=")</f>
        <v>#REF!</v>
      </c>
      <c r="BO301" t="e">
        <f>AND(#REF!,"AAAAAH//ukI=")</f>
        <v>#REF!</v>
      </c>
      <c r="BP301" t="e">
        <f>AND(#REF!,"AAAAAH//ukM=")</f>
        <v>#REF!</v>
      </c>
      <c r="BQ301" t="e">
        <f>AND(#REF!,"AAAAAH//ukQ=")</f>
        <v>#REF!</v>
      </c>
      <c r="BR301" t="e">
        <f>AND(#REF!,"AAAAAH//ukU=")</f>
        <v>#REF!</v>
      </c>
      <c r="BS301" t="e">
        <f>AND(#REF!,"AAAAAH//ukY=")</f>
        <v>#REF!</v>
      </c>
      <c r="BT301" t="e">
        <f>AND(#REF!,"AAAAAH//ukc=")</f>
        <v>#REF!</v>
      </c>
      <c r="BU301" t="e">
        <f>AND(#REF!,"AAAAAH//ukg=")</f>
        <v>#REF!</v>
      </c>
      <c r="BV301" t="e">
        <f>AND(#REF!,"AAAAAH//ukk=")</f>
        <v>#REF!</v>
      </c>
      <c r="BW301" t="e">
        <f>AND(#REF!,"AAAAAH//uko=")</f>
        <v>#REF!</v>
      </c>
      <c r="BX301" t="e">
        <f>IF(#REF!,"AAAAAH//uks=",0)</f>
        <v>#REF!</v>
      </c>
      <c r="BY301" t="e">
        <f>AND(#REF!,"AAAAAH//ukw=")</f>
        <v>#REF!</v>
      </c>
      <c r="BZ301" t="e">
        <f>AND(#REF!,"AAAAAH//uk0=")</f>
        <v>#REF!</v>
      </c>
      <c r="CA301" t="e">
        <f>AND(#REF!,"AAAAAH//uk4=")</f>
        <v>#REF!</v>
      </c>
      <c r="CB301" t="e">
        <f>AND(#REF!,"AAAAAH//uk8=")</f>
        <v>#REF!</v>
      </c>
      <c r="CC301" t="e">
        <f>AND(#REF!,"AAAAAH//ulA=")</f>
        <v>#REF!</v>
      </c>
      <c r="CD301" t="e">
        <f>AND(#REF!,"AAAAAH//ulE=")</f>
        <v>#REF!</v>
      </c>
      <c r="CE301" t="e">
        <f>AND(#REF!,"AAAAAH//ulI=")</f>
        <v>#REF!</v>
      </c>
      <c r="CF301" t="e">
        <f>AND(#REF!,"AAAAAH//ulM=")</f>
        <v>#REF!</v>
      </c>
      <c r="CG301" t="e">
        <f>AND(#REF!,"AAAAAH//ulQ=")</f>
        <v>#REF!</v>
      </c>
      <c r="CH301" t="e">
        <f>AND(#REF!,"AAAAAH//ulU=")</f>
        <v>#REF!</v>
      </c>
      <c r="CI301" t="e">
        <f>IF(#REF!,"AAAAAH//ulY=",0)</f>
        <v>#REF!</v>
      </c>
      <c r="CJ301" t="e">
        <f>AND(#REF!,"AAAAAH//ulc=")</f>
        <v>#REF!</v>
      </c>
      <c r="CK301" t="e">
        <f>AND(#REF!,"AAAAAH//ulg=")</f>
        <v>#REF!</v>
      </c>
      <c r="CL301" t="e">
        <f>AND(#REF!,"AAAAAH//ulk=")</f>
        <v>#REF!</v>
      </c>
      <c r="CM301" t="e">
        <f>AND(#REF!,"AAAAAH//ulo=")</f>
        <v>#REF!</v>
      </c>
      <c r="CN301" t="e">
        <f>AND(#REF!,"AAAAAH//uls=")</f>
        <v>#REF!</v>
      </c>
      <c r="CO301" t="e">
        <f>AND(#REF!,"AAAAAH//ulw=")</f>
        <v>#REF!</v>
      </c>
      <c r="CP301" t="e">
        <f>AND(#REF!,"AAAAAH//ul0=")</f>
        <v>#REF!</v>
      </c>
      <c r="CQ301" t="e">
        <f>AND(#REF!,"AAAAAH//ul4=")</f>
        <v>#REF!</v>
      </c>
      <c r="CR301" t="e">
        <f>AND(#REF!,"AAAAAH//ul8=")</f>
        <v>#REF!</v>
      </c>
      <c r="CS301" t="e">
        <f>AND(#REF!,"AAAAAH//umA=")</f>
        <v>#REF!</v>
      </c>
      <c r="CT301" t="e">
        <f>IF(#REF!,"AAAAAH//umE=",0)</f>
        <v>#REF!</v>
      </c>
      <c r="CU301" t="e">
        <f>AND(#REF!,"AAAAAH//umI=")</f>
        <v>#REF!</v>
      </c>
      <c r="CV301" t="e">
        <f>AND(#REF!,"AAAAAH//umM=")</f>
        <v>#REF!</v>
      </c>
      <c r="CW301" t="e">
        <f>AND(#REF!,"AAAAAH//umQ=")</f>
        <v>#REF!</v>
      </c>
      <c r="CX301" t="e">
        <f>AND(#REF!,"AAAAAH//umU=")</f>
        <v>#REF!</v>
      </c>
      <c r="CY301" t="e">
        <f>AND(#REF!,"AAAAAH//umY=")</f>
        <v>#REF!</v>
      </c>
      <c r="CZ301" t="e">
        <f>AND(#REF!,"AAAAAH//umc=")</f>
        <v>#REF!</v>
      </c>
      <c r="DA301" t="e">
        <f>AND(#REF!,"AAAAAH//umg=")</f>
        <v>#REF!</v>
      </c>
      <c r="DB301" t="e">
        <f>AND(#REF!,"AAAAAH//umk=")</f>
        <v>#REF!</v>
      </c>
      <c r="DC301" t="e">
        <f>AND(#REF!,"AAAAAH//umo=")</f>
        <v>#REF!</v>
      </c>
      <c r="DD301" t="e">
        <f>AND(#REF!,"AAAAAH//ums=")</f>
        <v>#REF!</v>
      </c>
      <c r="DE301" t="e">
        <f>IF(#REF!,"AAAAAH//umw=",0)</f>
        <v>#REF!</v>
      </c>
      <c r="DF301" t="e">
        <f>AND(#REF!,"AAAAAH//um0=")</f>
        <v>#REF!</v>
      </c>
      <c r="DG301" t="e">
        <f>AND(#REF!,"AAAAAH//um4=")</f>
        <v>#REF!</v>
      </c>
      <c r="DH301" t="e">
        <f>AND(#REF!,"AAAAAH//um8=")</f>
        <v>#REF!</v>
      </c>
      <c r="DI301" t="e">
        <f>AND(#REF!,"AAAAAH//unA=")</f>
        <v>#REF!</v>
      </c>
      <c r="DJ301" t="e">
        <f>AND(#REF!,"AAAAAH//unE=")</f>
        <v>#REF!</v>
      </c>
      <c r="DK301" t="e">
        <f>AND(#REF!,"AAAAAH//unI=")</f>
        <v>#REF!</v>
      </c>
      <c r="DL301" t="e">
        <f>AND(#REF!,"AAAAAH//unM=")</f>
        <v>#REF!</v>
      </c>
      <c r="DM301" t="e">
        <f>AND(#REF!,"AAAAAH//unQ=")</f>
        <v>#REF!</v>
      </c>
      <c r="DN301" t="e">
        <f>AND(#REF!,"AAAAAH//unU=")</f>
        <v>#REF!</v>
      </c>
      <c r="DO301" t="e">
        <f>AND(#REF!,"AAAAAH//unY=")</f>
        <v>#REF!</v>
      </c>
      <c r="DP301" t="e">
        <f>IF(#REF!,"AAAAAH//unc=",0)</f>
        <v>#REF!</v>
      </c>
      <c r="DQ301" t="e">
        <f>AND(#REF!,"AAAAAH//ung=")</f>
        <v>#REF!</v>
      </c>
      <c r="DR301" t="e">
        <f>AND(#REF!,"AAAAAH//unk=")</f>
        <v>#REF!</v>
      </c>
      <c r="DS301" t="e">
        <f>AND(#REF!,"AAAAAH//uno=")</f>
        <v>#REF!</v>
      </c>
      <c r="DT301" t="e">
        <f>AND(#REF!,"AAAAAH//uns=")</f>
        <v>#REF!</v>
      </c>
      <c r="DU301" t="e">
        <f>AND(#REF!,"AAAAAH//unw=")</f>
        <v>#REF!</v>
      </c>
      <c r="DV301" t="e">
        <f>AND(#REF!,"AAAAAH//un0=")</f>
        <v>#REF!</v>
      </c>
      <c r="DW301" t="e">
        <f>AND(#REF!,"AAAAAH//un4=")</f>
        <v>#REF!</v>
      </c>
      <c r="DX301" t="e">
        <f>AND(#REF!,"AAAAAH//un8=")</f>
        <v>#REF!</v>
      </c>
      <c r="DY301" t="e">
        <f>AND(#REF!,"AAAAAH//uoA=")</f>
        <v>#REF!</v>
      </c>
      <c r="DZ301" t="e">
        <f>AND(#REF!,"AAAAAH//uoE=")</f>
        <v>#REF!</v>
      </c>
      <c r="EA301" t="e">
        <f>IF(#REF!,"AAAAAH//uoI=",0)</f>
        <v>#REF!</v>
      </c>
      <c r="EB301" t="e">
        <f>AND(#REF!,"AAAAAH//uoM=")</f>
        <v>#REF!</v>
      </c>
      <c r="EC301" t="e">
        <f>AND(#REF!,"AAAAAH//uoQ=")</f>
        <v>#REF!</v>
      </c>
      <c r="ED301" t="e">
        <f>AND(#REF!,"AAAAAH//uoU=")</f>
        <v>#REF!</v>
      </c>
      <c r="EE301" t="e">
        <f>AND(#REF!,"AAAAAH//uoY=")</f>
        <v>#REF!</v>
      </c>
      <c r="EF301" t="e">
        <f>AND(#REF!,"AAAAAH//uoc=")</f>
        <v>#REF!</v>
      </c>
      <c r="EG301" t="e">
        <f>AND(#REF!,"AAAAAH//uog=")</f>
        <v>#REF!</v>
      </c>
      <c r="EH301" t="e">
        <f>AND(#REF!,"AAAAAH//uok=")</f>
        <v>#REF!</v>
      </c>
      <c r="EI301" t="e">
        <f>AND(#REF!,"AAAAAH//uoo=")</f>
        <v>#REF!</v>
      </c>
      <c r="EJ301" t="e">
        <f>AND(#REF!,"AAAAAH//uos=")</f>
        <v>#REF!</v>
      </c>
      <c r="EK301" t="e">
        <f>AND(#REF!,"AAAAAH//uow=")</f>
        <v>#REF!</v>
      </c>
      <c r="EL301" t="e">
        <f>IF(#REF!,"AAAAAH//uo0=",0)</f>
        <v>#REF!</v>
      </c>
      <c r="EM301" t="e">
        <f>AND(#REF!,"AAAAAH//uo4=")</f>
        <v>#REF!</v>
      </c>
      <c r="EN301" t="e">
        <f>AND(#REF!,"AAAAAH//uo8=")</f>
        <v>#REF!</v>
      </c>
      <c r="EO301" t="e">
        <f>AND(#REF!,"AAAAAH//upA=")</f>
        <v>#REF!</v>
      </c>
      <c r="EP301" t="e">
        <f>AND(#REF!,"AAAAAH//upE=")</f>
        <v>#REF!</v>
      </c>
      <c r="EQ301" t="e">
        <f>AND(#REF!,"AAAAAH//upI=")</f>
        <v>#REF!</v>
      </c>
      <c r="ER301" t="e">
        <f>AND(#REF!,"AAAAAH//upM=")</f>
        <v>#REF!</v>
      </c>
      <c r="ES301" t="e">
        <f>AND(#REF!,"AAAAAH//upQ=")</f>
        <v>#REF!</v>
      </c>
      <c r="ET301" t="e">
        <f>AND(#REF!,"AAAAAH//upU=")</f>
        <v>#REF!</v>
      </c>
      <c r="EU301" t="e">
        <f>AND(#REF!,"AAAAAH//upY=")</f>
        <v>#REF!</v>
      </c>
      <c r="EV301" t="e">
        <f>AND(#REF!,"AAAAAH//upc=")</f>
        <v>#REF!</v>
      </c>
      <c r="EW301" t="e">
        <f>IF(#REF!,"AAAAAH//upg=",0)</f>
        <v>#REF!</v>
      </c>
      <c r="EX301" t="e">
        <f>AND(#REF!,"AAAAAH//upk=")</f>
        <v>#REF!</v>
      </c>
      <c r="EY301" t="e">
        <f>AND(#REF!,"AAAAAH//upo=")</f>
        <v>#REF!</v>
      </c>
      <c r="EZ301" t="e">
        <f>AND(#REF!,"AAAAAH//ups=")</f>
        <v>#REF!</v>
      </c>
      <c r="FA301" t="e">
        <f>AND(#REF!,"AAAAAH//upw=")</f>
        <v>#REF!</v>
      </c>
      <c r="FB301" t="e">
        <f>AND(#REF!,"AAAAAH//up0=")</f>
        <v>#REF!</v>
      </c>
      <c r="FC301" t="e">
        <f>AND(#REF!,"AAAAAH//up4=")</f>
        <v>#REF!</v>
      </c>
      <c r="FD301" t="e">
        <f>AND(#REF!,"AAAAAH//up8=")</f>
        <v>#REF!</v>
      </c>
      <c r="FE301" t="e">
        <f>AND(#REF!,"AAAAAH//uqA=")</f>
        <v>#REF!</v>
      </c>
      <c r="FF301" t="e">
        <f>AND(#REF!,"AAAAAH//uqE=")</f>
        <v>#REF!</v>
      </c>
      <c r="FG301" t="e">
        <f>AND(#REF!,"AAAAAH//uqI=")</f>
        <v>#REF!</v>
      </c>
      <c r="FH301" t="e">
        <f>IF(#REF!,"AAAAAH//uqM=",0)</f>
        <v>#REF!</v>
      </c>
      <c r="FI301" t="e">
        <f>AND(#REF!,"AAAAAH//uqQ=")</f>
        <v>#REF!</v>
      </c>
      <c r="FJ301" t="e">
        <f>AND(#REF!,"AAAAAH//uqU=")</f>
        <v>#REF!</v>
      </c>
      <c r="FK301" t="e">
        <f>AND(#REF!,"AAAAAH//uqY=")</f>
        <v>#REF!</v>
      </c>
      <c r="FL301" t="e">
        <f>AND(#REF!,"AAAAAH//uqc=")</f>
        <v>#REF!</v>
      </c>
      <c r="FM301" t="e">
        <f>AND(#REF!,"AAAAAH//uqg=")</f>
        <v>#REF!</v>
      </c>
      <c r="FN301" t="e">
        <f>AND(#REF!,"AAAAAH//uqk=")</f>
        <v>#REF!</v>
      </c>
      <c r="FO301" t="e">
        <f>AND(#REF!,"AAAAAH//uqo=")</f>
        <v>#REF!</v>
      </c>
      <c r="FP301" t="e">
        <f>AND(#REF!,"AAAAAH//uqs=")</f>
        <v>#REF!</v>
      </c>
      <c r="FQ301" t="e">
        <f>AND(#REF!,"AAAAAH//uqw=")</f>
        <v>#REF!</v>
      </c>
      <c r="FR301" t="e">
        <f>AND(#REF!,"AAAAAH//uq0=")</f>
        <v>#REF!</v>
      </c>
      <c r="FS301" t="e">
        <f>IF(#REF!,"AAAAAH//uq4=",0)</f>
        <v>#REF!</v>
      </c>
      <c r="FT301" t="e">
        <f>AND(#REF!,"AAAAAH//uq8=")</f>
        <v>#REF!</v>
      </c>
      <c r="FU301" t="e">
        <f>AND(#REF!,"AAAAAH//urA=")</f>
        <v>#REF!</v>
      </c>
      <c r="FV301" t="e">
        <f>AND(#REF!,"AAAAAH//urE=")</f>
        <v>#REF!</v>
      </c>
      <c r="FW301" t="e">
        <f>AND(#REF!,"AAAAAH//urI=")</f>
        <v>#REF!</v>
      </c>
      <c r="FX301" t="e">
        <f>AND(#REF!,"AAAAAH//urM=")</f>
        <v>#REF!</v>
      </c>
      <c r="FY301" t="e">
        <f>AND(#REF!,"AAAAAH//urQ=")</f>
        <v>#REF!</v>
      </c>
      <c r="FZ301" t="e">
        <f>AND(#REF!,"AAAAAH//urU=")</f>
        <v>#REF!</v>
      </c>
      <c r="GA301" t="e">
        <f>AND(#REF!,"AAAAAH//urY=")</f>
        <v>#REF!</v>
      </c>
      <c r="GB301" t="e">
        <f>AND(#REF!,"AAAAAH//urc=")</f>
        <v>#REF!</v>
      </c>
      <c r="GC301" t="e">
        <f>AND(#REF!,"AAAAAH//urg=")</f>
        <v>#REF!</v>
      </c>
      <c r="GD301" t="e">
        <f>IF(#REF!,"AAAAAH//urk=",0)</f>
        <v>#REF!</v>
      </c>
      <c r="GE301" t="e">
        <f>AND(#REF!,"AAAAAH//uro=")</f>
        <v>#REF!</v>
      </c>
      <c r="GF301" t="e">
        <f>AND(#REF!,"AAAAAH//urs=")</f>
        <v>#REF!</v>
      </c>
      <c r="GG301" t="e">
        <f>AND(#REF!,"AAAAAH//urw=")</f>
        <v>#REF!</v>
      </c>
      <c r="GH301" t="e">
        <f>AND(#REF!,"AAAAAH//ur0=")</f>
        <v>#REF!</v>
      </c>
      <c r="GI301" t="e">
        <f>AND(#REF!,"AAAAAH//ur4=")</f>
        <v>#REF!</v>
      </c>
      <c r="GJ301" t="e">
        <f>AND(#REF!,"AAAAAH//ur8=")</f>
        <v>#REF!</v>
      </c>
      <c r="GK301" t="e">
        <f>AND(#REF!,"AAAAAH//usA=")</f>
        <v>#REF!</v>
      </c>
      <c r="GL301" t="e">
        <f>AND(#REF!,"AAAAAH//usE=")</f>
        <v>#REF!</v>
      </c>
      <c r="GM301" t="e">
        <f>AND(#REF!,"AAAAAH//usI=")</f>
        <v>#REF!</v>
      </c>
      <c r="GN301" t="e">
        <f>AND(#REF!,"AAAAAH//usM=")</f>
        <v>#REF!</v>
      </c>
      <c r="GO301" t="e">
        <f>IF(#REF!,"AAAAAH//usQ=",0)</f>
        <v>#REF!</v>
      </c>
      <c r="GP301" t="e">
        <f>AND(#REF!,"AAAAAH//usU=")</f>
        <v>#REF!</v>
      </c>
      <c r="GQ301" t="e">
        <f>AND(#REF!,"AAAAAH//usY=")</f>
        <v>#REF!</v>
      </c>
      <c r="GR301" t="e">
        <f>AND(#REF!,"AAAAAH//usc=")</f>
        <v>#REF!</v>
      </c>
      <c r="GS301" t="e">
        <f>AND(#REF!,"AAAAAH//usg=")</f>
        <v>#REF!</v>
      </c>
      <c r="GT301" t="e">
        <f>AND(#REF!,"AAAAAH//usk=")</f>
        <v>#REF!</v>
      </c>
      <c r="GU301" t="e">
        <f>AND(#REF!,"AAAAAH//uso=")</f>
        <v>#REF!</v>
      </c>
      <c r="GV301" t="e">
        <f>AND(#REF!,"AAAAAH//uss=")</f>
        <v>#REF!</v>
      </c>
      <c r="GW301" t="e">
        <f>AND(#REF!,"AAAAAH//usw=")</f>
        <v>#REF!</v>
      </c>
      <c r="GX301" t="e">
        <f>AND(#REF!,"AAAAAH//us0=")</f>
        <v>#REF!</v>
      </c>
      <c r="GY301" t="e">
        <f>AND(#REF!,"AAAAAH//us4=")</f>
        <v>#REF!</v>
      </c>
      <c r="GZ301" t="e">
        <f>IF(#REF!,"AAAAAH//us8=",0)</f>
        <v>#REF!</v>
      </c>
      <c r="HA301" t="e">
        <f>AND(#REF!,"AAAAAH//utA=")</f>
        <v>#REF!</v>
      </c>
      <c r="HB301" t="e">
        <f>AND(#REF!,"AAAAAH//utE=")</f>
        <v>#REF!</v>
      </c>
      <c r="HC301" t="e">
        <f>AND(#REF!,"AAAAAH//utI=")</f>
        <v>#REF!</v>
      </c>
      <c r="HD301" t="e">
        <f>AND(#REF!,"AAAAAH//utM=")</f>
        <v>#REF!</v>
      </c>
      <c r="HE301" t="e">
        <f>AND(#REF!,"AAAAAH//utQ=")</f>
        <v>#REF!</v>
      </c>
      <c r="HF301" t="e">
        <f>AND(#REF!,"AAAAAH//utU=")</f>
        <v>#REF!</v>
      </c>
      <c r="HG301" t="e">
        <f>AND(#REF!,"AAAAAH//utY=")</f>
        <v>#REF!</v>
      </c>
      <c r="HH301" t="e">
        <f>AND(#REF!,"AAAAAH//utc=")</f>
        <v>#REF!</v>
      </c>
      <c r="HI301" t="e">
        <f>AND(#REF!,"AAAAAH//utg=")</f>
        <v>#REF!</v>
      </c>
      <c r="HJ301" t="e">
        <f>AND(#REF!,"AAAAAH//utk=")</f>
        <v>#REF!</v>
      </c>
      <c r="HK301" t="e">
        <f>IF(#REF!,"AAAAAH//uto=",0)</f>
        <v>#REF!</v>
      </c>
      <c r="HL301" t="e">
        <f>AND(#REF!,"AAAAAH//uts=")</f>
        <v>#REF!</v>
      </c>
      <c r="HM301" t="e">
        <f>AND(#REF!,"AAAAAH//utw=")</f>
        <v>#REF!</v>
      </c>
      <c r="HN301" t="e">
        <f>AND(#REF!,"AAAAAH//ut0=")</f>
        <v>#REF!</v>
      </c>
      <c r="HO301" t="e">
        <f>AND(#REF!,"AAAAAH//ut4=")</f>
        <v>#REF!</v>
      </c>
      <c r="HP301" t="e">
        <f>AND(#REF!,"AAAAAH//ut8=")</f>
        <v>#REF!</v>
      </c>
      <c r="HQ301" t="e">
        <f>AND(#REF!,"AAAAAH//uuA=")</f>
        <v>#REF!</v>
      </c>
      <c r="HR301" t="e">
        <f>AND(#REF!,"AAAAAH//uuE=")</f>
        <v>#REF!</v>
      </c>
      <c r="HS301" t="e">
        <f>AND(#REF!,"AAAAAH//uuI=")</f>
        <v>#REF!</v>
      </c>
      <c r="HT301" t="e">
        <f>AND(#REF!,"AAAAAH//uuM=")</f>
        <v>#REF!</v>
      </c>
      <c r="HU301" t="e">
        <f>AND(#REF!,"AAAAAH//uuQ=")</f>
        <v>#REF!</v>
      </c>
      <c r="HV301" t="e">
        <f>IF(#REF!,"AAAAAH//uuU=",0)</f>
        <v>#REF!</v>
      </c>
      <c r="HW301" t="e">
        <f>AND(#REF!,"AAAAAH//uuY=")</f>
        <v>#REF!</v>
      </c>
      <c r="HX301" t="e">
        <f>AND(#REF!,"AAAAAH//uuc=")</f>
        <v>#REF!</v>
      </c>
      <c r="HY301" t="e">
        <f>AND(#REF!,"AAAAAH//uug=")</f>
        <v>#REF!</v>
      </c>
      <c r="HZ301" t="e">
        <f>AND(#REF!,"AAAAAH//uuk=")</f>
        <v>#REF!</v>
      </c>
      <c r="IA301" t="e">
        <f>AND(#REF!,"AAAAAH//uuo=")</f>
        <v>#REF!</v>
      </c>
      <c r="IB301" t="e">
        <f>AND(#REF!,"AAAAAH//uus=")</f>
        <v>#REF!</v>
      </c>
      <c r="IC301" t="e">
        <f>AND(#REF!,"AAAAAH//uuw=")</f>
        <v>#REF!</v>
      </c>
      <c r="ID301" t="e">
        <f>AND(#REF!,"AAAAAH//uu0=")</f>
        <v>#REF!</v>
      </c>
      <c r="IE301" t="e">
        <f>AND(#REF!,"AAAAAH//uu4=")</f>
        <v>#REF!</v>
      </c>
      <c r="IF301" t="e">
        <f>AND(#REF!,"AAAAAH//uu8=")</f>
        <v>#REF!</v>
      </c>
      <c r="IG301" t="e">
        <f>IF(#REF!,"AAAAAH//uvA=",0)</f>
        <v>#REF!</v>
      </c>
      <c r="IH301" t="e">
        <f>AND(#REF!,"AAAAAH//uvE=")</f>
        <v>#REF!</v>
      </c>
      <c r="II301" t="e">
        <f>AND(#REF!,"AAAAAH//uvI=")</f>
        <v>#REF!</v>
      </c>
      <c r="IJ301" t="e">
        <f>AND(#REF!,"AAAAAH//uvM=")</f>
        <v>#REF!</v>
      </c>
      <c r="IK301" t="e">
        <f>AND(#REF!,"AAAAAH//uvQ=")</f>
        <v>#REF!</v>
      </c>
      <c r="IL301" t="e">
        <f>AND(#REF!,"AAAAAH//uvU=")</f>
        <v>#REF!</v>
      </c>
      <c r="IM301" t="e">
        <f>AND(#REF!,"AAAAAH//uvY=")</f>
        <v>#REF!</v>
      </c>
      <c r="IN301" t="e">
        <f>AND(#REF!,"AAAAAH//uvc=")</f>
        <v>#REF!</v>
      </c>
      <c r="IO301" t="e">
        <f>AND(#REF!,"AAAAAH//uvg=")</f>
        <v>#REF!</v>
      </c>
      <c r="IP301" t="e">
        <f>AND(#REF!,"AAAAAH//uvk=")</f>
        <v>#REF!</v>
      </c>
      <c r="IQ301" t="e">
        <f>AND(#REF!,"AAAAAH//uvo=")</f>
        <v>#REF!</v>
      </c>
      <c r="IR301" t="e">
        <f>IF(#REF!,"AAAAAH//uvs=",0)</f>
        <v>#REF!</v>
      </c>
      <c r="IS301" t="e">
        <f>AND(#REF!,"AAAAAH//uvw=")</f>
        <v>#REF!</v>
      </c>
      <c r="IT301" t="e">
        <f>AND(#REF!,"AAAAAH//uv0=")</f>
        <v>#REF!</v>
      </c>
      <c r="IU301" t="e">
        <f>AND(#REF!,"AAAAAH//uv4=")</f>
        <v>#REF!</v>
      </c>
      <c r="IV301" t="e">
        <f>AND(#REF!,"AAAAAH//uv8=")</f>
        <v>#REF!</v>
      </c>
    </row>
    <row r="302" spans="1:256" x14ac:dyDescent="0.25">
      <c r="A302" t="e">
        <f>AND(#REF!,"AAAAAD3+UQA=")</f>
        <v>#REF!</v>
      </c>
      <c r="B302" t="e">
        <f>AND(#REF!,"AAAAAD3+UQE=")</f>
        <v>#REF!</v>
      </c>
      <c r="C302" t="e">
        <f>AND(#REF!,"AAAAAD3+UQI=")</f>
        <v>#REF!</v>
      </c>
      <c r="D302" t="e">
        <f>AND(#REF!,"AAAAAD3+UQM=")</f>
        <v>#REF!</v>
      </c>
      <c r="E302" t="e">
        <f>AND(#REF!,"AAAAAD3+UQQ=")</f>
        <v>#REF!</v>
      </c>
      <c r="F302" t="e">
        <f>AND(#REF!,"AAAAAD3+UQU=")</f>
        <v>#REF!</v>
      </c>
      <c r="G302" t="e">
        <f>IF(#REF!,"AAAAAD3+UQY=",0)</f>
        <v>#REF!</v>
      </c>
      <c r="H302" t="e">
        <f>AND(#REF!,"AAAAAD3+UQc=")</f>
        <v>#REF!</v>
      </c>
      <c r="I302" t="e">
        <f>AND(#REF!,"AAAAAD3+UQg=")</f>
        <v>#REF!</v>
      </c>
      <c r="J302" t="e">
        <f>AND(#REF!,"AAAAAD3+UQk=")</f>
        <v>#REF!</v>
      </c>
      <c r="K302" t="e">
        <f>AND(#REF!,"AAAAAD3+UQo=")</f>
        <v>#REF!</v>
      </c>
      <c r="L302" t="e">
        <f>AND(#REF!,"AAAAAD3+UQs=")</f>
        <v>#REF!</v>
      </c>
      <c r="M302" t="e">
        <f>AND(#REF!,"AAAAAD3+UQw=")</f>
        <v>#REF!</v>
      </c>
      <c r="N302" t="e">
        <f>AND(#REF!,"AAAAAD3+UQ0=")</f>
        <v>#REF!</v>
      </c>
      <c r="O302" t="e">
        <f>AND(#REF!,"AAAAAD3+UQ4=")</f>
        <v>#REF!</v>
      </c>
      <c r="P302" t="e">
        <f>AND(#REF!,"AAAAAD3+UQ8=")</f>
        <v>#REF!</v>
      </c>
      <c r="Q302" t="e">
        <f>AND(#REF!,"AAAAAD3+URA=")</f>
        <v>#REF!</v>
      </c>
      <c r="R302" t="e">
        <f>IF(#REF!,"AAAAAD3+URE=",0)</f>
        <v>#REF!</v>
      </c>
      <c r="S302" t="e">
        <f>AND(#REF!,"AAAAAD3+URI=")</f>
        <v>#REF!</v>
      </c>
      <c r="T302" t="e">
        <f>AND(#REF!,"AAAAAD3+URM=")</f>
        <v>#REF!</v>
      </c>
      <c r="U302" t="e">
        <f>AND(#REF!,"AAAAAD3+URQ=")</f>
        <v>#REF!</v>
      </c>
      <c r="V302" t="e">
        <f>AND(#REF!,"AAAAAD3+URU=")</f>
        <v>#REF!</v>
      </c>
      <c r="W302" t="e">
        <f>AND(#REF!,"AAAAAD3+URY=")</f>
        <v>#REF!</v>
      </c>
      <c r="X302" t="e">
        <f>AND(#REF!,"AAAAAD3+URc=")</f>
        <v>#REF!</v>
      </c>
      <c r="Y302" t="e">
        <f>AND(#REF!,"AAAAAD3+URg=")</f>
        <v>#REF!</v>
      </c>
      <c r="Z302" t="e">
        <f>AND(#REF!,"AAAAAD3+URk=")</f>
        <v>#REF!</v>
      </c>
      <c r="AA302" t="e">
        <f>AND(#REF!,"AAAAAD3+URo=")</f>
        <v>#REF!</v>
      </c>
      <c r="AB302" t="e">
        <f>AND(#REF!,"AAAAAD3+URs=")</f>
        <v>#REF!</v>
      </c>
      <c r="AC302" t="e">
        <f>IF(#REF!,"AAAAAD3+URw=",0)</f>
        <v>#REF!</v>
      </c>
      <c r="AD302" t="e">
        <f>AND(#REF!,"AAAAAD3+UR0=")</f>
        <v>#REF!</v>
      </c>
      <c r="AE302" t="e">
        <f>AND(#REF!,"AAAAAD3+UR4=")</f>
        <v>#REF!</v>
      </c>
      <c r="AF302" t="e">
        <f>AND(#REF!,"AAAAAD3+UR8=")</f>
        <v>#REF!</v>
      </c>
      <c r="AG302" t="e">
        <f>AND(#REF!,"AAAAAD3+USA=")</f>
        <v>#REF!</v>
      </c>
      <c r="AH302" t="e">
        <f>AND(#REF!,"AAAAAD3+USE=")</f>
        <v>#REF!</v>
      </c>
      <c r="AI302" t="e">
        <f>AND(#REF!,"AAAAAD3+USI=")</f>
        <v>#REF!</v>
      </c>
      <c r="AJ302" t="e">
        <f>AND(#REF!,"AAAAAD3+USM=")</f>
        <v>#REF!</v>
      </c>
      <c r="AK302" t="e">
        <f>AND(#REF!,"AAAAAD3+USQ=")</f>
        <v>#REF!</v>
      </c>
      <c r="AL302" t="e">
        <f>AND(#REF!,"AAAAAD3+USU=")</f>
        <v>#REF!</v>
      </c>
      <c r="AM302" t="e">
        <f>AND(#REF!,"AAAAAD3+USY=")</f>
        <v>#REF!</v>
      </c>
      <c r="AN302" t="e">
        <f>IF(#REF!,"AAAAAD3+USc=",0)</f>
        <v>#REF!</v>
      </c>
      <c r="AO302" t="e">
        <f>AND(#REF!,"AAAAAD3+USg=")</f>
        <v>#REF!</v>
      </c>
      <c r="AP302" t="e">
        <f>AND(#REF!,"AAAAAD3+USk=")</f>
        <v>#REF!</v>
      </c>
      <c r="AQ302" t="e">
        <f>AND(#REF!,"AAAAAD3+USo=")</f>
        <v>#REF!</v>
      </c>
      <c r="AR302" t="e">
        <f>AND(#REF!,"AAAAAD3+USs=")</f>
        <v>#REF!</v>
      </c>
      <c r="AS302" t="e">
        <f>AND(#REF!,"AAAAAD3+USw=")</f>
        <v>#REF!</v>
      </c>
      <c r="AT302" t="e">
        <f>AND(#REF!,"AAAAAD3+US0=")</f>
        <v>#REF!</v>
      </c>
      <c r="AU302" t="e">
        <f>AND(#REF!,"AAAAAD3+US4=")</f>
        <v>#REF!</v>
      </c>
      <c r="AV302" t="e">
        <f>AND(#REF!,"AAAAAD3+US8=")</f>
        <v>#REF!</v>
      </c>
      <c r="AW302" t="e">
        <f>AND(#REF!,"AAAAAD3+UTA=")</f>
        <v>#REF!</v>
      </c>
      <c r="AX302" t="e">
        <f>AND(#REF!,"AAAAAD3+UTE=")</f>
        <v>#REF!</v>
      </c>
      <c r="AY302" t="e">
        <f>IF(#REF!,"AAAAAD3+UTI=",0)</f>
        <v>#REF!</v>
      </c>
      <c r="AZ302" t="e">
        <f>AND(#REF!,"AAAAAD3+UTM=")</f>
        <v>#REF!</v>
      </c>
      <c r="BA302" t="e">
        <f>AND(#REF!,"AAAAAD3+UTQ=")</f>
        <v>#REF!</v>
      </c>
      <c r="BB302" t="e">
        <f>AND(#REF!,"AAAAAD3+UTU=")</f>
        <v>#REF!</v>
      </c>
      <c r="BC302" t="e">
        <f>AND(#REF!,"AAAAAD3+UTY=")</f>
        <v>#REF!</v>
      </c>
      <c r="BD302" t="e">
        <f>AND(#REF!,"AAAAAD3+UTc=")</f>
        <v>#REF!</v>
      </c>
      <c r="BE302" t="e">
        <f>AND(#REF!,"AAAAAD3+UTg=")</f>
        <v>#REF!</v>
      </c>
      <c r="BF302" t="e">
        <f>AND(#REF!,"AAAAAD3+UTk=")</f>
        <v>#REF!</v>
      </c>
      <c r="BG302" t="e">
        <f>AND(#REF!,"AAAAAD3+UTo=")</f>
        <v>#REF!</v>
      </c>
      <c r="BH302" t="e">
        <f>AND(#REF!,"AAAAAD3+UTs=")</f>
        <v>#REF!</v>
      </c>
      <c r="BI302" t="e">
        <f>AND(#REF!,"AAAAAD3+UTw=")</f>
        <v>#REF!</v>
      </c>
      <c r="BJ302" t="e">
        <f>IF(#REF!,"AAAAAD3+UT0=",0)</f>
        <v>#REF!</v>
      </c>
      <c r="BK302" t="e">
        <f>AND(#REF!,"AAAAAD3+UT4=")</f>
        <v>#REF!</v>
      </c>
      <c r="BL302" t="e">
        <f>AND(#REF!,"AAAAAD3+UT8=")</f>
        <v>#REF!</v>
      </c>
      <c r="BM302" t="e">
        <f>AND(#REF!,"AAAAAD3+UUA=")</f>
        <v>#REF!</v>
      </c>
      <c r="BN302" t="e">
        <f>AND(#REF!,"AAAAAD3+UUE=")</f>
        <v>#REF!</v>
      </c>
      <c r="BO302" t="e">
        <f>AND(#REF!,"AAAAAD3+UUI=")</f>
        <v>#REF!</v>
      </c>
      <c r="BP302" t="e">
        <f>AND(#REF!,"AAAAAD3+UUM=")</f>
        <v>#REF!</v>
      </c>
      <c r="BQ302" t="e">
        <f>AND(#REF!,"AAAAAD3+UUQ=")</f>
        <v>#REF!</v>
      </c>
      <c r="BR302" t="e">
        <f>AND(#REF!,"AAAAAD3+UUU=")</f>
        <v>#REF!</v>
      </c>
      <c r="BS302" t="e">
        <f>AND(#REF!,"AAAAAD3+UUY=")</f>
        <v>#REF!</v>
      </c>
      <c r="BT302" t="e">
        <f>AND(#REF!,"AAAAAD3+UUc=")</f>
        <v>#REF!</v>
      </c>
      <c r="BU302" t="e">
        <f>IF(#REF!,"AAAAAD3+UUg=",0)</f>
        <v>#REF!</v>
      </c>
      <c r="BV302" t="e">
        <f>AND(#REF!,"AAAAAD3+UUk=")</f>
        <v>#REF!</v>
      </c>
      <c r="BW302" t="e">
        <f>AND(#REF!,"AAAAAD3+UUo=")</f>
        <v>#REF!</v>
      </c>
      <c r="BX302" t="e">
        <f>AND(#REF!,"AAAAAD3+UUs=")</f>
        <v>#REF!</v>
      </c>
      <c r="BY302" t="e">
        <f>AND(#REF!,"AAAAAD3+UUw=")</f>
        <v>#REF!</v>
      </c>
      <c r="BZ302" t="e">
        <f>AND(#REF!,"AAAAAD3+UU0=")</f>
        <v>#REF!</v>
      </c>
      <c r="CA302" t="e">
        <f>AND(#REF!,"AAAAAD3+UU4=")</f>
        <v>#REF!</v>
      </c>
      <c r="CB302" t="e">
        <f>AND(#REF!,"AAAAAD3+UU8=")</f>
        <v>#REF!</v>
      </c>
      <c r="CC302" t="e">
        <f>AND(#REF!,"AAAAAD3+UVA=")</f>
        <v>#REF!</v>
      </c>
      <c r="CD302" t="e">
        <f>AND(#REF!,"AAAAAD3+UVE=")</f>
        <v>#REF!</v>
      </c>
      <c r="CE302" t="e">
        <f>AND(#REF!,"AAAAAD3+UVI=")</f>
        <v>#REF!</v>
      </c>
      <c r="CF302" t="e">
        <f>IF(#REF!,"AAAAAD3+UVM=",0)</f>
        <v>#REF!</v>
      </c>
      <c r="CG302" t="e">
        <f>AND(#REF!,"AAAAAD3+UVQ=")</f>
        <v>#REF!</v>
      </c>
      <c r="CH302" t="e">
        <f>AND(#REF!,"AAAAAD3+UVU=")</f>
        <v>#REF!</v>
      </c>
      <c r="CI302" t="e">
        <f>AND(#REF!,"AAAAAD3+UVY=")</f>
        <v>#REF!</v>
      </c>
      <c r="CJ302" t="e">
        <f>AND(#REF!,"AAAAAD3+UVc=")</f>
        <v>#REF!</v>
      </c>
      <c r="CK302" t="e">
        <f>AND(#REF!,"AAAAAD3+UVg=")</f>
        <v>#REF!</v>
      </c>
      <c r="CL302" t="e">
        <f>AND(#REF!,"AAAAAD3+UVk=")</f>
        <v>#REF!</v>
      </c>
      <c r="CM302" t="e">
        <f>AND(#REF!,"AAAAAD3+UVo=")</f>
        <v>#REF!</v>
      </c>
      <c r="CN302" t="e">
        <f>AND(#REF!,"AAAAAD3+UVs=")</f>
        <v>#REF!</v>
      </c>
      <c r="CO302" t="e">
        <f>AND(#REF!,"AAAAAD3+UVw=")</f>
        <v>#REF!</v>
      </c>
      <c r="CP302" t="e">
        <f>AND(#REF!,"AAAAAD3+UV0=")</f>
        <v>#REF!</v>
      </c>
      <c r="CQ302" t="e">
        <f>IF(#REF!,"AAAAAD3+UV4=",0)</f>
        <v>#REF!</v>
      </c>
      <c r="CR302" t="e">
        <f>AND(#REF!,"AAAAAD3+UV8=")</f>
        <v>#REF!</v>
      </c>
      <c r="CS302" t="e">
        <f>AND(#REF!,"AAAAAD3+UWA=")</f>
        <v>#REF!</v>
      </c>
      <c r="CT302" t="e">
        <f>AND(#REF!,"AAAAAD3+UWE=")</f>
        <v>#REF!</v>
      </c>
      <c r="CU302" t="e">
        <f>AND(#REF!,"AAAAAD3+UWI=")</f>
        <v>#REF!</v>
      </c>
      <c r="CV302" t="e">
        <f>AND(#REF!,"AAAAAD3+UWM=")</f>
        <v>#REF!</v>
      </c>
      <c r="CW302" t="e">
        <f>AND(#REF!,"AAAAAD3+UWQ=")</f>
        <v>#REF!</v>
      </c>
      <c r="CX302" t="e">
        <f>AND(#REF!,"AAAAAD3+UWU=")</f>
        <v>#REF!</v>
      </c>
      <c r="CY302" t="e">
        <f>AND(#REF!,"AAAAAD3+UWY=")</f>
        <v>#REF!</v>
      </c>
      <c r="CZ302" t="e">
        <f>AND(#REF!,"AAAAAD3+UWc=")</f>
        <v>#REF!</v>
      </c>
      <c r="DA302" t="e">
        <f>AND(#REF!,"AAAAAD3+UWg=")</f>
        <v>#REF!</v>
      </c>
      <c r="DB302" t="e">
        <f>IF(#REF!,"AAAAAD3+UWk=",0)</f>
        <v>#REF!</v>
      </c>
      <c r="DC302" t="e">
        <f>AND(#REF!,"AAAAAD3+UWo=")</f>
        <v>#REF!</v>
      </c>
      <c r="DD302" t="e">
        <f>AND(#REF!,"AAAAAD3+UWs=")</f>
        <v>#REF!</v>
      </c>
      <c r="DE302" t="e">
        <f>AND(#REF!,"AAAAAD3+UWw=")</f>
        <v>#REF!</v>
      </c>
      <c r="DF302" t="e">
        <f>AND(#REF!,"AAAAAD3+UW0=")</f>
        <v>#REF!</v>
      </c>
      <c r="DG302" t="e">
        <f>AND(#REF!,"AAAAAD3+UW4=")</f>
        <v>#REF!</v>
      </c>
      <c r="DH302" t="e">
        <f>AND(#REF!,"AAAAAD3+UW8=")</f>
        <v>#REF!</v>
      </c>
      <c r="DI302" t="e">
        <f>AND(#REF!,"AAAAAD3+UXA=")</f>
        <v>#REF!</v>
      </c>
      <c r="DJ302" t="e">
        <f>AND(#REF!,"AAAAAD3+UXE=")</f>
        <v>#REF!</v>
      </c>
      <c r="DK302" t="e">
        <f>AND(#REF!,"AAAAAD3+UXI=")</f>
        <v>#REF!</v>
      </c>
      <c r="DL302" t="e">
        <f>AND(#REF!,"AAAAAD3+UXM=")</f>
        <v>#REF!</v>
      </c>
      <c r="DM302" t="e">
        <f>IF(#REF!,"AAAAAD3+UXQ=",0)</f>
        <v>#REF!</v>
      </c>
      <c r="DN302" t="e">
        <f>AND(#REF!,"AAAAAD3+UXU=")</f>
        <v>#REF!</v>
      </c>
      <c r="DO302" t="e">
        <f>AND(#REF!,"AAAAAD3+UXY=")</f>
        <v>#REF!</v>
      </c>
      <c r="DP302" t="e">
        <f>AND(#REF!,"AAAAAD3+UXc=")</f>
        <v>#REF!</v>
      </c>
      <c r="DQ302" t="e">
        <f>AND(#REF!,"AAAAAD3+UXg=")</f>
        <v>#REF!</v>
      </c>
      <c r="DR302" t="e">
        <f>AND(#REF!,"AAAAAD3+UXk=")</f>
        <v>#REF!</v>
      </c>
      <c r="DS302" t="e">
        <f>AND(#REF!,"AAAAAD3+UXo=")</f>
        <v>#REF!</v>
      </c>
      <c r="DT302" t="e">
        <f>AND(#REF!,"AAAAAD3+UXs=")</f>
        <v>#REF!</v>
      </c>
      <c r="DU302" t="e">
        <f>AND(#REF!,"AAAAAD3+UXw=")</f>
        <v>#REF!</v>
      </c>
      <c r="DV302" t="e">
        <f>AND(#REF!,"AAAAAD3+UX0=")</f>
        <v>#REF!</v>
      </c>
      <c r="DW302" t="e">
        <f>AND(#REF!,"AAAAAD3+UX4=")</f>
        <v>#REF!</v>
      </c>
      <c r="DX302" t="e">
        <f>IF(#REF!,"AAAAAD3+UX8=",0)</f>
        <v>#REF!</v>
      </c>
      <c r="DY302" t="e">
        <f>AND(#REF!,"AAAAAD3+UYA=")</f>
        <v>#REF!</v>
      </c>
      <c r="DZ302" t="e">
        <f>AND(#REF!,"AAAAAD3+UYE=")</f>
        <v>#REF!</v>
      </c>
      <c r="EA302" t="e">
        <f>AND(#REF!,"AAAAAD3+UYI=")</f>
        <v>#REF!</v>
      </c>
      <c r="EB302" t="e">
        <f>AND(#REF!,"AAAAAD3+UYM=")</f>
        <v>#REF!</v>
      </c>
      <c r="EC302" t="e">
        <f>AND(#REF!,"AAAAAD3+UYQ=")</f>
        <v>#REF!</v>
      </c>
      <c r="ED302" t="e">
        <f>AND(#REF!,"AAAAAD3+UYU=")</f>
        <v>#REF!</v>
      </c>
      <c r="EE302" t="e">
        <f>AND(#REF!,"AAAAAD3+UYY=")</f>
        <v>#REF!</v>
      </c>
      <c r="EF302" t="e">
        <f>AND(#REF!,"AAAAAD3+UYc=")</f>
        <v>#REF!</v>
      </c>
      <c r="EG302" t="e">
        <f>AND(#REF!,"AAAAAD3+UYg=")</f>
        <v>#REF!</v>
      </c>
      <c r="EH302" t="e">
        <f>AND(#REF!,"AAAAAD3+UYk=")</f>
        <v>#REF!</v>
      </c>
      <c r="EI302" t="e">
        <f>IF(#REF!,"AAAAAD3+UYo=",0)</f>
        <v>#REF!</v>
      </c>
      <c r="EJ302" t="e">
        <f>AND(#REF!,"AAAAAD3+UYs=")</f>
        <v>#REF!</v>
      </c>
      <c r="EK302" t="e">
        <f>AND(#REF!,"AAAAAD3+UYw=")</f>
        <v>#REF!</v>
      </c>
      <c r="EL302" t="e">
        <f>AND(#REF!,"AAAAAD3+UY0=")</f>
        <v>#REF!</v>
      </c>
      <c r="EM302" t="e">
        <f>AND(#REF!,"AAAAAD3+UY4=")</f>
        <v>#REF!</v>
      </c>
      <c r="EN302" t="e">
        <f>AND(#REF!,"AAAAAD3+UY8=")</f>
        <v>#REF!</v>
      </c>
      <c r="EO302" t="e">
        <f>AND(#REF!,"AAAAAD3+UZA=")</f>
        <v>#REF!</v>
      </c>
      <c r="EP302" t="e">
        <f>AND(#REF!,"AAAAAD3+UZE=")</f>
        <v>#REF!</v>
      </c>
      <c r="EQ302" t="e">
        <f>AND(#REF!,"AAAAAD3+UZI=")</f>
        <v>#REF!</v>
      </c>
      <c r="ER302" t="e">
        <f>AND(#REF!,"AAAAAD3+UZM=")</f>
        <v>#REF!</v>
      </c>
      <c r="ES302" t="e">
        <f>AND(#REF!,"AAAAAD3+UZQ=")</f>
        <v>#REF!</v>
      </c>
      <c r="ET302" t="e">
        <f>IF(#REF!,"AAAAAD3+UZU=",0)</f>
        <v>#REF!</v>
      </c>
      <c r="EU302" t="e">
        <f>AND(#REF!,"AAAAAD3+UZY=")</f>
        <v>#REF!</v>
      </c>
      <c r="EV302" t="e">
        <f>AND(#REF!,"AAAAAD3+UZc=")</f>
        <v>#REF!</v>
      </c>
      <c r="EW302" t="e">
        <f>AND(#REF!,"AAAAAD3+UZg=")</f>
        <v>#REF!</v>
      </c>
      <c r="EX302" t="e">
        <f>AND(#REF!,"AAAAAD3+UZk=")</f>
        <v>#REF!</v>
      </c>
      <c r="EY302" t="e">
        <f>AND(#REF!,"AAAAAD3+UZo=")</f>
        <v>#REF!</v>
      </c>
      <c r="EZ302" t="e">
        <f>AND(#REF!,"AAAAAD3+UZs=")</f>
        <v>#REF!</v>
      </c>
      <c r="FA302" t="e">
        <f>AND(#REF!,"AAAAAD3+UZw=")</f>
        <v>#REF!</v>
      </c>
      <c r="FB302" t="e">
        <f>AND(#REF!,"AAAAAD3+UZ0=")</f>
        <v>#REF!</v>
      </c>
      <c r="FC302" t="e">
        <f>AND(#REF!,"AAAAAD3+UZ4=")</f>
        <v>#REF!</v>
      </c>
      <c r="FD302" t="e">
        <f>AND(#REF!,"AAAAAD3+UZ8=")</f>
        <v>#REF!</v>
      </c>
      <c r="FE302" t="e">
        <f>IF(#REF!,"AAAAAD3+UaA=",0)</f>
        <v>#REF!</v>
      </c>
      <c r="FF302" t="e">
        <f>AND(#REF!,"AAAAAD3+UaE=")</f>
        <v>#REF!</v>
      </c>
      <c r="FG302" t="e">
        <f>AND(#REF!,"AAAAAD3+UaI=")</f>
        <v>#REF!</v>
      </c>
      <c r="FH302" t="e">
        <f>AND(#REF!,"AAAAAD3+UaM=")</f>
        <v>#REF!</v>
      </c>
      <c r="FI302" t="e">
        <f>AND(#REF!,"AAAAAD3+UaQ=")</f>
        <v>#REF!</v>
      </c>
      <c r="FJ302" t="e">
        <f>AND(#REF!,"AAAAAD3+UaU=")</f>
        <v>#REF!</v>
      </c>
      <c r="FK302" t="e">
        <f>AND(#REF!,"AAAAAD3+UaY=")</f>
        <v>#REF!</v>
      </c>
      <c r="FL302" t="e">
        <f>AND(#REF!,"AAAAAD3+Uac=")</f>
        <v>#REF!</v>
      </c>
      <c r="FM302" t="e">
        <f>AND(#REF!,"AAAAAD3+Uag=")</f>
        <v>#REF!</v>
      </c>
      <c r="FN302" t="e">
        <f>AND(#REF!,"AAAAAD3+Uak=")</f>
        <v>#REF!</v>
      </c>
      <c r="FO302" t="e">
        <f>AND(#REF!,"AAAAAD3+Uao=")</f>
        <v>#REF!</v>
      </c>
      <c r="FP302" t="e">
        <f>IF(#REF!,"AAAAAD3+Uas=",0)</f>
        <v>#REF!</v>
      </c>
      <c r="FQ302" t="e">
        <f>AND(#REF!,"AAAAAD3+Uaw=")</f>
        <v>#REF!</v>
      </c>
      <c r="FR302" t="e">
        <f>AND(#REF!,"AAAAAD3+Ua0=")</f>
        <v>#REF!</v>
      </c>
      <c r="FS302" t="e">
        <f>AND(#REF!,"AAAAAD3+Ua4=")</f>
        <v>#REF!</v>
      </c>
      <c r="FT302" t="e">
        <f>AND(#REF!,"AAAAAD3+Ua8=")</f>
        <v>#REF!</v>
      </c>
      <c r="FU302" t="e">
        <f>AND(#REF!,"AAAAAD3+UbA=")</f>
        <v>#REF!</v>
      </c>
      <c r="FV302" t="e">
        <f>AND(#REF!,"AAAAAD3+UbE=")</f>
        <v>#REF!</v>
      </c>
      <c r="FW302" t="e">
        <f>AND(#REF!,"AAAAAD3+UbI=")</f>
        <v>#REF!</v>
      </c>
      <c r="FX302" t="e">
        <f>AND(#REF!,"AAAAAD3+UbM=")</f>
        <v>#REF!</v>
      </c>
      <c r="FY302" t="e">
        <f>AND(#REF!,"AAAAAD3+UbQ=")</f>
        <v>#REF!</v>
      </c>
      <c r="FZ302" t="e">
        <f>AND(#REF!,"AAAAAD3+UbU=")</f>
        <v>#REF!</v>
      </c>
      <c r="GA302" t="e">
        <f>IF(#REF!,"AAAAAD3+UbY=",0)</f>
        <v>#REF!</v>
      </c>
      <c r="GB302" t="e">
        <f>AND(#REF!,"AAAAAD3+Ubc=")</f>
        <v>#REF!</v>
      </c>
      <c r="GC302" t="e">
        <f>AND(#REF!,"AAAAAD3+Ubg=")</f>
        <v>#REF!</v>
      </c>
      <c r="GD302" t="e">
        <f>AND(#REF!,"AAAAAD3+Ubk=")</f>
        <v>#REF!</v>
      </c>
      <c r="GE302" t="e">
        <f>AND(#REF!,"AAAAAD3+Ubo=")</f>
        <v>#REF!</v>
      </c>
      <c r="GF302" t="e">
        <f>AND(#REF!,"AAAAAD3+Ubs=")</f>
        <v>#REF!</v>
      </c>
      <c r="GG302" t="e">
        <f>AND(#REF!,"AAAAAD3+Ubw=")</f>
        <v>#REF!</v>
      </c>
      <c r="GH302" t="e">
        <f>AND(#REF!,"AAAAAD3+Ub0=")</f>
        <v>#REF!</v>
      </c>
      <c r="GI302" t="e">
        <f>AND(#REF!,"AAAAAD3+Ub4=")</f>
        <v>#REF!</v>
      </c>
      <c r="GJ302" t="e">
        <f>AND(#REF!,"AAAAAD3+Ub8=")</f>
        <v>#REF!</v>
      </c>
      <c r="GK302" t="e">
        <f>AND(#REF!,"AAAAAD3+UcA=")</f>
        <v>#REF!</v>
      </c>
      <c r="GL302" t="e">
        <f>IF(#REF!,"AAAAAD3+UcE=",0)</f>
        <v>#REF!</v>
      </c>
      <c r="GM302" t="e">
        <f>AND(#REF!,"AAAAAD3+UcI=")</f>
        <v>#REF!</v>
      </c>
      <c r="GN302" t="e">
        <f>AND(#REF!,"AAAAAD3+UcM=")</f>
        <v>#REF!</v>
      </c>
      <c r="GO302" t="e">
        <f>AND(#REF!,"AAAAAD3+UcQ=")</f>
        <v>#REF!</v>
      </c>
      <c r="GP302" t="e">
        <f>AND(#REF!,"AAAAAD3+UcU=")</f>
        <v>#REF!</v>
      </c>
      <c r="GQ302" t="e">
        <f>AND(#REF!,"AAAAAD3+UcY=")</f>
        <v>#REF!</v>
      </c>
      <c r="GR302" t="e">
        <f>AND(#REF!,"AAAAAD3+Ucc=")</f>
        <v>#REF!</v>
      </c>
      <c r="GS302" t="e">
        <f>AND(#REF!,"AAAAAD3+Ucg=")</f>
        <v>#REF!</v>
      </c>
      <c r="GT302" t="e">
        <f>AND(#REF!,"AAAAAD3+Uck=")</f>
        <v>#REF!</v>
      </c>
      <c r="GU302" t="e">
        <f>AND(#REF!,"AAAAAD3+Uco=")</f>
        <v>#REF!</v>
      </c>
      <c r="GV302" t="e">
        <f>AND(#REF!,"AAAAAD3+Ucs=")</f>
        <v>#REF!</v>
      </c>
      <c r="GW302" t="e">
        <f>IF(#REF!,"AAAAAD3+Ucw=",0)</f>
        <v>#REF!</v>
      </c>
      <c r="GX302" t="e">
        <f>AND(#REF!,"AAAAAD3+Uc0=")</f>
        <v>#REF!</v>
      </c>
      <c r="GY302" t="e">
        <f>AND(#REF!,"AAAAAD3+Uc4=")</f>
        <v>#REF!</v>
      </c>
      <c r="GZ302" t="e">
        <f>AND(#REF!,"AAAAAD3+Uc8=")</f>
        <v>#REF!</v>
      </c>
      <c r="HA302" t="e">
        <f>AND(#REF!,"AAAAAD3+UdA=")</f>
        <v>#REF!</v>
      </c>
      <c r="HB302" t="e">
        <f>AND(#REF!,"AAAAAD3+UdE=")</f>
        <v>#REF!</v>
      </c>
      <c r="HC302" t="e">
        <f>AND(#REF!,"AAAAAD3+UdI=")</f>
        <v>#REF!</v>
      </c>
      <c r="HD302" t="e">
        <f>AND(#REF!,"AAAAAD3+UdM=")</f>
        <v>#REF!</v>
      </c>
      <c r="HE302" t="e">
        <f>AND(#REF!,"AAAAAD3+UdQ=")</f>
        <v>#REF!</v>
      </c>
      <c r="HF302" t="e">
        <f>AND(#REF!,"AAAAAD3+UdU=")</f>
        <v>#REF!</v>
      </c>
      <c r="HG302" t="e">
        <f>AND(#REF!,"AAAAAD3+UdY=")</f>
        <v>#REF!</v>
      </c>
      <c r="HH302" t="e">
        <f>IF(#REF!,"AAAAAD3+Udc=",0)</f>
        <v>#REF!</v>
      </c>
      <c r="HI302" t="e">
        <f>AND(#REF!,"AAAAAD3+Udg=")</f>
        <v>#REF!</v>
      </c>
      <c r="HJ302" t="e">
        <f>AND(#REF!,"AAAAAD3+Udk=")</f>
        <v>#REF!</v>
      </c>
      <c r="HK302" t="e">
        <f>AND(#REF!,"AAAAAD3+Udo=")</f>
        <v>#REF!</v>
      </c>
      <c r="HL302" t="e">
        <f>AND(#REF!,"AAAAAD3+Uds=")</f>
        <v>#REF!</v>
      </c>
      <c r="HM302" t="e">
        <f>AND(#REF!,"AAAAAD3+Udw=")</f>
        <v>#REF!</v>
      </c>
      <c r="HN302" t="e">
        <f>AND(#REF!,"AAAAAD3+Ud0=")</f>
        <v>#REF!</v>
      </c>
      <c r="HO302" t="e">
        <f>AND(#REF!,"AAAAAD3+Ud4=")</f>
        <v>#REF!</v>
      </c>
      <c r="HP302" t="e">
        <f>AND(#REF!,"AAAAAD3+Ud8=")</f>
        <v>#REF!</v>
      </c>
      <c r="HQ302" t="e">
        <f>AND(#REF!,"AAAAAD3+UeA=")</f>
        <v>#REF!</v>
      </c>
      <c r="HR302" t="e">
        <f>AND(#REF!,"AAAAAD3+UeE=")</f>
        <v>#REF!</v>
      </c>
      <c r="HS302" t="e">
        <f>IF(#REF!,"AAAAAD3+UeI=",0)</f>
        <v>#REF!</v>
      </c>
      <c r="HT302" t="e">
        <f>AND(#REF!,"AAAAAD3+UeM=")</f>
        <v>#REF!</v>
      </c>
      <c r="HU302" t="e">
        <f>AND(#REF!,"AAAAAD3+UeQ=")</f>
        <v>#REF!</v>
      </c>
      <c r="HV302" t="e">
        <f>AND(#REF!,"AAAAAD3+UeU=")</f>
        <v>#REF!</v>
      </c>
      <c r="HW302" t="e">
        <f>AND(#REF!,"AAAAAD3+UeY=")</f>
        <v>#REF!</v>
      </c>
      <c r="HX302" t="e">
        <f>AND(#REF!,"AAAAAD3+Uec=")</f>
        <v>#REF!</v>
      </c>
      <c r="HY302" t="e">
        <f>AND(#REF!,"AAAAAD3+Ueg=")</f>
        <v>#REF!</v>
      </c>
      <c r="HZ302" t="e">
        <f>AND(#REF!,"AAAAAD3+Uek=")</f>
        <v>#REF!</v>
      </c>
      <c r="IA302" t="e">
        <f>AND(#REF!,"AAAAAD3+Ueo=")</f>
        <v>#REF!</v>
      </c>
      <c r="IB302" t="e">
        <f>AND(#REF!,"AAAAAD3+Ues=")</f>
        <v>#REF!</v>
      </c>
      <c r="IC302" t="e">
        <f>AND(#REF!,"AAAAAD3+Uew=")</f>
        <v>#REF!</v>
      </c>
      <c r="ID302" t="e">
        <f>IF(#REF!,"AAAAAD3+Ue0=",0)</f>
        <v>#REF!</v>
      </c>
      <c r="IE302" t="e">
        <f>AND(#REF!,"AAAAAD3+Ue4=")</f>
        <v>#REF!</v>
      </c>
      <c r="IF302" t="e">
        <f>AND(#REF!,"AAAAAD3+Ue8=")</f>
        <v>#REF!</v>
      </c>
      <c r="IG302" t="e">
        <f>AND(#REF!,"AAAAAD3+UfA=")</f>
        <v>#REF!</v>
      </c>
      <c r="IH302" t="e">
        <f>AND(#REF!,"AAAAAD3+UfE=")</f>
        <v>#REF!</v>
      </c>
      <c r="II302" t="e">
        <f>AND(#REF!,"AAAAAD3+UfI=")</f>
        <v>#REF!</v>
      </c>
      <c r="IJ302" t="e">
        <f>AND(#REF!,"AAAAAD3+UfM=")</f>
        <v>#REF!</v>
      </c>
      <c r="IK302" t="e">
        <f>AND(#REF!,"AAAAAD3+UfQ=")</f>
        <v>#REF!</v>
      </c>
      <c r="IL302" t="e">
        <f>AND(#REF!,"AAAAAD3+UfU=")</f>
        <v>#REF!</v>
      </c>
      <c r="IM302" t="e">
        <f>AND(#REF!,"AAAAAD3+UfY=")</f>
        <v>#REF!</v>
      </c>
      <c r="IN302" t="e">
        <f>AND(#REF!,"AAAAAD3+Ufc=")</f>
        <v>#REF!</v>
      </c>
      <c r="IO302" t="e">
        <f>IF(#REF!,"AAAAAD3+Ufg=",0)</f>
        <v>#REF!</v>
      </c>
      <c r="IP302" t="e">
        <f>AND(#REF!,"AAAAAD3+Ufk=")</f>
        <v>#REF!</v>
      </c>
      <c r="IQ302" t="e">
        <f>AND(#REF!,"AAAAAD3+Ufo=")</f>
        <v>#REF!</v>
      </c>
      <c r="IR302" t="e">
        <f>AND(#REF!,"AAAAAD3+Ufs=")</f>
        <v>#REF!</v>
      </c>
      <c r="IS302" t="e">
        <f>AND(#REF!,"AAAAAD3+Ufw=")</f>
        <v>#REF!</v>
      </c>
      <c r="IT302" t="e">
        <f>AND(#REF!,"AAAAAD3+Uf0=")</f>
        <v>#REF!</v>
      </c>
      <c r="IU302" t="e">
        <f>AND(#REF!,"AAAAAD3+Uf4=")</f>
        <v>#REF!</v>
      </c>
      <c r="IV302" t="e">
        <f>AND(#REF!,"AAAAAD3+Uf8=")</f>
        <v>#REF!</v>
      </c>
    </row>
    <row r="303" spans="1:256" x14ac:dyDescent="0.25">
      <c r="A303" t="e">
        <f>AND(#REF!,"AAAAAG94oQA=")</f>
        <v>#REF!</v>
      </c>
      <c r="B303" t="e">
        <f>AND(#REF!,"AAAAAG94oQE=")</f>
        <v>#REF!</v>
      </c>
      <c r="C303" t="e">
        <f>AND(#REF!,"AAAAAG94oQI=")</f>
        <v>#REF!</v>
      </c>
      <c r="D303" t="e">
        <f>IF(#REF!,"AAAAAG94oQM=",0)</f>
        <v>#REF!</v>
      </c>
      <c r="E303" t="e">
        <f>AND(#REF!,"AAAAAG94oQQ=")</f>
        <v>#REF!</v>
      </c>
      <c r="F303" t="e">
        <f>AND(#REF!,"AAAAAG94oQU=")</f>
        <v>#REF!</v>
      </c>
      <c r="G303" t="e">
        <f>AND(#REF!,"AAAAAG94oQY=")</f>
        <v>#REF!</v>
      </c>
      <c r="H303" t="e">
        <f>AND(#REF!,"AAAAAG94oQc=")</f>
        <v>#REF!</v>
      </c>
      <c r="I303" t="e">
        <f>AND(#REF!,"AAAAAG94oQg=")</f>
        <v>#REF!</v>
      </c>
      <c r="J303" t="e">
        <f>AND(#REF!,"AAAAAG94oQk=")</f>
        <v>#REF!</v>
      </c>
      <c r="K303" t="e">
        <f>AND(#REF!,"AAAAAG94oQo=")</f>
        <v>#REF!</v>
      </c>
      <c r="L303" t="e">
        <f>AND(#REF!,"AAAAAG94oQs=")</f>
        <v>#REF!</v>
      </c>
      <c r="M303" t="e">
        <f>AND(#REF!,"AAAAAG94oQw=")</f>
        <v>#REF!</v>
      </c>
      <c r="N303" t="e">
        <f>AND(#REF!,"AAAAAG94oQ0=")</f>
        <v>#REF!</v>
      </c>
      <c r="O303" t="e">
        <f>IF(#REF!,"AAAAAG94oQ4=",0)</f>
        <v>#REF!</v>
      </c>
      <c r="P303" t="e">
        <f>AND(#REF!,"AAAAAG94oQ8=")</f>
        <v>#REF!</v>
      </c>
      <c r="Q303" t="e">
        <f>AND(#REF!,"AAAAAG94oRA=")</f>
        <v>#REF!</v>
      </c>
      <c r="R303" t="e">
        <f>AND(#REF!,"AAAAAG94oRE=")</f>
        <v>#REF!</v>
      </c>
      <c r="S303" t="e">
        <f>AND(#REF!,"AAAAAG94oRI=")</f>
        <v>#REF!</v>
      </c>
      <c r="T303" t="e">
        <f>AND(#REF!,"AAAAAG94oRM=")</f>
        <v>#REF!</v>
      </c>
      <c r="U303" t="e">
        <f>AND(#REF!,"AAAAAG94oRQ=")</f>
        <v>#REF!</v>
      </c>
      <c r="V303" t="e">
        <f>AND(#REF!,"AAAAAG94oRU=")</f>
        <v>#REF!</v>
      </c>
      <c r="W303" t="e">
        <f>AND(#REF!,"AAAAAG94oRY=")</f>
        <v>#REF!</v>
      </c>
      <c r="X303" t="e">
        <f>AND(#REF!,"AAAAAG94oRc=")</f>
        <v>#REF!</v>
      </c>
      <c r="Y303" t="e">
        <f>AND(#REF!,"AAAAAG94oRg=")</f>
        <v>#REF!</v>
      </c>
      <c r="Z303" t="e">
        <f>IF(#REF!,"AAAAAG94oRk=",0)</f>
        <v>#REF!</v>
      </c>
      <c r="AA303" t="e">
        <f>AND(#REF!,"AAAAAG94oRo=")</f>
        <v>#REF!</v>
      </c>
      <c r="AB303" t="e">
        <f>AND(#REF!,"AAAAAG94oRs=")</f>
        <v>#REF!</v>
      </c>
      <c r="AC303" t="e">
        <f>AND(#REF!,"AAAAAG94oRw=")</f>
        <v>#REF!</v>
      </c>
      <c r="AD303" t="e">
        <f>AND(#REF!,"AAAAAG94oR0=")</f>
        <v>#REF!</v>
      </c>
      <c r="AE303" t="e">
        <f>AND(#REF!,"AAAAAG94oR4=")</f>
        <v>#REF!</v>
      </c>
      <c r="AF303" t="e">
        <f>AND(#REF!,"AAAAAG94oR8=")</f>
        <v>#REF!</v>
      </c>
      <c r="AG303" t="e">
        <f>AND(#REF!,"AAAAAG94oSA=")</f>
        <v>#REF!</v>
      </c>
      <c r="AH303" t="e">
        <f>AND(#REF!,"AAAAAG94oSE=")</f>
        <v>#REF!</v>
      </c>
      <c r="AI303" t="e">
        <f>AND(#REF!,"AAAAAG94oSI=")</f>
        <v>#REF!</v>
      </c>
      <c r="AJ303" t="e">
        <f>AND(#REF!,"AAAAAG94oSM=")</f>
        <v>#REF!</v>
      </c>
      <c r="AK303" t="e">
        <f>IF(#REF!,"AAAAAG94oSQ=",0)</f>
        <v>#REF!</v>
      </c>
      <c r="AL303" t="e">
        <f>AND(#REF!,"AAAAAG94oSU=")</f>
        <v>#REF!</v>
      </c>
      <c r="AM303" t="e">
        <f>AND(#REF!,"AAAAAG94oSY=")</f>
        <v>#REF!</v>
      </c>
      <c r="AN303" t="e">
        <f>AND(#REF!,"AAAAAG94oSc=")</f>
        <v>#REF!</v>
      </c>
      <c r="AO303" t="e">
        <f>AND(#REF!,"AAAAAG94oSg=")</f>
        <v>#REF!</v>
      </c>
      <c r="AP303" t="e">
        <f>AND(#REF!,"AAAAAG94oSk=")</f>
        <v>#REF!</v>
      </c>
      <c r="AQ303" t="e">
        <f>AND(#REF!,"AAAAAG94oSo=")</f>
        <v>#REF!</v>
      </c>
      <c r="AR303" t="e">
        <f>AND(#REF!,"AAAAAG94oSs=")</f>
        <v>#REF!</v>
      </c>
      <c r="AS303" t="e">
        <f>AND(#REF!,"AAAAAG94oSw=")</f>
        <v>#REF!</v>
      </c>
      <c r="AT303" t="e">
        <f>AND(#REF!,"AAAAAG94oS0=")</f>
        <v>#REF!</v>
      </c>
      <c r="AU303" t="e">
        <f>AND(#REF!,"AAAAAG94oS4=")</f>
        <v>#REF!</v>
      </c>
      <c r="AV303" t="e">
        <f>IF(#REF!,"AAAAAG94oS8=",0)</f>
        <v>#REF!</v>
      </c>
      <c r="AW303" t="e">
        <f>AND(#REF!,"AAAAAG94oTA=")</f>
        <v>#REF!</v>
      </c>
      <c r="AX303" t="e">
        <f>AND(#REF!,"AAAAAG94oTE=")</f>
        <v>#REF!</v>
      </c>
      <c r="AY303" t="e">
        <f>AND(#REF!,"AAAAAG94oTI=")</f>
        <v>#REF!</v>
      </c>
      <c r="AZ303" t="e">
        <f>AND(#REF!,"AAAAAG94oTM=")</f>
        <v>#REF!</v>
      </c>
      <c r="BA303" t="e">
        <f>AND(#REF!,"AAAAAG94oTQ=")</f>
        <v>#REF!</v>
      </c>
      <c r="BB303" t="e">
        <f>AND(#REF!,"AAAAAG94oTU=")</f>
        <v>#REF!</v>
      </c>
      <c r="BC303" t="e">
        <f>AND(#REF!,"AAAAAG94oTY=")</f>
        <v>#REF!</v>
      </c>
      <c r="BD303" t="e">
        <f>AND(#REF!,"AAAAAG94oTc=")</f>
        <v>#REF!</v>
      </c>
      <c r="BE303" t="e">
        <f>AND(#REF!,"AAAAAG94oTg=")</f>
        <v>#REF!</v>
      </c>
      <c r="BF303" t="e">
        <f>AND(#REF!,"AAAAAG94oTk=")</f>
        <v>#REF!</v>
      </c>
      <c r="BG303" t="e">
        <f>IF(#REF!,"AAAAAG94oTo=",0)</f>
        <v>#REF!</v>
      </c>
      <c r="BH303" t="e">
        <f>AND(#REF!,"AAAAAG94oTs=")</f>
        <v>#REF!</v>
      </c>
      <c r="BI303" t="e">
        <f>AND(#REF!,"AAAAAG94oTw=")</f>
        <v>#REF!</v>
      </c>
      <c r="BJ303" t="e">
        <f>AND(#REF!,"AAAAAG94oT0=")</f>
        <v>#REF!</v>
      </c>
      <c r="BK303" t="e">
        <f>AND(#REF!,"AAAAAG94oT4=")</f>
        <v>#REF!</v>
      </c>
      <c r="BL303" t="e">
        <f>AND(#REF!,"AAAAAG94oT8=")</f>
        <v>#REF!</v>
      </c>
      <c r="BM303" t="e">
        <f>AND(#REF!,"AAAAAG94oUA=")</f>
        <v>#REF!</v>
      </c>
      <c r="BN303" t="e">
        <f>AND(#REF!,"AAAAAG94oUE=")</f>
        <v>#REF!</v>
      </c>
      <c r="BO303" t="e">
        <f>AND(#REF!,"AAAAAG94oUI=")</f>
        <v>#REF!</v>
      </c>
      <c r="BP303" t="e">
        <f>AND(#REF!,"AAAAAG94oUM=")</f>
        <v>#REF!</v>
      </c>
      <c r="BQ303" t="e">
        <f>AND(#REF!,"AAAAAG94oUQ=")</f>
        <v>#REF!</v>
      </c>
      <c r="BR303" t="e">
        <f>IF(#REF!,"AAAAAG94oUU=",0)</f>
        <v>#REF!</v>
      </c>
      <c r="BS303" t="e">
        <f>AND(#REF!,"AAAAAG94oUY=")</f>
        <v>#REF!</v>
      </c>
      <c r="BT303" t="e">
        <f>AND(#REF!,"AAAAAG94oUc=")</f>
        <v>#REF!</v>
      </c>
      <c r="BU303" t="e">
        <f>AND(#REF!,"AAAAAG94oUg=")</f>
        <v>#REF!</v>
      </c>
      <c r="BV303" t="e">
        <f>AND(#REF!,"AAAAAG94oUk=")</f>
        <v>#REF!</v>
      </c>
      <c r="BW303" t="e">
        <f>AND(#REF!,"AAAAAG94oUo=")</f>
        <v>#REF!</v>
      </c>
      <c r="BX303" t="e">
        <f>AND(#REF!,"AAAAAG94oUs=")</f>
        <v>#REF!</v>
      </c>
      <c r="BY303" t="e">
        <f>AND(#REF!,"AAAAAG94oUw=")</f>
        <v>#REF!</v>
      </c>
      <c r="BZ303" t="e">
        <f>AND(#REF!,"AAAAAG94oU0=")</f>
        <v>#REF!</v>
      </c>
      <c r="CA303" t="e">
        <f>AND(#REF!,"AAAAAG94oU4=")</f>
        <v>#REF!</v>
      </c>
      <c r="CB303" t="e">
        <f>AND(#REF!,"AAAAAG94oU8=")</f>
        <v>#REF!</v>
      </c>
      <c r="CC303" t="e">
        <f>IF(#REF!,"AAAAAG94oVA=",0)</f>
        <v>#REF!</v>
      </c>
      <c r="CD303" t="e">
        <f>AND(#REF!,"AAAAAG94oVE=")</f>
        <v>#REF!</v>
      </c>
      <c r="CE303" t="e">
        <f>AND(#REF!,"AAAAAG94oVI=")</f>
        <v>#REF!</v>
      </c>
      <c r="CF303" t="e">
        <f>AND(#REF!,"AAAAAG94oVM=")</f>
        <v>#REF!</v>
      </c>
      <c r="CG303" t="e">
        <f>AND(#REF!,"AAAAAG94oVQ=")</f>
        <v>#REF!</v>
      </c>
      <c r="CH303" t="e">
        <f>AND(#REF!,"AAAAAG94oVU=")</f>
        <v>#REF!</v>
      </c>
      <c r="CI303" t="e">
        <f>AND(#REF!,"AAAAAG94oVY=")</f>
        <v>#REF!</v>
      </c>
      <c r="CJ303" t="e">
        <f>AND(#REF!,"AAAAAG94oVc=")</f>
        <v>#REF!</v>
      </c>
      <c r="CK303" t="e">
        <f>AND(#REF!,"AAAAAG94oVg=")</f>
        <v>#REF!</v>
      </c>
      <c r="CL303" t="e">
        <f>AND(#REF!,"AAAAAG94oVk=")</f>
        <v>#REF!</v>
      </c>
      <c r="CM303" t="e">
        <f>AND(#REF!,"AAAAAG94oVo=")</f>
        <v>#REF!</v>
      </c>
      <c r="CN303" t="e">
        <f>IF(#REF!,"AAAAAG94oVs=",0)</f>
        <v>#REF!</v>
      </c>
      <c r="CO303" t="e">
        <f>AND(#REF!,"AAAAAG94oVw=")</f>
        <v>#REF!</v>
      </c>
      <c r="CP303" t="e">
        <f>AND(#REF!,"AAAAAG94oV0=")</f>
        <v>#REF!</v>
      </c>
      <c r="CQ303" t="e">
        <f>AND(#REF!,"AAAAAG94oV4=")</f>
        <v>#REF!</v>
      </c>
      <c r="CR303" t="e">
        <f>AND(#REF!,"AAAAAG94oV8=")</f>
        <v>#REF!</v>
      </c>
      <c r="CS303" t="e">
        <f>AND(#REF!,"AAAAAG94oWA=")</f>
        <v>#REF!</v>
      </c>
      <c r="CT303" t="e">
        <f>AND(#REF!,"AAAAAG94oWE=")</f>
        <v>#REF!</v>
      </c>
      <c r="CU303" t="e">
        <f>AND(#REF!,"AAAAAG94oWI=")</f>
        <v>#REF!</v>
      </c>
      <c r="CV303" t="e">
        <f>AND(#REF!,"AAAAAG94oWM=")</f>
        <v>#REF!</v>
      </c>
      <c r="CW303" t="e">
        <f>AND(#REF!,"AAAAAG94oWQ=")</f>
        <v>#REF!</v>
      </c>
      <c r="CX303" t="e">
        <f>AND(#REF!,"AAAAAG94oWU=")</f>
        <v>#REF!</v>
      </c>
      <c r="CY303" t="e">
        <f>IF(#REF!,"AAAAAG94oWY=",0)</f>
        <v>#REF!</v>
      </c>
      <c r="CZ303" t="e">
        <f>AND(#REF!,"AAAAAG94oWc=")</f>
        <v>#REF!</v>
      </c>
      <c r="DA303" t="e">
        <f>AND(#REF!,"AAAAAG94oWg=")</f>
        <v>#REF!</v>
      </c>
      <c r="DB303" t="e">
        <f>AND(#REF!,"AAAAAG94oWk=")</f>
        <v>#REF!</v>
      </c>
      <c r="DC303" t="e">
        <f>AND(#REF!,"AAAAAG94oWo=")</f>
        <v>#REF!</v>
      </c>
      <c r="DD303" t="e">
        <f>AND(#REF!,"AAAAAG94oWs=")</f>
        <v>#REF!</v>
      </c>
      <c r="DE303" t="e">
        <f>AND(#REF!,"AAAAAG94oWw=")</f>
        <v>#REF!</v>
      </c>
      <c r="DF303" t="e">
        <f>AND(#REF!,"AAAAAG94oW0=")</f>
        <v>#REF!</v>
      </c>
      <c r="DG303" t="e">
        <f>AND(#REF!,"AAAAAG94oW4=")</f>
        <v>#REF!</v>
      </c>
      <c r="DH303" t="e">
        <f>AND(#REF!,"AAAAAG94oW8=")</f>
        <v>#REF!</v>
      </c>
      <c r="DI303" t="e">
        <f>AND(#REF!,"AAAAAG94oXA=")</f>
        <v>#REF!</v>
      </c>
      <c r="DJ303" t="e">
        <f>IF(#REF!,"AAAAAG94oXE=",0)</f>
        <v>#REF!</v>
      </c>
      <c r="DK303" t="e">
        <f>AND(#REF!,"AAAAAG94oXI=")</f>
        <v>#REF!</v>
      </c>
      <c r="DL303" t="e">
        <f>AND(#REF!,"AAAAAG94oXM=")</f>
        <v>#REF!</v>
      </c>
      <c r="DM303" t="e">
        <f>AND(#REF!,"AAAAAG94oXQ=")</f>
        <v>#REF!</v>
      </c>
      <c r="DN303" t="e">
        <f>AND(#REF!,"AAAAAG94oXU=")</f>
        <v>#REF!</v>
      </c>
      <c r="DO303" t="e">
        <f>AND(#REF!,"AAAAAG94oXY=")</f>
        <v>#REF!</v>
      </c>
      <c r="DP303" t="e">
        <f>AND(#REF!,"AAAAAG94oXc=")</f>
        <v>#REF!</v>
      </c>
      <c r="DQ303" t="e">
        <f>AND(#REF!,"AAAAAG94oXg=")</f>
        <v>#REF!</v>
      </c>
      <c r="DR303" t="e">
        <f>AND(#REF!,"AAAAAG94oXk=")</f>
        <v>#REF!</v>
      </c>
      <c r="DS303" t="e">
        <f>AND(#REF!,"AAAAAG94oXo=")</f>
        <v>#REF!</v>
      </c>
      <c r="DT303" t="e">
        <f>AND(#REF!,"AAAAAG94oXs=")</f>
        <v>#REF!</v>
      </c>
      <c r="DU303" t="e">
        <f>IF(#REF!,"AAAAAG94oXw=",0)</f>
        <v>#REF!</v>
      </c>
      <c r="DV303" t="e">
        <f>AND(#REF!,"AAAAAG94oX0=")</f>
        <v>#REF!</v>
      </c>
      <c r="DW303" t="e">
        <f>AND(#REF!,"AAAAAG94oX4=")</f>
        <v>#REF!</v>
      </c>
      <c r="DX303" t="e">
        <f>AND(#REF!,"AAAAAG94oX8=")</f>
        <v>#REF!</v>
      </c>
      <c r="DY303" t="e">
        <f>AND(#REF!,"AAAAAG94oYA=")</f>
        <v>#REF!</v>
      </c>
      <c r="DZ303" t="e">
        <f>AND(#REF!,"AAAAAG94oYE=")</f>
        <v>#REF!</v>
      </c>
      <c r="EA303" t="e">
        <f>AND(#REF!,"AAAAAG94oYI=")</f>
        <v>#REF!</v>
      </c>
      <c r="EB303" t="e">
        <f>AND(#REF!,"AAAAAG94oYM=")</f>
        <v>#REF!</v>
      </c>
      <c r="EC303" t="e">
        <f>AND(#REF!,"AAAAAG94oYQ=")</f>
        <v>#REF!</v>
      </c>
      <c r="ED303" t="e">
        <f>AND(#REF!,"AAAAAG94oYU=")</f>
        <v>#REF!</v>
      </c>
      <c r="EE303" t="e">
        <f>AND(#REF!,"AAAAAG94oYY=")</f>
        <v>#REF!</v>
      </c>
      <c r="EF303" t="e">
        <f>IF(#REF!,"AAAAAG94oYc=",0)</f>
        <v>#REF!</v>
      </c>
      <c r="EG303" t="e">
        <f>AND(#REF!,"AAAAAG94oYg=")</f>
        <v>#REF!</v>
      </c>
      <c r="EH303" t="e">
        <f>AND(#REF!,"AAAAAG94oYk=")</f>
        <v>#REF!</v>
      </c>
      <c r="EI303" t="e">
        <f>AND(#REF!,"AAAAAG94oYo=")</f>
        <v>#REF!</v>
      </c>
      <c r="EJ303" t="e">
        <f>AND(#REF!,"AAAAAG94oYs=")</f>
        <v>#REF!</v>
      </c>
      <c r="EK303" t="e">
        <f>AND(#REF!,"AAAAAG94oYw=")</f>
        <v>#REF!</v>
      </c>
      <c r="EL303" t="e">
        <f>AND(#REF!,"AAAAAG94oY0=")</f>
        <v>#REF!</v>
      </c>
      <c r="EM303" t="e">
        <f>AND(#REF!,"AAAAAG94oY4=")</f>
        <v>#REF!</v>
      </c>
      <c r="EN303" t="e">
        <f>AND(#REF!,"AAAAAG94oY8=")</f>
        <v>#REF!</v>
      </c>
      <c r="EO303" t="e">
        <f>AND(#REF!,"AAAAAG94oZA=")</f>
        <v>#REF!</v>
      </c>
      <c r="EP303" t="e">
        <f>AND(#REF!,"AAAAAG94oZE=")</f>
        <v>#REF!</v>
      </c>
      <c r="EQ303" t="e">
        <f>IF(#REF!,"AAAAAG94oZI=",0)</f>
        <v>#REF!</v>
      </c>
      <c r="ER303" t="e">
        <f>AND(#REF!,"AAAAAG94oZM=")</f>
        <v>#REF!</v>
      </c>
      <c r="ES303" t="e">
        <f>AND(#REF!,"AAAAAG94oZQ=")</f>
        <v>#REF!</v>
      </c>
      <c r="ET303" t="e">
        <f>AND(#REF!,"AAAAAG94oZU=")</f>
        <v>#REF!</v>
      </c>
      <c r="EU303" t="e">
        <f>AND(#REF!,"AAAAAG94oZY=")</f>
        <v>#REF!</v>
      </c>
      <c r="EV303" t="e">
        <f>AND(#REF!,"AAAAAG94oZc=")</f>
        <v>#REF!</v>
      </c>
      <c r="EW303" t="e">
        <f>AND(#REF!,"AAAAAG94oZg=")</f>
        <v>#REF!</v>
      </c>
      <c r="EX303" t="e">
        <f>AND(#REF!,"AAAAAG94oZk=")</f>
        <v>#REF!</v>
      </c>
      <c r="EY303" t="e">
        <f>AND(#REF!,"AAAAAG94oZo=")</f>
        <v>#REF!</v>
      </c>
      <c r="EZ303" t="e">
        <f>AND(#REF!,"AAAAAG94oZs=")</f>
        <v>#REF!</v>
      </c>
      <c r="FA303" t="e">
        <f>AND(#REF!,"AAAAAG94oZw=")</f>
        <v>#REF!</v>
      </c>
      <c r="FB303" t="e">
        <f>IF(#REF!,"AAAAAG94oZ0=",0)</f>
        <v>#REF!</v>
      </c>
      <c r="FC303" t="e">
        <f>AND(#REF!,"AAAAAG94oZ4=")</f>
        <v>#REF!</v>
      </c>
      <c r="FD303" t="e">
        <f>AND(#REF!,"AAAAAG94oZ8=")</f>
        <v>#REF!</v>
      </c>
      <c r="FE303" t="e">
        <f>AND(#REF!,"AAAAAG94oaA=")</f>
        <v>#REF!</v>
      </c>
      <c r="FF303" t="e">
        <f>AND(#REF!,"AAAAAG94oaE=")</f>
        <v>#REF!</v>
      </c>
      <c r="FG303" t="e">
        <f>AND(#REF!,"AAAAAG94oaI=")</f>
        <v>#REF!</v>
      </c>
      <c r="FH303" t="e">
        <f>AND(#REF!,"AAAAAG94oaM=")</f>
        <v>#REF!</v>
      </c>
      <c r="FI303" t="e">
        <f>AND(#REF!,"AAAAAG94oaQ=")</f>
        <v>#REF!</v>
      </c>
      <c r="FJ303" t="e">
        <f>AND(#REF!,"AAAAAG94oaU=")</f>
        <v>#REF!</v>
      </c>
      <c r="FK303" t="e">
        <f>AND(#REF!,"AAAAAG94oaY=")</f>
        <v>#REF!</v>
      </c>
      <c r="FL303" t="e">
        <f>AND(#REF!,"AAAAAG94oac=")</f>
        <v>#REF!</v>
      </c>
      <c r="FM303" t="e">
        <f>IF(#REF!,"AAAAAG94oag=",0)</f>
        <v>#REF!</v>
      </c>
      <c r="FN303" t="e">
        <f>AND(#REF!,"AAAAAG94oak=")</f>
        <v>#REF!</v>
      </c>
      <c r="FO303" t="e">
        <f>AND(#REF!,"AAAAAG94oao=")</f>
        <v>#REF!</v>
      </c>
      <c r="FP303" t="e">
        <f>AND(#REF!,"AAAAAG94oas=")</f>
        <v>#REF!</v>
      </c>
      <c r="FQ303" t="e">
        <f>AND(#REF!,"AAAAAG94oaw=")</f>
        <v>#REF!</v>
      </c>
      <c r="FR303" t="e">
        <f>AND(#REF!,"AAAAAG94oa0=")</f>
        <v>#REF!</v>
      </c>
      <c r="FS303" t="e">
        <f>AND(#REF!,"AAAAAG94oa4=")</f>
        <v>#REF!</v>
      </c>
      <c r="FT303" t="e">
        <f>AND(#REF!,"AAAAAG94oa8=")</f>
        <v>#REF!</v>
      </c>
      <c r="FU303" t="e">
        <f>AND(#REF!,"AAAAAG94obA=")</f>
        <v>#REF!</v>
      </c>
      <c r="FV303" t="e">
        <f>AND(#REF!,"AAAAAG94obE=")</f>
        <v>#REF!</v>
      </c>
      <c r="FW303" t="e">
        <f>AND(#REF!,"AAAAAG94obI=")</f>
        <v>#REF!</v>
      </c>
      <c r="FX303" t="e">
        <f>IF(#REF!,"AAAAAG94obM=",0)</f>
        <v>#REF!</v>
      </c>
      <c r="FY303" t="e">
        <f>AND(#REF!,"AAAAAG94obQ=")</f>
        <v>#REF!</v>
      </c>
      <c r="FZ303" t="e">
        <f>AND(#REF!,"AAAAAG94obU=")</f>
        <v>#REF!</v>
      </c>
      <c r="GA303" t="e">
        <f>AND(#REF!,"AAAAAG94obY=")</f>
        <v>#REF!</v>
      </c>
      <c r="GB303" t="e">
        <f>AND(#REF!,"AAAAAG94obc=")</f>
        <v>#REF!</v>
      </c>
      <c r="GC303" t="e">
        <f>AND(#REF!,"AAAAAG94obg=")</f>
        <v>#REF!</v>
      </c>
      <c r="GD303" t="e">
        <f>AND(#REF!,"AAAAAG94obk=")</f>
        <v>#REF!</v>
      </c>
      <c r="GE303" t="e">
        <f>AND(#REF!,"AAAAAG94obo=")</f>
        <v>#REF!</v>
      </c>
      <c r="GF303" t="e">
        <f>AND(#REF!,"AAAAAG94obs=")</f>
        <v>#REF!</v>
      </c>
      <c r="GG303" t="e">
        <f>AND(#REF!,"AAAAAG94obw=")</f>
        <v>#REF!</v>
      </c>
      <c r="GH303" t="e">
        <f>AND(#REF!,"AAAAAG94ob0=")</f>
        <v>#REF!</v>
      </c>
      <c r="GI303" t="e">
        <f>IF(#REF!,"AAAAAG94ob4=",0)</f>
        <v>#REF!</v>
      </c>
      <c r="GJ303" t="e">
        <f>AND(#REF!,"AAAAAG94ob8=")</f>
        <v>#REF!</v>
      </c>
      <c r="GK303" t="e">
        <f>AND(#REF!,"AAAAAG94ocA=")</f>
        <v>#REF!</v>
      </c>
      <c r="GL303" t="e">
        <f>AND(#REF!,"AAAAAG94ocE=")</f>
        <v>#REF!</v>
      </c>
      <c r="GM303" t="e">
        <f>AND(#REF!,"AAAAAG94ocI=")</f>
        <v>#REF!</v>
      </c>
      <c r="GN303" t="e">
        <f>AND(#REF!,"AAAAAG94ocM=")</f>
        <v>#REF!</v>
      </c>
      <c r="GO303" t="e">
        <f>AND(#REF!,"AAAAAG94ocQ=")</f>
        <v>#REF!</v>
      </c>
      <c r="GP303" t="e">
        <f>AND(#REF!,"AAAAAG94ocU=")</f>
        <v>#REF!</v>
      </c>
      <c r="GQ303" t="e">
        <f>AND(#REF!,"AAAAAG94ocY=")</f>
        <v>#REF!</v>
      </c>
      <c r="GR303" t="e">
        <f>AND(#REF!,"AAAAAG94occ=")</f>
        <v>#REF!</v>
      </c>
      <c r="GS303" t="e">
        <f>AND(#REF!,"AAAAAG94ocg=")</f>
        <v>#REF!</v>
      </c>
      <c r="GT303" t="e">
        <f>IF(#REF!,"AAAAAG94ock=",0)</f>
        <v>#REF!</v>
      </c>
      <c r="GU303" t="e">
        <f>AND(#REF!,"AAAAAG94oco=")</f>
        <v>#REF!</v>
      </c>
      <c r="GV303" t="e">
        <f>AND(#REF!,"AAAAAG94ocs=")</f>
        <v>#REF!</v>
      </c>
      <c r="GW303" t="e">
        <f>AND(#REF!,"AAAAAG94ocw=")</f>
        <v>#REF!</v>
      </c>
      <c r="GX303" t="e">
        <f>AND(#REF!,"AAAAAG94oc0=")</f>
        <v>#REF!</v>
      </c>
      <c r="GY303" t="e">
        <f>AND(#REF!,"AAAAAG94oc4=")</f>
        <v>#REF!</v>
      </c>
      <c r="GZ303" t="e">
        <f>AND(#REF!,"AAAAAG94oc8=")</f>
        <v>#REF!</v>
      </c>
      <c r="HA303" t="e">
        <f>AND(#REF!,"AAAAAG94odA=")</f>
        <v>#REF!</v>
      </c>
      <c r="HB303" t="e">
        <f>AND(#REF!,"AAAAAG94odE=")</f>
        <v>#REF!</v>
      </c>
      <c r="HC303" t="e">
        <f>AND(#REF!,"AAAAAG94odI=")</f>
        <v>#REF!</v>
      </c>
      <c r="HD303" t="e">
        <f>AND(#REF!,"AAAAAG94odM=")</f>
        <v>#REF!</v>
      </c>
      <c r="HE303" t="e">
        <f>IF(#REF!,"AAAAAG94odQ=",0)</f>
        <v>#REF!</v>
      </c>
      <c r="HF303" t="e">
        <f>AND(#REF!,"AAAAAG94odU=")</f>
        <v>#REF!</v>
      </c>
      <c r="HG303" t="e">
        <f>AND(#REF!,"AAAAAG94odY=")</f>
        <v>#REF!</v>
      </c>
      <c r="HH303" t="e">
        <f>AND(#REF!,"AAAAAG94odc=")</f>
        <v>#REF!</v>
      </c>
      <c r="HI303" t="e">
        <f>AND(#REF!,"AAAAAG94odg=")</f>
        <v>#REF!</v>
      </c>
      <c r="HJ303" t="e">
        <f>AND(#REF!,"AAAAAG94odk=")</f>
        <v>#REF!</v>
      </c>
      <c r="HK303" t="e">
        <f>AND(#REF!,"AAAAAG94odo=")</f>
        <v>#REF!</v>
      </c>
      <c r="HL303" t="e">
        <f>AND(#REF!,"AAAAAG94ods=")</f>
        <v>#REF!</v>
      </c>
      <c r="HM303" t="e">
        <f>AND(#REF!,"AAAAAG94odw=")</f>
        <v>#REF!</v>
      </c>
      <c r="HN303" t="e">
        <f>AND(#REF!,"AAAAAG94od0=")</f>
        <v>#REF!</v>
      </c>
      <c r="HO303" t="e">
        <f>AND(#REF!,"AAAAAG94od4=")</f>
        <v>#REF!</v>
      </c>
      <c r="HP303" t="e">
        <f>IF(#REF!,"AAAAAG94od8=",0)</f>
        <v>#REF!</v>
      </c>
      <c r="HQ303" t="e">
        <f>AND(#REF!,"AAAAAG94oeA=")</f>
        <v>#REF!</v>
      </c>
      <c r="HR303" t="e">
        <f>AND(#REF!,"AAAAAG94oeE=")</f>
        <v>#REF!</v>
      </c>
      <c r="HS303" t="e">
        <f>AND(#REF!,"AAAAAG94oeI=")</f>
        <v>#REF!</v>
      </c>
      <c r="HT303" t="e">
        <f>AND(#REF!,"AAAAAG94oeM=")</f>
        <v>#REF!</v>
      </c>
      <c r="HU303" t="e">
        <f>AND(#REF!,"AAAAAG94oeQ=")</f>
        <v>#REF!</v>
      </c>
      <c r="HV303" t="e">
        <f>AND(#REF!,"AAAAAG94oeU=")</f>
        <v>#REF!</v>
      </c>
      <c r="HW303" t="e">
        <f>AND(#REF!,"AAAAAG94oeY=")</f>
        <v>#REF!</v>
      </c>
      <c r="HX303" t="e">
        <f>AND(#REF!,"AAAAAG94oec=")</f>
        <v>#REF!</v>
      </c>
      <c r="HY303" t="e">
        <f>AND(#REF!,"AAAAAG94oeg=")</f>
        <v>#REF!</v>
      </c>
      <c r="HZ303" t="e">
        <f>AND(#REF!,"AAAAAG94oek=")</f>
        <v>#REF!</v>
      </c>
      <c r="IA303" t="e">
        <f>IF(#REF!,"AAAAAG94oeo=",0)</f>
        <v>#REF!</v>
      </c>
      <c r="IB303" t="e">
        <f>AND(#REF!,"AAAAAG94oes=")</f>
        <v>#REF!</v>
      </c>
      <c r="IC303" t="e">
        <f>AND(#REF!,"AAAAAG94oew=")</f>
        <v>#REF!</v>
      </c>
      <c r="ID303" t="e">
        <f>AND(#REF!,"AAAAAG94oe0=")</f>
        <v>#REF!</v>
      </c>
      <c r="IE303" t="e">
        <f>AND(#REF!,"AAAAAG94oe4=")</f>
        <v>#REF!</v>
      </c>
      <c r="IF303" t="e">
        <f>AND(#REF!,"AAAAAG94oe8=")</f>
        <v>#REF!</v>
      </c>
      <c r="IG303" t="e">
        <f>AND(#REF!,"AAAAAG94ofA=")</f>
        <v>#REF!</v>
      </c>
      <c r="IH303" t="e">
        <f>AND(#REF!,"AAAAAG94ofE=")</f>
        <v>#REF!</v>
      </c>
      <c r="II303" t="e">
        <f>AND(#REF!,"AAAAAG94ofI=")</f>
        <v>#REF!</v>
      </c>
      <c r="IJ303" t="e">
        <f>AND(#REF!,"AAAAAG94ofM=")</f>
        <v>#REF!</v>
      </c>
      <c r="IK303" t="e">
        <f>AND(#REF!,"AAAAAG94ofQ=")</f>
        <v>#REF!</v>
      </c>
      <c r="IL303" t="e">
        <f>IF(#REF!,"AAAAAG94ofU=",0)</f>
        <v>#REF!</v>
      </c>
      <c r="IM303" t="e">
        <f>AND(#REF!,"AAAAAG94ofY=")</f>
        <v>#REF!</v>
      </c>
      <c r="IN303" t="e">
        <f>AND(#REF!,"AAAAAG94ofc=")</f>
        <v>#REF!</v>
      </c>
      <c r="IO303" t="e">
        <f>AND(#REF!,"AAAAAG94ofg=")</f>
        <v>#REF!</v>
      </c>
      <c r="IP303" t="e">
        <f>AND(#REF!,"AAAAAG94ofk=")</f>
        <v>#REF!</v>
      </c>
      <c r="IQ303" t="e">
        <f>AND(#REF!,"AAAAAG94ofo=")</f>
        <v>#REF!</v>
      </c>
      <c r="IR303" t="e">
        <f>AND(#REF!,"AAAAAG94ofs=")</f>
        <v>#REF!</v>
      </c>
      <c r="IS303" t="e">
        <f>AND(#REF!,"AAAAAG94ofw=")</f>
        <v>#REF!</v>
      </c>
      <c r="IT303" t="e">
        <f>AND(#REF!,"AAAAAG94of0=")</f>
        <v>#REF!</v>
      </c>
      <c r="IU303" t="e">
        <f>AND(#REF!,"AAAAAG94of4=")</f>
        <v>#REF!</v>
      </c>
      <c r="IV303" t="e">
        <f>AND(#REF!,"AAAAAG94of8=")</f>
        <v>#REF!</v>
      </c>
    </row>
    <row r="304" spans="1:256" x14ac:dyDescent="0.25">
      <c r="A304" t="e">
        <f>IF(#REF!,"AAAAAHP43QA=",0)</f>
        <v>#REF!</v>
      </c>
      <c r="B304" t="e">
        <f>AND(#REF!,"AAAAAHP43QE=")</f>
        <v>#REF!</v>
      </c>
      <c r="C304" t="e">
        <f>AND(#REF!,"AAAAAHP43QI=")</f>
        <v>#REF!</v>
      </c>
      <c r="D304" t="e">
        <f>AND(#REF!,"AAAAAHP43QM=")</f>
        <v>#REF!</v>
      </c>
      <c r="E304" t="e">
        <f>AND(#REF!,"AAAAAHP43QQ=")</f>
        <v>#REF!</v>
      </c>
      <c r="F304" t="e">
        <f>AND(#REF!,"AAAAAHP43QU=")</f>
        <v>#REF!</v>
      </c>
      <c r="G304" t="e">
        <f>AND(#REF!,"AAAAAHP43QY=")</f>
        <v>#REF!</v>
      </c>
      <c r="H304" t="e">
        <f>AND(#REF!,"AAAAAHP43Qc=")</f>
        <v>#REF!</v>
      </c>
      <c r="I304" t="e">
        <f>AND(#REF!,"AAAAAHP43Qg=")</f>
        <v>#REF!</v>
      </c>
      <c r="J304" t="e">
        <f>AND(#REF!,"AAAAAHP43Qk=")</f>
        <v>#REF!</v>
      </c>
      <c r="K304" t="e">
        <f>AND(#REF!,"AAAAAHP43Qo=")</f>
        <v>#REF!</v>
      </c>
      <c r="L304" t="e">
        <f>IF(#REF!,"AAAAAHP43Qs=",0)</f>
        <v>#REF!</v>
      </c>
      <c r="M304" t="e">
        <f>AND(#REF!,"AAAAAHP43Qw=")</f>
        <v>#REF!</v>
      </c>
      <c r="N304" t="e">
        <f>AND(#REF!,"AAAAAHP43Q0=")</f>
        <v>#REF!</v>
      </c>
      <c r="O304" t="e">
        <f>AND(#REF!,"AAAAAHP43Q4=")</f>
        <v>#REF!</v>
      </c>
      <c r="P304" t="e">
        <f>AND(#REF!,"AAAAAHP43Q8=")</f>
        <v>#REF!</v>
      </c>
      <c r="Q304" t="e">
        <f>AND(#REF!,"AAAAAHP43RA=")</f>
        <v>#REF!</v>
      </c>
      <c r="R304" t="e">
        <f>AND(#REF!,"AAAAAHP43RE=")</f>
        <v>#REF!</v>
      </c>
      <c r="S304" t="e">
        <f>AND(#REF!,"AAAAAHP43RI=")</f>
        <v>#REF!</v>
      </c>
      <c r="T304" t="e">
        <f>AND(#REF!,"AAAAAHP43RM=")</f>
        <v>#REF!</v>
      </c>
      <c r="U304" t="e">
        <f>AND(#REF!,"AAAAAHP43RQ=")</f>
        <v>#REF!</v>
      </c>
      <c r="V304" t="e">
        <f>AND(#REF!,"AAAAAHP43RU=")</f>
        <v>#REF!</v>
      </c>
      <c r="W304" t="e">
        <f>IF(#REF!,"AAAAAHP43RY=",0)</f>
        <v>#REF!</v>
      </c>
      <c r="X304" t="e">
        <f>AND(#REF!,"AAAAAHP43Rc=")</f>
        <v>#REF!</v>
      </c>
      <c r="Y304" t="e">
        <f>AND(#REF!,"AAAAAHP43Rg=")</f>
        <v>#REF!</v>
      </c>
      <c r="Z304" t="e">
        <f>AND(#REF!,"AAAAAHP43Rk=")</f>
        <v>#REF!</v>
      </c>
      <c r="AA304" t="e">
        <f>AND(#REF!,"AAAAAHP43Ro=")</f>
        <v>#REF!</v>
      </c>
      <c r="AB304" t="e">
        <f>AND(#REF!,"AAAAAHP43Rs=")</f>
        <v>#REF!</v>
      </c>
      <c r="AC304" t="e">
        <f>AND(#REF!,"AAAAAHP43Rw=")</f>
        <v>#REF!</v>
      </c>
      <c r="AD304" t="e">
        <f>AND(#REF!,"AAAAAHP43R0=")</f>
        <v>#REF!</v>
      </c>
      <c r="AE304" t="e">
        <f>AND(#REF!,"AAAAAHP43R4=")</f>
        <v>#REF!</v>
      </c>
      <c r="AF304" t="e">
        <f>AND(#REF!,"AAAAAHP43R8=")</f>
        <v>#REF!</v>
      </c>
      <c r="AG304" t="e">
        <f>AND(#REF!,"AAAAAHP43SA=")</f>
        <v>#REF!</v>
      </c>
      <c r="AH304" t="e">
        <f>IF(#REF!,"AAAAAHP43SE=",0)</f>
        <v>#REF!</v>
      </c>
      <c r="AI304" t="e">
        <f>AND(#REF!,"AAAAAHP43SI=")</f>
        <v>#REF!</v>
      </c>
      <c r="AJ304" t="e">
        <f>AND(#REF!,"AAAAAHP43SM=")</f>
        <v>#REF!</v>
      </c>
      <c r="AK304" t="e">
        <f>AND(#REF!,"AAAAAHP43SQ=")</f>
        <v>#REF!</v>
      </c>
      <c r="AL304" t="e">
        <f>AND(#REF!,"AAAAAHP43SU=")</f>
        <v>#REF!</v>
      </c>
      <c r="AM304" t="e">
        <f>AND(#REF!,"AAAAAHP43SY=")</f>
        <v>#REF!</v>
      </c>
      <c r="AN304" t="e">
        <f>AND(#REF!,"AAAAAHP43Sc=")</f>
        <v>#REF!</v>
      </c>
      <c r="AO304" t="e">
        <f>AND(#REF!,"AAAAAHP43Sg=")</f>
        <v>#REF!</v>
      </c>
      <c r="AP304" t="e">
        <f>AND(#REF!,"AAAAAHP43Sk=")</f>
        <v>#REF!</v>
      </c>
      <c r="AQ304" t="e">
        <f>AND(#REF!,"AAAAAHP43So=")</f>
        <v>#REF!</v>
      </c>
      <c r="AR304" t="e">
        <f>AND(#REF!,"AAAAAHP43Ss=")</f>
        <v>#REF!</v>
      </c>
      <c r="AS304" t="e">
        <f>IF(#REF!,"AAAAAHP43Sw=",0)</f>
        <v>#REF!</v>
      </c>
      <c r="AT304" t="e">
        <f>AND(#REF!,"AAAAAHP43S0=")</f>
        <v>#REF!</v>
      </c>
      <c r="AU304" t="e">
        <f>AND(#REF!,"AAAAAHP43S4=")</f>
        <v>#REF!</v>
      </c>
      <c r="AV304" t="e">
        <f>AND(#REF!,"AAAAAHP43S8=")</f>
        <v>#REF!</v>
      </c>
      <c r="AW304" t="e">
        <f>AND(#REF!,"AAAAAHP43TA=")</f>
        <v>#REF!</v>
      </c>
      <c r="AX304" t="e">
        <f>AND(#REF!,"AAAAAHP43TE=")</f>
        <v>#REF!</v>
      </c>
      <c r="AY304" t="e">
        <f>AND(#REF!,"AAAAAHP43TI=")</f>
        <v>#REF!</v>
      </c>
      <c r="AZ304" t="e">
        <f>AND(#REF!,"AAAAAHP43TM=")</f>
        <v>#REF!</v>
      </c>
      <c r="BA304" t="e">
        <f>AND(#REF!,"AAAAAHP43TQ=")</f>
        <v>#REF!</v>
      </c>
      <c r="BB304" t="e">
        <f>AND(#REF!,"AAAAAHP43TU=")</f>
        <v>#REF!</v>
      </c>
      <c r="BC304" t="e">
        <f>AND(#REF!,"AAAAAHP43TY=")</f>
        <v>#REF!</v>
      </c>
      <c r="BD304" t="e">
        <f>IF(#REF!,"AAAAAHP43Tc=",0)</f>
        <v>#REF!</v>
      </c>
      <c r="BE304" t="e">
        <f>AND(#REF!,"AAAAAHP43Tg=")</f>
        <v>#REF!</v>
      </c>
      <c r="BF304" t="e">
        <f>AND(#REF!,"AAAAAHP43Tk=")</f>
        <v>#REF!</v>
      </c>
      <c r="BG304" t="e">
        <f>AND(#REF!,"AAAAAHP43To=")</f>
        <v>#REF!</v>
      </c>
      <c r="BH304" t="e">
        <f>AND(#REF!,"AAAAAHP43Ts=")</f>
        <v>#REF!</v>
      </c>
      <c r="BI304" t="e">
        <f>AND(#REF!,"AAAAAHP43Tw=")</f>
        <v>#REF!</v>
      </c>
      <c r="BJ304" t="e">
        <f>AND(#REF!,"AAAAAHP43T0=")</f>
        <v>#REF!</v>
      </c>
      <c r="BK304" t="e">
        <f>AND(#REF!,"AAAAAHP43T4=")</f>
        <v>#REF!</v>
      </c>
      <c r="BL304" t="e">
        <f>AND(#REF!,"AAAAAHP43T8=")</f>
        <v>#REF!</v>
      </c>
      <c r="BM304" t="e">
        <f>AND(#REF!,"AAAAAHP43UA=")</f>
        <v>#REF!</v>
      </c>
      <c r="BN304" t="e">
        <f>AND(#REF!,"AAAAAHP43UE=")</f>
        <v>#REF!</v>
      </c>
      <c r="BO304" t="e">
        <f>IF(#REF!,"AAAAAHP43UI=",0)</f>
        <v>#REF!</v>
      </c>
      <c r="BP304" t="e">
        <f>AND(#REF!,"AAAAAHP43UM=")</f>
        <v>#REF!</v>
      </c>
      <c r="BQ304" t="e">
        <f>AND(#REF!,"AAAAAHP43UQ=")</f>
        <v>#REF!</v>
      </c>
      <c r="BR304" t="e">
        <f>AND(#REF!,"AAAAAHP43UU=")</f>
        <v>#REF!</v>
      </c>
      <c r="BS304" t="e">
        <f>AND(#REF!,"AAAAAHP43UY=")</f>
        <v>#REF!</v>
      </c>
      <c r="BT304" t="e">
        <f>AND(#REF!,"AAAAAHP43Uc=")</f>
        <v>#REF!</v>
      </c>
      <c r="BU304" t="e">
        <f>AND(#REF!,"AAAAAHP43Ug=")</f>
        <v>#REF!</v>
      </c>
      <c r="BV304" t="e">
        <f>AND(#REF!,"AAAAAHP43Uk=")</f>
        <v>#REF!</v>
      </c>
      <c r="BW304" t="e">
        <f>AND(#REF!,"AAAAAHP43Uo=")</f>
        <v>#REF!</v>
      </c>
      <c r="BX304" t="e">
        <f>AND(#REF!,"AAAAAHP43Us=")</f>
        <v>#REF!</v>
      </c>
      <c r="BY304" t="e">
        <f>AND(#REF!,"AAAAAHP43Uw=")</f>
        <v>#REF!</v>
      </c>
      <c r="BZ304" t="e">
        <f>IF(#REF!,"AAAAAHP43U0=",0)</f>
        <v>#REF!</v>
      </c>
      <c r="CA304" t="e">
        <f>AND(#REF!,"AAAAAHP43U4=")</f>
        <v>#REF!</v>
      </c>
      <c r="CB304" t="e">
        <f>AND(#REF!,"AAAAAHP43U8=")</f>
        <v>#REF!</v>
      </c>
      <c r="CC304" t="e">
        <f>AND(#REF!,"AAAAAHP43VA=")</f>
        <v>#REF!</v>
      </c>
      <c r="CD304" t="e">
        <f>AND(#REF!,"AAAAAHP43VE=")</f>
        <v>#REF!</v>
      </c>
      <c r="CE304" t="e">
        <f>AND(#REF!,"AAAAAHP43VI=")</f>
        <v>#REF!</v>
      </c>
      <c r="CF304" t="e">
        <f>AND(#REF!,"AAAAAHP43VM=")</f>
        <v>#REF!</v>
      </c>
      <c r="CG304" t="e">
        <f>AND(#REF!,"AAAAAHP43VQ=")</f>
        <v>#REF!</v>
      </c>
      <c r="CH304" t="e">
        <f>AND(#REF!,"AAAAAHP43VU=")</f>
        <v>#REF!</v>
      </c>
      <c r="CI304" t="e">
        <f>AND(#REF!,"AAAAAHP43VY=")</f>
        <v>#REF!</v>
      </c>
      <c r="CJ304" t="e">
        <f>AND(#REF!,"AAAAAHP43Vc=")</f>
        <v>#REF!</v>
      </c>
      <c r="CK304" t="e">
        <f>IF(#REF!,"AAAAAHP43Vg=",0)</f>
        <v>#REF!</v>
      </c>
      <c r="CL304" t="e">
        <f>AND(#REF!,"AAAAAHP43Vk=")</f>
        <v>#REF!</v>
      </c>
      <c r="CM304" t="e">
        <f>AND(#REF!,"AAAAAHP43Vo=")</f>
        <v>#REF!</v>
      </c>
      <c r="CN304" t="e">
        <f>AND(#REF!,"AAAAAHP43Vs=")</f>
        <v>#REF!</v>
      </c>
      <c r="CO304" t="e">
        <f>AND(#REF!,"AAAAAHP43Vw=")</f>
        <v>#REF!</v>
      </c>
      <c r="CP304" t="e">
        <f>AND(#REF!,"AAAAAHP43V0=")</f>
        <v>#REF!</v>
      </c>
      <c r="CQ304" t="e">
        <f>AND(#REF!,"AAAAAHP43V4=")</f>
        <v>#REF!</v>
      </c>
      <c r="CR304" t="e">
        <f>AND(#REF!,"AAAAAHP43V8=")</f>
        <v>#REF!</v>
      </c>
      <c r="CS304" t="e">
        <f>AND(#REF!,"AAAAAHP43WA=")</f>
        <v>#REF!</v>
      </c>
      <c r="CT304" t="e">
        <f>AND(#REF!,"AAAAAHP43WE=")</f>
        <v>#REF!</v>
      </c>
      <c r="CU304" t="e">
        <f>AND(#REF!,"AAAAAHP43WI=")</f>
        <v>#REF!</v>
      </c>
      <c r="CV304" t="e">
        <f>IF(#REF!,"AAAAAHP43WM=",0)</f>
        <v>#REF!</v>
      </c>
      <c r="CW304" t="e">
        <f>AND(#REF!,"AAAAAHP43WQ=")</f>
        <v>#REF!</v>
      </c>
      <c r="CX304" t="e">
        <f>AND(#REF!,"AAAAAHP43WU=")</f>
        <v>#REF!</v>
      </c>
      <c r="CY304" t="e">
        <f>AND(#REF!,"AAAAAHP43WY=")</f>
        <v>#REF!</v>
      </c>
      <c r="CZ304" t="e">
        <f>AND(#REF!,"AAAAAHP43Wc=")</f>
        <v>#REF!</v>
      </c>
      <c r="DA304" t="e">
        <f>AND(#REF!,"AAAAAHP43Wg=")</f>
        <v>#REF!</v>
      </c>
      <c r="DB304" t="e">
        <f>AND(#REF!,"AAAAAHP43Wk=")</f>
        <v>#REF!</v>
      </c>
      <c r="DC304" t="e">
        <f>AND(#REF!,"AAAAAHP43Wo=")</f>
        <v>#REF!</v>
      </c>
      <c r="DD304" t="e">
        <f>AND(#REF!,"AAAAAHP43Ws=")</f>
        <v>#REF!</v>
      </c>
      <c r="DE304" t="e">
        <f>AND(#REF!,"AAAAAHP43Ww=")</f>
        <v>#REF!</v>
      </c>
      <c r="DF304" t="e">
        <f>AND(#REF!,"AAAAAHP43W0=")</f>
        <v>#REF!</v>
      </c>
      <c r="DG304" t="e">
        <f>IF(#REF!,"AAAAAHP43W4=",0)</f>
        <v>#REF!</v>
      </c>
      <c r="DH304" t="e">
        <f>AND(#REF!,"AAAAAHP43W8=")</f>
        <v>#REF!</v>
      </c>
      <c r="DI304" t="e">
        <f>AND(#REF!,"AAAAAHP43XA=")</f>
        <v>#REF!</v>
      </c>
      <c r="DJ304" t="e">
        <f>AND(#REF!,"AAAAAHP43XE=")</f>
        <v>#REF!</v>
      </c>
      <c r="DK304" t="e">
        <f>AND(#REF!,"AAAAAHP43XI=")</f>
        <v>#REF!</v>
      </c>
      <c r="DL304" t="e">
        <f>AND(#REF!,"AAAAAHP43XM=")</f>
        <v>#REF!</v>
      </c>
      <c r="DM304" t="e">
        <f>AND(#REF!,"AAAAAHP43XQ=")</f>
        <v>#REF!</v>
      </c>
      <c r="DN304" t="e">
        <f>AND(#REF!,"AAAAAHP43XU=")</f>
        <v>#REF!</v>
      </c>
      <c r="DO304" t="e">
        <f>AND(#REF!,"AAAAAHP43XY=")</f>
        <v>#REF!</v>
      </c>
      <c r="DP304" t="e">
        <f>AND(#REF!,"AAAAAHP43Xc=")</f>
        <v>#REF!</v>
      </c>
      <c r="DQ304" t="e">
        <f>AND(#REF!,"AAAAAHP43Xg=")</f>
        <v>#REF!</v>
      </c>
      <c r="DR304" t="e">
        <f>IF(#REF!,"AAAAAHP43Xk=",0)</f>
        <v>#REF!</v>
      </c>
      <c r="DS304" t="e">
        <f>AND(#REF!,"AAAAAHP43Xo=")</f>
        <v>#REF!</v>
      </c>
      <c r="DT304" t="e">
        <f>AND(#REF!,"AAAAAHP43Xs=")</f>
        <v>#REF!</v>
      </c>
      <c r="DU304" t="e">
        <f>AND(#REF!,"AAAAAHP43Xw=")</f>
        <v>#REF!</v>
      </c>
      <c r="DV304" t="e">
        <f>AND(#REF!,"AAAAAHP43X0=")</f>
        <v>#REF!</v>
      </c>
      <c r="DW304" t="e">
        <f>AND(#REF!,"AAAAAHP43X4=")</f>
        <v>#REF!</v>
      </c>
      <c r="DX304" t="e">
        <f>AND(#REF!,"AAAAAHP43X8=")</f>
        <v>#REF!</v>
      </c>
      <c r="DY304" t="e">
        <f>AND(#REF!,"AAAAAHP43YA=")</f>
        <v>#REF!</v>
      </c>
      <c r="DZ304" t="e">
        <f>AND(#REF!,"AAAAAHP43YE=")</f>
        <v>#REF!</v>
      </c>
      <c r="EA304" t="e">
        <f>AND(#REF!,"AAAAAHP43YI=")</f>
        <v>#REF!</v>
      </c>
      <c r="EB304" t="e">
        <f>AND(#REF!,"AAAAAHP43YM=")</f>
        <v>#REF!</v>
      </c>
      <c r="EC304" t="e">
        <f>IF(#REF!,"AAAAAHP43YQ=",0)</f>
        <v>#REF!</v>
      </c>
      <c r="ED304" t="e">
        <f>AND(#REF!,"AAAAAHP43YU=")</f>
        <v>#REF!</v>
      </c>
      <c r="EE304" t="e">
        <f>AND(#REF!,"AAAAAHP43YY=")</f>
        <v>#REF!</v>
      </c>
      <c r="EF304" t="e">
        <f>AND(#REF!,"AAAAAHP43Yc=")</f>
        <v>#REF!</v>
      </c>
      <c r="EG304" t="e">
        <f>AND(#REF!,"AAAAAHP43Yg=")</f>
        <v>#REF!</v>
      </c>
      <c r="EH304" t="e">
        <f>AND(#REF!,"AAAAAHP43Yk=")</f>
        <v>#REF!</v>
      </c>
      <c r="EI304" t="e">
        <f>AND(#REF!,"AAAAAHP43Yo=")</f>
        <v>#REF!</v>
      </c>
      <c r="EJ304" t="e">
        <f>AND(#REF!,"AAAAAHP43Ys=")</f>
        <v>#REF!</v>
      </c>
      <c r="EK304" t="e">
        <f>AND(#REF!,"AAAAAHP43Yw=")</f>
        <v>#REF!</v>
      </c>
      <c r="EL304" t="e">
        <f>AND(#REF!,"AAAAAHP43Y0=")</f>
        <v>#REF!</v>
      </c>
      <c r="EM304" t="e">
        <f>AND(#REF!,"AAAAAHP43Y4=")</f>
        <v>#REF!</v>
      </c>
      <c r="EN304" t="e">
        <f>IF(#REF!,"AAAAAHP43Y8=",0)</f>
        <v>#REF!</v>
      </c>
      <c r="EO304" t="e">
        <f>AND(#REF!,"AAAAAHP43ZA=")</f>
        <v>#REF!</v>
      </c>
      <c r="EP304" t="e">
        <f>AND(#REF!,"AAAAAHP43ZE=")</f>
        <v>#REF!</v>
      </c>
      <c r="EQ304" t="e">
        <f>AND(#REF!,"AAAAAHP43ZI=")</f>
        <v>#REF!</v>
      </c>
      <c r="ER304" t="e">
        <f>AND(#REF!,"AAAAAHP43ZM=")</f>
        <v>#REF!</v>
      </c>
      <c r="ES304" t="e">
        <f>AND(#REF!,"AAAAAHP43ZQ=")</f>
        <v>#REF!</v>
      </c>
      <c r="ET304" t="e">
        <f>AND(#REF!,"AAAAAHP43ZU=")</f>
        <v>#REF!</v>
      </c>
      <c r="EU304" t="e">
        <f>AND(#REF!,"AAAAAHP43ZY=")</f>
        <v>#REF!</v>
      </c>
      <c r="EV304" t="e">
        <f>AND(#REF!,"AAAAAHP43Zc=")</f>
        <v>#REF!</v>
      </c>
      <c r="EW304" t="e">
        <f>AND(#REF!,"AAAAAHP43Zg=")</f>
        <v>#REF!</v>
      </c>
      <c r="EX304" t="e">
        <f>AND(#REF!,"AAAAAHP43Zk=")</f>
        <v>#REF!</v>
      </c>
      <c r="EY304" t="e">
        <f>IF(#REF!,"AAAAAHP43Zo=",0)</f>
        <v>#REF!</v>
      </c>
      <c r="EZ304" t="e">
        <f>AND(#REF!,"AAAAAHP43Zs=")</f>
        <v>#REF!</v>
      </c>
      <c r="FA304" t="e">
        <f>AND(#REF!,"AAAAAHP43Zw=")</f>
        <v>#REF!</v>
      </c>
      <c r="FB304" t="e">
        <f>AND(#REF!,"AAAAAHP43Z0=")</f>
        <v>#REF!</v>
      </c>
      <c r="FC304" t="e">
        <f>AND(#REF!,"AAAAAHP43Z4=")</f>
        <v>#REF!</v>
      </c>
      <c r="FD304" t="e">
        <f>AND(#REF!,"AAAAAHP43Z8=")</f>
        <v>#REF!</v>
      </c>
      <c r="FE304" t="e">
        <f>AND(#REF!,"AAAAAHP43aA=")</f>
        <v>#REF!</v>
      </c>
      <c r="FF304" t="e">
        <f>AND(#REF!,"AAAAAHP43aE=")</f>
        <v>#REF!</v>
      </c>
      <c r="FG304" t="e">
        <f>AND(#REF!,"AAAAAHP43aI=")</f>
        <v>#REF!</v>
      </c>
      <c r="FH304" t="e">
        <f>AND(#REF!,"AAAAAHP43aM=")</f>
        <v>#REF!</v>
      </c>
      <c r="FI304" t="e">
        <f>AND(#REF!,"AAAAAHP43aQ=")</f>
        <v>#REF!</v>
      </c>
      <c r="FJ304" t="e">
        <f>IF(#REF!,"AAAAAHP43aU=",0)</f>
        <v>#REF!</v>
      </c>
      <c r="FK304" t="e">
        <f>AND(#REF!,"AAAAAHP43aY=")</f>
        <v>#REF!</v>
      </c>
      <c r="FL304" t="e">
        <f>AND(#REF!,"AAAAAHP43ac=")</f>
        <v>#REF!</v>
      </c>
      <c r="FM304" t="e">
        <f>AND(#REF!,"AAAAAHP43ag=")</f>
        <v>#REF!</v>
      </c>
      <c r="FN304" t="e">
        <f>AND(#REF!,"AAAAAHP43ak=")</f>
        <v>#REF!</v>
      </c>
      <c r="FO304" t="e">
        <f>AND(#REF!,"AAAAAHP43ao=")</f>
        <v>#REF!</v>
      </c>
      <c r="FP304" t="e">
        <f>AND(#REF!,"AAAAAHP43as=")</f>
        <v>#REF!</v>
      </c>
      <c r="FQ304" t="e">
        <f>AND(#REF!,"AAAAAHP43aw=")</f>
        <v>#REF!</v>
      </c>
      <c r="FR304" t="e">
        <f>AND(#REF!,"AAAAAHP43a0=")</f>
        <v>#REF!</v>
      </c>
      <c r="FS304" t="e">
        <f>AND(#REF!,"AAAAAHP43a4=")</f>
        <v>#REF!</v>
      </c>
      <c r="FT304" t="e">
        <f>AND(#REF!,"AAAAAHP43a8=")</f>
        <v>#REF!</v>
      </c>
      <c r="FU304" t="e">
        <f>IF(#REF!,"AAAAAHP43bA=",0)</f>
        <v>#REF!</v>
      </c>
      <c r="FV304" t="e">
        <f>AND(#REF!,"AAAAAHP43bE=")</f>
        <v>#REF!</v>
      </c>
      <c r="FW304" t="e">
        <f>AND(#REF!,"AAAAAHP43bI=")</f>
        <v>#REF!</v>
      </c>
      <c r="FX304" t="e">
        <f>AND(#REF!,"AAAAAHP43bM=")</f>
        <v>#REF!</v>
      </c>
      <c r="FY304" t="e">
        <f>AND(#REF!,"AAAAAHP43bQ=")</f>
        <v>#REF!</v>
      </c>
      <c r="FZ304" t="e">
        <f>AND(#REF!,"AAAAAHP43bU=")</f>
        <v>#REF!</v>
      </c>
      <c r="GA304" t="e">
        <f>AND(#REF!,"AAAAAHP43bY=")</f>
        <v>#REF!</v>
      </c>
      <c r="GB304" t="e">
        <f>AND(#REF!,"AAAAAHP43bc=")</f>
        <v>#REF!</v>
      </c>
      <c r="GC304" t="e">
        <f>AND(#REF!,"AAAAAHP43bg=")</f>
        <v>#REF!</v>
      </c>
      <c r="GD304" t="e">
        <f>AND(#REF!,"AAAAAHP43bk=")</f>
        <v>#REF!</v>
      </c>
      <c r="GE304" t="e">
        <f>AND(#REF!,"AAAAAHP43bo=")</f>
        <v>#REF!</v>
      </c>
      <c r="GF304" t="e">
        <f>IF(#REF!,"AAAAAHP43bs=",0)</f>
        <v>#REF!</v>
      </c>
      <c r="GG304" t="e">
        <f>AND(#REF!,"AAAAAHP43bw=")</f>
        <v>#REF!</v>
      </c>
      <c r="GH304" t="e">
        <f>AND(#REF!,"AAAAAHP43b0=")</f>
        <v>#REF!</v>
      </c>
      <c r="GI304" t="e">
        <f>AND(#REF!,"AAAAAHP43b4=")</f>
        <v>#REF!</v>
      </c>
      <c r="GJ304" t="e">
        <f>AND(#REF!,"AAAAAHP43b8=")</f>
        <v>#REF!</v>
      </c>
      <c r="GK304" t="e">
        <f>AND(#REF!,"AAAAAHP43cA=")</f>
        <v>#REF!</v>
      </c>
      <c r="GL304" t="e">
        <f>AND(#REF!,"AAAAAHP43cE=")</f>
        <v>#REF!</v>
      </c>
      <c r="GM304" t="e">
        <f>AND(#REF!,"AAAAAHP43cI=")</f>
        <v>#REF!</v>
      </c>
      <c r="GN304" t="e">
        <f>AND(#REF!,"AAAAAHP43cM=")</f>
        <v>#REF!</v>
      </c>
      <c r="GO304" t="e">
        <f>AND(#REF!,"AAAAAHP43cQ=")</f>
        <v>#REF!</v>
      </c>
      <c r="GP304" t="e">
        <f>AND(#REF!,"AAAAAHP43cU=")</f>
        <v>#REF!</v>
      </c>
      <c r="GQ304" t="e">
        <f>IF(#REF!,"AAAAAHP43cY=",0)</f>
        <v>#REF!</v>
      </c>
      <c r="GR304" t="e">
        <f>AND(#REF!,"AAAAAHP43cc=")</f>
        <v>#REF!</v>
      </c>
      <c r="GS304" t="e">
        <f>AND(#REF!,"AAAAAHP43cg=")</f>
        <v>#REF!</v>
      </c>
      <c r="GT304" t="e">
        <f>AND(#REF!,"AAAAAHP43ck=")</f>
        <v>#REF!</v>
      </c>
      <c r="GU304" t="e">
        <f>AND(#REF!,"AAAAAHP43co=")</f>
        <v>#REF!</v>
      </c>
      <c r="GV304" t="e">
        <f>AND(#REF!,"AAAAAHP43cs=")</f>
        <v>#REF!</v>
      </c>
      <c r="GW304" t="e">
        <f>AND(#REF!,"AAAAAHP43cw=")</f>
        <v>#REF!</v>
      </c>
      <c r="GX304" t="e">
        <f>AND(#REF!,"AAAAAHP43c0=")</f>
        <v>#REF!</v>
      </c>
      <c r="GY304" t="e">
        <f>AND(#REF!,"AAAAAHP43c4=")</f>
        <v>#REF!</v>
      </c>
      <c r="GZ304" t="e">
        <f>AND(#REF!,"AAAAAHP43c8=")</f>
        <v>#REF!</v>
      </c>
      <c r="HA304" t="e">
        <f>AND(#REF!,"AAAAAHP43dA=")</f>
        <v>#REF!</v>
      </c>
      <c r="HB304" t="e">
        <f>IF(#REF!,"AAAAAHP43dE=",0)</f>
        <v>#REF!</v>
      </c>
      <c r="HC304" t="e">
        <f>AND(#REF!,"AAAAAHP43dI=")</f>
        <v>#REF!</v>
      </c>
      <c r="HD304" t="e">
        <f>AND(#REF!,"AAAAAHP43dM=")</f>
        <v>#REF!</v>
      </c>
      <c r="HE304" t="e">
        <f>AND(#REF!,"AAAAAHP43dQ=")</f>
        <v>#REF!</v>
      </c>
      <c r="HF304" t="e">
        <f>AND(#REF!,"AAAAAHP43dU=")</f>
        <v>#REF!</v>
      </c>
      <c r="HG304" t="e">
        <f>AND(#REF!,"AAAAAHP43dY=")</f>
        <v>#REF!</v>
      </c>
      <c r="HH304" t="e">
        <f>AND(#REF!,"AAAAAHP43dc=")</f>
        <v>#REF!</v>
      </c>
      <c r="HI304" t="e">
        <f>AND(#REF!,"AAAAAHP43dg=")</f>
        <v>#REF!</v>
      </c>
      <c r="HJ304" t="e">
        <f>AND(#REF!,"AAAAAHP43dk=")</f>
        <v>#REF!</v>
      </c>
      <c r="HK304" t="e">
        <f>AND(#REF!,"AAAAAHP43do=")</f>
        <v>#REF!</v>
      </c>
      <c r="HL304" t="e">
        <f>AND(#REF!,"AAAAAHP43ds=")</f>
        <v>#REF!</v>
      </c>
      <c r="HM304" t="e">
        <f>IF(#REF!,"AAAAAHP43dw=",0)</f>
        <v>#REF!</v>
      </c>
      <c r="HN304" t="e">
        <f>AND(#REF!,"AAAAAHP43d0=")</f>
        <v>#REF!</v>
      </c>
      <c r="HO304" t="e">
        <f>AND(#REF!,"AAAAAHP43d4=")</f>
        <v>#REF!</v>
      </c>
      <c r="HP304" t="e">
        <f>AND(#REF!,"AAAAAHP43d8=")</f>
        <v>#REF!</v>
      </c>
      <c r="HQ304" t="e">
        <f>AND(#REF!,"AAAAAHP43eA=")</f>
        <v>#REF!</v>
      </c>
      <c r="HR304" t="e">
        <f>AND(#REF!,"AAAAAHP43eE=")</f>
        <v>#REF!</v>
      </c>
      <c r="HS304" t="e">
        <f>AND(#REF!,"AAAAAHP43eI=")</f>
        <v>#REF!</v>
      </c>
      <c r="HT304" t="e">
        <f>AND(#REF!,"AAAAAHP43eM=")</f>
        <v>#REF!</v>
      </c>
      <c r="HU304" t="e">
        <f>AND(#REF!,"AAAAAHP43eQ=")</f>
        <v>#REF!</v>
      </c>
      <c r="HV304" t="e">
        <f>AND(#REF!,"AAAAAHP43eU=")</f>
        <v>#REF!</v>
      </c>
      <c r="HW304" t="e">
        <f>AND(#REF!,"AAAAAHP43eY=")</f>
        <v>#REF!</v>
      </c>
      <c r="HX304" t="e">
        <f>IF(#REF!,"AAAAAHP43ec=",0)</f>
        <v>#REF!</v>
      </c>
      <c r="HY304" t="e">
        <f>AND(#REF!,"AAAAAHP43eg=")</f>
        <v>#REF!</v>
      </c>
      <c r="HZ304" t="e">
        <f>AND(#REF!,"AAAAAHP43ek=")</f>
        <v>#REF!</v>
      </c>
      <c r="IA304" t="e">
        <f>AND(#REF!,"AAAAAHP43eo=")</f>
        <v>#REF!</v>
      </c>
      <c r="IB304" t="e">
        <f>AND(#REF!,"AAAAAHP43es=")</f>
        <v>#REF!</v>
      </c>
      <c r="IC304" t="e">
        <f>AND(#REF!,"AAAAAHP43ew=")</f>
        <v>#REF!</v>
      </c>
      <c r="ID304" t="e">
        <f>AND(#REF!,"AAAAAHP43e0=")</f>
        <v>#REF!</v>
      </c>
      <c r="IE304" t="e">
        <f>AND(#REF!,"AAAAAHP43e4=")</f>
        <v>#REF!</v>
      </c>
      <c r="IF304" t="e">
        <f>AND(#REF!,"AAAAAHP43e8=")</f>
        <v>#REF!</v>
      </c>
      <c r="IG304" t="e">
        <f>AND(#REF!,"AAAAAHP43fA=")</f>
        <v>#REF!</v>
      </c>
      <c r="IH304" t="e">
        <f>AND(#REF!,"AAAAAHP43fE=")</f>
        <v>#REF!</v>
      </c>
      <c r="II304" t="e">
        <f>IF(#REF!,"AAAAAHP43fI=",0)</f>
        <v>#REF!</v>
      </c>
      <c r="IJ304" t="e">
        <f>AND(#REF!,"AAAAAHP43fM=")</f>
        <v>#REF!</v>
      </c>
      <c r="IK304" t="e">
        <f>AND(#REF!,"AAAAAHP43fQ=")</f>
        <v>#REF!</v>
      </c>
      <c r="IL304" t="e">
        <f>AND(#REF!,"AAAAAHP43fU=")</f>
        <v>#REF!</v>
      </c>
      <c r="IM304" t="e">
        <f>AND(#REF!,"AAAAAHP43fY=")</f>
        <v>#REF!</v>
      </c>
      <c r="IN304" t="e">
        <f>AND(#REF!,"AAAAAHP43fc=")</f>
        <v>#REF!</v>
      </c>
      <c r="IO304" t="e">
        <f>AND(#REF!,"AAAAAHP43fg=")</f>
        <v>#REF!</v>
      </c>
      <c r="IP304" t="e">
        <f>AND(#REF!,"AAAAAHP43fk=")</f>
        <v>#REF!</v>
      </c>
      <c r="IQ304" t="e">
        <f>AND(#REF!,"AAAAAHP43fo=")</f>
        <v>#REF!</v>
      </c>
      <c r="IR304" t="e">
        <f>AND(#REF!,"AAAAAHP43fs=")</f>
        <v>#REF!</v>
      </c>
      <c r="IS304" t="e">
        <f>AND(#REF!,"AAAAAHP43fw=")</f>
        <v>#REF!</v>
      </c>
      <c r="IT304" t="e">
        <f>IF(#REF!,"AAAAAHP43f0=",0)</f>
        <v>#REF!</v>
      </c>
      <c r="IU304" t="e">
        <f>AND(#REF!,"AAAAAHP43f4=")</f>
        <v>#REF!</v>
      </c>
      <c r="IV304" t="e">
        <f>AND(#REF!,"AAAAAHP43f8=")</f>
        <v>#REF!</v>
      </c>
    </row>
    <row r="305" spans="1:256" x14ac:dyDescent="0.25">
      <c r="A305" t="e">
        <f>AND(#REF!,"AAAAAH1nWwA=")</f>
        <v>#REF!</v>
      </c>
      <c r="B305" t="e">
        <f>AND(#REF!,"AAAAAH1nWwE=")</f>
        <v>#REF!</v>
      </c>
      <c r="C305" t="e">
        <f>AND(#REF!,"AAAAAH1nWwI=")</f>
        <v>#REF!</v>
      </c>
      <c r="D305" t="e">
        <f>AND(#REF!,"AAAAAH1nWwM=")</f>
        <v>#REF!</v>
      </c>
      <c r="E305" t="e">
        <f>AND(#REF!,"AAAAAH1nWwQ=")</f>
        <v>#REF!</v>
      </c>
      <c r="F305" t="e">
        <f>AND(#REF!,"AAAAAH1nWwU=")</f>
        <v>#REF!</v>
      </c>
      <c r="G305" t="e">
        <f>AND(#REF!,"AAAAAH1nWwY=")</f>
        <v>#REF!</v>
      </c>
      <c r="H305" t="e">
        <f>AND(#REF!,"AAAAAH1nWwc=")</f>
        <v>#REF!</v>
      </c>
      <c r="I305" t="e">
        <f>IF(#REF!,"AAAAAH1nWwg=",0)</f>
        <v>#REF!</v>
      </c>
      <c r="J305" t="e">
        <f>AND(#REF!,"AAAAAH1nWwk=")</f>
        <v>#REF!</v>
      </c>
      <c r="K305" t="e">
        <f>AND(#REF!,"AAAAAH1nWwo=")</f>
        <v>#REF!</v>
      </c>
      <c r="L305" t="e">
        <f>AND(#REF!,"AAAAAH1nWws=")</f>
        <v>#REF!</v>
      </c>
      <c r="M305" t="e">
        <f>AND(#REF!,"AAAAAH1nWww=")</f>
        <v>#REF!</v>
      </c>
      <c r="N305" t="e">
        <f>AND(#REF!,"AAAAAH1nWw0=")</f>
        <v>#REF!</v>
      </c>
      <c r="O305" t="e">
        <f>AND(#REF!,"AAAAAH1nWw4=")</f>
        <v>#REF!</v>
      </c>
      <c r="P305" t="e">
        <f>AND(#REF!,"AAAAAH1nWw8=")</f>
        <v>#REF!</v>
      </c>
      <c r="Q305" t="e">
        <f>AND(#REF!,"AAAAAH1nWxA=")</f>
        <v>#REF!</v>
      </c>
      <c r="R305" t="e">
        <f>AND(#REF!,"AAAAAH1nWxE=")</f>
        <v>#REF!</v>
      </c>
      <c r="S305" t="e">
        <f>AND(#REF!,"AAAAAH1nWxI=")</f>
        <v>#REF!</v>
      </c>
      <c r="T305" t="e">
        <f>IF(#REF!,"AAAAAH1nWxM=",0)</f>
        <v>#REF!</v>
      </c>
      <c r="U305" t="e">
        <f>AND(#REF!,"AAAAAH1nWxQ=")</f>
        <v>#REF!</v>
      </c>
      <c r="V305" t="e">
        <f>AND(#REF!,"AAAAAH1nWxU=")</f>
        <v>#REF!</v>
      </c>
      <c r="W305" t="e">
        <f>AND(#REF!,"AAAAAH1nWxY=")</f>
        <v>#REF!</v>
      </c>
      <c r="X305" t="e">
        <f>AND(#REF!,"AAAAAH1nWxc=")</f>
        <v>#REF!</v>
      </c>
      <c r="Y305" t="e">
        <f>AND(#REF!,"AAAAAH1nWxg=")</f>
        <v>#REF!</v>
      </c>
      <c r="Z305" t="e">
        <f>AND(#REF!,"AAAAAH1nWxk=")</f>
        <v>#REF!</v>
      </c>
      <c r="AA305" t="e">
        <f>AND(#REF!,"AAAAAH1nWxo=")</f>
        <v>#REF!</v>
      </c>
      <c r="AB305" t="e">
        <f>AND(#REF!,"AAAAAH1nWxs=")</f>
        <v>#REF!</v>
      </c>
      <c r="AC305" t="e">
        <f>AND(#REF!,"AAAAAH1nWxw=")</f>
        <v>#REF!</v>
      </c>
      <c r="AD305" t="e">
        <f>AND(#REF!,"AAAAAH1nWx0=")</f>
        <v>#REF!</v>
      </c>
      <c r="AE305" t="e">
        <f>IF(#REF!,"AAAAAH1nWx4=",0)</f>
        <v>#REF!</v>
      </c>
      <c r="AF305" t="e">
        <f>AND(#REF!,"AAAAAH1nWx8=")</f>
        <v>#REF!</v>
      </c>
      <c r="AG305" t="e">
        <f>AND(#REF!,"AAAAAH1nWyA=")</f>
        <v>#REF!</v>
      </c>
      <c r="AH305" t="e">
        <f>AND(#REF!,"AAAAAH1nWyE=")</f>
        <v>#REF!</v>
      </c>
      <c r="AI305" t="e">
        <f>AND(#REF!,"AAAAAH1nWyI=")</f>
        <v>#REF!</v>
      </c>
      <c r="AJ305" t="e">
        <f>AND(#REF!,"AAAAAH1nWyM=")</f>
        <v>#REF!</v>
      </c>
      <c r="AK305" t="e">
        <f>AND(#REF!,"AAAAAH1nWyQ=")</f>
        <v>#REF!</v>
      </c>
      <c r="AL305" t="e">
        <f>AND(#REF!,"AAAAAH1nWyU=")</f>
        <v>#REF!</v>
      </c>
      <c r="AM305" t="e">
        <f>AND(#REF!,"AAAAAH1nWyY=")</f>
        <v>#REF!</v>
      </c>
      <c r="AN305" t="e">
        <f>AND(#REF!,"AAAAAH1nWyc=")</f>
        <v>#REF!</v>
      </c>
      <c r="AO305" t="e">
        <f>AND(#REF!,"AAAAAH1nWyg=")</f>
        <v>#REF!</v>
      </c>
      <c r="AP305" t="e">
        <f>IF(#REF!,"AAAAAH1nWyk=",0)</f>
        <v>#REF!</v>
      </c>
      <c r="AQ305" t="e">
        <f>AND(#REF!,"AAAAAH1nWyo=")</f>
        <v>#REF!</v>
      </c>
      <c r="AR305" t="e">
        <f>AND(#REF!,"AAAAAH1nWys=")</f>
        <v>#REF!</v>
      </c>
      <c r="AS305" t="e">
        <f>AND(#REF!,"AAAAAH1nWyw=")</f>
        <v>#REF!</v>
      </c>
      <c r="AT305" t="e">
        <f>AND(#REF!,"AAAAAH1nWy0=")</f>
        <v>#REF!</v>
      </c>
      <c r="AU305" t="e">
        <f>AND(#REF!,"AAAAAH1nWy4=")</f>
        <v>#REF!</v>
      </c>
      <c r="AV305" t="e">
        <f>AND(#REF!,"AAAAAH1nWy8=")</f>
        <v>#REF!</v>
      </c>
      <c r="AW305" t="e">
        <f>AND(#REF!,"AAAAAH1nWzA=")</f>
        <v>#REF!</v>
      </c>
      <c r="AX305" t="e">
        <f>AND(#REF!,"AAAAAH1nWzE=")</f>
        <v>#REF!</v>
      </c>
      <c r="AY305" t="e">
        <f>AND(#REF!,"AAAAAH1nWzI=")</f>
        <v>#REF!</v>
      </c>
      <c r="AZ305" t="e">
        <f>AND(#REF!,"AAAAAH1nWzM=")</f>
        <v>#REF!</v>
      </c>
      <c r="BA305" t="e">
        <f>IF(#REF!,"AAAAAH1nWzQ=",0)</f>
        <v>#REF!</v>
      </c>
      <c r="BB305" t="e">
        <f>AND(#REF!,"AAAAAH1nWzU=")</f>
        <v>#REF!</v>
      </c>
      <c r="BC305" t="e">
        <f>AND(#REF!,"AAAAAH1nWzY=")</f>
        <v>#REF!</v>
      </c>
      <c r="BD305" t="e">
        <f>AND(#REF!,"AAAAAH1nWzc=")</f>
        <v>#REF!</v>
      </c>
      <c r="BE305" t="e">
        <f>AND(#REF!,"AAAAAH1nWzg=")</f>
        <v>#REF!</v>
      </c>
      <c r="BF305" t="e">
        <f>AND(#REF!,"AAAAAH1nWzk=")</f>
        <v>#REF!</v>
      </c>
      <c r="BG305" t="e">
        <f>AND(#REF!,"AAAAAH1nWzo=")</f>
        <v>#REF!</v>
      </c>
      <c r="BH305" t="e">
        <f>AND(#REF!,"AAAAAH1nWzs=")</f>
        <v>#REF!</v>
      </c>
      <c r="BI305" t="e">
        <f>AND(#REF!,"AAAAAH1nWzw=")</f>
        <v>#REF!</v>
      </c>
      <c r="BJ305" t="e">
        <f>AND(#REF!,"AAAAAH1nWz0=")</f>
        <v>#REF!</v>
      </c>
      <c r="BK305" t="e">
        <f>AND(#REF!,"AAAAAH1nWz4=")</f>
        <v>#REF!</v>
      </c>
      <c r="BL305" t="e">
        <f>IF(#REF!,"AAAAAH1nWz8=",0)</f>
        <v>#REF!</v>
      </c>
      <c r="BM305" t="e">
        <f>AND(#REF!,"AAAAAH1nW0A=")</f>
        <v>#REF!</v>
      </c>
      <c r="BN305" t="e">
        <f>AND(#REF!,"AAAAAH1nW0E=")</f>
        <v>#REF!</v>
      </c>
      <c r="BO305" t="e">
        <f>AND(#REF!,"AAAAAH1nW0I=")</f>
        <v>#REF!</v>
      </c>
      <c r="BP305" t="e">
        <f>AND(#REF!,"AAAAAH1nW0M=")</f>
        <v>#REF!</v>
      </c>
      <c r="BQ305" t="e">
        <f>AND(#REF!,"AAAAAH1nW0Q=")</f>
        <v>#REF!</v>
      </c>
      <c r="BR305" t="e">
        <f>AND(#REF!,"AAAAAH1nW0U=")</f>
        <v>#REF!</v>
      </c>
      <c r="BS305" t="e">
        <f>AND(#REF!,"AAAAAH1nW0Y=")</f>
        <v>#REF!</v>
      </c>
      <c r="BT305" t="e">
        <f>AND(#REF!,"AAAAAH1nW0c=")</f>
        <v>#REF!</v>
      </c>
      <c r="BU305" t="e">
        <f>AND(#REF!,"AAAAAH1nW0g=")</f>
        <v>#REF!</v>
      </c>
      <c r="BV305" t="e">
        <f>AND(#REF!,"AAAAAH1nW0k=")</f>
        <v>#REF!</v>
      </c>
      <c r="BW305" t="e">
        <f>IF(#REF!,"AAAAAH1nW0o=",0)</f>
        <v>#REF!</v>
      </c>
      <c r="BX305" t="e">
        <f>AND(#REF!,"AAAAAH1nW0s=")</f>
        <v>#REF!</v>
      </c>
      <c r="BY305" t="e">
        <f>AND(#REF!,"AAAAAH1nW0w=")</f>
        <v>#REF!</v>
      </c>
      <c r="BZ305" t="e">
        <f>AND(#REF!,"AAAAAH1nW00=")</f>
        <v>#REF!</v>
      </c>
      <c r="CA305" t="e">
        <f>AND(#REF!,"AAAAAH1nW04=")</f>
        <v>#REF!</v>
      </c>
      <c r="CB305" t="e">
        <f>AND(#REF!,"AAAAAH1nW08=")</f>
        <v>#REF!</v>
      </c>
      <c r="CC305" t="e">
        <f>AND(#REF!,"AAAAAH1nW1A=")</f>
        <v>#REF!</v>
      </c>
      <c r="CD305" t="e">
        <f>AND(#REF!,"AAAAAH1nW1E=")</f>
        <v>#REF!</v>
      </c>
      <c r="CE305" t="e">
        <f>AND(#REF!,"AAAAAH1nW1I=")</f>
        <v>#REF!</v>
      </c>
      <c r="CF305" t="e">
        <f>AND(#REF!,"AAAAAH1nW1M=")</f>
        <v>#REF!</v>
      </c>
      <c r="CG305" t="e">
        <f>AND(#REF!,"AAAAAH1nW1Q=")</f>
        <v>#REF!</v>
      </c>
      <c r="CH305" t="e">
        <f>IF(#REF!,"AAAAAH1nW1U=",0)</f>
        <v>#REF!</v>
      </c>
      <c r="CI305" t="e">
        <f>AND(#REF!,"AAAAAH1nW1Y=")</f>
        <v>#REF!</v>
      </c>
      <c r="CJ305" t="e">
        <f>AND(#REF!,"AAAAAH1nW1c=")</f>
        <v>#REF!</v>
      </c>
      <c r="CK305" t="e">
        <f>AND(#REF!,"AAAAAH1nW1g=")</f>
        <v>#REF!</v>
      </c>
      <c r="CL305" t="e">
        <f>AND(#REF!,"AAAAAH1nW1k=")</f>
        <v>#REF!</v>
      </c>
      <c r="CM305" t="e">
        <f>AND(#REF!,"AAAAAH1nW1o=")</f>
        <v>#REF!</v>
      </c>
      <c r="CN305" t="e">
        <f>AND(#REF!,"AAAAAH1nW1s=")</f>
        <v>#REF!</v>
      </c>
      <c r="CO305" t="e">
        <f>AND(#REF!,"AAAAAH1nW1w=")</f>
        <v>#REF!</v>
      </c>
      <c r="CP305" t="e">
        <f>AND(#REF!,"AAAAAH1nW10=")</f>
        <v>#REF!</v>
      </c>
      <c r="CQ305" t="e">
        <f>AND(#REF!,"AAAAAH1nW14=")</f>
        <v>#REF!</v>
      </c>
      <c r="CR305" t="e">
        <f>AND(#REF!,"AAAAAH1nW18=")</f>
        <v>#REF!</v>
      </c>
      <c r="CS305" t="e">
        <f>IF(#REF!,"AAAAAH1nW2A=",0)</f>
        <v>#REF!</v>
      </c>
      <c r="CT305" t="e">
        <f>AND(#REF!,"AAAAAH1nW2E=")</f>
        <v>#REF!</v>
      </c>
      <c r="CU305" t="e">
        <f>AND(#REF!,"AAAAAH1nW2I=")</f>
        <v>#REF!</v>
      </c>
      <c r="CV305" t="e">
        <f>AND(#REF!,"AAAAAH1nW2M=")</f>
        <v>#REF!</v>
      </c>
      <c r="CW305" t="e">
        <f>AND(#REF!,"AAAAAH1nW2Q=")</f>
        <v>#REF!</v>
      </c>
      <c r="CX305" t="e">
        <f>AND(#REF!,"AAAAAH1nW2U=")</f>
        <v>#REF!</v>
      </c>
      <c r="CY305" t="e">
        <f>AND(#REF!,"AAAAAH1nW2Y=")</f>
        <v>#REF!</v>
      </c>
      <c r="CZ305" t="e">
        <f>AND(#REF!,"AAAAAH1nW2c=")</f>
        <v>#REF!</v>
      </c>
      <c r="DA305" t="e">
        <f>AND(#REF!,"AAAAAH1nW2g=")</f>
        <v>#REF!</v>
      </c>
      <c r="DB305" t="e">
        <f>AND(#REF!,"AAAAAH1nW2k=")</f>
        <v>#REF!</v>
      </c>
      <c r="DC305" t="e">
        <f>AND(#REF!,"AAAAAH1nW2o=")</f>
        <v>#REF!</v>
      </c>
      <c r="DD305" t="e">
        <f>IF(#REF!,"AAAAAH1nW2s=",0)</f>
        <v>#REF!</v>
      </c>
      <c r="DE305" t="e">
        <f>AND(#REF!,"AAAAAH1nW2w=")</f>
        <v>#REF!</v>
      </c>
      <c r="DF305" t="e">
        <f>AND(#REF!,"AAAAAH1nW20=")</f>
        <v>#REF!</v>
      </c>
      <c r="DG305" t="e">
        <f>AND(#REF!,"AAAAAH1nW24=")</f>
        <v>#REF!</v>
      </c>
      <c r="DH305" t="e">
        <f>AND(#REF!,"AAAAAH1nW28=")</f>
        <v>#REF!</v>
      </c>
      <c r="DI305" t="e">
        <f>AND(#REF!,"AAAAAH1nW3A=")</f>
        <v>#REF!</v>
      </c>
      <c r="DJ305" t="e">
        <f>AND(#REF!,"AAAAAH1nW3E=")</f>
        <v>#REF!</v>
      </c>
      <c r="DK305" t="e">
        <f>AND(#REF!,"AAAAAH1nW3I=")</f>
        <v>#REF!</v>
      </c>
      <c r="DL305" t="e">
        <f>AND(#REF!,"AAAAAH1nW3M=")</f>
        <v>#REF!</v>
      </c>
      <c r="DM305" t="e">
        <f>AND(#REF!,"AAAAAH1nW3Q=")</f>
        <v>#REF!</v>
      </c>
      <c r="DN305" t="e">
        <f>AND(#REF!,"AAAAAH1nW3U=")</f>
        <v>#REF!</v>
      </c>
      <c r="DO305" t="e">
        <f>IF(#REF!,"AAAAAH1nW3Y=",0)</f>
        <v>#REF!</v>
      </c>
      <c r="DP305" t="e">
        <f>AND(#REF!,"AAAAAH1nW3c=")</f>
        <v>#REF!</v>
      </c>
      <c r="DQ305" t="e">
        <f>AND(#REF!,"AAAAAH1nW3g=")</f>
        <v>#REF!</v>
      </c>
      <c r="DR305" t="e">
        <f>AND(#REF!,"AAAAAH1nW3k=")</f>
        <v>#REF!</v>
      </c>
      <c r="DS305" t="e">
        <f>AND(#REF!,"AAAAAH1nW3o=")</f>
        <v>#REF!</v>
      </c>
      <c r="DT305" t="e">
        <f>AND(#REF!,"AAAAAH1nW3s=")</f>
        <v>#REF!</v>
      </c>
      <c r="DU305" t="e">
        <f>AND(#REF!,"AAAAAH1nW3w=")</f>
        <v>#REF!</v>
      </c>
      <c r="DV305" t="e">
        <f>AND(#REF!,"AAAAAH1nW30=")</f>
        <v>#REF!</v>
      </c>
      <c r="DW305" t="e">
        <f>AND(#REF!,"AAAAAH1nW34=")</f>
        <v>#REF!</v>
      </c>
      <c r="DX305" t="e">
        <f>AND(#REF!,"AAAAAH1nW38=")</f>
        <v>#REF!</v>
      </c>
      <c r="DY305" t="e">
        <f>AND(#REF!,"AAAAAH1nW4A=")</f>
        <v>#REF!</v>
      </c>
      <c r="DZ305" t="e">
        <f>IF(#REF!,"AAAAAH1nW4E=",0)</f>
        <v>#REF!</v>
      </c>
      <c r="EA305" t="e">
        <f>AND(#REF!,"AAAAAH1nW4I=")</f>
        <v>#REF!</v>
      </c>
      <c r="EB305" t="e">
        <f>AND(#REF!,"AAAAAH1nW4M=")</f>
        <v>#REF!</v>
      </c>
      <c r="EC305" t="e">
        <f>AND(#REF!,"AAAAAH1nW4Q=")</f>
        <v>#REF!</v>
      </c>
      <c r="ED305" t="e">
        <f>AND(#REF!,"AAAAAH1nW4U=")</f>
        <v>#REF!</v>
      </c>
      <c r="EE305" t="e">
        <f>AND(#REF!,"AAAAAH1nW4Y=")</f>
        <v>#REF!</v>
      </c>
      <c r="EF305" t="e">
        <f>AND(#REF!,"AAAAAH1nW4c=")</f>
        <v>#REF!</v>
      </c>
      <c r="EG305" t="e">
        <f>AND(#REF!,"AAAAAH1nW4g=")</f>
        <v>#REF!</v>
      </c>
      <c r="EH305" t="e">
        <f>AND(#REF!,"AAAAAH1nW4k=")</f>
        <v>#REF!</v>
      </c>
      <c r="EI305" t="e">
        <f>AND(#REF!,"AAAAAH1nW4o=")</f>
        <v>#REF!</v>
      </c>
      <c r="EJ305" t="e">
        <f>AND(#REF!,"AAAAAH1nW4s=")</f>
        <v>#REF!</v>
      </c>
      <c r="EK305" t="e">
        <f>IF(#REF!,"AAAAAH1nW4w=",0)</f>
        <v>#REF!</v>
      </c>
      <c r="EL305" t="e">
        <f>AND(#REF!,"AAAAAH1nW40=")</f>
        <v>#REF!</v>
      </c>
      <c r="EM305" t="e">
        <f>AND(#REF!,"AAAAAH1nW44=")</f>
        <v>#REF!</v>
      </c>
      <c r="EN305" t="e">
        <f>AND(#REF!,"AAAAAH1nW48=")</f>
        <v>#REF!</v>
      </c>
      <c r="EO305" t="e">
        <f>AND(#REF!,"AAAAAH1nW5A=")</f>
        <v>#REF!</v>
      </c>
      <c r="EP305" t="e">
        <f>AND(#REF!,"AAAAAH1nW5E=")</f>
        <v>#REF!</v>
      </c>
      <c r="EQ305" t="e">
        <f>AND(#REF!,"AAAAAH1nW5I=")</f>
        <v>#REF!</v>
      </c>
      <c r="ER305" t="e">
        <f>AND(#REF!,"AAAAAH1nW5M=")</f>
        <v>#REF!</v>
      </c>
      <c r="ES305" t="e">
        <f>AND(#REF!,"AAAAAH1nW5Q=")</f>
        <v>#REF!</v>
      </c>
      <c r="ET305" t="e">
        <f>AND(#REF!,"AAAAAH1nW5U=")</f>
        <v>#REF!</v>
      </c>
      <c r="EU305" t="e">
        <f>AND(#REF!,"AAAAAH1nW5Y=")</f>
        <v>#REF!</v>
      </c>
      <c r="EV305" t="e">
        <f>IF(#REF!,"AAAAAH1nW5c=",0)</f>
        <v>#REF!</v>
      </c>
      <c r="EW305" t="e">
        <f>AND(#REF!,"AAAAAH1nW5g=")</f>
        <v>#REF!</v>
      </c>
      <c r="EX305" t="e">
        <f>AND(#REF!,"AAAAAH1nW5k=")</f>
        <v>#REF!</v>
      </c>
      <c r="EY305" t="e">
        <f>AND(#REF!,"AAAAAH1nW5o=")</f>
        <v>#REF!</v>
      </c>
      <c r="EZ305" t="e">
        <f>AND(#REF!,"AAAAAH1nW5s=")</f>
        <v>#REF!</v>
      </c>
      <c r="FA305" t="e">
        <f>AND(#REF!,"AAAAAH1nW5w=")</f>
        <v>#REF!</v>
      </c>
      <c r="FB305" t="e">
        <f>AND(#REF!,"AAAAAH1nW50=")</f>
        <v>#REF!</v>
      </c>
      <c r="FC305" t="e">
        <f>AND(#REF!,"AAAAAH1nW54=")</f>
        <v>#REF!</v>
      </c>
      <c r="FD305" t="e">
        <f>AND(#REF!,"AAAAAH1nW58=")</f>
        <v>#REF!</v>
      </c>
      <c r="FE305" t="e">
        <f>AND(#REF!,"AAAAAH1nW6A=")</f>
        <v>#REF!</v>
      </c>
      <c r="FF305" t="e">
        <f>AND(#REF!,"AAAAAH1nW6E=")</f>
        <v>#REF!</v>
      </c>
      <c r="FG305" t="e">
        <f>IF(#REF!,"AAAAAH1nW6I=",0)</f>
        <v>#REF!</v>
      </c>
      <c r="FH305" t="e">
        <f>AND(#REF!,"AAAAAH1nW6M=")</f>
        <v>#REF!</v>
      </c>
      <c r="FI305" t="e">
        <f>AND(#REF!,"AAAAAH1nW6Q=")</f>
        <v>#REF!</v>
      </c>
      <c r="FJ305" t="e">
        <f>AND(#REF!,"AAAAAH1nW6U=")</f>
        <v>#REF!</v>
      </c>
      <c r="FK305" t="e">
        <f>AND(#REF!,"AAAAAH1nW6Y=")</f>
        <v>#REF!</v>
      </c>
      <c r="FL305" t="e">
        <f>AND(#REF!,"AAAAAH1nW6c=")</f>
        <v>#REF!</v>
      </c>
      <c r="FM305" t="e">
        <f>AND(#REF!,"AAAAAH1nW6g=")</f>
        <v>#REF!</v>
      </c>
      <c r="FN305" t="e">
        <f>AND(#REF!,"AAAAAH1nW6k=")</f>
        <v>#REF!</v>
      </c>
      <c r="FO305" t="e">
        <f>AND(#REF!,"AAAAAH1nW6o=")</f>
        <v>#REF!</v>
      </c>
      <c r="FP305" t="e">
        <f>AND(#REF!,"AAAAAH1nW6s=")</f>
        <v>#REF!</v>
      </c>
      <c r="FQ305" t="e">
        <f>AND(#REF!,"AAAAAH1nW6w=")</f>
        <v>#REF!</v>
      </c>
      <c r="FR305" t="e">
        <f>IF(#REF!,"AAAAAH1nW60=",0)</f>
        <v>#REF!</v>
      </c>
      <c r="FS305" t="e">
        <f>AND(#REF!,"AAAAAH1nW64=")</f>
        <v>#REF!</v>
      </c>
      <c r="FT305" t="e">
        <f>AND(#REF!,"AAAAAH1nW68=")</f>
        <v>#REF!</v>
      </c>
      <c r="FU305" t="e">
        <f>AND(#REF!,"AAAAAH1nW7A=")</f>
        <v>#REF!</v>
      </c>
      <c r="FV305" t="e">
        <f>AND(#REF!,"AAAAAH1nW7E=")</f>
        <v>#REF!</v>
      </c>
      <c r="FW305" t="e">
        <f>AND(#REF!,"AAAAAH1nW7I=")</f>
        <v>#REF!</v>
      </c>
      <c r="FX305" t="e">
        <f>AND(#REF!,"AAAAAH1nW7M=")</f>
        <v>#REF!</v>
      </c>
      <c r="FY305" t="e">
        <f>AND(#REF!,"AAAAAH1nW7Q=")</f>
        <v>#REF!</v>
      </c>
      <c r="FZ305" t="e">
        <f>AND(#REF!,"AAAAAH1nW7U=")</f>
        <v>#REF!</v>
      </c>
      <c r="GA305" t="e">
        <f>AND(#REF!,"AAAAAH1nW7Y=")</f>
        <v>#REF!</v>
      </c>
      <c r="GB305" t="e">
        <f>AND(#REF!,"AAAAAH1nW7c=")</f>
        <v>#REF!</v>
      </c>
      <c r="GC305" t="e">
        <f>IF(#REF!,"AAAAAH1nW7g=",0)</f>
        <v>#REF!</v>
      </c>
      <c r="GD305" t="e">
        <f>AND(#REF!,"AAAAAH1nW7k=")</f>
        <v>#REF!</v>
      </c>
      <c r="GE305" t="e">
        <f>AND(#REF!,"AAAAAH1nW7o=")</f>
        <v>#REF!</v>
      </c>
      <c r="GF305" t="e">
        <f>AND(#REF!,"AAAAAH1nW7s=")</f>
        <v>#REF!</v>
      </c>
      <c r="GG305" t="e">
        <f>AND(#REF!,"AAAAAH1nW7w=")</f>
        <v>#REF!</v>
      </c>
      <c r="GH305" t="e">
        <f>AND(#REF!,"AAAAAH1nW70=")</f>
        <v>#REF!</v>
      </c>
      <c r="GI305" t="e">
        <f>AND(#REF!,"AAAAAH1nW74=")</f>
        <v>#REF!</v>
      </c>
      <c r="GJ305" t="e">
        <f>AND(#REF!,"AAAAAH1nW78=")</f>
        <v>#REF!</v>
      </c>
      <c r="GK305" t="e">
        <f>AND(#REF!,"AAAAAH1nW8A=")</f>
        <v>#REF!</v>
      </c>
      <c r="GL305" t="e">
        <f>AND(#REF!,"AAAAAH1nW8E=")</f>
        <v>#REF!</v>
      </c>
      <c r="GM305" t="e">
        <f>AND(#REF!,"AAAAAH1nW8I=")</f>
        <v>#REF!</v>
      </c>
      <c r="GN305" t="e">
        <f>IF(#REF!,"AAAAAH1nW8M=",0)</f>
        <v>#REF!</v>
      </c>
      <c r="GO305" t="e">
        <f>AND(#REF!,"AAAAAH1nW8Q=")</f>
        <v>#REF!</v>
      </c>
      <c r="GP305" t="e">
        <f>AND(#REF!,"AAAAAH1nW8U=")</f>
        <v>#REF!</v>
      </c>
      <c r="GQ305" t="e">
        <f>AND(#REF!,"AAAAAH1nW8Y=")</f>
        <v>#REF!</v>
      </c>
      <c r="GR305" t="e">
        <f>AND(#REF!,"AAAAAH1nW8c=")</f>
        <v>#REF!</v>
      </c>
      <c r="GS305" t="e">
        <f>AND(#REF!,"AAAAAH1nW8g=")</f>
        <v>#REF!</v>
      </c>
      <c r="GT305" t="e">
        <f>AND(#REF!,"AAAAAH1nW8k=")</f>
        <v>#REF!</v>
      </c>
      <c r="GU305" t="e">
        <f>AND(#REF!,"AAAAAH1nW8o=")</f>
        <v>#REF!</v>
      </c>
      <c r="GV305" t="e">
        <f>AND(#REF!,"AAAAAH1nW8s=")</f>
        <v>#REF!</v>
      </c>
      <c r="GW305" t="e">
        <f>AND(#REF!,"AAAAAH1nW8w=")</f>
        <v>#REF!</v>
      </c>
      <c r="GX305" t="e">
        <f>AND(#REF!,"AAAAAH1nW80=")</f>
        <v>#REF!</v>
      </c>
      <c r="GY305" t="e">
        <f>IF(#REF!,"AAAAAH1nW84=",0)</f>
        <v>#REF!</v>
      </c>
      <c r="GZ305" t="e">
        <f>AND(#REF!,"AAAAAH1nW88=")</f>
        <v>#REF!</v>
      </c>
      <c r="HA305" t="e">
        <f>AND(#REF!,"AAAAAH1nW9A=")</f>
        <v>#REF!</v>
      </c>
      <c r="HB305" t="e">
        <f>AND(#REF!,"AAAAAH1nW9E=")</f>
        <v>#REF!</v>
      </c>
      <c r="HC305" t="e">
        <f>AND(#REF!,"AAAAAH1nW9I=")</f>
        <v>#REF!</v>
      </c>
      <c r="HD305" t="e">
        <f>AND(#REF!,"AAAAAH1nW9M=")</f>
        <v>#REF!</v>
      </c>
      <c r="HE305" t="e">
        <f>AND(#REF!,"AAAAAH1nW9Q=")</f>
        <v>#REF!</v>
      </c>
      <c r="HF305" t="e">
        <f>AND(#REF!,"AAAAAH1nW9U=")</f>
        <v>#REF!</v>
      </c>
      <c r="HG305" t="e">
        <f>AND(#REF!,"AAAAAH1nW9Y=")</f>
        <v>#REF!</v>
      </c>
      <c r="HH305" t="e">
        <f>AND(#REF!,"AAAAAH1nW9c=")</f>
        <v>#REF!</v>
      </c>
      <c r="HI305" t="e">
        <f>AND(#REF!,"AAAAAH1nW9g=")</f>
        <v>#REF!</v>
      </c>
      <c r="HJ305" t="e">
        <f>IF(#REF!,"AAAAAH1nW9k=",0)</f>
        <v>#REF!</v>
      </c>
      <c r="HK305" t="e">
        <f>AND(#REF!,"AAAAAH1nW9o=")</f>
        <v>#REF!</v>
      </c>
      <c r="HL305" t="e">
        <f>AND(#REF!,"AAAAAH1nW9s=")</f>
        <v>#REF!</v>
      </c>
      <c r="HM305" t="e">
        <f>AND(#REF!,"AAAAAH1nW9w=")</f>
        <v>#REF!</v>
      </c>
      <c r="HN305" t="e">
        <f>AND(#REF!,"AAAAAH1nW90=")</f>
        <v>#REF!</v>
      </c>
      <c r="HO305" t="e">
        <f>AND(#REF!,"AAAAAH1nW94=")</f>
        <v>#REF!</v>
      </c>
      <c r="HP305" t="e">
        <f>AND(#REF!,"AAAAAH1nW98=")</f>
        <v>#REF!</v>
      </c>
      <c r="HQ305" t="e">
        <f>AND(#REF!,"AAAAAH1nW+A=")</f>
        <v>#REF!</v>
      </c>
      <c r="HR305" t="e">
        <f>AND(#REF!,"AAAAAH1nW+E=")</f>
        <v>#REF!</v>
      </c>
      <c r="HS305" t="e">
        <f>AND(#REF!,"AAAAAH1nW+I=")</f>
        <v>#REF!</v>
      </c>
      <c r="HT305" t="e">
        <f>AND(#REF!,"AAAAAH1nW+M=")</f>
        <v>#REF!</v>
      </c>
      <c r="HU305" t="e">
        <f>IF(#REF!,"AAAAAH1nW+Q=",0)</f>
        <v>#REF!</v>
      </c>
      <c r="HV305" t="e">
        <f>AND(#REF!,"AAAAAH1nW+U=")</f>
        <v>#REF!</v>
      </c>
      <c r="HW305" t="e">
        <f>AND(#REF!,"AAAAAH1nW+Y=")</f>
        <v>#REF!</v>
      </c>
      <c r="HX305" t="e">
        <f>AND(#REF!,"AAAAAH1nW+c=")</f>
        <v>#REF!</v>
      </c>
      <c r="HY305" t="e">
        <f>AND(#REF!,"AAAAAH1nW+g=")</f>
        <v>#REF!</v>
      </c>
      <c r="HZ305" t="e">
        <f>AND(#REF!,"AAAAAH1nW+k=")</f>
        <v>#REF!</v>
      </c>
      <c r="IA305" t="e">
        <f>AND(#REF!,"AAAAAH1nW+o=")</f>
        <v>#REF!</v>
      </c>
      <c r="IB305" t="e">
        <f>AND(#REF!,"AAAAAH1nW+s=")</f>
        <v>#REF!</v>
      </c>
      <c r="IC305" t="e">
        <f>AND(#REF!,"AAAAAH1nW+w=")</f>
        <v>#REF!</v>
      </c>
      <c r="ID305" t="e">
        <f>AND(#REF!,"AAAAAH1nW+0=")</f>
        <v>#REF!</v>
      </c>
      <c r="IE305" t="e">
        <f>AND(#REF!,"AAAAAH1nW+4=")</f>
        <v>#REF!</v>
      </c>
      <c r="IF305" t="e">
        <f>IF(#REF!,"AAAAAH1nW+8=",0)</f>
        <v>#REF!</v>
      </c>
      <c r="IG305" t="e">
        <f>AND(#REF!,"AAAAAH1nW/A=")</f>
        <v>#REF!</v>
      </c>
      <c r="IH305" t="e">
        <f>AND(#REF!,"AAAAAH1nW/E=")</f>
        <v>#REF!</v>
      </c>
      <c r="II305" t="e">
        <f>AND(#REF!,"AAAAAH1nW/I=")</f>
        <v>#REF!</v>
      </c>
      <c r="IJ305" t="e">
        <f>AND(#REF!,"AAAAAH1nW/M=")</f>
        <v>#REF!</v>
      </c>
      <c r="IK305" t="e">
        <f>AND(#REF!,"AAAAAH1nW/Q=")</f>
        <v>#REF!</v>
      </c>
      <c r="IL305" t="e">
        <f>AND(#REF!,"AAAAAH1nW/U=")</f>
        <v>#REF!</v>
      </c>
      <c r="IM305" t="e">
        <f>AND(#REF!,"AAAAAH1nW/Y=")</f>
        <v>#REF!</v>
      </c>
      <c r="IN305" t="e">
        <f>AND(#REF!,"AAAAAH1nW/c=")</f>
        <v>#REF!</v>
      </c>
      <c r="IO305" t="e">
        <f>AND(#REF!,"AAAAAH1nW/g=")</f>
        <v>#REF!</v>
      </c>
      <c r="IP305" t="e">
        <f>AND(#REF!,"AAAAAH1nW/k=")</f>
        <v>#REF!</v>
      </c>
      <c r="IQ305" t="e">
        <f>IF(#REF!,"AAAAAH1nW/o=",0)</f>
        <v>#REF!</v>
      </c>
      <c r="IR305" t="e">
        <f>AND(#REF!,"AAAAAH1nW/s=")</f>
        <v>#REF!</v>
      </c>
      <c r="IS305" t="e">
        <f>AND(#REF!,"AAAAAH1nW/w=")</f>
        <v>#REF!</v>
      </c>
      <c r="IT305" t="e">
        <f>AND(#REF!,"AAAAAH1nW/0=")</f>
        <v>#REF!</v>
      </c>
      <c r="IU305" t="e">
        <f>AND(#REF!,"AAAAAH1nW/4=")</f>
        <v>#REF!</v>
      </c>
      <c r="IV305" t="e">
        <f>AND(#REF!,"AAAAAH1nW/8=")</f>
        <v>#REF!</v>
      </c>
    </row>
    <row r="306" spans="1:256" x14ac:dyDescent="0.25">
      <c r="A306" t="e">
        <f>AND(#REF!,"AAAAAFt79wA=")</f>
        <v>#REF!</v>
      </c>
      <c r="B306" t="e">
        <f>AND(#REF!,"AAAAAFt79wE=")</f>
        <v>#REF!</v>
      </c>
      <c r="C306" t="e">
        <f>AND(#REF!,"AAAAAFt79wI=")</f>
        <v>#REF!</v>
      </c>
      <c r="D306" t="e">
        <f>AND(#REF!,"AAAAAFt79wM=")</f>
        <v>#REF!</v>
      </c>
      <c r="E306" t="e">
        <f>AND(#REF!,"AAAAAFt79wQ=")</f>
        <v>#REF!</v>
      </c>
      <c r="F306" t="e">
        <f>IF(#REF!,"AAAAAFt79wU=",0)</f>
        <v>#REF!</v>
      </c>
      <c r="G306" t="e">
        <f>AND(#REF!,"AAAAAFt79wY=")</f>
        <v>#REF!</v>
      </c>
      <c r="H306" t="e">
        <f>AND(#REF!,"AAAAAFt79wc=")</f>
        <v>#REF!</v>
      </c>
      <c r="I306" t="e">
        <f>AND(#REF!,"AAAAAFt79wg=")</f>
        <v>#REF!</v>
      </c>
      <c r="J306" t="e">
        <f>AND(#REF!,"AAAAAFt79wk=")</f>
        <v>#REF!</v>
      </c>
      <c r="K306" t="e">
        <f>AND(#REF!,"AAAAAFt79wo=")</f>
        <v>#REF!</v>
      </c>
      <c r="L306" t="e">
        <f>AND(#REF!,"AAAAAFt79ws=")</f>
        <v>#REF!</v>
      </c>
      <c r="M306" t="e">
        <f>AND(#REF!,"AAAAAFt79ww=")</f>
        <v>#REF!</v>
      </c>
      <c r="N306" t="e">
        <f>AND(#REF!,"AAAAAFt79w0=")</f>
        <v>#REF!</v>
      </c>
      <c r="O306" t="e">
        <f>AND(#REF!,"AAAAAFt79w4=")</f>
        <v>#REF!</v>
      </c>
      <c r="P306" t="e">
        <f>AND(#REF!,"AAAAAFt79w8=")</f>
        <v>#REF!</v>
      </c>
      <c r="Q306" t="e">
        <f>IF(#REF!,"AAAAAFt79xA=",0)</f>
        <v>#REF!</v>
      </c>
      <c r="R306" t="e">
        <f>AND(#REF!,"AAAAAFt79xE=")</f>
        <v>#REF!</v>
      </c>
      <c r="S306" t="e">
        <f>AND(#REF!,"AAAAAFt79xI=")</f>
        <v>#REF!</v>
      </c>
      <c r="T306" t="e">
        <f>AND(#REF!,"AAAAAFt79xM=")</f>
        <v>#REF!</v>
      </c>
      <c r="U306" t="e">
        <f>AND(#REF!,"AAAAAFt79xQ=")</f>
        <v>#REF!</v>
      </c>
      <c r="V306" t="e">
        <f>AND(#REF!,"AAAAAFt79xU=")</f>
        <v>#REF!</v>
      </c>
      <c r="W306" t="e">
        <f>AND(#REF!,"AAAAAFt79xY=")</f>
        <v>#REF!</v>
      </c>
      <c r="X306" t="e">
        <f>AND(#REF!,"AAAAAFt79xc=")</f>
        <v>#REF!</v>
      </c>
      <c r="Y306" t="e">
        <f>AND(#REF!,"AAAAAFt79xg=")</f>
        <v>#REF!</v>
      </c>
      <c r="Z306" t="e">
        <f>AND(#REF!,"AAAAAFt79xk=")</f>
        <v>#REF!</v>
      </c>
      <c r="AA306" t="e">
        <f>AND(#REF!,"AAAAAFt79xo=")</f>
        <v>#REF!</v>
      </c>
      <c r="AB306" t="e">
        <f>IF(#REF!,"AAAAAFt79xs=",0)</f>
        <v>#REF!</v>
      </c>
      <c r="AC306" t="e">
        <f>AND(#REF!,"AAAAAFt79xw=")</f>
        <v>#REF!</v>
      </c>
      <c r="AD306" t="e">
        <f>AND(#REF!,"AAAAAFt79x0=")</f>
        <v>#REF!</v>
      </c>
      <c r="AE306" t="e">
        <f>AND(#REF!,"AAAAAFt79x4=")</f>
        <v>#REF!</v>
      </c>
      <c r="AF306" t="e">
        <f>AND(#REF!,"AAAAAFt79x8=")</f>
        <v>#REF!</v>
      </c>
      <c r="AG306" t="e">
        <f>AND(#REF!,"AAAAAFt79yA=")</f>
        <v>#REF!</v>
      </c>
      <c r="AH306" t="e">
        <f>AND(#REF!,"AAAAAFt79yE=")</f>
        <v>#REF!</v>
      </c>
      <c r="AI306" t="e">
        <f>AND(#REF!,"AAAAAFt79yI=")</f>
        <v>#REF!</v>
      </c>
      <c r="AJ306" t="e">
        <f>AND(#REF!,"AAAAAFt79yM=")</f>
        <v>#REF!</v>
      </c>
      <c r="AK306" t="e">
        <f>AND(#REF!,"AAAAAFt79yQ=")</f>
        <v>#REF!</v>
      </c>
      <c r="AL306" t="e">
        <f>AND(#REF!,"AAAAAFt79yU=")</f>
        <v>#REF!</v>
      </c>
      <c r="AM306" t="e">
        <f>IF(#REF!,"AAAAAFt79yY=",0)</f>
        <v>#REF!</v>
      </c>
      <c r="AN306" t="e">
        <f>AND(#REF!,"AAAAAFt79yc=")</f>
        <v>#REF!</v>
      </c>
      <c r="AO306" t="e">
        <f>AND(#REF!,"AAAAAFt79yg=")</f>
        <v>#REF!</v>
      </c>
      <c r="AP306" t="e">
        <f>AND(#REF!,"AAAAAFt79yk=")</f>
        <v>#REF!</v>
      </c>
      <c r="AQ306" t="e">
        <f>AND(#REF!,"AAAAAFt79yo=")</f>
        <v>#REF!</v>
      </c>
      <c r="AR306" t="e">
        <f>AND(#REF!,"AAAAAFt79ys=")</f>
        <v>#REF!</v>
      </c>
      <c r="AS306" t="e">
        <f>AND(#REF!,"AAAAAFt79yw=")</f>
        <v>#REF!</v>
      </c>
      <c r="AT306" t="e">
        <f>AND(#REF!,"AAAAAFt79y0=")</f>
        <v>#REF!</v>
      </c>
      <c r="AU306" t="e">
        <f>AND(#REF!,"AAAAAFt79y4=")</f>
        <v>#REF!</v>
      </c>
      <c r="AV306" t="e">
        <f>AND(#REF!,"AAAAAFt79y8=")</f>
        <v>#REF!</v>
      </c>
      <c r="AW306" t="e">
        <f>AND(#REF!,"AAAAAFt79zA=")</f>
        <v>#REF!</v>
      </c>
      <c r="AX306" t="e">
        <f>IF(#REF!,"AAAAAFt79zE=",0)</f>
        <v>#REF!</v>
      </c>
      <c r="AY306" t="e">
        <f>AND(#REF!,"AAAAAFt79zI=")</f>
        <v>#REF!</v>
      </c>
      <c r="AZ306" t="e">
        <f>AND(#REF!,"AAAAAFt79zM=")</f>
        <v>#REF!</v>
      </c>
      <c r="BA306" t="e">
        <f>AND(#REF!,"AAAAAFt79zQ=")</f>
        <v>#REF!</v>
      </c>
      <c r="BB306" t="e">
        <f>AND(#REF!,"AAAAAFt79zU=")</f>
        <v>#REF!</v>
      </c>
      <c r="BC306" t="e">
        <f>AND(#REF!,"AAAAAFt79zY=")</f>
        <v>#REF!</v>
      </c>
      <c r="BD306" t="e">
        <f>AND(#REF!,"AAAAAFt79zc=")</f>
        <v>#REF!</v>
      </c>
      <c r="BE306" t="e">
        <f>AND(#REF!,"AAAAAFt79zg=")</f>
        <v>#REF!</v>
      </c>
      <c r="BF306" t="e">
        <f>AND(#REF!,"AAAAAFt79zk=")</f>
        <v>#REF!</v>
      </c>
      <c r="BG306" t="e">
        <f>AND(#REF!,"AAAAAFt79zo=")</f>
        <v>#REF!</v>
      </c>
      <c r="BH306" t="e">
        <f>AND(#REF!,"AAAAAFt79zs=")</f>
        <v>#REF!</v>
      </c>
      <c r="BI306" t="e">
        <f>IF(#REF!,"AAAAAFt79zw=",0)</f>
        <v>#REF!</v>
      </c>
      <c r="BJ306" t="e">
        <f>AND(#REF!,"AAAAAFt79z0=")</f>
        <v>#REF!</v>
      </c>
      <c r="BK306" t="e">
        <f>AND(#REF!,"AAAAAFt79z4=")</f>
        <v>#REF!</v>
      </c>
      <c r="BL306" t="e">
        <f>AND(#REF!,"AAAAAFt79z8=")</f>
        <v>#REF!</v>
      </c>
      <c r="BM306" t="e">
        <f>AND(#REF!,"AAAAAFt790A=")</f>
        <v>#REF!</v>
      </c>
      <c r="BN306" t="e">
        <f>AND(#REF!,"AAAAAFt790E=")</f>
        <v>#REF!</v>
      </c>
      <c r="BO306" t="e">
        <f>AND(#REF!,"AAAAAFt790I=")</f>
        <v>#REF!</v>
      </c>
      <c r="BP306" t="e">
        <f>AND(#REF!,"AAAAAFt790M=")</f>
        <v>#REF!</v>
      </c>
      <c r="BQ306" t="e">
        <f>AND(#REF!,"AAAAAFt790Q=")</f>
        <v>#REF!</v>
      </c>
      <c r="BR306" t="e">
        <f>AND(#REF!,"AAAAAFt790U=")</f>
        <v>#REF!</v>
      </c>
      <c r="BS306" t="e">
        <f>AND(#REF!,"AAAAAFt790Y=")</f>
        <v>#REF!</v>
      </c>
      <c r="BT306" t="e">
        <f>IF(#REF!,"AAAAAFt790c=",0)</f>
        <v>#REF!</v>
      </c>
      <c r="BU306" t="e">
        <f>AND(#REF!,"AAAAAFt790g=")</f>
        <v>#REF!</v>
      </c>
      <c r="BV306" t="e">
        <f>AND(#REF!,"AAAAAFt790k=")</f>
        <v>#REF!</v>
      </c>
      <c r="BW306" t="e">
        <f>AND(#REF!,"AAAAAFt790o=")</f>
        <v>#REF!</v>
      </c>
      <c r="BX306" t="e">
        <f>AND(#REF!,"AAAAAFt790s=")</f>
        <v>#REF!</v>
      </c>
      <c r="BY306" t="e">
        <f>AND(#REF!,"AAAAAFt790w=")</f>
        <v>#REF!</v>
      </c>
      <c r="BZ306" t="e">
        <f>AND(#REF!,"AAAAAFt7900=")</f>
        <v>#REF!</v>
      </c>
      <c r="CA306" t="e">
        <f>AND(#REF!,"AAAAAFt7904=")</f>
        <v>#REF!</v>
      </c>
      <c r="CB306" t="e">
        <f>AND(#REF!,"AAAAAFt7908=")</f>
        <v>#REF!</v>
      </c>
      <c r="CC306" t="e">
        <f>AND(#REF!,"AAAAAFt791A=")</f>
        <v>#REF!</v>
      </c>
      <c r="CD306" t="e">
        <f>AND(#REF!,"AAAAAFt791E=")</f>
        <v>#REF!</v>
      </c>
      <c r="CE306" t="e">
        <f>IF(#REF!,"AAAAAFt791I=",0)</f>
        <v>#REF!</v>
      </c>
      <c r="CF306" t="e">
        <f>AND(#REF!,"AAAAAFt791M=")</f>
        <v>#REF!</v>
      </c>
      <c r="CG306" t="e">
        <f>AND(#REF!,"AAAAAFt791Q=")</f>
        <v>#REF!</v>
      </c>
      <c r="CH306" t="e">
        <f>AND(#REF!,"AAAAAFt791U=")</f>
        <v>#REF!</v>
      </c>
      <c r="CI306" t="e">
        <f>AND(#REF!,"AAAAAFt791Y=")</f>
        <v>#REF!</v>
      </c>
      <c r="CJ306" t="e">
        <f>AND(#REF!,"AAAAAFt791c=")</f>
        <v>#REF!</v>
      </c>
      <c r="CK306" t="e">
        <f>AND(#REF!,"AAAAAFt791g=")</f>
        <v>#REF!</v>
      </c>
      <c r="CL306" t="e">
        <f>AND(#REF!,"AAAAAFt791k=")</f>
        <v>#REF!</v>
      </c>
      <c r="CM306" t="e">
        <f>AND(#REF!,"AAAAAFt791o=")</f>
        <v>#REF!</v>
      </c>
      <c r="CN306" t="e">
        <f>AND(#REF!,"AAAAAFt791s=")</f>
        <v>#REF!</v>
      </c>
      <c r="CO306" t="e">
        <f>AND(#REF!,"AAAAAFt791w=")</f>
        <v>#REF!</v>
      </c>
      <c r="CP306" t="e">
        <f>IF(#REF!,"AAAAAFt7910=",0)</f>
        <v>#REF!</v>
      </c>
      <c r="CQ306" t="e">
        <f>AND(#REF!,"AAAAAFt7914=")</f>
        <v>#REF!</v>
      </c>
      <c r="CR306" t="e">
        <f>AND(#REF!,"AAAAAFt7918=")</f>
        <v>#REF!</v>
      </c>
      <c r="CS306" t="e">
        <f>AND(#REF!,"AAAAAFt792A=")</f>
        <v>#REF!</v>
      </c>
      <c r="CT306" t="e">
        <f>AND(#REF!,"AAAAAFt792E=")</f>
        <v>#REF!</v>
      </c>
      <c r="CU306" t="e">
        <f>AND(#REF!,"AAAAAFt792I=")</f>
        <v>#REF!</v>
      </c>
      <c r="CV306" t="e">
        <f>AND(#REF!,"AAAAAFt792M=")</f>
        <v>#REF!</v>
      </c>
      <c r="CW306" t="e">
        <f>AND(#REF!,"AAAAAFt792Q=")</f>
        <v>#REF!</v>
      </c>
      <c r="CX306" t="e">
        <f>AND(#REF!,"AAAAAFt792U=")</f>
        <v>#REF!</v>
      </c>
      <c r="CY306" t="e">
        <f>AND(#REF!,"AAAAAFt792Y=")</f>
        <v>#REF!</v>
      </c>
      <c r="CZ306" t="e">
        <f>AND(#REF!,"AAAAAFt792c=")</f>
        <v>#REF!</v>
      </c>
      <c r="DA306" t="e">
        <f>IF(#REF!,"AAAAAFt792g=",0)</f>
        <v>#REF!</v>
      </c>
      <c r="DB306" t="e">
        <f>AND(#REF!,"AAAAAFt792k=")</f>
        <v>#REF!</v>
      </c>
      <c r="DC306" t="e">
        <f>AND(#REF!,"AAAAAFt792o=")</f>
        <v>#REF!</v>
      </c>
      <c r="DD306" t="e">
        <f>AND(#REF!,"AAAAAFt792s=")</f>
        <v>#REF!</v>
      </c>
      <c r="DE306" t="e">
        <f>AND(#REF!,"AAAAAFt792w=")</f>
        <v>#REF!</v>
      </c>
      <c r="DF306" t="e">
        <f>AND(#REF!,"AAAAAFt7920=")</f>
        <v>#REF!</v>
      </c>
      <c r="DG306" t="e">
        <f>AND(#REF!,"AAAAAFt7924=")</f>
        <v>#REF!</v>
      </c>
      <c r="DH306" t="e">
        <f>AND(#REF!,"AAAAAFt7928=")</f>
        <v>#REF!</v>
      </c>
      <c r="DI306" t="e">
        <f>AND(#REF!,"AAAAAFt793A=")</f>
        <v>#REF!</v>
      </c>
      <c r="DJ306" t="e">
        <f>AND(#REF!,"AAAAAFt793E=")</f>
        <v>#REF!</v>
      </c>
      <c r="DK306" t="e">
        <f>AND(#REF!,"AAAAAFt793I=")</f>
        <v>#REF!</v>
      </c>
      <c r="DL306" t="e">
        <f>IF(#REF!,"AAAAAFt793M=",0)</f>
        <v>#REF!</v>
      </c>
      <c r="DM306" t="e">
        <f>AND(#REF!,"AAAAAFt793Q=")</f>
        <v>#REF!</v>
      </c>
      <c r="DN306" t="e">
        <f>AND(#REF!,"AAAAAFt793U=")</f>
        <v>#REF!</v>
      </c>
      <c r="DO306" t="e">
        <f>AND(#REF!,"AAAAAFt793Y=")</f>
        <v>#REF!</v>
      </c>
      <c r="DP306" t="e">
        <f>AND(#REF!,"AAAAAFt793c=")</f>
        <v>#REF!</v>
      </c>
      <c r="DQ306" t="e">
        <f>AND(#REF!,"AAAAAFt793g=")</f>
        <v>#REF!</v>
      </c>
      <c r="DR306" t="e">
        <f>AND(#REF!,"AAAAAFt793k=")</f>
        <v>#REF!</v>
      </c>
      <c r="DS306" t="e">
        <f>AND(#REF!,"AAAAAFt793o=")</f>
        <v>#REF!</v>
      </c>
      <c r="DT306" t="e">
        <f>AND(#REF!,"AAAAAFt793s=")</f>
        <v>#REF!</v>
      </c>
      <c r="DU306" t="e">
        <f>AND(#REF!,"AAAAAFt793w=")</f>
        <v>#REF!</v>
      </c>
      <c r="DV306" t="e">
        <f>AND(#REF!,"AAAAAFt7930=")</f>
        <v>#REF!</v>
      </c>
      <c r="DW306" t="e">
        <f>IF(#REF!,"AAAAAFt7934=",0)</f>
        <v>#REF!</v>
      </c>
      <c r="DX306" t="e">
        <f>AND(#REF!,"AAAAAFt7938=")</f>
        <v>#REF!</v>
      </c>
      <c r="DY306" t="e">
        <f>AND(#REF!,"AAAAAFt794A=")</f>
        <v>#REF!</v>
      </c>
      <c r="DZ306" t="e">
        <f>AND(#REF!,"AAAAAFt794E=")</f>
        <v>#REF!</v>
      </c>
      <c r="EA306" t="e">
        <f>AND(#REF!,"AAAAAFt794I=")</f>
        <v>#REF!</v>
      </c>
      <c r="EB306" t="e">
        <f>AND(#REF!,"AAAAAFt794M=")</f>
        <v>#REF!</v>
      </c>
      <c r="EC306" t="e">
        <f>AND(#REF!,"AAAAAFt794Q=")</f>
        <v>#REF!</v>
      </c>
      <c r="ED306" t="e">
        <f>AND(#REF!,"AAAAAFt794U=")</f>
        <v>#REF!</v>
      </c>
      <c r="EE306" t="e">
        <f>AND(#REF!,"AAAAAFt794Y=")</f>
        <v>#REF!</v>
      </c>
      <c r="EF306" t="e">
        <f>AND(#REF!,"AAAAAFt794c=")</f>
        <v>#REF!</v>
      </c>
      <c r="EG306" t="e">
        <f>AND(#REF!,"AAAAAFt794g=")</f>
        <v>#REF!</v>
      </c>
      <c r="EH306" t="e">
        <f>IF(#REF!,"AAAAAFt794k=",0)</f>
        <v>#REF!</v>
      </c>
      <c r="EI306" t="e">
        <f>AND(#REF!,"AAAAAFt794o=")</f>
        <v>#REF!</v>
      </c>
      <c r="EJ306" t="e">
        <f>AND(#REF!,"AAAAAFt794s=")</f>
        <v>#REF!</v>
      </c>
      <c r="EK306" t="e">
        <f>AND(#REF!,"AAAAAFt794w=")</f>
        <v>#REF!</v>
      </c>
      <c r="EL306" t="e">
        <f>AND(#REF!,"AAAAAFt7940=")</f>
        <v>#REF!</v>
      </c>
      <c r="EM306" t="e">
        <f>AND(#REF!,"AAAAAFt7944=")</f>
        <v>#REF!</v>
      </c>
      <c r="EN306" t="e">
        <f>AND(#REF!,"AAAAAFt7948=")</f>
        <v>#REF!</v>
      </c>
      <c r="EO306" t="e">
        <f>AND(#REF!,"AAAAAFt795A=")</f>
        <v>#REF!</v>
      </c>
      <c r="EP306" t="e">
        <f>AND(#REF!,"AAAAAFt795E=")</f>
        <v>#REF!</v>
      </c>
      <c r="EQ306" t="e">
        <f>AND(#REF!,"AAAAAFt795I=")</f>
        <v>#REF!</v>
      </c>
      <c r="ER306" t="e">
        <f>AND(#REF!,"AAAAAFt795M=")</f>
        <v>#REF!</v>
      </c>
      <c r="ES306" t="e">
        <f>IF(#REF!,"AAAAAFt795Q=",0)</f>
        <v>#REF!</v>
      </c>
      <c r="ET306" t="e">
        <f>AND(#REF!,"AAAAAFt795U=")</f>
        <v>#REF!</v>
      </c>
      <c r="EU306" t="e">
        <f>AND(#REF!,"AAAAAFt795Y=")</f>
        <v>#REF!</v>
      </c>
      <c r="EV306" t="e">
        <f>AND(#REF!,"AAAAAFt795c=")</f>
        <v>#REF!</v>
      </c>
      <c r="EW306" t="e">
        <f>AND(#REF!,"AAAAAFt795g=")</f>
        <v>#REF!</v>
      </c>
      <c r="EX306" t="e">
        <f>AND(#REF!,"AAAAAFt795k=")</f>
        <v>#REF!</v>
      </c>
      <c r="EY306" t="e">
        <f>AND(#REF!,"AAAAAFt795o=")</f>
        <v>#REF!</v>
      </c>
      <c r="EZ306" t="e">
        <f>AND(#REF!,"AAAAAFt795s=")</f>
        <v>#REF!</v>
      </c>
      <c r="FA306" t="e">
        <f>AND(#REF!,"AAAAAFt795w=")</f>
        <v>#REF!</v>
      </c>
      <c r="FB306" t="e">
        <f>AND(#REF!,"AAAAAFt7950=")</f>
        <v>#REF!</v>
      </c>
      <c r="FC306" t="e">
        <f>AND(#REF!,"AAAAAFt7954=")</f>
        <v>#REF!</v>
      </c>
      <c r="FD306" t="e">
        <f>IF(#REF!,"AAAAAFt7958=",0)</f>
        <v>#REF!</v>
      </c>
      <c r="FE306" t="e">
        <f>AND(#REF!,"AAAAAFt796A=")</f>
        <v>#REF!</v>
      </c>
      <c r="FF306" t="e">
        <f>AND(#REF!,"AAAAAFt796E=")</f>
        <v>#REF!</v>
      </c>
      <c r="FG306" t="e">
        <f>AND(#REF!,"AAAAAFt796I=")</f>
        <v>#REF!</v>
      </c>
      <c r="FH306" t="e">
        <f>AND(#REF!,"AAAAAFt796M=")</f>
        <v>#REF!</v>
      </c>
      <c r="FI306" t="e">
        <f>AND(#REF!,"AAAAAFt796Q=")</f>
        <v>#REF!</v>
      </c>
      <c r="FJ306" t="e">
        <f>AND(#REF!,"AAAAAFt796U=")</f>
        <v>#REF!</v>
      </c>
      <c r="FK306" t="e">
        <f>AND(#REF!,"AAAAAFt796Y=")</f>
        <v>#REF!</v>
      </c>
      <c r="FL306" t="e">
        <f>AND(#REF!,"AAAAAFt796c=")</f>
        <v>#REF!</v>
      </c>
      <c r="FM306" t="e">
        <f>AND(#REF!,"AAAAAFt796g=")</f>
        <v>#REF!</v>
      </c>
      <c r="FN306" t="e">
        <f>AND(#REF!,"AAAAAFt796k=")</f>
        <v>#REF!</v>
      </c>
      <c r="FO306" t="e">
        <f>IF(#REF!,"AAAAAFt796o=",0)</f>
        <v>#REF!</v>
      </c>
      <c r="FP306" t="e">
        <f>AND(#REF!,"AAAAAFt796s=")</f>
        <v>#REF!</v>
      </c>
      <c r="FQ306" t="e">
        <f>AND(#REF!,"AAAAAFt796w=")</f>
        <v>#REF!</v>
      </c>
      <c r="FR306" t="e">
        <f>AND(#REF!,"AAAAAFt7960=")</f>
        <v>#REF!</v>
      </c>
      <c r="FS306" t="e">
        <f>AND(#REF!,"AAAAAFt7964=")</f>
        <v>#REF!</v>
      </c>
      <c r="FT306" t="e">
        <f>AND(#REF!,"AAAAAFt7968=")</f>
        <v>#REF!</v>
      </c>
      <c r="FU306" t="e">
        <f>AND(#REF!,"AAAAAFt797A=")</f>
        <v>#REF!</v>
      </c>
      <c r="FV306" t="e">
        <f>AND(#REF!,"AAAAAFt797E=")</f>
        <v>#REF!</v>
      </c>
      <c r="FW306" t="e">
        <f>AND(#REF!,"AAAAAFt797I=")</f>
        <v>#REF!</v>
      </c>
      <c r="FX306" t="e">
        <f>AND(#REF!,"AAAAAFt797M=")</f>
        <v>#REF!</v>
      </c>
      <c r="FY306" t="e">
        <f>AND(#REF!,"AAAAAFt797Q=")</f>
        <v>#REF!</v>
      </c>
      <c r="FZ306" t="e">
        <f>IF(#REF!,"AAAAAFt797U=",0)</f>
        <v>#REF!</v>
      </c>
      <c r="GA306" t="e">
        <f>AND(#REF!,"AAAAAFt797Y=")</f>
        <v>#REF!</v>
      </c>
      <c r="GB306" t="e">
        <f>AND(#REF!,"AAAAAFt797c=")</f>
        <v>#REF!</v>
      </c>
      <c r="GC306" t="e">
        <f>AND(#REF!,"AAAAAFt797g=")</f>
        <v>#REF!</v>
      </c>
      <c r="GD306" t="e">
        <f>AND(#REF!,"AAAAAFt797k=")</f>
        <v>#REF!</v>
      </c>
      <c r="GE306" t="e">
        <f>AND(#REF!,"AAAAAFt797o=")</f>
        <v>#REF!</v>
      </c>
      <c r="GF306" t="e">
        <f>AND(#REF!,"AAAAAFt797s=")</f>
        <v>#REF!</v>
      </c>
      <c r="GG306" t="e">
        <f>AND(#REF!,"AAAAAFt797w=")</f>
        <v>#REF!</v>
      </c>
      <c r="GH306" t="e">
        <f>AND(#REF!,"AAAAAFt7970=")</f>
        <v>#REF!</v>
      </c>
      <c r="GI306" t="e">
        <f>AND(#REF!,"AAAAAFt7974=")</f>
        <v>#REF!</v>
      </c>
      <c r="GJ306" t="e">
        <f>AND(#REF!,"AAAAAFt7978=")</f>
        <v>#REF!</v>
      </c>
      <c r="GK306" t="e">
        <f>IF(#REF!,"AAAAAFt798A=",0)</f>
        <v>#REF!</v>
      </c>
      <c r="GL306" t="e">
        <f>AND(#REF!,"AAAAAFt798E=")</f>
        <v>#REF!</v>
      </c>
      <c r="GM306" t="e">
        <f>AND(#REF!,"AAAAAFt798I=")</f>
        <v>#REF!</v>
      </c>
      <c r="GN306" t="e">
        <f>AND(#REF!,"AAAAAFt798M=")</f>
        <v>#REF!</v>
      </c>
      <c r="GO306" t="e">
        <f>AND(#REF!,"AAAAAFt798Q=")</f>
        <v>#REF!</v>
      </c>
      <c r="GP306" t="e">
        <f>AND(#REF!,"AAAAAFt798U=")</f>
        <v>#REF!</v>
      </c>
      <c r="GQ306" t="e">
        <f>AND(#REF!,"AAAAAFt798Y=")</f>
        <v>#REF!</v>
      </c>
      <c r="GR306" t="e">
        <f>AND(#REF!,"AAAAAFt798c=")</f>
        <v>#REF!</v>
      </c>
      <c r="GS306" t="e">
        <f>AND(#REF!,"AAAAAFt798g=")</f>
        <v>#REF!</v>
      </c>
      <c r="GT306" t="e">
        <f>AND(#REF!,"AAAAAFt798k=")</f>
        <v>#REF!</v>
      </c>
      <c r="GU306" t="e">
        <f>AND(#REF!,"AAAAAFt798o=")</f>
        <v>#REF!</v>
      </c>
      <c r="GV306" t="e">
        <f>IF(#REF!,"AAAAAFt798s=",0)</f>
        <v>#REF!</v>
      </c>
      <c r="GW306" t="e">
        <f>AND(#REF!,"AAAAAFt798w=")</f>
        <v>#REF!</v>
      </c>
      <c r="GX306" t="e">
        <f>AND(#REF!,"AAAAAFt7980=")</f>
        <v>#REF!</v>
      </c>
      <c r="GY306" t="e">
        <f>AND(#REF!,"AAAAAFt7984=")</f>
        <v>#REF!</v>
      </c>
      <c r="GZ306" t="e">
        <f>AND(#REF!,"AAAAAFt7988=")</f>
        <v>#REF!</v>
      </c>
      <c r="HA306" t="e">
        <f>AND(#REF!,"AAAAAFt799A=")</f>
        <v>#REF!</v>
      </c>
      <c r="HB306" t="e">
        <f>AND(#REF!,"AAAAAFt799E=")</f>
        <v>#REF!</v>
      </c>
      <c r="HC306" t="e">
        <f>AND(#REF!,"AAAAAFt799I=")</f>
        <v>#REF!</v>
      </c>
      <c r="HD306" t="e">
        <f>AND(#REF!,"AAAAAFt799M=")</f>
        <v>#REF!</v>
      </c>
      <c r="HE306" t="e">
        <f>AND(#REF!,"AAAAAFt799Q=")</f>
        <v>#REF!</v>
      </c>
      <c r="HF306" t="e">
        <f>AND(#REF!,"AAAAAFt799U=")</f>
        <v>#REF!</v>
      </c>
      <c r="HG306" t="e">
        <f>IF(#REF!,"AAAAAFt799Y=",0)</f>
        <v>#REF!</v>
      </c>
      <c r="HH306" t="e">
        <f>AND(#REF!,"AAAAAFt799c=")</f>
        <v>#REF!</v>
      </c>
      <c r="HI306" t="e">
        <f>AND(#REF!,"AAAAAFt799g=")</f>
        <v>#REF!</v>
      </c>
      <c r="HJ306" t="e">
        <f>AND(#REF!,"AAAAAFt799k=")</f>
        <v>#REF!</v>
      </c>
      <c r="HK306" t="e">
        <f>AND(#REF!,"AAAAAFt799o=")</f>
        <v>#REF!</v>
      </c>
      <c r="HL306" t="e">
        <f>AND(#REF!,"AAAAAFt799s=")</f>
        <v>#REF!</v>
      </c>
      <c r="HM306" t="e">
        <f>AND(#REF!,"AAAAAFt799w=")</f>
        <v>#REF!</v>
      </c>
      <c r="HN306" t="e">
        <f>AND(#REF!,"AAAAAFt7990=")</f>
        <v>#REF!</v>
      </c>
      <c r="HO306" t="e">
        <f>AND(#REF!,"AAAAAFt7994=")</f>
        <v>#REF!</v>
      </c>
      <c r="HP306" t="e">
        <f>AND(#REF!,"AAAAAFt7998=")</f>
        <v>#REF!</v>
      </c>
      <c r="HQ306" t="e">
        <f>AND(#REF!,"AAAAAFt79+A=")</f>
        <v>#REF!</v>
      </c>
      <c r="HR306" t="e">
        <f>IF(#REF!,"AAAAAFt79+E=",0)</f>
        <v>#REF!</v>
      </c>
      <c r="HS306" t="e">
        <f>AND(#REF!,"AAAAAFt79+I=")</f>
        <v>#REF!</v>
      </c>
      <c r="HT306" t="e">
        <f>AND(#REF!,"AAAAAFt79+M=")</f>
        <v>#REF!</v>
      </c>
      <c r="HU306" t="e">
        <f>AND(#REF!,"AAAAAFt79+Q=")</f>
        <v>#REF!</v>
      </c>
      <c r="HV306" t="e">
        <f>AND(#REF!,"AAAAAFt79+U=")</f>
        <v>#REF!</v>
      </c>
      <c r="HW306" t="e">
        <f>AND(#REF!,"AAAAAFt79+Y=")</f>
        <v>#REF!</v>
      </c>
      <c r="HX306" t="e">
        <f>AND(#REF!,"AAAAAFt79+c=")</f>
        <v>#REF!</v>
      </c>
      <c r="HY306" t="e">
        <f>AND(#REF!,"AAAAAFt79+g=")</f>
        <v>#REF!</v>
      </c>
      <c r="HZ306" t="e">
        <f>AND(#REF!,"AAAAAFt79+k=")</f>
        <v>#REF!</v>
      </c>
      <c r="IA306" t="e">
        <f>AND(#REF!,"AAAAAFt79+o=")</f>
        <v>#REF!</v>
      </c>
      <c r="IB306" t="e">
        <f>AND(#REF!,"AAAAAFt79+s=")</f>
        <v>#REF!</v>
      </c>
      <c r="IC306" t="e">
        <f>IF(#REF!,"AAAAAFt79+w=",0)</f>
        <v>#REF!</v>
      </c>
      <c r="ID306" t="e">
        <f>AND(#REF!,"AAAAAFt79+0=")</f>
        <v>#REF!</v>
      </c>
      <c r="IE306" t="e">
        <f>AND(#REF!,"AAAAAFt79+4=")</f>
        <v>#REF!</v>
      </c>
      <c r="IF306" t="e">
        <f>AND(#REF!,"AAAAAFt79+8=")</f>
        <v>#REF!</v>
      </c>
      <c r="IG306" t="e">
        <f>AND(#REF!,"AAAAAFt79/A=")</f>
        <v>#REF!</v>
      </c>
      <c r="IH306" t="e">
        <f>AND(#REF!,"AAAAAFt79/E=")</f>
        <v>#REF!</v>
      </c>
      <c r="II306" t="e">
        <f>AND(#REF!,"AAAAAFt79/I=")</f>
        <v>#REF!</v>
      </c>
      <c r="IJ306" t="e">
        <f>AND(#REF!,"AAAAAFt79/M=")</f>
        <v>#REF!</v>
      </c>
      <c r="IK306" t="e">
        <f>AND(#REF!,"AAAAAFt79/Q=")</f>
        <v>#REF!</v>
      </c>
      <c r="IL306" t="e">
        <f>AND(#REF!,"AAAAAFt79/U=")</f>
        <v>#REF!</v>
      </c>
      <c r="IM306" t="e">
        <f>AND(#REF!,"AAAAAFt79/Y=")</f>
        <v>#REF!</v>
      </c>
      <c r="IN306" t="e">
        <f>IF(#REF!,"AAAAAFt79/c=",0)</f>
        <v>#REF!</v>
      </c>
      <c r="IO306" t="e">
        <f>AND(#REF!,"AAAAAFt79/g=")</f>
        <v>#REF!</v>
      </c>
      <c r="IP306" t="e">
        <f>AND(#REF!,"AAAAAFt79/k=")</f>
        <v>#REF!</v>
      </c>
      <c r="IQ306" t="e">
        <f>AND(#REF!,"AAAAAFt79/o=")</f>
        <v>#REF!</v>
      </c>
      <c r="IR306" t="e">
        <f>AND(#REF!,"AAAAAFt79/s=")</f>
        <v>#REF!</v>
      </c>
      <c r="IS306" t="e">
        <f>AND(#REF!,"AAAAAFt79/w=")</f>
        <v>#REF!</v>
      </c>
      <c r="IT306" t="e">
        <f>AND(#REF!,"AAAAAFt79/0=")</f>
        <v>#REF!</v>
      </c>
      <c r="IU306" t="e">
        <f>AND(#REF!,"AAAAAFt79/4=")</f>
        <v>#REF!</v>
      </c>
      <c r="IV306" t="e">
        <f>AND(#REF!,"AAAAAFt79/8=")</f>
        <v>#REF!</v>
      </c>
    </row>
    <row r="307" spans="1:256" x14ac:dyDescent="0.25">
      <c r="A307" t="e">
        <f>AND(#REF!,"AAAAAF9HmwA=")</f>
        <v>#REF!</v>
      </c>
      <c r="B307" t="e">
        <f>AND(#REF!,"AAAAAF9HmwE=")</f>
        <v>#REF!</v>
      </c>
      <c r="C307" t="e">
        <f>IF(#REF!,"AAAAAF9HmwI=",0)</f>
        <v>#REF!</v>
      </c>
      <c r="D307" t="e">
        <f>AND(#REF!,"AAAAAF9HmwM=")</f>
        <v>#REF!</v>
      </c>
      <c r="E307" t="e">
        <f>AND(#REF!,"AAAAAF9HmwQ=")</f>
        <v>#REF!</v>
      </c>
      <c r="F307" t="e">
        <f>AND(#REF!,"AAAAAF9HmwU=")</f>
        <v>#REF!</v>
      </c>
      <c r="G307" t="e">
        <f>AND(#REF!,"AAAAAF9HmwY=")</f>
        <v>#REF!</v>
      </c>
      <c r="H307" t="e">
        <f>AND(#REF!,"AAAAAF9Hmwc=")</f>
        <v>#REF!</v>
      </c>
      <c r="I307" t="e">
        <f>AND(#REF!,"AAAAAF9Hmwg=")</f>
        <v>#REF!</v>
      </c>
      <c r="J307" t="e">
        <f>AND(#REF!,"AAAAAF9Hmwk=")</f>
        <v>#REF!</v>
      </c>
      <c r="K307" t="e">
        <f>AND(#REF!,"AAAAAF9Hmwo=")</f>
        <v>#REF!</v>
      </c>
      <c r="L307" t="e">
        <f>AND(#REF!,"AAAAAF9Hmws=")</f>
        <v>#REF!</v>
      </c>
      <c r="M307" t="e">
        <f>AND(#REF!,"AAAAAF9Hmww=")</f>
        <v>#REF!</v>
      </c>
      <c r="N307" t="e">
        <f>IF(#REF!,"AAAAAF9Hmw0=",0)</f>
        <v>#REF!</v>
      </c>
      <c r="O307" t="e">
        <f>AND(#REF!,"AAAAAF9Hmw4=")</f>
        <v>#REF!</v>
      </c>
      <c r="P307" t="e">
        <f>AND(#REF!,"AAAAAF9Hmw8=")</f>
        <v>#REF!</v>
      </c>
      <c r="Q307" t="e">
        <f>AND(#REF!,"AAAAAF9HmxA=")</f>
        <v>#REF!</v>
      </c>
      <c r="R307" t="e">
        <f>AND(#REF!,"AAAAAF9HmxE=")</f>
        <v>#REF!</v>
      </c>
      <c r="S307" t="e">
        <f>AND(#REF!,"AAAAAF9HmxI=")</f>
        <v>#REF!</v>
      </c>
      <c r="T307" t="e">
        <f>AND(#REF!,"AAAAAF9HmxM=")</f>
        <v>#REF!</v>
      </c>
      <c r="U307" t="e">
        <f>AND(#REF!,"AAAAAF9HmxQ=")</f>
        <v>#REF!</v>
      </c>
      <c r="V307" t="e">
        <f>AND(#REF!,"AAAAAF9HmxU=")</f>
        <v>#REF!</v>
      </c>
      <c r="W307" t="e">
        <f>AND(#REF!,"AAAAAF9HmxY=")</f>
        <v>#REF!</v>
      </c>
      <c r="X307" t="e">
        <f>AND(#REF!,"AAAAAF9Hmxc=")</f>
        <v>#REF!</v>
      </c>
      <c r="Y307" t="e">
        <f>IF(#REF!,"AAAAAF9Hmxg=",0)</f>
        <v>#REF!</v>
      </c>
      <c r="Z307" t="e">
        <f>AND(#REF!,"AAAAAF9Hmxk=")</f>
        <v>#REF!</v>
      </c>
      <c r="AA307" t="e">
        <f>AND(#REF!,"AAAAAF9Hmxo=")</f>
        <v>#REF!</v>
      </c>
      <c r="AB307" t="e">
        <f>AND(#REF!,"AAAAAF9Hmxs=")</f>
        <v>#REF!</v>
      </c>
      <c r="AC307" t="e">
        <f>AND(#REF!,"AAAAAF9Hmxw=")</f>
        <v>#REF!</v>
      </c>
      <c r="AD307" t="e">
        <f>AND(#REF!,"AAAAAF9Hmx0=")</f>
        <v>#REF!</v>
      </c>
      <c r="AE307" t="e">
        <f>AND(#REF!,"AAAAAF9Hmx4=")</f>
        <v>#REF!</v>
      </c>
      <c r="AF307" t="e">
        <f>AND(#REF!,"AAAAAF9Hmx8=")</f>
        <v>#REF!</v>
      </c>
      <c r="AG307" t="e">
        <f>AND(#REF!,"AAAAAF9HmyA=")</f>
        <v>#REF!</v>
      </c>
      <c r="AH307" t="e">
        <f>AND(#REF!,"AAAAAF9HmyE=")</f>
        <v>#REF!</v>
      </c>
      <c r="AI307" t="e">
        <f>AND(#REF!,"AAAAAF9HmyI=")</f>
        <v>#REF!</v>
      </c>
      <c r="AJ307" t="e">
        <f>IF(#REF!,"AAAAAF9HmyM=",0)</f>
        <v>#REF!</v>
      </c>
      <c r="AK307" t="e">
        <f>AND(#REF!,"AAAAAF9HmyQ=")</f>
        <v>#REF!</v>
      </c>
      <c r="AL307" t="e">
        <f>AND(#REF!,"AAAAAF9HmyU=")</f>
        <v>#REF!</v>
      </c>
      <c r="AM307" t="e">
        <f>AND(#REF!,"AAAAAF9HmyY=")</f>
        <v>#REF!</v>
      </c>
      <c r="AN307" t="e">
        <f>AND(#REF!,"AAAAAF9Hmyc=")</f>
        <v>#REF!</v>
      </c>
      <c r="AO307" t="e">
        <f>AND(#REF!,"AAAAAF9Hmyg=")</f>
        <v>#REF!</v>
      </c>
      <c r="AP307" t="e">
        <f>AND(#REF!,"AAAAAF9Hmyk=")</f>
        <v>#REF!</v>
      </c>
      <c r="AQ307" t="e">
        <f>AND(#REF!,"AAAAAF9Hmyo=")</f>
        <v>#REF!</v>
      </c>
      <c r="AR307" t="e">
        <f>AND(#REF!,"AAAAAF9Hmys=")</f>
        <v>#REF!</v>
      </c>
      <c r="AS307" t="e">
        <f>AND(#REF!,"AAAAAF9Hmyw=")</f>
        <v>#REF!</v>
      </c>
      <c r="AT307" t="e">
        <f>AND(#REF!,"AAAAAF9Hmy0=")</f>
        <v>#REF!</v>
      </c>
      <c r="AU307" t="e">
        <f>IF(#REF!,"AAAAAF9Hmy4=",0)</f>
        <v>#REF!</v>
      </c>
      <c r="AV307" t="e">
        <f>AND(#REF!,"AAAAAF9Hmy8=")</f>
        <v>#REF!</v>
      </c>
      <c r="AW307" t="e">
        <f>AND(#REF!,"AAAAAF9HmzA=")</f>
        <v>#REF!</v>
      </c>
      <c r="AX307" t="e">
        <f>AND(#REF!,"AAAAAF9HmzE=")</f>
        <v>#REF!</v>
      </c>
      <c r="AY307" t="e">
        <f>AND(#REF!,"AAAAAF9HmzI=")</f>
        <v>#REF!</v>
      </c>
      <c r="AZ307" t="e">
        <f>AND(#REF!,"AAAAAF9HmzM=")</f>
        <v>#REF!</v>
      </c>
      <c r="BA307" t="e">
        <f>AND(#REF!,"AAAAAF9HmzQ=")</f>
        <v>#REF!</v>
      </c>
      <c r="BB307" t="e">
        <f>AND(#REF!,"AAAAAF9HmzU=")</f>
        <v>#REF!</v>
      </c>
      <c r="BC307" t="e">
        <f>AND(#REF!,"AAAAAF9HmzY=")</f>
        <v>#REF!</v>
      </c>
      <c r="BD307" t="e">
        <f>AND(#REF!,"AAAAAF9Hmzc=")</f>
        <v>#REF!</v>
      </c>
      <c r="BE307" t="e">
        <f>AND(#REF!,"AAAAAF9Hmzg=")</f>
        <v>#REF!</v>
      </c>
      <c r="BF307" t="e">
        <f>IF(#REF!,"AAAAAF9Hmzk=",0)</f>
        <v>#REF!</v>
      </c>
      <c r="BG307" t="e">
        <f>AND(#REF!,"AAAAAF9Hmzo=")</f>
        <v>#REF!</v>
      </c>
      <c r="BH307" t="e">
        <f>AND(#REF!,"AAAAAF9Hmzs=")</f>
        <v>#REF!</v>
      </c>
      <c r="BI307" t="e">
        <f>AND(#REF!,"AAAAAF9Hmzw=")</f>
        <v>#REF!</v>
      </c>
      <c r="BJ307" t="e">
        <f>AND(#REF!,"AAAAAF9Hmz0=")</f>
        <v>#REF!</v>
      </c>
      <c r="BK307" t="e">
        <f>AND(#REF!,"AAAAAF9Hmz4=")</f>
        <v>#REF!</v>
      </c>
      <c r="BL307" t="e">
        <f>AND(#REF!,"AAAAAF9Hmz8=")</f>
        <v>#REF!</v>
      </c>
      <c r="BM307" t="e">
        <f>AND(#REF!,"AAAAAF9Hm0A=")</f>
        <v>#REF!</v>
      </c>
      <c r="BN307" t="e">
        <f>AND(#REF!,"AAAAAF9Hm0E=")</f>
        <v>#REF!</v>
      </c>
      <c r="BO307" t="e">
        <f>AND(#REF!,"AAAAAF9Hm0I=")</f>
        <v>#REF!</v>
      </c>
      <c r="BP307" t="e">
        <f>AND(#REF!,"AAAAAF9Hm0M=")</f>
        <v>#REF!</v>
      </c>
      <c r="BQ307" t="e">
        <f>IF(#REF!,"AAAAAF9Hm0Q=",0)</f>
        <v>#REF!</v>
      </c>
      <c r="BR307" t="e">
        <f>AND(#REF!,"AAAAAF9Hm0U=")</f>
        <v>#REF!</v>
      </c>
      <c r="BS307" t="e">
        <f>AND(#REF!,"AAAAAF9Hm0Y=")</f>
        <v>#REF!</v>
      </c>
      <c r="BT307" t="e">
        <f>AND(#REF!,"AAAAAF9Hm0c=")</f>
        <v>#REF!</v>
      </c>
      <c r="BU307" t="e">
        <f>AND(#REF!,"AAAAAF9Hm0g=")</f>
        <v>#REF!</v>
      </c>
      <c r="BV307" t="e">
        <f>AND(#REF!,"AAAAAF9Hm0k=")</f>
        <v>#REF!</v>
      </c>
      <c r="BW307" t="e">
        <f>AND(#REF!,"AAAAAF9Hm0o=")</f>
        <v>#REF!</v>
      </c>
      <c r="BX307" t="e">
        <f>AND(#REF!,"AAAAAF9Hm0s=")</f>
        <v>#REF!</v>
      </c>
      <c r="BY307" t="e">
        <f>AND(#REF!,"AAAAAF9Hm0w=")</f>
        <v>#REF!</v>
      </c>
      <c r="BZ307" t="e">
        <f>AND(#REF!,"AAAAAF9Hm00=")</f>
        <v>#REF!</v>
      </c>
      <c r="CA307" t="e">
        <f>AND(#REF!,"AAAAAF9Hm04=")</f>
        <v>#REF!</v>
      </c>
      <c r="CB307" t="e">
        <f>IF(#REF!,"AAAAAF9Hm08=",0)</f>
        <v>#REF!</v>
      </c>
      <c r="CC307" t="e">
        <f>AND(#REF!,"AAAAAF9Hm1A=")</f>
        <v>#REF!</v>
      </c>
      <c r="CD307" t="e">
        <f>AND(#REF!,"AAAAAF9Hm1E=")</f>
        <v>#REF!</v>
      </c>
      <c r="CE307" t="e">
        <f>AND(#REF!,"AAAAAF9Hm1I=")</f>
        <v>#REF!</v>
      </c>
      <c r="CF307" t="e">
        <f>AND(#REF!,"AAAAAF9Hm1M=")</f>
        <v>#REF!</v>
      </c>
      <c r="CG307" t="e">
        <f>AND(#REF!,"AAAAAF9Hm1Q=")</f>
        <v>#REF!</v>
      </c>
      <c r="CH307" t="e">
        <f>AND(#REF!,"AAAAAF9Hm1U=")</f>
        <v>#REF!</v>
      </c>
      <c r="CI307" t="e">
        <f>AND(#REF!,"AAAAAF9Hm1Y=")</f>
        <v>#REF!</v>
      </c>
      <c r="CJ307" t="e">
        <f>AND(#REF!,"AAAAAF9Hm1c=")</f>
        <v>#REF!</v>
      </c>
      <c r="CK307" t="e">
        <f>AND(#REF!,"AAAAAF9Hm1g=")</f>
        <v>#REF!</v>
      </c>
      <c r="CL307" t="e">
        <f>AND(#REF!,"AAAAAF9Hm1k=")</f>
        <v>#REF!</v>
      </c>
      <c r="CM307" t="e">
        <f>IF(#REF!,"AAAAAF9Hm1o=",0)</f>
        <v>#REF!</v>
      </c>
      <c r="CN307" t="e">
        <f>AND(#REF!,"AAAAAF9Hm1s=")</f>
        <v>#REF!</v>
      </c>
      <c r="CO307" t="e">
        <f>AND(#REF!,"AAAAAF9Hm1w=")</f>
        <v>#REF!</v>
      </c>
      <c r="CP307" t="e">
        <f>AND(#REF!,"AAAAAF9Hm10=")</f>
        <v>#REF!</v>
      </c>
      <c r="CQ307" t="e">
        <f>AND(#REF!,"AAAAAF9Hm14=")</f>
        <v>#REF!</v>
      </c>
      <c r="CR307" t="e">
        <f>AND(#REF!,"AAAAAF9Hm18=")</f>
        <v>#REF!</v>
      </c>
      <c r="CS307" t="e">
        <f>AND(#REF!,"AAAAAF9Hm2A=")</f>
        <v>#REF!</v>
      </c>
      <c r="CT307" t="e">
        <f>AND(#REF!,"AAAAAF9Hm2E=")</f>
        <v>#REF!</v>
      </c>
      <c r="CU307" t="e">
        <f>AND(#REF!,"AAAAAF9Hm2I=")</f>
        <v>#REF!</v>
      </c>
      <c r="CV307" t="e">
        <f>AND(#REF!,"AAAAAF9Hm2M=")</f>
        <v>#REF!</v>
      </c>
      <c r="CW307" t="e">
        <f>AND(#REF!,"AAAAAF9Hm2Q=")</f>
        <v>#REF!</v>
      </c>
      <c r="CX307" t="e">
        <f>IF(#REF!,"AAAAAF9Hm2U=",0)</f>
        <v>#REF!</v>
      </c>
      <c r="CY307" t="e">
        <f>AND(#REF!,"AAAAAF9Hm2Y=")</f>
        <v>#REF!</v>
      </c>
      <c r="CZ307" t="e">
        <f>AND(#REF!,"AAAAAF9Hm2c=")</f>
        <v>#REF!</v>
      </c>
      <c r="DA307" t="e">
        <f>AND(#REF!,"AAAAAF9Hm2g=")</f>
        <v>#REF!</v>
      </c>
      <c r="DB307" t="e">
        <f>AND(#REF!,"AAAAAF9Hm2k=")</f>
        <v>#REF!</v>
      </c>
      <c r="DC307" t="e">
        <f>AND(#REF!,"AAAAAF9Hm2o=")</f>
        <v>#REF!</v>
      </c>
      <c r="DD307" t="e">
        <f>AND(#REF!,"AAAAAF9Hm2s=")</f>
        <v>#REF!</v>
      </c>
      <c r="DE307" t="e">
        <f>AND(#REF!,"AAAAAF9Hm2w=")</f>
        <v>#REF!</v>
      </c>
      <c r="DF307" t="e">
        <f>AND(#REF!,"AAAAAF9Hm20=")</f>
        <v>#REF!</v>
      </c>
      <c r="DG307" t="e">
        <f>AND(#REF!,"AAAAAF9Hm24=")</f>
        <v>#REF!</v>
      </c>
      <c r="DH307" t="e">
        <f>AND(#REF!,"AAAAAF9Hm28=")</f>
        <v>#REF!</v>
      </c>
      <c r="DI307" t="e">
        <f>IF(#REF!,"AAAAAF9Hm3A=",0)</f>
        <v>#REF!</v>
      </c>
      <c r="DJ307" t="e">
        <f>AND(#REF!,"AAAAAF9Hm3E=")</f>
        <v>#REF!</v>
      </c>
      <c r="DK307" t="e">
        <f>AND(#REF!,"AAAAAF9Hm3I=")</f>
        <v>#REF!</v>
      </c>
      <c r="DL307" t="e">
        <f>AND(#REF!,"AAAAAF9Hm3M=")</f>
        <v>#REF!</v>
      </c>
      <c r="DM307" t="e">
        <f>AND(#REF!,"AAAAAF9Hm3Q=")</f>
        <v>#REF!</v>
      </c>
      <c r="DN307" t="e">
        <f>AND(#REF!,"AAAAAF9Hm3U=")</f>
        <v>#REF!</v>
      </c>
      <c r="DO307" t="e">
        <f>AND(#REF!,"AAAAAF9Hm3Y=")</f>
        <v>#REF!</v>
      </c>
      <c r="DP307" t="e">
        <f>AND(#REF!,"AAAAAF9Hm3c=")</f>
        <v>#REF!</v>
      </c>
      <c r="DQ307" t="e">
        <f>AND(#REF!,"AAAAAF9Hm3g=")</f>
        <v>#REF!</v>
      </c>
      <c r="DR307" t="e">
        <f>AND(#REF!,"AAAAAF9Hm3k=")</f>
        <v>#REF!</v>
      </c>
      <c r="DS307" t="e">
        <f>AND(#REF!,"AAAAAF9Hm3o=")</f>
        <v>#REF!</v>
      </c>
      <c r="DT307" t="e">
        <f>IF(#REF!,"AAAAAF9Hm3s=",0)</f>
        <v>#REF!</v>
      </c>
      <c r="DU307" t="e">
        <f>AND(#REF!,"AAAAAF9Hm3w=")</f>
        <v>#REF!</v>
      </c>
      <c r="DV307" t="e">
        <f>AND(#REF!,"AAAAAF9Hm30=")</f>
        <v>#REF!</v>
      </c>
      <c r="DW307" t="e">
        <f>AND(#REF!,"AAAAAF9Hm34=")</f>
        <v>#REF!</v>
      </c>
      <c r="DX307" t="e">
        <f>AND(#REF!,"AAAAAF9Hm38=")</f>
        <v>#REF!</v>
      </c>
      <c r="DY307" t="e">
        <f>AND(#REF!,"AAAAAF9Hm4A=")</f>
        <v>#REF!</v>
      </c>
      <c r="DZ307" t="e">
        <f>AND(#REF!,"AAAAAF9Hm4E=")</f>
        <v>#REF!</v>
      </c>
      <c r="EA307" t="e">
        <f>AND(#REF!,"AAAAAF9Hm4I=")</f>
        <v>#REF!</v>
      </c>
      <c r="EB307" t="e">
        <f>AND(#REF!,"AAAAAF9Hm4M=")</f>
        <v>#REF!</v>
      </c>
      <c r="EC307" t="e">
        <f>AND(#REF!,"AAAAAF9Hm4Q=")</f>
        <v>#REF!</v>
      </c>
      <c r="ED307" t="e">
        <f>AND(#REF!,"AAAAAF9Hm4U=")</f>
        <v>#REF!</v>
      </c>
      <c r="EE307" t="e">
        <f>IF(#REF!,"AAAAAF9Hm4Y=",0)</f>
        <v>#REF!</v>
      </c>
      <c r="EF307" t="e">
        <f>AND(#REF!,"AAAAAF9Hm4c=")</f>
        <v>#REF!</v>
      </c>
      <c r="EG307" t="e">
        <f>AND(#REF!,"AAAAAF9Hm4g=")</f>
        <v>#REF!</v>
      </c>
      <c r="EH307" t="e">
        <f>AND(#REF!,"AAAAAF9Hm4k=")</f>
        <v>#REF!</v>
      </c>
      <c r="EI307" t="e">
        <f>AND(#REF!,"AAAAAF9Hm4o=")</f>
        <v>#REF!</v>
      </c>
      <c r="EJ307" t="e">
        <f>AND(#REF!,"AAAAAF9Hm4s=")</f>
        <v>#REF!</v>
      </c>
      <c r="EK307" t="e">
        <f>AND(#REF!,"AAAAAF9Hm4w=")</f>
        <v>#REF!</v>
      </c>
      <c r="EL307" t="e">
        <f>AND(#REF!,"AAAAAF9Hm40=")</f>
        <v>#REF!</v>
      </c>
      <c r="EM307" t="e">
        <f>AND(#REF!,"AAAAAF9Hm44=")</f>
        <v>#REF!</v>
      </c>
      <c r="EN307" t="e">
        <f>AND(#REF!,"AAAAAF9Hm48=")</f>
        <v>#REF!</v>
      </c>
      <c r="EO307" t="e">
        <f>AND(#REF!,"AAAAAF9Hm5A=")</f>
        <v>#REF!</v>
      </c>
      <c r="EP307" t="e">
        <f>IF(#REF!,"AAAAAF9Hm5E=",0)</f>
        <v>#REF!</v>
      </c>
      <c r="EQ307" t="e">
        <f>AND(#REF!,"AAAAAF9Hm5I=")</f>
        <v>#REF!</v>
      </c>
      <c r="ER307" t="e">
        <f>AND(#REF!,"AAAAAF9Hm5M=")</f>
        <v>#REF!</v>
      </c>
      <c r="ES307" t="e">
        <f>AND(#REF!,"AAAAAF9Hm5Q=")</f>
        <v>#REF!</v>
      </c>
      <c r="ET307" t="e">
        <f>AND(#REF!,"AAAAAF9Hm5U=")</f>
        <v>#REF!</v>
      </c>
      <c r="EU307" t="e">
        <f>AND(#REF!,"AAAAAF9Hm5Y=")</f>
        <v>#REF!</v>
      </c>
      <c r="EV307" t="e">
        <f>AND(#REF!,"AAAAAF9Hm5c=")</f>
        <v>#REF!</v>
      </c>
      <c r="EW307" t="e">
        <f>AND(#REF!,"AAAAAF9Hm5g=")</f>
        <v>#REF!</v>
      </c>
      <c r="EX307" t="e">
        <f>AND(#REF!,"AAAAAF9Hm5k=")</f>
        <v>#REF!</v>
      </c>
      <c r="EY307" t="e">
        <f>AND(#REF!,"AAAAAF9Hm5o=")</f>
        <v>#REF!</v>
      </c>
      <c r="EZ307" t="e">
        <f>AND(#REF!,"AAAAAF9Hm5s=")</f>
        <v>#REF!</v>
      </c>
      <c r="FA307" t="e">
        <f>IF(#REF!,"AAAAAF9Hm5w=",0)</f>
        <v>#REF!</v>
      </c>
      <c r="FB307" t="e">
        <f>AND(#REF!,"AAAAAF9Hm50=")</f>
        <v>#REF!</v>
      </c>
      <c r="FC307" t="e">
        <f>AND(#REF!,"AAAAAF9Hm54=")</f>
        <v>#REF!</v>
      </c>
      <c r="FD307" t="e">
        <f>AND(#REF!,"AAAAAF9Hm58=")</f>
        <v>#REF!</v>
      </c>
      <c r="FE307" t="e">
        <f>AND(#REF!,"AAAAAF9Hm6A=")</f>
        <v>#REF!</v>
      </c>
      <c r="FF307" t="e">
        <f>AND(#REF!,"AAAAAF9Hm6E=")</f>
        <v>#REF!</v>
      </c>
      <c r="FG307" t="e">
        <f>AND(#REF!,"AAAAAF9Hm6I=")</f>
        <v>#REF!</v>
      </c>
      <c r="FH307" t="e">
        <f>AND(#REF!,"AAAAAF9Hm6M=")</f>
        <v>#REF!</v>
      </c>
      <c r="FI307" t="e">
        <f>AND(#REF!,"AAAAAF9Hm6Q=")</f>
        <v>#REF!</v>
      </c>
      <c r="FJ307" t="e">
        <f>AND(#REF!,"AAAAAF9Hm6U=")</f>
        <v>#REF!</v>
      </c>
      <c r="FK307" t="e">
        <f>AND(#REF!,"AAAAAF9Hm6Y=")</f>
        <v>#REF!</v>
      </c>
      <c r="FL307" t="e">
        <f>IF(#REF!,"AAAAAF9Hm6c=",0)</f>
        <v>#REF!</v>
      </c>
      <c r="FM307" t="e">
        <f>AND(#REF!,"AAAAAF9Hm6g=")</f>
        <v>#REF!</v>
      </c>
      <c r="FN307" t="e">
        <f>AND(#REF!,"AAAAAF9Hm6k=")</f>
        <v>#REF!</v>
      </c>
      <c r="FO307" t="e">
        <f>AND(#REF!,"AAAAAF9Hm6o=")</f>
        <v>#REF!</v>
      </c>
      <c r="FP307" t="e">
        <f>AND(#REF!,"AAAAAF9Hm6s=")</f>
        <v>#REF!</v>
      </c>
      <c r="FQ307" t="e">
        <f>AND(#REF!,"AAAAAF9Hm6w=")</f>
        <v>#REF!</v>
      </c>
      <c r="FR307" t="e">
        <f>AND(#REF!,"AAAAAF9Hm60=")</f>
        <v>#REF!</v>
      </c>
      <c r="FS307" t="e">
        <f>AND(#REF!,"AAAAAF9Hm64=")</f>
        <v>#REF!</v>
      </c>
      <c r="FT307" t="e">
        <f>AND(#REF!,"AAAAAF9Hm68=")</f>
        <v>#REF!</v>
      </c>
      <c r="FU307" t="e">
        <f>AND(#REF!,"AAAAAF9Hm7A=")</f>
        <v>#REF!</v>
      </c>
      <c r="FV307" t="e">
        <f>AND(#REF!,"AAAAAF9Hm7E=")</f>
        <v>#REF!</v>
      </c>
      <c r="FW307" t="e">
        <f>IF(#REF!,"AAAAAF9Hm7I=",0)</f>
        <v>#REF!</v>
      </c>
      <c r="FX307" t="e">
        <f>AND(#REF!,"AAAAAF9Hm7M=")</f>
        <v>#REF!</v>
      </c>
      <c r="FY307" t="e">
        <f>AND(#REF!,"AAAAAF9Hm7Q=")</f>
        <v>#REF!</v>
      </c>
      <c r="FZ307" t="e">
        <f>AND(#REF!,"AAAAAF9Hm7U=")</f>
        <v>#REF!</v>
      </c>
      <c r="GA307" t="e">
        <f>AND(#REF!,"AAAAAF9Hm7Y=")</f>
        <v>#REF!</v>
      </c>
      <c r="GB307" t="e">
        <f>AND(#REF!,"AAAAAF9Hm7c=")</f>
        <v>#REF!</v>
      </c>
      <c r="GC307" t="e">
        <f>AND(#REF!,"AAAAAF9Hm7g=")</f>
        <v>#REF!</v>
      </c>
      <c r="GD307" t="e">
        <f>AND(#REF!,"AAAAAF9Hm7k=")</f>
        <v>#REF!</v>
      </c>
      <c r="GE307" t="e">
        <f>AND(#REF!,"AAAAAF9Hm7o=")</f>
        <v>#REF!</v>
      </c>
      <c r="GF307" t="e">
        <f>AND(#REF!,"AAAAAF9Hm7s=")</f>
        <v>#REF!</v>
      </c>
      <c r="GG307" t="e">
        <f>AND(#REF!,"AAAAAF9Hm7w=")</f>
        <v>#REF!</v>
      </c>
      <c r="GH307" t="e">
        <f>IF(#REF!,"AAAAAF9Hm70=",0)</f>
        <v>#REF!</v>
      </c>
      <c r="GI307" t="e">
        <f>AND(#REF!,"AAAAAF9Hm74=")</f>
        <v>#REF!</v>
      </c>
      <c r="GJ307" t="e">
        <f>AND(#REF!,"AAAAAF9Hm78=")</f>
        <v>#REF!</v>
      </c>
      <c r="GK307" t="e">
        <f>AND(#REF!,"AAAAAF9Hm8A=")</f>
        <v>#REF!</v>
      </c>
      <c r="GL307" t="e">
        <f>AND(#REF!,"AAAAAF9Hm8E=")</f>
        <v>#REF!</v>
      </c>
      <c r="GM307" t="e">
        <f>AND(#REF!,"AAAAAF9Hm8I=")</f>
        <v>#REF!</v>
      </c>
      <c r="GN307" t="e">
        <f>AND(#REF!,"AAAAAF9Hm8M=")</f>
        <v>#REF!</v>
      </c>
      <c r="GO307" t="e">
        <f>AND(#REF!,"AAAAAF9Hm8Q=")</f>
        <v>#REF!</v>
      </c>
      <c r="GP307" t="e">
        <f>AND(#REF!,"AAAAAF9Hm8U=")</f>
        <v>#REF!</v>
      </c>
      <c r="GQ307" t="e">
        <f>AND(#REF!,"AAAAAF9Hm8Y=")</f>
        <v>#REF!</v>
      </c>
      <c r="GR307" t="e">
        <f>AND(#REF!,"AAAAAF9Hm8c=")</f>
        <v>#REF!</v>
      </c>
      <c r="GS307" t="e">
        <f>IF(#REF!,"AAAAAF9Hm8g=",0)</f>
        <v>#REF!</v>
      </c>
      <c r="GT307" t="e">
        <f>AND(#REF!,"AAAAAF9Hm8k=")</f>
        <v>#REF!</v>
      </c>
      <c r="GU307" t="e">
        <f>AND(#REF!,"AAAAAF9Hm8o=")</f>
        <v>#REF!</v>
      </c>
      <c r="GV307" t="e">
        <f>AND(#REF!,"AAAAAF9Hm8s=")</f>
        <v>#REF!</v>
      </c>
      <c r="GW307" t="e">
        <f>AND(#REF!,"AAAAAF9Hm8w=")</f>
        <v>#REF!</v>
      </c>
      <c r="GX307" t="e">
        <f>AND(#REF!,"AAAAAF9Hm80=")</f>
        <v>#REF!</v>
      </c>
      <c r="GY307" t="e">
        <f>AND(#REF!,"AAAAAF9Hm84=")</f>
        <v>#REF!</v>
      </c>
      <c r="GZ307" t="e">
        <f>AND(#REF!,"AAAAAF9Hm88=")</f>
        <v>#REF!</v>
      </c>
      <c r="HA307" t="e">
        <f>AND(#REF!,"AAAAAF9Hm9A=")</f>
        <v>#REF!</v>
      </c>
      <c r="HB307" t="e">
        <f>AND(#REF!,"AAAAAF9Hm9E=")</f>
        <v>#REF!</v>
      </c>
      <c r="HC307" t="e">
        <f>AND(#REF!,"AAAAAF9Hm9I=")</f>
        <v>#REF!</v>
      </c>
      <c r="HD307" t="e">
        <f>IF(#REF!,"AAAAAF9Hm9M=",0)</f>
        <v>#REF!</v>
      </c>
      <c r="HE307" t="e">
        <f>AND(#REF!,"AAAAAF9Hm9Q=")</f>
        <v>#REF!</v>
      </c>
      <c r="HF307" t="e">
        <f>AND(#REF!,"AAAAAF9Hm9U=")</f>
        <v>#REF!</v>
      </c>
      <c r="HG307" t="e">
        <f>AND(#REF!,"AAAAAF9Hm9Y=")</f>
        <v>#REF!</v>
      </c>
      <c r="HH307" t="e">
        <f>AND(#REF!,"AAAAAF9Hm9c=")</f>
        <v>#REF!</v>
      </c>
      <c r="HI307" t="e">
        <f>AND(#REF!,"AAAAAF9Hm9g=")</f>
        <v>#REF!</v>
      </c>
      <c r="HJ307" t="e">
        <f>AND(#REF!,"AAAAAF9Hm9k=")</f>
        <v>#REF!</v>
      </c>
      <c r="HK307" t="e">
        <f>AND(#REF!,"AAAAAF9Hm9o=")</f>
        <v>#REF!</v>
      </c>
      <c r="HL307" t="e">
        <f>AND(#REF!,"AAAAAF9Hm9s=")</f>
        <v>#REF!</v>
      </c>
      <c r="HM307" t="e">
        <f>AND(#REF!,"AAAAAF9Hm9w=")</f>
        <v>#REF!</v>
      </c>
      <c r="HN307" t="e">
        <f>AND(#REF!,"AAAAAF9Hm90=")</f>
        <v>#REF!</v>
      </c>
      <c r="HO307" t="e">
        <f>IF(#REF!,"AAAAAF9Hm94=",0)</f>
        <v>#REF!</v>
      </c>
      <c r="HP307" t="e">
        <f>AND(#REF!,"AAAAAF9Hm98=")</f>
        <v>#REF!</v>
      </c>
      <c r="HQ307" t="e">
        <f>AND(#REF!,"AAAAAF9Hm+A=")</f>
        <v>#REF!</v>
      </c>
      <c r="HR307" t="e">
        <f>AND(#REF!,"AAAAAF9Hm+E=")</f>
        <v>#REF!</v>
      </c>
      <c r="HS307" t="e">
        <f>AND(#REF!,"AAAAAF9Hm+I=")</f>
        <v>#REF!</v>
      </c>
      <c r="HT307" t="e">
        <f>AND(#REF!,"AAAAAF9Hm+M=")</f>
        <v>#REF!</v>
      </c>
      <c r="HU307" t="e">
        <f>AND(#REF!,"AAAAAF9Hm+Q=")</f>
        <v>#REF!</v>
      </c>
      <c r="HV307" t="e">
        <f>AND(#REF!,"AAAAAF9Hm+U=")</f>
        <v>#REF!</v>
      </c>
      <c r="HW307" t="e">
        <f>AND(#REF!,"AAAAAF9Hm+Y=")</f>
        <v>#REF!</v>
      </c>
      <c r="HX307" t="e">
        <f>AND(#REF!,"AAAAAF9Hm+c=")</f>
        <v>#REF!</v>
      </c>
      <c r="HY307" t="e">
        <f>AND(#REF!,"AAAAAF9Hm+g=")</f>
        <v>#REF!</v>
      </c>
      <c r="HZ307" t="e">
        <f>IF(#REF!,"AAAAAF9Hm+k=",0)</f>
        <v>#REF!</v>
      </c>
      <c r="IA307" t="e">
        <f>AND(#REF!,"AAAAAF9Hm+o=")</f>
        <v>#REF!</v>
      </c>
      <c r="IB307" t="e">
        <f>AND(#REF!,"AAAAAF9Hm+s=")</f>
        <v>#REF!</v>
      </c>
      <c r="IC307" t="e">
        <f>AND(#REF!,"AAAAAF9Hm+w=")</f>
        <v>#REF!</v>
      </c>
      <c r="ID307" t="e">
        <f>AND(#REF!,"AAAAAF9Hm+0=")</f>
        <v>#REF!</v>
      </c>
      <c r="IE307" t="e">
        <f>AND(#REF!,"AAAAAF9Hm+4=")</f>
        <v>#REF!</v>
      </c>
      <c r="IF307" t="e">
        <f>AND(#REF!,"AAAAAF9Hm+8=")</f>
        <v>#REF!</v>
      </c>
      <c r="IG307" t="e">
        <f>AND(#REF!,"AAAAAF9Hm/A=")</f>
        <v>#REF!</v>
      </c>
      <c r="IH307" t="e">
        <f>AND(#REF!,"AAAAAF9Hm/E=")</f>
        <v>#REF!</v>
      </c>
      <c r="II307" t="e">
        <f>AND(#REF!,"AAAAAF9Hm/I=")</f>
        <v>#REF!</v>
      </c>
      <c r="IJ307" t="e">
        <f>AND(#REF!,"AAAAAF9Hm/M=")</f>
        <v>#REF!</v>
      </c>
      <c r="IK307" t="e">
        <f>IF(#REF!,"AAAAAF9Hm/Q=",0)</f>
        <v>#REF!</v>
      </c>
      <c r="IL307" t="e">
        <f>AND(#REF!,"AAAAAF9Hm/U=")</f>
        <v>#REF!</v>
      </c>
      <c r="IM307" t="e">
        <f>AND(#REF!,"AAAAAF9Hm/Y=")</f>
        <v>#REF!</v>
      </c>
      <c r="IN307" t="e">
        <f>AND(#REF!,"AAAAAF9Hm/c=")</f>
        <v>#REF!</v>
      </c>
      <c r="IO307" t="e">
        <f>AND(#REF!,"AAAAAF9Hm/g=")</f>
        <v>#REF!</v>
      </c>
      <c r="IP307" t="e">
        <f>AND(#REF!,"AAAAAF9Hm/k=")</f>
        <v>#REF!</v>
      </c>
      <c r="IQ307" t="e">
        <f>AND(#REF!,"AAAAAF9Hm/o=")</f>
        <v>#REF!</v>
      </c>
      <c r="IR307" t="e">
        <f>AND(#REF!,"AAAAAF9Hm/s=")</f>
        <v>#REF!</v>
      </c>
      <c r="IS307" t="e">
        <f>AND(#REF!,"AAAAAF9Hm/w=")</f>
        <v>#REF!</v>
      </c>
      <c r="IT307" t="e">
        <f>AND(#REF!,"AAAAAF9Hm/0=")</f>
        <v>#REF!</v>
      </c>
      <c r="IU307" t="e">
        <f>AND(#REF!,"AAAAAF9Hm/4=")</f>
        <v>#REF!</v>
      </c>
      <c r="IV307" t="e">
        <f>IF(#REF!,"AAAAAF9Hm/8=",0)</f>
        <v>#REF!</v>
      </c>
    </row>
    <row r="308" spans="1:256" x14ac:dyDescent="0.25">
      <c r="A308" t="e">
        <f>AND(#REF!,"AAAAAH2vfwA=")</f>
        <v>#REF!</v>
      </c>
      <c r="B308" t="e">
        <f>AND(#REF!,"AAAAAH2vfwE=")</f>
        <v>#REF!</v>
      </c>
      <c r="C308" t="e">
        <f>AND(#REF!,"AAAAAH2vfwI=")</f>
        <v>#REF!</v>
      </c>
      <c r="D308" t="e">
        <f>AND(#REF!,"AAAAAH2vfwM=")</f>
        <v>#REF!</v>
      </c>
      <c r="E308" t="e">
        <f>AND(#REF!,"AAAAAH2vfwQ=")</f>
        <v>#REF!</v>
      </c>
      <c r="F308" t="e">
        <f>AND(#REF!,"AAAAAH2vfwU=")</f>
        <v>#REF!</v>
      </c>
      <c r="G308" t="e">
        <f>AND(#REF!,"AAAAAH2vfwY=")</f>
        <v>#REF!</v>
      </c>
      <c r="H308" t="e">
        <f>AND(#REF!,"AAAAAH2vfwc=")</f>
        <v>#REF!</v>
      </c>
      <c r="I308" t="e">
        <f>AND(#REF!,"AAAAAH2vfwg=")</f>
        <v>#REF!</v>
      </c>
      <c r="J308" t="e">
        <f>AND(#REF!,"AAAAAH2vfwk=")</f>
        <v>#REF!</v>
      </c>
      <c r="K308" t="e">
        <f>IF(#REF!,"AAAAAH2vfwo=",0)</f>
        <v>#REF!</v>
      </c>
      <c r="L308" t="e">
        <f>AND(#REF!,"AAAAAH2vfws=")</f>
        <v>#REF!</v>
      </c>
      <c r="M308" t="e">
        <f>AND(#REF!,"AAAAAH2vfww=")</f>
        <v>#REF!</v>
      </c>
      <c r="N308" t="e">
        <f>AND(#REF!,"AAAAAH2vfw0=")</f>
        <v>#REF!</v>
      </c>
      <c r="O308" t="e">
        <f>AND(#REF!,"AAAAAH2vfw4=")</f>
        <v>#REF!</v>
      </c>
      <c r="P308" t="e">
        <f>AND(#REF!,"AAAAAH2vfw8=")</f>
        <v>#REF!</v>
      </c>
      <c r="Q308" t="e">
        <f>AND(#REF!,"AAAAAH2vfxA=")</f>
        <v>#REF!</v>
      </c>
      <c r="R308" t="e">
        <f>AND(#REF!,"AAAAAH2vfxE=")</f>
        <v>#REF!</v>
      </c>
      <c r="S308" t="e">
        <f>AND(#REF!,"AAAAAH2vfxI=")</f>
        <v>#REF!</v>
      </c>
      <c r="T308" t="e">
        <f>AND(#REF!,"AAAAAH2vfxM=")</f>
        <v>#REF!</v>
      </c>
      <c r="U308" t="e">
        <f>AND(#REF!,"AAAAAH2vfxQ=")</f>
        <v>#REF!</v>
      </c>
      <c r="V308" t="e">
        <f>IF(#REF!,"AAAAAH2vfxU=",0)</f>
        <v>#REF!</v>
      </c>
      <c r="W308" t="e">
        <f>AND(#REF!,"AAAAAH2vfxY=")</f>
        <v>#REF!</v>
      </c>
      <c r="X308" t="e">
        <f>AND(#REF!,"AAAAAH2vfxc=")</f>
        <v>#REF!</v>
      </c>
      <c r="Y308" t="e">
        <f>AND(#REF!,"AAAAAH2vfxg=")</f>
        <v>#REF!</v>
      </c>
      <c r="Z308" t="e">
        <f>AND(#REF!,"AAAAAH2vfxk=")</f>
        <v>#REF!</v>
      </c>
      <c r="AA308" t="e">
        <f>AND(#REF!,"AAAAAH2vfxo=")</f>
        <v>#REF!</v>
      </c>
      <c r="AB308" t="e">
        <f>AND(#REF!,"AAAAAH2vfxs=")</f>
        <v>#REF!</v>
      </c>
      <c r="AC308" t="e">
        <f>AND(#REF!,"AAAAAH2vfxw=")</f>
        <v>#REF!</v>
      </c>
      <c r="AD308" t="e">
        <f>AND(#REF!,"AAAAAH2vfx0=")</f>
        <v>#REF!</v>
      </c>
      <c r="AE308" t="e">
        <f>AND(#REF!,"AAAAAH2vfx4=")</f>
        <v>#REF!</v>
      </c>
      <c r="AF308" t="e">
        <f>AND(#REF!,"AAAAAH2vfx8=")</f>
        <v>#REF!</v>
      </c>
      <c r="AG308" t="e">
        <f>IF(#REF!,"AAAAAH2vfyA=",0)</f>
        <v>#REF!</v>
      </c>
      <c r="AH308" t="e">
        <f>AND(#REF!,"AAAAAH2vfyE=")</f>
        <v>#REF!</v>
      </c>
      <c r="AI308" t="e">
        <f>AND(#REF!,"AAAAAH2vfyI=")</f>
        <v>#REF!</v>
      </c>
      <c r="AJ308" t="e">
        <f>AND(#REF!,"AAAAAH2vfyM=")</f>
        <v>#REF!</v>
      </c>
      <c r="AK308" t="e">
        <f>AND(#REF!,"AAAAAH2vfyQ=")</f>
        <v>#REF!</v>
      </c>
      <c r="AL308" t="e">
        <f>AND(#REF!,"AAAAAH2vfyU=")</f>
        <v>#REF!</v>
      </c>
      <c r="AM308" t="e">
        <f>AND(#REF!,"AAAAAH2vfyY=")</f>
        <v>#REF!</v>
      </c>
      <c r="AN308" t="e">
        <f>AND(#REF!,"AAAAAH2vfyc=")</f>
        <v>#REF!</v>
      </c>
      <c r="AO308" t="e">
        <f>AND(#REF!,"AAAAAH2vfyg=")</f>
        <v>#REF!</v>
      </c>
      <c r="AP308" t="e">
        <f>AND(#REF!,"AAAAAH2vfyk=")</f>
        <v>#REF!</v>
      </c>
      <c r="AQ308" t="e">
        <f>AND(#REF!,"AAAAAH2vfyo=")</f>
        <v>#REF!</v>
      </c>
      <c r="AR308" t="e">
        <f>IF(#REF!,"AAAAAH2vfys=",0)</f>
        <v>#REF!</v>
      </c>
      <c r="AS308" t="e">
        <f>AND(#REF!,"AAAAAH2vfyw=")</f>
        <v>#REF!</v>
      </c>
      <c r="AT308" t="e">
        <f>AND(#REF!,"AAAAAH2vfy0=")</f>
        <v>#REF!</v>
      </c>
      <c r="AU308" t="e">
        <f>AND(#REF!,"AAAAAH2vfy4=")</f>
        <v>#REF!</v>
      </c>
      <c r="AV308" t="e">
        <f>AND(#REF!,"AAAAAH2vfy8=")</f>
        <v>#REF!</v>
      </c>
      <c r="AW308" t="e">
        <f>AND(#REF!,"AAAAAH2vfzA=")</f>
        <v>#REF!</v>
      </c>
      <c r="AX308" t="e">
        <f>AND(#REF!,"AAAAAH2vfzE=")</f>
        <v>#REF!</v>
      </c>
      <c r="AY308" t="e">
        <f>AND(#REF!,"AAAAAH2vfzI=")</f>
        <v>#REF!</v>
      </c>
      <c r="AZ308" t="e">
        <f>AND(#REF!,"AAAAAH2vfzM=")</f>
        <v>#REF!</v>
      </c>
      <c r="BA308" t="e">
        <f>AND(#REF!,"AAAAAH2vfzQ=")</f>
        <v>#REF!</v>
      </c>
      <c r="BB308" t="e">
        <f>AND(#REF!,"AAAAAH2vfzU=")</f>
        <v>#REF!</v>
      </c>
      <c r="BC308" t="e">
        <f>IF(#REF!,"AAAAAH2vfzY=",0)</f>
        <v>#REF!</v>
      </c>
      <c r="BD308" t="e">
        <f>AND(#REF!,"AAAAAH2vfzc=")</f>
        <v>#REF!</v>
      </c>
      <c r="BE308" t="e">
        <f>AND(#REF!,"AAAAAH2vfzg=")</f>
        <v>#REF!</v>
      </c>
      <c r="BF308" t="e">
        <f>AND(#REF!,"AAAAAH2vfzk=")</f>
        <v>#REF!</v>
      </c>
      <c r="BG308" t="e">
        <f>AND(#REF!,"AAAAAH2vfzo=")</f>
        <v>#REF!</v>
      </c>
      <c r="BH308" t="e">
        <f>AND(#REF!,"AAAAAH2vfzs=")</f>
        <v>#REF!</v>
      </c>
      <c r="BI308" t="e">
        <f>AND(#REF!,"AAAAAH2vfzw=")</f>
        <v>#REF!</v>
      </c>
      <c r="BJ308" t="e">
        <f>AND(#REF!,"AAAAAH2vfz0=")</f>
        <v>#REF!</v>
      </c>
      <c r="BK308" t="e">
        <f>AND(#REF!,"AAAAAH2vfz4=")</f>
        <v>#REF!</v>
      </c>
      <c r="BL308" t="e">
        <f>AND(#REF!,"AAAAAH2vfz8=")</f>
        <v>#REF!</v>
      </c>
      <c r="BM308" t="e">
        <f>AND(#REF!,"AAAAAH2vf0A=")</f>
        <v>#REF!</v>
      </c>
      <c r="BN308" t="e">
        <f>IF(#REF!,"AAAAAH2vf0E=",0)</f>
        <v>#REF!</v>
      </c>
      <c r="BO308" t="e">
        <f>AND(#REF!,"AAAAAH2vf0I=")</f>
        <v>#REF!</v>
      </c>
      <c r="BP308" t="e">
        <f>AND(#REF!,"AAAAAH2vf0M=")</f>
        <v>#REF!</v>
      </c>
      <c r="BQ308" t="e">
        <f>AND(#REF!,"AAAAAH2vf0Q=")</f>
        <v>#REF!</v>
      </c>
      <c r="BR308" t="e">
        <f>AND(#REF!,"AAAAAH2vf0U=")</f>
        <v>#REF!</v>
      </c>
      <c r="BS308" t="e">
        <f>AND(#REF!,"AAAAAH2vf0Y=")</f>
        <v>#REF!</v>
      </c>
      <c r="BT308" t="e">
        <f>AND(#REF!,"AAAAAH2vf0c=")</f>
        <v>#REF!</v>
      </c>
      <c r="BU308" t="e">
        <f>AND(#REF!,"AAAAAH2vf0g=")</f>
        <v>#REF!</v>
      </c>
      <c r="BV308" t="e">
        <f>AND(#REF!,"AAAAAH2vf0k=")</f>
        <v>#REF!</v>
      </c>
      <c r="BW308" t="e">
        <f>AND(#REF!,"AAAAAH2vf0o=")</f>
        <v>#REF!</v>
      </c>
      <c r="BX308" t="e">
        <f>AND(#REF!,"AAAAAH2vf0s=")</f>
        <v>#REF!</v>
      </c>
      <c r="BY308" t="e">
        <f>IF(#REF!,"AAAAAH2vf0w=",0)</f>
        <v>#REF!</v>
      </c>
      <c r="BZ308" t="e">
        <f>AND(#REF!,"AAAAAH2vf00=")</f>
        <v>#REF!</v>
      </c>
      <c r="CA308" t="e">
        <f>AND(#REF!,"AAAAAH2vf04=")</f>
        <v>#REF!</v>
      </c>
      <c r="CB308" t="e">
        <f>AND(#REF!,"AAAAAH2vf08=")</f>
        <v>#REF!</v>
      </c>
      <c r="CC308" t="e">
        <f>AND(#REF!,"AAAAAH2vf1A=")</f>
        <v>#REF!</v>
      </c>
      <c r="CD308" t="e">
        <f>AND(#REF!,"AAAAAH2vf1E=")</f>
        <v>#REF!</v>
      </c>
      <c r="CE308" t="e">
        <f>AND(#REF!,"AAAAAH2vf1I=")</f>
        <v>#REF!</v>
      </c>
      <c r="CF308" t="e">
        <f>AND(#REF!,"AAAAAH2vf1M=")</f>
        <v>#REF!</v>
      </c>
      <c r="CG308" t="e">
        <f>AND(#REF!,"AAAAAH2vf1Q=")</f>
        <v>#REF!</v>
      </c>
      <c r="CH308" t="e">
        <f>AND(#REF!,"AAAAAH2vf1U=")</f>
        <v>#REF!</v>
      </c>
      <c r="CI308" t="e">
        <f>AND(#REF!,"AAAAAH2vf1Y=")</f>
        <v>#REF!</v>
      </c>
      <c r="CJ308" t="e">
        <f>IF(#REF!,"AAAAAH2vf1c=",0)</f>
        <v>#REF!</v>
      </c>
      <c r="CK308" t="e">
        <f>AND(#REF!,"AAAAAH2vf1g=")</f>
        <v>#REF!</v>
      </c>
      <c r="CL308" t="e">
        <f>AND(#REF!,"AAAAAH2vf1k=")</f>
        <v>#REF!</v>
      </c>
      <c r="CM308" t="e">
        <f>AND(#REF!,"AAAAAH2vf1o=")</f>
        <v>#REF!</v>
      </c>
      <c r="CN308" t="e">
        <f>AND(#REF!,"AAAAAH2vf1s=")</f>
        <v>#REF!</v>
      </c>
      <c r="CO308" t="e">
        <f>AND(#REF!,"AAAAAH2vf1w=")</f>
        <v>#REF!</v>
      </c>
      <c r="CP308" t="e">
        <f>AND(#REF!,"AAAAAH2vf10=")</f>
        <v>#REF!</v>
      </c>
      <c r="CQ308" t="e">
        <f>AND(#REF!,"AAAAAH2vf14=")</f>
        <v>#REF!</v>
      </c>
      <c r="CR308" t="e">
        <f>AND(#REF!,"AAAAAH2vf18=")</f>
        <v>#REF!</v>
      </c>
      <c r="CS308" t="e">
        <f>AND(#REF!,"AAAAAH2vf2A=")</f>
        <v>#REF!</v>
      </c>
      <c r="CT308" t="e">
        <f>AND(#REF!,"AAAAAH2vf2E=")</f>
        <v>#REF!</v>
      </c>
      <c r="CU308" t="e">
        <f>IF(#REF!,"AAAAAH2vf2I=",0)</f>
        <v>#REF!</v>
      </c>
      <c r="CV308" t="e">
        <f>AND(#REF!,"AAAAAH2vf2M=")</f>
        <v>#REF!</v>
      </c>
      <c r="CW308" t="e">
        <f>AND(#REF!,"AAAAAH2vf2Q=")</f>
        <v>#REF!</v>
      </c>
      <c r="CX308" t="e">
        <f>AND(#REF!,"AAAAAH2vf2U=")</f>
        <v>#REF!</v>
      </c>
      <c r="CY308" t="e">
        <f>AND(#REF!,"AAAAAH2vf2Y=")</f>
        <v>#REF!</v>
      </c>
      <c r="CZ308" t="e">
        <f>AND(#REF!,"AAAAAH2vf2c=")</f>
        <v>#REF!</v>
      </c>
      <c r="DA308" t="e">
        <f>AND(#REF!,"AAAAAH2vf2g=")</f>
        <v>#REF!</v>
      </c>
      <c r="DB308" t="e">
        <f>AND(#REF!,"AAAAAH2vf2k=")</f>
        <v>#REF!</v>
      </c>
      <c r="DC308" t="e">
        <f>AND(#REF!,"AAAAAH2vf2o=")</f>
        <v>#REF!</v>
      </c>
      <c r="DD308" t="e">
        <f>AND(#REF!,"AAAAAH2vf2s=")</f>
        <v>#REF!</v>
      </c>
      <c r="DE308" t="e">
        <f>AND(#REF!,"AAAAAH2vf2w=")</f>
        <v>#REF!</v>
      </c>
      <c r="DF308" t="e">
        <f>IF(#REF!,"AAAAAH2vf20=",0)</f>
        <v>#REF!</v>
      </c>
      <c r="DG308" t="e">
        <f>AND(#REF!,"AAAAAH2vf24=")</f>
        <v>#REF!</v>
      </c>
      <c r="DH308" t="e">
        <f>AND(#REF!,"AAAAAH2vf28=")</f>
        <v>#REF!</v>
      </c>
      <c r="DI308" t="e">
        <f>AND(#REF!,"AAAAAH2vf3A=")</f>
        <v>#REF!</v>
      </c>
      <c r="DJ308" t="e">
        <f>AND(#REF!,"AAAAAH2vf3E=")</f>
        <v>#REF!</v>
      </c>
      <c r="DK308" t="e">
        <f>AND(#REF!,"AAAAAH2vf3I=")</f>
        <v>#REF!</v>
      </c>
      <c r="DL308" t="e">
        <f>AND(#REF!,"AAAAAH2vf3M=")</f>
        <v>#REF!</v>
      </c>
      <c r="DM308" t="e">
        <f>AND(#REF!,"AAAAAH2vf3Q=")</f>
        <v>#REF!</v>
      </c>
      <c r="DN308" t="e">
        <f>AND(#REF!,"AAAAAH2vf3U=")</f>
        <v>#REF!</v>
      </c>
      <c r="DO308" t="e">
        <f>AND(#REF!,"AAAAAH2vf3Y=")</f>
        <v>#REF!</v>
      </c>
      <c r="DP308" t="e">
        <f>AND(#REF!,"AAAAAH2vf3c=")</f>
        <v>#REF!</v>
      </c>
      <c r="DQ308" t="e">
        <f>IF(#REF!,"AAAAAH2vf3g=",0)</f>
        <v>#REF!</v>
      </c>
      <c r="DR308" t="e">
        <f>AND(#REF!,"AAAAAH2vf3k=")</f>
        <v>#REF!</v>
      </c>
      <c r="DS308" t="e">
        <f>AND(#REF!,"AAAAAH2vf3o=")</f>
        <v>#REF!</v>
      </c>
      <c r="DT308" t="e">
        <f>AND(#REF!,"AAAAAH2vf3s=")</f>
        <v>#REF!</v>
      </c>
      <c r="DU308" t="e">
        <f>AND(#REF!,"AAAAAH2vf3w=")</f>
        <v>#REF!</v>
      </c>
      <c r="DV308" t="e">
        <f>AND(#REF!,"AAAAAH2vf30=")</f>
        <v>#REF!</v>
      </c>
      <c r="DW308" t="e">
        <f>AND(#REF!,"AAAAAH2vf34=")</f>
        <v>#REF!</v>
      </c>
      <c r="DX308" t="e">
        <f>AND(#REF!,"AAAAAH2vf38=")</f>
        <v>#REF!</v>
      </c>
      <c r="DY308" t="e">
        <f>AND(#REF!,"AAAAAH2vf4A=")</f>
        <v>#REF!</v>
      </c>
      <c r="DZ308" t="e">
        <f>AND(#REF!,"AAAAAH2vf4E=")</f>
        <v>#REF!</v>
      </c>
      <c r="EA308" t="e">
        <f>AND(#REF!,"AAAAAH2vf4I=")</f>
        <v>#REF!</v>
      </c>
      <c r="EB308" t="e">
        <f>IF(#REF!,"AAAAAH2vf4M=",0)</f>
        <v>#REF!</v>
      </c>
      <c r="EC308" t="e">
        <f>AND(#REF!,"AAAAAH2vf4Q=")</f>
        <v>#REF!</v>
      </c>
      <c r="ED308" t="e">
        <f>AND(#REF!,"AAAAAH2vf4U=")</f>
        <v>#REF!</v>
      </c>
      <c r="EE308" t="e">
        <f>AND(#REF!,"AAAAAH2vf4Y=")</f>
        <v>#REF!</v>
      </c>
      <c r="EF308" t="e">
        <f>AND(#REF!,"AAAAAH2vf4c=")</f>
        <v>#REF!</v>
      </c>
      <c r="EG308" t="e">
        <f>AND(#REF!,"AAAAAH2vf4g=")</f>
        <v>#REF!</v>
      </c>
      <c r="EH308" t="e">
        <f>AND(#REF!,"AAAAAH2vf4k=")</f>
        <v>#REF!</v>
      </c>
      <c r="EI308" t="e">
        <f>AND(#REF!,"AAAAAH2vf4o=")</f>
        <v>#REF!</v>
      </c>
      <c r="EJ308" t="e">
        <f>AND(#REF!,"AAAAAH2vf4s=")</f>
        <v>#REF!</v>
      </c>
      <c r="EK308" t="e">
        <f>AND(#REF!,"AAAAAH2vf4w=")</f>
        <v>#REF!</v>
      </c>
      <c r="EL308" t="e">
        <f>AND(#REF!,"AAAAAH2vf40=")</f>
        <v>#REF!</v>
      </c>
      <c r="EM308" t="e">
        <f>IF(#REF!,"AAAAAH2vf44=",0)</f>
        <v>#REF!</v>
      </c>
      <c r="EN308" t="e">
        <f>AND(#REF!,"AAAAAH2vf48=")</f>
        <v>#REF!</v>
      </c>
      <c r="EO308" t="e">
        <f>AND(#REF!,"AAAAAH2vf5A=")</f>
        <v>#REF!</v>
      </c>
      <c r="EP308" t="e">
        <f>AND(#REF!,"AAAAAH2vf5E=")</f>
        <v>#REF!</v>
      </c>
      <c r="EQ308" t="e">
        <f>AND(#REF!,"AAAAAH2vf5I=")</f>
        <v>#REF!</v>
      </c>
      <c r="ER308" t="e">
        <f>AND(#REF!,"AAAAAH2vf5M=")</f>
        <v>#REF!</v>
      </c>
      <c r="ES308" t="e">
        <f>AND(#REF!,"AAAAAH2vf5Q=")</f>
        <v>#REF!</v>
      </c>
      <c r="ET308" t="e">
        <f>AND(#REF!,"AAAAAH2vf5U=")</f>
        <v>#REF!</v>
      </c>
      <c r="EU308" t="e">
        <f>AND(#REF!,"AAAAAH2vf5Y=")</f>
        <v>#REF!</v>
      </c>
      <c r="EV308" t="e">
        <f>AND(#REF!,"AAAAAH2vf5c=")</f>
        <v>#REF!</v>
      </c>
      <c r="EW308" t="e">
        <f>AND(#REF!,"AAAAAH2vf5g=")</f>
        <v>#REF!</v>
      </c>
      <c r="EX308" t="e">
        <f>IF(#REF!,"AAAAAH2vf5k=",0)</f>
        <v>#REF!</v>
      </c>
      <c r="EY308" t="e">
        <f>AND(#REF!,"AAAAAH2vf5o=")</f>
        <v>#REF!</v>
      </c>
      <c r="EZ308" t="e">
        <f>AND(#REF!,"AAAAAH2vf5s=")</f>
        <v>#REF!</v>
      </c>
      <c r="FA308" t="e">
        <f>AND(#REF!,"AAAAAH2vf5w=")</f>
        <v>#REF!</v>
      </c>
      <c r="FB308" t="e">
        <f>AND(#REF!,"AAAAAH2vf50=")</f>
        <v>#REF!</v>
      </c>
      <c r="FC308" t="e">
        <f>AND(#REF!,"AAAAAH2vf54=")</f>
        <v>#REF!</v>
      </c>
      <c r="FD308" t="e">
        <f>AND(#REF!,"AAAAAH2vf58=")</f>
        <v>#REF!</v>
      </c>
      <c r="FE308" t="e">
        <f>AND(#REF!,"AAAAAH2vf6A=")</f>
        <v>#REF!</v>
      </c>
      <c r="FF308" t="e">
        <f>AND(#REF!,"AAAAAH2vf6E=")</f>
        <v>#REF!</v>
      </c>
      <c r="FG308" t="e">
        <f>AND(#REF!,"AAAAAH2vf6I=")</f>
        <v>#REF!</v>
      </c>
      <c r="FH308" t="e">
        <f>AND(#REF!,"AAAAAH2vf6M=")</f>
        <v>#REF!</v>
      </c>
      <c r="FI308" t="e">
        <f>IF(#REF!,"AAAAAH2vf6Q=",0)</f>
        <v>#REF!</v>
      </c>
      <c r="FJ308" t="e">
        <f>AND(#REF!,"AAAAAH2vf6U=")</f>
        <v>#REF!</v>
      </c>
      <c r="FK308" t="e">
        <f>AND(#REF!,"AAAAAH2vf6Y=")</f>
        <v>#REF!</v>
      </c>
      <c r="FL308" t="e">
        <f>AND(#REF!,"AAAAAH2vf6c=")</f>
        <v>#REF!</v>
      </c>
      <c r="FM308" t="e">
        <f>AND(#REF!,"AAAAAH2vf6g=")</f>
        <v>#REF!</v>
      </c>
      <c r="FN308" t="e">
        <f>AND(#REF!,"AAAAAH2vf6k=")</f>
        <v>#REF!</v>
      </c>
      <c r="FO308" t="e">
        <f>AND(#REF!,"AAAAAH2vf6o=")</f>
        <v>#REF!</v>
      </c>
      <c r="FP308" t="e">
        <f>AND(#REF!,"AAAAAH2vf6s=")</f>
        <v>#REF!</v>
      </c>
      <c r="FQ308" t="e">
        <f>AND(#REF!,"AAAAAH2vf6w=")</f>
        <v>#REF!</v>
      </c>
      <c r="FR308" t="e">
        <f>AND(#REF!,"AAAAAH2vf60=")</f>
        <v>#REF!</v>
      </c>
      <c r="FS308" t="e">
        <f>AND(#REF!,"AAAAAH2vf64=")</f>
        <v>#REF!</v>
      </c>
      <c r="FT308" t="e">
        <f>IF(#REF!,"AAAAAH2vf68=",0)</f>
        <v>#REF!</v>
      </c>
      <c r="FU308" t="e">
        <f>AND(#REF!,"AAAAAH2vf7A=")</f>
        <v>#REF!</v>
      </c>
      <c r="FV308" t="e">
        <f>AND(#REF!,"AAAAAH2vf7E=")</f>
        <v>#REF!</v>
      </c>
      <c r="FW308" t="e">
        <f>AND(#REF!,"AAAAAH2vf7I=")</f>
        <v>#REF!</v>
      </c>
      <c r="FX308" t="e">
        <f>AND(#REF!,"AAAAAH2vf7M=")</f>
        <v>#REF!</v>
      </c>
      <c r="FY308" t="e">
        <f>AND(#REF!,"AAAAAH2vf7Q=")</f>
        <v>#REF!</v>
      </c>
      <c r="FZ308" t="e">
        <f>AND(#REF!,"AAAAAH2vf7U=")</f>
        <v>#REF!</v>
      </c>
      <c r="GA308" t="e">
        <f>AND(#REF!,"AAAAAH2vf7Y=")</f>
        <v>#REF!</v>
      </c>
      <c r="GB308" t="e">
        <f>AND(#REF!,"AAAAAH2vf7c=")</f>
        <v>#REF!</v>
      </c>
      <c r="GC308" t="e">
        <f>AND(#REF!,"AAAAAH2vf7g=")</f>
        <v>#REF!</v>
      </c>
      <c r="GD308" t="e">
        <f>AND(#REF!,"AAAAAH2vf7k=")</f>
        <v>#REF!</v>
      </c>
      <c r="GE308" t="e">
        <f>IF(#REF!,"AAAAAH2vf7o=",0)</f>
        <v>#REF!</v>
      </c>
      <c r="GF308" t="e">
        <f>AND(#REF!,"AAAAAH2vf7s=")</f>
        <v>#REF!</v>
      </c>
      <c r="GG308" t="e">
        <f>AND(#REF!,"AAAAAH2vf7w=")</f>
        <v>#REF!</v>
      </c>
      <c r="GH308" t="e">
        <f>AND(#REF!,"AAAAAH2vf70=")</f>
        <v>#REF!</v>
      </c>
      <c r="GI308" t="e">
        <f>AND(#REF!,"AAAAAH2vf74=")</f>
        <v>#REF!</v>
      </c>
      <c r="GJ308" t="e">
        <f>AND(#REF!,"AAAAAH2vf78=")</f>
        <v>#REF!</v>
      </c>
      <c r="GK308" t="e">
        <f>AND(#REF!,"AAAAAH2vf8A=")</f>
        <v>#REF!</v>
      </c>
      <c r="GL308" t="e">
        <f>AND(#REF!,"AAAAAH2vf8E=")</f>
        <v>#REF!</v>
      </c>
      <c r="GM308" t="e">
        <f>AND(#REF!,"AAAAAH2vf8I=")</f>
        <v>#REF!</v>
      </c>
      <c r="GN308" t="e">
        <f>AND(#REF!,"AAAAAH2vf8M=")</f>
        <v>#REF!</v>
      </c>
      <c r="GO308" t="e">
        <f>AND(#REF!,"AAAAAH2vf8Q=")</f>
        <v>#REF!</v>
      </c>
      <c r="GP308" t="e">
        <f>IF(#REF!,"AAAAAH2vf8U=",0)</f>
        <v>#REF!</v>
      </c>
      <c r="GQ308" t="e">
        <f>AND(#REF!,"AAAAAH2vf8Y=")</f>
        <v>#REF!</v>
      </c>
      <c r="GR308" t="e">
        <f>AND(#REF!,"AAAAAH2vf8c=")</f>
        <v>#REF!</v>
      </c>
      <c r="GS308" t="e">
        <f>AND(#REF!,"AAAAAH2vf8g=")</f>
        <v>#REF!</v>
      </c>
      <c r="GT308" t="e">
        <f>AND(#REF!,"AAAAAH2vf8k=")</f>
        <v>#REF!</v>
      </c>
      <c r="GU308" t="e">
        <f>AND(#REF!,"AAAAAH2vf8o=")</f>
        <v>#REF!</v>
      </c>
      <c r="GV308" t="e">
        <f>AND(#REF!,"AAAAAH2vf8s=")</f>
        <v>#REF!</v>
      </c>
      <c r="GW308" t="e">
        <f>AND(#REF!,"AAAAAH2vf8w=")</f>
        <v>#REF!</v>
      </c>
      <c r="GX308" t="e">
        <f>AND(#REF!,"AAAAAH2vf80=")</f>
        <v>#REF!</v>
      </c>
      <c r="GY308" t="e">
        <f>AND(#REF!,"AAAAAH2vf84=")</f>
        <v>#REF!</v>
      </c>
      <c r="GZ308" t="e">
        <f>AND(#REF!,"AAAAAH2vf88=")</f>
        <v>#REF!</v>
      </c>
      <c r="HA308" t="e">
        <f>IF(#REF!,"AAAAAH2vf9A=",0)</f>
        <v>#REF!</v>
      </c>
      <c r="HB308" t="e">
        <f>AND(#REF!,"AAAAAH2vf9E=")</f>
        <v>#REF!</v>
      </c>
      <c r="HC308" t="e">
        <f>AND(#REF!,"AAAAAH2vf9I=")</f>
        <v>#REF!</v>
      </c>
      <c r="HD308" t="e">
        <f>AND(#REF!,"AAAAAH2vf9M=")</f>
        <v>#REF!</v>
      </c>
      <c r="HE308" t="e">
        <f>AND(#REF!,"AAAAAH2vf9Q=")</f>
        <v>#REF!</v>
      </c>
      <c r="HF308" t="e">
        <f>AND(#REF!,"AAAAAH2vf9U=")</f>
        <v>#REF!</v>
      </c>
      <c r="HG308" t="e">
        <f>AND(#REF!,"AAAAAH2vf9Y=")</f>
        <v>#REF!</v>
      </c>
      <c r="HH308" t="e">
        <f>AND(#REF!,"AAAAAH2vf9c=")</f>
        <v>#REF!</v>
      </c>
      <c r="HI308" t="e">
        <f>AND(#REF!,"AAAAAH2vf9g=")</f>
        <v>#REF!</v>
      </c>
      <c r="HJ308" t="e">
        <f>AND(#REF!,"AAAAAH2vf9k=")</f>
        <v>#REF!</v>
      </c>
      <c r="HK308" t="e">
        <f>AND(#REF!,"AAAAAH2vf9o=")</f>
        <v>#REF!</v>
      </c>
      <c r="HL308" t="e">
        <f>IF(#REF!,"AAAAAH2vf9s=",0)</f>
        <v>#REF!</v>
      </c>
      <c r="HM308" t="e">
        <f>AND(#REF!,"AAAAAH2vf9w=")</f>
        <v>#REF!</v>
      </c>
      <c r="HN308" t="e">
        <f>AND(#REF!,"AAAAAH2vf90=")</f>
        <v>#REF!</v>
      </c>
      <c r="HO308" t="e">
        <f>AND(#REF!,"AAAAAH2vf94=")</f>
        <v>#REF!</v>
      </c>
      <c r="HP308" t="e">
        <f>AND(#REF!,"AAAAAH2vf98=")</f>
        <v>#REF!</v>
      </c>
      <c r="HQ308" t="e">
        <f>AND(#REF!,"AAAAAH2vf+A=")</f>
        <v>#REF!</v>
      </c>
      <c r="HR308" t="e">
        <f>AND(#REF!,"AAAAAH2vf+E=")</f>
        <v>#REF!</v>
      </c>
      <c r="HS308" t="e">
        <f>AND(#REF!,"AAAAAH2vf+I=")</f>
        <v>#REF!</v>
      </c>
      <c r="HT308" t="e">
        <f>AND(#REF!,"AAAAAH2vf+M=")</f>
        <v>#REF!</v>
      </c>
      <c r="HU308" t="e">
        <f>AND(#REF!,"AAAAAH2vf+Q=")</f>
        <v>#REF!</v>
      </c>
      <c r="HV308" t="e">
        <f>AND(#REF!,"AAAAAH2vf+U=")</f>
        <v>#REF!</v>
      </c>
      <c r="HW308" t="e">
        <f>IF(#REF!,"AAAAAH2vf+Y=",0)</f>
        <v>#REF!</v>
      </c>
      <c r="HX308" t="e">
        <f>AND(#REF!,"AAAAAH2vf+c=")</f>
        <v>#REF!</v>
      </c>
      <c r="HY308" t="e">
        <f>AND(#REF!,"AAAAAH2vf+g=")</f>
        <v>#REF!</v>
      </c>
      <c r="HZ308" t="e">
        <f>AND(#REF!,"AAAAAH2vf+k=")</f>
        <v>#REF!</v>
      </c>
      <c r="IA308" t="e">
        <f>AND(#REF!,"AAAAAH2vf+o=")</f>
        <v>#REF!</v>
      </c>
      <c r="IB308" t="e">
        <f>AND(#REF!,"AAAAAH2vf+s=")</f>
        <v>#REF!</v>
      </c>
      <c r="IC308" t="e">
        <f>AND(#REF!,"AAAAAH2vf+w=")</f>
        <v>#REF!</v>
      </c>
      <c r="ID308" t="e">
        <f>AND(#REF!,"AAAAAH2vf+0=")</f>
        <v>#REF!</v>
      </c>
      <c r="IE308" t="e">
        <f>AND(#REF!,"AAAAAH2vf+4=")</f>
        <v>#REF!</v>
      </c>
      <c r="IF308" t="e">
        <f>AND(#REF!,"AAAAAH2vf+8=")</f>
        <v>#REF!</v>
      </c>
      <c r="IG308" t="e">
        <f>AND(#REF!,"AAAAAH2vf/A=")</f>
        <v>#REF!</v>
      </c>
      <c r="IH308" t="e">
        <f>IF(#REF!,"AAAAAH2vf/E=",0)</f>
        <v>#REF!</v>
      </c>
      <c r="II308" t="e">
        <f>AND(#REF!,"AAAAAH2vf/I=")</f>
        <v>#REF!</v>
      </c>
      <c r="IJ308" t="e">
        <f>AND(#REF!,"AAAAAH2vf/M=")</f>
        <v>#REF!</v>
      </c>
      <c r="IK308" t="e">
        <f>AND(#REF!,"AAAAAH2vf/Q=")</f>
        <v>#REF!</v>
      </c>
      <c r="IL308" t="e">
        <f>AND(#REF!,"AAAAAH2vf/U=")</f>
        <v>#REF!</v>
      </c>
      <c r="IM308" t="e">
        <f>AND(#REF!,"AAAAAH2vf/Y=")</f>
        <v>#REF!</v>
      </c>
      <c r="IN308" t="e">
        <f>AND(#REF!,"AAAAAH2vf/c=")</f>
        <v>#REF!</v>
      </c>
      <c r="IO308" t="e">
        <f>AND(#REF!,"AAAAAH2vf/g=")</f>
        <v>#REF!</v>
      </c>
      <c r="IP308" t="e">
        <f>AND(#REF!,"AAAAAH2vf/k=")</f>
        <v>#REF!</v>
      </c>
      <c r="IQ308" t="e">
        <f>AND(#REF!,"AAAAAH2vf/o=")</f>
        <v>#REF!</v>
      </c>
      <c r="IR308" t="e">
        <f>AND(#REF!,"AAAAAH2vf/s=")</f>
        <v>#REF!</v>
      </c>
      <c r="IS308" t="e">
        <f>IF(#REF!,"AAAAAH2vf/w=",0)</f>
        <v>#REF!</v>
      </c>
      <c r="IT308" t="e">
        <f>AND(#REF!,"AAAAAH2vf/0=")</f>
        <v>#REF!</v>
      </c>
      <c r="IU308" t="e">
        <f>AND(#REF!,"AAAAAH2vf/4=")</f>
        <v>#REF!</v>
      </c>
      <c r="IV308" t="e">
        <f>AND(#REF!,"AAAAAH2vf/8=")</f>
        <v>#REF!</v>
      </c>
    </row>
    <row r="309" spans="1:256" x14ac:dyDescent="0.25">
      <c r="A309" t="e">
        <f>AND(#REF!,"AAAAAH++xwA=")</f>
        <v>#REF!</v>
      </c>
      <c r="B309" t="e">
        <f>AND(#REF!,"AAAAAH++xwE=")</f>
        <v>#REF!</v>
      </c>
      <c r="C309" t="e">
        <f>AND(#REF!,"AAAAAH++xwI=")</f>
        <v>#REF!</v>
      </c>
      <c r="D309" t="e">
        <f>AND(#REF!,"AAAAAH++xwM=")</f>
        <v>#REF!</v>
      </c>
      <c r="E309" t="e">
        <f>AND(#REF!,"AAAAAH++xwQ=")</f>
        <v>#REF!</v>
      </c>
      <c r="F309" t="e">
        <f>AND(#REF!,"AAAAAH++xwU=")</f>
        <v>#REF!</v>
      </c>
      <c r="G309" t="e">
        <f>AND(#REF!,"AAAAAH++xwY=")</f>
        <v>#REF!</v>
      </c>
      <c r="H309" t="e">
        <f>IF(#REF!,"AAAAAH++xwc=",0)</f>
        <v>#REF!</v>
      </c>
      <c r="I309" t="e">
        <f>AND(#REF!,"AAAAAH++xwg=")</f>
        <v>#REF!</v>
      </c>
      <c r="J309" t="e">
        <f>AND(#REF!,"AAAAAH++xwk=")</f>
        <v>#REF!</v>
      </c>
      <c r="K309" t="e">
        <f>AND(#REF!,"AAAAAH++xwo=")</f>
        <v>#REF!</v>
      </c>
      <c r="L309" t="e">
        <f>AND(#REF!,"AAAAAH++xws=")</f>
        <v>#REF!</v>
      </c>
      <c r="M309" t="e">
        <f>AND(#REF!,"AAAAAH++xww=")</f>
        <v>#REF!</v>
      </c>
      <c r="N309" t="e">
        <f>AND(#REF!,"AAAAAH++xw0=")</f>
        <v>#REF!</v>
      </c>
      <c r="O309" t="e">
        <f>AND(#REF!,"AAAAAH++xw4=")</f>
        <v>#REF!</v>
      </c>
      <c r="P309" t="e">
        <f>AND(#REF!,"AAAAAH++xw8=")</f>
        <v>#REF!</v>
      </c>
      <c r="Q309" t="e">
        <f>AND(#REF!,"AAAAAH++xxA=")</f>
        <v>#REF!</v>
      </c>
      <c r="R309" t="e">
        <f>AND(#REF!,"AAAAAH++xxE=")</f>
        <v>#REF!</v>
      </c>
      <c r="S309" t="e">
        <f>IF(#REF!,"AAAAAH++xxI=",0)</f>
        <v>#REF!</v>
      </c>
      <c r="T309" t="e">
        <f>AND(#REF!,"AAAAAH++xxM=")</f>
        <v>#REF!</v>
      </c>
      <c r="U309" t="e">
        <f>AND(#REF!,"AAAAAH++xxQ=")</f>
        <v>#REF!</v>
      </c>
      <c r="V309" t="e">
        <f>AND(#REF!,"AAAAAH++xxU=")</f>
        <v>#REF!</v>
      </c>
      <c r="W309" t="e">
        <f>AND(#REF!,"AAAAAH++xxY=")</f>
        <v>#REF!</v>
      </c>
      <c r="X309" t="e">
        <f>AND(#REF!,"AAAAAH++xxc=")</f>
        <v>#REF!</v>
      </c>
      <c r="Y309" t="e">
        <f>AND(#REF!,"AAAAAH++xxg=")</f>
        <v>#REF!</v>
      </c>
      <c r="Z309" t="e">
        <f>AND(#REF!,"AAAAAH++xxk=")</f>
        <v>#REF!</v>
      </c>
      <c r="AA309" t="e">
        <f>AND(#REF!,"AAAAAH++xxo=")</f>
        <v>#REF!</v>
      </c>
      <c r="AB309" t="e">
        <f>AND(#REF!,"AAAAAH++xxs=")</f>
        <v>#REF!</v>
      </c>
      <c r="AC309" t="e">
        <f>AND(#REF!,"AAAAAH++xxw=")</f>
        <v>#REF!</v>
      </c>
      <c r="AD309" t="e">
        <f>IF(#REF!,"AAAAAH++xx0=",0)</f>
        <v>#REF!</v>
      </c>
      <c r="AE309" t="e">
        <f>AND(#REF!,"AAAAAH++xx4=")</f>
        <v>#REF!</v>
      </c>
      <c r="AF309" t="e">
        <f>AND(#REF!,"AAAAAH++xx8=")</f>
        <v>#REF!</v>
      </c>
      <c r="AG309" t="e">
        <f>AND(#REF!,"AAAAAH++xyA=")</f>
        <v>#REF!</v>
      </c>
      <c r="AH309" t="e">
        <f>AND(#REF!,"AAAAAH++xyE=")</f>
        <v>#REF!</v>
      </c>
      <c r="AI309" t="e">
        <f>AND(#REF!,"AAAAAH++xyI=")</f>
        <v>#REF!</v>
      </c>
      <c r="AJ309" t="e">
        <f>AND(#REF!,"AAAAAH++xyM=")</f>
        <v>#REF!</v>
      </c>
      <c r="AK309" t="e">
        <f>AND(#REF!,"AAAAAH++xyQ=")</f>
        <v>#REF!</v>
      </c>
      <c r="AL309" t="e">
        <f>AND(#REF!,"AAAAAH++xyU=")</f>
        <v>#REF!</v>
      </c>
      <c r="AM309" t="e">
        <f>AND(#REF!,"AAAAAH++xyY=")</f>
        <v>#REF!</v>
      </c>
      <c r="AN309" t="e">
        <f>AND(#REF!,"AAAAAH++xyc=")</f>
        <v>#REF!</v>
      </c>
      <c r="AO309" t="e">
        <f>IF(#REF!,"AAAAAH++xyg=",0)</f>
        <v>#REF!</v>
      </c>
      <c r="AP309" t="e">
        <f>AND(#REF!,"AAAAAH++xyk=")</f>
        <v>#REF!</v>
      </c>
      <c r="AQ309" t="e">
        <f>AND(#REF!,"AAAAAH++xyo=")</f>
        <v>#REF!</v>
      </c>
      <c r="AR309" t="e">
        <f>AND(#REF!,"AAAAAH++xys=")</f>
        <v>#REF!</v>
      </c>
      <c r="AS309" t="e">
        <f>AND(#REF!,"AAAAAH++xyw=")</f>
        <v>#REF!</v>
      </c>
      <c r="AT309" t="e">
        <f>AND(#REF!,"AAAAAH++xy0=")</f>
        <v>#REF!</v>
      </c>
      <c r="AU309" t="e">
        <f>AND(#REF!,"AAAAAH++xy4=")</f>
        <v>#REF!</v>
      </c>
      <c r="AV309" t="e">
        <f>AND(#REF!,"AAAAAH++xy8=")</f>
        <v>#REF!</v>
      </c>
      <c r="AW309" t="e">
        <f>AND(#REF!,"AAAAAH++xzA=")</f>
        <v>#REF!</v>
      </c>
      <c r="AX309" t="e">
        <f>AND(#REF!,"AAAAAH++xzE=")</f>
        <v>#REF!</v>
      </c>
      <c r="AY309" t="e">
        <f>AND(#REF!,"AAAAAH++xzI=")</f>
        <v>#REF!</v>
      </c>
      <c r="AZ309" t="e">
        <f>IF(#REF!,"AAAAAH++xzM=",0)</f>
        <v>#REF!</v>
      </c>
      <c r="BA309" t="e">
        <f>AND(#REF!,"AAAAAH++xzQ=")</f>
        <v>#REF!</v>
      </c>
      <c r="BB309" t="e">
        <f>AND(#REF!,"AAAAAH++xzU=")</f>
        <v>#REF!</v>
      </c>
      <c r="BC309" t="e">
        <f>AND(#REF!,"AAAAAH++xzY=")</f>
        <v>#REF!</v>
      </c>
      <c r="BD309" t="e">
        <f>AND(#REF!,"AAAAAH++xzc=")</f>
        <v>#REF!</v>
      </c>
      <c r="BE309" t="e">
        <f>AND(#REF!,"AAAAAH++xzg=")</f>
        <v>#REF!</v>
      </c>
      <c r="BF309" t="e">
        <f>AND(#REF!,"AAAAAH++xzk=")</f>
        <v>#REF!</v>
      </c>
      <c r="BG309" t="e">
        <f>AND(#REF!,"AAAAAH++xzo=")</f>
        <v>#REF!</v>
      </c>
      <c r="BH309" t="e">
        <f>AND(#REF!,"AAAAAH++xzs=")</f>
        <v>#REF!</v>
      </c>
      <c r="BI309" t="e">
        <f>AND(#REF!,"AAAAAH++xzw=")</f>
        <v>#REF!</v>
      </c>
      <c r="BJ309" t="e">
        <f>AND(#REF!,"AAAAAH++xz0=")</f>
        <v>#REF!</v>
      </c>
      <c r="BK309" t="e">
        <f>IF(#REF!,"AAAAAH++xz4=",0)</f>
        <v>#REF!</v>
      </c>
      <c r="BL309" t="e">
        <f>AND(#REF!,"AAAAAH++xz8=")</f>
        <v>#REF!</v>
      </c>
      <c r="BM309" t="e">
        <f>AND(#REF!,"AAAAAH++x0A=")</f>
        <v>#REF!</v>
      </c>
      <c r="BN309" t="e">
        <f>AND(#REF!,"AAAAAH++x0E=")</f>
        <v>#REF!</v>
      </c>
      <c r="BO309" t="e">
        <f>AND(#REF!,"AAAAAH++x0I=")</f>
        <v>#REF!</v>
      </c>
      <c r="BP309" t="e">
        <f>AND(#REF!,"AAAAAH++x0M=")</f>
        <v>#REF!</v>
      </c>
      <c r="BQ309" t="e">
        <f>AND(#REF!,"AAAAAH++x0Q=")</f>
        <v>#REF!</v>
      </c>
      <c r="BR309" t="e">
        <f>AND(#REF!,"AAAAAH++x0U=")</f>
        <v>#REF!</v>
      </c>
      <c r="BS309" t="e">
        <f>AND(#REF!,"AAAAAH++x0Y=")</f>
        <v>#REF!</v>
      </c>
      <c r="BT309" t="e">
        <f>AND(#REF!,"AAAAAH++x0c=")</f>
        <v>#REF!</v>
      </c>
      <c r="BU309" t="e">
        <f>AND(#REF!,"AAAAAH++x0g=")</f>
        <v>#REF!</v>
      </c>
      <c r="BV309" t="e">
        <f>IF(#REF!,"AAAAAH++x0k=",0)</f>
        <v>#REF!</v>
      </c>
      <c r="BW309" t="e">
        <f>AND(#REF!,"AAAAAH++x0o=")</f>
        <v>#REF!</v>
      </c>
      <c r="BX309" t="e">
        <f>AND(#REF!,"AAAAAH++x0s=")</f>
        <v>#REF!</v>
      </c>
      <c r="BY309" t="e">
        <f>AND(#REF!,"AAAAAH++x0w=")</f>
        <v>#REF!</v>
      </c>
      <c r="BZ309" t="e">
        <f>AND(#REF!,"AAAAAH++x00=")</f>
        <v>#REF!</v>
      </c>
      <c r="CA309" t="e">
        <f>AND(#REF!,"AAAAAH++x04=")</f>
        <v>#REF!</v>
      </c>
      <c r="CB309" t="e">
        <f>AND(#REF!,"AAAAAH++x08=")</f>
        <v>#REF!</v>
      </c>
      <c r="CC309" t="e">
        <f>AND(#REF!,"AAAAAH++x1A=")</f>
        <v>#REF!</v>
      </c>
      <c r="CD309" t="e">
        <f>AND(#REF!,"AAAAAH++x1E=")</f>
        <v>#REF!</v>
      </c>
      <c r="CE309" t="e">
        <f>AND(#REF!,"AAAAAH++x1I=")</f>
        <v>#REF!</v>
      </c>
      <c r="CF309" t="e">
        <f>AND(#REF!,"AAAAAH++x1M=")</f>
        <v>#REF!</v>
      </c>
      <c r="CG309" t="e">
        <f>IF(#REF!,"AAAAAH++x1Q=",0)</f>
        <v>#REF!</v>
      </c>
      <c r="CH309" t="e">
        <f>AND(#REF!,"AAAAAH++x1U=")</f>
        <v>#REF!</v>
      </c>
      <c r="CI309" t="e">
        <f>AND(#REF!,"AAAAAH++x1Y=")</f>
        <v>#REF!</v>
      </c>
      <c r="CJ309" t="e">
        <f>AND(#REF!,"AAAAAH++x1c=")</f>
        <v>#REF!</v>
      </c>
      <c r="CK309" t="e">
        <f>AND(#REF!,"AAAAAH++x1g=")</f>
        <v>#REF!</v>
      </c>
      <c r="CL309" t="e">
        <f>AND(#REF!,"AAAAAH++x1k=")</f>
        <v>#REF!</v>
      </c>
      <c r="CM309" t="e">
        <f>AND(#REF!,"AAAAAH++x1o=")</f>
        <v>#REF!</v>
      </c>
      <c r="CN309" t="e">
        <f>AND(#REF!,"AAAAAH++x1s=")</f>
        <v>#REF!</v>
      </c>
      <c r="CO309" t="e">
        <f>AND(#REF!,"AAAAAH++x1w=")</f>
        <v>#REF!</v>
      </c>
      <c r="CP309" t="e">
        <f>AND(#REF!,"AAAAAH++x10=")</f>
        <v>#REF!</v>
      </c>
      <c r="CQ309" t="e">
        <f>AND(#REF!,"AAAAAH++x14=")</f>
        <v>#REF!</v>
      </c>
      <c r="CR309" t="e">
        <f>IF(#REF!,"AAAAAH++x18=",0)</f>
        <v>#REF!</v>
      </c>
      <c r="CS309" t="e">
        <f>AND(#REF!,"AAAAAH++x2A=")</f>
        <v>#REF!</v>
      </c>
      <c r="CT309" t="e">
        <f>AND(#REF!,"AAAAAH++x2E=")</f>
        <v>#REF!</v>
      </c>
      <c r="CU309" t="e">
        <f>AND(#REF!,"AAAAAH++x2I=")</f>
        <v>#REF!</v>
      </c>
      <c r="CV309" t="e">
        <f>AND(#REF!,"AAAAAH++x2M=")</f>
        <v>#REF!</v>
      </c>
      <c r="CW309" t="e">
        <f>AND(#REF!,"AAAAAH++x2Q=")</f>
        <v>#REF!</v>
      </c>
      <c r="CX309" t="e">
        <f>AND(#REF!,"AAAAAH++x2U=")</f>
        <v>#REF!</v>
      </c>
      <c r="CY309" t="e">
        <f>AND(#REF!,"AAAAAH++x2Y=")</f>
        <v>#REF!</v>
      </c>
      <c r="CZ309" t="e">
        <f>AND(#REF!,"AAAAAH++x2c=")</f>
        <v>#REF!</v>
      </c>
      <c r="DA309" t="e">
        <f>AND(#REF!,"AAAAAH++x2g=")</f>
        <v>#REF!</v>
      </c>
      <c r="DB309" t="e">
        <f>AND(#REF!,"AAAAAH++x2k=")</f>
        <v>#REF!</v>
      </c>
      <c r="DC309" t="e">
        <f>IF(#REF!,"AAAAAH++x2o=",0)</f>
        <v>#REF!</v>
      </c>
      <c r="DD309" t="e">
        <f>AND(#REF!,"AAAAAH++x2s=")</f>
        <v>#REF!</v>
      </c>
      <c r="DE309" t="e">
        <f>AND(#REF!,"AAAAAH++x2w=")</f>
        <v>#REF!</v>
      </c>
      <c r="DF309" t="e">
        <f>AND(#REF!,"AAAAAH++x20=")</f>
        <v>#REF!</v>
      </c>
      <c r="DG309" t="e">
        <f>AND(#REF!,"AAAAAH++x24=")</f>
        <v>#REF!</v>
      </c>
      <c r="DH309" t="e">
        <f>AND(#REF!,"AAAAAH++x28=")</f>
        <v>#REF!</v>
      </c>
      <c r="DI309" t="e">
        <f>AND(#REF!,"AAAAAH++x3A=")</f>
        <v>#REF!</v>
      </c>
      <c r="DJ309" t="e">
        <f>AND(#REF!,"AAAAAH++x3E=")</f>
        <v>#REF!</v>
      </c>
      <c r="DK309" t="e">
        <f>AND(#REF!,"AAAAAH++x3I=")</f>
        <v>#REF!</v>
      </c>
      <c r="DL309" t="e">
        <f>AND(#REF!,"AAAAAH++x3M=")</f>
        <v>#REF!</v>
      </c>
      <c r="DM309" t="e">
        <f>AND(#REF!,"AAAAAH++x3Q=")</f>
        <v>#REF!</v>
      </c>
      <c r="DN309" t="e">
        <f>IF(#REF!,"AAAAAH++x3U=",0)</f>
        <v>#REF!</v>
      </c>
      <c r="DO309" t="e">
        <f>AND(#REF!,"AAAAAH++x3Y=")</f>
        <v>#REF!</v>
      </c>
      <c r="DP309" t="e">
        <f>AND(#REF!,"AAAAAH++x3c=")</f>
        <v>#REF!</v>
      </c>
      <c r="DQ309" t="e">
        <f>AND(#REF!,"AAAAAH++x3g=")</f>
        <v>#REF!</v>
      </c>
      <c r="DR309" t="e">
        <f>AND(#REF!,"AAAAAH++x3k=")</f>
        <v>#REF!</v>
      </c>
      <c r="DS309" t="e">
        <f>AND(#REF!,"AAAAAH++x3o=")</f>
        <v>#REF!</v>
      </c>
      <c r="DT309" t="e">
        <f>AND(#REF!,"AAAAAH++x3s=")</f>
        <v>#REF!</v>
      </c>
      <c r="DU309" t="e">
        <f>AND(#REF!,"AAAAAH++x3w=")</f>
        <v>#REF!</v>
      </c>
      <c r="DV309" t="e">
        <f>AND(#REF!,"AAAAAH++x30=")</f>
        <v>#REF!</v>
      </c>
      <c r="DW309" t="e">
        <f>AND(#REF!,"AAAAAH++x34=")</f>
        <v>#REF!</v>
      </c>
      <c r="DX309" t="e">
        <f>AND(#REF!,"AAAAAH++x38=")</f>
        <v>#REF!</v>
      </c>
      <c r="DY309" t="e">
        <f>IF(#REF!,"AAAAAH++x4A=",0)</f>
        <v>#REF!</v>
      </c>
      <c r="DZ309" t="e">
        <f>AND(#REF!,"AAAAAH++x4E=")</f>
        <v>#REF!</v>
      </c>
      <c r="EA309" t="e">
        <f>AND(#REF!,"AAAAAH++x4I=")</f>
        <v>#REF!</v>
      </c>
      <c r="EB309" t="e">
        <f>AND(#REF!,"AAAAAH++x4M=")</f>
        <v>#REF!</v>
      </c>
      <c r="EC309" t="e">
        <f>AND(#REF!,"AAAAAH++x4Q=")</f>
        <v>#REF!</v>
      </c>
      <c r="ED309" t="e">
        <f>AND(#REF!,"AAAAAH++x4U=")</f>
        <v>#REF!</v>
      </c>
      <c r="EE309" t="e">
        <f>AND(#REF!,"AAAAAH++x4Y=")</f>
        <v>#REF!</v>
      </c>
      <c r="EF309" t="e">
        <f>AND(#REF!,"AAAAAH++x4c=")</f>
        <v>#REF!</v>
      </c>
      <c r="EG309" t="e">
        <f>AND(#REF!,"AAAAAH++x4g=")</f>
        <v>#REF!</v>
      </c>
      <c r="EH309" t="e">
        <f>AND(#REF!,"AAAAAH++x4k=")</f>
        <v>#REF!</v>
      </c>
      <c r="EI309" t="e">
        <f>AND(#REF!,"AAAAAH++x4o=")</f>
        <v>#REF!</v>
      </c>
      <c r="EJ309" t="e">
        <f>IF(#REF!,"AAAAAH++x4s=",0)</f>
        <v>#REF!</v>
      </c>
      <c r="EK309" t="e">
        <f>AND(#REF!,"AAAAAH++x4w=")</f>
        <v>#REF!</v>
      </c>
      <c r="EL309" t="e">
        <f>AND(#REF!,"AAAAAH++x40=")</f>
        <v>#REF!</v>
      </c>
      <c r="EM309" t="e">
        <f>AND(#REF!,"AAAAAH++x44=")</f>
        <v>#REF!</v>
      </c>
      <c r="EN309" t="e">
        <f>AND(#REF!,"AAAAAH++x48=")</f>
        <v>#REF!</v>
      </c>
      <c r="EO309" t="e">
        <f>AND(#REF!,"AAAAAH++x5A=")</f>
        <v>#REF!</v>
      </c>
      <c r="EP309" t="e">
        <f>AND(#REF!,"AAAAAH++x5E=")</f>
        <v>#REF!</v>
      </c>
      <c r="EQ309" t="e">
        <f>AND(#REF!,"AAAAAH++x5I=")</f>
        <v>#REF!</v>
      </c>
      <c r="ER309" t="e">
        <f>AND(#REF!,"AAAAAH++x5M=")</f>
        <v>#REF!</v>
      </c>
      <c r="ES309" t="e">
        <f>AND(#REF!,"AAAAAH++x5Q=")</f>
        <v>#REF!</v>
      </c>
      <c r="ET309" t="e">
        <f>AND(#REF!,"AAAAAH++x5U=")</f>
        <v>#REF!</v>
      </c>
      <c r="EU309" t="e">
        <f>IF(#REF!,"AAAAAH++x5Y=",0)</f>
        <v>#REF!</v>
      </c>
      <c r="EV309" t="e">
        <f>AND(#REF!,"AAAAAH++x5c=")</f>
        <v>#REF!</v>
      </c>
      <c r="EW309" t="e">
        <f>AND(#REF!,"AAAAAH++x5g=")</f>
        <v>#REF!</v>
      </c>
      <c r="EX309" t="e">
        <f>AND(#REF!,"AAAAAH++x5k=")</f>
        <v>#REF!</v>
      </c>
      <c r="EY309" t="e">
        <f>AND(#REF!,"AAAAAH++x5o=")</f>
        <v>#REF!</v>
      </c>
      <c r="EZ309" t="e">
        <f>AND(#REF!,"AAAAAH++x5s=")</f>
        <v>#REF!</v>
      </c>
      <c r="FA309" t="e">
        <f>AND(#REF!,"AAAAAH++x5w=")</f>
        <v>#REF!</v>
      </c>
      <c r="FB309" t="e">
        <f>AND(#REF!,"AAAAAH++x50=")</f>
        <v>#REF!</v>
      </c>
      <c r="FC309" t="e">
        <f>AND(#REF!,"AAAAAH++x54=")</f>
        <v>#REF!</v>
      </c>
      <c r="FD309" t="e">
        <f>AND(#REF!,"AAAAAH++x58=")</f>
        <v>#REF!</v>
      </c>
      <c r="FE309" t="e">
        <f>AND(#REF!,"AAAAAH++x6A=")</f>
        <v>#REF!</v>
      </c>
      <c r="FF309" t="e">
        <f>IF(#REF!,"AAAAAH++x6E=",0)</f>
        <v>#REF!</v>
      </c>
      <c r="FG309" t="e">
        <f>AND(#REF!,"AAAAAH++x6I=")</f>
        <v>#REF!</v>
      </c>
      <c r="FH309" t="e">
        <f>AND(#REF!,"AAAAAH++x6M=")</f>
        <v>#REF!</v>
      </c>
      <c r="FI309" t="e">
        <f>AND(#REF!,"AAAAAH++x6Q=")</f>
        <v>#REF!</v>
      </c>
      <c r="FJ309" t="e">
        <f>AND(#REF!,"AAAAAH++x6U=")</f>
        <v>#REF!</v>
      </c>
      <c r="FK309" t="e">
        <f>AND(#REF!,"AAAAAH++x6Y=")</f>
        <v>#REF!</v>
      </c>
      <c r="FL309" t="e">
        <f>AND(#REF!,"AAAAAH++x6c=")</f>
        <v>#REF!</v>
      </c>
      <c r="FM309" t="e">
        <f>AND(#REF!,"AAAAAH++x6g=")</f>
        <v>#REF!</v>
      </c>
      <c r="FN309" t="e">
        <f>AND(#REF!,"AAAAAH++x6k=")</f>
        <v>#REF!</v>
      </c>
      <c r="FO309" t="e">
        <f>AND(#REF!,"AAAAAH++x6o=")</f>
        <v>#REF!</v>
      </c>
      <c r="FP309" t="e">
        <f>AND(#REF!,"AAAAAH++x6s=")</f>
        <v>#REF!</v>
      </c>
      <c r="FQ309" t="e">
        <f>IF(#REF!,"AAAAAH++x6w=",0)</f>
        <v>#REF!</v>
      </c>
      <c r="FR309" t="e">
        <f>AND(#REF!,"AAAAAH++x60=")</f>
        <v>#REF!</v>
      </c>
      <c r="FS309" t="e">
        <f>AND(#REF!,"AAAAAH++x64=")</f>
        <v>#REF!</v>
      </c>
      <c r="FT309" t="e">
        <f>AND(#REF!,"AAAAAH++x68=")</f>
        <v>#REF!</v>
      </c>
      <c r="FU309" t="e">
        <f>AND(#REF!,"AAAAAH++x7A=")</f>
        <v>#REF!</v>
      </c>
      <c r="FV309" t="e">
        <f>AND(#REF!,"AAAAAH++x7E=")</f>
        <v>#REF!</v>
      </c>
      <c r="FW309" t="e">
        <f>AND(#REF!,"AAAAAH++x7I=")</f>
        <v>#REF!</v>
      </c>
      <c r="FX309" t="e">
        <f>AND(#REF!,"AAAAAH++x7M=")</f>
        <v>#REF!</v>
      </c>
      <c r="FY309" t="e">
        <f>AND(#REF!,"AAAAAH++x7Q=")</f>
        <v>#REF!</v>
      </c>
      <c r="FZ309" t="e">
        <f>AND(#REF!,"AAAAAH++x7U=")</f>
        <v>#REF!</v>
      </c>
      <c r="GA309" t="e">
        <f>AND(#REF!,"AAAAAH++x7Y=")</f>
        <v>#REF!</v>
      </c>
      <c r="GB309" t="e">
        <f>IF(#REF!,"AAAAAH++x7c=",0)</f>
        <v>#REF!</v>
      </c>
      <c r="GC309" t="e">
        <f>AND(#REF!,"AAAAAH++x7g=")</f>
        <v>#REF!</v>
      </c>
      <c r="GD309" t="e">
        <f>AND(#REF!,"AAAAAH++x7k=")</f>
        <v>#REF!</v>
      </c>
      <c r="GE309" t="e">
        <f>AND(#REF!,"AAAAAH++x7o=")</f>
        <v>#REF!</v>
      </c>
      <c r="GF309" t="e">
        <f>AND(#REF!,"AAAAAH++x7s=")</f>
        <v>#REF!</v>
      </c>
      <c r="GG309" t="e">
        <f>AND(#REF!,"AAAAAH++x7w=")</f>
        <v>#REF!</v>
      </c>
      <c r="GH309" t="e">
        <f>AND(#REF!,"AAAAAH++x70=")</f>
        <v>#REF!</v>
      </c>
      <c r="GI309" t="e">
        <f>AND(#REF!,"AAAAAH++x74=")</f>
        <v>#REF!</v>
      </c>
      <c r="GJ309" t="e">
        <f>AND(#REF!,"AAAAAH++x78=")</f>
        <v>#REF!</v>
      </c>
      <c r="GK309" t="e">
        <f>AND(#REF!,"AAAAAH++x8A=")</f>
        <v>#REF!</v>
      </c>
      <c r="GL309" t="e">
        <f>AND(#REF!,"AAAAAH++x8E=")</f>
        <v>#REF!</v>
      </c>
      <c r="GM309" t="e">
        <f>IF(#REF!,"AAAAAH++x8I=",0)</f>
        <v>#REF!</v>
      </c>
      <c r="GN309" t="e">
        <f>AND(#REF!,"AAAAAH++x8M=")</f>
        <v>#REF!</v>
      </c>
      <c r="GO309" t="e">
        <f>AND(#REF!,"AAAAAH++x8Q=")</f>
        <v>#REF!</v>
      </c>
      <c r="GP309" t="e">
        <f>AND(#REF!,"AAAAAH++x8U=")</f>
        <v>#REF!</v>
      </c>
      <c r="GQ309" t="e">
        <f>AND(#REF!,"AAAAAH++x8Y=")</f>
        <v>#REF!</v>
      </c>
      <c r="GR309" t="e">
        <f>AND(#REF!,"AAAAAH++x8c=")</f>
        <v>#REF!</v>
      </c>
      <c r="GS309" t="e">
        <f>AND(#REF!,"AAAAAH++x8g=")</f>
        <v>#REF!</v>
      </c>
      <c r="GT309" t="e">
        <f>AND(#REF!,"AAAAAH++x8k=")</f>
        <v>#REF!</v>
      </c>
      <c r="GU309" t="e">
        <f>AND(#REF!,"AAAAAH++x8o=")</f>
        <v>#REF!</v>
      </c>
      <c r="GV309" t="e">
        <f>AND(#REF!,"AAAAAH++x8s=")</f>
        <v>#REF!</v>
      </c>
      <c r="GW309" t="e">
        <f>AND(#REF!,"AAAAAH++x8w=")</f>
        <v>#REF!</v>
      </c>
      <c r="GX309" t="e">
        <f>IF(#REF!,"AAAAAH++x80=",0)</f>
        <v>#REF!</v>
      </c>
      <c r="GY309" t="e">
        <f>AND(#REF!,"AAAAAH++x84=")</f>
        <v>#REF!</v>
      </c>
      <c r="GZ309" t="e">
        <f>AND(#REF!,"AAAAAH++x88=")</f>
        <v>#REF!</v>
      </c>
      <c r="HA309" t="e">
        <f>AND(#REF!,"AAAAAH++x9A=")</f>
        <v>#REF!</v>
      </c>
      <c r="HB309" t="e">
        <f>AND(#REF!,"AAAAAH++x9E=")</f>
        <v>#REF!</v>
      </c>
      <c r="HC309" t="e">
        <f>AND(#REF!,"AAAAAH++x9I=")</f>
        <v>#REF!</v>
      </c>
      <c r="HD309" t="e">
        <f>AND(#REF!,"AAAAAH++x9M=")</f>
        <v>#REF!</v>
      </c>
      <c r="HE309" t="e">
        <f>AND(#REF!,"AAAAAH++x9Q=")</f>
        <v>#REF!</v>
      </c>
      <c r="HF309" t="e">
        <f>AND(#REF!,"AAAAAH++x9U=")</f>
        <v>#REF!</v>
      </c>
      <c r="HG309" t="e">
        <f>AND(#REF!,"AAAAAH++x9Y=")</f>
        <v>#REF!</v>
      </c>
      <c r="HH309" t="e">
        <f>AND(#REF!,"AAAAAH++x9c=")</f>
        <v>#REF!</v>
      </c>
      <c r="HI309" t="e">
        <f>IF(#REF!,"AAAAAH++x9g=",0)</f>
        <v>#REF!</v>
      </c>
      <c r="HJ309" t="e">
        <f>AND(#REF!,"AAAAAH++x9k=")</f>
        <v>#REF!</v>
      </c>
      <c r="HK309" t="e">
        <f>AND(#REF!,"AAAAAH++x9o=")</f>
        <v>#REF!</v>
      </c>
      <c r="HL309" t="e">
        <f>AND(#REF!,"AAAAAH++x9s=")</f>
        <v>#REF!</v>
      </c>
      <c r="HM309" t="e">
        <f>AND(#REF!,"AAAAAH++x9w=")</f>
        <v>#REF!</v>
      </c>
      <c r="HN309" t="e">
        <f>AND(#REF!,"AAAAAH++x90=")</f>
        <v>#REF!</v>
      </c>
      <c r="HO309" t="e">
        <f>AND(#REF!,"AAAAAH++x94=")</f>
        <v>#REF!</v>
      </c>
      <c r="HP309" t="e">
        <f>AND(#REF!,"AAAAAH++x98=")</f>
        <v>#REF!</v>
      </c>
      <c r="HQ309" t="e">
        <f>AND(#REF!,"AAAAAH++x+A=")</f>
        <v>#REF!</v>
      </c>
      <c r="HR309" t="e">
        <f>AND(#REF!,"AAAAAH++x+E=")</f>
        <v>#REF!</v>
      </c>
      <c r="HS309" t="e">
        <f>AND(#REF!,"AAAAAH++x+I=")</f>
        <v>#REF!</v>
      </c>
      <c r="HT309" t="e">
        <f>IF(#REF!,"AAAAAH++x+M=",0)</f>
        <v>#REF!</v>
      </c>
      <c r="HU309" t="e">
        <f>AND(#REF!,"AAAAAH++x+Q=")</f>
        <v>#REF!</v>
      </c>
      <c r="HV309" t="e">
        <f>AND(#REF!,"AAAAAH++x+U=")</f>
        <v>#REF!</v>
      </c>
      <c r="HW309" t="e">
        <f>AND(#REF!,"AAAAAH++x+Y=")</f>
        <v>#REF!</v>
      </c>
      <c r="HX309" t="e">
        <f>AND(#REF!,"AAAAAH++x+c=")</f>
        <v>#REF!</v>
      </c>
      <c r="HY309" t="e">
        <f>AND(#REF!,"AAAAAH++x+g=")</f>
        <v>#REF!</v>
      </c>
      <c r="HZ309" t="e">
        <f>AND(#REF!,"AAAAAH++x+k=")</f>
        <v>#REF!</v>
      </c>
      <c r="IA309" t="e">
        <f>AND(#REF!,"AAAAAH++x+o=")</f>
        <v>#REF!</v>
      </c>
      <c r="IB309" t="e">
        <f>AND(#REF!,"AAAAAH++x+s=")</f>
        <v>#REF!</v>
      </c>
      <c r="IC309" t="e">
        <f>AND(#REF!,"AAAAAH++x+w=")</f>
        <v>#REF!</v>
      </c>
      <c r="ID309" t="e">
        <f>AND(#REF!,"AAAAAH++x+0=")</f>
        <v>#REF!</v>
      </c>
      <c r="IE309" t="e">
        <f>IF(#REF!,"AAAAAH++x+4=",0)</f>
        <v>#REF!</v>
      </c>
      <c r="IF309" t="e">
        <f>AND(#REF!,"AAAAAH++x+8=")</f>
        <v>#REF!</v>
      </c>
      <c r="IG309" t="e">
        <f>AND(#REF!,"AAAAAH++x/A=")</f>
        <v>#REF!</v>
      </c>
      <c r="IH309" t="e">
        <f>AND(#REF!,"AAAAAH++x/E=")</f>
        <v>#REF!</v>
      </c>
      <c r="II309" t="e">
        <f>AND(#REF!,"AAAAAH++x/I=")</f>
        <v>#REF!</v>
      </c>
      <c r="IJ309" t="e">
        <f>AND(#REF!,"AAAAAH++x/M=")</f>
        <v>#REF!</v>
      </c>
      <c r="IK309" t="e">
        <f>AND(#REF!,"AAAAAH++x/Q=")</f>
        <v>#REF!</v>
      </c>
      <c r="IL309" t="e">
        <f>AND(#REF!,"AAAAAH++x/U=")</f>
        <v>#REF!</v>
      </c>
      <c r="IM309" t="e">
        <f>AND(#REF!,"AAAAAH++x/Y=")</f>
        <v>#REF!</v>
      </c>
      <c r="IN309" t="e">
        <f>AND(#REF!,"AAAAAH++x/c=")</f>
        <v>#REF!</v>
      </c>
      <c r="IO309" t="e">
        <f>AND(#REF!,"AAAAAH++x/g=")</f>
        <v>#REF!</v>
      </c>
      <c r="IP309" t="e">
        <f>IF(#REF!,"AAAAAH++x/k=",0)</f>
        <v>#REF!</v>
      </c>
      <c r="IQ309" t="e">
        <f>AND(#REF!,"AAAAAH++x/o=")</f>
        <v>#REF!</v>
      </c>
      <c r="IR309" t="e">
        <f>AND(#REF!,"AAAAAH++x/s=")</f>
        <v>#REF!</v>
      </c>
      <c r="IS309" t="e">
        <f>AND(#REF!,"AAAAAH++x/w=")</f>
        <v>#REF!</v>
      </c>
      <c r="IT309" t="e">
        <f>AND(#REF!,"AAAAAH++x/0=")</f>
        <v>#REF!</v>
      </c>
      <c r="IU309" t="e">
        <f>AND(#REF!,"AAAAAH++x/4=")</f>
        <v>#REF!</v>
      </c>
      <c r="IV309" t="e">
        <f>AND(#REF!,"AAAAAH++x/8=")</f>
        <v>#REF!</v>
      </c>
    </row>
    <row r="310" spans="1:256" x14ac:dyDescent="0.25">
      <c r="A310" t="e">
        <f>AND(#REF!,"AAAAAF361wA=")</f>
        <v>#REF!</v>
      </c>
      <c r="B310" t="e">
        <f>AND(#REF!,"AAAAAF361wE=")</f>
        <v>#REF!</v>
      </c>
      <c r="C310" t="e">
        <f>AND(#REF!,"AAAAAF361wI=")</f>
        <v>#REF!</v>
      </c>
      <c r="D310" t="e">
        <f>AND(#REF!,"AAAAAF361wM=")</f>
        <v>#REF!</v>
      </c>
      <c r="E310" t="e">
        <f>IF(#REF!,"AAAAAF361wQ=",0)</f>
        <v>#REF!</v>
      </c>
      <c r="F310" t="e">
        <f>AND(#REF!,"AAAAAF361wU=")</f>
        <v>#REF!</v>
      </c>
      <c r="G310" t="e">
        <f>AND(#REF!,"AAAAAF361wY=")</f>
        <v>#REF!</v>
      </c>
      <c r="H310" t="e">
        <f>AND(#REF!,"AAAAAF361wc=")</f>
        <v>#REF!</v>
      </c>
      <c r="I310" t="e">
        <f>AND(#REF!,"AAAAAF361wg=")</f>
        <v>#REF!</v>
      </c>
      <c r="J310" t="e">
        <f>AND(#REF!,"AAAAAF361wk=")</f>
        <v>#REF!</v>
      </c>
      <c r="K310" t="e">
        <f>AND(#REF!,"AAAAAF361wo=")</f>
        <v>#REF!</v>
      </c>
      <c r="L310" t="e">
        <f>AND(#REF!,"AAAAAF361ws=")</f>
        <v>#REF!</v>
      </c>
      <c r="M310" t="e">
        <f>AND(#REF!,"AAAAAF361ww=")</f>
        <v>#REF!</v>
      </c>
      <c r="N310" t="e">
        <f>AND(#REF!,"AAAAAF361w0=")</f>
        <v>#REF!</v>
      </c>
      <c r="O310" t="e">
        <f>AND(#REF!,"AAAAAF361w4=")</f>
        <v>#REF!</v>
      </c>
      <c r="P310" t="e">
        <f>IF(#REF!,"AAAAAF361w8=",0)</f>
        <v>#REF!</v>
      </c>
      <c r="Q310" t="e">
        <f>AND(#REF!,"AAAAAF361xA=")</f>
        <v>#REF!</v>
      </c>
      <c r="R310" t="e">
        <f>AND(#REF!,"AAAAAF361xE=")</f>
        <v>#REF!</v>
      </c>
      <c r="S310" t="e">
        <f>AND(#REF!,"AAAAAF361xI=")</f>
        <v>#REF!</v>
      </c>
      <c r="T310" t="e">
        <f>AND(#REF!,"AAAAAF361xM=")</f>
        <v>#REF!</v>
      </c>
      <c r="U310" t="e">
        <f>AND(#REF!,"AAAAAF361xQ=")</f>
        <v>#REF!</v>
      </c>
      <c r="V310" t="e">
        <f>AND(#REF!,"AAAAAF361xU=")</f>
        <v>#REF!</v>
      </c>
      <c r="W310" t="e">
        <f>AND(#REF!,"AAAAAF361xY=")</f>
        <v>#REF!</v>
      </c>
      <c r="X310" t="e">
        <f>AND(#REF!,"AAAAAF361xc=")</f>
        <v>#REF!</v>
      </c>
      <c r="Y310" t="e">
        <f>AND(#REF!,"AAAAAF361xg=")</f>
        <v>#REF!</v>
      </c>
      <c r="Z310" t="e">
        <f>AND(#REF!,"AAAAAF361xk=")</f>
        <v>#REF!</v>
      </c>
      <c r="AA310" t="e">
        <f>IF(#REF!,"AAAAAF361xo=",0)</f>
        <v>#REF!</v>
      </c>
      <c r="AB310" t="e">
        <f>AND(#REF!,"AAAAAF361xs=")</f>
        <v>#REF!</v>
      </c>
      <c r="AC310" t="e">
        <f>AND(#REF!,"AAAAAF361xw=")</f>
        <v>#REF!</v>
      </c>
      <c r="AD310" t="e">
        <f>AND(#REF!,"AAAAAF361x0=")</f>
        <v>#REF!</v>
      </c>
      <c r="AE310" t="e">
        <f>AND(#REF!,"AAAAAF361x4=")</f>
        <v>#REF!</v>
      </c>
      <c r="AF310" t="e">
        <f>AND(#REF!,"AAAAAF361x8=")</f>
        <v>#REF!</v>
      </c>
      <c r="AG310" t="e">
        <f>AND(#REF!,"AAAAAF361yA=")</f>
        <v>#REF!</v>
      </c>
      <c r="AH310" t="e">
        <f>AND(#REF!,"AAAAAF361yE=")</f>
        <v>#REF!</v>
      </c>
      <c r="AI310" t="e">
        <f>AND(#REF!,"AAAAAF361yI=")</f>
        <v>#REF!</v>
      </c>
      <c r="AJ310" t="e">
        <f>AND(#REF!,"AAAAAF361yM=")</f>
        <v>#REF!</v>
      </c>
      <c r="AK310" t="e">
        <f>AND(#REF!,"AAAAAF361yQ=")</f>
        <v>#REF!</v>
      </c>
      <c r="AL310" t="e">
        <f>IF(#REF!,"AAAAAF361yU=",0)</f>
        <v>#REF!</v>
      </c>
      <c r="AM310" t="e">
        <f>AND(#REF!,"AAAAAF361yY=")</f>
        <v>#REF!</v>
      </c>
      <c r="AN310" t="e">
        <f>AND(#REF!,"AAAAAF361yc=")</f>
        <v>#REF!</v>
      </c>
      <c r="AO310" t="e">
        <f>AND(#REF!,"AAAAAF361yg=")</f>
        <v>#REF!</v>
      </c>
      <c r="AP310" t="e">
        <f>AND(#REF!,"AAAAAF361yk=")</f>
        <v>#REF!</v>
      </c>
      <c r="AQ310" t="e">
        <f>AND(#REF!,"AAAAAF361yo=")</f>
        <v>#REF!</v>
      </c>
      <c r="AR310" t="e">
        <f>AND(#REF!,"AAAAAF361ys=")</f>
        <v>#REF!</v>
      </c>
      <c r="AS310" t="e">
        <f>AND(#REF!,"AAAAAF361yw=")</f>
        <v>#REF!</v>
      </c>
      <c r="AT310" t="e">
        <f>AND(#REF!,"AAAAAF361y0=")</f>
        <v>#REF!</v>
      </c>
      <c r="AU310" t="e">
        <f>AND(#REF!,"AAAAAF361y4=")</f>
        <v>#REF!</v>
      </c>
      <c r="AV310" t="e">
        <f>AND(#REF!,"AAAAAF361y8=")</f>
        <v>#REF!</v>
      </c>
      <c r="AW310" t="e">
        <f>IF(#REF!,"AAAAAF361zA=",0)</f>
        <v>#REF!</v>
      </c>
      <c r="AX310" t="e">
        <f>AND(#REF!,"AAAAAF361zE=")</f>
        <v>#REF!</v>
      </c>
      <c r="AY310" t="e">
        <f>AND(#REF!,"AAAAAF361zI=")</f>
        <v>#REF!</v>
      </c>
      <c r="AZ310" t="e">
        <f>AND(#REF!,"AAAAAF361zM=")</f>
        <v>#REF!</v>
      </c>
      <c r="BA310" t="e">
        <f>AND(#REF!,"AAAAAF361zQ=")</f>
        <v>#REF!</v>
      </c>
      <c r="BB310" t="e">
        <f>AND(#REF!,"AAAAAF361zU=")</f>
        <v>#REF!</v>
      </c>
      <c r="BC310" t="e">
        <f>AND(#REF!,"AAAAAF361zY=")</f>
        <v>#REF!</v>
      </c>
      <c r="BD310" t="e">
        <f>AND(#REF!,"AAAAAF361zc=")</f>
        <v>#REF!</v>
      </c>
      <c r="BE310" t="e">
        <f>AND(#REF!,"AAAAAF361zg=")</f>
        <v>#REF!</v>
      </c>
      <c r="BF310" t="e">
        <f>AND(#REF!,"AAAAAF361zk=")</f>
        <v>#REF!</v>
      </c>
      <c r="BG310" t="e">
        <f>AND(#REF!,"AAAAAF361zo=")</f>
        <v>#REF!</v>
      </c>
      <c r="BH310" t="e">
        <f>IF(#REF!,"AAAAAF361zs=",0)</f>
        <v>#REF!</v>
      </c>
      <c r="BI310" t="e">
        <f>AND(#REF!,"AAAAAF361zw=")</f>
        <v>#REF!</v>
      </c>
      <c r="BJ310" t="e">
        <f>AND(#REF!,"AAAAAF361z0=")</f>
        <v>#REF!</v>
      </c>
      <c r="BK310" t="e">
        <f>AND(#REF!,"AAAAAF361z4=")</f>
        <v>#REF!</v>
      </c>
      <c r="BL310" t="e">
        <f>AND(#REF!,"AAAAAF361z8=")</f>
        <v>#REF!</v>
      </c>
      <c r="BM310" t="e">
        <f>AND(#REF!,"AAAAAF3610A=")</f>
        <v>#REF!</v>
      </c>
      <c r="BN310" t="e">
        <f>AND(#REF!,"AAAAAF3610E=")</f>
        <v>#REF!</v>
      </c>
      <c r="BO310" t="e">
        <f>AND(#REF!,"AAAAAF3610I=")</f>
        <v>#REF!</v>
      </c>
      <c r="BP310" t="e">
        <f>AND(#REF!,"AAAAAF3610M=")</f>
        <v>#REF!</v>
      </c>
      <c r="BQ310" t="e">
        <f>AND(#REF!,"AAAAAF3610Q=")</f>
        <v>#REF!</v>
      </c>
      <c r="BR310" t="e">
        <f>AND(#REF!,"AAAAAF3610U=")</f>
        <v>#REF!</v>
      </c>
      <c r="BS310" t="e">
        <f>IF(#REF!,"AAAAAF3610Y=",0)</f>
        <v>#REF!</v>
      </c>
      <c r="BT310" t="e">
        <f>AND(#REF!,"AAAAAF3610c=")</f>
        <v>#REF!</v>
      </c>
      <c r="BU310" t="e">
        <f>AND(#REF!,"AAAAAF3610g=")</f>
        <v>#REF!</v>
      </c>
      <c r="BV310" t="e">
        <f>AND(#REF!,"AAAAAF3610k=")</f>
        <v>#REF!</v>
      </c>
      <c r="BW310" t="e">
        <f>AND(#REF!,"AAAAAF3610o=")</f>
        <v>#REF!</v>
      </c>
      <c r="BX310" t="e">
        <f>AND(#REF!,"AAAAAF3610s=")</f>
        <v>#REF!</v>
      </c>
      <c r="BY310" t="e">
        <f>AND(#REF!,"AAAAAF3610w=")</f>
        <v>#REF!</v>
      </c>
      <c r="BZ310" t="e">
        <f>AND(#REF!,"AAAAAF36100=")</f>
        <v>#REF!</v>
      </c>
      <c r="CA310" t="e">
        <f>AND(#REF!,"AAAAAF36104=")</f>
        <v>#REF!</v>
      </c>
      <c r="CB310" t="e">
        <f>AND(#REF!,"AAAAAF36108=")</f>
        <v>#REF!</v>
      </c>
      <c r="CC310" t="e">
        <f>AND(#REF!,"AAAAAF3611A=")</f>
        <v>#REF!</v>
      </c>
      <c r="CD310" t="e">
        <f>IF(#REF!,"AAAAAF3611E=",0)</f>
        <v>#REF!</v>
      </c>
      <c r="CE310" t="e">
        <f>AND(#REF!,"AAAAAF3611I=")</f>
        <v>#REF!</v>
      </c>
      <c r="CF310" t="e">
        <f>AND(#REF!,"AAAAAF3611M=")</f>
        <v>#REF!</v>
      </c>
      <c r="CG310" t="e">
        <f>AND(#REF!,"AAAAAF3611Q=")</f>
        <v>#REF!</v>
      </c>
      <c r="CH310" t="e">
        <f>AND(#REF!,"AAAAAF3611U=")</f>
        <v>#REF!</v>
      </c>
      <c r="CI310" t="e">
        <f>AND(#REF!,"AAAAAF3611Y=")</f>
        <v>#REF!</v>
      </c>
      <c r="CJ310" t="e">
        <f>AND(#REF!,"AAAAAF3611c=")</f>
        <v>#REF!</v>
      </c>
      <c r="CK310" t="e">
        <f>AND(#REF!,"AAAAAF3611g=")</f>
        <v>#REF!</v>
      </c>
      <c r="CL310" t="e">
        <f>AND(#REF!,"AAAAAF3611k=")</f>
        <v>#REF!</v>
      </c>
      <c r="CM310" t="e">
        <f>AND(#REF!,"AAAAAF3611o=")</f>
        <v>#REF!</v>
      </c>
      <c r="CN310" t="e">
        <f>AND(#REF!,"AAAAAF3611s=")</f>
        <v>#REF!</v>
      </c>
      <c r="CO310" t="e">
        <f>IF(#REF!,"AAAAAF3611w=",0)</f>
        <v>#REF!</v>
      </c>
      <c r="CP310" t="e">
        <f>AND(#REF!,"AAAAAF36110=")</f>
        <v>#REF!</v>
      </c>
      <c r="CQ310" t="e">
        <f>AND(#REF!,"AAAAAF36114=")</f>
        <v>#REF!</v>
      </c>
      <c r="CR310" t="e">
        <f>AND(#REF!,"AAAAAF36118=")</f>
        <v>#REF!</v>
      </c>
      <c r="CS310" t="e">
        <f>AND(#REF!,"AAAAAF3612A=")</f>
        <v>#REF!</v>
      </c>
      <c r="CT310" t="e">
        <f>AND(#REF!,"AAAAAF3612E=")</f>
        <v>#REF!</v>
      </c>
      <c r="CU310" t="e">
        <f>AND(#REF!,"AAAAAF3612I=")</f>
        <v>#REF!</v>
      </c>
      <c r="CV310" t="e">
        <f>AND(#REF!,"AAAAAF3612M=")</f>
        <v>#REF!</v>
      </c>
      <c r="CW310" t="e">
        <f>AND(#REF!,"AAAAAF3612Q=")</f>
        <v>#REF!</v>
      </c>
      <c r="CX310" t="e">
        <f>AND(#REF!,"AAAAAF3612U=")</f>
        <v>#REF!</v>
      </c>
      <c r="CY310" t="e">
        <f>AND(#REF!,"AAAAAF3612Y=")</f>
        <v>#REF!</v>
      </c>
      <c r="CZ310" t="e">
        <f>IF(#REF!,"AAAAAF3612c=",0)</f>
        <v>#REF!</v>
      </c>
      <c r="DA310" t="e">
        <f>AND(#REF!,"AAAAAF3612g=")</f>
        <v>#REF!</v>
      </c>
      <c r="DB310" t="e">
        <f>AND(#REF!,"AAAAAF3612k=")</f>
        <v>#REF!</v>
      </c>
      <c r="DC310" t="e">
        <f>AND(#REF!,"AAAAAF3612o=")</f>
        <v>#REF!</v>
      </c>
      <c r="DD310" t="e">
        <f>AND(#REF!,"AAAAAF3612s=")</f>
        <v>#REF!</v>
      </c>
      <c r="DE310" t="e">
        <f>AND(#REF!,"AAAAAF3612w=")</f>
        <v>#REF!</v>
      </c>
      <c r="DF310" t="e">
        <f>AND(#REF!,"AAAAAF36120=")</f>
        <v>#REF!</v>
      </c>
      <c r="DG310" t="e">
        <f>AND(#REF!,"AAAAAF36124=")</f>
        <v>#REF!</v>
      </c>
      <c r="DH310" t="e">
        <f>AND(#REF!,"AAAAAF36128=")</f>
        <v>#REF!</v>
      </c>
      <c r="DI310" t="e">
        <f>AND(#REF!,"AAAAAF3613A=")</f>
        <v>#REF!</v>
      </c>
      <c r="DJ310" t="e">
        <f>AND(#REF!,"AAAAAF3613E=")</f>
        <v>#REF!</v>
      </c>
      <c r="DK310" t="e">
        <f>IF(#REF!,"AAAAAF3613I=",0)</f>
        <v>#REF!</v>
      </c>
      <c r="DL310" t="e">
        <f>AND(#REF!,"AAAAAF3613M=")</f>
        <v>#REF!</v>
      </c>
      <c r="DM310" t="e">
        <f>AND(#REF!,"AAAAAF3613Q=")</f>
        <v>#REF!</v>
      </c>
      <c r="DN310" t="e">
        <f>AND(#REF!,"AAAAAF3613U=")</f>
        <v>#REF!</v>
      </c>
      <c r="DO310" t="e">
        <f>AND(#REF!,"AAAAAF3613Y=")</f>
        <v>#REF!</v>
      </c>
      <c r="DP310" t="e">
        <f>AND(#REF!,"AAAAAF3613c=")</f>
        <v>#REF!</v>
      </c>
      <c r="DQ310" t="e">
        <f>AND(#REF!,"AAAAAF3613g=")</f>
        <v>#REF!</v>
      </c>
      <c r="DR310" t="e">
        <f>AND(#REF!,"AAAAAF3613k=")</f>
        <v>#REF!</v>
      </c>
      <c r="DS310" t="e">
        <f>AND(#REF!,"AAAAAF3613o=")</f>
        <v>#REF!</v>
      </c>
      <c r="DT310" t="e">
        <f>AND(#REF!,"AAAAAF3613s=")</f>
        <v>#REF!</v>
      </c>
      <c r="DU310" t="e">
        <f>AND(#REF!,"AAAAAF3613w=")</f>
        <v>#REF!</v>
      </c>
      <c r="DV310" t="e">
        <f>IF(#REF!,"AAAAAF36130=",0)</f>
        <v>#REF!</v>
      </c>
      <c r="DW310" t="e">
        <f>AND(#REF!,"AAAAAF36134=")</f>
        <v>#REF!</v>
      </c>
      <c r="DX310" t="e">
        <f>AND(#REF!,"AAAAAF36138=")</f>
        <v>#REF!</v>
      </c>
      <c r="DY310" t="e">
        <f>AND(#REF!,"AAAAAF3614A=")</f>
        <v>#REF!</v>
      </c>
      <c r="DZ310" t="e">
        <f>AND(#REF!,"AAAAAF3614E=")</f>
        <v>#REF!</v>
      </c>
      <c r="EA310" t="e">
        <f>AND(#REF!,"AAAAAF3614I=")</f>
        <v>#REF!</v>
      </c>
      <c r="EB310" t="e">
        <f>AND(#REF!,"AAAAAF3614M=")</f>
        <v>#REF!</v>
      </c>
      <c r="EC310" t="e">
        <f>AND(#REF!,"AAAAAF3614Q=")</f>
        <v>#REF!</v>
      </c>
      <c r="ED310" t="e">
        <f>AND(#REF!,"AAAAAF3614U=")</f>
        <v>#REF!</v>
      </c>
      <c r="EE310" t="e">
        <f>AND(#REF!,"AAAAAF3614Y=")</f>
        <v>#REF!</v>
      </c>
      <c r="EF310" t="e">
        <f>AND(#REF!,"AAAAAF3614c=")</f>
        <v>#REF!</v>
      </c>
      <c r="EG310" t="e">
        <f>IF(#REF!,"AAAAAF3614g=",0)</f>
        <v>#REF!</v>
      </c>
      <c r="EH310" t="e">
        <f>AND(#REF!,"AAAAAF3614k=")</f>
        <v>#REF!</v>
      </c>
      <c r="EI310" t="e">
        <f>AND(#REF!,"AAAAAF3614o=")</f>
        <v>#REF!</v>
      </c>
      <c r="EJ310" t="e">
        <f>AND(#REF!,"AAAAAF3614s=")</f>
        <v>#REF!</v>
      </c>
      <c r="EK310" t="e">
        <f>AND(#REF!,"AAAAAF3614w=")</f>
        <v>#REF!</v>
      </c>
      <c r="EL310" t="e">
        <f>AND(#REF!,"AAAAAF36140=")</f>
        <v>#REF!</v>
      </c>
      <c r="EM310" t="e">
        <f>AND(#REF!,"AAAAAF36144=")</f>
        <v>#REF!</v>
      </c>
      <c r="EN310" t="e">
        <f>AND(#REF!,"AAAAAF36148=")</f>
        <v>#REF!</v>
      </c>
      <c r="EO310" t="e">
        <f>AND(#REF!,"AAAAAF3615A=")</f>
        <v>#REF!</v>
      </c>
      <c r="EP310" t="e">
        <f>AND(#REF!,"AAAAAF3615E=")</f>
        <v>#REF!</v>
      </c>
      <c r="EQ310" t="e">
        <f>AND(#REF!,"AAAAAF3615I=")</f>
        <v>#REF!</v>
      </c>
      <c r="ER310" t="e">
        <f>IF(#REF!,"AAAAAF3615M=",0)</f>
        <v>#REF!</v>
      </c>
      <c r="ES310" t="e">
        <f>AND(#REF!,"AAAAAF3615Q=")</f>
        <v>#REF!</v>
      </c>
      <c r="ET310" t="e">
        <f>AND(#REF!,"AAAAAF3615U=")</f>
        <v>#REF!</v>
      </c>
      <c r="EU310" t="e">
        <f>AND(#REF!,"AAAAAF3615Y=")</f>
        <v>#REF!</v>
      </c>
      <c r="EV310" t="e">
        <f>AND(#REF!,"AAAAAF3615c=")</f>
        <v>#REF!</v>
      </c>
      <c r="EW310" t="e">
        <f>AND(#REF!,"AAAAAF3615g=")</f>
        <v>#REF!</v>
      </c>
      <c r="EX310" t="e">
        <f>AND(#REF!,"AAAAAF3615k=")</f>
        <v>#REF!</v>
      </c>
      <c r="EY310" t="e">
        <f>AND(#REF!,"AAAAAF3615o=")</f>
        <v>#REF!</v>
      </c>
      <c r="EZ310" t="e">
        <f>AND(#REF!,"AAAAAF3615s=")</f>
        <v>#REF!</v>
      </c>
      <c r="FA310" t="e">
        <f>AND(#REF!,"AAAAAF3615w=")</f>
        <v>#REF!</v>
      </c>
      <c r="FB310" t="e">
        <f>AND(#REF!,"AAAAAF36150=")</f>
        <v>#REF!</v>
      </c>
      <c r="FC310" t="e">
        <f>IF(#REF!,"AAAAAF36154=",0)</f>
        <v>#REF!</v>
      </c>
      <c r="FD310" t="e">
        <f>AND(#REF!,"AAAAAF36158=")</f>
        <v>#REF!</v>
      </c>
      <c r="FE310" t="e">
        <f>AND(#REF!,"AAAAAF3616A=")</f>
        <v>#REF!</v>
      </c>
      <c r="FF310" t="e">
        <f>AND(#REF!,"AAAAAF3616E=")</f>
        <v>#REF!</v>
      </c>
      <c r="FG310" t="e">
        <f>AND(#REF!,"AAAAAF3616I=")</f>
        <v>#REF!</v>
      </c>
      <c r="FH310" t="e">
        <f>AND(#REF!,"AAAAAF3616M=")</f>
        <v>#REF!</v>
      </c>
      <c r="FI310" t="e">
        <f>AND(#REF!,"AAAAAF3616Q=")</f>
        <v>#REF!</v>
      </c>
      <c r="FJ310" t="e">
        <f>AND(#REF!,"AAAAAF3616U=")</f>
        <v>#REF!</v>
      </c>
      <c r="FK310" t="e">
        <f>AND(#REF!,"AAAAAF3616Y=")</f>
        <v>#REF!</v>
      </c>
      <c r="FL310" t="e">
        <f>AND(#REF!,"AAAAAF3616c=")</f>
        <v>#REF!</v>
      </c>
      <c r="FM310" t="e">
        <f>AND(#REF!,"AAAAAF3616g=")</f>
        <v>#REF!</v>
      </c>
      <c r="FN310" t="e">
        <f>IF(#REF!,"AAAAAF3616k=",0)</f>
        <v>#REF!</v>
      </c>
      <c r="FO310" t="e">
        <f>AND(#REF!,"AAAAAF3616o=")</f>
        <v>#REF!</v>
      </c>
      <c r="FP310" t="e">
        <f>AND(#REF!,"AAAAAF3616s=")</f>
        <v>#REF!</v>
      </c>
      <c r="FQ310" t="e">
        <f>AND(#REF!,"AAAAAF3616w=")</f>
        <v>#REF!</v>
      </c>
      <c r="FR310" t="e">
        <f>AND(#REF!,"AAAAAF36160=")</f>
        <v>#REF!</v>
      </c>
      <c r="FS310" t="e">
        <f>AND(#REF!,"AAAAAF36164=")</f>
        <v>#REF!</v>
      </c>
      <c r="FT310" t="e">
        <f>AND(#REF!,"AAAAAF36168=")</f>
        <v>#REF!</v>
      </c>
      <c r="FU310" t="e">
        <f>AND(#REF!,"AAAAAF3617A=")</f>
        <v>#REF!</v>
      </c>
      <c r="FV310" t="e">
        <f>AND(#REF!,"AAAAAF3617E=")</f>
        <v>#REF!</v>
      </c>
      <c r="FW310" t="e">
        <f>AND(#REF!,"AAAAAF3617I=")</f>
        <v>#REF!</v>
      </c>
      <c r="FX310" t="e">
        <f>AND(#REF!,"AAAAAF3617M=")</f>
        <v>#REF!</v>
      </c>
      <c r="FY310" t="e">
        <f>IF(#REF!,"AAAAAF3617Q=",0)</f>
        <v>#REF!</v>
      </c>
      <c r="FZ310" t="e">
        <f>AND(#REF!,"AAAAAF3617U=")</f>
        <v>#REF!</v>
      </c>
      <c r="GA310" t="e">
        <f>AND(#REF!,"AAAAAF3617Y=")</f>
        <v>#REF!</v>
      </c>
      <c r="GB310" t="e">
        <f>AND(#REF!,"AAAAAF3617c=")</f>
        <v>#REF!</v>
      </c>
      <c r="GC310" t="e">
        <f>AND(#REF!,"AAAAAF3617g=")</f>
        <v>#REF!</v>
      </c>
      <c r="GD310" t="e">
        <f>AND(#REF!,"AAAAAF3617k=")</f>
        <v>#REF!</v>
      </c>
      <c r="GE310" t="e">
        <f>AND(#REF!,"AAAAAF3617o=")</f>
        <v>#REF!</v>
      </c>
      <c r="GF310" t="e">
        <f>AND(#REF!,"AAAAAF3617s=")</f>
        <v>#REF!</v>
      </c>
      <c r="GG310" t="e">
        <f>AND(#REF!,"AAAAAF3617w=")</f>
        <v>#REF!</v>
      </c>
      <c r="GH310" t="e">
        <f>AND(#REF!,"AAAAAF36170=")</f>
        <v>#REF!</v>
      </c>
      <c r="GI310" t="e">
        <f>AND(#REF!,"AAAAAF36174=")</f>
        <v>#REF!</v>
      </c>
      <c r="GJ310" t="e">
        <f>IF(#REF!,"AAAAAF36178=",0)</f>
        <v>#REF!</v>
      </c>
      <c r="GK310" t="e">
        <f>AND(#REF!,"AAAAAF3618A=")</f>
        <v>#REF!</v>
      </c>
      <c r="GL310" t="e">
        <f>AND(#REF!,"AAAAAF3618E=")</f>
        <v>#REF!</v>
      </c>
      <c r="GM310" t="e">
        <f>AND(#REF!,"AAAAAF3618I=")</f>
        <v>#REF!</v>
      </c>
      <c r="GN310" t="e">
        <f>AND(#REF!,"AAAAAF3618M=")</f>
        <v>#REF!</v>
      </c>
      <c r="GO310" t="e">
        <f>AND(#REF!,"AAAAAF3618Q=")</f>
        <v>#REF!</v>
      </c>
      <c r="GP310" t="e">
        <f>AND(#REF!,"AAAAAF3618U=")</f>
        <v>#REF!</v>
      </c>
      <c r="GQ310" t="e">
        <f>AND(#REF!,"AAAAAF3618Y=")</f>
        <v>#REF!</v>
      </c>
      <c r="GR310" t="e">
        <f>AND(#REF!,"AAAAAF3618c=")</f>
        <v>#REF!</v>
      </c>
      <c r="GS310" t="e">
        <f>AND(#REF!,"AAAAAF3618g=")</f>
        <v>#REF!</v>
      </c>
      <c r="GT310" t="e">
        <f>AND(#REF!,"AAAAAF3618k=")</f>
        <v>#REF!</v>
      </c>
      <c r="GU310" t="e">
        <f>IF(#REF!,"AAAAAF3618o=",0)</f>
        <v>#REF!</v>
      </c>
      <c r="GV310" t="e">
        <f>AND(#REF!,"AAAAAF3618s=")</f>
        <v>#REF!</v>
      </c>
      <c r="GW310" t="e">
        <f>AND(#REF!,"AAAAAF3618w=")</f>
        <v>#REF!</v>
      </c>
      <c r="GX310" t="e">
        <f>AND(#REF!,"AAAAAF36180=")</f>
        <v>#REF!</v>
      </c>
      <c r="GY310" t="e">
        <f>AND(#REF!,"AAAAAF36184=")</f>
        <v>#REF!</v>
      </c>
      <c r="GZ310" t="e">
        <f>AND(#REF!,"AAAAAF36188=")</f>
        <v>#REF!</v>
      </c>
      <c r="HA310" t="e">
        <f>AND(#REF!,"AAAAAF3619A=")</f>
        <v>#REF!</v>
      </c>
      <c r="HB310" t="e">
        <f>AND(#REF!,"AAAAAF3619E=")</f>
        <v>#REF!</v>
      </c>
      <c r="HC310" t="e">
        <f>AND(#REF!,"AAAAAF3619I=")</f>
        <v>#REF!</v>
      </c>
      <c r="HD310" t="e">
        <f>AND(#REF!,"AAAAAF3619M=")</f>
        <v>#REF!</v>
      </c>
      <c r="HE310" t="e">
        <f>AND(#REF!,"AAAAAF3619Q=")</f>
        <v>#REF!</v>
      </c>
      <c r="HF310" t="e">
        <f>IF(#REF!,"AAAAAF3619U=",0)</f>
        <v>#REF!</v>
      </c>
      <c r="HG310" t="e">
        <f>AND(#REF!,"AAAAAF3619Y=")</f>
        <v>#REF!</v>
      </c>
      <c r="HH310" t="e">
        <f>AND(#REF!,"AAAAAF3619c=")</f>
        <v>#REF!</v>
      </c>
      <c r="HI310" t="e">
        <f>AND(#REF!,"AAAAAF3619g=")</f>
        <v>#REF!</v>
      </c>
      <c r="HJ310" t="e">
        <f>AND(#REF!,"AAAAAF3619k=")</f>
        <v>#REF!</v>
      </c>
      <c r="HK310" t="e">
        <f>AND(#REF!,"AAAAAF3619o=")</f>
        <v>#REF!</v>
      </c>
      <c r="HL310" t="e">
        <f>AND(#REF!,"AAAAAF3619s=")</f>
        <v>#REF!</v>
      </c>
      <c r="HM310" t="e">
        <f>AND(#REF!,"AAAAAF3619w=")</f>
        <v>#REF!</v>
      </c>
      <c r="HN310" t="e">
        <f>AND(#REF!,"AAAAAF36190=")</f>
        <v>#REF!</v>
      </c>
      <c r="HO310" t="e">
        <f>AND(#REF!,"AAAAAF36194=")</f>
        <v>#REF!</v>
      </c>
      <c r="HP310" t="e">
        <f>AND(#REF!,"AAAAAF36198=")</f>
        <v>#REF!</v>
      </c>
      <c r="HQ310" t="e">
        <f>IF(#REF!,"AAAAAF361+A=",0)</f>
        <v>#REF!</v>
      </c>
      <c r="HR310" t="e">
        <f>AND(#REF!,"AAAAAF361+E=")</f>
        <v>#REF!</v>
      </c>
      <c r="HS310" t="e">
        <f>AND(#REF!,"AAAAAF361+I=")</f>
        <v>#REF!</v>
      </c>
      <c r="HT310" t="e">
        <f>AND(#REF!,"AAAAAF361+M=")</f>
        <v>#REF!</v>
      </c>
      <c r="HU310" t="e">
        <f>AND(#REF!,"AAAAAF361+Q=")</f>
        <v>#REF!</v>
      </c>
      <c r="HV310" t="e">
        <f>AND(#REF!,"AAAAAF361+U=")</f>
        <v>#REF!</v>
      </c>
      <c r="HW310" t="e">
        <f>AND(#REF!,"AAAAAF361+Y=")</f>
        <v>#REF!</v>
      </c>
      <c r="HX310" t="e">
        <f>AND(#REF!,"AAAAAF361+c=")</f>
        <v>#REF!</v>
      </c>
      <c r="HY310" t="e">
        <f>AND(#REF!,"AAAAAF361+g=")</f>
        <v>#REF!</v>
      </c>
      <c r="HZ310" t="e">
        <f>AND(#REF!,"AAAAAF361+k=")</f>
        <v>#REF!</v>
      </c>
      <c r="IA310" t="e">
        <f>AND(#REF!,"AAAAAF361+o=")</f>
        <v>#REF!</v>
      </c>
      <c r="IB310" t="e">
        <f>IF(#REF!,"AAAAAF361+s=",0)</f>
        <v>#REF!</v>
      </c>
      <c r="IC310" t="e">
        <f>AND(#REF!,"AAAAAF361+w=")</f>
        <v>#REF!</v>
      </c>
      <c r="ID310" t="e">
        <f>AND(#REF!,"AAAAAF361+0=")</f>
        <v>#REF!</v>
      </c>
      <c r="IE310" t="e">
        <f>AND(#REF!,"AAAAAF361+4=")</f>
        <v>#REF!</v>
      </c>
      <c r="IF310" t="e">
        <f>AND(#REF!,"AAAAAF361+8=")</f>
        <v>#REF!</v>
      </c>
      <c r="IG310" t="e">
        <f>AND(#REF!,"AAAAAF361/A=")</f>
        <v>#REF!</v>
      </c>
      <c r="IH310" t="e">
        <f>AND(#REF!,"AAAAAF361/E=")</f>
        <v>#REF!</v>
      </c>
      <c r="II310" t="e">
        <f>AND(#REF!,"AAAAAF361/I=")</f>
        <v>#REF!</v>
      </c>
      <c r="IJ310" t="e">
        <f>AND(#REF!,"AAAAAF361/M=")</f>
        <v>#REF!</v>
      </c>
      <c r="IK310" t="e">
        <f>AND(#REF!,"AAAAAF361/Q=")</f>
        <v>#REF!</v>
      </c>
      <c r="IL310" t="e">
        <f>AND(#REF!,"AAAAAF361/U=")</f>
        <v>#REF!</v>
      </c>
      <c r="IM310" t="e">
        <f>IF(#REF!,"AAAAAF361/Y=",0)</f>
        <v>#REF!</v>
      </c>
      <c r="IN310" t="e">
        <f>AND(#REF!,"AAAAAF361/c=")</f>
        <v>#REF!</v>
      </c>
      <c r="IO310" t="e">
        <f>AND(#REF!,"AAAAAF361/g=")</f>
        <v>#REF!</v>
      </c>
      <c r="IP310" t="e">
        <f>AND(#REF!,"AAAAAF361/k=")</f>
        <v>#REF!</v>
      </c>
      <c r="IQ310" t="e">
        <f>AND(#REF!,"AAAAAF361/o=")</f>
        <v>#REF!</v>
      </c>
      <c r="IR310" t="e">
        <f>AND(#REF!,"AAAAAF361/s=")</f>
        <v>#REF!</v>
      </c>
      <c r="IS310" t="e">
        <f>AND(#REF!,"AAAAAF361/w=")</f>
        <v>#REF!</v>
      </c>
      <c r="IT310" t="e">
        <f>AND(#REF!,"AAAAAF361/0=")</f>
        <v>#REF!</v>
      </c>
      <c r="IU310" t="e">
        <f>AND(#REF!,"AAAAAF361/4=")</f>
        <v>#REF!</v>
      </c>
      <c r="IV310" t="e">
        <f>AND(#REF!,"AAAAAF361/8=")</f>
        <v>#REF!</v>
      </c>
    </row>
    <row r="311" spans="1:256" x14ac:dyDescent="0.25">
      <c r="A311" t="e">
        <f>AND(#REF!,"AAAAAF2V7wA=")</f>
        <v>#REF!</v>
      </c>
      <c r="B311" t="e">
        <f>IF(#REF!,"AAAAAF2V7wE=",0)</f>
        <v>#REF!</v>
      </c>
      <c r="C311" t="e">
        <f>AND(#REF!,"AAAAAF2V7wI=")</f>
        <v>#REF!</v>
      </c>
      <c r="D311" t="e">
        <f>AND(#REF!,"AAAAAF2V7wM=")</f>
        <v>#REF!</v>
      </c>
      <c r="E311" t="e">
        <f>AND(#REF!,"AAAAAF2V7wQ=")</f>
        <v>#REF!</v>
      </c>
      <c r="F311" t="e">
        <f>AND(#REF!,"AAAAAF2V7wU=")</f>
        <v>#REF!</v>
      </c>
      <c r="G311" t="e">
        <f>AND(#REF!,"AAAAAF2V7wY=")</f>
        <v>#REF!</v>
      </c>
      <c r="H311" t="e">
        <f>AND(#REF!,"AAAAAF2V7wc=")</f>
        <v>#REF!</v>
      </c>
      <c r="I311" t="e">
        <f>AND(#REF!,"AAAAAF2V7wg=")</f>
        <v>#REF!</v>
      </c>
      <c r="J311" t="e">
        <f>AND(#REF!,"AAAAAF2V7wk=")</f>
        <v>#REF!</v>
      </c>
      <c r="K311" t="e">
        <f>AND(#REF!,"AAAAAF2V7wo=")</f>
        <v>#REF!</v>
      </c>
      <c r="L311" t="e">
        <f>AND(#REF!,"AAAAAF2V7ws=")</f>
        <v>#REF!</v>
      </c>
      <c r="M311" t="e">
        <f>IF(#REF!,"AAAAAF2V7ww=",0)</f>
        <v>#REF!</v>
      </c>
      <c r="N311" t="e">
        <f>AND(#REF!,"AAAAAF2V7w0=")</f>
        <v>#REF!</v>
      </c>
      <c r="O311" t="e">
        <f>AND(#REF!,"AAAAAF2V7w4=")</f>
        <v>#REF!</v>
      </c>
      <c r="P311" t="e">
        <f>AND(#REF!,"AAAAAF2V7w8=")</f>
        <v>#REF!</v>
      </c>
      <c r="Q311" t="e">
        <f>AND(#REF!,"AAAAAF2V7xA=")</f>
        <v>#REF!</v>
      </c>
      <c r="R311" t="e">
        <f>AND(#REF!,"AAAAAF2V7xE=")</f>
        <v>#REF!</v>
      </c>
      <c r="S311" t="e">
        <f>AND(#REF!,"AAAAAF2V7xI=")</f>
        <v>#REF!</v>
      </c>
      <c r="T311" t="e">
        <f>AND(#REF!,"AAAAAF2V7xM=")</f>
        <v>#REF!</v>
      </c>
      <c r="U311" t="e">
        <f>AND(#REF!,"AAAAAF2V7xQ=")</f>
        <v>#REF!</v>
      </c>
      <c r="V311" t="e">
        <f>AND(#REF!,"AAAAAF2V7xU=")</f>
        <v>#REF!</v>
      </c>
      <c r="W311" t="e">
        <f>AND(#REF!,"AAAAAF2V7xY=")</f>
        <v>#REF!</v>
      </c>
      <c r="X311" t="e">
        <f>IF(#REF!,"AAAAAF2V7xc=",0)</f>
        <v>#REF!</v>
      </c>
      <c r="Y311" t="e">
        <f>AND(#REF!,"AAAAAF2V7xg=")</f>
        <v>#REF!</v>
      </c>
      <c r="Z311" t="e">
        <f>AND(#REF!,"AAAAAF2V7xk=")</f>
        <v>#REF!</v>
      </c>
      <c r="AA311" t="e">
        <f>AND(#REF!,"AAAAAF2V7xo=")</f>
        <v>#REF!</v>
      </c>
      <c r="AB311" t="e">
        <f>AND(#REF!,"AAAAAF2V7xs=")</f>
        <v>#REF!</v>
      </c>
      <c r="AC311" t="e">
        <f>AND(#REF!,"AAAAAF2V7xw=")</f>
        <v>#REF!</v>
      </c>
      <c r="AD311" t="e">
        <f>AND(#REF!,"AAAAAF2V7x0=")</f>
        <v>#REF!</v>
      </c>
      <c r="AE311" t="e">
        <f>AND(#REF!,"AAAAAF2V7x4=")</f>
        <v>#REF!</v>
      </c>
      <c r="AF311" t="e">
        <f>AND(#REF!,"AAAAAF2V7x8=")</f>
        <v>#REF!</v>
      </c>
      <c r="AG311" t="e">
        <f>AND(#REF!,"AAAAAF2V7yA=")</f>
        <v>#REF!</v>
      </c>
      <c r="AH311" t="e">
        <f>AND(#REF!,"AAAAAF2V7yE=")</f>
        <v>#REF!</v>
      </c>
      <c r="AI311" t="e">
        <f>IF(#REF!,"AAAAAF2V7yI=",0)</f>
        <v>#REF!</v>
      </c>
      <c r="AJ311" t="e">
        <f>AND(#REF!,"AAAAAF2V7yM=")</f>
        <v>#REF!</v>
      </c>
      <c r="AK311" t="e">
        <f>AND(#REF!,"AAAAAF2V7yQ=")</f>
        <v>#REF!</v>
      </c>
      <c r="AL311" t="e">
        <f>AND(#REF!,"AAAAAF2V7yU=")</f>
        <v>#REF!</v>
      </c>
      <c r="AM311" t="e">
        <f>AND(#REF!,"AAAAAF2V7yY=")</f>
        <v>#REF!</v>
      </c>
      <c r="AN311" t="e">
        <f>AND(#REF!,"AAAAAF2V7yc=")</f>
        <v>#REF!</v>
      </c>
      <c r="AO311" t="e">
        <f>AND(#REF!,"AAAAAF2V7yg=")</f>
        <v>#REF!</v>
      </c>
      <c r="AP311" t="e">
        <f>AND(#REF!,"AAAAAF2V7yk=")</f>
        <v>#REF!</v>
      </c>
      <c r="AQ311" t="e">
        <f>AND(#REF!,"AAAAAF2V7yo=")</f>
        <v>#REF!</v>
      </c>
      <c r="AR311" t="e">
        <f>AND(#REF!,"AAAAAF2V7ys=")</f>
        <v>#REF!</v>
      </c>
      <c r="AS311" t="e">
        <f>AND(#REF!,"AAAAAF2V7yw=")</f>
        <v>#REF!</v>
      </c>
      <c r="AT311" t="e">
        <f>IF(#REF!,"AAAAAF2V7y0=",0)</f>
        <v>#REF!</v>
      </c>
      <c r="AU311" t="e">
        <f>AND(#REF!,"AAAAAF2V7y4=")</f>
        <v>#REF!</v>
      </c>
      <c r="AV311" t="e">
        <f>AND(#REF!,"AAAAAF2V7y8=")</f>
        <v>#REF!</v>
      </c>
      <c r="AW311" t="e">
        <f>AND(#REF!,"AAAAAF2V7zA=")</f>
        <v>#REF!</v>
      </c>
      <c r="AX311" t="e">
        <f>AND(#REF!,"AAAAAF2V7zE=")</f>
        <v>#REF!</v>
      </c>
      <c r="AY311" t="e">
        <f>AND(#REF!,"AAAAAF2V7zI=")</f>
        <v>#REF!</v>
      </c>
      <c r="AZ311" t="e">
        <f>AND(#REF!,"AAAAAF2V7zM=")</f>
        <v>#REF!</v>
      </c>
      <c r="BA311" t="e">
        <f>AND(#REF!,"AAAAAF2V7zQ=")</f>
        <v>#REF!</v>
      </c>
      <c r="BB311" t="e">
        <f>AND(#REF!,"AAAAAF2V7zU=")</f>
        <v>#REF!</v>
      </c>
      <c r="BC311" t="e">
        <f>AND(#REF!,"AAAAAF2V7zY=")</f>
        <v>#REF!</v>
      </c>
      <c r="BD311" t="e">
        <f>AND(#REF!,"AAAAAF2V7zc=")</f>
        <v>#REF!</v>
      </c>
      <c r="BE311" t="e">
        <f>IF(#REF!,"AAAAAF2V7zg=",0)</f>
        <v>#REF!</v>
      </c>
      <c r="BF311" t="e">
        <f>AND(#REF!,"AAAAAF2V7zk=")</f>
        <v>#REF!</v>
      </c>
      <c r="BG311" t="e">
        <f>AND(#REF!,"AAAAAF2V7zo=")</f>
        <v>#REF!</v>
      </c>
      <c r="BH311" t="e">
        <f>AND(#REF!,"AAAAAF2V7zs=")</f>
        <v>#REF!</v>
      </c>
      <c r="BI311" t="e">
        <f>AND(#REF!,"AAAAAF2V7zw=")</f>
        <v>#REF!</v>
      </c>
      <c r="BJ311" t="e">
        <f>AND(#REF!,"AAAAAF2V7z0=")</f>
        <v>#REF!</v>
      </c>
      <c r="BK311" t="e">
        <f>AND(#REF!,"AAAAAF2V7z4=")</f>
        <v>#REF!</v>
      </c>
      <c r="BL311" t="e">
        <f>AND(#REF!,"AAAAAF2V7z8=")</f>
        <v>#REF!</v>
      </c>
      <c r="BM311" t="e">
        <f>AND(#REF!,"AAAAAF2V70A=")</f>
        <v>#REF!</v>
      </c>
      <c r="BN311" t="e">
        <f>AND(#REF!,"AAAAAF2V70E=")</f>
        <v>#REF!</v>
      </c>
      <c r="BO311" t="e">
        <f>AND(#REF!,"AAAAAF2V70I=")</f>
        <v>#REF!</v>
      </c>
      <c r="BP311" t="e">
        <f>IF(#REF!,"AAAAAF2V70M=",0)</f>
        <v>#REF!</v>
      </c>
      <c r="BQ311" t="e">
        <f>AND(#REF!,"AAAAAF2V70Q=")</f>
        <v>#REF!</v>
      </c>
      <c r="BR311" t="e">
        <f>AND(#REF!,"AAAAAF2V70U=")</f>
        <v>#REF!</v>
      </c>
      <c r="BS311" t="e">
        <f>AND(#REF!,"AAAAAF2V70Y=")</f>
        <v>#REF!</v>
      </c>
      <c r="BT311" t="e">
        <f>AND(#REF!,"AAAAAF2V70c=")</f>
        <v>#REF!</v>
      </c>
      <c r="BU311" t="e">
        <f>AND(#REF!,"AAAAAF2V70g=")</f>
        <v>#REF!</v>
      </c>
      <c r="BV311" t="e">
        <f>AND(#REF!,"AAAAAF2V70k=")</f>
        <v>#REF!</v>
      </c>
      <c r="BW311" t="e">
        <f>AND(#REF!,"AAAAAF2V70o=")</f>
        <v>#REF!</v>
      </c>
      <c r="BX311" t="e">
        <f>AND(#REF!,"AAAAAF2V70s=")</f>
        <v>#REF!</v>
      </c>
      <c r="BY311" t="e">
        <f>AND(#REF!,"AAAAAF2V70w=")</f>
        <v>#REF!</v>
      </c>
      <c r="BZ311" t="e">
        <f>AND(#REF!,"AAAAAF2V700=")</f>
        <v>#REF!</v>
      </c>
      <c r="CA311" t="e">
        <f>IF(#REF!,"AAAAAF2V704=",0)</f>
        <v>#REF!</v>
      </c>
      <c r="CB311" t="e">
        <f>AND(#REF!,"AAAAAF2V708=")</f>
        <v>#REF!</v>
      </c>
      <c r="CC311" t="e">
        <f>AND(#REF!,"AAAAAF2V71A=")</f>
        <v>#REF!</v>
      </c>
      <c r="CD311" t="e">
        <f>AND(#REF!,"AAAAAF2V71E=")</f>
        <v>#REF!</v>
      </c>
      <c r="CE311" t="e">
        <f>AND(#REF!,"AAAAAF2V71I=")</f>
        <v>#REF!</v>
      </c>
      <c r="CF311" t="e">
        <f>AND(#REF!,"AAAAAF2V71M=")</f>
        <v>#REF!</v>
      </c>
      <c r="CG311" t="e">
        <f>AND(#REF!,"AAAAAF2V71Q=")</f>
        <v>#REF!</v>
      </c>
      <c r="CH311" t="e">
        <f>AND(#REF!,"AAAAAF2V71U=")</f>
        <v>#REF!</v>
      </c>
      <c r="CI311" t="e">
        <f>AND(#REF!,"AAAAAF2V71Y=")</f>
        <v>#REF!</v>
      </c>
      <c r="CJ311" t="e">
        <f>AND(#REF!,"AAAAAF2V71c=")</f>
        <v>#REF!</v>
      </c>
      <c r="CK311" t="e">
        <f>AND(#REF!,"AAAAAF2V71g=")</f>
        <v>#REF!</v>
      </c>
      <c r="CL311" t="e">
        <f>IF(#REF!,"AAAAAF2V71k=",0)</f>
        <v>#REF!</v>
      </c>
      <c r="CM311" t="e">
        <f>AND(#REF!,"AAAAAF2V71o=")</f>
        <v>#REF!</v>
      </c>
      <c r="CN311" t="e">
        <f>AND(#REF!,"AAAAAF2V71s=")</f>
        <v>#REF!</v>
      </c>
      <c r="CO311" t="e">
        <f>AND(#REF!,"AAAAAF2V71w=")</f>
        <v>#REF!</v>
      </c>
      <c r="CP311" t="e">
        <f>AND(#REF!,"AAAAAF2V710=")</f>
        <v>#REF!</v>
      </c>
      <c r="CQ311" t="e">
        <f>AND(#REF!,"AAAAAF2V714=")</f>
        <v>#REF!</v>
      </c>
      <c r="CR311" t="e">
        <f>AND(#REF!,"AAAAAF2V718=")</f>
        <v>#REF!</v>
      </c>
      <c r="CS311" t="e">
        <f>AND(#REF!,"AAAAAF2V72A=")</f>
        <v>#REF!</v>
      </c>
      <c r="CT311" t="e">
        <f>AND(#REF!,"AAAAAF2V72E=")</f>
        <v>#REF!</v>
      </c>
      <c r="CU311" t="e">
        <f>AND(#REF!,"AAAAAF2V72I=")</f>
        <v>#REF!</v>
      </c>
      <c r="CV311" t="e">
        <f>AND(#REF!,"AAAAAF2V72M=")</f>
        <v>#REF!</v>
      </c>
      <c r="CW311" t="e">
        <f>IF(#REF!,"AAAAAF2V72Q=",0)</f>
        <v>#REF!</v>
      </c>
      <c r="CX311" t="e">
        <f>AND(#REF!,"AAAAAF2V72U=")</f>
        <v>#REF!</v>
      </c>
      <c r="CY311" t="e">
        <f>AND(#REF!,"AAAAAF2V72Y=")</f>
        <v>#REF!</v>
      </c>
      <c r="CZ311" t="e">
        <f>AND(#REF!,"AAAAAF2V72c=")</f>
        <v>#REF!</v>
      </c>
      <c r="DA311" t="e">
        <f>AND(#REF!,"AAAAAF2V72g=")</f>
        <v>#REF!</v>
      </c>
      <c r="DB311" t="e">
        <f>AND(#REF!,"AAAAAF2V72k=")</f>
        <v>#REF!</v>
      </c>
      <c r="DC311" t="e">
        <f>AND(#REF!,"AAAAAF2V72o=")</f>
        <v>#REF!</v>
      </c>
      <c r="DD311" t="e">
        <f>AND(#REF!,"AAAAAF2V72s=")</f>
        <v>#REF!</v>
      </c>
      <c r="DE311" t="e">
        <f>AND(#REF!,"AAAAAF2V72w=")</f>
        <v>#REF!</v>
      </c>
      <c r="DF311" t="e">
        <f>AND(#REF!,"AAAAAF2V720=")</f>
        <v>#REF!</v>
      </c>
      <c r="DG311" t="e">
        <f>AND(#REF!,"AAAAAF2V724=")</f>
        <v>#REF!</v>
      </c>
      <c r="DH311" t="e">
        <f>IF(#REF!,"AAAAAF2V728=",0)</f>
        <v>#REF!</v>
      </c>
      <c r="DI311" t="e">
        <f>AND(#REF!,"AAAAAF2V73A=")</f>
        <v>#REF!</v>
      </c>
      <c r="DJ311" t="e">
        <f>AND(#REF!,"AAAAAF2V73E=")</f>
        <v>#REF!</v>
      </c>
      <c r="DK311" t="e">
        <f>AND(#REF!,"AAAAAF2V73I=")</f>
        <v>#REF!</v>
      </c>
      <c r="DL311" t="e">
        <f>AND(#REF!,"AAAAAF2V73M=")</f>
        <v>#REF!</v>
      </c>
      <c r="DM311" t="e">
        <f>AND(#REF!,"AAAAAF2V73Q=")</f>
        <v>#REF!</v>
      </c>
      <c r="DN311" t="e">
        <f>AND(#REF!,"AAAAAF2V73U=")</f>
        <v>#REF!</v>
      </c>
      <c r="DO311" t="e">
        <f>AND(#REF!,"AAAAAF2V73Y=")</f>
        <v>#REF!</v>
      </c>
      <c r="DP311" t="e">
        <f>AND(#REF!,"AAAAAF2V73c=")</f>
        <v>#REF!</v>
      </c>
      <c r="DQ311" t="e">
        <f>AND(#REF!,"AAAAAF2V73g=")</f>
        <v>#REF!</v>
      </c>
      <c r="DR311" t="e">
        <f>AND(#REF!,"AAAAAF2V73k=")</f>
        <v>#REF!</v>
      </c>
      <c r="DS311" t="e">
        <f>IF(#REF!,"AAAAAF2V73o=",0)</f>
        <v>#REF!</v>
      </c>
      <c r="DT311" t="e">
        <f>AND(#REF!,"AAAAAF2V73s=")</f>
        <v>#REF!</v>
      </c>
      <c r="DU311" t="e">
        <f>AND(#REF!,"AAAAAF2V73w=")</f>
        <v>#REF!</v>
      </c>
      <c r="DV311" t="e">
        <f>AND(#REF!,"AAAAAF2V730=")</f>
        <v>#REF!</v>
      </c>
      <c r="DW311" t="e">
        <f>AND(#REF!,"AAAAAF2V734=")</f>
        <v>#REF!</v>
      </c>
      <c r="DX311" t="e">
        <f>AND(#REF!,"AAAAAF2V738=")</f>
        <v>#REF!</v>
      </c>
      <c r="DY311" t="e">
        <f>AND(#REF!,"AAAAAF2V74A=")</f>
        <v>#REF!</v>
      </c>
      <c r="DZ311" t="e">
        <f>AND(#REF!,"AAAAAF2V74E=")</f>
        <v>#REF!</v>
      </c>
      <c r="EA311" t="e">
        <f>AND(#REF!,"AAAAAF2V74I=")</f>
        <v>#REF!</v>
      </c>
      <c r="EB311" t="e">
        <f>AND(#REF!,"AAAAAF2V74M=")</f>
        <v>#REF!</v>
      </c>
      <c r="EC311" t="e">
        <f>AND(#REF!,"AAAAAF2V74Q=")</f>
        <v>#REF!</v>
      </c>
      <c r="ED311" t="e">
        <f>IF(#REF!,"AAAAAF2V74U=",0)</f>
        <v>#REF!</v>
      </c>
      <c r="EE311" t="e">
        <f>AND(#REF!,"AAAAAF2V74Y=")</f>
        <v>#REF!</v>
      </c>
      <c r="EF311" t="e">
        <f>AND(#REF!,"AAAAAF2V74c=")</f>
        <v>#REF!</v>
      </c>
      <c r="EG311" t="e">
        <f>AND(#REF!,"AAAAAF2V74g=")</f>
        <v>#REF!</v>
      </c>
      <c r="EH311" t="e">
        <f>AND(#REF!,"AAAAAF2V74k=")</f>
        <v>#REF!</v>
      </c>
      <c r="EI311" t="e">
        <f>AND(#REF!,"AAAAAF2V74o=")</f>
        <v>#REF!</v>
      </c>
      <c r="EJ311" t="e">
        <f>AND(#REF!,"AAAAAF2V74s=")</f>
        <v>#REF!</v>
      </c>
      <c r="EK311" t="e">
        <f>AND(#REF!,"AAAAAF2V74w=")</f>
        <v>#REF!</v>
      </c>
      <c r="EL311" t="e">
        <f>AND(#REF!,"AAAAAF2V740=")</f>
        <v>#REF!</v>
      </c>
      <c r="EM311" t="e">
        <f>AND(#REF!,"AAAAAF2V744=")</f>
        <v>#REF!</v>
      </c>
      <c r="EN311" t="e">
        <f>AND(#REF!,"AAAAAF2V748=")</f>
        <v>#REF!</v>
      </c>
      <c r="EO311" t="e">
        <f>IF(#REF!,"AAAAAF2V75A=",0)</f>
        <v>#REF!</v>
      </c>
      <c r="EP311" t="e">
        <f>AND(#REF!,"AAAAAF2V75E=")</f>
        <v>#REF!</v>
      </c>
      <c r="EQ311" t="e">
        <f>AND(#REF!,"AAAAAF2V75I=")</f>
        <v>#REF!</v>
      </c>
      <c r="ER311" t="e">
        <f>AND(#REF!,"AAAAAF2V75M=")</f>
        <v>#REF!</v>
      </c>
      <c r="ES311" t="e">
        <f>AND(#REF!,"AAAAAF2V75Q=")</f>
        <v>#REF!</v>
      </c>
      <c r="ET311" t="e">
        <f>AND(#REF!,"AAAAAF2V75U=")</f>
        <v>#REF!</v>
      </c>
      <c r="EU311" t="e">
        <f>AND(#REF!,"AAAAAF2V75Y=")</f>
        <v>#REF!</v>
      </c>
      <c r="EV311" t="e">
        <f>AND(#REF!,"AAAAAF2V75c=")</f>
        <v>#REF!</v>
      </c>
      <c r="EW311" t="e">
        <f>AND(#REF!,"AAAAAF2V75g=")</f>
        <v>#REF!</v>
      </c>
      <c r="EX311" t="e">
        <f>AND(#REF!,"AAAAAF2V75k=")</f>
        <v>#REF!</v>
      </c>
      <c r="EY311" t="e">
        <f>AND(#REF!,"AAAAAF2V75o=")</f>
        <v>#REF!</v>
      </c>
      <c r="EZ311" t="e">
        <f>IF(#REF!,"AAAAAF2V75s=",0)</f>
        <v>#REF!</v>
      </c>
      <c r="FA311" t="e">
        <f>AND(#REF!,"AAAAAF2V75w=")</f>
        <v>#REF!</v>
      </c>
      <c r="FB311" t="e">
        <f>AND(#REF!,"AAAAAF2V750=")</f>
        <v>#REF!</v>
      </c>
      <c r="FC311" t="e">
        <f>AND(#REF!,"AAAAAF2V754=")</f>
        <v>#REF!</v>
      </c>
      <c r="FD311" t="e">
        <f>AND(#REF!,"AAAAAF2V758=")</f>
        <v>#REF!</v>
      </c>
      <c r="FE311" t="e">
        <f>AND(#REF!,"AAAAAF2V76A=")</f>
        <v>#REF!</v>
      </c>
      <c r="FF311" t="e">
        <f>AND(#REF!,"AAAAAF2V76E=")</f>
        <v>#REF!</v>
      </c>
      <c r="FG311" t="e">
        <f>AND(#REF!,"AAAAAF2V76I=")</f>
        <v>#REF!</v>
      </c>
      <c r="FH311" t="e">
        <f>AND(#REF!,"AAAAAF2V76M=")</f>
        <v>#REF!</v>
      </c>
      <c r="FI311" t="e">
        <f>AND(#REF!,"AAAAAF2V76Q=")</f>
        <v>#REF!</v>
      </c>
      <c r="FJ311" t="e">
        <f>AND(#REF!,"AAAAAF2V76U=")</f>
        <v>#REF!</v>
      </c>
      <c r="FK311" t="e">
        <f>IF(#REF!,"AAAAAF2V76Y=",0)</f>
        <v>#REF!</v>
      </c>
      <c r="FL311" t="e">
        <f>AND(#REF!,"AAAAAF2V76c=")</f>
        <v>#REF!</v>
      </c>
      <c r="FM311" t="e">
        <f>AND(#REF!,"AAAAAF2V76g=")</f>
        <v>#REF!</v>
      </c>
      <c r="FN311" t="e">
        <f>AND(#REF!,"AAAAAF2V76k=")</f>
        <v>#REF!</v>
      </c>
      <c r="FO311" t="e">
        <f>AND(#REF!,"AAAAAF2V76o=")</f>
        <v>#REF!</v>
      </c>
      <c r="FP311" t="e">
        <f>AND(#REF!,"AAAAAF2V76s=")</f>
        <v>#REF!</v>
      </c>
      <c r="FQ311" t="e">
        <f>AND(#REF!,"AAAAAF2V76w=")</f>
        <v>#REF!</v>
      </c>
      <c r="FR311" t="e">
        <f>AND(#REF!,"AAAAAF2V760=")</f>
        <v>#REF!</v>
      </c>
      <c r="FS311" t="e">
        <f>AND(#REF!,"AAAAAF2V764=")</f>
        <v>#REF!</v>
      </c>
      <c r="FT311" t="e">
        <f>AND(#REF!,"AAAAAF2V768=")</f>
        <v>#REF!</v>
      </c>
      <c r="FU311" t="e">
        <f>AND(#REF!,"AAAAAF2V77A=")</f>
        <v>#REF!</v>
      </c>
      <c r="FV311" t="e">
        <f>IF(#REF!,"AAAAAF2V77E=",0)</f>
        <v>#REF!</v>
      </c>
      <c r="FW311" t="e">
        <f>AND(#REF!,"AAAAAF2V77I=")</f>
        <v>#REF!</v>
      </c>
      <c r="FX311" t="e">
        <f>AND(#REF!,"AAAAAF2V77M=")</f>
        <v>#REF!</v>
      </c>
      <c r="FY311" t="e">
        <f>AND(#REF!,"AAAAAF2V77Q=")</f>
        <v>#REF!</v>
      </c>
      <c r="FZ311" t="e">
        <f>AND(#REF!,"AAAAAF2V77U=")</f>
        <v>#REF!</v>
      </c>
      <c r="GA311" t="e">
        <f>AND(#REF!,"AAAAAF2V77Y=")</f>
        <v>#REF!</v>
      </c>
      <c r="GB311" t="e">
        <f>AND(#REF!,"AAAAAF2V77c=")</f>
        <v>#REF!</v>
      </c>
      <c r="GC311" t="e">
        <f>AND(#REF!,"AAAAAF2V77g=")</f>
        <v>#REF!</v>
      </c>
      <c r="GD311" t="e">
        <f>AND(#REF!,"AAAAAF2V77k=")</f>
        <v>#REF!</v>
      </c>
      <c r="GE311" t="e">
        <f>AND(#REF!,"AAAAAF2V77o=")</f>
        <v>#REF!</v>
      </c>
      <c r="GF311" t="e">
        <f>AND(#REF!,"AAAAAF2V77s=")</f>
        <v>#REF!</v>
      </c>
      <c r="GG311" t="e">
        <f>IF(#REF!,"AAAAAF2V77w=",0)</f>
        <v>#REF!</v>
      </c>
      <c r="GH311" t="e">
        <f>AND(#REF!,"AAAAAF2V770=")</f>
        <v>#REF!</v>
      </c>
      <c r="GI311" t="e">
        <f>AND(#REF!,"AAAAAF2V774=")</f>
        <v>#REF!</v>
      </c>
      <c r="GJ311" t="e">
        <f>AND(#REF!,"AAAAAF2V778=")</f>
        <v>#REF!</v>
      </c>
      <c r="GK311" t="e">
        <f>AND(#REF!,"AAAAAF2V78A=")</f>
        <v>#REF!</v>
      </c>
      <c r="GL311" t="e">
        <f>AND(#REF!,"AAAAAF2V78E=")</f>
        <v>#REF!</v>
      </c>
      <c r="GM311" t="e">
        <f>AND(#REF!,"AAAAAF2V78I=")</f>
        <v>#REF!</v>
      </c>
      <c r="GN311" t="e">
        <f>AND(#REF!,"AAAAAF2V78M=")</f>
        <v>#REF!</v>
      </c>
      <c r="GO311" t="e">
        <f>AND(#REF!,"AAAAAF2V78Q=")</f>
        <v>#REF!</v>
      </c>
      <c r="GP311" t="e">
        <f>AND(#REF!,"AAAAAF2V78U=")</f>
        <v>#REF!</v>
      </c>
      <c r="GQ311" t="e">
        <f>AND(#REF!,"AAAAAF2V78Y=")</f>
        <v>#REF!</v>
      </c>
      <c r="GR311" t="e">
        <f>IF(#REF!,"AAAAAF2V78c=",0)</f>
        <v>#REF!</v>
      </c>
      <c r="GS311" t="e">
        <f>AND(#REF!,"AAAAAF2V78g=")</f>
        <v>#REF!</v>
      </c>
      <c r="GT311" t="e">
        <f>AND(#REF!,"AAAAAF2V78k=")</f>
        <v>#REF!</v>
      </c>
      <c r="GU311" t="e">
        <f>AND(#REF!,"AAAAAF2V78o=")</f>
        <v>#REF!</v>
      </c>
      <c r="GV311" t="e">
        <f>AND(#REF!,"AAAAAF2V78s=")</f>
        <v>#REF!</v>
      </c>
      <c r="GW311" t="e">
        <f>AND(#REF!,"AAAAAF2V78w=")</f>
        <v>#REF!</v>
      </c>
      <c r="GX311" t="e">
        <f>AND(#REF!,"AAAAAF2V780=")</f>
        <v>#REF!</v>
      </c>
      <c r="GY311" t="e">
        <f>AND(#REF!,"AAAAAF2V784=")</f>
        <v>#REF!</v>
      </c>
      <c r="GZ311" t="e">
        <f>AND(#REF!,"AAAAAF2V788=")</f>
        <v>#REF!</v>
      </c>
      <c r="HA311" t="e">
        <f>AND(#REF!,"AAAAAF2V79A=")</f>
        <v>#REF!</v>
      </c>
      <c r="HB311" t="e">
        <f>AND(#REF!,"AAAAAF2V79E=")</f>
        <v>#REF!</v>
      </c>
      <c r="HC311" t="e">
        <f>IF(#REF!,"AAAAAF2V79I=",0)</f>
        <v>#REF!</v>
      </c>
      <c r="HD311" t="e">
        <f>AND(#REF!,"AAAAAF2V79M=")</f>
        <v>#REF!</v>
      </c>
      <c r="HE311" t="e">
        <f>AND(#REF!,"AAAAAF2V79Q=")</f>
        <v>#REF!</v>
      </c>
      <c r="HF311" t="e">
        <f>AND(#REF!,"AAAAAF2V79U=")</f>
        <v>#REF!</v>
      </c>
      <c r="HG311" t="e">
        <f>AND(#REF!,"AAAAAF2V79Y=")</f>
        <v>#REF!</v>
      </c>
      <c r="HH311" t="e">
        <f>AND(#REF!,"AAAAAF2V79c=")</f>
        <v>#REF!</v>
      </c>
      <c r="HI311" t="e">
        <f>AND(#REF!,"AAAAAF2V79g=")</f>
        <v>#REF!</v>
      </c>
      <c r="HJ311" t="e">
        <f>AND(#REF!,"AAAAAF2V79k=")</f>
        <v>#REF!</v>
      </c>
      <c r="HK311" t="e">
        <f>AND(#REF!,"AAAAAF2V79o=")</f>
        <v>#REF!</v>
      </c>
      <c r="HL311" t="e">
        <f>AND(#REF!,"AAAAAF2V79s=")</f>
        <v>#REF!</v>
      </c>
      <c r="HM311" t="e">
        <f>AND(#REF!,"AAAAAF2V79w=")</f>
        <v>#REF!</v>
      </c>
      <c r="HN311" t="e">
        <f>IF(#REF!,"AAAAAF2V790=",0)</f>
        <v>#REF!</v>
      </c>
      <c r="HO311" t="e">
        <f>AND(#REF!,"AAAAAF2V794=")</f>
        <v>#REF!</v>
      </c>
      <c r="HP311" t="e">
        <f>AND(#REF!,"AAAAAF2V798=")</f>
        <v>#REF!</v>
      </c>
      <c r="HQ311" t="e">
        <f>AND(#REF!,"AAAAAF2V7+A=")</f>
        <v>#REF!</v>
      </c>
      <c r="HR311" t="e">
        <f>AND(#REF!,"AAAAAF2V7+E=")</f>
        <v>#REF!</v>
      </c>
      <c r="HS311" t="e">
        <f>AND(#REF!,"AAAAAF2V7+I=")</f>
        <v>#REF!</v>
      </c>
      <c r="HT311" t="e">
        <f>AND(#REF!,"AAAAAF2V7+M=")</f>
        <v>#REF!</v>
      </c>
      <c r="HU311" t="e">
        <f>AND(#REF!,"AAAAAF2V7+Q=")</f>
        <v>#REF!</v>
      </c>
      <c r="HV311" t="e">
        <f>AND(#REF!,"AAAAAF2V7+U=")</f>
        <v>#REF!</v>
      </c>
      <c r="HW311" t="e">
        <f>AND(#REF!,"AAAAAF2V7+Y=")</f>
        <v>#REF!</v>
      </c>
      <c r="HX311" t="e">
        <f>AND(#REF!,"AAAAAF2V7+c=")</f>
        <v>#REF!</v>
      </c>
      <c r="HY311" t="e">
        <f>IF(#REF!,"AAAAAF2V7+g=",0)</f>
        <v>#REF!</v>
      </c>
      <c r="HZ311" t="e">
        <f>AND(#REF!,"AAAAAF2V7+k=")</f>
        <v>#REF!</v>
      </c>
      <c r="IA311" t="e">
        <f>AND(#REF!,"AAAAAF2V7+o=")</f>
        <v>#REF!</v>
      </c>
      <c r="IB311" t="e">
        <f>AND(#REF!,"AAAAAF2V7+s=")</f>
        <v>#REF!</v>
      </c>
      <c r="IC311" t="e">
        <f>AND(#REF!,"AAAAAF2V7+w=")</f>
        <v>#REF!</v>
      </c>
      <c r="ID311" t="e">
        <f>AND(#REF!,"AAAAAF2V7+0=")</f>
        <v>#REF!</v>
      </c>
      <c r="IE311" t="e">
        <f>AND(#REF!,"AAAAAF2V7+4=")</f>
        <v>#REF!</v>
      </c>
      <c r="IF311" t="e">
        <f>AND(#REF!,"AAAAAF2V7+8=")</f>
        <v>#REF!</v>
      </c>
      <c r="IG311" t="e">
        <f>AND(#REF!,"AAAAAF2V7/A=")</f>
        <v>#REF!</v>
      </c>
      <c r="IH311" t="e">
        <f>AND(#REF!,"AAAAAF2V7/E=")</f>
        <v>#REF!</v>
      </c>
      <c r="II311" t="e">
        <f>AND(#REF!,"AAAAAF2V7/I=")</f>
        <v>#REF!</v>
      </c>
      <c r="IJ311" t="e">
        <f>IF(#REF!,"AAAAAF2V7/M=",0)</f>
        <v>#REF!</v>
      </c>
      <c r="IK311" t="e">
        <f>AND(#REF!,"AAAAAF2V7/Q=")</f>
        <v>#REF!</v>
      </c>
      <c r="IL311" t="e">
        <f>AND(#REF!,"AAAAAF2V7/U=")</f>
        <v>#REF!</v>
      </c>
      <c r="IM311" t="e">
        <f>AND(#REF!,"AAAAAF2V7/Y=")</f>
        <v>#REF!</v>
      </c>
      <c r="IN311" t="e">
        <f>AND(#REF!,"AAAAAF2V7/c=")</f>
        <v>#REF!</v>
      </c>
      <c r="IO311" t="e">
        <f>AND(#REF!,"AAAAAF2V7/g=")</f>
        <v>#REF!</v>
      </c>
      <c r="IP311" t="e">
        <f>AND(#REF!,"AAAAAF2V7/k=")</f>
        <v>#REF!</v>
      </c>
      <c r="IQ311" t="e">
        <f>AND(#REF!,"AAAAAF2V7/o=")</f>
        <v>#REF!</v>
      </c>
      <c r="IR311" t="e">
        <f>AND(#REF!,"AAAAAF2V7/s=")</f>
        <v>#REF!</v>
      </c>
      <c r="IS311" t="e">
        <f>AND(#REF!,"AAAAAF2V7/w=")</f>
        <v>#REF!</v>
      </c>
      <c r="IT311" t="e">
        <f>AND(#REF!,"AAAAAF2V7/0=")</f>
        <v>#REF!</v>
      </c>
      <c r="IU311" t="e">
        <f>IF(#REF!,"AAAAAF2V7/4=",0)</f>
        <v>#REF!</v>
      </c>
      <c r="IV311" t="e">
        <f>AND(#REF!,"AAAAAF2V7/8=")</f>
        <v>#REF!</v>
      </c>
    </row>
    <row r="312" spans="1:256" x14ac:dyDescent="0.25">
      <c r="A312" t="e">
        <f>AND(#REF!,"AAAAAHp7ywA=")</f>
        <v>#REF!</v>
      </c>
      <c r="B312" t="e">
        <f>AND(#REF!,"AAAAAHp7ywE=")</f>
        <v>#REF!</v>
      </c>
      <c r="C312" t="e">
        <f>AND(#REF!,"AAAAAHp7ywI=")</f>
        <v>#REF!</v>
      </c>
      <c r="D312" t="e">
        <f>AND(#REF!,"AAAAAHp7ywM=")</f>
        <v>#REF!</v>
      </c>
      <c r="E312" t="e">
        <f>AND(#REF!,"AAAAAHp7ywQ=")</f>
        <v>#REF!</v>
      </c>
      <c r="F312" t="e">
        <f>AND(#REF!,"AAAAAHp7ywU=")</f>
        <v>#REF!</v>
      </c>
      <c r="G312" t="e">
        <f>AND(#REF!,"AAAAAHp7ywY=")</f>
        <v>#REF!</v>
      </c>
      <c r="H312" t="e">
        <f>AND(#REF!,"AAAAAHp7ywc=")</f>
        <v>#REF!</v>
      </c>
      <c r="I312" t="e">
        <f>AND(#REF!,"AAAAAHp7ywg=")</f>
        <v>#REF!</v>
      </c>
      <c r="J312" t="e">
        <f>IF(#REF!,"AAAAAHp7ywk=",0)</f>
        <v>#REF!</v>
      </c>
      <c r="K312" t="e">
        <f>AND(#REF!,"AAAAAHp7ywo=")</f>
        <v>#REF!</v>
      </c>
      <c r="L312" t="e">
        <f>AND(#REF!,"AAAAAHp7yws=")</f>
        <v>#REF!</v>
      </c>
      <c r="M312" t="e">
        <f>AND(#REF!,"AAAAAHp7yww=")</f>
        <v>#REF!</v>
      </c>
      <c r="N312" t="e">
        <f>AND(#REF!,"AAAAAHp7yw0=")</f>
        <v>#REF!</v>
      </c>
      <c r="O312" t="e">
        <f>AND(#REF!,"AAAAAHp7yw4=")</f>
        <v>#REF!</v>
      </c>
      <c r="P312" t="e">
        <f>AND(#REF!,"AAAAAHp7yw8=")</f>
        <v>#REF!</v>
      </c>
      <c r="Q312" t="e">
        <f>AND(#REF!,"AAAAAHp7yxA=")</f>
        <v>#REF!</v>
      </c>
      <c r="R312" t="e">
        <f>AND(#REF!,"AAAAAHp7yxE=")</f>
        <v>#REF!</v>
      </c>
      <c r="S312" t="e">
        <f>AND(#REF!,"AAAAAHp7yxI=")</f>
        <v>#REF!</v>
      </c>
      <c r="T312" t="e">
        <f>AND(#REF!,"AAAAAHp7yxM=")</f>
        <v>#REF!</v>
      </c>
      <c r="U312" t="e">
        <f>IF(#REF!,"AAAAAHp7yxQ=",0)</f>
        <v>#REF!</v>
      </c>
      <c r="V312" t="e">
        <f>AND(#REF!,"AAAAAHp7yxU=")</f>
        <v>#REF!</v>
      </c>
      <c r="W312" t="e">
        <f>AND(#REF!,"AAAAAHp7yxY=")</f>
        <v>#REF!</v>
      </c>
      <c r="X312" t="e">
        <f>AND(#REF!,"AAAAAHp7yxc=")</f>
        <v>#REF!</v>
      </c>
      <c r="Y312" t="e">
        <f>AND(#REF!,"AAAAAHp7yxg=")</f>
        <v>#REF!</v>
      </c>
      <c r="Z312" t="e">
        <f>AND(#REF!,"AAAAAHp7yxk=")</f>
        <v>#REF!</v>
      </c>
      <c r="AA312" t="e">
        <f>AND(#REF!,"AAAAAHp7yxo=")</f>
        <v>#REF!</v>
      </c>
      <c r="AB312" t="e">
        <f>AND(#REF!,"AAAAAHp7yxs=")</f>
        <v>#REF!</v>
      </c>
      <c r="AC312" t="e">
        <f>AND(#REF!,"AAAAAHp7yxw=")</f>
        <v>#REF!</v>
      </c>
      <c r="AD312" t="e">
        <f>AND(#REF!,"AAAAAHp7yx0=")</f>
        <v>#REF!</v>
      </c>
      <c r="AE312" t="e">
        <f>AND(#REF!,"AAAAAHp7yx4=")</f>
        <v>#REF!</v>
      </c>
      <c r="AF312" t="e">
        <f>IF(#REF!,"AAAAAHp7yx8=",0)</f>
        <v>#REF!</v>
      </c>
      <c r="AG312" t="e">
        <f>AND(#REF!,"AAAAAHp7yyA=")</f>
        <v>#REF!</v>
      </c>
      <c r="AH312" t="e">
        <f>AND(#REF!,"AAAAAHp7yyE=")</f>
        <v>#REF!</v>
      </c>
      <c r="AI312" t="e">
        <f>AND(#REF!,"AAAAAHp7yyI=")</f>
        <v>#REF!</v>
      </c>
      <c r="AJ312" t="e">
        <f>AND(#REF!,"AAAAAHp7yyM=")</f>
        <v>#REF!</v>
      </c>
      <c r="AK312" t="e">
        <f>AND(#REF!,"AAAAAHp7yyQ=")</f>
        <v>#REF!</v>
      </c>
      <c r="AL312" t="e">
        <f>AND(#REF!,"AAAAAHp7yyU=")</f>
        <v>#REF!</v>
      </c>
      <c r="AM312" t="e">
        <f>AND(#REF!,"AAAAAHp7yyY=")</f>
        <v>#REF!</v>
      </c>
      <c r="AN312" t="e">
        <f>AND(#REF!,"AAAAAHp7yyc=")</f>
        <v>#REF!</v>
      </c>
      <c r="AO312" t="e">
        <f>AND(#REF!,"AAAAAHp7yyg=")</f>
        <v>#REF!</v>
      </c>
      <c r="AP312" t="e">
        <f>AND(#REF!,"AAAAAHp7yyk=")</f>
        <v>#REF!</v>
      </c>
      <c r="AQ312" t="e">
        <f>IF(#REF!,"AAAAAHp7yyo=",0)</f>
        <v>#REF!</v>
      </c>
      <c r="AR312" t="e">
        <f>AND(#REF!,"AAAAAHp7yys=")</f>
        <v>#REF!</v>
      </c>
      <c r="AS312" t="e">
        <f>AND(#REF!,"AAAAAHp7yyw=")</f>
        <v>#REF!</v>
      </c>
      <c r="AT312" t="e">
        <f>AND(#REF!,"AAAAAHp7yy0=")</f>
        <v>#REF!</v>
      </c>
      <c r="AU312" t="e">
        <f>AND(#REF!,"AAAAAHp7yy4=")</f>
        <v>#REF!</v>
      </c>
      <c r="AV312" t="e">
        <f>AND(#REF!,"AAAAAHp7yy8=")</f>
        <v>#REF!</v>
      </c>
      <c r="AW312" t="e">
        <f>AND(#REF!,"AAAAAHp7yzA=")</f>
        <v>#REF!</v>
      </c>
      <c r="AX312" t="e">
        <f>AND(#REF!,"AAAAAHp7yzE=")</f>
        <v>#REF!</v>
      </c>
      <c r="AY312" t="e">
        <f>AND(#REF!,"AAAAAHp7yzI=")</f>
        <v>#REF!</v>
      </c>
      <c r="AZ312" t="e">
        <f>AND(#REF!,"AAAAAHp7yzM=")</f>
        <v>#REF!</v>
      </c>
      <c r="BA312" t="e">
        <f>AND(#REF!,"AAAAAHp7yzQ=")</f>
        <v>#REF!</v>
      </c>
      <c r="BB312" t="e">
        <f>IF(#REF!,"AAAAAHp7yzU=",0)</f>
        <v>#REF!</v>
      </c>
      <c r="BC312" t="e">
        <f>AND(#REF!,"AAAAAHp7yzY=")</f>
        <v>#REF!</v>
      </c>
      <c r="BD312" t="e">
        <f>AND(#REF!,"AAAAAHp7yzc=")</f>
        <v>#REF!</v>
      </c>
      <c r="BE312" t="e">
        <f>AND(#REF!,"AAAAAHp7yzg=")</f>
        <v>#REF!</v>
      </c>
      <c r="BF312" t="e">
        <f>AND(#REF!,"AAAAAHp7yzk=")</f>
        <v>#REF!</v>
      </c>
      <c r="BG312" t="e">
        <f>AND(#REF!,"AAAAAHp7yzo=")</f>
        <v>#REF!</v>
      </c>
      <c r="BH312" t="e">
        <f>AND(#REF!,"AAAAAHp7yzs=")</f>
        <v>#REF!</v>
      </c>
      <c r="BI312" t="e">
        <f>AND(#REF!,"AAAAAHp7yzw=")</f>
        <v>#REF!</v>
      </c>
      <c r="BJ312" t="e">
        <f>AND(#REF!,"AAAAAHp7yz0=")</f>
        <v>#REF!</v>
      </c>
      <c r="BK312" t="e">
        <f>AND(#REF!,"AAAAAHp7yz4=")</f>
        <v>#REF!</v>
      </c>
      <c r="BL312" t="e">
        <f>AND(#REF!,"AAAAAHp7yz8=")</f>
        <v>#REF!</v>
      </c>
      <c r="BM312" t="e">
        <f>IF(#REF!,"AAAAAHp7y0A=",0)</f>
        <v>#REF!</v>
      </c>
      <c r="BN312" t="e">
        <f>AND(#REF!,"AAAAAHp7y0E=")</f>
        <v>#REF!</v>
      </c>
      <c r="BO312" t="e">
        <f>AND(#REF!,"AAAAAHp7y0I=")</f>
        <v>#REF!</v>
      </c>
      <c r="BP312" t="e">
        <f>AND(#REF!,"AAAAAHp7y0M=")</f>
        <v>#REF!</v>
      </c>
      <c r="BQ312" t="e">
        <f>AND(#REF!,"AAAAAHp7y0Q=")</f>
        <v>#REF!</v>
      </c>
      <c r="BR312" t="e">
        <f>AND(#REF!,"AAAAAHp7y0U=")</f>
        <v>#REF!</v>
      </c>
      <c r="BS312" t="e">
        <f>AND(#REF!,"AAAAAHp7y0Y=")</f>
        <v>#REF!</v>
      </c>
      <c r="BT312" t="e">
        <f>AND(#REF!,"AAAAAHp7y0c=")</f>
        <v>#REF!</v>
      </c>
      <c r="BU312" t="e">
        <f>AND(#REF!,"AAAAAHp7y0g=")</f>
        <v>#REF!</v>
      </c>
      <c r="BV312" t="e">
        <f>AND(#REF!,"AAAAAHp7y0k=")</f>
        <v>#REF!</v>
      </c>
      <c r="BW312" t="e">
        <f>AND(#REF!,"AAAAAHp7y0o=")</f>
        <v>#REF!</v>
      </c>
      <c r="BX312" t="e">
        <f>IF(#REF!,"AAAAAHp7y0s=",0)</f>
        <v>#REF!</v>
      </c>
      <c r="BY312" t="e">
        <f>AND(#REF!,"AAAAAHp7y0w=")</f>
        <v>#REF!</v>
      </c>
      <c r="BZ312" t="e">
        <f>AND(#REF!,"AAAAAHp7y00=")</f>
        <v>#REF!</v>
      </c>
      <c r="CA312" t="e">
        <f>AND(#REF!,"AAAAAHp7y04=")</f>
        <v>#REF!</v>
      </c>
      <c r="CB312" t="e">
        <f>AND(#REF!,"AAAAAHp7y08=")</f>
        <v>#REF!</v>
      </c>
      <c r="CC312" t="e">
        <f>AND(#REF!,"AAAAAHp7y1A=")</f>
        <v>#REF!</v>
      </c>
      <c r="CD312" t="e">
        <f>AND(#REF!,"AAAAAHp7y1E=")</f>
        <v>#REF!</v>
      </c>
      <c r="CE312" t="e">
        <f>AND(#REF!,"AAAAAHp7y1I=")</f>
        <v>#REF!</v>
      </c>
      <c r="CF312" t="e">
        <f>AND(#REF!,"AAAAAHp7y1M=")</f>
        <v>#REF!</v>
      </c>
      <c r="CG312" t="e">
        <f>AND(#REF!,"AAAAAHp7y1Q=")</f>
        <v>#REF!</v>
      </c>
      <c r="CH312" t="e">
        <f>AND(#REF!,"AAAAAHp7y1U=")</f>
        <v>#REF!</v>
      </c>
      <c r="CI312" t="e">
        <f>IF(#REF!,"AAAAAHp7y1Y=",0)</f>
        <v>#REF!</v>
      </c>
      <c r="CJ312" t="e">
        <f>AND(#REF!,"AAAAAHp7y1c=")</f>
        <v>#REF!</v>
      </c>
      <c r="CK312" t="e">
        <f>AND(#REF!,"AAAAAHp7y1g=")</f>
        <v>#REF!</v>
      </c>
      <c r="CL312" t="e">
        <f>AND(#REF!,"AAAAAHp7y1k=")</f>
        <v>#REF!</v>
      </c>
      <c r="CM312" t="e">
        <f>AND(#REF!,"AAAAAHp7y1o=")</f>
        <v>#REF!</v>
      </c>
      <c r="CN312" t="e">
        <f>AND(#REF!,"AAAAAHp7y1s=")</f>
        <v>#REF!</v>
      </c>
      <c r="CO312" t="e">
        <f>AND(#REF!,"AAAAAHp7y1w=")</f>
        <v>#REF!</v>
      </c>
      <c r="CP312" t="e">
        <f>AND(#REF!,"AAAAAHp7y10=")</f>
        <v>#REF!</v>
      </c>
      <c r="CQ312" t="e">
        <f>AND(#REF!,"AAAAAHp7y14=")</f>
        <v>#REF!</v>
      </c>
      <c r="CR312" t="e">
        <f>AND(#REF!,"AAAAAHp7y18=")</f>
        <v>#REF!</v>
      </c>
      <c r="CS312" t="e">
        <f>AND(#REF!,"AAAAAHp7y2A=")</f>
        <v>#REF!</v>
      </c>
      <c r="CT312" t="e">
        <f>IF(#REF!,"AAAAAHp7y2E=",0)</f>
        <v>#REF!</v>
      </c>
      <c r="CU312" t="e">
        <f>AND(#REF!,"AAAAAHp7y2I=")</f>
        <v>#REF!</v>
      </c>
      <c r="CV312" t="e">
        <f>AND(#REF!,"AAAAAHp7y2M=")</f>
        <v>#REF!</v>
      </c>
      <c r="CW312" t="e">
        <f>AND(#REF!,"AAAAAHp7y2Q=")</f>
        <v>#REF!</v>
      </c>
      <c r="CX312" t="e">
        <f>AND(#REF!,"AAAAAHp7y2U=")</f>
        <v>#REF!</v>
      </c>
      <c r="CY312" t="e">
        <f>AND(#REF!,"AAAAAHp7y2Y=")</f>
        <v>#REF!</v>
      </c>
      <c r="CZ312" t="e">
        <f>AND(#REF!,"AAAAAHp7y2c=")</f>
        <v>#REF!</v>
      </c>
      <c r="DA312" t="e">
        <f>AND(#REF!,"AAAAAHp7y2g=")</f>
        <v>#REF!</v>
      </c>
      <c r="DB312" t="e">
        <f>AND(#REF!,"AAAAAHp7y2k=")</f>
        <v>#REF!</v>
      </c>
      <c r="DC312" t="e">
        <f>AND(#REF!,"AAAAAHp7y2o=")</f>
        <v>#REF!</v>
      </c>
      <c r="DD312" t="e">
        <f>AND(#REF!,"AAAAAHp7y2s=")</f>
        <v>#REF!</v>
      </c>
      <c r="DE312" t="e">
        <f>IF(#REF!,"AAAAAHp7y2w=",0)</f>
        <v>#REF!</v>
      </c>
      <c r="DF312" t="e">
        <f>AND(#REF!,"AAAAAHp7y20=")</f>
        <v>#REF!</v>
      </c>
      <c r="DG312" t="e">
        <f>AND(#REF!,"AAAAAHp7y24=")</f>
        <v>#REF!</v>
      </c>
      <c r="DH312" t="e">
        <f>AND(#REF!,"AAAAAHp7y28=")</f>
        <v>#REF!</v>
      </c>
      <c r="DI312" t="e">
        <f>AND(#REF!,"AAAAAHp7y3A=")</f>
        <v>#REF!</v>
      </c>
      <c r="DJ312" t="e">
        <f>AND(#REF!,"AAAAAHp7y3E=")</f>
        <v>#REF!</v>
      </c>
      <c r="DK312" t="e">
        <f>AND(#REF!,"AAAAAHp7y3I=")</f>
        <v>#REF!</v>
      </c>
      <c r="DL312" t="e">
        <f>AND(#REF!,"AAAAAHp7y3M=")</f>
        <v>#REF!</v>
      </c>
      <c r="DM312" t="e">
        <f>AND(#REF!,"AAAAAHp7y3Q=")</f>
        <v>#REF!</v>
      </c>
      <c r="DN312" t="e">
        <f>AND(#REF!,"AAAAAHp7y3U=")</f>
        <v>#REF!</v>
      </c>
      <c r="DO312" t="e">
        <f>AND(#REF!,"AAAAAHp7y3Y=")</f>
        <v>#REF!</v>
      </c>
      <c r="DP312" t="e">
        <f>IF(#REF!,"AAAAAHp7y3c=",0)</f>
        <v>#REF!</v>
      </c>
      <c r="DQ312" t="e">
        <f>AND(#REF!,"AAAAAHp7y3g=")</f>
        <v>#REF!</v>
      </c>
      <c r="DR312" t="e">
        <f>AND(#REF!,"AAAAAHp7y3k=")</f>
        <v>#REF!</v>
      </c>
      <c r="DS312" t="e">
        <f>AND(#REF!,"AAAAAHp7y3o=")</f>
        <v>#REF!</v>
      </c>
      <c r="DT312" t="e">
        <f>AND(#REF!,"AAAAAHp7y3s=")</f>
        <v>#REF!</v>
      </c>
      <c r="DU312" t="e">
        <f>AND(#REF!,"AAAAAHp7y3w=")</f>
        <v>#REF!</v>
      </c>
      <c r="DV312" t="e">
        <f>AND(#REF!,"AAAAAHp7y30=")</f>
        <v>#REF!</v>
      </c>
      <c r="DW312" t="e">
        <f>AND(#REF!,"AAAAAHp7y34=")</f>
        <v>#REF!</v>
      </c>
      <c r="DX312" t="e">
        <f>AND(#REF!,"AAAAAHp7y38=")</f>
        <v>#REF!</v>
      </c>
      <c r="DY312" t="e">
        <f>AND(#REF!,"AAAAAHp7y4A=")</f>
        <v>#REF!</v>
      </c>
      <c r="DZ312" t="e">
        <f>AND(#REF!,"AAAAAHp7y4E=")</f>
        <v>#REF!</v>
      </c>
      <c r="EA312" t="e">
        <f>IF(#REF!,"AAAAAHp7y4I=",0)</f>
        <v>#REF!</v>
      </c>
      <c r="EB312" t="e">
        <f>AND(#REF!,"AAAAAHp7y4M=")</f>
        <v>#REF!</v>
      </c>
      <c r="EC312" t="e">
        <f>AND(#REF!,"AAAAAHp7y4Q=")</f>
        <v>#REF!</v>
      </c>
      <c r="ED312" t="e">
        <f>AND(#REF!,"AAAAAHp7y4U=")</f>
        <v>#REF!</v>
      </c>
      <c r="EE312" t="e">
        <f>AND(#REF!,"AAAAAHp7y4Y=")</f>
        <v>#REF!</v>
      </c>
      <c r="EF312" t="e">
        <f>AND(#REF!,"AAAAAHp7y4c=")</f>
        <v>#REF!</v>
      </c>
      <c r="EG312" t="e">
        <f>AND(#REF!,"AAAAAHp7y4g=")</f>
        <v>#REF!</v>
      </c>
      <c r="EH312" t="e">
        <f>AND(#REF!,"AAAAAHp7y4k=")</f>
        <v>#REF!</v>
      </c>
      <c r="EI312" t="e">
        <f>AND(#REF!,"AAAAAHp7y4o=")</f>
        <v>#REF!</v>
      </c>
      <c r="EJ312" t="e">
        <f>AND(#REF!,"AAAAAHp7y4s=")</f>
        <v>#REF!</v>
      </c>
      <c r="EK312" t="e">
        <f>AND(#REF!,"AAAAAHp7y4w=")</f>
        <v>#REF!</v>
      </c>
      <c r="EL312" t="e">
        <f>IF(#REF!,"AAAAAHp7y40=",0)</f>
        <v>#REF!</v>
      </c>
      <c r="EM312" t="e">
        <f>AND(#REF!,"AAAAAHp7y44=")</f>
        <v>#REF!</v>
      </c>
      <c r="EN312" t="e">
        <f>AND(#REF!,"AAAAAHp7y48=")</f>
        <v>#REF!</v>
      </c>
      <c r="EO312" t="e">
        <f>AND(#REF!,"AAAAAHp7y5A=")</f>
        <v>#REF!</v>
      </c>
      <c r="EP312" t="e">
        <f>AND(#REF!,"AAAAAHp7y5E=")</f>
        <v>#REF!</v>
      </c>
      <c r="EQ312" t="e">
        <f>AND(#REF!,"AAAAAHp7y5I=")</f>
        <v>#REF!</v>
      </c>
      <c r="ER312" t="e">
        <f>AND(#REF!,"AAAAAHp7y5M=")</f>
        <v>#REF!</v>
      </c>
      <c r="ES312" t="e">
        <f>AND(#REF!,"AAAAAHp7y5Q=")</f>
        <v>#REF!</v>
      </c>
      <c r="ET312" t="e">
        <f>AND(#REF!,"AAAAAHp7y5U=")</f>
        <v>#REF!</v>
      </c>
      <c r="EU312" t="e">
        <f>AND(#REF!,"AAAAAHp7y5Y=")</f>
        <v>#REF!</v>
      </c>
      <c r="EV312" t="e">
        <f>AND(#REF!,"AAAAAHp7y5c=")</f>
        <v>#REF!</v>
      </c>
      <c r="EW312" t="e">
        <f>IF(#REF!,"AAAAAHp7y5g=",0)</f>
        <v>#REF!</v>
      </c>
      <c r="EX312" t="e">
        <f>AND(#REF!,"AAAAAHp7y5k=")</f>
        <v>#REF!</v>
      </c>
      <c r="EY312" t="e">
        <f>AND(#REF!,"AAAAAHp7y5o=")</f>
        <v>#REF!</v>
      </c>
      <c r="EZ312" t="e">
        <f>AND(#REF!,"AAAAAHp7y5s=")</f>
        <v>#REF!</v>
      </c>
      <c r="FA312" t="e">
        <f>AND(#REF!,"AAAAAHp7y5w=")</f>
        <v>#REF!</v>
      </c>
      <c r="FB312" t="e">
        <f>AND(#REF!,"AAAAAHp7y50=")</f>
        <v>#REF!</v>
      </c>
      <c r="FC312" t="e">
        <f>AND(#REF!,"AAAAAHp7y54=")</f>
        <v>#REF!</v>
      </c>
      <c r="FD312" t="e">
        <f>AND(#REF!,"AAAAAHp7y58=")</f>
        <v>#REF!</v>
      </c>
      <c r="FE312" t="e">
        <f>AND(#REF!,"AAAAAHp7y6A=")</f>
        <v>#REF!</v>
      </c>
      <c r="FF312" t="e">
        <f>AND(#REF!,"AAAAAHp7y6E=")</f>
        <v>#REF!</v>
      </c>
      <c r="FG312" t="e">
        <f>AND(#REF!,"AAAAAHp7y6I=")</f>
        <v>#REF!</v>
      </c>
      <c r="FH312" t="e">
        <f>IF(#REF!,"AAAAAHp7y6M=",0)</f>
        <v>#REF!</v>
      </c>
      <c r="FI312" t="e">
        <f>AND(#REF!,"AAAAAHp7y6Q=")</f>
        <v>#REF!</v>
      </c>
      <c r="FJ312" t="e">
        <f>AND(#REF!,"AAAAAHp7y6U=")</f>
        <v>#REF!</v>
      </c>
      <c r="FK312" t="e">
        <f>AND(#REF!,"AAAAAHp7y6Y=")</f>
        <v>#REF!</v>
      </c>
      <c r="FL312" t="e">
        <f>AND(#REF!,"AAAAAHp7y6c=")</f>
        <v>#REF!</v>
      </c>
      <c r="FM312" t="e">
        <f>AND(#REF!,"AAAAAHp7y6g=")</f>
        <v>#REF!</v>
      </c>
      <c r="FN312" t="e">
        <f>AND(#REF!,"AAAAAHp7y6k=")</f>
        <v>#REF!</v>
      </c>
      <c r="FO312" t="e">
        <f>AND(#REF!,"AAAAAHp7y6o=")</f>
        <v>#REF!</v>
      </c>
      <c r="FP312" t="e">
        <f>AND(#REF!,"AAAAAHp7y6s=")</f>
        <v>#REF!</v>
      </c>
      <c r="FQ312" t="e">
        <f>AND(#REF!,"AAAAAHp7y6w=")</f>
        <v>#REF!</v>
      </c>
      <c r="FR312" t="e">
        <f>AND(#REF!,"AAAAAHp7y60=")</f>
        <v>#REF!</v>
      </c>
      <c r="FS312" t="e">
        <f>IF(#REF!,"AAAAAHp7y64=",0)</f>
        <v>#REF!</v>
      </c>
      <c r="FT312" t="e">
        <f>AND(#REF!,"AAAAAHp7y68=")</f>
        <v>#REF!</v>
      </c>
      <c r="FU312" t="e">
        <f>AND(#REF!,"AAAAAHp7y7A=")</f>
        <v>#REF!</v>
      </c>
      <c r="FV312" t="e">
        <f>AND(#REF!,"AAAAAHp7y7E=")</f>
        <v>#REF!</v>
      </c>
      <c r="FW312" t="e">
        <f>AND(#REF!,"AAAAAHp7y7I=")</f>
        <v>#REF!</v>
      </c>
      <c r="FX312" t="e">
        <f>AND(#REF!,"AAAAAHp7y7M=")</f>
        <v>#REF!</v>
      </c>
      <c r="FY312" t="e">
        <f>AND(#REF!,"AAAAAHp7y7Q=")</f>
        <v>#REF!</v>
      </c>
      <c r="FZ312" t="e">
        <f>AND(#REF!,"AAAAAHp7y7U=")</f>
        <v>#REF!</v>
      </c>
      <c r="GA312" t="e">
        <f>AND(#REF!,"AAAAAHp7y7Y=")</f>
        <v>#REF!</v>
      </c>
      <c r="GB312" t="e">
        <f>AND(#REF!,"AAAAAHp7y7c=")</f>
        <v>#REF!</v>
      </c>
      <c r="GC312" t="e">
        <f>AND(#REF!,"AAAAAHp7y7g=")</f>
        <v>#REF!</v>
      </c>
      <c r="GD312" t="e">
        <f>IF(#REF!,"AAAAAHp7y7k=",0)</f>
        <v>#REF!</v>
      </c>
      <c r="GE312" t="e">
        <f>AND(#REF!,"AAAAAHp7y7o=")</f>
        <v>#REF!</v>
      </c>
      <c r="GF312" t="e">
        <f>AND(#REF!,"AAAAAHp7y7s=")</f>
        <v>#REF!</v>
      </c>
      <c r="GG312" t="e">
        <f>AND(#REF!,"AAAAAHp7y7w=")</f>
        <v>#REF!</v>
      </c>
      <c r="GH312" t="e">
        <f>AND(#REF!,"AAAAAHp7y70=")</f>
        <v>#REF!</v>
      </c>
      <c r="GI312" t="e">
        <f>AND(#REF!,"AAAAAHp7y74=")</f>
        <v>#REF!</v>
      </c>
      <c r="GJ312" t="e">
        <f>AND(#REF!,"AAAAAHp7y78=")</f>
        <v>#REF!</v>
      </c>
      <c r="GK312" t="e">
        <f>AND(#REF!,"AAAAAHp7y8A=")</f>
        <v>#REF!</v>
      </c>
      <c r="GL312" t="e">
        <f>AND(#REF!,"AAAAAHp7y8E=")</f>
        <v>#REF!</v>
      </c>
      <c r="GM312" t="e">
        <f>AND(#REF!,"AAAAAHp7y8I=")</f>
        <v>#REF!</v>
      </c>
      <c r="GN312" t="e">
        <f>AND(#REF!,"AAAAAHp7y8M=")</f>
        <v>#REF!</v>
      </c>
      <c r="GO312" t="e">
        <f>IF(#REF!,"AAAAAHp7y8Q=",0)</f>
        <v>#REF!</v>
      </c>
      <c r="GP312" t="e">
        <f>AND(#REF!,"AAAAAHp7y8U=")</f>
        <v>#REF!</v>
      </c>
      <c r="GQ312" t="e">
        <f>AND(#REF!,"AAAAAHp7y8Y=")</f>
        <v>#REF!</v>
      </c>
      <c r="GR312" t="e">
        <f>AND(#REF!,"AAAAAHp7y8c=")</f>
        <v>#REF!</v>
      </c>
      <c r="GS312" t="e">
        <f>AND(#REF!,"AAAAAHp7y8g=")</f>
        <v>#REF!</v>
      </c>
      <c r="GT312" t="e">
        <f>AND(#REF!,"AAAAAHp7y8k=")</f>
        <v>#REF!</v>
      </c>
      <c r="GU312" t="e">
        <f>AND(#REF!,"AAAAAHp7y8o=")</f>
        <v>#REF!</v>
      </c>
      <c r="GV312" t="e">
        <f>AND(#REF!,"AAAAAHp7y8s=")</f>
        <v>#REF!</v>
      </c>
      <c r="GW312" t="e">
        <f>AND(#REF!,"AAAAAHp7y8w=")</f>
        <v>#REF!</v>
      </c>
      <c r="GX312" t="e">
        <f>AND(#REF!,"AAAAAHp7y80=")</f>
        <v>#REF!</v>
      </c>
      <c r="GY312" t="e">
        <f>AND(#REF!,"AAAAAHp7y84=")</f>
        <v>#REF!</v>
      </c>
      <c r="GZ312" t="e">
        <f>IF(#REF!,"AAAAAHp7y88=",0)</f>
        <v>#REF!</v>
      </c>
      <c r="HA312" t="e">
        <f>AND(#REF!,"AAAAAHp7y9A=")</f>
        <v>#REF!</v>
      </c>
      <c r="HB312" t="e">
        <f>AND(#REF!,"AAAAAHp7y9E=")</f>
        <v>#REF!</v>
      </c>
      <c r="HC312" t="e">
        <f>AND(#REF!,"AAAAAHp7y9I=")</f>
        <v>#REF!</v>
      </c>
      <c r="HD312" t="e">
        <f>AND(#REF!,"AAAAAHp7y9M=")</f>
        <v>#REF!</v>
      </c>
      <c r="HE312" t="e">
        <f>AND(#REF!,"AAAAAHp7y9Q=")</f>
        <v>#REF!</v>
      </c>
      <c r="HF312" t="e">
        <f>AND(#REF!,"AAAAAHp7y9U=")</f>
        <v>#REF!</v>
      </c>
      <c r="HG312" t="e">
        <f>AND(#REF!,"AAAAAHp7y9Y=")</f>
        <v>#REF!</v>
      </c>
      <c r="HH312" t="e">
        <f>AND(#REF!,"AAAAAHp7y9c=")</f>
        <v>#REF!</v>
      </c>
      <c r="HI312" t="e">
        <f>AND(#REF!,"AAAAAHp7y9g=")</f>
        <v>#REF!</v>
      </c>
      <c r="HJ312" t="e">
        <f>AND(#REF!,"AAAAAHp7y9k=")</f>
        <v>#REF!</v>
      </c>
      <c r="HK312" t="e">
        <f>IF(#REF!,"AAAAAHp7y9o=",0)</f>
        <v>#REF!</v>
      </c>
      <c r="HL312" t="e">
        <f>AND(#REF!,"AAAAAHp7y9s=")</f>
        <v>#REF!</v>
      </c>
      <c r="HM312" t="e">
        <f>AND(#REF!,"AAAAAHp7y9w=")</f>
        <v>#REF!</v>
      </c>
      <c r="HN312" t="e">
        <f>AND(#REF!,"AAAAAHp7y90=")</f>
        <v>#REF!</v>
      </c>
      <c r="HO312" t="e">
        <f>AND(#REF!,"AAAAAHp7y94=")</f>
        <v>#REF!</v>
      </c>
      <c r="HP312" t="e">
        <f>AND(#REF!,"AAAAAHp7y98=")</f>
        <v>#REF!</v>
      </c>
      <c r="HQ312" t="e">
        <f>AND(#REF!,"AAAAAHp7y+A=")</f>
        <v>#REF!</v>
      </c>
      <c r="HR312" t="e">
        <f>AND(#REF!,"AAAAAHp7y+E=")</f>
        <v>#REF!</v>
      </c>
      <c r="HS312" t="e">
        <f>AND(#REF!,"AAAAAHp7y+I=")</f>
        <v>#REF!</v>
      </c>
      <c r="HT312" t="e">
        <f>AND(#REF!,"AAAAAHp7y+M=")</f>
        <v>#REF!</v>
      </c>
      <c r="HU312" t="e">
        <f>AND(#REF!,"AAAAAHp7y+Q=")</f>
        <v>#REF!</v>
      </c>
      <c r="HV312" t="e">
        <f>IF(#REF!,"AAAAAHp7y+U=",0)</f>
        <v>#REF!</v>
      </c>
      <c r="HW312" t="e">
        <f>AND(#REF!,"AAAAAHp7y+Y=")</f>
        <v>#REF!</v>
      </c>
      <c r="HX312" t="e">
        <f>AND(#REF!,"AAAAAHp7y+c=")</f>
        <v>#REF!</v>
      </c>
      <c r="HY312" t="e">
        <f>AND(#REF!,"AAAAAHp7y+g=")</f>
        <v>#REF!</v>
      </c>
      <c r="HZ312" t="e">
        <f>AND(#REF!,"AAAAAHp7y+k=")</f>
        <v>#REF!</v>
      </c>
      <c r="IA312" t="e">
        <f>AND(#REF!,"AAAAAHp7y+o=")</f>
        <v>#REF!</v>
      </c>
      <c r="IB312" t="e">
        <f>AND(#REF!,"AAAAAHp7y+s=")</f>
        <v>#REF!</v>
      </c>
      <c r="IC312" t="e">
        <f>AND(#REF!,"AAAAAHp7y+w=")</f>
        <v>#REF!</v>
      </c>
      <c r="ID312" t="e">
        <f>AND(#REF!,"AAAAAHp7y+0=")</f>
        <v>#REF!</v>
      </c>
      <c r="IE312" t="e">
        <f>AND(#REF!,"AAAAAHp7y+4=")</f>
        <v>#REF!</v>
      </c>
      <c r="IF312" t="e">
        <f>AND(#REF!,"AAAAAHp7y+8=")</f>
        <v>#REF!</v>
      </c>
      <c r="IG312" t="e">
        <f>IF(#REF!,"AAAAAHp7y/A=",0)</f>
        <v>#REF!</v>
      </c>
      <c r="IH312" t="e">
        <f>AND(#REF!,"AAAAAHp7y/E=")</f>
        <v>#REF!</v>
      </c>
      <c r="II312" t="e">
        <f>AND(#REF!,"AAAAAHp7y/I=")</f>
        <v>#REF!</v>
      </c>
      <c r="IJ312" t="e">
        <f>AND(#REF!,"AAAAAHp7y/M=")</f>
        <v>#REF!</v>
      </c>
      <c r="IK312" t="e">
        <f>AND(#REF!,"AAAAAHp7y/Q=")</f>
        <v>#REF!</v>
      </c>
      <c r="IL312" t="e">
        <f>AND(#REF!,"AAAAAHp7y/U=")</f>
        <v>#REF!</v>
      </c>
      <c r="IM312" t="e">
        <f>AND(#REF!,"AAAAAHp7y/Y=")</f>
        <v>#REF!</v>
      </c>
      <c r="IN312" t="e">
        <f>AND(#REF!,"AAAAAHp7y/c=")</f>
        <v>#REF!</v>
      </c>
      <c r="IO312" t="e">
        <f>AND(#REF!,"AAAAAHp7y/g=")</f>
        <v>#REF!</v>
      </c>
      <c r="IP312" t="e">
        <f>AND(#REF!,"AAAAAHp7y/k=")</f>
        <v>#REF!</v>
      </c>
      <c r="IQ312" t="e">
        <f>AND(#REF!,"AAAAAHp7y/o=")</f>
        <v>#REF!</v>
      </c>
      <c r="IR312" t="e">
        <f>IF(#REF!,"AAAAAHp7y/s=",0)</f>
        <v>#REF!</v>
      </c>
      <c r="IS312" t="e">
        <f>AND(#REF!,"AAAAAHp7y/w=")</f>
        <v>#REF!</v>
      </c>
      <c r="IT312" t="e">
        <f>AND(#REF!,"AAAAAHp7y/0=")</f>
        <v>#REF!</v>
      </c>
      <c r="IU312" t="e">
        <f>AND(#REF!,"AAAAAHp7y/4=")</f>
        <v>#REF!</v>
      </c>
      <c r="IV312" t="e">
        <f>AND(#REF!,"AAAAAHp7y/8=")</f>
        <v>#REF!</v>
      </c>
    </row>
    <row r="313" spans="1:256" x14ac:dyDescent="0.25">
      <c r="A313" t="e">
        <f>AND(#REF!,"AAAAAFvvbgA=")</f>
        <v>#REF!</v>
      </c>
      <c r="B313" t="e">
        <f>AND(#REF!,"AAAAAFvvbgE=")</f>
        <v>#REF!</v>
      </c>
      <c r="C313" t="e">
        <f>AND(#REF!,"AAAAAFvvbgI=")</f>
        <v>#REF!</v>
      </c>
      <c r="D313" t="e">
        <f>AND(#REF!,"AAAAAFvvbgM=")</f>
        <v>#REF!</v>
      </c>
      <c r="E313" t="e">
        <f>AND(#REF!,"AAAAAFvvbgQ=")</f>
        <v>#REF!</v>
      </c>
      <c r="F313" t="e">
        <f>AND(#REF!,"AAAAAFvvbgU=")</f>
        <v>#REF!</v>
      </c>
      <c r="G313" t="e">
        <f>IF(#REF!,"AAAAAFvvbgY=",0)</f>
        <v>#REF!</v>
      </c>
      <c r="H313" t="e">
        <f>AND(#REF!,"AAAAAFvvbgc=")</f>
        <v>#REF!</v>
      </c>
      <c r="I313" t="e">
        <f>AND(#REF!,"AAAAAFvvbgg=")</f>
        <v>#REF!</v>
      </c>
      <c r="J313" t="e">
        <f>AND(#REF!,"AAAAAFvvbgk=")</f>
        <v>#REF!</v>
      </c>
      <c r="K313" t="e">
        <f>AND(#REF!,"AAAAAFvvbgo=")</f>
        <v>#REF!</v>
      </c>
      <c r="L313" t="e">
        <f>AND(#REF!,"AAAAAFvvbgs=")</f>
        <v>#REF!</v>
      </c>
      <c r="M313" t="e">
        <f>AND(#REF!,"AAAAAFvvbgw=")</f>
        <v>#REF!</v>
      </c>
      <c r="N313" t="e">
        <f>AND(#REF!,"AAAAAFvvbg0=")</f>
        <v>#REF!</v>
      </c>
      <c r="O313" t="e">
        <f>AND(#REF!,"AAAAAFvvbg4=")</f>
        <v>#REF!</v>
      </c>
      <c r="P313" t="e">
        <f>AND(#REF!,"AAAAAFvvbg8=")</f>
        <v>#REF!</v>
      </c>
      <c r="Q313" t="e">
        <f>AND(#REF!,"AAAAAFvvbhA=")</f>
        <v>#REF!</v>
      </c>
      <c r="R313" t="e">
        <f>IF(#REF!,"AAAAAFvvbhE=",0)</f>
        <v>#REF!</v>
      </c>
      <c r="S313" t="e">
        <f>AND(#REF!,"AAAAAFvvbhI=")</f>
        <v>#REF!</v>
      </c>
      <c r="T313" t="e">
        <f>AND(#REF!,"AAAAAFvvbhM=")</f>
        <v>#REF!</v>
      </c>
      <c r="U313" t="e">
        <f>AND(#REF!,"AAAAAFvvbhQ=")</f>
        <v>#REF!</v>
      </c>
      <c r="V313" t="e">
        <f>AND(#REF!,"AAAAAFvvbhU=")</f>
        <v>#REF!</v>
      </c>
      <c r="W313" t="e">
        <f>AND(#REF!,"AAAAAFvvbhY=")</f>
        <v>#REF!</v>
      </c>
      <c r="X313" t="e">
        <f>AND(#REF!,"AAAAAFvvbhc=")</f>
        <v>#REF!</v>
      </c>
      <c r="Y313" t="e">
        <f>AND(#REF!,"AAAAAFvvbhg=")</f>
        <v>#REF!</v>
      </c>
      <c r="Z313" t="e">
        <f>AND(#REF!,"AAAAAFvvbhk=")</f>
        <v>#REF!</v>
      </c>
      <c r="AA313" t="e">
        <f>AND(#REF!,"AAAAAFvvbho=")</f>
        <v>#REF!</v>
      </c>
      <c r="AB313" t="e">
        <f>AND(#REF!,"AAAAAFvvbhs=")</f>
        <v>#REF!</v>
      </c>
      <c r="AC313" t="e">
        <f>IF(#REF!,"AAAAAFvvbhw=",0)</f>
        <v>#REF!</v>
      </c>
      <c r="AD313" t="e">
        <f>AND(#REF!,"AAAAAFvvbh0=")</f>
        <v>#REF!</v>
      </c>
      <c r="AE313" t="e">
        <f>AND(#REF!,"AAAAAFvvbh4=")</f>
        <v>#REF!</v>
      </c>
      <c r="AF313" t="e">
        <f>AND(#REF!,"AAAAAFvvbh8=")</f>
        <v>#REF!</v>
      </c>
      <c r="AG313" t="e">
        <f>AND(#REF!,"AAAAAFvvbiA=")</f>
        <v>#REF!</v>
      </c>
      <c r="AH313" t="e">
        <f>AND(#REF!,"AAAAAFvvbiE=")</f>
        <v>#REF!</v>
      </c>
      <c r="AI313" t="e">
        <f>AND(#REF!,"AAAAAFvvbiI=")</f>
        <v>#REF!</v>
      </c>
      <c r="AJ313" t="e">
        <f>AND(#REF!,"AAAAAFvvbiM=")</f>
        <v>#REF!</v>
      </c>
      <c r="AK313" t="e">
        <f>AND(#REF!,"AAAAAFvvbiQ=")</f>
        <v>#REF!</v>
      </c>
      <c r="AL313" t="e">
        <f>AND(#REF!,"AAAAAFvvbiU=")</f>
        <v>#REF!</v>
      </c>
      <c r="AM313" t="e">
        <f>AND(#REF!,"AAAAAFvvbiY=")</f>
        <v>#REF!</v>
      </c>
      <c r="AN313" t="e">
        <f>IF(#REF!,"AAAAAFvvbic=",0)</f>
        <v>#REF!</v>
      </c>
      <c r="AO313" t="e">
        <f>AND(#REF!,"AAAAAFvvbig=")</f>
        <v>#REF!</v>
      </c>
      <c r="AP313" t="e">
        <f>AND(#REF!,"AAAAAFvvbik=")</f>
        <v>#REF!</v>
      </c>
      <c r="AQ313" t="e">
        <f>AND(#REF!,"AAAAAFvvbio=")</f>
        <v>#REF!</v>
      </c>
      <c r="AR313" t="e">
        <f>AND(#REF!,"AAAAAFvvbis=")</f>
        <v>#REF!</v>
      </c>
      <c r="AS313" t="e">
        <f>AND(#REF!,"AAAAAFvvbiw=")</f>
        <v>#REF!</v>
      </c>
      <c r="AT313" t="e">
        <f>AND(#REF!,"AAAAAFvvbi0=")</f>
        <v>#REF!</v>
      </c>
      <c r="AU313" t="e">
        <f>AND(#REF!,"AAAAAFvvbi4=")</f>
        <v>#REF!</v>
      </c>
      <c r="AV313" t="e">
        <f>AND(#REF!,"AAAAAFvvbi8=")</f>
        <v>#REF!</v>
      </c>
      <c r="AW313" t="e">
        <f>AND(#REF!,"AAAAAFvvbjA=")</f>
        <v>#REF!</v>
      </c>
      <c r="AX313" t="e">
        <f>AND(#REF!,"AAAAAFvvbjE=")</f>
        <v>#REF!</v>
      </c>
      <c r="AY313" t="e">
        <f>IF(#REF!,"AAAAAFvvbjI=",0)</f>
        <v>#REF!</v>
      </c>
      <c r="AZ313" t="e">
        <f>AND(#REF!,"AAAAAFvvbjM=")</f>
        <v>#REF!</v>
      </c>
      <c r="BA313" t="e">
        <f>AND(#REF!,"AAAAAFvvbjQ=")</f>
        <v>#REF!</v>
      </c>
      <c r="BB313" t="e">
        <f>AND(#REF!,"AAAAAFvvbjU=")</f>
        <v>#REF!</v>
      </c>
      <c r="BC313" t="e">
        <f>AND(#REF!,"AAAAAFvvbjY=")</f>
        <v>#REF!</v>
      </c>
      <c r="BD313" t="e">
        <f>AND(#REF!,"AAAAAFvvbjc=")</f>
        <v>#REF!</v>
      </c>
      <c r="BE313" t="e">
        <f>AND(#REF!,"AAAAAFvvbjg=")</f>
        <v>#REF!</v>
      </c>
      <c r="BF313" t="e">
        <f>AND(#REF!,"AAAAAFvvbjk=")</f>
        <v>#REF!</v>
      </c>
      <c r="BG313" t="e">
        <f>AND(#REF!,"AAAAAFvvbjo=")</f>
        <v>#REF!</v>
      </c>
      <c r="BH313" t="e">
        <f>AND(#REF!,"AAAAAFvvbjs=")</f>
        <v>#REF!</v>
      </c>
      <c r="BI313" t="e">
        <f>AND(#REF!,"AAAAAFvvbjw=")</f>
        <v>#REF!</v>
      </c>
      <c r="BJ313" t="e">
        <f>IF(#REF!,"AAAAAFvvbj0=",0)</f>
        <v>#REF!</v>
      </c>
      <c r="BK313" t="e">
        <f>AND(#REF!,"AAAAAFvvbj4=")</f>
        <v>#REF!</v>
      </c>
      <c r="BL313" t="e">
        <f>AND(#REF!,"AAAAAFvvbj8=")</f>
        <v>#REF!</v>
      </c>
      <c r="BM313" t="e">
        <f>AND(#REF!,"AAAAAFvvbkA=")</f>
        <v>#REF!</v>
      </c>
      <c r="BN313" t="e">
        <f>AND(#REF!,"AAAAAFvvbkE=")</f>
        <v>#REF!</v>
      </c>
      <c r="BO313" t="e">
        <f>AND(#REF!,"AAAAAFvvbkI=")</f>
        <v>#REF!</v>
      </c>
      <c r="BP313" t="e">
        <f>AND(#REF!,"AAAAAFvvbkM=")</f>
        <v>#REF!</v>
      </c>
      <c r="BQ313" t="e">
        <f>AND(#REF!,"AAAAAFvvbkQ=")</f>
        <v>#REF!</v>
      </c>
      <c r="BR313" t="e">
        <f>AND(#REF!,"AAAAAFvvbkU=")</f>
        <v>#REF!</v>
      </c>
      <c r="BS313" t="e">
        <f>AND(#REF!,"AAAAAFvvbkY=")</f>
        <v>#REF!</v>
      </c>
      <c r="BT313" t="e">
        <f>AND(#REF!,"AAAAAFvvbkc=")</f>
        <v>#REF!</v>
      </c>
      <c r="BU313" t="e">
        <f>IF(#REF!,"AAAAAFvvbkg=",0)</f>
        <v>#REF!</v>
      </c>
      <c r="BV313" t="e">
        <f>AND(#REF!,"AAAAAFvvbkk=")</f>
        <v>#REF!</v>
      </c>
      <c r="BW313" t="e">
        <f>AND(#REF!,"AAAAAFvvbko=")</f>
        <v>#REF!</v>
      </c>
      <c r="BX313" t="e">
        <f>AND(#REF!,"AAAAAFvvbks=")</f>
        <v>#REF!</v>
      </c>
      <c r="BY313" t="e">
        <f>AND(#REF!,"AAAAAFvvbkw=")</f>
        <v>#REF!</v>
      </c>
      <c r="BZ313" t="e">
        <f>AND(#REF!,"AAAAAFvvbk0=")</f>
        <v>#REF!</v>
      </c>
      <c r="CA313" t="e">
        <f>AND(#REF!,"AAAAAFvvbk4=")</f>
        <v>#REF!</v>
      </c>
      <c r="CB313" t="e">
        <f>AND(#REF!,"AAAAAFvvbk8=")</f>
        <v>#REF!</v>
      </c>
      <c r="CC313" t="e">
        <f>AND(#REF!,"AAAAAFvvblA=")</f>
        <v>#REF!</v>
      </c>
      <c r="CD313" t="e">
        <f>AND(#REF!,"AAAAAFvvblE=")</f>
        <v>#REF!</v>
      </c>
      <c r="CE313" t="e">
        <f>AND(#REF!,"AAAAAFvvblI=")</f>
        <v>#REF!</v>
      </c>
      <c r="CF313" t="e">
        <f>IF(#REF!,"AAAAAFvvblM=",0)</f>
        <v>#REF!</v>
      </c>
      <c r="CG313" t="e">
        <f>AND(#REF!,"AAAAAFvvblQ=")</f>
        <v>#REF!</v>
      </c>
      <c r="CH313" t="e">
        <f>AND(#REF!,"AAAAAFvvblU=")</f>
        <v>#REF!</v>
      </c>
      <c r="CI313" t="e">
        <f>AND(#REF!,"AAAAAFvvblY=")</f>
        <v>#REF!</v>
      </c>
      <c r="CJ313" t="e">
        <f>AND(#REF!,"AAAAAFvvblc=")</f>
        <v>#REF!</v>
      </c>
      <c r="CK313" t="e">
        <f>AND(#REF!,"AAAAAFvvblg=")</f>
        <v>#REF!</v>
      </c>
      <c r="CL313" t="e">
        <f>AND(#REF!,"AAAAAFvvblk=")</f>
        <v>#REF!</v>
      </c>
      <c r="CM313" t="e">
        <f>AND(#REF!,"AAAAAFvvblo=")</f>
        <v>#REF!</v>
      </c>
      <c r="CN313" t="e">
        <f>AND(#REF!,"AAAAAFvvbls=")</f>
        <v>#REF!</v>
      </c>
      <c r="CO313" t="e">
        <f>AND(#REF!,"AAAAAFvvblw=")</f>
        <v>#REF!</v>
      </c>
      <c r="CP313" t="e">
        <f>AND(#REF!,"AAAAAFvvbl0=")</f>
        <v>#REF!</v>
      </c>
      <c r="CQ313" t="e">
        <f>IF(#REF!,"AAAAAFvvbl4=",0)</f>
        <v>#REF!</v>
      </c>
      <c r="CR313" t="e">
        <f>AND(#REF!,"AAAAAFvvbl8=")</f>
        <v>#REF!</v>
      </c>
      <c r="CS313" t="e">
        <f>AND(#REF!,"AAAAAFvvbmA=")</f>
        <v>#REF!</v>
      </c>
      <c r="CT313" t="e">
        <f>AND(#REF!,"AAAAAFvvbmE=")</f>
        <v>#REF!</v>
      </c>
      <c r="CU313" t="e">
        <f>AND(#REF!,"AAAAAFvvbmI=")</f>
        <v>#REF!</v>
      </c>
      <c r="CV313" t="e">
        <f>AND(#REF!,"AAAAAFvvbmM=")</f>
        <v>#REF!</v>
      </c>
      <c r="CW313" t="e">
        <f>AND(#REF!,"AAAAAFvvbmQ=")</f>
        <v>#REF!</v>
      </c>
      <c r="CX313" t="e">
        <f>AND(#REF!,"AAAAAFvvbmU=")</f>
        <v>#REF!</v>
      </c>
      <c r="CY313" t="e">
        <f>AND(#REF!,"AAAAAFvvbmY=")</f>
        <v>#REF!</v>
      </c>
      <c r="CZ313" t="e">
        <f>AND(#REF!,"AAAAAFvvbmc=")</f>
        <v>#REF!</v>
      </c>
      <c r="DA313" t="e">
        <f>AND(#REF!,"AAAAAFvvbmg=")</f>
        <v>#REF!</v>
      </c>
      <c r="DB313" t="e">
        <f>IF(#REF!,"AAAAAFvvbmk=",0)</f>
        <v>#REF!</v>
      </c>
      <c r="DC313" t="e">
        <f>AND(#REF!,"AAAAAFvvbmo=")</f>
        <v>#REF!</v>
      </c>
      <c r="DD313" t="e">
        <f>AND(#REF!,"AAAAAFvvbms=")</f>
        <v>#REF!</v>
      </c>
      <c r="DE313" t="e">
        <f>AND(#REF!,"AAAAAFvvbmw=")</f>
        <v>#REF!</v>
      </c>
      <c r="DF313" t="e">
        <f>AND(#REF!,"AAAAAFvvbm0=")</f>
        <v>#REF!</v>
      </c>
      <c r="DG313" t="e">
        <f>AND(#REF!,"AAAAAFvvbm4=")</f>
        <v>#REF!</v>
      </c>
      <c r="DH313" t="e">
        <f>AND(#REF!,"AAAAAFvvbm8=")</f>
        <v>#REF!</v>
      </c>
      <c r="DI313" t="e">
        <f>AND(#REF!,"AAAAAFvvbnA=")</f>
        <v>#REF!</v>
      </c>
      <c r="DJ313" t="e">
        <f>AND(#REF!,"AAAAAFvvbnE=")</f>
        <v>#REF!</v>
      </c>
      <c r="DK313" t="e">
        <f>AND(#REF!,"AAAAAFvvbnI=")</f>
        <v>#REF!</v>
      </c>
      <c r="DL313" t="e">
        <f>AND(#REF!,"AAAAAFvvbnM=")</f>
        <v>#REF!</v>
      </c>
      <c r="DM313" t="e">
        <f>IF(#REF!,"AAAAAFvvbnQ=",0)</f>
        <v>#REF!</v>
      </c>
      <c r="DN313" t="e">
        <f>AND(#REF!,"AAAAAFvvbnU=")</f>
        <v>#REF!</v>
      </c>
      <c r="DO313" t="e">
        <f>AND(#REF!,"AAAAAFvvbnY=")</f>
        <v>#REF!</v>
      </c>
      <c r="DP313" t="e">
        <f>AND(#REF!,"AAAAAFvvbnc=")</f>
        <v>#REF!</v>
      </c>
      <c r="DQ313" t="e">
        <f>AND(#REF!,"AAAAAFvvbng=")</f>
        <v>#REF!</v>
      </c>
      <c r="DR313" t="e">
        <f>AND(#REF!,"AAAAAFvvbnk=")</f>
        <v>#REF!</v>
      </c>
      <c r="DS313" t="e">
        <f>AND(#REF!,"AAAAAFvvbno=")</f>
        <v>#REF!</v>
      </c>
      <c r="DT313" t="e">
        <f>AND(#REF!,"AAAAAFvvbns=")</f>
        <v>#REF!</v>
      </c>
      <c r="DU313" t="e">
        <f>AND(#REF!,"AAAAAFvvbnw=")</f>
        <v>#REF!</v>
      </c>
      <c r="DV313" t="e">
        <f>AND(#REF!,"AAAAAFvvbn0=")</f>
        <v>#REF!</v>
      </c>
      <c r="DW313" t="e">
        <f>AND(#REF!,"AAAAAFvvbn4=")</f>
        <v>#REF!</v>
      </c>
      <c r="DX313" t="e">
        <f>IF(#REF!,"AAAAAFvvbn8=",0)</f>
        <v>#REF!</v>
      </c>
      <c r="DY313" t="e">
        <f>AND(#REF!,"AAAAAFvvboA=")</f>
        <v>#REF!</v>
      </c>
      <c r="DZ313" t="e">
        <f>AND(#REF!,"AAAAAFvvboE=")</f>
        <v>#REF!</v>
      </c>
      <c r="EA313" t="e">
        <f>AND(#REF!,"AAAAAFvvboI=")</f>
        <v>#REF!</v>
      </c>
      <c r="EB313" t="e">
        <f>AND(#REF!,"AAAAAFvvboM=")</f>
        <v>#REF!</v>
      </c>
      <c r="EC313" t="e">
        <f>AND(#REF!,"AAAAAFvvboQ=")</f>
        <v>#REF!</v>
      </c>
      <c r="ED313" t="e">
        <f>AND(#REF!,"AAAAAFvvboU=")</f>
        <v>#REF!</v>
      </c>
      <c r="EE313" t="e">
        <f>AND(#REF!,"AAAAAFvvboY=")</f>
        <v>#REF!</v>
      </c>
      <c r="EF313" t="e">
        <f>AND(#REF!,"AAAAAFvvboc=")</f>
        <v>#REF!</v>
      </c>
      <c r="EG313" t="e">
        <f>AND(#REF!,"AAAAAFvvbog=")</f>
        <v>#REF!</v>
      </c>
      <c r="EH313" t="e">
        <f>AND(#REF!,"AAAAAFvvbok=")</f>
        <v>#REF!</v>
      </c>
      <c r="EI313" t="e">
        <f>IF(#REF!,"AAAAAFvvboo=",0)</f>
        <v>#REF!</v>
      </c>
      <c r="EJ313" t="e">
        <f>AND(#REF!,"AAAAAFvvbos=")</f>
        <v>#REF!</v>
      </c>
      <c r="EK313" t="e">
        <f>AND(#REF!,"AAAAAFvvbow=")</f>
        <v>#REF!</v>
      </c>
      <c r="EL313" t="e">
        <f>AND(#REF!,"AAAAAFvvbo0=")</f>
        <v>#REF!</v>
      </c>
      <c r="EM313" t="e">
        <f>AND(#REF!,"AAAAAFvvbo4=")</f>
        <v>#REF!</v>
      </c>
      <c r="EN313" t="e">
        <f>AND(#REF!,"AAAAAFvvbo8=")</f>
        <v>#REF!</v>
      </c>
      <c r="EO313" t="e">
        <f>AND(#REF!,"AAAAAFvvbpA=")</f>
        <v>#REF!</v>
      </c>
      <c r="EP313" t="e">
        <f>AND(#REF!,"AAAAAFvvbpE=")</f>
        <v>#REF!</v>
      </c>
      <c r="EQ313" t="e">
        <f>AND(#REF!,"AAAAAFvvbpI=")</f>
        <v>#REF!</v>
      </c>
      <c r="ER313" t="e">
        <f>AND(#REF!,"AAAAAFvvbpM=")</f>
        <v>#REF!</v>
      </c>
      <c r="ES313" t="e">
        <f>AND(#REF!,"AAAAAFvvbpQ=")</f>
        <v>#REF!</v>
      </c>
      <c r="ET313" t="e">
        <f>IF(#REF!,"AAAAAFvvbpU=",0)</f>
        <v>#REF!</v>
      </c>
      <c r="EU313" t="e">
        <f>AND(#REF!,"AAAAAFvvbpY=")</f>
        <v>#REF!</v>
      </c>
      <c r="EV313" t="e">
        <f>AND(#REF!,"AAAAAFvvbpc=")</f>
        <v>#REF!</v>
      </c>
      <c r="EW313" t="e">
        <f>AND(#REF!,"AAAAAFvvbpg=")</f>
        <v>#REF!</v>
      </c>
      <c r="EX313" t="e">
        <f>AND(#REF!,"AAAAAFvvbpk=")</f>
        <v>#REF!</v>
      </c>
      <c r="EY313" t="e">
        <f>AND(#REF!,"AAAAAFvvbpo=")</f>
        <v>#REF!</v>
      </c>
      <c r="EZ313" t="e">
        <f>AND(#REF!,"AAAAAFvvbps=")</f>
        <v>#REF!</v>
      </c>
      <c r="FA313" t="e">
        <f>AND(#REF!,"AAAAAFvvbpw=")</f>
        <v>#REF!</v>
      </c>
      <c r="FB313" t="e">
        <f>AND(#REF!,"AAAAAFvvbp0=")</f>
        <v>#REF!</v>
      </c>
      <c r="FC313" t="e">
        <f>AND(#REF!,"AAAAAFvvbp4=")</f>
        <v>#REF!</v>
      </c>
      <c r="FD313" t="e">
        <f>AND(#REF!,"AAAAAFvvbp8=")</f>
        <v>#REF!</v>
      </c>
      <c r="FE313" t="e">
        <f>IF(#REF!,"AAAAAFvvbqA=",0)</f>
        <v>#REF!</v>
      </c>
      <c r="FF313" t="e">
        <f>AND(#REF!,"AAAAAFvvbqE=")</f>
        <v>#REF!</v>
      </c>
      <c r="FG313" t="e">
        <f>AND(#REF!,"AAAAAFvvbqI=")</f>
        <v>#REF!</v>
      </c>
      <c r="FH313" t="e">
        <f>AND(#REF!,"AAAAAFvvbqM=")</f>
        <v>#REF!</v>
      </c>
      <c r="FI313" t="e">
        <f>AND(#REF!,"AAAAAFvvbqQ=")</f>
        <v>#REF!</v>
      </c>
      <c r="FJ313" t="e">
        <f>AND(#REF!,"AAAAAFvvbqU=")</f>
        <v>#REF!</v>
      </c>
      <c r="FK313" t="e">
        <f>AND(#REF!,"AAAAAFvvbqY=")</f>
        <v>#REF!</v>
      </c>
      <c r="FL313" t="e">
        <f>AND(#REF!,"AAAAAFvvbqc=")</f>
        <v>#REF!</v>
      </c>
      <c r="FM313" t="e">
        <f>AND(#REF!,"AAAAAFvvbqg=")</f>
        <v>#REF!</v>
      </c>
      <c r="FN313" t="e">
        <f>AND(#REF!,"AAAAAFvvbqk=")</f>
        <v>#REF!</v>
      </c>
      <c r="FO313" t="e">
        <f>AND(#REF!,"AAAAAFvvbqo=")</f>
        <v>#REF!</v>
      </c>
      <c r="FP313" t="e">
        <f>IF(#REF!,"AAAAAFvvbqs=",0)</f>
        <v>#REF!</v>
      </c>
      <c r="FQ313" t="e">
        <f>AND(#REF!,"AAAAAFvvbqw=")</f>
        <v>#REF!</v>
      </c>
      <c r="FR313" t="e">
        <f>AND(#REF!,"AAAAAFvvbq0=")</f>
        <v>#REF!</v>
      </c>
      <c r="FS313" t="e">
        <f>AND(#REF!,"AAAAAFvvbq4=")</f>
        <v>#REF!</v>
      </c>
      <c r="FT313" t="e">
        <f>AND(#REF!,"AAAAAFvvbq8=")</f>
        <v>#REF!</v>
      </c>
      <c r="FU313" t="e">
        <f>AND(#REF!,"AAAAAFvvbrA=")</f>
        <v>#REF!</v>
      </c>
      <c r="FV313" t="e">
        <f>AND(#REF!,"AAAAAFvvbrE=")</f>
        <v>#REF!</v>
      </c>
      <c r="FW313" t="e">
        <f>AND(#REF!,"AAAAAFvvbrI=")</f>
        <v>#REF!</v>
      </c>
      <c r="FX313" t="e">
        <f>AND(#REF!,"AAAAAFvvbrM=")</f>
        <v>#REF!</v>
      </c>
      <c r="FY313" t="e">
        <f>AND(#REF!,"AAAAAFvvbrQ=")</f>
        <v>#REF!</v>
      </c>
      <c r="FZ313" t="e">
        <f>AND(#REF!,"AAAAAFvvbrU=")</f>
        <v>#REF!</v>
      </c>
      <c r="GA313" t="e">
        <f>IF(#REF!,"AAAAAFvvbrY=",0)</f>
        <v>#REF!</v>
      </c>
      <c r="GB313" t="e">
        <f>AND(#REF!,"AAAAAFvvbrc=")</f>
        <v>#REF!</v>
      </c>
      <c r="GC313" t="e">
        <f>AND(#REF!,"AAAAAFvvbrg=")</f>
        <v>#REF!</v>
      </c>
      <c r="GD313" t="e">
        <f>AND(#REF!,"AAAAAFvvbrk=")</f>
        <v>#REF!</v>
      </c>
      <c r="GE313" t="e">
        <f>AND(#REF!,"AAAAAFvvbro=")</f>
        <v>#REF!</v>
      </c>
      <c r="GF313" t="e">
        <f>AND(#REF!,"AAAAAFvvbrs=")</f>
        <v>#REF!</v>
      </c>
      <c r="GG313" t="e">
        <f>AND(#REF!,"AAAAAFvvbrw=")</f>
        <v>#REF!</v>
      </c>
      <c r="GH313" t="e">
        <f>AND(#REF!,"AAAAAFvvbr0=")</f>
        <v>#REF!</v>
      </c>
      <c r="GI313" t="e">
        <f>AND(#REF!,"AAAAAFvvbr4=")</f>
        <v>#REF!</v>
      </c>
      <c r="GJ313" t="e">
        <f>AND(#REF!,"AAAAAFvvbr8=")</f>
        <v>#REF!</v>
      </c>
      <c r="GK313" t="e">
        <f>AND(#REF!,"AAAAAFvvbsA=")</f>
        <v>#REF!</v>
      </c>
      <c r="GL313" t="e">
        <f>IF(#REF!,"AAAAAFvvbsE=",0)</f>
        <v>#REF!</v>
      </c>
      <c r="GM313" t="e">
        <f>AND(#REF!,"AAAAAFvvbsI=")</f>
        <v>#REF!</v>
      </c>
      <c r="GN313" t="e">
        <f>AND(#REF!,"AAAAAFvvbsM=")</f>
        <v>#REF!</v>
      </c>
      <c r="GO313" t="e">
        <f>AND(#REF!,"AAAAAFvvbsQ=")</f>
        <v>#REF!</v>
      </c>
      <c r="GP313" t="e">
        <f>AND(#REF!,"AAAAAFvvbsU=")</f>
        <v>#REF!</v>
      </c>
      <c r="GQ313" t="e">
        <f>AND(#REF!,"AAAAAFvvbsY=")</f>
        <v>#REF!</v>
      </c>
      <c r="GR313" t="e">
        <f>AND(#REF!,"AAAAAFvvbsc=")</f>
        <v>#REF!</v>
      </c>
      <c r="GS313" t="e">
        <f>AND(#REF!,"AAAAAFvvbsg=")</f>
        <v>#REF!</v>
      </c>
      <c r="GT313" t="e">
        <f>AND(#REF!,"AAAAAFvvbsk=")</f>
        <v>#REF!</v>
      </c>
      <c r="GU313" t="e">
        <f>AND(#REF!,"AAAAAFvvbso=")</f>
        <v>#REF!</v>
      </c>
      <c r="GV313" t="e">
        <f>AND(#REF!,"AAAAAFvvbss=")</f>
        <v>#REF!</v>
      </c>
      <c r="GW313" t="e">
        <f>IF(#REF!,"AAAAAFvvbsw=",0)</f>
        <v>#REF!</v>
      </c>
      <c r="GX313" t="e">
        <f>AND(#REF!,"AAAAAFvvbs0=")</f>
        <v>#REF!</v>
      </c>
      <c r="GY313" t="e">
        <f>AND(#REF!,"AAAAAFvvbs4=")</f>
        <v>#REF!</v>
      </c>
      <c r="GZ313" t="e">
        <f>AND(#REF!,"AAAAAFvvbs8=")</f>
        <v>#REF!</v>
      </c>
      <c r="HA313" t="e">
        <f>AND(#REF!,"AAAAAFvvbtA=")</f>
        <v>#REF!</v>
      </c>
      <c r="HB313" t="e">
        <f>AND(#REF!,"AAAAAFvvbtE=")</f>
        <v>#REF!</v>
      </c>
      <c r="HC313" t="e">
        <f>AND(#REF!,"AAAAAFvvbtI=")</f>
        <v>#REF!</v>
      </c>
      <c r="HD313" t="e">
        <f>AND(#REF!,"AAAAAFvvbtM=")</f>
        <v>#REF!</v>
      </c>
      <c r="HE313" t="e">
        <f>AND(#REF!,"AAAAAFvvbtQ=")</f>
        <v>#REF!</v>
      </c>
      <c r="HF313" t="e">
        <f>AND(#REF!,"AAAAAFvvbtU=")</f>
        <v>#REF!</v>
      </c>
      <c r="HG313" t="e">
        <f>AND(#REF!,"AAAAAFvvbtY=")</f>
        <v>#REF!</v>
      </c>
      <c r="HH313" t="e">
        <f>IF(#REF!,"AAAAAFvvbtc=",0)</f>
        <v>#REF!</v>
      </c>
      <c r="HI313" t="e">
        <f>AND(#REF!,"AAAAAFvvbtg=")</f>
        <v>#REF!</v>
      </c>
      <c r="HJ313" t="e">
        <f>AND(#REF!,"AAAAAFvvbtk=")</f>
        <v>#REF!</v>
      </c>
      <c r="HK313" t="e">
        <f>AND(#REF!,"AAAAAFvvbto=")</f>
        <v>#REF!</v>
      </c>
      <c r="HL313" t="e">
        <f>AND(#REF!,"AAAAAFvvbts=")</f>
        <v>#REF!</v>
      </c>
      <c r="HM313" t="e">
        <f>AND(#REF!,"AAAAAFvvbtw=")</f>
        <v>#REF!</v>
      </c>
      <c r="HN313" t="e">
        <f>AND(#REF!,"AAAAAFvvbt0=")</f>
        <v>#REF!</v>
      </c>
      <c r="HO313" t="e">
        <f>AND(#REF!,"AAAAAFvvbt4=")</f>
        <v>#REF!</v>
      </c>
      <c r="HP313" t="e">
        <f>AND(#REF!,"AAAAAFvvbt8=")</f>
        <v>#REF!</v>
      </c>
      <c r="HQ313" t="e">
        <f>AND(#REF!,"AAAAAFvvbuA=")</f>
        <v>#REF!</v>
      </c>
      <c r="HR313" t="e">
        <f>AND(#REF!,"AAAAAFvvbuE=")</f>
        <v>#REF!</v>
      </c>
      <c r="HS313" t="e">
        <f>IF(#REF!,"AAAAAFvvbuI=",0)</f>
        <v>#REF!</v>
      </c>
      <c r="HT313" t="e">
        <f>AND(#REF!,"AAAAAFvvbuM=")</f>
        <v>#REF!</v>
      </c>
      <c r="HU313" t="e">
        <f>AND(#REF!,"AAAAAFvvbuQ=")</f>
        <v>#REF!</v>
      </c>
      <c r="HV313" t="e">
        <f>AND(#REF!,"AAAAAFvvbuU=")</f>
        <v>#REF!</v>
      </c>
      <c r="HW313" t="e">
        <f>AND(#REF!,"AAAAAFvvbuY=")</f>
        <v>#REF!</v>
      </c>
      <c r="HX313" t="e">
        <f>AND(#REF!,"AAAAAFvvbuc=")</f>
        <v>#REF!</v>
      </c>
      <c r="HY313" t="e">
        <f>AND(#REF!,"AAAAAFvvbug=")</f>
        <v>#REF!</v>
      </c>
      <c r="HZ313" t="e">
        <f>AND(#REF!,"AAAAAFvvbuk=")</f>
        <v>#REF!</v>
      </c>
      <c r="IA313" t="e">
        <f>AND(#REF!,"AAAAAFvvbuo=")</f>
        <v>#REF!</v>
      </c>
      <c r="IB313" t="e">
        <f>AND(#REF!,"AAAAAFvvbus=")</f>
        <v>#REF!</v>
      </c>
      <c r="IC313" t="e">
        <f>AND(#REF!,"AAAAAFvvbuw=")</f>
        <v>#REF!</v>
      </c>
      <c r="ID313" t="e">
        <f>IF(#REF!,"AAAAAFvvbu0=",0)</f>
        <v>#REF!</v>
      </c>
      <c r="IE313" t="e">
        <f>AND(#REF!,"AAAAAFvvbu4=")</f>
        <v>#REF!</v>
      </c>
      <c r="IF313" t="e">
        <f>AND(#REF!,"AAAAAFvvbu8=")</f>
        <v>#REF!</v>
      </c>
      <c r="IG313" t="e">
        <f>AND(#REF!,"AAAAAFvvbvA=")</f>
        <v>#REF!</v>
      </c>
      <c r="IH313" t="e">
        <f>AND(#REF!,"AAAAAFvvbvE=")</f>
        <v>#REF!</v>
      </c>
      <c r="II313" t="e">
        <f>AND(#REF!,"AAAAAFvvbvI=")</f>
        <v>#REF!</v>
      </c>
      <c r="IJ313" t="e">
        <f>AND(#REF!,"AAAAAFvvbvM=")</f>
        <v>#REF!</v>
      </c>
      <c r="IK313" t="e">
        <f>AND(#REF!,"AAAAAFvvbvQ=")</f>
        <v>#REF!</v>
      </c>
      <c r="IL313" t="e">
        <f>AND(#REF!,"AAAAAFvvbvU=")</f>
        <v>#REF!</v>
      </c>
      <c r="IM313" t="e">
        <f>AND(#REF!,"AAAAAFvvbvY=")</f>
        <v>#REF!</v>
      </c>
      <c r="IN313" t="e">
        <f>AND(#REF!,"AAAAAFvvbvc=")</f>
        <v>#REF!</v>
      </c>
      <c r="IO313" t="e">
        <f>IF(#REF!,"AAAAAFvvbvg=",0)</f>
        <v>#REF!</v>
      </c>
      <c r="IP313" t="e">
        <f>AND(#REF!,"AAAAAFvvbvk=")</f>
        <v>#REF!</v>
      </c>
      <c r="IQ313" t="e">
        <f>AND(#REF!,"AAAAAFvvbvo=")</f>
        <v>#REF!</v>
      </c>
      <c r="IR313" t="e">
        <f>AND(#REF!,"AAAAAFvvbvs=")</f>
        <v>#REF!</v>
      </c>
      <c r="IS313" t="e">
        <f>AND(#REF!,"AAAAAFvvbvw=")</f>
        <v>#REF!</v>
      </c>
      <c r="IT313" t="e">
        <f>AND(#REF!,"AAAAAFvvbv0=")</f>
        <v>#REF!</v>
      </c>
      <c r="IU313" t="e">
        <f>AND(#REF!,"AAAAAFvvbv4=")</f>
        <v>#REF!</v>
      </c>
      <c r="IV313" t="e">
        <f>AND(#REF!,"AAAAAFvvbv8=")</f>
        <v>#REF!</v>
      </c>
    </row>
    <row r="314" spans="1:256" x14ac:dyDescent="0.25">
      <c r="A314" t="e">
        <f>AND(#REF!,"AAAAAHJ++wA=")</f>
        <v>#REF!</v>
      </c>
      <c r="B314" t="e">
        <f>AND(#REF!,"AAAAAHJ++wE=")</f>
        <v>#REF!</v>
      </c>
      <c r="C314" t="e">
        <f>AND(#REF!,"AAAAAHJ++wI=")</f>
        <v>#REF!</v>
      </c>
      <c r="D314" t="e">
        <f>IF(#REF!,"AAAAAHJ++wM=",0)</f>
        <v>#REF!</v>
      </c>
      <c r="E314" t="e">
        <f>AND(#REF!,"AAAAAHJ++wQ=")</f>
        <v>#REF!</v>
      </c>
      <c r="F314" t="e">
        <f>AND(#REF!,"AAAAAHJ++wU=")</f>
        <v>#REF!</v>
      </c>
      <c r="G314" t="e">
        <f>AND(#REF!,"AAAAAHJ++wY=")</f>
        <v>#REF!</v>
      </c>
      <c r="H314" t="e">
        <f>AND(#REF!,"AAAAAHJ++wc=")</f>
        <v>#REF!</v>
      </c>
      <c r="I314" t="e">
        <f>AND(#REF!,"AAAAAHJ++wg=")</f>
        <v>#REF!</v>
      </c>
      <c r="J314" t="e">
        <f>AND(#REF!,"AAAAAHJ++wk=")</f>
        <v>#REF!</v>
      </c>
      <c r="K314" t="e">
        <f>AND(#REF!,"AAAAAHJ++wo=")</f>
        <v>#REF!</v>
      </c>
      <c r="L314" t="e">
        <f>AND(#REF!,"AAAAAHJ++ws=")</f>
        <v>#REF!</v>
      </c>
      <c r="M314" t="e">
        <f>AND(#REF!,"AAAAAHJ++ww=")</f>
        <v>#REF!</v>
      </c>
      <c r="N314" t="e">
        <f>AND(#REF!,"AAAAAHJ++w0=")</f>
        <v>#REF!</v>
      </c>
      <c r="O314" t="e">
        <f>IF(#REF!,"AAAAAHJ++w4=",0)</f>
        <v>#REF!</v>
      </c>
      <c r="P314" t="e">
        <f>AND(#REF!,"AAAAAHJ++w8=")</f>
        <v>#REF!</v>
      </c>
      <c r="Q314" t="e">
        <f>AND(#REF!,"AAAAAHJ++xA=")</f>
        <v>#REF!</v>
      </c>
      <c r="R314" t="e">
        <f>AND(#REF!,"AAAAAHJ++xE=")</f>
        <v>#REF!</v>
      </c>
      <c r="S314" t="e">
        <f>AND(#REF!,"AAAAAHJ++xI=")</f>
        <v>#REF!</v>
      </c>
      <c r="T314" t="e">
        <f>AND(#REF!,"AAAAAHJ++xM=")</f>
        <v>#REF!</v>
      </c>
      <c r="U314" t="e">
        <f>AND(#REF!,"AAAAAHJ++xQ=")</f>
        <v>#REF!</v>
      </c>
      <c r="V314" t="e">
        <f>AND(#REF!,"AAAAAHJ++xU=")</f>
        <v>#REF!</v>
      </c>
      <c r="W314" t="e">
        <f>AND(#REF!,"AAAAAHJ++xY=")</f>
        <v>#REF!</v>
      </c>
      <c r="X314" t="e">
        <f>AND(#REF!,"AAAAAHJ++xc=")</f>
        <v>#REF!</v>
      </c>
      <c r="Y314" t="e">
        <f>AND(#REF!,"AAAAAHJ++xg=")</f>
        <v>#REF!</v>
      </c>
      <c r="Z314" t="e">
        <f>IF(#REF!,"AAAAAHJ++xk=",0)</f>
        <v>#REF!</v>
      </c>
      <c r="AA314" t="e">
        <f>AND(#REF!,"AAAAAHJ++xo=")</f>
        <v>#REF!</v>
      </c>
      <c r="AB314" t="e">
        <f>AND(#REF!,"AAAAAHJ++xs=")</f>
        <v>#REF!</v>
      </c>
      <c r="AC314" t="e">
        <f>AND(#REF!,"AAAAAHJ++xw=")</f>
        <v>#REF!</v>
      </c>
      <c r="AD314" t="e">
        <f>AND(#REF!,"AAAAAHJ++x0=")</f>
        <v>#REF!</v>
      </c>
      <c r="AE314" t="e">
        <f>AND(#REF!,"AAAAAHJ++x4=")</f>
        <v>#REF!</v>
      </c>
      <c r="AF314" t="e">
        <f>AND(#REF!,"AAAAAHJ++x8=")</f>
        <v>#REF!</v>
      </c>
      <c r="AG314" t="e">
        <f>AND(#REF!,"AAAAAHJ++yA=")</f>
        <v>#REF!</v>
      </c>
      <c r="AH314" t="e">
        <f>AND(#REF!,"AAAAAHJ++yE=")</f>
        <v>#REF!</v>
      </c>
      <c r="AI314" t="e">
        <f>AND(#REF!,"AAAAAHJ++yI=")</f>
        <v>#REF!</v>
      </c>
      <c r="AJ314" t="e">
        <f>AND(#REF!,"AAAAAHJ++yM=")</f>
        <v>#REF!</v>
      </c>
      <c r="AK314" t="e">
        <f>IF(#REF!,"AAAAAHJ++yQ=",0)</f>
        <v>#REF!</v>
      </c>
      <c r="AL314" t="e">
        <f>AND(#REF!,"AAAAAHJ++yU=")</f>
        <v>#REF!</v>
      </c>
      <c r="AM314" t="e">
        <f>AND(#REF!,"AAAAAHJ++yY=")</f>
        <v>#REF!</v>
      </c>
      <c r="AN314" t="e">
        <f>AND(#REF!,"AAAAAHJ++yc=")</f>
        <v>#REF!</v>
      </c>
      <c r="AO314" t="e">
        <f>AND(#REF!,"AAAAAHJ++yg=")</f>
        <v>#REF!</v>
      </c>
      <c r="AP314" t="e">
        <f>AND(#REF!,"AAAAAHJ++yk=")</f>
        <v>#REF!</v>
      </c>
      <c r="AQ314" t="e">
        <f>AND(#REF!,"AAAAAHJ++yo=")</f>
        <v>#REF!</v>
      </c>
      <c r="AR314" t="e">
        <f>AND(#REF!,"AAAAAHJ++ys=")</f>
        <v>#REF!</v>
      </c>
      <c r="AS314" t="e">
        <f>AND(#REF!,"AAAAAHJ++yw=")</f>
        <v>#REF!</v>
      </c>
      <c r="AT314" t="e">
        <f>AND(#REF!,"AAAAAHJ++y0=")</f>
        <v>#REF!</v>
      </c>
      <c r="AU314" t="e">
        <f>AND(#REF!,"AAAAAHJ++y4=")</f>
        <v>#REF!</v>
      </c>
      <c r="AV314" t="e">
        <f>IF(#REF!,"AAAAAHJ++y8=",0)</f>
        <v>#REF!</v>
      </c>
      <c r="AW314" t="e">
        <f>AND(#REF!,"AAAAAHJ++zA=")</f>
        <v>#REF!</v>
      </c>
      <c r="AX314" t="e">
        <f>AND(#REF!,"AAAAAHJ++zE=")</f>
        <v>#REF!</v>
      </c>
      <c r="AY314" t="e">
        <f>AND(#REF!,"AAAAAHJ++zI=")</f>
        <v>#REF!</v>
      </c>
      <c r="AZ314" t="e">
        <f>AND(#REF!,"AAAAAHJ++zM=")</f>
        <v>#REF!</v>
      </c>
      <c r="BA314" t="e">
        <f>AND(#REF!,"AAAAAHJ++zQ=")</f>
        <v>#REF!</v>
      </c>
      <c r="BB314" t="e">
        <f>AND(#REF!,"AAAAAHJ++zU=")</f>
        <v>#REF!</v>
      </c>
      <c r="BC314" t="e">
        <f>AND(#REF!,"AAAAAHJ++zY=")</f>
        <v>#REF!</v>
      </c>
      <c r="BD314" t="e">
        <f>AND(#REF!,"AAAAAHJ++zc=")</f>
        <v>#REF!</v>
      </c>
      <c r="BE314" t="e">
        <f>AND(#REF!,"AAAAAHJ++zg=")</f>
        <v>#REF!</v>
      </c>
      <c r="BF314" t="e">
        <f>AND(#REF!,"AAAAAHJ++zk=")</f>
        <v>#REF!</v>
      </c>
      <c r="BG314" t="e">
        <f>IF(#REF!,"AAAAAHJ++zo=",0)</f>
        <v>#REF!</v>
      </c>
      <c r="BH314" t="e">
        <f>AND(#REF!,"AAAAAHJ++zs=")</f>
        <v>#REF!</v>
      </c>
      <c r="BI314" t="e">
        <f>AND(#REF!,"AAAAAHJ++zw=")</f>
        <v>#REF!</v>
      </c>
      <c r="BJ314" t="e">
        <f>AND(#REF!,"AAAAAHJ++z0=")</f>
        <v>#REF!</v>
      </c>
      <c r="BK314" t="e">
        <f>AND(#REF!,"AAAAAHJ++z4=")</f>
        <v>#REF!</v>
      </c>
      <c r="BL314" t="e">
        <f>AND(#REF!,"AAAAAHJ++z8=")</f>
        <v>#REF!</v>
      </c>
      <c r="BM314" t="e">
        <f>AND(#REF!,"AAAAAHJ++0A=")</f>
        <v>#REF!</v>
      </c>
      <c r="BN314" t="e">
        <f>AND(#REF!,"AAAAAHJ++0E=")</f>
        <v>#REF!</v>
      </c>
      <c r="BO314" t="e">
        <f>AND(#REF!,"AAAAAHJ++0I=")</f>
        <v>#REF!</v>
      </c>
      <c r="BP314" t="e">
        <f>AND(#REF!,"AAAAAHJ++0M=")</f>
        <v>#REF!</v>
      </c>
      <c r="BQ314" t="e">
        <f>AND(#REF!,"AAAAAHJ++0Q=")</f>
        <v>#REF!</v>
      </c>
      <c r="BR314" t="e">
        <f>IF(#REF!,"AAAAAHJ++0U=",0)</f>
        <v>#REF!</v>
      </c>
      <c r="BS314" t="e">
        <f>AND(#REF!,"AAAAAHJ++0Y=")</f>
        <v>#REF!</v>
      </c>
      <c r="BT314" t="e">
        <f>AND(#REF!,"AAAAAHJ++0c=")</f>
        <v>#REF!</v>
      </c>
      <c r="BU314" t="e">
        <f>AND(#REF!,"AAAAAHJ++0g=")</f>
        <v>#REF!</v>
      </c>
      <c r="BV314" t="e">
        <f>AND(#REF!,"AAAAAHJ++0k=")</f>
        <v>#REF!</v>
      </c>
      <c r="BW314" t="e">
        <f>AND(#REF!,"AAAAAHJ++0o=")</f>
        <v>#REF!</v>
      </c>
      <c r="BX314" t="e">
        <f>AND(#REF!,"AAAAAHJ++0s=")</f>
        <v>#REF!</v>
      </c>
      <c r="BY314" t="e">
        <f>AND(#REF!,"AAAAAHJ++0w=")</f>
        <v>#REF!</v>
      </c>
      <c r="BZ314" t="e">
        <f>AND(#REF!,"AAAAAHJ++00=")</f>
        <v>#REF!</v>
      </c>
      <c r="CA314" t="e">
        <f>AND(#REF!,"AAAAAHJ++04=")</f>
        <v>#REF!</v>
      </c>
      <c r="CB314" t="e">
        <f>AND(#REF!,"AAAAAHJ++08=")</f>
        <v>#REF!</v>
      </c>
      <c r="CC314" t="e">
        <f>IF(#REF!,"AAAAAHJ++1A=",0)</f>
        <v>#REF!</v>
      </c>
      <c r="CD314" t="e">
        <f>AND(#REF!,"AAAAAHJ++1E=")</f>
        <v>#REF!</v>
      </c>
      <c r="CE314" t="e">
        <f>AND(#REF!,"AAAAAHJ++1I=")</f>
        <v>#REF!</v>
      </c>
      <c r="CF314" t="e">
        <f>AND(#REF!,"AAAAAHJ++1M=")</f>
        <v>#REF!</v>
      </c>
      <c r="CG314" t="e">
        <f>AND(#REF!,"AAAAAHJ++1Q=")</f>
        <v>#REF!</v>
      </c>
      <c r="CH314" t="e">
        <f>AND(#REF!,"AAAAAHJ++1U=")</f>
        <v>#REF!</v>
      </c>
      <c r="CI314" t="e">
        <f>AND(#REF!,"AAAAAHJ++1Y=")</f>
        <v>#REF!</v>
      </c>
      <c r="CJ314" t="e">
        <f>AND(#REF!,"AAAAAHJ++1c=")</f>
        <v>#REF!</v>
      </c>
      <c r="CK314" t="e">
        <f>AND(#REF!,"AAAAAHJ++1g=")</f>
        <v>#REF!</v>
      </c>
      <c r="CL314" t="e">
        <f>AND(#REF!,"AAAAAHJ++1k=")</f>
        <v>#REF!</v>
      </c>
      <c r="CM314" t="e">
        <f>AND(#REF!,"AAAAAHJ++1o=")</f>
        <v>#REF!</v>
      </c>
      <c r="CN314" t="e">
        <f>IF(#REF!,"AAAAAHJ++1s=",0)</f>
        <v>#REF!</v>
      </c>
      <c r="CO314" t="e">
        <f>AND(#REF!,"AAAAAHJ++1w=")</f>
        <v>#REF!</v>
      </c>
      <c r="CP314" t="e">
        <f>AND(#REF!,"AAAAAHJ++10=")</f>
        <v>#REF!</v>
      </c>
      <c r="CQ314" t="e">
        <f>AND(#REF!,"AAAAAHJ++14=")</f>
        <v>#REF!</v>
      </c>
      <c r="CR314" t="e">
        <f>AND(#REF!,"AAAAAHJ++18=")</f>
        <v>#REF!</v>
      </c>
      <c r="CS314" t="e">
        <f>AND(#REF!,"AAAAAHJ++2A=")</f>
        <v>#REF!</v>
      </c>
      <c r="CT314" t="e">
        <f>AND(#REF!,"AAAAAHJ++2E=")</f>
        <v>#REF!</v>
      </c>
      <c r="CU314" t="e">
        <f>AND(#REF!,"AAAAAHJ++2I=")</f>
        <v>#REF!</v>
      </c>
      <c r="CV314" t="e">
        <f>AND(#REF!,"AAAAAHJ++2M=")</f>
        <v>#REF!</v>
      </c>
      <c r="CW314" t="e">
        <f>AND(#REF!,"AAAAAHJ++2Q=")</f>
        <v>#REF!</v>
      </c>
      <c r="CX314" t="e">
        <f>AND(#REF!,"AAAAAHJ++2U=")</f>
        <v>#REF!</v>
      </c>
      <c r="CY314" t="e">
        <f>IF(#REF!,"AAAAAHJ++2Y=",0)</f>
        <v>#REF!</v>
      </c>
      <c r="CZ314" t="e">
        <f>AND(#REF!,"AAAAAHJ++2c=")</f>
        <v>#REF!</v>
      </c>
      <c r="DA314" t="e">
        <f>AND(#REF!,"AAAAAHJ++2g=")</f>
        <v>#REF!</v>
      </c>
      <c r="DB314" t="e">
        <f>AND(#REF!,"AAAAAHJ++2k=")</f>
        <v>#REF!</v>
      </c>
      <c r="DC314" t="e">
        <f>AND(#REF!,"AAAAAHJ++2o=")</f>
        <v>#REF!</v>
      </c>
      <c r="DD314" t="e">
        <f>AND(#REF!,"AAAAAHJ++2s=")</f>
        <v>#REF!</v>
      </c>
      <c r="DE314" t="e">
        <f>AND(#REF!,"AAAAAHJ++2w=")</f>
        <v>#REF!</v>
      </c>
      <c r="DF314" t="e">
        <f>AND(#REF!,"AAAAAHJ++20=")</f>
        <v>#REF!</v>
      </c>
      <c r="DG314" t="e">
        <f>AND(#REF!,"AAAAAHJ++24=")</f>
        <v>#REF!</v>
      </c>
      <c r="DH314" t="e">
        <f>AND(#REF!,"AAAAAHJ++28=")</f>
        <v>#REF!</v>
      </c>
      <c r="DI314" t="e">
        <f>AND(#REF!,"AAAAAHJ++3A=")</f>
        <v>#REF!</v>
      </c>
      <c r="DJ314" t="e">
        <f>IF(#REF!,"AAAAAHJ++3E=",0)</f>
        <v>#REF!</v>
      </c>
      <c r="DK314" t="e">
        <f>AND(#REF!,"AAAAAHJ++3I=")</f>
        <v>#REF!</v>
      </c>
      <c r="DL314" t="e">
        <f>AND(#REF!,"AAAAAHJ++3M=")</f>
        <v>#REF!</v>
      </c>
      <c r="DM314" t="e">
        <f>AND(#REF!,"AAAAAHJ++3Q=")</f>
        <v>#REF!</v>
      </c>
      <c r="DN314" t="e">
        <f>AND(#REF!,"AAAAAHJ++3U=")</f>
        <v>#REF!</v>
      </c>
      <c r="DO314" t="e">
        <f>AND(#REF!,"AAAAAHJ++3Y=")</f>
        <v>#REF!</v>
      </c>
      <c r="DP314" t="e">
        <f>AND(#REF!,"AAAAAHJ++3c=")</f>
        <v>#REF!</v>
      </c>
      <c r="DQ314" t="e">
        <f>AND(#REF!,"AAAAAHJ++3g=")</f>
        <v>#REF!</v>
      </c>
      <c r="DR314" t="e">
        <f>AND(#REF!,"AAAAAHJ++3k=")</f>
        <v>#REF!</v>
      </c>
      <c r="DS314" t="e">
        <f>AND(#REF!,"AAAAAHJ++3o=")</f>
        <v>#REF!</v>
      </c>
      <c r="DT314" t="e">
        <f>AND(#REF!,"AAAAAHJ++3s=")</f>
        <v>#REF!</v>
      </c>
      <c r="DU314" t="e">
        <f>IF(#REF!,"AAAAAHJ++3w=",0)</f>
        <v>#REF!</v>
      </c>
      <c r="DV314" t="e">
        <f>AND(#REF!,"AAAAAHJ++30=")</f>
        <v>#REF!</v>
      </c>
      <c r="DW314" t="e">
        <f>AND(#REF!,"AAAAAHJ++34=")</f>
        <v>#REF!</v>
      </c>
      <c r="DX314" t="e">
        <f>AND(#REF!,"AAAAAHJ++38=")</f>
        <v>#REF!</v>
      </c>
      <c r="DY314" t="e">
        <f>AND(#REF!,"AAAAAHJ++4A=")</f>
        <v>#REF!</v>
      </c>
      <c r="DZ314" t="e">
        <f>AND(#REF!,"AAAAAHJ++4E=")</f>
        <v>#REF!</v>
      </c>
      <c r="EA314" t="e">
        <f>AND(#REF!,"AAAAAHJ++4I=")</f>
        <v>#REF!</v>
      </c>
      <c r="EB314" t="e">
        <f>AND(#REF!,"AAAAAHJ++4M=")</f>
        <v>#REF!</v>
      </c>
      <c r="EC314" t="e">
        <f>AND(#REF!,"AAAAAHJ++4Q=")</f>
        <v>#REF!</v>
      </c>
      <c r="ED314" t="e">
        <f>AND(#REF!,"AAAAAHJ++4U=")</f>
        <v>#REF!</v>
      </c>
      <c r="EE314" t="e">
        <f>AND(#REF!,"AAAAAHJ++4Y=")</f>
        <v>#REF!</v>
      </c>
      <c r="EF314" t="e">
        <f>IF(#REF!,"AAAAAHJ++4c=",0)</f>
        <v>#REF!</v>
      </c>
      <c r="EG314" t="e">
        <f>AND(#REF!,"AAAAAHJ++4g=")</f>
        <v>#REF!</v>
      </c>
      <c r="EH314" t="e">
        <f>AND(#REF!,"AAAAAHJ++4k=")</f>
        <v>#REF!</v>
      </c>
      <c r="EI314" t="e">
        <f>AND(#REF!,"AAAAAHJ++4o=")</f>
        <v>#REF!</v>
      </c>
      <c r="EJ314" t="e">
        <f>AND(#REF!,"AAAAAHJ++4s=")</f>
        <v>#REF!</v>
      </c>
      <c r="EK314" t="e">
        <f>AND(#REF!,"AAAAAHJ++4w=")</f>
        <v>#REF!</v>
      </c>
      <c r="EL314" t="e">
        <f>AND(#REF!,"AAAAAHJ++40=")</f>
        <v>#REF!</v>
      </c>
      <c r="EM314" t="e">
        <f>AND(#REF!,"AAAAAHJ++44=")</f>
        <v>#REF!</v>
      </c>
      <c r="EN314" t="e">
        <f>AND(#REF!,"AAAAAHJ++48=")</f>
        <v>#REF!</v>
      </c>
      <c r="EO314" t="e">
        <f>AND(#REF!,"AAAAAHJ++5A=")</f>
        <v>#REF!</v>
      </c>
      <c r="EP314" t="e">
        <f>AND(#REF!,"AAAAAHJ++5E=")</f>
        <v>#REF!</v>
      </c>
      <c r="EQ314" t="e">
        <f>IF(#REF!,"AAAAAHJ++5I=",0)</f>
        <v>#REF!</v>
      </c>
      <c r="ER314" t="e">
        <f>AND(#REF!,"AAAAAHJ++5M=")</f>
        <v>#REF!</v>
      </c>
      <c r="ES314" t="e">
        <f>AND(#REF!,"AAAAAHJ++5Q=")</f>
        <v>#REF!</v>
      </c>
      <c r="ET314" t="e">
        <f>AND(#REF!,"AAAAAHJ++5U=")</f>
        <v>#REF!</v>
      </c>
      <c r="EU314" t="e">
        <f>AND(#REF!,"AAAAAHJ++5Y=")</f>
        <v>#REF!</v>
      </c>
      <c r="EV314" t="e">
        <f>AND(#REF!,"AAAAAHJ++5c=")</f>
        <v>#REF!</v>
      </c>
      <c r="EW314" t="e">
        <f>AND(#REF!,"AAAAAHJ++5g=")</f>
        <v>#REF!</v>
      </c>
      <c r="EX314" t="e">
        <f>AND(#REF!,"AAAAAHJ++5k=")</f>
        <v>#REF!</v>
      </c>
      <c r="EY314" t="e">
        <f>AND(#REF!,"AAAAAHJ++5o=")</f>
        <v>#REF!</v>
      </c>
      <c r="EZ314" t="e">
        <f>AND(#REF!,"AAAAAHJ++5s=")</f>
        <v>#REF!</v>
      </c>
      <c r="FA314" t="e">
        <f>AND(#REF!,"AAAAAHJ++5w=")</f>
        <v>#REF!</v>
      </c>
      <c r="FB314" t="e">
        <f>IF(#REF!,"AAAAAHJ++50=",0)</f>
        <v>#REF!</v>
      </c>
      <c r="FC314" t="e">
        <f>AND(#REF!,"AAAAAHJ++54=")</f>
        <v>#REF!</v>
      </c>
      <c r="FD314" t="e">
        <f>AND(#REF!,"AAAAAHJ++58=")</f>
        <v>#REF!</v>
      </c>
      <c r="FE314" t="e">
        <f>AND(#REF!,"AAAAAHJ++6A=")</f>
        <v>#REF!</v>
      </c>
      <c r="FF314" t="e">
        <f>AND(#REF!,"AAAAAHJ++6E=")</f>
        <v>#REF!</v>
      </c>
      <c r="FG314" t="e">
        <f>AND(#REF!,"AAAAAHJ++6I=")</f>
        <v>#REF!</v>
      </c>
      <c r="FH314" t="e">
        <f>AND(#REF!,"AAAAAHJ++6M=")</f>
        <v>#REF!</v>
      </c>
      <c r="FI314" t="e">
        <f>AND(#REF!,"AAAAAHJ++6Q=")</f>
        <v>#REF!</v>
      </c>
      <c r="FJ314" t="e">
        <f>AND(#REF!,"AAAAAHJ++6U=")</f>
        <v>#REF!</v>
      </c>
      <c r="FK314" t="e">
        <f>AND(#REF!,"AAAAAHJ++6Y=")</f>
        <v>#REF!</v>
      </c>
      <c r="FL314" t="e">
        <f>AND(#REF!,"AAAAAHJ++6c=")</f>
        <v>#REF!</v>
      </c>
      <c r="FM314" t="e">
        <f>IF(#REF!,"AAAAAHJ++6g=",0)</f>
        <v>#REF!</v>
      </c>
      <c r="FN314" t="e">
        <f>AND(#REF!,"AAAAAHJ++6k=")</f>
        <v>#REF!</v>
      </c>
      <c r="FO314" t="e">
        <f>AND(#REF!,"AAAAAHJ++6o=")</f>
        <v>#REF!</v>
      </c>
      <c r="FP314" t="e">
        <f>AND(#REF!,"AAAAAHJ++6s=")</f>
        <v>#REF!</v>
      </c>
      <c r="FQ314" t="e">
        <f>AND(#REF!,"AAAAAHJ++6w=")</f>
        <v>#REF!</v>
      </c>
      <c r="FR314" t="e">
        <f>AND(#REF!,"AAAAAHJ++60=")</f>
        <v>#REF!</v>
      </c>
      <c r="FS314" t="e">
        <f>AND(#REF!,"AAAAAHJ++64=")</f>
        <v>#REF!</v>
      </c>
      <c r="FT314" t="e">
        <f>AND(#REF!,"AAAAAHJ++68=")</f>
        <v>#REF!</v>
      </c>
      <c r="FU314" t="e">
        <f>AND(#REF!,"AAAAAHJ++7A=")</f>
        <v>#REF!</v>
      </c>
      <c r="FV314" t="e">
        <f>AND(#REF!,"AAAAAHJ++7E=")</f>
        <v>#REF!</v>
      </c>
      <c r="FW314" t="e">
        <f>AND(#REF!,"AAAAAHJ++7I=")</f>
        <v>#REF!</v>
      </c>
      <c r="FX314" t="e">
        <f>IF(#REF!,"AAAAAHJ++7M=",0)</f>
        <v>#REF!</v>
      </c>
      <c r="FY314" t="e">
        <f>AND(#REF!,"AAAAAHJ++7Q=")</f>
        <v>#REF!</v>
      </c>
      <c r="FZ314" t="e">
        <f>AND(#REF!,"AAAAAHJ++7U=")</f>
        <v>#REF!</v>
      </c>
      <c r="GA314" t="e">
        <f>AND(#REF!,"AAAAAHJ++7Y=")</f>
        <v>#REF!</v>
      </c>
      <c r="GB314" t="e">
        <f>AND(#REF!,"AAAAAHJ++7c=")</f>
        <v>#REF!</v>
      </c>
      <c r="GC314" t="e">
        <f>AND(#REF!,"AAAAAHJ++7g=")</f>
        <v>#REF!</v>
      </c>
      <c r="GD314" t="e">
        <f>AND(#REF!,"AAAAAHJ++7k=")</f>
        <v>#REF!</v>
      </c>
      <c r="GE314" t="e">
        <f>AND(#REF!,"AAAAAHJ++7o=")</f>
        <v>#REF!</v>
      </c>
      <c r="GF314" t="e">
        <f>AND(#REF!,"AAAAAHJ++7s=")</f>
        <v>#REF!</v>
      </c>
      <c r="GG314" t="e">
        <f>AND(#REF!,"AAAAAHJ++7w=")</f>
        <v>#REF!</v>
      </c>
      <c r="GH314" t="e">
        <f>AND(#REF!,"AAAAAHJ++70=")</f>
        <v>#REF!</v>
      </c>
      <c r="GI314" t="e">
        <f>IF(#REF!,"AAAAAHJ++74=",0)</f>
        <v>#REF!</v>
      </c>
      <c r="GJ314" t="e">
        <f>AND(#REF!,"AAAAAHJ++78=")</f>
        <v>#REF!</v>
      </c>
      <c r="GK314" t="e">
        <f>AND(#REF!,"AAAAAHJ++8A=")</f>
        <v>#REF!</v>
      </c>
      <c r="GL314" t="e">
        <f>AND(#REF!,"AAAAAHJ++8E=")</f>
        <v>#REF!</v>
      </c>
      <c r="GM314" t="e">
        <f>AND(#REF!,"AAAAAHJ++8I=")</f>
        <v>#REF!</v>
      </c>
      <c r="GN314" t="e">
        <f>AND(#REF!,"AAAAAHJ++8M=")</f>
        <v>#REF!</v>
      </c>
      <c r="GO314" t="e">
        <f>AND(#REF!,"AAAAAHJ++8Q=")</f>
        <v>#REF!</v>
      </c>
      <c r="GP314" t="e">
        <f>AND(#REF!,"AAAAAHJ++8U=")</f>
        <v>#REF!</v>
      </c>
      <c r="GQ314" t="e">
        <f>AND(#REF!,"AAAAAHJ++8Y=")</f>
        <v>#REF!</v>
      </c>
      <c r="GR314" t="e">
        <f>AND(#REF!,"AAAAAHJ++8c=")</f>
        <v>#REF!</v>
      </c>
      <c r="GS314" t="e">
        <f>AND(#REF!,"AAAAAHJ++8g=")</f>
        <v>#REF!</v>
      </c>
      <c r="GT314" t="e">
        <f>IF(#REF!,"AAAAAHJ++8k=",0)</f>
        <v>#REF!</v>
      </c>
      <c r="GU314" t="e">
        <f>AND(#REF!,"AAAAAHJ++8o=")</f>
        <v>#REF!</v>
      </c>
      <c r="GV314" t="e">
        <f>AND(#REF!,"AAAAAHJ++8s=")</f>
        <v>#REF!</v>
      </c>
      <c r="GW314" t="e">
        <f>AND(#REF!,"AAAAAHJ++8w=")</f>
        <v>#REF!</v>
      </c>
      <c r="GX314" t="e">
        <f>AND(#REF!,"AAAAAHJ++80=")</f>
        <v>#REF!</v>
      </c>
      <c r="GY314" t="e">
        <f>AND(#REF!,"AAAAAHJ++84=")</f>
        <v>#REF!</v>
      </c>
      <c r="GZ314" t="e">
        <f>AND(#REF!,"AAAAAHJ++88=")</f>
        <v>#REF!</v>
      </c>
      <c r="HA314" t="e">
        <f>AND(#REF!,"AAAAAHJ++9A=")</f>
        <v>#REF!</v>
      </c>
      <c r="HB314" t="e">
        <f>AND(#REF!,"AAAAAHJ++9E=")</f>
        <v>#REF!</v>
      </c>
      <c r="HC314" t="e">
        <f>AND(#REF!,"AAAAAHJ++9I=")</f>
        <v>#REF!</v>
      </c>
      <c r="HD314" t="e">
        <f>AND(#REF!,"AAAAAHJ++9M=")</f>
        <v>#REF!</v>
      </c>
      <c r="HE314" t="e">
        <f>IF(#REF!,"AAAAAHJ++9Q=",0)</f>
        <v>#REF!</v>
      </c>
      <c r="HF314" t="e">
        <f>AND(#REF!,"AAAAAHJ++9U=")</f>
        <v>#REF!</v>
      </c>
      <c r="HG314" t="e">
        <f>AND(#REF!,"AAAAAHJ++9Y=")</f>
        <v>#REF!</v>
      </c>
      <c r="HH314" t="e">
        <f>AND(#REF!,"AAAAAHJ++9c=")</f>
        <v>#REF!</v>
      </c>
      <c r="HI314" t="e">
        <f>AND(#REF!,"AAAAAHJ++9g=")</f>
        <v>#REF!</v>
      </c>
      <c r="HJ314" t="e">
        <f>AND(#REF!,"AAAAAHJ++9k=")</f>
        <v>#REF!</v>
      </c>
      <c r="HK314" t="e">
        <f>AND(#REF!,"AAAAAHJ++9o=")</f>
        <v>#REF!</v>
      </c>
      <c r="HL314" t="e">
        <f>AND(#REF!,"AAAAAHJ++9s=")</f>
        <v>#REF!</v>
      </c>
      <c r="HM314" t="e">
        <f>AND(#REF!,"AAAAAHJ++9w=")</f>
        <v>#REF!</v>
      </c>
      <c r="HN314" t="e">
        <f>AND(#REF!,"AAAAAHJ++90=")</f>
        <v>#REF!</v>
      </c>
      <c r="HO314" t="e">
        <f>AND(#REF!,"AAAAAHJ++94=")</f>
        <v>#REF!</v>
      </c>
      <c r="HP314" t="e">
        <f>IF(#REF!,"AAAAAHJ++98=",0)</f>
        <v>#REF!</v>
      </c>
      <c r="HQ314" t="e">
        <f>AND(#REF!,"AAAAAHJ+++A=")</f>
        <v>#REF!</v>
      </c>
      <c r="HR314" t="e">
        <f>AND(#REF!,"AAAAAHJ+++E=")</f>
        <v>#REF!</v>
      </c>
      <c r="HS314" t="e">
        <f>AND(#REF!,"AAAAAHJ+++I=")</f>
        <v>#REF!</v>
      </c>
      <c r="HT314" t="e">
        <f>AND(#REF!,"AAAAAHJ+++M=")</f>
        <v>#REF!</v>
      </c>
      <c r="HU314" t="e">
        <f>AND(#REF!,"AAAAAHJ+++Q=")</f>
        <v>#REF!</v>
      </c>
      <c r="HV314" t="e">
        <f>AND(#REF!,"AAAAAHJ+++U=")</f>
        <v>#REF!</v>
      </c>
      <c r="HW314" t="e">
        <f>AND(#REF!,"AAAAAHJ+++Y=")</f>
        <v>#REF!</v>
      </c>
      <c r="HX314" t="e">
        <f>AND(#REF!,"AAAAAHJ+++c=")</f>
        <v>#REF!</v>
      </c>
      <c r="HY314" t="e">
        <f>AND(#REF!,"AAAAAHJ+++g=")</f>
        <v>#REF!</v>
      </c>
      <c r="HZ314" t="e">
        <f>AND(#REF!,"AAAAAHJ+++k=")</f>
        <v>#REF!</v>
      </c>
      <c r="IA314" t="e">
        <f>IF(#REF!,"AAAAAHJ+++o=",0)</f>
        <v>#REF!</v>
      </c>
      <c r="IB314" t="e">
        <f>AND(#REF!,"AAAAAHJ+++s=")</f>
        <v>#REF!</v>
      </c>
      <c r="IC314" t="e">
        <f>AND(#REF!,"AAAAAHJ+++w=")</f>
        <v>#REF!</v>
      </c>
      <c r="ID314" t="e">
        <f>AND(#REF!,"AAAAAHJ+++0=")</f>
        <v>#REF!</v>
      </c>
      <c r="IE314" t="e">
        <f>AND(#REF!,"AAAAAHJ+++4=")</f>
        <v>#REF!</v>
      </c>
      <c r="IF314" t="e">
        <f>AND(#REF!,"AAAAAHJ+++8=")</f>
        <v>#REF!</v>
      </c>
      <c r="IG314" t="e">
        <f>AND(#REF!,"AAAAAHJ++/A=")</f>
        <v>#REF!</v>
      </c>
      <c r="IH314" t="e">
        <f>AND(#REF!,"AAAAAHJ++/E=")</f>
        <v>#REF!</v>
      </c>
      <c r="II314" t="e">
        <f>AND(#REF!,"AAAAAHJ++/I=")</f>
        <v>#REF!</v>
      </c>
      <c r="IJ314" t="e">
        <f>AND(#REF!,"AAAAAHJ++/M=")</f>
        <v>#REF!</v>
      </c>
      <c r="IK314" t="e">
        <f>AND(#REF!,"AAAAAHJ++/Q=")</f>
        <v>#REF!</v>
      </c>
      <c r="IL314" t="e">
        <f>IF(#REF!,"AAAAAHJ++/U=",0)</f>
        <v>#REF!</v>
      </c>
      <c r="IM314" t="e">
        <f>AND(#REF!,"AAAAAHJ++/Y=")</f>
        <v>#REF!</v>
      </c>
      <c r="IN314" t="e">
        <f>AND(#REF!,"AAAAAHJ++/c=")</f>
        <v>#REF!</v>
      </c>
      <c r="IO314" t="e">
        <f>AND(#REF!,"AAAAAHJ++/g=")</f>
        <v>#REF!</v>
      </c>
      <c r="IP314" t="e">
        <f>AND(#REF!,"AAAAAHJ++/k=")</f>
        <v>#REF!</v>
      </c>
      <c r="IQ314" t="e">
        <f>AND(#REF!,"AAAAAHJ++/o=")</f>
        <v>#REF!</v>
      </c>
      <c r="IR314" t="e">
        <f>AND(#REF!,"AAAAAHJ++/s=")</f>
        <v>#REF!</v>
      </c>
      <c r="IS314" t="e">
        <f>AND(#REF!,"AAAAAHJ++/w=")</f>
        <v>#REF!</v>
      </c>
      <c r="IT314" t="e">
        <f>AND(#REF!,"AAAAAHJ++/0=")</f>
        <v>#REF!</v>
      </c>
      <c r="IU314" t="e">
        <f>AND(#REF!,"AAAAAHJ++/4=")</f>
        <v>#REF!</v>
      </c>
      <c r="IV314" t="e">
        <f>AND(#REF!,"AAAAAHJ++/8=")</f>
        <v>#REF!</v>
      </c>
    </row>
    <row r="315" spans="1:256" x14ac:dyDescent="0.25">
      <c r="A315" t="e">
        <f>IF(#REF!,"AAAAADvpywA=",0)</f>
        <v>#REF!</v>
      </c>
      <c r="B315" t="e">
        <f>AND(#REF!,"AAAAADvpywE=")</f>
        <v>#REF!</v>
      </c>
      <c r="C315" t="e">
        <f>AND(#REF!,"AAAAADvpywI=")</f>
        <v>#REF!</v>
      </c>
      <c r="D315" t="e">
        <f>AND(#REF!,"AAAAADvpywM=")</f>
        <v>#REF!</v>
      </c>
      <c r="E315" t="e">
        <f>AND(#REF!,"AAAAADvpywQ=")</f>
        <v>#REF!</v>
      </c>
      <c r="F315" t="e">
        <f>AND(#REF!,"AAAAADvpywU=")</f>
        <v>#REF!</v>
      </c>
      <c r="G315" t="e">
        <f>AND(#REF!,"AAAAADvpywY=")</f>
        <v>#REF!</v>
      </c>
      <c r="H315" t="e">
        <f>AND(#REF!,"AAAAADvpywc=")</f>
        <v>#REF!</v>
      </c>
      <c r="I315" t="e">
        <f>AND(#REF!,"AAAAADvpywg=")</f>
        <v>#REF!</v>
      </c>
      <c r="J315" t="e">
        <f>AND(#REF!,"AAAAADvpywk=")</f>
        <v>#REF!</v>
      </c>
      <c r="K315" t="e">
        <f>AND(#REF!,"AAAAADvpywo=")</f>
        <v>#REF!</v>
      </c>
      <c r="L315" t="e">
        <f>IF(#REF!,"AAAAADvpyws=",0)</f>
        <v>#REF!</v>
      </c>
      <c r="M315" t="e">
        <f>AND(#REF!,"AAAAADvpyww=")</f>
        <v>#REF!</v>
      </c>
      <c r="N315" t="e">
        <f>AND(#REF!,"AAAAADvpyw0=")</f>
        <v>#REF!</v>
      </c>
      <c r="O315" t="e">
        <f>AND(#REF!,"AAAAADvpyw4=")</f>
        <v>#REF!</v>
      </c>
      <c r="P315" t="e">
        <f>AND(#REF!,"AAAAADvpyw8=")</f>
        <v>#REF!</v>
      </c>
      <c r="Q315" t="e">
        <f>AND(#REF!,"AAAAADvpyxA=")</f>
        <v>#REF!</v>
      </c>
      <c r="R315" t="e">
        <f>AND(#REF!,"AAAAADvpyxE=")</f>
        <v>#REF!</v>
      </c>
      <c r="S315" t="e">
        <f>AND(#REF!,"AAAAADvpyxI=")</f>
        <v>#REF!</v>
      </c>
      <c r="T315" t="e">
        <f>AND(#REF!,"AAAAADvpyxM=")</f>
        <v>#REF!</v>
      </c>
      <c r="U315" t="e">
        <f>AND(#REF!,"AAAAADvpyxQ=")</f>
        <v>#REF!</v>
      </c>
      <c r="V315" t="e">
        <f>AND(#REF!,"AAAAADvpyxU=")</f>
        <v>#REF!</v>
      </c>
      <c r="W315" t="e">
        <f>IF(#REF!,"AAAAADvpyxY=",0)</f>
        <v>#REF!</v>
      </c>
      <c r="X315" t="e">
        <f>AND(#REF!,"AAAAADvpyxc=")</f>
        <v>#REF!</v>
      </c>
      <c r="Y315" t="e">
        <f>AND(#REF!,"AAAAADvpyxg=")</f>
        <v>#REF!</v>
      </c>
      <c r="Z315" t="e">
        <f>AND(#REF!,"AAAAADvpyxk=")</f>
        <v>#REF!</v>
      </c>
      <c r="AA315" t="e">
        <f>AND(#REF!,"AAAAADvpyxo=")</f>
        <v>#REF!</v>
      </c>
      <c r="AB315" t="e">
        <f>AND(#REF!,"AAAAADvpyxs=")</f>
        <v>#REF!</v>
      </c>
      <c r="AC315" t="e">
        <f>AND(#REF!,"AAAAADvpyxw=")</f>
        <v>#REF!</v>
      </c>
      <c r="AD315" t="e">
        <f>AND(#REF!,"AAAAADvpyx0=")</f>
        <v>#REF!</v>
      </c>
      <c r="AE315" t="e">
        <f>AND(#REF!,"AAAAADvpyx4=")</f>
        <v>#REF!</v>
      </c>
      <c r="AF315" t="e">
        <f>AND(#REF!,"AAAAADvpyx8=")</f>
        <v>#REF!</v>
      </c>
      <c r="AG315" t="e">
        <f>AND(#REF!,"AAAAADvpyyA=")</f>
        <v>#REF!</v>
      </c>
      <c r="AH315" t="e">
        <f>IF(#REF!,"AAAAADvpyyE=",0)</f>
        <v>#REF!</v>
      </c>
      <c r="AI315" t="e">
        <f>AND(#REF!,"AAAAADvpyyI=")</f>
        <v>#REF!</v>
      </c>
      <c r="AJ315" t="e">
        <f>AND(#REF!,"AAAAADvpyyM=")</f>
        <v>#REF!</v>
      </c>
      <c r="AK315" t="e">
        <f>AND(#REF!,"AAAAADvpyyQ=")</f>
        <v>#REF!</v>
      </c>
      <c r="AL315" t="e">
        <f>AND(#REF!,"AAAAADvpyyU=")</f>
        <v>#REF!</v>
      </c>
      <c r="AM315" t="e">
        <f>AND(#REF!,"AAAAADvpyyY=")</f>
        <v>#REF!</v>
      </c>
      <c r="AN315" t="e">
        <f>AND(#REF!,"AAAAADvpyyc=")</f>
        <v>#REF!</v>
      </c>
      <c r="AO315" t="e">
        <f>AND(#REF!,"AAAAADvpyyg=")</f>
        <v>#REF!</v>
      </c>
      <c r="AP315" t="e">
        <f>AND(#REF!,"AAAAADvpyyk=")</f>
        <v>#REF!</v>
      </c>
      <c r="AQ315" t="e">
        <f>AND(#REF!,"AAAAADvpyyo=")</f>
        <v>#REF!</v>
      </c>
      <c r="AR315" t="e">
        <f>AND(#REF!,"AAAAADvpyys=")</f>
        <v>#REF!</v>
      </c>
      <c r="AS315" t="e">
        <f>IF(#REF!,"AAAAADvpyyw=",0)</f>
        <v>#REF!</v>
      </c>
      <c r="AT315" t="e">
        <f>AND(#REF!,"AAAAADvpyy0=")</f>
        <v>#REF!</v>
      </c>
      <c r="AU315" t="e">
        <f>AND(#REF!,"AAAAADvpyy4=")</f>
        <v>#REF!</v>
      </c>
      <c r="AV315" t="e">
        <f>AND(#REF!,"AAAAADvpyy8=")</f>
        <v>#REF!</v>
      </c>
      <c r="AW315" t="e">
        <f>AND(#REF!,"AAAAADvpyzA=")</f>
        <v>#REF!</v>
      </c>
      <c r="AX315" t="e">
        <f>AND(#REF!,"AAAAADvpyzE=")</f>
        <v>#REF!</v>
      </c>
      <c r="AY315" t="e">
        <f>AND(#REF!,"AAAAADvpyzI=")</f>
        <v>#REF!</v>
      </c>
      <c r="AZ315" t="e">
        <f>AND(#REF!,"AAAAADvpyzM=")</f>
        <v>#REF!</v>
      </c>
      <c r="BA315" t="e">
        <f>AND(#REF!,"AAAAADvpyzQ=")</f>
        <v>#REF!</v>
      </c>
      <c r="BB315" t="e">
        <f>AND(#REF!,"AAAAADvpyzU=")</f>
        <v>#REF!</v>
      </c>
      <c r="BC315" t="e">
        <f>AND(#REF!,"AAAAADvpyzY=")</f>
        <v>#REF!</v>
      </c>
      <c r="BD315" t="e">
        <f>IF(#REF!,"AAAAADvpyzc=",0)</f>
        <v>#REF!</v>
      </c>
      <c r="BE315" t="e">
        <f>AND(#REF!,"AAAAADvpyzg=")</f>
        <v>#REF!</v>
      </c>
      <c r="BF315" t="e">
        <f>AND(#REF!,"AAAAADvpyzk=")</f>
        <v>#REF!</v>
      </c>
      <c r="BG315" t="e">
        <f>AND(#REF!,"AAAAADvpyzo=")</f>
        <v>#REF!</v>
      </c>
      <c r="BH315" t="e">
        <f>AND(#REF!,"AAAAADvpyzs=")</f>
        <v>#REF!</v>
      </c>
      <c r="BI315" t="e">
        <f>AND(#REF!,"AAAAADvpyzw=")</f>
        <v>#REF!</v>
      </c>
      <c r="BJ315" t="e">
        <f>AND(#REF!,"AAAAADvpyz0=")</f>
        <v>#REF!</v>
      </c>
      <c r="BK315" t="e">
        <f>AND(#REF!,"AAAAADvpyz4=")</f>
        <v>#REF!</v>
      </c>
      <c r="BL315" t="e">
        <f>AND(#REF!,"AAAAADvpyz8=")</f>
        <v>#REF!</v>
      </c>
      <c r="BM315" t="e">
        <f>AND(#REF!,"AAAAADvpy0A=")</f>
        <v>#REF!</v>
      </c>
      <c r="BN315" t="e">
        <f>AND(#REF!,"AAAAADvpy0E=")</f>
        <v>#REF!</v>
      </c>
      <c r="BO315" t="e">
        <f>IF(#REF!,"AAAAADvpy0I=",0)</f>
        <v>#REF!</v>
      </c>
      <c r="BP315" t="e">
        <f>AND(#REF!,"AAAAADvpy0M=")</f>
        <v>#REF!</v>
      </c>
      <c r="BQ315" t="e">
        <f>AND(#REF!,"AAAAADvpy0Q=")</f>
        <v>#REF!</v>
      </c>
      <c r="BR315" t="e">
        <f>AND(#REF!,"AAAAADvpy0U=")</f>
        <v>#REF!</v>
      </c>
      <c r="BS315" t="e">
        <f>AND(#REF!,"AAAAADvpy0Y=")</f>
        <v>#REF!</v>
      </c>
      <c r="BT315" t="e">
        <f>AND(#REF!,"AAAAADvpy0c=")</f>
        <v>#REF!</v>
      </c>
      <c r="BU315" t="e">
        <f>AND(#REF!,"AAAAADvpy0g=")</f>
        <v>#REF!</v>
      </c>
      <c r="BV315" t="e">
        <f>AND(#REF!,"AAAAADvpy0k=")</f>
        <v>#REF!</v>
      </c>
      <c r="BW315" t="e">
        <f>AND(#REF!,"AAAAADvpy0o=")</f>
        <v>#REF!</v>
      </c>
      <c r="BX315" t="e">
        <f>AND(#REF!,"AAAAADvpy0s=")</f>
        <v>#REF!</v>
      </c>
      <c r="BY315" t="e">
        <f>AND(#REF!,"AAAAADvpy0w=")</f>
        <v>#REF!</v>
      </c>
      <c r="BZ315" t="e">
        <f>IF(#REF!,"AAAAADvpy00=",0)</f>
        <v>#REF!</v>
      </c>
      <c r="CA315" t="e">
        <f>AND(#REF!,"AAAAADvpy04=")</f>
        <v>#REF!</v>
      </c>
      <c r="CB315" t="e">
        <f>AND(#REF!,"AAAAADvpy08=")</f>
        <v>#REF!</v>
      </c>
      <c r="CC315" t="e">
        <f>AND(#REF!,"AAAAADvpy1A=")</f>
        <v>#REF!</v>
      </c>
      <c r="CD315" t="e">
        <f>AND(#REF!,"AAAAADvpy1E=")</f>
        <v>#REF!</v>
      </c>
      <c r="CE315" t="e">
        <f>AND(#REF!,"AAAAADvpy1I=")</f>
        <v>#REF!</v>
      </c>
      <c r="CF315" t="e">
        <f>AND(#REF!,"AAAAADvpy1M=")</f>
        <v>#REF!</v>
      </c>
      <c r="CG315" t="e">
        <f>AND(#REF!,"AAAAADvpy1Q=")</f>
        <v>#REF!</v>
      </c>
      <c r="CH315" t="e">
        <f>AND(#REF!,"AAAAADvpy1U=")</f>
        <v>#REF!</v>
      </c>
      <c r="CI315" t="e">
        <f>AND(#REF!,"AAAAADvpy1Y=")</f>
        <v>#REF!</v>
      </c>
      <c r="CJ315" t="e">
        <f>AND(#REF!,"AAAAADvpy1c=")</f>
        <v>#REF!</v>
      </c>
      <c r="CK315" t="e">
        <f>IF(#REF!,"AAAAADvpy1g=",0)</f>
        <v>#REF!</v>
      </c>
      <c r="CL315" t="e">
        <f>AND(#REF!,"AAAAADvpy1k=")</f>
        <v>#REF!</v>
      </c>
      <c r="CM315" t="e">
        <f>AND(#REF!,"AAAAADvpy1o=")</f>
        <v>#REF!</v>
      </c>
      <c r="CN315" t="e">
        <f>AND(#REF!,"AAAAADvpy1s=")</f>
        <v>#REF!</v>
      </c>
      <c r="CO315" t="e">
        <f>AND(#REF!,"AAAAADvpy1w=")</f>
        <v>#REF!</v>
      </c>
      <c r="CP315" t="e">
        <f>AND(#REF!,"AAAAADvpy10=")</f>
        <v>#REF!</v>
      </c>
      <c r="CQ315" t="e">
        <f>AND(#REF!,"AAAAADvpy14=")</f>
        <v>#REF!</v>
      </c>
      <c r="CR315" t="e">
        <f>AND(#REF!,"AAAAADvpy18=")</f>
        <v>#REF!</v>
      </c>
      <c r="CS315" t="e">
        <f>AND(#REF!,"AAAAADvpy2A=")</f>
        <v>#REF!</v>
      </c>
      <c r="CT315" t="e">
        <f>AND(#REF!,"AAAAADvpy2E=")</f>
        <v>#REF!</v>
      </c>
      <c r="CU315" t="e">
        <f>AND(#REF!,"AAAAADvpy2I=")</f>
        <v>#REF!</v>
      </c>
      <c r="CV315" t="e">
        <f>IF(#REF!,"AAAAADvpy2M=",0)</f>
        <v>#REF!</v>
      </c>
      <c r="CW315" t="e">
        <f>AND(#REF!,"AAAAADvpy2Q=")</f>
        <v>#REF!</v>
      </c>
      <c r="CX315" t="e">
        <f>AND(#REF!,"AAAAADvpy2U=")</f>
        <v>#REF!</v>
      </c>
      <c r="CY315" t="e">
        <f>AND(#REF!,"AAAAADvpy2Y=")</f>
        <v>#REF!</v>
      </c>
      <c r="CZ315" t="e">
        <f>AND(#REF!,"AAAAADvpy2c=")</f>
        <v>#REF!</v>
      </c>
      <c r="DA315" t="e">
        <f>AND(#REF!,"AAAAADvpy2g=")</f>
        <v>#REF!</v>
      </c>
      <c r="DB315" t="e">
        <f>AND(#REF!,"AAAAADvpy2k=")</f>
        <v>#REF!</v>
      </c>
      <c r="DC315" t="e">
        <f>AND(#REF!,"AAAAADvpy2o=")</f>
        <v>#REF!</v>
      </c>
      <c r="DD315" t="e">
        <f>AND(#REF!,"AAAAADvpy2s=")</f>
        <v>#REF!</v>
      </c>
      <c r="DE315" t="e">
        <f>AND(#REF!,"AAAAADvpy2w=")</f>
        <v>#REF!</v>
      </c>
      <c r="DF315" t="e">
        <f>AND(#REF!,"AAAAADvpy20=")</f>
        <v>#REF!</v>
      </c>
      <c r="DG315" t="e">
        <f>IF(#REF!,"AAAAADvpy24=",0)</f>
        <v>#REF!</v>
      </c>
      <c r="DH315" t="e">
        <f>AND(#REF!,"AAAAADvpy28=")</f>
        <v>#REF!</v>
      </c>
      <c r="DI315" t="e">
        <f>AND(#REF!,"AAAAADvpy3A=")</f>
        <v>#REF!</v>
      </c>
      <c r="DJ315" t="e">
        <f>AND(#REF!,"AAAAADvpy3E=")</f>
        <v>#REF!</v>
      </c>
      <c r="DK315" t="e">
        <f>AND(#REF!,"AAAAADvpy3I=")</f>
        <v>#REF!</v>
      </c>
      <c r="DL315" t="e">
        <f>AND(#REF!,"AAAAADvpy3M=")</f>
        <v>#REF!</v>
      </c>
      <c r="DM315" t="e">
        <f>AND(#REF!,"AAAAADvpy3Q=")</f>
        <v>#REF!</v>
      </c>
      <c r="DN315" t="e">
        <f>AND(#REF!,"AAAAADvpy3U=")</f>
        <v>#REF!</v>
      </c>
      <c r="DO315" t="e">
        <f>AND(#REF!,"AAAAADvpy3Y=")</f>
        <v>#REF!</v>
      </c>
      <c r="DP315" t="e">
        <f>AND(#REF!,"AAAAADvpy3c=")</f>
        <v>#REF!</v>
      </c>
      <c r="DQ315" t="e">
        <f>AND(#REF!,"AAAAADvpy3g=")</f>
        <v>#REF!</v>
      </c>
      <c r="DR315" t="e">
        <f>IF(#REF!,"AAAAADvpy3k=",0)</f>
        <v>#REF!</v>
      </c>
      <c r="DS315" t="e">
        <f>AND(#REF!,"AAAAADvpy3o=")</f>
        <v>#REF!</v>
      </c>
      <c r="DT315" t="e">
        <f>AND(#REF!,"AAAAADvpy3s=")</f>
        <v>#REF!</v>
      </c>
      <c r="DU315" t="e">
        <f>AND(#REF!,"AAAAADvpy3w=")</f>
        <v>#REF!</v>
      </c>
      <c r="DV315" t="e">
        <f>AND(#REF!,"AAAAADvpy30=")</f>
        <v>#REF!</v>
      </c>
      <c r="DW315" t="e">
        <f>AND(#REF!,"AAAAADvpy34=")</f>
        <v>#REF!</v>
      </c>
      <c r="DX315" t="e">
        <f>AND(#REF!,"AAAAADvpy38=")</f>
        <v>#REF!</v>
      </c>
      <c r="DY315" t="e">
        <f>AND(#REF!,"AAAAADvpy4A=")</f>
        <v>#REF!</v>
      </c>
      <c r="DZ315" t="e">
        <f>AND(#REF!,"AAAAADvpy4E=")</f>
        <v>#REF!</v>
      </c>
      <c r="EA315" t="e">
        <f>AND(#REF!,"AAAAADvpy4I=")</f>
        <v>#REF!</v>
      </c>
      <c r="EB315" t="e">
        <f>AND(#REF!,"AAAAADvpy4M=")</f>
        <v>#REF!</v>
      </c>
      <c r="EC315" t="e">
        <f>IF(#REF!,"AAAAADvpy4Q=",0)</f>
        <v>#REF!</v>
      </c>
      <c r="ED315" t="e">
        <f>AND(#REF!,"AAAAADvpy4U=")</f>
        <v>#REF!</v>
      </c>
      <c r="EE315" t="e">
        <f>AND(#REF!,"AAAAADvpy4Y=")</f>
        <v>#REF!</v>
      </c>
      <c r="EF315" t="e">
        <f>AND(#REF!,"AAAAADvpy4c=")</f>
        <v>#REF!</v>
      </c>
      <c r="EG315" t="e">
        <f>AND(#REF!,"AAAAADvpy4g=")</f>
        <v>#REF!</v>
      </c>
      <c r="EH315" t="e">
        <f>AND(#REF!,"AAAAADvpy4k=")</f>
        <v>#REF!</v>
      </c>
      <c r="EI315" t="e">
        <f>AND(#REF!,"AAAAADvpy4o=")</f>
        <v>#REF!</v>
      </c>
      <c r="EJ315" t="e">
        <f>AND(#REF!,"AAAAADvpy4s=")</f>
        <v>#REF!</v>
      </c>
      <c r="EK315" t="e">
        <f>AND(#REF!,"AAAAADvpy4w=")</f>
        <v>#REF!</v>
      </c>
      <c r="EL315" t="e">
        <f>AND(#REF!,"AAAAADvpy40=")</f>
        <v>#REF!</v>
      </c>
      <c r="EM315" t="e">
        <f>AND(#REF!,"AAAAADvpy44=")</f>
        <v>#REF!</v>
      </c>
      <c r="EN315" t="e">
        <f>IF(#REF!,"AAAAADvpy48=",0)</f>
        <v>#REF!</v>
      </c>
      <c r="EO315" t="e">
        <f>AND(#REF!,"AAAAADvpy5A=")</f>
        <v>#REF!</v>
      </c>
      <c r="EP315" t="e">
        <f>AND(#REF!,"AAAAADvpy5E=")</f>
        <v>#REF!</v>
      </c>
      <c r="EQ315" t="e">
        <f>AND(#REF!,"AAAAADvpy5I=")</f>
        <v>#REF!</v>
      </c>
      <c r="ER315" t="e">
        <f>AND(#REF!,"AAAAADvpy5M=")</f>
        <v>#REF!</v>
      </c>
      <c r="ES315" t="e">
        <f>AND(#REF!,"AAAAADvpy5Q=")</f>
        <v>#REF!</v>
      </c>
      <c r="ET315" t="e">
        <f>AND(#REF!,"AAAAADvpy5U=")</f>
        <v>#REF!</v>
      </c>
      <c r="EU315" t="e">
        <f>AND(#REF!,"AAAAADvpy5Y=")</f>
        <v>#REF!</v>
      </c>
      <c r="EV315" t="e">
        <f>AND(#REF!,"AAAAADvpy5c=")</f>
        <v>#REF!</v>
      </c>
      <c r="EW315" t="e">
        <f>AND(#REF!,"AAAAADvpy5g=")</f>
        <v>#REF!</v>
      </c>
      <c r="EX315" t="e">
        <f>AND(#REF!,"AAAAADvpy5k=")</f>
        <v>#REF!</v>
      </c>
      <c r="EY315" t="e">
        <f>IF(#REF!,"AAAAADvpy5o=",0)</f>
        <v>#REF!</v>
      </c>
      <c r="EZ315" t="e">
        <f>AND(#REF!,"AAAAADvpy5s=")</f>
        <v>#REF!</v>
      </c>
      <c r="FA315" t="e">
        <f>AND(#REF!,"AAAAADvpy5w=")</f>
        <v>#REF!</v>
      </c>
      <c r="FB315" t="e">
        <f>AND(#REF!,"AAAAADvpy50=")</f>
        <v>#REF!</v>
      </c>
      <c r="FC315" t="e">
        <f>AND(#REF!,"AAAAADvpy54=")</f>
        <v>#REF!</v>
      </c>
      <c r="FD315" t="e">
        <f>AND(#REF!,"AAAAADvpy58=")</f>
        <v>#REF!</v>
      </c>
      <c r="FE315" t="e">
        <f>AND(#REF!,"AAAAADvpy6A=")</f>
        <v>#REF!</v>
      </c>
      <c r="FF315" t="e">
        <f>AND(#REF!,"AAAAADvpy6E=")</f>
        <v>#REF!</v>
      </c>
      <c r="FG315" t="e">
        <f>AND(#REF!,"AAAAADvpy6I=")</f>
        <v>#REF!</v>
      </c>
      <c r="FH315" t="e">
        <f>AND(#REF!,"AAAAADvpy6M=")</f>
        <v>#REF!</v>
      </c>
      <c r="FI315" t="e">
        <f>AND(#REF!,"AAAAADvpy6Q=")</f>
        <v>#REF!</v>
      </c>
      <c r="FJ315" t="e">
        <f>IF(#REF!,"AAAAADvpy6U=",0)</f>
        <v>#REF!</v>
      </c>
      <c r="FK315" t="e">
        <f>AND(#REF!,"AAAAADvpy6Y=")</f>
        <v>#REF!</v>
      </c>
      <c r="FL315" t="e">
        <f>AND(#REF!,"AAAAADvpy6c=")</f>
        <v>#REF!</v>
      </c>
      <c r="FM315" t="e">
        <f>AND(#REF!,"AAAAADvpy6g=")</f>
        <v>#REF!</v>
      </c>
      <c r="FN315" t="e">
        <f>AND(#REF!,"AAAAADvpy6k=")</f>
        <v>#REF!</v>
      </c>
      <c r="FO315" t="e">
        <f>AND(#REF!,"AAAAADvpy6o=")</f>
        <v>#REF!</v>
      </c>
      <c r="FP315" t="e">
        <f>AND(#REF!,"AAAAADvpy6s=")</f>
        <v>#REF!</v>
      </c>
      <c r="FQ315" t="e">
        <f>AND(#REF!,"AAAAADvpy6w=")</f>
        <v>#REF!</v>
      </c>
      <c r="FR315" t="e">
        <f>AND(#REF!,"AAAAADvpy60=")</f>
        <v>#REF!</v>
      </c>
      <c r="FS315" t="e">
        <f>AND(#REF!,"AAAAADvpy64=")</f>
        <v>#REF!</v>
      </c>
      <c r="FT315" t="e">
        <f>AND(#REF!,"AAAAADvpy68=")</f>
        <v>#REF!</v>
      </c>
      <c r="FU315" t="e">
        <f>IF(#REF!,"AAAAADvpy7A=",0)</f>
        <v>#REF!</v>
      </c>
      <c r="FV315" t="e">
        <f>AND(#REF!,"AAAAADvpy7E=")</f>
        <v>#REF!</v>
      </c>
      <c r="FW315" t="e">
        <f>AND(#REF!,"AAAAADvpy7I=")</f>
        <v>#REF!</v>
      </c>
      <c r="FX315" t="e">
        <f>AND(#REF!,"AAAAADvpy7M=")</f>
        <v>#REF!</v>
      </c>
      <c r="FY315" t="e">
        <f>AND(#REF!,"AAAAADvpy7Q=")</f>
        <v>#REF!</v>
      </c>
      <c r="FZ315" t="e">
        <f>AND(#REF!,"AAAAADvpy7U=")</f>
        <v>#REF!</v>
      </c>
      <c r="GA315" t="e">
        <f>AND(#REF!,"AAAAADvpy7Y=")</f>
        <v>#REF!</v>
      </c>
      <c r="GB315" t="e">
        <f>AND(#REF!,"AAAAADvpy7c=")</f>
        <v>#REF!</v>
      </c>
      <c r="GC315" t="e">
        <f>AND(#REF!,"AAAAADvpy7g=")</f>
        <v>#REF!</v>
      </c>
      <c r="GD315" t="e">
        <f>AND(#REF!,"AAAAADvpy7k=")</f>
        <v>#REF!</v>
      </c>
      <c r="GE315" t="e">
        <f>AND(#REF!,"AAAAADvpy7o=")</f>
        <v>#REF!</v>
      </c>
      <c r="GF315" t="e">
        <f>IF(#REF!,"AAAAADvpy7s=",0)</f>
        <v>#REF!</v>
      </c>
      <c r="GG315" t="e">
        <f>AND(#REF!,"AAAAADvpy7w=")</f>
        <v>#REF!</v>
      </c>
      <c r="GH315" t="e">
        <f>AND(#REF!,"AAAAADvpy70=")</f>
        <v>#REF!</v>
      </c>
      <c r="GI315" t="e">
        <f>AND(#REF!,"AAAAADvpy74=")</f>
        <v>#REF!</v>
      </c>
      <c r="GJ315" t="e">
        <f>AND(#REF!,"AAAAADvpy78=")</f>
        <v>#REF!</v>
      </c>
      <c r="GK315" t="e">
        <f>AND(#REF!,"AAAAADvpy8A=")</f>
        <v>#REF!</v>
      </c>
      <c r="GL315" t="e">
        <f>AND(#REF!,"AAAAADvpy8E=")</f>
        <v>#REF!</v>
      </c>
      <c r="GM315" t="e">
        <f>AND(#REF!,"AAAAADvpy8I=")</f>
        <v>#REF!</v>
      </c>
      <c r="GN315" t="e">
        <f>AND(#REF!,"AAAAADvpy8M=")</f>
        <v>#REF!</v>
      </c>
      <c r="GO315" t="e">
        <f>AND(#REF!,"AAAAADvpy8Q=")</f>
        <v>#REF!</v>
      </c>
      <c r="GP315" t="e">
        <f>AND(#REF!,"AAAAADvpy8U=")</f>
        <v>#REF!</v>
      </c>
      <c r="GQ315" t="e">
        <f>IF(#REF!,"AAAAADvpy8Y=",0)</f>
        <v>#REF!</v>
      </c>
      <c r="GR315" t="e">
        <f>AND(#REF!,"AAAAADvpy8c=")</f>
        <v>#REF!</v>
      </c>
      <c r="GS315" t="e">
        <f>AND(#REF!,"AAAAADvpy8g=")</f>
        <v>#REF!</v>
      </c>
      <c r="GT315" t="e">
        <f>AND(#REF!,"AAAAADvpy8k=")</f>
        <v>#REF!</v>
      </c>
      <c r="GU315" t="e">
        <f>AND(#REF!,"AAAAADvpy8o=")</f>
        <v>#REF!</v>
      </c>
      <c r="GV315" t="e">
        <f>AND(#REF!,"AAAAADvpy8s=")</f>
        <v>#REF!</v>
      </c>
      <c r="GW315" t="e">
        <f>AND(#REF!,"AAAAADvpy8w=")</f>
        <v>#REF!</v>
      </c>
      <c r="GX315" t="e">
        <f>AND(#REF!,"AAAAADvpy80=")</f>
        <v>#REF!</v>
      </c>
      <c r="GY315" t="e">
        <f>AND(#REF!,"AAAAADvpy84=")</f>
        <v>#REF!</v>
      </c>
      <c r="GZ315" t="e">
        <f>AND(#REF!,"AAAAADvpy88=")</f>
        <v>#REF!</v>
      </c>
      <c r="HA315" t="e">
        <f>AND(#REF!,"AAAAADvpy9A=")</f>
        <v>#REF!</v>
      </c>
      <c r="HB315" t="e">
        <f>IF(#REF!,"AAAAADvpy9E=",0)</f>
        <v>#REF!</v>
      </c>
      <c r="HC315" t="e">
        <f>AND(#REF!,"AAAAADvpy9I=")</f>
        <v>#REF!</v>
      </c>
      <c r="HD315" t="e">
        <f>AND(#REF!,"AAAAADvpy9M=")</f>
        <v>#REF!</v>
      </c>
      <c r="HE315" t="e">
        <f>AND(#REF!,"AAAAADvpy9Q=")</f>
        <v>#REF!</v>
      </c>
      <c r="HF315" t="e">
        <f>AND(#REF!,"AAAAADvpy9U=")</f>
        <v>#REF!</v>
      </c>
      <c r="HG315" t="e">
        <f>AND(#REF!,"AAAAADvpy9Y=")</f>
        <v>#REF!</v>
      </c>
      <c r="HH315" t="e">
        <f>AND(#REF!,"AAAAADvpy9c=")</f>
        <v>#REF!</v>
      </c>
      <c r="HI315" t="e">
        <f>AND(#REF!,"AAAAADvpy9g=")</f>
        <v>#REF!</v>
      </c>
      <c r="HJ315" t="e">
        <f>AND(#REF!,"AAAAADvpy9k=")</f>
        <v>#REF!</v>
      </c>
      <c r="HK315" t="e">
        <f>AND(#REF!,"AAAAADvpy9o=")</f>
        <v>#REF!</v>
      </c>
      <c r="HL315" t="e">
        <f>AND(#REF!,"AAAAADvpy9s=")</f>
        <v>#REF!</v>
      </c>
      <c r="HM315" t="e">
        <f>IF(#REF!,"AAAAADvpy9w=",0)</f>
        <v>#REF!</v>
      </c>
      <c r="HN315" t="e">
        <f>AND(#REF!,"AAAAADvpy90=")</f>
        <v>#REF!</v>
      </c>
      <c r="HO315" t="e">
        <f>AND(#REF!,"AAAAADvpy94=")</f>
        <v>#REF!</v>
      </c>
      <c r="HP315" t="e">
        <f>AND(#REF!,"AAAAADvpy98=")</f>
        <v>#REF!</v>
      </c>
      <c r="HQ315" t="e">
        <f>AND(#REF!,"AAAAADvpy+A=")</f>
        <v>#REF!</v>
      </c>
      <c r="HR315" t="e">
        <f>AND(#REF!,"AAAAADvpy+E=")</f>
        <v>#REF!</v>
      </c>
      <c r="HS315" t="e">
        <f>AND(#REF!,"AAAAADvpy+I=")</f>
        <v>#REF!</v>
      </c>
      <c r="HT315" t="e">
        <f>AND(#REF!,"AAAAADvpy+M=")</f>
        <v>#REF!</v>
      </c>
      <c r="HU315" t="e">
        <f>AND(#REF!,"AAAAADvpy+Q=")</f>
        <v>#REF!</v>
      </c>
      <c r="HV315" t="e">
        <f>AND(#REF!,"AAAAADvpy+U=")</f>
        <v>#REF!</v>
      </c>
      <c r="HW315" t="e">
        <f>AND(#REF!,"AAAAADvpy+Y=")</f>
        <v>#REF!</v>
      </c>
      <c r="HX315" t="e">
        <f>IF(#REF!,"AAAAADvpy+c=",0)</f>
        <v>#REF!</v>
      </c>
      <c r="HY315" t="e">
        <f>AND(#REF!,"AAAAADvpy+g=")</f>
        <v>#REF!</v>
      </c>
      <c r="HZ315" t="e">
        <f>AND(#REF!,"AAAAADvpy+k=")</f>
        <v>#REF!</v>
      </c>
      <c r="IA315" t="e">
        <f>AND(#REF!,"AAAAADvpy+o=")</f>
        <v>#REF!</v>
      </c>
      <c r="IB315" t="e">
        <f>AND(#REF!,"AAAAADvpy+s=")</f>
        <v>#REF!</v>
      </c>
      <c r="IC315" t="e">
        <f>AND(#REF!,"AAAAADvpy+w=")</f>
        <v>#REF!</v>
      </c>
      <c r="ID315" t="e">
        <f>AND(#REF!,"AAAAADvpy+0=")</f>
        <v>#REF!</v>
      </c>
      <c r="IE315" t="e">
        <f>AND(#REF!,"AAAAADvpy+4=")</f>
        <v>#REF!</v>
      </c>
      <c r="IF315" t="e">
        <f>AND(#REF!,"AAAAADvpy+8=")</f>
        <v>#REF!</v>
      </c>
      <c r="IG315" t="e">
        <f>AND(#REF!,"AAAAADvpy/A=")</f>
        <v>#REF!</v>
      </c>
      <c r="IH315" t="e">
        <f>AND(#REF!,"AAAAADvpy/E=")</f>
        <v>#REF!</v>
      </c>
      <c r="II315" t="e">
        <f>IF(#REF!,"AAAAADvpy/I=",0)</f>
        <v>#REF!</v>
      </c>
      <c r="IJ315" t="e">
        <f>AND(#REF!,"AAAAADvpy/M=")</f>
        <v>#REF!</v>
      </c>
      <c r="IK315" t="e">
        <f>AND(#REF!,"AAAAADvpy/Q=")</f>
        <v>#REF!</v>
      </c>
      <c r="IL315" t="e">
        <f>AND(#REF!,"AAAAADvpy/U=")</f>
        <v>#REF!</v>
      </c>
      <c r="IM315" t="e">
        <f>AND(#REF!,"AAAAADvpy/Y=")</f>
        <v>#REF!</v>
      </c>
      <c r="IN315" t="e">
        <f>AND(#REF!,"AAAAADvpy/c=")</f>
        <v>#REF!</v>
      </c>
      <c r="IO315" t="e">
        <f>AND(#REF!,"AAAAADvpy/g=")</f>
        <v>#REF!</v>
      </c>
      <c r="IP315" t="e">
        <f>AND(#REF!,"AAAAADvpy/k=")</f>
        <v>#REF!</v>
      </c>
      <c r="IQ315" t="e">
        <f>AND(#REF!,"AAAAADvpy/o=")</f>
        <v>#REF!</v>
      </c>
      <c r="IR315" t="e">
        <f>AND(#REF!,"AAAAADvpy/s=")</f>
        <v>#REF!</v>
      </c>
      <c r="IS315" t="e">
        <f>AND(#REF!,"AAAAADvpy/w=")</f>
        <v>#REF!</v>
      </c>
      <c r="IT315" t="e">
        <f>IF(#REF!,"AAAAADvpy/0=",0)</f>
        <v>#REF!</v>
      </c>
      <c r="IU315" t="e">
        <f>AND(#REF!,"AAAAADvpy/4=")</f>
        <v>#REF!</v>
      </c>
      <c r="IV315" t="e">
        <f>AND(#REF!,"AAAAADvpy/8=")</f>
        <v>#REF!</v>
      </c>
    </row>
    <row r="316" spans="1:256" x14ac:dyDescent="0.25">
      <c r="A316" t="e">
        <f>AND(#REF!,"AAAAAC31GwA=")</f>
        <v>#REF!</v>
      </c>
      <c r="B316" t="e">
        <f>AND(#REF!,"AAAAAC31GwE=")</f>
        <v>#REF!</v>
      </c>
      <c r="C316" t="e">
        <f>AND(#REF!,"AAAAAC31GwI=")</f>
        <v>#REF!</v>
      </c>
      <c r="D316" t="e">
        <f>AND(#REF!,"AAAAAC31GwM=")</f>
        <v>#REF!</v>
      </c>
      <c r="E316" t="e">
        <f>AND(#REF!,"AAAAAC31GwQ=")</f>
        <v>#REF!</v>
      </c>
      <c r="F316" t="e">
        <f>AND(#REF!,"AAAAAC31GwU=")</f>
        <v>#REF!</v>
      </c>
      <c r="G316" t="e">
        <f>AND(#REF!,"AAAAAC31GwY=")</f>
        <v>#REF!</v>
      </c>
      <c r="H316" t="e">
        <f>AND(#REF!,"AAAAAC31Gwc=")</f>
        <v>#REF!</v>
      </c>
      <c r="I316" t="e">
        <f>IF(#REF!,"AAAAAC31Gwg=",0)</f>
        <v>#REF!</v>
      </c>
      <c r="J316" t="e">
        <f>AND(#REF!,"AAAAAC31Gwk=")</f>
        <v>#REF!</v>
      </c>
      <c r="K316" t="e">
        <f>AND(#REF!,"AAAAAC31Gwo=")</f>
        <v>#REF!</v>
      </c>
      <c r="L316" t="e">
        <f>AND(#REF!,"AAAAAC31Gws=")</f>
        <v>#REF!</v>
      </c>
      <c r="M316" t="e">
        <f>AND(#REF!,"AAAAAC31Gww=")</f>
        <v>#REF!</v>
      </c>
      <c r="N316" t="e">
        <f>AND(#REF!,"AAAAAC31Gw0=")</f>
        <v>#REF!</v>
      </c>
      <c r="O316" t="e">
        <f>AND(#REF!,"AAAAAC31Gw4=")</f>
        <v>#REF!</v>
      </c>
      <c r="P316" t="e">
        <f>AND(#REF!,"AAAAAC31Gw8=")</f>
        <v>#REF!</v>
      </c>
      <c r="Q316" t="e">
        <f>AND(#REF!,"AAAAAC31GxA=")</f>
        <v>#REF!</v>
      </c>
      <c r="R316" t="e">
        <f>AND(#REF!,"AAAAAC31GxE=")</f>
        <v>#REF!</v>
      </c>
      <c r="S316" t="e">
        <f>AND(#REF!,"AAAAAC31GxI=")</f>
        <v>#REF!</v>
      </c>
      <c r="T316" t="e">
        <f>IF(#REF!,"AAAAAC31GxM=",0)</f>
        <v>#REF!</v>
      </c>
      <c r="U316" t="e">
        <f>AND(#REF!,"AAAAAC31GxQ=")</f>
        <v>#REF!</v>
      </c>
      <c r="V316" t="e">
        <f>AND(#REF!,"AAAAAC31GxU=")</f>
        <v>#REF!</v>
      </c>
      <c r="W316" t="e">
        <f>AND(#REF!,"AAAAAC31GxY=")</f>
        <v>#REF!</v>
      </c>
      <c r="X316" t="e">
        <f>AND(#REF!,"AAAAAC31Gxc=")</f>
        <v>#REF!</v>
      </c>
      <c r="Y316" t="e">
        <f>AND(#REF!,"AAAAAC31Gxg=")</f>
        <v>#REF!</v>
      </c>
      <c r="Z316" t="e">
        <f>AND(#REF!,"AAAAAC31Gxk=")</f>
        <v>#REF!</v>
      </c>
      <c r="AA316" t="e">
        <f>AND(#REF!,"AAAAAC31Gxo=")</f>
        <v>#REF!</v>
      </c>
      <c r="AB316" t="e">
        <f>AND(#REF!,"AAAAAC31Gxs=")</f>
        <v>#REF!</v>
      </c>
      <c r="AC316" t="e">
        <f>AND(#REF!,"AAAAAC31Gxw=")</f>
        <v>#REF!</v>
      </c>
      <c r="AD316" t="e">
        <f>AND(#REF!,"AAAAAC31Gx0=")</f>
        <v>#REF!</v>
      </c>
      <c r="AE316" t="e">
        <f>IF(#REF!,"AAAAAC31Gx4=",0)</f>
        <v>#REF!</v>
      </c>
      <c r="AF316" t="e">
        <f>AND(#REF!,"AAAAAC31Gx8=")</f>
        <v>#REF!</v>
      </c>
      <c r="AG316" t="e">
        <f>AND(#REF!,"AAAAAC31GyA=")</f>
        <v>#REF!</v>
      </c>
      <c r="AH316" t="e">
        <f>AND(#REF!,"AAAAAC31GyE=")</f>
        <v>#REF!</v>
      </c>
      <c r="AI316" t="e">
        <f>AND(#REF!,"AAAAAC31GyI=")</f>
        <v>#REF!</v>
      </c>
      <c r="AJ316" t="e">
        <f>AND(#REF!,"AAAAAC31GyM=")</f>
        <v>#REF!</v>
      </c>
      <c r="AK316" t="e">
        <f>AND(#REF!,"AAAAAC31GyQ=")</f>
        <v>#REF!</v>
      </c>
      <c r="AL316" t="e">
        <f>AND(#REF!,"AAAAAC31GyU=")</f>
        <v>#REF!</v>
      </c>
      <c r="AM316" t="e">
        <f>AND(#REF!,"AAAAAC31GyY=")</f>
        <v>#REF!</v>
      </c>
      <c r="AN316" t="e">
        <f>AND(#REF!,"AAAAAC31Gyc=")</f>
        <v>#REF!</v>
      </c>
      <c r="AO316" t="e">
        <f>AND(#REF!,"AAAAAC31Gyg=")</f>
        <v>#REF!</v>
      </c>
      <c r="AP316" t="e">
        <f>IF(#REF!,"AAAAAC31Gyk=",0)</f>
        <v>#REF!</v>
      </c>
      <c r="AQ316" t="e">
        <f>AND(#REF!,"AAAAAC31Gyo=")</f>
        <v>#REF!</v>
      </c>
      <c r="AR316" t="e">
        <f>AND(#REF!,"AAAAAC31Gys=")</f>
        <v>#REF!</v>
      </c>
      <c r="AS316" t="e">
        <f>AND(#REF!,"AAAAAC31Gyw=")</f>
        <v>#REF!</v>
      </c>
      <c r="AT316" t="e">
        <f>AND(#REF!,"AAAAAC31Gy0=")</f>
        <v>#REF!</v>
      </c>
      <c r="AU316" t="e">
        <f>AND(#REF!,"AAAAAC31Gy4=")</f>
        <v>#REF!</v>
      </c>
      <c r="AV316" t="e">
        <f>AND(#REF!,"AAAAAC31Gy8=")</f>
        <v>#REF!</v>
      </c>
      <c r="AW316" t="e">
        <f>AND(#REF!,"AAAAAC31GzA=")</f>
        <v>#REF!</v>
      </c>
      <c r="AX316" t="e">
        <f>AND(#REF!,"AAAAAC31GzE=")</f>
        <v>#REF!</v>
      </c>
      <c r="AY316" t="e">
        <f>AND(#REF!,"AAAAAC31GzI=")</f>
        <v>#REF!</v>
      </c>
      <c r="AZ316" t="e">
        <f>AND(#REF!,"AAAAAC31GzM=")</f>
        <v>#REF!</v>
      </c>
      <c r="BA316" t="e">
        <f>IF(#REF!,"AAAAAC31GzQ=",0)</f>
        <v>#REF!</v>
      </c>
      <c r="BB316" t="e">
        <f>AND(#REF!,"AAAAAC31GzU=")</f>
        <v>#REF!</v>
      </c>
      <c r="BC316" t="e">
        <f>AND(#REF!,"AAAAAC31GzY=")</f>
        <v>#REF!</v>
      </c>
      <c r="BD316" t="e">
        <f>AND(#REF!,"AAAAAC31Gzc=")</f>
        <v>#REF!</v>
      </c>
      <c r="BE316" t="e">
        <f>AND(#REF!,"AAAAAC31Gzg=")</f>
        <v>#REF!</v>
      </c>
      <c r="BF316" t="e">
        <f>AND(#REF!,"AAAAAC31Gzk=")</f>
        <v>#REF!</v>
      </c>
      <c r="BG316" t="e">
        <f>AND(#REF!,"AAAAAC31Gzo=")</f>
        <v>#REF!</v>
      </c>
      <c r="BH316" t="e">
        <f>AND(#REF!,"AAAAAC31Gzs=")</f>
        <v>#REF!</v>
      </c>
      <c r="BI316" t="e">
        <f>AND(#REF!,"AAAAAC31Gzw=")</f>
        <v>#REF!</v>
      </c>
      <c r="BJ316" t="e">
        <f>AND(#REF!,"AAAAAC31Gz0=")</f>
        <v>#REF!</v>
      </c>
      <c r="BK316" t="e">
        <f>AND(#REF!,"AAAAAC31Gz4=")</f>
        <v>#REF!</v>
      </c>
      <c r="BL316" t="e">
        <f>IF(#REF!,"AAAAAC31Gz8=",0)</f>
        <v>#REF!</v>
      </c>
      <c r="BM316" t="e">
        <f>AND(#REF!,"AAAAAC31G0A=")</f>
        <v>#REF!</v>
      </c>
      <c r="BN316" t="e">
        <f>AND(#REF!,"AAAAAC31G0E=")</f>
        <v>#REF!</v>
      </c>
      <c r="BO316" t="e">
        <f>AND(#REF!,"AAAAAC31G0I=")</f>
        <v>#REF!</v>
      </c>
      <c r="BP316" t="e">
        <f>AND(#REF!,"AAAAAC31G0M=")</f>
        <v>#REF!</v>
      </c>
      <c r="BQ316" t="e">
        <f>AND(#REF!,"AAAAAC31G0Q=")</f>
        <v>#REF!</v>
      </c>
      <c r="BR316" t="e">
        <f>AND(#REF!,"AAAAAC31G0U=")</f>
        <v>#REF!</v>
      </c>
      <c r="BS316" t="e">
        <f>AND(#REF!,"AAAAAC31G0Y=")</f>
        <v>#REF!</v>
      </c>
      <c r="BT316" t="e">
        <f>AND(#REF!,"AAAAAC31G0c=")</f>
        <v>#REF!</v>
      </c>
      <c r="BU316" t="e">
        <f>AND(#REF!,"AAAAAC31G0g=")</f>
        <v>#REF!</v>
      </c>
      <c r="BV316" t="e">
        <f>AND(#REF!,"AAAAAC31G0k=")</f>
        <v>#REF!</v>
      </c>
      <c r="BW316" t="e">
        <f>IF(#REF!,"AAAAAC31G0o=",0)</f>
        <v>#REF!</v>
      </c>
      <c r="BX316" t="e">
        <f>AND(#REF!,"AAAAAC31G0s=")</f>
        <v>#REF!</v>
      </c>
      <c r="BY316" t="e">
        <f>AND(#REF!,"AAAAAC31G0w=")</f>
        <v>#REF!</v>
      </c>
      <c r="BZ316" t="e">
        <f>AND(#REF!,"AAAAAC31G00=")</f>
        <v>#REF!</v>
      </c>
      <c r="CA316" t="e">
        <f>AND(#REF!,"AAAAAC31G04=")</f>
        <v>#REF!</v>
      </c>
      <c r="CB316" t="e">
        <f>AND(#REF!,"AAAAAC31G08=")</f>
        <v>#REF!</v>
      </c>
      <c r="CC316" t="e">
        <f>AND(#REF!,"AAAAAC31G1A=")</f>
        <v>#REF!</v>
      </c>
      <c r="CD316" t="e">
        <f>AND(#REF!,"AAAAAC31G1E=")</f>
        <v>#REF!</v>
      </c>
      <c r="CE316" t="e">
        <f>AND(#REF!,"AAAAAC31G1I=")</f>
        <v>#REF!</v>
      </c>
      <c r="CF316" t="e">
        <f>AND(#REF!,"AAAAAC31G1M=")</f>
        <v>#REF!</v>
      </c>
      <c r="CG316" t="e">
        <f>AND(#REF!,"AAAAAC31G1Q=")</f>
        <v>#REF!</v>
      </c>
      <c r="CH316" t="e">
        <f>IF(#REF!,"AAAAAC31G1U=",0)</f>
        <v>#REF!</v>
      </c>
      <c r="CI316" t="e">
        <f>AND(#REF!,"AAAAAC31G1Y=")</f>
        <v>#REF!</v>
      </c>
      <c r="CJ316" t="e">
        <f>AND(#REF!,"AAAAAC31G1c=")</f>
        <v>#REF!</v>
      </c>
      <c r="CK316" t="e">
        <f>AND(#REF!,"AAAAAC31G1g=")</f>
        <v>#REF!</v>
      </c>
      <c r="CL316" t="e">
        <f>AND(#REF!,"AAAAAC31G1k=")</f>
        <v>#REF!</v>
      </c>
      <c r="CM316" t="e">
        <f>AND(#REF!,"AAAAAC31G1o=")</f>
        <v>#REF!</v>
      </c>
      <c r="CN316" t="e">
        <f>AND(#REF!,"AAAAAC31G1s=")</f>
        <v>#REF!</v>
      </c>
      <c r="CO316" t="e">
        <f>AND(#REF!,"AAAAAC31G1w=")</f>
        <v>#REF!</v>
      </c>
      <c r="CP316" t="e">
        <f>AND(#REF!,"AAAAAC31G10=")</f>
        <v>#REF!</v>
      </c>
      <c r="CQ316" t="e">
        <f>AND(#REF!,"AAAAAC31G14=")</f>
        <v>#REF!</v>
      </c>
      <c r="CR316" t="e">
        <f>AND(#REF!,"AAAAAC31G18=")</f>
        <v>#REF!</v>
      </c>
      <c r="CS316" t="e">
        <f>IF(#REF!,"AAAAAC31G2A=",0)</f>
        <v>#REF!</v>
      </c>
      <c r="CT316" t="e">
        <f>AND(#REF!,"AAAAAC31G2E=")</f>
        <v>#REF!</v>
      </c>
      <c r="CU316" t="e">
        <f>AND(#REF!,"AAAAAC31G2I=")</f>
        <v>#REF!</v>
      </c>
      <c r="CV316" t="e">
        <f>AND(#REF!,"AAAAAC31G2M=")</f>
        <v>#REF!</v>
      </c>
      <c r="CW316" t="e">
        <f>AND(#REF!,"AAAAAC31G2Q=")</f>
        <v>#REF!</v>
      </c>
      <c r="CX316" t="e">
        <f>AND(#REF!,"AAAAAC31G2U=")</f>
        <v>#REF!</v>
      </c>
      <c r="CY316" t="e">
        <f>AND(#REF!,"AAAAAC31G2Y=")</f>
        <v>#REF!</v>
      </c>
      <c r="CZ316" t="e">
        <f>AND(#REF!,"AAAAAC31G2c=")</f>
        <v>#REF!</v>
      </c>
      <c r="DA316" t="e">
        <f>AND(#REF!,"AAAAAC31G2g=")</f>
        <v>#REF!</v>
      </c>
      <c r="DB316" t="e">
        <f>AND(#REF!,"AAAAAC31G2k=")</f>
        <v>#REF!</v>
      </c>
      <c r="DC316" t="e">
        <f>AND(#REF!,"AAAAAC31G2o=")</f>
        <v>#REF!</v>
      </c>
      <c r="DD316" t="e">
        <f>IF(#REF!,"AAAAAC31G2s=",0)</f>
        <v>#REF!</v>
      </c>
      <c r="DE316" t="e">
        <f>AND(#REF!,"AAAAAC31G2w=")</f>
        <v>#REF!</v>
      </c>
      <c r="DF316" t="e">
        <f>AND(#REF!,"AAAAAC31G20=")</f>
        <v>#REF!</v>
      </c>
      <c r="DG316" t="e">
        <f>AND(#REF!,"AAAAAC31G24=")</f>
        <v>#REF!</v>
      </c>
      <c r="DH316" t="e">
        <f>AND(#REF!,"AAAAAC31G28=")</f>
        <v>#REF!</v>
      </c>
      <c r="DI316" t="e">
        <f>AND(#REF!,"AAAAAC31G3A=")</f>
        <v>#REF!</v>
      </c>
      <c r="DJ316" t="e">
        <f>AND(#REF!,"AAAAAC31G3E=")</f>
        <v>#REF!</v>
      </c>
      <c r="DK316" t="e">
        <f>AND(#REF!,"AAAAAC31G3I=")</f>
        <v>#REF!</v>
      </c>
      <c r="DL316" t="e">
        <f>AND(#REF!,"AAAAAC31G3M=")</f>
        <v>#REF!</v>
      </c>
      <c r="DM316" t="e">
        <f>AND(#REF!,"AAAAAC31G3Q=")</f>
        <v>#REF!</v>
      </c>
      <c r="DN316" t="e">
        <f>AND(#REF!,"AAAAAC31G3U=")</f>
        <v>#REF!</v>
      </c>
      <c r="DO316" t="e">
        <f>IF(#REF!,"AAAAAC31G3Y=",0)</f>
        <v>#REF!</v>
      </c>
      <c r="DP316" t="e">
        <f>AND(#REF!,"AAAAAC31G3c=")</f>
        <v>#REF!</v>
      </c>
      <c r="DQ316" t="e">
        <f>AND(#REF!,"AAAAAC31G3g=")</f>
        <v>#REF!</v>
      </c>
      <c r="DR316" t="e">
        <f>AND(#REF!,"AAAAAC31G3k=")</f>
        <v>#REF!</v>
      </c>
      <c r="DS316" t="e">
        <f>AND(#REF!,"AAAAAC31G3o=")</f>
        <v>#REF!</v>
      </c>
      <c r="DT316" t="e">
        <f>AND(#REF!,"AAAAAC31G3s=")</f>
        <v>#REF!</v>
      </c>
      <c r="DU316" t="e">
        <f>AND(#REF!,"AAAAAC31G3w=")</f>
        <v>#REF!</v>
      </c>
      <c r="DV316" t="e">
        <f>AND(#REF!,"AAAAAC31G30=")</f>
        <v>#REF!</v>
      </c>
      <c r="DW316" t="e">
        <f>AND(#REF!,"AAAAAC31G34=")</f>
        <v>#REF!</v>
      </c>
      <c r="DX316" t="e">
        <f>AND(#REF!,"AAAAAC31G38=")</f>
        <v>#REF!</v>
      </c>
      <c r="DY316" t="e">
        <f>AND(#REF!,"AAAAAC31G4A=")</f>
        <v>#REF!</v>
      </c>
      <c r="DZ316" t="e">
        <f>IF(#REF!,"AAAAAC31G4E=",0)</f>
        <v>#REF!</v>
      </c>
      <c r="EA316" t="e">
        <f>AND(#REF!,"AAAAAC31G4I=")</f>
        <v>#REF!</v>
      </c>
      <c r="EB316" t="e">
        <f>AND(#REF!,"AAAAAC31G4M=")</f>
        <v>#REF!</v>
      </c>
      <c r="EC316" t="e">
        <f>AND(#REF!,"AAAAAC31G4Q=")</f>
        <v>#REF!</v>
      </c>
      <c r="ED316" t="e">
        <f>AND(#REF!,"AAAAAC31G4U=")</f>
        <v>#REF!</v>
      </c>
      <c r="EE316" t="e">
        <f>AND(#REF!,"AAAAAC31G4Y=")</f>
        <v>#REF!</v>
      </c>
      <c r="EF316" t="e">
        <f>AND(#REF!,"AAAAAC31G4c=")</f>
        <v>#REF!</v>
      </c>
      <c r="EG316" t="e">
        <f>AND(#REF!,"AAAAAC31G4g=")</f>
        <v>#REF!</v>
      </c>
      <c r="EH316" t="e">
        <f>AND(#REF!,"AAAAAC31G4k=")</f>
        <v>#REF!</v>
      </c>
      <c r="EI316" t="e">
        <f>AND(#REF!,"AAAAAC31G4o=")</f>
        <v>#REF!</v>
      </c>
      <c r="EJ316" t="e">
        <f>AND(#REF!,"AAAAAC31G4s=")</f>
        <v>#REF!</v>
      </c>
      <c r="EK316" t="e">
        <f>IF(#REF!,"AAAAAC31G4w=",0)</f>
        <v>#REF!</v>
      </c>
      <c r="EL316" t="e">
        <f>AND(#REF!,"AAAAAC31G40=")</f>
        <v>#REF!</v>
      </c>
      <c r="EM316" t="e">
        <f>AND(#REF!,"AAAAAC31G44=")</f>
        <v>#REF!</v>
      </c>
      <c r="EN316" t="e">
        <f>AND(#REF!,"AAAAAC31G48=")</f>
        <v>#REF!</v>
      </c>
      <c r="EO316" t="e">
        <f>AND(#REF!,"AAAAAC31G5A=")</f>
        <v>#REF!</v>
      </c>
      <c r="EP316" t="e">
        <f>AND(#REF!,"AAAAAC31G5E=")</f>
        <v>#REF!</v>
      </c>
      <c r="EQ316" t="e">
        <f>AND(#REF!,"AAAAAC31G5I=")</f>
        <v>#REF!</v>
      </c>
      <c r="ER316" t="e">
        <f>AND(#REF!,"AAAAAC31G5M=")</f>
        <v>#REF!</v>
      </c>
      <c r="ES316" t="e">
        <f>AND(#REF!,"AAAAAC31G5Q=")</f>
        <v>#REF!</v>
      </c>
      <c r="ET316" t="e">
        <f>AND(#REF!,"AAAAAC31G5U=")</f>
        <v>#REF!</v>
      </c>
      <c r="EU316" t="e">
        <f>AND(#REF!,"AAAAAC31G5Y=")</f>
        <v>#REF!</v>
      </c>
      <c r="EV316" t="e">
        <f>IF(#REF!,"AAAAAC31G5c=",0)</f>
        <v>#REF!</v>
      </c>
      <c r="EW316" t="e">
        <f>AND(#REF!,"AAAAAC31G5g=")</f>
        <v>#REF!</v>
      </c>
      <c r="EX316" t="e">
        <f>AND(#REF!,"AAAAAC31G5k=")</f>
        <v>#REF!</v>
      </c>
      <c r="EY316" t="e">
        <f>AND(#REF!,"AAAAAC31G5o=")</f>
        <v>#REF!</v>
      </c>
      <c r="EZ316" t="e">
        <f>AND(#REF!,"AAAAAC31G5s=")</f>
        <v>#REF!</v>
      </c>
      <c r="FA316" t="e">
        <f>AND(#REF!,"AAAAAC31G5w=")</f>
        <v>#REF!</v>
      </c>
      <c r="FB316" t="e">
        <f>AND(#REF!,"AAAAAC31G50=")</f>
        <v>#REF!</v>
      </c>
      <c r="FC316" t="e">
        <f>AND(#REF!,"AAAAAC31G54=")</f>
        <v>#REF!</v>
      </c>
      <c r="FD316" t="e">
        <f>AND(#REF!,"AAAAAC31G58=")</f>
        <v>#REF!</v>
      </c>
      <c r="FE316" t="e">
        <f>AND(#REF!,"AAAAAC31G6A=")</f>
        <v>#REF!</v>
      </c>
      <c r="FF316" t="e">
        <f>AND(#REF!,"AAAAAC31G6E=")</f>
        <v>#REF!</v>
      </c>
      <c r="FG316" t="e">
        <f>IF(#REF!,"AAAAAC31G6I=",0)</f>
        <v>#REF!</v>
      </c>
      <c r="FH316" t="e">
        <f>AND(#REF!,"AAAAAC31G6M=")</f>
        <v>#REF!</v>
      </c>
      <c r="FI316" t="e">
        <f>AND(#REF!,"AAAAAC31G6Q=")</f>
        <v>#REF!</v>
      </c>
      <c r="FJ316" t="e">
        <f>AND(#REF!,"AAAAAC31G6U=")</f>
        <v>#REF!</v>
      </c>
      <c r="FK316" t="e">
        <f>AND(#REF!,"AAAAAC31G6Y=")</f>
        <v>#REF!</v>
      </c>
      <c r="FL316" t="e">
        <f>AND(#REF!,"AAAAAC31G6c=")</f>
        <v>#REF!</v>
      </c>
      <c r="FM316" t="e">
        <f>AND(#REF!,"AAAAAC31G6g=")</f>
        <v>#REF!</v>
      </c>
      <c r="FN316" t="e">
        <f>AND(#REF!,"AAAAAC31G6k=")</f>
        <v>#REF!</v>
      </c>
      <c r="FO316" t="e">
        <f>AND(#REF!,"AAAAAC31G6o=")</f>
        <v>#REF!</v>
      </c>
      <c r="FP316" t="e">
        <f>AND(#REF!,"AAAAAC31G6s=")</f>
        <v>#REF!</v>
      </c>
      <c r="FQ316" t="e">
        <f>AND(#REF!,"AAAAAC31G6w=")</f>
        <v>#REF!</v>
      </c>
      <c r="FR316" t="e">
        <f>IF(#REF!,"AAAAAC31G60=",0)</f>
        <v>#REF!</v>
      </c>
      <c r="FS316" t="e">
        <f>AND(#REF!,"AAAAAC31G64=")</f>
        <v>#REF!</v>
      </c>
      <c r="FT316" t="e">
        <f>AND(#REF!,"AAAAAC31G68=")</f>
        <v>#REF!</v>
      </c>
      <c r="FU316" t="e">
        <f>AND(#REF!,"AAAAAC31G7A=")</f>
        <v>#REF!</v>
      </c>
      <c r="FV316" t="e">
        <f>AND(#REF!,"AAAAAC31G7E=")</f>
        <v>#REF!</v>
      </c>
      <c r="FW316" t="e">
        <f>AND(#REF!,"AAAAAC31G7I=")</f>
        <v>#REF!</v>
      </c>
      <c r="FX316" t="e">
        <f>AND(#REF!,"AAAAAC31G7M=")</f>
        <v>#REF!</v>
      </c>
      <c r="FY316" t="e">
        <f>AND(#REF!,"AAAAAC31G7Q=")</f>
        <v>#REF!</v>
      </c>
      <c r="FZ316" t="e">
        <f>AND(#REF!,"AAAAAC31G7U=")</f>
        <v>#REF!</v>
      </c>
      <c r="GA316" t="e">
        <f>AND(#REF!,"AAAAAC31G7Y=")</f>
        <v>#REF!</v>
      </c>
      <c r="GB316" t="e">
        <f>AND(#REF!,"AAAAAC31G7c=")</f>
        <v>#REF!</v>
      </c>
      <c r="GC316" t="e">
        <f>IF(#REF!,"AAAAAC31G7g=",0)</f>
        <v>#REF!</v>
      </c>
      <c r="GD316" t="e">
        <f>AND(#REF!,"AAAAAC31G7k=")</f>
        <v>#REF!</v>
      </c>
      <c r="GE316" t="e">
        <f>AND(#REF!,"AAAAAC31G7o=")</f>
        <v>#REF!</v>
      </c>
      <c r="GF316" t="e">
        <f>AND(#REF!,"AAAAAC31G7s=")</f>
        <v>#REF!</v>
      </c>
      <c r="GG316" t="e">
        <f>AND(#REF!,"AAAAAC31G7w=")</f>
        <v>#REF!</v>
      </c>
      <c r="GH316" t="e">
        <f>AND(#REF!,"AAAAAC31G70=")</f>
        <v>#REF!</v>
      </c>
      <c r="GI316" t="e">
        <f>AND(#REF!,"AAAAAC31G74=")</f>
        <v>#REF!</v>
      </c>
      <c r="GJ316" t="e">
        <f>AND(#REF!,"AAAAAC31G78=")</f>
        <v>#REF!</v>
      </c>
      <c r="GK316" t="e">
        <f>AND(#REF!,"AAAAAC31G8A=")</f>
        <v>#REF!</v>
      </c>
      <c r="GL316" t="e">
        <f>AND(#REF!,"AAAAAC31G8E=")</f>
        <v>#REF!</v>
      </c>
      <c r="GM316" t="e">
        <f>AND(#REF!,"AAAAAC31G8I=")</f>
        <v>#REF!</v>
      </c>
      <c r="GN316" t="e">
        <f>IF(#REF!,"AAAAAC31G8M=",0)</f>
        <v>#REF!</v>
      </c>
      <c r="GO316" t="e">
        <f>AND(#REF!,"AAAAAC31G8Q=")</f>
        <v>#REF!</v>
      </c>
      <c r="GP316" t="e">
        <f>AND(#REF!,"AAAAAC31G8U=")</f>
        <v>#REF!</v>
      </c>
      <c r="GQ316" t="e">
        <f>AND(#REF!,"AAAAAC31G8Y=")</f>
        <v>#REF!</v>
      </c>
      <c r="GR316" t="e">
        <f>AND(#REF!,"AAAAAC31G8c=")</f>
        <v>#REF!</v>
      </c>
      <c r="GS316" t="e">
        <f>AND(#REF!,"AAAAAC31G8g=")</f>
        <v>#REF!</v>
      </c>
      <c r="GT316" t="e">
        <f>AND(#REF!,"AAAAAC31G8k=")</f>
        <v>#REF!</v>
      </c>
      <c r="GU316" t="e">
        <f>AND(#REF!,"AAAAAC31G8o=")</f>
        <v>#REF!</v>
      </c>
      <c r="GV316" t="e">
        <f>AND(#REF!,"AAAAAC31G8s=")</f>
        <v>#REF!</v>
      </c>
      <c r="GW316" t="e">
        <f>AND(#REF!,"AAAAAC31G8w=")</f>
        <v>#REF!</v>
      </c>
      <c r="GX316" t="e">
        <f>AND(#REF!,"AAAAAC31G80=")</f>
        <v>#REF!</v>
      </c>
      <c r="GY316" t="e">
        <f>IF(#REF!,"AAAAAC31G84=",0)</f>
        <v>#REF!</v>
      </c>
      <c r="GZ316" t="e">
        <f>AND(#REF!,"AAAAAC31G88=")</f>
        <v>#REF!</v>
      </c>
      <c r="HA316" t="e">
        <f>AND(#REF!,"AAAAAC31G9A=")</f>
        <v>#REF!</v>
      </c>
      <c r="HB316" t="e">
        <f>AND(#REF!,"AAAAAC31G9E=")</f>
        <v>#REF!</v>
      </c>
      <c r="HC316" t="e">
        <f>AND(#REF!,"AAAAAC31G9I=")</f>
        <v>#REF!</v>
      </c>
      <c r="HD316" t="e">
        <f>AND(#REF!,"AAAAAC31G9M=")</f>
        <v>#REF!</v>
      </c>
      <c r="HE316" t="e">
        <f>AND(#REF!,"AAAAAC31G9Q=")</f>
        <v>#REF!</v>
      </c>
      <c r="HF316" t="e">
        <f>AND(#REF!,"AAAAAC31G9U=")</f>
        <v>#REF!</v>
      </c>
      <c r="HG316" t="e">
        <f>AND(#REF!,"AAAAAC31G9Y=")</f>
        <v>#REF!</v>
      </c>
      <c r="HH316" t="e">
        <f>AND(#REF!,"AAAAAC31G9c=")</f>
        <v>#REF!</v>
      </c>
      <c r="HI316" t="e">
        <f>AND(#REF!,"AAAAAC31G9g=")</f>
        <v>#REF!</v>
      </c>
      <c r="HJ316" t="e">
        <f>IF(#REF!,"AAAAAC31G9k=",0)</f>
        <v>#REF!</v>
      </c>
      <c r="HK316" t="e">
        <f>AND(#REF!,"AAAAAC31G9o=")</f>
        <v>#REF!</v>
      </c>
      <c r="HL316" t="e">
        <f>AND(#REF!,"AAAAAC31G9s=")</f>
        <v>#REF!</v>
      </c>
      <c r="HM316" t="e">
        <f>AND(#REF!,"AAAAAC31G9w=")</f>
        <v>#REF!</v>
      </c>
      <c r="HN316" t="e">
        <f>AND(#REF!,"AAAAAC31G90=")</f>
        <v>#REF!</v>
      </c>
      <c r="HO316" t="e">
        <f>AND(#REF!,"AAAAAC31G94=")</f>
        <v>#REF!</v>
      </c>
      <c r="HP316" t="e">
        <f>AND(#REF!,"AAAAAC31G98=")</f>
        <v>#REF!</v>
      </c>
      <c r="HQ316" t="e">
        <f>AND(#REF!,"AAAAAC31G+A=")</f>
        <v>#REF!</v>
      </c>
      <c r="HR316" t="e">
        <f>AND(#REF!,"AAAAAC31G+E=")</f>
        <v>#REF!</v>
      </c>
      <c r="HS316" t="e">
        <f>AND(#REF!,"AAAAAC31G+I=")</f>
        <v>#REF!</v>
      </c>
      <c r="HT316" t="e">
        <f>AND(#REF!,"AAAAAC31G+M=")</f>
        <v>#REF!</v>
      </c>
      <c r="HU316" t="e">
        <f>IF(#REF!,"AAAAAC31G+Q=",0)</f>
        <v>#REF!</v>
      </c>
      <c r="HV316" t="e">
        <f>AND(#REF!,"AAAAAC31G+U=")</f>
        <v>#REF!</v>
      </c>
      <c r="HW316" t="e">
        <f>AND(#REF!,"AAAAAC31G+Y=")</f>
        <v>#REF!</v>
      </c>
      <c r="HX316" t="e">
        <f>AND(#REF!,"AAAAAC31G+c=")</f>
        <v>#REF!</v>
      </c>
      <c r="HY316" t="e">
        <f>AND(#REF!,"AAAAAC31G+g=")</f>
        <v>#REF!</v>
      </c>
      <c r="HZ316" t="e">
        <f>AND(#REF!,"AAAAAC31G+k=")</f>
        <v>#REF!</v>
      </c>
      <c r="IA316" t="e">
        <f>AND(#REF!,"AAAAAC31G+o=")</f>
        <v>#REF!</v>
      </c>
      <c r="IB316" t="e">
        <f>AND(#REF!,"AAAAAC31G+s=")</f>
        <v>#REF!</v>
      </c>
      <c r="IC316" t="e">
        <f>AND(#REF!,"AAAAAC31G+w=")</f>
        <v>#REF!</v>
      </c>
      <c r="ID316" t="e">
        <f>AND(#REF!,"AAAAAC31G+0=")</f>
        <v>#REF!</v>
      </c>
      <c r="IE316" t="e">
        <f>AND(#REF!,"AAAAAC31G+4=")</f>
        <v>#REF!</v>
      </c>
      <c r="IF316" t="e">
        <f>IF(#REF!,"AAAAAC31G+8=",0)</f>
        <v>#REF!</v>
      </c>
      <c r="IG316" t="e">
        <f>AND(#REF!,"AAAAAC31G/A=")</f>
        <v>#REF!</v>
      </c>
      <c r="IH316" t="e">
        <f>AND(#REF!,"AAAAAC31G/E=")</f>
        <v>#REF!</v>
      </c>
      <c r="II316" t="e">
        <f>AND(#REF!,"AAAAAC31G/I=")</f>
        <v>#REF!</v>
      </c>
      <c r="IJ316" t="e">
        <f>AND(#REF!,"AAAAAC31G/M=")</f>
        <v>#REF!</v>
      </c>
      <c r="IK316" t="e">
        <f>AND(#REF!,"AAAAAC31G/Q=")</f>
        <v>#REF!</v>
      </c>
      <c r="IL316" t="e">
        <f>AND(#REF!,"AAAAAC31G/U=")</f>
        <v>#REF!</v>
      </c>
      <c r="IM316" t="e">
        <f>AND(#REF!,"AAAAAC31G/Y=")</f>
        <v>#REF!</v>
      </c>
      <c r="IN316" t="e">
        <f>AND(#REF!,"AAAAAC31G/c=")</f>
        <v>#REF!</v>
      </c>
      <c r="IO316" t="e">
        <f>AND(#REF!,"AAAAAC31G/g=")</f>
        <v>#REF!</v>
      </c>
      <c r="IP316" t="e">
        <f>AND(#REF!,"AAAAAC31G/k=")</f>
        <v>#REF!</v>
      </c>
      <c r="IQ316" t="e">
        <f>IF(#REF!,"AAAAAC31G/o=",0)</f>
        <v>#REF!</v>
      </c>
      <c r="IR316" t="e">
        <f>AND(#REF!,"AAAAAC31G/s=")</f>
        <v>#REF!</v>
      </c>
      <c r="IS316" t="e">
        <f>AND(#REF!,"AAAAAC31G/w=")</f>
        <v>#REF!</v>
      </c>
      <c r="IT316" t="e">
        <f>AND(#REF!,"AAAAAC31G/0=")</f>
        <v>#REF!</v>
      </c>
      <c r="IU316" t="e">
        <f>AND(#REF!,"AAAAAC31G/4=")</f>
        <v>#REF!</v>
      </c>
      <c r="IV316" t="e">
        <f>AND(#REF!,"AAAAAC31G/8=")</f>
        <v>#REF!</v>
      </c>
    </row>
    <row r="317" spans="1:256" x14ac:dyDescent="0.25">
      <c r="A317" t="e">
        <f>AND(#REF!,"AAAAAG9BpwA=")</f>
        <v>#REF!</v>
      </c>
      <c r="B317" t="e">
        <f>AND(#REF!,"AAAAAG9BpwE=")</f>
        <v>#REF!</v>
      </c>
      <c r="C317" t="e">
        <f>AND(#REF!,"AAAAAG9BpwI=")</f>
        <v>#REF!</v>
      </c>
      <c r="D317" t="e">
        <f>AND(#REF!,"AAAAAG9BpwM=")</f>
        <v>#REF!</v>
      </c>
      <c r="E317" t="e">
        <f>AND(#REF!,"AAAAAG9BpwQ=")</f>
        <v>#REF!</v>
      </c>
      <c r="F317" t="e">
        <f>IF(#REF!,"AAAAAG9BpwU=",0)</f>
        <v>#REF!</v>
      </c>
      <c r="G317" t="e">
        <f>AND(#REF!,"AAAAAG9BpwY=")</f>
        <v>#REF!</v>
      </c>
      <c r="H317" t="e">
        <f>AND(#REF!,"AAAAAG9Bpwc=")</f>
        <v>#REF!</v>
      </c>
      <c r="I317" t="e">
        <f>AND(#REF!,"AAAAAG9Bpwg=")</f>
        <v>#REF!</v>
      </c>
      <c r="J317" t="e">
        <f>AND(#REF!,"AAAAAG9Bpwk=")</f>
        <v>#REF!</v>
      </c>
      <c r="K317" t="e">
        <f>AND(#REF!,"AAAAAG9Bpwo=")</f>
        <v>#REF!</v>
      </c>
      <c r="L317" t="e">
        <f>AND(#REF!,"AAAAAG9Bpws=")</f>
        <v>#REF!</v>
      </c>
      <c r="M317" t="e">
        <f>AND(#REF!,"AAAAAG9Bpww=")</f>
        <v>#REF!</v>
      </c>
      <c r="N317" t="e">
        <f>AND(#REF!,"AAAAAG9Bpw0=")</f>
        <v>#REF!</v>
      </c>
      <c r="O317" t="e">
        <f>AND(#REF!,"AAAAAG9Bpw4=")</f>
        <v>#REF!</v>
      </c>
      <c r="P317" t="e">
        <f>AND(#REF!,"AAAAAG9Bpw8=")</f>
        <v>#REF!</v>
      </c>
      <c r="Q317" t="e">
        <f>IF(#REF!,"AAAAAG9BpxA=",0)</f>
        <v>#REF!</v>
      </c>
      <c r="R317" t="e">
        <f>AND(#REF!,"AAAAAG9BpxE=")</f>
        <v>#REF!</v>
      </c>
      <c r="S317" t="e">
        <f>AND(#REF!,"AAAAAG9BpxI=")</f>
        <v>#REF!</v>
      </c>
      <c r="T317" t="e">
        <f>AND(#REF!,"AAAAAG9BpxM=")</f>
        <v>#REF!</v>
      </c>
      <c r="U317" t="e">
        <f>AND(#REF!,"AAAAAG9BpxQ=")</f>
        <v>#REF!</v>
      </c>
      <c r="V317" t="e">
        <f>AND(#REF!,"AAAAAG9BpxU=")</f>
        <v>#REF!</v>
      </c>
      <c r="W317" t="e">
        <f>AND(#REF!,"AAAAAG9BpxY=")</f>
        <v>#REF!</v>
      </c>
      <c r="X317" t="e">
        <f>AND(#REF!,"AAAAAG9Bpxc=")</f>
        <v>#REF!</v>
      </c>
      <c r="Y317" t="e">
        <f>AND(#REF!,"AAAAAG9Bpxg=")</f>
        <v>#REF!</v>
      </c>
      <c r="Z317" t="e">
        <f>AND(#REF!,"AAAAAG9Bpxk=")</f>
        <v>#REF!</v>
      </c>
      <c r="AA317" t="e">
        <f>AND(#REF!,"AAAAAG9Bpxo=")</f>
        <v>#REF!</v>
      </c>
      <c r="AB317" t="e">
        <f>IF(#REF!,"AAAAAG9Bpxs=",0)</f>
        <v>#REF!</v>
      </c>
      <c r="AC317" t="e">
        <f>AND(#REF!,"AAAAAG9Bpxw=")</f>
        <v>#REF!</v>
      </c>
      <c r="AD317" t="e">
        <f>AND(#REF!,"AAAAAG9Bpx0=")</f>
        <v>#REF!</v>
      </c>
      <c r="AE317" t="e">
        <f>AND(#REF!,"AAAAAG9Bpx4=")</f>
        <v>#REF!</v>
      </c>
      <c r="AF317" t="e">
        <f>AND(#REF!,"AAAAAG9Bpx8=")</f>
        <v>#REF!</v>
      </c>
      <c r="AG317" t="e">
        <f>AND(#REF!,"AAAAAG9BpyA=")</f>
        <v>#REF!</v>
      </c>
      <c r="AH317" t="e">
        <f>AND(#REF!,"AAAAAG9BpyE=")</f>
        <v>#REF!</v>
      </c>
      <c r="AI317" t="e">
        <f>AND(#REF!,"AAAAAG9BpyI=")</f>
        <v>#REF!</v>
      </c>
      <c r="AJ317" t="e">
        <f>AND(#REF!,"AAAAAG9BpyM=")</f>
        <v>#REF!</v>
      </c>
      <c r="AK317" t="e">
        <f>AND(#REF!,"AAAAAG9BpyQ=")</f>
        <v>#REF!</v>
      </c>
      <c r="AL317" t="e">
        <f>AND(#REF!,"AAAAAG9BpyU=")</f>
        <v>#REF!</v>
      </c>
      <c r="AM317" t="e">
        <f>IF(#REF!,"AAAAAG9BpyY=",0)</f>
        <v>#REF!</v>
      </c>
      <c r="AN317" t="e">
        <f>AND(#REF!,"AAAAAG9Bpyc=")</f>
        <v>#REF!</v>
      </c>
      <c r="AO317" t="e">
        <f>AND(#REF!,"AAAAAG9Bpyg=")</f>
        <v>#REF!</v>
      </c>
      <c r="AP317" t="e">
        <f>AND(#REF!,"AAAAAG9Bpyk=")</f>
        <v>#REF!</v>
      </c>
      <c r="AQ317" t="e">
        <f>AND(#REF!,"AAAAAG9Bpyo=")</f>
        <v>#REF!</v>
      </c>
      <c r="AR317" t="e">
        <f>AND(#REF!,"AAAAAG9Bpys=")</f>
        <v>#REF!</v>
      </c>
      <c r="AS317" t="e">
        <f>AND(#REF!,"AAAAAG9Bpyw=")</f>
        <v>#REF!</v>
      </c>
      <c r="AT317" t="e">
        <f>AND(#REF!,"AAAAAG9Bpy0=")</f>
        <v>#REF!</v>
      </c>
      <c r="AU317" t="e">
        <f>AND(#REF!,"AAAAAG9Bpy4=")</f>
        <v>#REF!</v>
      </c>
      <c r="AV317" t="e">
        <f>AND(#REF!,"AAAAAG9Bpy8=")</f>
        <v>#REF!</v>
      </c>
      <c r="AW317" t="e">
        <f>AND(#REF!,"AAAAAG9BpzA=")</f>
        <v>#REF!</v>
      </c>
      <c r="AX317" t="e">
        <f>IF(#REF!,"AAAAAG9BpzE=",0)</f>
        <v>#REF!</v>
      </c>
      <c r="AY317" t="e">
        <f>AND(#REF!,"AAAAAG9BpzI=")</f>
        <v>#REF!</v>
      </c>
      <c r="AZ317" t="e">
        <f>AND(#REF!,"AAAAAG9BpzM=")</f>
        <v>#REF!</v>
      </c>
      <c r="BA317" t="e">
        <f>AND(#REF!,"AAAAAG9BpzQ=")</f>
        <v>#REF!</v>
      </c>
      <c r="BB317" t="e">
        <f>AND(#REF!,"AAAAAG9BpzU=")</f>
        <v>#REF!</v>
      </c>
      <c r="BC317" t="e">
        <f>AND(#REF!,"AAAAAG9BpzY=")</f>
        <v>#REF!</v>
      </c>
      <c r="BD317" t="e">
        <f>AND(#REF!,"AAAAAG9Bpzc=")</f>
        <v>#REF!</v>
      </c>
      <c r="BE317" t="e">
        <f>AND(#REF!,"AAAAAG9Bpzg=")</f>
        <v>#REF!</v>
      </c>
      <c r="BF317" t="e">
        <f>AND(#REF!,"AAAAAG9Bpzk=")</f>
        <v>#REF!</v>
      </c>
      <c r="BG317" t="e">
        <f>AND(#REF!,"AAAAAG9Bpzo=")</f>
        <v>#REF!</v>
      </c>
      <c r="BH317" t="e">
        <f>AND(#REF!,"AAAAAG9Bpzs=")</f>
        <v>#REF!</v>
      </c>
      <c r="BI317" t="e">
        <f>IF(#REF!,"AAAAAG9Bpzw=",0)</f>
        <v>#REF!</v>
      </c>
      <c r="BJ317" t="e">
        <f>AND(#REF!,"AAAAAG9Bpz0=")</f>
        <v>#REF!</v>
      </c>
      <c r="BK317" t="e">
        <f>AND(#REF!,"AAAAAG9Bpz4=")</f>
        <v>#REF!</v>
      </c>
      <c r="BL317" t="e">
        <f>AND(#REF!,"AAAAAG9Bpz8=")</f>
        <v>#REF!</v>
      </c>
      <c r="BM317" t="e">
        <f>AND(#REF!,"AAAAAG9Bp0A=")</f>
        <v>#REF!</v>
      </c>
      <c r="BN317" t="e">
        <f>AND(#REF!,"AAAAAG9Bp0E=")</f>
        <v>#REF!</v>
      </c>
      <c r="BO317" t="e">
        <f>AND(#REF!,"AAAAAG9Bp0I=")</f>
        <v>#REF!</v>
      </c>
      <c r="BP317" t="e">
        <f>AND(#REF!,"AAAAAG9Bp0M=")</f>
        <v>#REF!</v>
      </c>
      <c r="BQ317" t="e">
        <f>AND(#REF!,"AAAAAG9Bp0Q=")</f>
        <v>#REF!</v>
      </c>
      <c r="BR317" t="e">
        <f>AND(#REF!,"AAAAAG9Bp0U=")</f>
        <v>#REF!</v>
      </c>
      <c r="BS317" t="e">
        <f>AND(#REF!,"AAAAAG9Bp0Y=")</f>
        <v>#REF!</v>
      </c>
      <c r="BT317" t="e">
        <f>IF(#REF!,"AAAAAG9Bp0c=",0)</f>
        <v>#REF!</v>
      </c>
      <c r="BU317" t="e">
        <f>AND(#REF!,"AAAAAG9Bp0g=")</f>
        <v>#REF!</v>
      </c>
      <c r="BV317" t="e">
        <f>AND(#REF!,"AAAAAG9Bp0k=")</f>
        <v>#REF!</v>
      </c>
      <c r="BW317" t="e">
        <f>AND(#REF!,"AAAAAG9Bp0o=")</f>
        <v>#REF!</v>
      </c>
      <c r="BX317" t="e">
        <f>AND(#REF!,"AAAAAG9Bp0s=")</f>
        <v>#REF!</v>
      </c>
      <c r="BY317" t="e">
        <f>AND(#REF!,"AAAAAG9Bp0w=")</f>
        <v>#REF!</v>
      </c>
      <c r="BZ317" t="e">
        <f>AND(#REF!,"AAAAAG9Bp00=")</f>
        <v>#REF!</v>
      </c>
      <c r="CA317" t="e">
        <f>AND(#REF!,"AAAAAG9Bp04=")</f>
        <v>#REF!</v>
      </c>
      <c r="CB317" t="e">
        <f>AND(#REF!,"AAAAAG9Bp08=")</f>
        <v>#REF!</v>
      </c>
      <c r="CC317" t="e">
        <f>AND(#REF!,"AAAAAG9Bp1A=")</f>
        <v>#REF!</v>
      </c>
      <c r="CD317" t="e">
        <f>AND(#REF!,"AAAAAG9Bp1E=")</f>
        <v>#REF!</v>
      </c>
      <c r="CE317" t="e">
        <f>IF(#REF!,"AAAAAG9Bp1I=",0)</f>
        <v>#REF!</v>
      </c>
      <c r="CF317" t="e">
        <f>AND(#REF!,"AAAAAG9Bp1M=")</f>
        <v>#REF!</v>
      </c>
      <c r="CG317" t="e">
        <f>AND(#REF!,"AAAAAG9Bp1Q=")</f>
        <v>#REF!</v>
      </c>
      <c r="CH317" t="e">
        <f>AND(#REF!,"AAAAAG9Bp1U=")</f>
        <v>#REF!</v>
      </c>
      <c r="CI317" t="e">
        <f>AND(#REF!,"AAAAAG9Bp1Y=")</f>
        <v>#REF!</v>
      </c>
      <c r="CJ317" t="e">
        <f>AND(#REF!,"AAAAAG9Bp1c=")</f>
        <v>#REF!</v>
      </c>
      <c r="CK317" t="e">
        <f>AND(#REF!,"AAAAAG9Bp1g=")</f>
        <v>#REF!</v>
      </c>
      <c r="CL317" t="e">
        <f>AND(#REF!,"AAAAAG9Bp1k=")</f>
        <v>#REF!</v>
      </c>
      <c r="CM317" t="e">
        <f>AND(#REF!,"AAAAAG9Bp1o=")</f>
        <v>#REF!</v>
      </c>
      <c r="CN317" t="e">
        <f>AND(#REF!,"AAAAAG9Bp1s=")</f>
        <v>#REF!</v>
      </c>
      <c r="CO317" t="e">
        <f>AND(#REF!,"AAAAAG9Bp1w=")</f>
        <v>#REF!</v>
      </c>
      <c r="CP317" t="e">
        <f>IF(#REF!,"AAAAAG9Bp10=",0)</f>
        <v>#REF!</v>
      </c>
      <c r="CQ317" t="e">
        <f>AND(#REF!,"AAAAAG9Bp14=")</f>
        <v>#REF!</v>
      </c>
      <c r="CR317" t="e">
        <f>AND(#REF!,"AAAAAG9Bp18=")</f>
        <v>#REF!</v>
      </c>
      <c r="CS317" t="e">
        <f>AND(#REF!,"AAAAAG9Bp2A=")</f>
        <v>#REF!</v>
      </c>
      <c r="CT317" t="e">
        <f>AND(#REF!,"AAAAAG9Bp2E=")</f>
        <v>#REF!</v>
      </c>
      <c r="CU317" t="e">
        <f>AND(#REF!,"AAAAAG9Bp2I=")</f>
        <v>#REF!</v>
      </c>
      <c r="CV317" t="e">
        <f>AND(#REF!,"AAAAAG9Bp2M=")</f>
        <v>#REF!</v>
      </c>
      <c r="CW317" t="e">
        <f>AND(#REF!,"AAAAAG9Bp2Q=")</f>
        <v>#REF!</v>
      </c>
      <c r="CX317" t="e">
        <f>AND(#REF!,"AAAAAG9Bp2U=")</f>
        <v>#REF!</v>
      </c>
      <c r="CY317" t="e">
        <f>AND(#REF!,"AAAAAG9Bp2Y=")</f>
        <v>#REF!</v>
      </c>
      <c r="CZ317" t="e">
        <f>AND(#REF!,"AAAAAG9Bp2c=")</f>
        <v>#REF!</v>
      </c>
      <c r="DA317" t="e">
        <f>IF(#REF!,"AAAAAG9Bp2g=",0)</f>
        <v>#REF!</v>
      </c>
      <c r="DB317" t="e">
        <f>AND(#REF!,"AAAAAG9Bp2k=")</f>
        <v>#REF!</v>
      </c>
      <c r="DC317" t="e">
        <f>AND(#REF!,"AAAAAG9Bp2o=")</f>
        <v>#REF!</v>
      </c>
      <c r="DD317" t="e">
        <f>AND(#REF!,"AAAAAG9Bp2s=")</f>
        <v>#REF!</v>
      </c>
      <c r="DE317" t="e">
        <f>AND(#REF!,"AAAAAG9Bp2w=")</f>
        <v>#REF!</v>
      </c>
      <c r="DF317" t="e">
        <f>AND(#REF!,"AAAAAG9Bp20=")</f>
        <v>#REF!</v>
      </c>
      <c r="DG317" t="e">
        <f>AND(#REF!,"AAAAAG9Bp24=")</f>
        <v>#REF!</v>
      </c>
      <c r="DH317" t="e">
        <f>AND(#REF!,"AAAAAG9Bp28=")</f>
        <v>#REF!</v>
      </c>
      <c r="DI317" t="e">
        <f>AND(#REF!,"AAAAAG9Bp3A=")</f>
        <v>#REF!</v>
      </c>
      <c r="DJ317" t="e">
        <f>AND(#REF!,"AAAAAG9Bp3E=")</f>
        <v>#REF!</v>
      </c>
      <c r="DK317" t="e">
        <f>AND(#REF!,"AAAAAG9Bp3I=")</f>
        <v>#REF!</v>
      </c>
      <c r="DL317" t="e">
        <f>IF(#REF!,"AAAAAG9Bp3M=",0)</f>
        <v>#REF!</v>
      </c>
      <c r="DM317" t="e">
        <f>AND(#REF!,"AAAAAG9Bp3Q=")</f>
        <v>#REF!</v>
      </c>
      <c r="DN317" t="e">
        <f>AND(#REF!,"AAAAAG9Bp3U=")</f>
        <v>#REF!</v>
      </c>
      <c r="DO317" t="e">
        <f>AND(#REF!,"AAAAAG9Bp3Y=")</f>
        <v>#REF!</v>
      </c>
      <c r="DP317" t="e">
        <f>AND(#REF!,"AAAAAG9Bp3c=")</f>
        <v>#REF!</v>
      </c>
      <c r="DQ317" t="e">
        <f>AND(#REF!,"AAAAAG9Bp3g=")</f>
        <v>#REF!</v>
      </c>
      <c r="DR317" t="e">
        <f>AND(#REF!,"AAAAAG9Bp3k=")</f>
        <v>#REF!</v>
      </c>
      <c r="DS317" t="e">
        <f>AND(#REF!,"AAAAAG9Bp3o=")</f>
        <v>#REF!</v>
      </c>
      <c r="DT317" t="e">
        <f>AND(#REF!,"AAAAAG9Bp3s=")</f>
        <v>#REF!</v>
      </c>
      <c r="DU317" t="e">
        <f>AND(#REF!,"AAAAAG9Bp3w=")</f>
        <v>#REF!</v>
      </c>
      <c r="DV317" t="e">
        <f>AND(#REF!,"AAAAAG9Bp30=")</f>
        <v>#REF!</v>
      </c>
      <c r="DW317" t="e">
        <f>IF(#REF!,"AAAAAG9Bp34=",0)</f>
        <v>#REF!</v>
      </c>
      <c r="DX317" t="e">
        <f>AND(#REF!,"AAAAAG9Bp38=")</f>
        <v>#REF!</v>
      </c>
      <c r="DY317" t="e">
        <f>AND(#REF!,"AAAAAG9Bp4A=")</f>
        <v>#REF!</v>
      </c>
      <c r="DZ317" t="e">
        <f>AND(#REF!,"AAAAAG9Bp4E=")</f>
        <v>#REF!</v>
      </c>
      <c r="EA317" t="e">
        <f>AND(#REF!,"AAAAAG9Bp4I=")</f>
        <v>#REF!</v>
      </c>
      <c r="EB317" t="e">
        <f>AND(#REF!,"AAAAAG9Bp4M=")</f>
        <v>#REF!</v>
      </c>
      <c r="EC317" t="e">
        <f>AND(#REF!,"AAAAAG9Bp4Q=")</f>
        <v>#REF!</v>
      </c>
      <c r="ED317" t="e">
        <f>AND(#REF!,"AAAAAG9Bp4U=")</f>
        <v>#REF!</v>
      </c>
      <c r="EE317" t="e">
        <f>AND(#REF!,"AAAAAG9Bp4Y=")</f>
        <v>#REF!</v>
      </c>
      <c r="EF317" t="e">
        <f>AND(#REF!,"AAAAAG9Bp4c=")</f>
        <v>#REF!</v>
      </c>
      <c r="EG317" t="e">
        <f>AND(#REF!,"AAAAAG9Bp4g=")</f>
        <v>#REF!</v>
      </c>
      <c r="EH317" t="e">
        <f>IF(#REF!,"AAAAAG9Bp4k=",0)</f>
        <v>#REF!</v>
      </c>
      <c r="EI317" t="e">
        <f>AND(#REF!,"AAAAAG9Bp4o=")</f>
        <v>#REF!</v>
      </c>
      <c r="EJ317" t="e">
        <f>AND(#REF!,"AAAAAG9Bp4s=")</f>
        <v>#REF!</v>
      </c>
      <c r="EK317" t="e">
        <f>AND(#REF!,"AAAAAG9Bp4w=")</f>
        <v>#REF!</v>
      </c>
      <c r="EL317" t="e">
        <f>AND(#REF!,"AAAAAG9Bp40=")</f>
        <v>#REF!</v>
      </c>
      <c r="EM317" t="e">
        <f>AND(#REF!,"AAAAAG9Bp44=")</f>
        <v>#REF!</v>
      </c>
      <c r="EN317" t="e">
        <f>AND(#REF!,"AAAAAG9Bp48=")</f>
        <v>#REF!</v>
      </c>
      <c r="EO317" t="e">
        <f>AND(#REF!,"AAAAAG9Bp5A=")</f>
        <v>#REF!</v>
      </c>
      <c r="EP317" t="e">
        <f>AND(#REF!,"AAAAAG9Bp5E=")</f>
        <v>#REF!</v>
      </c>
      <c r="EQ317" t="e">
        <f>AND(#REF!,"AAAAAG9Bp5I=")</f>
        <v>#REF!</v>
      </c>
      <c r="ER317" t="e">
        <f>AND(#REF!,"AAAAAG9Bp5M=")</f>
        <v>#REF!</v>
      </c>
      <c r="ES317" t="e">
        <f>IF(#REF!,"AAAAAG9Bp5Q=",0)</f>
        <v>#REF!</v>
      </c>
      <c r="ET317" t="e">
        <f>AND(#REF!,"AAAAAG9Bp5U=")</f>
        <v>#REF!</v>
      </c>
      <c r="EU317" t="e">
        <f>AND(#REF!,"AAAAAG9Bp5Y=")</f>
        <v>#REF!</v>
      </c>
      <c r="EV317" t="e">
        <f>AND(#REF!,"AAAAAG9Bp5c=")</f>
        <v>#REF!</v>
      </c>
      <c r="EW317" t="e">
        <f>AND(#REF!,"AAAAAG9Bp5g=")</f>
        <v>#REF!</v>
      </c>
      <c r="EX317" t="e">
        <f>AND(#REF!,"AAAAAG9Bp5k=")</f>
        <v>#REF!</v>
      </c>
      <c r="EY317" t="e">
        <f>AND(#REF!,"AAAAAG9Bp5o=")</f>
        <v>#REF!</v>
      </c>
      <c r="EZ317" t="e">
        <f>AND(#REF!,"AAAAAG9Bp5s=")</f>
        <v>#REF!</v>
      </c>
      <c r="FA317" t="e">
        <f>AND(#REF!,"AAAAAG9Bp5w=")</f>
        <v>#REF!</v>
      </c>
      <c r="FB317" t="e">
        <f>AND(#REF!,"AAAAAG9Bp50=")</f>
        <v>#REF!</v>
      </c>
      <c r="FC317" t="e">
        <f>AND(#REF!,"AAAAAG9Bp54=")</f>
        <v>#REF!</v>
      </c>
      <c r="FD317" t="e">
        <f>IF(#REF!,"AAAAAG9Bp58=",0)</f>
        <v>#REF!</v>
      </c>
      <c r="FE317" t="e">
        <f>AND(#REF!,"AAAAAG9Bp6A=")</f>
        <v>#REF!</v>
      </c>
      <c r="FF317" t="e">
        <f>AND(#REF!,"AAAAAG9Bp6E=")</f>
        <v>#REF!</v>
      </c>
      <c r="FG317" t="e">
        <f>AND(#REF!,"AAAAAG9Bp6I=")</f>
        <v>#REF!</v>
      </c>
      <c r="FH317" t="e">
        <f>AND(#REF!,"AAAAAG9Bp6M=")</f>
        <v>#REF!</v>
      </c>
      <c r="FI317" t="e">
        <f>AND(#REF!,"AAAAAG9Bp6Q=")</f>
        <v>#REF!</v>
      </c>
      <c r="FJ317" t="e">
        <f>AND(#REF!,"AAAAAG9Bp6U=")</f>
        <v>#REF!</v>
      </c>
      <c r="FK317" t="e">
        <f>AND(#REF!,"AAAAAG9Bp6Y=")</f>
        <v>#REF!</v>
      </c>
      <c r="FL317" t="e">
        <f>AND(#REF!,"AAAAAG9Bp6c=")</f>
        <v>#REF!</v>
      </c>
      <c r="FM317" t="e">
        <f>AND(#REF!,"AAAAAG9Bp6g=")</f>
        <v>#REF!</v>
      </c>
      <c r="FN317" t="e">
        <f>AND(#REF!,"AAAAAG9Bp6k=")</f>
        <v>#REF!</v>
      </c>
      <c r="FO317" t="e">
        <f>IF(#REF!,"AAAAAG9Bp6o=",0)</f>
        <v>#REF!</v>
      </c>
      <c r="FP317" t="e">
        <f>AND(#REF!,"AAAAAG9Bp6s=")</f>
        <v>#REF!</v>
      </c>
      <c r="FQ317" t="e">
        <f>AND(#REF!,"AAAAAG9Bp6w=")</f>
        <v>#REF!</v>
      </c>
      <c r="FR317" t="e">
        <f>AND(#REF!,"AAAAAG9Bp60=")</f>
        <v>#REF!</v>
      </c>
      <c r="FS317" t="e">
        <f>AND(#REF!,"AAAAAG9Bp64=")</f>
        <v>#REF!</v>
      </c>
      <c r="FT317" t="e">
        <f>AND(#REF!,"AAAAAG9Bp68=")</f>
        <v>#REF!</v>
      </c>
      <c r="FU317" t="e">
        <f>AND(#REF!,"AAAAAG9Bp7A=")</f>
        <v>#REF!</v>
      </c>
      <c r="FV317" t="e">
        <f>AND(#REF!,"AAAAAG9Bp7E=")</f>
        <v>#REF!</v>
      </c>
      <c r="FW317" t="e">
        <f>AND(#REF!,"AAAAAG9Bp7I=")</f>
        <v>#REF!</v>
      </c>
      <c r="FX317" t="e">
        <f>AND(#REF!,"AAAAAG9Bp7M=")</f>
        <v>#REF!</v>
      </c>
      <c r="FY317" t="e">
        <f>AND(#REF!,"AAAAAG9Bp7Q=")</f>
        <v>#REF!</v>
      </c>
      <c r="FZ317" t="e">
        <f>IF(#REF!,"AAAAAG9Bp7U=",0)</f>
        <v>#REF!</v>
      </c>
      <c r="GA317" t="e">
        <f>AND(#REF!,"AAAAAG9Bp7Y=")</f>
        <v>#REF!</v>
      </c>
      <c r="GB317" t="e">
        <f>AND(#REF!,"AAAAAG9Bp7c=")</f>
        <v>#REF!</v>
      </c>
      <c r="GC317" t="e">
        <f>AND(#REF!,"AAAAAG9Bp7g=")</f>
        <v>#REF!</v>
      </c>
      <c r="GD317" t="e">
        <f>AND(#REF!,"AAAAAG9Bp7k=")</f>
        <v>#REF!</v>
      </c>
      <c r="GE317" t="e">
        <f>AND(#REF!,"AAAAAG9Bp7o=")</f>
        <v>#REF!</v>
      </c>
      <c r="GF317" t="e">
        <f>AND(#REF!,"AAAAAG9Bp7s=")</f>
        <v>#REF!</v>
      </c>
      <c r="GG317" t="e">
        <f>AND(#REF!,"AAAAAG9Bp7w=")</f>
        <v>#REF!</v>
      </c>
      <c r="GH317" t="e">
        <f>AND(#REF!,"AAAAAG9Bp70=")</f>
        <v>#REF!</v>
      </c>
      <c r="GI317" t="e">
        <f>AND(#REF!,"AAAAAG9Bp74=")</f>
        <v>#REF!</v>
      </c>
      <c r="GJ317" t="e">
        <f>AND(#REF!,"AAAAAG9Bp78=")</f>
        <v>#REF!</v>
      </c>
      <c r="GK317" t="e">
        <f>IF(#REF!,"AAAAAG9Bp8A=",0)</f>
        <v>#REF!</v>
      </c>
      <c r="GL317" t="e">
        <f>AND(#REF!,"AAAAAG9Bp8E=")</f>
        <v>#REF!</v>
      </c>
      <c r="GM317" t="e">
        <f>AND(#REF!,"AAAAAG9Bp8I=")</f>
        <v>#REF!</v>
      </c>
      <c r="GN317" t="e">
        <f>AND(#REF!,"AAAAAG9Bp8M=")</f>
        <v>#REF!</v>
      </c>
      <c r="GO317" t="e">
        <f>AND(#REF!,"AAAAAG9Bp8Q=")</f>
        <v>#REF!</v>
      </c>
      <c r="GP317" t="e">
        <f>AND(#REF!,"AAAAAG9Bp8U=")</f>
        <v>#REF!</v>
      </c>
      <c r="GQ317" t="e">
        <f>AND(#REF!,"AAAAAG9Bp8Y=")</f>
        <v>#REF!</v>
      </c>
      <c r="GR317" t="e">
        <f>AND(#REF!,"AAAAAG9Bp8c=")</f>
        <v>#REF!</v>
      </c>
      <c r="GS317" t="e">
        <f>AND(#REF!,"AAAAAG9Bp8g=")</f>
        <v>#REF!</v>
      </c>
      <c r="GT317" t="e">
        <f>AND(#REF!,"AAAAAG9Bp8k=")</f>
        <v>#REF!</v>
      </c>
      <c r="GU317" t="e">
        <f>AND(#REF!,"AAAAAG9Bp8o=")</f>
        <v>#REF!</v>
      </c>
      <c r="GV317" t="e">
        <f>IF(#REF!,"AAAAAG9Bp8s=",0)</f>
        <v>#REF!</v>
      </c>
      <c r="GW317" t="e">
        <f>AND(#REF!,"AAAAAG9Bp8w=")</f>
        <v>#REF!</v>
      </c>
      <c r="GX317" t="e">
        <f>AND(#REF!,"AAAAAG9Bp80=")</f>
        <v>#REF!</v>
      </c>
      <c r="GY317" t="e">
        <f>AND(#REF!,"AAAAAG9Bp84=")</f>
        <v>#REF!</v>
      </c>
      <c r="GZ317" t="e">
        <f>AND(#REF!,"AAAAAG9Bp88=")</f>
        <v>#REF!</v>
      </c>
      <c r="HA317" t="e">
        <f>AND(#REF!,"AAAAAG9Bp9A=")</f>
        <v>#REF!</v>
      </c>
      <c r="HB317" t="e">
        <f>AND(#REF!,"AAAAAG9Bp9E=")</f>
        <v>#REF!</v>
      </c>
      <c r="HC317" t="e">
        <f>AND(#REF!,"AAAAAG9Bp9I=")</f>
        <v>#REF!</v>
      </c>
      <c r="HD317" t="e">
        <f>AND(#REF!,"AAAAAG9Bp9M=")</f>
        <v>#REF!</v>
      </c>
      <c r="HE317" t="e">
        <f>AND(#REF!,"AAAAAG9Bp9Q=")</f>
        <v>#REF!</v>
      </c>
      <c r="HF317" t="e">
        <f>AND(#REF!,"AAAAAG9Bp9U=")</f>
        <v>#REF!</v>
      </c>
      <c r="HG317" t="e">
        <f>IF(#REF!,"AAAAAG9Bp9Y=",0)</f>
        <v>#REF!</v>
      </c>
      <c r="HH317" t="e">
        <f>AND(#REF!,"AAAAAG9Bp9c=")</f>
        <v>#REF!</v>
      </c>
      <c r="HI317" t="e">
        <f>AND(#REF!,"AAAAAG9Bp9g=")</f>
        <v>#REF!</v>
      </c>
      <c r="HJ317" t="e">
        <f>AND(#REF!,"AAAAAG9Bp9k=")</f>
        <v>#REF!</v>
      </c>
      <c r="HK317" t="e">
        <f>AND(#REF!,"AAAAAG9Bp9o=")</f>
        <v>#REF!</v>
      </c>
      <c r="HL317" t="e">
        <f>AND(#REF!,"AAAAAG9Bp9s=")</f>
        <v>#REF!</v>
      </c>
      <c r="HM317" t="e">
        <f>AND(#REF!,"AAAAAG9Bp9w=")</f>
        <v>#REF!</v>
      </c>
      <c r="HN317" t="e">
        <f>AND(#REF!,"AAAAAG9Bp90=")</f>
        <v>#REF!</v>
      </c>
      <c r="HO317" t="e">
        <f>AND(#REF!,"AAAAAG9Bp94=")</f>
        <v>#REF!</v>
      </c>
      <c r="HP317" t="e">
        <f>AND(#REF!,"AAAAAG9Bp98=")</f>
        <v>#REF!</v>
      </c>
      <c r="HQ317" t="e">
        <f>AND(#REF!,"AAAAAG9Bp+A=")</f>
        <v>#REF!</v>
      </c>
      <c r="HR317" t="e">
        <f>IF(#REF!,"AAAAAG9Bp+E=",0)</f>
        <v>#REF!</v>
      </c>
      <c r="HS317" t="e">
        <f>AND(#REF!,"AAAAAG9Bp+I=")</f>
        <v>#REF!</v>
      </c>
      <c r="HT317" t="e">
        <f>AND(#REF!,"AAAAAG9Bp+M=")</f>
        <v>#REF!</v>
      </c>
      <c r="HU317" t="e">
        <f>AND(#REF!,"AAAAAG9Bp+Q=")</f>
        <v>#REF!</v>
      </c>
      <c r="HV317" t="e">
        <f>AND(#REF!,"AAAAAG9Bp+U=")</f>
        <v>#REF!</v>
      </c>
      <c r="HW317" t="e">
        <f>AND(#REF!,"AAAAAG9Bp+Y=")</f>
        <v>#REF!</v>
      </c>
      <c r="HX317" t="e">
        <f>AND(#REF!,"AAAAAG9Bp+c=")</f>
        <v>#REF!</v>
      </c>
      <c r="HY317" t="e">
        <f>AND(#REF!,"AAAAAG9Bp+g=")</f>
        <v>#REF!</v>
      </c>
      <c r="HZ317" t="e">
        <f>AND(#REF!,"AAAAAG9Bp+k=")</f>
        <v>#REF!</v>
      </c>
      <c r="IA317" t="e">
        <f>AND(#REF!,"AAAAAG9Bp+o=")</f>
        <v>#REF!</v>
      </c>
      <c r="IB317" t="e">
        <f>AND(#REF!,"AAAAAG9Bp+s=")</f>
        <v>#REF!</v>
      </c>
      <c r="IC317" t="e">
        <f>IF(#REF!,"AAAAAG9Bp+w=",0)</f>
        <v>#REF!</v>
      </c>
      <c r="ID317" t="e">
        <f>AND(#REF!,"AAAAAG9Bp+0=")</f>
        <v>#REF!</v>
      </c>
      <c r="IE317" t="e">
        <f>AND(#REF!,"AAAAAG9Bp+4=")</f>
        <v>#REF!</v>
      </c>
      <c r="IF317" t="e">
        <f>AND(#REF!,"AAAAAG9Bp+8=")</f>
        <v>#REF!</v>
      </c>
      <c r="IG317" t="e">
        <f>AND(#REF!,"AAAAAG9Bp/A=")</f>
        <v>#REF!</v>
      </c>
      <c r="IH317" t="e">
        <f>AND(#REF!,"AAAAAG9Bp/E=")</f>
        <v>#REF!</v>
      </c>
      <c r="II317" t="e">
        <f>AND(#REF!,"AAAAAG9Bp/I=")</f>
        <v>#REF!</v>
      </c>
      <c r="IJ317" t="e">
        <f>AND(#REF!,"AAAAAG9Bp/M=")</f>
        <v>#REF!</v>
      </c>
      <c r="IK317" t="e">
        <f>AND(#REF!,"AAAAAG9Bp/Q=")</f>
        <v>#REF!</v>
      </c>
      <c r="IL317" t="e">
        <f>AND(#REF!,"AAAAAG9Bp/U=")</f>
        <v>#REF!</v>
      </c>
      <c r="IM317" t="e">
        <f>AND(#REF!,"AAAAAG9Bp/Y=")</f>
        <v>#REF!</v>
      </c>
      <c r="IN317" t="e">
        <f>IF(#REF!,"AAAAAG9Bp/c=",0)</f>
        <v>#REF!</v>
      </c>
      <c r="IO317" t="e">
        <f>AND(#REF!,"AAAAAG9Bp/g=")</f>
        <v>#REF!</v>
      </c>
      <c r="IP317" t="e">
        <f>AND(#REF!,"AAAAAG9Bp/k=")</f>
        <v>#REF!</v>
      </c>
      <c r="IQ317" t="e">
        <f>AND(#REF!,"AAAAAG9Bp/o=")</f>
        <v>#REF!</v>
      </c>
      <c r="IR317" t="e">
        <f>AND(#REF!,"AAAAAG9Bp/s=")</f>
        <v>#REF!</v>
      </c>
      <c r="IS317" t="e">
        <f>AND(#REF!,"AAAAAG9Bp/w=")</f>
        <v>#REF!</v>
      </c>
      <c r="IT317" t="e">
        <f>AND(#REF!,"AAAAAG9Bp/0=")</f>
        <v>#REF!</v>
      </c>
      <c r="IU317" t="e">
        <f>AND(#REF!,"AAAAAG9Bp/4=")</f>
        <v>#REF!</v>
      </c>
      <c r="IV317" t="e">
        <f>AND(#REF!,"AAAAAG9Bp/8=")</f>
        <v>#REF!</v>
      </c>
    </row>
    <row r="318" spans="1:256" x14ac:dyDescent="0.25">
      <c r="A318" t="e">
        <f>AND(#REF!,"AAAAAHhbXwA=")</f>
        <v>#REF!</v>
      </c>
      <c r="B318" t="e">
        <f>AND(#REF!,"AAAAAHhbXwE=")</f>
        <v>#REF!</v>
      </c>
      <c r="C318" t="e">
        <f>IF(#REF!,"AAAAAHhbXwI=",0)</f>
        <v>#REF!</v>
      </c>
      <c r="D318" t="e">
        <f>AND(#REF!,"AAAAAHhbXwM=")</f>
        <v>#REF!</v>
      </c>
      <c r="E318" t="e">
        <f>AND(#REF!,"AAAAAHhbXwQ=")</f>
        <v>#REF!</v>
      </c>
      <c r="F318" t="e">
        <f>AND(#REF!,"AAAAAHhbXwU=")</f>
        <v>#REF!</v>
      </c>
      <c r="G318" t="e">
        <f>AND(#REF!,"AAAAAHhbXwY=")</f>
        <v>#REF!</v>
      </c>
      <c r="H318" t="e">
        <f>AND(#REF!,"AAAAAHhbXwc=")</f>
        <v>#REF!</v>
      </c>
      <c r="I318" t="e">
        <f>AND(#REF!,"AAAAAHhbXwg=")</f>
        <v>#REF!</v>
      </c>
      <c r="J318" t="e">
        <f>AND(#REF!,"AAAAAHhbXwk=")</f>
        <v>#REF!</v>
      </c>
      <c r="K318" t="e">
        <f>AND(#REF!,"AAAAAHhbXwo=")</f>
        <v>#REF!</v>
      </c>
      <c r="L318" t="e">
        <f>AND(#REF!,"AAAAAHhbXws=")</f>
        <v>#REF!</v>
      </c>
      <c r="M318" t="e">
        <f>AND(#REF!,"AAAAAHhbXww=")</f>
        <v>#REF!</v>
      </c>
      <c r="N318" t="e">
        <f>IF(#REF!,"AAAAAHhbXw0=",0)</f>
        <v>#REF!</v>
      </c>
      <c r="O318" t="e">
        <f>AND(#REF!,"AAAAAHhbXw4=")</f>
        <v>#REF!</v>
      </c>
      <c r="P318" t="e">
        <f>AND(#REF!,"AAAAAHhbXw8=")</f>
        <v>#REF!</v>
      </c>
      <c r="Q318" t="e">
        <f>AND(#REF!,"AAAAAHhbXxA=")</f>
        <v>#REF!</v>
      </c>
      <c r="R318" t="e">
        <f>AND(#REF!,"AAAAAHhbXxE=")</f>
        <v>#REF!</v>
      </c>
      <c r="S318" t="e">
        <f>AND(#REF!,"AAAAAHhbXxI=")</f>
        <v>#REF!</v>
      </c>
      <c r="T318" t="e">
        <f>AND(#REF!,"AAAAAHhbXxM=")</f>
        <v>#REF!</v>
      </c>
      <c r="U318" t="e">
        <f>AND(#REF!,"AAAAAHhbXxQ=")</f>
        <v>#REF!</v>
      </c>
      <c r="V318" t="e">
        <f>AND(#REF!,"AAAAAHhbXxU=")</f>
        <v>#REF!</v>
      </c>
      <c r="W318" t="e">
        <f>AND(#REF!,"AAAAAHhbXxY=")</f>
        <v>#REF!</v>
      </c>
      <c r="X318" t="e">
        <f>AND(#REF!,"AAAAAHhbXxc=")</f>
        <v>#REF!</v>
      </c>
      <c r="Y318" t="e">
        <f>IF(#REF!,"AAAAAHhbXxg=",0)</f>
        <v>#REF!</v>
      </c>
      <c r="Z318" t="e">
        <f>AND(#REF!,"AAAAAHhbXxk=")</f>
        <v>#REF!</v>
      </c>
      <c r="AA318" t="e">
        <f>AND(#REF!,"AAAAAHhbXxo=")</f>
        <v>#REF!</v>
      </c>
      <c r="AB318" t="e">
        <f>AND(#REF!,"AAAAAHhbXxs=")</f>
        <v>#REF!</v>
      </c>
      <c r="AC318" t="e">
        <f>AND(#REF!,"AAAAAHhbXxw=")</f>
        <v>#REF!</v>
      </c>
      <c r="AD318" t="e">
        <f>AND(#REF!,"AAAAAHhbXx0=")</f>
        <v>#REF!</v>
      </c>
      <c r="AE318" t="e">
        <f>AND(#REF!,"AAAAAHhbXx4=")</f>
        <v>#REF!</v>
      </c>
      <c r="AF318" t="e">
        <f>AND(#REF!,"AAAAAHhbXx8=")</f>
        <v>#REF!</v>
      </c>
      <c r="AG318" t="e">
        <f>AND(#REF!,"AAAAAHhbXyA=")</f>
        <v>#REF!</v>
      </c>
      <c r="AH318" t="e">
        <f>AND(#REF!,"AAAAAHhbXyE=")</f>
        <v>#REF!</v>
      </c>
      <c r="AI318" t="e">
        <f>AND(#REF!,"AAAAAHhbXyI=")</f>
        <v>#REF!</v>
      </c>
      <c r="AJ318" t="e">
        <f>IF(#REF!,"AAAAAHhbXyM=",0)</f>
        <v>#REF!</v>
      </c>
      <c r="AK318" t="e">
        <f>AND(#REF!,"AAAAAHhbXyQ=")</f>
        <v>#REF!</v>
      </c>
      <c r="AL318" t="e">
        <f>AND(#REF!,"AAAAAHhbXyU=")</f>
        <v>#REF!</v>
      </c>
      <c r="AM318" t="e">
        <f>AND(#REF!,"AAAAAHhbXyY=")</f>
        <v>#REF!</v>
      </c>
      <c r="AN318" t="e">
        <f>AND(#REF!,"AAAAAHhbXyc=")</f>
        <v>#REF!</v>
      </c>
      <c r="AO318" t="e">
        <f>AND(#REF!,"AAAAAHhbXyg=")</f>
        <v>#REF!</v>
      </c>
      <c r="AP318" t="e">
        <f>AND(#REF!,"AAAAAHhbXyk=")</f>
        <v>#REF!</v>
      </c>
      <c r="AQ318" t="e">
        <f>AND(#REF!,"AAAAAHhbXyo=")</f>
        <v>#REF!</v>
      </c>
      <c r="AR318" t="e">
        <f>AND(#REF!,"AAAAAHhbXys=")</f>
        <v>#REF!</v>
      </c>
      <c r="AS318" t="e">
        <f>AND(#REF!,"AAAAAHhbXyw=")</f>
        <v>#REF!</v>
      </c>
      <c r="AT318" t="e">
        <f>AND(#REF!,"AAAAAHhbXy0=")</f>
        <v>#REF!</v>
      </c>
      <c r="AU318" t="e">
        <f>IF(#REF!,"AAAAAHhbXy4=",0)</f>
        <v>#REF!</v>
      </c>
      <c r="AV318" t="e">
        <f>AND(#REF!,"AAAAAHhbXy8=")</f>
        <v>#REF!</v>
      </c>
      <c r="AW318" t="e">
        <f>AND(#REF!,"AAAAAHhbXzA=")</f>
        <v>#REF!</v>
      </c>
      <c r="AX318" t="e">
        <f>AND(#REF!,"AAAAAHhbXzE=")</f>
        <v>#REF!</v>
      </c>
      <c r="AY318" t="e">
        <f>AND(#REF!,"AAAAAHhbXzI=")</f>
        <v>#REF!</v>
      </c>
      <c r="AZ318" t="e">
        <f>AND(#REF!,"AAAAAHhbXzM=")</f>
        <v>#REF!</v>
      </c>
      <c r="BA318" t="e">
        <f>AND(#REF!,"AAAAAHhbXzQ=")</f>
        <v>#REF!</v>
      </c>
      <c r="BB318" t="e">
        <f>AND(#REF!,"AAAAAHhbXzU=")</f>
        <v>#REF!</v>
      </c>
      <c r="BC318" t="e">
        <f>AND(#REF!,"AAAAAHhbXzY=")</f>
        <v>#REF!</v>
      </c>
      <c r="BD318" t="e">
        <f>AND(#REF!,"AAAAAHhbXzc=")</f>
        <v>#REF!</v>
      </c>
      <c r="BE318" t="e">
        <f>AND(#REF!,"AAAAAHhbXzg=")</f>
        <v>#REF!</v>
      </c>
      <c r="BF318" t="e">
        <f>IF(#REF!,"AAAAAHhbXzk=",0)</f>
        <v>#REF!</v>
      </c>
      <c r="BG318" t="e">
        <f>AND(#REF!,"AAAAAHhbXzo=")</f>
        <v>#REF!</v>
      </c>
      <c r="BH318" t="e">
        <f>AND(#REF!,"AAAAAHhbXzs=")</f>
        <v>#REF!</v>
      </c>
      <c r="BI318" t="e">
        <f>AND(#REF!,"AAAAAHhbXzw=")</f>
        <v>#REF!</v>
      </c>
      <c r="BJ318" t="e">
        <f>AND(#REF!,"AAAAAHhbXz0=")</f>
        <v>#REF!</v>
      </c>
      <c r="BK318" t="e">
        <f>AND(#REF!,"AAAAAHhbXz4=")</f>
        <v>#REF!</v>
      </c>
      <c r="BL318" t="e">
        <f>AND(#REF!,"AAAAAHhbXz8=")</f>
        <v>#REF!</v>
      </c>
      <c r="BM318" t="e">
        <f>AND(#REF!,"AAAAAHhbX0A=")</f>
        <v>#REF!</v>
      </c>
      <c r="BN318" t="e">
        <f>AND(#REF!,"AAAAAHhbX0E=")</f>
        <v>#REF!</v>
      </c>
      <c r="BO318" t="e">
        <f>AND(#REF!,"AAAAAHhbX0I=")</f>
        <v>#REF!</v>
      </c>
      <c r="BP318" t="e">
        <f>AND(#REF!,"AAAAAHhbX0M=")</f>
        <v>#REF!</v>
      </c>
      <c r="BQ318" t="e">
        <f>IF(#REF!,"AAAAAHhbX0Q=",0)</f>
        <v>#REF!</v>
      </c>
      <c r="BR318" t="e">
        <f>AND(#REF!,"AAAAAHhbX0U=")</f>
        <v>#REF!</v>
      </c>
      <c r="BS318" t="e">
        <f>AND(#REF!,"AAAAAHhbX0Y=")</f>
        <v>#REF!</v>
      </c>
      <c r="BT318" t="e">
        <f>AND(#REF!,"AAAAAHhbX0c=")</f>
        <v>#REF!</v>
      </c>
      <c r="BU318" t="e">
        <f>AND(#REF!,"AAAAAHhbX0g=")</f>
        <v>#REF!</v>
      </c>
      <c r="BV318" t="e">
        <f>AND(#REF!,"AAAAAHhbX0k=")</f>
        <v>#REF!</v>
      </c>
      <c r="BW318" t="e">
        <f>AND(#REF!,"AAAAAHhbX0o=")</f>
        <v>#REF!</v>
      </c>
      <c r="BX318" t="e">
        <f>AND(#REF!,"AAAAAHhbX0s=")</f>
        <v>#REF!</v>
      </c>
      <c r="BY318" t="e">
        <f>AND(#REF!,"AAAAAHhbX0w=")</f>
        <v>#REF!</v>
      </c>
      <c r="BZ318" t="e">
        <f>AND(#REF!,"AAAAAHhbX00=")</f>
        <v>#REF!</v>
      </c>
      <c r="CA318" t="e">
        <f>AND(#REF!,"AAAAAHhbX04=")</f>
        <v>#REF!</v>
      </c>
      <c r="CB318" t="e">
        <f>IF(#REF!,"AAAAAHhbX08=",0)</f>
        <v>#REF!</v>
      </c>
      <c r="CC318" t="e">
        <f>AND(#REF!,"AAAAAHhbX1A=")</f>
        <v>#REF!</v>
      </c>
      <c r="CD318" t="e">
        <f>AND(#REF!,"AAAAAHhbX1E=")</f>
        <v>#REF!</v>
      </c>
      <c r="CE318" t="e">
        <f>AND(#REF!,"AAAAAHhbX1I=")</f>
        <v>#REF!</v>
      </c>
      <c r="CF318" t="e">
        <f>AND(#REF!,"AAAAAHhbX1M=")</f>
        <v>#REF!</v>
      </c>
      <c r="CG318" t="e">
        <f>AND(#REF!,"AAAAAHhbX1Q=")</f>
        <v>#REF!</v>
      </c>
      <c r="CH318" t="e">
        <f>AND(#REF!,"AAAAAHhbX1U=")</f>
        <v>#REF!</v>
      </c>
      <c r="CI318" t="e">
        <f>AND(#REF!,"AAAAAHhbX1Y=")</f>
        <v>#REF!</v>
      </c>
      <c r="CJ318" t="e">
        <f>AND(#REF!,"AAAAAHhbX1c=")</f>
        <v>#REF!</v>
      </c>
      <c r="CK318" t="e">
        <f>AND(#REF!,"AAAAAHhbX1g=")</f>
        <v>#REF!</v>
      </c>
      <c r="CL318" t="e">
        <f>AND(#REF!,"AAAAAHhbX1k=")</f>
        <v>#REF!</v>
      </c>
      <c r="CM318" t="e">
        <f>IF(#REF!,"AAAAAHhbX1o=",0)</f>
        <v>#REF!</v>
      </c>
      <c r="CN318" t="e">
        <f>AND(#REF!,"AAAAAHhbX1s=")</f>
        <v>#REF!</v>
      </c>
      <c r="CO318" t="e">
        <f>AND(#REF!,"AAAAAHhbX1w=")</f>
        <v>#REF!</v>
      </c>
      <c r="CP318" t="e">
        <f>AND(#REF!,"AAAAAHhbX10=")</f>
        <v>#REF!</v>
      </c>
      <c r="CQ318" t="e">
        <f>AND(#REF!,"AAAAAHhbX14=")</f>
        <v>#REF!</v>
      </c>
      <c r="CR318" t="e">
        <f>AND(#REF!,"AAAAAHhbX18=")</f>
        <v>#REF!</v>
      </c>
      <c r="CS318" t="e">
        <f>AND(#REF!,"AAAAAHhbX2A=")</f>
        <v>#REF!</v>
      </c>
      <c r="CT318" t="e">
        <f>AND(#REF!,"AAAAAHhbX2E=")</f>
        <v>#REF!</v>
      </c>
      <c r="CU318" t="e">
        <f>AND(#REF!,"AAAAAHhbX2I=")</f>
        <v>#REF!</v>
      </c>
      <c r="CV318" t="e">
        <f>AND(#REF!,"AAAAAHhbX2M=")</f>
        <v>#REF!</v>
      </c>
      <c r="CW318" t="e">
        <f>AND(#REF!,"AAAAAHhbX2Q=")</f>
        <v>#REF!</v>
      </c>
      <c r="CX318" t="e">
        <f>IF(#REF!,"AAAAAHhbX2U=",0)</f>
        <v>#REF!</v>
      </c>
      <c r="CY318" t="e">
        <f>AND(#REF!,"AAAAAHhbX2Y=")</f>
        <v>#REF!</v>
      </c>
      <c r="CZ318" t="e">
        <f>AND(#REF!,"AAAAAHhbX2c=")</f>
        <v>#REF!</v>
      </c>
      <c r="DA318" t="e">
        <f>AND(#REF!,"AAAAAHhbX2g=")</f>
        <v>#REF!</v>
      </c>
      <c r="DB318" t="e">
        <f>AND(#REF!,"AAAAAHhbX2k=")</f>
        <v>#REF!</v>
      </c>
      <c r="DC318" t="e">
        <f>AND(#REF!,"AAAAAHhbX2o=")</f>
        <v>#REF!</v>
      </c>
      <c r="DD318" t="e">
        <f>AND(#REF!,"AAAAAHhbX2s=")</f>
        <v>#REF!</v>
      </c>
      <c r="DE318" t="e">
        <f>AND(#REF!,"AAAAAHhbX2w=")</f>
        <v>#REF!</v>
      </c>
      <c r="DF318" t="e">
        <f>AND(#REF!,"AAAAAHhbX20=")</f>
        <v>#REF!</v>
      </c>
      <c r="DG318" t="e">
        <f>AND(#REF!,"AAAAAHhbX24=")</f>
        <v>#REF!</v>
      </c>
      <c r="DH318" t="e">
        <f>AND(#REF!,"AAAAAHhbX28=")</f>
        <v>#REF!</v>
      </c>
      <c r="DI318" t="e">
        <f>IF(#REF!,"AAAAAHhbX3A=",0)</f>
        <v>#REF!</v>
      </c>
      <c r="DJ318" t="e">
        <f>AND(#REF!,"AAAAAHhbX3E=")</f>
        <v>#REF!</v>
      </c>
      <c r="DK318" t="e">
        <f>AND(#REF!,"AAAAAHhbX3I=")</f>
        <v>#REF!</v>
      </c>
      <c r="DL318" t="e">
        <f>AND(#REF!,"AAAAAHhbX3M=")</f>
        <v>#REF!</v>
      </c>
      <c r="DM318" t="e">
        <f>AND(#REF!,"AAAAAHhbX3Q=")</f>
        <v>#REF!</v>
      </c>
      <c r="DN318" t="e">
        <f>AND(#REF!,"AAAAAHhbX3U=")</f>
        <v>#REF!</v>
      </c>
      <c r="DO318" t="e">
        <f>AND(#REF!,"AAAAAHhbX3Y=")</f>
        <v>#REF!</v>
      </c>
      <c r="DP318" t="e">
        <f>AND(#REF!,"AAAAAHhbX3c=")</f>
        <v>#REF!</v>
      </c>
      <c r="DQ318" t="e">
        <f>AND(#REF!,"AAAAAHhbX3g=")</f>
        <v>#REF!</v>
      </c>
      <c r="DR318" t="e">
        <f>AND(#REF!,"AAAAAHhbX3k=")</f>
        <v>#REF!</v>
      </c>
      <c r="DS318" t="e">
        <f>AND(#REF!,"AAAAAHhbX3o=")</f>
        <v>#REF!</v>
      </c>
      <c r="DT318" t="e">
        <f>IF(#REF!,"AAAAAHhbX3s=",0)</f>
        <v>#REF!</v>
      </c>
      <c r="DU318" t="e">
        <f>AND(#REF!,"AAAAAHhbX3w=")</f>
        <v>#REF!</v>
      </c>
      <c r="DV318" t="e">
        <f>AND(#REF!,"AAAAAHhbX30=")</f>
        <v>#REF!</v>
      </c>
      <c r="DW318" t="e">
        <f>AND(#REF!,"AAAAAHhbX34=")</f>
        <v>#REF!</v>
      </c>
      <c r="DX318" t="e">
        <f>AND(#REF!,"AAAAAHhbX38=")</f>
        <v>#REF!</v>
      </c>
      <c r="DY318" t="e">
        <f>AND(#REF!,"AAAAAHhbX4A=")</f>
        <v>#REF!</v>
      </c>
      <c r="DZ318" t="e">
        <f>AND(#REF!,"AAAAAHhbX4E=")</f>
        <v>#REF!</v>
      </c>
      <c r="EA318" t="e">
        <f>AND(#REF!,"AAAAAHhbX4I=")</f>
        <v>#REF!</v>
      </c>
      <c r="EB318" t="e">
        <f>AND(#REF!,"AAAAAHhbX4M=")</f>
        <v>#REF!</v>
      </c>
      <c r="EC318" t="e">
        <f>AND(#REF!,"AAAAAHhbX4Q=")</f>
        <v>#REF!</v>
      </c>
      <c r="ED318" t="e">
        <f>AND(#REF!,"AAAAAHhbX4U=")</f>
        <v>#REF!</v>
      </c>
      <c r="EE318" t="e">
        <f>IF(#REF!,"AAAAAHhbX4Y=",0)</f>
        <v>#REF!</v>
      </c>
      <c r="EF318" t="e">
        <f>AND(#REF!,"AAAAAHhbX4c=")</f>
        <v>#REF!</v>
      </c>
      <c r="EG318" t="e">
        <f>AND(#REF!,"AAAAAHhbX4g=")</f>
        <v>#REF!</v>
      </c>
      <c r="EH318" t="e">
        <f>AND(#REF!,"AAAAAHhbX4k=")</f>
        <v>#REF!</v>
      </c>
      <c r="EI318" t="e">
        <f>AND(#REF!,"AAAAAHhbX4o=")</f>
        <v>#REF!</v>
      </c>
      <c r="EJ318" t="e">
        <f>AND(#REF!,"AAAAAHhbX4s=")</f>
        <v>#REF!</v>
      </c>
      <c r="EK318" t="e">
        <f>AND(#REF!,"AAAAAHhbX4w=")</f>
        <v>#REF!</v>
      </c>
      <c r="EL318" t="e">
        <f>AND(#REF!,"AAAAAHhbX40=")</f>
        <v>#REF!</v>
      </c>
      <c r="EM318" t="e">
        <f>AND(#REF!,"AAAAAHhbX44=")</f>
        <v>#REF!</v>
      </c>
      <c r="EN318" t="e">
        <f>AND(#REF!,"AAAAAHhbX48=")</f>
        <v>#REF!</v>
      </c>
      <c r="EO318" t="e">
        <f>AND(#REF!,"AAAAAHhbX5A=")</f>
        <v>#REF!</v>
      </c>
      <c r="EP318" t="e">
        <f>IF(#REF!,"AAAAAHhbX5E=",0)</f>
        <v>#REF!</v>
      </c>
      <c r="EQ318" t="e">
        <f>AND(#REF!,"AAAAAHhbX5I=")</f>
        <v>#REF!</v>
      </c>
      <c r="ER318" t="e">
        <f>AND(#REF!,"AAAAAHhbX5M=")</f>
        <v>#REF!</v>
      </c>
      <c r="ES318" t="e">
        <f>AND(#REF!,"AAAAAHhbX5Q=")</f>
        <v>#REF!</v>
      </c>
      <c r="ET318" t="e">
        <f>AND(#REF!,"AAAAAHhbX5U=")</f>
        <v>#REF!</v>
      </c>
      <c r="EU318" t="e">
        <f>AND(#REF!,"AAAAAHhbX5Y=")</f>
        <v>#REF!</v>
      </c>
      <c r="EV318" t="e">
        <f>AND(#REF!,"AAAAAHhbX5c=")</f>
        <v>#REF!</v>
      </c>
      <c r="EW318" t="e">
        <f>AND(#REF!,"AAAAAHhbX5g=")</f>
        <v>#REF!</v>
      </c>
      <c r="EX318" t="e">
        <f>AND(#REF!,"AAAAAHhbX5k=")</f>
        <v>#REF!</v>
      </c>
      <c r="EY318" t="e">
        <f>AND(#REF!,"AAAAAHhbX5o=")</f>
        <v>#REF!</v>
      </c>
      <c r="EZ318" t="e">
        <f>AND(#REF!,"AAAAAHhbX5s=")</f>
        <v>#REF!</v>
      </c>
      <c r="FA318" t="e">
        <f>IF(#REF!,"AAAAAHhbX5w=",0)</f>
        <v>#REF!</v>
      </c>
      <c r="FB318" t="e">
        <f>AND(#REF!,"AAAAAHhbX50=")</f>
        <v>#REF!</v>
      </c>
      <c r="FC318" t="e">
        <f>AND(#REF!,"AAAAAHhbX54=")</f>
        <v>#REF!</v>
      </c>
      <c r="FD318" t="e">
        <f>AND(#REF!,"AAAAAHhbX58=")</f>
        <v>#REF!</v>
      </c>
      <c r="FE318" t="e">
        <f>AND(#REF!,"AAAAAHhbX6A=")</f>
        <v>#REF!</v>
      </c>
      <c r="FF318" t="e">
        <f>AND(#REF!,"AAAAAHhbX6E=")</f>
        <v>#REF!</v>
      </c>
      <c r="FG318" t="e">
        <f>AND(#REF!,"AAAAAHhbX6I=")</f>
        <v>#REF!</v>
      </c>
      <c r="FH318" t="e">
        <f>AND(#REF!,"AAAAAHhbX6M=")</f>
        <v>#REF!</v>
      </c>
      <c r="FI318" t="e">
        <f>AND(#REF!,"AAAAAHhbX6Q=")</f>
        <v>#REF!</v>
      </c>
      <c r="FJ318" t="e">
        <f>AND(#REF!,"AAAAAHhbX6U=")</f>
        <v>#REF!</v>
      </c>
      <c r="FK318" t="e">
        <f>AND(#REF!,"AAAAAHhbX6Y=")</f>
        <v>#REF!</v>
      </c>
      <c r="FL318" t="e">
        <f>IF(#REF!,"AAAAAHhbX6c=",0)</f>
        <v>#REF!</v>
      </c>
      <c r="FM318" t="e">
        <f>AND(#REF!,"AAAAAHhbX6g=")</f>
        <v>#REF!</v>
      </c>
      <c r="FN318" t="e">
        <f>AND(#REF!,"AAAAAHhbX6k=")</f>
        <v>#REF!</v>
      </c>
      <c r="FO318" t="e">
        <f>AND(#REF!,"AAAAAHhbX6o=")</f>
        <v>#REF!</v>
      </c>
      <c r="FP318" t="e">
        <f>AND(#REF!,"AAAAAHhbX6s=")</f>
        <v>#REF!</v>
      </c>
      <c r="FQ318" t="e">
        <f>AND(#REF!,"AAAAAHhbX6w=")</f>
        <v>#REF!</v>
      </c>
      <c r="FR318" t="e">
        <f>AND(#REF!,"AAAAAHhbX60=")</f>
        <v>#REF!</v>
      </c>
      <c r="FS318" t="e">
        <f>AND(#REF!,"AAAAAHhbX64=")</f>
        <v>#REF!</v>
      </c>
      <c r="FT318" t="e">
        <f>AND(#REF!,"AAAAAHhbX68=")</f>
        <v>#REF!</v>
      </c>
      <c r="FU318" t="e">
        <f>AND(#REF!,"AAAAAHhbX7A=")</f>
        <v>#REF!</v>
      </c>
      <c r="FV318" t="e">
        <f>AND(#REF!,"AAAAAHhbX7E=")</f>
        <v>#REF!</v>
      </c>
      <c r="FW318" t="e">
        <f>IF(#REF!,"AAAAAHhbX7I=",0)</f>
        <v>#REF!</v>
      </c>
      <c r="FX318" t="e">
        <f>AND(#REF!,"AAAAAHhbX7M=")</f>
        <v>#REF!</v>
      </c>
      <c r="FY318" t="e">
        <f>AND(#REF!,"AAAAAHhbX7Q=")</f>
        <v>#REF!</v>
      </c>
      <c r="FZ318" t="e">
        <f>AND(#REF!,"AAAAAHhbX7U=")</f>
        <v>#REF!</v>
      </c>
      <c r="GA318" t="e">
        <f>AND(#REF!,"AAAAAHhbX7Y=")</f>
        <v>#REF!</v>
      </c>
      <c r="GB318" t="e">
        <f>AND(#REF!,"AAAAAHhbX7c=")</f>
        <v>#REF!</v>
      </c>
      <c r="GC318" t="e">
        <f>AND(#REF!,"AAAAAHhbX7g=")</f>
        <v>#REF!</v>
      </c>
      <c r="GD318" t="e">
        <f>AND(#REF!,"AAAAAHhbX7k=")</f>
        <v>#REF!</v>
      </c>
      <c r="GE318" t="e">
        <f>AND(#REF!,"AAAAAHhbX7o=")</f>
        <v>#REF!</v>
      </c>
      <c r="GF318" t="e">
        <f>AND(#REF!,"AAAAAHhbX7s=")</f>
        <v>#REF!</v>
      </c>
      <c r="GG318" t="e">
        <f>AND(#REF!,"AAAAAHhbX7w=")</f>
        <v>#REF!</v>
      </c>
      <c r="GH318" t="e">
        <f>IF(#REF!,"AAAAAHhbX70=",0)</f>
        <v>#REF!</v>
      </c>
      <c r="GI318" t="e">
        <f>AND(#REF!,"AAAAAHhbX74=")</f>
        <v>#REF!</v>
      </c>
      <c r="GJ318" t="e">
        <f>AND(#REF!,"AAAAAHhbX78=")</f>
        <v>#REF!</v>
      </c>
      <c r="GK318" t="e">
        <f>AND(#REF!,"AAAAAHhbX8A=")</f>
        <v>#REF!</v>
      </c>
      <c r="GL318" t="e">
        <f>AND(#REF!,"AAAAAHhbX8E=")</f>
        <v>#REF!</v>
      </c>
      <c r="GM318" t="e">
        <f>AND(#REF!,"AAAAAHhbX8I=")</f>
        <v>#REF!</v>
      </c>
      <c r="GN318" t="e">
        <f>AND(#REF!,"AAAAAHhbX8M=")</f>
        <v>#REF!</v>
      </c>
      <c r="GO318" t="e">
        <f>AND(#REF!,"AAAAAHhbX8Q=")</f>
        <v>#REF!</v>
      </c>
      <c r="GP318" t="e">
        <f>AND(#REF!,"AAAAAHhbX8U=")</f>
        <v>#REF!</v>
      </c>
      <c r="GQ318" t="e">
        <f>AND(#REF!,"AAAAAHhbX8Y=")</f>
        <v>#REF!</v>
      </c>
      <c r="GR318" t="e">
        <f>AND(#REF!,"AAAAAHhbX8c=")</f>
        <v>#REF!</v>
      </c>
      <c r="GS318" t="e">
        <f>IF(#REF!,"AAAAAHhbX8g=",0)</f>
        <v>#REF!</v>
      </c>
      <c r="GT318" t="e">
        <f>AND(#REF!,"AAAAAHhbX8k=")</f>
        <v>#REF!</v>
      </c>
      <c r="GU318" t="e">
        <f>AND(#REF!,"AAAAAHhbX8o=")</f>
        <v>#REF!</v>
      </c>
      <c r="GV318" t="e">
        <f>AND(#REF!,"AAAAAHhbX8s=")</f>
        <v>#REF!</v>
      </c>
      <c r="GW318" t="e">
        <f>AND(#REF!,"AAAAAHhbX8w=")</f>
        <v>#REF!</v>
      </c>
      <c r="GX318" t="e">
        <f>AND(#REF!,"AAAAAHhbX80=")</f>
        <v>#REF!</v>
      </c>
      <c r="GY318" t="e">
        <f>AND(#REF!,"AAAAAHhbX84=")</f>
        <v>#REF!</v>
      </c>
      <c r="GZ318" t="e">
        <f>AND(#REF!,"AAAAAHhbX88=")</f>
        <v>#REF!</v>
      </c>
      <c r="HA318" t="e">
        <f>AND(#REF!,"AAAAAHhbX9A=")</f>
        <v>#REF!</v>
      </c>
      <c r="HB318" t="e">
        <f>AND(#REF!,"AAAAAHhbX9E=")</f>
        <v>#REF!</v>
      </c>
      <c r="HC318" t="e">
        <f>AND(#REF!,"AAAAAHhbX9I=")</f>
        <v>#REF!</v>
      </c>
      <c r="HD318" t="e">
        <f>IF(#REF!,"AAAAAHhbX9M=",0)</f>
        <v>#REF!</v>
      </c>
      <c r="HE318" t="e">
        <f>AND(#REF!,"AAAAAHhbX9Q=")</f>
        <v>#REF!</v>
      </c>
      <c r="HF318" t="e">
        <f>AND(#REF!,"AAAAAHhbX9U=")</f>
        <v>#REF!</v>
      </c>
      <c r="HG318" t="e">
        <f>AND(#REF!,"AAAAAHhbX9Y=")</f>
        <v>#REF!</v>
      </c>
      <c r="HH318" t="e">
        <f>AND(#REF!,"AAAAAHhbX9c=")</f>
        <v>#REF!</v>
      </c>
      <c r="HI318" t="e">
        <f>AND(#REF!,"AAAAAHhbX9g=")</f>
        <v>#REF!</v>
      </c>
      <c r="HJ318" t="e">
        <f>AND(#REF!,"AAAAAHhbX9k=")</f>
        <v>#REF!</v>
      </c>
      <c r="HK318" t="e">
        <f>AND(#REF!,"AAAAAHhbX9o=")</f>
        <v>#REF!</v>
      </c>
      <c r="HL318" t="e">
        <f>AND(#REF!,"AAAAAHhbX9s=")</f>
        <v>#REF!</v>
      </c>
      <c r="HM318" t="e">
        <f>AND(#REF!,"AAAAAHhbX9w=")</f>
        <v>#REF!</v>
      </c>
      <c r="HN318" t="e">
        <f>AND(#REF!,"AAAAAHhbX90=")</f>
        <v>#REF!</v>
      </c>
      <c r="HO318" t="e">
        <f>IF(#REF!,"AAAAAHhbX94=",0)</f>
        <v>#REF!</v>
      </c>
      <c r="HP318" t="e">
        <f>AND(#REF!,"AAAAAHhbX98=")</f>
        <v>#REF!</v>
      </c>
      <c r="HQ318" t="e">
        <f>AND(#REF!,"AAAAAHhbX+A=")</f>
        <v>#REF!</v>
      </c>
      <c r="HR318" t="e">
        <f>AND(#REF!,"AAAAAHhbX+E=")</f>
        <v>#REF!</v>
      </c>
      <c r="HS318" t="e">
        <f>AND(#REF!,"AAAAAHhbX+I=")</f>
        <v>#REF!</v>
      </c>
      <c r="HT318" t="e">
        <f>AND(#REF!,"AAAAAHhbX+M=")</f>
        <v>#REF!</v>
      </c>
      <c r="HU318" t="e">
        <f>AND(#REF!,"AAAAAHhbX+Q=")</f>
        <v>#REF!</v>
      </c>
      <c r="HV318" t="e">
        <f>AND(#REF!,"AAAAAHhbX+U=")</f>
        <v>#REF!</v>
      </c>
      <c r="HW318" t="e">
        <f>AND(#REF!,"AAAAAHhbX+Y=")</f>
        <v>#REF!</v>
      </c>
      <c r="HX318" t="e">
        <f>AND(#REF!,"AAAAAHhbX+c=")</f>
        <v>#REF!</v>
      </c>
      <c r="HY318" t="e">
        <f>AND(#REF!,"AAAAAHhbX+g=")</f>
        <v>#REF!</v>
      </c>
      <c r="HZ318" t="e">
        <f>IF(#REF!,"AAAAAHhbX+k=",0)</f>
        <v>#REF!</v>
      </c>
      <c r="IA318" t="e">
        <f>AND(#REF!,"AAAAAHhbX+o=")</f>
        <v>#REF!</v>
      </c>
      <c r="IB318" t="e">
        <f>AND(#REF!,"AAAAAHhbX+s=")</f>
        <v>#REF!</v>
      </c>
      <c r="IC318" t="e">
        <f>AND(#REF!,"AAAAAHhbX+w=")</f>
        <v>#REF!</v>
      </c>
      <c r="ID318" t="e">
        <f>AND(#REF!,"AAAAAHhbX+0=")</f>
        <v>#REF!</v>
      </c>
      <c r="IE318" t="e">
        <f>AND(#REF!,"AAAAAHhbX+4=")</f>
        <v>#REF!</v>
      </c>
      <c r="IF318" t="e">
        <f>AND(#REF!,"AAAAAHhbX+8=")</f>
        <v>#REF!</v>
      </c>
      <c r="IG318" t="e">
        <f>AND(#REF!,"AAAAAHhbX/A=")</f>
        <v>#REF!</v>
      </c>
      <c r="IH318" t="e">
        <f>AND(#REF!,"AAAAAHhbX/E=")</f>
        <v>#REF!</v>
      </c>
      <c r="II318" t="e">
        <f>AND(#REF!,"AAAAAHhbX/I=")</f>
        <v>#REF!</v>
      </c>
      <c r="IJ318" t="e">
        <f>AND(#REF!,"AAAAAHhbX/M=")</f>
        <v>#REF!</v>
      </c>
      <c r="IK318" t="e">
        <f>IF(#REF!,"AAAAAHhbX/Q=",0)</f>
        <v>#REF!</v>
      </c>
      <c r="IL318" t="e">
        <f>AND(#REF!,"AAAAAHhbX/U=")</f>
        <v>#REF!</v>
      </c>
      <c r="IM318" t="e">
        <f>AND(#REF!,"AAAAAHhbX/Y=")</f>
        <v>#REF!</v>
      </c>
      <c r="IN318" t="e">
        <f>AND(#REF!,"AAAAAHhbX/c=")</f>
        <v>#REF!</v>
      </c>
      <c r="IO318" t="e">
        <f>AND(#REF!,"AAAAAHhbX/g=")</f>
        <v>#REF!</v>
      </c>
      <c r="IP318" t="e">
        <f>AND(#REF!,"AAAAAHhbX/k=")</f>
        <v>#REF!</v>
      </c>
      <c r="IQ318" t="e">
        <f>AND(#REF!,"AAAAAHhbX/o=")</f>
        <v>#REF!</v>
      </c>
      <c r="IR318" t="e">
        <f>AND(#REF!,"AAAAAHhbX/s=")</f>
        <v>#REF!</v>
      </c>
      <c r="IS318" t="e">
        <f>AND(#REF!,"AAAAAHhbX/w=")</f>
        <v>#REF!</v>
      </c>
      <c r="IT318" t="e">
        <f>AND(#REF!,"AAAAAHhbX/0=")</f>
        <v>#REF!</v>
      </c>
      <c r="IU318" t="e">
        <f>AND(#REF!,"AAAAAHhbX/4=")</f>
        <v>#REF!</v>
      </c>
      <c r="IV318" t="e">
        <f>IF(#REF!,"AAAAAHhbX/8=",0)</f>
        <v>#REF!</v>
      </c>
    </row>
    <row r="319" spans="1:256" x14ac:dyDescent="0.25">
      <c r="A319" t="e">
        <f>AND(#REF!,"AAAAAB3f3wA=")</f>
        <v>#REF!</v>
      </c>
      <c r="B319" t="e">
        <f>AND(#REF!,"AAAAAB3f3wE=")</f>
        <v>#REF!</v>
      </c>
      <c r="C319" t="e">
        <f>AND(#REF!,"AAAAAB3f3wI=")</f>
        <v>#REF!</v>
      </c>
      <c r="D319" t="e">
        <f>AND(#REF!,"AAAAAB3f3wM=")</f>
        <v>#REF!</v>
      </c>
      <c r="E319" t="e">
        <f>AND(#REF!,"AAAAAB3f3wQ=")</f>
        <v>#REF!</v>
      </c>
      <c r="F319" t="e">
        <f>AND(#REF!,"AAAAAB3f3wU=")</f>
        <v>#REF!</v>
      </c>
      <c r="G319" t="e">
        <f>AND(#REF!,"AAAAAB3f3wY=")</f>
        <v>#REF!</v>
      </c>
      <c r="H319" t="e">
        <f>AND(#REF!,"AAAAAB3f3wc=")</f>
        <v>#REF!</v>
      </c>
      <c r="I319" t="e">
        <f>AND(#REF!,"AAAAAB3f3wg=")</f>
        <v>#REF!</v>
      </c>
      <c r="J319" t="e">
        <f>AND(#REF!,"AAAAAB3f3wk=")</f>
        <v>#REF!</v>
      </c>
      <c r="K319" t="e">
        <f>IF(#REF!,"AAAAAB3f3wo=",0)</f>
        <v>#REF!</v>
      </c>
      <c r="L319" t="e">
        <f>AND(#REF!,"AAAAAB3f3ws=")</f>
        <v>#REF!</v>
      </c>
      <c r="M319" t="e">
        <f>AND(#REF!,"AAAAAB3f3ww=")</f>
        <v>#REF!</v>
      </c>
      <c r="N319" t="e">
        <f>AND(#REF!,"AAAAAB3f3w0=")</f>
        <v>#REF!</v>
      </c>
      <c r="O319" t="e">
        <f>AND(#REF!,"AAAAAB3f3w4=")</f>
        <v>#REF!</v>
      </c>
      <c r="P319" t="e">
        <f>AND(#REF!,"AAAAAB3f3w8=")</f>
        <v>#REF!</v>
      </c>
      <c r="Q319" t="e">
        <f>AND(#REF!,"AAAAAB3f3xA=")</f>
        <v>#REF!</v>
      </c>
      <c r="R319" t="e">
        <f>AND(#REF!,"AAAAAB3f3xE=")</f>
        <v>#REF!</v>
      </c>
      <c r="S319" t="e">
        <f>AND(#REF!,"AAAAAB3f3xI=")</f>
        <v>#REF!</v>
      </c>
      <c r="T319" t="e">
        <f>AND(#REF!,"AAAAAB3f3xM=")</f>
        <v>#REF!</v>
      </c>
      <c r="U319" t="e">
        <f>AND(#REF!,"AAAAAB3f3xQ=")</f>
        <v>#REF!</v>
      </c>
      <c r="V319" t="e">
        <f>IF(#REF!,"AAAAAB3f3xU=",0)</f>
        <v>#REF!</v>
      </c>
      <c r="W319" t="e">
        <f>AND(#REF!,"AAAAAB3f3xY=")</f>
        <v>#REF!</v>
      </c>
      <c r="X319" t="e">
        <f>AND(#REF!,"AAAAAB3f3xc=")</f>
        <v>#REF!</v>
      </c>
      <c r="Y319" t="e">
        <f>AND(#REF!,"AAAAAB3f3xg=")</f>
        <v>#REF!</v>
      </c>
      <c r="Z319" t="e">
        <f>AND(#REF!,"AAAAAB3f3xk=")</f>
        <v>#REF!</v>
      </c>
      <c r="AA319" t="e">
        <f>AND(#REF!,"AAAAAB3f3xo=")</f>
        <v>#REF!</v>
      </c>
      <c r="AB319" t="e">
        <f>AND(#REF!,"AAAAAB3f3xs=")</f>
        <v>#REF!</v>
      </c>
      <c r="AC319" t="e">
        <f>AND(#REF!,"AAAAAB3f3xw=")</f>
        <v>#REF!</v>
      </c>
      <c r="AD319" t="e">
        <f>AND(#REF!,"AAAAAB3f3x0=")</f>
        <v>#REF!</v>
      </c>
      <c r="AE319" t="e">
        <f>AND(#REF!,"AAAAAB3f3x4=")</f>
        <v>#REF!</v>
      </c>
      <c r="AF319" t="e">
        <f>AND(#REF!,"AAAAAB3f3x8=")</f>
        <v>#REF!</v>
      </c>
      <c r="AG319" t="e">
        <f>IF(#REF!,"AAAAAB3f3yA=",0)</f>
        <v>#REF!</v>
      </c>
      <c r="AH319" t="e">
        <f>AND(#REF!,"AAAAAB3f3yE=")</f>
        <v>#REF!</v>
      </c>
      <c r="AI319" t="e">
        <f>AND(#REF!,"AAAAAB3f3yI=")</f>
        <v>#REF!</v>
      </c>
      <c r="AJ319" t="e">
        <f>AND(#REF!,"AAAAAB3f3yM=")</f>
        <v>#REF!</v>
      </c>
      <c r="AK319" t="e">
        <f>AND(#REF!,"AAAAAB3f3yQ=")</f>
        <v>#REF!</v>
      </c>
      <c r="AL319" t="e">
        <f>AND(#REF!,"AAAAAB3f3yU=")</f>
        <v>#REF!</v>
      </c>
      <c r="AM319" t="e">
        <f>AND(#REF!,"AAAAAB3f3yY=")</f>
        <v>#REF!</v>
      </c>
      <c r="AN319" t="e">
        <f>AND(#REF!,"AAAAAB3f3yc=")</f>
        <v>#REF!</v>
      </c>
      <c r="AO319" t="e">
        <f>AND(#REF!,"AAAAAB3f3yg=")</f>
        <v>#REF!</v>
      </c>
      <c r="AP319" t="e">
        <f>AND(#REF!,"AAAAAB3f3yk=")</f>
        <v>#REF!</v>
      </c>
      <c r="AQ319" t="e">
        <f>AND(#REF!,"AAAAAB3f3yo=")</f>
        <v>#REF!</v>
      </c>
      <c r="AR319" t="e">
        <f>IF(#REF!,"AAAAAB3f3ys=",0)</f>
        <v>#REF!</v>
      </c>
      <c r="AS319" t="e">
        <f>AND(#REF!,"AAAAAB3f3yw=")</f>
        <v>#REF!</v>
      </c>
      <c r="AT319" t="e">
        <f>AND(#REF!,"AAAAAB3f3y0=")</f>
        <v>#REF!</v>
      </c>
      <c r="AU319" t="e">
        <f>AND(#REF!,"AAAAAB3f3y4=")</f>
        <v>#REF!</v>
      </c>
      <c r="AV319" t="e">
        <f>AND(#REF!,"AAAAAB3f3y8=")</f>
        <v>#REF!</v>
      </c>
      <c r="AW319" t="e">
        <f>AND(#REF!,"AAAAAB3f3zA=")</f>
        <v>#REF!</v>
      </c>
      <c r="AX319" t="e">
        <f>AND(#REF!,"AAAAAB3f3zE=")</f>
        <v>#REF!</v>
      </c>
      <c r="AY319" t="e">
        <f>AND(#REF!,"AAAAAB3f3zI=")</f>
        <v>#REF!</v>
      </c>
      <c r="AZ319" t="e">
        <f>AND(#REF!,"AAAAAB3f3zM=")</f>
        <v>#REF!</v>
      </c>
      <c r="BA319" t="e">
        <f>AND(#REF!,"AAAAAB3f3zQ=")</f>
        <v>#REF!</v>
      </c>
      <c r="BB319" t="e">
        <f>AND(#REF!,"AAAAAB3f3zU=")</f>
        <v>#REF!</v>
      </c>
      <c r="BC319" t="e">
        <f>IF(#REF!,"AAAAAB3f3zY=",0)</f>
        <v>#REF!</v>
      </c>
      <c r="BD319" t="e">
        <f>AND(#REF!,"AAAAAB3f3zc=")</f>
        <v>#REF!</v>
      </c>
      <c r="BE319" t="e">
        <f>AND(#REF!,"AAAAAB3f3zg=")</f>
        <v>#REF!</v>
      </c>
      <c r="BF319" t="e">
        <f>AND(#REF!,"AAAAAB3f3zk=")</f>
        <v>#REF!</v>
      </c>
      <c r="BG319" t="e">
        <f>AND(#REF!,"AAAAAB3f3zo=")</f>
        <v>#REF!</v>
      </c>
      <c r="BH319" t="e">
        <f>AND(#REF!,"AAAAAB3f3zs=")</f>
        <v>#REF!</v>
      </c>
      <c r="BI319" t="e">
        <f>AND(#REF!,"AAAAAB3f3zw=")</f>
        <v>#REF!</v>
      </c>
      <c r="BJ319" t="e">
        <f>AND(#REF!,"AAAAAB3f3z0=")</f>
        <v>#REF!</v>
      </c>
      <c r="BK319" t="e">
        <f>AND(#REF!,"AAAAAB3f3z4=")</f>
        <v>#REF!</v>
      </c>
      <c r="BL319" t="e">
        <f>AND(#REF!,"AAAAAB3f3z8=")</f>
        <v>#REF!</v>
      </c>
      <c r="BM319" t="e">
        <f>AND(#REF!,"AAAAAB3f30A=")</f>
        <v>#REF!</v>
      </c>
      <c r="BN319" t="e">
        <f>IF(#REF!,"AAAAAB3f30E=",0)</f>
        <v>#REF!</v>
      </c>
      <c r="BO319" t="e">
        <f>AND(#REF!,"AAAAAB3f30I=")</f>
        <v>#REF!</v>
      </c>
      <c r="BP319" t="e">
        <f>AND(#REF!,"AAAAAB3f30M=")</f>
        <v>#REF!</v>
      </c>
      <c r="BQ319" t="e">
        <f>AND(#REF!,"AAAAAB3f30Q=")</f>
        <v>#REF!</v>
      </c>
      <c r="BR319" t="e">
        <f>AND(#REF!,"AAAAAB3f30U=")</f>
        <v>#REF!</v>
      </c>
      <c r="BS319" t="e">
        <f>AND(#REF!,"AAAAAB3f30Y=")</f>
        <v>#REF!</v>
      </c>
      <c r="BT319" t="e">
        <f>AND(#REF!,"AAAAAB3f30c=")</f>
        <v>#REF!</v>
      </c>
      <c r="BU319" t="e">
        <f>AND(#REF!,"AAAAAB3f30g=")</f>
        <v>#REF!</v>
      </c>
      <c r="BV319" t="e">
        <f>AND(#REF!,"AAAAAB3f30k=")</f>
        <v>#REF!</v>
      </c>
      <c r="BW319" t="e">
        <f>AND(#REF!,"AAAAAB3f30o=")</f>
        <v>#REF!</v>
      </c>
      <c r="BX319" t="e">
        <f>AND(#REF!,"AAAAAB3f30s=")</f>
        <v>#REF!</v>
      </c>
      <c r="BY319" t="e">
        <f>IF(#REF!,"AAAAAB3f30w=",0)</f>
        <v>#REF!</v>
      </c>
      <c r="BZ319" t="e">
        <f>AND(#REF!,"AAAAAB3f300=")</f>
        <v>#REF!</v>
      </c>
      <c r="CA319" t="e">
        <f>AND(#REF!,"AAAAAB3f304=")</f>
        <v>#REF!</v>
      </c>
      <c r="CB319" t="e">
        <f>AND(#REF!,"AAAAAB3f308=")</f>
        <v>#REF!</v>
      </c>
      <c r="CC319" t="e">
        <f>AND(#REF!,"AAAAAB3f31A=")</f>
        <v>#REF!</v>
      </c>
      <c r="CD319" t="e">
        <f>AND(#REF!,"AAAAAB3f31E=")</f>
        <v>#REF!</v>
      </c>
      <c r="CE319" t="e">
        <f>AND(#REF!,"AAAAAB3f31I=")</f>
        <v>#REF!</v>
      </c>
      <c r="CF319" t="e">
        <f>AND(#REF!,"AAAAAB3f31M=")</f>
        <v>#REF!</v>
      </c>
      <c r="CG319" t="e">
        <f>AND(#REF!,"AAAAAB3f31Q=")</f>
        <v>#REF!</v>
      </c>
      <c r="CH319" t="e">
        <f>AND(#REF!,"AAAAAB3f31U=")</f>
        <v>#REF!</v>
      </c>
      <c r="CI319" t="e">
        <f>AND(#REF!,"AAAAAB3f31Y=")</f>
        <v>#REF!</v>
      </c>
      <c r="CJ319" t="e">
        <f>IF(#REF!,"AAAAAB3f31c=",0)</f>
        <v>#REF!</v>
      </c>
      <c r="CK319" t="e">
        <f>AND(#REF!,"AAAAAB3f31g=")</f>
        <v>#REF!</v>
      </c>
      <c r="CL319" t="e">
        <f>AND(#REF!,"AAAAAB3f31k=")</f>
        <v>#REF!</v>
      </c>
      <c r="CM319" t="e">
        <f>AND(#REF!,"AAAAAB3f31o=")</f>
        <v>#REF!</v>
      </c>
      <c r="CN319" t="e">
        <f>AND(#REF!,"AAAAAB3f31s=")</f>
        <v>#REF!</v>
      </c>
      <c r="CO319" t="e">
        <f>AND(#REF!,"AAAAAB3f31w=")</f>
        <v>#REF!</v>
      </c>
      <c r="CP319" t="e">
        <f>AND(#REF!,"AAAAAB3f310=")</f>
        <v>#REF!</v>
      </c>
      <c r="CQ319" t="e">
        <f>AND(#REF!,"AAAAAB3f314=")</f>
        <v>#REF!</v>
      </c>
      <c r="CR319" t="e">
        <f>AND(#REF!,"AAAAAB3f318=")</f>
        <v>#REF!</v>
      </c>
      <c r="CS319" t="e">
        <f>AND(#REF!,"AAAAAB3f32A=")</f>
        <v>#REF!</v>
      </c>
      <c r="CT319" t="e">
        <f>AND(#REF!,"AAAAAB3f32E=")</f>
        <v>#REF!</v>
      </c>
      <c r="CU319" t="e">
        <f>IF(#REF!,"AAAAAB3f32I=",0)</f>
        <v>#REF!</v>
      </c>
      <c r="CV319" t="e">
        <f>AND(#REF!,"AAAAAB3f32M=")</f>
        <v>#REF!</v>
      </c>
      <c r="CW319" t="e">
        <f>AND(#REF!,"AAAAAB3f32Q=")</f>
        <v>#REF!</v>
      </c>
      <c r="CX319" t="e">
        <f>AND(#REF!,"AAAAAB3f32U=")</f>
        <v>#REF!</v>
      </c>
      <c r="CY319" t="e">
        <f>AND(#REF!,"AAAAAB3f32Y=")</f>
        <v>#REF!</v>
      </c>
      <c r="CZ319" t="e">
        <f>AND(#REF!,"AAAAAB3f32c=")</f>
        <v>#REF!</v>
      </c>
      <c r="DA319" t="e">
        <f>AND(#REF!,"AAAAAB3f32g=")</f>
        <v>#REF!</v>
      </c>
      <c r="DB319" t="e">
        <f>AND(#REF!,"AAAAAB3f32k=")</f>
        <v>#REF!</v>
      </c>
      <c r="DC319" t="e">
        <f>AND(#REF!,"AAAAAB3f32o=")</f>
        <v>#REF!</v>
      </c>
      <c r="DD319" t="e">
        <f>AND(#REF!,"AAAAAB3f32s=")</f>
        <v>#REF!</v>
      </c>
      <c r="DE319" t="e">
        <f>AND(#REF!,"AAAAAB3f32w=")</f>
        <v>#REF!</v>
      </c>
      <c r="DF319" t="e">
        <f>IF(#REF!,"AAAAAB3f320=",0)</f>
        <v>#REF!</v>
      </c>
      <c r="DG319" t="e">
        <f>AND(#REF!,"AAAAAB3f324=")</f>
        <v>#REF!</v>
      </c>
      <c r="DH319" t="e">
        <f>AND(#REF!,"AAAAAB3f328=")</f>
        <v>#REF!</v>
      </c>
      <c r="DI319" t="e">
        <f>AND(#REF!,"AAAAAB3f33A=")</f>
        <v>#REF!</v>
      </c>
      <c r="DJ319" t="e">
        <f>AND(#REF!,"AAAAAB3f33E=")</f>
        <v>#REF!</v>
      </c>
      <c r="DK319" t="e">
        <f>AND(#REF!,"AAAAAB3f33I=")</f>
        <v>#REF!</v>
      </c>
      <c r="DL319" t="e">
        <f>AND(#REF!,"AAAAAB3f33M=")</f>
        <v>#REF!</v>
      </c>
      <c r="DM319" t="e">
        <f>AND(#REF!,"AAAAAB3f33Q=")</f>
        <v>#REF!</v>
      </c>
      <c r="DN319" t="e">
        <f>AND(#REF!,"AAAAAB3f33U=")</f>
        <v>#REF!</v>
      </c>
      <c r="DO319" t="e">
        <f>AND(#REF!,"AAAAAB3f33Y=")</f>
        <v>#REF!</v>
      </c>
      <c r="DP319" t="e">
        <f>AND(#REF!,"AAAAAB3f33c=")</f>
        <v>#REF!</v>
      </c>
      <c r="DQ319" t="e">
        <f>IF(#REF!,"AAAAAB3f33g=",0)</f>
        <v>#REF!</v>
      </c>
      <c r="DR319" t="e">
        <f>AND(#REF!,"AAAAAB3f33k=")</f>
        <v>#REF!</v>
      </c>
      <c r="DS319" t="e">
        <f>AND(#REF!,"AAAAAB3f33o=")</f>
        <v>#REF!</v>
      </c>
      <c r="DT319" t="e">
        <f>AND(#REF!,"AAAAAB3f33s=")</f>
        <v>#REF!</v>
      </c>
      <c r="DU319" t="e">
        <f>AND(#REF!,"AAAAAB3f33w=")</f>
        <v>#REF!</v>
      </c>
      <c r="DV319" t="e">
        <f>AND(#REF!,"AAAAAB3f330=")</f>
        <v>#REF!</v>
      </c>
      <c r="DW319" t="e">
        <f>AND(#REF!,"AAAAAB3f334=")</f>
        <v>#REF!</v>
      </c>
      <c r="DX319" t="e">
        <f>AND(#REF!,"AAAAAB3f338=")</f>
        <v>#REF!</v>
      </c>
      <c r="DY319" t="e">
        <f>AND(#REF!,"AAAAAB3f34A=")</f>
        <v>#REF!</v>
      </c>
      <c r="DZ319" t="e">
        <f>AND(#REF!,"AAAAAB3f34E=")</f>
        <v>#REF!</v>
      </c>
      <c r="EA319" t="e">
        <f>AND(#REF!,"AAAAAB3f34I=")</f>
        <v>#REF!</v>
      </c>
      <c r="EB319" t="e">
        <f>IF(#REF!,"AAAAAB3f34M=",0)</f>
        <v>#REF!</v>
      </c>
      <c r="EC319" t="e">
        <f>AND(#REF!,"AAAAAB3f34Q=")</f>
        <v>#REF!</v>
      </c>
      <c r="ED319" t="e">
        <f>AND(#REF!,"AAAAAB3f34U=")</f>
        <v>#REF!</v>
      </c>
      <c r="EE319" t="e">
        <f>AND(#REF!,"AAAAAB3f34Y=")</f>
        <v>#REF!</v>
      </c>
      <c r="EF319" t="e">
        <f>AND(#REF!,"AAAAAB3f34c=")</f>
        <v>#REF!</v>
      </c>
      <c r="EG319" t="e">
        <f>AND(#REF!,"AAAAAB3f34g=")</f>
        <v>#REF!</v>
      </c>
      <c r="EH319" t="e">
        <f>AND(#REF!,"AAAAAB3f34k=")</f>
        <v>#REF!</v>
      </c>
      <c r="EI319" t="e">
        <f>AND(#REF!,"AAAAAB3f34o=")</f>
        <v>#REF!</v>
      </c>
      <c r="EJ319" t="e">
        <f>AND(#REF!,"AAAAAB3f34s=")</f>
        <v>#REF!</v>
      </c>
      <c r="EK319" t="e">
        <f>AND(#REF!,"AAAAAB3f34w=")</f>
        <v>#REF!</v>
      </c>
      <c r="EL319" t="e">
        <f>AND(#REF!,"AAAAAB3f340=")</f>
        <v>#REF!</v>
      </c>
      <c r="EM319" t="e">
        <f>IF(#REF!,"AAAAAB3f344=",0)</f>
        <v>#REF!</v>
      </c>
      <c r="EN319" t="e">
        <f>AND(#REF!,"AAAAAB3f348=")</f>
        <v>#REF!</v>
      </c>
      <c r="EO319" t="e">
        <f>AND(#REF!,"AAAAAB3f35A=")</f>
        <v>#REF!</v>
      </c>
      <c r="EP319" t="e">
        <f>AND(#REF!,"AAAAAB3f35E=")</f>
        <v>#REF!</v>
      </c>
      <c r="EQ319" t="e">
        <f>AND(#REF!,"AAAAAB3f35I=")</f>
        <v>#REF!</v>
      </c>
      <c r="ER319" t="e">
        <f>AND(#REF!,"AAAAAB3f35M=")</f>
        <v>#REF!</v>
      </c>
      <c r="ES319" t="e">
        <f>AND(#REF!,"AAAAAB3f35Q=")</f>
        <v>#REF!</v>
      </c>
      <c r="ET319" t="e">
        <f>AND(#REF!,"AAAAAB3f35U=")</f>
        <v>#REF!</v>
      </c>
      <c r="EU319" t="e">
        <f>AND(#REF!,"AAAAAB3f35Y=")</f>
        <v>#REF!</v>
      </c>
      <c r="EV319" t="e">
        <f>AND(#REF!,"AAAAAB3f35c=")</f>
        <v>#REF!</v>
      </c>
      <c r="EW319" t="e">
        <f>AND(#REF!,"AAAAAB3f35g=")</f>
        <v>#REF!</v>
      </c>
      <c r="EX319" t="e">
        <f>IF(#REF!,"AAAAAB3f35k=",0)</f>
        <v>#REF!</v>
      </c>
      <c r="EY319" t="e">
        <f>AND(#REF!,"AAAAAB3f35o=")</f>
        <v>#REF!</v>
      </c>
      <c r="EZ319" t="e">
        <f>AND(#REF!,"AAAAAB3f35s=")</f>
        <v>#REF!</v>
      </c>
      <c r="FA319" t="e">
        <f>AND(#REF!,"AAAAAB3f35w=")</f>
        <v>#REF!</v>
      </c>
      <c r="FB319" t="e">
        <f>AND(#REF!,"AAAAAB3f350=")</f>
        <v>#REF!</v>
      </c>
      <c r="FC319" t="e">
        <f>AND(#REF!,"AAAAAB3f354=")</f>
        <v>#REF!</v>
      </c>
      <c r="FD319" t="e">
        <f>AND(#REF!,"AAAAAB3f358=")</f>
        <v>#REF!</v>
      </c>
      <c r="FE319" t="e">
        <f>AND(#REF!,"AAAAAB3f36A=")</f>
        <v>#REF!</v>
      </c>
      <c r="FF319" t="e">
        <f>AND(#REF!,"AAAAAB3f36E=")</f>
        <v>#REF!</v>
      </c>
      <c r="FG319" t="e">
        <f>AND(#REF!,"AAAAAB3f36I=")</f>
        <v>#REF!</v>
      </c>
      <c r="FH319" t="e">
        <f>AND(#REF!,"AAAAAB3f36M=")</f>
        <v>#REF!</v>
      </c>
      <c r="FI319" t="e">
        <f>IF(#REF!,"AAAAAB3f36Q=",0)</f>
        <v>#REF!</v>
      </c>
      <c r="FJ319" t="e">
        <f>AND(#REF!,"AAAAAB3f36U=")</f>
        <v>#REF!</v>
      </c>
      <c r="FK319" t="e">
        <f>AND(#REF!,"AAAAAB3f36Y=")</f>
        <v>#REF!</v>
      </c>
      <c r="FL319" t="e">
        <f>AND(#REF!,"AAAAAB3f36c=")</f>
        <v>#REF!</v>
      </c>
      <c r="FM319" t="e">
        <f>AND(#REF!,"AAAAAB3f36g=")</f>
        <v>#REF!</v>
      </c>
      <c r="FN319" t="e">
        <f>AND(#REF!,"AAAAAB3f36k=")</f>
        <v>#REF!</v>
      </c>
      <c r="FO319" t="e">
        <f>AND(#REF!,"AAAAAB3f36o=")</f>
        <v>#REF!</v>
      </c>
      <c r="FP319" t="e">
        <f>AND(#REF!,"AAAAAB3f36s=")</f>
        <v>#REF!</v>
      </c>
      <c r="FQ319" t="e">
        <f>AND(#REF!,"AAAAAB3f36w=")</f>
        <v>#REF!</v>
      </c>
      <c r="FR319" t="e">
        <f>AND(#REF!,"AAAAAB3f360=")</f>
        <v>#REF!</v>
      </c>
      <c r="FS319" t="e">
        <f>AND(#REF!,"AAAAAB3f364=")</f>
        <v>#REF!</v>
      </c>
      <c r="FT319" t="e">
        <f>IF(#REF!,"AAAAAB3f368=",0)</f>
        <v>#REF!</v>
      </c>
      <c r="FU319" t="e">
        <f>AND(#REF!,"AAAAAB3f37A=")</f>
        <v>#REF!</v>
      </c>
      <c r="FV319" t="e">
        <f>AND(#REF!,"AAAAAB3f37E=")</f>
        <v>#REF!</v>
      </c>
      <c r="FW319" t="e">
        <f>AND(#REF!,"AAAAAB3f37I=")</f>
        <v>#REF!</v>
      </c>
      <c r="FX319" t="e">
        <f>AND(#REF!,"AAAAAB3f37M=")</f>
        <v>#REF!</v>
      </c>
      <c r="FY319" t="e">
        <f>AND(#REF!,"AAAAAB3f37Q=")</f>
        <v>#REF!</v>
      </c>
      <c r="FZ319" t="e">
        <f>AND(#REF!,"AAAAAB3f37U=")</f>
        <v>#REF!</v>
      </c>
      <c r="GA319" t="e">
        <f>AND(#REF!,"AAAAAB3f37Y=")</f>
        <v>#REF!</v>
      </c>
      <c r="GB319" t="e">
        <f>AND(#REF!,"AAAAAB3f37c=")</f>
        <v>#REF!</v>
      </c>
      <c r="GC319" t="e">
        <f>AND(#REF!,"AAAAAB3f37g=")</f>
        <v>#REF!</v>
      </c>
      <c r="GD319" t="e">
        <f>AND(#REF!,"AAAAAB3f37k=")</f>
        <v>#REF!</v>
      </c>
      <c r="GE319" t="e">
        <f>IF(#REF!,"AAAAAB3f37o=",0)</f>
        <v>#REF!</v>
      </c>
      <c r="GF319" t="e">
        <f>AND(#REF!,"AAAAAB3f37s=")</f>
        <v>#REF!</v>
      </c>
      <c r="GG319" t="e">
        <f>AND(#REF!,"AAAAAB3f37w=")</f>
        <v>#REF!</v>
      </c>
      <c r="GH319" t="e">
        <f>AND(#REF!,"AAAAAB3f370=")</f>
        <v>#REF!</v>
      </c>
      <c r="GI319" t="e">
        <f>AND(#REF!,"AAAAAB3f374=")</f>
        <v>#REF!</v>
      </c>
      <c r="GJ319" t="e">
        <f>AND(#REF!,"AAAAAB3f378=")</f>
        <v>#REF!</v>
      </c>
      <c r="GK319" t="e">
        <f>AND(#REF!,"AAAAAB3f38A=")</f>
        <v>#REF!</v>
      </c>
      <c r="GL319" t="e">
        <f>AND(#REF!,"AAAAAB3f38E=")</f>
        <v>#REF!</v>
      </c>
      <c r="GM319" t="e">
        <f>AND(#REF!,"AAAAAB3f38I=")</f>
        <v>#REF!</v>
      </c>
      <c r="GN319" t="e">
        <f>AND(#REF!,"AAAAAB3f38M=")</f>
        <v>#REF!</v>
      </c>
      <c r="GO319" t="e">
        <f>AND(#REF!,"AAAAAB3f38Q=")</f>
        <v>#REF!</v>
      </c>
      <c r="GP319" t="e">
        <f>IF(#REF!,"AAAAAB3f38U=",0)</f>
        <v>#REF!</v>
      </c>
      <c r="GQ319" t="e">
        <f>AND(#REF!,"AAAAAB3f38Y=")</f>
        <v>#REF!</v>
      </c>
      <c r="GR319" t="e">
        <f>AND(#REF!,"AAAAAB3f38c=")</f>
        <v>#REF!</v>
      </c>
      <c r="GS319" t="e">
        <f>AND(#REF!,"AAAAAB3f38g=")</f>
        <v>#REF!</v>
      </c>
      <c r="GT319" t="e">
        <f>AND(#REF!,"AAAAAB3f38k=")</f>
        <v>#REF!</v>
      </c>
      <c r="GU319" t="e">
        <f>AND(#REF!,"AAAAAB3f38o=")</f>
        <v>#REF!</v>
      </c>
      <c r="GV319" t="e">
        <f>AND(#REF!,"AAAAAB3f38s=")</f>
        <v>#REF!</v>
      </c>
      <c r="GW319" t="e">
        <f>AND(#REF!,"AAAAAB3f38w=")</f>
        <v>#REF!</v>
      </c>
      <c r="GX319" t="e">
        <f>AND(#REF!,"AAAAAB3f380=")</f>
        <v>#REF!</v>
      </c>
      <c r="GY319" t="e">
        <f>AND(#REF!,"AAAAAB3f384=")</f>
        <v>#REF!</v>
      </c>
      <c r="GZ319" t="e">
        <f>AND(#REF!,"AAAAAB3f388=")</f>
        <v>#REF!</v>
      </c>
      <c r="HA319" t="e">
        <f>IF(#REF!,"AAAAAB3f39A=",0)</f>
        <v>#REF!</v>
      </c>
      <c r="HB319" t="e">
        <f>AND(#REF!,"AAAAAB3f39E=")</f>
        <v>#REF!</v>
      </c>
      <c r="HC319" t="e">
        <f>AND(#REF!,"AAAAAB3f39I=")</f>
        <v>#REF!</v>
      </c>
      <c r="HD319" t="e">
        <f>AND(#REF!,"AAAAAB3f39M=")</f>
        <v>#REF!</v>
      </c>
      <c r="HE319" t="e">
        <f>AND(#REF!,"AAAAAB3f39Q=")</f>
        <v>#REF!</v>
      </c>
      <c r="HF319" t="e">
        <f>AND(#REF!,"AAAAAB3f39U=")</f>
        <v>#REF!</v>
      </c>
      <c r="HG319" t="e">
        <f>AND(#REF!,"AAAAAB3f39Y=")</f>
        <v>#REF!</v>
      </c>
      <c r="HH319" t="e">
        <f>AND(#REF!,"AAAAAB3f39c=")</f>
        <v>#REF!</v>
      </c>
      <c r="HI319" t="e">
        <f>AND(#REF!,"AAAAAB3f39g=")</f>
        <v>#REF!</v>
      </c>
      <c r="HJ319" t="e">
        <f>AND(#REF!,"AAAAAB3f39k=")</f>
        <v>#REF!</v>
      </c>
      <c r="HK319" t="e">
        <f>AND(#REF!,"AAAAAB3f39o=")</f>
        <v>#REF!</v>
      </c>
      <c r="HL319" t="e">
        <f>IF(#REF!,"AAAAAB3f39s=",0)</f>
        <v>#REF!</v>
      </c>
      <c r="HM319" t="e">
        <f>AND(#REF!,"AAAAAB3f39w=")</f>
        <v>#REF!</v>
      </c>
      <c r="HN319" t="e">
        <f>AND(#REF!,"AAAAAB3f390=")</f>
        <v>#REF!</v>
      </c>
      <c r="HO319" t="e">
        <f>AND(#REF!,"AAAAAB3f394=")</f>
        <v>#REF!</v>
      </c>
      <c r="HP319" t="e">
        <f>AND(#REF!,"AAAAAB3f398=")</f>
        <v>#REF!</v>
      </c>
      <c r="HQ319" t="e">
        <f>AND(#REF!,"AAAAAB3f3+A=")</f>
        <v>#REF!</v>
      </c>
      <c r="HR319" t="e">
        <f>AND(#REF!,"AAAAAB3f3+E=")</f>
        <v>#REF!</v>
      </c>
      <c r="HS319" t="e">
        <f>AND(#REF!,"AAAAAB3f3+I=")</f>
        <v>#REF!</v>
      </c>
      <c r="HT319" t="e">
        <f>AND(#REF!,"AAAAAB3f3+M=")</f>
        <v>#REF!</v>
      </c>
      <c r="HU319" t="e">
        <f>AND(#REF!,"AAAAAB3f3+Q=")</f>
        <v>#REF!</v>
      </c>
      <c r="HV319" t="e">
        <f>AND(#REF!,"AAAAAB3f3+U=")</f>
        <v>#REF!</v>
      </c>
      <c r="HW319" t="e">
        <f>IF(#REF!,"AAAAAB3f3+Y=",0)</f>
        <v>#REF!</v>
      </c>
      <c r="HX319" t="e">
        <f>AND(#REF!,"AAAAAB3f3+c=")</f>
        <v>#REF!</v>
      </c>
      <c r="HY319" t="e">
        <f>AND(#REF!,"AAAAAB3f3+g=")</f>
        <v>#REF!</v>
      </c>
      <c r="HZ319" t="e">
        <f>AND(#REF!,"AAAAAB3f3+k=")</f>
        <v>#REF!</v>
      </c>
      <c r="IA319" t="e">
        <f>AND(#REF!,"AAAAAB3f3+o=")</f>
        <v>#REF!</v>
      </c>
      <c r="IB319" t="e">
        <f>AND(#REF!,"AAAAAB3f3+s=")</f>
        <v>#REF!</v>
      </c>
      <c r="IC319" t="e">
        <f>AND(#REF!,"AAAAAB3f3+w=")</f>
        <v>#REF!</v>
      </c>
      <c r="ID319" t="e">
        <f>AND(#REF!,"AAAAAB3f3+0=")</f>
        <v>#REF!</v>
      </c>
      <c r="IE319" t="e">
        <f>AND(#REF!,"AAAAAB3f3+4=")</f>
        <v>#REF!</v>
      </c>
      <c r="IF319" t="e">
        <f>AND(#REF!,"AAAAAB3f3+8=")</f>
        <v>#REF!</v>
      </c>
      <c r="IG319" t="e">
        <f>AND(#REF!,"AAAAAB3f3/A=")</f>
        <v>#REF!</v>
      </c>
      <c r="IH319" t="e">
        <f>IF(#REF!,"AAAAAB3f3/E=",0)</f>
        <v>#REF!</v>
      </c>
      <c r="II319" t="e">
        <f>AND(#REF!,"AAAAAB3f3/I=")</f>
        <v>#REF!</v>
      </c>
      <c r="IJ319" t="e">
        <f>AND(#REF!,"AAAAAB3f3/M=")</f>
        <v>#REF!</v>
      </c>
      <c r="IK319" t="e">
        <f>AND(#REF!,"AAAAAB3f3/Q=")</f>
        <v>#REF!</v>
      </c>
      <c r="IL319" t="e">
        <f>AND(#REF!,"AAAAAB3f3/U=")</f>
        <v>#REF!</v>
      </c>
      <c r="IM319" t="e">
        <f>AND(#REF!,"AAAAAB3f3/Y=")</f>
        <v>#REF!</v>
      </c>
      <c r="IN319" t="e">
        <f>AND(#REF!,"AAAAAB3f3/c=")</f>
        <v>#REF!</v>
      </c>
      <c r="IO319" t="e">
        <f>AND(#REF!,"AAAAAB3f3/g=")</f>
        <v>#REF!</v>
      </c>
      <c r="IP319" t="e">
        <f>AND(#REF!,"AAAAAB3f3/k=")</f>
        <v>#REF!</v>
      </c>
      <c r="IQ319" t="e">
        <f>AND(#REF!,"AAAAAB3f3/o=")</f>
        <v>#REF!</v>
      </c>
      <c r="IR319" t="e">
        <f>AND(#REF!,"AAAAAB3f3/s=")</f>
        <v>#REF!</v>
      </c>
      <c r="IS319" t="e">
        <f>IF(#REF!,"AAAAAB3f3/w=",0)</f>
        <v>#REF!</v>
      </c>
      <c r="IT319" t="e">
        <f>AND(#REF!,"AAAAAB3f3/0=")</f>
        <v>#REF!</v>
      </c>
      <c r="IU319" t="e">
        <f>AND(#REF!,"AAAAAB3f3/4=")</f>
        <v>#REF!</v>
      </c>
      <c r="IV319" t="e">
        <f>AND(#REF!,"AAAAAB3f3/8=")</f>
        <v>#REF!</v>
      </c>
    </row>
    <row r="320" spans="1:256" x14ac:dyDescent="0.25">
      <c r="A320" t="e">
        <f>AND(#REF!,"AAAAAH+v3wA=")</f>
        <v>#REF!</v>
      </c>
      <c r="B320" t="e">
        <f>AND(#REF!,"AAAAAH+v3wE=")</f>
        <v>#REF!</v>
      </c>
      <c r="C320" t="e">
        <f>AND(#REF!,"AAAAAH+v3wI=")</f>
        <v>#REF!</v>
      </c>
      <c r="D320" t="e">
        <f>AND(#REF!,"AAAAAH+v3wM=")</f>
        <v>#REF!</v>
      </c>
      <c r="E320" t="e">
        <f>AND(#REF!,"AAAAAH+v3wQ=")</f>
        <v>#REF!</v>
      </c>
      <c r="F320" t="e">
        <f>AND(#REF!,"AAAAAH+v3wU=")</f>
        <v>#REF!</v>
      </c>
      <c r="G320" t="e">
        <f>AND(#REF!,"AAAAAH+v3wY=")</f>
        <v>#REF!</v>
      </c>
      <c r="H320" t="e">
        <f>IF(#REF!,"AAAAAH+v3wc=",0)</f>
        <v>#REF!</v>
      </c>
      <c r="I320" t="e">
        <f>AND(#REF!,"AAAAAH+v3wg=")</f>
        <v>#REF!</v>
      </c>
      <c r="J320" t="e">
        <f>AND(#REF!,"AAAAAH+v3wk=")</f>
        <v>#REF!</v>
      </c>
      <c r="K320" t="e">
        <f>AND(#REF!,"AAAAAH+v3wo=")</f>
        <v>#REF!</v>
      </c>
      <c r="L320" t="e">
        <f>AND(#REF!,"AAAAAH+v3ws=")</f>
        <v>#REF!</v>
      </c>
      <c r="M320" t="e">
        <f>AND(#REF!,"AAAAAH+v3ww=")</f>
        <v>#REF!</v>
      </c>
      <c r="N320" t="e">
        <f>AND(#REF!,"AAAAAH+v3w0=")</f>
        <v>#REF!</v>
      </c>
      <c r="O320" t="e">
        <f>AND(#REF!,"AAAAAH+v3w4=")</f>
        <v>#REF!</v>
      </c>
      <c r="P320" t="e">
        <f>AND(#REF!,"AAAAAH+v3w8=")</f>
        <v>#REF!</v>
      </c>
      <c r="Q320" t="e">
        <f>AND(#REF!,"AAAAAH+v3xA=")</f>
        <v>#REF!</v>
      </c>
      <c r="R320" t="e">
        <f>AND(#REF!,"AAAAAH+v3xE=")</f>
        <v>#REF!</v>
      </c>
      <c r="S320" t="e">
        <f>IF(#REF!,"AAAAAH+v3xI=",0)</f>
        <v>#REF!</v>
      </c>
      <c r="T320" t="e">
        <f>AND(#REF!,"AAAAAH+v3xM=")</f>
        <v>#REF!</v>
      </c>
      <c r="U320" t="e">
        <f>AND(#REF!,"AAAAAH+v3xQ=")</f>
        <v>#REF!</v>
      </c>
      <c r="V320" t="e">
        <f>AND(#REF!,"AAAAAH+v3xU=")</f>
        <v>#REF!</v>
      </c>
      <c r="W320" t="e">
        <f>AND(#REF!,"AAAAAH+v3xY=")</f>
        <v>#REF!</v>
      </c>
      <c r="X320" t="e">
        <f>AND(#REF!,"AAAAAH+v3xc=")</f>
        <v>#REF!</v>
      </c>
      <c r="Y320" t="e">
        <f>AND(#REF!,"AAAAAH+v3xg=")</f>
        <v>#REF!</v>
      </c>
      <c r="Z320" t="e">
        <f>AND(#REF!,"AAAAAH+v3xk=")</f>
        <v>#REF!</v>
      </c>
      <c r="AA320" t="e">
        <f>AND(#REF!,"AAAAAH+v3xo=")</f>
        <v>#REF!</v>
      </c>
      <c r="AB320" t="e">
        <f>AND(#REF!,"AAAAAH+v3xs=")</f>
        <v>#REF!</v>
      </c>
      <c r="AC320" t="e">
        <f>AND(#REF!,"AAAAAH+v3xw=")</f>
        <v>#REF!</v>
      </c>
      <c r="AD320" t="e">
        <f>IF(#REF!,"AAAAAH+v3x0=",0)</f>
        <v>#REF!</v>
      </c>
      <c r="AE320" t="e">
        <f>AND(#REF!,"AAAAAH+v3x4=")</f>
        <v>#REF!</v>
      </c>
      <c r="AF320" t="e">
        <f>AND(#REF!,"AAAAAH+v3x8=")</f>
        <v>#REF!</v>
      </c>
      <c r="AG320" t="e">
        <f>AND(#REF!,"AAAAAH+v3yA=")</f>
        <v>#REF!</v>
      </c>
      <c r="AH320" t="e">
        <f>AND(#REF!,"AAAAAH+v3yE=")</f>
        <v>#REF!</v>
      </c>
      <c r="AI320" t="e">
        <f>AND(#REF!,"AAAAAH+v3yI=")</f>
        <v>#REF!</v>
      </c>
      <c r="AJ320" t="e">
        <f>AND(#REF!,"AAAAAH+v3yM=")</f>
        <v>#REF!</v>
      </c>
      <c r="AK320" t="e">
        <f>AND(#REF!,"AAAAAH+v3yQ=")</f>
        <v>#REF!</v>
      </c>
      <c r="AL320" t="e">
        <f>AND(#REF!,"AAAAAH+v3yU=")</f>
        <v>#REF!</v>
      </c>
      <c r="AM320" t="e">
        <f>AND(#REF!,"AAAAAH+v3yY=")</f>
        <v>#REF!</v>
      </c>
      <c r="AN320" t="e">
        <f>AND(#REF!,"AAAAAH+v3yc=")</f>
        <v>#REF!</v>
      </c>
      <c r="AO320" t="e">
        <f>IF(#REF!,"AAAAAH+v3yg=",0)</f>
        <v>#REF!</v>
      </c>
      <c r="AP320" t="e">
        <f>AND(#REF!,"AAAAAH+v3yk=")</f>
        <v>#REF!</v>
      </c>
      <c r="AQ320" t="e">
        <f>AND(#REF!,"AAAAAH+v3yo=")</f>
        <v>#REF!</v>
      </c>
      <c r="AR320" t="e">
        <f>AND(#REF!,"AAAAAH+v3ys=")</f>
        <v>#REF!</v>
      </c>
      <c r="AS320" t="e">
        <f>AND(#REF!,"AAAAAH+v3yw=")</f>
        <v>#REF!</v>
      </c>
      <c r="AT320" t="e">
        <f>AND(#REF!,"AAAAAH+v3y0=")</f>
        <v>#REF!</v>
      </c>
      <c r="AU320" t="e">
        <f>AND(#REF!,"AAAAAH+v3y4=")</f>
        <v>#REF!</v>
      </c>
      <c r="AV320" t="e">
        <f>AND(#REF!,"AAAAAH+v3y8=")</f>
        <v>#REF!</v>
      </c>
      <c r="AW320" t="e">
        <f>AND(#REF!,"AAAAAH+v3zA=")</f>
        <v>#REF!</v>
      </c>
      <c r="AX320" t="e">
        <f>AND(#REF!,"AAAAAH+v3zE=")</f>
        <v>#REF!</v>
      </c>
      <c r="AY320" t="e">
        <f>AND(#REF!,"AAAAAH+v3zI=")</f>
        <v>#REF!</v>
      </c>
      <c r="AZ320" t="e">
        <f>IF(#REF!,"AAAAAH+v3zM=",0)</f>
        <v>#REF!</v>
      </c>
      <c r="BA320" t="e">
        <f>AND(#REF!,"AAAAAH+v3zQ=")</f>
        <v>#REF!</v>
      </c>
      <c r="BB320" t="e">
        <f>AND(#REF!,"AAAAAH+v3zU=")</f>
        <v>#REF!</v>
      </c>
      <c r="BC320" t="e">
        <f>AND(#REF!,"AAAAAH+v3zY=")</f>
        <v>#REF!</v>
      </c>
      <c r="BD320" t="e">
        <f>AND(#REF!,"AAAAAH+v3zc=")</f>
        <v>#REF!</v>
      </c>
      <c r="BE320" t="e">
        <f>AND(#REF!,"AAAAAH+v3zg=")</f>
        <v>#REF!</v>
      </c>
      <c r="BF320" t="e">
        <f>AND(#REF!,"AAAAAH+v3zk=")</f>
        <v>#REF!</v>
      </c>
      <c r="BG320" t="e">
        <f>AND(#REF!,"AAAAAH+v3zo=")</f>
        <v>#REF!</v>
      </c>
      <c r="BH320" t="e">
        <f>AND(#REF!,"AAAAAH+v3zs=")</f>
        <v>#REF!</v>
      </c>
      <c r="BI320" t="e">
        <f>AND(#REF!,"AAAAAH+v3zw=")</f>
        <v>#REF!</v>
      </c>
      <c r="BJ320" t="e">
        <f>AND(#REF!,"AAAAAH+v3z0=")</f>
        <v>#REF!</v>
      </c>
      <c r="BK320" t="e">
        <f>IF(#REF!,"AAAAAH+v3z4=",0)</f>
        <v>#REF!</v>
      </c>
      <c r="BL320" t="e">
        <f>AND(#REF!,"AAAAAH+v3z8=")</f>
        <v>#REF!</v>
      </c>
      <c r="BM320" t="e">
        <f>AND(#REF!,"AAAAAH+v30A=")</f>
        <v>#REF!</v>
      </c>
      <c r="BN320" t="e">
        <f>AND(#REF!,"AAAAAH+v30E=")</f>
        <v>#REF!</v>
      </c>
      <c r="BO320" t="e">
        <f>AND(#REF!,"AAAAAH+v30I=")</f>
        <v>#REF!</v>
      </c>
      <c r="BP320" t="e">
        <f>AND(#REF!,"AAAAAH+v30M=")</f>
        <v>#REF!</v>
      </c>
      <c r="BQ320" t="e">
        <f>AND(#REF!,"AAAAAH+v30Q=")</f>
        <v>#REF!</v>
      </c>
      <c r="BR320" t="e">
        <f>AND(#REF!,"AAAAAH+v30U=")</f>
        <v>#REF!</v>
      </c>
      <c r="BS320" t="e">
        <f>AND(#REF!,"AAAAAH+v30Y=")</f>
        <v>#REF!</v>
      </c>
      <c r="BT320" t="e">
        <f>AND(#REF!,"AAAAAH+v30c=")</f>
        <v>#REF!</v>
      </c>
      <c r="BU320" t="e">
        <f>AND(#REF!,"AAAAAH+v30g=")</f>
        <v>#REF!</v>
      </c>
      <c r="BV320" t="e">
        <f>IF(#REF!,"AAAAAH+v30k=",0)</f>
        <v>#REF!</v>
      </c>
      <c r="BW320" t="e">
        <f>AND(#REF!,"AAAAAH+v30o=")</f>
        <v>#REF!</v>
      </c>
      <c r="BX320" t="e">
        <f>AND(#REF!,"AAAAAH+v30s=")</f>
        <v>#REF!</v>
      </c>
      <c r="BY320" t="e">
        <f>AND(#REF!,"AAAAAH+v30w=")</f>
        <v>#REF!</v>
      </c>
      <c r="BZ320" t="e">
        <f>AND(#REF!,"AAAAAH+v300=")</f>
        <v>#REF!</v>
      </c>
      <c r="CA320" t="e">
        <f>AND(#REF!,"AAAAAH+v304=")</f>
        <v>#REF!</v>
      </c>
      <c r="CB320" t="e">
        <f>AND(#REF!,"AAAAAH+v308=")</f>
        <v>#REF!</v>
      </c>
      <c r="CC320" t="e">
        <f>AND(#REF!,"AAAAAH+v31A=")</f>
        <v>#REF!</v>
      </c>
      <c r="CD320" t="e">
        <f>AND(#REF!,"AAAAAH+v31E=")</f>
        <v>#REF!</v>
      </c>
      <c r="CE320" t="e">
        <f>AND(#REF!,"AAAAAH+v31I=")</f>
        <v>#REF!</v>
      </c>
      <c r="CF320" t="e">
        <f>AND(#REF!,"AAAAAH+v31M=")</f>
        <v>#REF!</v>
      </c>
      <c r="CG320" t="e">
        <f>IF(#REF!,"AAAAAH+v31Q=",0)</f>
        <v>#REF!</v>
      </c>
      <c r="CH320" t="e">
        <f>AND(#REF!,"AAAAAH+v31U=")</f>
        <v>#REF!</v>
      </c>
      <c r="CI320" t="e">
        <f>AND(#REF!,"AAAAAH+v31Y=")</f>
        <v>#REF!</v>
      </c>
      <c r="CJ320" t="e">
        <f>AND(#REF!,"AAAAAH+v31c=")</f>
        <v>#REF!</v>
      </c>
      <c r="CK320" t="e">
        <f>AND(#REF!,"AAAAAH+v31g=")</f>
        <v>#REF!</v>
      </c>
      <c r="CL320" t="e">
        <f>AND(#REF!,"AAAAAH+v31k=")</f>
        <v>#REF!</v>
      </c>
      <c r="CM320" t="e">
        <f>AND(#REF!,"AAAAAH+v31o=")</f>
        <v>#REF!</v>
      </c>
      <c r="CN320" t="e">
        <f>AND(#REF!,"AAAAAH+v31s=")</f>
        <v>#REF!</v>
      </c>
      <c r="CO320" t="e">
        <f>AND(#REF!,"AAAAAH+v31w=")</f>
        <v>#REF!</v>
      </c>
      <c r="CP320" t="e">
        <f>AND(#REF!,"AAAAAH+v310=")</f>
        <v>#REF!</v>
      </c>
      <c r="CQ320" t="e">
        <f>AND(#REF!,"AAAAAH+v314=")</f>
        <v>#REF!</v>
      </c>
      <c r="CR320" t="e">
        <f>IF(#REF!,"AAAAAH+v318=",0)</f>
        <v>#REF!</v>
      </c>
      <c r="CS320" t="e">
        <f>AND(#REF!,"AAAAAH+v32A=")</f>
        <v>#REF!</v>
      </c>
      <c r="CT320" t="e">
        <f>AND(#REF!,"AAAAAH+v32E=")</f>
        <v>#REF!</v>
      </c>
      <c r="CU320" t="e">
        <f>AND(#REF!,"AAAAAH+v32I=")</f>
        <v>#REF!</v>
      </c>
      <c r="CV320" t="e">
        <f>AND(#REF!,"AAAAAH+v32M=")</f>
        <v>#REF!</v>
      </c>
      <c r="CW320" t="e">
        <f>AND(#REF!,"AAAAAH+v32Q=")</f>
        <v>#REF!</v>
      </c>
      <c r="CX320" t="e">
        <f>AND(#REF!,"AAAAAH+v32U=")</f>
        <v>#REF!</v>
      </c>
      <c r="CY320" t="e">
        <f>AND(#REF!,"AAAAAH+v32Y=")</f>
        <v>#REF!</v>
      </c>
      <c r="CZ320" t="e">
        <f>AND(#REF!,"AAAAAH+v32c=")</f>
        <v>#REF!</v>
      </c>
      <c r="DA320" t="e">
        <f>AND(#REF!,"AAAAAH+v32g=")</f>
        <v>#REF!</v>
      </c>
      <c r="DB320" t="e">
        <f>AND(#REF!,"AAAAAH+v32k=")</f>
        <v>#REF!</v>
      </c>
      <c r="DC320" t="e">
        <f>IF(#REF!,"AAAAAH+v32o=",0)</f>
        <v>#REF!</v>
      </c>
      <c r="DD320" t="e">
        <f>AND(#REF!,"AAAAAH+v32s=")</f>
        <v>#REF!</v>
      </c>
      <c r="DE320" t="e">
        <f>AND(#REF!,"AAAAAH+v32w=")</f>
        <v>#REF!</v>
      </c>
      <c r="DF320" t="e">
        <f>AND(#REF!,"AAAAAH+v320=")</f>
        <v>#REF!</v>
      </c>
      <c r="DG320" t="e">
        <f>AND(#REF!,"AAAAAH+v324=")</f>
        <v>#REF!</v>
      </c>
      <c r="DH320" t="e">
        <f>AND(#REF!,"AAAAAH+v328=")</f>
        <v>#REF!</v>
      </c>
      <c r="DI320" t="e">
        <f>AND(#REF!,"AAAAAH+v33A=")</f>
        <v>#REF!</v>
      </c>
      <c r="DJ320" t="e">
        <f>AND(#REF!,"AAAAAH+v33E=")</f>
        <v>#REF!</v>
      </c>
      <c r="DK320" t="e">
        <f>AND(#REF!,"AAAAAH+v33I=")</f>
        <v>#REF!</v>
      </c>
      <c r="DL320" t="e">
        <f>AND(#REF!,"AAAAAH+v33M=")</f>
        <v>#REF!</v>
      </c>
      <c r="DM320" t="e">
        <f>AND(#REF!,"AAAAAH+v33Q=")</f>
        <v>#REF!</v>
      </c>
      <c r="DN320" t="e">
        <f>IF(#REF!,"AAAAAH+v33U=",0)</f>
        <v>#REF!</v>
      </c>
      <c r="DO320" t="e">
        <f>AND(#REF!,"AAAAAH+v33Y=")</f>
        <v>#REF!</v>
      </c>
      <c r="DP320" t="e">
        <f>AND(#REF!,"AAAAAH+v33c=")</f>
        <v>#REF!</v>
      </c>
      <c r="DQ320" t="e">
        <f>AND(#REF!,"AAAAAH+v33g=")</f>
        <v>#REF!</v>
      </c>
      <c r="DR320" t="e">
        <f>AND(#REF!,"AAAAAH+v33k=")</f>
        <v>#REF!</v>
      </c>
      <c r="DS320" t="e">
        <f>AND(#REF!,"AAAAAH+v33o=")</f>
        <v>#REF!</v>
      </c>
      <c r="DT320" t="e">
        <f>AND(#REF!,"AAAAAH+v33s=")</f>
        <v>#REF!</v>
      </c>
      <c r="DU320" t="e">
        <f>AND(#REF!,"AAAAAH+v33w=")</f>
        <v>#REF!</v>
      </c>
      <c r="DV320" t="e">
        <f>AND(#REF!,"AAAAAH+v330=")</f>
        <v>#REF!</v>
      </c>
      <c r="DW320" t="e">
        <f>AND(#REF!,"AAAAAH+v334=")</f>
        <v>#REF!</v>
      </c>
      <c r="DX320" t="e">
        <f>AND(#REF!,"AAAAAH+v338=")</f>
        <v>#REF!</v>
      </c>
      <c r="DY320" t="e">
        <f>IF(#REF!,"AAAAAH+v34A=",0)</f>
        <v>#REF!</v>
      </c>
      <c r="DZ320" t="e">
        <f>AND(#REF!,"AAAAAH+v34E=")</f>
        <v>#REF!</v>
      </c>
      <c r="EA320" t="e">
        <f>AND(#REF!,"AAAAAH+v34I=")</f>
        <v>#REF!</v>
      </c>
      <c r="EB320" t="e">
        <f>AND(#REF!,"AAAAAH+v34M=")</f>
        <v>#REF!</v>
      </c>
      <c r="EC320" t="e">
        <f>AND(#REF!,"AAAAAH+v34Q=")</f>
        <v>#REF!</v>
      </c>
      <c r="ED320" t="e">
        <f>AND(#REF!,"AAAAAH+v34U=")</f>
        <v>#REF!</v>
      </c>
      <c r="EE320" t="e">
        <f>AND(#REF!,"AAAAAH+v34Y=")</f>
        <v>#REF!</v>
      </c>
      <c r="EF320" t="e">
        <f>AND(#REF!,"AAAAAH+v34c=")</f>
        <v>#REF!</v>
      </c>
      <c r="EG320" t="e">
        <f>AND(#REF!,"AAAAAH+v34g=")</f>
        <v>#REF!</v>
      </c>
      <c r="EH320" t="e">
        <f>AND(#REF!,"AAAAAH+v34k=")</f>
        <v>#REF!</v>
      </c>
      <c r="EI320" t="e">
        <f>AND(#REF!,"AAAAAH+v34o=")</f>
        <v>#REF!</v>
      </c>
      <c r="EJ320" t="e">
        <f>IF(#REF!,"AAAAAH+v34s=",0)</f>
        <v>#REF!</v>
      </c>
      <c r="EK320" t="e">
        <f>AND(#REF!,"AAAAAH+v34w=")</f>
        <v>#REF!</v>
      </c>
      <c r="EL320" t="e">
        <f>AND(#REF!,"AAAAAH+v340=")</f>
        <v>#REF!</v>
      </c>
      <c r="EM320" t="e">
        <f>AND(#REF!,"AAAAAH+v344=")</f>
        <v>#REF!</v>
      </c>
      <c r="EN320" t="e">
        <f>AND(#REF!,"AAAAAH+v348=")</f>
        <v>#REF!</v>
      </c>
      <c r="EO320" t="e">
        <f>AND(#REF!,"AAAAAH+v35A=")</f>
        <v>#REF!</v>
      </c>
      <c r="EP320" t="e">
        <f>AND(#REF!,"AAAAAH+v35E=")</f>
        <v>#REF!</v>
      </c>
      <c r="EQ320" t="e">
        <f>AND(#REF!,"AAAAAH+v35I=")</f>
        <v>#REF!</v>
      </c>
      <c r="ER320" t="e">
        <f>AND(#REF!,"AAAAAH+v35M=")</f>
        <v>#REF!</v>
      </c>
      <c r="ES320" t="e">
        <f>AND(#REF!,"AAAAAH+v35Q=")</f>
        <v>#REF!</v>
      </c>
      <c r="ET320" t="e">
        <f>AND(#REF!,"AAAAAH+v35U=")</f>
        <v>#REF!</v>
      </c>
      <c r="EU320" t="e">
        <f>IF(#REF!,"AAAAAH+v35Y=",0)</f>
        <v>#REF!</v>
      </c>
      <c r="EV320" t="e">
        <f>AND(#REF!,"AAAAAH+v35c=")</f>
        <v>#REF!</v>
      </c>
      <c r="EW320" t="e">
        <f>AND(#REF!,"AAAAAH+v35g=")</f>
        <v>#REF!</v>
      </c>
      <c r="EX320" t="e">
        <f>AND(#REF!,"AAAAAH+v35k=")</f>
        <v>#REF!</v>
      </c>
      <c r="EY320" t="e">
        <f>AND(#REF!,"AAAAAH+v35o=")</f>
        <v>#REF!</v>
      </c>
      <c r="EZ320" t="e">
        <f>AND(#REF!,"AAAAAH+v35s=")</f>
        <v>#REF!</v>
      </c>
      <c r="FA320" t="e">
        <f>AND(#REF!,"AAAAAH+v35w=")</f>
        <v>#REF!</v>
      </c>
      <c r="FB320" t="e">
        <f>AND(#REF!,"AAAAAH+v350=")</f>
        <v>#REF!</v>
      </c>
      <c r="FC320" t="e">
        <f>AND(#REF!,"AAAAAH+v354=")</f>
        <v>#REF!</v>
      </c>
      <c r="FD320" t="e">
        <f>AND(#REF!,"AAAAAH+v358=")</f>
        <v>#REF!</v>
      </c>
      <c r="FE320" t="e">
        <f>AND(#REF!,"AAAAAH+v36A=")</f>
        <v>#REF!</v>
      </c>
      <c r="FF320" t="e">
        <f>IF(#REF!,"AAAAAH+v36E=",0)</f>
        <v>#REF!</v>
      </c>
      <c r="FG320" t="e">
        <f>AND(#REF!,"AAAAAH+v36I=")</f>
        <v>#REF!</v>
      </c>
      <c r="FH320" t="e">
        <f>AND(#REF!,"AAAAAH+v36M=")</f>
        <v>#REF!</v>
      </c>
      <c r="FI320" t="e">
        <f>AND(#REF!,"AAAAAH+v36Q=")</f>
        <v>#REF!</v>
      </c>
      <c r="FJ320" t="e">
        <f>AND(#REF!,"AAAAAH+v36U=")</f>
        <v>#REF!</v>
      </c>
      <c r="FK320" t="e">
        <f>AND(#REF!,"AAAAAH+v36Y=")</f>
        <v>#REF!</v>
      </c>
      <c r="FL320" t="e">
        <f>AND(#REF!,"AAAAAH+v36c=")</f>
        <v>#REF!</v>
      </c>
      <c r="FM320" t="e">
        <f>AND(#REF!,"AAAAAH+v36g=")</f>
        <v>#REF!</v>
      </c>
      <c r="FN320" t="e">
        <f>AND(#REF!,"AAAAAH+v36k=")</f>
        <v>#REF!</v>
      </c>
      <c r="FO320" t="e">
        <f>AND(#REF!,"AAAAAH+v36o=")</f>
        <v>#REF!</v>
      </c>
      <c r="FP320" t="e">
        <f>AND(#REF!,"AAAAAH+v36s=")</f>
        <v>#REF!</v>
      </c>
      <c r="FQ320" t="e">
        <f>IF(#REF!,"AAAAAH+v36w=",0)</f>
        <v>#REF!</v>
      </c>
      <c r="FR320" t="e">
        <f>AND(#REF!,"AAAAAH+v360=")</f>
        <v>#REF!</v>
      </c>
      <c r="FS320" t="e">
        <f>AND(#REF!,"AAAAAH+v364=")</f>
        <v>#REF!</v>
      </c>
      <c r="FT320" t="e">
        <f>AND(#REF!,"AAAAAH+v368=")</f>
        <v>#REF!</v>
      </c>
      <c r="FU320" t="e">
        <f>AND(#REF!,"AAAAAH+v37A=")</f>
        <v>#REF!</v>
      </c>
      <c r="FV320" t="e">
        <f>AND(#REF!,"AAAAAH+v37E=")</f>
        <v>#REF!</v>
      </c>
      <c r="FW320" t="e">
        <f>AND(#REF!,"AAAAAH+v37I=")</f>
        <v>#REF!</v>
      </c>
      <c r="FX320" t="e">
        <f>AND(#REF!,"AAAAAH+v37M=")</f>
        <v>#REF!</v>
      </c>
      <c r="FY320" t="e">
        <f>AND(#REF!,"AAAAAH+v37Q=")</f>
        <v>#REF!</v>
      </c>
      <c r="FZ320" t="e">
        <f>AND(#REF!,"AAAAAH+v37U=")</f>
        <v>#REF!</v>
      </c>
      <c r="GA320" t="e">
        <f>AND(#REF!,"AAAAAH+v37Y=")</f>
        <v>#REF!</v>
      </c>
      <c r="GB320" t="e">
        <f>IF(#REF!,"AAAAAH+v37c=",0)</f>
        <v>#REF!</v>
      </c>
      <c r="GC320" t="e">
        <f>AND(#REF!,"AAAAAH+v37g=")</f>
        <v>#REF!</v>
      </c>
      <c r="GD320" t="e">
        <f>AND(#REF!,"AAAAAH+v37k=")</f>
        <v>#REF!</v>
      </c>
      <c r="GE320" t="e">
        <f>AND(#REF!,"AAAAAH+v37o=")</f>
        <v>#REF!</v>
      </c>
      <c r="GF320" t="e">
        <f>AND(#REF!,"AAAAAH+v37s=")</f>
        <v>#REF!</v>
      </c>
      <c r="GG320" t="e">
        <f>AND(#REF!,"AAAAAH+v37w=")</f>
        <v>#REF!</v>
      </c>
      <c r="GH320" t="e">
        <f>AND(#REF!,"AAAAAH+v370=")</f>
        <v>#REF!</v>
      </c>
      <c r="GI320" t="e">
        <f>AND(#REF!,"AAAAAH+v374=")</f>
        <v>#REF!</v>
      </c>
      <c r="GJ320" t="e">
        <f>AND(#REF!,"AAAAAH+v378=")</f>
        <v>#REF!</v>
      </c>
      <c r="GK320" t="e">
        <f>AND(#REF!,"AAAAAH+v38A=")</f>
        <v>#REF!</v>
      </c>
      <c r="GL320" t="e">
        <f>AND(#REF!,"AAAAAH+v38E=")</f>
        <v>#REF!</v>
      </c>
      <c r="GM320" t="e">
        <f>IF(#REF!,"AAAAAH+v38I=",0)</f>
        <v>#REF!</v>
      </c>
      <c r="GN320" t="e">
        <f>AND(#REF!,"AAAAAH+v38M=")</f>
        <v>#REF!</v>
      </c>
      <c r="GO320" t="e">
        <f>AND(#REF!,"AAAAAH+v38Q=")</f>
        <v>#REF!</v>
      </c>
      <c r="GP320" t="e">
        <f>AND(#REF!,"AAAAAH+v38U=")</f>
        <v>#REF!</v>
      </c>
      <c r="GQ320" t="e">
        <f>AND(#REF!,"AAAAAH+v38Y=")</f>
        <v>#REF!</v>
      </c>
      <c r="GR320" t="e">
        <f>AND(#REF!,"AAAAAH+v38c=")</f>
        <v>#REF!</v>
      </c>
      <c r="GS320" t="e">
        <f>AND(#REF!,"AAAAAH+v38g=")</f>
        <v>#REF!</v>
      </c>
      <c r="GT320" t="e">
        <f>AND(#REF!,"AAAAAH+v38k=")</f>
        <v>#REF!</v>
      </c>
      <c r="GU320" t="e">
        <f>AND(#REF!,"AAAAAH+v38o=")</f>
        <v>#REF!</v>
      </c>
      <c r="GV320" t="e">
        <f>AND(#REF!,"AAAAAH+v38s=")</f>
        <v>#REF!</v>
      </c>
      <c r="GW320" t="e">
        <f>AND(#REF!,"AAAAAH+v38w=")</f>
        <v>#REF!</v>
      </c>
      <c r="GX320" t="e">
        <f>IF(#REF!,"AAAAAH+v380=",0)</f>
        <v>#REF!</v>
      </c>
      <c r="GY320" t="e">
        <f>AND(#REF!,"AAAAAH+v384=")</f>
        <v>#REF!</v>
      </c>
      <c r="GZ320" t="e">
        <f>AND(#REF!,"AAAAAH+v388=")</f>
        <v>#REF!</v>
      </c>
      <c r="HA320" t="e">
        <f>AND(#REF!,"AAAAAH+v39A=")</f>
        <v>#REF!</v>
      </c>
      <c r="HB320" t="e">
        <f>AND(#REF!,"AAAAAH+v39E=")</f>
        <v>#REF!</v>
      </c>
      <c r="HC320" t="e">
        <f>AND(#REF!,"AAAAAH+v39I=")</f>
        <v>#REF!</v>
      </c>
      <c r="HD320" t="e">
        <f>AND(#REF!,"AAAAAH+v39M=")</f>
        <v>#REF!</v>
      </c>
      <c r="HE320" t="e">
        <f>AND(#REF!,"AAAAAH+v39Q=")</f>
        <v>#REF!</v>
      </c>
      <c r="HF320" t="e">
        <f>AND(#REF!,"AAAAAH+v39U=")</f>
        <v>#REF!</v>
      </c>
      <c r="HG320" t="e">
        <f>AND(#REF!,"AAAAAH+v39Y=")</f>
        <v>#REF!</v>
      </c>
      <c r="HH320" t="e">
        <f>AND(#REF!,"AAAAAH+v39c=")</f>
        <v>#REF!</v>
      </c>
      <c r="HI320" t="e">
        <f>IF(#REF!,"AAAAAH+v39g=",0)</f>
        <v>#REF!</v>
      </c>
      <c r="HJ320" t="e">
        <f>AND(#REF!,"AAAAAH+v39k=")</f>
        <v>#REF!</v>
      </c>
      <c r="HK320" t="e">
        <f>AND(#REF!,"AAAAAH+v39o=")</f>
        <v>#REF!</v>
      </c>
      <c r="HL320" t="e">
        <f>AND(#REF!,"AAAAAH+v39s=")</f>
        <v>#REF!</v>
      </c>
      <c r="HM320" t="e">
        <f>AND(#REF!,"AAAAAH+v39w=")</f>
        <v>#REF!</v>
      </c>
      <c r="HN320" t="e">
        <f>AND(#REF!,"AAAAAH+v390=")</f>
        <v>#REF!</v>
      </c>
      <c r="HO320" t="e">
        <f>AND(#REF!,"AAAAAH+v394=")</f>
        <v>#REF!</v>
      </c>
      <c r="HP320" t="e">
        <f>AND(#REF!,"AAAAAH+v398=")</f>
        <v>#REF!</v>
      </c>
      <c r="HQ320" t="e">
        <f>AND(#REF!,"AAAAAH+v3+A=")</f>
        <v>#REF!</v>
      </c>
      <c r="HR320" t="e">
        <f>AND(#REF!,"AAAAAH+v3+E=")</f>
        <v>#REF!</v>
      </c>
      <c r="HS320" t="e">
        <f>AND(#REF!,"AAAAAH+v3+I=")</f>
        <v>#REF!</v>
      </c>
      <c r="HT320" t="e">
        <f>IF(#REF!,"AAAAAH+v3+M=",0)</f>
        <v>#REF!</v>
      </c>
      <c r="HU320" t="e">
        <f>AND(#REF!,"AAAAAH+v3+Q=")</f>
        <v>#REF!</v>
      </c>
      <c r="HV320" t="e">
        <f>AND(#REF!,"AAAAAH+v3+U=")</f>
        <v>#REF!</v>
      </c>
      <c r="HW320" t="e">
        <f>AND(#REF!,"AAAAAH+v3+Y=")</f>
        <v>#REF!</v>
      </c>
      <c r="HX320" t="e">
        <f>AND(#REF!,"AAAAAH+v3+c=")</f>
        <v>#REF!</v>
      </c>
      <c r="HY320" t="e">
        <f>AND(#REF!,"AAAAAH+v3+g=")</f>
        <v>#REF!</v>
      </c>
      <c r="HZ320" t="e">
        <f>AND(#REF!,"AAAAAH+v3+k=")</f>
        <v>#REF!</v>
      </c>
      <c r="IA320" t="e">
        <f>AND(#REF!,"AAAAAH+v3+o=")</f>
        <v>#REF!</v>
      </c>
      <c r="IB320" t="e">
        <f>AND(#REF!,"AAAAAH+v3+s=")</f>
        <v>#REF!</v>
      </c>
      <c r="IC320" t="e">
        <f>AND(#REF!,"AAAAAH+v3+w=")</f>
        <v>#REF!</v>
      </c>
      <c r="ID320" t="e">
        <f>AND(#REF!,"AAAAAH+v3+0=")</f>
        <v>#REF!</v>
      </c>
      <c r="IE320" t="e">
        <f>IF(#REF!,"AAAAAH+v3+4=",0)</f>
        <v>#REF!</v>
      </c>
      <c r="IF320" t="e">
        <f>AND(#REF!,"AAAAAH+v3+8=")</f>
        <v>#REF!</v>
      </c>
      <c r="IG320" t="e">
        <f>AND(#REF!,"AAAAAH+v3/A=")</f>
        <v>#REF!</v>
      </c>
      <c r="IH320" t="e">
        <f>AND(#REF!,"AAAAAH+v3/E=")</f>
        <v>#REF!</v>
      </c>
      <c r="II320" t="e">
        <f>AND(#REF!,"AAAAAH+v3/I=")</f>
        <v>#REF!</v>
      </c>
      <c r="IJ320" t="e">
        <f>AND(#REF!,"AAAAAH+v3/M=")</f>
        <v>#REF!</v>
      </c>
      <c r="IK320" t="e">
        <f>AND(#REF!,"AAAAAH+v3/Q=")</f>
        <v>#REF!</v>
      </c>
      <c r="IL320" t="e">
        <f>AND(#REF!,"AAAAAH+v3/U=")</f>
        <v>#REF!</v>
      </c>
      <c r="IM320" t="e">
        <f>AND(#REF!,"AAAAAH+v3/Y=")</f>
        <v>#REF!</v>
      </c>
      <c r="IN320" t="e">
        <f>AND(#REF!,"AAAAAH+v3/c=")</f>
        <v>#REF!</v>
      </c>
      <c r="IO320" t="e">
        <f>AND(#REF!,"AAAAAH+v3/g=")</f>
        <v>#REF!</v>
      </c>
      <c r="IP320" t="e">
        <f>IF(#REF!,"AAAAAH+v3/k=",0)</f>
        <v>#REF!</v>
      </c>
      <c r="IQ320" t="e">
        <f>AND(#REF!,"AAAAAH+v3/o=")</f>
        <v>#REF!</v>
      </c>
      <c r="IR320" t="e">
        <f>AND(#REF!,"AAAAAH+v3/s=")</f>
        <v>#REF!</v>
      </c>
      <c r="IS320" t="e">
        <f>AND(#REF!,"AAAAAH+v3/w=")</f>
        <v>#REF!</v>
      </c>
      <c r="IT320" t="e">
        <f>AND(#REF!,"AAAAAH+v3/0=")</f>
        <v>#REF!</v>
      </c>
      <c r="IU320" t="e">
        <f>AND(#REF!,"AAAAAH+v3/4=")</f>
        <v>#REF!</v>
      </c>
      <c r="IV320" t="e">
        <f>AND(#REF!,"AAAAAH+v3/8=")</f>
        <v>#REF!</v>
      </c>
    </row>
    <row r="321" spans="1:256" x14ac:dyDescent="0.25">
      <c r="A321" t="e">
        <f>AND(#REF!,"AAAAAH921wA=")</f>
        <v>#REF!</v>
      </c>
      <c r="B321" t="e">
        <f>AND(#REF!,"AAAAAH921wE=")</f>
        <v>#REF!</v>
      </c>
      <c r="C321" t="e">
        <f>AND(#REF!,"AAAAAH921wI=")</f>
        <v>#REF!</v>
      </c>
      <c r="D321" t="e">
        <f>AND(#REF!,"AAAAAH921wM=")</f>
        <v>#REF!</v>
      </c>
      <c r="E321" t="e">
        <f>IF(#REF!,"AAAAAH921wQ=",0)</f>
        <v>#REF!</v>
      </c>
      <c r="F321" t="e">
        <f>AND(#REF!,"AAAAAH921wU=")</f>
        <v>#REF!</v>
      </c>
      <c r="G321" t="e">
        <f>AND(#REF!,"AAAAAH921wY=")</f>
        <v>#REF!</v>
      </c>
      <c r="H321" t="e">
        <f>AND(#REF!,"AAAAAH921wc=")</f>
        <v>#REF!</v>
      </c>
      <c r="I321" t="e">
        <f>AND(#REF!,"AAAAAH921wg=")</f>
        <v>#REF!</v>
      </c>
      <c r="J321" t="e">
        <f>AND(#REF!,"AAAAAH921wk=")</f>
        <v>#REF!</v>
      </c>
      <c r="K321" t="e">
        <f>AND(#REF!,"AAAAAH921wo=")</f>
        <v>#REF!</v>
      </c>
      <c r="L321" t="e">
        <f>AND(#REF!,"AAAAAH921ws=")</f>
        <v>#REF!</v>
      </c>
      <c r="M321" t="e">
        <f>AND(#REF!,"AAAAAH921ww=")</f>
        <v>#REF!</v>
      </c>
      <c r="N321" t="e">
        <f>AND(#REF!,"AAAAAH921w0=")</f>
        <v>#REF!</v>
      </c>
      <c r="O321" t="e">
        <f>AND(#REF!,"AAAAAH921w4=")</f>
        <v>#REF!</v>
      </c>
      <c r="P321" t="e">
        <f>IF(#REF!,"AAAAAH921w8=",0)</f>
        <v>#REF!</v>
      </c>
      <c r="Q321" t="e">
        <f>AND(#REF!,"AAAAAH921xA=")</f>
        <v>#REF!</v>
      </c>
      <c r="R321" t="e">
        <f>AND(#REF!,"AAAAAH921xE=")</f>
        <v>#REF!</v>
      </c>
      <c r="S321" t="e">
        <f>AND(#REF!,"AAAAAH921xI=")</f>
        <v>#REF!</v>
      </c>
      <c r="T321" t="e">
        <f>AND(#REF!,"AAAAAH921xM=")</f>
        <v>#REF!</v>
      </c>
      <c r="U321" t="e">
        <f>AND(#REF!,"AAAAAH921xQ=")</f>
        <v>#REF!</v>
      </c>
      <c r="V321" t="e">
        <f>AND(#REF!,"AAAAAH921xU=")</f>
        <v>#REF!</v>
      </c>
      <c r="W321" t="e">
        <f>AND(#REF!,"AAAAAH921xY=")</f>
        <v>#REF!</v>
      </c>
      <c r="X321" t="e">
        <f>AND(#REF!,"AAAAAH921xc=")</f>
        <v>#REF!</v>
      </c>
      <c r="Y321" t="e">
        <f>AND(#REF!,"AAAAAH921xg=")</f>
        <v>#REF!</v>
      </c>
      <c r="Z321" t="e">
        <f>AND(#REF!,"AAAAAH921xk=")</f>
        <v>#REF!</v>
      </c>
      <c r="AA321" t="e">
        <f>IF(#REF!,"AAAAAH921xo=",0)</f>
        <v>#REF!</v>
      </c>
      <c r="AB321" t="e">
        <f>AND(#REF!,"AAAAAH921xs=")</f>
        <v>#REF!</v>
      </c>
      <c r="AC321" t="e">
        <f>AND(#REF!,"AAAAAH921xw=")</f>
        <v>#REF!</v>
      </c>
      <c r="AD321" t="e">
        <f>AND(#REF!,"AAAAAH921x0=")</f>
        <v>#REF!</v>
      </c>
      <c r="AE321" t="e">
        <f>AND(#REF!,"AAAAAH921x4=")</f>
        <v>#REF!</v>
      </c>
      <c r="AF321" t="e">
        <f>AND(#REF!,"AAAAAH921x8=")</f>
        <v>#REF!</v>
      </c>
      <c r="AG321" t="e">
        <f>AND(#REF!,"AAAAAH921yA=")</f>
        <v>#REF!</v>
      </c>
      <c r="AH321" t="e">
        <f>AND(#REF!,"AAAAAH921yE=")</f>
        <v>#REF!</v>
      </c>
      <c r="AI321" t="e">
        <f>AND(#REF!,"AAAAAH921yI=")</f>
        <v>#REF!</v>
      </c>
      <c r="AJ321" t="e">
        <f>AND(#REF!,"AAAAAH921yM=")</f>
        <v>#REF!</v>
      </c>
      <c r="AK321" t="e">
        <f>AND(#REF!,"AAAAAH921yQ=")</f>
        <v>#REF!</v>
      </c>
      <c r="AL321" t="e">
        <f>IF(#REF!,"AAAAAH921yU=",0)</f>
        <v>#REF!</v>
      </c>
      <c r="AM321" t="e">
        <f>AND(#REF!,"AAAAAH921yY=")</f>
        <v>#REF!</v>
      </c>
      <c r="AN321" t="e">
        <f>AND(#REF!,"AAAAAH921yc=")</f>
        <v>#REF!</v>
      </c>
      <c r="AO321" t="e">
        <f>AND(#REF!,"AAAAAH921yg=")</f>
        <v>#REF!</v>
      </c>
      <c r="AP321" t="e">
        <f>AND(#REF!,"AAAAAH921yk=")</f>
        <v>#REF!</v>
      </c>
      <c r="AQ321" t="e">
        <f>AND(#REF!,"AAAAAH921yo=")</f>
        <v>#REF!</v>
      </c>
      <c r="AR321" t="e">
        <f>AND(#REF!,"AAAAAH921ys=")</f>
        <v>#REF!</v>
      </c>
      <c r="AS321" t="e">
        <f>AND(#REF!,"AAAAAH921yw=")</f>
        <v>#REF!</v>
      </c>
      <c r="AT321" t="e">
        <f>AND(#REF!,"AAAAAH921y0=")</f>
        <v>#REF!</v>
      </c>
      <c r="AU321" t="e">
        <f>AND(#REF!,"AAAAAH921y4=")</f>
        <v>#REF!</v>
      </c>
      <c r="AV321" t="e">
        <f>AND(#REF!,"AAAAAH921y8=")</f>
        <v>#REF!</v>
      </c>
      <c r="AW321" t="e">
        <f>IF(#REF!,"AAAAAH921zA=",0)</f>
        <v>#REF!</v>
      </c>
      <c r="AX321" t="e">
        <f>AND(#REF!,"AAAAAH921zE=")</f>
        <v>#REF!</v>
      </c>
      <c r="AY321" t="e">
        <f>AND(#REF!,"AAAAAH921zI=")</f>
        <v>#REF!</v>
      </c>
      <c r="AZ321" t="e">
        <f>AND(#REF!,"AAAAAH921zM=")</f>
        <v>#REF!</v>
      </c>
      <c r="BA321" t="e">
        <f>AND(#REF!,"AAAAAH921zQ=")</f>
        <v>#REF!</v>
      </c>
      <c r="BB321" t="e">
        <f>AND(#REF!,"AAAAAH921zU=")</f>
        <v>#REF!</v>
      </c>
      <c r="BC321" t="e">
        <f>AND(#REF!,"AAAAAH921zY=")</f>
        <v>#REF!</v>
      </c>
      <c r="BD321" t="e">
        <f>AND(#REF!,"AAAAAH921zc=")</f>
        <v>#REF!</v>
      </c>
      <c r="BE321" t="e">
        <f>AND(#REF!,"AAAAAH921zg=")</f>
        <v>#REF!</v>
      </c>
      <c r="BF321" t="e">
        <f>AND(#REF!,"AAAAAH921zk=")</f>
        <v>#REF!</v>
      </c>
      <c r="BG321" t="e">
        <f>AND(#REF!,"AAAAAH921zo=")</f>
        <v>#REF!</v>
      </c>
      <c r="BH321" t="e">
        <f>IF(#REF!,"AAAAAH921zs=",0)</f>
        <v>#REF!</v>
      </c>
      <c r="BI321" t="e">
        <f>AND(#REF!,"AAAAAH921zw=")</f>
        <v>#REF!</v>
      </c>
      <c r="BJ321" t="e">
        <f>AND(#REF!,"AAAAAH921z0=")</f>
        <v>#REF!</v>
      </c>
      <c r="BK321" t="e">
        <f>AND(#REF!,"AAAAAH921z4=")</f>
        <v>#REF!</v>
      </c>
      <c r="BL321" t="e">
        <f>AND(#REF!,"AAAAAH921z8=")</f>
        <v>#REF!</v>
      </c>
      <c r="BM321" t="e">
        <f>AND(#REF!,"AAAAAH9210A=")</f>
        <v>#REF!</v>
      </c>
      <c r="BN321" t="e">
        <f>AND(#REF!,"AAAAAH9210E=")</f>
        <v>#REF!</v>
      </c>
      <c r="BO321" t="e">
        <f>AND(#REF!,"AAAAAH9210I=")</f>
        <v>#REF!</v>
      </c>
      <c r="BP321" t="e">
        <f>AND(#REF!,"AAAAAH9210M=")</f>
        <v>#REF!</v>
      </c>
      <c r="BQ321" t="e">
        <f>AND(#REF!,"AAAAAH9210Q=")</f>
        <v>#REF!</v>
      </c>
      <c r="BR321" t="e">
        <f>AND(#REF!,"AAAAAH9210U=")</f>
        <v>#REF!</v>
      </c>
      <c r="BS321" t="e">
        <f>IF(#REF!,"AAAAAH9210Y=",0)</f>
        <v>#REF!</v>
      </c>
      <c r="BT321" t="e">
        <f>AND(#REF!,"AAAAAH9210c=")</f>
        <v>#REF!</v>
      </c>
      <c r="BU321" t="e">
        <f>AND(#REF!,"AAAAAH9210g=")</f>
        <v>#REF!</v>
      </c>
      <c r="BV321" t="e">
        <f>AND(#REF!,"AAAAAH9210k=")</f>
        <v>#REF!</v>
      </c>
      <c r="BW321" t="e">
        <f>AND(#REF!,"AAAAAH9210o=")</f>
        <v>#REF!</v>
      </c>
      <c r="BX321" t="e">
        <f>AND(#REF!,"AAAAAH9210s=")</f>
        <v>#REF!</v>
      </c>
      <c r="BY321" t="e">
        <f>AND(#REF!,"AAAAAH9210w=")</f>
        <v>#REF!</v>
      </c>
      <c r="BZ321" t="e">
        <f>AND(#REF!,"AAAAAH92100=")</f>
        <v>#REF!</v>
      </c>
      <c r="CA321" t="e">
        <f>AND(#REF!,"AAAAAH92104=")</f>
        <v>#REF!</v>
      </c>
      <c r="CB321" t="e">
        <f>AND(#REF!,"AAAAAH92108=")</f>
        <v>#REF!</v>
      </c>
      <c r="CC321" t="e">
        <f>AND(#REF!,"AAAAAH9211A=")</f>
        <v>#REF!</v>
      </c>
      <c r="CD321" t="e">
        <f>IF(#REF!,"AAAAAH9211E=",0)</f>
        <v>#REF!</v>
      </c>
      <c r="CE321" t="e">
        <f>AND(#REF!,"AAAAAH9211I=")</f>
        <v>#REF!</v>
      </c>
      <c r="CF321" t="e">
        <f>AND(#REF!,"AAAAAH9211M=")</f>
        <v>#REF!</v>
      </c>
      <c r="CG321" t="e">
        <f>AND(#REF!,"AAAAAH9211Q=")</f>
        <v>#REF!</v>
      </c>
      <c r="CH321" t="e">
        <f>AND(#REF!,"AAAAAH9211U=")</f>
        <v>#REF!</v>
      </c>
      <c r="CI321" t="e">
        <f>AND(#REF!,"AAAAAH9211Y=")</f>
        <v>#REF!</v>
      </c>
      <c r="CJ321" t="e">
        <f>AND(#REF!,"AAAAAH9211c=")</f>
        <v>#REF!</v>
      </c>
      <c r="CK321" t="e">
        <f>AND(#REF!,"AAAAAH9211g=")</f>
        <v>#REF!</v>
      </c>
      <c r="CL321" t="e">
        <f>AND(#REF!,"AAAAAH9211k=")</f>
        <v>#REF!</v>
      </c>
      <c r="CM321" t="e">
        <f>AND(#REF!,"AAAAAH9211o=")</f>
        <v>#REF!</v>
      </c>
      <c r="CN321" t="e">
        <f>AND(#REF!,"AAAAAH9211s=")</f>
        <v>#REF!</v>
      </c>
      <c r="CO321" t="e">
        <f>IF(#REF!,"AAAAAH9211w=",0)</f>
        <v>#REF!</v>
      </c>
      <c r="CP321" t="e">
        <f>AND(#REF!,"AAAAAH92110=")</f>
        <v>#REF!</v>
      </c>
      <c r="CQ321" t="e">
        <f>AND(#REF!,"AAAAAH92114=")</f>
        <v>#REF!</v>
      </c>
      <c r="CR321" t="e">
        <f>AND(#REF!,"AAAAAH92118=")</f>
        <v>#REF!</v>
      </c>
      <c r="CS321" t="e">
        <f>AND(#REF!,"AAAAAH9212A=")</f>
        <v>#REF!</v>
      </c>
      <c r="CT321" t="e">
        <f>AND(#REF!,"AAAAAH9212E=")</f>
        <v>#REF!</v>
      </c>
      <c r="CU321" t="e">
        <f>AND(#REF!,"AAAAAH9212I=")</f>
        <v>#REF!</v>
      </c>
      <c r="CV321" t="e">
        <f>AND(#REF!,"AAAAAH9212M=")</f>
        <v>#REF!</v>
      </c>
      <c r="CW321" t="e">
        <f>AND(#REF!,"AAAAAH9212Q=")</f>
        <v>#REF!</v>
      </c>
      <c r="CX321" t="e">
        <f>AND(#REF!,"AAAAAH9212U=")</f>
        <v>#REF!</v>
      </c>
      <c r="CY321" t="e">
        <f>AND(#REF!,"AAAAAH9212Y=")</f>
        <v>#REF!</v>
      </c>
      <c r="CZ321" t="e">
        <f>IF(#REF!,"AAAAAH9212c=",0)</f>
        <v>#REF!</v>
      </c>
      <c r="DA321" t="e">
        <f>AND(#REF!,"AAAAAH9212g=")</f>
        <v>#REF!</v>
      </c>
      <c r="DB321" t="e">
        <f>AND(#REF!,"AAAAAH9212k=")</f>
        <v>#REF!</v>
      </c>
      <c r="DC321" t="e">
        <f>AND(#REF!,"AAAAAH9212o=")</f>
        <v>#REF!</v>
      </c>
      <c r="DD321" t="e">
        <f>AND(#REF!,"AAAAAH9212s=")</f>
        <v>#REF!</v>
      </c>
      <c r="DE321" t="e">
        <f>AND(#REF!,"AAAAAH9212w=")</f>
        <v>#REF!</v>
      </c>
      <c r="DF321" t="e">
        <f>AND(#REF!,"AAAAAH92120=")</f>
        <v>#REF!</v>
      </c>
      <c r="DG321" t="e">
        <f>AND(#REF!,"AAAAAH92124=")</f>
        <v>#REF!</v>
      </c>
      <c r="DH321" t="e">
        <f>AND(#REF!,"AAAAAH92128=")</f>
        <v>#REF!</v>
      </c>
      <c r="DI321" t="e">
        <f>AND(#REF!,"AAAAAH9213A=")</f>
        <v>#REF!</v>
      </c>
      <c r="DJ321" t="e">
        <f>AND(#REF!,"AAAAAH9213E=")</f>
        <v>#REF!</v>
      </c>
      <c r="DK321" t="e">
        <f>IF(#REF!,"AAAAAH9213I=",0)</f>
        <v>#REF!</v>
      </c>
      <c r="DL321" t="e">
        <f>AND(#REF!,"AAAAAH9213M=")</f>
        <v>#REF!</v>
      </c>
      <c r="DM321" t="e">
        <f>AND(#REF!,"AAAAAH9213Q=")</f>
        <v>#REF!</v>
      </c>
      <c r="DN321" t="e">
        <f>AND(#REF!,"AAAAAH9213U=")</f>
        <v>#REF!</v>
      </c>
      <c r="DO321" t="e">
        <f>AND(#REF!,"AAAAAH9213Y=")</f>
        <v>#REF!</v>
      </c>
      <c r="DP321" t="e">
        <f>AND(#REF!,"AAAAAH9213c=")</f>
        <v>#REF!</v>
      </c>
      <c r="DQ321" t="e">
        <f>AND(#REF!,"AAAAAH9213g=")</f>
        <v>#REF!</v>
      </c>
      <c r="DR321" t="e">
        <f>AND(#REF!,"AAAAAH9213k=")</f>
        <v>#REF!</v>
      </c>
      <c r="DS321" t="e">
        <f>AND(#REF!,"AAAAAH9213o=")</f>
        <v>#REF!</v>
      </c>
      <c r="DT321" t="e">
        <f>AND(#REF!,"AAAAAH9213s=")</f>
        <v>#REF!</v>
      </c>
      <c r="DU321" t="e">
        <f>AND(#REF!,"AAAAAH9213w=")</f>
        <v>#REF!</v>
      </c>
      <c r="DV321" t="e">
        <f>IF(#REF!,"AAAAAH92130=",0)</f>
        <v>#REF!</v>
      </c>
      <c r="DW321" t="e">
        <f>AND(#REF!,"AAAAAH92134=")</f>
        <v>#REF!</v>
      </c>
      <c r="DX321" t="e">
        <f>AND(#REF!,"AAAAAH92138=")</f>
        <v>#REF!</v>
      </c>
      <c r="DY321" t="e">
        <f>AND(#REF!,"AAAAAH9214A=")</f>
        <v>#REF!</v>
      </c>
      <c r="DZ321" t="e">
        <f>AND(#REF!,"AAAAAH9214E=")</f>
        <v>#REF!</v>
      </c>
      <c r="EA321" t="e">
        <f>AND(#REF!,"AAAAAH9214I=")</f>
        <v>#REF!</v>
      </c>
      <c r="EB321" t="e">
        <f>AND(#REF!,"AAAAAH9214M=")</f>
        <v>#REF!</v>
      </c>
      <c r="EC321" t="e">
        <f>AND(#REF!,"AAAAAH9214Q=")</f>
        <v>#REF!</v>
      </c>
      <c r="ED321" t="e">
        <f>AND(#REF!,"AAAAAH9214U=")</f>
        <v>#REF!</v>
      </c>
      <c r="EE321" t="e">
        <f>AND(#REF!,"AAAAAH9214Y=")</f>
        <v>#REF!</v>
      </c>
      <c r="EF321" t="e">
        <f>AND(#REF!,"AAAAAH9214c=")</f>
        <v>#REF!</v>
      </c>
      <c r="EG321" t="e">
        <f>IF(#REF!,"AAAAAH9214g=",0)</f>
        <v>#REF!</v>
      </c>
      <c r="EH321" t="e">
        <f>AND(#REF!,"AAAAAH9214k=")</f>
        <v>#REF!</v>
      </c>
      <c r="EI321" t="e">
        <f>AND(#REF!,"AAAAAH9214o=")</f>
        <v>#REF!</v>
      </c>
      <c r="EJ321" t="e">
        <f>AND(#REF!,"AAAAAH9214s=")</f>
        <v>#REF!</v>
      </c>
      <c r="EK321" t="e">
        <f>AND(#REF!,"AAAAAH9214w=")</f>
        <v>#REF!</v>
      </c>
      <c r="EL321" t="e">
        <f>AND(#REF!,"AAAAAH92140=")</f>
        <v>#REF!</v>
      </c>
      <c r="EM321" t="e">
        <f>AND(#REF!,"AAAAAH92144=")</f>
        <v>#REF!</v>
      </c>
      <c r="EN321" t="e">
        <f>AND(#REF!,"AAAAAH92148=")</f>
        <v>#REF!</v>
      </c>
      <c r="EO321" t="e">
        <f>AND(#REF!,"AAAAAH9215A=")</f>
        <v>#REF!</v>
      </c>
      <c r="EP321" t="e">
        <f>AND(#REF!,"AAAAAH9215E=")</f>
        <v>#REF!</v>
      </c>
      <c r="EQ321" t="e">
        <f>AND(#REF!,"AAAAAH9215I=")</f>
        <v>#REF!</v>
      </c>
      <c r="ER321" t="e">
        <f>IF(#REF!,"AAAAAH9215M=",0)</f>
        <v>#REF!</v>
      </c>
      <c r="ES321" t="e">
        <f>AND(#REF!,"AAAAAH9215Q=")</f>
        <v>#REF!</v>
      </c>
      <c r="ET321" t="e">
        <f>AND(#REF!,"AAAAAH9215U=")</f>
        <v>#REF!</v>
      </c>
      <c r="EU321" t="e">
        <f>AND(#REF!,"AAAAAH9215Y=")</f>
        <v>#REF!</v>
      </c>
      <c r="EV321" t="e">
        <f>AND(#REF!,"AAAAAH9215c=")</f>
        <v>#REF!</v>
      </c>
      <c r="EW321" t="e">
        <f>AND(#REF!,"AAAAAH9215g=")</f>
        <v>#REF!</v>
      </c>
      <c r="EX321" t="e">
        <f>AND(#REF!,"AAAAAH9215k=")</f>
        <v>#REF!</v>
      </c>
      <c r="EY321" t="e">
        <f>AND(#REF!,"AAAAAH9215o=")</f>
        <v>#REF!</v>
      </c>
      <c r="EZ321" t="e">
        <f>AND(#REF!,"AAAAAH9215s=")</f>
        <v>#REF!</v>
      </c>
      <c r="FA321" t="e">
        <f>AND(#REF!,"AAAAAH9215w=")</f>
        <v>#REF!</v>
      </c>
      <c r="FB321" t="e">
        <f>AND(#REF!,"AAAAAH92150=")</f>
        <v>#REF!</v>
      </c>
      <c r="FC321" t="e">
        <f>IF(#REF!,"AAAAAH92154=",0)</f>
        <v>#REF!</v>
      </c>
      <c r="FD321" t="e">
        <f>AND(#REF!,"AAAAAH92158=")</f>
        <v>#REF!</v>
      </c>
      <c r="FE321" t="e">
        <f>AND(#REF!,"AAAAAH9216A=")</f>
        <v>#REF!</v>
      </c>
      <c r="FF321" t="e">
        <f>AND(#REF!,"AAAAAH9216E=")</f>
        <v>#REF!</v>
      </c>
      <c r="FG321" t="e">
        <f>AND(#REF!,"AAAAAH9216I=")</f>
        <v>#REF!</v>
      </c>
      <c r="FH321" t="e">
        <f>AND(#REF!,"AAAAAH9216M=")</f>
        <v>#REF!</v>
      </c>
      <c r="FI321" t="e">
        <f>AND(#REF!,"AAAAAH9216Q=")</f>
        <v>#REF!</v>
      </c>
      <c r="FJ321" t="e">
        <f>AND(#REF!,"AAAAAH9216U=")</f>
        <v>#REF!</v>
      </c>
      <c r="FK321" t="e">
        <f>AND(#REF!,"AAAAAH9216Y=")</f>
        <v>#REF!</v>
      </c>
      <c r="FL321" t="e">
        <f>AND(#REF!,"AAAAAH9216c=")</f>
        <v>#REF!</v>
      </c>
      <c r="FM321" t="e">
        <f>AND(#REF!,"AAAAAH9216g=")</f>
        <v>#REF!</v>
      </c>
      <c r="FN321" t="e">
        <f>IF(#REF!,"AAAAAH9216k=",0)</f>
        <v>#REF!</v>
      </c>
      <c r="FO321" t="e">
        <f>AND(#REF!,"AAAAAH9216o=")</f>
        <v>#REF!</v>
      </c>
      <c r="FP321" t="e">
        <f>AND(#REF!,"AAAAAH9216s=")</f>
        <v>#REF!</v>
      </c>
      <c r="FQ321" t="e">
        <f>AND(#REF!,"AAAAAH9216w=")</f>
        <v>#REF!</v>
      </c>
      <c r="FR321" t="e">
        <f>AND(#REF!,"AAAAAH92160=")</f>
        <v>#REF!</v>
      </c>
      <c r="FS321" t="e">
        <f>AND(#REF!,"AAAAAH92164=")</f>
        <v>#REF!</v>
      </c>
      <c r="FT321" t="e">
        <f>AND(#REF!,"AAAAAH92168=")</f>
        <v>#REF!</v>
      </c>
      <c r="FU321" t="e">
        <f>AND(#REF!,"AAAAAH9217A=")</f>
        <v>#REF!</v>
      </c>
      <c r="FV321" t="e">
        <f>AND(#REF!,"AAAAAH9217E=")</f>
        <v>#REF!</v>
      </c>
      <c r="FW321" t="e">
        <f>AND(#REF!,"AAAAAH9217I=")</f>
        <v>#REF!</v>
      </c>
      <c r="FX321" t="e">
        <f>AND(#REF!,"AAAAAH9217M=")</f>
        <v>#REF!</v>
      </c>
      <c r="FY321" t="e">
        <f>IF(#REF!,"AAAAAH9217Q=",0)</f>
        <v>#REF!</v>
      </c>
      <c r="FZ321" t="e">
        <f>AND(#REF!,"AAAAAH9217U=")</f>
        <v>#REF!</v>
      </c>
      <c r="GA321" t="e">
        <f>AND(#REF!,"AAAAAH9217Y=")</f>
        <v>#REF!</v>
      </c>
      <c r="GB321" t="e">
        <f>AND(#REF!,"AAAAAH9217c=")</f>
        <v>#REF!</v>
      </c>
      <c r="GC321" t="e">
        <f>AND(#REF!,"AAAAAH9217g=")</f>
        <v>#REF!</v>
      </c>
      <c r="GD321" t="e">
        <f>AND(#REF!,"AAAAAH9217k=")</f>
        <v>#REF!</v>
      </c>
      <c r="GE321" t="e">
        <f>AND(#REF!,"AAAAAH9217o=")</f>
        <v>#REF!</v>
      </c>
      <c r="GF321" t="e">
        <f>AND(#REF!,"AAAAAH9217s=")</f>
        <v>#REF!</v>
      </c>
      <c r="GG321" t="e">
        <f>AND(#REF!,"AAAAAH9217w=")</f>
        <v>#REF!</v>
      </c>
      <c r="GH321" t="e">
        <f>AND(#REF!,"AAAAAH92170=")</f>
        <v>#REF!</v>
      </c>
      <c r="GI321" t="e">
        <f>AND(#REF!,"AAAAAH92174=")</f>
        <v>#REF!</v>
      </c>
      <c r="GJ321" t="e">
        <f>IF(#REF!,"AAAAAH92178=",0)</f>
        <v>#REF!</v>
      </c>
      <c r="GK321" t="e">
        <f>AND(#REF!,"AAAAAH9218A=")</f>
        <v>#REF!</v>
      </c>
      <c r="GL321" t="e">
        <f>AND(#REF!,"AAAAAH9218E=")</f>
        <v>#REF!</v>
      </c>
      <c r="GM321" t="e">
        <f>AND(#REF!,"AAAAAH9218I=")</f>
        <v>#REF!</v>
      </c>
      <c r="GN321" t="e">
        <f>AND(#REF!,"AAAAAH9218M=")</f>
        <v>#REF!</v>
      </c>
      <c r="GO321" t="e">
        <f>AND(#REF!,"AAAAAH9218Q=")</f>
        <v>#REF!</v>
      </c>
      <c r="GP321" t="e">
        <f>AND(#REF!,"AAAAAH9218U=")</f>
        <v>#REF!</v>
      </c>
      <c r="GQ321" t="e">
        <f>AND(#REF!,"AAAAAH9218Y=")</f>
        <v>#REF!</v>
      </c>
      <c r="GR321" t="e">
        <f>AND(#REF!,"AAAAAH9218c=")</f>
        <v>#REF!</v>
      </c>
      <c r="GS321" t="e">
        <f>AND(#REF!,"AAAAAH9218g=")</f>
        <v>#REF!</v>
      </c>
      <c r="GT321" t="e">
        <f>AND(#REF!,"AAAAAH9218k=")</f>
        <v>#REF!</v>
      </c>
      <c r="GU321" t="e">
        <f>IF(#REF!,"AAAAAH9218o=",0)</f>
        <v>#REF!</v>
      </c>
      <c r="GV321" t="e">
        <f>AND(#REF!,"AAAAAH9218s=")</f>
        <v>#REF!</v>
      </c>
      <c r="GW321" t="e">
        <f>AND(#REF!,"AAAAAH9218w=")</f>
        <v>#REF!</v>
      </c>
      <c r="GX321" t="e">
        <f>AND(#REF!,"AAAAAH92180=")</f>
        <v>#REF!</v>
      </c>
      <c r="GY321" t="e">
        <f>AND(#REF!,"AAAAAH92184=")</f>
        <v>#REF!</v>
      </c>
      <c r="GZ321" t="e">
        <f>AND(#REF!,"AAAAAH92188=")</f>
        <v>#REF!</v>
      </c>
      <c r="HA321" t="e">
        <f>AND(#REF!,"AAAAAH9219A=")</f>
        <v>#REF!</v>
      </c>
      <c r="HB321" t="e">
        <f>AND(#REF!,"AAAAAH9219E=")</f>
        <v>#REF!</v>
      </c>
      <c r="HC321" t="e">
        <f>AND(#REF!,"AAAAAH9219I=")</f>
        <v>#REF!</v>
      </c>
      <c r="HD321" t="e">
        <f>AND(#REF!,"AAAAAH9219M=")</f>
        <v>#REF!</v>
      </c>
      <c r="HE321" t="e">
        <f>AND(#REF!,"AAAAAH9219Q=")</f>
        <v>#REF!</v>
      </c>
      <c r="HF321" t="e">
        <f>IF(#REF!,"AAAAAH9219U=",0)</f>
        <v>#REF!</v>
      </c>
      <c r="HG321" t="e">
        <f>AND(#REF!,"AAAAAH9219Y=")</f>
        <v>#REF!</v>
      </c>
      <c r="HH321" t="e">
        <f>AND(#REF!,"AAAAAH9219c=")</f>
        <v>#REF!</v>
      </c>
      <c r="HI321" t="e">
        <f>AND(#REF!,"AAAAAH9219g=")</f>
        <v>#REF!</v>
      </c>
      <c r="HJ321" t="e">
        <f>AND(#REF!,"AAAAAH9219k=")</f>
        <v>#REF!</v>
      </c>
      <c r="HK321" t="e">
        <f>AND(#REF!,"AAAAAH9219o=")</f>
        <v>#REF!</v>
      </c>
      <c r="HL321" t="e">
        <f>AND(#REF!,"AAAAAH9219s=")</f>
        <v>#REF!</v>
      </c>
      <c r="HM321" t="e">
        <f>AND(#REF!,"AAAAAH9219w=")</f>
        <v>#REF!</v>
      </c>
      <c r="HN321" t="e">
        <f>AND(#REF!,"AAAAAH92190=")</f>
        <v>#REF!</v>
      </c>
      <c r="HO321" t="e">
        <f>AND(#REF!,"AAAAAH92194=")</f>
        <v>#REF!</v>
      </c>
      <c r="HP321" t="e">
        <f>AND(#REF!,"AAAAAH92198=")</f>
        <v>#REF!</v>
      </c>
      <c r="HQ321" t="e">
        <f>IF(#REF!,"AAAAAH921+A=",0)</f>
        <v>#REF!</v>
      </c>
      <c r="HR321" t="e">
        <f>AND(#REF!,"AAAAAH921+E=")</f>
        <v>#REF!</v>
      </c>
      <c r="HS321" t="e">
        <f>AND(#REF!,"AAAAAH921+I=")</f>
        <v>#REF!</v>
      </c>
      <c r="HT321" t="e">
        <f>AND(#REF!,"AAAAAH921+M=")</f>
        <v>#REF!</v>
      </c>
      <c r="HU321" t="e">
        <f>AND(#REF!,"AAAAAH921+Q=")</f>
        <v>#REF!</v>
      </c>
      <c r="HV321" t="e">
        <f>AND(#REF!,"AAAAAH921+U=")</f>
        <v>#REF!</v>
      </c>
      <c r="HW321" t="e">
        <f>AND(#REF!,"AAAAAH921+Y=")</f>
        <v>#REF!</v>
      </c>
      <c r="HX321" t="e">
        <f>AND(#REF!,"AAAAAH921+c=")</f>
        <v>#REF!</v>
      </c>
      <c r="HY321" t="e">
        <f>AND(#REF!,"AAAAAH921+g=")</f>
        <v>#REF!</v>
      </c>
      <c r="HZ321" t="e">
        <f>AND(#REF!,"AAAAAH921+k=")</f>
        <v>#REF!</v>
      </c>
      <c r="IA321" t="e">
        <f>AND(#REF!,"AAAAAH921+o=")</f>
        <v>#REF!</v>
      </c>
      <c r="IB321" t="e">
        <f>IF(#REF!,"AAAAAH921+s=",0)</f>
        <v>#REF!</v>
      </c>
      <c r="IC321" t="e">
        <f>AND(#REF!,"AAAAAH921+w=")</f>
        <v>#REF!</v>
      </c>
      <c r="ID321" t="e">
        <f>AND(#REF!,"AAAAAH921+0=")</f>
        <v>#REF!</v>
      </c>
      <c r="IE321" t="e">
        <f>AND(#REF!,"AAAAAH921+4=")</f>
        <v>#REF!</v>
      </c>
      <c r="IF321" t="e">
        <f>AND(#REF!,"AAAAAH921+8=")</f>
        <v>#REF!</v>
      </c>
      <c r="IG321" t="e">
        <f>AND(#REF!,"AAAAAH921/A=")</f>
        <v>#REF!</v>
      </c>
      <c r="IH321" t="e">
        <f>AND(#REF!,"AAAAAH921/E=")</f>
        <v>#REF!</v>
      </c>
      <c r="II321" t="e">
        <f>AND(#REF!,"AAAAAH921/I=")</f>
        <v>#REF!</v>
      </c>
      <c r="IJ321" t="e">
        <f>AND(#REF!,"AAAAAH921/M=")</f>
        <v>#REF!</v>
      </c>
      <c r="IK321" t="e">
        <f>AND(#REF!,"AAAAAH921/Q=")</f>
        <v>#REF!</v>
      </c>
      <c r="IL321" t="e">
        <f>AND(#REF!,"AAAAAH921/U=")</f>
        <v>#REF!</v>
      </c>
      <c r="IM321" t="e">
        <f>IF(#REF!,"AAAAAH921/Y=",0)</f>
        <v>#REF!</v>
      </c>
      <c r="IN321" t="e">
        <f>AND(#REF!,"AAAAAH921/c=")</f>
        <v>#REF!</v>
      </c>
      <c r="IO321" t="e">
        <f>AND(#REF!,"AAAAAH921/g=")</f>
        <v>#REF!</v>
      </c>
      <c r="IP321" t="e">
        <f>AND(#REF!,"AAAAAH921/k=")</f>
        <v>#REF!</v>
      </c>
      <c r="IQ321" t="e">
        <f>AND(#REF!,"AAAAAH921/o=")</f>
        <v>#REF!</v>
      </c>
      <c r="IR321" t="e">
        <f>AND(#REF!,"AAAAAH921/s=")</f>
        <v>#REF!</v>
      </c>
      <c r="IS321" t="e">
        <f>AND(#REF!,"AAAAAH921/w=")</f>
        <v>#REF!</v>
      </c>
      <c r="IT321" t="e">
        <f>AND(#REF!,"AAAAAH921/0=")</f>
        <v>#REF!</v>
      </c>
      <c r="IU321" t="e">
        <f>AND(#REF!,"AAAAAH921/4=")</f>
        <v>#REF!</v>
      </c>
      <c r="IV321" t="e">
        <f>AND(#REF!,"AAAAAH921/8=")</f>
        <v>#REF!</v>
      </c>
    </row>
    <row r="322" spans="1:256" x14ac:dyDescent="0.25">
      <c r="A322" t="e">
        <f>AND(#REF!,"AAAAAGyI+wA=")</f>
        <v>#REF!</v>
      </c>
      <c r="B322" t="e">
        <f>IF(#REF!,"AAAAAGyI+wE=",0)</f>
        <v>#REF!</v>
      </c>
      <c r="C322" t="e">
        <f>AND(#REF!,"AAAAAGyI+wI=")</f>
        <v>#REF!</v>
      </c>
      <c r="D322" t="e">
        <f>AND(#REF!,"AAAAAGyI+wM=")</f>
        <v>#REF!</v>
      </c>
      <c r="E322" t="e">
        <f>AND(#REF!,"AAAAAGyI+wQ=")</f>
        <v>#REF!</v>
      </c>
      <c r="F322" t="e">
        <f>AND(#REF!,"AAAAAGyI+wU=")</f>
        <v>#REF!</v>
      </c>
      <c r="G322" t="e">
        <f>AND(#REF!,"AAAAAGyI+wY=")</f>
        <v>#REF!</v>
      </c>
      <c r="H322" t="e">
        <f>AND(#REF!,"AAAAAGyI+wc=")</f>
        <v>#REF!</v>
      </c>
      <c r="I322" t="e">
        <f>AND(#REF!,"AAAAAGyI+wg=")</f>
        <v>#REF!</v>
      </c>
      <c r="J322" t="e">
        <f>AND(#REF!,"AAAAAGyI+wk=")</f>
        <v>#REF!</v>
      </c>
      <c r="K322" t="e">
        <f>AND(#REF!,"AAAAAGyI+wo=")</f>
        <v>#REF!</v>
      </c>
      <c r="L322" t="e">
        <f>AND(#REF!,"AAAAAGyI+ws=")</f>
        <v>#REF!</v>
      </c>
      <c r="M322" t="e">
        <f>IF(#REF!,"AAAAAGyI+ww=",0)</f>
        <v>#REF!</v>
      </c>
      <c r="N322" t="e">
        <f>AND(#REF!,"AAAAAGyI+w0=")</f>
        <v>#REF!</v>
      </c>
      <c r="O322" t="e">
        <f>AND(#REF!,"AAAAAGyI+w4=")</f>
        <v>#REF!</v>
      </c>
      <c r="P322" t="e">
        <f>AND(#REF!,"AAAAAGyI+w8=")</f>
        <v>#REF!</v>
      </c>
      <c r="Q322" t="e">
        <f>AND(#REF!,"AAAAAGyI+xA=")</f>
        <v>#REF!</v>
      </c>
      <c r="R322" t="e">
        <f>AND(#REF!,"AAAAAGyI+xE=")</f>
        <v>#REF!</v>
      </c>
      <c r="S322" t="e">
        <f>AND(#REF!,"AAAAAGyI+xI=")</f>
        <v>#REF!</v>
      </c>
      <c r="T322" t="e">
        <f>AND(#REF!,"AAAAAGyI+xM=")</f>
        <v>#REF!</v>
      </c>
      <c r="U322" t="e">
        <f>AND(#REF!,"AAAAAGyI+xQ=")</f>
        <v>#REF!</v>
      </c>
      <c r="V322" t="e">
        <f>AND(#REF!,"AAAAAGyI+xU=")</f>
        <v>#REF!</v>
      </c>
      <c r="W322" t="e">
        <f>AND(#REF!,"AAAAAGyI+xY=")</f>
        <v>#REF!</v>
      </c>
      <c r="X322" t="e">
        <f>IF(#REF!,"AAAAAGyI+xc=",0)</f>
        <v>#REF!</v>
      </c>
      <c r="Y322" t="e">
        <f>AND(#REF!,"AAAAAGyI+xg=")</f>
        <v>#REF!</v>
      </c>
      <c r="Z322" t="e">
        <f>AND(#REF!,"AAAAAGyI+xk=")</f>
        <v>#REF!</v>
      </c>
      <c r="AA322" t="e">
        <f>AND(#REF!,"AAAAAGyI+xo=")</f>
        <v>#REF!</v>
      </c>
      <c r="AB322" t="e">
        <f>AND(#REF!,"AAAAAGyI+xs=")</f>
        <v>#REF!</v>
      </c>
      <c r="AC322" t="e">
        <f>AND(#REF!,"AAAAAGyI+xw=")</f>
        <v>#REF!</v>
      </c>
      <c r="AD322" t="e">
        <f>AND(#REF!,"AAAAAGyI+x0=")</f>
        <v>#REF!</v>
      </c>
      <c r="AE322" t="e">
        <f>AND(#REF!,"AAAAAGyI+x4=")</f>
        <v>#REF!</v>
      </c>
      <c r="AF322" t="e">
        <f>AND(#REF!,"AAAAAGyI+x8=")</f>
        <v>#REF!</v>
      </c>
      <c r="AG322" t="e">
        <f>AND(#REF!,"AAAAAGyI+yA=")</f>
        <v>#REF!</v>
      </c>
      <c r="AH322" t="e">
        <f>AND(#REF!,"AAAAAGyI+yE=")</f>
        <v>#REF!</v>
      </c>
      <c r="AI322" t="e">
        <f>IF(#REF!,"AAAAAGyI+yI=",0)</f>
        <v>#REF!</v>
      </c>
      <c r="AJ322" t="e">
        <f>AND(#REF!,"AAAAAGyI+yM=")</f>
        <v>#REF!</v>
      </c>
      <c r="AK322" t="e">
        <f>AND(#REF!,"AAAAAGyI+yQ=")</f>
        <v>#REF!</v>
      </c>
      <c r="AL322" t="e">
        <f>AND(#REF!,"AAAAAGyI+yU=")</f>
        <v>#REF!</v>
      </c>
      <c r="AM322" t="e">
        <f>AND(#REF!,"AAAAAGyI+yY=")</f>
        <v>#REF!</v>
      </c>
      <c r="AN322" t="e">
        <f>AND(#REF!,"AAAAAGyI+yc=")</f>
        <v>#REF!</v>
      </c>
      <c r="AO322" t="e">
        <f>AND(#REF!,"AAAAAGyI+yg=")</f>
        <v>#REF!</v>
      </c>
      <c r="AP322" t="e">
        <f>AND(#REF!,"AAAAAGyI+yk=")</f>
        <v>#REF!</v>
      </c>
      <c r="AQ322" t="e">
        <f>AND(#REF!,"AAAAAGyI+yo=")</f>
        <v>#REF!</v>
      </c>
      <c r="AR322" t="e">
        <f>AND(#REF!,"AAAAAGyI+ys=")</f>
        <v>#REF!</v>
      </c>
      <c r="AS322" t="e">
        <f>AND(#REF!,"AAAAAGyI+yw=")</f>
        <v>#REF!</v>
      </c>
      <c r="AT322" t="e">
        <f>IF(#REF!,"AAAAAGyI+y0=",0)</f>
        <v>#REF!</v>
      </c>
      <c r="AU322" t="e">
        <f>AND(#REF!,"AAAAAGyI+y4=")</f>
        <v>#REF!</v>
      </c>
      <c r="AV322" t="e">
        <f>AND(#REF!,"AAAAAGyI+y8=")</f>
        <v>#REF!</v>
      </c>
      <c r="AW322" t="e">
        <f>AND(#REF!,"AAAAAGyI+zA=")</f>
        <v>#REF!</v>
      </c>
      <c r="AX322" t="e">
        <f>AND(#REF!,"AAAAAGyI+zE=")</f>
        <v>#REF!</v>
      </c>
      <c r="AY322" t="e">
        <f>AND(#REF!,"AAAAAGyI+zI=")</f>
        <v>#REF!</v>
      </c>
      <c r="AZ322" t="e">
        <f>AND(#REF!,"AAAAAGyI+zM=")</f>
        <v>#REF!</v>
      </c>
      <c r="BA322" t="e">
        <f>AND(#REF!,"AAAAAGyI+zQ=")</f>
        <v>#REF!</v>
      </c>
      <c r="BB322" t="e">
        <f>AND(#REF!,"AAAAAGyI+zU=")</f>
        <v>#REF!</v>
      </c>
      <c r="BC322" t="e">
        <f>AND(#REF!,"AAAAAGyI+zY=")</f>
        <v>#REF!</v>
      </c>
      <c r="BD322" t="e">
        <f>AND(#REF!,"AAAAAGyI+zc=")</f>
        <v>#REF!</v>
      </c>
      <c r="BE322" t="e">
        <f>IF(#REF!,"AAAAAGyI+zg=",0)</f>
        <v>#REF!</v>
      </c>
      <c r="BF322" t="e">
        <f>AND(#REF!,"AAAAAGyI+zk=")</f>
        <v>#REF!</v>
      </c>
      <c r="BG322" t="e">
        <f>AND(#REF!,"AAAAAGyI+zo=")</f>
        <v>#REF!</v>
      </c>
      <c r="BH322" t="e">
        <f>AND(#REF!,"AAAAAGyI+zs=")</f>
        <v>#REF!</v>
      </c>
      <c r="BI322" t="e">
        <f>AND(#REF!,"AAAAAGyI+zw=")</f>
        <v>#REF!</v>
      </c>
      <c r="BJ322" t="e">
        <f>AND(#REF!,"AAAAAGyI+z0=")</f>
        <v>#REF!</v>
      </c>
      <c r="BK322" t="e">
        <f>AND(#REF!,"AAAAAGyI+z4=")</f>
        <v>#REF!</v>
      </c>
      <c r="BL322" t="e">
        <f>AND(#REF!,"AAAAAGyI+z8=")</f>
        <v>#REF!</v>
      </c>
      <c r="BM322" t="e">
        <f>AND(#REF!,"AAAAAGyI+0A=")</f>
        <v>#REF!</v>
      </c>
      <c r="BN322" t="e">
        <f>AND(#REF!,"AAAAAGyI+0E=")</f>
        <v>#REF!</v>
      </c>
      <c r="BO322" t="e">
        <f>AND(#REF!,"AAAAAGyI+0I=")</f>
        <v>#REF!</v>
      </c>
      <c r="BP322" t="e">
        <f>IF(#REF!,"AAAAAGyI+0M=",0)</f>
        <v>#REF!</v>
      </c>
      <c r="BQ322" t="e">
        <f>AND(#REF!,"AAAAAGyI+0Q=")</f>
        <v>#REF!</v>
      </c>
      <c r="BR322" t="e">
        <f>AND(#REF!,"AAAAAGyI+0U=")</f>
        <v>#REF!</v>
      </c>
      <c r="BS322" t="e">
        <f>AND(#REF!,"AAAAAGyI+0Y=")</f>
        <v>#REF!</v>
      </c>
      <c r="BT322" t="e">
        <f>AND(#REF!,"AAAAAGyI+0c=")</f>
        <v>#REF!</v>
      </c>
      <c r="BU322" t="e">
        <f>AND(#REF!,"AAAAAGyI+0g=")</f>
        <v>#REF!</v>
      </c>
      <c r="BV322" t="e">
        <f>AND(#REF!,"AAAAAGyI+0k=")</f>
        <v>#REF!</v>
      </c>
      <c r="BW322" t="e">
        <f>AND(#REF!,"AAAAAGyI+0o=")</f>
        <v>#REF!</v>
      </c>
      <c r="BX322" t="e">
        <f>AND(#REF!,"AAAAAGyI+0s=")</f>
        <v>#REF!</v>
      </c>
      <c r="BY322" t="e">
        <f>AND(#REF!,"AAAAAGyI+0w=")</f>
        <v>#REF!</v>
      </c>
      <c r="BZ322" t="e">
        <f>AND(#REF!,"AAAAAGyI+00=")</f>
        <v>#REF!</v>
      </c>
      <c r="CA322" t="e">
        <f>IF(#REF!,"AAAAAGyI+04=",0)</f>
        <v>#REF!</v>
      </c>
      <c r="CB322" t="e">
        <f>AND(#REF!,"AAAAAGyI+08=")</f>
        <v>#REF!</v>
      </c>
      <c r="CC322" t="e">
        <f>AND(#REF!,"AAAAAGyI+1A=")</f>
        <v>#REF!</v>
      </c>
      <c r="CD322" t="e">
        <f>AND(#REF!,"AAAAAGyI+1E=")</f>
        <v>#REF!</v>
      </c>
      <c r="CE322" t="e">
        <f>AND(#REF!,"AAAAAGyI+1I=")</f>
        <v>#REF!</v>
      </c>
      <c r="CF322" t="e">
        <f>AND(#REF!,"AAAAAGyI+1M=")</f>
        <v>#REF!</v>
      </c>
      <c r="CG322" t="e">
        <f>AND(#REF!,"AAAAAGyI+1Q=")</f>
        <v>#REF!</v>
      </c>
      <c r="CH322" t="e">
        <f>AND(#REF!,"AAAAAGyI+1U=")</f>
        <v>#REF!</v>
      </c>
      <c r="CI322" t="e">
        <f>AND(#REF!,"AAAAAGyI+1Y=")</f>
        <v>#REF!</v>
      </c>
      <c r="CJ322" t="e">
        <f>AND(#REF!,"AAAAAGyI+1c=")</f>
        <v>#REF!</v>
      </c>
      <c r="CK322" t="e">
        <f>AND(#REF!,"AAAAAGyI+1g=")</f>
        <v>#REF!</v>
      </c>
      <c r="CL322" t="e">
        <f>IF(#REF!,"AAAAAGyI+1k=",0)</f>
        <v>#REF!</v>
      </c>
      <c r="CM322" t="e">
        <f>AND(#REF!,"AAAAAGyI+1o=")</f>
        <v>#REF!</v>
      </c>
      <c r="CN322" t="e">
        <f>AND(#REF!,"AAAAAGyI+1s=")</f>
        <v>#REF!</v>
      </c>
      <c r="CO322" t="e">
        <f>AND(#REF!,"AAAAAGyI+1w=")</f>
        <v>#REF!</v>
      </c>
      <c r="CP322" t="e">
        <f>AND(#REF!,"AAAAAGyI+10=")</f>
        <v>#REF!</v>
      </c>
      <c r="CQ322" t="e">
        <f>AND(#REF!,"AAAAAGyI+14=")</f>
        <v>#REF!</v>
      </c>
      <c r="CR322" t="e">
        <f>AND(#REF!,"AAAAAGyI+18=")</f>
        <v>#REF!</v>
      </c>
      <c r="CS322" t="e">
        <f>AND(#REF!,"AAAAAGyI+2A=")</f>
        <v>#REF!</v>
      </c>
      <c r="CT322" t="e">
        <f>AND(#REF!,"AAAAAGyI+2E=")</f>
        <v>#REF!</v>
      </c>
      <c r="CU322" t="e">
        <f>AND(#REF!,"AAAAAGyI+2I=")</f>
        <v>#REF!</v>
      </c>
      <c r="CV322" t="e">
        <f>AND(#REF!,"AAAAAGyI+2M=")</f>
        <v>#REF!</v>
      </c>
      <c r="CW322" t="e">
        <f>IF(#REF!,"AAAAAGyI+2Q=",0)</f>
        <v>#REF!</v>
      </c>
      <c r="CX322" t="e">
        <f>AND(#REF!,"AAAAAGyI+2U=")</f>
        <v>#REF!</v>
      </c>
      <c r="CY322" t="e">
        <f>AND(#REF!,"AAAAAGyI+2Y=")</f>
        <v>#REF!</v>
      </c>
      <c r="CZ322" t="e">
        <f>AND(#REF!,"AAAAAGyI+2c=")</f>
        <v>#REF!</v>
      </c>
      <c r="DA322" t="e">
        <f>AND(#REF!,"AAAAAGyI+2g=")</f>
        <v>#REF!</v>
      </c>
      <c r="DB322" t="e">
        <f>AND(#REF!,"AAAAAGyI+2k=")</f>
        <v>#REF!</v>
      </c>
      <c r="DC322" t="e">
        <f>AND(#REF!,"AAAAAGyI+2o=")</f>
        <v>#REF!</v>
      </c>
      <c r="DD322" t="e">
        <f>AND(#REF!,"AAAAAGyI+2s=")</f>
        <v>#REF!</v>
      </c>
      <c r="DE322" t="e">
        <f>AND(#REF!,"AAAAAGyI+2w=")</f>
        <v>#REF!</v>
      </c>
      <c r="DF322" t="e">
        <f>AND(#REF!,"AAAAAGyI+20=")</f>
        <v>#REF!</v>
      </c>
      <c r="DG322" t="e">
        <f>AND(#REF!,"AAAAAGyI+24=")</f>
        <v>#REF!</v>
      </c>
      <c r="DH322" t="e">
        <f>IF(#REF!,"AAAAAGyI+28=",0)</f>
        <v>#REF!</v>
      </c>
      <c r="DI322" t="e">
        <f>AND(#REF!,"AAAAAGyI+3A=")</f>
        <v>#REF!</v>
      </c>
      <c r="DJ322" t="e">
        <f>AND(#REF!,"AAAAAGyI+3E=")</f>
        <v>#REF!</v>
      </c>
      <c r="DK322" t="e">
        <f>AND(#REF!,"AAAAAGyI+3I=")</f>
        <v>#REF!</v>
      </c>
      <c r="DL322" t="e">
        <f>AND(#REF!,"AAAAAGyI+3M=")</f>
        <v>#REF!</v>
      </c>
      <c r="DM322" t="e">
        <f>AND(#REF!,"AAAAAGyI+3Q=")</f>
        <v>#REF!</v>
      </c>
      <c r="DN322" t="e">
        <f>AND(#REF!,"AAAAAGyI+3U=")</f>
        <v>#REF!</v>
      </c>
      <c r="DO322" t="e">
        <f>AND(#REF!,"AAAAAGyI+3Y=")</f>
        <v>#REF!</v>
      </c>
      <c r="DP322" t="e">
        <f>AND(#REF!,"AAAAAGyI+3c=")</f>
        <v>#REF!</v>
      </c>
      <c r="DQ322" t="e">
        <f>AND(#REF!,"AAAAAGyI+3g=")</f>
        <v>#REF!</v>
      </c>
      <c r="DR322" t="e">
        <f>AND(#REF!,"AAAAAGyI+3k=")</f>
        <v>#REF!</v>
      </c>
      <c r="DS322" t="e">
        <f>IF(#REF!,"AAAAAGyI+3o=",0)</f>
        <v>#REF!</v>
      </c>
      <c r="DT322" t="e">
        <f>AND(#REF!,"AAAAAGyI+3s=")</f>
        <v>#REF!</v>
      </c>
      <c r="DU322" t="e">
        <f>AND(#REF!,"AAAAAGyI+3w=")</f>
        <v>#REF!</v>
      </c>
      <c r="DV322" t="e">
        <f>AND(#REF!,"AAAAAGyI+30=")</f>
        <v>#REF!</v>
      </c>
      <c r="DW322" t="e">
        <f>AND(#REF!,"AAAAAGyI+34=")</f>
        <v>#REF!</v>
      </c>
      <c r="DX322" t="e">
        <f>AND(#REF!,"AAAAAGyI+38=")</f>
        <v>#REF!</v>
      </c>
      <c r="DY322" t="e">
        <f>AND(#REF!,"AAAAAGyI+4A=")</f>
        <v>#REF!</v>
      </c>
      <c r="DZ322" t="e">
        <f>AND(#REF!,"AAAAAGyI+4E=")</f>
        <v>#REF!</v>
      </c>
      <c r="EA322" t="e">
        <f>AND(#REF!,"AAAAAGyI+4I=")</f>
        <v>#REF!</v>
      </c>
      <c r="EB322" t="e">
        <f>AND(#REF!,"AAAAAGyI+4M=")</f>
        <v>#REF!</v>
      </c>
      <c r="EC322" t="e">
        <f>AND(#REF!,"AAAAAGyI+4Q=")</f>
        <v>#REF!</v>
      </c>
      <c r="ED322" t="e">
        <f>IF(#REF!,"AAAAAGyI+4U=",0)</f>
        <v>#REF!</v>
      </c>
      <c r="EE322" t="e">
        <f>AND(#REF!,"AAAAAGyI+4Y=")</f>
        <v>#REF!</v>
      </c>
      <c r="EF322" t="e">
        <f>AND(#REF!,"AAAAAGyI+4c=")</f>
        <v>#REF!</v>
      </c>
      <c r="EG322" t="e">
        <f>AND(#REF!,"AAAAAGyI+4g=")</f>
        <v>#REF!</v>
      </c>
      <c r="EH322" t="e">
        <f>AND(#REF!,"AAAAAGyI+4k=")</f>
        <v>#REF!</v>
      </c>
      <c r="EI322" t="e">
        <f>AND(#REF!,"AAAAAGyI+4o=")</f>
        <v>#REF!</v>
      </c>
      <c r="EJ322" t="e">
        <f>AND(#REF!,"AAAAAGyI+4s=")</f>
        <v>#REF!</v>
      </c>
      <c r="EK322" t="e">
        <f>AND(#REF!,"AAAAAGyI+4w=")</f>
        <v>#REF!</v>
      </c>
      <c r="EL322" t="e">
        <f>AND(#REF!,"AAAAAGyI+40=")</f>
        <v>#REF!</v>
      </c>
      <c r="EM322" t="e">
        <f>AND(#REF!,"AAAAAGyI+44=")</f>
        <v>#REF!</v>
      </c>
      <c r="EN322" t="e">
        <f>AND(#REF!,"AAAAAGyI+48=")</f>
        <v>#REF!</v>
      </c>
      <c r="EO322" t="e">
        <f>IF(#REF!,"AAAAAGyI+5A=",0)</f>
        <v>#REF!</v>
      </c>
      <c r="EP322" t="e">
        <f>AND(#REF!,"AAAAAGyI+5E=")</f>
        <v>#REF!</v>
      </c>
      <c r="EQ322" t="e">
        <f>AND(#REF!,"AAAAAGyI+5I=")</f>
        <v>#REF!</v>
      </c>
      <c r="ER322" t="e">
        <f>AND(#REF!,"AAAAAGyI+5M=")</f>
        <v>#REF!</v>
      </c>
      <c r="ES322" t="e">
        <f>AND(#REF!,"AAAAAGyI+5Q=")</f>
        <v>#REF!</v>
      </c>
      <c r="ET322" t="e">
        <f>AND(#REF!,"AAAAAGyI+5U=")</f>
        <v>#REF!</v>
      </c>
      <c r="EU322" t="e">
        <f>AND(#REF!,"AAAAAGyI+5Y=")</f>
        <v>#REF!</v>
      </c>
      <c r="EV322" t="e">
        <f>AND(#REF!,"AAAAAGyI+5c=")</f>
        <v>#REF!</v>
      </c>
      <c r="EW322" t="e">
        <f>AND(#REF!,"AAAAAGyI+5g=")</f>
        <v>#REF!</v>
      </c>
      <c r="EX322" t="e">
        <f>AND(#REF!,"AAAAAGyI+5k=")</f>
        <v>#REF!</v>
      </c>
      <c r="EY322" t="e">
        <f>AND(#REF!,"AAAAAGyI+5o=")</f>
        <v>#REF!</v>
      </c>
      <c r="EZ322" t="e">
        <f>IF(#REF!,"AAAAAGyI+5s=",0)</f>
        <v>#REF!</v>
      </c>
      <c r="FA322" t="e">
        <f>AND(#REF!,"AAAAAGyI+5w=")</f>
        <v>#REF!</v>
      </c>
      <c r="FB322" t="e">
        <f>AND(#REF!,"AAAAAGyI+50=")</f>
        <v>#REF!</v>
      </c>
      <c r="FC322" t="e">
        <f>AND(#REF!,"AAAAAGyI+54=")</f>
        <v>#REF!</v>
      </c>
      <c r="FD322" t="e">
        <f>AND(#REF!,"AAAAAGyI+58=")</f>
        <v>#REF!</v>
      </c>
      <c r="FE322" t="e">
        <f>AND(#REF!,"AAAAAGyI+6A=")</f>
        <v>#REF!</v>
      </c>
      <c r="FF322" t="e">
        <f>AND(#REF!,"AAAAAGyI+6E=")</f>
        <v>#REF!</v>
      </c>
      <c r="FG322" t="e">
        <f>AND(#REF!,"AAAAAGyI+6I=")</f>
        <v>#REF!</v>
      </c>
      <c r="FH322" t="e">
        <f>AND(#REF!,"AAAAAGyI+6M=")</f>
        <v>#REF!</v>
      </c>
      <c r="FI322" t="e">
        <f>AND(#REF!,"AAAAAGyI+6Q=")</f>
        <v>#REF!</v>
      </c>
      <c r="FJ322" t="e">
        <f>AND(#REF!,"AAAAAGyI+6U=")</f>
        <v>#REF!</v>
      </c>
      <c r="FK322" t="e">
        <f>IF(#REF!,"AAAAAGyI+6Y=",0)</f>
        <v>#REF!</v>
      </c>
      <c r="FL322" t="e">
        <f>AND(#REF!,"AAAAAGyI+6c=")</f>
        <v>#REF!</v>
      </c>
      <c r="FM322" t="e">
        <f>AND(#REF!,"AAAAAGyI+6g=")</f>
        <v>#REF!</v>
      </c>
      <c r="FN322" t="e">
        <f>AND(#REF!,"AAAAAGyI+6k=")</f>
        <v>#REF!</v>
      </c>
      <c r="FO322" t="e">
        <f>AND(#REF!,"AAAAAGyI+6o=")</f>
        <v>#REF!</v>
      </c>
      <c r="FP322" t="e">
        <f>AND(#REF!,"AAAAAGyI+6s=")</f>
        <v>#REF!</v>
      </c>
      <c r="FQ322" t="e">
        <f>AND(#REF!,"AAAAAGyI+6w=")</f>
        <v>#REF!</v>
      </c>
      <c r="FR322" t="e">
        <f>AND(#REF!,"AAAAAGyI+60=")</f>
        <v>#REF!</v>
      </c>
      <c r="FS322" t="e">
        <f>AND(#REF!,"AAAAAGyI+64=")</f>
        <v>#REF!</v>
      </c>
      <c r="FT322" t="e">
        <f>AND(#REF!,"AAAAAGyI+68=")</f>
        <v>#REF!</v>
      </c>
      <c r="FU322" t="e">
        <f>AND(#REF!,"AAAAAGyI+7A=")</f>
        <v>#REF!</v>
      </c>
      <c r="FV322" t="e">
        <f>IF(#REF!,"AAAAAGyI+7E=",0)</f>
        <v>#REF!</v>
      </c>
      <c r="FW322" t="e">
        <f>AND(#REF!,"AAAAAGyI+7I=")</f>
        <v>#REF!</v>
      </c>
      <c r="FX322" t="e">
        <f>AND(#REF!,"AAAAAGyI+7M=")</f>
        <v>#REF!</v>
      </c>
      <c r="FY322" t="e">
        <f>AND(#REF!,"AAAAAGyI+7Q=")</f>
        <v>#REF!</v>
      </c>
      <c r="FZ322" t="e">
        <f>AND(#REF!,"AAAAAGyI+7U=")</f>
        <v>#REF!</v>
      </c>
      <c r="GA322" t="e">
        <f>AND(#REF!,"AAAAAGyI+7Y=")</f>
        <v>#REF!</v>
      </c>
      <c r="GB322" t="e">
        <f>AND(#REF!,"AAAAAGyI+7c=")</f>
        <v>#REF!</v>
      </c>
      <c r="GC322" t="e">
        <f>AND(#REF!,"AAAAAGyI+7g=")</f>
        <v>#REF!</v>
      </c>
      <c r="GD322" t="e">
        <f>AND(#REF!,"AAAAAGyI+7k=")</f>
        <v>#REF!</v>
      </c>
      <c r="GE322" t="e">
        <f>AND(#REF!,"AAAAAGyI+7o=")</f>
        <v>#REF!</v>
      </c>
      <c r="GF322" t="e">
        <f>AND(#REF!,"AAAAAGyI+7s=")</f>
        <v>#REF!</v>
      </c>
      <c r="GG322" t="e">
        <f>IF(#REF!,"AAAAAGyI+7w=",0)</f>
        <v>#REF!</v>
      </c>
      <c r="GH322" t="e">
        <f>AND(#REF!,"AAAAAGyI+70=")</f>
        <v>#REF!</v>
      </c>
      <c r="GI322" t="e">
        <f>AND(#REF!,"AAAAAGyI+74=")</f>
        <v>#REF!</v>
      </c>
      <c r="GJ322" t="e">
        <f>AND(#REF!,"AAAAAGyI+78=")</f>
        <v>#REF!</v>
      </c>
      <c r="GK322" t="e">
        <f>AND(#REF!,"AAAAAGyI+8A=")</f>
        <v>#REF!</v>
      </c>
      <c r="GL322" t="e">
        <f>AND(#REF!,"AAAAAGyI+8E=")</f>
        <v>#REF!</v>
      </c>
      <c r="GM322" t="e">
        <f>AND(#REF!,"AAAAAGyI+8I=")</f>
        <v>#REF!</v>
      </c>
      <c r="GN322" t="e">
        <f>AND(#REF!,"AAAAAGyI+8M=")</f>
        <v>#REF!</v>
      </c>
      <c r="GO322" t="e">
        <f>AND(#REF!,"AAAAAGyI+8Q=")</f>
        <v>#REF!</v>
      </c>
      <c r="GP322" t="e">
        <f>AND(#REF!,"AAAAAGyI+8U=")</f>
        <v>#REF!</v>
      </c>
      <c r="GQ322" t="e">
        <f>AND(#REF!,"AAAAAGyI+8Y=")</f>
        <v>#REF!</v>
      </c>
      <c r="GR322" t="e">
        <f>IF(#REF!,"AAAAAGyI+8c=",0)</f>
        <v>#REF!</v>
      </c>
      <c r="GS322" t="e">
        <f>AND(#REF!,"AAAAAGyI+8g=")</f>
        <v>#REF!</v>
      </c>
      <c r="GT322" t="e">
        <f>AND(#REF!,"AAAAAGyI+8k=")</f>
        <v>#REF!</v>
      </c>
      <c r="GU322" t="e">
        <f>AND(#REF!,"AAAAAGyI+8o=")</f>
        <v>#REF!</v>
      </c>
      <c r="GV322" t="e">
        <f>AND(#REF!,"AAAAAGyI+8s=")</f>
        <v>#REF!</v>
      </c>
      <c r="GW322" t="e">
        <f>AND(#REF!,"AAAAAGyI+8w=")</f>
        <v>#REF!</v>
      </c>
      <c r="GX322" t="e">
        <f>AND(#REF!,"AAAAAGyI+80=")</f>
        <v>#REF!</v>
      </c>
      <c r="GY322" t="e">
        <f>AND(#REF!,"AAAAAGyI+84=")</f>
        <v>#REF!</v>
      </c>
      <c r="GZ322" t="e">
        <f>AND(#REF!,"AAAAAGyI+88=")</f>
        <v>#REF!</v>
      </c>
      <c r="HA322" t="e">
        <f>AND(#REF!,"AAAAAGyI+9A=")</f>
        <v>#REF!</v>
      </c>
      <c r="HB322" t="e">
        <f>AND(#REF!,"AAAAAGyI+9E=")</f>
        <v>#REF!</v>
      </c>
      <c r="HC322" t="e">
        <f>IF(#REF!,"AAAAAGyI+9I=",0)</f>
        <v>#REF!</v>
      </c>
      <c r="HD322" t="e">
        <f>AND(#REF!,"AAAAAGyI+9M=")</f>
        <v>#REF!</v>
      </c>
      <c r="HE322" t="e">
        <f>AND(#REF!,"AAAAAGyI+9Q=")</f>
        <v>#REF!</v>
      </c>
      <c r="HF322" t="e">
        <f>AND(#REF!,"AAAAAGyI+9U=")</f>
        <v>#REF!</v>
      </c>
      <c r="HG322" t="e">
        <f>AND(#REF!,"AAAAAGyI+9Y=")</f>
        <v>#REF!</v>
      </c>
      <c r="HH322" t="e">
        <f>AND(#REF!,"AAAAAGyI+9c=")</f>
        <v>#REF!</v>
      </c>
      <c r="HI322" t="e">
        <f>AND(#REF!,"AAAAAGyI+9g=")</f>
        <v>#REF!</v>
      </c>
      <c r="HJ322" t="e">
        <f>AND(#REF!,"AAAAAGyI+9k=")</f>
        <v>#REF!</v>
      </c>
      <c r="HK322" t="e">
        <f>AND(#REF!,"AAAAAGyI+9o=")</f>
        <v>#REF!</v>
      </c>
      <c r="HL322" t="e">
        <f>AND(#REF!,"AAAAAGyI+9s=")</f>
        <v>#REF!</v>
      </c>
      <c r="HM322" t="e">
        <f>AND(#REF!,"AAAAAGyI+9w=")</f>
        <v>#REF!</v>
      </c>
      <c r="HN322" t="e">
        <f>IF(#REF!,"AAAAAGyI+90=",0)</f>
        <v>#REF!</v>
      </c>
      <c r="HO322" t="e">
        <f>AND(#REF!,"AAAAAGyI+94=")</f>
        <v>#REF!</v>
      </c>
      <c r="HP322" t="e">
        <f>AND(#REF!,"AAAAAGyI+98=")</f>
        <v>#REF!</v>
      </c>
      <c r="HQ322" t="e">
        <f>AND(#REF!,"AAAAAGyI++A=")</f>
        <v>#REF!</v>
      </c>
      <c r="HR322" t="e">
        <f>AND(#REF!,"AAAAAGyI++E=")</f>
        <v>#REF!</v>
      </c>
      <c r="HS322" t="e">
        <f>AND(#REF!,"AAAAAGyI++I=")</f>
        <v>#REF!</v>
      </c>
      <c r="HT322" t="e">
        <f>AND(#REF!,"AAAAAGyI++M=")</f>
        <v>#REF!</v>
      </c>
      <c r="HU322" t="e">
        <f>AND(#REF!,"AAAAAGyI++Q=")</f>
        <v>#REF!</v>
      </c>
      <c r="HV322" t="e">
        <f>AND(#REF!,"AAAAAGyI++U=")</f>
        <v>#REF!</v>
      </c>
      <c r="HW322" t="e">
        <f>AND(#REF!,"AAAAAGyI++Y=")</f>
        <v>#REF!</v>
      </c>
      <c r="HX322" t="e">
        <f>AND(#REF!,"AAAAAGyI++c=")</f>
        <v>#REF!</v>
      </c>
      <c r="HY322" t="e">
        <f>IF(#REF!,"AAAAAGyI++g=",0)</f>
        <v>#REF!</v>
      </c>
      <c r="HZ322" t="e">
        <f>AND(#REF!,"AAAAAGyI++k=")</f>
        <v>#REF!</v>
      </c>
      <c r="IA322" t="e">
        <f>AND(#REF!,"AAAAAGyI++o=")</f>
        <v>#REF!</v>
      </c>
      <c r="IB322" t="e">
        <f>AND(#REF!,"AAAAAGyI++s=")</f>
        <v>#REF!</v>
      </c>
      <c r="IC322" t="e">
        <f>AND(#REF!,"AAAAAGyI++w=")</f>
        <v>#REF!</v>
      </c>
      <c r="ID322" t="e">
        <f>AND(#REF!,"AAAAAGyI++0=")</f>
        <v>#REF!</v>
      </c>
      <c r="IE322" t="e">
        <f>AND(#REF!,"AAAAAGyI++4=")</f>
        <v>#REF!</v>
      </c>
      <c r="IF322" t="e">
        <f>AND(#REF!,"AAAAAGyI++8=")</f>
        <v>#REF!</v>
      </c>
      <c r="IG322" t="e">
        <f>AND(#REF!,"AAAAAGyI+/A=")</f>
        <v>#REF!</v>
      </c>
      <c r="IH322" t="e">
        <f>AND(#REF!,"AAAAAGyI+/E=")</f>
        <v>#REF!</v>
      </c>
      <c r="II322" t="e">
        <f>AND(#REF!,"AAAAAGyI+/I=")</f>
        <v>#REF!</v>
      </c>
      <c r="IJ322" t="e">
        <f>IF(#REF!,"AAAAAGyI+/M=",0)</f>
        <v>#REF!</v>
      </c>
      <c r="IK322" t="e">
        <f>AND(#REF!,"AAAAAGyI+/Q=")</f>
        <v>#REF!</v>
      </c>
      <c r="IL322" t="e">
        <f>AND(#REF!,"AAAAAGyI+/U=")</f>
        <v>#REF!</v>
      </c>
      <c r="IM322" t="e">
        <f>AND(#REF!,"AAAAAGyI+/Y=")</f>
        <v>#REF!</v>
      </c>
      <c r="IN322" t="e">
        <f>AND(#REF!,"AAAAAGyI+/c=")</f>
        <v>#REF!</v>
      </c>
      <c r="IO322" t="e">
        <f>AND(#REF!,"AAAAAGyI+/g=")</f>
        <v>#REF!</v>
      </c>
      <c r="IP322" t="e">
        <f>AND(#REF!,"AAAAAGyI+/k=")</f>
        <v>#REF!</v>
      </c>
      <c r="IQ322" t="e">
        <f>AND(#REF!,"AAAAAGyI+/o=")</f>
        <v>#REF!</v>
      </c>
      <c r="IR322" t="e">
        <f>AND(#REF!,"AAAAAGyI+/s=")</f>
        <v>#REF!</v>
      </c>
      <c r="IS322" t="e">
        <f>AND(#REF!,"AAAAAGyI+/w=")</f>
        <v>#REF!</v>
      </c>
      <c r="IT322" t="e">
        <f>AND(#REF!,"AAAAAGyI+/0=")</f>
        <v>#REF!</v>
      </c>
      <c r="IU322" t="e">
        <f>IF(#REF!,"AAAAAGyI+/4=",0)</f>
        <v>#REF!</v>
      </c>
      <c r="IV322" t="e">
        <f>AND(#REF!,"AAAAAGyI+/8=")</f>
        <v>#REF!</v>
      </c>
    </row>
    <row r="323" spans="1:256" x14ac:dyDescent="0.25">
      <c r="A323" t="e">
        <f>AND(#REF!,"AAAAADf6/QA=")</f>
        <v>#REF!</v>
      </c>
      <c r="B323" t="e">
        <f>AND(#REF!,"AAAAADf6/QE=")</f>
        <v>#REF!</v>
      </c>
      <c r="C323" t="e">
        <f>AND(#REF!,"AAAAADf6/QI=")</f>
        <v>#REF!</v>
      </c>
      <c r="D323" t="e">
        <f>AND(#REF!,"AAAAADf6/QM=")</f>
        <v>#REF!</v>
      </c>
      <c r="E323" t="e">
        <f>AND(#REF!,"AAAAADf6/QQ=")</f>
        <v>#REF!</v>
      </c>
      <c r="F323" t="e">
        <f>AND(#REF!,"AAAAADf6/QU=")</f>
        <v>#REF!</v>
      </c>
      <c r="G323" t="e">
        <f>AND(#REF!,"AAAAADf6/QY=")</f>
        <v>#REF!</v>
      </c>
      <c r="H323" t="e">
        <f>AND(#REF!,"AAAAADf6/Qc=")</f>
        <v>#REF!</v>
      </c>
      <c r="I323" t="e">
        <f>AND(#REF!,"AAAAADf6/Qg=")</f>
        <v>#REF!</v>
      </c>
      <c r="J323" t="e">
        <f>IF(#REF!,"AAAAADf6/Qk=",0)</f>
        <v>#REF!</v>
      </c>
      <c r="K323" t="e">
        <f>AND(#REF!,"AAAAADf6/Qo=")</f>
        <v>#REF!</v>
      </c>
      <c r="L323" t="e">
        <f>AND(#REF!,"AAAAADf6/Qs=")</f>
        <v>#REF!</v>
      </c>
      <c r="M323" t="e">
        <f>AND(#REF!,"AAAAADf6/Qw=")</f>
        <v>#REF!</v>
      </c>
      <c r="N323" t="e">
        <f>AND(#REF!,"AAAAADf6/Q0=")</f>
        <v>#REF!</v>
      </c>
      <c r="O323" t="e">
        <f>AND(#REF!,"AAAAADf6/Q4=")</f>
        <v>#REF!</v>
      </c>
      <c r="P323" t="e">
        <f>AND(#REF!,"AAAAADf6/Q8=")</f>
        <v>#REF!</v>
      </c>
      <c r="Q323" t="e">
        <f>AND(#REF!,"AAAAADf6/RA=")</f>
        <v>#REF!</v>
      </c>
      <c r="R323" t="e">
        <f>AND(#REF!,"AAAAADf6/RE=")</f>
        <v>#REF!</v>
      </c>
      <c r="S323" t="e">
        <f>AND(#REF!,"AAAAADf6/RI=")</f>
        <v>#REF!</v>
      </c>
      <c r="T323" t="e">
        <f>AND(#REF!,"AAAAADf6/RM=")</f>
        <v>#REF!</v>
      </c>
      <c r="U323" t="e">
        <f>IF(#REF!,"AAAAADf6/RQ=",0)</f>
        <v>#REF!</v>
      </c>
      <c r="V323" t="e">
        <f>AND(#REF!,"AAAAADf6/RU=")</f>
        <v>#REF!</v>
      </c>
      <c r="W323" t="e">
        <f>AND(#REF!,"AAAAADf6/RY=")</f>
        <v>#REF!</v>
      </c>
      <c r="X323" t="e">
        <f>AND(#REF!,"AAAAADf6/Rc=")</f>
        <v>#REF!</v>
      </c>
      <c r="Y323" t="e">
        <f>AND(#REF!,"AAAAADf6/Rg=")</f>
        <v>#REF!</v>
      </c>
      <c r="Z323" t="e">
        <f>AND(#REF!,"AAAAADf6/Rk=")</f>
        <v>#REF!</v>
      </c>
      <c r="AA323" t="e">
        <f>AND(#REF!,"AAAAADf6/Ro=")</f>
        <v>#REF!</v>
      </c>
      <c r="AB323" t="e">
        <f>AND(#REF!,"AAAAADf6/Rs=")</f>
        <v>#REF!</v>
      </c>
      <c r="AC323" t="e">
        <f>AND(#REF!,"AAAAADf6/Rw=")</f>
        <v>#REF!</v>
      </c>
      <c r="AD323" t="e">
        <f>AND(#REF!,"AAAAADf6/R0=")</f>
        <v>#REF!</v>
      </c>
      <c r="AE323" t="e">
        <f>AND(#REF!,"AAAAADf6/R4=")</f>
        <v>#REF!</v>
      </c>
      <c r="AF323" t="e">
        <f>IF(#REF!,"AAAAADf6/R8=",0)</f>
        <v>#REF!</v>
      </c>
      <c r="AG323" t="e">
        <f>AND(#REF!,"AAAAADf6/SA=")</f>
        <v>#REF!</v>
      </c>
      <c r="AH323" t="e">
        <f>AND(#REF!,"AAAAADf6/SE=")</f>
        <v>#REF!</v>
      </c>
      <c r="AI323" t="e">
        <f>AND(#REF!,"AAAAADf6/SI=")</f>
        <v>#REF!</v>
      </c>
      <c r="AJ323" t="e">
        <f>AND(#REF!,"AAAAADf6/SM=")</f>
        <v>#REF!</v>
      </c>
      <c r="AK323" t="e">
        <f>AND(#REF!,"AAAAADf6/SQ=")</f>
        <v>#REF!</v>
      </c>
      <c r="AL323" t="e">
        <f>AND(#REF!,"AAAAADf6/SU=")</f>
        <v>#REF!</v>
      </c>
      <c r="AM323" t="e">
        <f>AND(#REF!,"AAAAADf6/SY=")</f>
        <v>#REF!</v>
      </c>
      <c r="AN323" t="e">
        <f>AND(#REF!,"AAAAADf6/Sc=")</f>
        <v>#REF!</v>
      </c>
      <c r="AO323" t="e">
        <f>AND(#REF!,"AAAAADf6/Sg=")</f>
        <v>#REF!</v>
      </c>
      <c r="AP323" t="e">
        <f>AND(#REF!,"AAAAADf6/Sk=")</f>
        <v>#REF!</v>
      </c>
      <c r="AQ323" t="e">
        <f>IF(#REF!,"AAAAADf6/So=",0)</f>
        <v>#REF!</v>
      </c>
      <c r="AR323" t="e">
        <f>AND(#REF!,"AAAAADf6/Ss=")</f>
        <v>#REF!</v>
      </c>
      <c r="AS323" t="e">
        <f>AND(#REF!,"AAAAADf6/Sw=")</f>
        <v>#REF!</v>
      </c>
      <c r="AT323" t="e">
        <f>AND(#REF!,"AAAAADf6/S0=")</f>
        <v>#REF!</v>
      </c>
      <c r="AU323" t="e">
        <f>AND(#REF!,"AAAAADf6/S4=")</f>
        <v>#REF!</v>
      </c>
      <c r="AV323" t="e">
        <f>AND(#REF!,"AAAAADf6/S8=")</f>
        <v>#REF!</v>
      </c>
      <c r="AW323" t="e">
        <f>AND(#REF!,"AAAAADf6/TA=")</f>
        <v>#REF!</v>
      </c>
      <c r="AX323" t="e">
        <f>AND(#REF!,"AAAAADf6/TE=")</f>
        <v>#REF!</v>
      </c>
      <c r="AY323" t="e">
        <f>AND(#REF!,"AAAAADf6/TI=")</f>
        <v>#REF!</v>
      </c>
      <c r="AZ323" t="e">
        <f>AND(#REF!,"AAAAADf6/TM=")</f>
        <v>#REF!</v>
      </c>
      <c r="BA323" t="e">
        <f>AND(#REF!,"AAAAADf6/TQ=")</f>
        <v>#REF!</v>
      </c>
      <c r="BB323" t="e">
        <f>IF(#REF!,"AAAAADf6/TU=",0)</f>
        <v>#REF!</v>
      </c>
      <c r="BC323" t="e">
        <f>AND(#REF!,"AAAAADf6/TY=")</f>
        <v>#REF!</v>
      </c>
      <c r="BD323" t="e">
        <f>AND(#REF!,"AAAAADf6/Tc=")</f>
        <v>#REF!</v>
      </c>
      <c r="BE323" t="e">
        <f>AND(#REF!,"AAAAADf6/Tg=")</f>
        <v>#REF!</v>
      </c>
      <c r="BF323" t="e">
        <f>AND(#REF!,"AAAAADf6/Tk=")</f>
        <v>#REF!</v>
      </c>
      <c r="BG323" t="e">
        <f>AND(#REF!,"AAAAADf6/To=")</f>
        <v>#REF!</v>
      </c>
      <c r="BH323" t="e">
        <f>AND(#REF!,"AAAAADf6/Ts=")</f>
        <v>#REF!</v>
      </c>
      <c r="BI323" t="e">
        <f>AND(#REF!,"AAAAADf6/Tw=")</f>
        <v>#REF!</v>
      </c>
      <c r="BJ323" t="e">
        <f>AND(#REF!,"AAAAADf6/T0=")</f>
        <v>#REF!</v>
      </c>
      <c r="BK323" t="e">
        <f>AND(#REF!,"AAAAADf6/T4=")</f>
        <v>#REF!</v>
      </c>
      <c r="BL323" t="e">
        <f>AND(#REF!,"AAAAADf6/T8=")</f>
        <v>#REF!</v>
      </c>
      <c r="BM323" t="e">
        <f>IF(#REF!,"AAAAADf6/UA=",0)</f>
        <v>#REF!</v>
      </c>
      <c r="BN323" t="e">
        <f>AND(#REF!,"AAAAADf6/UE=")</f>
        <v>#REF!</v>
      </c>
      <c r="BO323" t="e">
        <f>AND(#REF!,"AAAAADf6/UI=")</f>
        <v>#REF!</v>
      </c>
      <c r="BP323" t="e">
        <f>AND(#REF!,"AAAAADf6/UM=")</f>
        <v>#REF!</v>
      </c>
      <c r="BQ323" t="e">
        <f>AND(#REF!,"AAAAADf6/UQ=")</f>
        <v>#REF!</v>
      </c>
      <c r="BR323" t="e">
        <f>AND(#REF!,"AAAAADf6/UU=")</f>
        <v>#REF!</v>
      </c>
      <c r="BS323" t="e">
        <f>AND(#REF!,"AAAAADf6/UY=")</f>
        <v>#REF!</v>
      </c>
      <c r="BT323" t="e">
        <f>AND(#REF!,"AAAAADf6/Uc=")</f>
        <v>#REF!</v>
      </c>
      <c r="BU323" t="e">
        <f>AND(#REF!,"AAAAADf6/Ug=")</f>
        <v>#REF!</v>
      </c>
      <c r="BV323" t="e">
        <f>AND(#REF!,"AAAAADf6/Uk=")</f>
        <v>#REF!</v>
      </c>
      <c r="BW323" t="e">
        <f>AND(#REF!,"AAAAADf6/Uo=")</f>
        <v>#REF!</v>
      </c>
      <c r="BX323" t="e">
        <f>IF(#REF!,"AAAAADf6/Us=",0)</f>
        <v>#REF!</v>
      </c>
      <c r="BY323" t="e">
        <f>AND(#REF!,"AAAAADf6/Uw=")</f>
        <v>#REF!</v>
      </c>
      <c r="BZ323" t="e">
        <f>AND(#REF!,"AAAAADf6/U0=")</f>
        <v>#REF!</v>
      </c>
      <c r="CA323" t="e">
        <f>AND(#REF!,"AAAAADf6/U4=")</f>
        <v>#REF!</v>
      </c>
      <c r="CB323" t="e">
        <f>AND(#REF!,"AAAAADf6/U8=")</f>
        <v>#REF!</v>
      </c>
      <c r="CC323" t="e">
        <f>AND(#REF!,"AAAAADf6/VA=")</f>
        <v>#REF!</v>
      </c>
      <c r="CD323" t="e">
        <f>AND(#REF!,"AAAAADf6/VE=")</f>
        <v>#REF!</v>
      </c>
      <c r="CE323" t="e">
        <f>AND(#REF!,"AAAAADf6/VI=")</f>
        <v>#REF!</v>
      </c>
      <c r="CF323" t="e">
        <f>AND(#REF!,"AAAAADf6/VM=")</f>
        <v>#REF!</v>
      </c>
      <c r="CG323" t="e">
        <f>AND(#REF!,"AAAAADf6/VQ=")</f>
        <v>#REF!</v>
      </c>
      <c r="CH323" t="e">
        <f>AND(#REF!,"AAAAADf6/VU=")</f>
        <v>#REF!</v>
      </c>
      <c r="CI323" t="e">
        <f>IF(#REF!,"AAAAADf6/VY=",0)</f>
        <v>#REF!</v>
      </c>
      <c r="CJ323" t="e">
        <f>AND(#REF!,"AAAAADf6/Vc=")</f>
        <v>#REF!</v>
      </c>
      <c r="CK323" t="e">
        <f>AND(#REF!,"AAAAADf6/Vg=")</f>
        <v>#REF!</v>
      </c>
      <c r="CL323" t="e">
        <f>AND(#REF!,"AAAAADf6/Vk=")</f>
        <v>#REF!</v>
      </c>
      <c r="CM323" t="e">
        <f>AND(#REF!,"AAAAADf6/Vo=")</f>
        <v>#REF!</v>
      </c>
      <c r="CN323" t="e">
        <f>AND(#REF!,"AAAAADf6/Vs=")</f>
        <v>#REF!</v>
      </c>
      <c r="CO323" t="e">
        <f>AND(#REF!,"AAAAADf6/Vw=")</f>
        <v>#REF!</v>
      </c>
      <c r="CP323" t="e">
        <f>AND(#REF!,"AAAAADf6/V0=")</f>
        <v>#REF!</v>
      </c>
      <c r="CQ323" t="e">
        <f>AND(#REF!,"AAAAADf6/V4=")</f>
        <v>#REF!</v>
      </c>
      <c r="CR323" t="e">
        <f>AND(#REF!,"AAAAADf6/V8=")</f>
        <v>#REF!</v>
      </c>
      <c r="CS323" t="e">
        <f>AND(#REF!,"AAAAADf6/WA=")</f>
        <v>#REF!</v>
      </c>
      <c r="CT323" t="e">
        <f>IF(#REF!,"AAAAADf6/WE=",0)</f>
        <v>#REF!</v>
      </c>
      <c r="CU323" t="e">
        <f>AND(#REF!,"AAAAADf6/WI=")</f>
        <v>#REF!</v>
      </c>
      <c r="CV323" t="e">
        <f>AND(#REF!,"AAAAADf6/WM=")</f>
        <v>#REF!</v>
      </c>
      <c r="CW323" t="e">
        <f>AND(#REF!,"AAAAADf6/WQ=")</f>
        <v>#REF!</v>
      </c>
      <c r="CX323" t="e">
        <f>AND(#REF!,"AAAAADf6/WU=")</f>
        <v>#REF!</v>
      </c>
      <c r="CY323" t="e">
        <f>AND(#REF!,"AAAAADf6/WY=")</f>
        <v>#REF!</v>
      </c>
      <c r="CZ323" t="e">
        <f>AND(#REF!,"AAAAADf6/Wc=")</f>
        <v>#REF!</v>
      </c>
      <c r="DA323" t="e">
        <f>AND(#REF!,"AAAAADf6/Wg=")</f>
        <v>#REF!</v>
      </c>
      <c r="DB323" t="e">
        <f>AND(#REF!,"AAAAADf6/Wk=")</f>
        <v>#REF!</v>
      </c>
      <c r="DC323" t="e">
        <f>AND(#REF!,"AAAAADf6/Wo=")</f>
        <v>#REF!</v>
      </c>
      <c r="DD323" t="e">
        <f>AND(#REF!,"AAAAADf6/Ws=")</f>
        <v>#REF!</v>
      </c>
      <c r="DE323" t="e">
        <f>IF(#REF!,"AAAAADf6/Ww=",0)</f>
        <v>#REF!</v>
      </c>
      <c r="DF323" t="e">
        <f>AND(#REF!,"AAAAADf6/W0=")</f>
        <v>#REF!</v>
      </c>
      <c r="DG323" t="e">
        <f>AND(#REF!,"AAAAADf6/W4=")</f>
        <v>#REF!</v>
      </c>
      <c r="DH323" t="e">
        <f>AND(#REF!,"AAAAADf6/W8=")</f>
        <v>#REF!</v>
      </c>
      <c r="DI323" t="e">
        <f>AND(#REF!,"AAAAADf6/XA=")</f>
        <v>#REF!</v>
      </c>
      <c r="DJ323" t="e">
        <f>AND(#REF!,"AAAAADf6/XE=")</f>
        <v>#REF!</v>
      </c>
      <c r="DK323" t="e">
        <f>AND(#REF!,"AAAAADf6/XI=")</f>
        <v>#REF!</v>
      </c>
      <c r="DL323" t="e">
        <f>AND(#REF!,"AAAAADf6/XM=")</f>
        <v>#REF!</v>
      </c>
      <c r="DM323" t="e">
        <f>AND(#REF!,"AAAAADf6/XQ=")</f>
        <v>#REF!</v>
      </c>
      <c r="DN323" t="e">
        <f>AND(#REF!,"AAAAADf6/XU=")</f>
        <v>#REF!</v>
      </c>
      <c r="DO323" t="e">
        <f>AND(#REF!,"AAAAADf6/XY=")</f>
        <v>#REF!</v>
      </c>
      <c r="DP323" t="e">
        <f>IF(#REF!,"AAAAADf6/Xc=",0)</f>
        <v>#REF!</v>
      </c>
      <c r="DQ323" t="e">
        <f>AND(#REF!,"AAAAADf6/Xg=")</f>
        <v>#REF!</v>
      </c>
      <c r="DR323" t="e">
        <f>AND(#REF!,"AAAAADf6/Xk=")</f>
        <v>#REF!</v>
      </c>
      <c r="DS323" t="e">
        <f>AND(#REF!,"AAAAADf6/Xo=")</f>
        <v>#REF!</v>
      </c>
      <c r="DT323" t="e">
        <f>AND(#REF!,"AAAAADf6/Xs=")</f>
        <v>#REF!</v>
      </c>
      <c r="DU323" t="e">
        <f>AND(#REF!,"AAAAADf6/Xw=")</f>
        <v>#REF!</v>
      </c>
      <c r="DV323" t="e">
        <f>AND(#REF!,"AAAAADf6/X0=")</f>
        <v>#REF!</v>
      </c>
      <c r="DW323" t="e">
        <f>AND(#REF!,"AAAAADf6/X4=")</f>
        <v>#REF!</v>
      </c>
      <c r="DX323" t="e">
        <f>AND(#REF!,"AAAAADf6/X8=")</f>
        <v>#REF!</v>
      </c>
      <c r="DY323" t="e">
        <f>AND(#REF!,"AAAAADf6/YA=")</f>
        <v>#REF!</v>
      </c>
      <c r="DZ323" t="e">
        <f>AND(#REF!,"AAAAADf6/YE=")</f>
        <v>#REF!</v>
      </c>
      <c r="EA323" t="e">
        <f>IF(#REF!,"AAAAADf6/YI=",0)</f>
        <v>#REF!</v>
      </c>
      <c r="EB323" t="e">
        <f>AND(#REF!,"AAAAADf6/YM=")</f>
        <v>#REF!</v>
      </c>
      <c r="EC323" t="e">
        <f>AND(#REF!,"AAAAADf6/YQ=")</f>
        <v>#REF!</v>
      </c>
      <c r="ED323" t="e">
        <f>AND(#REF!,"AAAAADf6/YU=")</f>
        <v>#REF!</v>
      </c>
      <c r="EE323" t="e">
        <f>AND(#REF!,"AAAAADf6/YY=")</f>
        <v>#REF!</v>
      </c>
      <c r="EF323" t="e">
        <f>AND(#REF!,"AAAAADf6/Yc=")</f>
        <v>#REF!</v>
      </c>
      <c r="EG323" t="e">
        <f>AND(#REF!,"AAAAADf6/Yg=")</f>
        <v>#REF!</v>
      </c>
      <c r="EH323" t="e">
        <f>AND(#REF!,"AAAAADf6/Yk=")</f>
        <v>#REF!</v>
      </c>
      <c r="EI323" t="e">
        <f>AND(#REF!,"AAAAADf6/Yo=")</f>
        <v>#REF!</v>
      </c>
      <c r="EJ323" t="e">
        <f>AND(#REF!,"AAAAADf6/Ys=")</f>
        <v>#REF!</v>
      </c>
      <c r="EK323" t="e">
        <f>AND(#REF!,"AAAAADf6/Yw=")</f>
        <v>#REF!</v>
      </c>
      <c r="EL323" t="e">
        <f>IF(#REF!,"AAAAADf6/Y0=",0)</f>
        <v>#REF!</v>
      </c>
      <c r="EM323" t="e">
        <f>AND(#REF!,"AAAAADf6/Y4=")</f>
        <v>#REF!</v>
      </c>
      <c r="EN323" t="e">
        <f>AND(#REF!,"AAAAADf6/Y8=")</f>
        <v>#REF!</v>
      </c>
      <c r="EO323" t="e">
        <f>AND(#REF!,"AAAAADf6/ZA=")</f>
        <v>#REF!</v>
      </c>
      <c r="EP323" t="e">
        <f>AND(#REF!,"AAAAADf6/ZE=")</f>
        <v>#REF!</v>
      </c>
      <c r="EQ323" t="e">
        <f>AND(#REF!,"AAAAADf6/ZI=")</f>
        <v>#REF!</v>
      </c>
      <c r="ER323" t="e">
        <f>AND(#REF!,"AAAAADf6/ZM=")</f>
        <v>#REF!</v>
      </c>
      <c r="ES323" t="e">
        <f>AND(#REF!,"AAAAADf6/ZQ=")</f>
        <v>#REF!</v>
      </c>
      <c r="ET323" t="e">
        <f>AND(#REF!,"AAAAADf6/ZU=")</f>
        <v>#REF!</v>
      </c>
      <c r="EU323" t="e">
        <f>AND(#REF!,"AAAAADf6/ZY=")</f>
        <v>#REF!</v>
      </c>
      <c r="EV323" t="e">
        <f>AND(#REF!,"AAAAADf6/Zc=")</f>
        <v>#REF!</v>
      </c>
      <c r="EW323" t="e">
        <f>IF(#REF!,"AAAAADf6/Zg=",0)</f>
        <v>#REF!</v>
      </c>
      <c r="EX323" t="e">
        <f>AND(#REF!,"AAAAADf6/Zk=")</f>
        <v>#REF!</v>
      </c>
      <c r="EY323" t="e">
        <f>AND(#REF!,"AAAAADf6/Zo=")</f>
        <v>#REF!</v>
      </c>
      <c r="EZ323" t="e">
        <f>AND(#REF!,"AAAAADf6/Zs=")</f>
        <v>#REF!</v>
      </c>
      <c r="FA323" t="e">
        <f>AND(#REF!,"AAAAADf6/Zw=")</f>
        <v>#REF!</v>
      </c>
      <c r="FB323" t="e">
        <f>AND(#REF!,"AAAAADf6/Z0=")</f>
        <v>#REF!</v>
      </c>
      <c r="FC323" t="e">
        <f>AND(#REF!,"AAAAADf6/Z4=")</f>
        <v>#REF!</v>
      </c>
      <c r="FD323" t="e">
        <f>AND(#REF!,"AAAAADf6/Z8=")</f>
        <v>#REF!</v>
      </c>
      <c r="FE323" t="e">
        <f>AND(#REF!,"AAAAADf6/aA=")</f>
        <v>#REF!</v>
      </c>
      <c r="FF323" t="e">
        <f>AND(#REF!,"AAAAADf6/aE=")</f>
        <v>#REF!</v>
      </c>
      <c r="FG323" t="e">
        <f>AND(#REF!,"AAAAADf6/aI=")</f>
        <v>#REF!</v>
      </c>
      <c r="FH323" t="e">
        <f>IF(#REF!,"AAAAADf6/aM=",0)</f>
        <v>#REF!</v>
      </c>
      <c r="FI323" t="e">
        <f>AND(#REF!,"AAAAADf6/aQ=")</f>
        <v>#REF!</v>
      </c>
      <c r="FJ323" t="e">
        <f>AND(#REF!,"AAAAADf6/aU=")</f>
        <v>#REF!</v>
      </c>
      <c r="FK323" t="e">
        <f>AND(#REF!,"AAAAADf6/aY=")</f>
        <v>#REF!</v>
      </c>
      <c r="FL323" t="e">
        <f>AND(#REF!,"AAAAADf6/ac=")</f>
        <v>#REF!</v>
      </c>
      <c r="FM323" t="e">
        <f>AND(#REF!,"AAAAADf6/ag=")</f>
        <v>#REF!</v>
      </c>
      <c r="FN323" t="e">
        <f>AND(#REF!,"AAAAADf6/ak=")</f>
        <v>#REF!</v>
      </c>
      <c r="FO323" t="e">
        <f>AND(#REF!,"AAAAADf6/ao=")</f>
        <v>#REF!</v>
      </c>
      <c r="FP323" t="e">
        <f>AND(#REF!,"AAAAADf6/as=")</f>
        <v>#REF!</v>
      </c>
      <c r="FQ323" t="e">
        <f>AND(#REF!,"AAAAADf6/aw=")</f>
        <v>#REF!</v>
      </c>
      <c r="FR323" t="e">
        <f>AND(#REF!,"AAAAADf6/a0=")</f>
        <v>#REF!</v>
      </c>
      <c r="FS323" t="e">
        <f>IF(#REF!,"AAAAADf6/a4=",0)</f>
        <v>#REF!</v>
      </c>
      <c r="FT323" t="e">
        <f>AND(#REF!,"AAAAADf6/a8=")</f>
        <v>#REF!</v>
      </c>
      <c r="FU323" t="e">
        <f>AND(#REF!,"AAAAADf6/bA=")</f>
        <v>#REF!</v>
      </c>
      <c r="FV323" t="e">
        <f>AND(#REF!,"AAAAADf6/bE=")</f>
        <v>#REF!</v>
      </c>
      <c r="FW323" t="e">
        <f>AND(#REF!,"AAAAADf6/bI=")</f>
        <v>#REF!</v>
      </c>
      <c r="FX323" t="e">
        <f>AND(#REF!,"AAAAADf6/bM=")</f>
        <v>#REF!</v>
      </c>
      <c r="FY323" t="e">
        <f>AND(#REF!,"AAAAADf6/bQ=")</f>
        <v>#REF!</v>
      </c>
      <c r="FZ323" t="e">
        <f>AND(#REF!,"AAAAADf6/bU=")</f>
        <v>#REF!</v>
      </c>
      <c r="GA323" t="e">
        <f>AND(#REF!,"AAAAADf6/bY=")</f>
        <v>#REF!</v>
      </c>
      <c r="GB323" t="e">
        <f>AND(#REF!,"AAAAADf6/bc=")</f>
        <v>#REF!</v>
      </c>
      <c r="GC323" t="e">
        <f>AND(#REF!,"AAAAADf6/bg=")</f>
        <v>#REF!</v>
      </c>
      <c r="GD323" t="e">
        <f>IF(#REF!,"AAAAADf6/bk=",0)</f>
        <v>#REF!</v>
      </c>
      <c r="GE323" t="e">
        <f>AND(#REF!,"AAAAADf6/bo=")</f>
        <v>#REF!</v>
      </c>
      <c r="GF323" t="e">
        <f>AND(#REF!,"AAAAADf6/bs=")</f>
        <v>#REF!</v>
      </c>
      <c r="GG323" t="e">
        <f>AND(#REF!,"AAAAADf6/bw=")</f>
        <v>#REF!</v>
      </c>
      <c r="GH323" t="e">
        <f>AND(#REF!,"AAAAADf6/b0=")</f>
        <v>#REF!</v>
      </c>
      <c r="GI323" t="e">
        <f>AND(#REF!,"AAAAADf6/b4=")</f>
        <v>#REF!</v>
      </c>
      <c r="GJ323" t="e">
        <f>AND(#REF!,"AAAAADf6/b8=")</f>
        <v>#REF!</v>
      </c>
      <c r="GK323" t="e">
        <f>AND(#REF!,"AAAAADf6/cA=")</f>
        <v>#REF!</v>
      </c>
      <c r="GL323" t="e">
        <f>AND(#REF!,"AAAAADf6/cE=")</f>
        <v>#REF!</v>
      </c>
      <c r="GM323" t="e">
        <f>AND(#REF!,"AAAAADf6/cI=")</f>
        <v>#REF!</v>
      </c>
      <c r="GN323" t="e">
        <f>AND(#REF!,"AAAAADf6/cM=")</f>
        <v>#REF!</v>
      </c>
      <c r="GO323" t="e">
        <f>IF(#REF!,"AAAAADf6/cQ=",0)</f>
        <v>#REF!</v>
      </c>
      <c r="GP323" t="e">
        <f>AND(#REF!,"AAAAADf6/cU=")</f>
        <v>#REF!</v>
      </c>
      <c r="GQ323" t="e">
        <f>AND(#REF!,"AAAAADf6/cY=")</f>
        <v>#REF!</v>
      </c>
      <c r="GR323" t="e">
        <f>AND(#REF!,"AAAAADf6/cc=")</f>
        <v>#REF!</v>
      </c>
      <c r="GS323" t="e">
        <f>AND(#REF!,"AAAAADf6/cg=")</f>
        <v>#REF!</v>
      </c>
      <c r="GT323" t="e">
        <f>AND(#REF!,"AAAAADf6/ck=")</f>
        <v>#REF!</v>
      </c>
      <c r="GU323" t="e">
        <f>AND(#REF!,"AAAAADf6/co=")</f>
        <v>#REF!</v>
      </c>
      <c r="GV323" t="e">
        <f>AND(#REF!,"AAAAADf6/cs=")</f>
        <v>#REF!</v>
      </c>
      <c r="GW323" t="e">
        <f>AND(#REF!,"AAAAADf6/cw=")</f>
        <v>#REF!</v>
      </c>
      <c r="GX323" t="e">
        <f>AND(#REF!,"AAAAADf6/c0=")</f>
        <v>#REF!</v>
      </c>
      <c r="GY323" t="e">
        <f>AND(#REF!,"AAAAADf6/c4=")</f>
        <v>#REF!</v>
      </c>
      <c r="GZ323" t="e">
        <f>IF(#REF!,"AAAAADf6/c8=",0)</f>
        <v>#REF!</v>
      </c>
      <c r="HA323" t="e">
        <f>AND(#REF!,"AAAAADf6/dA=")</f>
        <v>#REF!</v>
      </c>
      <c r="HB323" t="e">
        <f>AND(#REF!,"AAAAADf6/dE=")</f>
        <v>#REF!</v>
      </c>
      <c r="HC323" t="e">
        <f>AND(#REF!,"AAAAADf6/dI=")</f>
        <v>#REF!</v>
      </c>
      <c r="HD323" t="e">
        <f>AND(#REF!,"AAAAADf6/dM=")</f>
        <v>#REF!</v>
      </c>
      <c r="HE323" t="e">
        <f>AND(#REF!,"AAAAADf6/dQ=")</f>
        <v>#REF!</v>
      </c>
      <c r="HF323" t="e">
        <f>AND(#REF!,"AAAAADf6/dU=")</f>
        <v>#REF!</v>
      </c>
      <c r="HG323" t="e">
        <f>AND(#REF!,"AAAAADf6/dY=")</f>
        <v>#REF!</v>
      </c>
      <c r="HH323" t="e">
        <f>AND(#REF!,"AAAAADf6/dc=")</f>
        <v>#REF!</v>
      </c>
      <c r="HI323" t="e">
        <f>AND(#REF!,"AAAAADf6/dg=")</f>
        <v>#REF!</v>
      </c>
      <c r="HJ323" t="e">
        <f>AND(#REF!,"AAAAADf6/dk=")</f>
        <v>#REF!</v>
      </c>
      <c r="HK323" t="e">
        <f>IF(#REF!,"AAAAADf6/do=",0)</f>
        <v>#REF!</v>
      </c>
      <c r="HL323" t="e">
        <f>AND(#REF!,"AAAAADf6/ds=")</f>
        <v>#REF!</v>
      </c>
      <c r="HM323" t="e">
        <f>AND(#REF!,"AAAAADf6/dw=")</f>
        <v>#REF!</v>
      </c>
      <c r="HN323" t="e">
        <f>AND(#REF!,"AAAAADf6/d0=")</f>
        <v>#REF!</v>
      </c>
      <c r="HO323" t="e">
        <f>AND(#REF!,"AAAAADf6/d4=")</f>
        <v>#REF!</v>
      </c>
      <c r="HP323" t="e">
        <f>AND(#REF!,"AAAAADf6/d8=")</f>
        <v>#REF!</v>
      </c>
      <c r="HQ323" t="e">
        <f>AND(#REF!,"AAAAADf6/eA=")</f>
        <v>#REF!</v>
      </c>
      <c r="HR323" t="e">
        <f>AND(#REF!,"AAAAADf6/eE=")</f>
        <v>#REF!</v>
      </c>
      <c r="HS323" t="e">
        <f>AND(#REF!,"AAAAADf6/eI=")</f>
        <v>#REF!</v>
      </c>
      <c r="HT323" t="e">
        <f>AND(#REF!,"AAAAADf6/eM=")</f>
        <v>#REF!</v>
      </c>
      <c r="HU323" t="e">
        <f>AND(#REF!,"AAAAADf6/eQ=")</f>
        <v>#REF!</v>
      </c>
      <c r="HV323" t="e">
        <f>IF(#REF!,"AAAAADf6/eU=",0)</f>
        <v>#REF!</v>
      </c>
      <c r="HW323" t="e">
        <f>AND(#REF!,"AAAAADf6/eY=")</f>
        <v>#REF!</v>
      </c>
      <c r="HX323" t="e">
        <f>AND(#REF!,"AAAAADf6/ec=")</f>
        <v>#REF!</v>
      </c>
      <c r="HY323" t="e">
        <f>AND(#REF!,"AAAAADf6/eg=")</f>
        <v>#REF!</v>
      </c>
      <c r="HZ323" t="e">
        <f>AND(#REF!,"AAAAADf6/ek=")</f>
        <v>#REF!</v>
      </c>
      <c r="IA323" t="e">
        <f>AND(#REF!,"AAAAADf6/eo=")</f>
        <v>#REF!</v>
      </c>
      <c r="IB323" t="e">
        <f>AND(#REF!,"AAAAADf6/es=")</f>
        <v>#REF!</v>
      </c>
      <c r="IC323" t="e">
        <f>AND(#REF!,"AAAAADf6/ew=")</f>
        <v>#REF!</v>
      </c>
      <c r="ID323" t="e">
        <f>AND(#REF!,"AAAAADf6/e0=")</f>
        <v>#REF!</v>
      </c>
      <c r="IE323" t="e">
        <f>AND(#REF!,"AAAAADf6/e4=")</f>
        <v>#REF!</v>
      </c>
      <c r="IF323" t="e">
        <f>AND(#REF!,"AAAAADf6/e8=")</f>
        <v>#REF!</v>
      </c>
      <c r="IG323" t="e">
        <f>IF(#REF!,"AAAAADf6/fA=",0)</f>
        <v>#REF!</v>
      </c>
      <c r="IH323" t="e">
        <f>AND(#REF!,"AAAAADf6/fE=")</f>
        <v>#REF!</v>
      </c>
      <c r="II323" t="e">
        <f>AND(#REF!,"AAAAADf6/fI=")</f>
        <v>#REF!</v>
      </c>
      <c r="IJ323" t="e">
        <f>AND(#REF!,"AAAAADf6/fM=")</f>
        <v>#REF!</v>
      </c>
      <c r="IK323" t="e">
        <f>AND(#REF!,"AAAAADf6/fQ=")</f>
        <v>#REF!</v>
      </c>
      <c r="IL323" t="e">
        <f>AND(#REF!,"AAAAADf6/fU=")</f>
        <v>#REF!</v>
      </c>
      <c r="IM323" t="e">
        <f>AND(#REF!,"AAAAADf6/fY=")</f>
        <v>#REF!</v>
      </c>
      <c r="IN323" t="e">
        <f>AND(#REF!,"AAAAADf6/fc=")</f>
        <v>#REF!</v>
      </c>
      <c r="IO323" t="e">
        <f>AND(#REF!,"AAAAADf6/fg=")</f>
        <v>#REF!</v>
      </c>
      <c r="IP323" t="e">
        <f>AND(#REF!,"AAAAADf6/fk=")</f>
        <v>#REF!</v>
      </c>
      <c r="IQ323" t="e">
        <f>AND(#REF!,"AAAAADf6/fo=")</f>
        <v>#REF!</v>
      </c>
      <c r="IR323" t="e">
        <f>IF(#REF!,"AAAAADf6/fs=",0)</f>
        <v>#REF!</v>
      </c>
      <c r="IS323" t="e">
        <f>AND(#REF!,"AAAAADf6/fw=")</f>
        <v>#REF!</v>
      </c>
      <c r="IT323" t="e">
        <f>AND(#REF!,"AAAAADf6/f0=")</f>
        <v>#REF!</v>
      </c>
      <c r="IU323" t="e">
        <f>AND(#REF!,"AAAAADf6/f4=")</f>
        <v>#REF!</v>
      </c>
      <c r="IV323" t="e">
        <f>AND(#REF!,"AAAAADf6/f8=")</f>
        <v>#REF!</v>
      </c>
    </row>
    <row r="324" spans="1:256" x14ac:dyDescent="0.25">
      <c r="A324" t="e">
        <f>AND(#REF!,"AAAAAH27dwA=")</f>
        <v>#REF!</v>
      </c>
      <c r="B324" t="e">
        <f>AND(#REF!,"AAAAAH27dwE=")</f>
        <v>#REF!</v>
      </c>
      <c r="C324" t="e">
        <f>AND(#REF!,"AAAAAH27dwI=")</f>
        <v>#REF!</v>
      </c>
      <c r="D324" t="e">
        <f>AND(#REF!,"AAAAAH27dwM=")</f>
        <v>#REF!</v>
      </c>
      <c r="E324" t="e">
        <f>AND(#REF!,"AAAAAH27dwQ=")</f>
        <v>#REF!</v>
      </c>
      <c r="F324" t="e">
        <f>AND(#REF!,"AAAAAH27dwU=")</f>
        <v>#REF!</v>
      </c>
      <c r="G324" t="e">
        <f>IF(#REF!,"AAAAAH27dwY=",0)</f>
        <v>#REF!</v>
      </c>
      <c r="H324" t="e">
        <f>AND(#REF!,"AAAAAH27dwc=")</f>
        <v>#REF!</v>
      </c>
      <c r="I324" t="e">
        <f>AND(#REF!,"AAAAAH27dwg=")</f>
        <v>#REF!</v>
      </c>
      <c r="J324" t="e">
        <f>AND(#REF!,"AAAAAH27dwk=")</f>
        <v>#REF!</v>
      </c>
      <c r="K324" t="e">
        <f>AND(#REF!,"AAAAAH27dwo=")</f>
        <v>#REF!</v>
      </c>
      <c r="L324" t="e">
        <f>AND(#REF!,"AAAAAH27dws=")</f>
        <v>#REF!</v>
      </c>
      <c r="M324" t="e">
        <f>AND(#REF!,"AAAAAH27dww=")</f>
        <v>#REF!</v>
      </c>
      <c r="N324" t="e">
        <f>AND(#REF!,"AAAAAH27dw0=")</f>
        <v>#REF!</v>
      </c>
      <c r="O324" t="e">
        <f>AND(#REF!,"AAAAAH27dw4=")</f>
        <v>#REF!</v>
      </c>
      <c r="P324" t="e">
        <f>AND(#REF!,"AAAAAH27dw8=")</f>
        <v>#REF!</v>
      </c>
      <c r="Q324" t="e">
        <f>AND(#REF!,"AAAAAH27dxA=")</f>
        <v>#REF!</v>
      </c>
      <c r="R324" t="e">
        <f>IF(#REF!,"AAAAAH27dxE=",0)</f>
        <v>#REF!</v>
      </c>
      <c r="S324" t="e">
        <f>AND(#REF!,"AAAAAH27dxI=")</f>
        <v>#REF!</v>
      </c>
      <c r="T324" t="e">
        <f>AND(#REF!,"AAAAAH27dxM=")</f>
        <v>#REF!</v>
      </c>
      <c r="U324" t="e">
        <f>AND(#REF!,"AAAAAH27dxQ=")</f>
        <v>#REF!</v>
      </c>
      <c r="V324" t="e">
        <f>AND(#REF!,"AAAAAH27dxU=")</f>
        <v>#REF!</v>
      </c>
      <c r="W324" t="e">
        <f>AND(#REF!,"AAAAAH27dxY=")</f>
        <v>#REF!</v>
      </c>
      <c r="X324" t="e">
        <f>AND(#REF!,"AAAAAH27dxc=")</f>
        <v>#REF!</v>
      </c>
      <c r="Y324" t="e">
        <f>AND(#REF!,"AAAAAH27dxg=")</f>
        <v>#REF!</v>
      </c>
      <c r="Z324" t="e">
        <f>AND(#REF!,"AAAAAH27dxk=")</f>
        <v>#REF!</v>
      </c>
      <c r="AA324" t="e">
        <f>AND(#REF!,"AAAAAH27dxo=")</f>
        <v>#REF!</v>
      </c>
      <c r="AB324" t="e">
        <f>AND(#REF!,"AAAAAH27dxs=")</f>
        <v>#REF!</v>
      </c>
      <c r="AC324" t="e">
        <f>IF(#REF!,"AAAAAH27dxw=",0)</f>
        <v>#REF!</v>
      </c>
      <c r="AD324" t="e">
        <f>AND(#REF!,"AAAAAH27dx0=")</f>
        <v>#REF!</v>
      </c>
      <c r="AE324" t="e">
        <f>AND(#REF!,"AAAAAH27dx4=")</f>
        <v>#REF!</v>
      </c>
      <c r="AF324" t="e">
        <f>AND(#REF!,"AAAAAH27dx8=")</f>
        <v>#REF!</v>
      </c>
      <c r="AG324" t="e">
        <f>AND(#REF!,"AAAAAH27dyA=")</f>
        <v>#REF!</v>
      </c>
      <c r="AH324" t="e">
        <f>AND(#REF!,"AAAAAH27dyE=")</f>
        <v>#REF!</v>
      </c>
      <c r="AI324" t="e">
        <f>AND(#REF!,"AAAAAH27dyI=")</f>
        <v>#REF!</v>
      </c>
      <c r="AJ324" t="e">
        <f>AND(#REF!,"AAAAAH27dyM=")</f>
        <v>#REF!</v>
      </c>
      <c r="AK324" t="e">
        <f>AND(#REF!,"AAAAAH27dyQ=")</f>
        <v>#REF!</v>
      </c>
      <c r="AL324" t="e">
        <f>AND(#REF!,"AAAAAH27dyU=")</f>
        <v>#REF!</v>
      </c>
      <c r="AM324" t="e">
        <f>AND(#REF!,"AAAAAH27dyY=")</f>
        <v>#REF!</v>
      </c>
      <c r="AN324" t="e">
        <f>IF(#REF!,"AAAAAH27dyc=",0)</f>
        <v>#REF!</v>
      </c>
      <c r="AO324" t="e">
        <f>AND(#REF!,"AAAAAH27dyg=")</f>
        <v>#REF!</v>
      </c>
      <c r="AP324" t="e">
        <f>AND(#REF!,"AAAAAH27dyk=")</f>
        <v>#REF!</v>
      </c>
      <c r="AQ324" t="e">
        <f>AND(#REF!,"AAAAAH27dyo=")</f>
        <v>#REF!</v>
      </c>
      <c r="AR324" t="e">
        <f>AND(#REF!,"AAAAAH27dys=")</f>
        <v>#REF!</v>
      </c>
      <c r="AS324" t="e">
        <f>AND(#REF!,"AAAAAH27dyw=")</f>
        <v>#REF!</v>
      </c>
      <c r="AT324" t="e">
        <f>AND(#REF!,"AAAAAH27dy0=")</f>
        <v>#REF!</v>
      </c>
      <c r="AU324" t="e">
        <f>AND(#REF!,"AAAAAH27dy4=")</f>
        <v>#REF!</v>
      </c>
      <c r="AV324" t="e">
        <f>AND(#REF!,"AAAAAH27dy8=")</f>
        <v>#REF!</v>
      </c>
      <c r="AW324" t="e">
        <f>AND(#REF!,"AAAAAH27dzA=")</f>
        <v>#REF!</v>
      </c>
      <c r="AX324" t="e">
        <f>AND(#REF!,"AAAAAH27dzE=")</f>
        <v>#REF!</v>
      </c>
      <c r="AY324" t="e">
        <f>IF(#REF!,"AAAAAH27dzI=",0)</f>
        <v>#REF!</v>
      </c>
      <c r="AZ324" t="e">
        <f>AND(#REF!,"AAAAAH27dzM=")</f>
        <v>#REF!</v>
      </c>
      <c r="BA324" t="e">
        <f>AND(#REF!,"AAAAAH27dzQ=")</f>
        <v>#REF!</v>
      </c>
      <c r="BB324" t="e">
        <f>AND(#REF!,"AAAAAH27dzU=")</f>
        <v>#REF!</v>
      </c>
      <c r="BC324" t="e">
        <f>AND(#REF!,"AAAAAH27dzY=")</f>
        <v>#REF!</v>
      </c>
      <c r="BD324" t="e">
        <f>AND(#REF!,"AAAAAH27dzc=")</f>
        <v>#REF!</v>
      </c>
      <c r="BE324" t="e">
        <f>AND(#REF!,"AAAAAH27dzg=")</f>
        <v>#REF!</v>
      </c>
      <c r="BF324" t="e">
        <f>AND(#REF!,"AAAAAH27dzk=")</f>
        <v>#REF!</v>
      </c>
      <c r="BG324" t="e">
        <f>AND(#REF!,"AAAAAH27dzo=")</f>
        <v>#REF!</v>
      </c>
      <c r="BH324" t="e">
        <f>AND(#REF!,"AAAAAH27dzs=")</f>
        <v>#REF!</v>
      </c>
      <c r="BI324" t="e">
        <f>AND(#REF!,"AAAAAH27dzw=")</f>
        <v>#REF!</v>
      </c>
      <c r="BJ324" t="e">
        <f>IF(#REF!,"AAAAAH27dz0=",0)</f>
        <v>#REF!</v>
      </c>
      <c r="BK324" t="e">
        <f>AND(#REF!,"AAAAAH27dz4=")</f>
        <v>#REF!</v>
      </c>
      <c r="BL324" t="e">
        <f>AND(#REF!,"AAAAAH27dz8=")</f>
        <v>#REF!</v>
      </c>
      <c r="BM324" t="e">
        <f>AND(#REF!,"AAAAAH27d0A=")</f>
        <v>#REF!</v>
      </c>
      <c r="BN324" t="e">
        <f>AND(#REF!,"AAAAAH27d0E=")</f>
        <v>#REF!</v>
      </c>
      <c r="BO324" t="e">
        <f>AND(#REF!,"AAAAAH27d0I=")</f>
        <v>#REF!</v>
      </c>
      <c r="BP324" t="e">
        <f>AND(#REF!,"AAAAAH27d0M=")</f>
        <v>#REF!</v>
      </c>
      <c r="BQ324" t="e">
        <f>AND(#REF!,"AAAAAH27d0Q=")</f>
        <v>#REF!</v>
      </c>
      <c r="BR324" t="e">
        <f>AND(#REF!,"AAAAAH27d0U=")</f>
        <v>#REF!</v>
      </c>
      <c r="BS324" t="e">
        <f>AND(#REF!,"AAAAAH27d0Y=")</f>
        <v>#REF!</v>
      </c>
      <c r="BT324" t="e">
        <f>AND(#REF!,"AAAAAH27d0c=")</f>
        <v>#REF!</v>
      </c>
      <c r="BU324" t="e">
        <f>IF(#REF!,"AAAAAH27d0g=",0)</f>
        <v>#REF!</v>
      </c>
      <c r="BV324" t="e">
        <f>AND(#REF!,"AAAAAH27d0k=")</f>
        <v>#REF!</v>
      </c>
      <c r="BW324" t="e">
        <f>AND(#REF!,"AAAAAH27d0o=")</f>
        <v>#REF!</v>
      </c>
      <c r="BX324" t="e">
        <f>AND(#REF!,"AAAAAH27d0s=")</f>
        <v>#REF!</v>
      </c>
      <c r="BY324" t="e">
        <f>AND(#REF!,"AAAAAH27d0w=")</f>
        <v>#REF!</v>
      </c>
      <c r="BZ324" t="e">
        <f>AND(#REF!,"AAAAAH27d00=")</f>
        <v>#REF!</v>
      </c>
      <c r="CA324" t="e">
        <f>AND(#REF!,"AAAAAH27d04=")</f>
        <v>#REF!</v>
      </c>
      <c r="CB324" t="e">
        <f>AND(#REF!,"AAAAAH27d08=")</f>
        <v>#REF!</v>
      </c>
      <c r="CC324" t="e">
        <f>AND(#REF!,"AAAAAH27d1A=")</f>
        <v>#REF!</v>
      </c>
      <c r="CD324" t="e">
        <f>AND(#REF!,"AAAAAH27d1E=")</f>
        <v>#REF!</v>
      </c>
      <c r="CE324" t="e">
        <f>AND(#REF!,"AAAAAH27d1I=")</f>
        <v>#REF!</v>
      </c>
      <c r="CF324" t="e">
        <f>IF(#REF!,"AAAAAH27d1M=",0)</f>
        <v>#REF!</v>
      </c>
      <c r="CG324" t="e">
        <f>AND(#REF!,"AAAAAH27d1Q=")</f>
        <v>#REF!</v>
      </c>
      <c r="CH324" t="e">
        <f>AND(#REF!,"AAAAAH27d1U=")</f>
        <v>#REF!</v>
      </c>
      <c r="CI324" t="e">
        <f>AND(#REF!,"AAAAAH27d1Y=")</f>
        <v>#REF!</v>
      </c>
      <c r="CJ324" t="e">
        <f>AND(#REF!,"AAAAAH27d1c=")</f>
        <v>#REF!</v>
      </c>
      <c r="CK324" t="e">
        <f>AND(#REF!,"AAAAAH27d1g=")</f>
        <v>#REF!</v>
      </c>
      <c r="CL324" t="e">
        <f>AND(#REF!,"AAAAAH27d1k=")</f>
        <v>#REF!</v>
      </c>
      <c r="CM324" t="e">
        <f>AND(#REF!,"AAAAAH27d1o=")</f>
        <v>#REF!</v>
      </c>
      <c r="CN324" t="e">
        <f>AND(#REF!,"AAAAAH27d1s=")</f>
        <v>#REF!</v>
      </c>
      <c r="CO324" t="e">
        <f>AND(#REF!,"AAAAAH27d1w=")</f>
        <v>#REF!</v>
      </c>
      <c r="CP324" t="e">
        <f>AND(#REF!,"AAAAAH27d10=")</f>
        <v>#REF!</v>
      </c>
      <c r="CQ324" t="e">
        <f>IF(#REF!,"AAAAAH27d14=",0)</f>
        <v>#REF!</v>
      </c>
      <c r="CR324" t="e">
        <f>AND(#REF!,"AAAAAH27d18=")</f>
        <v>#REF!</v>
      </c>
      <c r="CS324" t="e">
        <f>AND(#REF!,"AAAAAH27d2A=")</f>
        <v>#REF!</v>
      </c>
      <c r="CT324" t="e">
        <f>AND(#REF!,"AAAAAH27d2E=")</f>
        <v>#REF!</v>
      </c>
      <c r="CU324" t="e">
        <f>AND(#REF!,"AAAAAH27d2I=")</f>
        <v>#REF!</v>
      </c>
      <c r="CV324" t="e">
        <f>AND(#REF!,"AAAAAH27d2M=")</f>
        <v>#REF!</v>
      </c>
      <c r="CW324" t="e">
        <f>AND(#REF!,"AAAAAH27d2Q=")</f>
        <v>#REF!</v>
      </c>
      <c r="CX324" t="e">
        <f>AND(#REF!,"AAAAAH27d2U=")</f>
        <v>#REF!</v>
      </c>
      <c r="CY324" t="e">
        <f>AND(#REF!,"AAAAAH27d2Y=")</f>
        <v>#REF!</v>
      </c>
      <c r="CZ324" t="e">
        <f>AND(#REF!,"AAAAAH27d2c=")</f>
        <v>#REF!</v>
      </c>
      <c r="DA324" t="e">
        <f>AND(#REF!,"AAAAAH27d2g=")</f>
        <v>#REF!</v>
      </c>
      <c r="DB324" t="e">
        <f>IF(#REF!,"AAAAAH27d2k=",0)</f>
        <v>#REF!</v>
      </c>
      <c r="DC324" t="e">
        <f>AND(#REF!,"AAAAAH27d2o=")</f>
        <v>#REF!</v>
      </c>
      <c r="DD324" t="e">
        <f>AND(#REF!,"AAAAAH27d2s=")</f>
        <v>#REF!</v>
      </c>
      <c r="DE324" t="e">
        <f>AND(#REF!,"AAAAAH27d2w=")</f>
        <v>#REF!</v>
      </c>
      <c r="DF324" t="e">
        <f>AND(#REF!,"AAAAAH27d20=")</f>
        <v>#REF!</v>
      </c>
      <c r="DG324" t="e">
        <f>AND(#REF!,"AAAAAH27d24=")</f>
        <v>#REF!</v>
      </c>
      <c r="DH324" t="e">
        <f>AND(#REF!,"AAAAAH27d28=")</f>
        <v>#REF!</v>
      </c>
      <c r="DI324" t="e">
        <f>AND(#REF!,"AAAAAH27d3A=")</f>
        <v>#REF!</v>
      </c>
      <c r="DJ324" t="e">
        <f>AND(#REF!,"AAAAAH27d3E=")</f>
        <v>#REF!</v>
      </c>
      <c r="DK324" t="e">
        <f>AND(#REF!,"AAAAAH27d3I=")</f>
        <v>#REF!</v>
      </c>
      <c r="DL324" t="e">
        <f>AND(#REF!,"AAAAAH27d3M=")</f>
        <v>#REF!</v>
      </c>
      <c r="DM324" t="e">
        <f>IF(#REF!,"AAAAAH27d3Q=",0)</f>
        <v>#REF!</v>
      </c>
      <c r="DN324" t="e">
        <f>AND(#REF!,"AAAAAH27d3U=")</f>
        <v>#REF!</v>
      </c>
      <c r="DO324" t="e">
        <f>AND(#REF!,"AAAAAH27d3Y=")</f>
        <v>#REF!</v>
      </c>
      <c r="DP324" t="e">
        <f>AND(#REF!,"AAAAAH27d3c=")</f>
        <v>#REF!</v>
      </c>
      <c r="DQ324" t="e">
        <f>AND(#REF!,"AAAAAH27d3g=")</f>
        <v>#REF!</v>
      </c>
      <c r="DR324" t="e">
        <f>AND(#REF!,"AAAAAH27d3k=")</f>
        <v>#REF!</v>
      </c>
      <c r="DS324" t="e">
        <f>AND(#REF!,"AAAAAH27d3o=")</f>
        <v>#REF!</v>
      </c>
      <c r="DT324" t="e">
        <f>AND(#REF!,"AAAAAH27d3s=")</f>
        <v>#REF!</v>
      </c>
      <c r="DU324" t="e">
        <f>AND(#REF!,"AAAAAH27d3w=")</f>
        <v>#REF!</v>
      </c>
      <c r="DV324" t="e">
        <f>AND(#REF!,"AAAAAH27d30=")</f>
        <v>#REF!</v>
      </c>
      <c r="DW324" t="e">
        <f>AND(#REF!,"AAAAAH27d34=")</f>
        <v>#REF!</v>
      </c>
      <c r="DX324" t="e">
        <f>IF(#REF!,"AAAAAH27d38=",0)</f>
        <v>#REF!</v>
      </c>
      <c r="DY324" t="e">
        <f>AND(#REF!,"AAAAAH27d4A=")</f>
        <v>#REF!</v>
      </c>
      <c r="DZ324" t="e">
        <f>AND(#REF!,"AAAAAH27d4E=")</f>
        <v>#REF!</v>
      </c>
      <c r="EA324" t="e">
        <f>AND(#REF!,"AAAAAH27d4I=")</f>
        <v>#REF!</v>
      </c>
      <c r="EB324" t="e">
        <f>AND(#REF!,"AAAAAH27d4M=")</f>
        <v>#REF!</v>
      </c>
      <c r="EC324" t="e">
        <f>AND(#REF!,"AAAAAH27d4Q=")</f>
        <v>#REF!</v>
      </c>
      <c r="ED324" t="e">
        <f>AND(#REF!,"AAAAAH27d4U=")</f>
        <v>#REF!</v>
      </c>
      <c r="EE324" t="e">
        <f>AND(#REF!,"AAAAAH27d4Y=")</f>
        <v>#REF!</v>
      </c>
      <c r="EF324" t="e">
        <f>AND(#REF!,"AAAAAH27d4c=")</f>
        <v>#REF!</v>
      </c>
      <c r="EG324" t="e">
        <f>AND(#REF!,"AAAAAH27d4g=")</f>
        <v>#REF!</v>
      </c>
      <c r="EH324" t="e">
        <f>AND(#REF!,"AAAAAH27d4k=")</f>
        <v>#REF!</v>
      </c>
      <c r="EI324" t="e">
        <f>IF(#REF!,"AAAAAH27d4o=",0)</f>
        <v>#REF!</v>
      </c>
      <c r="EJ324" t="e">
        <f>AND(#REF!,"AAAAAH27d4s=")</f>
        <v>#REF!</v>
      </c>
      <c r="EK324" t="e">
        <f>AND(#REF!,"AAAAAH27d4w=")</f>
        <v>#REF!</v>
      </c>
      <c r="EL324" t="e">
        <f>AND(#REF!,"AAAAAH27d40=")</f>
        <v>#REF!</v>
      </c>
      <c r="EM324" t="e">
        <f>AND(#REF!,"AAAAAH27d44=")</f>
        <v>#REF!</v>
      </c>
      <c r="EN324" t="e">
        <f>AND(#REF!,"AAAAAH27d48=")</f>
        <v>#REF!</v>
      </c>
      <c r="EO324" t="e">
        <f>AND(#REF!,"AAAAAH27d5A=")</f>
        <v>#REF!</v>
      </c>
      <c r="EP324" t="e">
        <f>AND(#REF!,"AAAAAH27d5E=")</f>
        <v>#REF!</v>
      </c>
      <c r="EQ324" t="e">
        <f>AND(#REF!,"AAAAAH27d5I=")</f>
        <v>#REF!</v>
      </c>
      <c r="ER324" t="e">
        <f>AND(#REF!,"AAAAAH27d5M=")</f>
        <v>#REF!</v>
      </c>
      <c r="ES324" t="e">
        <f>AND(#REF!,"AAAAAH27d5Q=")</f>
        <v>#REF!</v>
      </c>
      <c r="ET324" t="e">
        <f>IF(#REF!,"AAAAAH27d5U=",0)</f>
        <v>#REF!</v>
      </c>
      <c r="EU324" t="e">
        <f>AND(#REF!,"AAAAAH27d5Y=")</f>
        <v>#REF!</v>
      </c>
      <c r="EV324" t="e">
        <f>AND(#REF!,"AAAAAH27d5c=")</f>
        <v>#REF!</v>
      </c>
      <c r="EW324" t="e">
        <f>AND(#REF!,"AAAAAH27d5g=")</f>
        <v>#REF!</v>
      </c>
      <c r="EX324" t="e">
        <f>AND(#REF!,"AAAAAH27d5k=")</f>
        <v>#REF!</v>
      </c>
      <c r="EY324" t="e">
        <f>AND(#REF!,"AAAAAH27d5o=")</f>
        <v>#REF!</v>
      </c>
      <c r="EZ324" t="e">
        <f>AND(#REF!,"AAAAAH27d5s=")</f>
        <v>#REF!</v>
      </c>
      <c r="FA324" t="e">
        <f>AND(#REF!,"AAAAAH27d5w=")</f>
        <v>#REF!</v>
      </c>
      <c r="FB324" t="e">
        <f>AND(#REF!,"AAAAAH27d50=")</f>
        <v>#REF!</v>
      </c>
      <c r="FC324" t="e">
        <f>AND(#REF!,"AAAAAH27d54=")</f>
        <v>#REF!</v>
      </c>
      <c r="FD324" t="e">
        <f>AND(#REF!,"AAAAAH27d58=")</f>
        <v>#REF!</v>
      </c>
      <c r="FE324" t="e">
        <f>IF(#REF!,"AAAAAH27d6A=",0)</f>
        <v>#REF!</v>
      </c>
      <c r="FF324" t="e">
        <f>AND(#REF!,"AAAAAH27d6E=")</f>
        <v>#REF!</v>
      </c>
      <c r="FG324" t="e">
        <f>AND(#REF!,"AAAAAH27d6I=")</f>
        <v>#REF!</v>
      </c>
      <c r="FH324" t="e">
        <f>AND(#REF!,"AAAAAH27d6M=")</f>
        <v>#REF!</v>
      </c>
      <c r="FI324" t="e">
        <f>AND(#REF!,"AAAAAH27d6Q=")</f>
        <v>#REF!</v>
      </c>
      <c r="FJ324" t="e">
        <f>AND(#REF!,"AAAAAH27d6U=")</f>
        <v>#REF!</v>
      </c>
      <c r="FK324" t="e">
        <f>AND(#REF!,"AAAAAH27d6Y=")</f>
        <v>#REF!</v>
      </c>
      <c r="FL324" t="e">
        <f>AND(#REF!,"AAAAAH27d6c=")</f>
        <v>#REF!</v>
      </c>
      <c r="FM324" t="e">
        <f>AND(#REF!,"AAAAAH27d6g=")</f>
        <v>#REF!</v>
      </c>
      <c r="FN324" t="e">
        <f>AND(#REF!,"AAAAAH27d6k=")</f>
        <v>#REF!</v>
      </c>
      <c r="FO324" t="e">
        <f>AND(#REF!,"AAAAAH27d6o=")</f>
        <v>#REF!</v>
      </c>
      <c r="FP324" t="e">
        <f>IF(#REF!,"AAAAAH27d6s=",0)</f>
        <v>#REF!</v>
      </c>
      <c r="FQ324" t="e">
        <f>AND(#REF!,"AAAAAH27d6w=")</f>
        <v>#REF!</v>
      </c>
      <c r="FR324" t="e">
        <f>AND(#REF!,"AAAAAH27d60=")</f>
        <v>#REF!</v>
      </c>
      <c r="FS324" t="e">
        <f>AND(#REF!,"AAAAAH27d64=")</f>
        <v>#REF!</v>
      </c>
      <c r="FT324" t="e">
        <f>AND(#REF!,"AAAAAH27d68=")</f>
        <v>#REF!</v>
      </c>
      <c r="FU324" t="e">
        <f>AND(#REF!,"AAAAAH27d7A=")</f>
        <v>#REF!</v>
      </c>
      <c r="FV324" t="e">
        <f>AND(#REF!,"AAAAAH27d7E=")</f>
        <v>#REF!</v>
      </c>
      <c r="FW324" t="e">
        <f>AND(#REF!,"AAAAAH27d7I=")</f>
        <v>#REF!</v>
      </c>
      <c r="FX324" t="e">
        <f>AND(#REF!,"AAAAAH27d7M=")</f>
        <v>#REF!</v>
      </c>
      <c r="FY324" t="e">
        <f>AND(#REF!,"AAAAAH27d7Q=")</f>
        <v>#REF!</v>
      </c>
      <c r="FZ324" t="e">
        <f>AND(#REF!,"AAAAAH27d7U=")</f>
        <v>#REF!</v>
      </c>
      <c r="GA324" t="e">
        <f>IF(#REF!,"AAAAAH27d7Y=",0)</f>
        <v>#REF!</v>
      </c>
      <c r="GB324" t="e">
        <f>AND(#REF!,"AAAAAH27d7c=")</f>
        <v>#REF!</v>
      </c>
      <c r="GC324" t="e">
        <f>AND(#REF!,"AAAAAH27d7g=")</f>
        <v>#REF!</v>
      </c>
      <c r="GD324" t="e">
        <f>AND(#REF!,"AAAAAH27d7k=")</f>
        <v>#REF!</v>
      </c>
      <c r="GE324" t="e">
        <f>AND(#REF!,"AAAAAH27d7o=")</f>
        <v>#REF!</v>
      </c>
      <c r="GF324" t="e">
        <f>AND(#REF!,"AAAAAH27d7s=")</f>
        <v>#REF!</v>
      </c>
      <c r="GG324" t="e">
        <f>AND(#REF!,"AAAAAH27d7w=")</f>
        <v>#REF!</v>
      </c>
      <c r="GH324" t="e">
        <f>AND(#REF!,"AAAAAH27d70=")</f>
        <v>#REF!</v>
      </c>
      <c r="GI324" t="e">
        <f>AND(#REF!,"AAAAAH27d74=")</f>
        <v>#REF!</v>
      </c>
      <c r="GJ324" t="e">
        <f>AND(#REF!,"AAAAAH27d78=")</f>
        <v>#REF!</v>
      </c>
      <c r="GK324" t="e">
        <f>AND(#REF!,"AAAAAH27d8A=")</f>
        <v>#REF!</v>
      </c>
      <c r="GL324" t="e">
        <f>IF(#REF!,"AAAAAH27d8E=",0)</f>
        <v>#REF!</v>
      </c>
      <c r="GM324" t="e">
        <f>AND(#REF!,"AAAAAH27d8I=")</f>
        <v>#REF!</v>
      </c>
      <c r="GN324" t="e">
        <f>AND(#REF!,"AAAAAH27d8M=")</f>
        <v>#REF!</v>
      </c>
      <c r="GO324" t="e">
        <f>AND(#REF!,"AAAAAH27d8Q=")</f>
        <v>#REF!</v>
      </c>
      <c r="GP324" t="e">
        <f>AND(#REF!,"AAAAAH27d8U=")</f>
        <v>#REF!</v>
      </c>
      <c r="GQ324" t="e">
        <f>AND(#REF!,"AAAAAH27d8Y=")</f>
        <v>#REF!</v>
      </c>
      <c r="GR324" t="e">
        <f>AND(#REF!,"AAAAAH27d8c=")</f>
        <v>#REF!</v>
      </c>
      <c r="GS324" t="e">
        <f>AND(#REF!,"AAAAAH27d8g=")</f>
        <v>#REF!</v>
      </c>
      <c r="GT324" t="e">
        <f>AND(#REF!,"AAAAAH27d8k=")</f>
        <v>#REF!</v>
      </c>
      <c r="GU324" t="e">
        <f>AND(#REF!,"AAAAAH27d8o=")</f>
        <v>#REF!</v>
      </c>
      <c r="GV324" t="e">
        <f>AND(#REF!,"AAAAAH27d8s=")</f>
        <v>#REF!</v>
      </c>
      <c r="GW324" t="e">
        <f>IF(#REF!,"AAAAAH27d8w=",0)</f>
        <v>#REF!</v>
      </c>
      <c r="GX324" t="e">
        <f>AND(#REF!,"AAAAAH27d80=")</f>
        <v>#REF!</v>
      </c>
      <c r="GY324" t="e">
        <f>AND(#REF!,"AAAAAH27d84=")</f>
        <v>#REF!</v>
      </c>
      <c r="GZ324" t="e">
        <f>AND(#REF!,"AAAAAH27d88=")</f>
        <v>#REF!</v>
      </c>
      <c r="HA324" t="e">
        <f>AND(#REF!,"AAAAAH27d9A=")</f>
        <v>#REF!</v>
      </c>
      <c r="HB324" t="e">
        <f>AND(#REF!,"AAAAAH27d9E=")</f>
        <v>#REF!</v>
      </c>
      <c r="HC324" t="e">
        <f>AND(#REF!,"AAAAAH27d9I=")</f>
        <v>#REF!</v>
      </c>
      <c r="HD324" t="e">
        <f>AND(#REF!,"AAAAAH27d9M=")</f>
        <v>#REF!</v>
      </c>
      <c r="HE324" t="e">
        <f>AND(#REF!,"AAAAAH27d9Q=")</f>
        <v>#REF!</v>
      </c>
      <c r="HF324" t="e">
        <f>AND(#REF!,"AAAAAH27d9U=")</f>
        <v>#REF!</v>
      </c>
      <c r="HG324" t="e">
        <f>AND(#REF!,"AAAAAH27d9Y=")</f>
        <v>#REF!</v>
      </c>
      <c r="HH324" t="e">
        <f>IF(#REF!,"AAAAAH27d9c=",0)</f>
        <v>#REF!</v>
      </c>
      <c r="HI324" t="e">
        <f>AND(#REF!,"AAAAAH27d9g=")</f>
        <v>#REF!</v>
      </c>
      <c r="HJ324" t="e">
        <f>AND(#REF!,"AAAAAH27d9k=")</f>
        <v>#REF!</v>
      </c>
      <c r="HK324" t="e">
        <f>AND(#REF!,"AAAAAH27d9o=")</f>
        <v>#REF!</v>
      </c>
      <c r="HL324" t="e">
        <f>AND(#REF!,"AAAAAH27d9s=")</f>
        <v>#REF!</v>
      </c>
      <c r="HM324" t="e">
        <f>AND(#REF!,"AAAAAH27d9w=")</f>
        <v>#REF!</v>
      </c>
      <c r="HN324" t="e">
        <f>AND(#REF!,"AAAAAH27d90=")</f>
        <v>#REF!</v>
      </c>
      <c r="HO324" t="e">
        <f>AND(#REF!,"AAAAAH27d94=")</f>
        <v>#REF!</v>
      </c>
      <c r="HP324" t="e">
        <f>AND(#REF!,"AAAAAH27d98=")</f>
        <v>#REF!</v>
      </c>
      <c r="HQ324" t="e">
        <f>AND(#REF!,"AAAAAH27d+A=")</f>
        <v>#REF!</v>
      </c>
      <c r="HR324" t="e">
        <f>AND(#REF!,"AAAAAH27d+E=")</f>
        <v>#REF!</v>
      </c>
      <c r="HS324" t="e">
        <f>IF(#REF!,"AAAAAH27d+I=",0)</f>
        <v>#REF!</v>
      </c>
      <c r="HT324" t="e">
        <f>AND(#REF!,"AAAAAH27d+M=")</f>
        <v>#REF!</v>
      </c>
      <c r="HU324" t="e">
        <f>AND(#REF!,"AAAAAH27d+Q=")</f>
        <v>#REF!</v>
      </c>
      <c r="HV324" t="e">
        <f>AND(#REF!,"AAAAAH27d+U=")</f>
        <v>#REF!</v>
      </c>
      <c r="HW324" t="e">
        <f>AND(#REF!,"AAAAAH27d+Y=")</f>
        <v>#REF!</v>
      </c>
      <c r="HX324" t="e">
        <f>AND(#REF!,"AAAAAH27d+c=")</f>
        <v>#REF!</v>
      </c>
      <c r="HY324" t="e">
        <f>AND(#REF!,"AAAAAH27d+g=")</f>
        <v>#REF!</v>
      </c>
      <c r="HZ324" t="e">
        <f>AND(#REF!,"AAAAAH27d+k=")</f>
        <v>#REF!</v>
      </c>
      <c r="IA324" t="e">
        <f>AND(#REF!,"AAAAAH27d+o=")</f>
        <v>#REF!</v>
      </c>
      <c r="IB324" t="e">
        <f>AND(#REF!,"AAAAAH27d+s=")</f>
        <v>#REF!</v>
      </c>
      <c r="IC324" t="e">
        <f>AND(#REF!,"AAAAAH27d+w=")</f>
        <v>#REF!</v>
      </c>
      <c r="ID324" t="e">
        <f>IF(#REF!,"AAAAAH27d+0=",0)</f>
        <v>#REF!</v>
      </c>
      <c r="IE324" t="e">
        <f>AND(#REF!,"AAAAAH27d+4=")</f>
        <v>#REF!</v>
      </c>
      <c r="IF324" t="e">
        <f>AND(#REF!,"AAAAAH27d+8=")</f>
        <v>#REF!</v>
      </c>
      <c r="IG324" t="e">
        <f>AND(#REF!,"AAAAAH27d/A=")</f>
        <v>#REF!</v>
      </c>
      <c r="IH324" t="e">
        <f>AND(#REF!,"AAAAAH27d/E=")</f>
        <v>#REF!</v>
      </c>
      <c r="II324" t="e">
        <f>AND(#REF!,"AAAAAH27d/I=")</f>
        <v>#REF!</v>
      </c>
      <c r="IJ324" t="e">
        <f>AND(#REF!,"AAAAAH27d/M=")</f>
        <v>#REF!</v>
      </c>
      <c r="IK324" t="e">
        <f>AND(#REF!,"AAAAAH27d/Q=")</f>
        <v>#REF!</v>
      </c>
      <c r="IL324" t="e">
        <f>AND(#REF!,"AAAAAH27d/U=")</f>
        <v>#REF!</v>
      </c>
      <c r="IM324" t="e">
        <f>AND(#REF!,"AAAAAH27d/Y=")</f>
        <v>#REF!</v>
      </c>
      <c r="IN324" t="e">
        <f>AND(#REF!,"AAAAAH27d/c=")</f>
        <v>#REF!</v>
      </c>
      <c r="IO324" t="e">
        <f>IF(#REF!,"AAAAAH27d/g=",0)</f>
        <v>#REF!</v>
      </c>
      <c r="IP324" t="e">
        <f>AND(#REF!,"AAAAAH27d/k=")</f>
        <v>#REF!</v>
      </c>
      <c r="IQ324" t="e">
        <f>AND(#REF!,"AAAAAH27d/o=")</f>
        <v>#REF!</v>
      </c>
      <c r="IR324" t="e">
        <f>AND(#REF!,"AAAAAH27d/s=")</f>
        <v>#REF!</v>
      </c>
      <c r="IS324" t="e">
        <f>AND(#REF!,"AAAAAH27d/w=")</f>
        <v>#REF!</v>
      </c>
      <c r="IT324" t="e">
        <f>AND(#REF!,"AAAAAH27d/0=")</f>
        <v>#REF!</v>
      </c>
      <c r="IU324" t="e">
        <f>AND(#REF!,"AAAAAH27d/4=")</f>
        <v>#REF!</v>
      </c>
      <c r="IV324" t="e">
        <f>AND(#REF!,"AAAAAH27d/8=")</f>
        <v>#REF!</v>
      </c>
    </row>
    <row r="325" spans="1:256" x14ac:dyDescent="0.25">
      <c r="A325" t="e">
        <f>AND(#REF!,"AAAAAHm/9wA=")</f>
        <v>#REF!</v>
      </c>
      <c r="B325" t="e">
        <f>AND(#REF!,"AAAAAHm/9wE=")</f>
        <v>#REF!</v>
      </c>
      <c r="C325" t="e">
        <f>AND(#REF!,"AAAAAHm/9wI=")</f>
        <v>#REF!</v>
      </c>
      <c r="D325" t="e">
        <f>IF(#REF!,"AAAAAHm/9wM=",0)</f>
        <v>#REF!</v>
      </c>
      <c r="E325" t="e">
        <f>AND(#REF!,"AAAAAHm/9wQ=")</f>
        <v>#REF!</v>
      </c>
      <c r="F325" t="e">
        <f>AND(#REF!,"AAAAAHm/9wU=")</f>
        <v>#REF!</v>
      </c>
      <c r="G325" t="e">
        <f>AND(#REF!,"AAAAAHm/9wY=")</f>
        <v>#REF!</v>
      </c>
      <c r="H325" t="e">
        <f>AND(#REF!,"AAAAAHm/9wc=")</f>
        <v>#REF!</v>
      </c>
      <c r="I325" t="e">
        <f>AND(#REF!,"AAAAAHm/9wg=")</f>
        <v>#REF!</v>
      </c>
      <c r="J325" t="e">
        <f>AND(#REF!,"AAAAAHm/9wk=")</f>
        <v>#REF!</v>
      </c>
      <c r="K325" t="e">
        <f>AND(#REF!,"AAAAAHm/9wo=")</f>
        <v>#REF!</v>
      </c>
      <c r="L325" t="e">
        <f>AND(#REF!,"AAAAAHm/9ws=")</f>
        <v>#REF!</v>
      </c>
      <c r="M325" t="e">
        <f>AND(#REF!,"AAAAAHm/9ww=")</f>
        <v>#REF!</v>
      </c>
      <c r="N325" t="e">
        <f>AND(#REF!,"AAAAAHm/9w0=")</f>
        <v>#REF!</v>
      </c>
      <c r="O325" t="e">
        <f>IF(#REF!,"AAAAAHm/9w4=",0)</f>
        <v>#REF!</v>
      </c>
      <c r="P325" t="e">
        <f>AND(#REF!,"AAAAAHm/9w8=")</f>
        <v>#REF!</v>
      </c>
      <c r="Q325" t="e">
        <f>AND(#REF!,"AAAAAHm/9xA=")</f>
        <v>#REF!</v>
      </c>
      <c r="R325" t="e">
        <f>AND(#REF!,"AAAAAHm/9xE=")</f>
        <v>#REF!</v>
      </c>
      <c r="S325" t="e">
        <f>AND(#REF!,"AAAAAHm/9xI=")</f>
        <v>#REF!</v>
      </c>
      <c r="T325" t="e">
        <f>AND(#REF!,"AAAAAHm/9xM=")</f>
        <v>#REF!</v>
      </c>
      <c r="U325" t="e">
        <f>AND(#REF!,"AAAAAHm/9xQ=")</f>
        <v>#REF!</v>
      </c>
      <c r="V325" t="e">
        <f>AND(#REF!,"AAAAAHm/9xU=")</f>
        <v>#REF!</v>
      </c>
      <c r="W325" t="e">
        <f>AND(#REF!,"AAAAAHm/9xY=")</f>
        <v>#REF!</v>
      </c>
      <c r="X325" t="e">
        <f>AND(#REF!,"AAAAAHm/9xc=")</f>
        <v>#REF!</v>
      </c>
      <c r="Y325" t="e">
        <f>AND(#REF!,"AAAAAHm/9xg=")</f>
        <v>#REF!</v>
      </c>
      <c r="Z325" t="e">
        <f>IF(#REF!,"AAAAAHm/9xk=",0)</f>
        <v>#REF!</v>
      </c>
      <c r="AA325" t="e">
        <f>AND(#REF!,"AAAAAHm/9xo=")</f>
        <v>#REF!</v>
      </c>
      <c r="AB325" t="e">
        <f>AND(#REF!,"AAAAAHm/9xs=")</f>
        <v>#REF!</v>
      </c>
      <c r="AC325" t="e">
        <f>AND(#REF!,"AAAAAHm/9xw=")</f>
        <v>#REF!</v>
      </c>
      <c r="AD325" t="e">
        <f>AND(#REF!,"AAAAAHm/9x0=")</f>
        <v>#REF!</v>
      </c>
      <c r="AE325" t="e">
        <f>AND(#REF!,"AAAAAHm/9x4=")</f>
        <v>#REF!</v>
      </c>
      <c r="AF325" t="e">
        <f>AND(#REF!,"AAAAAHm/9x8=")</f>
        <v>#REF!</v>
      </c>
      <c r="AG325" t="e">
        <f>AND(#REF!,"AAAAAHm/9yA=")</f>
        <v>#REF!</v>
      </c>
      <c r="AH325" t="e">
        <f>AND(#REF!,"AAAAAHm/9yE=")</f>
        <v>#REF!</v>
      </c>
      <c r="AI325" t="e">
        <f>AND(#REF!,"AAAAAHm/9yI=")</f>
        <v>#REF!</v>
      </c>
      <c r="AJ325" t="e">
        <f>AND(#REF!,"AAAAAHm/9yM=")</f>
        <v>#REF!</v>
      </c>
      <c r="AK325" t="e">
        <f>IF(#REF!,"AAAAAHm/9yQ=",0)</f>
        <v>#REF!</v>
      </c>
      <c r="AL325" t="e">
        <f>AND(#REF!,"AAAAAHm/9yU=")</f>
        <v>#REF!</v>
      </c>
      <c r="AM325" t="e">
        <f>AND(#REF!,"AAAAAHm/9yY=")</f>
        <v>#REF!</v>
      </c>
      <c r="AN325" t="e">
        <f>AND(#REF!,"AAAAAHm/9yc=")</f>
        <v>#REF!</v>
      </c>
      <c r="AO325" t="e">
        <f>AND(#REF!,"AAAAAHm/9yg=")</f>
        <v>#REF!</v>
      </c>
      <c r="AP325" t="e">
        <f>AND(#REF!,"AAAAAHm/9yk=")</f>
        <v>#REF!</v>
      </c>
      <c r="AQ325" t="e">
        <f>AND(#REF!,"AAAAAHm/9yo=")</f>
        <v>#REF!</v>
      </c>
      <c r="AR325" t="e">
        <f>AND(#REF!,"AAAAAHm/9ys=")</f>
        <v>#REF!</v>
      </c>
      <c r="AS325" t="e">
        <f>AND(#REF!,"AAAAAHm/9yw=")</f>
        <v>#REF!</v>
      </c>
      <c r="AT325" t="e">
        <f>AND(#REF!,"AAAAAHm/9y0=")</f>
        <v>#REF!</v>
      </c>
      <c r="AU325" t="e">
        <f>AND(#REF!,"AAAAAHm/9y4=")</f>
        <v>#REF!</v>
      </c>
      <c r="AV325" t="e">
        <f>IF(#REF!,"AAAAAHm/9y8=",0)</f>
        <v>#REF!</v>
      </c>
      <c r="AW325" t="e">
        <f>AND(#REF!,"AAAAAHm/9zA=")</f>
        <v>#REF!</v>
      </c>
      <c r="AX325" t="e">
        <f>AND(#REF!,"AAAAAHm/9zE=")</f>
        <v>#REF!</v>
      </c>
      <c r="AY325" t="e">
        <f>AND(#REF!,"AAAAAHm/9zI=")</f>
        <v>#REF!</v>
      </c>
      <c r="AZ325" t="e">
        <f>AND(#REF!,"AAAAAHm/9zM=")</f>
        <v>#REF!</v>
      </c>
      <c r="BA325" t="e">
        <f>AND(#REF!,"AAAAAHm/9zQ=")</f>
        <v>#REF!</v>
      </c>
      <c r="BB325" t="e">
        <f>AND(#REF!,"AAAAAHm/9zU=")</f>
        <v>#REF!</v>
      </c>
      <c r="BC325" t="e">
        <f>AND(#REF!,"AAAAAHm/9zY=")</f>
        <v>#REF!</v>
      </c>
      <c r="BD325" t="e">
        <f>AND(#REF!,"AAAAAHm/9zc=")</f>
        <v>#REF!</v>
      </c>
      <c r="BE325" t="e">
        <f>AND(#REF!,"AAAAAHm/9zg=")</f>
        <v>#REF!</v>
      </c>
      <c r="BF325" t="e">
        <f>AND(#REF!,"AAAAAHm/9zk=")</f>
        <v>#REF!</v>
      </c>
      <c r="BG325" t="e">
        <f>IF(#REF!,"AAAAAHm/9zo=",0)</f>
        <v>#REF!</v>
      </c>
      <c r="BH325" t="e">
        <f>AND(#REF!,"AAAAAHm/9zs=")</f>
        <v>#REF!</v>
      </c>
      <c r="BI325" t="e">
        <f>AND(#REF!,"AAAAAHm/9zw=")</f>
        <v>#REF!</v>
      </c>
      <c r="BJ325" t="e">
        <f>AND(#REF!,"AAAAAHm/9z0=")</f>
        <v>#REF!</v>
      </c>
      <c r="BK325" t="e">
        <f>AND(#REF!,"AAAAAHm/9z4=")</f>
        <v>#REF!</v>
      </c>
      <c r="BL325" t="e">
        <f>AND(#REF!,"AAAAAHm/9z8=")</f>
        <v>#REF!</v>
      </c>
      <c r="BM325" t="e">
        <f>AND(#REF!,"AAAAAHm/90A=")</f>
        <v>#REF!</v>
      </c>
      <c r="BN325" t="e">
        <f>AND(#REF!,"AAAAAHm/90E=")</f>
        <v>#REF!</v>
      </c>
      <c r="BO325" t="e">
        <f>AND(#REF!,"AAAAAHm/90I=")</f>
        <v>#REF!</v>
      </c>
      <c r="BP325" t="e">
        <f>AND(#REF!,"AAAAAHm/90M=")</f>
        <v>#REF!</v>
      </c>
      <c r="BQ325" t="e">
        <f>AND(#REF!,"AAAAAHm/90Q=")</f>
        <v>#REF!</v>
      </c>
      <c r="BR325" t="e">
        <f>IF(#REF!,"AAAAAHm/90U=",0)</f>
        <v>#REF!</v>
      </c>
      <c r="BS325" t="e">
        <f>AND(#REF!,"AAAAAHm/90Y=")</f>
        <v>#REF!</v>
      </c>
      <c r="BT325" t="e">
        <f>AND(#REF!,"AAAAAHm/90c=")</f>
        <v>#REF!</v>
      </c>
      <c r="BU325" t="e">
        <f>AND(#REF!,"AAAAAHm/90g=")</f>
        <v>#REF!</v>
      </c>
      <c r="BV325" t="e">
        <f>AND(#REF!,"AAAAAHm/90k=")</f>
        <v>#REF!</v>
      </c>
      <c r="BW325" t="e">
        <f>AND(#REF!,"AAAAAHm/90o=")</f>
        <v>#REF!</v>
      </c>
      <c r="BX325" t="e">
        <f>AND(#REF!,"AAAAAHm/90s=")</f>
        <v>#REF!</v>
      </c>
      <c r="BY325" t="e">
        <f>AND(#REF!,"AAAAAHm/90w=")</f>
        <v>#REF!</v>
      </c>
      <c r="BZ325" t="e">
        <f>AND(#REF!,"AAAAAHm/900=")</f>
        <v>#REF!</v>
      </c>
      <c r="CA325" t="e">
        <f>AND(#REF!,"AAAAAHm/904=")</f>
        <v>#REF!</v>
      </c>
      <c r="CB325" t="e">
        <f>AND(#REF!,"AAAAAHm/908=")</f>
        <v>#REF!</v>
      </c>
      <c r="CC325" t="e">
        <f>IF(#REF!,"AAAAAHm/91A=",0)</f>
        <v>#REF!</v>
      </c>
      <c r="CD325" t="e">
        <f>AND(#REF!,"AAAAAHm/91E=")</f>
        <v>#REF!</v>
      </c>
      <c r="CE325" t="e">
        <f>AND(#REF!,"AAAAAHm/91I=")</f>
        <v>#REF!</v>
      </c>
      <c r="CF325" t="e">
        <f>AND(#REF!,"AAAAAHm/91M=")</f>
        <v>#REF!</v>
      </c>
      <c r="CG325" t="e">
        <f>AND(#REF!,"AAAAAHm/91Q=")</f>
        <v>#REF!</v>
      </c>
      <c r="CH325" t="e">
        <f>AND(#REF!,"AAAAAHm/91U=")</f>
        <v>#REF!</v>
      </c>
      <c r="CI325" t="e">
        <f>AND(#REF!,"AAAAAHm/91Y=")</f>
        <v>#REF!</v>
      </c>
      <c r="CJ325" t="e">
        <f>AND(#REF!,"AAAAAHm/91c=")</f>
        <v>#REF!</v>
      </c>
      <c r="CK325" t="e">
        <f>AND(#REF!,"AAAAAHm/91g=")</f>
        <v>#REF!</v>
      </c>
      <c r="CL325" t="e">
        <f>AND(#REF!,"AAAAAHm/91k=")</f>
        <v>#REF!</v>
      </c>
      <c r="CM325" t="e">
        <f>AND(#REF!,"AAAAAHm/91o=")</f>
        <v>#REF!</v>
      </c>
      <c r="CN325" t="e">
        <f>IF(#REF!,"AAAAAHm/91s=",0)</f>
        <v>#REF!</v>
      </c>
      <c r="CO325" t="e">
        <f>AND(#REF!,"AAAAAHm/91w=")</f>
        <v>#REF!</v>
      </c>
      <c r="CP325" t="e">
        <f>AND(#REF!,"AAAAAHm/910=")</f>
        <v>#REF!</v>
      </c>
      <c r="CQ325" t="e">
        <f>AND(#REF!,"AAAAAHm/914=")</f>
        <v>#REF!</v>
      </c>
      <c r="CR325" t="e">
        <f>AND(#REF!,"AAAAAHm/918=")</f>
        <v>#REF!</v>
      </c>
      <c r="CS325" t="e">
        <f>AND(#REF!,"AAAAAHm/92A=")</f>
        <v>#REF!</v>
      </c>
      <c r="CT325" t="e">
        <f>AND(#REF!,"AAAAAHm/92E=")</f>
        <v>#REF!</v>
      </c>
      <c r="CU325" t="e">
        <f>AND(#REF!,"AAAAAHm/92I=")</f>
        <v>#REF!</v>
      </c>
      <c r="CV325" t="e">
        <f>AND(#REF!,"AAAAAHm/92M=")</f>
        <v>#REF!</v>
      </c>
      <c r="CW325" t="e">
        <f>AND(#REF!,"AAAAAHm/92Q=")</f>
        <v>#REF!</v>
      </c>
      <c r="CX325" t="e">
        <f>AND(#REF!,"AAAAAHm/92U=")</f>
        <v>#REF!</v>
      </c>
      <c r="CY325" t="e">
        <f>IF(#REF!,"AAAAAHm/92Y=",0)</f>
        <v>#REF!</v>
      </c>
      <c r="CZ325" t="e">
        <f>AND(#REF!,"AAAAAHm/92c=")</f>
        <v>#REF!</v>
      </c>
      <c r="DA325" t="e">
        <f>AND(#REF!,"AAAAAHm/92g=")</f>
        <v>#REF!</v>
      </c>
      <c r="DB325" t="e">
        <f>AND(#REF!,"AAAAAHm/92k=")</f>
        <v>#REF!</v>
      </c>
      <c r="DC325" t="e">
        <f>AND(#REF!,"AAAAAHm/92o=")</f>
        <v>#REF!</v>
      </c>
      <c r="DD325" t="e">
        <f>AND(#REF!,"AAAAAHm/92s=")</f>
        <v>#REF!</v>
      </c>
      <c r="DE325" t="e">
        <f>AND(#REF!,"AAAAAHm/92w=")</f>
        <v>#REF!</v>
      </c>
      <c r="DF325" t="e">
        <f>AND(#REF!,"AAAAAHm/920=")</f>
        <v>#REF!</v>
      </c>
      <c r="DG325" t="e">
        <f>AND(#REF!,"AAAAAHm/924=")</f>
        <v>#REF!</v>
      </c>
      <c r="DH325" t="e">
        <f>AND(#REF!,"AAAAAHm/928=")</f>
        <v>#REF!</v>
      </c>
      <c r="DI325" t="e">
        <f>AND(#REF!,"AAAAAHm/93A=")</f>
        <v>#REF!</v>
      </c>
      <c r="DJ325" t="e">
        <f>IF(#REF!,"AAAAAHm/93E=",0)</f>
        <v>#REF!</v>
      </c>
      <c r="DK325" t="e">
        <f>AND(#REF!,"AAAAAHm/93I=")</f>
        <v>#REF!</v>
      </c>
      <c r="DL325" t="e">
        <f>AND(#REF!,"AAAAAHm/93M=")</f>
        <v>#REF!</v>
      </c>
      <c r="DM325" t="e">
        <f>AND(#REF!,"AAAAAHm/93Q=")</f>
        <v>#REF!</v>
      </c>
      <c r="DN325" t="e">
        <f>AND(#REF!,"AAAAAHm/93U=")</f>
        <v>#REF!</v>
      </c>
      <c r="DO325" t="e">
        <f>AND(#REF!,"AAAAAHm/93Y=")</f>
        <v>#REF!</v>
      </c>
      <c r="DP325" t="e">
        <f>AND(#REF!,"AAAAAHm/93c=")</f>
        <v>#REF!</v>
      </c>
      <c r="DQ325" t="e">
        <f>AND(#REF!,"AAAAAHm/93g=")</f>
        <v>#REF!</v>
      </c>
      <c r="DR325" t="e">
        <f>AND(#REF!,"AAAAAHm/93k=")</f>
        <v>#REF!</v>
      </c>
      <c r="DS325" t="e">
        <f>AND(#REF!,"AAAAAHm/93o=")</f>
        <v>#REF!</v>
      </c>
      <c r="DT325" t="e">
        <f>AND(#REF!,"AAAAAHm/93s=")</f>
        <v>#REF!</v>
      </c>
      <c r="DU325" t="e">
        <f>IF(#REF!,"AAAAAHm/93w=",0)</f>
        <v>#REF!</v>
      </c>
      <c r="DV325" t="e">
        <f>AND(#REF!,"AAAAAHm/930=")</f>
        <v>#REF!</v>
      </c>
      <c r="DW325" t="e">
        <f>AND(#REF!,"AAAAAHm/934=")</f>
        <v>#REF!</v>
      </c>
      <c r="DX325" t="e">
        <f>AND(#REF!,"AAAAAHm/938=")</f>
        <v>#REF!</v>
      </c>
      <c r="DY325" t="e">
        <f>AND(#REF!,"AAAAAHm/94A=")</f>
        <v>#REF!</v>
      </c>
      <c r="DZ325" t="e">
        <f>AND(#REF!,"AAAAAHm/94E=")</f>
        <v>#REF!</v>
      </c>
      <c r="EA325" t="e">
        <f>AND(#REF!,"AAAAAHm/94I=")</f>
        <v>#REF!</v>
      </c>
      <c r="EB325" t="e">
        <f>AND(#REF!,"AAAAAHm/94M=")</f>
        <v>#REF!</v>
      </c>
      <c r="EC325" t="e">
        <f>AND(#REF!,"AAAAAHm/94Q=")</f>
        <v>#REF!</v>
      </c>
      <c r="ED325" t="e">
        <f>AND(#REF!,"AAAAAHm/94U=")</f>
        <v>#REF!</v>
      </c>
      <c r="EE325" t="e">
        <f>AND(#REF!,"AAAAAHm/94Y=")</f>
        <v>#REF!</v>
      </c>
      <c r="EF325" t="e">
        <f>IF(#REF!,"AAAAAHm/94c=",0)</f>
        <v>#REF!</v>
      </c>
      <c r="EG325" t="e">
        <f>AND(#REF!,"AAAAAHm/94g=")</f>
        <v>#REF!</v>
      </c>
      <c r="EH325" t="e">
        <f>AND(#REF!,"AAAAAHm/94k=")</f>
        <v>#REF!</v>
      </c>
      <c r="EI325" t="e">
        <f>AND(#REF!,"AAAAAHm/94o=")</f>
        <v>#REF!</v>
      </c>
      <c r="EJ325" t="e">
        <f>AND(#REF!,"AAAAAHm/94s=")</f>
        <v>#REF!</v>
      </c>
      <c r="EK325" t="e">
        <f>AND(#REF!,"AAAAAHm/94w=")</f>
        <v>#REF!</v>
      </c>
      <c r="EL325" t="e">
        <f>AND(#REF!,"AAAAAHm/940=")</f>
        <v>#REF!</v>
      </c>
      <c r="EM325" t="e">
        <f>AND(#REF!,"AAAAAHm/944=")</f>
        <v>#REF!</v>
      </c>
      <c r="EN325" t="e">
        <f>AND(#REF!,"AAAAAHm/948=")</f>
        <v>#REF!</v>
      </c>
      <c r="EO325" t="e">
        <f>AND(#REF!,"AAAAAHm/95A=")</f>
        <v>#REF!</v>
      </c>
      <c r="EP325" t="e">
        <f>AND(#REF!,"AAAAAHm/95E=")</f>
        <v>#REF!</v>
      </c>
      <c r="EQ325" t="e">
        <f>IF(#REF!,"AAAAAHm/95I=",0)</f>
        <v>#REF!</v>
      </c>
      <c r="ER325" t="e">
        <f>AND(#REF!,"AAAAAHm/95M=")</f>
        <v>#REF!</v>
      </c>
      <c r="ES325" t="e">
        <f>AND(#REF!,"AAAAAHm/95Q=")</f>
        <v>#REF!</v>
      </c>
      <c r="ET325" t="e">
        <f>AND(#REF!,"AAAAAHm/95U=")</f>
        <v>#REF!</v>
      </c>
      <c r="EU325" t="e">
        <f>AND(#REF!,"AAAAAHm/95Y=")</f>
        <v>#REF!</v>
      </c>
      <c r="EV325" t="e">
        <f>AND(#REF!,"AAAAAHm/95c=")</f>
        <v>#REF!</v>
      </c>
      <c r="EW325" t="e">
        <f>AND(#REF!,"AAAAAHm/95g=")</f>
        <v>#REF!</v>
      </c>
      <c r="EX325" t="e">
        <f>AND(#REF!,"AAAAAHm/95k=")</f>
        <v>#REF!</v>
      </c>
      <c r="EY325" t="e">
        <f>AND(#REF!,"AAAAAHm/95o=")</f>
        <v>#REF!</v>
      </c>
      <c r="EZ325" t="e">
        <f>AND(#REF!,"AAAAAHm/95s=")</f>
        <v>#REF!</v>
      </c>
      <c r="FA325" t="e">
        <f>AND(#REF!,"AAAAAHm/95w=")</f>
        <v>#REF!</v>
      </c>
      <c r="FB325" t="e">
        <f>IF(#REF!,"AAAAAHm/950=",0)</f>
        <v>#REF!</v>
      </c>
      <c r="FC325" t="e">
        <f>AND(#REF!,"AAAAAHm/954=")</f>
        <v>#REF!</v>
      </c>
      <c r="FD325" t="e">
        <f>AND(#REF!,"AAAAAHm/958=")</f>
        <v>#REF!</v>
      </c>
      <c r="FE325" t="e">
        <f>AND(#REF!,"AAAAAHm/96A=")</f>
        <v>#REF!</v>
      </c>
      <c r="FF325" t="e">
        <f>AND(#REF!,"AAAAAHm/96E=")</f>
        <v>#REF!</v>
      </c>
      <c r="FG325" t="e">
        <f>AND(#REF!,"AAAAAHm/96I=")</f>
        <v>#REF!</v>
      </c>
      <c r="FH325" t="e">
        <f>AND(#REF!,"AAAAAHm/96M=")</f>
        <v>#REF!</v>
      </c>
      <c r="FI325" t="e">
        <f>AND(#REF!,"AAAAAHm/96Q=")</f>
        <v>#REF!</v>
      </c>
      <c r="FJ325" t="e">
        <f>AND(#REF!,"AAAAAHm/96U=")</f>
        <v>#REF!</v>
      </c>
      <c r="FK325" t="e">
        <f>AND(#REF!,"AAAAAHm/96Y=")</f>
        <v>#REF!</v>
      </c>
      <c r="FL325" t="e">
        <f>AND(#REF!,"AAAAAHm/96c=")</f>
        <v>#REF!</v>
      </c>
      <c r="FM325" t="e">
        <f>IF(#REF!,"AAAAAHm/96g=",0)</f>
        <v>#REF!</v>
      </c>
      <c r="FN325" t="e">
        <f>AND(#REF!,"AAAAAHm/96k=")</f>
        <v>#REF!</v>
      </c>
      <c r="FO325" t="e">
        <f>AND(#REF!,"AAAAAHm/96o=")</f>
        <v>#REF!</v>
      </c>
      <c r="FP325" t="e">
        <f>AND(#REF!,"AAAAAHm/96s=")</f>
        <v>#REF!</v>
      </c>
      <c r="FQ325" t="e">
        <f>AND(#REF!,"AAAAAHm/96w=")</f>
        <v>#REF!</v>
      </c>
      <c r="FR325" t="e">
        <f>AND(#REF!,"AAAAAHm/960=")</f>
        <v>#REF!</v>
      </c>
      <c r="FS325" t="e">
        <f>AND(#REF!,"AAAAAHm/964=")</f>
        <v>#REF!</v>
      </c>
      <c r="FT325" t="e">
        <f>AND(#REF!,"AAAAAHm/968=")</f>
        <v>#REF!</v>
      </c>
      <c r="FU325" t="e">
        <f>AND(#REF!,"AAAAAHm/97A=")</f>
        <v>#REF!</v>
      </c>
      <c r="FV325" t="e">
        <f>AND(#REF!,"AAAAAHm/97E=")</f>
        <v>#REF!</v>
      </c>
      <c r="FW325" t="e">
        <f>AND(#REF!,"AAAAAHm/97I=")</f>
        <v>#REF!</v>
      </c>
      <c r="FX325" t="e">
        <f>IF(#REF!,"AAAAAHm/97M=",0)</f>
        <v>#REF!</v>
      </c>
      <c r="FY325" t="e">
        <f>AND(#REF!,"AAAAAHm/97Q=")</f>
        <v>#REF!</v>
      </c>
      <c r="FZ325" t="e">
        <f>AND(#REF!,"AAAAAHm/97U=")</f>
        <v>#REF!</v>
      </c>
      <c r="GA325" t="e">
        <f>AND(#REF!,"AAAAAHm/97Y=")</f>
        <v>#REF!</v>
      </c>
      <c r="GB325" t="e">
        <f>AND(#REF!,"AAAAAHm/97c=")</f>
        <v>#REF!</v>
      </c>
      <c r="GC325" t="e">
        <f>AND(#REF!,"AAAAAHm/97g=")</f>
        <v>#REF!</v>
      </c>
      <c r="GD325" t="e">
        <f>AND(#REF!,"AAAAAHm/97k=")</f>
        <v>#REF!</v>
      </c>
      <c r="GE325" t="e">
        <f>AND(#REF!,"AAAAAHm/97o=")</f>
        <v>#REF!</v>
      </c>
      <c r="GF325" t="e">
        <f>AND(#REF!,"AAAAAHm/97s=")</f>
        <v>#REF!</v>
      </c>
      <c r="GG325" t="e">
        <f>AND(#REF!,"AAAAAHm/97w=")</f>
        <v>#REF!</v>
      </c>
      <c r="GH325" t="e">
        <f>AND(#REF!,"AAAAAHm/970=")</f>
        <v>#REF!</v>
      </c>
      <c r="GI325" t="e">
        <f>IF(#REF!,"AAAAAHm/974=",0)</f>
        <v>#REF!</v>
      </c>
      <c r="GJ325" t="e">
        <f>AND(#REF!,"AAAAAHm/978=")</f>
        <v>#REF!</v>
      </c>
      <c r="GK325" t="e">
        <f>AND(#REF!,"AAAAAHm/98A=")</f>
        <v>#REF!</v>
      </c>
      <c r="GL325" t="e">
        <f>AND(#REF!,"AAAAAHm/98E=")</f>
        <v>#REF!</v>
      </c>
      <c r="GM325" t="e">
        <f>AND(#REF!,"AAAAAHm/98I=")</f>
        <v>#REF!</v>
      </c>
      <c r="GN325" t="e">
        <f>AND(#REF!,"AAAAAHm/98M=")</f>
        <v>#REF!</v>
      </c>
      <c r="GO325" t="e">
        <f>AND(#REF!,"AAAAAHm/98Q=")</f>
        <v>#REF!</v>
      </c>
      <c r="GP325" t="e">
        <f>AND(#REF!,"AAAAAHm/98U=")</f>
        <v>#REF!</v>
      </c>
      <c r="GQ325" t="e">
        <f>AND(#REF!,"AAAAAHm/98Y=")</f>
        <v>#REF!</v>
      </c>
      <c r="GR325" t="e">
        <f>AND(#REF!,"AAAAAHm/98c=")</f>
        <v>#REF!</v>
      </c>
      <c r="GS325" t="e">
        <f>AND(#REF!,"AAAAAHm/98g=")</f>
        <v>#REF!</v>
      </c>
      <c r="GT325" t="e">
        <f>IF(#REF!,"AAAAAHm/98k=",0)</f>
        <v>#REF!</v>
      </c>
      <c r="GU325" t="e">
        <f>AND(#REF!,"AAAAAHm/98o=")</f>
        <v>#REF!</v>
      </c>
      <c r="GV325" t="e">
        <f>AND(#REF!,"AAAAAHm/98s=")</f>
        <v>#REF!</v>
      </c>
      <c r="GW325" t="e">
        <f>AND(#REF!,"AAAAAHm/98w=")</f>
        <v>#REF!</v>
      </c>
      <c r="GX325" t="e">
        <f>AND(#REF!,"AAAAAHm/980=")</f>
        <v>#REF!</v>
      </c>
      <c r="GY325" t="e">
        <f>AND(#REF!,"AAAAAHm/984=")</f>
        <v>#REF!</v>
      </c>
      <c r="GZ325" t="e">
        <f>AND(#REF!,"AAAAAHm/988=")</f>
        <v>#REF!</v>
      </c>
      <c r="HA325" t="e">
        <f>AND(#REF!,"AAAAAHm/99A=")</f>
        <v>#REF!</v>
      </c>
      <c r="HB325" t="e">
        <f>AND(#REF!,"AAAAAHm/99E=")</f>
        <v>#REF!</v>
      </c>
      <c r="HC325" t="e">
        <f>AND(#REF!,"AAAAAHm/99I=")</f>
        <v>#REF!</v>
      </c>
      <c r="HD325" t="e">
        <f>AND(#REF!,"AAAAAHm/99M=")</f>
        <v>#REF!</v>
      </c>
      <c r="HE325" t="e">
        <f>IF(#REF!,"AAAAAHm/99Q=",0)</f>
        <v>#REF!</v>
      </c>
      <c r="HF325" t="e">
        <f>AND(#REF!,"AAAAAHm/99U=")</f>
        <v>#REF!</v>
      </c>
      <c r="HG325" t="e">
        <f>AND(#REF!,"AAAAAHm/99Y=")</f>
        <v>#REF!</v>
      </c>
      <c r="HH325" t="e">
        <f>AND(#REF!,"AAAAAHm/99c=")</f>
        <v>#REF!</v>
      </c>
      <c r="HI325" t="e">
        <f>AND(#REF!,"AAAAAHm/99g=")</f>
        <v>#REF!</v>
      </c>
      <c r="HJ325" t="e">
        <f>AND(#REF!,"AAAAAHm/99k=")</f>
        <v>#REF!</v>
      </c>
      <c r="HK325" t="e">
        <f>AND(#REF!,"AAAAAHm/99o=")</f>
        <v>#REF!</v>
      </c>
      <c r="HL325" t="e">
        <f>AND(#REF!,"AAAAAHm/99s=")</f>
        <v>#REF!</v>
      </c>
      <c r="HM325" t="e">
        <f>AND(#REF!,"AAAAAHm/99w=")</f>
        <v>#REF!</v>
      </c>
      <c r="HN325" t="e">
        <f>AND(#REF!,"AAAAAHm/990=")</f>
        <v>#REF!</v>
      </c>
      <c r="HO325" t="e">
        <f>AND(#REF!,"AAAAAHm/994=")</f>
        <v>#REF!</v>
      </c>
      <c r="HP325" t="e">
        <f>IF(#REF!,"AAAAAHm/998=",0)</f>
        <v>#REF!</v>
      </c>
      <c r="HQ325" t="e">
        <f>AND(#REF!,"AAAAAHm/9+A=")</f>
        <v>#REF!</v>
      </c>
      <c r="HR325" t="e">
        <f>AND(#REF!,"AAAAAHm/9+E=")</f>
        <v>#REF!</v>
      </c>
      <c r="HS325" t="e">
        <f>AND(#REF!,"AAAAAHm/9+I=")</f>
        <v>#REF!</v>
      </c>
      <c r="HT325" t="e">
        <f>AND(#REF!,"AAAAAHm/9+M=")</f>
        <v>#REF!</v>
      </c>
      <c r="HU325" t="e">
        <f>AND(#REF!,"AAAAAHm/9+Q=")</f>
        <v>#REF!</v>
      </c>
      <c r="HV325" t="e">
        <f>AND(#REF!,"AAAAAHm/9+U=")</f>
        <v>#REF!</v>
      </c>
      <c r="HW325" t="e">
        <f>AND(#REF!,"AAAAAHm/9+Y=")</f>
        <v>#REF!</v>
      </c>
      <c r="HX325" t="e">
        <f>AND(#REF!,"AAAAAHm/9+c=")</f>
        <v>#REF!</v>
      </c>
      <c r="HY325" t="e">
        <f>AND(#REF!,"AAAAAHm/9+g=")</f>
        <v>#REF!</v>
      </c>
      <c r="HZ325" t="e">
        <f>AND(#REF!,"AAAAAHm/9+k=")</f>
        <v>#REF!</v>
      </c>
      <c r="IA325" t="e">
        <f>IF(#REF!,"AAAAAHm/9+o=",0)</f>
        <v>#REF!</v>
      </c>
      <c r="IB325" t="e">
        <f>AND(#REF!,"AAAAAHm/9+s=")</f>
        <v>#REF!</v>
      </c>
      <c r="IC325" t="e">
        <f>AND(#REF!,"AAAAAHm/9+w=")</f>
        <v>#REF!</v>
      </c>
      <c r="ID325" t="e">
        <f>AND(#REF!,"AAAAAHm/9+0=")</f>
        <v>#REF!</v>
      </c>
      <c r="IE325" t="e">
        <f>AND(#REF!,"AAAAAHm/9+4=")</f>
        <v>#REF!</v>
      </c>
      <c r="IF325" t="e">
        <f>AND(#REF!,"AAAAAHm/9+8=")</f>
        <v>#REF!</v>
      </c>
      <c r="IG325" t="e">
        <f>AND(#REF!,"AAAAAHm/9/A=")</f>
        <v>#REF!</v>
      </c>
      <c r="IH325" t="e">
        <f>AND(#REF!,"AAAAAHm/9/E=")</f>
        <v>#REF!</v>
      </c>
      <c r="II325" t="e">
        <f>AND(#REF!,"AAAAAHm/9/I=")</f>
        <v>#REF!</v>
      </c>
      <c r="IJ325" t="e">
        <f>AND(#REF!,"AAAAAHm/9/M=")</f>
        <v>#REF!</v>
      </c>
      <c r="IK325" t="e">
        <f>AND(#REF!,"AAAAAHm/9/Q=")</f>
        <v>#REF!</v>
      </c>
      <c r="IL325" t="e">
        <f>IF(#REF!,"AAAAAHm/9/U=",0)</f>
        <v>#REF!</v>
      </c>
      <c r="IM325" t="e">
        <f>AND(#REF!,"AAAAAHm/9/Y=")</f>
        <v>#REF!</v>
      </c>
      <c r="IN325" t="e">
        <f>AND(#REF!,"AAAAAHm/9/c=")</f>
        <v>#REF!</v>
      </c>
      <c r="IO325" t="e">
        <f>AND(#REF!,"AAAAAHm/9/g=")</f>
        <v>#REF!</v>
      </c>
      <c r="IP325" t="e">
        <f>AND(#REF!,"AAAAAHm/9/k=")</f>
        <v>#REF!</v>
      </c>
      <c r="IQ325" t="e">
        <f>AND(#REF!,"AAAAAHm/9/o=")</f>
        <v>#REF!</v>
      </c>
      <c r="IR325" t="e">
        <f>AND(#REF!,"AAAAAHm/9/s=")</f>
        <v>#REF!</v>
      </c>
      <c r="IS325" t="e">
        <f>AND(#REF!,"AAAAAHm/9/w=")</f>
        <v>#REF!</v>
      </c>
      <c r="IT325" t="e">
        <f>AND(#REF!,"AAAAAHm/9/0=")</f>
        <v>#REF!</v>
      </c>
      <c r="IU325" t="e">
        <f>AND(#REF!,"AAAAAHm/9/4=")</f>
        <v>#REF!</v>
      </c>
      <c r="IV325" t="e">
        <f>AND(#REF!,"AAAAAHm/9/8=")</f>
        <v>#REF!</v>
      </c>
    </row>
    <row r="326" spans="1:256" x14ac:dyDescent="0.25">
      <c r="A326" t="e">
        <f>IF(#REF!,"AAAAAH9NfgA=",0)</f>
        <v>#REF!</v>
      </c>
      <c r="B326" t="e">
        <f>AND(#REF!,"AAAAAH9NfgE=")</f>
        <v>#REF!</v>
      </c>
      <c r="C326" t="e">
        <f>AND(#REF!,"AAAAAH9NfgI=")</f>
        <v>#REF!</v>
      </c>
      <c r="D326" t="e">
        <f>AND(#REF!,"AAAAAH9NfgM=")</f>
        <v>#REF!</v>
      </c>
      <c r="E326" t="e">
        <f>AND(#REF!,"AAAAAH9NfgQ=")</f>
        <v>#REF!</v>
      </c>
      <c r="F326" t="e">
        <f>AND(#REF!,"AAAAAH9NfgU=")</f>
        <v>#REF!</v>
      </c>
      <c r="G326" t="e">
        <f>AND(#REF!,"AAAAAH9NfgY=")</f>
        <v>#REF!</v>
      </c>
      <c r="H326" t="e">
        <f>AND(#REF!,"AAAAAH9Nfgc=")</f>
        <v>#REF!</v>
      </c>
      <c r="I326" t="e">
        <f>AND(#REF!,"AAAAAH9Nfgg=")</f>
        <v>#REF!</v>
      </c>
      <c r="J326" t="e">
        <f>AND(#REF!,"AAAAAH9Nfgk=")</f>
        <v>#REF!</v>
      </c>
      <c r="K326" t="e">
        <f>AND(#REF!,"AAAAAH9Nfgo=")</f>
        <v>#REF!</v>
      </c>
      <c r="L326" t="e">
        <f>IF(#REF!,"AAAAAH9Nfgs=",0)</f>
        <v>#REF!</v>
      </c>
      <c r="M326" t="e">
        <f>AND(#REF!,"AAAAAH9Nfgw=")</f>
        <v>#REF!</v>
      </c>
      <c r="N326" t="e">
        <f>AND(#REF!,"AAAAAH9Nfg0=")</f>
        <v>#REF!</v>
      </c>
      <c r="O326" t="e">
        <f>AND(#REF!,"AAAAAH9Nfg4=")</f>
        <v>#REF!</v>
      </c>
      <c r="P326" t="e">
        <f>AND(#REF!,"AAAAAH9Nfg8=")</f>
        <v>#REF!</v>
      </c>
      <c r="Q326" t="e">
        <f>AND(#REF!,"AAAAAH9NfhA=")</f>
        <v>#REF!</v>
      </c>
      <c r="R326" t="e">
        <f>AND(#REF!,"AAAAAH9NfhE=")</f>
        <v>#REF!</v>
      </c>
      <c r="S326" t="e">
        <f>AND(#REF!,"AAAAAH9NfhI=")</f>
        <v>#REF!</v>
      </c>
      <c r="T326" t="e">
        <f>AND(#REF!,"AAAAAH9NfhM=")</f>
        <v>#REF!</v>
      </c>
      <c r="U326" t="e">
        <f>AND(#REF!,"AAAAAH9NfhQ=")</f>
        <v>#REF!</v>
      </c>
      <c r="V326" t="e">
        <f>AND(#REF!,"AAAAAH9NfhU=")</f>
        <v>#REF!</v>
      </c>
      <c r="W326" t="e">
        <f>IF(#REF!,"AAAAAH9NfhY=",0)</f>
        <v>#REF!</v>
      </c>
      <c r="X326" t="e">
        <f>AND(#REF!,"AAAAAH9Nfhc=")</f>
        <v>#REF!</v>
      </c>
      <c r="Y326" t="e">
        <f>AND(#REF!,"AAAAAH9Nfhg=")</f>
        <v>#REF!</v>
      </c>
      <c r="Z326" t="e">
        <f>AND(#REF!,"AAAAAH9Nfhk=")</f>
        <v>#REF!</v>
      </c>
      <c r="AA326" t="e">
        <f>AND(#REF!,"AAAAAH9Nfho=")</f>
        <v>#REF!</v>
      </c>
      <c r="AB326" t="e">
        <f>AND(#REF!,"AAAAAH9Nfhs=")</f>
        <v>#REF!</v>
      </c>
      <c r="AC326" t="e">
        <f>AND(#REF!,"AAAAAH9Nfhw=")</f>
        <v>#REF!</v>
      </c>
      <c r="AD326" t="e">
        <f>AND(#REF!,"AAAAAH9Nfh0=")</f>
        <v>#REF!</v>
      </c>
      <c r="AE326" t="e">
        <f>AND(#REF!,"AAAAAH9Nfh4=")</f>
        <v>#REF!</v>
      </c>
      <c r="AF326" t="e">
        <f>AND(#REF!,"AAAAAH9Nfh8=")</f>
        <v>#REF!</v>
      </c>
      <c r="AG326" t="e">
        <f>AND(#REF!,"AAAAAH9NfiA=")</f>
        <v>#REF!</v>
      </c>
      <c r="AH326" t="e">
        <f>IF(#REF!,"AAAAAH9NfiE=",0)</f>
        <v>#REF!</v>
      </c>
      <c r="AI326" t="e">
        <f>AND(#REF!,"AAAAAH9NfiI=")</f>
        <v>#REF!</v>
      </c>
      <c r="AJ326" t="e">
        <f>AND(#REF!,"AAAAAH9NfiM=")</f>
        <v>#REF!</v>
      </c>
      <c r="AK326" t="e">
        <f>AND(#REF!,"AAAAAH9NfiQ=")</f>
        <v>#REF!</v>
      </c>
      <c r="AL326" t="e">
        <f>AND(#REF!,"AAAAAH9NfiU=")</f>
        <v>#REF!</v>
      </c>
      <c r="AM326" t="e">
        <f>AND(#REF!,"AAAAAH9NfiY=")</f>
        <v>#REF!</v>
      </c>
      <c r="AN326" t="e">
        <f>AND(#REF!,"AAAAAH9Nfic=")</f>
        <v>#REF!</v>
      </c>
      <c r="AO326" t="e">
        <f>AND(#REF!,"AAAAAH9Nfig=")</f>
        <v>#REF!</v>
      </c>
      <c r="AP326" t="e">
        <f>AND(#REF!,"AAAAAH9Nfik=")</f>
        <v>#REF!</v>
      </c>
      <c r="AQ326" t="e">
        <f>AND(#REF!,"AAAAAH9Nfio=")</f>
        <v>#REF!</v>
      </c>
      <c r="AR326" t="e">
        <f>AND(#REF!,"AAAAAH9Nfis=")</f>
        <v>#REF!</v>
      </c>
      <c r="AS326" t="e">
        <f>IF(#REF!,"AAAAAH9Nfiw=",0)</f>
        <v>#REF!</v>
      </c>
      <c r="AT326" t="e">
        <f>AND(#REF!,"AAAAAH9Nfi0=")</f>
        <v>#REF!</v>
      </c>
      <c r="AU326" t="e">
        <f>AND(#REF!,"AAAAAH9Nfi4=")</f>
        <v>#REF!</v>
      </c>
      <c r="AV326" t="e">
        <f>AND(#REF!,"AAAAAH9Nfi8=")</f>
        <v>#REF!</v>
      </c>
      <c r="AW326" t="e">
        <f>AND(#REF!,"AAAAAH9NfjA=")</f>
        <v>#REF!</v>
      </c>
      <c r="AX326" t="e">
        <f>AND(#REF!,"AAAAAH9NfjE=")</f>
        <v>#REF!</v>
      </c>
      <c r="AY326" t="e">
        <f>AND(#REF!,"AAAAAH9NfjI=")</f>
        <v>#REF!</v>
      </c>
      <c r="AZ326" t="e">
        <f>AND(#REF!,"AAAAAH9NfjM=")</f>
        <v>#REF!</v>
      </c>
      <c r="BA326" t="e">
        <f>AND(#REF!,"AAAAAH9NfjQ=")</f>
        <v>#REF!</v>
      </c>
      <c r="BB326" t="e">
        <f>AND(#REF!,"AAAAAH9NfjU=")</f>
        <v>#REF!</v>
      </c>
      <c r="BC326" t="e">
        <f>AND(#REF!,"AAAAAH9NfjY=")</f>
        <v>#REF!</v>
      </c>
      <c r="BD326" t="e">
        <f>IF(#REF!,"AAAAAH9Nfjc=",0)</f>
        <v>#REF!</v>
      </c>
      <c r="BE326" t="e">
        <f>AND(#REF!,"AAAAAH9Nfjg=")</f>
        <v>#REF!</v>
      </c>
      <c r="BF326" t="e">
        <f>AND(#REF!,"AAAAAH9Nfjk=")</f>
        <v>#REF!</v>
      </c>
      <c r="BG326" t="e">
        <f>AND(#REF!,"AAAAAH9Nfjo=")</f>
        <v>#REF!</v>
      </c>
      <c r="BH326" t="e">
        <f>AND(#REF!,"AAAAAH9Nfjs=")</f>
        <v>#REF!</v>
      </c>
      <c r="BI326" t="e">
        <f>AND(#REF!,"AAAAAH9Nfjw=")</f>
        <v>#REF!</v>
      </c>
      <c r="BJ326" t="e">
        <f>AND(#REF!,"AAAAAH9Nfj0=")</f>
        <v>#REF!</v>
      </c>
      <c r="BK326" t="e">
        <f>AND(#REF!,"AAAAAH9Nfj4=")</f>
        <v>#REF!</v>
      </c>
      <c r="BL326" t="e">
        <f>AND(#REF!,"AAAAAH9Nfj8=")</f>
        <v>#REF!</v>
      </c>
      <c r="BM326" t="e">
        <f>AND(#REF!,"AAAAAH9NfkA=")</f>
        <v>#REF!</v>
      </c>
      <c r="BN326" t="e">
        <f>AND(#REF!,"AAAAAH9NfkE=")</f>
        <v>#REF!</v>
      </c>
      <c r="BO326" t="e">
        <f>IF(#REF!,"AAAAAH9NfkI=",0)</f>
        <v>#REF!</v>
      </c>
      <c r="BP326" t="e">
        <f>AND(#REF!,"AAAAAH9NfkM=")</f>
        <v>#REF!</v>
      </c>
      <c r="BQ326" t="e">
        <f>AND(#REF!,"AAAAAH9NfkQ=")</f>
        <v>#REF!</v>
      </c>
      <c r="BR326" t="e">
        <f>AND(#REF!,"AAAAAH9NfkU=")</f>
        <v>#REF!</v>
      </c>
      <c r="BS326" t="e">
        <f>AND(#REF!,"AAAAAH9NfkY=")</f>
        <v>#REF!</v>
      </c>
      <c r="BT326" t="e">
        <f>AND(#REF!,"AAAAAH9Nfkc=")</f>
        <v>#REF!</v>
      </c>
      <c r="BU326" t="e">
        <f>AND(#REF!,"AAAAAH9Nfkg=")</f>
        <v>#REF!</v>
      </c>
      <c r="BV326" t="e">
        <f>AND(#REF!,"AAAAAH9Nfkk=")</f>
        <v>#REF!</v>
      </c>
      <c r="BW326" t="e">
        <f>AND(#REF!,"AAAAAH9Nfko=")</f>
        <v>#REF!</v>
      </c>
      <c r="BX326" t="e">
        <f>AND(#REF!,"AAAAAH9Nfks=")</f>
        <v>#REF!</v>
      </c>
      <c r="BY326" t="e">
        <f>AND(#REF!,"AAAAAH9Nfkw=")</f>
        <v>#REF!</v>
      </c>
      <c r="BZ326" t="e">
        <f>IF(#REF!,"AAAAAH9Nfk0=",0)</f>
        <v>#REF!</v>
      </c>
      <c r="CA326" t="e">
        <f>AND(#REF!,"AAAAAH9Nfk4=")</f>
        <v>#REF!</v>
      </c>
      <c r="CB326" t="e">
        <f>AND(#REF!,"AAAAAH9Nfk8=")</f>
        <v>#REF!</v>
      </c>
      <c r="CC326" t="e">
        <f>AND(#REF!,"AAAAAH9NflA=")</f>
        <v>#REF!</v>
      </c>
      <c r="CD326" t="e">
        <f>AND(#REF!,"AAAAAH9NflE=")</f>
        <v>#REF!</v>
      </c>
      <c r="CE326" t="e">
        <f>AND(#REF!,"AAAAAH9NflI=")</f>
        <v>#REF!</v>
      </c>
      <c r="CF326" t="e">
        <f>AND(#REF!,"AAAAAH9NflM=")</f>
        <v>#REF!</v>
      </c>
      <c r="CG326" t="e">
        <f>AND(#REF!,"AAAAAH9NflQ=")</f>
        <v>#REF!</v>
      </c>
      <c r="CH326" t="e">
        <f>AND(#REF!,"AAAAAH9NflU=")</f>
        <v>#REF!</v>
      </c>
      <c r="CI326" t="e">
        <f>AND(#REF!,"AAAAAH9NflY=")</f>
        <v>#REF!</v>
      </c>
      <c r="CJ326" t="e">
        <f>AND(#REF!,"AAAAAH9Nflc=")</f>
        <v>#REF!</v>
      </c>
      <c r="CK326" t="e">
        <f>IF(#REF!,"AAAAAH9Nflg=",0)</f>
        <v>#REF!</v>
      </c>
      <c r="CL326" t="e">
        <f>AND(#REF!,"AAAAAH9Nflk=")</f>
        <v>#REF!</v>
      </c>
      <c r="CM326" t="e">
        <f>AND(#REF!,"AAAAAH9Nflo=")</f>
        <v>#REF!</v>
      </c>
      <c r="CN326" t="e">
        <f>AND(#REF!,"AAAAAH9Nfls=")</f>
        <v>#REF!</v>
      </c>
      <c r="CO326" t="e">
        <f>AND(#REF!,"AAAAAH9Nflw=")</f>
        <v>#REF!</v>
      </c>
      <c r="CP326" t="e">
        <f>AND(#REF!,"AAAAAH9Nfl0=")</f>
        <v>#REF!</v>
      </c>
      <c r="CQ326" t="e">
        <f>AND(#REF!,"AAAAAH9Nfl4=")</f>
        <v>#REF!</v>
      </c>
      <c r="CR326" t="e">
        <f>AND(#REF!,"AAAAAH9Nfl8=")</f>
        <v>#REF!</v>
      </c>
      <c r="CS326" t="e">
        <f>AND(#REF!,"AAAAAH9NfmA=")</f>
        <v>#REF!</v>
      </c>
      <c r="CT326" t="e">
        <f>AND(#REF!,"AAAAAH9NfmE=")</f>
        <v>#REF!</v>
      </c>
      <c r="CU326" t="e">
        <f>AND(#REF!,"AAAAAH9NfmI=")</f>
        <v>#REF!</v>
      </c>
      <c r="CV326" t="e">
        <f>IF(#REF!,"AAAAAH9NfmM=",0)</f>
        <v>#REF!</v>
      </c>
      <c r="CW326" t="e">
        <f>AND(#REF!,"AAAAAH9NfmQ=")</f>
        <v>#REF!</v>
      </c>
      <c r="CX326" t="e">
        <f>AND(#REF!,"AAAAAH9NfmU=")</f>
        <v>#REF!</v>
      </c>
      <c r="CY326" t="e">
        <f>AND(#REF!,"AAAAAH9NfmY=")</f>
        <v>#REF!</v>
      </c>
      <c r="CZ326" t="e">
        <f>AND(#REF!,"AAAAAH9Nfmc=")</f>
        <v>#REF!</v>
      </c>
      <c r="DA326" t="e">
        <f>AND(#REF!,"AAAAAH9Nfmg=")</f>
        <v>#REF!</v>
      </c>
      <c r="DB326" t="e">
        <f>AND(#REF!,"AAAAAH9Nfmk=")</f>
        <v>#REF!</v>
      </c>
      <c r="DC326" t="e">
        <f>AND(#REF!,"AAAAAH9Nfmo=")</f>
        <v>#REF!</v>
      </c>
      <c r="DD326" t="e">
        <f>AND(#REF!,"AAAAAH9Nfms=")</f>
        <v>#REF!</v>
      </c>
      <c r="DE326" t="e">
        <f>AND(#REF!,"AAAAAH9Nfmw=")</f>
        <v>#REF!</v>
      </c>
      <c r="DF326" t="e">
        <f>AND(#REF!,"AAAAAH9Nfm0=")</f>
        <v>#REF!</v>
      </c>
      <c r="DG326" t="e">
        <f>IF(#REF!,"AAAAAH9Nfm4=",0)</f>
        <v>#REF!</v>
      </c>
      <c r="DH326" t="e">
        <f>AND(#REF!,"AAAAAH9Nfm8=")</f>
        <v>#REF!</v>
      </c>
      <c r="DI326" t="e">
        <f>AND(#REF!,"AAAAAH9NfnA=")</f>
        <v>#REF!</v>
      </c>
      <c r="DJ326" t="e">
        <f>AND(#REF!,"AAAAAH9NfnE=")</f>
        <v>#REF!</v>
      </c>
      <c r="DK326" t="e">
        <f>AND(#REF!,"AAAAAH9NfnI=")</f>
        <v>#REF!</v>
      </c>
      <c r="DL326" t="e">
        <f>AND(#REF!,"AAAAAH9NfnM=")</f>
        <v>#REF!</v>
      </c>
      <c r="DM326" t="e">
        <f>AND(#REF!,"AAAAAH9NfnQ=")</f>
        <v>#REF!</v>
      </c>
      <c r="DN326" t="e">
        <f>AND(#REF!,"AAAAAH9NfnU=")</f>
        <v>#REF!</v>
      </c>
      <c r="DO326" t="e">
        <f>AND(#REF!,"AAAAAH9NfnY=")</f>
        <v>#REF!</v>
      </c>
      <c r="DP326" t="e">
        <f>AND(#REF!,"AAAAAH9Nfnc=")</f>
        <v>#REF!</v>
      </c>
      <c r="DQ326" t="e">
        <f>AND(#REF!,"AAAAAH9Nfng=")</f>
        <v>#REF!</v>
      </c>
      <c r="DR326" t="e">
        <f>IF(#REF!,"AAAAAH9Nfnk=",0)</f>
        <v>#REF!</v>
      </c>
      <c r="DS326" t="e">
        <f>AND(#REF!,"AAAAAH9Nfno=")</f>
        <v>#REF!</v>
      </c>
      <c r="DT326" t="e">
        <f>AND(#REF!,"AAAAAH9Nfns=")</f>
        <v>#REF!</v>
      </c>
      <c r="DU326" t="e">
        <f>AND(#REF!,"AAAAAH9Nfnw=")</f>
        <v>#REF!</v>
      </c>
      <c r="DV326" t="e">
        <f>AND(#REF!,"AAAAAH9Nfn0=")</f>
        <v>#REF!</v>
      </c>
      <c r="DW326" t="e">
        <f>AND(#REF!,"AAAAAH9Nfn4=")</f>
        <v>#REF!</v>
      </c>
      <c r="DX326" t="e">
        <f>AND(#REF!,"AAAAAH9Nfn8=")</f>
        <v>#REF!</v>
      </c>
      <c r="DY326" t="e">
        <f>AND(#REF!,"AAAAAH9NfoA=")</f>
        <v>#REF!</v>
      </c>
      <c r="DZ326" t="e">
        <f>AND(#REF!,"AAAAAH9NfoE=")</f>
        <v>#REF!</v>
      </c>
      <c r="EA326" t="e">
        <f>AND(#REF!,"AAAAAH9NfoI=")</f>
        <v>#REF!</v>
      </c>
      <c r="EB326" t="e">
        <f>AND(#REF!,"AAAAAH9NfoM=")</f>
        <v>#REF!</v>
      </c>
      <c r="EC326" t="e">
        <f>IF(#REF!,"AAAAAH9NfoQ=",0)</f>
        <v>#REF!</v>
      </c>
      <c r="ED326" t="e">
        <f>AND(#REF!,"AAAAAH9NfoU=")</f>
        <v>#REF!</v>
      </c>
      <c r="EE326" t="e">
        <f>AND(#REF!,"AAAAAH9NfoY=")</f>
        <v>#REF!</v>
      </c>
      <c r="EF326" t="e">
        <f>AND(#REF!,"AAAAAH9Nfoc=")</f>
        <v>#REF!</v>
      </c>
      <c r="EG326" t="e">
        <f>AND(#REF!,"AAAAAH9Nfog=")</f>
        <v>#REF!</v>
      </c>
      <c r="EH326" t="e">
        <f>AND(#REF!,"AAAAAH9Nfok=")</f>
        <v>#REF!</v>
      </c>
      <c r="EI326" t="e">
        <f>AND(#REF!,"AAAAAH9Nfoo=")</f>
        <v>#REF!</v>
      </c>
      <c r="EJ326" t="e">
        <f>AND(#REF!,"AAAAAH9Nfos=")</f>
        <v>#REF!</v>
      </c>
      <c r="EK326" t="e">
        <f>AND(#REF!,"AAAAAH9Nfow=")</f>
        <v>#REF!</v>
      </c>
      <c r="EL326" t="e">
        <f>AND(#REF!,"AAAAAH9Nfo0=")</f>
        <v>#REF!</v>
      </c>
      <c r="EM326" t="e">
        <f>AND(#REF!,"AAAAAH9Nfo4=")</f>
        <v>#REF!</v>
      </c>
      <c r="EN326" t="e">
        <f>IF(#REF!,"AAAAAH9Nfo8=",0)</f>
        <v>#REF!</v>
      </c>
      <c r="EO326" t="e">
        <f>AND(#REF!,"AAAAAH9NfpA=")</f>
        <v>#REF!</v>
      </c>
      <c r="EP326" t="e">
        <f>AND(#REF!,"AAAAAH9NfpE=")</f>
        <v>#REF!</v>
      </c>
      <c r="EQ326" t="e">
        <f>AND(#REF!,"AAAAAH9NfpI=")</f>
        <v>#REF!</v>
      </c>
      <c r="ER326" t="e">
        <f>AND(#REF!,"AAAAAH9NfpM=")</f>
        <v>#REF!</v>
      </c>
      <c r="ES326" t="e">
        <f>AND(#REF!,"AAAAAH9NfpQ=")</f>
        <v>#REF!</v>
      </c>
      <c r="ET326" t="e">
        <f>AND(#REF!,"AAAAAH9NfpU=")</f>
        <v>#REF!</v>
      </c>
      <c r="EU326" t="e">
        <f>AND(#REF!,"AAAAAH9NfpY=")</f>
        <v>#REF!</v>
      </c>
      <c r="EV326" t="e">
        <f>AND(#REF!,"AAAAAH9Nfpc=")</f>
        <v>#REF!</v>
      </c>
      <c r="EW326" t="e">
        <f>AND(#REF!,"AAAAAH9Nfpg=")</f>
        <v>#REF!</v>
      </c>
      <c r="EX326" t="e">
        <f>AND(#REF!,"AAAAAH9Nfpk=")</f>
        <v>#REF!</v>
      </c>
      <c r="EY326" t="e">
        <f>IF(#REF!,"AAAAAH9Nfpo=",0)</f>
        <v>#REF!</v>
      </c>
      <c r="EZ326" t="e">
        <f>AND(#REF!,"AAAAAH9Nfps=")</f>
        <v>#REF!</v>
      </c>
      <c r="FA326" t="e">
        <f>AND(#REF!,"AAAAAH9Nfpw=")</f>
        <v>#REF!</v>
      </c>
      <c r="FB326" t="e">
        <f>AND(#REF!,"AAAAAH9Nfp0=")</f>
        <v>#REF!</v>
      </c>
      <c r="FC326" t="e">
        <f>AND(#REF!,"AAAAAH9Nfp4=")</f>
        <v>#REF!</v>
      </c>
      <c r="FD326" t="e">
        <f>AND(#REF!,"AAAAAH9Nfp8=")</f>
        <v>#REF!</v>
      </c>
      <c r="FE326" t="e">
        <f>AND(#REF!,"AAAAAH9NfqA=")</f>
        <v>#REF!</v>
      </c>
      <c r="FF326" t="e">
        <f>AND(#REF!,"AAAAAH9NfqE=")</f>
        <v>#REF!</v>
      </c>
      <c r="FG326" t="e">
        <f>AND(#REF!,"AAAAAH9NfqI=")</f>
        <v>#REF!</v>
      </c>
      <c r="FH326" t="e">
        <f>AND(#REF!,"AAAAAH9NfqM=")</f>
        <v>#REF!</v>
      </c>
      <c r="FI326" t="e">
        <f>AND(#REF!,"AAAAAH9NfqQ=")</f>
        <v>#REF!</v>
      </c>
      <c r="FJ326" t="e">
        <f>IF(#REF!,"AAAAAH9NfqU=",0)</f>
        <v>#REF!</v>
      </c>
      <c r="FK326" t="e">
        <f>AND(#REF!,"AAAAAH9NfqY=")</f>
        <v>#REF!</v>
      </c>
      <c r="FL326" t="e">
        <f>AND(#REF!,"AAAAAH9Nfqc=")</f>
        <v>#REF!</v>
      </c>
      <c r="FM326" t="e">
        <f>AND(#REF!,"AAAAAH9Nfqg=")</f>
        <v>#REF!</v>
      </c>
      <c r="FN326" t="e">
        <f>AND(#REF!,"AAAAAH9Nfqk=")</f>
        <v>#REF!</v>
      </c>
      <c r="FO326" t="e">
        <f>AND(#REF!,"AAAAAH9Nfqo=")</f>
        <v>#REF!</v>
      </c>
      <c r="FP326" t="e">
        <f>AND(#REF!,"AAAAAH9Nfqs=")</f>
        <v>#REF!</v>
      </c>
      <c r="FQ326" t="e">
        <f>AND(#REF!,"AAAAAH9Nfqw=")</f>
        <v>#REF!</v>
      </c>
      <c r="FR326" t="e">
        <f>AND(#REF!,"AAAAAH9Nfq0=")</f>
        <v>#REF!</v>
      </c>
      <c r="FS326" t="e">
        <f>AND(#REF!,"AAAAAH9Nfq4=")</f>
        <v>#REF!</v>
      </c>
      <c r="FT326" t="e">
        <f>AND(#REF!,"AAAAAH9Nfq8=")</f>
        <v>#REF!</v>
      </c>
      <c r="FU326" t="e">
        <f>IF(#REF!,"AAAAAH9NfrA=",0)</f>
        <v>#REF!</v>
      </c>
      <c r="FV326" t="e">
        <f>AND(#REF!,"AAAAAH9NfrE=")</f>
        <v>#REF!</v>
      </c>
      <c r="FW326" t="e">
        <f>AND(#REF!,"AAAAAH9NfrI=")</f>
        <v>#REF!</v>
      </c>
      <c r="FX326" t="e">
        <f>AND(#REF!,"AAAAAH9NfrM=")</f>
        <v>#REF!</v>
      </c>
      <c r="FY326" t="e">
        <f>AND(#REF!,"AAAAAH9NfrQ=")</f>
        <v>#REF!</v>
      </c>
      <c r="FZ326" t="e">
        <f>AND(#REF!,"AAAAAH9NfrU=")</f>
        <v>#REF!</v>
      </c>
      <c r="GA326" t="e">
        <f>AND(#REF!,"AAAAAH9NfrY=")</f>
        <v>#REF!</v>
      </c>
      <c r="GB326" t="e">
        <f>AND(#REF!,"AAAAAH9Nfrc=")</f>
        <v>#REF!</v>
      </c>
      <c r="GC326" t="e">
        <f>AND(#REF!,"AAAAAH9Nfrg=")</f>
        <v>#REF!</v>
      </c>
      <c r="GD326" t="e">
        <f>AND(#REF!,"AAAAAH9Nfrk=")</f>
        <v>#REF!</v>
      </c>
      <c r="GE326" t="e">
        <f>AND(#REF!,"AAAAAH9Nfro=")</f>
        <v>#REF!</v>
      </c>
      <c r="GF326" t="e">
        <f>IF(#REF!,"AAAAAH9Nfrs=",0)</f>
        <v>#REF!</v>
      </c>
      <c r="GG326" t="e">
        <f>AND(#REF!,"AAAAAH9Nfrw=")</f>
        <v>#REF!</v>
      </c>
      <c r="GH326" t="e">
        <f>AND(#REF!,"AAAAAH9Nfr0=")</f>
        <v>#REF!</v>
      </c>
      <c r="GI326" t="e">
        <f>AND(#REF!,"AAAAAH9Nfr4=")</f>
        <v>#REF!</v>
      </c>
      <c r="GJ326" t="e">
        <f>AND(#REF!,"AAAAAH9Nfr8=")</f>
        <v>#REF!</v>
      </c>
      <c r="GK326" t="e">
        <f>AND(#REF!,"AAAAAH9NfsA=")</f>
        <v>#REF!</v>
      </c>
      <c r="GL326" t="e">
        <f>AND(#REF!,"AAAAAH9NfsE=")</f>
        <v>#REF!</v>
      </c>
      <c r="GM326" t="e">
        <f>AND(#REF!,"AAAAAH9NfsI=")</f>
        <v>#REF!</v>
      </c>
      <c r="GN326" t="e">
        <f>AND(#REF!,"AAAAAH9NfsM=")</f>
        <v>#REF!</v>
      </c>
      <c r="GO326" t="e">
        <f>AND(#REF!,"AAAAAH9NfsQ=")</f>
        <v>#REF!</v>
      </c>
      <c r="GP326" t="e">
        <f>AND(#REF!,"AAAAAH9NfsU=")</f>
        <v>#REF!</v>
      </c>
      <c r="GQ326" t="e">
        <f>IF(#REF!,"AAAAAH9NfsY=",0)</f>
        <v>#REF!</v>
      </c>
      <c r="GR326" t="e">
        <f>AND(#REF!,"AAAAAH9Nfsc=")</f>
        <v>#REF!</v>
      </c>
      <c r="GS326" t="e">
        <f>AND(#REF!,"AAAAAH9Nfsg=")</f>
        <v>#REF!</v>
      </c>
      <c r="GT326" t="e">
        <f>AND(#REF!,"AAAAAH9Nfsk=")</f>
        <v>#REF!</v>
      </c>
      <c r="GU326" t="e">
        <f>AND(#REF!,"AAAAAH9Nfso=")</f>
        <v>#REF!</v>
      </c>
      <c r="GV326" t="e">
        <f>AND(#REF!,"AAAAAH9Nfss=")</f>
        <v>#REF!</v>
      </c>
      <c r="GW326" t="e">
        <f>AND(#REF!,"AAAAAH9Nfsw=")</f>
        <v>#REF!</v>
      </c>
      <c r="GX326" t="e">
        <f>AND(#REF!,"AAAAAH9Nfs0=")</f>
        <v>#REF!</v>
      </c>
      <c r="GY326" t="e">
        <f>AND(#REF!,"AAAAAH9Nfs4=")</f>
        <v>#REF!</v>
      </c>
      <c r="GZ326" t="e">
        <f>AND(#REF!,"AAAAAH9Nfs8=")</f>
        <v>#REF!</v>
      </c>
      <c r="HA326" t="e">
        <f>AND(#REF!,"AAAAAH9NftA=")</f>
        <v>#REF!</v>
      </c>
      <c r="HB326" t="e">
        <f>IF(#REF!,"AAAAAH9NftE=",0)</f>
        <v>#REF!</v>
      </c>
      <c r="HC326" t="e">
        <f>AND(#REF!,"AAAAAH9NftI=")</f>
        <v>#REF!</v>
      </c>
      <c r="HD326" t="e">
        <f>AND(#REF!,"AAAAAH9NftM=")</f>
        <v>#REF!</v>
      </c>
      <c r="HE326" t="e">
        <f>AND(#REF!,"AAAAAH9NftQ=")</f>
        <v>#REF!</v>
      </c>
      <c r="HF326" t="e">
        <f>AND(#REF!,"AAAAAH9NftU=")</f>
        <v>#REF!</v>
      </c>
      <c r="HG326" t="e">
        <f>AND(#REF!,"AAAAAH9NftY=")</f>
        <v>#REF!</v>
      </c>
      <c r="HH326" t="e">
        <f>AND(#REF!,"AAAAAH9Nftc=")</f>
        <v>#REF!</v>
      </c>
      <c r="HI326" t="e">
        <f>AND(#REF!,"AAAAAH9Nftg=")</f>
        <v>#REF!</v>
      </c>
      <c r="HJ326" t="e">
        <f>AND(#REF!,"AAAAAH9Nftk=")</f>
        <v>#REF!</v>
      </c>
      <c r="HK326" t="e">
        <f>AND(#REF!,"AAAAAH9Nfto=")</f>
        <v>#REF!</v>
      </c>
      <c r="HL326" t="e">
        <f>AND(#REF!,"AAAAAH9Nfts=")</f>
        <v>#REF!</v>
      </c>
      <c r="HM326" t="e">
        <f>IF(#REF!,"AAAAAH9Nftw=",0)</f>
        <v>#REF!</v>
      </c>
      <c r="HN326" t="e">
        <f>AND(#REF!,"AAAAAH9Nft0=")</f>
        <v>#REF!</v>
      </c>
      <c r="HO326" t="e">
        <f>AND(#REF!,"AAAAAH9Nft4=")</f>
        <v>#REF!</v>
      </c>
      <c r="HP326" t="e">
        <f>AND(#REF!,"AAAAAH9Nft8=")</f>
        <v>#REF!</v>
      </c>
      <c r="HQ326" t="e">
        <f>AND(#REF!,"AAAAAH9NfuA=")</f>
        <v>#REF!</v>
      </c>
      <c r="HR326" t="e">
        <f>AND(#REF!,"AAAAAH9NfuE=")</f>
        <v>#REF!</v>
      </c>
      <c r="HS326" t="e">
        <f>AND(#REF!,"AAAAAH9NfuI=")</f>
        <v>#REF!</v>
      </c>
      <c r="HT326" t="e">
        <f>AND(#REF!,"AAAAAH9NfuM=")</f>
        <v>#REF!</v>
      </c>
      <c r="HU326" t="e">
        <f>AND(#REF!,"AAAAAH9NfuQ=")</f>
        <v>#REF!</v>
      </c>
      <c r="HV326" t="e">
        <f>AND(#REF!,"AAAAAH9NfuU=")</f>
        <v>#REF!</v>
      </c>
      <c r="HW326" t="e">
        <f>AND(#REF!,"AAAAAH9NfuY=")</f>
        <v>#REF!</v>
      </c>
      <c r="HX326" t="e">
        <f>IF(#REF!,"AAAAAH9Nfuc=",0)</f>
        <v>#REF!</v>
      </c>
      <c r="HY326" t="e">
        <f>AND(#REF!,"AAAAAH9Nfug=")</f>
        <v>#REF!</v>
      </c>
      <c r="HZ326" t="e">
        <f>AND(#REF!,"AAAAAH9Nfuk=")</f>
        <v>#REF!</v>
      </c>
      <c r="IA326" t="e">
        <f>AND(#REF!,"AAAAAH9Nfuo=")</f>
        <v>#REF!</v>
      </c>
      <c r="IB326" t="e">
        <f>AND(#REF!,"AAAAAH9Nfus=")</f>
        <v>#REF!</v>
      </c>
      <c r="IC326" t="e">
        <f>AND(#REF!,"AAAAAH9Nfuw=")</f>
        <v>#REF!</v>
      </c>
      <c r="ID326" t="e">
        <f>AND(#REF!,"AAAAAH9Nfu0=")</f>
        <v>#REF!</v>
      </c>
      <c r="IE326" t="e">
        <f>AND(#REF!,"AAAAAH9Nfu4=")</f>
        <v>#REF!</v>
      </c>
      <c r="IF326" t="e">
        <f>AND(#REF!,"AAAAAH9Nfu8=")</f>
        <v>#REF!</v>
      </c>
      <c r="IG326" t="e">
        <f>AND(#REF!,"AAAAAH9NfvA=")</f>
        <v>#REF!</v>
      </c>
      <c r="IH326" t="e">
        <f>AND(#REF!,"AAAAAH9NfvE=")</f>
        <v>#REF!</v>
      </c>
      <c r="II326" t="e">
        <f>IF(#REF!,"AAAAAH9NfvI=",0)</f>
        <v>#REF!</v>
      </c>
      <c r="IJ326" t="e">
        <f>AND(#REF!,"AAAAAH9NfvM=")</f>
        <v>#REF!</v>
      </c>
      <c r="IK326" t="e">
        <f>AND(#REF!,"AAAAAH9NfvQ=")</f>
        <v>#REF!</v>
      </c>
      <c r="IL326" t="e">
        <f>AND(#REF!,"AAAAAH9NfvU=")</f>
        <v>#REF!</v>
      </c>
      <c r="IM326" t="e">
        <f>AND(#REF!,"AAAAAH9NfvY=")</f>
        <v>#REF!</v>
      </c>
      <c r="IN326" t="e">
        <f>AND(#REF!,"AAAAAH9Nfvc=")</f>
        <v>#REF!</v>
      </c>
      <c r="IO326" t="e">
        <f>AND(#REF!,"AAAAAH9Nfvg=")</f>
        <v>#REF!</v>
      </c>
      <c r="IP326" t="e">
        <f>AND(#REF!,"AAAAAH9Nfvk=")</f>
        <v>#REF!</v>
      </c>
      <c r="IQ326" t="e">
        <f>AND(#REF!,"AAAAAH9Nfvo=")</f>
        <v>#REF!</v>
      </c>
      <c r="IR326" t="e">
        <f>AND(#REF!,"AAAAAH9Nfvs=")</f>
        <v>#REF!</v>
      </c>
      <c r="IS326" t="e">
        <f>AND(#REF!,"AAAAAH9Nfvw=")</f>
        <v>#REF!</v>
      </c>
      <c r="IT326" t="e">
        <f>IF(#REF!,"AAAAAH9Nfv0=",0)</f>
        <v>#REF!</v>
      </c>
      <c r="IU326" t="e">
        <f>AND(#REF!,"AAAAAH9Nfv4=")</f>
        <v>#REF!</v>
      </c>
      <c r="IV326" t="e">
        <f>AND(#REF!,"AAAAAH9Nfv8=")</f>
        <v>#REF!</v>
      </c>
    </row>
    <row r="327" spans="1:256" x14ac:dyDescent="0.25">
      <c r="A327" t="e">
        <f>AND(#REF!,"AAAAAHeD6wA=")</f>
        <v>#REF!</v>
      </c>
      <c r="B327" t="e">
        <f>AND(#REF!,"AAAAAHeD6wE=")</f>
        <v>#REF!</v>
      </c>
      <c r="C327" t="e">
        <f>AND(#REF!,"AAAAAHeD6wI=")</f>
        <v>#REF!</v>
      </c>
      <c r="D327" t="e">
        <f>AND(#REF!,"AAAAAHeD6wM=")</f>
        <v>#REF!</v>
      </c>
      <c r="E327" t="e">
        <f>AND(#REF!,"AAAAAHeD6wQ=")</f>
        <v>#REF!</v>
      </c>
      <c r="F327" t="e">
        <f>AND(#REF!,"AAAAAHeD6wU=")</f>
        <v>#REF!</v>
      </c>
      <c r="G327" t="e">
        <f>AND(#REF!,"AAAAAHeD6wY=")</f>
        <v>#REF!</v>
      </c>
      <c r="H327" t="e">
        <f>AND(#REF!,"AAAAAHeD6wc=")</f>
        <v>#REF!</v>
      </c>
      <c r="I327" t="e">
        <f>IF(#REF!,"AAAAAHeD6wg=",0)</f>
        <v>#REF!</v>
      </c>
      <c r="J327" t="e">
        <f>AND(#REF!,"AAAAAHeD6wk=")</f>
        <v>#REF!</v>
      </c>
      <c r="K327" t="e">
        <f>AND(#REF!,"AAAAAHeD6wo=")</f>
        <v>#REF!</v>
      </c>
      <c r="L327" t="e">
        <f>AND(#REF!,"AAAAAHeD6ws=")</f>
        <v>#REF!</v>
      </c>
      <c r="M327" t="e">
        <f>AND(#REF!,"AAAAAHeD6ww=")</f>
        <v>#REF!</v>
      </c>
      <c r="N327" t="e">
        <f>AND(#REF!,"AAAAAHeD6w0=")</f>
        <v>#REF!</v>
      </c>
      <c r="O327" t="e">
        <f>AND(#REF!,"AAAAAHeD6w4=")</f>
        <v>#REF!</v>
      </c>
      <c r="P327" t="e">
        <f>AND(#REF!,"AAAAAHeD6w8=")</f>
        <v>#REF!</v>
      </c>
      <c r="Q327" t="e">
        <f>AND(#REF!,"AAAAAHeD6xA=")</f>
        <v>#REF!</v>
      </c>
      <c r="R327" t="e">
        <f>AND(#REF!,"AAAAAHeD6xE=")</f>
        <v>#REF!</v>
      </c>
      <c r="S327" t="e">
        <f>AND(#REF!,"AAAAAHeD6xI=")</f>
        <v>#REF!</v>
      </c>
      <c r="T327" t="e">
        <f>IF(#REF!,"AAAAAHeD6xM=",0)</f>
        <v>#REF!</v>
      </c>
      <c r="U327" t="e">
        <f>AND(#REF!,"AAAAAHeD6xQ=")</f>
        <v>#REF!</v>
      </c>
      <c r="V327" t="e">
        <f>AND(#REF!,"AAAAAHeD6xU=")</f>
        <v>#REF!</v>
      </c>
      <c r="W327" t="e">
        <f>AND(#REF!,"AAAAAHeD6xY=")</f>
        <v>#REF!</v>
      </c>
      <c r="X327" t="e">
        <f>AND(#REF!,"AAAAAHeD6xc=")</f>
        <v>#REF!</v>
      </c>
      <c r="Y327" t="e">
        <f>AND(#REF!,"AAAAAHeD6xg=")</f>
        <v>#REF!</v>
      </c>
      <c r="Z327" t="e">
        <f>AND(#REF!,"AAAAAHeD6xk=")</f>
        <v>#REF!</v>
      </c>
      <c r="AA327" t="e">
        <f>AND(#REF!,"AAAAAHeD6xo=")</f>
        <v>#REF!</v>
      </c>
      <c r="AB327" t="e">
        <f>AND(#REF!,"AAAAAHeD6xs=")</f>
        <v>#REF!</v>
      </c>
      <c r="AC327" t="e">
        <f>AND(#REF!,"AAAAAHeD6xw=")</f>
        <v>#REF!</v>
      </c>
      <c r="AD327" t="e">
        <f>AND(#REF!,"AAAAAHeD6x0=")</f>
        <v>#REF!</v>
      </c>
      <c r="AE327" t="e">
        <f>IF(#REF!,"AAAAAHeD6x4=",0)</f>
        <v>#REF!</v>
      </c>
      <c r="AF327" t="e">
        <f>AND(#REF!,"AAAAAHeD6x8=")</f>
        <v>#REF!</v>
      </c>
      <c r="AG327" t="e">
        <f>AND(#REF!,"AAAAAHeD6yA=")</f>
        <v>#REF!</v>
      </c>
      <c r="AH327" t="e">
        <f>AND(#REF!,"AAAAAHeD6yE=")</f>
        <v>#REF!</v>
      </c>
      <c r="AI327" t="e">
        <f>AND(#REF!,"AAAAAHeD6yI=")</f>
        <v>#REF!</v>
      </c>
      <c r="AJ327" t="e">
        <f>AND(#REF!,"AAAAAHeD6yM=")</f>
        <v>#REF!</v>
      </c>
      <c r="AK327" t="e">
        <f>AND(#REF!,"AAAAAHeD6yQ=")</f>
        <v>#REF!</v>
      </c>
      <c r="AL327" t="e">
        <f>AND(#REF!,"AAAAAHeD6yU=")</f>
        <v>#REF!</v>
      </c>
      <c r="AM327" t="e">
        <f>AND(#REF!,"AAAAAHeD6yY=")</f>
        <v>#REF!</v>
      </c>
      <c r="AN327" t="e">
        <f>AND(#REF!,"AAAAAHeD6yc=")</f>
        <v>#REF!</v>
      </c>
      <c r="AO327" t="e">
        <f>AND(#REF!,"AAAAAHeD6yg=")</f>
        <v>#REF!</v>
      </c>
      <c r="AP327" t="e">
        <f>IF(#REF!,"AAAAAHeD6yk=",0)</f>
        <v>#REF!</v>
      </c>
      <c r="AQ327" t="e">
        <f>AND(#REF!,"AAAAAHeD6yo=")</f>
        <v>#REF!</v>
      </c>
      <c r="AR327" t="e">
        <f>AND(#REF!,"AAAAAHeD6ys=")</f>
        <v>#REF!</v>
      </c>
      <c r="AS327" t="e">
        <f>AND(#REF!,"AAAAAHeD6yw=")</f>
        <v>#REF!</v>
      </c>
      <c r="AT327" t="e">
        <f>AND(#REF!,"AAAAAHeD6y0=")</f>
        <v>#REF!</v>
      </c>
      <c r="AU327" t="e">
        <f>AND(#REF!,"AAAAAHeD6y4=")</f>
        <v>#REF!</v>
      </c>
      <c r="AV327" t="e">
        <f>AND(#REF!,"AAAAAHeD6y8=")</f>
        <v>#REF!</v>
      </c>
      <c r="AW327" t="e">
        <f>AND(#REF!,"AAAAAHeD6zA=")</f>
        <v>#REF!</v>
      </c>
      <c r="AX327" t="e">
        <f>AND(#REF!,"AAAAAHeD6zE=")</f>
        <v>#REF!</v>
      </c>
      <c r="AY327" t="e">
        <f>AND(#REF!,"AAAAAHeD6zI=")</f>
        <v>#REF!</v>
      </c>
      <c r="AZ327" t="e">
        <f>AND(#REF!,"AAAAAHeD6zM=")</f>
        <v>#REF!</v>
      </c>
      <c r="BA327" t="e">
        <f>IF(#REF!,"AAAAAHeD6zQ=",0)</f>
        <v>#REF!</v>
      </c>
      <c r="BB327" t="e">
        <f>AND(#REF!,"AAAAAHeD6zU=")</f>
        <v>#REF!</v>
      </c>
      <c r="BC327" t="e">
        <f>AND(#REF!,"AAAAAHeD6zY=")</f>
        <v>#REF!</v>
      </c>
      <c r="BD327" t="e">
        <f>AND(#REF!,"AAAAAHeD6zc=")</f>
        <v>#REF!</v>
      </c>
      <c r="BE327" t="e">
        <f>AND(#REF!,"AAAAAHeD6zg=")</f>
        <v>#REF!</v>
      </c>
      <c r="BF327" t="e">
        <f>AND(#REF!,"AAAAAHeD6zk=")</f>
        <v>#REF!</v>
      </c>
      <c r="BG327" t="e">
        <f>AND(#REF!,"AAAAAHeD6zo=")</f>
        <v>#REF!</v>
      </c>
      <c r="BH327" t="e">
        <f>AND(#REF!,"AAAAAHeD6zs=")</f>
        <v>#REF!</v>
      </c>
      <c r="BI327" t="e">
        <f>AND(#REF!,"AAAAAHeD6zw=")</f>
        <v>#REF!</v>
      </c>
      <c r="BJ327" t="e">
        <f>AND(#REF!,"AAAAAHeD6z0=")</f>
        <v>#REF!</v>
      </c>
      <c r="BK327" t="e">
        <f>AND(#REF!,"AAAAAHeD6z4=")</f>
        <v>#REF!</v>
      </c>
      <c r="BL327" t="e">
        <f>IF(#REF!,"AAAAAHeD6z8=",0)</f>
        <v>#REF!</v>
      </c>
      <c r="BM327" t="e">
        <f>AND(#REF!,"AAAAAHeD60A=")</f>
        <v>#REF!</v>
      </c>
      <c r="BN327" t="e">
        <f>AND(#REF!,"AAAAAHeD60E=")</f>
        <v>#REF!</v>
      </c>
      <c r="BO327" t="e">
        <f>AND(#REF!,"AAAAAHeD60I=")</f>
        <v>#REF!</v>
      </c>
      <c r="BP327" t="e">
        <f>AND(#REF!,"AAAAAHeD60M=")</f>
        <v>#REF!</v>
      </c>
      <c r="BQ327" t="e">
        <f>AND(#REF!,"AAAAAHeD60Q=")</f>
        <v>#REF!</v>
      </c>
      <c r="BR327" t="e">
        <f>AND(#REF!,"AAAAAHeD60U=")</f>
        <v>#REF!</v>
      </c>
      <c r="BS327" t="e">
        <f>AND(#REF!,"AAAAAHeD60Y=")</f>
        <v>#REF!</v>
      </c>
      <c r="BT327" t="e">
        <f>AND(#REF!,"AAAAAHeD60c=")</f>
        <v>#REF!</v>
      </c>
      <c r="BU327" t="e">
        <f>AND(#REF!,"AAAAAHeD60g=")</f>
        <v>#REF!</v>
      </c>
      <c r="BV327" t="e">
        <f>AND(#REF!,"AAAAAHeD60k=")</f>
        <v>#REF!</v>
      </c>
      <c r="BW327" t="e">
        <f>IF(#REF!,"AAAAAHeD60o=",0)</f>
        <v>#REF!</v>
      </c>
      <c r="BX327" t="e">
        <f>AND(#REF!,"AAAAAHeD60s=")</f>
        <v>#REF!</v>
      </c>
      <c r="BY327" t="e">
        <f>AND(#REF!,"AAAAAHeD60w=")</f>
        <v>#REF!</v>
      </c>
      <c r="BZ327" t="e">
        <f>AND(#REF!,"AAAAAHeD600=")</f>
        <v>#REF!</v>
      </c>
      <c r="CA327" t="e">
        <f>AND(#REF!,"AAAAAHeD604=")</f>
        <v>#REF!</v>
      </c>
      <c r="CB327" t="e">
        <f>AND(#REF!,"AAAAAHeD608=")</f>
        <v>#REF!</v>
      </c>
      <c r="CC327" t="e">
        <f>AND(#REF!,"AAAAAHeD61A=")</f>
        <v>#REF!</v>
      </c>
      <c r="CD327" t="e">
        <f>AND(#REF!,"AAAAAHeD61E=")</f>
        <v>#REF!</v>
      </c>
      <c r="CE327" t="e">
        <f>AND(#REF!,"AAAAAHeD61I=")</f>
        <v>#REF!</v>
      </c>
      <c r="CF327" t="e">
        <f>AND(#REF!,"AAAAAHeD61M=")</f>
        <v>#REF!</v>
      </c>
      <c r="CG327" t="e">
        <f>AND(#REF!,"AAAAAHeD61Q=")</f>
        <v>#REF!</v>
      </c>
      <c r="CH327" t="e">
        <f>IF(#REF!,"AAAAAHeD61U=",0)</f>
        <v>#REF!</v>
      </c>
      <c r="CI327" t="e">
        <f>AND(#REF!,"AAAAAHeD61Y=")</f>
        <v>#REF!</v>
      </c>
      <c r="CJ327" t="e">
        <f>AND(#REF!,"AAAAAHeD61c=")</f>
        <v>#REF!</v>
      </c>
      <c r="CK327" t="e">
        <f>AND(#REF!,"AAAAAHeD61g=")</f>
        <v>#REF!</v>
      </c>
      <c r="CL327" t="e">
        <f>AND(#REF!,"AAAAAHeD61k=")</f>
        <v>#REF!</v>
      </c>
      <c r="CM327" t="e">
        <f>AND(#REF!,"AAAAAHeD61o=")</f>
        <v>#REF!</v>
      </c>
      <c r="CN327" t="e">
        <f>AND(#REF!,"AAAAAHeD61s=")</f>
        <v>#REF!</v>
      </c>
      <c r="CO327" t="e">
        <f>AND(#REF!,"AAAAAHeD61w=")</f>
        <v>#REF!</v>
      </c>
      <c r="CP327" t="e">
        <f>AND(#REF!,"AAAAAHeD610=")</f>
        <v>#REF!</v>
      </c>
      <c r="CQ327" t="e">
        <f>AND(#REF!,"AAAAAHeD614=")</f>
        <v>#REF!</v>
      </c>
      <c r="CR327" t="e">
        <f>AND(#REF!,"AAAAAHeD618=")</f>
        <v>#REF!</v>
      </c>
      <c r="CS327" t="e">
        <f>IF(#REF!,"AAAAAHeD62A=",0)</f>
        <v>#REF!</v>
      </c>
      <c r="CT327" t="e">
        <f>AND(#REF!,"AAAAAHeD62E=")</f>
        <v>#REF!</v>
      </c>
      <c r="CU327" t="e">
        <f>AND(#REF!,"AAAAAHeD62I=")</f>
        <v>#REF!</v>
      </c>
      <c r="CV327" t="e">
        <f>AND(#REF!,"AAAAAHeD62M=")</f>
        <v>#REF!</v>
      </c>
      <c r="CW327" t="e">
        <f>AND(#REF!,"AAAAAHeD62Q=")</f>
        <v>#REF!</v>
      </c>
      <c r="CX327" t="e">
        <f>AND(#REF!,"AAAAAHeD62U=")</f>
        <v>#REF!</v>
      </c>
      <c r="CY327" t="e">
        <f>AND(#REF!,"AAAAAHeD62Y=")</f>
        <v>#REF!</v>
      </c>
      <c r="CZ327" t="e">
        <f>AND(#REF!,"AAAAAHeD62c=")</f>
        <v>#REF!</v>
      </c>
      <c r="DA327" t="e">
        <f>AND(#REF!,"AAAAAHeD62g=")</f>
        <v>#REF!</v>
      </c>
      <c r="DB327" t="e">
        <f>AND(#REF!,"AAAAAHeD62k=")</f>
        <v>#REF!</v>
      </c>
      <c r="DC327" t="e">
        <f>AND(#REF!,"AAAAAHeD62o=")</f>
        <v>#REF!</v>
      </c>
      <c r="DD327" t="e">
        <f>IF(#REF!,"AAAAAHeD62s=",0)</f>
        <v>#REF!</v>
      </c>
      <c r="DE327" t="e">
        <f>AND(#REF!,"AAAAAHeD62w=")</f>
        <v>#REF!</v>
      </c>
      <c r="DF327" t="e">
        <f>AND(#REF!,"AAAAAHeD620=")</f>
        <v>#REF!</v>
      </c>
      <c r="DG327" t="e">
        <f>AND(#REF!,"AAAAAHeD624=")</f>
        <v>#REF!</v>
      </c>
      <c r="DH327" t="e">
        <f>AND(#REF!,"AAAAAHeD628=")</f>
        <v>#REF!</v>
      </c>
      <c r="DI327" t="e">
        <f>AND(#REF!,"AAAAAHeD63A=")</f>
        <v>#REF!</v>
      </c>
      <c r="DJ327" t="e">
        <f>AND(#REF!,"AAAAAHeD63E=")</f>
        <v>#REF!</v>
      </c>
      <c r="DK327" t="e">
        <f>AND(#REF!,"AAAAAHeD63I=")</f>
        <v>#REF!</v>
      </c>
      <c r="DL327" t="e">
        <f>AND(#REF!,"AAAAAHeD63M=")</f>
        <v>#REF!</v>
      </c>
      <c r="DM327" t="e">
        <f>AND(#REF!,"AAAAAHeD63Q=")</f>
        <v>#REF!</v>
      </c>
      <c r="DN327" t="e">
        <f>AND(#REF!,"AAAAAHeD63U=")</f>
        <v>#REF!</v>
      </c>
      <c r="DO327" t="e">
        <f>IF(#REF!,"AAAAAHeD63Y=",0)</f>
        <v>#REF!</v>
      </c>
      <c r="DP327" t="e">
        <f>AND(#REF!,"AAAAAHeD63c=")</f>
        <v>#REF!</v>
      </c>
      <c r="DQ327" t="e">
        <f>AND(#REF!,"AAAAAHeD63g=")</f>
        <v>#REF!</v>
      </c>
      <c r="DR327" t="e">
        <f>AND(#REF!,"AAAAAHeD63k=")</f>
        <v>#REF!</v>
      </c>
      <c r="DS327" t="e">
        <f>AND(#REF!,"AAAAAHeD63o=")</f>
        <v>#REF!</v>
      </c>
      <c r="DT327" t="e">
        <f>AND(#REF!,"AAAAAHeD63s=")</f>
        <v>#REF!</v>
      </c>
      <c r="DU327" t="e">
        <f>AND(#REF!,"AAAAAHeD63w=")</f>
        <v>#REF!</v>
      </c>
      <c r="DV327" t="e">
        <f>AND(#REF!,"AAAAAHeD630=")</f>
        <v>#REF!</v>
      </c>
      <c r="DW327" t="e">
        <f>AND(#REF!,"AAAAAHeD634=")</f>
        <v>#REF!</v>
      </c>
      <c r="DX327" t="e">
        <f>AND(#REF!,"AAAAAHeD638=")</f>
        <v>#REF!</v>
      </c>
      <c r="DY327" t="e">
        <f>AND(#REF!,"AAAAAHeD64A=")</f>
        <v>#REF!</v>
      </c>
      <c r="DZ327" t="e">
        <f>IF(#REF!,"AAAAAHeD64E=",0)</f>
        <v>#REF!</v>
      </c>
      <c r="EA327" t="e">
        <f>AND(#REF!,"AAAAAHeD64I=")</f>
        <v>#REF!</v>
      </c>
      <c r="EB327" t="e">
        <f>AND(#REF!,"AAAAAHeD64M=")</f>
        <v>#REF!</v>
      </c>
      <c r="EC327" t="e">
        <f>AND(#REF!,"AAAAAHeD64Q=")</f>
        <v>#REF!</v>
      </c>
      <c r="ED327" t="e">
        <f>AND(#REF!,"AAAAAHeD64U=")</f>
        <v>#REF!</v>
      </c>
      <c r="EE327" t="e">
        <f>AND(#REF!,"AAAAAHeD64Y=")</f>
        <v>#REF!</v>
      </c>
      <c r="EF327" t="e">
        <f>AND(#REF!,"AAAAAHeD64c=")</f>
        <v>#REF!</v>
      </c>
      <c r="EG327" t="e">
        <f>AND(#REF!,"AAAAAHeD64g=")</f>
        <v>#REF!</v>
      </c>
      <c r="EH327" t="e">
        <f>AND(#REF!,"AAAAAHeD64k=")</f>
        <v>#REF!</v>
      </c>
      <c r="EI327" t="e">
        <f>AND(#REF!,"AAAAAHeD64o=")</f>
        <v>#REF!</v>
      </c>
      <c r="EJ327" t="e">
        <f>AND(#REF!,"AAAAAHeD64s=")</f>
        <v>#REF!</v>
      </c>
      <c r="EK327" t="e">
        <f>IF(#REF!,"AAAAAHeD64w=",0)</f>
        <v>#REF!</v>
      </c>
      <c r="EL327" t="e">
        <f>AND(#REF!,"AAAAAHeD640=")</f>
        <v>#REF!</v>
      </c>
      <c r="EM327" t="e">
        <f>AND(#REF!,"AAAAAHeD644=")</f>
        <v>#REF!</v>
      </c>
      <c r="EN327" t="e">
        <f>AND(#REF!,"AAAAAHeD648=")</f>
        <v>#REF!</v>
      </c>
      <c r="EO327" t="e">
        <f>AND(#REF!,"AAAAAHeD65A=")</f>
        <v>#REF!</v>
      </c>
      <c r="EP327" t="e">
        <f>AND(#REF!,"AAAAAHeD65E=")</f>
        <v>#REF!</v>
      </c>
      <c r="EQ327" t="e">
        <f>AND(#REF!,"AAAAAHeD65I=")</f>
        <v>#REF!</v>
      </c>
      <c r="ER327" t="e">
        <f>AND(#REF!,"AAAAAHeD65M=")</f>
        <v>#REF!</v>
      </c>
      <c r="ES327" t="e">
        <f>AND(#REF!,"AAAAAHeD65Q=")</f>
        <v>#REF!</v>
      </c>
      <c r="ET327" t="e">
        <f>AND(#REF!,"AAAAAHeD65U=")</f>
        <v>#REF!</v>
      </c>
      <c r="EU327" t="e">
        <f>AND(#REF!,"AAAAAHeD65Y=")</f>
        <v>#REF!</v>
      </c>
      <c r="EV327" t="e">
        <f>IF(#REF!,"AAAAAHeD65c=",0)</f>
        <v>#REF!</v>
      </c>
      <c r="EW327" t="e">
        <f>AND(#REF!,"AAAAAHeD65g=")</f>
        <v>#REF!</v>
      </c>
      <c r="EX327" t="e">
        <f>AND(#REF!,"AAAAAHeD65k=")</f>
        <v>#REF!</v>
      </c>
      <c r="EY327" t="e">
        <f>AND(#REF!,"AAAAAHeD65o=")</f>
        <v>#REF!</v>
      </c>
      <c r="EZ327" t="e">
        <f>AND(#REF!,"AAAAAHeD65s=")</f>
        <v>#REF!</v>
      </c>
      <c r="FA327" t="e">
        <f>AND(#REF!,"AAAAAHeD65w=")</f>
        <v>#REF!</v>
      </c>
      <c r="FB327" t="e">
        <f>AND(#REF!,"AAAAAHeD650=")</f>
        <v>#REF!</v>
      </c>
      <c r="FC327" t="e">
        <f>AND(#REF!,"AAAAAHeD654=")</f>
        <v>#REF!</v>
      </c>
      <c r="FD327" t="e">
        <f>AND(#REF!,"AAAAAHeD658=")</f>
        <v>#REF!</v>
      </c>
      <c r="FE327" t="e">
        <f>AND(#REF!,"AAAAAHeD66A=")</f>
        <v>#REF!</v>
      </c>
      <c r="FF327" t="e">
        <f>AND(#REF!,"AAAAAHeD66E=")</f>
        <v>#REF!</v>
      </c>
      <c r="FG327" t="e">
        <f>IF(#REF!,"AAAAAHeD66I=",0)</f>
        <v>#REF!</v>
      </c>
      <c r="FH327" t="e">
        <f>AND(#REF!,"AAAAAHeD66M=")</f>
        <v>#REF!</v>
      </c>
      <c r="FI327" t="e">
        <f>AND(#REF!,"AAAAAHeD66Q=")</f>
        <v>#REF!</v>
      </c>
      <c r="FJ327" t="e">
        <f>AND(#REF!,"AAAAAHeD66U=")</f>
        <v>#REF!</v>
      </c>
      <c r="FK327" t="e">
        <f>AND(#REF!,"AAAAAHeD66Y=")</f>
        <v>#REF!</v>
      </c>
      <c r="FL327" t="e">
        <f>AND(#REF!,"AAAAAHeD66c=")</f>
        <v>#REF!</v>
      </c>
      <c r="FM327" t="e">
        <f>AND(#REF!,"AAAAAHeD66g=")</f>
        <v>#REF!</v>
      </c>
      <c r="FN327" t="e">
        <f>AND(#REF!,"AAAAAHeD66k=")</f>
        <v>#REF!</v>
      </c>
      <c r="FO327" t="e">
        <f>AND(#REF!,"AAAAAHeD66o=")</f>
        <v>#REF!</v>
      </c>
      <c r="FP327" t="e">
        <f>AND(#REF!,"AAAAAHeD66s=")</f>
        <v>#REF!</v>
      </c>
      <c r="FQ327" t="e">
        <f>AND(#REF!,"AAAAAHeD66w=")</f>
        <v>#REF!</v>
      </c>
      <c r="FR327" t="e">
        <f>IF(#REF!,"AAAAAHeD660=",0)</f>
        <v>#REF!</v>
      </c>
      <c r="FS327" t="e">
        <f>AND(#REF!,"AAAAAHeD664=")</f>
        <v>#REF!</v>
      </c>
      <c r="FT327" t="e">
        <f>AND(#REF!,"AAAAAHeD668=")</f>
        <v>#REF!</v>
      </c>
      <c r="FU327" t="e">
        <f>AND(#REF!,"AAAAAHeD67A=")</f>
        <v>#REF!</v>
      </c>
      <c r="FV327" t="e">
        <f>AND(#REF!,"AAAAAHeD67E=")</f>
        <v>#REF!</v>
      </c>
      <c r="FW327" t="e">
        <f>AND(#REF!,"AAAAAHeD67I=")</f>
        <v>#REF!</v>
      </c>
      <c r="FX327" t="e">
        <f>AND(#REF!,"AAAAAHeD67M=")</f>
        <v>#REF!</v>
      </c>
      <c r="FY327" t="e">
        <f>AND(#REF!,"AAAAAHeD67Q=")</f>
        <v>#REF!</v>
      </c>
      <c r="FZ327" t="e">
        <f>AND(#REF!,"AAAAAHeD67U=")</f>
        <v>#REF!</v>
      </c>
      <c r="GA327" t="e">
        <f>AND(#REF!,"AAAAAHeD67Y=")</f>
        <v>#REF!</v>
      </c>
      <c r="GB327" t="e">
        <f>AND(#REF!,"AAAAAHeD67c=")</f>
        <v>#REF!</v>
      </c>
      <c r="GC327" t="e">
        <f>IF(#REF!,"AAAAAHeD67g=",0)</f>
        <v>#REF!</v>
      </c>
      <c r="GD327" t="e">
        <f>AND(#REF!,"AAAAAHeD67k=")</f>
        <v>#REF!</v>
      </c>
      <c r="GE327" t="e">
        <f>AND(#REF!,"AAAAAHeD67o=")</f>
        <v>#REF!</v>
      </c>
      <c r="GF327" t="e">
        <f>AND(#REF!,"AAAAAHeD67s=")</f>
        <v>#REF!</v>
      </c>
      <c r="GG327" t="e">
        <f>AND(#REF!,"AAAAAHeD67w=")</f>
        <v>#REF!</v>
      </c>
      <c r="GH327" t="e">
        <f>AND(#REF!,"AAAAAHeD670=")</f>
        <v>#REF!</v>
      </c>
      <c r="GI327" t="e">
        <f>AND(#REF!,"AAAAAHeD674=")</f>
        <v>#REF!</v>
      </c>
      <c r="GJ327" t="e">
        <f>AND(#REF!,"AAAAAHeD678=")</f>
        <v>#REF!</v>
      </c>
      <c r="GK327" t="e">
        <f>AND(#REF!,"AAAAAHeD68A=")</f>
        <v>#REF!</v>
      </c>
      <c r="GL327" t="e">
        <f>AND(#REF!,"AAAAAHeD68E=")</f>
        <v>#REF!</v>
      </c>
      <c r="GM327" t="e">
        <f>AND(#REF!,"AAAAAHeD68I=")</f>
        <v>#REF!</v>
      </c>
      <c r="GN327" t="e">
        <f>IF(#REF!,"AAAAAHeD68M=",0)</f>
        <v>#REF!</v>
      </c>
      <c r="GO327" t="e">
        <f>AND(#REF!,"AAAAAHeD68Q=")</f>
        <v>#REF!</v>
      </c>
      <c r="GP327" t="e">
        <f>AND(#REF!,"AAAAAHeD68U=")</f>
        <v>#REF!</v>
      </c>
      <c r="GQ327" t="e">
        <f>AND(#REF!,"AAAAAHeD68Y=")</f>
        <v>#REF!</v>
      </c>
      <c r="GR327" t="e">
        <f>AND(#REF!,"AAAAAHeD68c=")</f>
        <v>#REF!</v>
      </c>
      <c r="GS327" t="e">
        <f>AND(#REF!,"AAAAAHeD68g=")</f>
        <v>#REF!</v>
      </c>
      <c r="GT327" t="e">
        <f>AND(#REF!,"AAAAAHeD68k=")</f>
        <v>#REF!</v>
      </c>
      <c r="GU327" t="e">
        <f>AND(#REF!,"AAAAAHeD68o=")</f>
        <v>#REF!</v>
      </c>
      <c r="GV327" t="e">
        <f>AND(#REF!,"AAAAAHeD68s=")</f>
        <v>#REF!</v>
      </c>
      <c r="GW327" t="e">
        <f>AND(#REF!,"AAAAAHeD68w=")</f>
        <v>#REF!</v>
      </c>
      <c r="GX327" t="e">
        <f>AND(#REF!,"AAAAAHeD680=")</f>
        <v>#REF!</v>
      </c>
      <c r="GY327" t="e">
        <f>IF(#REF!,"AAAAAHeD684=",0)</f>
        <v>#REF!</v>
      </c>
      <c r="GZ327" t="e">
        <f>AND(#REF!,"AAAAAHeD688=")</f>
        <v>#REF!</v>
      </c>
      <c r="HA327" t="e">
        <f>AND(#REF!,"AAAAAHeD69A=")</f>
        <v>#REF!</v>
      </c>
      <c r="HB327" t="e">
        <f>AND(#REF!,"AAAAAHeD69E=")</f>
        <v>#REF!</v>
      </c>
      <c r="HC327" t="e">
        <f>AND(#REF!,"AAAAAHeD69I=")</f>
        <v>#REF!</v>
      </c>
      <c r="HD327" t="e">
        <f>AND(#REF!,"AAAAAHeD69M=")</f>
        <v>#REF!</v>
      </c>
      <c r="HE327" t="e">
        <f>AND(#REF!,"AAAAAHeD69Q=")</f>
        <v>#REF!</v>
      </c>
      <c r="HF327" t="e">
        <f>AND(#REF!,"AAAAAHeD69U=")</f>
        <v>#REF!</v>
      </c>
      <c r="HG327" t="e">
        <f>AND(#REF!,"AAAAAHeD69Y=")</f>
        <v>#REF!</v>
      </c>
      <c r="HH327" t="e">
        <f>AND(#REF!,"AAAAAHeD69c=")</f>
        <v>#REF!</v>
      </c>
      <c r="HI327" t="e">
        <f>AND(#REF!,"AAAAAHeD69g=")</f>
        <v>#REF!</v>
      </c>
      <c r="HJ327" t="e">
        <f>IF(#REF!,"AAAAAHeD69k=",0)</f>
        <v>#REF!</v>
      </c>
      <c r="HK327" t="e">
        <f>AND(#REF!,"AAAAAHeD69o=")</f>
        <v>#REF!</v>
      </c>
      <c r="HL327" t="e">
        <f>AND(#REF!,"AAAAAHeD69s=")</f>
        <v>#REF!</v>
      </c>
      <c r="HM327" t="e">
        <f>AND(#REF!,"AAAAAHeD69w=")</f>
        <v>#REF!</v>
      </c>
      <c r="HN327" t="e">
        <f>AND(#REF!,"AAAAAHeD690=")</f>
        <v>#REF!</v>
      </c>
      <c r="HO327" t="e">
        <f>AND(#REF!,"AAAAAHeD694=")</f>
        <v>#REF!</v>
      </c>
      <c r="HP327" t="e">
        <f>AND(#REF!,"AAAAAHeD698=")</f>
        <v>#REF!</v>
      </c>
      <c r="HQ327" t="e">
        <f>AND(#REF!,"AAAAAHeD6+A=")</f>
        <v>#REF!</v>
      </c>
      <c r="HR327" t="e">
        <f>AND(#REF!,"AAAAAHeD6+E=")</f>
        <v>#REF!</v>
      </c>
      <c r="HS327" t="e">
        <f>AND(#REF!,"AAAAAHeD6+I=")</f>
        <v>#REF!</v>
      </c>
      <c r="HT327" t="e">
        <f>AND(#REF!,"AAAAAHeD6+M=")</f>
        <v>#REF!</v>
      </c>
      <c r="HU327" t="e">
        <f>IF(#REF!,"AAAAAHeD6+Q=",0)</f>
        <v>#REF!</v>
      </c>
      <c r="HV327" t="e">
        <f>AND(#REF!,"AAAAAHeD6+U=")</f>
        <v>#REF!</v>
      </c>
      <c r="HW327" t="e">
        <f>AND(#REF!,"AAAAAHeD6+Y=")</f>
        <v>#REF!</v>
      </c>
      <c r="HX327" t="e">
        <f>AND(#REF!,"AAAAAHeD6+c=")</f>
        <v>#REF!</v>
      </c>
      <c r="HY327" t="e">
        <f>AND(#REF!,"AAAAAHeD6+g=")</f>
        <v>#REF!</v>
      </c>
      <c r="HZ327" t="e">
        <f>AND(#REF!,"AAAAAHeD6+k=")</f>
        <v>#REF!</v>
      </c>
      <c r="IA327" t="e">
        <f>AND(#REF!,"AAAAAHeD6+o=")</f>
        <v>#REF!</v>
      </c>
      <c r="IB327" t="e">
        <f>AND(#REF!,"AAAAAHeD6+s=")</f>
        <v>#REF!</v>
      </c>
      <c r="IC327" t="e">
        <f>AND(#REF!,"AAAAAHeD6+w=")</f>
        <v>#REF!</v>
      </c>
      <c r="ID327" t="e">
        <f>AND(#REF!,"AAAAAHeD6+0=")</f>
        <v>#REF!</v>
      </c>
      <c r="IE327" t="e">
        <f>AND(#REF!,"AAAAAHeD6+4=")</f>
        <v>#REF!</v>
      </c>
      <c r="IF327" t="e">
        <f>IF(#REF!,"AAAAAHeD6+8=",0)</f>
        <v>#REF!</v>
      </c>
      <c r="IG327" t="e">
        <f>AND(#REF!,"AAAAAHeD6/A=")</f>
        <v>#REF!</v>
      </c>
      <c r="IH327" t="e">
        <f>AND(#REF!,"AAAAAHeD6/E=")</f>
        <v>#REF!</v>
      </c>
      <c r="II327" t="e">
        <f>AND(#REF!,"AAAAAHeD6/I=")</f>
        <v>#REF!</v>
      </c>
      <c r="IJ327" t="e">
        <f>AND(#REF!,"AAAAAHeD6/M=")</f>
        <v>#REF!</v>
      </c>
      <c r="IK327" t="e">
        <f>AND(#REF!,"AAAAAHeD6/Q=")</f>
        <v>#REF!</v>
      </c>
      <c r="IL327" t="e">
        <f>AND(#REF!,"AAAAAHeD6/U=")</f>
        <v>#REF!</v>
      </c>
      <c r="IM327" t="e">
        <f>AND(#REF!,"AAAAAHeD6/Y=")</f>
        <v>#REF!</v>
      </c>
      <c r="IN327" t="e">
        <f>AND(#REF!,"AAAAAHeD6/c=")</f>
        <v>#REF!</v>
      </c>
      <c r="IO327" t="e">
        <f>AND(#REF!,"AAAAAHeD6/g=")</f>
        <v>#REF!</v>
      </c>
      <c r="IP327" t="e">
        <f>AND(#REF!,"AAAAAHeD6/k=")</f>
        <v>#REF!</v>
      </c>
      <c r="IQ327" t="e">
        <f>IF(#REF!,"AAAAAHeD6/o=",0)</f>
        <v>#REF!</v>
      </c>
      <c r="IR327" t="e">
        <f>AND(#REF!,"AAAAAHeD6/s=")</f>
        <v>#REF!</v>
      </c>
      <c r="IS327" t="e">
        <f>AND(#REF!,"AAAAAHeD6/w=")</f>
        <v>#REF!</v>
      </c>
      <c r="IT327" t="e">
        <f>AND(#REF!,"AAAAAHeD6/0=")</f>
        <v>#REF!</v>
      </c>
      <c r="IU327" t="e">
        <f>AND(#REF!,"AAAAAHeD6/4=")</f>
        <v>#REF!</v>
      </c>
      <c r="IV327" t="e">
        <f>AND(#REF!,"AAAAAHeD6/8=")</f>
        <v>#REF!</v>
      </c>
    </row>
    <row r="328" spans="1:256" x14ac:dyDescent="0.25">
      <c r="A328" t="e">
        <f>AND(#REF!,"AAAAAHufvwA=")</f>
        <v>#REF!</v>
      </c>
      <c r="B328" t="e">
        <f>AND(#REF!,"AAAAAHufvwE=")</f>
        <v>#REF!</v>
      </c>
      <c r="C328" t="e">
        <f>AND(#REF!,"AAAAAHufvwI=")</f>
        <v>#REF!</v>
      </c>
      <c r="D328" t="e">
        <f>AND(#REF!,"AAAAAHufvwM=")</f>
        <v>#REF!</v>
      </c>
      <c r="E328" t="e">
        <f>AND(#REF!,"AAAAAHufvwQ=")</f>
        <v>#REF!</v>
      </c>
      <c r="F328" t="e">
        <f>IF(#REF!,"AAAAAHufvwU=",0)</f>
        <v>#REF!</v>
      </c>
      <c r="G328" t="e">
        <f>AND(#REF!,"AAAAAHufvwY=")</f>
        <v>#REF!</v>
      </c>
      <c r="H328" t="e">
        <f>AND(#REF!,"AAAAAHufvwc=")</f>
        <v>#REF!</v>
      </c>
      <c r="I328" t="e">
        <f>AND(#REF!,"AAAAAHufvwg=")</f>
        <v>#REF!</v>
      </c>
      <c r="J328" t="e">
        <f>AND(#REF!,"AAAAAHufvwk=")</f>
        <v>#REF!</v>
      </c>
      <c r="K328" t="e">
        <f>AND(#REF!,"AAAAAHufvwo=")</f>
        <v>#REF!</v>
      </c>
      <c r="L328" t="e">
        <f>AND(#REF!,"AAAAAHufvws=")</f>
        <v>#REF!</v>
      </c>
      <c r="M328" t="e">
        <f>AND(#REF!,"AAAAAHufvww=")</f>
        <v>#REF!</v>
      </c>
      <c r="N328" t="e">
        <f>AND(#REF!,"AAAAAHufvw0=")</f>
        <v>#REF!</v>
      </c>
      <c r="O328" t="e">
        <f>AND(#REF!,"AAAAAHufvw4=")</f>
        <v>#REF!</v>
      </c>
      <c r="P328" t="e">
        <f>AND(#REF!,"AAAAAHufvw8=")</f>
        <v>#REF!</v>
      </c>
      <c r="Q328" t="e">
        <f>IF(#REF!,"AAAAAHufvxA=",0)</f>
        <v>#REF!</v>
      </c>
      <c r="R328" t="e">
        <f>AND(#REF!,"AAAAAHufvxE=")</f>
        <v>#REF!</v>
      </c>
      <c r="S328" t="e">
        <f>AND(#REF!,"AAAAAHufvxI=")</f>
        <v>#REF!</v>
      </c>
      <c r="T328" t="e">
        <f>AND(#REF!,"AAAAAHufvxM=")</f>
        <v>#REF!</v>
      </c>
      <c r="U328" t="e">
        <f>AND(#REF!,"AAAAAHufvxQ=")</f>
        <v>#REF!</v>
      </c>
      <c r="V328" t="e">
        <f>AND(#REF!,"AAAAAHufvxU=")</f>
        <v>#REF!</v>
      </c>
      <c r="W328" t="e">
        <f>AND(#REF!,"AAAAAHufvxY=")</f>
        <v>#REF!</v>
      </c>
      <c r="X328" t="e">
        <f>AND(#REF!,"AAAAAHufvxc=")</f>
        <v>#REF!</v>
      </c>
      <c r="Y328" t="e">
        <f>AND(#REF!,"AAAAAHufvxg=")</f>
        <v>#REF!</v>
      </c>
      <c r="Z328" t="e">
        <f>AND(#REF!,"AAAAAHufvxk=")</f>
        <v>#REF!</v>
      </c>
      <c r="AA328" t="e">
        <f>AND(#REF!,"AAAAAHufvxo=")</f>
        <v>#REF!</v>
      </c>
      <c r="AB328" t="e">
        <f>IF(#REF!,"AAAAAHufvxs=",0)</f>
        <v>#REF!</v>
      </c>
      <c r="AC328" t="e">
        <f>AND(#REF!,"AAAAAHufvxw=")</f>
        <v>#REF!</v>
      </c>
      <c r="AD328" t="e">
        <f>AND(#REF!,"AAAAAHufvx0=")</f>
        <v>#REF!</v>
      </c>
      <c r="AE328" t="e">
        <f>AND(#REF!,"AAAAAHufvx4=")</f>
        <v>#REF!</v>
      </c>
      <c r="AF328" t="e">
        <f>AND(#REF!,"AAAAAHufvx8=")</f>
        <v>#REF!</v>
      </c>
      <c r="AG328" t="e">
        <f>AND(#REF!,"AAAAAHufvyA=")</f>
        <v>#REF!</v>
      </c>
      <c r="AH328" t="e">
        <f>AND(#REF!,"AAAAAHufvyE=")</f>
        <v>#REF!</v>
      </c>
      <c r="AI328" t="e">
        <f>AND(#REF!,"AAAAAHufvyI=")</f>
        <v>#REF!</v>
      </c>
      <c r="AJ328" t="e">
        <f>AND(#REF!,"AAAAAHufvyM=")</f>
        <v>#REF!</v>
      </c>
      <c r="AK328" t="e">
        <f>AND(#REF!,"AAAAAHufvyQ=")</f>
        <v>#REF!</v>
      </c>
      <c r="AL328" t="e">
        <f>AND(#REF!,"AAAAAHufvyU=")</f>
        <v>#REF!</v>
      </c>
      <c r="AM328" t="e">
        <f>IF(#REF!,"AAAAAHufvyY=",0)</f>
        <v>#REF!</v>
      </c>
      <c r="AN328" t="e">
        <f>AND(#REF!,"AAAAAHufvyc=")</f>
        <v>#REF!</v>
      </c>
      <c r="AO328" t="e">
        <f>AND(#REF!,"AAAAAHufvyg=")</f>
        <v>#REF!</v>
      </c>
      <c r="AP328" t="e">
        <f>AND(#REF!,"AAAAAHufvyk=")</f>
        <v>#REF!</v>
      </c>
      <c r="AQ328" t="e">
        <f>AND(#REF!,"AAAAAHufvyo=")</f>
        <v>#REF!</v>
      </c>
      <c r="AR328" t="e">
        <f>AND(#REF!,"AAAAAHufvys=")</f>
        <v>#REF!</v>
      </c>
      <c r="AS328" t="e">
        <f>AND(#REF!,"AAAAAHufvyw=")</f>
        <v>#REF!</v>
      </c>
      <c r="AT328" t="e">
        <f>AND(#REF!,"AAAAAHufvy0=")</f>
        <v>#REF!</v>
      </c>
      <c r="AU328" t="e">
        <f>AND(#REF!,"AAAAAHufvy4=")</f>
        <v>#REF!</v>
      </c>
      <c r="AV328" t="e">
        <f>AND(#REF!,"AAAAAHufvy8=")</f>
        <v>#REF!</v>
      </c>
      <c r="AW328" t="e">
        <f>AND(#REF!,"AAAAAHufvzA=")</f>
        <v>#REF!</v>
      </c>
      <c r="AX328" t="e">
        <f>IF(#REF!,"AAAAAHufvzE=",0)</f>
        <v>#REF!</v>
      </c>
      <c r="AY328" t="e">
        <f>AND(#REF!,"AAAAAHufvzI=")</f>
        <v>#REF!</v>
      </c>
      <c r="AZ328" t="e">
        <f>AND(#REF!,"AAAAAHufvzM=")</f>
        <v>#REF!</v>
      </c>
      <c r="BA328" t="e">
        <f>AND(#REF!,"AAAAAHufvzQ=")</f>
        <v>#REF!</v>
      </c>
      <c r="BB328" t="e">
        <f>AND(#REF!,"AAAAAHufvzU=")</f>
        <v>#REF!</v>
      </c>
      <c r="BC328" t="e">
        <f>AND(#REF!,"AAAAAHufvzY=")</f>
        <v>#REF!</v>
      </c>
      <c r="BD328" t="e">
        <f>AND(#REF!,"AAAAAHufvzc=")</f>
        <v>#REF!</v>
      </c>
      <c r="BE328" t="e">
        <f>AND(#REF!,"AAAAAHufvzg=")</f>
        <v>#REF!</v>
      </c>
      <c r="BF328" t="e">
        <f>AND(#REF!,"AAAAAHufvzk=")</f>
        <v>#REF!</v>
      </c>
      <c r="BG328" t="e">
        <f>AND(#REF!,"AAAAAHufvzo=")</f>
        <v>#REF!</v>
      </c>
      <c r="BH328" t="e">
        <f>AND(#REF!,"AAAAAHufvzs=")</f>
        <v>#REF!</v>
      </c>
      <c r="BI328" t="e">
        <f>IF(#REF!,"AAAAAHufvzw=",0)</f>
        <v>#REF!</v>
      </c>
      <c r="BJ328" t="e">
        <f>AND(#REF!,"AAAAAHufvz0=")</f>
        <v>#REF!</v>
      </c>
      <c r="BK328" t="e">
        <f>AND(#REF!,"AAAAAHufvz4=")</f>
        <v>#REF!</v>
      </c>
      <c r="BL328" t="e">
        <f>AND(#REF!,"AAAAAHufvz8=")</f>
        <v>#REF!</v>
      </c>
      <c r="BM328" t="e">
        <f>AND(#REF!,"AAAAAHufv0A=")</f>
        <v>#REF!</v>
      </c>
      <c r="BN328" t="e">
        <f>AND(#REF!,"AAAAAHufv0E=")</f>
        <v>#REF!</v>
      </c>
      <c r="BO328" t="e">
        <f>AND(#REF!,"AAAAAHufv0I=")</f>
        <v>#REF!</v>
      </c>
      <c r="BP328" t="e">
        <f>AND(#REF!,"AAAAAHufv0M=")</f>
        <v>#REF!</v>
      </c>
      <c r="BQ328" t="e">
        <f>AND(#REF!,"AAAAAHufv0Q=")</f>
        <v>#REF!</v>
      </c>
      <c r="BR328" t="e">
        <f>AND(#REF!,"AAAAAHufv0U=")</f>
        <v>#REF!</v>
      </c>
      <c r="BS328" t="e">
        <f>AND(#REF!,"AAAAAHufv0Y=")</f>
        <v>#REF!</v>
      </c>
      <c r="BT328" t="e">
        <f>IF(#REF!,"AAAAAHufv0c=",0)</f>
        <v>#REF!</v>
      </c>
      <c r="BU328" t="e">
        <f>AND(#REF!,"AAAAAHufv0g=")</f>
        <v>#REF!</v>
      </c>
      <c r="BV328" t="e">
        <f>AND(#REF!,"AAAAAHufv0k=")</f>
        <v>#REF!</v>
      </c>
      <c r="BW328" t="e">
        <f>AND(#REF!,"AAAAAHufv0o=")</f>
        <v>#REF!</v>
      </c>
      <c r="BX328" t="e">
        <f>AND(#REF!,"AAAAAHufv0s=")</f>
        <v>#REF!</v>
      </c>
      <c r="BY328" t="e">
        <f>AND(#REF!,"AAAAAHufv0w=")</f>
        <v>#REF!</v>
      </c>
      <c r="BZ328" t="e">
        <f>AND(#REF!,"AAAAAHufv00=")</f>
        <v>#REF!</v>
      </c>
      <c r="CA328" t="e">
        <f>AND(#REF!,"AAAAAHufv04=")</f>
        <v>#REF!</v>
      </c>
      <c r="CB328" t="e">
        <f>AND(#REF!,"AAAAAHufv08=")</f>
        <v>#REF!</v>
      </c>
      <c r="CC328" t="e">
        <f>AND(#REF!,"AAAAAHufv1A=")</f>
        <v>#REF!</v>
      </c>
      <c r="CD328" t="e">
        <f>AND(#REF!,"AAAAAHufv1E=")</f>
        <v>#REF!</v>
      </c>
      <c r="CE328" t="e">
        <f>IF(#REF!,"AAAAAHufv1I=",0)</f>
        <v>#REF!</v>
      </c>
      <c r="CF328" t="e">
        <f>AND(#REF!,"AAAAAHufv1M=")</f>
        <v>#REF!</v>
      </c>
      <c r="CG328" t="e">
        <f>AND(#REF!,"AAAAAHufv1Q=")</f>
        <v>#REF!</v>
      </c>
      <c r="CH328" t="e">
        <f>AND(#REF!,"AAAAAHufv1U=")</f>
        <v>#REF!</v>
      </c>
      <c r="CI328" t="e">
        <f>AND(#REF!,"AAAAAHufv1Y=")</f>
        <v>#REF!</v>
      </c>
      <c r="CJ328" t="e">
        <f>AND(#REF!,"AAAAAHufv1c=")</f>
        <v>#REF!</v>
      </c>
      <c r="CK328" t="e">
        <f>AND(#REF!,"AAAAAHufv1g=")</f>
        <v>#REF!</v>
      </c>
      <c r="CL328" t="e">
        <f>AND(#REF!,"AAAAAHufv1k=")</f>
        <v>#REF!</v>
      </c>
      <c r="CM328" t="e">
        <f>AND(#REF!,"AAAAAHufv1o=")</f>
        <v>#REF!</v>
      </c>
      <c r="CN328" t="e">
        <f>AND(#REF!,"AAAAAHufv1s=")</f>
        <v>#REF!</v>
      </c>
      <c r="CO328" t="e">
        <f>AND(#REF!,"AAAAAHufv1w=")</f>
        <v>#REF!</v>
      </c>
      <c r="CP328" t="e">
        <f>IF(#REF!,"AAAAAHufv10=",0)</f>
        <v>#REF!</v>
      </c>
      <c r="CQ328" t="e">
        <f>AND(#REF!,"AAAAAHufv14=")</f>
        <v>#REF!</v>
      </c>
      <c r="CR328" t="e">
        <f>AND(#REF!,"AAAAAHufv18=")</f>
        <v>#REF!</v>
      </c>
      <c r="CS328" t="e">
        <f>AND(#REF!,"AAAAAHufv2A=")</f>
        <v>#REF!</v>
      </c>
      <c r="CT328" t="e">
        <f>AND(#REF!,"AAAAAHufv2E=")</f>
        <v>#REF!</v>
      </c>
      <c r="CU328" t="e">
        <f>AND(#REF!,"AAAAAHufv2I=")</f>
        <v>#REF!</v>
      </c>
      <c r="CV328" t="e">
        <f>AND(#REF!,"AAAAAHufv2M=")</f>
        <v>#REF!</v>
      </c>
      <c r="CW328" t="e">
        <f>AND(#REF!,"AAAAAHufv2Q=")</f>
        <v>#REF!</v>
      </c>
      <c r="CX328" t="e">
        <f>AND(#REF!,"AAAAAHufv2U=")</f>
        <v>#REF!</v>
      </c>
      <c r="CY328" t="e">
        <f>AND(#REF!,"AAAAAHufv2Y=")</f>
        <v>#REF!</v>
      </c>
      <c r="CZ328" t="e">
        <f>AND(#REF!,"AAAAAHufv2c=")</f>
        <v>#REF!</v>
      </c>
      <c r="DA328" t="e">
        <f>IF(#REF!,"AAAAAHufv2g=",0)</f>
        <v>#REF!</v>
      </c>
      <c r="DB328" t="e">
        <f>AND(#REF!,"AAAAAHufv2k=")</f>
        <v>#REF!</v>
      </c>
      <c r="DC328" t="e">
        <f>AND(#REF!,"AAAAAHufv2o=")</f>
        <v>#REF!</v>
      </c>
      <c r="DD328" t="e">
        <f>AND(#REF!,"AAAAAHufv2s=")</f>
        <v>#REF!</v>
      </c>
      <c r="DE328" t="e">
        <f>AND(#REF!,"AAAAAHufv2w=")</f>
        <v>#REF!</v>
      </c>
      <c r="DF328" t="e">
        <f>AND(#REF!,"AAAAAHufv20=")</f>
        <v>#REF!</v>
      </c>
      <c r="DG328" t="e">
        <f>AND(#REF!,"AAAAAHufv24=")</f>
        <v>#REF!</v>
      </c>
      <c r="DH328" t="e">
        <f>AND(#REF!,"AAAAAHufv28=")</f>
        <v>#REF!</v>
      </c>
      <c r="DI328" t="e">
        <f>AND(#REF!,"AAAAAHufv3A=")</f>
        <v>#REF!</v>
      </c>
      <c r="DJ328" t="e">
        <f>AND(#REF!,"AAAAAHufv3E=")</f>
        <v>#REF!</v>
      </c>
      <c r="DK328" t="e">
        <f>AND(#REF!,"AAAAAHufv3I=")</f>
        <v>#REF!</v>
      </c>
      <c r="DL328" t="e">
        <f>IF(#REF!,"AAAAAHufv3M=",0)</f>
        <v>#REF!</v>
      </c>
      <c r="DM328" t="e">
        <f>AND(#REF!,"AAAAAHufv3Q=")</f>
        <v>#REF!</v>
      </c>
      <c r="DN328" t="e">
        <f>AND(#REF!,"AAAAAHufv3U=")</f>
        <v>#REF!</v>
      </c>
      <c r="DO328" t="e">
        <f>AND(#REF!,"AAAAAHufv3Y=")</f>
        <v>#REF!</v>
      </c>
      <c r="DP328" t="e">
        <f>AND(#REF!,"AAAAAHufv3c=")</f>
        <v>#REF!</v>
      </c>
      <c r="DQ328" t="e">
        <f>AND(#REF!,"AAAAAHufv3g=")</f>
        <v>#REF!</v>
      </c>
      <c r="DR328" t="e">
        <f>AND(#REF!,"AAAAAHufv3k=")</f>
        <v>#REF!</v>
      </c>
      <c r="DS328" t="e">
        <f>AND(#REF!,"AAAAAHufv3o=")</f>
        <v>#REF!</v>
      </c>
      <c r="DT328" t="e">
        <f>AND(#REF!,"AAAAAHufv3s=")</f>
        <v>#REF!</v>
      </c>
      <c r="DU328" t="e">
        <f>AND(#REF!,"AAAAAHufv3w=")</f>
        <v>#REF!</v>
      </c>
      <c r="DV328" t="e">
        <f>AND(#REF!,"AAAAAHufv30=")</f>
        <v>#REF!</v>
      </c>
      <c r="DW328" t="e">
        <f>IF(#REF!,"AAAAAHufv34=",0)</f>
        <v>#REF!</v>
      </c>
      <c r="DX328" t="e">
        <f>AND(#REF!,"AAAAAHufv38=")</f>
        <v>#REF!</v>
      </c>
      <c r="DY328" t="e">
        <f>AND(#REF!,"AAAAAHufv4A=")</f>
        <v>#REF!</v>
      </c>
      <c r="DZ328" t="e">
        <f>AND(#REF!,"AAAAAHufv4E=")</f>
        <v>#REF!</v>
      </c>
      <c r="EA328" t="e">
        <f>AND(#REF!,"AAAAAHufv4I=")</f>
        <v>#REF!</v>
      </c>
      <c r="EB328" t="e">
        <f>AND(#REF!,"AAAAAHufv4M=")</f>
        <v>#REF!</v>
      </c>
      <c r="EC328" t="e">
        <f>AND(#REF!,"AAAAAHufv4Q=")</f>
        <v>#REF!</v>
      </c>
      <c r="ED328" t="e">
        <f>AND(#REF!,"AAAAAHufv4U=")</f>
        <v>#REF!</v>
      </c>
      <c r="EE328" t="e">
        <f>AND(#REF!,"AAAAAHufv4Y=")</f>
        <v>#REF!</v>
      </c>
      <c r="EF328" t="e">
        <f>AND(#REF!,"AAAAAHufv4c=")</f>
        <v>#REF!</v>
      </c>
      <c r="EG328" t="e">
        <f>AND(#REF!,"AAAAAHufv4g=")</f>
        <v>#REF!</v>
      </c>
      <c r="EH328" t="e">
        <f>IF(#REF!,"AAAAAHufv4k=",0)</f>
        <v>#REF!</v>
      </c>
      <c r="EI328" t="e">
        <f>AND(#REF!,"AAAAAHufv4o=")</f>
        <v>#REF!</v>
      </c>
      <c r="EJ328" t="e">
        <f>AND(#REF!,"AAAAAHufv4s=")</f>
        <v>#REF!</v>
      </c>
      <c r="EK328" t="e">
        <f>AND(#REF!,"AAAAAHufv4w=")</f>
        <v>#REF!</v>
      </c>
      <c r="EL328" t="e">
        <f>AND(#REF!,"AAAAAHufv40=")</f>
        <v>#REF!</v>
      </c>
      <c r="EM328" t="e">
        <f>AND(#REF!,"AAAAAHufv44=")</f>
        <v>#REF!</v>
      </c>
      <c r="EN328" t="e">
        <f>AND(#REF!,"AAAAAHufv48=")</f>
        <v>#REF!</v>
      </c>
      <c r="EO328" t="e">
        <f>AND(#REF!,"AAAAAHufv5A=")</f>
        <v>#REF!</v>
      </c>
      <c r="EP328" t="e">
        <f>AND(#REF!,"AAAAAHufv5E=")</f>
        <v>#REF!</v>
      </c>
      <c r="EQ328" t="e">
        <f>AND(#REF!,"AAAAAHufv5I=")</f>
        <v>#REF!</v>
      </c>
      <c r="ER328" t="e">
        <f>AND(#REF!,"AAAAAHufv5M=")</f>
        <v>#REF!</v>
      </c>
      <c r="ES328" t="e">
        <f>IF(#REF!,"AAAAAHufv5Q=",0)</f>
        <v>#REF!</v>
      </c>
      <c r="ET328" t="e">
        <f>AND(#REF!,"AAAAAHufv5U=")</f>
        <v>#REF!</v>
      </c>
      <c r="EU328" t="e">
        <f>AND(#REF!,"AAAAAHufv5Y=")</f>
        <v>#REF!</v>
      </c>
      <c r="EV328" t="e">
        <f>AND(#REF!,"AAAAAHufv5c=")</f>
        <v>#REF!</v>
      </c>
      <c r="EW328" t="e">
        <f>AND(#REF!,"AAAAAHufv5g=")</f>
        <v>#REF!</v>
      </c>
      <c r="EX328" t="e">
        <f>AND(#REF!,"AAAAAHufv5k=")</f>
        <v>#REF!</v>
      </c>
      <c r="EY328" t="e">
        <f>AND(#REF!,"AAAAAHufv5o=")</f>
        <v>#REF!</v>
      </c>
      <c r="EZ328" t="e">
        <f>AND(#REF!,"AAAAAHufv5s=")</f>
        <v>#REF!</v>
      </c>
      <c r="FA328" t="e">
        <f>AND(#REF!,"AAAAAHufv5w=")</f>
        <v>#REF!</v>
      </c>
      <c r="FB328" t="e">
        <f>AND(#REF!,"AAAAAHufv50=")</f>
        <v>#REF!</v>
      </c>
      <c r="FC328" t="e">
        <f>AND(#REF!,"AAAAAHufv54=")</f>
        <v>#REF!</v>
      </c>
      <c r="FD328" t="e">
        <f>IF(#REF!,"AAAAAHufv58=",0)</f>
        <v>#REF!</v>
      </c>
      <c r="FE328" t="e">
        <f>AND(#REF!,"AAAAAHufv6A=")</f>
        <v>#REF!</v>
      </c>
      <c r="FF328" t="e">
        <f>AND(#REF!,"AAAAAHufv6E=")</f>
        <v>#REF!</v>
      </c>
      <c r="FG328" t="e">
        <f>AND(#REF!,"AAAAAHufv6I=")</f>
        <v>#REF!</v>
      </c>
      <c r="FH328" t="e">
        <f>AND(#REF!,"AAAAAHufv6M=")</f>
        <v>#REF!</v>
      </c>
      <c r="FI328" t="e">
        <f>AND(#REF!,"AAAAAHufv6Q=")</f>
        <v>#REF!</v>
      </c>
      <c r="FJ328" t="e">
        <f>AND(#REF!,"AAAAAHufv6U=")</f>
        <v>#REF!</v>
      </c>
      <c r="FK328" t="e">
        <f>AND(#REF!,"AAAAAHufv6Y=")</f>
        <v>#REF!</v>
      </c>
      <c r="FL328" t="e">
        <f>AND(#REF!,"AAAAAHufv6c=")</f>
        <v>#REF!</v>
      </c>
      <c r="FM328" t="e">
        <f>AND(#REF!,"AAAAAHufv6g=")</f>
        <v>#REF!</v>
      </c>
      <c r="FN328" t="e">
        <f>AND(#REF!,"AAAAAHufv6k=")</f>
        <v>#REF!</v>
      </c>
      <c r="FO328" t="e">
        <f>IF(#REF!,"AAAAAHufv6o=",0)</f>
        <v>#REF!</v>
      </c>
      <c r="FP328" t="e">
        <f>AND(#REF!,"AAAAAHufv6s=")</f>
        <v>#REF!</v>
      </c>
      <c r="FQ328" t="e">
        <f>AND(#REF!,"AAAAAHufv6w=")</f>
        <v>#REF!</v>
      </c>
      <c r="FR328" t="e">
        <f>AND(#REF!,"AAAAAHufv60=")</f>
        <v>#REF!</v>
      </c>
      <c r="FS328" t="e">
        <f>AND(#REF!,"AAAAAHufv64=")</f>
        <v>#REF!</v>
      </c>
      <c r="FT328" t="e">
        <f>AND(#REF!,"AAAAAHufv68=")</f>
        <v>#REF!</v>
      </c>
      <c r="FU328" t="e">
        <f>AND(#REF!,"AAAAAHufv7A=")</f>
        <v>#REF!</v>
      </c>
      <c r="FV328" t="e">
        <f>AND(#REF!,"AAAAAHufv7E=")</f>
        <v>#REF!</v>
      </c>
      <c r="FW328" t="e">
        <f>AND(#REF!,"AAAAAHufv7I=")</f>
        <v>#REF!</v>
      </c>
      <c r="FX328" t="e">
        <f>AND(#REF!,"AAAAAHufv7M=")</f>
        <v>#REF!</v>
      </c>
      <c r="FY328" t="e">
        <f>AND(#REF!,"AAAAAHufv7Q=")</f>
        <v>#REF!</v>
      </c>
      <c r="FZ328" t="e">
        <f>IF(#REF!,"AAAAAHufv7U=",0)</f>
        <v>#REF!</v>
      </c>
      <c r="GA328" t="e">
        <f>AND(#REF!,"AAAAAHufv7Y=")</f>
        <v>#REF!</v>
      </c>
      <c r="GB328" t="e">
        <f>AND(#REF!,"AAAAAHufv7c=")</f>
        <v>#REF!</v>
      </c>
      <c r="GC328" t="e">
        <f>AND(#REF!,"AAAAAHufv7g=")</f>
        <v>#REF!</v>
      </c>
      <c r="GD328" t="e">
        <f>AND(#REF!,"AAAAAHufv7k=")</f>
        <v>#REF!</v>
      </c>
      <c r="GE328" t="e">
        <f>AND(#REF!,"AAAAAHufv7o=")</f>
        <v>#REF!</v>
      </c>
      <c r="GF328" t="e">
        <f>AND(#REF!,"AAAAAHufv7s=")</f>
        <v>#REF!</v>
      </c>
      <c r="GG328" t="e">
        <f>AND(#REF!,"AAAAAHufv7w=")</f>
        <v>#REF!</v>
      </c>
      <c r="GH328" t="e">
        <f>AND(#REF!,"AAAAAHufv70=")</f>
        <v>#REF!</v>
      </c>
      <c r="GI328" t="e">
        <f>AND(#REF!,"AAAAAHufv74=")</f>
        <v>#REF!</v>
      </c>
      <c r="GJ328" t="e">
        <f>AND(#REF!,"AAAAAHufv78=")</f>
        <v>#REF!</v>
      </c>
      <c r="GK328" t="e">
        <f>IF(#REF!,"AAAAAHufv8A=",0)</f>
        <v>#REF!</v>
      </c>
      <c r="GL328" t="e">
        <f>AND(#REF!,"AAAAAHufv8E=")</f>
        <v>#REF!</v>
      </c>
      <c r="GM328" t="e">
        <f>AND(#REF!,"AAAAAHufv8I=")</f>
        <v>#REF!</v>
      </c>
      <c r="GN328" t="e">
        <f>AND(#REF!,"AAAAAHufv8M=")</f>
        <v>#REF!</v>
      </c>
      <c r="GO328" t="e">
        <f>AND(#REF!,"AAAAAHufv8Q=")</f>
        <v>#REF!</v>
      </c>
      <c r="GP328" t="e">
        <f>AND(#REF!,"AAAAAHufv8U=")</f>
        <v>#REF!</v>
      </c>
      <c r="GQ328" t="e">
        <f>AND(#REF!,"AAAAAHufv8Y=")</f>
        <v>#REF!</v>
      </c>
      <c r="GR328" t="e">
        <f>AND(#REF!,"AAAAAHufv8c=")</f>
        <v>#REF!</v>
      </c>
      <c r="GS328" t="e">
        <f>AND(#REF!,"AAAAAHufv8g=")</f>
        <v>#REF!</v>
      </c>
      <c r="GT328" t="e">
        <f>AND(#REF!,"AAAAAHufv8k=")</f>
        <v>#REF!</v>
      </c>
      <c r="GU328" t="e">
        <f>AND(#REF!,"AAAAAHufv8o=")</f>
        <v>#REF!</v>
      </c>
      <c r="GV328" t="e">
        <f>IF(#REF!,"AAAAAHufv8s=",0)</f>
        <v>#REF!</v>
      </c>
      <c r="GW328" t="e">
        <f>AND(#REF!,"AAAAAHufv8w=")</f>
        <v>#REF!</v>
      </c>
      <c r="GX328" t="e">
        <f>AND(#REF!,"AAAAAHufv80=")</f>
        <v>#REF!</v>
      </c>
      <c r="GY328" t="e">
        <f>AND(#REF!,"AAAAAHufv84=")</f>
        <v>#REF!</v>
      </c>
      <c r="GZ328" t="e">
        <f>AND(#REF!,"AAAAAHufv88=")</f>
        <v>#REF!</v>
      </c>
      <c r="HA328" t="e">
        <f>AND(#REF!,"AAAAAHufv9A=")</f>
        <v>#REF!</v>
      </c>
      <c r="HB328" t="e">
        <f>AND(#REF!,"AAAAAHufv9E=")</f>
        <v>#REF!</v>
      </c>
      <c r="HC328" t="e">
        <f>AND(#REF!,"AAAAAHufv9I=")</f>
        <v>#REF!</v>
      </c>
      <c r="HD328" t="e">
        <f>AND(#REF!,"AAAAAHufv9M=")</f>
        <v>#REF!</v>
      </c>
      <c r="HE328" t="e">
        <f>AND(#REF!,"AAAAAHufv9Q=")</f>
        <v>#REF!</v>
      </c>
      <c r="HF328" t="e">
        <f>AND(#REF!,"AAAAAHufv9U=")</f>
        <v>#REF!</v>
      </c>
      <c r="HG328" t="e">
        <f>IF(#REF!,"AAAAAHufv9Y=",0)</f>
        <v>#REF!</v>
      </c>
      <c r="HH328" t="e">
        <f>AND(#REF!,"AAAAAHufv9c=")</f>
        <v>#REF!</v>
      </c>
      <c r="HI328" t="e">
        <f>AND(#REF!,"AAAAAHufv9g=")</f>
        <v>#REF!</v>
      </c>
      <c r="HJ328" t="e">
        <f>AND(#REF!,"AAAAAHufv9k=")</f>
        <v>#REF!</v>
      </c>
      <c r="HK328" t="e">
        <f>AND(#REF!,"AAAAAHufv9o=")</f>
        <v>#REF!</v>
      </c>
      <c r="HL328" t="e">
        <f>AND(#REF!,"AAAAAHufv9s=")</f>
        <v>#REF!</v>
      </c>
      <c r="HM328" t="e">
        <f>AND(#REF!,"AAAAAHufv9w=")</f>
        <v>#REF!</v>
      </c>
      <c r="HN328" t="e">
        <f>AND(#REF!,"AAAAAHufv90=")</f>
        <v>#REF!</v>
      </c>
      <c r="HO328" t="e">
        <f>AND(#REF!,"AAAAAHufv94=")</f>
        <v>#REF!</v>
      </c>
      <c r="HP328" t="e">
        <f>AND(#REF!,"AAAAAHufv98=")</f>
        <v>#REF!</v>
      </c>
      <c r="HQ328" t="e">
        <f>AND(#REF!,"AAAAAHufv+A=")</f>
        <v>#REF!</v>
      </c>
      <c r="HR328" t="e">
        <f>IF(#REF!,"AAAAAHufv+E=",0)</f>
        <v>#REF!</v>
      </c>
      <c r="HS328" t="e">
        <f>AND(#REF!,"AAAAAHufv+I=")</f>
        <v>#REF!</v>
      </c>
      <c r="HT328" t="e">
        <f>AND(#REF!,"AAAAAHufv+M=")</f>
        <v>#REF!</v>
      </c>
      <c r="HU328" t="e">
        <f>AND(#REF!,"AAAAAHufv+Q=")</f>
        <v>#REF!</v>
      </c>
      <c r="HV328" t="e">
        <f>AND(#REF!,"AAAAAHufv+U=")</f>
        <v>#REF!</v>
      </c>
      <c r="HW328" t="e">
        <f>AND(#REF!,"AAAAAHufv+Y=")</f>
        <v>#REF!</v>
      </c>
      <c r="HX328" t="e">
        <f>AND(#REF!,"AAAAAHufv+c=")</f>
        <v>#REF!</v>
      </c>
      <c r="HY328" t="e">
        <f>AND(#REF!,"AAAAAHufv+g=")</f>
        <v>#REF!</v>
      </c>
      <c r="HZ328" t="e">
        <f>AND(#REF!,"AAAAAHufv+k=")</f>
        <v>#REF!</v>
      </c>
      <c r="IA328" t="e">
        <f>AND(#REF!,"AAAAAHufv+o=")</f>
        <v>#REF!</v>
      </c>
      <c r="IB328" t="e">
        <f>AND(#REF!,"AAAAAHufv+s=")</f>
        <v>#REF!</v>
      </c>
      <c r="IC328" t="e">
        <f>IF(#REF!,"AAAAAHufv+w=",0)</f>
        <v>#REF!</v>
      </c>
      <c r="ID328" t="e">
        <f>AND(#REF!,"AAAAAHufv+0=")</f>
        <v>#REF!</v>
      </c>
      <c r="IE328" t="e">
        <f>AND(#REF!,"AAAAAHufv+4=")</f>
        <v>#REF!</v>
      </c>
      <c r="IF328" t="e">
        <f>AND(#REF!,"AAAAAHufv+8=")</f>
        <v>#REF!</v>
      </c>
      <c r="IG328" t="e">
        <f>AND(#REF!,"AAAAAHufv/A=")</f>
        <v>#REF!</v>
      </c>
      <c r="IH328" t="e">
        <f>AND(#REF!,"AAAAAHufv/E=")</f>
        <v>#REF!</v>
      </c>
      <c r="II328" t="e">
        <f>AND(#REF!,"AAAAAHufv/I=")</f>
        <v>#REF!</v>
      </c>
      <c r="IJ328" t="e">
        <f>AND(#REF!,"AAAAAHufv/M=")</f>
        <v>#REF!</v>
      </c>
      <c r="IK328" t="e">
        <f>AND(#REF!,"AAAAAHufv/Q=")</f>
        <v>#REF!</v>
      </c>
      <c r="IL328" t="e">
        <f>AND(#REF!,"AAAAAHufv/U=")</f>
        <v>#REF!</v>
      </c>
      <c r="IM328" t="e">
        <f>AND(#REF!,"AAAAAHufv/Y=")</f>
        <v>#REF!</v>
      </c>
      <c r="IN328" t="e">
        <f>IF(#REF!,"AAAAAHufv/c=",0)</f>
        <v>#REF!</v>
      </c>
      <c r="IO328" t="e">
        <f>AND(#REF!,"AAAAAHufv/g=")</f>
        <v>#REF!</v>
      </c>
      <c r="IP328" t="e">
        <f>AND(#REF!,"AAAAAHufv/k=")</f>
        <v>#REF!</v>
      </c>
      <c r="IQ328" t="e">
        <f>AND(#REF!,"AAAAAHufv/o=")</f>
        <v>#REF!</v>
      </c>
      <c r="IR328" t="e">
        <f>AND(#REF!,"AAAAAHufv/s=")</f>
        <v>#REF!</v>
      </c>
      <c r="IS328" t="e">
        <f>AND(#REF!,"AAAAAHufv/w=")</f>
        <v>#REF!</v>
      </c>
      <c r="IT328" t="e">
        <f>AND(#REF!,"AAAAAHufv/0=")</f>
        <v>#REF!</v>
      </c>
      <c r="IU328" t="e">
        <f>AND(#REF!,"AAAAAHufv/4=")</f>
        <v>#REF!</v>
      </c>
      <c r="IV328" t="e">
        <f>AND(#REF!,"AAAAAHufv/8=")</f>
        <v>#REF!</v>
      </c>
    </row>
    <row r="329" spans="1:256" x14ac:dyDescent="0.25">
      <c r="A329" t="e">
        <f>AND(#REF!,"AAAAAG359wA=")</f>
        <v>#REF!</v>
      </c>
      <c r="B329" t="e">
        <f>AND(#REF!,"AAAAAG359wE=")</f>
        <v>#REF!</v>
      </c>
      <c r="C329" t="e">
        <f>IF(#REF!,"AAAAAG359wI=",0)</f>
        <v>#REF!</v>
      </c>
      <c r="D329" t="e">
        <f>AND(#REF!,"AAAAAG359wM=")</f>
        <v>#REF!</v>
      </c>
      <c r="E329" t="e">
        <f>AND(#REF!,"AAAAAG359wQ=")</f>
        <v>#REF!</v>
      </c>
      <c r="F329" t="e">
        <f>AND(#REF!,"AAAAAG359wU=")</f>
        <v>#REF!</v>
      </c>
      <c r="G329" t="e">
        <f>AND(#REF!,"AAAAAG359wY=")</f>
        <v>#REF!</v>
      </c>
      <c r="H329" t="e">
        <f>AND(#REF!,"AAAAAG359wc=")</f>
        <v>#REF!</v>
      </c>
      <c r="I329" t="e">
        <f>AND(#REF!,"AAAAAG359wg=")</f>
        <v>#REF!</v>
      </c>
      <c r="J329" t="e">
        <f>AND(#REF!,"AAAAAG359wk=")</f>
        <v>#REF!</v>
      </c>
      <c r="K329" t="e">
        <f>AND(#REF!,"AAAAAG359wo=")</f>
        <v>#REF!</v>
      </c>
      <c r="L329" t="e">
        <f>AND(#REF!,"AAAAAG359ws=")</f>
        <v>#REF!</v>
      </c>
      <c r="M329" t="e">
        <f>AND(#REF!,"AAAAAG359ww=")</f>
        <v>#REF!</v>
      </c>
      <c r="N329" t="e">
        <f>IF(#REF!,"AAAAAG359w0=",0)</f>
        <v>#REF!</v>
      </c>
      <c r="O329" t="e">
        <f>AND(#REF!,"AAAAAG359w4=")</f>
        <v>#REF!</v>
      </c>
      <c r="P329" t="e">
        <f>AND(#REF!,"AAAAAG359w8=")</f>
        <v>#REF!</v>
      </c>
      <c r="Q329" t="e">
        <f>AND(#REF!,"AAAAAG359xA=")</f>
        <v>#REF!</v>
      </c>
      <c r="R329" t="e">
        <f>AND(#REF!,"AAAAAG359xE=")</f>
        <v>#REF!</v>
      </c>
      <c r="S329" t="e">
        <f>AND(#REF!,"AAAAAG359xI=")</f>
        <v>#REF!</v>
      </c>
      <c r="T329" t="e">
        <f>AND(#REF!,"AAAAAG359xM=")</f>
        <v>#REF!</v>
      </c>
      <c r="U329" t="e">
        <f>AND(#REF!,"AAAAAG359xQ=")</f>
        <v>#REF!</v>
      </c>
      <c r="V329" t="e">
        <f>AND(#REF!,"AAAAAG359xU=")</f>
        <v>#REF!</v>
      </c>
      <c r="W329" t="e">
        <f>AND(#REF!,"AAAAAG359xY=")</f>
        <v>#REF!</v>
      </c>
      <c r="X329" t="e">
        <f>AND(#REF!,"AAAAAG359xc=")</f>
        <v>#REF!</v>
      </c>
      <c r="Y329" t="e">
        <f>IF(#REF!,"AAAAAG359xg=",0)</f>
        <v>#REF!</v>
      </c>
      <c r="Z329" t="e">
        <f>AND(#REF!,"AAAAAG359xk=")</f>
        <v>#REF!</v>
      </c>
      <c r="AA329" t="e">
        <f>AND(#REF!,"AAAAAG359xo=")</f>
        <v>#REF!</v>
      </c>
      <c r="AB329" t="e">
        <f>AND(#REF!,"AAAAAG359xs=")</f>
        <v>#REF!</v>
      </c>
      <c r="AC329" t="e">
        <f>AND(#REF!,"AAAAAG359xw=")</f>
        <v>#REF!</v>
      </c>
      <c r="AD329" t="e">
        <f>AND(#REF!,"AAAAAG359x0=")</f>
        <v>#REF!</v>
      </c>
      <c r="AE329" t="e">
        <f>AND(#REF!,"AAAAAG359x4=")</f>
        <v>#REF!</v>
      </c>
      <c r="AF329" t="e">
        <f>AND(#REF!,"AAAAAG359x8=")</f>
        <v>#REF!</v>
      </c>
      <c r="AG329" t="e">
        <f>AND(#REF!,"AAAAAG359yA=")</f>
        <v>#REF!</v>
      </c>
      <c r="AH329" t="e">
        <f>AND(#REF!,"AAAAAG359yE=")</f>
        <v>#REF!</v>
      </c>
      <c r="AI329" t="e">
        <f>AND(#REF!,"AAAAAG359yI=")</f>
        <v>#REF!</v>
      </c>
      <c r="AJ329" t="e">
        <f>IF(#REF!,"AAAAAG359yM=",0)</f>
        <v>#REF!</v>
      </c>
      <c r="AK329" t="e">
        <f>AND(#REF!,"AAAAAG359yQ=")</f>
        <v>#REF!</v>
      </c>
      <c r="AL329" t="e">
        <f>AND(#REF!,"AAAAAG359yU=")</f>
        <v>#REF!</v>
      </c>
      <c r="AM329" t="e">
        <f>AND(#REF!,"AAAAAG359yY=")</f>
        <v>#REF!</v>
      </c>
      <c r="AN329" t="e">
        <f>AND(#REF!,"AAAAAG359yc=")</f>
        <v>#REF!</v>
      </c>
      <c r="AO329" t="e">
        <f>AND(#REF!,"AAAAAG359yg=")</f>
        <v>#REF!</v>
      </c>
      <c r="AP329" t="e">
        <f>AND(#REF!,"AAAAAG359yk=")</f>
        <v>#REF!</v>
      </c>
      <c r="AQ329" t="e">
        <f>AND(#REF!,"AAAAAG359yo=")</f>
        <v>#REF!</v>
      </c>
      <c r="AR329" t="e">
        <f>AND(#REF!,"AAAAAG359ys=")</f>
        <v>#REF!</v>
      </c>
      <c r="AS329" t="e">
        <f>AND(#REF!,"AAAAAG359yw=")</f>
        <v>#REF!</v>
      </c>
      <c r="AT329" t="e">
        <f>AND(#REF!,"AAAAAG359y0=")</f>
        <v>#REF!</v>
      </c>
      <c r="AU329" t="e">
        <f>IF(#REF!,"AAAAAG359y4=",0)</f>
        <v>#REF!</v>
      </c>
      <c r="AV329" t="e">
        <f>AND(#REF!,"AAAAAG359y8=")</f>
        <v>#REF!</v>
      </c>
      <c r="AW329" t="e">
        <f>AND(#REF!,"AAAAAG359zA=")</f>
        <v>#REF!</v>
      </c>
      <c r="AX329" t="e">
        <f>AND(#REF!,"AAAAAG359zE=")</f>
        <v>#REF!</v>
      </c>
      <c r="AY329" t="e">
        <f>AND(#REF!,"AAAAAG359zI=")</f>
        <v>#REF!</v>
      </c>
      <c r="AZ329" t="e">
        <f>AND(#REF!,"AAAAAG359zM=")</f>
        <v>#REF!</v>
      </c>
      <c r="BA329" t="e">
        <f>AND(#REF!,"AAAAAG359zQ=")</f>
        <v>#REF!</v>
      </c>
      <c r="BB329" t="e">
        <f>AND(#REF!,"AAAAAG359zU=")</f>
        <v>#REF!</v>
      </c>
      <c r="BC329" t="e">
        <f>AND(#REF!,"AAAAAG359zY=")</f>
        <v>#REF!</v>
      </c>
      <c r="BD329" t="e">
        <f>AND(#REF!,"AAAAAG359zc=")</f>
        <v>#REF!</v>
      </c>
      <c r="BE329" t="e">
        <f>AND(#REF!,"AAAAAG359zg=")</f>
        <v>#REF!</v>
      </c>
      <c r="BF329" t="e">
        <f>IF(#REF!,"AAAAAG359zk=",0)</f>
        <v>#REF!</v>
      </c>
      <c r="BG329" t="e">
        <f>AND(#REF!,"AAAAAG359zo=")</f>
        <v>#REF!</v>
      </c>
      <c r="BH329" t="e">
        <f>AND(#REF!,"AAAAAG359zs=")</f>
        <v>#REF!</v>
      </c>
      <c r="BI329" t="e">
        <f>AND(#REF!,"AAAAAG359zw=")</f>
        <v>#REF!</v>
      </c>
      <c r="BJ329" t="e">
        <f>AND(#REF!,"AAAAAG359z0=")</f>
        <v>#REF!</v>
      </c>
      <c r="BK329" t="e">
        <f>AND(#REF!,"AAAAAG359z4=")</f>
        <v>#REF!</v>
      </c>
      <c r="BL329" t="e">
        <f>AND(#REF!,"AAAAAG359z8=")</f>
        <v>#REF!</v>
      </c>
      <c r="BM329" t="e">
        <f>AND(#REF!,"AAAAAG3590A=")</f>
        <v>#REF!</v>
      </c>
      <c r="BN329" t="e">
        <f>AND(#REF!,"AAAAAG3590E=")</f>
        <v>#REF!</v>
      </c>
      <c r="BO329" t="e">
        <f>AND(#REF!,"AAAAAG3590I=")</f>
        <v>#REF!</v>
      </c>
      <c r="BP329" t="e">
        <f>AND(#REF!,"AAAAAG3590M=")</f>
        <v>#REF!</v>
      </c>
      <c r="BQ329" t="e">
        <f>IF(#REF!,"AAAAAG3590Q=",0)</f>
        <v>#REF!</v>
      </c>
      <c r="BR329" t="e">
        <f>AND(#REF!,"AAAAAG3590U=")</f>
        <v>#REF!</v>
      </c>
      <c r="BS329" t="e">
        <f>AND(#REF!,"AAAAAG3590Y=")</f>
        <v>#REF!</v>
      </c>
      <c r="BT329" t="e">
        <f>AND(#REF!,"AAAAAG3590c=")</f>
        <v>#REF!</v>
      </c>
      <c r="BU329" t="e">
        <f>AND(#REF!,"AAAAAG3590g=")</f>
        <v>#REF!</v>
      </c>
      <c r="BV329" t="e">
        <f>AND(#REF!,"AAAAAG3590k=")</f>
        <v>#REF!</v>
      </c>
      <c r="BW329" t="e">
        <f>AND(#REF!,"AAAAAG3590o=")</f>
        <v>#REF!</v>
      </c>
      <c r="BX329" t="e">
        <f>AND(#REF!,"AAAAAG3590s=")</f>
        <v>#REF!</v>
      </c>
      <c r="BY329" t="e">
        <f>AND(#REF!,"AAAAAG3590w=")</f>
        <v>#REF!</v>
      </c>
      <c r="BZ329" t="e">
        <f>AND(#REF!,"AAAAAG35900=")</f>
        <v>#REF!</v>
      </c>
      <c r="CA329" t="e">
        <f>AND(#REF!,"AAAAAG35904=")</f>
        <v>#REF!</v>
      </c>
      <c r="CB329" t="e">
        <f>IF(#REF!,"AAAAAG35908=",0)</f>
        <v>#REF!</v>
      </c>
      <c r="CC329" t="e">
        <f>AND(#REF!,"AAAAAG3591A=")</f>
        <v>#REF!</v>
      </c>
      <c r="CD329" t="e">
        <f>AND(#REF!,"AAAAAG3591E=")</f>
        <v>#REF!</v>
      </c>
      <c r="CE329" t="e">
        <f>AND(#REF!,"AAAAAG3591I=")</f>
        <v>#REF!</v>
      </c>
      <c r="CF329" t="e">
        <f>AND(#REF!,"AAAAAG3591M=")</f>
        <v>#REF!</v>
      </c>
      <c r="CG329" t="e">
        <f>AND(#REF!,"AAAAAG3591Q=")</f>
        <v>#REF!</v>
      </c>
      <c r="CH329" t="e">
        <f>AND(#REF!,"AAAAAG3591U=")</f>
        <v>#REF!</v>
      </c>
      <c r="CI329" t="e">
        <f>AND(#REF!,"AAAAAG3591Y=")</f>
        <v>#REF!</v>
      </c>
      <c r="CJ329" t="e">
        <f>AND(#REF!,"AAAAAG3591c=")</f>
        <v>#REF!</v>
      </c>
      <c r="CK329" t="e">
        <f>AND(#REF!,"AAAAAG3591g=")</f>
        <v>#REF!</v>
      </c>
      <c r="CL329" t="e">
        <f>AND(#REF!,"AAAAAG3591k=")</f>
        <v>#REF!</v>
      </c>
      <c r="CM329" t="e">
        <f>IF(#REF!,"AAAAAG3591o=",0)</f>
        <v>#REF!</v>
      </c>
      <c r="CN329" t="e">
        <f>AND(#REF!,"AAAAAG3591s=")</f>
        <v>#REF!</v>
      </c>
      <c r="CO329" t="e">
        <f>AND(#REF!,"AAAAAG3591w=")</f>
        <v>#REF!</v>
      </c>
      <c r="CP329" t="e">
        <f>AND(#REF!,"AAAAAG35910=")</f>
        <v>#REF!</v>
      </c>
      <c r="CQ329" t="e">
        <f>AND(#REF!,"AAAAAG35914=")</f>
        <v>#REF!</v>
      </c>
      <c r="CR329" t="e">
        <f>AND(#REF!,"AAAAAG35918=")</f>
        <v>#REF!</v>
      </c>
      <c r="CS329" t="e">
        <f>AND(#REF!,"AAAAAG3592A=")</f>
        <v>#REF!</v>
      </c>
      <c r="CT329" t="e">
        <f>AND(#REF!,"AAAAAG3592E=")</f>
        <v>#REF!</v>
      </c>
      <c r="CU329" t="e">
        <f>AND(#REF!,"AAAAAG3592I=")</f>
        <v>#REF!</v>
      </c>
      <c r="CV329" t="e">
        <f>AND(#REF!,"AAAAAG3592M=")</f>
        <v>#REF!</v>
      </c>
      <c r="CW329" t="e">
        <f>AND(#REF!,"AAAAAG3592Q=")</f>
        <v>#REF!</v>
      </c>
      <c r="CX329" t="e">
        <f>IF(#REF!,"AAAAAG3592U=",0)</f>
        <v>#REF!</v>
      </c>
      <c r="CY329" t="e">
        <f>AND(#REF!,"AAAAAG3592Y=")</f>
        <v>#REF!</v>
      </c>
      <c r="CZ329" t="e">
        <f>AND(#REF!,"AAAAAG3592c=")</f>
        <v>#REF!</v>
      </c>
      <c r="DA329" t="e">
        <f>AND(#REF!,"AAAAAG3592g=")</f>
        <v>#REF!</v>
      </c>
      <c r="DB329" t="e">
        <f>AND(#REF!,"AAAAAG3592k=")</f>
        <v>#REF!</v>
      </c>
      <c r="DC329" t="e">
        <f>AND(#REF!,"AAAAAG3592o=")</f>
        <v>#REF!</v>
      </c>
      <c r="DD329" t="e">
        <f>AND(#REF!,"AAAAAG3592s=")</f>
        <v>#REF!</v>
      </c>
      <c r="DE329" t="e">
        <f>AND(#REF!,"AAAAAG3592w=")</f>
        <v>#REF!</v>
      </c>
      <c r="DF329" t="e">
        <f>AND(#REF!,"AAAAAG35920=")</f>
        <v>#REF!</v>
      </c>
      <c r="DG329" t="e">
        <f>AND(#REF!,"AAAAAG35924=")</f>
        <v>#REF!</v>
      </c>
      <c r="DH329" t="e">
        <f>AND(#REF!,"AAAAAG35928=")</f>
        <v>#REF!</v>
      </c>
      <c r="DI329" t="e">
        <f>IF(#REF!,"AAAAAG3593A=",0)</f>
        <v>#REF!</v>
      </c>
      <c r="DJ329" t="e">
        <f>AND(#REF!,"AAAAAG3593E=")</f>
        <v>#REF!</v>
      </c>
      <c r="DK329" t="e">
        <f>AND(#REF!,"AAAAAG3593I=")</f>
        <v>#REF!</v>
      </c>
      <c r="DL329" t="e">
        <f>AND(#REF!,"AAAAAG3593M=")</f>
        <v>#REF!</v>
      </c>
      <c r="DM329" t="e">
        <f>AND(#REF!,"AAAAAG3593Q=")</f>
        <v>#REF!</v>
      </c>
      <c r="DN329" t="e">
        <f>AND(#REF!,"AAAAAG3593U=")</f>
        <v>#REF!</v>
      </c>
      <c r="DO329" t="e">
        <f>AND(#REF!,"AAAAAG3593Y=")</f>
        <v>#REF!</v>
      </c>
      <c r="DP329" t="e">
        <f>AND(#REF!,"AAAAAG3593c=")</f>
        <v>#REF!</v>
      </c>
      <c r="DQ329" t="e">
        <f>AND(#REF!,"AAAAAG3593g=")</f>
        <v>#REF!</v>
      </c>
      <c r="DR329" t="e">
        <f>AND(#REF!,"AAAAAG3593k=")</f>
        <v>#REF!</v>
      </c>
      <c r="DS329" t="e">
        <f>AND(#REF!,"AAAAAG3593o=")</f>
        <v>#REF!</v>
      </c>
      <c r="DT329" t="e">
        <f>IF(#REF!,"AAAAAG3593s=",0)</f>
        <v>#REF!</v>
      </c>
      <c r="DU329" t="e">
        <f>AND(#REF!,"AAAAAG3593w=")</f>
        <v>#REF!</v>
      </c>
      <c r="DV329" t="e">
        <f>AND(#REF!,"AAAAAG35930=")</f>
        <v>#REF!</v>
      </c>
      <c r="DW329" t="e">
        <f>AND(#REF!,"AAAAAG35934=")</f>
        <v>#REF!</v>
      </c>
      <c r="DX329" t="e">
        <f>AND(#REF!,"AAAAAG35938=")</f>
        <v>#REF!</v>
      </c>
      <c r="DY329" t="e">
        <f>AND(#REF!,"AAAAAG3594A=")</f>
        <v>#REF!</v>
      </c>
      <c r="DZ329" t="e">
        <f>AND(#REF!,"AAAAAG3594E=")</f>
        <v>#REF!</v>
      </c>
      <c r="EA329" t="e">
        <f>AND(#REF!,"AAAAAG3594I=")</f>
        <v>#REF!</v>
      </c>
      <c r="EB329" t="e">
        <f>AND(#REF!,"AAAAAG3594M=")</f>
        <v>#REF!</v>
      </c>
      <c r="EC329" t="e">
        <f>AND(#REF!,"AAAAAG3594Q=")</f>
        <v>#REF!</v>
      </c>
      <c r="ED329" t="e">
        <f>AND(#REF!,"AAAAAG3594U=")</f>
        <v>#REF!</v>
      </c>
      <c r="EE329" t="e">
        <f>IF(#REF!,"AAAAAG3594Y=",0)</f>
        <v>#REF!</v>
      </c>
      <c r="EF329" t="e">
        <f>AND(#REF!,"AAAAAG3594c=")</f>
        <v>#REF!</v>
      </c>
      <c r="EG329" t="e">
        <f>AND(#REF!,"AAAAAG3594g=")</f>
        <v>#REF!</v>
      </c>
      <c r="EH329" t="e">
        <f>AND(#REF!,"AAAAAG3594k=")</f>
        <v>#REF!</v>
      </c>
      <c r="EI329" t="e">
        <f>AND(#REF!,"AAAAAG3594o=")</f>
        <v>#REF!</v>
      </c>
      <c r="EJ329" t="e">
        <f>AND(#REF!,"AAAAAG3594s=")</f>
        <v>#REF!</v>
      </c>
      <c r="EK329" t="e">
        <f>AND(#REF!,"AAAAAG3594w=")</f>
        <v>#REF!</v>
      </c>
      <c r="EL329" t="e">
        <f>AND(#REF!,"AAAAAG35940=")</f>
        <v>#REF!</v>
      </c>
      <c r="EM329" t="e">
        <f>AND(#REF!,"AAAAAG35944=")</f>
        <v>#REF!</v>
      </c>
      <c r="EN329" t="e">
        <f>AND(#REF!,"AAAAAG35948=")</f>
        <v>#REF!</v>
      </c>
      <c r="EO329" t="e">
        <f>AND(#REF!,"AAAAAG3595A=")</f>
        <v>#REF!</v>
      </c>
      <c r="EP329" t="e">
        <f>IF(#REF!,"AAAAAG3595E=",0)</f>
        <v>#REF!</v>
      </c>
      <c r="EQ329" t="e">
        <f>AND(#REF!,"AAAAAG3595I=")</f>
        <v>#REF!</v>
      </c>
      <c r="ER329" t="e">
        <f>AND(#REF!,"AAAAAG3595M=")</f>
        <v>#REF!</v>
      </c>
      <c r="ES329" t="e">
        <f>AND(#REF!,"AAAAAG3595Q=")</f>
        <v>#REF!</v>
      </c>
      <c r="ET329" t="e">
        <f>AND(#REF!,"AAAAAG3595U=")</f>
        <v>#REF!</v>
      </c>
      <c r="EU329" t="e">
        <f>AND(#REF!,"AAAAAG3595Y=")</f>
        <v>#REF!</v>
      </c>
      <c r="EV329" t="e">
        <f>AND(#REF!,"AAAAAG3595c=")</f>
        <v>#REF!</v>
      </c>
      <c r="EW329" t="e">
        <f>AND(#REF!,"AAAAAG3595g=")</f>
        <v>#REF!</v>
      </c>
      <c r="EX329" t="e">
        <f>AND(#REF!,"AAAAAG3595k=")</f>
        <v>#REF!</v>
      </c>
      <c r="EY329" t="e">
        <f>AND(#REF!,"AAAAAG3595o=")</f>
        <v>#REF!</v>
      </c>
      <c r="EZ329" t="e">
        <f>AND(#REF!,"AAAAAG3595s=")</f>
        <v>#REF!</v>
      </c>
      <c r="FA329" t="e">
        <f>IF(#REF!,"AAAAAG3595w=",0)</f>
        <v>#REF!</v>
      </c>
      <c r="FB329" t="e">
        <f>AND(#REF!,"AAAAAG35950=")</f>
        <v>#REF!</v>
      </c>
      <c r="FC329" t="e">
        <f>AND(#REF!,"AAAAAG35954=")</f>
        <v>#REF!</v>
      </c>
      <c r="FD329" t="e">
        <f>AND(#REF!,"AAAAAG35958=")</f>
        <v>#REF!</v>
      </c>
      <c r="FE329" t="e">
        <f>AND(#REF!,"AAAAAG3596A=")</f>
        <v>#REF!</v>
      </c>
      <c r="FF329" t="e">
        <f>AND(#REF!,"AAAAAG3596E=")</f>
        <v>#REF!</v>
      </c>
      <c r="FG329" t="e">
        <f>AND(#REF!,"AAAAAG3596I=")</f>
        <v>#REF!</v>
      </c>
      <c r="FH329" t="e">
        <f>AND(#REF!,"AAAAAG3596M=")</f>
        <v>#REF!</v>
      </c>
      <c r="FI329" t="e">
        <f>AND(#REF!,"AAAAAG3596Q=")</f>
        <v>#REF!</v>
      </c>
      <c r="FJ329" t="e">
        <f>AND(#REF!,"AAAAAG3596U=")</f>
        <v>#REF!</v>
      </c>
      <c r="FK329" t="e">
        <f>AND(#REF!,"AAAAAG3596Y=")</f>
        <v>#REF!</v>
      </c>
      <c r="FL329" t="e">
        <f>IF(#REF!,"AAAAAG3596c=",0)</f>
        <v>#REF!</v>
      </c>
      <c r="FM329" t="e">
        <f>AND(#REF!,"AAAAAG3596g=")</f>
        <v>#REF!</v>
      </c>
      <c r="FN329" t="e">
        <f>AND(#REF!,"AAAAAG3596k=")</f>
        <v>#REF!</v>
      </c>
      <c r="FO329" t="e">
        <f>AND(#REF!,"AAAAAG3596o=")</f>
        <v>#REF!</v>
      </c>
      <c r="FP329" t="e">
        <f>AND(#REF!,"AAAAAG3596s=")</f>
        <v>#REF!</v>
      </c>
      <c r="FQ329" t="e">
        <f>AND(#REF!,"AAAAAG3596w=")</f>
        <v>#REF!</v>
      </c>
      <c r="FR329" t="e">
        <f>AND(#REF!,"AAAAAG35960=")</f>
        <v>#REF!</v>
      </c>
      <c r="FS329" t="e">
        <f>AND(#REF!,"AAAAAG35964=")</f>
        <v>#REF!</v>
      </c>
      <c r="FT329" t="e">
        <f>AND(#REF!,"AAAAAG35968=")</f>
        <v>#REF!</v>
      </c>
      <c r="FU329" t="e">
        <f>AND(#REF!,"AAAAAG3597A=")</f>
        <v>#REF!</v>
      </c>
      <c r="FV329" t="e">
        <f>AND(#REF!,"AAAAAG3597E=")</f>
        <v>#REF!</v>
      </c>
      <c r="FW329" t="e">
        <f>IF(#REF!,"AAAAAG3597I=",0)</f>
        <v>#REF!</v>
      </c>
      <c r="FX329" t="e">
        <f>AND(#REF!,"AAAAAG3597M=")</f>
        <v>#REF!</v>
      </c>
      <c r="FY329" t="e">
        <f>AND(#REF!,"AAAAAG3597Q=")</f>
        <v>#REF!</v>
      </c>
      <c r="FZ329" t="e">
        <f>AND(#REF!,"AAAAAG3597U=")</f>
        <v>#REF!</v>
      </c>
      <c r="GA329" t="e">
        <f>AND(#REF!,"AAAAAG3597Y=")</f>
        <v>#REF!</v>
      </c>
      <c r="GB329" t="e">
        <f>AND(#REF!,"AAAAAG3597c=")</f>
        <v>#REF!</v>
      </c>
      <c r="GC329" t="e">
        <f>AND(#REF!,"AAAAAG3597g=")</f>
        <v>#REF!</v>
      </c>
      <c r="GD329" t="e">
        <f>AND(#REF!,"AAAAAG3597k=")</f>
        <v>#REF!</v>
      </c>
      <c r="GE329" t="e">
        <f>AND(#REF!,"AAAAAG3597o=")</f>
        <v>#REF!</v>
      </c>
      <c r="GF329" t="e">
        <f>AND(#REF!,"AAAAAG3597s=")</f>
        <v>#REF!</v>
      </c>
      <c r="GG329" t="e">
        <f>AND(#REF!,"AAAAAG3597w=")</f>
        <v>#REF!</v>
      </c>
      <c r="GH329" t="e">
        <f>IF(#REF!,"AAAAAG35970=",0)</f>
        <v>#REF!</v>
      </c>
      <c r="GI329" t="e">
        <f>AND(#REF!,"AAAAAG35974=")</f>
        <v>#REF!</v>
      </c>
      <c r="GJ329" t="e">
        <f>AND(#REF!,"AAAAAG35978=")</f>
        <v>#REF!</v>
      </c>
      <c r="GK329" t="e">
        <f>AND(#REF!,"AAAAAG3598A=")</f>
        <v>#REF!</v>
      </c>
      <c r="GL329" t="e">
        <f>AND(#REF!,"AAAAAG3598E=")</f>
        <v>#REF!</v>
      </c>
      <c r="GM329" t="e">
        <f>AND(#REF!,"AAAAAG3598I=")</f>
        <v>#REF!</v>
      </c>
      <c r="GN329" t="e">
        <f>AND(#REF!,"AAAAAG3598M=")</f>
        <v>#REF!</v>
      </c>
      <c r="GO329" t="e">
        <f>AND(#REF!,"AAAAAG3598Q=")</f>
        <v>#REF!</v>
      </c>
      <c r="GP329" t="e">
        <f>AND(#REF!,"AAAAAG3598U=")</f>
        <v>#REF!</v>
      </c>
      <c r="GQ329" t="e">
        <f>AND(#REF!,"AAAAAG3598Y=")</f>
        <v>#REF!</v>
      </c>
      <c r="GR329" t="e">
        <f>AND(#REF!,"AAAAAG3598c=")</f>
        <v>#REF!</v>
      </c>
      <c r="GS329" t="e">
        <f>IF(#REF!,"AAAAAG3598g=",0)</f>
        <v>#REF!</v>
      </c>
      <c r="GT329" t="e">
        <f>AND(#REF!,"AAAAAG3598k=")</f>
        <v>#REF!</v>
      </c>
      <c r="GU329" t="e">
        <f>AND(#REF!,"AAAAAG3598o=")</f>
        <v>#REF!</v>
      </c>
      <c r="GV329" t="e">
        <f>AND(#REF!,"AAAAAG3598s=")</f>
        <v>#REF!</v>
      </c>
      <c r="GW329" t="e">
        <f>AND(#REF!,"AAAAAG3598w=")</f>
        <v>#REF!</v>
      </c>
      <c r="GX329" t="e">
        <f>AND(#REF!,"AAAAAG35980=")</f>
        <v>#REF!</v>
      </c>
      <c r="GY329" t="e">
        <f>AND(#REF!,"AAAAAG35984=")</f>
        <v>#REF!</v>
      </c>
      <c r="GZ329" t="e">
        <f>AND(#REF!,"AAAAAG35988=")</f>
        <v>#REF!</v>
      </c>
      <c r="HA329" t="e">
        <f>AND(#REF!,"AAAAAG3599A=")</f>
        <v>#REF!</v>
      </c>
      <c r="HB329" t="e">
        <f>AND(#REF!,"AAAAAG3599E=")</f>
        <v>#REF!</v>
      </c>
      <c r="HC329" t="e">
        <f>AND(#REF!,"AAAAAG3599I=")</f>
        <v>#REF!</v>
      </c>
      <c r="HD329" t="e">
        <f>IF(#REF!,"AAAAAG3599M=",0)</f>
        <v>#REF!</v>
      </c>
      <c r="HE329" t="e">
        <f>AND(#REF!,"AAAAAG3599Q=")</f>
        <v>#REF!</v>
      </c>
      <c r="HF329" t="e">
        <f>AND(#REF!,"AAAAAG3599U=")</f>
        <v>#REF!</v>
      </c>
      <c r="HG329" t="e">
        <f>AND(#REF!,"AAAAAG3599Y=")</f>
        <v>#REF!</v>
      </c>
      <c r="HH329" t="e">
        <f>AND(#REF!,"AAAAAG3599c=")</f>
        <v>#REF!</v>
      </c>
      <c r="HI329" t="e">
        <f>AND(#REF!,"AAAAAG3599g=")</f>
        <v>#REF!</v>
      </c>
      <c r="HJ329" t="e">
        <f>AND(#REF!,"AAAAAG3599k=")</f>
        <v>#REF!</v>
      </c>
      <c r="HK329" t="e">
        <f>AND(#REF!,"AAAAAG3599o=")</f>
        <v>#REF!</v>
      </c>
      <c r="HL329" t="e">
        <f>AND(#REF!,"AAAAAG3599s=")</f>
        <v>#REF!</v>
      </c>
      <c r="HM329" t="e">
        <f>AND(#REF!,"AAAAAG3599w=")</f>
        <v>#REF!</v>
      </c>
      <c r="HN329" t="e">
        <f>AND(#REF!,"AAAAAG35990=")</f>
        <v>#REF!</v>
      </c>
      <c r="HO329" t="e">
        <f>IF(#REF!,"AAAAAG35994=",0)</f>
        <v>#REF!</v>
      </c>
      <c r="HP329" t="e">
        <f>AND(#REF!,"AAAAAG35998=")</f>
        <v>#REF!</v>
      </c>
      <c r="HQ329" t="e">
        <f>AND(#REF!,"AAAAAG359+A=")</f>
        <v>#REF!</v>
      </c>
      <c r="HR329" t="e">
        <f>AND(#REF!,"AAAAAG359+E=")</f>
        <v>#REF!</v>
      </c>
      <c r="HS329" t="e">
        <f>AND(#REF!,"AAAAAG359+I=")</f>
        <v>#REF!</v>
      </c>
      <c r="HT329" t="e">
        <f>AND(#REF!,"AAAAAG359+M=")</f>
        <v>#REF!</v>
      </c>
      <c r="HU329" t="e">
        <f>AND(#REF!,"AAAAAG359+Q=")</f>
        <v>#REF!</v>
      </c>
      <c r="HV329" t="e">
        <f>AND(#REF!,"AAAAAG359+U=")</f>
        <v>#REF!</v>
      </c>
      <c r="HW329" t="e">
        <f>AND(#REF!,"AAAAAG359+Y=")</f>
        <v>#REF!</v>
      </c>
      <c r="HX329" t="e">
        <f>AND(#REF!,"AAAAAG359+c=")</f>
        <v>#REF!</v>
      </c>
      <c r="HY329" t="e">
        <f>AND(#REF!,"AAAAAG359+g=")</f>
        <v>#REF!</v>
      </c>
      <c r="HZ329" t="e">
        <f>IF(#REF!,"AAAAAG359+k=",0)</f>
        <v>#REF!</v>
      </c>
      <c r="IA329" t="e">
        <f>AND(#REF!,"AAAAAG359+o=")</f>
        <v>#REF!</v>
      </c>
      <c r="IB329" t="e">
        <f>AND(#REF!,"AAAAAG359+s=")</f>
        <v>#REF!</v>
      </c>
      <c r="IC329" t="e">
        <f>AND(#REF!,"AAAAAG359+w=")</f>
        <v>#REF!</v>
      </c>
      <c r="ID329" t="e">
        <f>AND(#REF!,"AAAAAG359+0=")</f>
        <v>#REF!</v>
      </c>
      <c r="IE329" t="e">
        <f>AND(#REF!,"AAAAAG359+4=")</f>
        <v>#REF!</v>
      </c>
      <c r="IF329" t="e">
        <f>AND(#REF!,"AAAAAG359+8=")</f>
        <v>#REF!</v>
      </c>
      <c r="IG329" t="e">
        <f>AND(#REF!,"AAAAAG359/A=")</f>
        <v>#REF!</v>
      </c>
      <c r="IH329" t="e">
        <f>AND(#REF!,"AAAAAG359/E=")</f>
        <v>#REF!</v>
      </c>
      <c r="II329" t="e">
        <f>AND(#REF!,"AAAAAG359/I=")</f>
        <v>#REF!</v>
      </c>
      <c r="IJ329" t="e">
        <f>AND(#REF!,"AAAAAG359/M=")</f>
        <v>#REF!</v>
      </c>
      <c r="IK329" t="e">
        <f>IF(#REF!,"AAAAAG359/Q=",0)</f>
        <v>#REF!</v>
      </c>
      <c r="IL329" t="e">
        <f>AND(#REF!,"AAAAAG359/U=")</f>
        <v>#REF!</v>
      </c>
      <c r="IM329" t="e">
        <f>AND(#REF!,"AAAAAG359/Y=")</f>
        <v>#REF!</v>
      </c>
      <c r="IN329" t="e">
        <f>AND(#REF!,"AAAAAG359/c=")</f>
        <v>#REF!</v>
      </c>
      <c r="IO329" t="e">
        <f>AND(#REF!,"AAAAAG359/g=")</f>
        <v>#REF!</v>
      </c>
      <c r="IP329" t="e">
        <f>AND(#REF!,"AAAAAG359/k=")</f>
        <v>#REF!</v>
      </c>
      <c r="IQ329" t="e">
        <f>AND(#REF!,"AAAAAG359/o=")</f>
        <v>#REF!</v>
      </c>
      <c r="IR329" t="e">
        <f>AND(#REF!,"AAAAAG359/s=")</f>
        <v>#REF!</v>
      </c>
      <c r="IS329" t="e">
        <f>AND(#REF!,"AAAAAG359/w=")</f>
        <v>#REF!</v>
      </c>
      <c r="IT329" t="e">
        <f>AND(#REF!,"AAAAAG359/0=")</f>
        <v>#REF!</v>
      </c>
      <c r="IU329" t="e">
        <f>AND(#REF!,"AAAAAG359/4=")</f>
        <v>#REF!</v>
      </c>
      <c r="IV329" t="e">
        <f>IF(#REF!,"AAAAAG359/8=",0)</f>
        <v>#REF!</v>
      </c>
    </row>
    <row r="330" spans="1:256" x14ac:dyDescent="0.25">
      <c r="A330" t="e">
        <f>AND(#REF!,"AAAAAH8/PwA=")</f>
        <v>#REF!</v>
      </c>
      <c r="B330" t="e">
        <f>AND(#REF!,"AAAAAH8/PwE=")</f>
        <v>#REF!</v>
      </c>
      <c r="C330" t="e">
        <f>AND(#REF!,"AAAAAH8/PwI=")</f>
        <v>#REF!</v>
      </c>
      <c r="D330" t="e">
        <f>AND(#REF!,"AAAAAH8/PwM=")</f>
        <v>#REF!</v>
      </c>
      <c r="E330" t="e">
        <f>AND(#REF!,"AAAAAH8/PwQ=")</f>
        <v>#REF!</v>
      </c>
      <c r="F330" t="e">
        <f>AND(#REF!,"AAAAAH8/PwU=")</f>
        <v>#REF!</v>
      </c>
      <c r="G330" t="e">
        <f>AND(#REF!,"AAAAAH8/PwY=")</f>
        <v>#REF!</v>
      </c>
      <c r="H330" t="e">
        <f>AND(#REF!,"AAAAAH8/Pwc=")</f>
        <v>#REF!</v>
      </c>
      <c r="I330" t="e">
        <f>AND(#REF!,"AAAAAH8/Pwg=")</f>
        <v>#REF!</v>
      </c>
      <c r="J330" t="e">
        <f>AND(#REF!,"AAAAAH8/Pwk=")</f>
        <v>#REF!</v>
      </c>
      <c r="K330" t="e">
        <f>IF(#REF!,"AAAAAH8/Pwo=",0)</f>
        <v>#REF!</v>
      </c>
      <c r="L330" t="e">
        <f>AND(#REF!,"AAAAAH8/Pws=")</f>
        <v>#REF!</v>
      </c>
      <c r="M330" t="e">
        <f>AND(#REF!,"AAAAAH8/Pww=")</f>
        <v>#REF!</v>
      </c>
      <c r="N330" t="e">
        <f>AND(#REF!,"AAAAAH8/Pw0=")</f>
        <v>#REF!</v>
      </c>
      <c r="O330" t="e">
        <f>AND(#REF!,"AAAAAH8/Pw4=")</f>
        <v>#REF!</v>
      </c>
      <c r="P330" t="e">
        <f>AND(#REF!,"AAAAAH8/Pw8=")</f>
        <v>#REF!</v>
      </c>
      <c r="Q330" t="e">
        <f>AND(#REF!,"AAAAAH8/PxA=")</f>
        <v>#REF!</v>
      </c>
      <c r="R330" t="e">
        <f>AND(#REF!,"AAAAAH8/PxE=")</f>
        <v>#REF!</v>
      </c>
      <c r="S330" t="e">
        <f>AND(#REF!,"AAAAAH8/PxI=")</f>
        <v>#REF!</v>
      </c>
      <c r="T330" t="e">
        <f>AND(#REF!,"AAAAAH8/PxM=")</f>
        <v>#REF!</v>
      </c>
      <c r="U330" t="e">
        <f>AND(#REF!,"AAAAAH8/PxQ=")</f>
        <v>#REF!</v>
      </c>
      <c r="V330" t="e">
        <f>IF(#REF!,"AAAAAH8/PxU=",0)</f>
        <v>#REF!</v>
      </c>
      <c r="W330" t="e">
        <f>AND(#REF!,"AAAAAH8/PxY=")</f>
        <v>#REF!</v>
      </c>
      <c r="X330" t="e">
        <f>AND(#REF!,"AAAAAH8/Pxc=")</f>
        <v>#REF!</v>
      </c>
      <c r="Y330" t="e">
        <f>AND(#REF!,"AAAAAH8/Pxg=")</f>
        <v>#REF!</v>
      </c>
      <c r="Z330" t="e">
        <f>AND(#REF!,"AAAAAH8/Pxk=")</f>
        <v>#REF!</v>
      </c>
      <c r="AA330" t="e">
        <f>AND(#REF!,"AAAAAH8/Pxo=")</f>
        <v>#REF!</v>
      </c>
      <c r="AB330" t="e">
        <f>AND(#REF!,"AAAAAH8/Pxs=")</f>
        <v>#REF!</v>
      </c>
      <c r="AC330" t="e">
        <f>AND(#REF!,"AAAAAH8/Pxw=")</f>
        <v>#REF!</v>
      </c>
      <c r="AD330" t="e">
        <f>AND(#REF!,"AAAAAH8/Px0=")</f>
        <v>#REF!</v>
      </c>
      <c r="AE330" t="e">
        <f>AND(#REF!,"AAAAAH8/Px4=")</f>
        <v>#REF!</v>
      </c>
      <c r="AF330" t="e">
        <f>AND(#REF!,"AAAAAH8/Px8=")</f>
        <v>#REF!</v>
      </c>
      <c r="AG330" t="e">
        <f>IF(#REF!,"AAAAAH8/PyA=",0)</f>
        <v>#REF!</v>
      </c>
      <c r="AH330" t="e">
        <f>AND(#REF!,"AAAAAH8/PyE=")</f>
        <v>#REF!</v>
      </c>
      <c r="AI330" t="e">
        <f>AND(#REF!,"AAAAAH8/PyI=")</f>
        <v>#REF!</v>
      </c>
      <c r="AJ330" t="e">
        <f>AND(#REF!,"AAAAAH8/PyM=")</f>
        <v>#REF!</v>
      </c>
      <c r="AK330" t="e">
        <f>AND(#REF!,"AAAAAH8/PyQ=")</f>
        <v>#REF!</v>
      </c>
      <c r="AL330" t="e">
        <f>AND(#REF!,"AAAAAH8/PyU=")</f>
        <v>#REF!</v>
      </c>
      <c r="AM330" t="e">
        <f>AND(#REF!,"AAAAAH8/PyY=")</f>
        <v>#REF!</v>
      </c>
      <c r="AN330" t="e">
        <f>AND(#REF!,"AAAAAH8/Pyc=")</f>
        <v>#REF!</v>
      </c>
      <c r="AO330" t="e">
        <f>AND(#REF!,"AAAAAH8/Pyg=")</f>
        <v>#REF!</v>
      </c>
      <c r="AP330" t="e">
        <f>AND(#REF!,"AAAAAH8/Pyk=")</f>
        <v>#REF!</v>
      </c>
      <c r="AQ330" t="e">
        <f>AND(#REF!,"AAAAAH8/Pyo=")</f>
        <v>#REF!</v>
      </c>
      <c r="AR330" t="e">
        <f>IF(#REF!,"AAAAAH8/Pys=",0)</f>
        <v>#REF!</v>
      </c>
      <c r="AS330" t="e">
        <f>AND(#REF!,"AAAAAH8/Pyw=")</f>
        <v>#REF!</v>
      </c>
      <c r="AT330" t="e">
        <f>AND(#REF!,"AAAAAH8/Py0=")</f>
        <v>#REF!</v>
      </c>
      <c r="AU330" t="e">
        <f>AND(#REF!,"AAAAAH8/Py4=")</f>
        <v>#REF!</v>
      </c>
      <c r="AV330" t="e">
        <f>AND(#REF!,"AAAAAH8/Py8=")</f>
        <v>#REF!</v>
      </c>
      <c r="AW330" t="e">
        <f>AND(#REF!,"AAAAAH8/PzA=")</f>
        <v>#REF!</v>
      </c>
      <c r="AX330" t="e">
        <f>AND(#REF!,"AAAAAH8/PzE=")</f>
        <v>#REF!</v>
      </c>
      <c r="AY330" t="e">
        <f>AND(#REF!,"AAAAAH8/PzI=")</f>
        <v>#REF!</v>
      </c>
      <c r="AZ330" t="e">
        <f>AND(#REF!,"AAAAAH8/PzM=")</f>
        <v>#REF!</v>
      </c>
      <c r="BA330" t="e">
        <f>AND(#REF!,"AAAAAH8/PzQ=")</f>
        <v>#REF!</v>
      </c>
      <c r="BB330" t="e">
        <f>AND(#REF!,"AAAAAH8/PzU=")</f>
        <v>#REF!</v>
      </c>
      <c r="BC330" t="e">
        <f>IF(#REF!,"AAAAAH8/PzY=",0)</f>
        <v>#REF!</v>
      </c>
      <c r="BD330" t="e">
        <f>AND(#REF!,"AAAAAH8/Pzc=")</f>
        <v>#REF!</v>
      </c>
      <c r="BE330" t="e">
        <f>AND(#REF!,"AAAAAH8/Pzg=")</f>
        <v>#REF!</v>
      </c>
      <c r="BF330" t="e">
        <f>AND(#REF!,"AAAAAH8/Pzk=")</f>
        <v>#REF!</v>
      </c>
      <c r="BG330" t="e">
        <f>AND(#REF!,"AAAAAH8/Pzo=")</f>
        <v>#REF!</v>
      </c>
      <c r="BH330" t="e">
        <f>AND(#REF!,"AAAAAH8/Pzs=")</f>
        <v>#REF!</v>
      </c>
      <c r="BI330" t="e">
        <f>AND(#REF!,"AAAAAH8/Pzw=")</f>
        <v>#REF!</v>
      </c>
      <c r="BJ330" t="e">
        <f>AND(#REF!,"AAAAAH8/Pz0=")</f>
        <v>#REF!</v>
      </c>
      <c r="BK330" t="e">
        <f>AND(#REF!,"AAAAAH8/Pz4=")</f>
        <v>#REF!</v>
      </c>
      <c r="BL330" t="e">
        <f>AND(#REF!,"AAAAAH8/Pz8=")</f>
        <v>#REF!</v>
      </c>
      <c r="BM330" t="e">
        <f>AND(#REF!,"AAAAAH8/P0A=")</f>
        <v>#REF!</v>
      </c>
      <c r="BN330" t="e">
        <f>IF(#REF!,"AAAAAH8/P0E=",0)</f>
        <v>#REF!</v>
      </c>
      <c r="BO330" t="e">
        <f>AND(#REF!,"AAAAAH8/P0I=")</f>
        <v>#REF!</v>
      </c>
      <c r="BP330" t="e">
        <f>AND(#REF!,"AAAAAH8/P0M=")</f>
        <v>#REF!</v>
      </c>
      <c r="BQ330" t="e">
        <f>AND(#REF!,"AAAAAH8/P0Q=")</f>
        <v>#REF!</v>
      </c>
      <c r="BR330" t="e">
        <f>AND(#REF!,"AAAAAH8/P0U=")</f>
        <v>#REF!</v>
      </c>
      <c r="BS330" t="e">
        <f>AND(#REF!,"AAAAAH8/P0Y=")</f>
        <v>#REF!</v>
      </c>
      <c r="BT330" t="e">
        <f>AND(#REF!,"AAAAAH8/P0c=")</f>
        <v>#REF!</v>
      </c>
      <c r="BU330" t="e">
        <f>AND(#REF!,"AAAAAH8/P0g=")</f>
        <v>#REF!</v>
      </c>
      <c r="BV330" t="e">
        <f>AND(#REF!,"AAAAAH8/P0k=")</f>
        <v>#REF!</v>
      </c>
      <c r="BW330" t="e">
        <f>AND(#REF!,"AAAAAH8/P0o=")</f>
        <v>#REF!</v>
      </c>
      <c r="BX330" t="e">
        <f>AND(#REF!,"AAAAAH8/P0s=")</f>
        <v>#REF!</v>
      </c>
      <c r="BY330" t="e">
        <f>IF(#REF!,"AAAAAH8/P0w=",0)</f>
        <v>#REF!</v>
      </c>
      <c r="BZ330" t="e">
        <f>AND(#REF!,"AAAAAH8/P00=")</f>
        <v>#REF!</v>
      </c>
      <c r="CA330" t="e">
        <f>AND(#REF!,"AAAAAH8/P04=")</f>
        <v>#REF!</v>
      </c>
      <c r="CB330" t="e">
        <f>AND(#REF!,"AAAAAH8/P08=")</f>
        <v>#REF!</v>
      </c>
      <c r="CC330" t="e">
        <f>AND(#REF!,"AAAAAH8/P1A=")</f>
        <v>#REF!</v>
      </c>
      <c r="CD330" t="e">
        <f>AND(#REF!,"AAAAAH8/P1E=")</f>
        <v>#REF!</v>
      </c>
      <c r="CE330" t="e">
        <f>AND(#REF!,"AAAAAH8/P1I=")</f>
        <v>#REF!</v>
      </c>
      <c r="CF330" t="e">
        <f>AND(#REF!,"AAAAAH8/P1M=")</f>
        <v>#REF!</v>
      </c>
      <c r="CG330" t="e">
        <f>AND(#REF!,"AAAAAH8/P1Q=")</f>
        <v>#REF!</v>
      </c>
      <c r="CH330" t="e">
        <f>AND(#REF!,"AAAAAH8/P1U=")</f>
        <v>#REF!</v>
      </c>
      <c r="CI330" t="e">
        <f>AND(#REF!,"AAAAAH8/P1Y=")</f>
        <v>#REF!</v>
      </c>
      <c r="CJ330" t="e">
        <f>IF(#REF!,"AAAAAH8/P1c=",0)</f>
        <v>#REF!</v>
      </c>
      <c r="CK330" t="e">
        <f>AND(#REF!,"AAAAAH8/P1g=")</f>
        <v>#REF!</v>
      </c>
      <c r="CL330" t="e">
        <f>AND(#REF!,"AAAAAH8/P1k=")</f>
        <v>#REF!</v>
      </c>
      <c r="CM330" t="e">
        <f>AND(#REF!,"AAAAAH8/P1o=")</f>
        <v>#REF!</v>
      </c>
      <c r="CN330" t="e">
        <f>AND(#REF!,"AAAAAH8/P1s=")</f>
        <v>#REF!</v>
      </c>
      <c r="CO330" t="e">
        <f>AND(#REF!,"AAAAAH8/P1w=")</f>
        <v>#REF!</v>
      </c>
      <c r="CP330" t="e">
        <f>AND(#REF!,"AAAAAH8/P10=")</f>
        <v>#REF!</v>
      </c>
      <c r="CQ330" t="e">
        <f>AND(#REF!,"AAAAAH8/P14=")</f>
        <v>#REF!</v>
      </c>
      <c r="CR330" t="e">
        <f>AND(#REF!,"AAAAAH8/P18=")</f>
        <v>#REF!</v>
      </c>
      <c r="CS330" t="e">
        <f>AND(#REF!,"AAAAAH8/P2A=")</f>
        <v>#REF!</v>
      </c>
      <c r="CT330" t="e">
        <f>AND(#REF!,"AAAAAH8/P2E=")</f>
        <v>#REF!</v>
      </c>
      <c r="CU330" t="e">
        <f>IF(#REF!,"AAAAAH8/P2I=",0)</f>
        <v>#REF!</v>
      </c>
      <c r="CV330" t="e">
        <f>AND(#REF!,"AAAAAH8/P2M=")</f>
        <v>#REF!</v>
      </c>
      <c r="CW330" t="e">
        <f>AND(#REF!,"AAAAAH8/P2Q=")</f>
        <v>#REF!</v>
      </c>
      <c r="CX330" t="e">
        <f>AND(#REF!,"AAAAAH8/P2U=")</f>
        <v>#REF!</v>
      </c>
      <c r="CY330" t="e">
        <f>AND(#REF!,"AAAAAH8/P2Y=")</f>
        <v>#REF!</v>
      </c>
      <c r="CZ330" t="e">
        <f>AND(#REF!,"AAAAAH8/P2c=")</f>
        <v>#REF!</v>
      </c>
      <c r="DA330" t="e">
        <f>AND(#REF!,"AAAAAH8/P2g=")</f>
        <v>#REF!</v>
      </c>
      <c r="DB330" t="e">
        <f>AND(#REF!,"AAAAAH8/P2k=")</f>
        <v>#REF!</v>
      </c>
      <c r="DC330" t="e">
        <f>AND(#REF!,"AAAAAH8/P2o=")</f>
        <v>#REF!</v>
      </c>
      <c r="DD330" t="e">
        <f>AND(#REF!,"AAAAAH8/P2s=")</f>
        <v>#REF!</v>
      </c>
      <c r="DE330" t="e">
        <f>AND(#REF!,"AAAAAH8/P2w=")</f>
        <v>#REF!</v>
      </c>
      <c r="DF330" t="e">
        <f>IF(#REF!,"AAAAAH8/P20=",0)</f>
        <v>#REF!</v>
      </c>
      <c r="DG330" t="e">
        <f>AND(#REF!,"AAAAAH8/P24=")</f>
        <v>#REF!</v>
      </c>
      <c r="DH330" t="e">
        <f>AND(#REF!,"AAAAAH8/P28=")</f>
        <v>#REF!</v>
      </c>
      <c r="DI330" t="e">
        <f>AND(#REF!,"AAAAAH8/P3A=")</f>
        <v>#REF!</v>
      </c>
      <c r="DJ330" t="e">
        <f>AND(#REF!,"AAAAAH8/P3E=")</f>
        <v>#REF!</v>
      </c>
      <c r="DK330" t="e">
        <f>AND(#REF!,"AAAAAH8/P3I=")</f>
        <v>#REF!</v>
      </c>
      <c r="DL330" t="e">
        <f>AND(#REF!,"AAAAAH8/P3M=")</f>
        <v>#REF!</v>
      </c>
      <c r="DM330" t="e">
        <f>AND(#REF!,"AAAAAH8/P3Q=")</f>
        <v>#REF!</v>
      </c>
      <c r="DN330" t="e">
        <f>AND(#REF!,"AAAAAH8/P3U=")</f>
        <v>#REF!</v>
      </c>
      <c r="DO330" t="e">
        <f>AND(#REF!,"AAAAAH8/P3Y=")</f>
        <v>#REF!</v>
      </c>
      <c r="DP330" t="e">
        <f>AND(#REF!,"AAAAAH8/P3c=")</f>
        <v>#REF!</v>
      </c>
      <c r="DQ330" t="e">
        <f>IF(#REF!,"AAAAAH8/P3g=",0)</f>
        <v>#REF!</v>
      </c>
      <c r="DR330" t="e">
        <f>AND(#REF!,"AAAAAH8/P3k=")</f>
        <v>#REF!</v>
      </c>
      <c r="DS330" t="e">
        <f>AND(#REF!,"AAAAAH8/P3o=")</f>
        <v>#REF!</v>
      </c>
      <c r="DT330" t="e">
        <f>AND(#REF!,"AAAAAH8/P3s=")</f>
        <v>#REF!</v>
      </c>
      <c r="DU330" t="e">
        <f>AND(#REF!,"AAAAAH8/P3w=")</f>
        <v>#REF!</v>
      </c>
      <c r="DV330" t="e">
        <f>AND(#REF!,"AAAAAH8/P30=")</f>
        <v>#REF!</v>
      </c>
      <c r="DW330" t="e">
        <f>AND(#REF!,"AAAAAH8/P34=")</f>
        <v>#REF!</v>
      </c>
      <c r="DX330" t="e">
        <f>AND(#REF!,"AAAAAH8/P38=")</f>
        <v>#REF!</v>
      </c>
      <c r="DY330" t="e">
        <f>AND(#REF!,"AAAAAH8/P4A=")</f>
        <v>#REF!</v>
      </c>
      <c r="DZ330" t="e">
        <f>AND(#REF!,"AAAAAH8/P4E=")</f>
        <v>#REF!</v>
      </c>
      <c r="EA330" t="e">
        <f>AND(#REF!,"AAAAAH8/P4I=")</f>
        <v>#REF!</v>
      </c>
      <c r="EB330" t="e">
        <f>IF(#REF!,"AAAAAH8/P4M=",0)</f>
        <v>#REF!</v>
      </c>
      <c r="EC330" t="e">
        <f>AND(#REF!,"AAAAAH8/P4Q=")</f>
        <v>#REF!</v>
      </c>
      <c r="ED330" t="e">
        <f>AND(#REF!,"AAAAAH8/P4U=")</f>
        <v>#REF!</v>
      </c>
      <c r="EE330" t="e">
        <f>AND(#REF!,"AAAAAH8/P4Y=")</f>
        <v>#REF!</v>
      </c>
      <c r="EF330" t="e">
        <f>AND(#REF!,"AAAAAH8/P4c=")</f>
        <v>#REF!</v>
      </c>
      <c r="EG330" t="e">
        <f>AND(#REF!,"AAAAAH8/P4g=")</f>
        <v>#REF!</v>
      </c>
      <c r="EH330" t="e">
        <f>AND(#REF!,"AAAAAH8/P4k=")</f>
        <v>#REF!</v>
      </c>
      <c r="EI330" t="e">
        <f>AND(#REF!,"AAAAAH8/P4o=")</f>
        <v>#REF!</v>
      </c>
      <c r="EJ330" t="e">
        <f>AND(#REF!,"AAAAAH8/P4s=")</f>
        <v>#REF!</v>
      </c>
      <c r="EK330" t="e">
        <f>AND(#REF!,"AAAAAH8/P4w=")</f>
        <v>#REF!</v>
      </c>
      <c r="EL330" t="e">
        <f>AND(#REF!,"AAAAAH8/P40=")</f>
        <v>#REF!</v>
      </c>
      <c r="EM330" t="e">
        <f>IF(#REF!,"AAAAAH8/P44=",0)</f>
        <v>#REF!</v>
      </c>
      <c r="EN330" t="e">
        <f>AND(#REF!,"AAAAAH8/P48=")</f>
        <v>#REF!</v>
      </c>
      <c r="EO330" t="e">
        <f>AND(#REF!,"AAAAAH8/P5A=")</f>
        <v>#REF!</v>
      </c>
      <c r="EP330" t="e">
        <f>AND(#REF!,"AAAAAH8/P5E=")</f>
        <v>#REF!</v>
      </c>
      <c r="EQ330" t="e">
        <f>AND(#REF!,"AAAAAH8/P5I=")</f>
        <v>#REF!</v>
      </c>
      <c r="ER330" t="e">
        <f>AND(#REF!,"AAAAAH8/P5M=")</f>
        <v>#REF!</v>
      </c>
      <c r="ES330" t="e">
        <f>AND(#REF!,"AAAAAH8/P5Q=")</f>
        <v>#REF!</v>
      </c>
      <c r="ET330" t="e">
        <f>AND(#REF!,"AAAAAH8/P5U=")</f>
        <v>#REF!</v>
      </c>
      <c r="EU330" t="e">
        <f>AND(#REF!,"AAAAAH8/P5Y=")</f>
        <v>#REF!</v>
      </c>
      <c r="EV330" t="e">
        <f>AND(#REF!,"AAAAAH8/P5c=")</f>
        <v>#REF!</v>
      </c>
      <c r="EW330" t="e">
        <f>AND(#REF!,"AAAAAH8/P5g=")</f>
        <v>#REF!</v>
      </c>
      <c r="EX330" t="e">
        <f>IF(#REF!,"AAAAAH8/P5k=",0)</f>
        <v>#REF!</v>
      </c>
      <c r="EY330" t="e">
        <f>AND(#REF!,"AAAAAH8/P5o=")</f>
        <v>#REF!</v>
      </c>
      <c r="EZ330" t="e">
        <f>AND(#REF!,"AAAAAH8/P5s=")</f>
        <v>#REF!</v>
      </c>
      <c r="FA330" t="e">
        <f>AND(#REF!,"AAAAAH8/P5w=")</f>
        <v>#REF!</v>
      </c>
      <c r="FB330" t="e">
        <f>AND(#REF!,"AAAAAH8/P50=")</f>
        <v>#REF!</v>
      </c>
      <c r="FC330" t="e">
        <f>AND(#REF!,"AAAAAH8/P54=")</f>
        <v>#REF!</v>
      </c>
      <c r="FD330" t="e">
        <f>AND(#REF!,"AAAAAH8/P58=")</f>
        <v>#REF!</v>
      </c>
      <c r="FE330" t="e">
        <f>AND(#REF!,"AAAAAH8/P6A=")</f>
        <v>#REF!</v>
      </c>
      <c r="FF330" t="e">
        <f>AND(#REF!,"AAAAAH8/P6E=")</f>
        <v>#REF!</v>
      </c>
      <c r="FG330" t="e">
        <f>AND(#REF!,"AAAAAH8/P6I=")</f>
        <v>#REF!</v>
      </c>
      <c r="FH330" t="e">
        <f>AND(#REF!,"AAAAAH8/P6M=")</f>
        <v>#REF!</v>
      </c>
      <c r="FI330" t="e">
        <f>IF(#REF!,"AAAAAH8/P6Q=",0)</f>
        <v>#REF!</v>
      </c>
      <c r="FJ330" t="e">
        <f>AND(#REF!,"AAAAAH8/P6U=")</f>
        <v>#REF!</v>
      </c>
      <c r="FK330" t="e">
        <f>AND(#REF!,"AAAAAH8/P6Y=")</f>
        <v>#REF!</v>
      </c>
      <c r="FL330" t="e">
        <f>AND(#REF!,"AAAAAH8/P6c=")</f>
        <v>#REF!</v>
      </c>
      <c r="FM330" t="e">
        <f>AND(#REF!,"AAAAAH8/P6g=")</f>
        <v>#REF!</v>
      </c>
      <c r="FN330" t="e">
        <f>AND(#REF!,"AAAAAH8/P6k=")</f>
        <v>#REF!</v>
      </c>
      <c r="FO330" t="e">
        <f>AND(#REF!,"AAAAAH8/P6o=")</f>
        <v>#REF!</v>
      </c>
      <c r="FP330" t="e">
        <f>AND(#REF!,"AAAAAH8/P6s=")</f>
        <v>#REF!</v>
      </c>
      <c r="FQ330" t="e">
        <f>AND(#REF!,"AAAAAH8/P6w=")</f>
        <v>#REF!</v>
      </c>
      <c r="FR330" t="e">
        <f>AND(#REF!,"AAAAAH8/P60=")</f>
        <v>#REF!</v>
      </c>
      <c r="FS330" t="e">
        <f>AND(#REF!,"AAAAAH8/P64=")</f>
        <v>#REF!</v>
      </c>
      <c r="FT330" t="e">
        <f>IF(#REF!,"AAAAAH8/P68=",0)</f>
        <v>#REF!</v>
      </c>
      <c r="FU330" t="e">
        <f>AND(#REF!,"AAAAAH8/P7A=")</f>
        <v>#REF!</v>
      </c>
      <c r="FV330" t="e">
        <f>AND(#REF!,"AAAAAH8/P7E=")</f>
        <v>#REF!</v>
      </c>
      <c r="FW330" t="e">
        <f>AND(#REF!,"AAAAAH8/P7I=")</f>
        <v>#REF!</v>
      </c>
      <c r="FX330" t="e">
        <f>AND(#REF!,"AAAAAH8/P7M=")</f>
        <v>#REF!</v>
      </c>
      <c r="FY330" t="e">
        <f>AND(#REF!,"AAAAAH8/P7Q=")</f>
        <v>#REF!</v>
      </c>
      <c r="FZ330" t="e">
        <f>AND(#REF!,"AAAAAH8/P7U=")</f>
        <v>#REF!</v>
      </c>
      <c r="GA330" t="e">
        <f>AND(#REF!,"AAAAAH8/P7Y=")</f>
        <v>#REF!</v>
      </c>
      <c r="GB330" t="e">
        <f>AND(#REF!,"AAAAAH8/P7c=")</f>
        <v>#REF!</v>
      </c>
      <c r="GC330" t="e">
        <f>AND(#REF!,"AAAAAH8/P7g=")</f>
        <v>#REF!</v>
      </c>
      <c r="GD330" t="e">
        <f>AND(#REF!,"AAAAAH8/P7k=")</f>
        <v>#REF!</v>
      </c>
      <c r="GE330" t="e">
        <f>IF(#REF!,"AAAAAH8/P7o=",0)</f>
        <v>#REF!</v>
      </c>
      <c r="GF330" t="e">
        <f>AND(#REF!,"AAAAAH8/P7s=")</f>
        <v>#REF!</v>
      </c>
      <c r="GG330" t="e">
        <f>AND(#REF!,"AAAAAH8/P7w=")</f>
        <v>#REF!</v>
      </c>
      <c r="GH330" t="e">
        <f>AND(#REF!,"AAAAAH8/P70=")</f>
        <v>#REF!</v>
      </c>
      <c r="GI330" t="e">
        <f>AND(#REF!,"AAAAAH8/P74=")</f>
        <v>#REF!</v>
      </c>
      <c r="GJ330" t="e">
        <f>AND(#REF!,"AAAAAH8/P78=")</f>
        <v>#REF!</v>
      </c>
      <c r="GK330" t="e">
        <f>AND(#REF!,"AAAAAH8/P8A=")</f>
        <v>#REF!</v>
      </c>
      <c r="GL330" t="e">
        <f>AND(#REF!,"AAAAAH8/P8E=")</f>
        <v>#REF!</v>
      </c>
      <c r="GM330" t="e">
        <f>AND(#REF!,"AAAAAH8/P8I=")</f>
        <v>#REF!</v>
      </c>
      <c r="GN330" t="e">
        <f>AND(#REF!,"AAAAAH8/P8M=")</f>
        <v>#REF!</v>
      </c>
      <c r="GO330" t="e">
        <f>AND(#REF!,"AAAAAH8/P8Q=")</f>
        <v>#REF!</v>
      </c>
      <c r="GP330" t="e">
        <f>IF(#REF!,"AAAAAH8/P8U=",0)</f>
        <v>#REF!</v>
      </c>
      <c r="GQ330" t="e">
        <f>AND(#REF!,"AAAAAH8/P8Y=")</f>
        <v>#REF!</v>
      </c>
      <c r="GR330" t="e">
        <f>AND(#REF!,"AAAAAH8/P8c=")</f>
        <v>#REF!</v>
      </c>
      <c r="GS330" t="e">
        <f>AND(#REF!,"AAAAAH8/P8g=")</f>
        <v>#REF!</v>
      </c>
      <c r="GT330" t="e">
        <f>AND(#REF!,"AAAAAH8/P8k=")</f>
        <v>#REF!</v>
      </c>
      <c r="GU330" t="e">
        <f>AND(#REF!,"AAAAAH8/P8o=")</f>
        <v>#REF!</v>
      </c>
      <c r="GV330" t="e">
        <f>AND(#REF!,"AAAAAH8/P8s=")</f>
        <v>#REF!</v>
      </c>
      <c r="GW330" t="e">
        <f>AND(#REF!,"AAAAAH8/P8w=")</f>
        <v>#REF!</v>
      </c>
      <c r="GX330" t="e">
        <f>AND(#REF!,"AAAAAH8/P80=")</f>
        <v>#REF!</v>
      </c>
      <c r="GY330" t="e">
        <f>AND(#REF!,"AAAAAH8/P84=")</f>
        <v>#REF!</v>
      </c>
      <c r="GZ330" t="e">
        <f>AND(#REF!,"AAAAAH8/P88=")</f>
        <v>#REF!</v>
      </c>
      <c r="HA330" t="e">
        <f>IF(#REF!,"AAAAAH8/P9A=",0)</f>
        <v>#REF!</v>
      </c>
      <c r="HB330" t="e">
        <f>AND(#REF!,"AAAAAH8/P9E=")</f>
        <v>#REF!</v>
      </c>
      <c r="HC330" t="e">
        <f>AND(#REF!,"AAAAAH8/P9I=")</f>
        <v>#REF!</v>
      </c>
      <c r="HD330" t="e">
        <f>AND(#REF!,"AAAAAH8/P9M=")</f>
        <v>#REF!</v>
      </c>
      <c r="HE330" t="e">
        <f>AND(#REF!,"AAAAAH8/P9Q=")</f>
        <v>#REF!</v>
      </c>
      <c r="HF330" t="e">
        <f>AND(#REF!,"AAAAAH8/P9U=")</f>
        <v>#REF!</v>
      </c>
      <c r="HG330" t="e">
        <f>AND(#REF!,"AAAAAH8/P9Y=")</f>
        <v>#REF!</v>
      </c>
      <c r="HH330" t="e">
        <f>AND(#REF!,"AAAAAH8/P9c=")</f>
        <v>#REF!</v>
      </c>
      <c r="HI330" t="e">
        <f>AND(#REF!,"AAAAAH8/P9g=")</f>
        <v>#REF!</v>
      </c>
      <c r="HJ330" t="e">
        <f>AND(#REF!,"AAAAAH8/P9k=")</f>
        <v>#REF!</v>
      </c>
      <c r="HK330" t="e">
        <f>AND(#REF!,"AAAAAH8/P9o=")</f>
        <v>#REF!</v>
      </c>
      <c r="HL330" t="e">
        <f>IF(#REF!,"AAAAAH8/P9s=",0)</f>
        <v>#REF!</v>
      </c>
      <c r="HM330" t="e">
        <f>AND(#REF!,"AAAAAH8/P9w=")</f>
        <v>#REF!</v>
      </c>
      <c r="HN330" t="e">
        <f>AND(#REF!,"AAAAAH8/P90=")</f>
        <v>#REF!</v>
      </c>
      <c r="HO330" t="e">
        <f>AND(#REF!,"AAAAAH8/P94=")</f>
        <v>#REF!</v>
      </c>
      <c r="HP330" t="e">
        <f>AND(#REF!,"AAAAAH8/P98=")</f>
        <v>#REF!</v>
      </c>
      <c r="HQ330" t="e">
        <f>AND(#REF!,"AAAAAH8/P+A=")</f>
        <v>#REF!</v>
      </c>
      <c r="HR330" t="e">
        <f>AND(#REF!,"AAAAAH8/P+E=")</f>
        <v>#REF!</v>
      </c>
      <c r="HS330" t="e">
        <f>AND(#REF!,"AAAAAH8/P+I=")</f>
        <v>#REF!</v>
      </c>
      <c r="HT330" t="e">
        <f>AND(#REF!,"AAAAAH8/P+M=")</f>
        <v>#REF!</v>
      </c>
      <c r="HU330" t="e">
        <f>AND(#REF!,"AAAAAH8/P+Q=")</f>
        <v>#REF!</v>
      </c>
      <c r="HV330" t="e">
        <f>AND(#REF!,"AAAAAH8/P+U=")</f>
        <v>#REF!</v>
      </c>
      <c r="HW330" t="e">
        <f>IF(#REF!,"AAAAAH8/P+Y=",0)</f>
        <v>#REF!</v>
      </c>
      <c r="HX330" t="e">
        <f>AND(#REF!,"AAAAAH8/P+c=")</f>
        <v>#REF!</v>
      </c>
      <c r="HY330" t="e">
        <f>AND(#REF!,"AAAAAH8/P+g=")</f>
        <v>#REF!</v>
      </c>
      <c r="HZ330" t="e">
        <f>AND(#REF!,"AAAAAH8/P+k=")</f>
        <v>#REF!</v>
      </c>
      <c r="IA330" t="e">
        <f>AND(#REF!,"AAAAAH8/P+o=")</f>
        <v>#REF!</v>
      </c>
      <c r="IB330" t="e">
        <f>AND(#REF!,"AAAAAH8/P+s=")</f>
        <v>#REF!</v>
      </c>
      <c r="IC330" t="e">
        <f>AND(#REF!,"AAAAAH8/P+w=")</f>
        <v>#REF!</v>
      </c>
      <c r="ID330" t="e">
        <f>AND(#REF!,"AAAAAH8/P+0=")</f>
        <v>#REF!</v>
      </c>
      <c r="IE330" t="e">
        <f>AND(#REF!,"AAAAAH8/P+4=")</f>
        <v>#REF!</v>
      </c>
      <c r="IF330" t="e">
        <f>AND(#REF!,"AAAAAH8/P+8=")</f>
        <v>#REF!</v>
      </c>
      <c r="IG330" t="e">
        <f>AND(#REF!,"AAAAAH8/P/A=")</f>
        <v>#REF!</v>
      </c>
      <c r="IH330" t="e">
        <f>IF(#REF!,"AAAAAH8/P/E=",0)</f>
        <v>#REF!</v>
      </c>
      <c r="II330" t="e">
        <f>AND(#REF!,"AAAAAH8/P/I=")</f>
        <v>#REF!</v>
      </c>
      <c r="IJ330" t="e">
        <f>AND(#REF!,"AAAAAH8/P/M=")</f>
        <v>#REF!</v>
      </c>
      <c r="IK330" t="e">
        <f>AND(#REF!,"AAAAAH8/P/Q=")</f>
        <v>#REF!</v>
      </c>
      <c r="IL330" t="e">
        <f>AND(#REF!,"AAAAAH8/P/U=")</f>
        <v>#REF!</v>
      </c>
      <c r="IM330" t="e">
        <f>AND(#REF!,"AAAAAH8/P/Y=")</f>
        <v>#REF!</v>
      </c>
      <c r="IN330" t="e">
        <f>AND(#REF!,"AAAAAH8/P/c=")</f>
        <v>#REF!</v>
      </c>
      <c r="IO330" t="e">
        <f>AND(#REF!,"AAAAAH8/P/g=")</f>
        <v>#REF!</v>
      </c>
      <c r="IP330" t="e">
        <f>AND(#REF!,"AAAAAH8/P/k=")</f>
        <v>#REF!</v>
      </c>
      <c r="IQ330" t="e">
        <f>AND(#REF!,"AAAAAH8/P/o=")</f>
        <v>#REF!</v>
      </c>
      <c r="IR330" t="e">
        <f>AND(#REF!,"AAAAAH8/P/s=")</f>
        <v>#REF!</v>
      </c>
      <c r="IS330" t="e">
        <f>IF(#REF!,"AAAAAH8/P/w=",0)</f>
        <v>#REF!</v>
      </c>
      <c r="IT330" t="e">
        <f>AND(#REF!,"AAAAAH8/P/0=")</f>
        <v>#REF!</v>
      </c>
      <c r="IU330" t="e">
        <f>AND(#REF!,"AAAAAH8/P/4=")</f>
        <v>#REF!</v>
      </c>
      <c r="IV330" t="e">
        <f>AND(#REF!,"AAAAAH8/P/8=")</f>
        <v>#REF!</v>
      </c>
    </row>
    <row r="331" spans="1:256" x14ac:dyDescent="0.25">
      <c r="A331" t="e">
        <f>AND(#REF!,"AAAAAAzd9wA=")</f>
        <v>#REF!</v>
      </c>
      <c r="B331" t="e">
        <f>AND(#REF!,"AAAAAAzd9wE=")</f>
        <v>#REF!</v>
      </c>
      <c r="C331" t="e">
        <f>AND(#REF!,"AAAAAAzd9wI=")</f>
        <v>#REF!</v>
      </c>
      <c r="D331" t="e">
        <f>AND(#REF!,"AAAAAAzd9wM=")</f>
        <v>#REF!</v>
      </c>
      <c r="E331" t="e">
        <f>AND(#REF!,"AAAAAAzd9wQ=")</f>
        <v>#REF!</v>
      </c>
      <c r="F331" t="e">
        <f>AND(#REF!,"AAAAAAzd9wU=")</f>
        <v>#REF!</v>
      </c>
      <c r="G331" t="e">
        <f>AND(#REF!,"AAAAAAzd9wY=")</f>
        <v>#REF!</v>
      </c>
      <c r="H331" t="e">
        <f>IF(#REF!,"AAAAAAzd9wc=",0)</f>
        <v>#REF!</v>
      </c>
      <c r="I331" t="e">
        <f>AND(#REF!,"AAAAAAzd9wg=")</f>
        <v>#REF!</v>
      </c>
      <c r="J331" t="e">
        <f>AND(#REF!,"AAAAAAzd9wk=")</f>
        <v>#REF!</v>
      </c>
      <c r="K331" t="e">
        <f>AND(#REF!,"AAAAAAzd9wo=")</f>
        <v>#REF!</v>
      </c>
      <c r="L331" t="e">
        <f>AND(#REF!,"AAAAAAzd9ws=")</f>
        <v>#REF!</v>
      </c>
      <c r="M331" t="e">
        <f>AND(#REF!,"AAAAAAzd9ww=")</f>
        <v>#REF!</v>
      </c>
      <c r="N331" t="e">
        <f>AND(#REF!,"AAAAAAzd9w0=")</f>
        <v>#REF!</v>
      </c>
      <c r="O331" t="e">
        <f>AND(#REF!,"AAAAAAzd9w4=")</f>
        <v>#REF!</v>
      </c>
      <c r="P331" t="e">
        <f>AND(#REF!,"AAAAAAzd9w8=")</f>
        <v>#REF!</v>
      </c>
      <c r="Q331" t="e">
        <f>AND(#REF!,"AAAAAAzd9xA=")</f>
        <v>#REF!</v>
      </c>
      <c r="R331" t="e">
        <f>AND(#REF!,"AAAAAAzd9xE=")</f>
        <v>#REF!</v>
      </c>
      <c r="S331" t="e">
        <f>IF(#REF!,"AAAAAAzd9xI=",0)</f>
        <v>#REF!</v>
      </c>
      <c r="T331" t="e">
        <f>AND(#REF!,"AAAAAAzd9xM=")</f>
        <v>#REF!</v>
      </c>
      <c r="U331" t="e">
        <f>AND(#REF!,"AAAAAAzd9xQ=")</f>
        <v>#REF!</v>
      </c>
      <c r="V331" t="e">
        <f>AND(#REF!,"AAAAAAzd9xU=")</f>
        <v>#REF!</v>
      </c>
      <c r="W331" t="e">
        <f>AND(#REF!,"AAAAAAzd9xY=")</f>
        <v>#REF!</v>
      </c>
      <c r="X331" t="e">
        <f>AND(#REF!,"AAAAAAzd9xc=")</f>
        <v>#REF!</v>
      </c>
      <c r="Y331" t="e">
        <f>AND(#REF!,"AAAAAAzd9xg=")</f>
        <v>#REF!</v>
      </c>
      <c r="Z331" t="e">
        <f>AND(#REF!,"AAAAAAzd9xk=")</f>
        <v>#REF!</v>
      </c>
      <c r="AA331" t="e">
        <f>AND(#REF!,"AAAAAAzd9xo=")</f>
        <v>#REF!</v>
      </c>
      <c r="AB331" t="e">
        <f>AND(#REF!,"AAAAAAzd9xs=")</f>
        <v>#REF!</v>
      </c>
      <c r="AC331" t="e">
        <f>AND(#REF!,"AAAAAAzd9xw=")</f>
        <v>#REF!</v>
      </c>
      <c r="AD331" t="e">
        <f>IF(#REF!,"AAAAAAzd9x0=",0)</f>
        <v>#REF!</v>
      </c>
      <c r="AE331" t="e">
        <f>AND(#REF!,"AAAAAAzd9x4=")</f>
        <v>#REF!</v>
      </c>
      <c r="AF331" t="e">
        <f>AND(#REF!,"AAAAAAzd9x8=")</f>
        <v>#REF!</v>
      </c>
      <c r="AG331" t="e">
        <f>AND(#REF!,"AAAAAAzd9yA=")</f>
        <v>#REF!</v>
      </c>
      <c r="AH331" t="e">
        <f>AND(#REF!,"AAAAAAzd9yE=")</f>
        <v>#REF!</v>
      </c>
      <c r="AI331" t="e">
        <f>AND(#REF!,"AAAAAAzd9yI=")</f>
        <v>#REF!</v>
      </c>
      <c r="AJ331" t="e">
        <f>AND(#REF!,"AAAAAAzd9yM=")</f>
        <v>#REF!</v>
      </c>
      <c r="AK331" t="e">
        <f>AND(#REF!,"AAAAAAzd9yQ=")</f>
        <v>#REF!</v>
      </c>
      <c r="AL331" t="e">
        <f>AND(#REF!,"AAAAAAzd9yU=")</f>
        <v>#REF!</v>
      </c>
      <c r="AM331" t="e">
        <f>AND(#REF!,"AAAAAAzd9yY=")</f>
        <v>#REF!</v>
      </c>
      <c r="AN331" t="e">
        <f>AND(#REF!,"AAAAAAzd9yc=")</f>
        <v>#REF!</v>
      </c>
      <c r="AO331" t="e">
        <f>IF(#REF!,"AAAAAAzd9yg=",0)</f>
        <v>#REF!</v>
      </c>
      <c r="AP331" t="e">
        <f>AND(#REF!,"AAAAAAzd9yk=")</f>
        <v>#REF!</v>
      </c>
      <c r="AQ331" t="e">
        <f>AND(#REF!,"AAAAAAzd9yo=")</f>
        <v>#REF!</v>
      </c>
      <c r="AR331" t="e">
        <f>AND(#REF!,"AAAAAAzd9ys=")</f>
        <v>#REF!</v>
      </c>
      <c r="AS331" t="e">
        <f>AND(#REF!,"AAAAAAzd9yw=")</f>
        <v>#REF!</v>
      </c>
      <c r="AT331" t="e">
        <f>AND(#REF!,"AAAAAAzd9y0=")</f>
        <v>#REF!</v>
      </c>
      <c r="AU331" t="e">
        <f>AND(#REF!,"AAAAAAzd9y4=")</f>
        <v>#REF!</v>
      </c>
      <c r="AV331" t="e">
        <f>AND(#REF!,"AAAAAAzd9y8=")</f>
        <v>#REF!</v>
      </c>
      <c r="AW331" t="e">
        <f>AND(#REF!,"AAAAAAzd9zA=")</f>
        <v>#REF!</v>
      </c>
      <c r="AX331" t="e">
        <f>AND(#REF!,"AAAAAAzd9zE=")</f>
        <v>#REF!</v>
      </c>
      <c r="AY331" t="e">
        <f>AND(#REF!,"AAAAAAzd9zI=")</f>
        <v>#REF!</v>
      </c>
      <c r="AZ331" t="e">
        <f>IF(#REF!,"AAAAAAzd9zM=",0)</f>
        <v>#REF!</v>
      </c>
      <c r="BA331" t="e">
        <f>AND(#REF!,"AAAAAAzd9zQ=")</f>
        <v>#REF!</v>
      </c>
      <c r="BB331" t="e">
        <f>AND(#REF!,"AAAAAAzd9zU=")</f>
        <v>#REF!</v>
      </c>
      <c r="BC331" t="e">
        <f>AND(#REF!,"AAAAAAzd9zY=")</f>
        <v>#REF!</v>
      </c>
      <c r="BD331" t="e">
        <f>AND(#REF!,"AAAAAAzd9zc=")</f>
        <v>#REF!</v>
      </c>
      <c r="BE331" t="e">
        <f>AND(#REF!,"AAAAAAzd9zg=")</f>
        <v>#REF!</v>
      </c>
      <c r="BF331" t="e">
        <f>AND(#REF!,"AAAAAAzd9zk=")</f>
        <v>#REF!</v>
      </c>
      <c r="BG331" t="e">
        <f>AND(#REF!,"AAAAAAzd9zo=")</f>
        <v>#REF!</v>
      </c>
      <c r="BH331" t="e">
        <f>AND(#REF!,"AAAAAAzd9zs=")</f>
        <v>#REF!</v>
      </c>
      <c r="BI331" t="e">
        <f>AND(#REF!,"AAAAAAzd9zw=")</f>
        <v>#REF!</v>
      </c>
      <c r="BJ331" t="e">
        <f>AND(#REF!,"AAAAAAzd9z0=")</f>
        <v>#REF!</v>
      </c>
      <c r="BK331" t="e">
        <f>IF(#REF!,"AAAAAAzd9z4=",0)</f>
        <v>#REF!</v>
      </c>
      <c r="BL331" t="e">
        <f>AND(#REF!,"AAAAAAzd9z8=")</f>
        <v>#REF!</v>
      </c>
      <c r="BM331" t="e">
        <f>AND(#REF!,"AAAAAAzd90A=")</f>
        <v>#REF!</v>
      </c>
      <c r="BN331" t="e">
        <f>AND(#REF!,"AAAAAAzd90E=")</f>
        <v>#REF!</v>
      </c>
      <c r="BO331" t="e">
        <f>AND(#REF!,"AAAAAAzd90I=")</f>
        <v>#REF!</v>
      </c>
      <c r="BP331" t="e">
        <f>AND(#REF!,"AAAAAAzd90M=")</f>
        <v>#REF!</v>
      </c>
      <c r="BQ331" t="e">
        <f>AND(#REF!,"AAAAAAzd90Q=")</f>
        <v>#REF!</v>
      </c>
      <c r="BR331" t="e">
        <f>AND(#REF!,"AAAAAAzd90U=")</f>
        <v>#REF!</v>
      </c>
      <c r="BS331" t="e">
        <f>AND(#REF!,"AAAAAAzd90Y=")</f>
        <v>#REF!</v>
      </c>
      <c r="BT331" t="e">
        <f>AND(#REF!,"AAAAAAzd90c=")</f>
        <v>#REF!</v>
      </c>
      <c r="BU331" t="e">
        <f>AND(#REF!,"AAAAAAzd90g=")</f>
        <v>#REF!</v>
      </c>
      <c r="BV331" t="e">
        <f>IF(#REF!,"AAAAAAzd90k=",0)</f>
        <v>#REF!</v>
      </c>
      <c r="BW331" t="e">
        <f>AND(#REF!,"AAAAAAzd90o=")</f>
        <v>#REF!</v>
      </c>
      <c r="BX331" t="e">
        <f>AND(#REF!,"AAAAAAzd90s=")</f>
        <v>#REF!</v>
      </c>
      <c r="BY331" t="e">
        <f>AND(#REF!,"AAAAAAzd90w=")</f>
        <v>#REF!</v>
      </c>
      <c r="BZ331" t="e">
        <f>AND(#REF!,"AAAAAAzd900=")</f>
        <v>#REF!</v>
      </c>
      <c r="CA331" t="e">
        <f>AND(#REF!,"AAAAAAzd904=")</f>
        <v>#REF!</v>
      </c>
      <c r="CB331" t="e">
        <f>AND(#REF!,"AAAAAAzd908=")</f>
        <v>#REF!</v>
      </c>
      <c r="CC331" t="e">
        <f>AND(#REF!,"AAAAAAzd91A=")</f>
        <v>#REF!</v>
      </c>
      <c r="CD331" t="e">
        <f>AND(#REF!,"AAAAAAzd91E=")</f>
        <v>#REF!</v>
      </c>
      <c r="CE331" t="e">
        <f>AND(#REF!,"AAAAAAzd91I=")</f>
        <v>#REF!</v>
      </c>
      <c r="CF331" t="e">
        <f>AND(#REF!,"AAAAAAzd91M=")</f>
        <v>#REF!</v>
      </c>
      <c r="CG331" t="e">
        <f>IF(#REF!,"AAAAAAzd91Q=",0)</f>
        <v>#REF!</v>
      </c>
      <c r="CH331" t="e">
        <f>AND(#REF!,"AAAAAAzd91U=")</f>
        <v>#REF!</v>
      </c>
      <c r="CI331" t="e">
        <f>AND(#REF!,"AAAAAAzd91Y=")</f>
        <v>#REF!</v>
      </c>
      <c r="CJ331" t="e">
        <f>AND(#REF!,"AAAAAAzd91c=")</f>
        <v>#REF!</v>
      </c>
      <c r="CK331" t="e">
        <f>AND(#REF!,"AAAAAAzd91g=")</f>
        <v>#REF!</v>
      </c>
      <c r="CL331" t="e">
        <f>AND(#REF!,"AAAAAAzd91k=")</f>
        <v>#REF!</v>
      </c>
      <c r="CM331" t="e">
        <f>AND(#REF!,"AAAAAAzd91o=")</f>
        <v>#REF!</v>
      </c>
      <c r="CN331" t="e">
        <f>AND(#REF!,"AAAAAAzd91s=")</f>
        <v>#REF!</v>
      </c>
      <c r="CO331" t="e">
        <f>AND(#REF!,"AAAAAAzd91w=")</f>
        <v>#REF!</v>
      </c>
      <c r="CP331" t="e">
        <f>AND(#REF!,"AAAAAAzd910=")</f>
        <v>#REF!</v>
      </c>
      <c r="CQ331" t="e">
        <f>AND(#REF!,"AAAAAAzd914=")</f>
        <v>#REF!</v>
      </c>
      <c r="CR331" t="e">
        <f>IF(#REF!,"AAAAAAzd918=",0)</f>
        <v>#REF!</v>
      </c>
      <c r="CS331" t="e">
        <f>AND(#REF!,"AAAAAAzd92A=")</f>
        <v>#REF!</v>
      </c>
      <c r="CT331" t="e">
        <f>AND(#REF!,"AAAAAAzd92E=")</f>
        <v>#REF!</v>
      </c>
      <c r="CU331" t="e">
        <f>AND(#REF!,"AAAAAAzd92I=")</f>
        <v>#REF!</v>
      </c>
      <c r="CV331" t="e">
        <f>AND(#REF!,"AAAAAAzd92M=")</f>
        <v>#REF!</v>
      </c>
      <c r="CW331" t="e">
        <f>AND(#REF!,"AAAAAAzd92Q=")</f>
        <v>#REF!</v>
      </c>
      <c r="CX331" t="e">
        <f>AND(#REF!,"AAAAAAzd92U=")</f>
        <v>#REF!</v>
      </c>
      <c r="CY331" t="e">
        <f>AND(#REF!,"AAAAAAzd92Y=")</f>
        <v>#REF!</v>
      </c>
      <c r="CZ331" t="e">
        <f>AND(#REF!,"AAAAAAzd92c=")</f>
        <v>#REF!</v>
      </c>
      <c r="DA331" t="e">
        <f>AND(#REF!,"AAAAAAzd92g=")</f>
        <v>#REF!</v>
      </c>
      <c r="DB331" t="e">
        <f>AND(#REF!,"AAAAAAzd92k=")</f>
        <v>#REF!</v>
      </c>
      <c r="DC331" t="e">
        <f>IF(#REF!,"AAAAAAzd92o=",0)</f>
        <v>#REF!</v>
      </c>
      <c r="DD331" t="e">
        <f>AND(#REF!,"AAAAAAzd92s=")</f>
        <v>#REF!</v>
      </c>
      <c r="DE331" t="e">
        <f>AND(#REF!,"AAAAAAzd92w=")</f>
        <v>#REF!</v>
      </c>
      <c r="DF331" t="e">
        <f>AND(#REF!,"AAAAAAzd920=")</f>
        <v>#REF!</v>
      </c>
      <c r="DG331" t="e">
        <f>AND(#REF!,"AAAAAAzd924=")</f>
        <v>#REF!</v>
      </c>
      <c r="DH331" t="e">
        <f>AND(#REF!,"AAAAAAzd928=")</f>
        <v>#REF!</v>
      </c>
      <c r="DI331" t="e">
        <f>AND(#REF!,"AAAAAAzd93A=")</f>
        <v>#REF!</v>
      </c>
      <c r="DJ331" t="e">
        <f>AND(#REF!,"AAAAAAzd93E=")</f>
        <v>#REF!</v>
      </c>
      <c r="DK331" t="e">
        <f>AND(#REF!,"AAAAAAzd93I=")</f>
        <v>#REF!</v>
      </c>
      <c r="DL331" t="e">
        <f>AND(#REF!,"AAAAAAzd93M=")</f>
        <v>#REF!</v>
      </c>
      <c r="DM331" t="e">
        <f>AND(#REF!,"AAAAAAzd93Q=")</f>
        <v>#REF!</v>
      </c>
      <c r="DN331" t="e">
        <f>IF(#REF!,"AAAAAAzd93U=",0)</f>
        <v>#REF!</v>
      </c>
      <c r="DO331" t="e">
        <f>AND(#REF!,"AAAAAAzd93Y=")</f>
        <v>#REF!</v>
      </c>
      <c r="DP331" t="e">
        <f>AND(#REF!,"AAAAAAzd93c=")</f>
        <v>#REF!</v>
      </c>
      <c r="DQ331" t="e">
        <f>AND(#REF!,"AAAAAAzd93g=")</f>
        <v>#REF!</v>
      </c>
      <c r="DR331" t="e">
        <f>AND(#REF!,"AAAAAAzd93k=")</f>
        <v>#REF!</v>
      </c>
      <c r="DS331" t="e">
        <f>AND(#REF!,"AAAAAAzd93o=")</f>
        <v>#REF!</v>
      </c>
      <c r="DT331" t="e">
        <f>AND(#REF!,"AAAAAAzd93s=")</f>
        <v>#REF!</v>
      </c>
      <c r="DU331" t="e">
        <f>AND(#REF!,"AAAAAAzd93w=")</f>
        <v>#REF!</v>
      </c>
      <c r="DV331" t="e">
        <f>AND(#REF!,"AAAAAAzd930=")</f>
        <v>#REF!</v>
      </c>
      <c r="DW331" t="e">
        <f>AND(#REF!,"AAAAAAzd934=")</f>
        <v>#REF!</v>
      </c>
      <c r="DX331" t="e">
        <f>AND(#REF!,"AAAAAAzd938=")</f>
        <v>#REF!</v>
      </c>
      <c r="DY331" t="e">
        <f>IF(#REF!,"AAAAAAzd94A=",0)</f>
        <v>#REF!</v>
      </c>
      <c r="DZ331" t="e">
        <f>AND(#REF!,"AAAAAAzd94E=")</f>
        <v>#REF!</v>
      </c>
      <c r="EA331" t="e">
        <f>AND(#REF!,"AAAAAAzd94I=")</f>
        <v>#REF!</v>
      </c>
      <c r="EB331" t="e">
        <f>AND(#REF!,"AAAAAAzd94M=")</f>
        <v>#REF!</v>
      </c>
      <c r="EC331" t="e">
        <f>AND(#REF!,"AAAAAAzd94Q=")</f>
        <v>#REF!</v>
      </c>
      <c r="ED331" t="e">
        <f>AND(#REF!,"AAAAAAzd94U=")</f>
        <v>#REF!</v>
      </c>
      <c r="EE331" t="e">
        <f>AND(#REF!,"AAAAAAzd94Y=")</f>
        <v>#REF!</v>
      </c>
      <c r="EF331" t="e">
        <f>AND(#REF!,"AAAAAAzd94c=")</f>
        <v>#REF!</v>
      </c>
      <c r="EG331" t="e">
        <f>AND(#REF!,"AAAAAAzd94g=")</f>
        <v>#REF!</v>
      </c>
      <c r="EH331" t="e">
        <f>AND(#REF!,"AAAAAAzd94k=")</f>
        <v>#REF!</v>
      </c>
      <c r="EI331" t="e">
        <f>AND(#REF!,"AAAAAAzd94o=")</f>
        <v>#REF!</v>
      </c>
      <c r="EJ331" t="e">
        <f>IF(#REF!,"AAAAAAzd94s=",0)</f>
        <v>#REF!</v>
      </c>
      <c r="EK331" t="e">
        <f>AND(#REF!,"AAAAAAzd94w=")</f>
        <v>#REF!</v>
      </c>
      <c r="EL331" t="e">
        <f>AND(#REF!,"AAAAAAzd940=")</f>
        <v>#REF!</v>
      </c>
      <c r="EM331" t="e">
        <f>AND(#REF!,"AAAAAAzd944=")</f>
        <v>#REF!</v>
      </c>
      <c r="EN331" t="e">
        <f>AND(#REF!,"AAAAAAzd948=")</f>
        <v>#REF!</v>
      </c>
      <c r="EO331" t="e">
        <f>AND(#REF!,"AAAAAAzd95A=")</f>
        <v>#REF!</v>
      </c>
      <c r="EP331" t="e">
        <f>AND(#REF!,"AAAAAAzd95E=")</f>
        <v>#REF!</v>
      </c>
      <c r="EQ331" t="e">
        <f>AND(#REF!,"AAAAAAzd95I=")</f>
        <v>#REF!</v>
      </c>
      <c r="ER331" t="e">
        <f>AND(#REF!,"AAAAAAzd95M=")</f>
        <v>#REF!</v>
      </c>
      <c r="ES331" t="e">
        <f>AND(#REF!,"AAAAAAzd95Q=")</f>
        <v>#REF!</v>
      </c>
      <c r="ET331" t="e">
        <f>AND(#REF!,"AAAAAAzd95U=")</f>
        <v>#REF!</v>
      </c>
      <c r="EU331" t="e">
        <f>IF(#REF!,"AAAAAAzd95Y=",0)</f>
        <v>#REF!</v>
      </c>
      <c r="EV331" t="e">
        <f>AND(#REF!,"AAAAAAzd95c=")</f>
        <v>#REF!</v>
      </c>
      <c r="EW331" t="e">
        <f>AND(#REF!,"AAAAAAzd95g=")</f>
        <v>#REF!</v>
      </c>
      <c r="EX331" t="e">
        <f>AND(#REF!,"AAAAAAzd95k=")</f>
        <v>#REF!</v>
      </c>
      <c r="EY331" t="e">
        <f>AND(#REF!,"AAAAAAzd95o=")</f>
        <v>#REF!</v>
      </c>
      <c r="EZ331" t="e">
        <f>AND(#REF!,"AAAAAAzd95s=")</f>
        <v>#REF!</v>
      </c>
      <c r="FA331" t="e">
        <f>AND(#REF!,"AAAAAAzd95w=")</f>
        <v>#REF!</v>
      </c>
      <c r="FB331" t="e">
        <f>AND(#REF!,"AAAAAAzd950=")</f>
        <v>#REF!</v>
      </c>
      <c r="FC331" t="e">
        <f>AND(#REF!,"AAAAAAzd954=")</f>
        <v>#REF!</v>
      </c>
      <c r="FD331" t="e">
        <f>AND(#REF!,"AAAAAAzd958=")</f>
        <v>#REF!</v>
      </c>
      <c r="FE331" t="e">
        <f>AND(#REF!,"AAAAAAzd96A=")</f>
        <v>#REF!</v>
      </c>
      <c r="FF331" t="e">
        <f>IF(#REF!,"AAAAAAzd96E=",0)</f>
        <v>#REF!</v>
      </c>
      <c r="FG331" t="e">
        <f>AND(#REF!,"AAAAAAzd96I=")</f>
        <v>#REF!</v>
      </c>
      <c r="FH331" t="e">
        <f>AND(#REF!,"AAAAAAzd96M=")</f>
        <v>#REF!</v>
      </c>
      <c r="FI331" t="e">
        <f>AND(#REF!,"AAAAAAzd96Q=")</f>
        <v>#REF!</v>
      </c>
      <c r="FJ331" t="e">
        <f>AND(#REF!,"AAAAAAzd96U=")</f>
        <v>#REF!</v>
      </c>
      <c r="FK331" t="e">
        <f>AND(#REF!,"AAAAAAzd96Y=")</f>
        <v>#REF!</v>
      </c>
      <c r="FL331" t="e">
        <f>AND(#REF!,"AAAAAAzd96c=")</f>
        <v>#REF!</v>
      </c>
      <c r="FM331" t="e">
        <f>AND(#REF!,"AAAAAAzd96g=")</f>
        <v>#REF!</v>
      </c>
      <c r="FN331" t="e">
        <f>AND(#REF!,"AAAAAAzd96k=")</f>
        <v>#REF!</v>
      </c>
      <c r="FO331" t="e">
        <f>AND(#REF!,"AAAAAAzd96o=")</f>
        <v>#REF!</v>
      </c>
      <c r="FP331" t="e">
        <f>AND(#REF!,"AAAAAAzd96s=")</f>
        <v>#REF!</v>
      </c>
      <c r="FQ331" t="e">
        <f>IF(#REF!,"AAAAAAzd96w=",0)</f>
        <v>#REF!</v>
      </c>
      <c r="FR331" t="e">
        <f>AND(#REF!,"AAAAAAzd960=")</f>
        <v>#REF!</v>
      </c>
      <c r="FS331" t="e">
        <f>AND(#REF!,"AAAAAAzd964=")</f>
        <v>#REF!</v>
      </c>
      <c r="FT331" t="e">
        <f>AND(#REF!,"AAAAAAzd968=")</f>
        <v>#REF!</v>
      </c>
      <c r="FU331" t="e">
        <f>AND(#REF!,"AAAAAAzd97A=")</f>
        <v>#REF!</v>
      </c>
      <c r="FV331" t="e">
        <f>AND(#REF!,"AAAAAAzd97E=")</f>
        <v>#REF!</v>
      </c>
      <c r="FW331" t="e">
        <f>AND(#REF!,"AAAAAAzd97I=")</f>
        <v>#REF!</v>
      </c>
      <c r="FX331" t="e">
        <f>AND(#REF!,"AAAAAAzd97M=")</f>
        <v>#REF!</v>
      </c>
      <c r="FY331" t="e">
        <f>AND(#REF!,"AAAAAAzd97Q=")</f>
        <v>#REF!</v>
      </c>
      <c r="FZ331" t="e">
        <f>AND(#REF!,"AAAAAAzd97U=")</f>
        <v>#REF!</v>
      </c>
      <c r="GA331" t="e">
        <f>AND(#REF!,"AAAAAAzd97Y=")</f>
        <v>#REF!</v>
      </c>
      <c r="GB331" t="e">
        <f>IF(#REF!,"AAAAAAzd97c=",0)</f>
        <v>#REF!</v>
      </c>
      <c r="GC331" t="e">
        <f>AND(#REF!,"AAAAAAzd97g=")</f>
        <v>#REF!</v>
      </c>
      <c r="GD331" t="e">
        <f>AND(#REF!,"AAAAAAzd97k=")</f>
        <v>#REF!</v>
      </c>
      <c r="GE331" t="e">
        <f>AND(#REF!,"AAAAAAzd97o=")</f>
        <v>#REF!</v>
      </c>
      <c r="GF331" t="e">
        <f>AND(#REF!,"AAAAAAzd97s=")</f>
        <v>#REF!</v>
      </c>
      <c r="GG331" t="e">
        <f>AND(#REF!,"AAAAAAzd97w=")</f>
        <v>#REF!</v>
      </c>
      <c r="GH331" t="e">
        <f>AND(#REF!,"AAAAAAzd970=")</f>
        <v>#REF!</v>
      </c>
      <c r="GI331" t="e">
        <f>AND(#REF!,"AAAAAAzd974=")</f>
        <v>#REF!</v>
      </c>
      <c r="GJ331" t="e">
        <f>AND(#REF!,"AAAAAAzd978=")</f>
        <v>#REF!</v>
      </c>
      <c r="GK331" t="e">
        <f>AND(#REF!,"AAAAAAzd98A=")</f>
        <v>#REF!</v>
      </c>
      <c r="GL331" t="e">
        <f>AND(#REF!,"AAAAAAzd98E=")</f>
        <v>#REF!</v>
      </c>
      <c r="GM331" t="e">
        <f>IF(#REF!,"AAAAAAzd98I=",0)</f>
        <v>#REF!</v>
      </c>
      <c r="GN331" t="e">
        <f>AND(#REF!,"AAAAAAzd98M=")</f>
        <v>#REF!</v>
      </c>
      <c r="GO331" t="e">
        <f>AND(#REF!,"AAAAAAzd98Q=")</f>
        <v>#REF!</v>
      </c>
      <c r="GP331" t="e">
        <f>AND(#REF!,"AAAAAAzd98U=")</f>
        <v>#REF!</v>
      </c>
      <c r="GQ331" t="e">
        <f>AND(#REF!,"AAAAAAzd98Y=")</f>
        <v>#REF!</v>
      </c>
      <c r="GR331" t="e">
        <f>AND(#REF!,"AAAAAAzd98c=")</f>
        <v>#REF!</v>
      </c>
      <c r="GS331" t="e">
        <f>AND(#REF!,"AAAAAAzd98g=")</f>
        <v>#REF!</v>
      </c>
      <c r="GT331" t="e">
        <f>AND(#REF!,"AAAAAAzd98k=")</f>
        <v>#REF!</v>
      </c>
      <c r="GU331" t="e">
        <f>AND(#REF!,"AAAAAAzd98o=")</f>
        <v>#REF!</v>
      </c>
      <c r="GV331" t="e">
        <f>AND(#REF!,"AAAAAAzd98s=")</f>
        <v>#REF!</v>
      </c>
      <c r="GW331" t="e">
        <f>AND(#REF!,"AAAAAAzd98w=")</f>
        <v>#REF!</v>
      </c>
      <c r="GX331" t="e">
        <f>IF(#REF!,"AAAAAAzd980=",0)</f>
        <v>#REF!</v>
      </c>
      <c r="GY331" t="e">
        <f>AND(#REF!,"AAAAAAzd984=")</f>
        <v>#REF!</v>
      </c>
      <c r="GZ331" t="e">
        <f>AND(#REF!,"AAAAAAzd988=")</f>
        <v>#REF!</v>
      </c>
      <c r="HA331" t="e">
        <f>AND(#REF!,"AAAAAAzd99A=")</f>
        <v>#REF!</v>
      </c>
      <c r="HB331" t="e">
        <f>AND(#REF!,"AAAAAAzd99E=")</f>
        <v>#REF!</v>
      </c>
      <c r="HC331" t="e">
        <f>AND(#REF!,"AAAAAAzd99I=")</f>
        <v>#REF!</v>
      </c>
      <c r="HD331" t="e">
        <f>AND(#REF!,"AAAAAAzd99M=")</f>
        <v>#REF!</v>
      </c>
      <c r="HE331" t="e">
        <f>AND(#REF!,"AAAAAAzd99Q=")</f>
        <v>#REF!</v>
      </c>
      <c r="HF331" t="e">
        <f>AND(#REF!,"AAAAAAzd99U=")</f>
        <v>#REF!</v>
      </c>
      <c r="HG331" t="e">
        <f>AND(#REF!,"AAAAAAzd99Y=")</f>
        <v>#REF!</v>
      </c>
      <c r="HH331" t="e">
        <f>AND(#REF!,"AAAAAAzd99c=")</f>
        <v>#REF!</v>
      </c>
      <c r="HI331" t="e">
        <f>IF(#REF!,"AAAAAAzd99g=",0)</f>
        <v>#REF!</v>
      </c>
      <c r="HJ331" t="e">
        <f>AND(#REF!,"AAAAAAzd99k=")</f>
        <v>#REF!</v>
      </c>
      <c r="HK331" t="e">
        <f>AND(#REF!,"AAAAAAzd99o=")</f>
        <v>#REF!</v>
      </c>
      <c r="HL331" t="e">
        <f>AND(#REF!,"AAAAAAzd99s=")</f>
        <v>#REF!</v>
      </c>
      <c r="HM331" t="e">
        <f>AND(#REF!,"AAAAAAzd99w=")</f>
        <v>#REF!</v>
      </c>
      <c r="HN331" t="e">
        <f>AND(#REF!,"AAAAAAzd990=")</f>
        <v>#REF!</v>
      </c>
      <c r="HO331" t="e">
        <f>AND(#REF!,"AAAAAAzd994=")</f>
        <v>#REF!</v>
      </c>
      <c r="HP331" t="e">
        <f>AND(#REF!,"AAAAAAzd998=")</f>
        <v>#REF!</v>
      </c>
      <c r="HQ331" t="e">
        <f>AND(#REF!,"AAAAAAzd9+A=")</f>
        <v>#REF!</v>
      </c>
      <c r="HR331" t="e">
        <f>AND(#REF!,"AAAAAAzd9+E=")</f>
        <v>#REF!</v>
      </c>
      <c r="HS331" t="e">
        <f>AND(#REF!,"AAAAAAzd9+I=")</f>
        <v>#REF!</v>
      </c>
      <c r="HT331" t="e">
        <f>IF(#REF!,"AAAAAAzd9+M=",0)</f>
        <v>#REF!</v>
      </c>
      <c r="HU331" t="e">
        <f>AND(#REF!,"AAAAAAzd9+Q=")</f>
        <v>#REF!</v>
      </c>
      <c r="HV331" t="e">
        <f>AND(#REF!,"AAAAAAzd9+U=")</f>
        <v>#REF!</v>
      </c>
      <c r="HW331" t="e">
        <f>AND(#REF!,"AAAAAAzd9+Y=")</f>
        <v>#REF!</v>
      </c>
      <c r="HX331" t="e">
        <f>AND(#REF!,"AAAAAAzd9+c=")</f>
        <v>#REF!</v>
      </c>
      <c r="HY331" t="e">
        <f>AND(#REF!,"AAAAAAzd9+g=")</f>
        <v>#REF!</v>
      </c>
      <c r="HZ331" t="e">
        <f>AND(#REF!,"AAAAAAzd9+k=")</f>
        <v>#REF!</v>
      </c>
      <c r="IA331" t="e">
        <f>AND(#REF!,"AAAAAAzd9+o=")</f>
        <v>#REF!</v>
      </c>
      <c r="IB331" t="e">
        <f>AND(#REF!,"AAAAAAzd9+s=")</f>
        <v>#REF!</v>
      </c>
      <c r="IC331" t="e">
        <f>AND(#REF!,"AAAAAAzd9+w=")</f>
        <v>#REF!</v>
      </c>
      <c r="ID331" t="e">
        <f>AND(#REF!,"AAAAAAzd9+0=")</f>
        <v>#REF!</v>
      </c>
      <c r="IE331" t="e">
        <f>IF(#REF!,"AAAAAAzd9+4=",0)</f>
        <v>#REF!</v>
      </c>
      <c r="IF331" t="e">
        <f>AND(#REF!,"AAAAAAzd9+8=")</f>
        <v>#REF!</v>
      </c>
      <c r="IG331" t="e">
        <f>AND(#REF!,"AAAAAAzd9/A=")</f>
        <v>#REF!</v>
      </c>
      <c r="IH331" t="e">
        <f>AND(#REF!,"AAAAAAzd9/E=")</f>
        <v>#REF!</v>
      </c>
      <c r="II331" t="e">
        <f>AND(#REF!,"AAAAAAzd9/I=")</f>
        <v>#REF!</v>
      </c>
      <c r="IJ331" t="e">
        <f>AND(#REF!,"AAAAAAzd9/M=")</f>
        <v>#REF!</v>
      </c>
      <c r="IK331" t="e">
        <f>AND(#REF!,"AAAAAAzd9/Q=")</f>
        <v>#REF!</v>
      </c>
      <c r="IL331" t="e">
        <f>AND(#REF!,"AAAAAAzd9/U=")</f>
        <v>#REF!</v>
      </c>
      <c r="IM331" t="e">
        <f>AND(#REF!,"AAAAAAzd9/Y=")</f>
        <v>#REF!</v>
      </c>
      <c r="IN331" t="e">
        <f>AND(#REF!,"AAAAAAzd9/c=")</f>
        <v>#REF!</v>
      </c>
      <c r="IO331" t="e">
        <f>AND(#REF!,"AAAAAAzd9/g=")</f>
        <v>#REF!</v>
      </c>
      <c r="IP331" t="e">
        <f>IF(#REF!,"AAAAAAzd9/k=",0)</f>
        <v>#REF!</v>
      </c>
      <c r="IQ331" t="e">
        <f>AND(#REF!,"AAAAAAzd9/o=")</f>
        <v>#REF!</v>
      </c>
      <c r="IR331" t="e">
        <f>AND(#REF!,"AAAAAAzd9/s=")</f>
        <v>#REF!</v>
      </c>
      <c r="IS331" t="e">
        <f>AND(#REF!,"AAAAAAzd9/w=")</f>
        <v>#REF!</v>
      </c>
      <c r="IT331" t="e">
        <f>AND(#REF!,"AAAAAAzd9/0=")</f>
        <v>#REF!</v>
      </c>
      <c r="IU331" t="e">
        <f>AND(#REF!,"AAAAAAzd9/4=")</f>
        <v>#REF!</v>
      </c>
      <c r="IV331" t="e">
        <f>AND(#REF!,"AAAAAAzd9/8=")</f>
        <v>#REF!</v>
      </c>
    </row>
    <row r="332" spans="1:256" x14ac:dyDescent="0.25">
      <c r="A332" t="e">
        <f>AND(#REF!,"AAAAAH/+zQA=")</f>
        <v>#REF!</v>
      </c>
      <c r="B332" t="e">
        <f>AND(#REF!,"AAAAAH/+zQE=")</f>
        <v>#REF!</v>
      </c>
      <c r="C332" t="e">
        <f>AND(#REF!,"AAAAAH/+zQI=")</f>
        <v>#REF!</v>
      </c>
      <c r="D332" t="e">
        <f>AND(#REF!,"AAAAAH/+zQM=")</f>
        <v>#REF!</v>
      </c>
      <c r="E332" t="e">
        <f>IF(#REF!,"AAAAAH/+zQQ=",0)</f>
        <v>#REF!</v>
      </c>
      <c r="F332" t="e">
        <f>AND(#REF!,"AAAAAH/+zQU=")</f>
        <v>#REF!</v>
      </c>
      <c r="G332" t="e">
        <f>AND(#REF!,"AAAAAH/+zQY=")</f>
        <v>#REF!</v>
      </c>
      <c r="H332" t="e">
        <f>AND(#REF!,"AAAAAH/+zQc=")</f>
        <v>#REF!</v>
      </c>
      <c r="I332" t="e">
        <f>AND(#REF!,"AAAAAH/+zQg=")</f>
        <v>#REF!</v>
      </c>
      <c r="J332" t="e">
        <f>AND(#REF!,"AAAAAH/+zQk=")</f>
        <v>#REF!</v>
      </c>
      <c r="K332" t="e">
        <f>AND(#REF!,"AAAAAH/+zQo=")</f>
        <v>#REF!</v>
      </c>
      <c r="L332" t="e">
        <f>AND(#REF!,"AAAAAH/+zQs=")</f>
        <v>#REF!</v>
      </c>
      <c r="M332" t="e">
        <f>AND(#REF!,"AAAAAH/+zQw=")</f>
        <v>#REF!</v>
      </c>
      <c r="N332" t="e">
        <f>AND(#REF!,"AAAAAH/+zQ0=")</f>
        <v>#REF!</v>
      </c>
      <c r="O332" t="e">
        <f>AND(#REF!,"AAAAAH/+zQ4=")</f>
        <v>#REF!</v>
      </c>
      <c r="P332" t="e">
        <f>IF(#REF!,"AAAAAH/+zQ8=",0)</f>
        <v>#REF!</v>
      </c>
      <c r="Q332" t="e">
        <f>AND(#REF!,"AAAAAH/+zRA=")</f>
        <v>#REF!</v>
      </c>
      <c r="R332" t="e">
        <f>AND(#REF!,"AAAAAH/+zRE=")</f>
        <v>#REF!</v>
      </c>
      <c r="S332" t="e">
        <f>AND(#REF!,"AAAAAH/+zRI=")</f>
        <v>#REF!</v>
      </c>
      <c r="T332" t="e">
        <f>AND(#REF!,"AAAAAH/+zRM=")</f>
        <v>#REF!</v>
      </c>
      <c r="U332" t="e">
        <f>AND(#REF!,"AAAAAH/+zRQ=")</f>
        <v>#REF!</v>
      </c>
      <c r="V332" t="e">
        <f>AND(#REF!,"AAAAAH/+zRU=")</f>
        <v>#REF!</v>
      </c>
      <c r="W332" t="e">
        <f>AND(#REF!,"AAAAAH/+zRY=")</f>
        <v>#REF!</v>
      </c>
      <c r="X332" t="e">
        <f>AND(#REF!,"AAAAAH/+zRc=")</f>
        <v>#REF!</v>
      </c>
      <c r="Y332" t="e">
        <f>AND(#REF!,"AAAAAH/+zRg=")</f>
        <v>#REF!</v>
      </c>
      <c r="Z332" t="e">
        <f>AND(#REF!,"AAAAAH/+zRk=")</f>
        <v>#REF!</v>
      </c>
      <c r="AA332" t="e">
        <f>IF(#REF!,"AAAAAH/+zRo=",0)</f>
        <v>#REF!</v>
      </c>
      <c r="AB332" t="e">
        <f>AND(#REF!,"AAAAAH/+zRs=")</f>
        <v>#REF!</v>
      </c>
      <c r="AC332" t="e">
        <f>AND(#REF!,"AAAAAH/+zRw=")</f>
        <v>#REF!</v>
      </c>
      <c r="AD332" t="e">
        <f>AND(#REF!,"AAAAAH/+zR0=")</f>
        <v>#REF!</v>
      </c>
      <c r="AE332" t="e">
        <f>AND(#REF!,"AAAAAH/+zR4=")</f>
        <v>#REF!</v>
      </c>
      <c r="AF332" t="e">
        <f>AND(#REF!,"AAAAAH/+zR8=")</f>
        <v>#REF!</v>
      </c>
      <c r="AG332" t="e">
        <f>AND(#REF!,"AAAAAH/+zSA=")</f>
        <v>#REF!</v>
      </c>
      <c r="AH332" t="e">
        <f>AND(#REF!,"AAAAAH/+zSE=")</f>
        <v>#REF!</v>
      </c>
      <c r="AI332" t="e">
        <f>AND(#REF!,"AAAAAH/+zSI=")</f>
        <v>#REF!</v>
      </c>
      <c r="AJ332" t="e">
        <f>AND(#REF!,"AAAAAH/+zSM=")</f>
        <v>#REF!</v>
      </c>
      <c r="AK332" t="e">
        <f>AND(#REF!,"AAAAAH/+zSQ=")</f>
        <v>#REF!</v>
      </c>
      <c r="AL332" t="e">
        <f>IF(#REF!,"AAAAAH/+zSU=",0)</f>
        <v>#REF!</v>
      </c>
      <c r="AM332" t="e">
        <f>AND(#REF!,"AAAAAH/+zSY=")</f>
        <v>#REF!</v>
      </c>
      <c r="AN332" t="e">
        <f>AND(#REF!,"AAAAAH/+zSc=")</f>
        <v>#REF!</v>
      </c>
      <c r="AO332" t="e">
        <f>AND(#REF!,"AAAAAH/+zSg=")</f>
        <v>#REF!</v>
      </c>
      <c r="AP332" t="e">
        <f>AND(#REF!,"AAAAAH/+zSk=")</f>
        <v>#REF!</v>
      </c>
      <c r="AQ332" t="e">
        <f>AND(#REF!,"AAAAAH/+zSo=")</f>
        <v>#REF!</v>
      </c>
      <c r="AR332" t="e">
        <f>AND(#REF!,"AAAAAH/+zSs=")</f>
        <v>#REF!</v>
      </c>
      <c r="AS332" t="e">
        <f>AND(#REF!,"AAAAAH/+zSw=")</f>
        <v>#REF!</v>
      </c>
      <c r="AT332" t="e">
        <f>AND(#REF!,"AAAAAH/+zS0=")</f>
        <v>#REF!</v>
      </c>
      <c r="AU332" t="e">
        <f>AND(#REF!,"AAAAAH/+zS4=")</f>
        <v>#REF!</v>
      </c>
      <c r="AV332" t="e">
        <f>AND(#REF!,"AAAAAH/+zS8=")</f>
        <v>#REF!</v>
      </c>
      <c r="AW332" t="e">
        <f>IF(#REF!,"AAAAAH/+zTA=",0)</f>
        <v>#REF!</v>
      </c>
      <c r="AX332" t="e">
        <f>AND(#REF!,"AAAAAH/+zTE=")</f>
        <v>#REF!</v>
      </c>
      <c r="AY332" t="e">
        <f>AND(#REF!,"AAAAAH/+zTI=")</f>
        <v>#REF!</v>
      </c>
      <c r="AZ332" t="e">
        <f>AND(#REF!,"AAAAAH/+zTM=")</f>
        <v>#REF!</v>
      </c>
      <c r="BA332" t="e">
        <f>AND(#REF!,"AAAAAH/+zTQ=")</f>
        <v>#REF!</v>
      </c>
      <c r="BB332" t="e">
        <f>AND(#REF!,"AAAAAH/+zTU=")</f>
        <v>#REF!</v>
      </c>
      <c r="BC332" t="e">
        <f>AND(#REF!,"AAAAAH/+zTY=")</f>
        <v>#REF!</v>
      </c>
      <c r="BD332" t="e">
        <f>AND(#REF!,"AAAAAH/+zTc=")</f>
        <v>#REF!</v>
      </c>
      <c r="BE332" t="e">
        <f>AND(#REF!,"AAAAAH/+zTg=")</f>
        <v>#REF!</v>
      </c>
      <c r="BF332" t="e">
        <f>AND(#REF!,"AAAAAH/+zTk=")</f>
        <v>#REF!</v>
      </c>
      <c r="BG332" t="e">
        <f>AND(#REF!,"AAAAAH/+zTo=")</f>
        <v>#REF!</v>
      </c>
      <c r="BH332" t="e">
        <f>IF(#REF!,"AAAAAH/+zTs=",0)</f>
        <v>#REF!</v>
      </c>
      <c r="BI332" t="e">
        <f>AND(#REF!,"AAAAAH/+zTw=")</f>
        <v>#REF!</v>
      </c>
      <c r="BJ332" t="e">
        <f>AND(#REF!,"AAAAAH/+zT0=")</f>
        <v>#REF!</v>
      </c>
      <c r="BK332" t="e">
        <f>AND(#REF!,"AAAAAH/+zT4=")</f>
        <v>#REF!</v>
      </c>
      <c r="BL332" t="e">
        <f>AND(#REF!,"AAAAAH/+zT8=")</f>
        <v>#REF!</v>
      </c>
      <c r="BM332" t="e">
        <f>AND(#REF!,"AAAAAH/+zUA=")</f>
        <v>#REF!</v>
      </c>
      <c r="BN332" t="e">
        <f>AND(#REF!,"AAAAAH/+zUE=")</f>
        <v>#REF!</v>
      </c>
      <c r="BO332" t="e">
        <f>AND(#REF!,"AAAAAH/+zUI=")</f>
        <v>#REF!</v>
      </c>
      <c r="BP332" t="e">
        <f>AND(#REF!,"AAAAAH/+zUM=")</f>
        <v>#REF!</v>
      </c>
      <c r="BQ332" t="e">
        <f>AND(#REF!,"AAAAAH/+zUQ=")</f>
        <v>#REF!</v>
      </c>
      <c r="BR332" t="e">
        <f>AND(#REF!,"AAAAAH/+zUU=")</f>
        <v>#REF!</v>
      </c>
      <c r="BS332" t="e">
        <f>IF(#REF!,"AAAAAH/+zUY=",0)</f>
        <v>#REF!</v>
      </c>
      <c r="BT332" t="e">
        <f>AND(#REF!,"AAAAAH/+zUc=")</f>
        <v>#REF!</v>
      </c>
      <c r="BU332" t="e">
        <f>AND(#REF!,"AAAAAH/+zUg=")</f>
        <v>#REF!</v>
      </c>
      <c r="BV332" t="e">
        <f>AND(#REF!,"AAAAAH/+zUk=")</f>
        <v>#REF!</v>
      </c>
      <c r="BW332" t="e">
        <f>AND(#REF!,"AAAAAH/+zUo=")</f>
        <v>#REF!</v>
      </c>
      <c r="BX332" t="e">
        <f>AND(#REF!,"AAAAAH/+zUs=")</f>
        <v>#REF!</v>
      </c>
      <c r="BY332" t="e">
        <f>AND(#REF!,"AAAAAH/+zUw=")</f>
        <v>#REF!</v>
      </c>
      <c r="BZ332" t="e">
        <f>AND(#REF!,"AAAAAH/+zU0=")</f>
        <v>#REF!</v>
      </c>
      <c r="CA332" t="e">
        <f>AND(#REF!,"AAAAAH/+zU4=")</f>
        <v>#REF!</v>
      </c>
      <c r="CB332" t="e">
        <f>AND(#REF!,"AAAAAH/+zU8=")</f>
        <v>#REF!</v>
      </c>
      <c r="CC332" t="e">
        <f>AND(#REF!,"AAAAAH/+zVA=")</f>
        <v>#REF!</v>
      </c>
      <c r="CD332" t="e">
        <f>IF(#REF!,"AAAAAH/+zVE=",0)</f>
        <v>#REF!</v>
      </c>
      <c r="CE332" t="e">
        <f>AND(#REF!,"AAAAAH/+zVI=")</f>
        <v>#REF!</v>
      </c>
      <c r="CF332" t="e">
        <f>AND(#REF!,"AAAAAH/+zVM=")</f>
        <v>#REF!</v>
      </c>
      <c r="CG332" t="e">
        <f>AND(#REF!,"AAAAAH/+zVQ=")</f>
        <v>#REF!</v>
      </c>
      <c r="CH332" t="e">
        <f>AND(#REF!,"AAAAAH/+zVU=")</f>
        <v>#REF!</v>
      </c>
      <c r="CI332" t="e">
        <f>AND(#REF!,"AAAAAH/+zVY=")</f>
        <v>#REF!</v>
      </c>
      <c r="CJ332" t="e">
        <f>AND(#REF!,"AAAAAH/+zVc=")</f>
        <v>#REF!</v>
      </c>
      <c r="CK332" t="e">
        <f>AND(#REF!,"AAAAAH/+zVg=")</f>
        <v>#REF!</v>
      </c>
      <c r="CL332" t="e">
        <f>AND(#REF!,"AAAAAH/+zVk=")</f>
        <v>#REF!</v>
      </c>
      <c r="CM332" t="e">
        <f>AND(#REF!,"AAAAAH/+zVo=")</f>
        <v>#REF!</v>
      </c>
      <c r="CN332" t="e">
        <f>AND(#REF!,"AAAAAH/+zVs=")</f>
        <v>#REF!</v>
      </c>
      <c r="CO332" t="e">
        <f>IF(#REF!,"AAAAAH/+zVw=",0)</f>
        <v>#REF!</v>
      </c>
      <c r="CP332" t="e">
        <f>AND(#REF!,"AAAAAH/+zV0=")</f>
        <v>#REF!</v>
      </c>
      <c r="CQ332" t="e">
        <f>AND(#REF!,"AAAAAH/+zV4=")</f>
        <v>#REF!</v>
      </c>
      <c r="CR332" t="e">
        <f>AND(#REF!,"AAAAAH/+zV8=")</f>
        <v>#REF!</v>
      </c>
      <c r="CS332" t="e">
        <f>AND(#REF!,"AAAAAH/+zWA=")</f>
        <v>#REF!</v>
      </c>
      <c r="CT332" t="e">
        <f>AND(#REF!,"AAAAAH/+zWE=")</f>
        <v>#REF!</v>
      </c>
      <c r="CU332" t="e">
        <f>AND(#REF!,"AAAAAH/+zWI=")</f>
        <v>#REF!</v>
      </c>
      <c r="CV332" t="e">
        <f>AND(#REF!,"AAAAAH/+zWM=")</f>
        <v>#REF!</v>
      </c>
      <c r="CW332" t="e">
        <f>AND(#REF!,"AAAAAH/+zWQ=")</f>
        <v>#REF!</v>
      </c>
      <c r="CX332" t="e">
        <f>AND(#REF!,"AAAAAH/+zWU=")</f>
        <v>#REF!</v>
      </c>
      <c r="CY332" t="e">
        <f>AND(#REF!,"AAAAAH/+zWY=")</f>
        <v>#REF!</v>
      </c>
      <c r="CZ332" t="e">
        <f>IF(#REF!,"AAAAAH/+zWc=",0)</f>
        <v>#REF!</v>
      </c>
      <c r="DA332" t="e">
        <f>AND(#REF!,"AAAAAH/+zWg=")</f>
        <v>#REF!</v>
      </c>
      <c r="DB332" t="e">
        <f>AND(#REF!,"AAAAAH/+zWk=")</f>
        <v>#REF!</v>
      </c>
      <c r="DC332" t="e">
        <f>AND(#REF!,"AAAAAH/+zWo=")</f>
        <v>#REF!</v>
      </c>
      <c r="DD332" t="e">
        <f>AND(#REF!,"AAAAAH/+zWs=")</f>
        <v>#REF!</v>
      </c>
      <c r="DE332" t="e">
        <f>AND(#REF!,"AAAAAH/+zWw=")</f>
        <v>#REF!</v>
      </c>
      <c r="DF332" t="e">
        <f>AND(#REF!,"AAAAAH/+zW0=")</f>
        <v>#REF!</v>
      </c>
      <c r="DG332" t="e">
        <f>AND(#REF!,"AAAAAH/+zW4=")</f>
        <v>#REF!</v>
      </c>
      <c r="DH332" t="e">
        <f>AND(#REF!,"AAAAAH/+zW8=")</f>
        <v>#REF!</v>
      </c>
      <c r="DI332" t="e">
        <f>AND(#REF!,"AAAAAH/+zXA=")</f>
        <v>#REF!</v>
      </c>
      <c r="DJ332" t="e">
        <f>AND(#REF!,"AAAAAH/+zXE=")</f>
        <v>#REF!</v>
      </c>
      <c r="DK332" t="e">
        <f>IF(#REF!,"AAAAAH/+zXI=",0)</f>
        <v>#REF!</v>
      </c>
      <c r="DL332" t="e">
        <f>AND(#REF!,"AAAAAH/+zXM=")</f>
        <v>#REF!</v>
      </c>
      <c r="DM332" t="e">
        <f>AND(#REF!,"AAAAAH/+zXQ=")</f>
        <v>#REF!</v>
      </c>
      <c r="DN332" t="e">
        <f>AND(#REF!,"AAAAAH/+zXU=")</f>
        <v>#REF!</v>
      </c>
      <c r="DO332" t="e">
        <f>AND(#REF!,"AAAAAH/+zXY=")</f>
        <v>#REF!</v>
      </c>
      <c r="DP332" t="e">
        <f>AND(#REF!,"AAAAAH/+zXc=")</f>
        <v>#REF!</v>
      </c>
      <c r="DQ332" t="e">
        <f>AND(#REF!,"AAAAAH/+zXg=")</f>
        <v>#REF!</v>
      </c>
      <c r="DR332" t="e">
        <f>AND(#REF!,"AAAAAH/+zXk=")</f>
        <v>#REF!</v>
      </c>
      <c r="DS332" t="e">
        <f>AND(#REF!,"AAAAAH/+zXo=")</f>
        <v>#REF!</v>
      </c>
      <c r="DT332" t="e">
        <f>AND(#REF!,"AAAAAH/+zXs=")</f>
        <v>#REF!</v>
      </c>
      <c r="DU332" t="e">
        <f>AND(#REF!,"AAAAAH/+zXw=")</f>
        <v>#REF!</v>
      </c>
      <c r="DV332" t="e">
        <f>IF(#REF!,"AAAAAH/+zX0=",0)</f>
        <v>#REF!</v>
      </c>
      <c r="DW332" t="e">
        <f>AND(#REF!,"AAAAAH/+zX4=")</f>
        <v>#REF!</v>
      </c>
      <c r="DX332" t="e">
        <f>AND(#REF!,"AAAAAH/+zX8=")</f>
        <v>#REF!</v>
      </c>
      <c r="DY332" t="e">
        <f>AND(#REF!,"AAAAAH/+zYA=")</f>
        <v>#REF!</v>
      </c>
      <c r="DZ332" t="e">
        <f>AND(#REF!,"AAAAAH/+zYE=")</f>
        <v>#REF!</v>
      </c>
      <c r="EA332" t="e">
        <f>AND(#REF!,"AAAAAH/+zYI=")</f>
        <v>#REF!</v>
      </c>
      <c r="EB332" t="e">
        <f>AND(#REF!,"AAAAAH/+zYM=")</f>
        <v>#REF!</v>
      </c>
      <c r="EC332" t="e">
        <f>AND(#REF!,"AAAAAH/+zYQ=")</f>
        <v>#REF!</v>
      </c>
      <c r="ED332" t="e">
        <f>AND(#REF!,"AAAAAH/+zYU=")</f>
        <v>#REF!</v>
      </c>
      <c r="EE332" t="e">
        <f>AND(#REF!,"AAAAAH/+zYY=")</f>
        <v>#REF!</v>
      </c>
      <c r="EF332" t="e">
        <f>AND(#REF!,"AAAAAH/+zYc=")</f>
        <v>#REF!</v>
      </c>
      <c r="EG332" t="e">
        <f>IF(#REF!,"AAAAAH/+zYg=",0)</f>
        <v>#REF!</v>
      </c>
      <c r="EH332" t="e">
        <f>AND(#REF!,"AAAAAH/+zYk=")</f>
        <v>#REF!</v>
      </c>
      <c r="EI332" t="e">
        <f>AND(#REF!,"AAAAAH/+zYo=")</f>
        <v>#REF!</v>
      </c>
      <c r="EJ332" t="e">
        <f>AND(#REF!,"AAAAAH/+zYs=")</f>
        <v>#REF!</v>
      </c>
      <c r="EK332" t="e">
        <f>AND(#REF!,"AAAAAH/+zYw=")</f>
        <v>#REF!</v>
      </c>
      <c r="EL332" t="e">
        <f>AND(#REF!,"AAAAAH/+zY0=")</f>
        <v>#REF!</v>
      </c>
      <c r="EM332" t="e">
        <f>AND(#REF!,"AAAAAH/+zY4=")</f>
        <v>#REF!</v>
      </c>
      <c r="EN332" t="e">
        <f>AND(#REF!,"AAAAAH/+zY8=")</f>
        <v>#REF!</v>
      </c>
      <c r="EO332" t="e">
        <f>AND(#REF!,"AAAAAH/+zZA=")</f>
        <v>#REF!</v>
      </c>
      <c r="EP332" t="e">
        <f>AND(#REF!,"AAAAAH/+zZE=")</f>
        <v>#REF!</v>
      </c>
      <c r="EQ332" t="e">
        <f>AND(#REF!,"AAAAAH/+zZI=")</f>
        <v>#REF!</v>
      </c>
      <c r="ER332" t="e">
        <f>IF(#REF!,"AAAAAH/+zZM=",0)</f>
        <v>#REF!</v>
      </c>
      <c r="ES332" t="e">
        <f>AND(#REF!,"AAAAAH/+zZQ=")</f>
        <v>#REF!</v>
      </c>
      <c r="ET332" t="e">
        <f>AND(#REF!,"AAAAAH/+zZU=")</f>
        <v>#REF!</v>
      </c>
      <c r="EU332" t="e">
        <f>AND(#REF!,"AAAAAH/+zZY=")</f>
        <v>#REF!</v>
      </c>
      <c r="EV332" t="e">
        <f>AND(#REF!,"AAAAAH/+zZc=")</f>
        <v>#REF!</v>
      </c>
      <c r="EW332" t="e">
        <f>AND(#REF!,"AAAAAH/+zZg=")</f>
        <v>#REF!</v>
      </c>
      <c r="EX332" t="e">
        <f>AND(#REF!,"AAAAAH/+zZk=")</f>
        <v>#REF!</v>
      </c>
      <c r="EY332" t="e">
        <f>AND(#REF!,"AAAAAH/+zZo=")</f>
        <v>#REF!</v>
      </c>
      <c r="EZ332" t="e">
        <f>AND(#REF!,"AAAAAH/+zZs=")</f>
        <v>#REF!</v>
      </c>
      <c r="FA332" t="e">
        <f>AND(#REF!,"AAAAAH/+zZw=")</f>
        <v>#REF!</v>
      </c>
      <c r="FB332" t="e">
        <f>AND(#REF!,"AAAAAH/+zZ0=")</f>
        <v>#REF!</v>
      </c>
      <c r="FC332" t="e">
        <f>IF(#REF!,"AAAAAH/+zZ4=",0)</f>
        <v>#REF!</v>
      </c>
      <c r="FD332" t="e">
        <f>AND(#REF!,"AAAAAH/+zZ8=")</f>
        <v>#REF!</v>
      </c>
      <c r="FE332" t="e">
        <f>AND(#REF!,"AAAAAH/+zaA=")</f>
        <v>#REF!</v>
      </c>
      <c r="FF332" t="e">
        <f>AND(#REF!,"AAAAAH/+zaE=")</f>
        <v>#REF!</v>
      </c>
      <c r="FG332" t="e">
        <f>AND(#REF!,"AAAAAH/+zaI=")</f>
        <v>#REF!</v>
      </c>
      <c r="FH332" t="e">
        <f>AND(#REF!,"AAAAAH/+zaM=")</f>
        <v>#REF!</v>
      </c>
      <c r="FI332" t="e">
        <f>AND(#REF!,"AAAAAH/+zaQ=")</f>
        <v>#REF!</v>
      </c>
      <c r="FJ332" t="e">
        <f>AND(#REF!,"AAAAAH/+zaU=")</f>
        <v>#REF!</v>
      </c>
      <c r="FK332" t="e">
        <f>AND(#REF!,"AAAAAH/+zaY=")</f>
        <v>#REF!</v>
      </c>
      <c r="FL332" t="e">
        <f>AND(#REF!,"AAAAAH/+zac=")</f>
        <v>#REF!</v>
      </c>
      <c r="FM332" t="e">
        <f>AND(#REF!,"AAAAAH/+zag=")</f>
        <v>#REF!</v>
      </c>
      <c r="FN332" t="e">
        <f>IF(#REF!,"AAAAAH/+zak=",0)</f>
        <v>#REF!</v>
      </c>
      <c r="FO332" t="e">
        <f>AND(#REF!,"AAAAAH/+zao=")</f>
        <v>#REF!</v>
      </c>
      <c r="FP332" t="e">
        <f>AND(#REF!,"AAAAAH/+zas=")</f>
        <v>#REF!</v>
      </c>
      <c r="FQ332" t="e">
        <f>AND(#REF!,"AAAAAH/+zaw=")</f>
        <v>#REF!</v>
      </c>
      <c r="FR332" t="e">
        <f>AND(#REF!,"AAAAAH/+za0=")</f>
        <v>#REF!</v>
      </c>
      <c r="FS332" t="e">
        <f>AND(#REF!,"AAAAAH/+za4=")</f>
        <v>#REF!</v>
      </c>
      <c r="FT332" t="e">
        <f>AND(#REF!,"AAAAAH/+za8=")</f>
        <v>#REF!</v>
      </c>
      <c r="FU332" t="e">
        <f>AND(#REF!,"AAAAAH/+zbA=")</f>
        <v>#REF!</v>
      </c>
      <c r="FV332" t="e">
        <f>AND(#REF!,"AAAAAH/+zbE=")</f>
        <v>#REF!</v>
      </c>
      <c r="FW332" t="e">
        <f>AND(#REF!,"AAAAAH/+zbI=")</f>
        <v>#REF!</v>
      </c>
      <c r="FX332" t="e">
        <f>AND(#REF!,"AAAAAH/+zbM=")</f>
        <v>#REF!</v>
      </c>
      <c r="FY332" t="e">
        <f>IF(#REF!,"AAAAAH/+zbQ=",0)</f>
        <v>#REF!</v>
      </c>
      <c r="FZ332" t="e">
        <f>AND(#REF!,"AAAAAH/+zbU=")</f>
        <v>#REF!</v>
      </c>
      <c r="GA332" t="e">
        <f>AND(#REF!,"AAAAAH/+zbY=")</f>
        <v>#REF!</v>
      </c>
      <c r="GB332" t="e">
        <f>AND(#REF!,"AAAAAH/+zbc=")</f>
        <v>#REF!</v>
      </c>
      <c r="GC332" t="e">
        <f>AND(#REF!,"AAAAAH/+zbg=")</f>
        <v>#REF!</v>
      </c>
      <c r="GD332" t="e">
        <f>AND(#REF!,"AAAAAH/+zbk=")</f>
        <v>#REF!</v>
      </c>
      <c r="GE332" t="e">
        <f>AND(#REF!,"AAAAAH/+zbo=")</f>
        <v>#REF!</v>
      </c>
      <c r="GF332" t="e">
        <f>AND(#REF!,"AAAAAH/+zbs=")</f>
        <v>#REF!</v>
      </c>
      <c r="GG332" t="e">
        <f>AND(#REF!,"AAAAAH/+zbw=")</f>
        <v>#REF!</v>
      </c>
      <c r="GH332" t="e">
        <f>AND(#REF!,"AAAAAH/+zb0=")</f>
        <v>#REF!</v>
      </c>
      <c r="GI332" t="e">
        <f>AND(#REF!,"AAAAAH/+zb4=")</f>
        <v>#REF!</v>
      </c>
      <c r="GJ332" t="e">
        <f>IF(#REF!,"AAAAAH/+zb8=",0)</f>
        <v>#REF!</v>
      </c>
      <c r="GK332" t="e">
        <f>AND(#REF!,"AAAAAH/+zcA=")</f>
        <v>#REF!</v>
      </c>
      <c r="GL332" t="e">
        <f>AND(#REF!,"AAAAAH/+zcE=")</f>
        <v>#REF!</v>
      </c>
      <c r="GM332" t="e">
        <f>AND(#REF!,"AAAAAH/+zcI=")</f>
        <v>#REF!</v>
      </c>
      <c r="GN332" t="e">
        <f>AND(#REF!,"AAAAAH/+zcM=")</f>
        <v>#REF!</v>
      </c>
      <c r="GO332" t="e">
        <f>AND(#REF!,"AAAAAH/+zcQ=")</f>
        <v>#REF!</v>
      </c>
      <c r="GP332" t="e">
        <f>AND(#REF!,"AAAAAH/+zcU=")</f>
        <v>#REF!</v>
      </c>
      <c r="GQ332" t="e">
        <f>AND(#REF!,"AAAAAH/+zcY=")</f>
        <v>#REF!</v>
      </c>
      <c r="GR332" t="e">
        <f>AND(#REF!,"AAAAAH/+zcc=")</f>
        <v>#REF!</v>
      </c>
      <c r="GS332" t="e">
        <f>AND(#REF!,"AAAAAH/+zcg=")</f>
        <v>#REF!</v>
      </c>
      <c r="GT332" t="e">
        <f>AND(#REF!,"AAAAAH/+zck=")</f>
        <v>#REF!</v>
      </c>
      <c r="GU332" t="e">
        <f>IF(#REF!,"AAAAAH/+zco=",0)</f>
        <v>#REF!</v>
      </c>
      <c r="GV332" t="e">
        <f>AND(#REF!,"AAAAAH/+zcs=")</f>
        <v>#REF!</v>
      </c>
      <c r="GW332" t="e">
        <f>AND(#REF!,"AAAAAH/+zcw=")</f>
        <v>#REF!</v>
      </c>
      <c r="GX332" t="e">
        <f>AND(#REF!,"AAAAAH/+zc0=")</f>
        <v>#REF!</v>
      </c>
      <c r="GY332" t="e">
        <f>AND(#REF!,"AAAAAH/+zc4=")</f>
        <v>#REF!</v>
      </c>
      <c r="GZ332" t="e">
        <f>AND(#REF!,"AAAAAH/+zc8=")</f>
        <v>#REF!</v>
      </c>
      <c r="HA332" t="e">
        <f>AND(#REF!,"AAAAAH/+zdA=")</f>
        <v>#REF!</v>
      </c>
      <c r="HB332" t="e">
        <f>AND(#REF!,"AAAAAH/+zdE=")</f>
        <v>#REF!</v>
      </c>
      <c r="HC332" t="e">
        <f>AND(#REF!,"AAAAAH/+zdI=")</f>
        <v>#REF!</v>
      </c>
      <c r="HD332" t="e">
        <f>AND(#REF!,"AAAAAH/+zdM=")</f>
        <v>#REF!</v>
      </c>
      <c r="HE332" t="e">
        <f>AND(#REF!,"AAAAAH/+zdQ=")</f>
        <v>#REF!</v>
      </c>
      <c r="HF332" t="e">
        <f>IF(#REF!,"AAAAAH/+zdU=",0)</f>
        <v>#REF!</v>
      </c>
      <c r="HG332" t="e">
        <f>AND(#REF!,"AAAAAH/+zdY=")</f>
        <v>#REF!</v>
      </c>
      <c r="HH332" t="e">
        <f>AND(#REF!,"AAAAAH/+zdc=")</f>
        <v>#REF!</v>
      </c>
      <c r="HI332" t="e">
        <f>AND(#REF!,"AAAAAH/+zdg=")</f>
        <v>#REF!</v>
      </c>
      <c r="HJ332" t="e">
        <f>AND(#REF!,"AAAAAH/+zdk=")</f>
        <v>#REF!</v>
      </c>
      <c r="HK332" t="e">
        <f>AND(#REF!,"AAAAAH/+zdo=")</f>
        <v>#REF!</v>
      </c>
      <c r="HL332" t="e">
        <f>AND(#REF!,"AAAAAH/+zds=")</f>
        <v>#REF!</v>
      </c>
      <c r="HM332" t="e">
        <f>AND(#REF!,"AAAAAH/+zdw=")</f>
        <v>#REF!</v>
      </c>
      <c r="HN332" t="e">
        <f>AND(#REF!,"AAAAAH/+zd0=")</f>
        <v>#REF!</v>
      </c>
      <c r="HO332" t="e">
        <f>AND(#REF!,"AAAAAH/+zd4=")</f>
        <v>#REF!</v>
      </c>
      <c r="HP332" t="e">
        <f>AND(#REF!,"AAAAAH/+zd8=")</f>
        <v>#REF!</v>
      </c>
      <c r="HQ332" t="e">
        <f>IF(#REF!,"AAAAAH/+zeA=",0)</f>
        <v>#REF!</v>
      </c>
      <c r="HR332" t="e">
        <f>AND(#REF!,"AAAAAH/+zeE=")</f>
        <v>#REF!</v>
      </c>
      <c r="HS332" t="e">
        <f>AND(#REF!,"AAAAAH/+zeI=")</f>
        <v>#REF!</v>
      </c>
      <c r="HT332" t="e">
        <f>AND(#REF!,"AAAAAH/+zeM=")</f>
        <v>#REF!</v>
      </c>
      <c r="HU332" t="e">
        <f>AND(#REF!,"AAAAAH/+zeQ=")</f>
        <v>#REF!</v>
      </c>
      <c r="HV332" t="e">
        <f>AND(#REF!,"AAAAAH/+zeU=")</f>
        <v>#REF!</v>
      </c>
      <c r="HW332" t="e">
        <f>AND(#REF!,"AAAAAH/+zeY=")</f>
        <v>#REF!</v>
      </c>
      <c r="HX332" t="e">
        <f>AND(#REF!,"AAAAAH/+zec=")</f>
        <v>#REF!</v>
      </c>
      <c r="HY332" t="e">
        <f>AND(#REF!,"AAAAAH/+zeg=")</f>
        <v>#REF!</v>
      </c>
      <c r="HZ332" t="e">
        <f>AND(#REF!,"AAAAAH/+zek=")</f>
        <v>#REF!</v>
      </c>
      <c r="IA332" t="e">
        <f>AND(#REF!,"AAAAAH/+zeo=")</f>
        <v>#REF!</v>
      </c>
      <c r="IB332" t="e">
        <f>IF(#REF!,"AAAAAH/+zes=",0)</f>
        <v>#REF!</v>
      </c>
      <c r="IC332" t="e">
        <f>AND(#REF!,"AAAAAH/+zew=")</f>
        <v>#REF!</v>
      </c>
      <c r="ID332" t="e">
        <f>AND(#REF!,"AAAAAH/+ze0=")</f>
        <v>#REF!</v>
      </c>
      <c r="IE332" t="e">
        <f>AND(#REF!,"AAAAAH/+ze4=")</f>
        <v>#REF!</v>
      </c>
      <c r="IF332" t="e">
        <f>AND(#REF!,"AAAAAH/+ze8=")</f>
        <v>#REF!</v>
      </c>
      <c r="IG332" t="e">
        <f>AND(#REF!,"AAAAAH/+zfA=")</f>
        <v>#REF!</v>
      </c>
      <c r="IH332" t="e">
        <f>AND(#REF!,"AAAAAH/+zfE=")</f>
        <v>#REF!</v>
      </c>
      <c r="II332" t="e">
        <f>AND(#REF!,"AAAAAH/+zfI=")</f>
        <v>#REF!</v>
      </c>
      <c r="IJ332" t="e">
        <f>AND(#REF!,"AAAAAH/+zfM=")</f>
        <v>#REF!</v>
      </c>
      <c r="IK332" t="e">
        <f>AND(#REF!,"AAAAAH/+zfQ=")</f>
        <v>#REF!</v>
      </c>
      <c r="IL332" t="e">
        <f>AND(#REF!,"AAAAAH/+zfU=")</f>
        <v>#REF!</v>
      </c>
      <c r="IM332" t="e">
        <f>IF(#REF!,"AAAAAH/+zfY=",0)</f>
        <v>#REF!</v>
      </c>
      <c r="IN332" t="e">
        <f>AND(#REF!,"AAAAAH/+zfc=")</f>
        <v>#REF!</v>
      </c>
      <c r="IO332" t="e">
        <f>AND(#REF!,"AAAAAH/+zfg=")</f>
        <v>#REF!</v>
      </c>
      <c r="IP332" t="e">
        <f>AND(#REF!,"AAAAAH/+zfk=")</f>
        <v>#REF!</v>
      </c>
      <c r="IQ332" t="e">
        <f>AND(#REF!,"AAAAAH/+zfo=")</f>
        <v>#REF!</v>
      </c>
      <c r="IR332" t="e">
        <f>AND(#REF!,"AAAAAH/+zfs=")</f>
        <v>#REF!</v>
      </c>
      <c r="IS332" t="e">
        <f>AND(#REF!,"AAAAAH/+zfw=")</f>
        <v>#REF!</v>
      </c>
      <c r="IT332" t="e">
        <f>AND(#REF!,"AAAAAH/+zf0=")</f>
        <v>#REF!</v>
      </c>
      <c r="IU332" t="e">
        <f>AND(#REF!,"AAAAAH/+zf4=")</f>
        <v>#REF!</v>
      </c>
      <c r="IV332" t="e">
        <f>AND(#REF!,"AAAAAH/+zf8=")</f>
        <v>#REF!</v>
      </c>
    </row>
    <row r="333" spans="1:256" x14ac:dyDescent="0.25">
      <c r="A333" t="e">
        <f>AND(#REF!,"AAAAAD5P/wA=")</f>
        <v>#REF!</v>
      </c>
      <c r="B333" t="e">
        <f>IF(#REF!,"AAAAAD5P/wE=",0)</f>
        <v>#REF!</v>
      </c>
      <c r="C333" t="e">
        <f>AND(#REF!,"AAAAAD5P/wI=")</f>
        <v>#REF!</v>
      </c>
      <c r="D333" t="e">
        <f>AND(#REF!,"AAAAAD5P/wM=")</f>
        <v>#REF!</v>
      </c>
      <c r="E333" t="e">
        <f>AND(#REF!,"AAAAAD5P/wQ=")</f>
        <v>#REF!</v>
      </c>
      <c r="F333" t="e">
        <f>AND(#REF!,"AAAAAD5P/wU=")</f>
        <v>#REF!</v>
      </c>
      <c r="G333" t="e">
        <f>AND(#REF!,"AAAAAD5P/wY=")</f>
        <v>#REF!</v>
      </c>
      <c r="H333" t="e">
        <f>AND(#REF!,"AAAAAD5P/wc=")</f>
        <v>#REF!</v>
      </c>
      <c r="I333" t="e">
        <f>AND(#REF!,"AAAAAD5P/wg=")</f>
        <v>#REF!</v>
      </c>
      <c r="J333" t="e">
        <f>AND(#REF!,"AAAAAD5P/wk=")</f>
        <v>#REF!</v>
      </c>
      <c r="K333" t="e">
        <f>AND(#REF!,"AAAAAD5P/wo=")</f>
        <v>#REF!</v>
      </c>
      <c r="L333" t="e">
        <f>AND(#REF!,"AAAAAD5P/ws=")</f>
        <v>#REF!</v>
      </c>
      <c r="M333" t="e">
        <f>IF(#REF!,"AAAAAD5P/ww=",0)</f>
        <v>#REF!</v>
      </c>
      <c r="N333" t="e">
        <f>AND(#REF!,"AAAAAD5P/w0=")</f>
        <v>#REF!</v>
      </c>
      <c r="O333" t="e">
        <f>AND(#REF!,"AAAAAD5P/w4=")</f>
        <v>#REF!</v>
      </c>
      <c r="P333" t="e">
        <f>AND(#REF!,"AAAAAD5P/w8=")</f>
        <v>#REF!</v>
      </c>
      <c r="Q333" t="e">
        <f>AND(#REF!,"AAAAAD5P/xA=")</f>
        <v>#REF!</v>
      </c>
      <c r="R333" t="e">
        <f>AND(#REF!,"AAAAAD5P/xE=")</f>
        <v>#REF!</v>
      </c>
      <c r="S333" t="e">
        <f>AND(#REF!,"AAAAAD5P/xI=")</f>
        <v>#REF!</v>
      </c>
      <c r="T333" t="e">
        <f>AND(#REF!,"AAAAAD5P/xM=")</f>
        <v>#REF!</v>
      </c>
      <c r="U333" t="e">
        <f>AND(#REF!,"AAAAAD5P/xQ=")</f>
        <v>#REF!</v>
      </c>
      <c r="V333" t="e">
        <f>AND(#REF!,"AAAAAD5P/xU=")</f>
        <v>#REF!</v>
      </c>
      <c r="W333" t="e">
        <f>AND(#REF!,"AAAAAD5P/xY=")</f>
        <v>#REF!</v>
      </c>
      <c r="X333" t="e">
        <f>IF(#REF!,"AAAAAD5P/xc=",0)</f>
        <v>#REF!</v>
      </c>
      <c r="Y333" t="e">
        <f>AND(#REF!,"AAAAAD5P/xg=")</f>
        <v>#REF!</v>
      </c>
      <c r="Z333" t="e">
        <f>AND(#REF!,"AAAAAD5P/xk=")</f>
        <v>#REF!</v>
      </c>
      <c r="AA333" t="e">
        <f>AND(#REF!,"AAAAAD5P/xo=")</f>
        <v>#REF!</v>
      </c>
      <c r="AB333" t="e">
        <f>AND(#REF!,"AAAAAD5P/xs=")</f>
        <v>#REF!</v>
      </c>
      <c r="AC333" t="e">
        <f>AND(#REF!,"AAAAAD5P/xw=")</f>
        <v>#REF!</v>
      </c>
      <c r="AD333" t="e">
        <f>AND(#REF!,"AAAAAD5P/x0=")</f>
        <v>#REF!</v>
      </c>
      <c r="AE333" t="e">
        <f>AND(#REF!,"AAAAAD5P/x4=")</f>
        <v>#REF!</v>
      </c>
      <c r="AF333" t="e">
        <f>AND(#REF!,"AAAAAD5P/x8=")</f>
        <v>#REF!</v>
      </c>
      <c r="AG333" t="e">
        <f>AND(#REF!,"AAAAAD5P/yA=")</f>
        <v>#REF!</v>
      </c>
      <c r="AH333" t="e">
        <f>AND(#REF!,"AAAAAD5P/yE=")</f>
        <v>#REF!</v>
      </c>
      <c r="AI333" t="e">
        <f>IF(#REF!,"AAAAAD5P/yI=",0)</f>
        <v>#REF!</v>
      </c>
      <c r="AJ333" t="e">
        <f>AND(#REF!,"AAAAAD5P/yM=")</f>
        <v>#REF!</v>
      </c>
      <c r="AK333" t="e">
        <f>AND(#REF!,"AAAAAD5P/yQ=")</f>
        <v>#REF!</v>
      </c>
      <c r="AL333" t="e">
        <f>AND(#REF!,"AAAAAD5P/yU=")</f>
        <v>#REF!</v>
      </c>
      <c r="AM333" t="e">
        <f>AND(#REF!,"AAAAAD5P/yY=")</f>
        <v>#REF!</v>
      </c>
      <c r="AN333" t="e">
        <f>AND(#REF!,"AAAAAD5P/yc=")</f>
        <v>#REF!</v>
      </c>
      <c r="AO333" t="e">
        <f>AND(#REF!,"AAAAAD5P/yg=")</f>
        <v>#REF!</v>
      </c>
      <c r="AP333" t="e">
        <f>AND(#REF!,"AAAAAD5P/yk=")</f>
        <v>#REF!</v>
      </c>
      <c r="AQ333" t="e">
        <f>AND(#REF!,"AAAAAD5P/yo=")</f>
        <v>#REF!</v>
      </c>
      <c r="AR333" t="e">
        <f>AND(#REF!,"AAAAAD5P/ys=")</f>
        <v>#REF!</v>
      </c>
      <c r="AS333" t="e">
        <f>AND(#REF!,"AAAAAD5P/yw=")</f>
        <v>#REF!</v>
      </c>
      <c r="AT333" t="e">
        <f>IF(#REF!,"AAAAAD5P/y0=",0)</f>
        <v>#REF!</v>
      </c>
      <c r="AU333" t="e">
        <f>AND(#REF!,"AAAAAD5P/y4=")</f>
        <v>#REF!</v>
      </c>
      <c r="AV333" t="e">
        <f>AND(#REF!,"AAAAAD5P/y8=")</f>
        <v>#REF!</v>
      </c>
      <c r="AW333" t="e">
        <f>AND(#REF!,"AAAAAD5P/zA=")</f>
        <v>#REF!</v>
      </c>
      <c r="AX333" t="e">
        <f>AND(#REF!,"AAAAAD5P/zE=")</f>
        <v>#REF!</v>
      </c>
      <c r="AY333" t="e">
        <f>AND(#REF!,"AAAAAD5P/zI=")</f>
        <v>#REF!</v>
      </c>
      <c r="AZ333" t="e">
        <f>AND(#REF!,"AAAAAD5P/zM=")</f>
        <v>#REF!</v>
      </c>
      <c r="BA333" t="e">
        <f>AND(#REF!,"AAAAAD5P/zQ=")</f>
        <v>#REF!</v>
      </c>
      <c r="BB333" t="e">
        <f>AND(#REF!,"AAAAAD5P/zU=")</f>
        <v>#REF!</v>
      </c>
      <c r="BC333" t="e">
        <f>AND(#REF!,"AAAAAD5P/zY=")</f>
        <v>#REF!</v>
      </c>
      <c r="BD333" t="e">
        <f>AND(#REF!,"AAAAAD5P/zc=")</f>
        <v>#REF!</v>
      </c>
      <c r="BE333" t="e">
        <f>IF(#REF!,"AAAAAD5P/zg=",0)</f>
        <v>#REF!</v>
      </c>
      <c r="BF333" t="e">
        <f>AND(#REF!,"AAAAAD5P/zk=")</f>
        <v>#REF!</v>
      </c>
      <c r="BG333" t="e">
        <f>AND(#REF!,"AAAAAD5P/zo=")</f>
        <v>#REF!</v>
      </c>
      <c r="BH333" t="e">
        <f>AND(#REF!,"AAAAAD5P/zs=")</f>
        <v>#REF!</v>
      </c>
      <c r="BI333" t="e">
        <f>AND(#REF!,"AAAAAD5P/zw=")</f>
        <v>#REF!</v>
      </c>
      <c r="BJ333" t="e">
        <f>AND(#REF!,"AAAAAD5P/z0=")</f>
        <v>#REF!</v>
      </c>
      <c r="BK333" t="e">
        <f>AND(#REF!,"AAAAAD5P/z4=")</f>
        <v>#REF!</v>
      </c>
      <c r="BL333" t="e">
        <f>AND(#REF!,"AAAAAD5P/z8=")</f>
        <v>#REF!</v>
      </c>
      <c r="BM333" t="e">
        <f>AND(#REF!,"AAAAAD5P/0A=")</f>
        <v>#REF!</v>
      </c>
      <c r="BN333" t="e">
        <f>AND(#REF!,"AAAAAD5P/0E=")</f>
        <v>#REF!</v>
      </c>
      <c r="BO333" t="e">
        <f>AND(#REF!,"AAAAAD5P/0I=")</f>
        <v>#REF!</v>
      </c>
      <c r="BP333" t="e">
        <f>IF(#REF!,"AAAAAD5P/0M=",0)</f>
        <v>#REF!</v>
      </c>
      <c r="BQ333" t="e">
        <f>AND(#REF!,"AAAAAD5P/0Q=")</f>
        <v>#REF!</v>
      </c>
      <c r="BR333" t="e">
        <f>AND(#REF!,"AAAAAD5P/0U=")</f>
        <v>#REF!</v>
      </c>
      <c r="BS333" t="e">
        <f>AND(#REF!,"AAAAAD5P/0Y=")</f>
        <v>#REF!</v>
      </c>
      <c r="BT333" t="e">
        <f>AND(#REF!,"AAAAAD5P/0c=")</f>
        <v>#REF!</v>
      </c>
      <c r="BU333" t="e">
        <f>AND(#REF!,"AAAAAD5P/0g=")</f>
        <v>#REF!</v>
      </c>
      <c r="BV333" t="e">
        <f>AND(#REF!,"AAAAAD5P/0k=")</f>
        <v>#REF!</v>
      </c>
      <c r="BW333" t="e">
        <f>AND(#REF!,"AAAAAD5P/0o=")</f>
        <v>#REF!</v>
      </c>
      <c r="BX333" t="e">
        <f>AND(#REF!,"AAAAAD5P/0s=")</f>
        <v>#REF!</v>
      </c>
      <c r="BY333" t="e">
        <f>AND(#REF!,"AAAAAD5P/0w=")</f>
        <v>#REF!</v>
      </c>
      <c r="BZ333" t="e">
        <f>AND(#REF!,"AAAAAD5P/00=")</f>
        <v>#REF!</v>
      </c>
      <c r="CA333" t="e">
        <f>IF(#REF!,"AAAAAD5P/04=",0)</f>
        <v>#REF!</v>
      </c>
      <c r="CB333" t="e">
        <f>AND(#REF!,"AAAAAD5P/08=")</f>
        <v>#REF!</v>
      </c>
      <c r="CC333" t="e">
        <f>AND(#REF!,"AAAAAD5P/1A=")</f>
        <v>#REF!</v>
      </c>
      <c r="CD333" t="e">
        <f>AND(#REF!,"AAAAAD5P/1E=")</f>
        <v>#REF!</v>
      </c>
      <c r="CE333" t="e">
        <f>AND(#REF!,"AAAAAD5P/1I=")</f>
        <v>#REF!</v>
      </c>
      <c r="CF333" t="e">
        <f>AND(#REF!,"AAAAAD5P/1M=")</f>
        <v>#REF!</v>
      </c>
      <c r="CG333" t="e">
        <f>AND(#REF!,"AAAAAD5P/1Q=")</f>
        <v>#REF!</v>
      </c>
      <c r="CH333" t="e">
        <f>AND(#REF!,"AAAAAD5P/1U=")</f>
        <v>#REF!</v>
      </c>
      <c r="CI333" t="e">
        <f>AND(#REF!,"AAAAAD5P/1Y=")</f>
        <v>#REF!</v>
      </c>
      <c r="CJ333" t="e">
        <f>AND(#REF!,"AAAAAD5P/1c=")</f>
        <v>#REF!</v>
      </c>
      <c r="CK333" t="e">
        <f>AND(#REF!,"AAAAAD5P/1g=")</f>
        <v>#REF!</v>
      </c>
      <c r="CL333" t="e">
        <f>IF(#REF!,"AAAAAD5P/1k=",0)</f>
        <v>#REF!</v>
      </c>
      <c r="CM333" t="e">
        <f>AND(#REF!,"AAAAAD5P/1o=")</f>
        <v>#REF!</v>
      </c>
      <c r="CN333" t="e">
        <f>AND(#REF!,"AAAAAD5P/1s=")</f>
        <v>#REF!</v>
      </c>
      <c r="CO333" t="e">
        <f>AND(#REF!,"AAAAAD5P/1w=")</f>
        <v>#REF!</v>
      </c>
      <c r="CP333" t="e">
        <f>AND(#REF!,"AAAAAD5P/10=")</f>
        <v>#REF!</v>
      </c>
      <c r="CQ333" t="e">
        <f>AND(#REF!,"AAAAAD5P/14=")</f>
        <v>#REF!</v>
      </c>
      <c r="CR333" t="e">
        <f>AND(#REF!,"AAAAAD5P/18=")</f>
        <v>#REF!</v>
      </c>
      <c r="CS333" t="e">
        <f>AND(#REF!,"AAAAAD5P/2A=")</f>
        <v>#REF!</v>
      </c>
      <c r="CT333" t="e">
        <f>AND(#REF!,"AAAAAD5P/2E=")</f>
        <v>#REF!</v>
      </c>
      <c r="CU333" t="e">
        <f>AND(#REF!,"AAAAAD5P/2I=")</f>
        <v>#REF!</v>
      </c>
      <c r="CV333" t="e">
        <f>AND(#REF!,"AAAAAD5P/2M=")</f>
        <v>#REF!</v>
      </c>
      <c r="CW333" t="e">
        <f>IF(#REF!,"AAAAAD5P/2Q=",0)</f>
        <v>#REF!</v>
      </c>
      <c r="CX333" t="e">
        <f>AND(#REF!,"AAAAAD5P/2U=")</f>
        <v>#REF!</v>
      </c>
      <c r="CY333" t="e">
        <f>AND(#REF!,"AAAAAD5P/2Y=")</f>
        <v>#REF!</v>
      </c>
      <c r="CZ333" t="e">
        <f>AND(#REF!,"AAAAAD5P/2c=")</f>
        <v>#REF!</v>
      </c>
      <c r="DA333" t="e">
        <f>AND(#REF!,"AAAAAD5P/2g=")</f>
        <v>#REF!</v>
      </c>
      <c r="DB333" t="e">
        <f>AND(#REF!,"AAAAAD5P/2k=")</f>
        <v>#REF!</v>
      </c>
      <c r="DC333" t="e">
        <f>AND(#REF!,"AAAAAD5P/2o=")</f>
        <v>#REF!</v>
      </c>
      <c r="DD333" t="e">
        <f>AND(#REF!,"AAAAAD5P/2s=")</f>
        <v>#REF!</v>
      </c>
      <c r="DE333" t="e">
        <f>AND(#REF!,"AAAAAD5P/2w=")</f>
        <v>#REF!</v>
      </c>
      <c r="DF333" t="e">
        <f>AND(#REF!,"AAAAAD5P/20=")</f>
        <v>#REF!</v>
      </c>
      <c r="DG333" t="e">
        <f>AND(#REF!,"AAAAAD5P/24=")</f>
        <v>#REF!</v>
      </c>
      <c r="DH333" t="e">
        <f>IF(#REF!,"AAAAAD5P/28=",0)</f>
        <v>#REF!</v>
      </c>
      <c r="DI333" t="e">
        <f>AND(#REF!,"AAAAAD5P/3A=")</f>
        <v>#REF!</v>
      </c>
      <c r="DJ333" t="e">
        <f>AND(#REF!,"AAAAAD5P/3E=")</f>
        <v>#REF!</v>
      </c>
      <c r="DK333" t="e">
        <f>AND(#REF!,"AAAAAD5P/3I=")</f>
        <v>#REF!</v>
      </c>
      <c r="DL333" t="e">
        <f>AND(#REF!,"AAAAAD5P/3M=")</f>
        <v>#REF!</v>
      </c>
      <c r="DM333" t="e">
        <f>AND(#REF!,"AAAAAD5P/3Q=")</f>
        <v>#REF!</v>
      </c>
      <c r="DN333" t="e">
        <f>AND(#REF!,"AAAAAD5P/3U=")</f>
        <v>#REF!</v>
      </c>
      <c r="DO333" t="e">
        <f>AND(#REF!,"AAAAAD5P/3Y=")</f>
        <v>#REF!</v>
      </c>
      <c r="DP333" t="e">
        <f>AND(#REF!,"AAAAAD5P/3c=")</f>
        <v>#REF!</v>
      </c>
      <c r="DQ333" t="e">
        <f>AND(#REF!,"AAAAAD5P/3g=")</f>
        <v>#REF!</v>
      </c>
      <c r="DR333" t="e">
        <f>AND(#REF!,"AAAAAD5P/3k=")</f>
        <v>#REF!</v>
      </c>
      <c r="DS333" t="e">
        <f>IF(#REF!,"AAAAAD5P/3o=",0)</f>
        <v>#REF!</v>
      </c>
      <c r="DT333" t="e">
        <f>AND(#REF!,"AAAAAD5P/3s=")</f>
        <v>#REF!</v>
      </c>
      <c r="DU333" t="e">
        <f>AND(#REF!,"AAAAAD5P/3w=")</f>
        <v>#REF!</v>
      </c>
      <c r="DV333" t="e">
        <f>AND(#REF!,"AAAAAD5P/30=")</f>
        <v>#REF!</v>
      </c>
      <c r="DW333" t="e">
        <f>AND(#REF!,"AAAAAD5P/34=")</f>
        <v>#REF!</v>
      </c>
      <c r="DX333" t="e">
        <f>AND(#REF!,"AAAAAD5P/38=")</f>
        <v>#REF!</v>
      </c>
      <c r="DY333" t="e">
        <f>AND(#REF!,"AAAAAD5P/4A=")</f>
        <v>#REF!</v>
      </c>
      <c r="DZ333" t="e">
        <f>AND(#REF!,"AAAAAD5P/4E=")</f>
        <v>#REF!</v>
      </c>
      <c r="EA333" t="e">
        <f>AND(#REF!,"AAAAAD5P/4I=")</f>
        <v>#REF!</v>
      </c>
      <c r="EB333" t="e">
        <f>AND(#REF!,"AAAAAD5P/4M=")</f>
        <v>#REF!</v>
      </c>
      <c r="EC333" t="e">
        <f>AND(#REF!,"AAAAAD5P/4Q=")</f>
        <v>#REF!</v>
      </c>
      <c r="ED333" t="e">
        <f>IF(#REF!,"AAAAAD5P/4U=",0)</f>
        <v>#REF!</v>
      </c>
      <c r="EE333" t="e">
        <f>AND(#REF!,"AAAAAD5P/4Y=")</f>
        <v>#REF!</v>
      </c>
      <c r="EF333" t="e">
        <f>AND(#REF!,"AAAAAD5P/4c=")</f>
        <v>#REF!</v>
      </c>
      <c r="EG333" t="e">
        <f>AND(#REF!,"AAAAAD5P/4g=")</f>
        <v>#REF!</v>
      </c>
      <c r="EH333" t="e">
        <f>AND(#REF!,"AAAAAD5P/4k=")</f>
        <v>#REF!</v>
      </c>
      <c r="EI333" t="e">
        <f>AND(#REF!,"AAAAAD5P/4o=")</f>
        <v>#REF!</v>
      </c>
      <c r="EJ333" t="e">
        <f>AND(#REF!,"AAAAAD5P/4s=")</f>
        <v>#REF!</v>
      </c>
      <c r="EK333" t="e">
        <f>AND(#REF!,"AAAAAD5P/4w=")</f>
        <v>#REF!</v>
      </c>
      <c r="EL333" t="e">
        <f>AND(#REF!,"AAAAAD5P/40=")</f>
        <v>#REF!</v>
      </c>
      <c r="EM333" t="e">
        <f>AND(#REF!,"AAAAAD5P/44=")</f>
        <v>#REF!</v>
      </c>
      <c r="EN333" t="e">
        <f>AND(#REF!,"AAAAAD5P/48=")</f>
        <v>#REF!</v>
      </c>
      <c r="EO333" t="e">
        <f>IF(#REF!,"AAAAAD5P/5A=",0)</f>
        <v>#REF!</v>
      </c>
      <c r="EP333" t="e">
        <f>AND(#REF!,"AAAAAD5P/5E=")</f>
        <v>#REF!</v>
      </c>
      <c r="EQ333" t="e">
        <f>AND(#REF!,"AAAAAD5P/5I=")</f>
        <v>#REF!</v>
      </c>
      <c r="ER333" t="e">
        <f>AND(#REF!,"AAAAAD5P/5M=")</f>
        <v>#REF!</v>
      </c>
      <c r="ES333" t="e">
        <f>AND(#REF!,"AAAAAD5P/5Q=")</f>
        <v>#REF!</v>
      </c>
      <c r="ET333" t="e">
        <f>AND(#REF!,"AAAAAD5P/5U=")</f>
        <v>#REF!</v>
      </c>
      <c r="EU333" t="e">
        <f>AND(#REF!,"AAAAAD5P/5Y=")</f>
        <v>#REF!</v>
      </c>
      <c r="EV333" t="e">
        <f>AND(#REF!,"AAAAAD5P/5c=")</f>
        <v>#REF!</v>
      </c>
      <c r="EW333" t="e">
        <f>AND(#REF!,"AAAAAD5P/5g=")</f>
        <v>#REF!</v>
      </c>
      <c r="EX333" t="e">
        <f>AND(#REF!,"AAAAAD5P/5k=")</f>
        <v>#REF!</v>
      </c>
      <c r="EY333" t="e">
        <f>AND(#REF!,"AAAAAD5P/5o=")</f>
        <v>#REF!</v>
      </c>
      <c r="EZ333" t="e">
        <f>IF(#REF!,"AAAAAD5P/5s=",0)</f>
        <v>#REF!</v>
      </c>
      <c r="FA333" t="e">
        <f>AND(#REF!,"AAAAAD5P/5w=")</f>
        <v>#REF!</v>
      </c>
      <c r="FB333" t="e">
        <f>AND(#REF!,"AAAAAD5P/50=")</f>
        <v>#REF!</v>
      </c>
      <c r="FC333" t="e">
        <f>AND(#REF!,"AAAAAD5P/54=")</f>
        <v>#REF!</v>
      </c>
      <c r="FD333" t="e">
        <f>AND(#REF!,"AAAAAD5P/58=")</f>
        <v>#REF!</v>
      </c>
      <c r="FE333" t="e">
        <f>AND(#REF!,"AAAAAD5P/6A=")</f>
        <v>#REF!</v>
      </c>
      <c r="FF333" t="e">
        <f>AND(#REF!,"AAAAAD5P/6E=")</f>
        <v>#REF!</v>
      </c>
      <c r="FG333" t="e">
        <f>AND(#REF!,"AAAAAD5P/6I=")</f>
        <v>#REF!</v>
      </c>
      <c r="FH333" t="e">
        <f>AND(#REF!,"AAAAAD5P/6M=")</f>
        <v>#REF!</v>
      </c>
      <c r="FI333" t="e">
        <f>AND(#REF!,"AAAAAD5P/6Q=")</f>
        <v>#REF!</v>
      </c>
      <c r="FJ333" t="e">
        <f>AND(#REF!,"AAAAAD5P/6U=")</f>
        <v>#REF!</v>
      </c>
      <c r="FK333" t="e">
        <f>IF(#REF!,"AAAAAD5P/6Y=",0)</f>
        <v>#REF!</v>
      </c>
      <c r="FL333" t="e">
        <f>AND(#REF!,"AAAAAD5P/6c=")</f>
        <v>#REF!</v>
      </c>
      <c r="FM333" t="e">
        <f>AND(#REF!,"AAAAAD5P/6g=")</f>
        <v>#REF!</v>
      </c>
      <c r="FN333" t="e">
        <f>AND(#REF!,"AAAAAD5P/6k=")</f>
        <v>#REF!</v>
      </c>
      <c r="FO333" t="e">
        <f>AND(#REF!,"AAAAAD5P/6o=")</f>
        <v>#REF!</v>
      </c>
      <c r="FP333" t="e">
        <f>AND(#REF!,"AAAAAD5P/6s=")</f>
        <v>#REF!</v>
      </c>
      <c r="FQ333" t="e">
        <f>AND(#REF!,"AAAAAD5P/6w=")</f>
        <v>#REF!</v>
      </c>
      <c r="FR333" t="e">
        <f>AND(#REF!,"AAAAAD5P/60=")</f>
        <v>#REF!</v>
      </c>
      <c r="FS333" t="e">
        <f>AND(#REF!,"AAAAAD5P/64=")</f>
        <v>#REF!</v>
      </c>
      <c r="FT333" t="e">
        <f>AND(#REF!,"AAAAAD5P/68=")</f>
        <v>#REF!</v>
      </c>
      <c r="FU333" t="e">
        <f>AND(#REF!,"AAAAAD5P/7A=")</f>
        <v>#REF!</v>
      </c>
      <c r="FV333" t="e">
        <f>IF(#REF!,"AAAAAD5P/7E=",0)</f>
        <v>#REF!</v>
      </c>
      <c r="FW333" t="e">
        <f>AND(#REF!,"AAAAAD5P/7I=")</f>
        <v>#REF!</v>
      </c>
      <c r="FX333" t="e">
        <f>AND(#REF!,"AAAAAD5P/7M=")</f>
        <v>#REF!</v>
      </c>
      <c r="FY333" t="e">
        <f>AND(#REF!,"AAAAAD5P/7Q=")</f>
        <v>#REF!</v>
      </c>
      <c r="FZ333" t="e">
        <f>AND(#REF!,"AAAAAD5P/7U=")</f>
        <v>#REF!</v>
      </c>
      <c r="GA333" t="e">
        <f>AND(#REF!,"AAAAAD5P/7Y=")</f>
        <v>#REF!</v>
      </c>
      <c r="GB333" t="e">
        <f>AND(#REF!,"AAAAAD5P/7c=")</f>
        <v>#REF!</v>
      </c>
      <c r="GC333" t="e">
        <f>AND(#REF!,"AAAAAD5P/7g=")</f>
        <v>#REF!</v>
      </c>
      <c r="GD333" t="e">
        <f>AND(#REF!,"AAAAAD5P/7k=")</f>
        <v>#REF!</v>
      </c>
      <c r="GE333" t="e">
        <f>AND(#REF!,"AAAAAD5P/7o=")</f>
        <v>#REF!</v>
      </c>
      <c r="GF333" t="e">
        <f>AND(#REF!,"AAAAAD5P/7s=")</f>
        <v>#REF!</v>
      </c>
      <c r="GG333" t="e">
        <f>IF(#REF!,"AAAAAD5P/7w=",0)</f>
        <v>#REF!</v>
      </c>
      <c r="GH333" t="e">
        <f>AND(#REF!,"AAAAAD5P/70=")</f>
        <v>#REF!</v>
      </c>
      <c r="GI333" t="e">
        <f>AND(#REF!,"AAAAAD5P/74=")</f>
        <v>#REF!</v>
      </c>
      <c r="GJ333" t="e">
        <f>AND(#REF!,"AAAAAD5P/78=")</f>
        <v>#REF!</v>
      </c>
      <c r="GK333" t="e">
        <f>AND(#REF!,"AAAAAD5P/8A=")</f>
        <v>#REF!</v>
      </c>
      <c r="GL333" t="e">
        <f>AND(#REF!,"AAAAAD5P/8E=")</f>
        <v>#REF!</v>
      </c>
      <c r="GM333" t="e">
        <f>AND(#REF!,"AAAAAD5P/8I=")</f>
        <v>#REF!</v>
      </c>
      <c r="GN333" t="e">
        <f>AND(#REF!,"AAAAAD5P/8M=")</f>
        <v>#REF!</v>
      </c>
      <c r="GO333" t="e">
        <f>AND(#REF!,"AAAAAD5P/8Q=")</f>
        <v>#REF!</v>
      </c>
      <c r="GP333" t="e">
        <f>AND(#REF!,"AAAAAD5P/8U=")</f>
        <v>#REF!</v>
      </c>
      <c r="GQ333" t="e">
        <f>AND(#REF!,"AAAAAD5P/8Y=")</f>
        <v>#REF!</v>
      </c>
      <c r="GR333" t="e">
        <f>IF(#REF!,"AAAAAD5P/8c=",0)</f>
        <v>#REF!</v>
      </c>
      <c r="GS333" t="e">
        <f>AND(#REF!,"AAAAAD5P/8g=")</f>
        <v>#REF!</v>
      </c>
      <c r="GT333" t="e">
        <f>AND(#REF!,"AAAAAD5P/8k=")</f>
        <v>#REF!</v>
      </c>
      <c r="GU333" t="e">
        <f>AND(#REF!,"AAAAAD5P/8o=")</f>
        <v>#REF!</v>
      </c>
      <c r="GV333" t="e">
        <f>AND(#REF!,"AAAAAD5P/8s=")</f>
        <v>#REF!</v>
      </c>
      <c r="GW333" t="e">
        <f>AND(#REF!,"AAAAAD5P/8w=")</f>
        <v>#REF!</v>
      </c>
      <c r="GX333" t="e">
        <f>AND(#REF!,"AAAAAD5P/80=")</f>
        <v>#REF!</v>
      </c>
      <c r="GY333" t="e">
        <f>AND(#REF!,"AAAAAD5P/84=")</f>
        <v>#REF!</v>
      </c>
      <c r="GZ333" t="e">
        <f>AND(#REF!,"AAAAAD5P/88=")</f>
        <v>#REF!</v>
      </c>
      <c r="HA333" t="e">
        <f>AND(#REF!,"AAAAAD5P/9A=")</f>
        <v>#REF!</v>
      </c>
      <c r="HB333" t="e">
        <f>AND(#REF!,"AAAAAD5P/9E=")</f>
        <v>#REF!</v>
      </c>
      <c r="HC333" t="e">
        <f>IF(#REF!,"AAAAAD5P/9I=",0)</f>
        <v>#REF!</v>
      </c>
      <c r="HD333" t="e">
        <f>AND(#REF!,"AAAAAD5P/9M=")</f>
        <v>#REF!</v>
      </c>
      <c r="HE333" t="e">
        <f>AND(#REF!,"AAAAAD5P/9Q=")</f>
        <v>#REF!</v>
      </c>
      <c r="HF333" t="e">
        <f>AND(#REF!,"AAAAAD5P/9U=")</f>
        <v>#REF!</v>
      </c>
      <c r="HG333" t="e">
        <f>AND(#REF!,"AAAAAD5P/9Y=")</f>
        <v>#REF!</v>
      </c>
      <c r="HH333" t="e">
        <f>AND(#REF!,"AAAAAD5P/9c=")</f>
        <v>#REF!</v>
      </c>
      <c r="HI333" t="e">
        <f>AND(#REF!,"AAAAAD5P/9g=")</f>
        <v>#REF!</v>
      </c>
      <c r="HJ333" t="e">
        <f>AND(#REF!,"AAAAAD5P/9k=")</f>
        <v>#REF!</v>
      </c>
      <c r="HK333" t="e">
        <f>AND(#REF!,"AAAAAD5P/9o=")</f>
        <v>#REF!</v>
      </c>
      <c r="HL333" t="e">
        <f>AND(#REF!,"AAAAAD5P/9s=")</f>
        <v>#REF!</v>
      </c>
      <c r="HM333" t="e">
        <f>AND(#REF!,"AAAAAD5P/9w=")</f>
        <v>#REF!</v>
      </c>
      <c r="HN333" t="e">
        <f>IF(#REF!,"AAAAAD5P/90=",0)</f>
        <v>#REF!</v>
      </c>
      <c r="HO333" t="e">
        <f>AND(#REF!,"AAAAAD5P/94=")</f>
        <v>#REF!</v>
      </c>
      <c r="HP333" t="e">
        <f>AND(#REF!,"AAAAAD5P/98=")</f>
        <v>#REF!</v>
      </c>
      <c r="HQ333" t="e">
        <f>AND(#REF!,"AAAAAD5P/+A=")</f>
        <v>#REF!</v>
      </c>
      <c r="HR333" t="e">
        <f>AND(#REF!,"AAAAAD5P/+E=")</f>
        <v>#REF!</v>
      </c>
      <c r="HS333" t="e">
        <f>AND(#REF!,"AAAAAD5P/+I=")</f>
        <v>#REF!</v>
      </c>
      <c r="HT333" t="e">
        <f>AND(#REF!,"AAAAAD5P/+M=")</f>
        <v>#REF!</v>
      </c>
      <c r="HU333" t="e">
        <f>AND(#REF!,"AAAAAD5P/+Q=")</f>
        <v>#REF!</v>
      </c>
      <c r="HV333" t="e">
        <f>AND(#REF!,"AAAAAD5P/+U=")</f>
        <v>#REF!</v>
      </c>
      <c r="HW333" t="e">
        <f>AND(#REF!,"AAAAAD5P/+Y=")</f>
        <v>#REF!</v>
      </c>
      <c r="HX333" t="e">
        <f>AND(#REF!,"AAAAAD5P/+c=")</f>
        <v>#REF!</v>
      </c>
      <c r="HY333" t="e">
        <f>IF(#REF!,"AAAAAD5P/+g=",0)</f>
        <v>#REF!</v>
      </c>
      <c r="HZ333" t="e">
        <f>AND(#REF!,"AAAAAD5P/+k=")</f>
        <v>#REF!</v>
      </c>
      <c r="IA333" t="e">
        <f>AND(#REF!,"AAAAAD5P/+o=")</f>
        <v>#REF!</v>
      </c>
      <c r="IB333" t="e">
        <f>AND(#REF!,"AAAAAD5P/+s=")</f>
        <v>#REF!</v>
      </c>
      <c r="IC333" t="e">
        <f>AND(#REF!,"AAAAAD5P/+w=")</f>
        <v>#REF!</v>
      </c>
      <c r="ID333" t="e">
        <f>AND(#REF!,"AAAAAD5P/+0=")</f>
        <v>#REF!</v>
      </c>
      <c r="IE333" t="e">
        <f>AND(#REF!,"AAAAAD5P/+4=")</f>
        <v>#REF!</v>
      </c>
      <c r="IF333" t="e">
        <f>AND(#REF!,"AAAAAD5P/+8=")</f>
        <v>#REF!</v>
      </c>
      <c r="IG333" t="e">
        <f>AND(#REF!,"AAAAAD5P//A=")</f>
        <v>#REF!</v>
      </c>
      <c r="IH333" t="e">
        <f>AND(#REF!,"AAAAAD5P//E=")</f>
        <v>#REF!</v>
      </c>
      <c r="II333" t="e">
        <f>AND(#REF!,"AAAAAD5P//I=")</f>
        <v>#REF!</v>
      </c>
      <c r="IJ333" t="e">
        <f>IF(#REF!,"AAAAAD5P//M=",0)</f>
        <v>#REF!</v>
      </c>
      <c r="IK333" t="e">
        <f>AND(#REF!,"AAAAAD5P//Q=")</f>
        <v>#REF!</v>
      </c>
      <c r="IL333" t="e">
        <f>AND(#REF!,"AAAAAD5P//U=")</f>
        <v>#REF!</v>
      </c>
      <c r="IM333" t="e">
        <f>AND(#REF!,"AAAAAD5P//Y=")</f>
        <v>#REF!</v>
      </c>
      <c r="IN333" t="e">
        <f>AND(#REF!,"AAAAAD5P//c=")</f>
        <v>#REF!</v>
      </c>
      <c r="IO333" t="e">
        <f>AND(#REF!,"AAAAAD5P//g=")</f>
        <v>#REF!</v>
      </c>
      <c r="IP333" t="e">
        <f>AND(#REF!,"AAAAAD5P//k=")</f>
        <v>#REF!</v>
      </c>
      <c r="IQ333" t="e">
        <f>AND(#REF!,"AAAAAD5P//o=")</f>
        <v>#REF!</v>
      </c>
      <c r="IR333" t="e">
        <f>AND(#REF!,"AAAAAD5P//s=")</f>
        <v>#REF!</v>
      </c>
      <c r="IS333" t="e">
        <f>AND(#REF!,"AAAAAD5P//w=")</f>
        <v>#REF!</v>
      </c>
      <c r="IT333" t="e">
        <f>AND(#REF!,"AAAAAD5P//0=")</f>
        <v>#REF!</v>
      </c>
      <c r="IU333" t="e">
        <f>IF(#REF!,"AAAAAD5P//4=",0)</f>
        <v>#REF!</v>
      </c>
      <c r="IV333" t="e">
        <f>AND(#REF!,"AAAAAD5P//8=")</f>
        <v>#REF!</v>
      </c>
    </row>
    <row r="334" spans="1:256" x14ac:dyDescent="0.25">
      <c r="A334" t="e">
        <f>AND(#REF!,"AAAAAH4d/wA=")</f>
        <v>#REF!</v>
      </c>
      <c r="B334" t="e">
        <f>AND(#REF!,"AAAAAH4d/wE=")</f>
        <v>#REF!</v>
      </c>
      <c r="C334" t="e">
        <f>AND(#REF!,"AAAAAH4d/wI=")</f>
        <v>#REF!</v>
      </c>
      <c r="D334" t="e">
        <f>AND(#REF!,"AAAAAH4d/wM=")</f>
        <v>#REF!</v>
      </c>
      <c r="E334" t="e">
        <f>AND(#REF!,"AAAAAH4d/wQ=")</f>
        <v>#REF!</v>
      </c>
      <c r="F334" t="e">
        <f>AND(#REF!,"AAAAAH4d/wU=")</f>
        <v>#REF!</v>
      </c>
      <c r="G334" t="e">
        <f>AND(#REF!,"AAAAAH4d/wY=")</f>
        <v>#REF!</v>
      </c>
      <c r="H334" t="e">
        <f>AND(#REF!,"AAAAAH4d/wc=")</f>
        <v>#REF!</v>
      </c>
      <c r="I334" t="e">
        <f>AND(#REF!,"AAAAAH4d/wg=")</f>
        <v>#REF!</v>
      </c>
      <c r="J334" t="e">
        <f>IF(#REF!,"AAAAAH4d/wk=",0)</f>
        <v>#REF!</v>
      </c>
      <c r="K334" t="e">
        <f>AND(#REF!,"AAAAAH4d/wo=")</f>
        <v>#REF!</v>
      </c>
      <c r="L334" t="e">
        <f>AND(#REF!,"AAAAAH4d/ws=")</f>
        <v>#REF!</v>
      </c>
      <c r="M334" t="e">
        <f>AND(#REF!,"AAAAAH4d/ww=")</f>
        <v>#REF!</v>
      </c>
      <c r="N334" t="e">
        <f>AND(#REF!,"AAAAAH4d/w0=")</f>
        <v>#REF!</v>
      </c>
      <c r="O334" t="e">
        <f>AND(#REF!,"AAAAAH4d/w4=")</f>
        <v>#REF!</v>
      </c>
      <c r="P334" t="e">
        <f>AND(#REF!,"AAAAAH4d/w8=")</f>
        <v>#REF!</v>
      </c>
      <c r="Q334" t="e">
        <f>AND(#REF!,"AAAAAH4d/xA=")</f>
        <v>#REF!</v>
      </c>
      <c r="R334" t="e">
        <f>AND(#REF!,"AAAAAH4d/xE=")</f>
        <v>#REF!</v>
      </c>
      <c r="S334" t="e">
        <f>AND(#REF!,"AAAAAH4d/xI=")</f>
        <v>#REF!</v>
      </c>
      <c r="T334" t="e">
        <f>AND(#REF!,"AAAAAH4d/xM=")</f>
        <v>#REF!</v>
      </c>
      <c r="U334" t="e">
        <f>IF(#REF!,"AAAAAH4d/xQ=",0)</f>
        <v>#REF!</v>
      </c>
      <c r="V334" t="e">
        <f>AND(#REF!,"AAAAAH4d/xU=")</f>
        <v>#REF!</v>
      </c>
      <c r="W334" t="e">
        <f>AND(#REF!,"AAAAAH4d/xY=")</f>
        <v>#REF!</v>
      </c>
      <c r="X334" t="e">
        <f>AND(#REF!,"AAAAAH4d/xc=")</f>
        <v>#REF!</v>
      </c>
      <c r="Y334" t="e">
        <f>AND(#REF!,"AAAAAH4d/xg=")</f>
        <v>#REF!</v>
      </c>
      <c r="Z334" t="e">
        <f>AND(#REF!,"AAAAAH4d/xk=")</f>
        <v>#REF!</v>
      </c>
      <c r="AA334" t="e">
        <f>AND(#REF!,"AAAAAH4d/xo=")</f>
        <v>#REF!</v>
      </c>
      <c r="AB334" t="e">
        <f>AND(#REF!,"AAAAAH4d/xs=")</f>
        <v>#REF!</v>
      </c>
      <c r="AC334" t="e">
        <f>AND(#REF!,"AAAAAH4d/xw=")</f>
        <v>#REF!</v>
      </c>
      <c r="AD334" t="e">
        <f>AND(#REF!,"AAAAAH4d/x0=")</f>
        <v>#REF!</v>
      </c>
      <c r="AE334" t="e">
        <f>AND(#REF!,"AAAAAH4d/x4=")</f>
        <v>#REF!</v>
      </c>
      <c r="AF334" t="e">
        <f>IF(#REF!,"AAAAAH4d/x8=",0)</f>
        <v>#REF!</v>
      </c>
      <c r="AG334" t="e">
        <f>AND(#REF!,"AAAAAH4d/yA=")</f>
        <v>#REF!</v>
      </c>
      <c r="AH334" t="e">
        <f>AND(#REF!,"AAAAAH4d/yE=")</f>
        <v>#REF!</v>
      </c>
      <c r="AI334" t="e">
        <f>AND(#REF!,"AAAAAH4d/yI=")</f>
        <v>#REF!</v>
      </c>
      <c r="AJ334" t="e">
        <f>AND(#REF!,"AAAAAH4d/yM=")</f>
        <v>#REF!</v>
      </c>
      <c r="AK334" t="e">
        <f>AND(#REF!,"AAAAAH4d/yQ=")</f>
        <v>#REF!</v>
      </c>
      <c r="AL334" t="e">
        <f>AND(#REF!,"AAAAAH4d/yU=")</f>
        <v>#REF!</v>
      </c>
      <c r="AM334" t="e">
        <f>AND(#REF!,"AAAAAH4d/yY=")</f>
        <v>#REF!</v>
      </c>
      <c r="AN334" t="e">
        <f>AND(#REF!,"AAAAAH4d/yc=")</f>
        <v>#REF!</v>
      </c>
      <c r="AO334" t="e">
        <f>AND(#REF!,"AAAAAH4d/yg=")</f>
        <v>#REF!</v>
      </c>
      <c r="AP334" t="e">
        <f>AND(#REF!,"AAAAAH4d/yk=")</f>
        <v>#REF!</v>
      </c>
      <c r="AQ334" t="e">
        <f>IF(#REF!,"AAAAAH4d/yo=",0)</f>
        <v>#REF!</v>
      </c>
      <c r="AR334" t="e">
        <f>AND(#REF!,"AAAAAH4d/ys=")</f>
        <v>#REF!</v>
      </c>
      <c r="AS334" t="e">
        <f>AND(#REF!,"AAAAAH4d/yw=")</f>
        <v>#REF!</v>
      </c>
      <c r="AT334" t="e">
        <f>AND(#REF!,"AAAAAH4d/y0=")</f>
        <v>#REF!</v>
      </c>
      <c r="AU334" t="e">
        <f>AND(#REF!,"AAAAAH4d/y4=")</f>
        <v>#REF!</v>
      </c>
      <c r="AV334" t="e">
        <f>AND(#REF!,"AAAAAH4d/y8=")</f>
        <v>#REF!</v>
      </c>
      <c r="AW334" t="e">
        <f>AND(#REF!,"AAAAAH4d/zA=")</f>
        <v>#REF!</v>
      </c>
      <c r="AX334" t="e">
        <f>AND(#REF!,"AAAAAH4d/zE=")</f>
        <v>#REF!</v>
      </c>
      <c r="AY334" t="e">
        <f>AND(#REF!,"AAAAAH4d/zI=")</f>
        <v>#REF!</v>
      </c>
      <c r="AZ334" t="e">
        <f>AND(#REF!,"AAAAAH4d/zM=")</f>
        <v>#REF!</v>
      </c>
      <c r="BA334" t="e">
        <f>AND(#REF!,"AAAAAH4d/zQ=")</f>
        <v>#REF!</v>
      </c>
      <c r="BB334" t="e">
        <f>IF(#REF!,"AAAAAH4d/zU=",0)</f>
        <v>#REF!</v>
      </c>
      <c r="BC334" t="e">
        <f>AND(#REF!,"AAAAAH4d/zY=")</f>
        <v>#REF!</v>
      </c>
      <c r="BD334" t="e">
        <f>AND(#REF!,"AAAAAH4d/zc=")</f>
        <v>#REF!</v>
      </c>
      <c r="BE334" t="e">
        <f>AND(#REF!,"AAAAAH4d/zg=")</f>
        <v>#REF!</v>
      </c>
      <c r="BF334" t="e">
        <f>AND(#REF!,"AAAAAH4d/zk=")</f>
        <v>#REF!</v>
      </c>
      <c r="BG334" t="e">
        <f>AND(#REF!,"AAAAAH4d/zo=")</f>
        <v>#REF!</v>
      </c>
      <c r="BH334" t="e">
        <f>AND(#REF!,"AAAAAH4d/zs=")</f>
        <v>#REF!</v>
      </c>
      <c r="BI334" t="e">
        <f>AND(#REF!,"AAAAAH4d/zw=")</f>
        <v>#REF!</v>
      </c>
      <c r="BJ334" t="e">
        <f>AND(#REF!,"AAAAAH4d/z0=")</f>
        <v>#REF!</v>
      </c>
      <c r="BK334" t="e">
        <f>AND(#REF!,"AAAAAH4d/z4=")</f>
        <v>#REF!</v>
      </c>
      <c r="BL334" t="e">
        <f>AND(#REF!,"AAAAAH4d/z8=")</f>
        <v>#REF!</v>
      </c>
      <c r="BM334" t="e">
        <f>IF(#REF!,"AAAAAH4d/0A=",0)</f>
        <v>#REF!</v>
      </c>
      <c r="BN334" t="e">
        <f>AND(#REF!,"AAAAAH4d/0E=")</f>
        <v>#REF!</v>
      </c>
      <c r="BO334" t="e">
        <f>AND(#REF!,"AAAAAH4d/0I=")</f>
        <v>#REF!</v>
      </c>
      <c r="BP334" t="e">
        <f>AND(#REF!,"AAAAAH4d/0M=")</f>
        <v>#REF!</v>
      </c>
      <c r="BQ334" t="e">
        <f>AND(#REF!,"AAAAAH4d/0Q=")</f>
        <v>#REF!</v>
      </c>
      <c r="BR334" t="e">
        <f>AND(#REF!,"AAAAAH4d/0U=")</f>
        <v>#REF!</v>
      </c>
      <c r="BS334" t="e">
        <f>AND(#REF!,"AAAAAH4d/0Y=")</f>
        <v>#REF!</v>
      </c>
      <c r="BT334" t="e">
        <f>AND(#REF!,"AAAAAH4d/0c=")</f>
        <v>#REF!</v>
      </c>
      <c r="BU334" t="e">
        <f>AND(#REF!,"AAAAAH4d/0g=")</f>
        <v>#REF!</v>
      </c>
      <c r="BV334" t="e">
        <f>AND(#REF!,"AAAAAH4d/0k=")</f>
        <v>#REF!</v>
      </c>
      <c r="BW334" t="e">
        <f>AND(#REF!,"AAAAAH4d/0o=")</f>
        <v>#REF!</v>
      </c>
      <c r="BX334" t="e">
        <f>IF(#REF!,"AAAAAH4d/0s=",0)</f>
        <v>#REF!</v>
      </c>
      <c r="BY334" t="e">
        <f>AND(#REF!,"AAAAAH4d/0w=")</f>
        <v>#REF!</v>
      </c>
      <c r="BZ334" t="e">
        <f>AND(#REF!,"AAAAAH4d/00=")</f>
        <v>#REF!</v>
      </c>
      <c r="CA334" t="e">
        <f>AND(#REF!,"AAAAAH4d/04=")</f>
        <v>#REF!</v>
      </c>
      <c r="CB334" t="e">
        <f>AND(#REF!,"AAAAAH4d/08=")</f>
        <v>#REF!</v>
      </c>
      <c r="CC334" t="e">
        <f>AND(#REF!,"AAAAAH4d/1A=")</f>
        <v>#REF!</v>
      </c>
      <c r="CD334" t="e">
        <f>AND(#REF!,"AAAAAH4d/1E=")</f>
        <v>#REF!</v>
      </c>
      <c r="CE334" t="e">
        <f>AND(#REF!,"AAAAAH4d/1I=")</f>
        <v>#REF!</v>
      </c>
      <c r="CF334" t="e">
        <f>AND(#REF!,"AAAAAH4d/1M=")</f>
        <v>#REF!</v>
      </c>
      <c r="CG334" t="e">
        <f>AND(#REF!,"AAAAAH4d/1Q=")</f>
        <v>#REF!</v>
      </c>
      <c r="CH334" t="e">
        <f>AND(#REF!,"AAAAAH4d/1U=")</f>
        <v>#REF!</v>
      </c>
      <c r="CI334" t="e">
        <f>IF(#REF!,"AAAAAH4d/1Y=",0)</f>
        <v>#REF!</v>
      </c>
      <c r="CJ334" t="e">
        <f>AND(#REF!,"AAAAAH4d/1c=")</f>
        <v>#REF!</v>
      </c>
      <c r="CK334" t="e">
        <f>AND(#REF!,"AAAAAH4d/1g=")</f>
        <v>#REF!</v>
      </c>
      <c r="CL334" t="e">
        <f>AND(#REF!,"AAAAAH4d/1k=")</f>
        <v>#REF!</v>
      </c>
      <c r="CM334" t="e">
        <f>AND(#REF!,"AAAAAH4d/1o=")</f>
        <v>#REF!</v>
      </c>
      <c r="CN334" t="e">
        <f>AND(#REF!,"AAAAAH4d/1s=")</f>
        <v>#REF!</v>
      </c>
      <c r="CO334" t="e">
        <f>AND(#REF!,"AAAAAH4d/1w=")</f>
        <v>#REF!</v>
      </c>
      <c r="CP334" t="e">
        <f>AND(#REF!,"AAAAAH4d/10=")</f>
        <v>#REF!</v>
      </c>
      <c r="CQ334" t="e">
        <f>AND(#REF!,"AAAAAH4d/14=")</f>
        <v>#REF!</v>
      </c>
      <c r="CR334" t="e">
        <f>AND(#REF!,"AAAAAH4d/18=")</f>
        <v>#REF!</v>
      </c>
      <c r="CS334" t="e">
        <f>AND(#REF!,"AAAAAH4d/2A=")</f>
        <v>#REF!</v>
      </c>
      <c r="CT334" t="e">
        <f>IF(#REF!,"AAAAAH4d/2E=",0)</f>
        <v>#REF!</v>
      </c>
      <c r="CU334" t="e">
        <f>AND(#REF!,"AAAAAH4d/2I=")</f>
        <v>#REF!</v>
      </c>
      <c r="CV334" t="e">
        <f>AND(#REF!,"AAAAAH4d/2M=")</f>
        <v>#REF!</v>
      </c>
      <c r="CW334" t="e">
        <f>AND(#REF!,"AAAAAH4d/2Q=")</f>
        <v>#REF!</v>
      </c>
      <c r="CX334" t="e">
        <f>AND(#REF!,"AAAAAH4d/2U=")</f>
        <v>#REF!</v>
      </c>
      <c r="CY334" t="e">
        <f>AND(#REF!,"AAAAAH4d/2Y=")</f>
        <v>#REF!</v>
      </c>
      <c r="CZ334" t="e">
        <f>AND(#REF!,"AAAAAH4d/2c=")</f>
        <v>#REF!</v>
      </c>
      <c r="DA334" t="e">
        <f>AND(#REF!,"AAAAAH4d/2g=")</f>
        <v>#REF!</v>
      </c>
      <c r="DB334" t="e">
        <f>AND(#REF!,"AAAAAH4d/2k=")</f>
        <v>#REF!</v>
      </c>
      <c r="DC334" t="e">
        <f>AND(#REF!,"AAAAAH4d/2o=")</f>
        <v>#REF!</v>
      </c>
      <c r="DD334" t="e">
        <f>AND(#REF!,"AAAAAH4d/2s=")</f>
        <v>#REF!</v>
      </c>
      <c r="DE334" t="e">
        <f>IF(#REF!,"AAAAAH4d/2w=",0)</f>
        <v>#REF!</v>
      </c>
      <c r="DF334" t="e">
        <f>AND(#REF!,"AAAAAH4d/20=")</f>
        <v>#REF!</v>
      </c>
      <c r="DG334" t="e">
        <f>AND(#REF!,"AAAAAH4d/24=")</f>
        <v>#REF!</v>
      </c>
      <c r="DH334" t="e">
        <f>AND(#REF!,"AAAAAH4d/28=")</f>
        <v>#REF!</v>
      </c>
      <c r="DI334" t="e">
        <f>AND(#REF!,"AAAAAH4d/3A=")</f>
        <v>#REF!</v>
      </c>
      <c r="DJ334" t="e">
        <f>AND(#REF!,"AAAAAH4d/3E=")</f>
        <v>#REF!</v>
      </c>
      <c r="DK334" t="e">
        <f>AND(#REF!,"AAAAAH4d/3I=")</f>
        <v>#REF!</v>
      </c>
      <c r="DL334" t="e">
        <f>AND(#REF!,"AAAAAH4d/3M=")</f>
        <v>#REF!</v>
      </c>
      <c r="DM334" t="e">
        <f>AND(#REF!,"AAAAAH4d/3Q=")</f>
        <v>#REF!</v>
      </c>
      <c r="DN334" t="e">
        <f>AND(#REF!,"AAAAAH4d/3U=")</f>
        <v>#REF!</v>
      </c>
      <c r="DO334" t="e">
        <f>AND(#REF!,"AAAAAH4d/3Y=")</f>
        <v>#REF!</v>
      </c>
      <c r="DP334" t="e">
        <f>IF(#REF!,"AAAAAH4d/3c=",0)</f>
        <v>#REF!</v>
      </c>
      <c r="DQ334" t="e">
        <f>AND(#REF!,"AAAAAH4d/3g=")</f>
        <v>#REF!</v>
      </c>
      <c r="DR334" t="e">
        <f>AND(#REF!,"AAAAAH4d/3k=")</f>
        <v>#REF!</v>
      </c>
      <c r="DS334" t="e">
        <f>AND(#REF!,"AAAAAH4d/3o=")</f>
        <v>#REF!</v>
      </c>
      <c r="DT334" t="e">
        <f>AND(#REF!,"AAAAAH4d/3s=")</f>
        <v>#REF!</v>
      </c>
      <c r="DU334" t="e">
        <f>AND(#REF!,"AAAAAH4d/3w=")</f>
        <v>#REF!</v>
      </c>
      <c r="DV334" t="e">
        <f>AND(#REF!,"AAAAAH4d/30=")</f>
        <v>#REF!</v>
      </c>
      <c r="DW334" t="e">
        <f>AND(#REF!,"AAAAAH4d/34=")</f>
        <v>#REF!</v>
      </c>
      <c r="DX334" t="e">
        <f>AND(#REF!,"AAAAAH4d/38=")</f>
        <v>#REF!</v>
      </c>
      <c r="DY334" t="e">
        <f>AND(#REF!,"AAAAAH4d/4A=")</f>
        <v>#REF!</v>
      </c>
      <c r="DZ334" t="e">
        <f>AND(#REF!,"AAAAAH4d/4E=")</f>
        <v>#REF!</v>
      </c>
      <c r="EA334" t="e">
        <f>IF(#REF!,"AAAAAH4d/4I=",0)</f>
        <v>#REF!</v>
      </c>
      <c r="EB334" t="e">
        <f>AND(#REF!,"AAAAAH4d/4M=")</f>
        <v>#REF!</v>
      </c>
      <c r="EC334" t="e">
        <f>AND(#REF!,"AAAAAH4d/4Q=")</f>
        <v>#REF!</v>
      </c>
      <c r="ED334" t="e">
        <f>AND(#REF!,"AAAAAH4d/4U=")</f>
        <v>#REF!</v>
      </c>
      <c r="EE334" t="e">
        <f>AND(#REF!,"AAAAAH4d/4Y=")</f>
        <v>#REF!</v>
      </c>
      <c r="EF334" t="e">
        <f>AND(#REF!,"AAAAAH4d/4c=")</f>
        <v>#REF!</v>
      </c>
      <c r="EG334" t="e">
        <f>AND(#REF!,"AAAAAH4d/4g=")</f>
        <v>#REF!</v>
      </c>
      <c r="EH334" t="e">
        <f>AND(#REF!,"AAAAAH4d/4k=")</f>
        <v>#REF!</v>
      </c>
      <c r="EI334" t="e">
        <f>AND(#REF!,"AAAAAH4d/4o=")</f>
        <v>#REF!</v>
      </c>
      <c r="EJ334" t="e">
        <f>AND(#REF!,"AAAAAH4d/4s=")</f>
        <v>#REF!</v>
      </c>
      <c r="EK334" t="e">
        <f>AND(#REF!,"AAAAAH4d/4w=")</f>
        <v>#REF!</v>
      </c>
      <c r="EL334" t="e">
        <f>IF(#REF!,"AAAAAH4d/40=",0)</f>
        <v>#REF!</v>
      </c>
      <c r="EM334" t="e">
        <f>AND(#REF!,"AAAAAH4d/44=")</f>
        <v>#REF!</v>
      </c>
      <c r="EN334" t="e">
        <f>AND(#REF!,"AAAAAH4d/48=")</f>
        <v>#REF!</v>
      </c>
      <c r="EO334" t="e">
        <f>AND(#REF!,"AAAAAH4d/5A=")</f>
        <v>#REF!</v>
      </c>
      <c r="EP334" t="e">
        <f>AND(#REF!,"AAAAAH4d/5E=")</f>
        <v>#REF!</v>
      </c>
      <c r="EQ334" t="e">
        <f>AND(#REF!,"AAAAAH4d/5I=")</f>
        <v>#REF!</v>
      </c>
      <c r="ER334" t="e">
        <f>AND(#REF!,"AAAAAH4d/5M=")</f>
        <v>#REF!</v>
      </c>
      <c r="ES334" t="e">
        <f>AND(#REF!,"AAAAAH4d/5Q=")</f>
        <v>#REF!</v>
      </c>
      <c r="ET334" t="e">
        <f>AND(#REF!,"AAAAAH4d/5U=")</f>
        <v>#REF!</v>
      </c>
      <c r="EU334" t="e">
        <f>AND(#REF!,"AAAAAH4d/5Y=")</f>
        <v>#REF!</v>
      </c>
      <c r="EV334" t="e">
        <f>AND(#REF!,"AAAAAH4d/5c=")</f>
        <v>#REF!</v>
      </c>
      <c r="EW334" t="e">
        <f>IF(#REF!,"AAAAAH4d/5g=",0)</f>
        <v>#REF!</v>
      </c>
      <c r="EX334" t="e">
        <f>AND(#REF!,"AAAAAH4d/5k=")</f>
        <v>#REF!</v>
      </c>
      <c r="EY334" t="e">
        <f>AND(#REF!,"AAAAAH4d/5o=")</f>
        <v>#REF!</v>
      </c>
      <c r="EZ334" t="e">
        <f>AND(#REF!,"AAAAAH4d/5s=")</f>
        <v>#REF!</v>
      </c>
      <c r="FA334" t="e">
        <f>AND(#REF!,"AAAAAH4d/5w=")</f>
        <v>#REF!</v>
      </c>
      <c r="FB334" t="e">
        <f>AND(#REF!,"AAAAAH4d/50=")</f>
        <v>#REF!</v>
      </c>
      <c r="FC334" t="e">
        <f>AND(#REF!,"AAAAAH4d/54=")</f>
        <v>#REF!</v>
      </c>
      <c r="FD334" t="e">
        <f>AND(#REF!,"AAAAAH4d/58=")</f>
        <v>#REF!</v>
      </c>
      <c r="FE334" t="e">
        <f>AND(#REF!,"AAAAAH4d/6A=")</f>
        <v>#REF!</v>
      </c>
      <c r="FF334" t="e">
        <f>AND(#REF!,"AAAAAH4d/6E=")</f>
        <v>#REF!</v>
      </c>
      <c r="FG334" t="e">
        <f>AND(#REF!,"AAAAAH4d/6I=")</f>
        <v>#REF!</v>
      </c>
      <c r="FH334" t="e">
        <f>IF(#REF!,"AAAAAH4d/6M=",0)</f>
        <v>#REF!</v>
      </c>
      <c r="FI334" t="e">
        <f>AND(#REF!,"AAAAAH4d/6Q=")</f>
        <v>#REF!</v>
      </c>
      <c r="FJ334" t="e">
        <f>AND(#REF!,"AAAAAH4d/6U=")</f>
        <v>#REF!</v>
      </c>
      <c r="FK334" t="e">
        <f>AND(#REF!,"AAAAAH4d/6Y=")</f>
        <v>#REF!</v>
      </c>
      <c r="FL334" t="e">
        <f>AND(#REF!,"AAAAAH4d/6c=")</f>
        <v>#REF!</v>
      </c>
      <c r="FM334" t="e">
        <f>AND(#REF!,"AAAAAH4d/6g=")</f>
        <v>#REF!</v>
      </c>
      <c r="FN334" t="e">
        <f>AND(#REF!,"AAAAAH4d/6k=")</f>
        <v>#REF!</v>
      </c>
      <c r="FO334" t="e">
        <f>AND(#REF!,"AAAAAH4d/6o=")</f>
        <v>#REF!</v>
      </c>
      <c r="FP334" t="e">
        <f>AND(#REF!,"AAAAAH4d/6s=")</f>
        <v>#REF!</v>
      </c>
      <c r="FQ334" t="e">
        <f>AND(#REF!,"AAAAAH4d/6w=")</f>
        <v>#REF!</v>
      </c>
      <c r="FR334" t="e">
        <f>AND(#REF!,"AAAAAH4d/60=")</f>
        <v>#REF!</v>
      </c>
      <c r="FS334" t="e">
        <f>IF(#REF!,"AAAAAH4d/64=",0)</f>
        <v>#REF!</v>
      </c>
      <c r="FT334" t="e">
        <f>AND(#REF!,"AAAAAH4d/68=")</f>
        <v>#REF!</v>
      </c>
      <c r="FU334" t="e">
        <f>AND(#REF!,"AAAAAH4d/7A=")</f>
        <v>#REF!</v>
      </c>
      <c r="FV334" t="e">
        <f>AND(#REF!,"AAAAAH4d/7E=")</f>
        <v>#REF!</v>
      </c>
      <c r="FW334" t="e">
        <f>AND(#REF!,"AAAAAH4d/7I=")</f>
        <v>#REF!</v>
      </c>
      <c r="FX334" t="e">
        <f>AND(#REF!,"AAAAAH4d/7M=")</f>
        <v>#REF!</v>
      </c>
      <c r="FY334" t="e">
        <f>AND(#REF!,"AAAAAH4d/7Q=")</f>
        <v>#REF!</v>
      </c>
      <c r="FZ334" t="e">
        <f>AND(#REF!,"AAAAAH4d/7U=")</f>
        <v>#REF!</v>
      </c>
      <c r="GA334" t="e">
        <f>AND(#REF!,"AAAAAH4d/7Y=")</f>
        <v>#REF!</v>
      </c>
      <c r="GB334" t="e">
        <f>AND(#REF!,"AAAAAH4d/7c=")</f>
        <v>#REF!</v>
      </c>
      <c r="GC334" t="e">
        <f>AND(#REF!,"AAAAAH4d/7g=")</f>
        <v>#REF!</v>
      </c>
      <c r="GD334" t="e">
        <f>IF(#REF!,"AAAAAH4d/7k=",0)</f>
        <v>#REF!</v>
      </c>
      <c r="GE334" t="e">
        <f>AND(#REF!,"AAAAAH4d/7o=")</f>
        <v>#REF!</v>
      </c>
      <c r="GF334" t="e">
        <f>AND(#REF!,"AAAAAH4d/7s=")</f>
        <v>#REF!</v>
      </c>
      <c r="GG334" t="e">
        <f>AND(#REF!,"AAAAAH4d/7w=")</f>
        <v>#REF!</v>
      </c>
      <c r="GH334" t="e">
        <f>AND(#REF!,"AAAAAH4d/70=")</f>
        <v>#REF!</v>
      </c>
      <c r="GI334" t="e">
        <f>AND(#REF!,"AAAAAH4d/74=")</f>
        <v>#REF!</v>
      </c>
      <c r="GJ334" t="e">
        <f>AND(#REF!,"AAAAAH4d/78=")</f>
        <v>#REF!</v>
      </c>
      <c r="GK334" t="e">
        <f>AND(#REF!,"AAAAAH4d/8A=")</f>
        <v>#REF!</v>
      </c>
      <c r="GL334" t="e">
        <f>AND(#REF!,"AAAAAH4d/8E=")</f>
        <v>#REF!</v>
      </c>
      <c r="GM334" t="e">
        <f>AND(#REF!,"AAAAAH4d/8I=")</f>
        <v>#REF!</v>
      </c>
      <c r="GN334" t="e">
        <f>AND(#REF!,"AAAAAH4d/8M=")</f>
        <v>#REF!</v>
      </c>
      <c r="GO334" t="e">
        <f>IF(#REF!,"AAAAAH4d/8Q=",0)</f>
        <v>#REF!</v>
      </c>
      <c r="GP334" t="e">
        <f>AND(#REF!,"AAAAAH4d/8U=")</f>
        <v>#REF!</v>
      </c>
      <c r="GQ334" t="e">
        <f>AND(#REF!,"AAAAAH4d/8Y=")</f>
        <v>#REF!</v>
      </c>
      <c r="GR334" t="e">
        <f>AND(#REF!,"AAAAAH4d/8c=")</f>
        <v>#REF!</v>
      </c>
      <c r="GS334" t="e">
        <f>AND(#REF!,"AAAAAH4d/8g=")</f>
        <v>#REF!</v>
      </c>
      <c r="GT334" t="e">
        <f>AND(#REF!,"AAAAAH4d/8k=")</f>
        <v>#REF!</v>
      </c>
      <c r="GU334" t="e">
        <f>AND(#REF!,"AAAAAH4d/8o=")</f>
        <v>#REF!</v>
      </c>
      <c r="GV334" t="e">
        <f>AND(#REF!,"AAAAAH4d/8s=")</f>
        <v>#REF!</v>
      </c>
      <c r="GW334" t="e">
        <f>AND(#REF!,"AAAAAH4d/8w=")</f>
        <v>#REF!</v>
      </c>
      <c r="GX334" t="e">
        <f>AND(#REF!,"AAAAAH4d/80=")</f>
        <v>#REF!</v>
      </c>
      <c r="GY334" t="e">
        <f>AND(#REF!,"AAAAAH4d/84=")</f>
        <v>#REF!</v>
      </c>
      <c r="GZ334" t="e">
        <f>IF(#REF!,"AAAAAH4d/88=",0)</f>
        <v>#REF!</v>
      </c>
      <c r="HA334" t="e">
        <f>AND(#REF!,"AAAAAH4d/9A=")</f>
        <v>#REF!</v>
      </c>
      <c r="HB334" t="e">
        <f>AND(#REF!,"AAAAAH4d/9E=")</f>
        <v>#REF!</v>
      </c>
      <c r="HC334" t="e">
        <f>AND(#REF!,"AAAAAH4d/9I=")</f>
        <v>#REF!</v>
      </c>
      <c r="HD334" t="e">
        <f>AND(#REF!,"AAAAAH4d/9M=")</f>
        <v>#REF!</v>
      </c>
      <c r="HE334" t="e">
        <f>AND(#REF!,"AAAAAH4d/9Q=")</f>
        <v>#REF!</v>
      </c>
      <c r="HF334" t="e">
        <f>AND(#REF!,"AAAAAH4d/9U=")</f>
        <v>#REF!</v>
      </c>
      <c r="HG334" t="e">
        <f>AND(#REF!,"AAAAAH4d/9Y=")</f>
        <v>#REF!</v>
      </c>
      <c r="HH334" t="e">
        <f>AND(#REF!,"AAAAAH4d/9c=")</f>
        <v>#REF!</v>
      </c>
      <c r="HI334" t="e">
        <f>AND(#REF!,"AAAAAH4d/9g=")</f>
        <v>#REF!</v>
      </c>
      <c r="HJ334" t="e">
        <f>AND(#REF!,"AAAAAH4d/9k=")</f>
        <v>#REF!</v>
      </c>
      <c r="HK334" t="e">
        <f>IF(#REF!,"AAAAAH4d/9o=",0)</f>
        <v>#REF!</v>
      </c>
      <c r="HL334" t="e">
        <f>AND(#REF!,"AAAAAH4d/9s=")</f>
        <v>#REF!</v>
      </c>
      <c r="HM334" t="e">
        <f>AND(#REF!,"AAAAAH4d/9w=")</f>
        <v>#REF!</v>
      </c>
      <c r="HN334" t="e">
        <f>AND(#REF!,"AAAAAH4d/90=")</f>
        <v>#REF!</v>
      </c>
      <c r="HO334" t="e">
        <f>AND(#REF!,"AAAAAH4d/94=")</f>
        <v>#REF!</v>
      </c>
      <c r="HP334" t="e">
        <f>AND(#REF!,"AAAAAH4d/98=")</f>
        <v>#REF!</v>
      </c>
      <c r="HQ334" t="e">
        <f>AND(#REF!,"AAAAAH4d/+A=")</f>
        <v>#REF!</v>
      </c>
      <c r="HR334" t="e">
        <f>AND(#REF!,"AAAAAH4d/+E=")</f>
        <v>#REF!</v>
      </c>
      <c r="HS334" t="e">
        <f>AND(#REF!,"AAAAAH4d/+I=")</f>
        <v>#REF!</v>
      </c>
      <c r="HT334" t="e">
        <f>AND(#REF!,"AAAAAH4d/+M=")</f>
        <v>#REF!</v>
      </c>
      <c r="HU334" t="e">
        <f>AND(#REF!,"AAAAAH4d/+Q=")</f>
        <v>#REF!</v>
      </c>
      <c r="HV334" t="e">
        <f>IF(#REF!,"AAAAAH4d/+U=",0)</f>
        <v>#REF!</v>
      </c>
      <c r="HW334" t="e">
        <f>AND(#REF!,"AAAAAH4d/+Y=")</f>
        <v>#REF!</v>
      </c>
      <c r="HX334" t="e">
        <f>AND(#REF!,"AAAAAH4d/+c=")</f>
        <v>#REF!</v>
      </c>
      <c r="HY334" t="e">
        <f>AND(#REF!,"AAAAAH4d/+g=")</f>
        <v>#REF!</v>
      </c>
      <c r="HZ334" t="e">
        <f>AND(#REF!,"AAAAAH4d/+k=")</f>
        <v>#REF!</v>
      </c>
      <c r="IA334" t="e">
        <f>AND(#REF!,"AAAAAH4d/+o=")</f>
        <v>#REF!</v>
      </c>
      <c r="IB334" t="e">
        <f>AND(#REF!,"AAAAAH4d/+s=")</f>
        <v>#REF!</v>
      </c>
      <c r="IC334" t="e">
        <f>AND(#REF!,"AAAAAH4d/+w=")</f>
        <v>#REF!</v>
      </c>
      <c r="ID334" t="e">
        <f>AND(#REF!,"AAAAAH4d/+0=")</f>
        <v>#REF!</v>
      </c>
      <c r="IE334" t="e">
        <f>AND(#REF!,"AAAAAH4d/+4=")</f>
        <v>#REF!</v>
      </c>
      <c r="IF334" t="e">
        <f>AND(#REF!,"AAAAAH4d/+8=")</f>
        <v>#REF!</v>
      </c>
      <c r="IG334" t="e">
        <f>IF(#REF!,"AAAAAH4d//A=",0)</f>
        <v>#REF!</v>
      </c>
      <c r="IH334" t="e">
        <f>AND(#REF!,"AAAAAH4d//E=")</f>
        <v>#REF!</v>
      </c>
      <c r="II334" t="e">
        <f>AND(#REF!,"AAAAAH4d//I=")</f>
        <v>#REF!</v>
      </c>
      <c r="IJ334" t="e">
        <f>AND(#REF!,"AAAAAH4d//M=")</f>
        <v>#REF!</v>
      </c>
      <c r="IK334" t="e">
        <f>AND(#REF!,"AAAAAH4d//Q=")</f>
        <v>#REF!</v>
      </c>
      <c r="IL334" t="e">
        <f>AND(#REF!,"AAAAAH4d//U=")</f>
        <v>#REF!</v>
      </c>
      <c r="IM334" t="e">
        <f>AND(#REF!,"AAAAAH4d//Y=")</f>
        <v>#REF!</v>
      </c>
      <c r="IN334" t="e">
        <f>AND(#REF!,"AAAAAH4d//c=")</f>
        <v>#REF!</v>
      </c>
      <c r="IO334" t="e">
        <f>AND(#REF!,"AAAAAH4d//g=")</f>
        <v>#REF!</v>
      </c>
      <c r="IP334" t="e">
        <f>AND(#REF!,"AAAAAH4d//k=")</f>
        <v>#REF!</v>
      </c>
      <c r="IQ334" t="e">
        <f>AND(#REF!,"AAAAAH4d//o=")</f>
        <v>#REF!</v>
      </c>
      <c r="IR334" t="e">
        <f>IF(#REF!,"AAAAAH4d//s=",0)</f>
        <v>#REF!</v>
      </c>
      <c r="IS334" t="e">
        <f>AND(#REF!,"AAAAAH4d//w=")</f>
        <v>#REF!</v>
      </c>
      <c r="IT334" t="e">
        <f>AND(#REF!,"AAAAAH4d//0=")</f>
        <v>#REF!</v>
      </c>
      <c r="IU334" t="e">
        <f>AND(#REF!,"AAAAAH4d//4=")</f>
        <v>#REF!</v>
      </c>
      <c r="IV334" t="e">
        <f>AND(#REF!,"AAAAAH4d//8=")</f>
        <v>#REF!</v>
      </c>
    </row>
    <row r="335" spans="1:256" x14ac:dyDescent="0.25">
      <c r="A335" t="e">
        <f>AND(#REF!,"AAAAAH/uxwA=")</f>
        <v>#REF!</v>
      </c>
      <c r="B335" t="e">
        <f>AND(#REF!,"AAAAAH/uxwE=")</f>
        <v>#REF!</v>
      </c>
      <c r="C335" t="e">
        <f>AND(#REF!,"AAAAAH/uxwI=")</f>
        <v>#REF!</v>
      </c>
      <c r="D335" t="e">
        <f>AND(#REF!,"AAAAAH/uxwM=")</f>
        <v>#REF!</v>
      </c>
      <c r="E335" t="e">
        <f>AND(#REF!,"AAAAAH/uxwQ=")</f>
        <v>#REF!</v>
      </c>
      <c r="F335" t="e">
        <f>AND(#REF!,"AAAAAH/uxwU=")</f>
        <v>#REF!</v>
      </c>
      <c r="G335" t="e">
        <f>IF(#REF!,"AAAAAH/uxwY=",0)</f>
        <v>#REF!</v>
      </c>
      <c r="H335" t="e">
        <f>AND(#REF!,"AAAAAH/uxwc=")</f>
        <v>#REF!</v>
      </c>
      <c r="I335" t="e">
        <f>AND(#REF!,"AAAAAH/uxwg=")</f>
        <v>#REF!</v>
      </c>
      <c r="J335" t="e">
        <f>AND(#REF!,"AAAAAH/uxwk=")</f>
        <v>#REF!</v>
      </c>
      <c r="K335" t="e">
        <f>AND(#REF!,"AAAAAH/uxwo=")</f>
        <v>#REF!</v>
      </c>
      <c r="L335" t="e">
        <f>AND(#REF!,"AAAAAH/uxws=")</f>
        <v>#REF!</v>
      </c>
      <c r="M335" t="e">
        <f>AND(#REF!,"AAAAAH/uxww=")</f>
        <v>#REF!</v>
      </c>
      <c r="N335" t="e">
        <f>AND(#REF!,"AAAAAH/uxw0=")</f>
        <v>#REF!</v>
      </c>
      <c r="O335" t="e">
        <f>AND(#REF!,"AAAAAH/uxw4=")</f>
        <v>#REF!</v>
      </c>
      <c r="P335" t="e">
        <f>AND(#REF!,"AAAAAH/uxw8=")</f>
        <v>#REF!</v>
      </c>
      <c r="Q335" t="e">
        <f>AND(#REF!,"AAAAAH/uxxA=")</f>
        <v>#REF!</v>
      </c>
      <c r="R335" t="e">
        <f>IF(#REF!,"AAAAAH/uxxE=",0)</f>
        <v>#REF!</v>
      </c>
      <c r="S335" t="e">
        <f>AND(#REF!,"AAAAAH/uxxI=")</f>
        <v>#REF!</v>
      </c>
      <c r="T335" t="e">
        <f>AND(#REF!,"AAAAAH/uxxM=")</f>
        <v>#REF!</v>
      </c>
      <c r="U335" t="e">
        <f>AND(#REF!,"AAAAAH/uxxQ=")</f>
        <v>#REF!</v>
      </c>
      <c r="V335" t="e">
        <f>AND(#REF!,"AAAAAH/uxxU=")</f>
        <v>#REF!</v>
      </c>
      <c r="W335" t="e">
        <f>AND(#REF!,"AAAAAH/uxxY=")</f>
        <v>#REF!</v>
      </c>
      <c r="X335" t="e">
        <f>AND(#REF!,"AAAAAH/uxxc=")</f>
        <v>#REF!</v>
      </c>
      <c r="Y335" t="e">
        <f>AND(#REF!,"AAAAAH/uxxg=")</f>
        <v>#REF!</v>
      </c>
      <c r="Z335" t="e">
        <f>AND(#REF!,"AAAAAH/uxxk=")</f>
        <v>#REF!</v>
      </c>
      <c r="AA335" t="e">
        <f>AND(#REF!,"AAAAAH/uxxo=")</f>
        <v>#REF!</v>
      </c>
      <c r="AB335" t="e">
        <f>AND(#REF!,"AAAAAH/uxxs=")</f>
        <v>#REF!</v>
      </c>
      <c r="AC335" t="e">
        <f>IF(#REF!,"AAAAAH/uxxw=",0)</f>
        <v>#REF!</v>
      </c>
      <c r="AD335" t="e">
        <f>AND(#REF!,"AAAAAH/uxx0=")</f>
        <v>#REF!</v>
      </c>
      <c r="AE335" t="e">
        <f>AND(#REF!,"AAAAAH/uxx4=")</f>
        <v>#REF!</v>
      </c>
      <c r="AF335" t="e">
        <f>AND(#REF!,"AAAAAH/uxx8=")</f>
        <v>#REF!</v>
      </c>
      <c r="AG335" t="e">
        <f>AND(#REF!,"AAAAAH/uxyA=")</f>
        <v>#REF!</v>
      </c>
      <c r="AH335" t="e">
        <f>AND(#REF!,"AAAAAH/uxyE=")</f>
        <v>#REF!</v>
      </c>
      <c r="AI335" t="e">
        <f>AND(#REF!,"AAAAAH/uxyI=")</f>
        <v>#REF!</v>
      </c>
      <c r="AJ335" t="e">
        <f>AND(#REF!,"AAAAAH/uxyM=")</f>
        <v>#REF!</v>
      </c>
      <c r="AK335" t="e">
        <f>AND(#REF!,"AAAAAH/uxyQ=")</f>
        <v>#REF!</v>
      </c>
      <c r="AL335" t="e">
        <f>AND(#REF!,"AAAAAH/uxyU=")</f>
        <v>#REF!</v>
      </c>
      <c r="AM335" t="e">
        <f>AND(#REF!,"AAAAAH/uxyY=")</f>
        <v>#REF!</v>
      </c>
      <c r="AN335" t="e">
        <f>IF(#REF!,"AAAAAH/uxyc=",0)</f>
        <v>#REF!</v>
      </c>
      <c r="AO335" t="e">
        <f>AND(#REF!,"AAAAAH/uxyg=")</f>
        <v>#REF!</v>
      </c>
      <c r="AP335" t="e">
        <f>AND(#REF!,"AAAAAH/uxyk=")</f>
        <v>#REF!</v>
      </c>
      <c r="AQ335" t="e">
        <f>AND(#REF!,"AAAAAH/uxyo=")</f>
        <v>#REF!</v>
      </c>
      <c r="AR335" t="e">
        <f>AND(#REF!,"AAAAAH/uxys=")</f>
        <v>#REF!</v>
      </c>
      <c r="AS335" t="e">
        <f>AND(#REF!,"AAAAAH/uxyw=")</f>
        <v>#REF!</v>
      </c>
      <c r="AT335" t="e">
        <f>AND(#REF!,"AAAAAH/uxy0=")</f>
        <v>#REF!</v>
      </c>
      <c r="AU335" t="e">
        <f>AND(#REF!,"AAAAAH/uxy4=")</f>
        <v>#REF!</v>
      </c>
      <c r="AV335" t="e">
        <f>AND(#REF!,"AAAAAH/uxy8=")</f>
        <v>#REF!</v>
      </c>
      <c r="AW335" t="e">
        <f>AND(#REF!,"AAAAAH/uxzA=")</f>
        <v>#REF!</v>
      </c>
      <c r="AX335" t="e">
        <f>AND(#REF!,"AAAAAH/uxzE=")</f>
        <v>#REF!</v>
      </c>
      <c r="AY335" t="e">
        <f>IF(#REF!,"AAAAAH/uxzI=",0)</f>
        <v>#REF!</v>
      </c>
      <c r="AZ335" t="e">
        <f>AND(#REF!,"AAAAAH/uxzM=")</f>
        <v>#REF!</v>
      </c>
      <c r="BA335" t="e">
        <f>AND(#REF!,"AAAAAH/uxzQ=")</f>
        <v>#REF!</v>
      </c>
      <c r="BB335" t="e">
        <f>AND(#REF!,"AAAAAH/uxzU=")</f>
        <v>#REF!</v>
      </c>
      <c r="BC335" t="e">
        <f>AND(#REF!,"AAAAAH/uxzY=")</f>
        <v>#REF!</v>
      </c>
      <c r="BD335" t="e">
        <f>AND(#REF!,"AAAAAH/uxzc=")</f>
        <v>#REF!</v>
      </c>
      <c r="BE335" t="e">
        <f>AND(#REF!,"AAAAAH/uxzg=")</f>
        <v>#REF!</v>
      </c>
      <c r="BF335" t="e">
        <f>AND(#REF!,"AAAAAH/uxzk=")</f>
        <v>#REF!</v>
      </c>
      <c r="BG335" t="e">
        <f>AND(#REF!,"AAAAAH/uxzo=")</f>
        <v>#REF!</v>
      </c>
      <c r="BH335" t="e">
        <f>AND(#REF!,"AAAAAH/uxzs=")</f>
        <v>#REF!</v>
      </c>
      <c r="BI335" t="e">
        <f>AND(#REF!,"AAAAAH/uxzw=")</f>
        <v>#REF!</v>
      </c>
      <c r="BJ335" t="e">
        <f>IF(#REF!,"AAAAAH/uxz0=",0)</f>
        <v>#REF!</v>
      </c>
      <c r="BK335" t="e">
        <f>AND(#REF!,"AAAAAH/uxz4=")</f>
        <v>#REF!</v>
      </c>
      <c r="BL335" t="e">
        <f>AND(#REF!,"AAAAAH/uxz8=")</f>
        <v>#REF!</v>
      </c>
      <c r="BM335" t="e">
        <f>AND(#REF!,"AAAAAH/ux0A=")</f>
        <v>#REF!</v>
      </c>
      <c r="BN335" t="e">
        <f>AND(#REF!,"AAAAAH/ux0E=")</f>
        <v>#REF!</v>
      </c>
      <c r="BO335" t="e">
        <f>AND(#REF!,"AAAAAH/ux0I=")</f>
        <v>#REF!</v>
      </c>
      <c r="BP335" t="e">
        <f>AND(#REF!,"AAAAAH/ux0M=")</f>
        <v>#REF!</v>
      </c>
      <c r="BQ335" t="e">
        <f>AND(#REF!,"AAAAAH/ux0Q=")</f>
        <v>#REF!</v>
      </c>
      <c r="BR335" t="e">
        <f>AND(#REF!,"AAAAAH/ux0U=")</f>
        <v>#REF!</v>
      </c>
      <c r="BS335" t="e">
        <f>AND(#REF!,"AAAAAH/ux0Y=")</f>
        <v>#REF!</v>
      </c>
      <c r="BT335" t="e">
        <f>AND(#REF!,"AAAAAH/ux0c=")</f>
        <v>#REF!</v>
      </c>
      <c r="BU335" t="e">
        <f>IF(#REF!,"AAAAAH/ux0g=",0)</f>
        <v>#REF!</v>
      </c>
      <c r="BV335" t="e">
        <f>AND(#REF!,"AAAAAH/ux0k=")</f>
        <v>#REF!</v>
      </c>
      <c r="BW335" t="e">
        <f>AND(#REF!,"AAAAAH/ux0o=")</f>
        <v>#REF!</v>
      </c>
      <c r="BX335" t="e">
        <f>AND(#REF!,"AAAAAH/ux0s=")</f>
        <v>#REF!</v>
      </c>
      <c r="BY335" t="e">
        <f>AND(#REF!,"AAAAAH/ux0w=")</f>
        <v>#REF!</v>
      </c>
      <c r="BZ335" t="e">
        <f>AND(#REF!,"AAAAAH/ux00=")</f>
        <v>#REF!</v>
      </c>
      <c r="CA335" t="e">
        <f>AND(#REF!,"AAAAAH/ux04=")</f>
        <v>#REF!</v>
      </c>
      <c r="CB335" t="e">
        <f>AND(#REF!,"AAAAAH/ux08=")</f>
        <v>#REF!</v>
      </c>
      <c r="CC335" t="e">
        <f>AND(#REF!,"AAAAAH/ux1A=")</f>
        <v>#REF!</v>
      </c>
      <c r="CD335" t="e">
        <f>AND(#REF!,"AAAAAH/ux1E=")</f>
        <v>#REF!</v>
      </c>
      <c r="CE335" t="e">
        <f>AND(#REF!,"AAAAAH/ux1I=")</f>
        <v>#REF!</v>
      </c>
      <c r="CF335" t="e">
        <f>IF(#REF!,"AAAAAH/ux1M=",0)</f>
        <v>#REF!</v>
      </c>
      <c r="CG335" t="e">
        <f>AND(#REF!,"AAAAAH/ux1Q=")</f>
        <v>#REF!</v>
      </c>
      <c r="CH335" t="e">
        <f>AND(#REF!,"AAAAAH/ux1U=")</f>
        <v>#REF!</v>
      </c>
      <c r="CI335" t="e">
        <f>AND(#REF!,"AAAAAH/ux1Y=")</f>
        <v>#REF!</v>
      </c>
      <c r="CJ335" t="e">
        <f>AND(#REF!,"AAAAAH/ux1c=")</f>
        <v>#REF!</v>
      </c>
      <c r="CK335" t="e">
        <f>AND(#REF!,"AAAAAH/ux1g=")</f>
        <v>#REF!</v>
      </c>
      <c r="CL335" t="e">
        <f>AND(#REF!,"AAAAAH/ux1k=")</f>
        <v>#REF!</v>
      </c>
      <c r="CM335" t="e">
        <f>AND(#REF!,"AAAAAH/ux1o=")</f>
        <v>#REF!</v>
      </c>
      <c r="CN335" t="e">
        <f>AND(#REF!,"AAAAAH/ux1s=")</f>
        <v>#REF!</v>
      </c>
      <c r="CO335" t="e">
        <f>AND(#REF!,"AAAAAH/ux1w=")</f>
        <v>#REF!</v>
      </c>
      <c r="CP335" t="e">
        <f>AND(#REF!,"AAAAAH/ux10=")</f>
        <v>#REF!</v>
      </c>
      <c r="CQ335" t="e">
        <f>IF(#REF!,"AAAAAH/ux14=",0)</f>
        <v>#REF!</v>
      </c>
      <c r="CR335" t="e">
        <f>AND(#REF!,"AAAAAH/ux18=")</f>
        <v>#REF!</v>
      </c>
      <c r="CS335" t="e">
        <f>AND(#REF!,"AAAAAH/ux2A=")</f>
        <v>#REF!</v>
      </c>
      <c r="CT335" t="e">
        <f>AND(#REF!,"AAAAAH/ux2E=")</f>
        <v>#REF!</v>
      </c>
      <c r="CU335" t="e">
        <f>AND(#REF!,"AAAAAH/ux2I=")</f>
        <v>#REF!</v>
      </c>
      <c r="CV335" t="e">
        <f>AND(#REF!,"AAAAAH/ux2M=")</f>
        <v>#REF!</v>
      </c>
      <c r="CW335" t="e">
        <f>AND(#REF!,"AAAAAH/ux2Q=")</f>
        <v>#REF!</v>
      </c>
      <c r="CX335" t="e">
        <f>AND(#REF!,"AAAAAH/ux2U=")</f>
        <v>#REF!</v>
      </c>
      <c r="CY335" t="e">
        <f>AND(#REF!,"AAAAAH/ux2Y=")</f>
        <v>#REF!</v>
      </c>
      <c r="CZ335" t="e">
        <f>AND(#REF!,"AAAAAH/ux2c=")</f>
        <v>#REF!</v>
      </c>
      <c r="DA335" t="e">
        <f>AND(#REF!,"AAAAAH/ux2g=")</f>
        <v>#REF!</v>
      </c>
      <c r="DB335" t="e">
        <f>IF(#REF!,"AAAAAH/ux2k=",0)</f>
        <v>#REF!</v>
      </c>
      <c r="DC335" t="e">
        <f>AND(#REF!,"AAAAAH/ux2o=")</f>
        <v>#REF!</v>
      </c>
      <c r="DD335" t="e">
        <f>AND(#REF!,"AAAAAH/ux2s=")</f>
        <v>#REF!</v>
      </c>
      <c r="DE335" t="e">
        <f>AND(#REF!,"AAAAAH/ux2w=")</f>
        <v>#REF!</v>
      </c>
      <c r="DF335" t="e">
        <f>AND(#REF!,"AAAAAH/ux20=")</f>
        <v>#REF!</v>
      </c>
      <c r="DG335" t="e">
        <f>AND(#REF!,"AAAAAH/ux24=")</f>
        <v>#REF!</v>
      </c>
      <c r="DH335" t="e">
        <f>AND(#REF!,"AAAAAH/ux28=")</f>
        <v>#REF!</v>
      </c>
      <c r="DI335" t="e">
        <f>AND(#REF!,"AAAAAH/ux3A=")</f>
        <v>#REF!</v>
      </c>
      <c r="DJ335" t="e">
        <f>AND(#REF!,"AAAAAH/ux3E=")</f>
        <v>#REF!</v>
      </c>
      <c r="DK335" t="e">
        <f>AND(#REF!,"AAAAAH/ux3I=")</f>
        <v>#REF!</v>
      </c>
      <c r="DL335" t="e">
        <f>AND(#REF!,"AAAAAH/ux3M=")</f>
        <v>#REF!</v>
      </c>
      <c r="DM335" t="e">
        <f>IF(#REF!,"AAAAAH/ux3Q=",0)</f>
        <v>#REF!</v>
      </c>
      <c r="DN335" t="e">
        <f>AND(#REF!,"AAAAAH/ux3U=")</f>
        <v>#REF!</v>
      </c>
      <c r="DO335" t="e">
        <f>AND(#REF!,"AAAAAH/ux3Y=")</f>
        <v>#REF!</v>
      </c>
      <c r="DP335" t="e">
        <f>AND(#REF!,"AAAAAH/ux3c=")</f>
        <v>#REF!</v>
      </c>
      <c r="DQ335" t="e">
        <f>AND(#REF!,"AAAAAH/ux3g=")</f>
        <v>#REF!</v>
      </c>
      <c r="DR335" t="e">
        <f>AND(#REF!,"AAAAAH/ux3k=")</f>
        <v>#REF!</v>
      </c>
      <c r="DS335" t="e">
        <f>AND(#REF!,"AAAAAH/ux3o=")</f>
        <v>#REF!</v>
      </c>
      <c r="DT335" t="e">
        <f>AND(#REF!,"AAAAAH/ux3s=")</f>
        <v>#REF!</v>
      </c>
      <c r="DU335" t="e">
        <f>AND(#REF!,"AAAAAH/ux3w=")</f>
        <v>#REF!</v>
      </c>
      <c r="DV335" t="e">
        <f>AND(#REF!,"AAAAAH/ux30=")</f>
        <v>#REF!</v>
      </c>
      <c r="DW335" t="e">
        <f>AND(#REF!,"AAAAAH/ux34=")</f>
        <v>#REF!</v>
      </c>
      <c r="DX335" t="e">
        <f>IF(#REF!,"AAAAAH/ux38=",0)</f>
        <v>#REF!</v>
      </c>
      <c r="DY335" t="e">
        <f>AND(#REF!,"AAAAAH/ux4A=")</f>
        <v>#REF!</v>
      </c>
      <c r="DZ335" t="e">
        <f>AND(#REF!,"AAAAAH/ux4E=")</f>
        <v>#REF!</v>
      </c>
      <c r="EA335" t="e">
        <f>AND(#REF!,"AAAAAH/ux4I=")</f>
        <v>#REF!</v>
      </c>
      <c r="EB335" t="e">
        <f>AND(#REF!,"AAAAAH/ux4M=")</f>
        <v>#REF!</v>
      </c>
      <c r="EC335" t="e">
        <f>AND(#REF!,"AAAAAH/ux4Q=")</f>
        <v>#REF!</v>
      </c>
      <c r="ED335" t="e">
        <f>AND(#REF!,"AAAAAH/ux4U=")</f>
        <v>#REF!</v>
      </c>
      <c r="EE335" t="e">
        <f>AND(#REF!,"AAAAAH/ux4Y=")</f>
        <v>#REF!</v>
      </c>
      <c r="EF335" t="e">
        <f>AND(#REF!,"AAAAAH/ux4c=")</f>
        <v>#REF!</v>
      </c>
      <c r="EG335" t="e">
        <f>AND(#REF!,"AAAAAH/ux4g=")</f>
        <v>#REF!</v>
      </c>
      <c r="EH335" t="e">
        <f>AND(#REF!,"AAAAAH/ux4k=")</f>
        <v>#REF!</v>
      </c>
      <c r="EI335" t="e">
        <f>IF(#REF!,"AAAAAH/ux4o=",0)</f>
        <v>#REF!</v>
      </c>
      <c r="EJ335" t="e">
        <f>AND(#REF!,"AAAAAH/ux4s=")</f>
        <v>#REF!</v>
      </c>
      <c r="EK335" t="e">
        <f>AND(#REF!,"AAAAAH/ux4w=")</f>
        <v>#REF!</v>
      </c>
      <c r="EL335" t="e">
        <f>AND(#REF!,"AAAAAH/ux40=")</f>
        <v>#REF!</v>
      </c>
      <c r="EM335" t="e">
        <f>AND(#REF!,"AAAAAH/ux44=")</f>
        <v>#REF!</v>
      </c>
      <c r="EN335" t="e">
        <f>AND(#REF!,"AAAAAH/ux48=")</f>
        <v>#REF!</v>
      </c>
      <c r="EO335" t="e">
        <f>AND(#REF!,"AAAAAH/ux5A=")</f>
        <v>#REF!</v>
      </c>
      <c r="EP335" t="e">
        <f>AND(#REF!,"AAAAAH/ux5E=")</f>
        <v>#REF!</v>
      </c>
      <c r="EQ335" t="e">
        <f>AND(#REF!,"AAAAAH/ux5I=")</f>
        <v>#REF!</v>
      </c>
      <c r="ER335" t="e">
        <f>AND(#REF!,"AAAAAH/ux5M=")</f>
        <v>#REF!</v>
      </c>
      <c r="ES335" t="e">
        <f>AND(#REF!,"AAAAAH/ux5Q=")</f>
        <v>#REF!</v>
      </c>
      <c r="ET335" t="e">
        <f>IF(#REF!,"AAAAAH/ux5U=",0)</f>
        <v>#REF!</v>
      </c>
      <c r="EU335" t="e">
        <f>AND(#REF!,"AAAAAH/ux5Y=")</f>
        <v>#REF!</v>
      </c>
      <c r="EV335" t="e">
        <f>AND(#REF!,"AAAAAH/ux5c=")</f>
        <v>#REF!</v>
      </c>
      <c r="EW335" t="e">
        <f>AND(#REF!,"AAAAAH/ux5g=")</f>
        <v>#REF!</v>
      </c>
      <c r="EX335" t="e">
        <f>AND(#REF!,"AAAAAH/ux5k=")</f>
        <v>#REF!</v>
      </c>
      <c r="EY335" t="e">
        <f>AND(#REF!,"AAAAAH/ux5o=")</f>
        <v>#REF!</v>
      </c>
      <c r="EZ335" t="e">
        <f>AND(#REF!,"AAAAAH/ux5s=")</f>
        <v>#REF!</v>
      </c>
      <c r="FA335" t="e">
        <f>AND(#REF!,"AAAAAH/ux5w=")</f>
        <v>#REF!</v>
      </c>
      <c r="FB335" t="e">
        <f>AND(#REF!,"AAAAAH/ux50=")</f>
        <v>#REF!</v>
      </c>
      <c r="FC335" t="e">
        <f>AND(#REF!,"AAAAAH/ux54=")</f>
        <v>#REF!</v>
      </c>
      <c r="FD335" t="e">
        <f>AND(#REF!,"AAAAAH/ux58=")</f>
        <v>#REF!</v>
      </c>
      <c r="FE335" t="e">
        <f>IF(#REF!,"AAAAAH/ux6A=",0)</f>
        <v>#REF!</v>
      </c>
      <c r="FF335" t="e">
        <f>AND(#REF!,"AAAAAH/ux6E=")</f>
        <v>#REF!</v>
      </c>
      <c r="FG335" t="e">
        <f>AND(#REF!,"AAAAAH/ux6I=")</f>
        <v>#REF!</v>
      </c>
      <c r="FH335" t="e">
        <f>AND(#REF!,"AAAAAH/ux6M=")</f>
        <v>#REF!</v>
      </c>
      <c r="FI335" t="e">
        <f>AND(#REF!,"AAAAAH/ux6Q=")</f>
        <v>#REF!</v>
      </c>
      <c r="FJ335" t="e">
        <f>AND(#REF!,"AAAAAH/ux6U=")</f>
        <v>#REF!</v>
      </c>
      <c r="FK335" t="e">
        <f>AND(#REF!,"AAAAAH/ux6Y=")</f>
        <v>#REF!</v>
      </c>
      <c r="FL335" t="e">
        <f>AND(#REF!,"AAAAAH/ux6c=")</f>
        <v>#REF!</v>
      </c>
      <c r="FM335" t="e">
        <f>AND(#REF!,"AAAAAH/ux6g=")</f>
        <v>#REF!</v>
      </c>
      <c r="FN335" t="e">
        <f>AND(#REF!,"AAAAAH/ux6k=")</f>
        <v>#REF!</v>
      </c>
      <c r="FO335" t="e">
        <f>AND(#REF!,"AAAAAH/ux6o=")</f>
        <v>#REF!</v>
      </c>
      <c r="FP335" t="e">
        <f>IF(#REF!,"AAAAAH/ux6s=",0)</f>
        <v>#REF!</v>
      </c>
      <c r="FQ335" t="e">
        <f>AND(#REF!,"AAAAAH/ux6w=")</f>
        <v>#REF!</v>
      </c>
      <c r="FR335" t="e">
        <f>AND(#REF!,"AAAAAH/ux60=")</f>
        <v>#REF!</v>
      </c>
      <c r="FS335" t="e">
        <f>AND(#REF!,"AAAAAH/ux64=")</f>
        <v>#REF!</v>
      </c>
      <c r="FT335" t="e">
        <f>AND(#REF!,"AAAAAH/ux68=")</f>
        <v>#REF!</v>
      </c>
      <c r="FU335" t="e">
        <f>AND(#REF!,"AAAAAH/ux7A=")</f>
        <v>#REF!</v>
      </c>
      <c r="FV335" t="e">
        <f>AND(#REF!,"AAAAAH/ux7E=")</f>
        <v>#REF!</v>
      </c>
      <c r="FW335" t="e">
        <f>AND(#REF!,"AAAAAH/ux7I=")</f>
        <v>#REF!</v>
      </c>
      <c r="FX335" t="e">
        <f>AND(#REF!,"AAAAAH/ux7M=")</f>
        <v>#REF!</v>
      </c>
      <c r="FY335" t="e">
        <f>AND(#REF!,"AAAAAH/ux7Q=")</f>
        <v>#REF!</v>
      </c>
      <c r="FZ335" t="e">
        <f>AND(#REF!,"AAAAAH/ux7U=")</f>
        <v>#REF!</v>
      </c>
      <c r="GA335" t="e">
        <f>IF(#REF!,"AAAAAH/ux7Y=",0)</f>
        <v>#REF!</v>
      </c>
      <c r="GB335" t="e">
        <f>AND(#REF!,"AAAAAH/ux7c=")</f>
        <v>#REF!</v>
      </c>
      <c r="GC335" t="e">
        <f>AND(#REF!,"AAAAAH/ux7g=")</f>
        <v>#REF!</v>
      </c>
      <c r="GD335" t="e">
        <f>AND(#REF!,"AAAAAH/ux7k=")</f>
        <v>#REF!</v>
      </c>
      <c r="GE335" t="e">
        <f>AND(#REF!,"AAAAAH/ux7o=")</f>
        <v>#REF!</v>
      </c>
      <c r="GF335" t="e">
        <f>AND(#REF!,"AAAAAH/ux7s=")</f>
        <v>#REF!</v>
      </c>
      <c r="GG335" t="e">
        <f>AND(#REF!,"AAAAAH/ux7w=")</f>
        <v>#REF!</v>
      </c>
      <c r="GH335" t="e">
        <f>AND(#REF!,"AAAAAH/ux70=")</f>
        <v>#REF!</v>
      </c>
      <c r="GI335" t="e">
        <f>AND(#REF!,"AAAAAH/ux74=")</f>
        <v>#REF!</v>
      </c>
      <c r="GJ335" t="e">
        <f>AND(#REF!,"AAAAAH/ux78=")</f>
        <v>#REF!</v>
      </c>
      <c r="GK335" t="e">
        <f>AND(#REF!,"AAAAAH/ux8A=")</f>
        <v>#REF!</v>
      </c>
      <c r="GL335" t="e">
        <f>IF(#REF!,"AAAAAH/ux8E=",0)</f>
        <v>#REF!</v>
      </c>
      <c r="GM335" t="e">
        <f>AND(#REF!,"AAAAAH/ux8I=")</f>
        <v>#REF!</v>
      </c>
      <c r="GN335" t="e">
        <f>AND(#REF!,"AAAAAH/ux8M=")</f>
        <v>#REF!</v>
      </c>
      <c r="GO335" t="e">
        <f>AND(#REF!,"AAAAAH/ux8Q=")</f>
        <v>#REF!</v>
      </c>
      <c r="GP335" t="e">
        <f>AND(#REF!,"AAAAAH/ux8U=")</f>
        <v>#REF!</v>
      </c>
      <c r="GQ335" t="e">
        <f>AND(#REF!,"AAAAAH/ux8Y=")</f>
        <v>#REF!</v>
      </c>
      <c r="GR335" t="e">
        <f>AND(#REF!,"AAAAAH/ux8c=")</f>
        <v>#REF!</v>
      </c>
      <c r="GS335" t="e">
        <f>AND(#REF!,"AAAAAH/ux8g=")</f>
        <v>#REF!</v>
      </c>
      <c r="GT335" t="e">
        <f>AND(#REF!,"AAAAAH/ux8k=")</f>
        <v>#REF!</v>
      </c>
      <c r="GU335" t="e">
        <f>AND(#REF!,"AAAAAH/ux8o=")</f>
        <v>#REF!</v>
      </c>
      <c r="GV335" t="e">
        <f>AND(#REF!,"AAAAAH/ux8s=")</f>
        <v>#REF!</v>
      </c>
      <c r="GW335" t="e">
        <f>IF(#REF!,"AAAAAH/ux8w=",0)</f>
        <v>#REF!</v>
      </c>
      <c r="GX335" t="e">
        <f>AND(#REF!,"AAAAAH/ux80=")</f>
        <v>#REF!</v>
      </c>
      <c r="GY335" t="e">
        <f>AND(#REF!,"AAAAAH/ux84=")</f>
        <v>#REF!</v>
      </c>
      <c r="GZ335" t="e">
        <f>AND(#REF!,"AAAAAH/ux88=")</f>
        <v>#REF!</v>
      </c>
      <c r="HA335" t="e">
        <f>AND(#REF!,"AAAAAH/ux9A=")</f>
        <v>#REF!</v>
      </c>
      <c r="HB335" t="e">
        <f>AND(#REF!,"AAAAAH/ux9E=")</f>
        <v>#REF!</v>
      </c>
      <c r="HC335" t="e">
        <f>AND(#REF!,"AAAAAH/ux9I=")</f>
        <v>#REF!</v>
      </c>
      <c r="HD335" t="e">
        <f>AND(#REF!,"AAAAAH/ux9M=")</f>
        <v>#REF!</v>
      </c>
      <c r="HE335" t="e">
        <f>AND(#REF!,"AAAAAH/ux9Q=")</f>
        <v>#REF!</v>
      </c>
      <c r="HF335" t="e">
        <f>AND(#REF!,"AAAAAH/ux9U=")</f>
        <v>#REF!</v>
      </c>
      <c r="HG335" t="e">
        <f>AND(#REF!,"AAAAAH/ux9Y=")</f>
        <v>#REF!</v>
      </c>
      <c r="HH335" t="e">
        <f>IF(#REF!,"AAAAAH/ux9c=",0)</f>
        <v>#REF!</v>
      </c>
      <c r="HI335" t="e">
        <f>AND(#REF!,"AAAAAH/ux9g=")</f>
        <v>#REF!</v>
      </c>
      <c r="HJ335" t="e">
        <f>AND(#REF!,"AAAAAH/ux9k=")</f>
        <v>#REF!</v>
      </c>
      <c r="HK335" t="e">
        <f>AND(#REF!,"AAAAAH/ux9o=")</f>
        <v>#REF!</v>
      </c>
      <c r="HL335" t="e">
        <f>AND(#REF!,"AAAAAH/ux9s=")</f>
        <v>#REF!</v>
      </c>
      <c r="HM335" t="e">
        <f>AND(#REF!,"AAAAAH/ux9w=")</f>
        <v>#REF!</v>
      </c>
      <c r="HN335" t="e">
        <f>AND(#REF!,"AAAAAH/ux90=")</f>
        <v>#REF!</v>
      </c>
      <c r="HO335" t="e">
        <f>AND(#REF!,"AAAAAH/ux94=")</f>
        <v>#REF!</v>
      </c>
      <c r="HP335" t="e">
        <f>AND(#REF!,"AAAAAH/ux98=")</f>
        <v>#REF!</v>
      </c>
      <c r="HQ335" t="e">
        <f>AND(#REF!,"AAAAAH/ux+A=")</f>
        <v>#REF!</v>
      </c>
      <c r="HR335" t="e">
        <f>AND(#REF!,"AAAAAH/ux+E=")</f>
        <v>#REF!</v>
      </c>
      <c r="HS335" t="e">
        <f>IF(#REF!,"AAAAAH/ux+I=",0)</f>
        <v>#REF!</v>
      </c>
      <c r="HT335" t="e">
        <f>AND(#REF!,"AAAAAH/ux+M=")</f>
        <v>#REF!</v>
      </c>
      <c r="HU335" t="e">
        <f>AND(#REF!,"AAAAAH/ux+Q=")</f>
        <v>#REF!</v>
      </c>
      <c r="HV335" t="e">
        <f>AND(#REF!,"AAAAAH/ux+U=")</f>
        <v>#REF!</v>
      </c>
      <c r="HW335" t="e">
        <f>AND(#REF!,"AAAAAH/ux+Y=")</f>
        <v>#REF!</v>
      </c>
      <c r="HX335" t="e">
        <f>AND(#REF!,"AAAAAH/ux+c=")</f>
        <v>#REF!</v>
      </c>
      <c r="HY335" t="e">
        <f>AND(#REF!,"AAAAAH/ux+g=")</f>
        <v>#REF!</v>
      </c>
      <c r="HZ335" t="e">
        <f>AND(#REF!,"AAAAAH/ux+k=")</f>
        <v>#REF!</v>
      </c>
      <c r="IA335" t="e">
        <f>AND(#REF!,"AAAAAH/ux+o=")</f>
        <v>#REF!</v>
      </c>
      <c r="IB335" t="e">
        <f>AND(#REF!,"AAAAAH/ux+s=")</f>
        <v>#REF!</v>
      </c>
      <c r="IC335" t="e">
        <f>AND(#REF!,"AAAAAH/ux+w=")</f>
        <v>#REF!</v>
      </c>
      <c r="ID335" t="e">
        <f>IF(#REF!,"AAAAAH/ux+0=",0)</f>
        <v>#REF!</v>
      </c>
      <c r="IE335" t="e">
        <f>AND(#REF!,"AAAAAH/ux+4=")</f>
        <v>#REF!</v>
      </c>
      <c r="IF335" t="e">
        <f>AND(#REF!,"AAAAAH/ux+8=")</f>
        <v>#REF!</v>
      </c>
      <c r="IG335" t="e">
        <f>AND(#REF!,"AAAAAH/ux/A=")</f>
        <v>#REF!</v>
      </c>
      <c r="IH335" t="e">
        <f>AND(#REF!,"AAAAAH/ux/E=")</f>
        <v>#REF!</v>
      </c>
      <c r="II335" t="e">
        <f>AND(#REF!,"AAAAAH/ux/I=")</f>
        <v>#REF!</v>
      </c>
      <c r="IJ335" t="e">
        <f>AND(#REF!,"AAAAAH/ux/M=")</f>
        <v>#REF!</v>
      </c>
      <c r="IK335" t="e">
        <f>AND(#REF!,"AAAAAH/ux/Q=")</f>
        <v>#REF!</v>
      </c>
      <c r="IL335" t="e">
        <f>AND(#REF!,"AAAAAH/ux/U=")</f>
        <v>#REF!</v>
      </c>
      <c r="IM335" t="e">
        <f>AND(#REF!,"AAAAAH/ux/Y=")</f>
        <v>#REF!</v>
      </c>
      <c r="IN335" t="e">
        <f>AND(#REF!,"AAAAAH/ux/c=")</f>
        <v>#REF!</v>
      </c>
      <c r="IO335" t="e">
        <f>IF(#REF!,"AAAAAH/ux/g=",0)</f>
        <v>#REF!</v>
      </c>
      <c r="IP335" t="e">
        <f>AND(#REF!,"AAAAAH/ux/k=")</f>
        <v>#REF!</v>
      </c>
      <c r="IQ335" t="e">
        <f>AND(#REF!,"AAAAAH/ux/o=")</f>
        <v>#REF!</v>
      </c>
      <c r="IR335" t="e">
        <f>AND(#REF!,"AAAAAH/ux/s=")</f>
        <v>#REF!</v>
      </c>
      <c r="IS335" t="e">
        <f>AND(#REF!,"AAAAAH/ux/w=")</f>
        <v>#REF!</v>
      </c>
      <c r="IT335" t="e">
        <f>AND(#REF!,"AAAAAH/ux/0=")</f>
        <v>#REF!</v>
      </c>
      <c r="IU335" t="e">
        <f>AND(#REF!,"AAAAAH/ux/4=")</f>
        <v>#REF!</v>
      </c>
      <c r="IV335" t="e">
        <f>AND(#REF!,"AAAAAH/ux/8=")</f>
        <v>#REF!</v>
      </c>
    </row>
    <row r="336" spans="1:256" x14ac:dyDescent="0.25">
      <c r="A336" t="e">
        <f>AND(#REF!,"AAAAAHz+7gA=")</f>
        <v>#REF!</v>
      </c>
      <c r="B336" t="e">
        <f>AND(#REF!,"AAAAAHz+7gE=")</f>
        <v>#REF!</v>
      </c>
      <c r="C336" t="e">
        <f>AND(#REF!,"AAAAAHz+7gI=")</f>
        <v>#REF!</v>
      </c>
      <c r="D336" t="e">
        <f>IF(#REF!,"AAAAAHz+7gM=",0)</f>
        <v>#REF!</v>
      </c>
      <c r="E336" t="e">
        <f>AND(#REF!,"AAAAAHz+7gQ=")</f>
        <v>#REF!</v>
      </c>
      <c r="F336" t="e">
        <f>AND(#REF!,"AAAAAHz+7gU=")</f>
        <v>#REF!</v>
      </c>
      <c r="G336" t="e">
        <f>AND(#REF!,"AAAAAHz+7gY=")</f>
        <v>#REF!</v>
      </c>
      <c r="H336" t="e">
        <f>AND(#REF!,"AAAAAHz+7gc=")</f>
        <v>#REF!</v>
      </c>
      <c r="I336" t="e">
        <f>AND(#REF!,"AAAAAHz+7gg=")</f>
        <v>#REF!</v>
      </c>
      <c r="J336" t="e">
        <f>AND(#REF!,"AAAAAHz+7gk=")</f>
        <v>#REF!</v>
      </c>
      <c r="K336" t="e">
        <f>AND(#REF!,"AAAAAHz+7go=")</f>
        <v>#REF!</v>
      </c>
      <c r="L336" t="e">
        <f>AND(#REF!,"AAAAAHz+7gs=")</f>
        <v>#REF!</v>
      </c>
      <c r="M336" t="e">
        <f>AND(#REF!,"AAAAAHz+7gw=")</f>
        <v>#REF!</v>
      </c>
      <c r="N336" t="e">
        <f>AND(#REF!,"AAAAAHz+7g0=")</f>
        <v>#REF!</v>
      </c>
      <c r="O336" t="e">
        <f>IF(#REF!,"AAAAAHz+7g4=",0)</f>
        <v>#REF!</v>
      </c>
      <c r="P336" t="e">
        <f>AND(#REF!,"AAAAAHz+7g8=")</f>
        <v>#REF!</v>
      </c>
      <c r="Q336" t="e">
        <f>AND(#REF!,"AAAAAHz+7hA=")</f>
        <v>#REF!</v>
      </c>
      <c r="R336" t="e">
        <f>AND(#REF!,"AAAAAHz+7hE=")</f>
        <v>#REF!</v>
      </c>
      <c r="S336" t="e">
        <f>AND(#REF!,"AAAAAHz+7hI=")</f>
        <v>#REF!</v>
      </c>
      <c r="T336" t="e">
        <f>AND(#REF!,"AAAAAHz+7hM=")</f>
        <v>#REF!</v>
      </c>
      <c r="U336" t="e">
        <f>AND(#REF!,"AAAAAHz+7hQ=")</f>
        <v>#REF!</v>
      </c>
      <c r="V336" t="e">
        <f>AND(#REF!,"AAAAAHz+7hU=")</f>
        <v>#REF!</v>
      </c>
      <c r="W336" t="e">
        <f>AND(#REF!,"AAAAAHz+7hY=")</f>
        <v>#REF!</v>
      </c>
      <c r="X336" t="e">
        <f>AND(#REF!,"AAAAAHz+7hc=")</f>
        <v>#REF!</v>
      </c>
      <c r="Y336" t="e">
        <f>AND(#REF!,"AAAAAHz+7hg=")</f>
        <v>#REF!</v>
      </c>
      <c r="Z336" t="e">
        <f>IF(#REF!,"AAAAAHz+7hk=",0)</f>
        <v>#REF!</v>
      </c>
      <c r="AA336" t="e">
        <f>AND(#REF!,"AAAAAHz+7ho=")</f>
        <v>#REF!</v>
      </c>
      <c r="AB336" t="e">
        <f>AND(#REF!,"AAAAAHz+7hs=")</f>
        <v>#REF!</v>
      </c>
      <c r="AC336" t="e">
        <f>AND(#REF!,"AAAAAHz+7hw=")</f>
        <v>#REF!</v>
      </c>
      <c r="AD336" t="e">
        <f>AND(#REF!,"AAAAAHz+7h0=")</f>
        <v>#REF!</v>
      </c>
      <c r="AE336" t="e">
        <f>AND(#REF!,"AAAAAHz+7h4=")</f>
        <v>#REF!</v>
      </c>
      <c r="AF336" t="e">
        <f>AND(#REF!,"AAAAAHz+7h8=")</f>
        <v>#REF!</v>
      </c>
      <c r="AG336" t="e">
        <f>AND(#REF!,"AAAAAHz+7iA=")</f>
        <v>#REF!</v>
      </c>
      <c r="AH336" t="e">
        <f>AND(#REF!,"AAAAAHz+7iE=")</f>
        <v>#REF!</v>
      </c>
      <c r="AI336" t="e">
        <f>AND(#REF!,"AAAAAHz+7iI=")</f>
        <v>#REF!</v>
      </c>
      <c r="AJ336" t="e">
        <f>AND(#REF!,"AAAAAHz+7iM=")</f>
        <v>#REF!</v>
      </c>
      <c r="AK336" t="e">
        <f>IF(#REF!,"AAAAAHz+7iQ=",0)</f>
        <v>#REF!</v>
      </c>
      <c r="AL336" t="e">
        <f>AND(#REF!,"AAAAAHz+7iU=")</f>
        <v>#REF!</v>
      </c>
      <c r="AM336" t="e">
        <f>AND(#REF!,"AAAAAHz+7iY=")</f>
        <v>#REF!</v>
      </c>
      <c r="AN336" t="e">
        <f>AND(#REF!,"AAAAAHz+7ic=")</f>
        <v>#REF!</v>
      </c>
      <c r="AO336" t="e">
        <f>AND(#REF!,"AAAAAHz+7ig=")</f>
        <v>#REF!</v>
      </c>
      <c r="AP336" t="e">
        <f>AND(#REF!,"AAAAAHz+7ik=")</f>
        <v>#REF!</v>
      </c>
      <c r="AQ336" t="e">
        <f>AND(#REF!,"AAAAAHz+7io=")</f>
        <v>#REF!</v>
      </c>
      <c r="AR336" t="e">
        <f>AND(#REF!,"AAAAAHz+7is=")</f>
        <v>#REF!</v>
      </c>
      <c r="AS336" t="e">
        <f>AND(#REF!,"AAAAAHz+7iw=")</f>
        <v>#REF!</v>
      </c>
      <c r="AT336" t="e">
        <f>AND(#REF!,"AAAAAHz+7i0=")</f>
        <v>#REF!</v>
      </c>
      <c r="AU336" t="e">
        <f>AND(#REF!,"AAAAAHz+7i4=")</f>
        <v>#REF!</v>
      </c>
      <c r="AV336" t="e">
        <f>IF(#REF!,"AAAAAHz+7i8=",0)</f>
        <v>#REF!</v>
      </c>
      <c r="AW336" t="e">
        <f>AND(#REF!,"AAAAAHz+7jA=")</f>
        <v>#REF!</v>
      </c>
      <c r="AX336" t="e">
        <f>AND(#REF!,"AAAAAHz+7jE=")</f>
        <v>#REF!</v>
      </c>
      <c r="AY336" t="e">
        <f>AND(#REF!,"AAAAAHz+7jI=")</f>
        <v>#REF!</v>
      </c>
      <c r="AZ336" t="e">
        <f>AND(#REF!,"AAAAAHz+7jM=")</f>
        <v>#REF!</v>
      </c>
      <c r="BA336" t="e">
        <f>AND(#REF!,"AAAAAHz+7jQ=")</f>
        <v>#REF!</v>
      </c>
      <c r="BB336" t="e">
        <f>AND(#REF!,"AAAAAHz+7jU=")</f>
        <v>#REF!</v>
      </c>
      <c r="BC336" t="e">
        <f>AND(#REF!,"AAAAAHz+7jY=")</f>
        <v>#REF!</v>
      </c>
      <c r="BD336" t="e">
        <f>AND(#REF!,"AAAAAHz+7jc=")</f>
        <v>#REF!</v>
      </c>
      <c r="BE336" t="e">
        <f>AND(#REF!,"AAAAAHz+7jg=")</f>
        <v>#REF!</v>
      </c>
      <c r="BF336" t="e">
        <f>AND(#REF!,"AAAAAHz+7jk=")</f>
        <v>#REF!</v>
      </c>
      <c r="BG336" t="e">
        <f>IF(#REF!,"AAAAAHz+7jo=",0)</f>
        <v>#REF!</v>
      </c>
      <c r="BH336" t="e">
        <f>AND(#REF!,"AAAAAHz+7js=")</f>
        <v>#REF!</v>
      </c>
      <c r="BI336" t="e">
        <f>AND(#REF!,"AAAAAHz+7jw=")</f>
        <v>#REF!</v>
      </c>
      <c r="BJ336" t="e">
        <f>AND(#REF!,"AAAAAHz+7j0=")</f>
        <v>#REF!</v>
      </c>
      <c r="BK336" t="e">
        <f>AND(#REF!,"AAAAAHz+7j4=")</f>
        <v>#REF!</v>
      </c>
      <c r="BL336" t="e">
        <f>AND(#REF!,"AAAAAHz+7j8=")</f>
        <v>#REF!</v>
      </c>
      <c r="BM336" t="e">
        <f>AND(#REF!,"AAAAAHz+7kA=")</f>
        <v>#REF!</v>
      </c>
      <c r="BN336" t="e">
        <f>AND(#REF!,"AAAAAHz+7kE=")</f>
        <v>#REF!</v>
      </c>
      <c r="BO336" t="e">
        <f>AND(#REF!,"AAAAAHz+7kI=")</f>
        <v>#REF!</v>
      </c>
      <c r="BP336" t="e">
        <f>AND(#REF!,"AAAAAHz+7kM=")</f>
        <v>#REF!</v>
      </c>
      <c r="BQ336" t="e">
        <f>AND(#REF!,"AAAAAHz+7kQ=")</f>
        <v>#REF!</v>
      </c>
      <c r="BR336" t="e">
        <f>IF(#REF!,"AAAAAHz+7kU=",0)</f>
        <v>#REF!</v>
      </c>
      <c r="BS336" t="e">
        <f>AND(#REF!,"AAAAAHz+7kY=")</f>
        <v>#REF!</v>
      </c>
      <c r="BT336" t="e">
        <f>AND(#REF!,"AAAAAHz+7kc=")</f>
        <v>#REF!</v>
      </c>
      <c r="BU336" t="e">
        <f>AND(#REF!,"AAAAAHz+7kg=")</f>
        <v>#REF!</v>
      </c>
      <c r="BV336" t="e">
        <f>AND(#REF!,"AAAAAHz+7kk=")</f>
        <v>#REF!</v>
      </c>
      <c r="BW336" t="e">
        <f>AND(#REF!,"AAAAAHz+7ko=")</f>
        <v>#REF!</v>
      </c>
      <c r="BX336" t="e">
        <f>AND(#REF!,"AAAAAHz+7ks=")</f>
        <v>#REF!</v>
      </c>
      <c r="BY336" t="e">
        <f>AND(#REF!,"AAAAAHz+7kw=")</f>
        <v>#REF!</v>
      </c>
      <c r="BZ336" t="e">
        <f>AND(#REF!,"AAAAAHz+7k0=")</f>
        <v>#REF!</v>
      </c>
      <c r="CA336" t="e">
        <f>AND(#REF!,"AAAAAHz+7k4=")</f>
        <v>#REF!</v>
      </c>
      <c r="CB336" t="e">
        <f>AND(#REF!,"AAAAAHz+7k8=")</f>
        <v>#REF!</v>
      </c>
      <c r="CC336" t="e">
        <f>IF(#REF!,"AAAAAHz+7lA=",0)</f>
        <v>#REF!</v>
      </c>
      <c r="CD336" t="e">
        <f>AND(#REF!,"AAAAAHz+7lE=")</f>
        <v>#REF!</v>
      </c>
      <c r="CE336" t="e">
        <f>AND(#REF!,"AAAAAHz+7lI=")</f>
        <v>#REF!</v>
      </c>
      <c r="CF336" t="e">
        <f>AND(#REF!,"AAAAAHz+7lM=")</f>
        <v>#REF!</v>
      </c>
      <c r="CG336" t="e">
        <f>AND(#REF!,"AAAAAHz+7lQ=")</f>
        <v>#REF!</v>
      </c>
      <c r="CH336" t="e">
        <f>AND(#REF!,"AAAAAHz+7lU=")</f>
        <v>#REF!</v>
      </c>
      <c r="CI336" t="e">
        <f>AND(#REF!,"AAAAAHz+7lY=")</f>
        <v>#REF!</v>
      </c>
      <c r="CJ336" t="e">
        <f>AND(#REF!,"AAAAAHz+7lc=")</f>
        <v>#REF!</v>
      </c>
      <c r="CK336" t="e">
        <f>AND(#REF!,"AAAAAHz+7lg=")</f>
        <v>#REF!</v>
      </c>
      <c r="CL336" t="e">
        <f>AND(#REF!,"AAAAAHz+7lk=")</f>
        <v>#REF!</v>
      </c>
      <c r="CM336" t="e">
        <f>AND(#REF!,"AAAAAHz+7lo=")</f>
        <v>#REF!</v>
      </c>
      <c r="CN336" t="e">
        <f>IF(#REF!,"AAAAAHz+7ls=",0)</f>
        <v>#REF!</v>
      </c>
      <c r="CO336" t="e">
        <f>AND(#REF!,"AAAAAHz+7lw=")</f>
        <v>#REF!</v>
      </c>
      <c r="CP336" t="e">
        <f>AND(#REF!,"AAAAAHz+7l0=")</f>
        <v>#REF!</v>
      </c>
      <c r="CQ336" t="e">
        <f>AND(#REF!,"AAAAAHz+7l4=")</f>
        <v>#REF!</v>
      </c>
      <c r="CR336" t="e">
        <f>AND(#REF!,"AAAAAHz+7l8=")</f>
        <v>#REF!</v>
      </c>
      <c r="CS336" t="e">
        <f>AND(#REF!,"AAAAAHz+7mA=")</f>
        <v>#REF!</v>
      </c>
      <c r="CT336" t="e">
        <f>AND(#REF!,"AAAAAHz+7mE=")</f>
        <v>#REF!</v>
      </c>
      <c r="CU336" t="e">
        <f>AND(#REF!,"AAAAAHz+7mI=")</f>
        <v>#REF!</v>
      </c>
      <c r="CV336" t="e">
        <f>AND(#REF!,"AAAAAHz+7mM=")</f>
        <v>#REF!</v>
      </c>
      <c r="CW336" t="e">
        <f>AND(#REF!,"AAAAAHz+7mQ=")</f>
        <v>#REF!</v>
      </c>
      <c r="CX336" t="e">
        <f>AND(#REF!,"AAAAAHz+7mU=")</f>
        <v>#REF!</v>
      </c>
      <c r="CY336" t="e">
        <f>IF(#REF!,"AAAAAHz+7mY=",0)</f>
        <v>#REF!</v>
      </c>
      <c r="CZ336" t="e">
        <f>AND(#REF!,"AAAAAHz+7mc=")</f>
        <v>#REF!</v>
      </c>
      <c r="DA336" t="e">
        <f>AND(#REF!,"AAAAAHz+7mg=")</f>
        <v>#REF!</v>
      </c>
      <c r="DB336" t="e">
        <f>AND(#REF!,"AAAAAHz+7mk=")</f>
        <v>#REF!</v>
      </c>
      <c r="DC336" t="e">
        <f>AND(#REF!,"AAAAAHz+7mo=")</f>
        <v>#REF!</v>
      </c>
      <c r="DD336" t="e">
        <f>AND(#REF!,"AAAAAHz+7ms=")</f>
        <v>#REF!</v>
      </c>
      <c r="DE336" t="e">
        <f>AND(#REF!,"AAAAAHz+7mw=")</f>
        <v>#REF!</v>
      </c>
      <c r="DF336" t="e">
        <f>AND(#REF!,"AAAAAHz+7m0=")</f>
        <v>#REF!</v>
      </c>
      <c r="DG336" t="e">
        <f>AND(#REF!,"AAAAAHz+7m4=")</f>
        <v>#REF!</v>
      </c>
      <c r="DH336" t="e">
        <f>AND(#REF!,"AAAAAHz+7m8=")</f>
        <v>#REF!</v>
      </c>
      <c r="DI336" t="e">
        <f>AND(#REF!,"AAAAAHz+7nA=")</f>
        <v>#REF!</v>
      </c>
      <c r="DJ336" t="e">
        <f>IF(#REF!,"AAAAAHz+7nE=",0)</f>
        <v>#REF!</v>
      </c>
      <c r="DK336" t="e">
        <f>AND(#REF!,"AAAAAHz+7nI=")</f>
        <v>#REF!</v>
      </c>
      <c r="DL336" t="e">
        <f>AND(#REF!,"AAAAAHz+7nM=")</f>
        <v>#REF!</v>
      </c>
      <c r="DM336" t="e">
        <f>AND(#REF!,"AAAAAHz+7nQ=")</f>
        <v>#REF!</v>
      </c>
      <c r="DN336" t="e">
        <f>AND(#REF!,"AAAAAHz+7nU=")</f>
        <v>#REF!</v>
      </c>
      <c r="DO336" t="e">
        <f>AND(#REF!,"AAAAAHz+7nY=")</f>
        <v>#REF!</v>
      </c>
      <c r="DP336" t="e">
        <f>AND(#REF!,"AAAAAHz+7nc=")</f>
        <v>#REF!</v>
      </c>
      <c r="DQ336" t="e">
        <f>AND(#REF!,"AAAAAHz+7ng=")</f>
        <v>#REF!</v>
      </c>
      <c r="DR336" t="e">
        <f>AND(#REF!,"AAAAAHz+7nk=")</f>
        <v>#REF!</v>
      </c>
      <c r="DS336" t="e">
        <f>AND(#REF!,"AAAAAHz+7no=")</f>
        <v>#REF!</v>
      </c>
      <c r="DT336" t="e">
        <f>AND(#REF!,"AAAAAHz+7ns=")</f>
        <v>#REF!</v>
      </c>
      <c r="DU336" t="e">
        <f>IF(#REF!,"AAAAAHz+7nw=",0)</f>
        <v>#REF!</v>
      </c>
      <c r="DV336" t="e">
        <f>AND(#REF!,"AAAAAHz+7n0=")</f>
        <v>#REF!</v>
      </c>
      <c r="DW336" t="e">
        <f>AND(#REF!,"AAAAAHz+7n4=")</f>
        <v>#REF!</v>
      </c>
      <c r="DX336" t="e">
        <f>AND(#REF!,"AAAAAHz+7n8=")</f>
        <v>#REF!</v>
      </c>
      <c r="DY336" t="e">
        <f>AND(#REF!,"AAAAAHz+7oA=")</f>
        <v>#REF!</v>
      </c>
      <c r="DZ336" t="e">
        <f>AND(#REF!,"AAAAAHz+7oE=")</f>
        <v>#REF!</v>
      </c>
      <c r="EA336" t="e">
        <f>AND(#REF!,"AAAAAHz+7oI=")</f>
        <v>#REF!</v>
      </c>
      <c r="EB336" t="e">
        <f>AND(#REF!,"AAAAAHz+7oM=")</f>
        <v>#REF!</v>
      </c>
      <c r="EC336" t="e">
        <f>AND(#REF!,"AAAAAHz+7oQ=")</f>
        <v>#REF!</v>
      </c>
      <c r="ED336" t="e">
        <f>AND(#REF!,"AAAAAHz+7oU=")</f>
        <v>#REF!</v>
      </c>
      <c r="EE336" t="e">
        <f>AND(#REF!,"AAAAAHz+7oY=")</f>
        <v>#REF!</v>
      </c>
      <c r="EF336" t="e">
        <f>IF(#REF!,"AAAAAHz+7oc=",0)</f>
        <v>#REF!</v>
      </c>
      <c r="EG336" t="e">
        <f>AND(#REF!,"AAAAAHz+7og=")</f>
        <v>#REF!</v>
      </c>
      <c r="EH336" t="e">
        <f>AND(#REF!,"AAAAAHz+7ok=")</f>
        <v>#REF!</v>
      </c>
      <c r="EI336" t="e">
        <f>AND(#REF!,"AAAAAHz+7oo=")</f>
        <v>#REF!</v>
      </c>
      <c r="EJ336" t="e">
        <f>AND(#REF!,"AAAAAHz+7os=")</f>
        <v>#REF!</v>
      </c>
      <c r="EK336" t="e">
        <f>AND(#REF!,"AAAAAHz+7ow=")</f>
        <v>#REF!</v>
      </c>
      <c r="EL336" t="e">
        <f>AND(#REF!,"AAAAAHz+7o0=")</f>
        <v>#REF!</v>
      </c>
      <c r="EM336" t="e">
        <f>AND(#REF!,"AAAAAHz+7o4=")</f>
        <v>#REF!</v>
      </c>
      <c r="EN336" t="e">
        <f>AND(#REF!,"AAAAAHz+7o8=")</f>
        <v>#REF!</v>
      </c>
      <c r="EO336" t="e">
        <f>AND(#REF!,"AAAAAHz+7pA=")</f>
        <v>#REF!</v>
      </c>
      <c r="EP336" t="e">
        <f>AND(#REF!,"AAAAAHz+7pE=")</f>
        <v>#REF!</v>
      </c>
      <c r="EQ336" t="e">
        <f>IF(#REF!,"AAAAAHz+7pI=",0)</f>
        <v>#REF!</v>
      </c>
      <c r="ER336" t="e">
        <f>AND(#REF!,"AAAAAHz+7pM=")</f>
        <v>#REF!</v>
      </c>
      <c r="ES336" t="e">
        <f>AND(#REF!,"AAAAAHz+7pQ=")</f>
        <v>#REF!</v>
      </c>
      <c r="ET336" t="e">
        <f>AND(#REF!,"AAAAAHz+7pU=")</f>
        <v>#REF!</v>
      </c>
      <c r="EU336" t="e">
        <f>AND(#REF!,"AAAAAHz+7pY=")</f>
        <v>#REF!</v>
      </c>
      <c r="EV336" t="e">
        <f>AND(#REF!,"AAAAAHz+7pc=")</f>
        <v>#REF!</v>
      </c>
      <c r="EW336" t="e">
        <f>AND(#REF!,"AAAAAHz+7pg=")</f>
        <v>#REF!</v>
      </c>
      <c r="EX336" t="e">
        <f>AND(#REF!,"AAAAAHz+7pk=")</f>
        <v>#REF!</v>
      </c>
      <c r="EY336" t="e">
        <f>AND(#REF!,"AAAAAHz+7po=")</f>
        <v>#REF!</v>
      </c>
      <c r="EZ336" t="e">
        <f>AND(#REF!,"AAAAAHz+7ps=")</f>
        <v>#REF!</v>
      </c>
      <c r="FA336" t="e">
        <f>AND(#REF!,"AAAAAHz+7pw=")</f>
        <v>#REF!</v>
      </c>
      <c r="FB336" t="e">
        <f>IF(#REF!,"AAAAAHz+7p0=",0)</f>
        <v>#REF!</v>
      </c>
      <c r="FC336" t="e">
        <f>AND(#REF!,"AAAAAHz+7p4=")</f>
        <v>#REF!</v>
      </c>
      <c r="FD336" t="e">
        <f>AND(#REF!,"AAAAAHz+7p8=")</f>
        <v>#REF!</v>
      </c>
      <c r="FE336" t="e">
        <f>AND(#REF!,"AAAAAHz+7qA=")</f>
        <v>#REF!</v>
      </c>
      <c r="FF336" t="e">
        <f>AND(#REF!,"AAAAAHz+7qE=")</f>
        <v>#REF!</v>
      </c>
      <c r="FG336" t="e">
        <f>AND(#REF!,"AAAAAHz+7qI=")</f>
        <v>#REF!</v>
      </c>
      <c r="FH336" t="e">
        <f>AND(#REF!,"AAAAAHz+7qM=")</f>
        <v>#REF!</v>
      </c>
      <c r="FI336" t="e">
        <f>AND(#REF!,"AAAAAHz+7qQ=")</f>
        <v>#REF!</v>
      </c>
      <c r="FJ336" t="e">
        <f>AND(#REF!,"AAAAAHz+7qU=")</f>
        <v>#REF!</v>
      </c>
      <c r="FK336" t="e">
        <f>AND(#REF!,"AAAAAHz+7qY=")</f>
        <v>#REF!</v>
      </c>
      <c r="FL336" t="e">
        <f>AND(#REF!,"AAAAAHz+7qc=")</f>
        <v>#REF!</v>
      </c>
      <c r="FM336" t="e">
        <f>IF(#REF!,"AAAAAHz+7qg=",0)</f>
        <v>#REF!</v>
      </c>
      <c r="FN336" t="e">
        <f>AND(#REF!,"AAAAAHz+7qk=")</f>
        <v>#REF!</v>
      </c>
      <c r="FO336" t="e">
        <f>AND(#REF!,"AAAAAHz+7qo=")</f>
        <v>#REF!</v>
      </c>
      <c r="FP336" t="e">
        <f>AND(#REF!,"AAAAAHz+7qs=")</f>
        <v>#REF!</v>
      </c>
      <c r="FQ336" t="e">
        <f>AND(#REF!,"AAAAAHz+7qw=")</f>
        <v>#REF!</v>
      </c>
      <c r="FR336" t="e">
        <f>AND(#REF!,"AAAAAHz+7q0=")</f>
        <v>#REF!</v>
      </c>
      <c r="FS336" t="e">
        <f>AND(#REF!,"AAAAAHz+7q4=")</f>
        <v>#REF!</v>
      </c>
      <c r="FT336" t="e">
        <f>AND(#REF!,"AAAAAHz+7q8=")</f>
        <v>#REF!</v>
      </c>
      <c r="FU336" t="e">
        <f>AND(#REF!,"AAAAAHz+7rA=")</f>
        <v>#REF!</v>
      </c>
      <c r="FV336" t="e">
        <f>AND(#REF!,"AAAAAHz+7rE=")</f>
        <v>#REF!</v>
      </c>
      <c r="FW336" t="e">
        <f>AND(#REF!,"AAAAAHz+7rI=")</f>
        <v>#REF!</v>
      </c>
      <c r="FX336" t="e">
        <f>IF(#REF!,"AAAAAHz+7rM=",0)</f>
        <v>#REF!</v>
      </c>
      <c r="FY336" t="e">
        <f>AND(#REF!,"AAAAAHz+7rQ=")</f>
        <v>#REF!</v>
      </c>
      <c r="FZ336" t="e">
        <f>AND(#REF!,"AAAAAHz+7rU=")</f>
        <v>#REF!</v>
      </c>
      <c r="GA336" t="e">
        <f>AND(#REF!,"AAAAAHz+7rY=")</f>
        <v>#REF!</v>
      </c>
      <c r="GB336" t="e">
        <f>AND(#REF!,"AAAAAHz+7rc=")</f>
        <v>#REF!</v>
      </c>
      <c r="GC336" t="e">
        <f>AND(#REF!,"AAAAAHz+7rg=")</f>
        <v>#REF!</v>
      </c>
      <c r="GD336" t="e">
        <f>AND(#REF!,"AAAAAHz+7rk=")</f>
        <v>#REF!</v>
      </c>
      <c r="GE336" t="e">
        <f>AND(#REF!,"AAAAAHz+7ro=")</f>
        <v>#REF!</v>
      </c>
      <c r="GF336" t="e">
        <f>AND(#REF!,"AAAAAHz+7rs=")</f>
        <v>#REF!</v>
      </c>
      <c r="GG336" t="e">
        <f>AND(#REF!,"AAAAAHz+7rw=")</f>
        <v>#REF!</v>
      </c>
      <c r="GH336" t="e">
        <f>AND(#REF!,"AAAAAHz+7r0=")</f>
        <v>#REF!</v>
      </c>
      <c r="GI336" t="e">
        <f>IF(#REF!,"AAAAAHz+7r4=",0)</f>
        <v>#REF!</v>
      </c>
      <c r="GJ336" t="e">
        <f>AND(#REF!,"AAAAAHz+7r8=")</f>
        <v>#REF!</v>
      </c>
      <c r="GK336" t="e">
        <f>AND(#REF!,"AAAAAHz+7sA=")</f>
        <v>#REF!</v>
      </c>
      <c r="GL336" t="e">
        <f>AND(#REF!,"AAAAAHz+7sE=")</f>
        <v>#REF!</v>
      </c>
      <c r="GM336" t="e">
        <f>AND(#REF!,"AAAAAHz+7sI=")</f>
        <v>#REF!</v>
      </c>
      <c r="GN336" t="e">
        <f>AND(#REF!,"AAAAAHz+7sM=")</f>
        <v>#REF!</v>
      </c>
      <c r="GO336" t="e">
        <f>AND(#REF!,"AAAAAHz+7sQ=")</f>
        <v>#REF!</v>
      </c>
      <c r="GP336" t="e">
        <f>AND(#REF!,"AAAAAHz+7sU=")</f>
        <v>#REF!</v>
      </c>
      <c r="GQ336" t="e">
        <f>AND(#REF!,"AAAAAHz+7sY=")</f>
        <v>#REF!</v>
      </c>
      <c r="GR336" t="e">
        <f>AND(#REF!,"AAAAAHz+7sc=")</f>
        <v>#REF!</v>
      </c>
      <c r="GS336" t="e">
        <f>AND(#REF!,"AAAAAHz+7sg=")</f>
        <v>#REF!</v>
      </c>
      <c r="GT336" t="e">
        <f>IF(#REF!,"AAAAAHz+7sk=",0)</f>
        <v>#REF!</v>
      </c>
      <c r="GU336" t="e">
        <f>AND(#REF!,"AAAAAHz+7so=")</f>
        <v>#REF!</v>
      </c>
      <c r="GV336" t="e">
        <f>AND(#REF!,"AAAAAHz+7ss=")</f>
        <v>#REF!</v>
      </c>
      <c r="GW336" t="e">
        <f>AND(#REF!,"AAAAAHz+7sw=")</f>
        <v>#REF!</v>
      </c>
      <c r="GX336" t="e">
        <f>AND(#REF!,"AAAAAHz+7s0=")</f>
        <v>#REF!</v>
      </c>
      <c r="GY336" t="e">
        <f>AND(#REF!,"AAAAAHz+7s4=")</f>
        <v>#REF!</v>
      </c>
      <c r="GZ336" t="e">
        <f>AND(#REF!,"AAAAAHz+7s8=")</f>
        <v>#REF!</v>
      </c>
      <c r="HA336" t="e">
        <f>AND(#REF!,"AAAAAHz+7tA=")</f>
        <v>#REF!</v>
      </c>
      <c r="HB336" t="e">
        <f>AND(#REF!,"AAAAAHz+7tE=")</f>
        <v>#REF!</v>
      </c>
      <c r="HC336" t="e">
        <f>AND(#REF!,"AAAAAHz+7tI=")</f>
        <v>#REF!</v>
      </c>
      <c r="HD336" t="e">
        <f>AND(#REF!,"AAAAAHz+7tM=")</f>
        <v>#REF!</v>
      </c>
      <c r="HE336" t="e">
        <f>IF(#REF!,"AAAAAHz+7tQ=",0)</f>
        <v>#REF!</v>
      </c>
      <c r="HF336" t="e">
        <f>AND(#REF!,"AAAAAHz+7tU=")</f>
        <v>#REF!</v>
      </c>
      <c r="HG336" t="e">
        <f>AND(#REF!,"AAAAAHz+7tY=")</f>
        <v>#REF!</v>
      </c>
      <c r="HH336" t="e">
        <f>AND(#REF!,"AAAAAHz+7tc=")</f>
        <v>#REF!</v>
      </c>
      <c r="HI336" t="e">
        <f>AND(#REF!,"AAAAAHz+7tg=")</f>
        <v>#REF!</v>
      </c>
      <c r="HJ336" t="e">
        <f>AND(#REF!,"AAAAAHz+7tk=")</f>
        <v>#REF!</v>
      </c>
      <c r="HK336" t="e">
        <f>AND(#REF!,"AAAAAHz+7to=")</f>
        <v>#REF!</v>
      </c>
      <c r="HL336" t="e">
        <f>AND(#REF!,"AAAAAHz+7ts=")</f>
        <v>#REF!</v>
      </c>
      <c r="HM336" t="e">
        <f>AND(#REF!,"AAAAAHz+7tw=")</f>
        <v>#REF!</v>
      </c>
      <c r="HN336" t="e">
        <f>AND(#REF!,"AAAAAHz+7t0=")</f>
        <v>#REF!</v>
      </c>
      <c r="HO336" t="e">
        <f>AND(#REF!,"AAAAAHz+7t4=")</f>
        <v>#REF!</v>
      </c>
      <c r="HP336" t="e">
        <f>IF(#REF!,"AAAAAHz+7t8=",0)</f>
        <v>#REF!</v>
      </c>
      <c r="HQ336" t="e">
        <f>AND(#REF!,"AAAAAHz+7uA=")</f>
        <v>#REF!</v>
      </c>
      <c r="HR336" t="e">
        <f>AND(#REF!,"AAAAAHz+7uE=")</f>
        <v>#REF!</v>
      </c>
      <c r="HS336" t="e">
        <f>AND(#REF!,"AAAAAHz+7uI=")</f>
        <v>#REF!</v>
      </c>
      <c r="HT336" t="e">
        <f>AND(#REF!,"AAAAAHz+7uM=")</f>
        <v>#REF!</v>
      </c>
      <c r="HU336" t="e">
        <f>AND(#REF!,"AAAAAHz+7uQ=")</f>
        <v>#REF!</v>
      </c>
      <c r="HV336" t="e">
        <f>AND(#REF!,"AAAAAHz+7uU=")</f>
        <v>#REF!</v>
      </c>
      <c r="HW336" t="e">
        <f>AND(#REF!,"AAAAAHz+7uY=")</f>
        <v>#REF!</v>
      </c>
      <c r="HX336" t="e">
        <f>AND(#REF!,"AAAAAHz+7uc=")</f>
        <v>#REF!</v>
      </c>
      <c r="HY336" t="e">
        <f>AND(#REF!,"AAAAAHz+7ug=")</f>
        <v>#REF!</v>
      </c>
      <c r="HZ336" t="e">
        <f>AND(#REF!,"AAAAAHz+7uk=")</f>
        <v>#REF!</v>
      </c>
      <c r="IA336" t="e">
        <f>IF(#REF!,"AAAAAHz+7uo=",0)</f>
        <v>#REF!</v>
      </c>
      <c r="IB336" t="e">
        <f>AND(#REF!,"AAAAAHz+7us=")</f>
        <v>#REF!</v>
      </c>
      <c r="IC336" t="e">
        <f>AND(#REF!,"AAAAAHz+7uw=")</f>
        <v>#REF!</v>
      </c>
      <c r="ID336" t="e">
        <f>AND(#REF!,"AAAAAHz+7u0=")</f>
        <v>#REF!</v>
      </c>
      <c r="IE336" t="e">
        <f>AND(#REF!,"AAAAAHz+7u4=")</f>
        <v>#REF!</v>
      </c>
      <c r="IF336" t="e">
        <f>AND(#REF!,"AAAAAHz+7u8=")</f>
        <v>#REF!</v>
      </c>
      <c r="IG336" t="e">
        <f>AND(#REF!,"AAAAAHz+7vA=")</f>
        <v>#REF!</v>
      </c>
      <c r="IH336" t="e">
        <f>AND(#REF!,"AAAAAHz+7vE=")</f>
        <v>#REF!</v>
      </c>
      <c r="II336" t="e">
        <f>AND(#REF!,"AAAAAHz+7vI=")</f>
        <v>#REF!</v>
      </c>
      <c r="IJ336" t="e">
        <f>AND(#REF!,"AAAAAHz+7vM=")</f>
        <v>#REF!</v>
      </c>
      <c r="IK336" t="e">
        <f>AND(#REF!,"AAAAAHz+7vQ=")</f>
        <v>#REF!</v>
      </c>
      <c r="IL336" t="e">
        <f>IF(#REF!,"AAAAAHz+7vU=",0)</f>
        <v>#REF!</v>
      </c>
      <c r="IM336" t="e">
        <f>AND(#REF!,"AAAAAHz+7vY=")</f>
        <v>#REF!</v>
      </c>
      <c r="IN336" t="e">
        <f>AND(#REF!,"AAAAAHz+7vc=")</f>
        <v>#REF!</v>
      </c>
      <c r="IO336" t="e">
        <f>AND(#REF!,"AAAAAHz+7vg=")</f>
        <v>#REF!</v>
      </c>
      <c r="IP336" t="e">
        <f>AND(#REF!,"AAAAAHz+7vk=")</f>
        <v>#REF!</v>
      </c>
      <c r="IQ336" t="e">
        <f>AND(#REF!,"AAAAAHz+7vo=")</f>
        <v>#REF!</v>
      </c>
      <c r="IR336" t="e">
        <f>AND(#REF!,"AAAAAHz+7vs=")</f>
        <v>#REF!</v>
      </c>
      <c r="IS336" t="e">
        <f>AND(#REF!,"AAAAAHz+7vw=")</f>
        <v>#REF!</v>
      </c>
      <c r="IT336" t="e">
        <f>AND(#REF!,"AAAAAHz+7v0=")</f>
        <v>#REF!</v>
      </c>
      <c r="IU336" t="e">
        <f>AND(#REF!,"AAAAAHz+7v4=")</f>
        <v>#REF!</v>
      </c>
      <c r="IV336" t="e">
        <f>AND(#REF!,"AAAAAHz+7v8=")</f>
        <v>#REF!</v>
      </c>
    </row>
    <row r="337" spans="1:256" x14ac:dyDescent="0.25">
      <c r="A337" t="e">
        <f>IF(#REF!,"AAAAAH7rtgA=",0)</f>
        <v>#REF!</v>
      </c>
      <c r="B337" t="e">
        <f>AND(#REF!,"AAAAAH7rtgE=")</f>
        <v>#REF!</v>
      </c>
      <c r="C337" t="e">
        <f>AND(#REF!,"AAAAAH7rtgI=")</f>
        <v>#REF!</v>
      </c>
      <c r="D337" t="e">
        <f>AND(#REF!,"AAAAAH7rtgM=")</f>
        <v>#REF!</v>
      </c>
      <c r="E337" t="e">
        <f>AND(#REF!,"AAAAAH7rtgQ=")</f>
        <v>#REF!</v>
      </c>
      <c r="F337" t="e">
        <f>AND(#REF!,"AAAAAH7rtgU=")</f>
        <v>#REF!</v>
      </c>
      <c r="G337" t="e">
        <f>AND(#REF!,"AAAAAH7rtgY=")</f>
        <v>#REF!</v>
      </c>
      <c r="H337" t="e">
        <f>AND(#REF!,"AAAAAH7rtgc=")</f>
        <v>#REF!</v>
      </c>
      <c r="I337" t="e">
        <f>AND(#REF!,"AAAAAH7rtgg=")</f>
        <v>#REF!</v>
      </c>
      <c r="J337" t="e">
        <f>AND(#REF!,"AAAAAH7rtgk=")</f>
        <v>#REF!</v>
      </c>
      <c r="K337" t="e">
        <f>AND(#REF!,"AAAAAH7rtgo=")</f>
        <v>#REF!</v>
      </c>
      <c r="L337" t="e">
        <f>IF(#REF!,"AAAAAH7rtgs=",0)</f>
        <v>#REF!</v>
      </c>
      <c r="M337" t="e">
        <f>AND(#REF!,"AAAAAH7rtgw=")</f>
        <v>#REF!</v>
      </c>
      <c r="N337" t="e">
        <f>AND(#REF!,"AAAAAH7rtg0=")</f>
        <v>#REF!</v>
      </c>
      <c r="O337" t="e">
        <f>AND(#REF!,"AAAAAH7rtg4=")</f>
        <v>#REF!</v>
      </c>
      <c r="P337" t="e">
        <f>AND(#REF!,"AAAAAH7rtg8=")</f>
        <v>#REF!</v>
      </c>
      <c r="Q337" t="e">
        <f>AND(#REF!,"AAAAAH7rthA=")</f>
        <v>#REF!</v>
      </c>
      <c r="R337" t="e">
        <f>AND(#REF!,"AAAAAH7rthE=")</f>
        <v>#REF!</v>
      </c>
      <c r="S337" t="e">
        <f>AND(#REF!,"AAAAAH7rthI=")</f>
        <v>#REF!</v>
      </c>
      <c r="T337" t="e">
        <f>AND(#REF!,"AAAAAH7rthM=")</f>
        <v>#REF!</v>
      </c>
      <c r="U337" t="e">
        <f>AND(#REF!,"AAAAAH7rthQ=")</f>
        <v>#REF!</v>
      </c>
      <c r="V337" t="e">
        <f>AND(#REF!,"AAAAAH7rthU=")</f>
        <v>#REF!</v>
      </c>
      <c r="W337" t="e">
        <f>IF(#REF!,"AAAAAH7rthY=",0)</f>
        <v>#REF!</v>
      </c>
      <c r="X337" t="e">
        <f>AND(#REF!,"AAAAAH7rthc=")</f>
        <v>#REF!</v>
      </c>
      <c r="Y337" t="e">
        <f>AND(#REF!,"AAAAAH7rthg=")</f>
        <v>#REF!</v>
      </c>
      <c r="Z337" t="e">
        <f>AND(#REF!,"AAAAAH7rthk=")</f>
        <v>#REF!</v>
      </c>
      <c r="AA337" t="e">
        <f>AND(#REF!,"AAAAAH7rtho=")</f>
        <v>#REF!</v>
      </c>
      <c r="AB337" t="e">
        <f>AND(#REF!,"AAAAAH7rths=")</f>
        <v>#REF!</v>
      </c>
      <c r="AC337" t="e">
        <f>AND(#REF!,"AAAAAH7rthw=")</f>
        <v>#REF!</v>
      </c>
      <c r="AD337" t="e">
        <f>AND(#REF!,"AAAAAH7rth0=")</f>
        <v>#REF!</v>
      </c>
      <c r="AE337" t="e">
        <f>AND(#REF!,"AAAAAH7rth4=")</f>
        <v>#REF!</v>
      </c>
      <c r="AF337" t="e">
        <f>AND(#REF!,"AAAAAH7rth8=")</f>
        <v>#REF!</v>
      </c>
      <c r="AG337" t="e">
        <f>AND(#REF!,"AAAAAH7rtiA=")</f>
        <v>#REF!</v>
      </c>
      <c r="AH337" t="e">
        <f>IF(#REF!,"AAAAAH7rtiE=",0)</f>
        <v>#REF!</v>
      </c>
      <c r="AI337" t="e">
        <f>AND(#REF!,"AAAAAH7rtiI=")</f>
        <v>#REF!</v>
      </c>
      <c r="AJ337" t="e">
        <f>AND(#REF!,"AAAAAH7rtiM=")</f>
        <v>#REF!</v>
      </c>
      <c r="AK337" t="e">
        <f>AND(#REF!,"AAAAAH7rtiQ=")</f>
        <v>#REF!</v>
      </c>
      <c r="AL337" t="e">
        <f>AND(#REF!,"AAAAAH7rtiU=")</f>
        <v>#REF!</v>
      </c>
      <c r="AM337" t="e">
        <f>AND(#REF!,"AAAAAH7rtiY=")</f>
        <v>#REF!</v>
      </c>
      <c r="AN337" t="e">
        <f>AND(#REF!,"AAAAAH7rtic=")</f>
        <v>#REF!</v>
      </c>
      <c r="AO337" t="e">
        <f>AND(#REF!,"AAAAAH7rtig=")</f>
        <v>#REF!</v>
      </c>
      <c r="AP337" t="e">
        <f>AND(#REF!,"AAAAAH7rtik=")</f>
        <v>#REF!</v>
      </c>
      <c r="AQ337" t="e">
        <f>AND(#REF!,"AAAAAH7rtio=")</f>
        <v>#REF!</v>
      </c>
      <c r="AR337" t="e">
        <f>AND(#REF!,"AAAAAH7rtis=")</f>
        <v>#REF!</v>
      </c>
      <c r="AS337" t="e">
        <f>IF(#REF!,"AAAAAH7rtiw=",0)</f>
        <v>#REF!</v>
      </c>
      <c r="AT337" t="e">
        <f>AND(#REF!,"AAAAAH7rti0=")</f>
        <v>#REF!</v>
      </c>
      <c r="AU337" t="e">
        <f>AND(#REF!,"AAAAAH7rti4=")</f>
        <v>#REF!</v>
      </c>
      <c r="AV337" t="e">
        <f>AND(#REF!,"AAAAAH7rti8=")</f>
        <v>#REF!</v>
      </c>
      <c r="AW337" t="e">
        <f>AND(#REF!,"AAAAAH7rtjA=")</f>
        <v>#REF!</v>
      </c>
      <c r="AX337" t="e">
        <f>AND(#REF!,"AAAAAH7rtjE=")</f>
        <v>#REF!</v>
      </c>
      <c r="AY337" t="e">
        <f>AND(#REF!,"AAAAAH7rtjI=")</f>
        <v>#REF!</v>
      </c>
      <c r="AZ337" t="e">
        <f>AND(#REF!,"AAAAAH7rtjM=")</f>
        <v>#REF!</v>
      </c>
      <c r="BA337" t="e">
        <f>AND(#REF!,"AAAAAH7rtjQ=")</f>
        <v>#REF!</v>
      </c>
      <c r="BB337" t="e">
        <f>AND(#REF!,"AAAAAH7rtjU=")</f>
        <v>#REF!</v>
      </c>
      <c r="BC337" t="e">
        <f>AND(#REF!,"AAAAAH7rtjY=")</f>
        <v>#REF!</v>
      </c>
      <c r="BD337" t="e">
        <f>IF(#REF!,"AAAAAH7rtjc=",0)</f>
        <v>#REF!</v>
      </c>
      <c r="BE337" t="e">
        <f>AND(#REF!,"AAAAAH7rtjg=")</f>
        <v>#REF!</v>
      </c>
      <c r="BF337" t="e">
        <f>AND(#REF!,"AAAAAH7rtjk=")</f>
        <v>#REF!</v>
      </c>
      <c r="BG337" t="e">
        <f>AND(#REF!,"AAAAAH7rtjo=")</f>
        <v>#REF!</v>
      </c>
      <c r="BH337" t="e">
        <f>AND(#REF!,"AAAAAH7rtjs=")</f>
        <v>#REF!</v>
      </c>
      <c r="BI337" t="e">
        <f>AND(#REF!,"AAAAAH7rtjw=")</f>
        <v>#REF!</v>
      </c>
      <c r="BJ337" t="e">
        <f>AND(#REF!,"AAAAAH7rtj0=")</f>
        <v>#REF!</v>
      </c>
      <c r="BK337" t="e">
        <f>AND(#REF!,"AAAAAH7rtj4=")</f>
        <v>#REF!</v>
      </c>
      <c r="BL337" t="e">
        <f>AND(#REF!,"AAAAAH7rtj8=")</f>
        <v>#REF!</v>
      </c>
      <c r="BM337" t="e">
        <f>AND(#REF!,"AAAAAH7rtkA=")</f>
        <v>#REF!</v>
      </c>
      <c r="BN337" t="e">
        <f>AND(#REF!,"AAAAAH7rtkE=")</f>
        <v>#REF!</v>
      </c>
      <c r="BO337" t="e">
        <f>IF(#REF!,"AAAAAH7rtkI=",0)</f>
        <v>#REF!</v>
      </c>
      <c r="BP337" t="e">
        <f>AND(#REF!,"AAAAAH7rtkM=")</f>
        <v>#REF!</v>
      </c>
      <c r="BQ337" t="e">
        <f>AND(#REF!,"AAAAAH7rtkQ=")</f>
        <v>#REF!</v>
      </c>
      <c r="BR337" t="e">
        <f>AND(#REF!,"AAAAAH7rtkU=")</f>
        <v>#REF!</v>
      </c>
      <c r="BS337" t="e">
        <f>AND(#REF!,"AAAAAH7rtkY=")</f>
        <v>#REF!</v>
      </c>
      <c r="BT337" t="e">
        <f>AND(#REF!,"AAAAAH7rtkc=")</f>
        <v>#REF!</v>
      </c>
      <c r="BU337" t="e">
        <f>AND(#REF!,"AAAAAH7rtkg=")</f>
        <v>#REF!</v>
      </c>
      <c r="BV337" t="e">
        <f>AND(#REF!,"AAAAAH7rtkk=")</f>
        <v>#REF!</v>
      </c>
      <c r="BW337" t="e">
        <f>AND(#REF!,"AAAAAH7rtko=")</f>
        <v>#REF!</v>
      </c>
      <c r="BX337" t="e">
        <f>AND(#REF!,"AAAAAH7rtks=")</f>
        <v>#REF!</v>
      </c>
      <c r="BY337" t="e">
        <f>AND(#REF!,"AAAAAH7rtkw=")</f>
        <v>#REF!</v>
      </c>
      <c r="BZ337" t="e">
        <f>IF(#REF!,"AAAAAH7rtk0=",0)</f>
        <v>#REF!</v>
      </c>
      <c r="CA337" t="e">
        <f>AND(#REF!,"AAAAAH7rtk4=")</f>
        <v>#REF!</v>
      </c>
      <c r="CB337" t="e">
        <f>AND(#REF!,"AAAAAH7rtk8=")</f>
        <v>#REF!</v>
      </c>
      <c r="CC337" t="e">
        <f>AND(#REF!,"AAAAAH7rtlA=")</f>
        <v>#REF!</v>
      </c>
      <c r="CD337" t="e">
        <f>AND(#REF!,"AAAAAH7rtlE=")</f>
        <v>#REF!</v>
      </c>
      <c r="CE337" t="e">
        <f>AND(#REF!,"AAAAAH7rtlI=")</f>
        <v>#REF!</v>
      </c>
      <c r="CF337" t="e">
        <f>AND(#REF!,"AAAAAH7rtlM=")</f>
        <v>#REF!</v>
      </c>
      <c r="CG337" t="e">
        <f>AND(#REF!,"AAAAAH7rtlQ=")</f>
        <v>#REF!</v>
      </c>
      <c r="CH337" t="e">
        <f>AND(#REF!,"AAAAAH7rtlU=")</f>
        <v>#REF!</v>
      </c>
      <c r="CI337" t="e">
        <f>AND(#REF!,"AAAAAH7rtlY=")</f>
        <v>#REF!</v>
      </c>
      <c r="CJ337" t="e">
        <f>AND(#REF!,"AAAAAH7rtlc=")</f>
        <v>#REF!</v>
      </c>
      <c r="CK337" t="e">
        <f>IF(#REF!,"AAAAAH7rtlg=",0)</f>
        <v>#REF!</v>
      </c>
      <c r="CL337" t="e">
        <f>AND(#REF!,"AAAAAH7rtlk=")</f>
        <v>#REF!</v>
      </c>
      <c r="CM337" t="e">
        <f>AND(#REF!,"AAAAAH7rtlo=")</f>
        <v>#REF!</v>
      </c>
      <c r="CN337" t="e">
        <f>AND(#REF!,"AAAAAH7rtls=")</f>
        <v>#REF!</v>
      </c>
      <c r="CO337" t="e">
        <f>AND(#REF!,"AAAAAH7rtlw=")</f>
        <v>#REF!</v>
      </c>
      <c r="CP337" t="e">
        <f>AND(#REF!,"AAAAAH7rtl0=")</f>
        <v>#REF!</v>
      </c>
      <c r="CQ337" t="e">
        <f>AND(#REF!,"AAAAAH7rtl4=")</f>
        <v>#REF!</v>
      </c>
      <c r="CR337" t="e">
        <f>AND(#REF!,"AAAAAH7rtl8=")</f>
        <v>#REF!</v>
      </c>
      <c r="CS337" t="e">
        <f>AND(#REF!,"AAAAAH7rtmA=")</f>
        <v>#REF!</v>
      </c>
      <c r="CT337" t="e">
        <f>AND(#REF!,"AAAAAH7rtmE=")</f>
        <v>#REF!</v>
      </c>
      <c r="CU337" t="e">
        <f>AND(#REF!,"AAAAAH7rtmI=")</f>
        <v>#REF!</v>
      </c>
      <c r="CV337" t="e">
        <f>IF(#REF!,"AAAAAH7rtmM=",0)</f>
        <v>#REF!</v>
      </c>
      <c r="CW337" t="e">
        <f>AND(#REF!,"AAAAAH7rtmQ=")</f>
        <v>#REF!</v>
      </c>
      <c r="CX337" t="e">
        <f>AND(#REF!,"AAAAAH7rtmU=")</f>
        <v>#REF!</v>
      </c>
      <c r="CY337" t="e">
        <f>AND(#REF!,"AAAAAH7rtmY=")</f>
        <v>#REF!</v>
      </c>
      <c r="CZ337" t="e">
        <f>AND(#REF!,"AAAAAH7rtmc=")</f>
        <v>#REF!</v>
      </c>
      <c r="DA337" t="e">
        <f>AND(#REF!,"AAAAAH7rtmg=")</f>
        <v>#REF!</v>
      </c>
      <c r="DB337" t="e">
        <f>AND(#REF!,"AAAAAH7rtmk=")</f>
        <v>#REF!</v>
      </c>
      <c r="DC337" t="e">
        <f>AND(#REF!,"AAAAAH7rtmo=")</f>
        <v>#REF!</v>
      </c>
      <c r="DD337" t="e">
        <f>AND(#REF!,"AAAAAH7rtms=")</f>
        <v>#REF!</v>
      </c>
      <c r="DE337" t="e">
        <f>AND(#REF!,"AAAAAH7rtmw=")</f>
        <v>#REF!</v>
      </c>
      <c r="DF337" t="e">
        <f>AND(#REF!,"AAAAAH7rtm0=")</f>
        <v>#REF!</v>
      </c>
      <c r="DG337" t="e">
        <f>IF(#REF!,"AAAAAH7rtm4=",0)</f>
        <v>#REF!</v>
      </c>
      <c r="DH337" t="e">
        <f>AND(#REF!,"AAAAAH7rtm8=")</f>
        <v>#REF!</v>
      </c>
      <c r="DI337" t="e">
        <f>AND(#REF!,"AAAAAH7rtnA=")</f>
        <v>#REF!</v>
      </c>
      <c r="DJ337" t="e">
        <f>AND(#REF!,"AAAAAH7rtnE=")</f>
        <v>#REF!</v>
      </c>
      <c r="DK337" t="e">
        <f>AND(#REF!,"AAAAAH7rtnI=")</f>
        <v>#REF!</v>
      </c>
      <c r="DL337" t="e">
        <f>AND(#REF!,"AAAAAH7rtnM=")</f>
        <v>#REF!</v>
      </c>
      <c r="DM337" t="e">
        <f>AND(#REF!,"AAAAAH7rtnQ=")</f>
        <v>#REF!</v>
      </c>
      <c r="DN337" t="e">
        <f>AND(#REF!,"AAAAAH7rtnU=")</f>
        <v>#REF!</v>
      </c>
      <c r="DO337" t="e">
        <f>AND(#REF!,"AAAAAH7rtnY=")</f>
        <v>#REF!</v>
      </c>
      <c r="DP337" t="e">
        <f>AND(#REF!,"AAAAAH7rtnc=")</f>
        <v>#REF!</v>
      </c>
      <c r="DQ337" t="e">
        <f>AND(#REF!,"AAAAAH7rtng=")</f>
        <v>#REF!</v>
      </c>
      <c r="DR337" t="e">
        <f>IF(#REF!,"AAAAAH7rtnk=",0)</f>
        <v>#REF!</v>
      </c>
      <c r="DS337" t="e">
        <f>AND(#REF!,"AAAAAH7rtno=")</f>
        <v>#REF!</v>
      </c>
      <c r="DT337" t="e">
        <f>AND(#REF!,"AAAAAH7rtns=")</f>
        <v>#REF!</v>
      </c>
      <c r="DU337" t="e">
        <f>AND(#REF!,"AAAAAH7rtnw=")</f>
        <v>#REF!</v>
      </c>
      <c r="DV337" t="e">
        <f>AND(#REF!,"AAAAAH7rtn0=")</f>
        <v>#REF!</v>
      </c>
      <c r="DW337" t="e">
        <f>AND(#REF!,"AAAAAH7rtn4=")</f>
        <v>#REF!</v>
      </c>
      <c r="DX337" t="e">
        <f>AND(#REF!,"AAAAAH7rtn8=")</f>
        <v>#REF!</v>
      </c>
      <c r="DY337" t="e">
        <f>AND(#REF!,"AAAAAH7rtoA=")</f>
        <v>#REF!</v>
      </c>
      <c r="DZ337" t="e">
        <f>AND(#REF!,"AAAAAH7rtoE=")</f>
        <v>#REF!</v>
      </c>
      <c r="EA337" t="e">
        <f>AND(#REF!,"AAAAAH7rtoI=")</f>
        <v>#REF!</v>
      </c>
      <c r="EB337" t="e">
        <f>AND(#REF!,"AAAAAH7rtoM=")</f>
        <v>#REF!</v>
      </c>
      <c r="EC337" t="e">
        <f>IF(#REF!,"AAAAAH7rtoQ=",0)</f>
        <v>#REF!</v>
      </c>
      <c r="ED337" t="e">
        <f>AND(#REF!,"AAAAAH7rtoU=")</f>
        <v>#REF!</v>
      </c>
      <c r="EE337" t="e">
        <f>AND(#REF!,"AAAAAH7rtoY=")</f>
        <v>#REF!</v>
      </c>
      <c r="EF337" t="e">
        <f>AND(#REF!,"AAAAAH7rtoc=")</f>
        <v>#REF!</v>
      </c>
      <c r="EG337" t="e">
        <f>AND(#REF!,"AAAAAH7rtog=")</f>
        <v>#REF!</v>
      </c>
      <c r="EH337" t="e">
        <f>AND(#REF!,"AAAAAH7rtok=")</f>
        <v>#REF!</v>
      </c>
      <c r="EI337" t="e">
        <f>AND(#REF!,"AAAAAH7rtoo=")</f>
        <v>#REF!</v>
      </c>
      <c r="EJ337" t="e">
        <f>AND(#REF!,"AAAAAH7rtos=")</f>
        <v>#REF!</v>
      </c>
      <c r="EK337" t="e">
        <f>AND(#REF!,"AAAAAH7rtow=")</f>
        <v>#REF!</v>
      </c>
      <c r="EL337" t="e">
        <f>AND(#REF!,"AAAAAH7rto0=")</f>
        <v>#REF!</v>
      </c>
      <c r="EM337" t="e">
        <f>AND(#REF!,"AAAAAH7rto4=")</f>
        <v>#REF!</v>
      </c>
      <c r="EN337" t="e">
        <f>IF(#REF!,"AAAAAH7rto8=",0)</f>
        <v>#REF!</v>
      </c>
      <c r="EO337" t="e">
        <f>AND(#REF!,"AAAAAH7rtpA=")</f>
        <v>#REF!</v>
      </c>
      <c r="EP337" t="e">
        <f>AND(#REF!,"AAAAAH7rtpE=")</f>
        <v>#REF!</v>
      </c>
      <c r="EQ337" t="e">
        <f>AND(#REF!,"AAAAAH7rtpI=")</f>
        <v>#REF!</v>
      </c>
      <c r="ER337" t="e">
        <f>AND(#REF!,"AAAAAH7rtpM=")</f>
        <v>#REF!</v>
      </c>
      <c r="ES337" t="e">
        <f>AND(#REF!,"AAAAAH7rtpQ=")</f>
        <v>#REF!</v>
      </c>
      <c r="ET337" t="e">
        <f>AND(#REF!,"AAAAAH7rtpU=")</f>
        <v>#REF!</v>
      </c>
      <c r="EU337" t="e">
        <f>AND(#REF!,"AAAAAH7rtpY=")</f>
        <v>#REF!</v>
      </c>
      <c r="EV337" t="e">
        <f>AND(#REF!,"AAAAAH7rtpc=")</f>
        <v>#REF!</v>
      </c>
      <c r="EW337" t="e">
        <f>AND(#REF!,"AAAAAH7rtpg=")</f>
        <v>#REF!</v>
      </c>
      <c r="EX337" t="e">
        <f>AND(#REF!,"AAAAAH7rtpk=")</f>
        <v>#REF!</v>
      </c>
      <c r="EY337" t="e">
        <f>IF(#REF!,"AAAAAH7rtpo=",0)</f>
        <v>#REF!</v>
      </c>
      <c r="EZ337" t="e">
        <f>AND(#REF!,"AAAAAH7rtps=")</f>
        <v>#REF!</v>
      </c>
      <c r="FA337" t="e">
        <f>AND(#REF!,"AAAAAH7rtpw=")</f>
        <v>#REF!</v>
      </c>
      <c r="FB337" t="e">
        <f>AND(#REF!,"AAAAAH7rtp0=")</f>
        <v>#REF!</v>
      </c>
      <c r="FC337" t="e">
        <f>AND(#REF!,"AAAAAH7rtp4=")</f>
        <v>#REF!</v>
      </c>
      <c r="FD337" t="e">
        <f>AND(#REF!,"AAAAAH7rtp8=")</f>
        <v>#REF!</v>
      </c>
      <c r="FE337" t="e">
        <f>AND(#REF!,"AAAAAH7rtqA=")</f>
        <v>#REF!</v>
      </c>
      <c r="FF337" t="e">
        <f>AND(#REF!,"AAAAAH7rtqE=")</f>
        <v>#REF!</v>
      </c>
      <c r="FG337" t="e">
        <f>AND(#REF!,"AAAAAH7rtqI=")</f>
        <v>#REF!</v>
      </c>
      <c r="FH337" t="e">
        <f>AND(#REF!,"AAAAAH7rtqM=")</f>
        <v>#REF!</v>
      </c>
      <c r="FI337" t="e">
        <f>AND(#REF!,"AAAAAH7rtqQ=")</f>
        <v>#REF!</v>
      </c>
      <c r="FJ337" t="e">
        <f>IF(#REF!,"AAAAAH7rtqU=",0)</f>
        <v>#REF!</v>
      </c>
      <c r="FK337" t="e">
        <f>AND(#REF!,"AAAAAH7rtqY=")</f>
        <v>#REF!</v>
      </c>
      <c r="FL337" t="e">
        <f>AND(#REF!,"AAAAAH7rtqc=")</f>
        <v>#REF!</v>
      </c>
      <c r="FM337" t="e">
        <f>AND(#REF!,"AAAAAH7rtqg=")</f>
        <v>#REF!</v>
      </c>
      <c r="FN337" t="e">
        <f>AND(#REF!,"AAAAAH7rtqk=")</f>
        <v>#REF!</v>
      </c>
      <c r="FO337" t="e">
        <f>AND(#REF!,"AAAAAH7rtqo=")</f>
        <v>#REF!</v>
      </c>
      <c r="FP337" t="e">
        <f>AND(#REF!,"AAAAAH7rtqs=")</f>
        <v>#REF!</v>
      </c>
      <c r="FQ337" t="e">
        <f>AND(#REF!,"AAAAAH7rtqw=")</f>
        <v>#REF!</v>
      </c>
      <c r="FR337" t="e">
        <f>AND(#REF!,"AAAAAH7rtq0=")</f>
        <v>#REF!</v>
      </c>
      <c r="FS337" t="e">
        <f>AND(#REF!,"AAAAAH7rtq4=")</f>
        <v>#REF!</v>
      </c>
      <c r="FT337" t="e">
        <f>AND(#REF!,"AAAAAH7rtq8=")</f>
        <v>#REF!</v>
      </c>
      <c r="FU337" t="e">
        <f>IF(#REF!,"AAAAAH7rtrA=",0)</f>
        <v>#REF!</v>
      </c>
      <c r="FV337" t="e">
        <f>AND(#REF!,"AAAAAH7rtrE=")</f>
        <v>#REF!</v>
      </c>
      <c r="FW337" t="e">
        <f>AND(#REF!,"AAAAAH7rtrI=")</f>
        <v>#REF!</v>
      </c>
      <c r="FX337" t="e">
        <f>AND(#REF!,"AAAAAH7rtrM=")</f>
        <v>#REF!</v>
      </c>
      <c r="FY337" t="e">
        <f>AND(#REF!,"AAAAAH7rtrQ=")</f>
        <v>#REF!</v>
      </c>
      <c r="FZ337" t="e">
        <f>AND(#REF!,"AAAAAH7rtrU=")</f>
        <v>#REF!</v>
      </c>
      <c r="GA337" t="e">
        <f>AND(#REF!,"AAAAAH7rtrY=")</f>
        <v>#REF!</v>
      </c>
      <c r="GB337" t="e">
        <f>AND(#REF!,"AAAAAH7rtrc=")</f>
        <v>#REF!</v>
      </c>
      <c r="GC337" t="e">
        <f>AND(#REF!,"AAAAAH7rtrg=")</f>
        <v>#REF!</v>
      </c>
      <c r="GD337" t="e">
        <f>AND(#REF!,"AAAAAH7rtrk=")</f>
        <v>#REF!</v>
      </c>
      <c r="GE337" t="e">
        <f>AND(#REF!,"AAAAAH7rtro=")</f>
        <v>#REF!</v>
      </c>
      <c r="GF337" t="e">
        <f>IF(#REF!,"AAAAAH7rtrs=",0)</f>
        <v>#REF!</v>
      </c>
      <c r="GG337" t="e">
        <f>AND(#REF!,"AAAAAH7rtrw=")</f>
        <v>#REF!</v>
      </c>
      <c r="GH337" t="e">
        <f>AND(#REF!,"AAAAAH7rtr0=")</f>
        <v>#REF!</v>
      </c>
      <c r="GI337" t="e">
        <f>AND(#REF!,"AAAAAH7rtr4=")</f>
        <v>#REF!</v>
      </c>
      <c r="GJ337" t="e">
        <f>AND(#REF!,"AAAAAH7rtr8=")</f>
        <v>#REF!</v>
      </c>
      <c r="GK337" t="e">
        <f>AND(#REF!,"AAAAAH7rtsA=")</f>
        <v>#REF!</v>
      </c>
      <c r="GL337" t="e">
        <f>AND(#REF!,"AAAAAH7rtsE=")</f>
        <v>#REF!</v>
      </c>
      <c r="GM337" t="e">
        <f>AND(#REF!,"AAAAAH7rtsI=")</f>
        <v>#REF!</v>
      </c>
      <c r="GN337" t="e">
        <f>AND(#REF!,"AAAAAH7rtsM=")</f>
        <v>#REF!</v>
      </c>
      <c r="GO337" t="e">
        <f>AND(#REF!,"AAAAAH7rtsQ=")</f>
        <v>#REF!</v>
      </c>
      <c r="GP337" t="e">
        <f>AND(#REF!,"AAAAAH7rtsU=")</f>
        <v>#REF!</v>
      </c>
      <c r="GQ337" t="e">
        <f>IF(#REF!,"AAAAAH7rtsY=",0)</f>
        <v>#REF!</v>
      </c>
      <c r="GR337" t="e">
        <f>AND(#REF!,"AAAAAH7rtsc=")</f>
        <v>#REF!</v>
      </c>
      <c r="GS337" t="e">
        <f>AND(#REF!,"AAAAAH7rtsg=")</f>
        <v>#REF!</v>
      </c>
      <c r="GT337" t="e">
        <f>AND(#REF!,"AAAAAH7rtsk=")</f>
        <v>#REF!</v>
      </c>
      <c r="GU337" t="e">
        <f>AND(#REF!,"AAAAAH7rtso=")</f>
        <v>#REF!</v>
      </c>
      <c r="GV337" t="e">
        <f>AND(#REF!,"AAAAAH7rtss=")</f>
        <v>#REF!</v>
      </c>
      <c r="GW337" t="e">
        <f>AND(#REF!,"AAAAAH7rtsw=")</f>
        <v>#REF!</v>
      </c>
      <c r="GX337" t="e">
        <f>AND(#REF!,"AAAAAH7rts0=")</f>
        <v>#REF!</v>
      </c>
      <c r="GY337" t="e">
        <f>AND(#REF!,"AAAAAH7rts4=")</f>
        <v>#REF!</v>
      </c>
      <c r="GZ337" t="e">
        <f>AND(#REF!,"AAAAAH7rts8=")</f>
        <v>#REF!</v>
      </c>
      <c r="HA337" t="e">
        <f>AND(#REF!,"AAAAAH7rttA=")</f>
        <v>#REF!</v>
      </c>
      <c r="HB337" t="e">
        <f>IF(#REF!,"AAAAAH7rttE=",0)</f>
        <v>#REF!</v>
      </c>
      <c r="HC337" t="e">
        <f>AND(#REF!,"AAAAAH7rttI=")</f>
        <v>#REF!</v>
      </c>
      <c r="HD337" t="e">
        <f>AND(#REF!,"AAAAAH7rttM=")</f>
        <v>#REF!</v>
      </c>
      <c r="HE337" t="e">
        <f>AND(#REF!,"AAAAAH7rttQ=")</f>
        <v>#REF!</v>
      </c>
      <c r="HF337" t="e">
        <f>AND(#REF!,"AAAAAH7rttU=")</f>
        <v>#REF!</v>
      </c>
      <c r="HG337" t="e">
        <f>AND(#REF!,"AAAAAH7rttY=")</f>
        <v>#REF!</v>
      </c>
      <c r="HH337" t="e">
        <f>AND(#REF!,"AAAAAH7rttc=")</f>
        <v>#REF!</v>
      </c>
      <c r="HI337" t="e">
        <f>AND(#REF!,"AAAAAH7rttg=")</f>
        <v>#REF!</v>
      </c>
      <c r="HJ337" t="e">
        <f>AND(#REF!,"AAAAAH7rttk=")</f>
        <v>#REF!</v>
      </c>
      <c r="HK337" t="e">
        <f>AND(#REF!,"AAAAAH7rtto=")</f>
        <v>#REF!</v>
      </c>
      <c r="HL337" t="e">
        <f>AND(#REF!,"AAAAAH7rtts=")</f>
        <v>#REF!</v>
      </c>
      <c r="HM337" t="e">
        <f>IF(#REF!,"AAAAAH7rttw=",0)</f>
        <v>#REF!</v>
      </c>
      <c r="HN337" t="e">
        <f>AND(#REF!,"AAAAAH7rtt0=")</f>
        <v>#REF!</v>
      </c>
      <c r="HO337" t="e">
        <f>AND(#REF!,"AAAAAH7rtt4=")</f>
        <v>#REF!</v>
      </c>
      <c r="HP337" t="e">
        <f>AND(#REF!,"AAAAAH7rtt8=")</f>
        <v>#REF!</v>
      </c>
      <c r="HQ337" t="e">
        <f>AND(#REF!,"AAAAAH7rtuA=")</f>
        <v>#REF!</v>
      </c>
      <c r="HR337" t="e">
        <f>AND(#REF!,"AAAAAH7rtuE=")</f>
        <v>#REF!</v>
      </c>
      <c r="HS337" t="e">
        <f>AND(#REF!,"AAAAAH7rtuI=")</f>
        <v>#REF!</v>
      </c>
      <c r="HT337" t="e">
        <f>AND(#REF!,"AAAAAH7rtuM=")</f>
        <v>#REF!</v>
      </c>
      <c r="HU337" t="e">
        <f>AND(#REF!,"AAAAAH7rtuQ=")</f>
        <v>#REF!</v>
      </c>
      <c r="HV337" t="e">
        <f>AND(#REF!,"AAAAAH7rtuU=")</f>
        <v>#REF!</v>
      </c>
      <c r="HW337" t="e">
        <f>AND(#REF!,"AAAAAH7rtuY=")</f>
        <v>#REF!</v>
      </c>
      <c r="HX337" t="e">
        <f>IF(#REF!,"AAAAAH7rtuc=",0)</f>
        <v>#REF!</v>
      </c>
      <c r="HY337" t="e">
        <f>AND(#REF!,"AAAAAH7rtug=")</f>
        <v>#REF!</v>
      </c>
      <c r="HZ337" t="e">
        <f>AND(#REF!,"AAAAAH7rtuk=")</f>
        <v>#REF!</v>
      </c>
      <c r="IA337" t="e">
        <f>AND(#REF!,"AAAAAH7rtuo=")</f>
        <v>#REF!</v>
      </c>
      <c r="IB337" t="e">
        <f>AND(#REF!,"AAAAAH7rtus=")</f>
        <v>#REF!</v>
      </c>
      <c r="IC337" t="e">
        <f>AND(#REF!,"AAAAAH7rtuw=")</f>
        <v>#REF!</v>
      </c>
      <c r="ID337" t="e">
        <f>AND(#REF!,"AAAAAH7rtu0=")</f>
        <v>#REF!</v>
      </c>
      <c r="IE337" t="e">
        <f>AND(#REF!,"AAAAAH7rtu4=")</f>
        <v>#REF!</v>
      </c>
      <c r="IF337" t="e">
        <f>AND(#REF!,"AAAAAH7rtu8=")</f>
        <v>#REF!</v>
      </c>
      <c r="IG337" t="e">
        <f>AND(#REF!,"AAAAAH7rtvA=")</f>
        <v>#REF!</v>
      </c>
      <c r="IH337" t="e">
        <f>AND(#REF!,"AAAAAH7rtvE=")</f>
        <v>#REF!</v>
      </c>
      <c r="II337" t="e">
        <f>IF(#REF!,"AAAAAH7rtvI=",0)</f>
        <v>#REF!</v>
      </c>
      <c r="IJ337" t="e">
        <f>AND(#REF!,"AAAAAH7rtvM=")</f>
        <v>#REF!</v>
      </c>
      <c r="IK337" t="e">
        <f>AND(#REF!,"AAAAAH7rtvQ=")</f>
        <v>#REF!</v>
      </c>
      <c r="IL337" t="e">
        <f>AND(#REF!,"AAAAAH7rtvU=")</f>
        <v>#REF!</v>
      </c>
      <c r="IM337" t="e">
        <f>AND(#REF!,"AAAAAH7rtvY=")</f>
        <v>#REF!</v>
      </c>
      <c r="IN337" t="e">
        <f>AND(#REF!,"AAAAAH7rtvc=")</f>
        <v>#REF!</v>
      </c>
      <c r="IO337" t="e">
        <f>AND(#REF!,"AAAAAH7rtvg=")</f>
        <v>#REF!</v>
      </c>
      <c r="IP337" t="e">
        <f>AND(#REF!,"AAAAAH7rtvk=")</f>
        <v>#REF!</v>
      </c>
      <c r="IQ337" t="e">
        <f>AND(#REF!,"AAAAAH7rtvo=")</f>
        <v>#REF!</v>
      </c>
      <c r="IR337" t="e">
        <f>AND(#REF!,"AAAAAH7rtvs=")</f>
        <v>#REF!</v>
      </c>
      <c r="IS337" t="e">
        <f>AND(#REF!,"AAAAAH7rtvw=")</f>
        <v>#REF!</v>
      </c>
      <c r="IT337" t="e">
        <f>IF(#REF!,"AAAAAH7rtv0=",0)</f>
        <v>#REF!</v>
      </c>
      <c r="IU337" t="e">
        <f>AND(#REF!,"AAAAAH7rtv4=")</f>
        <v>#REF!</v>
      </c>
      <c r="IV337" t="e">
        <f>AND(#REF!,"AAAAAH7rtv8=")</f>
        <v>#REF!</v>
      </c>
    </row>
    <row r="338" spans="1:256" x14ac:dyDescent="0.25">
      <c r="A338" t="e">
        <f>AND(#REF!,"AAAAAH1/agA=")</f>
        <v>#REF!</v>
      </c>
      <c r="B338" t="e">
        <f>AND(#REF!,"AAAAAH1/agE=")</f>
        <v>#REF!</v>
      </c>
      <c r="C338" t="e">
        <f>AND(#REF!,"AAAAAH1/agI=")</f>
        <v>#REF!</v>
      </c>
      <c r="D338" t="e">
        <f>AND(#REF!,"AAAAAH1/agM=")</f>
        <v>#REF!</v>
      </c>
      <c r="E338" t="e">
        <f>AND(#REF!,"AAAAAH1/agQ=")</f>
        <v>#REF!</v>
      </c>
      <c r="F338" t="e">
        <f>AND(#REF!,"AAAAAH1/agU=")</f>
        <v>#REF!</v>
      </c>
      <c r="G338" t="e">
        <f>AND(#REF!,"AAAAAH1/agY=")</f>
        <v>#REF!</v>
      </c>
      <c r="H338" t="e">
        <f>AND(#REF!,"AAAAAH1/agc=")</f>
        <v>#REF!</v>
      </c>
      <c r="I338" t="e">
        <f>IF(#REF!,"AAAAAH1/agg=",0)</f>
        <v>#REF!</v>
      </c>
      <c r="J338" t="e">
        <f>AND(#REF!,"AAAAAH1/agk=")</f>
        <v>#REF!</v>
      </c>
      <c r="K338" t="e">
        <f>AND(#REF!,"AAAAAH1/ago=")</f>
        <v>#REF!</v>
      </c>
      <c r="L338" t="e">
        <f>AND(#REF!,"AAAAAH1/ags=")</f>
        <v>#REF!</v>
      </c>
      <c r="M338" t="e">
        <f>AND(#REF!,"AAAAAH1/agw=")</f>
        <v>#REF!</v>
      </c>
      <c r="N338" t="e">
        <f>AND(#REF!,"AAAAAH1/ag0=")</f>
        <v>#REF!</v>
      </c>
      <c r="O338" t="e">
        <f>AND(#REF!,"AAAAAH1/ag4=")</f>
        <v>#REF!</v>
      </c>
      <c r="P338" t="e">
        <f>AND(#REF!,"AAAAAH1/ag8=")</f>
        <v>#REF!</v>
      </c>
      <c r="Q338" t="e">
        <f>AND(#REF!,"AAAAAH1/ahA=")</f>
        <v>#REF!</v>
      </c>
      <c r="R338" t="e">
        <f>AND(#REF!,"AAAAAH1/ahE=")</f>
        <v>#REF!</v>
      </c>
      <c r="S338" t="e">
        <f>AND(#REF!,"AAAAAH1/ahI=")</f>
        <v>#REF!</v>
      </c>
      <c r="T338" t="e">
        <f>IF(#REF!,"AAAAAH1/ahM=",0)</f>
        <v>#REF!</v>
      </c>
      <c r="U338" t="e">
        <f>AND(#REF!,"AAAAAH1/ahQ=")</f>
        <v>#REF!</v>
      </c>
      <c r="V338" t="e">
        <f>AND(#REF!,"AAAAAH1/ahU=")</f>
        <v>#REF!</v>
      </c>
      <c r="W338" t="e">
        <f>AND(#REF!,"AAAAAH1/ahY=")</f>
        <v>#REF!</v>
      </c>
      <c r="X338" t="e">
        <f>AND(#REF!,"AAAAAH1/ahc=")</f>
        <v>#REF!</v>
      </c>
      <c r="Y338" t="e">
        <f>AND(#REF!,"AAAAAH1/ahg=")</f>
        <v>#REF!</v>
      </c>
      <c r="Z338" t="e">
        <f>AND(#REF!,"AAAAAH1/ahk=")</f>
        <v>#REF!</v>
      </c>
      <c r="AA338" t="e">
        <f>AND(#REF!,"AAAAAH1/aho=")</f>
        <v>#REF!</v>
      </c>
      <c r="AB338" t="e">
        <f>AND(#REF!,"AAAAAH1/ahs=")</f>
        <v>#REF!</v>
      </c>
      <c r="AC338" t="e">
        <f>AND(#REF!,"AAAAAH1/ahw=")</f>
        <v>#REF!</v>
      </c>
      <c r="AD338" t="e">
        <f>AND(#REF!,"AAAAAH1/ah0=")</f>
        <v>#REF!</v>
      </c>
      <c r="AE338" t="e">
        <f>IF(#REF!,"AAAAAH1/ah4=",0)</f>
        <v>#REF!</v>
      </c>
      <c r="AF338" t="e">
        <f>AND(#REF!,"AAAAAH1/ah8=")</f>
        <v>#REF!</v>
      </c>
      <c r="AG338" t="e">
        <f>AND(#REF!,"AAAAAH1/aiA=")</f>
        <v>#REF!</v>
      </c>
      <c r="AH338" t="e">
        <f>AND(#REF!,"AAAAAH1/aiE=")</f>
        <v>#REF!</v>
      </c>
      <c r="AI338" t="e">
        <f>AND(#REF!,"AAAAAH1/aiI=")</f>
        <v>#REF!</v>
      </c>
      <c r="AJ338" t="e">
        <f>AND(#REF!,"AAAAAH1/aiM=")</f>
        <v>#REF!</v>
      </c>
      <c r="AK338" t="e">
        <f>AND(#REF!,"AAAAAH1/aiQ=")</f>
        <v>#REF!</v>
      </c>
      <c r="AL338" t="e">
        <f>AND(#REF!,"AAAAAH1/aiU=")</f>
        <v>#REF!</v>
      </c>
      <c r="AM338" t="e">
        <f>AND(#REF!,"AAAAAH1/aiY=")</f>
        <v>#REF!</v>
      </c>
      <c r="AN338" t="e">
        <f>AND(#REF!,"AAAAAH1/aic=")</f>
        <v>#REF!</v>
      </c>
      <c r="AO338" t="e">
        <f>AND(#REF!,"AAAAAH1/aig=")</f>
        <v>#REF!</v>
      </c>
      <c r="AP338" t="e">
        <f>IF(#REF!,"AAAAAH1/aik=",0)</f>
        <v>#REF!</v>
      </c>
      <c r="AQ338" t="e">
        <f>AND(#REF!,"AAAAAH1/aio=")</f>
        <v>#REF!</v>
      </c>
      <c r="AR338" t="e">
        <f>AND(#REF!,"AAAAAH1/ais=")</f>
        <v>#REF!</v>
      </c>
      <c r="AS338" t="e">
        <f>AND(#REF!,"AAAAAH1/aiw=")</f>
        <v>#REF!</v>
      </c>
      <c r="AT338" t="e">
        <f>AND(#REF!,"AAAAAH1/ai0=")</f>
        <v>#REF!</v>
      </c>
      <c r="AU338" t="e">
        <f>AND(#REF!,"AAAAAH1/ai4=")</f>
        <v>#REF!</v>
      </c>
      <c r="AV338" t="e">
        <f>AND(#REF!,"AAAAAH1/ai8=")</f>
        <v>#REF!</v>
      </c>
      <c r="AW338" t="e">
        <f>AND(#REF!,"AAAAAH1/ajA=")</f>
        <v>#REF!</v>
      </c>
      <c r="AX338" t="e">
        <f>AND(#REF!,"AAAAAH1/ajE=")</f>
        <v>#REF!</v>
      </c>
      <c r="AY338" t="e">
        <f>AND(#REF!,"AAAAAH1/ajI=")</f>
        <v>#REF!</v>
      </c>
      <c r="AZ338" t="e">
        <f>AND(#REF!,"AAAAAH1/ajM=")</f>
        <v>#REF!</v>
      </c>
      <c r="BA338" t="e">
        <f>IF(#REF!,"AAAAAH1/ajQ=",0)</f>
        <v>#REF!</v>
      </c>
      <c r="BB338" t="e">
        <f>AND(#REF!,"AAAAAH1/ajU=")</f>
        <v>#REF!</v>
      </c>
      <c r="BC338" t="e">
        <f>AND(#REF!,"AAAAAH1/ajY=")</f>
        <v>#REF!</v>
      </c>
      <c r="BD338" t="e">
        <f>AND(#REF!,"AAAAAH1/ajc=")</f>
        <v>#REF!</v>
      </c>
      <c r="BE338" t="e">
        <f>AND(#REF!,"AAAAAH1/ajg=")</f>
        <v>#REF!</v>
      </c>
      <c r="BF338" t="e">
        <f>AND(#REF!,"AAAAAH1/ajk=")</f>
        <v>#REF!</v>
      </c>
      <c r="BG338" t="e">
        <f>AND(#REF!,"AAAAAH1/ajo=")</f>
        <v>#REF!</v>
      </c>
      <c r="BH338" t="e">
        <f>AND(#REF!,"AAAAAH1/ajs=")</f>
        <v>#REF!</v>
      </c>
      <c r="BI338" t="e">
        <f>AND(#REF!,"AAAAAH1/ajw=")</f>
        <v>#REF!</v>
      </c>
      <c r="BJ338" t="e">
        <f>AND(#REF!,"AAAAAH1/aj0=")</f>
        <v>#REF!</v>
      </c>
      <c r="BK338" t="e">
        <f>AND(#REF!,"AAAAAH1/aj4=")</f>
        <v>#REF!</v>
      </c>
      <c r="BL338" t="e">
        <f>IF(#REF!,"AAAAAH1/aj8=",0)</f>
        <v>#REF!</v>
      </c>
      <c r="BM338" t="e">
        <f>AND(#REF!,"AAAAAH1/akA=")</f>
        <v>#REF!</v>
      </c>
      <c r="BN338" t="e">
        <f>AND(#REF!,"AAAAAH1/akE=")</f>
        <v>#REF!</v>
      </c>
      <c r="BO338" t="e">
        <f>AND(#REF!,"AAAAAH1/akI=")</f>
        <v>#REF!</v>
      </c>
      <c r="BP338" t="e">
        <f>AND(#REF!,"AAAAAH1/akM=")</f>
        <v>#REF!</v>
      </c>
      <c r="BQ338" t="e">
        <f>AND(#REF!,"AAAAAH1/akQ=")</f>
        <v>#REF!</v>
      </c>
      <c r="BR338" t="e">
        <f>AND(#REF!,"AAAAAH1/akU=")</f>
        <v>#REF!</v>
      </c>
      <c r="BS338" t="e">
        <f>AND(#REF!,"AAAAAH1/akY=")</f>
        <v>#REF!</v>
      </c>
      <c r="BT338" t="e">
        <f>AND(#REF!,"AAAAAH1/akc=")</f>
        <v>#REF!</v>
      </c>
      <c r="BU338" t="e">
        <f>AND(#REF!,"AAAAAH1/akg=")</f>
        <v>#REF!</v>
      </c>
      <c r="BV338" t="e">
        <f>AND(#REF!,"AAAAAH1/akk=")</f>
        <v>#REF!</v>
      </c>
      <c r="BW338" t="e">
        <f>IF(#REF!,"AAAAAH1/ako=",0)</f>
        <v>#REF!</v>
      </c>
      <c r="BX338" t="e">
        <f>AND(#REF!,"AAAAAH1/aks=")</f>
        <v>#REF!</v>
      </c>
      <c r="BY338" t="e">
        <f>AND(#REF!,"AAAAAH1/akw=")</f>
        <v>#REF!</v>
      </c>
      <c r="BZ338" t="e">
        <f>AND(#REF!,"AAAAAH1/ak0=")</f>
        <v>#REF!</v>
      </c>
      <c r="CA338" t="e">
        <f>AND(#REF!,"AAAAAH1/ak4=")</f>
        <v>#REF!</v>
      </c>
      <c r="CB338" t="e">
        <f>AND(#REF!,"AAAAAH1/ak8=")</f>
        <v>#REF!</v>
      </c>
      <c r="CC338" t="e">
        <f>AND(#REF!,"AAAAAH1/alA=")</f>
        <v>#REF!</v>
      </c>
      <c r="CD338" t="e">
        <f>AND(#REF!,"AAAAAH1/alE=")</f>
        <v>#REF!</v>
      </c>
      <c r="CE338" t="e">
        <f>AND(#REF!,"AAAAAH1/alI=")</f>
        <v>#REF!</v>
      </c>
      <c r="CF338" t="e">
        <f>AND(#REF!,"AAAAAH1/alM=")</f>
        <v>#REF!</v>
      </c>
      <c r="CG338" t="e">
        <f>AND(#REF!,"AAAAAH1/alQ=")</f>
        <v>#REF!</v>
      </c>
      <c r="CH338" t="e">
        <f>IF(#REF!,"AAAAAH1/alU=",0)</f>
        <v>#REF!</v>
      </c>
      <c r="CI338" t="e">
        <f>AND(#REF!,"AAAAAH1/alY=")</f>
        <v>#REF!</v>
      </c>
      <c r="CJ338" t="e">
        <f>AND(#REF!,"AAAAAH1/alc=")</f>
        <v>#REF!</v>
      </c>
      <c r="CK338" t="e">
        <f>AND(#REF!,"AAAAAH1/alg=")</f>
        <v>#REF!</v>
      </c>
      <c r="CL338" t="e">
        <f>AND(#REF!,"AAAAAH1/alk=")</f>
        <v>#REF!</v>
      </c>
      <c r="CM338" t="e">
        <f>AND(#REF!,"AAAAAH1/alo=")</f>
        <v>#REF!</v>
      </c>
      <c r="CN338" t="e">
        <f>AND(#REF!,"AAAAAH1/als=")</f>
        <v>#REF!</v>
      </c>
      <c r="CO338" t="e">
        <f>AND(#REF!,"AAAAAH1/alw=")</f>
        <v>#REF!</v>
      </c>
      <c r="CP338" t="e">
        <f>AND(#REF!,"AAAAAH1/al0=")</f>
        <v>#REF!</v>
      </c>
      <c r="CQ338" t="e">
        <f>AND(#REF!,"AAAAAH1/al4=")</f>
        <v>#REF!</v>
      </c>
      <c r="CR338" t="e">
        <f>AND(#REF!,"AAAAAH1/al8=")</f>
        <v>#REF!</v>
      </c>
      <c r="CS338" t="e">
        <f>IF(#REF!,"AAAAAH1/amA=",0)</f>
        <v>#REF!</v>
      </c>
      <c r="CT338" t="e">
        <f>AND(#REF!,"AAAAAH1/amE=")</f>
        <v>#REF!</v>
      </c>
      <c r="CU338" t="e">
        <f>AND(#REF!,"AAAAAH1/amI=")</f>
        <v>#REF!</v>
      </c>
      <c r="CV338" t="e">
        <f>AND(#REF!,"AAAAAH1/amM=")</f>
        <v>#REF!</v>
      </c>
      <c r="CW338" t="e">
        <f>AND(#REF!,"AAAAAH1/amQ=")</f>
        <v>#REF!</v>
      </c>
      <c r="CX338" t="e">
        <f>AND(#REF!,"AAAAAH1/amU=")</f>
        <v>#REF!</v>
      </c>
      <c r="CY338" t="e">
        <f>AND(#REF!,"AAAAAH1/amY=")</f>
        <v>#REF!</v>
      </c>
      <c r="CZ338" t="e">
        <f>AND(#REF!,"AAAAAH1/amc=")</f>
        <v>#REF!</v>
      </c>
      <c r="DA338" t="e">
        <f>AND(#REF!,"AAAAAH1/amg=")</f>
        <v>#REF!</v>
      </c>
      <c r="DB338" t="e">
        <f>AND(#REF!,"AAAAAH1/amk=")</f>
        <v>#REF!</v>
      </c>
      <c r="DC338" t="e">
        <f>AND(#REF!,"AAAAAH1/amo=")</f>
        <v>#REF!</v>
      </c>
      <c r="DD338" t="e">
        <f>IF(#REF!,"AAAAAH1/ams=",0)</f>
        <v>#REF!</v>
      </c>
      <c r="DE338" t="e">
        <f>AND(#REF!,"AAAAAH1/amw=")</f>
        <v>#REF!</v>
      </c>
      <c r="DF338" t="e">
        <f>AND(#REF!,"AAAAAH1/am0=")</f>
        <v>#REF!</v>
      </c>
      <c r="DG338" t="e">
        <f>AND(#REF!,"AAAAAH1/am4=")</f>
        <v>#REF!</v>
      </c>
      <c r="DH338" t="e">
        <f>AND(#REF!,"AAAAAH1/am8=")</f>
        <v>#REF!</v>
      </c>
      <c r="DI338" t="e">
        <f>AND(#REF!,"AAAAAH1/anA=")</f>
        <v>#REF!</v>
      </c>
      <c r="DJ338" t="e">
        <f>AND(#REF!,"AAAAAH1/anE=")</f>
        <v>#REF!</v>
      </c>
      <c r="DK338" t="e">
        <f>AND(#REF!,"AAAAAH1/anI=")</f>
        <v>#REF!</v>
      </c>
      <c r="DL338" t="e">
        <f>AND(#REF!,"AAAAAH1/anM=")</f>
        <v>#REF!</v>
      </c>
      <c r="DM338" t="e">
        <f>AND(#REF!,"AAAAAH1/anQ=")</f>
        <v>#REF!</v>
      </c>
      <c r="DN338" t="e">
        <f>AND(#REF!,"AAAAAH1/anU=")</f>
        <v>#REF!</v>
      </c>
      <c r="DO338" t="e">
        <f>IF(#REF!,"AAAAAH1/anY=",0)</f>
        <v>#REF!</v>
      </c>
      <c r="DP338" t="e">
        <f>AND(#REF!,"AAAAAH1/anc=")</f>
        <v>#REF!</v>
      </c>
      <c r="DQ338" t="e">
        <f>AND(#REF!,"AAAAAH1/ang=")</f>
        <v>#REF!</v>
      </c>
      <c r="DR338" t="e">
        <f>AND(#REF!,"AAAAAH1/ank=")</f>
        <v>#REF!</v>
      </c>
      <c r="DS338" t="e">
        <f>AND(#REF!,"AAAAAH1/ano=")</f>
        <v>#REF!</v>
      </c>
      <c r="DT338" t="e">
        <f>AND(#REF!,"AAAAAH1/ans=")</f>
        <v>#REF!</v>
      </c>
      <c r="DU338" t="e">
        <f>AND(#REF!,"AAAAAH1/anw=")</f>
        <v>#REF!</v>
      </c>
      <c r="DV338" t="e">
        <f>AND(#REF!,"AAAAAH1/an0=")</f>
        <v>#REF!</v>
      </c>
      <c r="DW338" t="e">
        <f>AND(#REF!,"AAAAAH1/an4=")</f>
        <v>#REF!</v>
      </c>
      <c r="DX338" t="e">
        <f>AND(#REF!,"AAAAAH1/an8=")</f>
        <v>#REF!</v>
      </c>
      <c r="DY338" t="e">
        <f>AND(#REF!,"AAAAAH1/aoA=")</f>
        <v>#REF!</v>
      </c>
      <c r="DZ338" t="e">
        <f>IF(#REF!,"AAAAAH1/aoE=",0)</f>
        <v>#REF!</v>
      </c>
      <c r="EA338" t="e">
        <f>AND(#REF!,"AAAAAH1/aoI=")</f>
        <v>#REF!</v>
      </c>
      <c r="EB338" t="e">
        <f>AND(#REF!,"AAAAAH1/aoM=")</f>
        <v>#REF!</v>
      </c>
      <c r="EC338" t="e">
        <f>AND(#REF!,"AAAAAH1/aoQ=")</f>
        <v>#REF!</v>
      </c>
      <c r="ED338" t="e">
        <f>AND(#REF!,"AAAAAH1/aoU=")</f>
        <v>#REF!</v>
      </c>
      <c r="EE338" t="e">
        <f>AND(#REF!,"AAAAAH1/aoY=")</f>
        <v>#REF!</v>
      </c>
      <c r="EF338" t="e">
        <f>AND(#REF!,"AAAAAH1/aoc=")</f>
        <v>#REF!</v>
      </c>
      <c r="EG338" t="e">
        <f>AND(#REF!,"AAAAAH1/aog=")</f>
        <v>#REF!</v>
      </c>
      <c r="EH338" t="e">
        <f>AND(#REF!,"AAAAAH1/aok=")</f>
        <v>#REF!</v>
      </c>
      <c r="EI338" t="e">
        <f>AND(#REF!,"AAAAAH1/aoo=")</f>
        <v>#REF!</v>
      </c>
      <c r="EJ338" t="e">
        <f>AND(#REF!,"AAAAAH1/aos=")</f>
        <v>#REF!</v>
      </c>
      <c r="EK338" t="e">
        <f>IF(#REF!,"AAAAAH1/aow=",0)</f>
        <v>#REF!</v>
      </c>
      <c r="EL338" t="e">
        <f>AND(#REF!,"AAAAAH1/ao0=")</f>
        <v>#REF!</v>
      </c>
      <c r="EM338" t="e">
        <f>AND(#REF!,"AAAAAH1/ao4=")</f>
        <v>#REF!</v>
      </c>
      <c r="EN338" t="e">
        <f>AND(#REF!,"AAAAAH1/ao8=")</f>
        <v>#REF!</v>
      </c>
      <c r="EO338" t="e">
        <f>AND(#REF!,"AAAAAH1/apA=")</f>
        <v>#REF!</v>
      </c>
      <c r="EP338" t="e">
        <f>AND(#REF!,"AAAAAH1/apE=")</f>
        <v>#REF!</v>
      </c>
      <c r="EQ338" t="e">
        <f>AND(#REF!,"AAAAAH1/apI=")</f>
        <v>#REF!</v>
      </c>
      <c r="ER338" t="e">
        <f>AND(#REF!,"AAAAAH1/apM=")</f>
        <v>#REF!</v>
      </c>
      <c r="ES338" t="e">
        <f>AND(#REF!,"AAAAAH1/apQ=")</f>
        <v>#REF!</v>
      </c>
      <c r="ET338" t="e">
        <f>AND(#REF!,"AAAAAH1/apU=")</f>
        <v>#REF!</v>
      </c>
      <c r="EU338" t="e">
        <f>AND(#REF!,"AAAAAH1/apY=")</f>
        <v>#REF!</v>
      </c>
      <c r="EV338" t="e">
        <f>IF(#REF!,"AAAAAH1/apc=",0)</f>
        <v>#REF!</v>
      </c>
      <c r="EW338" t="e">
        <f>AND(#REF!,"AAAAAH1/apg=")</f>
        <v>#REF!</v>
      </c>
      <c r="EX338" t="e">
        <f>AND(#REF!,"AAAAAH1/apk=")</f>
        <v>#REF!</v>
      </c>
      <c r="EY338" t="e">
        <f>AND(#REF!,"AAAAAH1/apo=")</f>
        <v>#REF!</v>
      </c>
      <c r="EZ338" t="e">
        <f>AND(#REF!,"AAAAAH1/aps=")</f>
        <v>#REF!</v>
      </c>
      <c r="FA338" t="e">
        <f>AND(#REF!,"AAAAAH1/apw=")</f>
        <v>#REF!</v>
      </c>
      <c r="FB338" t="e">
        <f>AND(#REF!,"AAAAAH1/ap0=")</f>
        <v>#REF!</v>
      </c>
      <c r="FC338" t="e">
        <f>AND(#REF!,"AAAAAH1/ap4=")</f>
        <v>#REF!</v>
      </c>
      <c r="FD338" t="e">
        <f>AND(#REF!,"AAAAAH1/ap8=")</f>
        <v>#REF!</v>
      </c>
      <c r="FE338" t="e">
        <f>AND(#REF!,"AAAAAH1/aqA=")</f>
        <v>#REF!</v>
      </c>
      <c r="FF338" t="e">
        <f>AND(#REF!,"AAAAAH1/aqE=")</f>
        <v>#REF!</v>
      </c>
      <c r="FG338" t="e">
        <f>IF(#REF!,"AAAAAH1/aqI=",0)</f>
        <v>#REF!</v>
      </c>
      <c r="FH338" t="e">
        <f>AND(#REF!,"AAAAAH1/aqM=")</f>
        <v>#REF!</v>
      </c>
      <c r="FI338" t="e">
        <f>AND(#REF!,"AAAAAH1/aqQ=")</f>
        <v>#REF!</v>
      </c>
      <c r="FJ338" t="e">
        <f>AND(#REF!,"AAAAAH1/aqU=")</f>
        <v>#REF!</v>
      </c>
      <c r="FK338" t="e">
        <f>AND(#REF!,"AAAAAH1/aqY=")</f>
        <v>#REF!</v>
      </c>
      <c r="FL338" t="e">
        <f>AND(#REF!,"AAAAAH1/aqc=")</f>
        <v>#REF!</v>
      </c>
      <c r="FM338" t="e">
        <f>AND(#REF!,"AAAAAH1/aqg=")</f>
        <v>#REF!</v>
      </c>
      <c r="FN338" t="e">
        <f>AND(#REF!,"AAAAAH1/aqk=")</f>
        <v>#REF!</v>
      </c>
      <c r="FO338" t="e">
        <f>AND(#REF!,"AAAAAH1/aqo=")</f>
        <v>#REF!</v>
      </c>
      <c r="FP338" t="e">
        <f>AND(#REF!,"AAAAAH1/aqs=")</f>
        <v>#REF!</v>
      </c>
      <c r="FQ338" t="e">
        <f>AND(#REF!,"AAAAAH1/aqw=")</f>
        <v>#REF!</v>
      </c>
      <c r="FR338" t="e">
        <f>IF(#REF!,"AAAAAH1/aq0=",0)</f>
        <v>#REF!</v>
      </c>
      <c r="FS338" t="e">
        <f>AND(#REF!,"AAAAAH1/aq4=")</f>
        <v>#REF!</v>
      </c>
      <c r="FT338" t="e">
        <f>AND(#REF!,"AAAAAH1/aq8=")</f>
        <v>#REF!</v>
      </c>
      <c r="FU338" t="e">
        <f>AND(#REF!,"AAAAAH1/arA=")</f>
        <v>#REF!</v>
      </c>
      <c r="FV338" t="e">
        <f>AND(#REF!,"AAAAAH1/arE=")</f>
        <v>#REF!</v>
      </c>
      <c r="FW338" t="e">
        <f>AND(#REF!,"AAAAAH1/arI=")</f>
        <v>#REF!</v>
      </c>
      <c r="FX338" t="e">
        <f>AND(#REF!,"AAAAAH1/arM=")</f>
        <v>#REF!</v>
      </c>
      <c r="FY338" t="e">
        <f>AND(#REF!,"AAAAAH1/arQ=")</f>
        <v>#REF!</v>
      </c>
      <c r="FZ338" t="e">
        <f>AND(#REF!,"AAAAAH1/arU=")</f>
        <v>#REF!</v>
      </c>
      <c r="GA338" t="e">
        <f>AND(#REF!,"AAAAAH1/arY=")</f>
        <v>#REF!</v>
      </c>
      <c r="GB338" t="e">
        <f>AND(#REF!,"AAAAAH1/arc=")</f>
        <v>#REF!</v>
      </c>
      <c r="GC338" t="e">
        <f>IF(#REF!,"AAAAAH1/arg=",0)</f>
        <v>#REF!</v>
      </c>
      <c r="GD338" t="e">
        <f>AND(#REF!,"AAAAAH1/ark=")</f>
        <v>#REF!</v>
      </c>
      <c r="GE338" t="e">
        <f>AND(#REF!,"AAAAAH1/aro=")</f>
        <v>#REF!</v>
      </c>
      <c r="GF338" t="e">
        <f>AND(#REF!,"AAAAAH1/ars=")</f>
        <v>#REF!</v>
      </c>
      <c r="GG338" t="e">
        <f>AND(#REF!,"AAAAAH1/arw=")</f>
        <v>#REF!</v>
      </c>
      <c r="GH338" t="e">
        <f>AND(#REF!,"AAAAAH1/ar0=")</f>
        <v>#REF!</v>
      </c>
      <c r="GI338" t="e">
        <f>AND(#REF!,"AAAAAH1/ar4=")</f>
        <v>#REF!</v>
      </c>
      <c r="GJ338" t="e">
        <f>AND(#REF!,"AAAAAH1/ar8=")</f>
        <v>#REF!</v>
      </c>
      <c r="GK338" t="e">
        <f>AND(#REF!,"AAAAAH1/asA=")</f>
        <v>#REF!</v>
      </c>
      <c r="GL338" t="e">
        <f>AND(#REF!,"AAAAAH1/asE=")</f>
        <v>#REF!</v>
      </c>
      <c r="GM338" t="e">
        <f>AND(#REF!,"AAAAAH1/asI=")</f>
        <v>#REF!</v>
      </c>
      <c r="GN338" t="e">
        <f>IF(#REF!,"AAAAAH1/asM=",0)</f>
        <v>#REF!</v>
      </c>
      <c r="GO338" t="e">
        <f>AND(#REF!,"AAAAAH1/asQ=")</f>
        <v>#REF!</v>
      </c>
      <c r="GP338" t="e">
        <f>AND(#REF!,"AAAAAH1/asU=")</f>
        <v>#REF!</v>
      </c>
      <c r="GQ338" t="e">
        <f>AND(#REF!,"AAAAAH1/asY=")</f>
        <v>#REF!</v>
      </c>
      <c r="GR338" t="e">
        <f>AND(#REF!,"AAAAAH1/asc=")</f>
        <v>#REF!</v>
      </c>
      <c r="GS338" t="e">
        <f>AND(#REF!,"AAAAAH1/asg=")</f>
        <v>#REF!</v>
      </c>
      <c r="GT338" t="e">
        <f>AND(#REF!,"AAAAAH1/ask=")</f>
        <v>#REF!</v>
      </c>
      <c r="GU338" t="e">
        <f>AND(#REF!,"AAAAAH1/aso=")</f>
        <v>#REF!</v>
      </c>
      <c r="GV338" t="e">
        <f>AND(#REF!,"AAAAAH1/ass=")</f>
        <v>#REF!</v>
      </c>
      <c r="GW338" t="e">
        <f>AND(#REF!,"AAAAAH1/asw=")</f>
        <v>#REF!</v>
      </c>
      <c r="GX338" t="e">
        <f>AND(#REF!,"AAAAAH1/as0=")</f>
        <v>#REF!</v>
      </c>
      <c r="GY338" t="e">
        <f>IF(#REF!,"AAAAAH1/as4=",0)</f>
        <v>#REF!</v>
      </c>
      <c r="GZ338" t="e">
        <f>AND(#REF!,"AAAAAH1/as8=")</f>
        <v>#REF!</v>
      </c>
      <c r="HA338" t="e">
        <f>AND(#REF!,"AAAAAH1/atA=")</f>
        <v>#REF!</v>
      </c>
      <c r="HB338" t="e">
        <f>AND(#REF!,"AAAAAH1/atE=")</f>
        <v>#REF!</v>
      </c>
      <c r="HC338" t="e">
        <f>AND(#REF!,"AAAAAH1/atI=")</f>
        <v>#REF!</v>
      </c>
      <c r="HD338" t="e">
        <f>AND(#REF!,"AAAAAH1/atM=")</f>
        <v>#REF!</v>
      </c>
      <c r="HE338" t="e">
        <f>AND(#REF!,"AAAAAH1/atQ=")</f>
        <v>#REF!</v>
      </c>
      <c r="HF338" t="e">
        <f>AND(#REF!,"AAAAAH1/atU=")</f>
        <v>#REF!</v>
      </c>
      <c r="HG338" t="e">
        <f>AND(#REF!,"AAAAAH1/atY=")</f>
        <v>#REF!</v>
      </c>
      <c r="HH338" t="e">
        <f>AND(#REF!,"AAAAAH1/atc=")</f>
        <v>#REF!</v>
      </c>
      <c r="HI338" t="e">
        <f>AND(#REF!,"AAAAAH1/atg=")</f>
        <v>#REF!</v>
      </c>
      <c r="HJ338" t="e">
        <f>IF(#REF!,"AAAAAH1/atk=",0)</f>
        <v>#REF!</v>
      </c>
      <c r="HK338" t="e">
        <f>AND(#REF!,"AAAAAH1/ato=")</f>
        <v>#REF!</v>
      </c>
      <c r="HL338" t="e">
        <f>AND(#REF!,"AAAAAH1/ats=")</f>
        <v>#REF!</v>
      </c>
      <c r="HM338" t="e">
        <f>AND(#REF!,"AAAAAH1/atw=")</f>
        <v>#REF!</v>
      </c>
      <c r="HN338" t="e">
        <f>AND(#REF!,"AAAAAH1/at0=")</f>
        <v>#REF!</v>
      </c>
      <c r="HO338" t="e">
        <f>AND(#REF!,"AAAAAH1/at4=")</f>
        <v>#REF!</v>
      </c>
      <c r="HP338" t="e">
        <f>AND(#REF!,"AAAAAH1/at8=")</f>
        <v>#REF!</v>
      </c>
      <c r="HQ338" t="e">
        <f>AND(#REF!,"AAAAAH1/auA=")</f>
        <v>#REF!</v>
      </c>
      <c r="HR338" t="e">
        <f>AND(#REF!,"AAAAAH1/auE=")</f>
        <v>#REF!</v>
      </c>
      <c r="HS338" t="e">
        <f>AND(#REF!,"AAAAAH1/auI=")</f>
        <v>#REF!</v>
      </c>
      <c r="HT338" t="e">
        <f>AND(#REF!,"AAAAAH1/auM=")</f>
        <v>#REF!</v>
      </c>
      <c r="HU338" t="e">
        <f>IF(#REF!,"AAAAAH1/auQ=",0)</f>
        <v>#REF!</v>
      </c>
      <c r="HV338" t="e">
        <f>AND(#REF!,"AAAAAH1/auU=")</f>
        <v>#REF!</v>
      </c>
      <c r="HW338" t="e">
        <f>AND(#REF!,"AAAAAH1/auY=")</f>
        <v>#REF!</v>
      </c>
      <c r="HX338" t="e">
        <f>AND(#REF!,"AAAAAH1/auc=")</f>
        <v>#REF!</v>
      </c>
      <c r="HY338" t="e">
        <f>AND(#REF!,"AAAAAH1/aug=")</f>
        <v>#REF!</v>
      </c>
      <c r="HZ338" t="e">
        <f>AND(#REF!,"AAAAAH1/auk=")</f>
        <v>#REF!</v>
      </c>
      <c r="IA338" t="e">
        <f>AND(#REF!,"AAAAAH1/auo=")</f>
        <v>#REF!</v>
      </c>
      <c r="IB338" t="e">
        <f>AND(#REF!,"AAAAAH1/aus=")</f>
        <v>#REF!</v>
      </c>
      <c r="IC338" t="e">
        <f>AND(#REF!,"AAAAAH1/auw=")</f>
        <v>#REF!</v>
      </c>
      <c r="ID338" t="e">
        <f>AND(#REF!,"AAAAAH1/au0=")</f>
        <v>#REF!</v>
      </c>
      <c r="IE338" t="e">
        <f>AND(#REF!,"AAAAAH1/au4=")</f>
        <v>#REF!</v>
      </c>
      <c r="IF338" t="e">
        <f>IF(#REF!,"AAAAAH1/au8=",0)</f>
        <v>#REF!</v>
      </c>
      <c r="IG338" t="e">
        <f>AND(#REF!,"AAAAAH1/avA=")</f>
        <v>#REF!</v>
      </c>
      <c r="IH338" t="e">
        <f>AND(#REF!,"AAAAAH1/avE=")</f>
        <v>#REF!</v>
      </c>
      <c r="II338" t="e">
        <f>AND(#REF!,"AAAAAH1/avI=")</f>
        <v>#REF!</v>
      </c>
      <c r="IJ338" t="e">
        <f>AND(#REF!,"AAAAAH1/avM=")</f>
        <v>#REF!</v>
      </c>
      <c r="IK338" t="e">
        <f>AND(#REF!,"AAAAAH1/avQ=")</f>
        <v>#REF!</v>
      </c>
      <c r="IL338" t="e">
        <f>AND(#REF!,"AAAAAH1/avU=")</f>
        <v>#REF!</v>
      </c>
      <c r="IM338" t="e">
        <f>AND(#REF!,"AAAAAH1/avY=")</f>
        <v>#REF!</v>
      </c>
      <c r="IN338" t="e">
        <f>AND(#REF!,"AAAAAH1/avc=")</f>
        <v>#REF!</v>
      </c>
      <c r="IO338" t="e">
        <f>AND(#REF!,"AAAAAH1/avg=")</f>
        <v>#REF!</v>
      </c>
      <c r="IP338" t="e">
        <f>AND(#REF!,"AAAAAH1/avk=")</f>
        <v>#REF!</v>
      </c>
      <c r="IQ338" t="e">
        <f>IF(#REF!,"AAAAAH1/avo=",0)</f>
        <v>#REF!</v>
      </c>
      <c r="IR338" t="e">
        <f>AND(#REF!,"AAAAAH1/avs=")</f>
        <v>#REF!</v>
      </c>
      <c r="IS338" t="e">
        <f>AND(#REF!,"AAAAAH1/avw=")</f>
        <v>#REF!</v>
      </c>
      <c r="IT338" t="e">
        <f>AND(#REF!,"AAAAAH1/av0=")</f>
        <v>#REF!</v>
      </c>
      <c r="IU338" t="e">
        <f>AND(#REF!,"AAAAAH1/av4=")</f>
        <v>#REF!</v>
      </c>
      <c r="IV338" t="e">
        <f>AND(#REF!,"AAAAAH1/av8=")</f>
        <v>#REF!</v>
      </c>
    </row>
    <row r="339" spans="1:256" x14ac:dyDescent="0.25">
      <c r="A339" t="e">
        <f>AND(#REF!,"AAAAAGrxnwA=")</f>
        <v>#REF!</v>
      </c>
      <c r="B339" t="e">
        <f>AND(#REF!,"AAAAAGrxnwE=")</f>
        <v>#REF!</v>
      </c>
      <c r="C339" t="e">
        <f>AND(#REF!,"AAAAAGrxnwI=")</f>
        <v>#REF!</v>
      </c>
      <c r="D339" t="e">
        <f>AND(#REF!,"AAAAAGrxnwM=")</f>
        <v>#REF!</v>
      </c>
      <c r="E339" t="e">
        <f>AND(#REF!,"AAAAAGrxnwQ=")</f>
        <v>#REF!</v>
      </c>
      <c r="F339" t="e">
        <f>IF(#REF!,"AAAAAGrxnwU=",0)</f>
        <v>#REF!</v>
      </c>
      <c r="G339" t="e">
        <f>AND(#REF!,"AAAAAGrxnwY=")</f>
        <v>#REF!</v>
      </c>
      <c r="H339" t="e">
        <f>AND(#REF!,"AAAAAGrxnwc=")</f>
        <v>#REF!</v>
      </c>
      <c r="I339" t="e">
        <f>AND(#REF!,"AAAAAGrxnwg=")</f>
        <v>#REF!</v>
      </c>
      <c r="J339" t="e">
        <f>AND(#REF!,"AAAAAGrxnwk=")</f>
        <v>#REF!</v>
      </c>
      <c r="K339" t="e">
        <f>AND(#REF!,"AAAAAGrxnwo=")</f>
        <v>#REF!</v>
      </c>
      <c r="L339" t="e">
        <f>AND(#REF!,"AAAAAGrxnws=")</f>
        <v>#REF!</v>
      </c>
      <c r="M339" t="e">
        <f>AND(#REF!,"AAAAAGrxnww=")</f>
        <v>#REF!</v>
      </c>
      <c r="N339" t="e">
        <f>AND(#REF!,"AAAAAGrxnw0=")</f>
        <v>#REF!</v>
      </c>
      <c r="O339" t="e">
        <f>AND(#REF!,"AAAAAGrxnw4=")</f>
        <v>#REF!</v>
      </c>
      <c r="P339" t="e">
        <f>AND(#REF!,"AAAAAGrxnw8=")</f>
        <v>#REF!</v>
      </c>
      <c r="Q339" t="e">
        <f>IF(#REF!,"AAAAAGrxnxA=",0)</f>
        <v>#REF!</v>
      </c>
      <c r="R339" t="e">
        <f>AND(#REF!,"AAAAAGrxnxE=")</f>
        <v>#REF!</v>
      </c>
      <c r="S339" t="e">
        <f>AND(#REF!,"AAAAAGrxnxI=")</f>
        <v>#REF!</v>
      </c>
      <c r="T339" t="e">
        <f>AND(#REF!,"AAAAAGrxnxM=")</f>
        <v>#REF!</v>
      </c>
      <c r="U339" t="e">
        <f>AND(#REF!,"AAAAAGrxnxQ=")</f>
        <v>#REF!</v>
      </c>
      <c r="V339" t="e">
        <f>AND(#REF!,"AAAAAGrxnxU=")</f>
        <v>#REF!</v>
      </c>
      <c r="W339" t="e">
        <f>AND(#REF!,"AAAAAGrxnxY=")</f>
        <v>#REF!</v>
      </c>
      <c r="X339" t="e">
        <f>AND(#REF!,"AAAAAGrxnxc=")</f>
        <v>#REF!</v>
      </c>
      <c r="Y339" t="e">
        <f>AND(#REF!,"AAAAAGrxnxg=")</f>
        <v>#REF!</v>
      </c>
      <c r="Z339" t="e">
        <f>AND(#REF!,"AAAAAGrxnxk=")</f>
        <v>#REF!</v>
      </c>
      <c r="AA339" t="e">
        <f>AND(#REF!,"AAAAAGrxnxo=")</f>
        <v>#REF!</v>
      </c>
      <c r="AB339" t="e">
        <f>IF(#REF!,"AAAAAGrxnxs=",0)</f>
        <v>#REF!</v>
      </c>
      <c r="AC339" t="e">
        <f>AND(#REF!,"AAAAAGrxnxw=")</f>
        <v>#REF!</v>
      </c>
      <c r="AD339" t="e">
        <f>AND(#REF!,"AAAAAGrxnx0=")</f>
        <v>#REF!</v>
      </c>
      <c r="AE339" t="e">
        <f>AND(#REF!,"AAAAAGrxnx4=")</f>
        <v>#REF!</v>
      </c>
      <c r="AF339" t="e">
        <f>AND(#REF!,"AAAAAGrxnx8=")</f>
        <v>#REF!</v>
      </c>
      <c r="AG339" t="e">
        <f>AND(#REF!,"AAAAAGrxnyA=")</f>
        <v>#REF!</v>
      </c>
      <c r="AH339" t="e">
        <f>AND(#REF!,"AAAAAGrxnyE=")</f>
        <v>#REF!</v>
      </c>
      <c r="AI339" t="e">
        <f>AND(#REF!,"AAAAAGrxnyI=")</f>
        <v>#REF!</v>
      </c>
      <c r="AJ339" t="e">
        <f>AND(#REF!,"AAAAAGrxnyM=")</f>
        <v>#REF!</v>
      </c>
      <c r="AK339" t="e">
        <f>AND(#REF!,"AAAAAGrxnyQ=")</f>
        <v>#REF!</v>
      </c>
      <c r="AL339" t="e">
        <f>AND(#REF!,"AAAAAGrxnyU=")</f>
        <v>#REF!</v>
      </c>
      <c r="AM339" t="e">
        <f>IF(#REF!,"AAAAAGrxnyY=",0)</f>
        <v>#REF!</v>
      </c>
      <c r="AN339" t="e">
        <f>AND(#REF!,"AAAAAGrxnyc=")</f>
        <v>#REF!</v>
      </c>
      <c r="AO339" t="e">
        <f>AND(#REF!,"AAAAAGrxnyg=")</f>
        <v>#REF!</v>
      </c>
      <c r="AP339" t="e">
        <f>AND(#REF!,"AAAAAGrxnyk=")</f>
        <v>#REF!</v>
      </c>
      <c r="AQ339" t="e">
        <f>AND(#REF!,"AAAAAGrxnyo=")</f>
        <v>#REF!</v>
      </c>
      <c r="AR339" t="e">
        <f>AND(#REF!,"AAAAAGrxnys=")</f>
        <v>#REF!</v>
      </c>
      <c r="AS339" t="e">
        <f>AND(#REF!,"AAAAAGrxnyw=")</f>
        <v>#REF!</v>
      </c>
      <c r="AT339" t="e">
        <f>AND(#REF!,"AAAAAGrxny0=")</f>
        <v>#REF!</v>
      </c>
      <c r="AU339" t="e">
        <f>AND(#REF!,"AAAAAGrxny4=")</f>
        <v>#REF!</v>
      </c>
      <c r="AV339" t="e">
        <f>AND(#REF!,"AAAAAGrxny8=")</f>
        <v>#REF!</v>
      </c>
      <c r="AW339" t="e">
        <f>AND(#REF!,"AAAAAGrxnzA=")</f>
        <v>#REF!</v>
      </c>
      <c r="AX339" t="e">
        <f>IF(#REF!,"AAAAAGrxnzE=",0)</f>
        <v>#REF!</v>
      </c>
      <c r="AY339" t="e">
        <f>AND(#REF!,"AAAAAGrxnzI=")</f>
        <v>#REF!</v>
      </c>
      <c r="AZ339" t="e">
        <f>AND(#REF!,"AAAAAGrxnzM=")</f>
        <v>#REF!</v>
      </c>
      <c r="BA339" t="e">
        <f>AND(#REF!,"AAAAAGrxnzQ=")</f>
        <v>#REF!</v>
      </c>
      <c r="BB339" t="e">
        <f>AND(#REF!,"AAAAAGrxnzU=")</f>
        <v>#REF!</v>
      </c>
      <c r="BC339" t="e">
        <f>AND(#REF!,"AAAAAGrxnzY=")</f>
        <v>#REF!</v>
      </c>
      <c r="BD339" t="e">
        <f>AND(#REF!,"AAAAAGrxnzc=")</f>
        <v>#REF!</v>
      </c>
      <c r="BE339" t="e">
        <f>AND(#REF!,"AAAAAGrxnzg=")</f>
        <v>#REF!</v>
      </c>
      <c r="BF339" t="e">
        <f>AND(#REF!,"AAAAAGrxnzk=")</f>
        <v>#REF!</v>
      </c>
      <c r="BG339" t="e">
        <f>AND(#REF!,"AAAAAGrxnzo=")</f>
        <v>#REF!</v>
      </c>
      <c r="BH339" t="e">
        <f>AND(#REF!,"AAAAAGrxnzs=")</f>
        <v>#REF!</v>
      </c>
      <c r="BI339" t="e">
        <f>IF(#REF!,"AAAAAGrxnzw=",0)</f>
        <v>#REF!</v>
      </c>
      <c r="BJ339" t="e">
        <f>AND(#REF!,"AAAAAGrxnz0=")</f>
        <v>#REF!</v>
      </c>
      <c r="BK339" t="e">
        <f>AND(#REF!,"AAAAAGrxnz4=")</f>
        <v>#REF!</v>
      </c>
      <c r="BL339" t="e">
        <f>AND(#REF!,"AAAAAGrxnz8=")</f>
        <v>#REF!</v>
      </c>
      <c r="BM339" t="e">
        <f>AND(#REF!,"AAAAAGrxn0A=")</f>
        <v>#REF!</v>
      </c>
      <c r="BN339" t="e">
        <f>AND(#REF!,"AAAAAGrxn0E=")</f>
        <v>#REF!</v>
      </c>
      <c r="BO339" t="e">
        <f>AND(#REF!,"AAAAAGrxn0I=")</f>
        <v>#REF!</v>
      </c>
      <c r="BP339" t="e">
        <f>AND(#REF!,"AAAAAGrxn0M=")</f>
        <v>#REF!</v>
      </c>
      <c r="BQ339" t="e">
        <f>AND(#REF!,"AAAAAGrxn0Q=")</f>
        <v>#REF!</v>
      </c>
      <c r="BR339" t="e">
        <f>AND(#REF!,"AAAAAGrxn0U=")</f>
        <v>#REF!</v>
      </c>
      <c r="BS339" t="e">
        <f>AND(#REF!,"AAAAAGrxn0Y=")</f>
        <v>#REF!</v>
      </c>
      <c r="BT339" t="e">
        <f>IF(#REF!,"AAAAAGrxn0c=",0)</f>
        <v>#REF!</v>
      </c>
      <c r="BU339" t="e">
        <f>AND(#REF!,"AAAAAGrxn0g=")</f>
        <v>#REF!</v>
      </c>
      <c r="BV339" t="e">
        <f>AND(#REF!,"AAAAAGrxn0k=")</f>
        <v>#REF!</v>
      </c>
      <c r="BW339" t="e">
        <f>AND(#REF!,"AAAAAGrxn0o=")</f>
        <v>#REF!</v>
      </c>
      <c r="BX339" t="e">
        <f>AND(#REF!,"AAAAAGrxn0s=")</f>
        <v>#REF!</v>
      </c>
      <c r="BY339" t="e">
        <f>AND(#REF!,"AAAAAGrxn0w=")</f>
        <v>#REF!</v>
      </c>
      <c r="BZ339" t="e">
        <f>AND(#REF!,"AAAAAGrxn00=")</f>
        <v>#REF!</v>
      </c>
      <c r="CA339" t="e">
        <f>AND(#REF!,"AAAAAGrxn04=")</f>
        <v>#REF!</v>
      </c>
      <c r="CB339" t="e">
        <f>AND(#REF!,"AAAAAGrxn08=")</f>
        <v>#REF!</v>
      </c>
      <c r="CC339" t="e">
        <f>AND(#REF!,"AAAAAGrxn1A=")</f>
        <v>#REF!</v>
      </c>
      <c r="CD339" t="e">
        <f>AND(#REF!,"AAAAAGrxn1E=")</f>
        <v>#REF!</v>
      </c>
      <c r="CE339" t="e">
        <f>IF(#REF!,"AAAAAGrxn1I=",0)</f>
        <v>#REF!</v>
      </c>
      <c r="CF339" t="e">
        <f>AND(#REF!,"AAAAAGrxn1M=")</f>
        <v>#REF!</v>
      </c>
      <c r="CG339" t="e">
        <f>AND(#REF!,"AAAAAGrxn1Q=")</f>
        <v>#REF!</v>
      </c>
      <c r="CH339" t="e">
        <f>AND(#REF!,"AAAAAGrxn1U=")</f>
        <v>#REF!</v>
      </c>
      <c r="CI339" t="e">
        <f>AND(#REF!,"AAAAAGrxn1Y=")</f>
        <v>#REF!</v>
      </c>
      <c r="CJ339" t="e">
        <f>AND(#REF!,"AAAAAGrxn1c=")</f>
        <v>#REF!</v>
      </c>
      <c r="CK339" t="e">
        <f>AND(#REF!,"AAAAAGrxn1g=")</f>
        <v>#REF!</v>
      </c>
      <c r="CL339" t="e">
        <f>AND(#REF!,"AAAAAGrxn1k=")</f>
        <v>#REF!</v>
      </c>
      <c r="CM339" t="e">
        <f>AND(#REF!,"AAAAAGrxn1o=")</f>
        <v>#REF!</v>
      </c>
      <c r="CN339" t="e">
        <f>AND(#REF!,"AAAAAGrxn1s=")</f>
        <v>#REF!</v>
      </c>
      <c r="CO339" t="e">
        <f>AND(#REF!,"AAAAAGrxn1w=")</f>
        <v>#REF!</v>
      </c>
      <c r="CP339" t="e">
        <f>IF(#REF!,"AAAAAGrxn10=",0)</f>
        <v>#REF!</v>
      </c>
      <c r="CQ339" t="e">
        <f>AND(#REF!,"AAAAAGrxn14=")</f>
        <v>#REF!</v>
      </c>
      <c r="CR339" t="e">
        <f>AND(#REF!,"AAAAAGrxn18=")</f>
        <v>#REF!</v>
      </c>
      <c r="CS339" t="e">
        <f>AND(#REF!,"AAAAAGrxn2A=")</f>
        <v>#REF!</v>
      </c>
      <c r="CT339" t="e">
        <f>AND(#REF!,"AAAAAGrxn2E=")</f>
        <v>#REF!</v>
      </c>
      <c r="CU339" t="e">
        <f>AND(#REF!,"AAAAAGrxn2I=")</f>
        <v>#REF!</v>
      </c>
      <c r="CV339" t="e">
        <f>AND(#REF!,"AAAAAGrxn2M=")</f>
        <v>#REF!</v>
      </c>
      <c r="CW339" t="e">
        <f>AND(#REF!,"AAAAAGrxn2Q=")</f>
        <v>#REF!</v>
      </c>
      <c r="CX339" t="e">
        <f>AND(#REF!,"AAAAAGrxn2U=")</f>
        <v>#REF!</v>
      </c>
      <c r="CY339" t="e">
        <f>AND(#REF!,"AAAAAGrxn2Y=")</f>
        <v>#REF!</v>
      </c>
      <c r="CZ339" t="e">
        <f>AND(#REF!,"AAAAAGrxn2c=")</f>
        <v>#REF!</v>
      </c>
      <c r="DA339" t="e">
        <f>IF(#REF!,"AAAAAGrxn2g=",0)</f>
        <v>#REF!</v>
      </c>
      <c r="DB339" t="e">
        <f>AND(#REF!,"AAAAAGrxn2k=")</f>
        <v>#REF!</v>
      </c>
      <c r="DC339" t="e">
        <f>AND(#REF!,"AAAAAGrxn2o=")</f>
        <v>#REF!</v>
      </c>
      <c r="DD339" t="e">
        <f>AND(#REF!,"AAAAAGrxn2s=")</f>
        <v>#REF!</v>
      </c>
      <c r="DE339" t="e">
        <f>AND(#REF!,"AAAAAGrxn2w=")</f>
        <v>#REF!</v>
      </c>
      <c r="DF339" t="e">
        <f>AND(#REF!,"AAAAAGrxn20=")</f>
        <v>#REF!</v>
      </c>
      <c r="DG339" t="e">
        <f>AND(#REF!,"AAAAAGrxn24=")</f>
        <v>#REF!</v>
      </c>
      <c r="DH339" t="e">
        <f>AND(#REF!,"AAAAAGrxn28=")</f>
        <v>#REF!</v>
      </c>
      <c r="DI339" t="e">
        <f>AND(#REF!,"AAAAAGrxn3A=")</f>
        <v>#REF!</v>
      </c>
      <c r="DJ339" t="e">
        <f>AND(#REF!,"AAAAAGrxn3E=")</f>
        <v>#REF!</v>
      </c>
      <c r="DK339" t="e">
        <f>AND(#REF!,"AAAAAGrxn3I=")</f>
        <v>#REF!</v>
      </c>
      <c r="DL339" t="e">
        <f>IF(#REF!,"AAAAAGrxn3M=",0)</f>
        <v>#REF!</v>
      </c>
      <c r="DM339" t="e">
        <f>AND(#REF!,"AAAAAGrxn3Q=")</f>
        <v>#REF!</v>
      </c>
      <c r="DN339" t="e">
        <f>AND(#REF!,"AAAAAGrxn3U=")</f>
        <v>#REF!</v>
      </c>
      <c r="DO339" t="e">
        <f>AND(#REF!,"AAAAAGrxn3Y=")</f>
        <v>#REF!</v>
      </c>
      <c r="DP339" t="e">
        <f>AND(#REF!,"AAAAAGrxn3c=")</f>
        <v>#REF!</v>
      </c>
      <c r="DQ339" t="e">
        <f>AND(#REF!,"AAAAAGrxn3g=")</f>
        <v>#REF!</v>
      </c>
      <c r="DR339" t="e">
        <f>AND(#REF!,"AAAAAGrxn3k=")</f>
        <v>#REF!</v>
      </c>
      <c r="DS339" t="e">
        <f>AND(#REF!,"AAAAAGrxn3o=")</f>
        <v>#REF!</v>
      </c>
      <c r="DT339" t="e">
        <f>AND(#REF!,"AAAAAGrxn3s=")</f>
        <v>#REF!</v>
      </c>
      <c r="DU339" t="e">
        <f>AND(#REF!,"AAAAAGrxn3w=")</f>
        <v>#REF!</v>
      </c>
      <c r="DV339" t="e">
        <f>AND(#REF!,"AAAAAGrxn30=")</f>
        <v>#REF!</v>
      </c>
      <c r="DW339" t="e">
        <f>IF(#REF!,"AAAAAGrxn34=",0)</f>
        <v>#REF!</v>
      </c>
      <c r="DX339" t="e">
        <f>AND(#REF!,"AAAAAGrxn38=")</f>
        <v>#REF!</v>
      </c>
      <c r="DY339" t="e">
        <f>AND(#REF!,"AAAAAGrxn4A=")</f>
        <v>#REF!</v>
      </c>
      <c r="DZ339" t="e">
        <f>AND(#REF!,"AAAAAGrxn4E=")</f>
        <v>#REF!</v>
      </c>
      <c r="EA339" t="e">
        <f>AND(#REF!,"AAAAAGrxn4I=")</f>
        <v>#REF!</v>
      </c>
      <c r="EB339" t="e">
        <f>AND(#REF!,"AAAAAGrxn4M=")</f>
        <v>#REF!</v>
      </c>
      <c r="EC339" t="e">
        <f>AND(#REF!,"AAAAAGrxn4Q=")</f>
        <v>#REF!</v>
      </c>
      <c r="ED339" t="e">
        <f>AND(#REF!,"AAAAAGrxn4U=")</f>
        <v>#REF!</v>
      </c>
      <c r="EE339" t="e">
        <f>AND(#REF!,"AAAAAGrxn4Y=")</f>
        <v>#REF!</v>
      </c>
      <c r="EF339" t="e">
        <f>AND(#REF!,"AAAAAGrxn4c=")</f>
        <v>#REF!</v>
      </c>
      <c r="EG339" t="e">
        <f>AND(#REF!,"AAAAAGrxn4g=")</f>
        <v>#REF!</v>
      </c>
      <c r="EH339" t="e">
        <f>IF(#REF!,"AAAAAGrxn4k=",0)</f>
        <v>#REF!</v>
      </c>
      <c r="EI339" t="e">
        <f>AND(#REF!,"AAAAAGrxn4o=")</f>
        <v>#REF!</v>
      </c>
      <c r="EJ339" t="e">
        <f>AND(#REF!,"AAAAAGrxn4s=")</f>
        <v>#REF!</v>
      </c>
      <c r="EK339" t="e">
        <f>AND(#REF!,"AAAAAGrxn4w=")</f>
        <v>#REF!</v>
      </c>
      <c r="EL339" t="e">
        <f>AND(#REF!,"AAAAAGrxn40=")</f>
        <v>#REF!</v>
      </c>
      <c r="EM339" t="e">
        <f>AND(#REF!,"AAAAAGrxn44=")</f>
        <v>#REF!</v>
      </c>
      <c r="EN339" t="e">
        <f>AND(#REF!,"AAAAAGrxn48=")</f>
        <v>#REF!</v>
      </c>
      <c r="EO339" t="e">
        <f>AND(#REF!,"AAAAAGrxn5A=")</f>
        <v>#REF!</v>
      </c>
      <c r="EP339" t="e">
        <f>AND(#REF!,"AAAAAGrxn5E=")</f>
        <v>#REF!</v>
      </c>
      <c r="EQ339" t="e">
        <f>AND(#REF!,"AAAAAGrxn5I=")</f>
        <v>#REF!</v>
      </c>
      <c r="ER339" t="e">
        <f>AND(#REF!,"AAAAAGrxn5M=")</f>
        <v>#REF!</v>
      </c>
      <c r="ES339" t="e">
        <f>IF(#REF!,"AAAAAGrxn5Q=",0)</f>
        <v>#REF!</v>
      </c>
      <c r="ET339" t="e">
        <f>AND(#REF!,"AAAAAGrxn5U=")</f>
        <v>#REF!</v>
      </c>
      <c r="EU339" t="e">
        <f>AND(#REF!,"AAAAAGrxn5Y=")</f>
        <v>#REF!</v>
      </c>
      <c r="EV339" t="e">
        <f>AND(#REF!,"AAAAAGrxn5c=")</f>
        <v>#REF!</v>
      </c>
      <c r="EW339" t="e">
        <f>AND(#REF!,"AAAAAGrxn5g=")</f>
        <v>#REF!</v>
      </c>
      <c r="EX339" t="e">
        <f>AND(#REF!,"AAAAAGrxn5k=")</f>
        <v>#REF!</v>
      </c>
      <c r="EY339" t="e">
        <f>AND(#REF!,"AAAAAGrxn5o=")</f>
        <v>#REF!</v>
      </c>
      <c r="EZ339" t="e">
        <f>AND(#REF!,"AAAAAGrxn5s=")</f>
        <v>#REF!</v>
      </c>
      <c r="FA339" t="e">
        <f>AND(#REF!,"AAAAAGrxn5w=")</f>
        <v>#REF!</v>
      </c>
      <c r="FB339" t="e">
        <f>AND(#REF!,"AAAAAGrxn50=")</f>
        <v>#REF!</v>
      </c>
      <c r="FC339" t="e">
        <f>AND(#REF!,"AAAAAGrxn54=")</f>
        <v>#REF!</v>
      </c>
      <c r="FD339" t="e">
        <f>IF(#REF!,"AAAAAGrxn58=",0)</f>
        <v>#REF!</v>
      </c>
      <c r="FE339" t="e">
        <f>AND(#REF!,"AAAAAGrxn6A=")</f>
        <v>#REF!</v>
      </c>
      <c r="FF339" t="e">
        <f>AND(#REF!,"AAAAAGrxn6E=")</f>
        <v>#REF!</v>
      </c>
      <c r="FG339" t="e">
        <f>AND(#REF!,"AAAAAGrxn6I=")</f>
        <v>#REF!</v>
      </c>
      <c r="FH339" t="e">
        <f>AND(#REF!,"AAAAAGrxn6M=")</f>
        <v>#REF!</v>
      </c>
      <c r="FI339" t="e">
        <f>AND(#REF!,"AAAAAGrxn6Q=")</f>
        <v>#REF!</v>
      </c>
      <c r="FJ339" t="e">
        <f>AND(#REF!,"AAAAAGrxn6U=")</f>
        <v>#REF!</v>
      </c>
      <c r="FK339" t="e">
        <f>AND(#REF!,"AAAAAGrxn6Y=")</f>
        <v>#REF!</v>
      </c>
      <c r="FL339" t="e">
        <f>AND(#REF!,"AAAAAGrxn6c=")</f>
        <v>#REF!</v>
      </c>
      <c r="FM339" t="e">
        <f>AND(#REF!,"AAAAAGrxn6g=")</f>
        <v>#REF!</v>
      </c>
      <c r="FN339" t="e">
        <f>AND(#REF!,"AAAAAGrxn6k=")</f>
        <v>#REF!</v>
      </c>
      <c r="FO339" t="e">
        <f>IF(#REF!,"AAAAAGrxn6o=",0)</f>
        <v>#REF!</v>
      </c>
      <c r="FP339" t="e">
        <f>AND(#REF!,"AAAAAGrxn6s=")</f>
        <v>#REF!</v>
      </c>
      <c r="FQ339" t="e">
        <f>AND(#REF!,"AAAAAGrxn6w=")</f>
        <v>#REF!</v>
      </c>
      <c r="FR339" t="e">
        <f>AND(#REF!,"AAAAAGrxn60=")</f>
        <v>#REF!</v>
      </c>
      <c r="FS339" t="e">
        <f>AND(#REF!,"AAAAAGrxn64=")</f>
        <v>#REF!</v>
      </c>
      <c r="FT339" t="e">
        <f>AND(#REF!,"AAAAAGrxn68=")</f>
        <v>#REF!</v>
      </c>
      <c r="FU339" t="e">
        <f>AND(#REF!,"AAAAAGrxn7A=")</f>
        <v>#REF!</v>
      </c>
      <c r="FV339" t="e">
        <f>AND(#REF!,"AAAAAGrxn7E=")</f>
        <v>#REF!</v>
      </c>
      <c r="FW339" t="e">
        <f>AND(#REF!,"AAAAAGrxn7I=")</f>
        <v>#REF!</v>
      </c>
      <c r="FX339" t="e">
        <f>AND(#REF!,"AAAAAGrxn7M=")</f>
        <v>#REF!</v>
      </c>
      <c r="FY339" t="e">
        <f>AND(#REF!,"AAAAAGrxn7Q=")</f>
        <v>#REF!</v>
      </c>
      <c r="FZ339" t="e">
        <f>IF(#REF!,"AAAAAGrxn7U=",0)</f>
        <v>#REF!</v>
      </c>
      <c r="GA339" t="e">
        <f>AND(#REF!,"AAAAAGrxn7Y=")</f>
        <v>#REF!</v>
      </c>
      <c r="GB339" t="e">
        <f>AND(#REF!,"AAAAAGrxn7c=")</f>
        <v>#REF!</v>
      </c>
      <c r="GC339" t="e">
        <f>AND(#REF!,"AAAAAGrxn7g=")</f>
        <v>#REF!</v>
      </c>
      <c r="GD339" t="e">
        <f>AND(#REF!,"AAAAAGrxn7k=")</f>
        <v>#REF!</v>
      </c>
      <c r="GE339" t="e">
        <f>AND(#REF!,"AAAAAGrxn7o=")</f>
        <v>#REF!</v>
      </c>
      <c r="GF339" t="e">
        <f>AND(#REF!,"AAAAAGrxn7s=")</f>
        <v>#REF!</v>
      </c>
      <c r="GG339" t="e">
        <f>AND(#REF!,"AAAAAGrxn7w=")</f>
        <v>#REF!</v>
      </c>
      <c r="GH339" t="e">
        <f>AND(#REF!,"AAAAAGrxn70=")</f>
        <v>#REF!</v>
      </c>
      <c r="GI339" t="e">
        <f>AND(#REF!,"AAAAAGrxn74=")</f>
        <v>#REF!</v>
      </c>
      <c r="GJ339" t="e">
        <f>AND(#REF!,"AAAAAGrxn78=")</f>
        <v>#REF!</v>
      </c>
      <c r="GK339" t="e">
        <f>IF(#REF!,"AAAAAGrxn8A=",0)</f>
        <v>#REF!</v>
      </c>
      <c r="GL339" t="e">
        <f>AND(#REF!,"AAAAAGrxn8E=")</f>
        <v>#REF!</v>
      </c>
      <c r="GM339" t="e">
        <f>AND(#REF!,"AAAAAGrxn8I=")</f>
        <v>#REF!</v>
      </c>
      <c r="GN339" t="e">
        <f>AND(#REF!,"AAAAAGrxn8M=")</f>
        <v>#REF!</v>
      </c>
      <c r="GO339" t="e">
        <f>AND(#REF!,"AAAAAGrxn8Q=")</f>
        <v>#REF!</v>
      </c>
      <c r="GP339" t="e">
        <f>AND(#REF!,"AAAAAGrxn8U=")</f>
        <v>#REF!</v>
      </c>
      <c r="GQ339" t="e">
        <f>AND(#REF!,"AAAAAGrxn8Y=")</f>
        <v>#REF!</v>
      </c>
      <c r="GR339" t="e">
        <f>AND(#REF!,"AAAAAGrxn8c=")</f>
        <v>#REF!</v>
      </c>
      <c r="GS339" t="e">
        <f>AND(#REF!,"AAAAAGrxn8g=")</f>
        <v>#REF!</v>
      </c>
      <c r="GT339" t="e">
        <f>AND(#REF!,"AAAAAGrxn8k=")</f>
        <v>#REF!</v>
      </c>
      <c r="GU339" t="e">
        <f>AND(#REF!,"AAAAAGrxn8o=")</f>
        <v>#REF!</v>
      </c>
      <c r="GV339" t="e">
        <f>IF(#REF!,"AAAAAGrxn8s=",0)</f>
        <v>#REF!</v>
      </c>
      <c r="GW339" t="e">
        <f>AND(#REF!,"AAAAAGrxn8w=")</f>
        <v>#REF!</v>
      </c>
      <c r="GX339" t="e">
        <f>AND(#REF!,"AAAAAGrxn80=")</f>
        <v>#REF!</v>
      </c>
      <c r="GY339" t="e">
        <f>AND(#REF!,"AAAAAGrxn84=")</f>
        <v>#REF!</v>
      </c>
      <c r="GZ339" t="e">
        <f>AND(#REF!,"AAAAAGrxn88=")</f>
        <v>#REF!</v>
      </c>
      <c r="HA339" t="e">
        <f>AND(#REF!,"AAAAAGrxn9A=")</f>
        <v>#REF!</v>
      </c>
      <c r="HB339" t="e">
        <f>AND(#REF!,"AAAAAGrxn9E=")</f>
        <v>#REF!</v>
      </c>
      <c r="HC339" t="e">
        <f>AND(#REF!,"AAAAAGrxn9I=")</f>
        <v>#REF!</v>
      </c>
      <c r="HD339" t="e">
        <f>AND(#REF!,"AAAAAGrxn9M=")</f>
        <v>#REF!</v>
      </c>
      <c r="HE339" t="e">
        <f>AND(#REF!,"AAAAAGrxn9Q=")</f>
        <v>#REF!</v>
      </c>
      <c r="HF339" t="e">
        <f>AND(#REF!,"AAAAAGrxn9U=")</f>
        <v>#REF!</v>
      </c>
      <c r="HG339" t="e">
        <f>IF(#REF!,"AAAAAGrxn9Y=",0)</f>
        <v>#REF!</v>
      </c>
      <c r="HH339" t="e">
        <f>AND(#REF!,"AAAAAGrxn9c=")</f>
        <v>#REF!</v>
      </c>
      <c r="HI339" t="e">
        <f>AND(#REF!,"AAAAAGrxn9g=")</f>
        <v>#REF!</v>
      </c>
      <c r="HJ339" t="e">
        <f>AND(#REF!,"AAAAAGrxn9k=")</f>
        <v>#REF!</v>
      </c>
      <c r="HK339" t="e">
        <f>AND(#REF!,"AAAAAGrxn9o=")</f>
        <v>#REF!</v>
      </c>
      <c r="HL339" t="e">
        <f>AND(#REF!,"AAAAAGrxn9s=")</f>
        <v>#REF!</v>
      </c>
      <c r="HM339" t="e">
        <f>AND(#REF!,"AAAAAGrxn9w=")</f>
        <v>#REF!</v>
      </c>
      <c r="HN339" t="e">
        <f>AND(#REF!,"AAAAAGrxn90=")</f>
        <v>#REF!</v>
      </c>
      <c r="HO339" t="e">
        <f>AND(#REF!,"AAAAAGrxn94=")</f>
        <v>#REF!</v>
      </c>
      <c r="HP339" t="e">
        <f>AND(#REF!,"AAAAAGrxn98=")</f>
        <v>#REF!</v>
      </c>
      <c r="HQ339" t="e">
        <f>AND(#REF!,"AAAAAGrxn+A=")</f>
        <v>#REF!</v>
      </c>
      <c r="HR339" t="e">
        <f>IF(#REF!,"AAAAAGrxn+E=",0)</f>
        <v>#REF!</v>
      </c>
      <c r="HS339" t="e">
        <f>AND(#REF!,"AAAAAGrxn+I=")</f>
        <v>#REF!</v>
      </c>
      <c r="HT339" t="e">
        <f>AND(#REF!,"AAAAAGrxn+M=")</f>
        <v>#REF!</v>
      </c>
      <c r="HU339" t="e">
        <f>AND(#REF!,"AAAAAGrxn+Q=")</f>
        <v>#REF!</v>
      </c>
      <c r="HV339" t="e">
        <f>AND(#REF!,"AAAAAGrxn+U=")</f>
        <v>#REF!</v>
      </c>
      <c r="HW339" t="e">
        <f>AND(#REF!,"AAAAAGrxn+Y=")</f>
        <v>#REF!</v>
      </c>
      <c r="HX339" t="e">
        <f>AND(#REF!,"AAAAAGrxn+c=")</f>
        <v>#REF!</v>
      </c>
      <c r="HY339" t="e">
        <f>AND(#REF!,"AAAAAGrxn+g=")</f>
        <v>#REF!</v>
      </c>
      <c r="HZ339" t="e">
        <f>AND(#REF!,"AAAAAGrxn+k=")</f>
        <v>#REF!</v>
      </c>
      <c r="IA339" t="e">
        <f>AND(#REF!,"AAAAAGrxn+o=")</f>
        <v>#REF!</v>
      </c>
      <c r="IB339" t="e">
        <f>AND(#REF!,"AAAAAGrxn+s=")</f>
        <v>#REF!</v>
      </c>
      <c r="IC339" t="e">
        <f>IF(#REF!,"AAAAAGrxn+w=",0)</f>
        <v>#REF!</v>
      </c>
      <c r="ID339" t="e">
        <f>AND(#REF!,"AAAAAGrxn+0=")</f>
        <v>#REF!</v>
      </c>
      <c r="IE339" t="e">
        <f>AND(#REF!,"AAAAAGrxn+4=")</f>
        <v>#REF!</v>
      </c>
      <c r="IF339" t="e">
        <f>AND(#REF!,"AAAAAGrxn+8=")</f>
        <v>#REF!</v>
      </c>
      <c r="IG339" t="e">
        <f>AND(#REF!,"AAAAAGrxn/A=")</f>
        <v>#REF!</v>
      </c>
      <c r="IH339" t="e">
        <f>AND(#REF!,"AAAAAGrxn/E=")</f>
        <v>#REF!</v>
      </c>
      <c r="II339" t="e">
        <f>AND(#REF!,"AAAAAGrxn/I=")</f>
        <v>#REF!</v>
      </c>
      <c r="IJ339" t="e">
        <f>AND(#REF!,"AAAAAGrxn/M=")</f>
        <v>#REF!</v>
      </c>
      <c r="IK339" t="e">
        <f>AND(#REF!,"AAAAAGrxn/Q=")</f>
        <v>#REF!</v>
      </c>
      <c r="IL339" t="e">
        <f>AND(#REF!,"AAAAAGrxn/U=")</f>
        <v>#REF!</v>
      </c>
      <c r="IM339" t="e">
        <f>AND(#REF!,"AAAAAGrxn/Y=")</f>
        <v>#REF!</v>
      </c>
      <c r="IN339" t="e">
        <f>IF(#REF!,"AAAAAGrxn/c=",0)</f>
        <v>#REF!</v>
      </c>
      <c r="IO339" t="e">
        <f>AND(#REF!,"AAAAAGrxn/g=")</f>
        <v>#REF!</v>
      </c>
      <c r="IP339" t="e">
        <f>AND(#REF!,"AAAAAGrxn/k=")</f>
        <v>#REF!</v>
      </c>
      <c r="IQ339" t="e">
        <f>AND(#REF!,"AAAAAGrxn/o=")</f>
        <v>#REF!</v>
      </c>
      <c r="IR339" t="e">
        <f>AND(#REF!,"AAAAAGrxn/s=")</f>
        <v>#REF!</v>
      </c>
      <c r="IS339" t="e">
        <f>AND(#REF!,"AAAAAGrxn/w=")</f>
        <v>#REF!</v>
      </c>
      <c r="IT339" t="e">
        <f>AND(#REF!,"AAAAAGrxn/0=")</f>
        <v>#REF!</v>
      </c>
      <c r="IU339" t="e">
        <f>AND(#REF!,"AAAAAGrxn/4=")</f>
        <v>#REF!</v>
      </c>
      <c r="IV339" t="e">
        <f>AND(#REF!,"AAAAAGrxn/8=")</f>
        <v>#REF!</v>
      </c>
    </row>
    <row r="340" spans="1:256" x14ac:dyDescent="0.25">
      <c r="A340" t="e">
        <f>AND(#REF!,"AAAAAHX99QA=")</f>
        <v>#REF!</v>
      </c>
      <c r="B340" t="e">
        <f>AND(#REF!,"AAAAAHX99QE=")</f>
        <v>#REF!</v>
      </c>
      <c r="C340" t="e">
        <f>IF(#REF!,"AAAAAHX99QI=",0)</f>
        <v>#REF!</v>
      </c>
      <c r="D340" t="e">
        <f>AND(#REF!,"AAAAAHX99QM=")</f>
        <v>#REF!</v>
      </c>
      <c r="E340" t="e">
        <f>AND(#REF!,"AAAAAHX99QQ=")</f>
        <v>#REF!</v>
      </c>
      <c r="F340" t="e">
        <f>AND(#REF!,"AAAAAHX99QU=")</f>
        <v>#REF!</v>
      </c>
      <c r="G340" t="e">
        <f>AND(#REF!,"AAAAAHX99QY=")</f>
        <v>#REF!</v>
      </c>
      <c r="H340" t="e">
        <f>AND(#REF!,"AAAAAHX99Qc=")</f>
        <v>#REF!</v>
      </c>
      <c r="I340" t="e">
        <f>AND(#REF!,"AAAAAHX99Qg=")</f>
        <v>#REF!</v>
      </c>
      <c r="J340" t="e">
        <f>AND(#REF!,"AAAAAHX99Qk=")</f>
        <v>#REF!</v>
      </c>
      <c r="K340" t="e">
        <f>AND(#REF!,"AAAAAHX99Qo=")</f>
        <v>#REF!</v>
      </c>
      <c r="L340" t="e">
        <f>AND(#REF!,"AAAAAHX99Qs=")</f>
        <v>#REF!</v>
      </c>
      <c r="M340" t="e">
        <f>AND(#REF!,"AAAAAHX99Qw=")</f>
        <v>#REF!</v>
      </c>
      <c r="N340" t="e">
        <f>IF(#REF!,"AAAAAHX99Q0=",0)</f>
        <v>#REF!</v>
      </c>
      <c r="O340" t="e">
        <f>AND(#REF!,"AAAAAHX99Q4=")</f>
        <v>#REF!</v>
      </c>
      <c r="P340" t="e">
        <f>AND(#REF!,"AAAAAHX99Q8=")</f>
        <v>#REF!</v>
      </c>
      <c r="Q340" t="e">
        <f>AND(#REF!,"AAAAAHX99RA=")</f>
        <v>#REF!</v>
      </c>
      <c r="R340" t="e">
        <f>AND(#REF!,"AAAAAHX99RE=")</f>
        <v>#REF!</v>
      </c>
      <c r="S340" t="e">
        <f>AND(#REF!,"AAAAAHX99RI=")</f>
        <v>#REF!</v>
      </c>
      <c r="T340" t="e">
        <f>AND(#REF!,"AAAAAHX99RM=")</f>
        <v>#REF!</v>
      </c>
      <c r="U340" t="e">
        <f>AND(#REF!,"AAAAAHX99RQ=")</f>
        <v>#REF!</v>
      </c>
      <c r="V340" t="e">
        <f>AND(#REF!,"AAAAAHX99RU=")</f>
        <v>#REF!</v>
      </c>
      <c r="W340" t="e">
        <f>AND(#REF!,"AAAAAHX99RY=")</f>
        <v>#REF!</v>
      </c>
      <c r="X340" t="e">
        <f>AND(#REF!,"AAAAAHX99Rc=")</f>
        <v>#REF!</v>
      </c>
      <c r="Y340" t="e">
        <f>IF(#REF!,"AAAAAHX99Rg=",0)</f>
        <v>#REF!</v>
      </c>
      <c r="Z340" t="e">
        <f>AND(#REF!,"AAAAAHX99Rk=")</f>
        <v>#REF!</v>
      </c>
      <c r="AA340" t="e">
        <f>AND(#REF!,"AAAAAHX99Ro=")</f>
        <v>#REF!</v>
      </c>
      <c r="AB340" t="e">
        <f>AND(#REF!,"AAAAAHX99Rs=")</f>
        <v>#REF!</v>
      </c>
      <c r="AC340" t="e">
        <f>AND(#REF!,"AAAAAHX99Rw=")</f>
        <v>#REF!</v>
      </c>
      <c r="AD340" t="e">
        <f>AND(#REF!,"AAAAAHX99R0=")</f>
        <v>#REF!</v>
      </c>
      <c r="AE340" t="e">
        <f>AND(#REF!,"AAAAAHX99R4=")</f>
        <v>#REF!</v>
      </c>
      <c r="AF340" t="e">
        <f>AND(#REF!,"AAAAAHX99R8=")</f>
        <v>#REF!</v>
      </c>
      <c r="AG340" t="e">
        <f>AND(#REF!,"AAAAAHX99SA=")</f>
        <v>#REF!</v>
      </c>
      <c r="AH340" t="e">
        <f>AND(#REF!,"AAAAAHX99SE=")</f>
        <v>#REF!</v>
      </c>
      <c r="AI340" t="e">
        <f>AND(#REF!,"AAAAAHX99SI=")</f>
        <v>#REF!</v>
      </c>
      <c r="AJ340" t="e">
        <f>IF(#REF!,"AAAAAHX99SM=",0)</f>
        <v>#REF!</v>
      </c>
      <c r="AK340" t="e">
        <f>AND(#REF!,"AAAAAHX99SQ=")</f>
        <v>#REF!</v>
      </c>
      <c r="AL340" t="e">
        <f>AND(#REF!,"AAAAAHX99SU=")</f>
        <v>#REF!</v>
      </c>
      <c r="AM340" t="e">
        <f>AND(#REF!,"AAAAAHX99SY=")</f>
        <v>#REF!</v>
      </c>
      <c r="AN340" t="e">
        <f>AND(#REF!,"AAAAAHX99Sc=")</f>
        <v>#REF!</v>
      </c>
      <c r="AO340" t="e">
        <f>AND(#REF!,"AAAAAHX99Sg=")</f>
        <v>#REF!</v>
      </c>
      <c r="AP340" t="e">
        <f>AND(#REF!,"AAAAAHX99Sk=")</f>
        <v>#REF!</v>
      </c>
      <c r="AQ340" t="e">
        <f>AND(#REF!,"AAAAAHX99So=")</f>
        <v>#REF!</v>
      </c>
      <c r="AR340" t="e">
        <f>AND(#REF!,"AAAAAHX99Ss=")</f>
        <v>#REF!</v>
      </c>
      <c r="AS340" t="e">
        <f>AND(#REF!,"AAAAAHX99Sw=")</f>
        <v>#REF!</v>
      </c>
      <c r="AT340" t="e">
        <f>AND(#REF!,"AAAAAHX99S0=")</f>
        <v>#REF!</v>
      </c>
      <c r="AU340" t="e">
        <f>IF(#REF!,"AAAAAHX99S4=",0)</f>
        <v>#REF!</v>
      </c>
      <c r="AV340" t="e">
        <f>AND(#REF!,"AAAAAHX99S8=")</f>
        <v>#REF!</v>
      </c>
      <c r="AW340" t="e">
        <f>AND(#REF!,"AAAAAHX99TA=")</f>
        <v>#REF!</v>
      </c>
      <c r="AX340" t="e">
        <f>AND(#REF!,"AAAAAHX99TE=")</f>
        <v>#REF!</v>
      </c>
      <c r="AY340" t="e">
        <f>AND(#REF!,"AAAAAHX99TI=")</f>
        <v>#REF!</v>
      </c>
      <c r="AZ340" t="e">
        <f>AND(#REF!,"AAAAAHX99TM=")</f>
        <v>#REF!</v>
      </c>
      <c r="BA340" t="e">
        <f>AND(#REF!,"AAAAAHX99TQ=")</f>
        <v>#REF!</v>
      </c>
      <c r="BB340" t="e">
        <f>AND(#REF!,"AAAAAHX99TU=")</f>
        <v>#REF!</v>
      </c>
      <c r="BC340" t="e">
        <f>AND(#REF!,"AAAAAHX99TY=")</f>
        <v>#REF!</v>
      </c>
      <c r="BD340" t="e">
        <f>AND(#REF!,"AAAAAHX99Tc=")</f>
        <v>#REF!</v>
      </c>
      <c r="BE340" t="e">
        <f>AND(#REF!,"AAAAAHX99Tg=")</f>
        <v>#REF!</v>
      </c>
      <c r="BF340" t="e">
        <f>IF(#REF!,"AAAAAHX99Tk=",0)</f>
        <v>#REF!</v>
      </c>
      <c r="BG340" t="e">
        <f>AND(#REF!,"AAAAAHX99To=")</f>
        <v>#REF!</v>
      </c>
      <c r="BH340" t="e">
        <f>AND(#REF!,"AAAAAHX99Ts=")</f>
        <v>#REF!</v>
      </c>
      <c r="BI340" t="e">
        <f>AND(#REF!,"AAAAAHX99Tw=")</f>
        <v>#REF!</v>
      </c>
      <c r="BJ340" t="e">
        <f>AND(#REF!,"AAAAAHX99T0=")</f>
        <v>#REF!</v>
      </c>
      <c r="BK340" t="e">
        <f>AND(#REF!,"AAAAAHX99T4=")</f>
        <v>#REF!</v>
      </c>
      <c r="BL340" t="e">
        <f>AND(#REF!,"AAAAAHX99T8=")</f>
        <v>#REF!</v>
      </c>
      <c r="BM340" t="e">
        <f>AND(#REF!,"AAAAAHX99UA=")</f>
        <v>#REF!</v>
      </c>
      <c r="BN340" t="e">
        <f>AND(#REF!,"AAAAAHX99UE=")</f>
        <v>#REF!</v>
      </c>
      <c r="BO340" t="e">
        <f>AND(#REF!,"AAAAAHX99UI=")</f>
        <v>#REF!</v>
      </c>
      <c r="BP340" t="e">
        <f>AND(#REF!,"AAAAAHX99UM=")</f>
        <v>#REF!</v>
      </c>
      <c r="BQ340" t="e">
        <f>IF(#REF!,"AAAAAHX99UQ=",0)</f>
        <v>#REF!</v>
      </c>
      <c r="BR340" t="e">
        <f>AND(#REF!,"AAAAAHX99UU=")</f>
        <v>#REF!</v>
      </c>
      <c r="BS340" t="e">
        <f>AND(#REF!,"AAAAAHX99UY=")</f>
        <v>#REF!</v>
      </c>
      <c r="BT340" t="e">
        <f>AND(#REF!,"AAAAAHX99Uc=")</f>
        <v>#REF!</v>
      </c>
      <c r="BU340" t="e">
        <f>AND(#REF!,"AAAAAHX99Ug=")</f>
        <v>#REF!</v>
      </c>
      <c r="BV340" t="e">
        <f>AND(#REF!,"AAAAAHX99Uk=")</f>
        <v>#REF!</v>
      </c>
      <c r="BW340" t="e">
        <f>AND(#REF!,"AAAAAHX99Uo=")</f>
        <v>#REF!</v>
      </c>
      <c r="BX340" t="e">
        <f>AND(#REF!,"AAAAAHX99Us=")</f>
        <v>#REF!</v>
      </c>
      <c r="BY340" t="e">
        <f>AND(#REF!,"AAAAAHX99Uw=")</f>
        <v>#REF!</v>
      </c>
      <c r="BZ340" t="e">
        <f>AND(#REF!,"AAAAAHX99U0=")</f>
        <v>#REF!</v>
      </c>
      <c r="CA340" t="e">
        <f>AND(#REF!,"AAAAAHX99U4=")</f>
        <v>#REF!</v>
      </c>
      <c r="CB340" t="e">
        <f>IF(#REF!,"AAAAAHX99U8=",0)</f>
        <v>#REF!</v>
      </c>
      <c r="CC340" t="e">
        <f>AND(#REF!,"AAAAAHX99VA=")</f>
        <v>#REF!</v>
      </c>
      <c r="CD340" t="e">
        <f>AND(#REF!,"AAAAAHX99VE=")</f>
        <v>#REF!</v>
      </c>
      <c r="CE340" t="e">
        <f>AND(#REF!,"AAAAAHX99VI=")</f>
        <v>#REF!</v>
      </c>
      <c r="CF340" t="e">
        <f>AND(#REF!,"AAAAAHX99VM=")</f>
        <v>#REF!</v>
      </c>
      <c r="CG340" t="e">
        <f>AND(#REF!,"AAAAAHX99VQ=")</f>
        <v>#REF!</v>
      </c>
      <c r="CH340" t="e">
        <f>AND(#REF!,"AAAAAHX99VU=")</f>
        <v>#REF!</v>
      </c>
      <c r="CI340" t="e">
        <f>AND(#REF!,"AAAAAHX99VY=")</f>
        <v>#REF!</v>
      </c>
      <c r="CJ340" t="e">
        <f>AND(#REF!,"AAAAAHX99Vc=")</f>
        <v>#REF!</v>
      </c>
      <c r="CK340" t="e">
        <f>AND(#REF!,"AAAAAHX99Vg=")</f>
        <v>#REF!</v>
      </c>
      <c r="CL340" t="e">
        <f>AND(#REF!,"AAAAAHX99Vk=")</f>
        <v>#REF!</v>
      </c>
      <c r="CM340" t="e">
        <f>IF(#REF!,"AAAAAHX99Vo=",0)</f>
        <v>#REF!</v>
      </c>
      <c r="CN340" t="e">
        <f>AND(#REF!,"AAAAAHX99Vs=")</f>
        <v>#REF!</v>
      </c>
      <c r="CO340" t="e">
        <f>AND(#REF!,"AAAAAHX99Vw=")</f>
        <v>#REF!</v>
      </c>
      <c r="CP340" t="e">
        <f>AND(#REF!,"AAAAAHX99V0=")</f>
        <v>#REF!</v>
      </c>
      <c r="CQ340" t="e">
        <f>AND(#REF!,"AAAAAHX99V4=")</f>
        <v>#REF!</v>
      </c>
      <c r="CR340" t="e">
        <f>AND(#REF!,"AAAAAHX99V8=")</f>
        <v>#REF!</v>
      </c>
      <c r="CS340" t="e">
        <f>AND(#REF!,"AAAAAHX99WA=")</f>
        <v>#REF!</v>
      </c>
      <c r="CT340" t="e">
        <f>AND(#REF!,"AAAAAHX99WE=")</f>
        <v>#REF!</v>
      </c>
      <c r="CU340" t="e">
        <f>AND(#REF!,"AAAAAHX99WI=")</f>
        <v>#REF!</v>
      </c>
      <c r="CV340" t="e">
        <f>AND(#REF!,"AAAAAHX99WM=")</f>
        <v>#REF!</v>
      </c>
      <c r="CW340" t="e">
        <f>AND(#REF!,"AAAAAHX99WQ=")</f>
        <v>#REF!</v>
      </c>
      <c r="CX340" t="e">
        <f>IF(#REF!,"AAAAAHX99WU=",0)</f>
        <v>#REF!</v>
      </c>
      <c r="CY340" t="e">
        <f>AND(#REF!,"AAAAAHX99WY=")</f>
        <v>#REF!</v>
      </c>
      <c r="CZ340" t="e">
        <f>AND(#REF!,"AAAAAHX99Wc=")</f>
        <v>#REF!</v>
      </c>
      <c r="DA340" t="e">
        <f>AND(#REF!,"AAAAAHX99Wg=")</f>
        <v>#REF!</v>
      </c>
      <c r="DB340" t="e">
        <f>AND(#REF!,"AAAAAHX99Wk=")</f>
        <v>#REF!</v>
      </c>
      <c r="DC340" t="e">
        <f>AND(#REF!,"AAAAAHX99Wo=")</f>
        <v>#REF!</v>
      </c>
      <c r="DD340" t="e">
        <f>AND(#REF!,"AAAAAHX99Ws=")</f>
        <v>#REF!</v>
      </c>
      <c r="DE340" t="e">
        <f>AND(#REF!,"AAAAAHX99Ww=")</f>
        <v>#REF!</v>
      </c>
      <c r="DF340" t="e">
        <f>AND(#REF!,"AAAAAHX99W0=")</f>
        <v>#REF!</v>
      </c>
      <c r="DG340" t="e">
        <f>AND(#REF!,"AAAAAHX99W4=")</f>
        <v>#REF!</v>
      </c>
      <c r="DH340" t="e">
        <f>AND(#REF!,"AAAAAHX99W8=")</f>
        <v>#REF!</v>
      </c>
      <c r="DI340" t="e">
        <f>IF(#REF!,"AAAAAHX99XA=",0)</f>
        <v>#REF!</v>
      </c>
      <c r="DJ340" t="e">
        <f>AND(#REF!,"AAAAAHX99XE=")</f>
        <v>#REF!</v>
      </c>
      <c r="DK340" t="e">
        <f>AND(#REF!,"AAAAAHX99XI=")</f>
        <v>#REF!</v>
      </c>
      <c r="DL340" t="e">
        <f>AND(#REF!,"AAAAAHX99XM=")</f>
        <v>#REF!</v>
      </c>
      <c r="DM340" t="e">
        <f>AND(#REF!,"AAAAAHX99XQ=")</f>
        <v>#REF!</v>
      </c>
      <c r="DN340" t="e">
        <f>AND(#REF!,"AAAAAHX99XU=")</f>
        <v>#REF!</v>
      </c>
      <c r="DO340" t="e">
        <f>AND(#REF!,"AAAAAHX99XY=")</f>
        <v>#REF!</v>
      </c>
      <c r="DP340" t="e">
        <f>AND(#REF!,"AAAAAHX99Xc=")</f>
        <v>#REF!</v>
      </c>
      <c r="DQ340" t="e">
        <f>AND(#REF!,"AAAAAHX99Xg=")</f>
        <v>#REF!</v>
      </c>
      <c r="DR340" t="e">
        <f>AND(#REF!,"AAAAAHX99Xk=")</f>
        <v>#REF!</v>
      </c>
      <c r="DS340" t="e">
        <f>AND(#REF!,"AAAAAHX99Xo=")</f>
        <v>#REF!</v>
      </c>
      <c r="DT340" t="e">
        <f>IF(#REF!,"AAAAAHX99Xs=",0)</f>
        <v>#REF!</v>
      </c>
      <c r="DU340" t="e">
        <f>AND(#REF!,"AAAAAHX99Xw=")</f>
        <v>#REF!</v>
      </c>
      <c r="DV340" t="e">
        <f>AND(#REF!,"AAAAAHX99X0=")</f>
        <v>#REF!</v>
      </c>
      <c r="DW340" t="e">
        <f>AND(#REF!,"AAAAAHX99X4=")</f>
        <v>#REF!</v>
      </c>
      <c r="DX340" t="e">
        <f>AND(#REF!,"AAAAAHX99X8=")</f>
        <v>#REF!</v>
      </c>
      <c r="DY340" t="e">
        <f>AND(#REF!,"AAAAAHX99YA=")</f>
        <v>#REF!</v>
      </c>
      <c r="DZ340" t="e">
        <f>AND(#REF!,"AAAAAHX99YE=")</f>
        <v>#REF!</v>
      </c>
      <c r="EA340" t="e">
        <f>AND(#REF!,"AAAAAHX99YI=")</f>
        <v>#REF!</v>
      </c>
      <c r="EB340" t="e">
        <f>AND(#REF!,"AAAAAHX99YM=")</f>
        <v>#REF!</v>
      </c>
      <c r="EC340" t="e">
        <f>AND(#REF!,"AAAAAHX99YQ=")</f>
        <v>#REF!</v>
      </c>
      <c r="ED340" t="e">
        <f>AND(#REF!,"AAAAAHX99YU=")</f>
        <v>#REF!</v>
      </c>
      <c r="EE340" t="e">
        <f>IF(#REF!,"AAAAAHX99YY=",0)</f>
        <v>#REF!</v>
      </c>
      <c r="EF340" t="e">
        <f>AND(#REF!,"AAAAAHX99Yc=")</f>
        <v>#REF!</v>
      </c>
      <c r="EG340" t="e">
        <f>AND(#REF!,"AAAAAHX99Yg=")</f>
        <v>#REF!</v>
      </c>
      <c r="EH340" t="e">
        <f>AND(#REF!,"AAAAAHX99Yk=")</f>
        <v>#REF!</v>
      </c>
      <c r="EI340" t="e">
        <f>AND(#REF!,"AAAAAHX99Yo=")</f>
        <v>#REF!</v>
      </c>
      <c r="EJ340" t="e">
        <f>AND(#REF!,"AAAAAHX99Ys=")</f>
        <v>#REF!</v>
      </c>
      <c r="EK340" t="e">
        <f>AND(#REF!,"AAAAAHX99Yw=")</f>
        <v>#REF!</v>
      </c>
      <c r="EL340" t="e">
        <f>AND(#REF!,"AAAAAHX99Y0=")</f>
        <v>#REF!</v>
      </c>
      <c r="EM340" t="e">
        <f>AND(#REF!,"AAAAAHX99Y4=")</f>
        <v>#REF!</v>
      </c>
      <c r="EN340" t="e">
        <f>AND(#REF!,"AAAAAHX99Y8=")</f>
        <v>#REF!</v>
      </c>
      <c r="EO340" t="e">
        <f>AND(#REF!,"AAAAAHX99ZA=")</f>
        <v>#REF!</v>
      </c>
      <c r="EP340" t="e">
        <f>IF(#REF!,"AAAAAHX99ZE=",0)</f>
        <v>#REF!</v>
      </c>
      <c r="EQ340" t="e">
        <f>AND(#REF!,"AAAAAHX99ZI=")</f>
        <v>#REF!</v>
      </c>
      <c r="ER340" t="e">
        <f>AND(#REF!,"AAAAAHX99ZM=")</f>
        <v>#REF!</v>
      </c>
      <c r="ES340" t="e">
        <f>AND(#REF!,"AAAAAHX99ZQ=")</f>
        <v>#REF!</v>
      </c>
      <c r="ET340" t="e">
        <f>AND(#REF!,"AAAAAHX99ZU=")</f>
        <v>#REF!</v>
      </c>
      <c r="EU340" t="e">
        <f>AND(#REF!,"AAAAAHX99ZY=")</f>
        <v>#REF!</v>
      </c>
      <c r="EV340" t="e">
        <f>AND(#REF!,"AAAAAHX99Zc=")</f>
        <v>#REF!</v>
      </c>
      <c r="EW340" t="e">
        <f>AND(#REF!,"AAAAAHX99Zg=")</f>
        <v>#REF!</v>
      </c>
      <c r="EX340" t="e">
        <f>AND(#REF!,"AAAAAHX99Zk=")</f>
        <v>#REF!</v>
      </c>
      <c r="EY340" t="e">
        <f>AND(#REF!,"AAAAAHX99Zo=")</f>
        <v>#REF!</v>
      </c>
      <c r="EZ340" t="e">
        <f>AND(#REF!,"AAAAAHX99Zs=")</f>
        <v>#REF!</v>
      </c>
      <c r="FA340" t="e">
        <f>IF(#REF!,"AAAAAHX99Zw=",0)</f>
        <v>#REF!</v>
      </c>
      <c r="FB340" t="e">
        <f>AND(#REF!,"AAAAAHX99Z0=")</f>
        <v>#REF!</v>
      </c>
      <c r="FC340" t="e">
        <f>AND(#REF!,"AAAAAHX99Z4=")</f>
        <v>#REF!</v>
      </c>
      <c r="FD340" t="e">
        <f>AND(#REF!,"AAAAAHX99Z8=")</f>
        <v>#REF!</v>
      </c>
      <c r="FE340" t="e">
        <f>AND(#REF!,"AAAAAHX99aA=")</f>
        <v>#REF!</v>
      </c>
      <c r="FF340" t="e">
        <f>AND(#REF!,"AAAAAHX99aE=")</f>
        <v>#REF!</v>
      </c>
      <c r="FG340" t="e">
        <f>AND(#REF!,"AAAAAHX99aI=")</f>
        <v>#REF!</v>
      </c>
      <c r="FH340" t="e">
        <f>AND(#REF!,"AAAAAHX99aM=")</f>
        <v>#REF!</v>
      </c>
      <c r="FI340" t="e">
        <f>AND(#REF!,"AAAAAHX99aQ=")</f>
        <v>#REF!</v>
      </c>
      <c r="FJ340" t="e">
        <f>AND(#REF!,"AAAAAHX99aU=")</f>
        <v>#REF!</v>
      </c>
      <c r="FK340" t="e">
        <f>AND(#REF!,"AAAAAHX99aY=")</f>
        <v>#REF!</v>
      </c>
      <c r="FL340" t="e">
        <f>IF(#REF!,"AAAAAHX99ac=",0)</f>
        <v>#REF!</v>
      </c>
      <c r="FM340" t="e">
        <f>AND(#REF!,"AAAAAHX99ag=")</f>
        <v>#REF!</v>
      </c>
      <c r="FN340" t="e">
        <f>AND(#REF!,"AAAAAHX99ak=")</f>
        <v>#REF!</v>
      </c>
      <c r="FO340" t="e">
        <f>AND(#REF!,"AAAAAHX99ao=")</f>
        <v>#REF!</v>
      </c>
      <c r="FP340" t="e">
        <f>AND(#REF!,"AAAAAHX99as=")</f>
        <v>#REF!</v>
      </c>
      <c r="FQ340" t="e">
        <f>AND(#REF!,"AAAAAHX99aw=")</f>
        <v>#REF!</v>
      </c>
      <c r="FR340" t="e">
        <f>AND(#REF!,"AAAAAHX99a0=")</f>
        <v>#REF!</v>
      </c>
      <c r="FS340" t="e">
        <f>AND(#REF!,"AAAAAHX99a4=")</f>
        <v>#REF!</v>
      </c>
      <c r="FT340" t="e">
        <f>AND(#REF!,"AAAAAHX99a8=")</f>
        <v>#REF!</v>
      </c>
      <c r="FU340" t="e">
        <f>AND(#REF!,"AAAAAHX99bA=")</f>
        <v>#REF!</v>
      </c>
      <c r="FV340" t="e">
        <f>AND(#REF!,"AAAAAHX99bE=")</f>
        <v>#REF!</v>
      </c>
      <c r="FW340" t="e">
        <f>IF(#REF!,"AAAAAHX99bI=",0)</f>
        <v>#REF!</v>
      </c>
      <c r="FX340" t="e">
        <f>AND(#REF!,"AAAAAHX99bM=")</f>
        <v>#REF!</v>
      </c>
      <c r="FY340" t="e">
        <f>AND(#REF!,"AAAAAHX99bQ=")</f>
        <v>#REF!</v>
      </c>
      <c r="FZ340" t="e">
        <f>AND(#REF!,"AAAAAHX99bU=")</f>
        <v>#REF!</v>
      </c>
      <c r="GA340" t="e">
        <f>AND(#REF!,"AAAAAHX99bY=")</f>
        <v>#REF!</v>
      </c>
      <c r="GB340" t="e">
        <f>AND(#REF!,"AAAAAHX99bc=")</f>
        <v>#REF!</v>
      </c>
      <c r="GC340" t="e">
        <f>AND(#REF!,"AAAAAHX99bg=")</f>
        <v>#REF!</v>
      </c>
      <c r="GD340" t="e">
        <f>AND(#REF!,"AAAAAHX99bk=")</f>
        <v>#REF!</v>
      </c>
      <c r="GE340" t="e">
        <f>AND(#REF!,"AAAAAHX99bo=")</f>
        <v>#REF!</v>
      </c>
      <c r="GF340" t="e">
        <f>AND(#REF!,"AAAAAHX99bs=")</f>
        <v>#REF!</v>
      </c>
      <c r="GG340" t="e">
        <f>AND(#REF!,"AAAAAHX99bw=")</f>
        <v>#REF!</v>
      </c>
      <c r="GH340" t="e">
        <f>IF(#REF!,"AAAAAHX99b0=",0)</f>
        <v>#REF!</v>
      </c>
      <c r="GI340" t="e">
        <f>AND(#REF!,"AAAAAHX99b4=")</f>
        <v>#REF!</v>
      </c>
      <c r="GJ340" t="e">
        <f>AND(#REF!,"AAAAAHX99b8=")</f>
        <v>#REF!</v>
      </c>
      <c r="GK340" t="e">
        <f>AND(#REF!,"AAAAAHX99cA=")</f>
        <v>#REF!</v>
      </c>
      <c r="GL340" t="e">
        <f>AND(#REF!,"AAAAAHX99cE=")</f>
        <v>#REF!</v>
      </c>
      <c r="GM340" t="e">
        <f>AND(#REF!,"AAAAAHX99cI=")</f>
        <v>#REF!</v>
      </c>
      <c r="GN340" t="e">
        <f>AND(#REF!,"AAAAAHX99cM=")</f>
        <v>#REF!</v>
      </c>
      <c r="GO340" t="e">
        <f>AND(#REF!,"AAAAAHX99cQ=")</f>
        <v>#REF!</v>
      </c>
      <c r="GP340" t="e">
        <f>AND(#REF!,"AAAAAHX99cU=")</f>
        <v>#REF!</v>
      </c>
      <c r="GQ340" t="e">
        <f>AND(#REF!,"AAAAAHX99cY=")</f>
        <v>#REF!</v>
      </c>
      <c r="GR340" t="e">
        <f>AND(#REF!,"AAAAAHX99cc=")</f>
        <v>#REF!</v>
      </c>
      <c r="GS340" t="e">
        <f>IF(#REF!,"AAAAAHX99cg=",0)</f>
        <v>#REF!</v>
      </c>
      <c r="GT340" t="e">
        <f>AND(#REF!,"AAAAAHX99ck=")</f>
        <v>#REF!</v>
      </c>
      <c r="GU340" t="e">
        <f>AND(#REF!,"AAAAAHX99co=")</f>
        <v>#REF!</v>
      </c>
      <c r="GV340" t="e">
        <f>AND(#REF!,"AAAAAHX99cs=")</f>
        <v>#REF!</v>
      </c>
      <c r="GW340" t="e">
        <f>AND(#REF!,"AAAAAHX99cw=")</f>
        <v>#REF!</v>
      </c>
      <c r="GX340" t="e">
        <f>AND(#REF!,"AAAAAHX99c0=")</f>
        <v>#REF!</v>
      </c>
      <c r="GY340" t="e">
        <f>AND(#REF!,"AAAAAHX99c4=")</f>
        <v>#REF!</v>
      </c>
      <c r="GZ340" t="e">
        <f>AND(#REF!,"AAAAAHX99c8=")</f>
        <v>#REF!</v>
      </c>
      <c r="HA340" t="e">
        <f>AND(#REF!,"AAAAAHX99dA=")</f>
        <v>#REF!</v>
      </c>
      <c r="HB340" t="e">
        <f>AND(#REF!,"AAAAAHX99dE=")</f>
        <v>#REF!</v>
      </c>
      <c r="HC340" t="e">
        <f>AND(#REF!,"AAAAAHX99dI=")</f>
        <v>#REF!</v>
      </c>
      <c r="HD340" t="e">
        <f>IF(#REF!,"AAAAAHX99dM=",0)</f>
        <v>#REF!</v>
      </c>
      <c r="HE340" t="e">
        <f>AND(#REF!,"AAAAAHX99dQ=")</f>
        <v>#REF!</v>
      </c>
      <c r="HF340" t="e">
        <f>AND(#REF!,"AAAAAHX99dU=")</f>
        <v>#REF!</v>
      </c>
      <c r="HG340" t="e">
        <f>AND(#REF!,"AAAAAHX99dY=")</f>
        <v>#REF!</v>
      </c>
      <c r="HH340" t="e">
        <f>AND(#REF!,"AAAAAHX99dc=")</f>
        <v>#REF!</v>
      </c>
      <c r="HI340" t="e">
        <f>AND(#REF!,"AAAAAHX99dg=")</f>
        <v>#REF!</v>
      </c>
      <c r="HJ340" t="e">
        <f>AND(#REF!,"AAAAAHX99dk=")</f>
        <v>#REF!</v>
      </c>
      <c r="HK340" t="e">
        <f>AND(#REF!,"AAAAAHX99do=")</f>
        <v>#REF!</v>
      </c>
      <c r="HL340" t="e">
        <f>AND(#REF!,"AAAAAHX99ds=")</f>
        <v>#REF!</v>
      </c>
      <c r="HM340" t="e">
        <f>AND(#REF!,"AAAAAHX99dw=")</f>
        <v>#REF!</v>
      </c>
      <c r="HN340" t="e">
        <f>AND(#REF!,"AAAAAHX99d0=")</f>
        <v>#REF!</v>
      </c>
      <c r="HO340" t="e">
        <f>IF(#REF!,"AAAAAHX99d4=",0)</f>
        <v>#REF!</v>
      </c>
      <c r="HP340" t="e">
        <f>AND(#REF!,"AAAAAHX99d8=")</f>
        <v>#REF!</v>
      </c>
      <c r="HQ340" t="e">
        <f>AND(#REF!,"AAAAAHX99eA=")</f>
        <v>#REF!</v>
      </c>
      <c r="HR340" t="e">
        <f>AND(#REF!,"AAAAAHX99eE=")</f>
        <v>#REF!</v>
      </c>
      <c r="HS340" t="e">
        <f>AND(#REF!,"AAAAAHX99eI=")</f>
        <v>#REF!</v>
      </c>
      <c r="HT340" t="e">
        <f>AND(#REF!,"AAAAAHX99eM=")</f>
        <v>#REF!</v>
      </c>
      <c r="HU340" t="e">
        <f>AND(#REF!,"AAAAAHX99eQ=")</f>
        <v>#REF!</v>
      </c>
      <c r="HV340" t="e">
        <f>AND(#REF!,"AAAAAHX99eU=")</f>
        <v>#REF!</v>
      </c>
      <c r="HW340" t="e">
        <f>AND(#REF!,"AAAAAHX99eY=")</f>
        <v>#REF!</v>
      </c>
      <c r="HX340" t="e">
        <f>AND(#REF!,"AAAAAHX99ec=")</f>
        <v>#REF!</v>
      </c>
      <c r="HY340" t="e">
        <f>AND(#REF!,"AAAAAHX99eg=")</f>
        <v>#REF!</v>
      </c>
      <c r="HZ340" t="e">
        <f>IF(#REF!,"AAAAAHX99ek=",0)</f>
        <v>#REF!</v>
      </c>
      <c r="IA340" t="e">
        <f>AND(#REF!,"AAAAAHX99eo=")</f>
        <v>#REF!</v>
      </c>
      <c r="IB340" t="e">
        <f>AND(#REF!,"AAAAAHX99es=")</f>
        <v>#REF!</v>
      </c>
      <c r="IC340" t="e">
        <f>AND(#REF!,"AAAAAHX99ew=")</f>
        <v>#REF!</v>
      </c>
      <c r="ID340" t="e">
        <f>AND(#REF!,"AAAAAHX99e0=")</f>
        <v>#REF!</v>
      </c>
      <c r="IE340" t="e">
        <f>AND(#REF!,"AAAAAHX99e4=")</f>
        <v>#REF!</v>
      </c>
      <c r="IF340" t="e">
        <f>AND(#REF!,"AAAAAHX99e8=")</f>
        <v>#REF!</v>
      </c>
      <c r="IG340" t="e">
        <f>AND(#REF!,"AAAAAHX99fA=")</f>
        <v>#REF!</v>
      </c>
      <c r="IH340" t="e">
        <f>AND(#REF!,"AAAAAHX99fE=")</f>
        <v>#REF!</v>
      </c>
      <c r="II340" t="e">
        <f>AND(#REF!,"AAAAAHX99fI=")</f>
        <v>#REF!</v>
      </c>
      <c r="IJ340" t="e">
        <f>AND(#REF!,"AAAAAHX99fM=")</f>
        <v>#REF!</v>
      </c>
      <c r="IK340" t="e">
        <f>IF(#REF!,"AAAAAHX99fQ=",0)</f>
        <v>#REF!</v>
      </c>
      <c r="IL340" t="e">
        <f>AND(#REF!,"AAAAAHX99fU=")</f>
        <v>#REF!</v>
      </c>
      <c r="IM340" t="e">
        <f>AND(#REF!,"AAAAAHX99fY=")</f>
        <v>#REF!</v>
      </c>
      <c r="IN340" t="e">
        <f>AND(#REF!,"AAAAAHX99fc=")</f>
        <v>#REF!</v>
      </c>
      <c r="IO340" t="e">
        <f>AND(#REF!,"AAAAAHX99fg=")</f>
        <v>#REF!</v>
      </c>
      <c r="IP340" t="e">
        <f>AND(#REF!,"AAAAAHX99fk=")</f>
        <v>#REF!</v>
      </c>
      <c r="IQ340" t="e">
        <f>AND(#REF!,"AAAAAHX99fo=")</f>
        <v>#REF!</v>
      </c>
      <c r="IR340" t="e">
        <f>AND(#REF!,"AAAAAHX99fs=")</f>
        <v>#REF!</v>
      </c>
      <c r="IS340" t="e">
        <f>AND(#REF!,"AAAAAHX99fw=")</f>
        <v>#REF!</v>
      </c>
      <c r="IT340" t="e">
        <f>AND(#REF!,"AAAAAHX99f0=")</f>
        <v>#REF!</v>
      </c>
      <c r="IU340" t="e">
        <f>AND(#REF!,"AAAAAHX99f4=")</f>
        <v>#REF!</v>
      </c>
      <c r="IV340" t="e">
        <f>IF(#REF!,"AAAAAHX99f8=",0)</f>
        <v>#REF!</v>
      </c>
    </row>
    <row r="341" spans="1:256" x14ac:dyDescent="0.25">
      <c r="A341" t="e">
        <f>AND(#REF!,"AAAAAGz01wA=")</f>
        <v>#REF!</v>
      </c>
      <c r="B341" t="e">
        <f>AND(#REF!,"AAAAAGz01wE=")</f>
        <v>#REF!</v>
      </c>
      <c r="C341" t="e">
        <f>AND(#REF!,"AAAAAGz01wI=")</f>
        <v>#REF!</v>
      </c>
      <c r="D341" t="e">
        <f>AND(#REF!,"AAAAAGz01wM=")</f>
        <v>#REF!</v>
      </c>
      <c r="E341" t="e">
        <f>AND(#REF!,"AAAAAGz01wQ=")</f>
        <v>#REF!</v>
      </c>
      <c r="F341" t="e">
        <f>AND(#REF!,"AAAAAGz01wU=")</f>
        <v>#REF!</v>
      </c>
      <c r="G341" t="e">
        <f>AND(#REF!,"AAAAAGz01wY=")</f>
        <v>#REF!</v>
      </c>
      <c r="H341" t="e">
        <f>AND(#REF!,"AAAAAGz01wc=")</f>
        <v>#REF!</v>
      </c>
      <c r="I341" t="e">
        <f>AND(#REF!,"AAAAAGz01wg=")</f>
        <v>#REF!</v>
      </c>
      <c r="J341" t="e">
        <f>AND(#REF!,"AAAAAGz01wk=")</f>
        <v>#REF!</v>
      </c>
      <c r="K341" t="e">
        <f>IF(#REF!,"AAAAAGz01wo=",0)</f>
        <v>#REF!</v>
      </c>
      <c r="L341" t="e">
        <f>AND(#REF!,"AAAAAGz01ws=")</f>
        <v>#REF!</v>
      </c>
      <c r="M341" t="e">
        <f>AND(#REF!,"AAAAAGz01ww=")</f>
        <v>#REF!</v>
      </c>
      <c r="N341" t="e">
        <f>AND(#REF!,"AAAAAGz01w0=")</f>
        <v>#REF!</v>
      </c>
      <c r="O341" t="e">
        <f>AND(#REF!,"AAAAAGz01w4=")</f>
        <v>#REF!</v>
      </c>
      <c r="P341" t="e">
        <f>AND(#REF!,"AAAAAGz01w8=")</f>
        <v>#REF!</v>
      </c>
      <c r="Q341" t="e">
        <f>AND(#REF!,"AAAAAGz01xA=")</f>
        <v>#REF!</v>
      </c>
      <c r="R341" t="e">
        <f>AND(#REF!,"AAAAAGz01xE=")</f>
        <v>#REF!</v>
      </c>
      <c r="S341" t="e">
        <f>AND(#REF!,"AAAAAGz01xI=")</f>
        <v>#REF!</v>
      </c>
      <c r="T341" t="e">
        <f>AND(#REF!,"AAAAAGz01xM=")</f>
        <v>#REF!</v>
      </c>
      <c r="U341" t="e">
        <f>AND(#REF!,"AAAAAGz01xQ=")</f>
        <v>#REF!</v>
      </c>
      <c r="V341" t="e">
        <f>IF(#REF!,"AAAAAGz01xU=",0)</f>
        <v>#REF!</v>
      </c>
      <c r="W341" t="e">
        <f>AND(#REF!,"AAAAAGz01xY=")</f>
        <v>#REF!</v>
      </c>
      <c r="X341" t="e">
        <f>AND(#REF!,"AAAAAGz01xc=")</f>
        <v>#REF!</v>
      </c>
      <c r="Y341" t="e">
        <f>AND(#REF!,"AAAAAGz01xg=")</f>
        <v>#REF!</v>
      </c>
      <c r="Z341" t="e">
        <f>AND(#REF!,"AAAAAGz01xk=")</f>
        <v>#REF!</v>
      </c>
      <c r="AA341" t="e">
        <f>AND(#REF!,"AAAAAGz01xo=")</f>
        <v>#REF!</v>
      </c>
      <c r="AB341" t="e">
        <f>AND(#REF!,"AAAAAGz01xs=")</f>
        <v>#REF!</v>
      </c>
      <c r="AC341" t="e">
        <f>AND(#REF!,"AAAAAGz01xw=")</f>
        <v>#REF!</v>
      </c>
      <c r="AD341" t="e">
        <f>AND(#REF!,"AAAAAGz01x0=")</f>
        <v>#REF!</v>
      </c>
      <c r="AE341" t="e">
        <f>AND(#REF!,"AAAAAGz01x4=")</f>
        <v>#REF!</v>
      </c>
      <c r="AF341" t="e">
        <f>AND(#REF!,"AAAAAGz01x8=")</f>
        <v>#REF!</v>
      </c>
      <c r="AG341" t="e">
        <f>IF(#REF!,"AAAAAGz01yA=",0)</f>
        <v>#REF!</v>
      </c>
      <c r="AH341" t="e">
        <f>AND(#REF!,"AAAAAGz01yE=")</f>
        <v>#REF!</v>
      </c>
      <c r="AI341" t="e">
        <f>AND(#REF!,"AAAAAGz01yI=")</f>
        <v>#REF!</v>
      </c>
      <c r="AJ341" t="e">
        <f>AND(#REF!,"AAAAAGz01yM=")</f>
        <v>#REF!</v>
      </c>
      <c r="AK341" t="e">
        <f>AND(#REF!,"AAAAAGz01yQ=")</f>
        <v>#REF!</v>
      </c>
      <c r="AL341" t="e">
        <f>AND(#REF!,"AAAAAGz01yU=")</f>
        <v>#REF!</v>
      </c>
      <c r="AM341" t="e">
        <f>AND(#REF!,"AAAAAGz01yY=")</f>
        <v>#REF!</v>
      </c>
      <c r="AN341" t="e">
        <f>AND(#REF!,"AAAAAGz01yc=")</f>
        <v>#REF!</v>
      </c>
      <c r="AO341" t="e">
        <f>AND(#REF!,"AAAAAGz01yg=")</f>
        <v>#REF!</v>
      </c>
      <c r="AP341" t="e">
        <f>AND(#REF!,"AAAAAGz01yk=")</f>
        <v>#REF!</v>
      </c>
      <c r="AQ341" t="e">
        <f>AND(#REF!,"AAAAAGz01yo=")</f>
        <v>#REF!</v>
      </c>
      <c r="AR341" t="e">
        <f>IF(#REF!,"AAAAAGz01ys=",0)</f>
        <v>#REF!</v>
      </c>
      <c r="AS341" t="e">
        <f>AND(#REF!,"AAAAAGz01yw=")</f>
        <v>#REF!</v>
      </c>
      <c r="AT341" t="e">
        <f>AND(#REF!,"AAAAAGz01y0=")</f>
        <v>#REF!</v>
      </c>
      <c r="AU341" t="e">
        <f>AND(#REF!,"AAAAAGz01y4=")</f>
        <v>#REF!</v>
      </c>
      <c r="AV341" t="e">
        <f>AND(#REF!,"AAAAAGz01y8=")</f>
        <v>#REF!</v>
      </c>
      <c r="AW341" t="e">
        <f>AND(#REF!,"AAAAAGz01zA=")</f>
        <v>#REF!</v>
      </c>
      <c r="AX341" t="e">
        <f>AND(#REF!,"AAAAAGz01zE=")</f>
        <v>#REF!</v>
      </c>
      <c r="AY341" t="e">
        <f>AND(#REF!,"AAAAAGz01zI=")</f>
        <v>#REF!</v>
      </c>
      <c r="AZ341" t="e">
        <f>AND(#REF!,"AAAAAGz01zM=")</f>
        <v>#REF!</v>
      </c>
      <c r="BA341" t="e">
        <f>AND(#REF!,"AAAAAGz01zQ=")</f>
        <v>#REF!</v>
      </c>
      <c r="BB341" t="e">
        <f>AND(#REF!,"AAAAAGz01zU=")</f>
        <v>#REF!</v>
      </c>
      <c r="BC341" t="e">
        <f>IF(#REF!,"AAAAAGz01zY=",0)</f>
        <v>#REF!</v>
      </c>
      <c r="BD341" t="e">
        <f>AND(#REF!,"AAAAAGz01zc=")</f>
        <v>#REF!</v>
      </c>
      <c r="BE341" t="e">
        <f>AND(#REF!,"AAAAAGz01zg=")</f>
        <v>#REF!</v>
      </c>
      <c r="BF341" t="e">
        <f>AND(#REF!,"AAAAAGz01zk=")</f>
        <v>#REF!</v>
      </c>
      <c r="BG341" t="e">
        <f>AND(#REF!,"AAAAAGz01zo=")</f>
        <v>#REF!</v>
      </c>
      <c r="BH341" t="e">
        <f>AND(#REF!,"AAAAAGz01zs=")</f>
        <v>#REF!</v>
      </c>
      <c r="BI341" t="e">
        <f>AND(#REF!,"AAAAAGz01zw=")</f>
        <v>#REF!</v>
      </c>
      <c r="BJ341" t="e">
        <f>AND(#REF!,"AAAAAGz01z0=")</f>
        <v>#REF!</v>
      </c>
      <c r="BK341" t="e">
        <f>AND(#REF!,"AAAAAGz01z4=")</f>
        <v>#REF!</v>
      </c>
      <c r="BL341" t="e">
        <f>AND(#REF!,"AAAAAGz01z8=")</f>
        <v>#REF!</v>
      </c>
      <c r="BM341" t="e">
        <f>AND(#REF!,"AAAAAGz010A=")</f>
        <v>#REF!</v>
      </c>
      <c r="BN341" t="e">
        <f>IF(#REF!,"AAAAAGz010E=",0)</f>
        <v>#REF!</v>
      </c>
      <c r="BO341" t="e">
        <f>AND(#REF!,"AAAAAGz010I=")</f>
        <v>#REF!</v>
      </c>
      <c r="BP341" t="e">
        <f>AND(#REF!,"AAAAAGz010M=")</f>
        <v>#REF!</v>
      </c>
      <c r="BQ341" t="e">
        <f>AND(#REF!,"AAAAAGz010Q=")</f>
        <v>#REF!</v>
      </c>
      <c r="BR341" t="e">
        <f>AND(#REF!,"AAAAAGz010U=")</f>
        <v>#REF!</v>
      </c>
      <c r="BS341" t="e">
        <f>AND(#REF!,"AAAAAGz010Y=")</f>
        <v>#REF!</v>
      </c>
      <c r="BT341" t="e">
        <f>AND(#REF!,"AAAAAGz010c=")</f>
        <v>#REF!</v>
      </c>
      <c r="BU341" t="e">
        <f>AND(#REF!,"AAAAAGz010g=")</f>
        <v>#REF!</v>
      </c>
      <c r="BV341" t="e">
        <f>AND(#REF!,"AAAAAGz010k=")</f>
        <v>#REF!</v>
      </c>
      <c r="BW341" t="e">
        <f>AND(#REF!,"AAAAAGz010o=")</f>
        <v>#REF!</v>
      </c>
      <c r="BX341" t="e">
        <f>AND(#REF!,"AAAAAGz010s=")</f>
        <v>#REF!</v>
      </c>
      <c r="BY341" t="e">
        <f>IF(#REF!,"AAAAAGz010w=",0)</f>
        <v>#REF!</v>
      </c>
      <c r="BZ341" t="e">
        <f>AND(#REF!,"AAAAAGz0100=")</f>
        <v>#REF!</v>
      </c>
      <c r="CA341" t="e">
        <f>AND(#REF!,"AAAAAGz0104=")</f>
        <v>#REF!</v>
      </c>
      <c r="CB341" t="e">
        <f>AND(#REF!,"AAAAAGz0108=")</f>
        <v>#REF!</v>
      </c>
      <c r="CC341" t="e">
        <f>AND(#REF!,"AAAAAGz011A=")</f>
        <v>#REF!</v>
      </c>
      <c r="CD341" t="e">
        <f>AND(#REF!,"AAAAAGz011E=")</f>
        <v>#REF!</v>
      </c>
      <c r="CE341" t="e">
        <f>AND(#REF!,"AAAAAGz011I=")</f>
        <v>#REF!</v>
      </c>
      <c r="CF341" t="e">
        <f>AND(#REF!,"AAAAAGz011M=")</f>
        <v>#REF!</v>
      </c>
      <c r="CG341" t="e">
        <f>AND(#REF!,"AAAAAGz011Q=")</f>
        <v>#REF!</v>
      </c>
      <c r="CH341" t="e">
        <f>AND(#REF!,"AAAAAGz011U=")</f>
        <v>#REF!</v>
      </c>
      <c r="CI341" t="e">
        <f>AND(#REF!,"AAAAAGz011Y=")</f>
        <v>#REF!</v>
      </c>
      <c r="CJ341" t="e">
        <f>IF(#REF!,"AAAAAGz011c=",0)</f>
        <v>#REF!</v>
      </c>
      <c r="CK341" t="e">
        <f>AND(#REF!,"AAAAAGz011g=")</f>
        <v>#REF!</v>
      </c>
      <c r="CL341" t="e">
        <f>AND(#REF!,"AAAAAGz011k=")</f>
        <v>#REF!</v>
      </c>
      <c r="CM341" t="e">
        <f>AND(#REF!,"AAAAAGz011o=")</f>
        <v>#REF!</v>
      </c>
      <c r="CN341" t="e">
        <f>AND(#REF!,"AAAAAGz011s=")</f>
        <v>#REF!</v>
      </c>
      <c r="CO341" t="e">
        <f>AND(#REF!,"AAAAAGz011w=")</f>
        <v>#REF!</v>
      </c>
      <c r="CP341" t="e">
        <f>AND(#REF!,"AAAAAGz0110=")</f>
        <v>#REF!</v>
      </c>
      <c r="CQ341" t="e">
        <f>AND(#REF!,"AAAAAGz0114=")</f>
        <v>#REF!</v>
      </c>
      <c r="CR341" t="e">
        <f>AND(#REF!,"AAAAAGz0118=")</f>
        <v>#REF!</v>
      </c>
      <c r="CS341" t="e">
        <f>AND(#REF!,"AAAAAGz012A=")</f>
        <v>#REF!</v>
      </c>
      <c r="CT341" t="e">
        <f>AND(#REF!,"AAAAAGz012E=")</f>
        <v>#REF!</v>
      </c>
      <c r="CU341" t="e">
        <f>IF(#REF!,"AAAAAGz012I=",0)</f>
        <v>#REF!</v>
      </c>
      <c r="CV341" t="e">
        <f>AND(#REF!,"AAAAAGz012M=")</f>
        <v>#REF!</v>
      </c>
      <c r="CW341" t="e">
        <f>AND(#REF!,"AAAAAGz012Q=")</f>
        <v>#REF!</v>
      </c>
      <c r="CX341" t="e">
        <f>AND(#REF!,"AAAAAGz012U=")</f>
        <v>#REF!</v>
      </c>
      <c r="CY341" t="e">
        <f>AND(#REF!,"AAAAAGz012Y=")</f>
        <v>#REF!</v>
      </c>
      <c r="CZ341" t="e">
        <f>AND(#REF!,"AAAAAGz012c=")</f>
        <v>#REF!</v>
      </c>
      <c r="DA341" t="e">
        <f>AND(#REF!,"AAAAAGz012g=")</f>
        <v>#REF!</v>
      </c>
      <c r="DB341" t="e">
        <f>AND(#REF!,"AAAAAGz012k=")</f>
        <v>#REF!</v>
      </c>
      <c r="DC341" t="e">
        <f>AND(#REF!,"AAAAAGz012o=")</f>
        <v>#REF!</v>
      </c>
      <c r="DD341" t="e">
        <f>AND(#REF!,"AAAAAGz012s=")</f>
        <v>#REF!</v>
      </c>
      <c r="DE341" t="e">
        <f>AND(#REF!,"AAAAAGz012w=")</f>
        <v>#REF!</v>
      </c>
      <c r="DF341" t="e">
        <f>IF(#REF!,"AAAAAGz0120=",0)</f>
        <v>#REF!</v>
      </c>
      <c r="DG341" t="e">
        <f>AND(#REF!,"AAAAAGz0124=")</f>
        <v>#REF!</v>
      </c>
      <c r="DH341" t="e">
        <f>AND(#REF!,"AAAAAGz0128=")</f>
        <v>#REF!</v>
      </c>
      <c r="DI341" t="e">
        <f>AND(#REF!,"AAAAAGz013A=")</f>
        <v>#REF!</v>
      </c>
      <c r="DJ341" t="e">
        <f>AND(#REF!,"AAAAAGz013E=")</f>
        <v>#REF!</v>
      </c>
      <c r="DK341" t="e">
        <f>AND(#REF!,"AAAAAGz013I=")</f>
        <v>#REF!</v>
      </c>
      <c r="DL341" t="e">
        <f>AND(#REF!,"AAAAAGz013M=")</f>
        <v>#REF!</v>
      </c>
      <c r="DM341" t="e">
        <f>AND(#REF!,"AAAAAGz013Q=")</f>
        <v>#REF!</v>
      </c>
      <c r="DN341" t="e">
        <f>AND(#REF!,"AAAAAGz013U=")</f>
        <v>#REF!</v>
      </c>
      <c r="DO341" t="e">
        <f>AND(#REF!,"AAAAAGz013Y=")</f>
        <v>#REF!</v>
      </c>
      <c r="DP341" t="e">
        <f>AND(#REF!,"AAAAAGz013c=")</f>
        <v>#REF!</v>
      </c>
      <c r="DQ341" t="e">
        <f>IF(#REF!,"AAAAAGz013g=",0)</f>
        <v>#REF!</v>
      </c>
      <c r="DR341" t="e">
        <f>AND(#REF!,"AAAAAGz013k=")</f>
        <v>#REF!</v>
      </c>
      <c r="DS341" t="e">
        <f>AND(#REF!,"AAAAAGz013o=")</f>
        <v>#REF!</v>
      </c>
      <c r="DT341" t="e">
        <f>AND(#REF!,"AAAAAGz013s=")</f>
        <v>#REF!</v>
      </c>
      <c r="DU341" t="e">
        <f>AND(#REF!,"AAAAAGz013w=")</f>
        <v>#REF!</v>
      </c>
      <c r="DV341" t="e">
        <f>AND(#REF!,"AAAAAGz0130=")</f>
        <v>#REF!</v>
      </c>
      <c r="DW341" t="e">
        <f>AND(#REF!,"AAAAAGz0134=")</f>
        <v>#REF!</v>
      </c>
      <c r="DX341" t="e">
        <f>AND(#REF!,"AAAAAGz0138=")</f>
        <v>#REF!</v>
      </c>
      <c r="DY341" t="e">
        <f>AND(#REF!,"AAAAAGz014A=")</f>
        <v>#REF!</v>
      </c>
      <c r="DZ341" t="e">
        <f>AND(#REF!,"AAAAAGz014E=")</f>
        <v>#REF!</v>
      </c>
      <c r="EA341" t="e">
        <f>AND(#REF!,"AAAAAGz014I=")</f>
        <v>#REF!</v>
      </c>
      <c r="EB341" t="e">
        <f>IF(#REF!,"AAAAAGz014M=",0)</f>
        <v>#REF!</v>
      </c>
      <c r="EC341" t="e">
        <f>AND(#REF!,"AAAAAGz014Q=")</f>
        <v>#REF!</v>
      </c>
      <c r="ED341" t="e">
        <f>AND(#REF!,"AAAAAGz014U=")</f>
        <v>#REF!</v>
      </c>
      <c r="EE341" t="e">
        <f>AND(#REF!,"AAAAAGz014Y=")</f>
        <v>#REF!</v>
      </c>
      <c r="EF341" t="e">
        <f>AND(#REF!,"AAAAAGz014c=")</f>
        <v>#REF!</v>
      </c>
      <c r="EG341" t="e">
        <f>AND(#REF!,"AAAAAGz014g=")</f>
        <v>#REF!</v>
      </c>
      <c r="EH341" t="e">
        <f>AND(#REF!,"AAAAAGz014k=")</f>
        <v>#REF!</v>
      </c>
      <c r="EI341" t="e">
        <f>AND(#REF!,"AAAAAGz014o=")</f>
        <v>#REF!</v>
      </c>
      <c r="EJ341" t="e">
        <f>AND(#REF!,"AAAAAGz014s=")</f>
        <v>#REF!</v>
      </c>
      <c r="EK341" t="e">
        <f>AND(#REF!,"AAAAAGz014w=")</f>
        <v>#REF!</v>
      </c>
      <c r="EL341" t="e">
        <f>AND(#REF!,"AAAAAGz0140=")</f>
        <v>#REF!</v>
      </c>
      <c r="EM341" t="e">
        <f>IF(#REF!,"AAAAAGz0144=",0)</f>
        <v>#REF!</v>
      </c>
      <c r="EN341" t="e">
        <f>AND(#REF!,"AAAAAGz0148=")</f>
        <v>#REF!</v>
      </c>
      <c r="EO341" t="e">
        <f>AND(#REF!,"AAAAAGz015A=")</f>
        <v>#REF!</v>
      </c>
      <c r="EP341" t="e">
        <f>AND(#REF!,"AAAAAGz015E=")</f>
        <v>#REF!</v>
      </c>
      <c r="EQ341" t="e">
        <f>AND(#REF!,"AAAAAGz015I=")</f>
        <v>#REF!</v>
      </c>
      <c r="ER341" t="e">
        <f>AND(#REF!,"AAAAAGz015M=")</f>
        <v>#REF!</v>
      </c>
      <c r="ES341" t="e">
        <f>AND(#REF!,"AAAAAGz015Q=")</f>
        <v>#REF!</v>
      </c>
      <c r="ET341" t="e">
        <f>AND(#REF!,"AAAAAGz015U=")</f>
        <v>#REF!</v>
      </c>
      <c r="EU341" t="e">
        <f>AND(#REF!,"AAAAAGz015Y=")</f>
        <v>#REF!</v>
      </c>
      <c r="EV341" t="e">
        <f>AND(#REF!,"AAAAAGz015c=")</f>
        <v>#REF!</v>
      </c>
      <c r="EW341" t="e">
        <f>AND(#REF!,"AAAAAGz015g=")</f>
        <v>#REF!</v>
      </c>
      <c r="EX341" t="e">
        <f>IF(#REF!,"AAAAAGz015k=",0)</f>
        <v>#REF!</v>
      </c>
      <c r="EY341" t="e">
        <f>AND(#REF!,"AAAAAGz015o=")</f>
        <v>#REF!</v>
      </c>
      <c r="EZ341" t="e">
        <f>AND(#REF!,"AAAAAGz015s=")</f>
        <v>#REF!</v>
      </c>
      <c r="FA341" t="e">
        <f>AND(#REF!,"AAAAAGz015w=")</f>
        <v>#REF!</v>
      </c>
      <c r="FB341" t="e">
        <f>AND(#REF!,"AAAAAGz0150=")</f>
        <v>#REF!</v>
      </c>
      <c r="FC341" t="e">
        <f>AND(#REF!,"AAAAAGz0154=")</f>
        <v>#REF!</v>
      </c>
      <c r="FD341" t="e">
        <f>AND(#REF!,"AAAAAGz0158=")</f>
        <v>#REF!</v>
      </c>
      <c r="FE341" t="e">
        <f>AND(#REF!,"AAAAAGz016A=")</f>
        <v>#REF!</v>
      </c>
      <c r="FF341" t="e">
        <f>AND(#REF!,"AAAAAGz016E=")</f>
        <v>#REF!</v>
      </c>
      <c r="FG341" t="e">
        <f>AND(#REF!,"AAAAAGz016I=")</f>
        <v>#REF!</v>
      </c>
      <c r="FH341" t="e">
        <f>AND(#REF!,"AAAAAGz016M=")</f>
        <v>#REF!</v>
      </c>
      <c r="FI341" t="e">
        <f>IF(#REF!,"AAAAAGz016Q=",0)</f>
        <v>#REF!</v>
      </c>
      <c r="FJ341" t="e">
        <f>AND(#REF!,"AAAAAGz016U=")</f>
        <v>#REF!</v>
      </c>
      <c r="FK341" t="e">
        <f>AND(#REF!,"AAAAAGz016Y=")</f>
        <v>#REF!</v>
      </c>
      <c r="FL341" t="e">
        <f>AND(#REF!,"AAAAAGz016c=")</f>
        <v>#REF!</v>
      </c>
      <c r="FM341" t="e">
        <f>AND(#REF!,"AAAAAGz016g=")</f>
        <v>#REF!</v>
      </c>
      <c r="FN341" t="e">
        <f>AND(#REF!,"AAAAAGz016k=")</f>
        <v>#REF!</v>
      </c>
      <c r="FO341" t="e">
        <f>AND(#REF!,"AAAAAGz016o=")</f>
        <v>#REF!</v>
      </c>
      <c r="FP341" t="e">
        <f>AND(#REF!,"AAAAAGz016s=")</f>
        <v>#REF!</v>
      </c>
      <c r="FQ341" t="e">
        <f>AND(#REF!,"AAAAAGz016w=")</f>
        <v>#REF!</v>
      </c>
      <c r="FR341" t="e">
        <f>AND(#REF!,"AAAAAGz0160=")</f>
        <v>#REF!</v>
      </c>
      <c r="FS341" t="e">
        <f>AND(#REF!,"AAAAAGz0164=")</f>
        <v>#REF!</v>
      </c>
      <c r="FT341" t="e">
        <f>IF(#REF!,"AAAAAGz0168=",0)</f>
        <v>#REF!</v>
      </c>
      <c r="FU341" t="e">
        <f>AND(#REF!,"AAAAAGz017A=")</f>
        <v>#REF!</v>
      </c>
      <c r="FV341" t="e">
        <f>AND(#REF!,"AAAAAGz017E=")</f>
        <v>#REF!</v>
      </c>
      <c r="FW341" t="e">
        <f>AND(#REF!,"AAAAAGz017I=")</f>
        <v>#REF!</v>
      </c>
      <c r="FX341" t="e">
        <f>AND(#REF!,"AAAAAGz017M=")</f>
        <v>#REF!</v>
      </c>
      <c r="FY341" t="e">
        <f>AND(#REF!,"AAAAAGz017Q=")</f>
        <v>#REF!</v>
      </c>
      <c r="FZ341" t="e">
        <f>AND(#REF!,"AAAAAGz017U=")</f>
        <v>#REF!</v>
      </c>
      <c r="GA341" t="e">
        <f>AND(#REF!,"AAAAAGz017Y=")</f>
        <v>#REF!</v>
      </c>
      <c r="GB341" t="e">
        <f>AND(#REF!,"AAAAAGz017c=")</f>
        <v>#REF!</v>
      </c>
      <c r="GC341" t="e">
        <f>AND(#REF!,"AAAAAGz017g=")</f>
        <v>#REF!</v>
      </c>
      <c r="GD341" t="e">
        <f>AND(#REF!,"AAAAAGz017k=")</f>
        <v>#REF!</v>
      </c>
      <c r="GE341" t="e">
        <f>IF(#REF!,"AAAAAGz017o=",0)</f>
        <v>#REF!</v>
      </c>
      <c r="GF341" t="e">
        <f>AND(#REF!,"AAAAAGz017s=")</f>
        <v>#REF!</v>
      </c>
      <c r="GG341" t="e">
        <f>AND(#REF!,"AAAAAGz017w=")</f>
        <v>#REF!</v>
      </c>
      <c r="GH341" t="e">
        <f>AND(#REF!,"AAAAAGz0170=")</f>
        <v>#REF!</v>
      </c>
      <c r="GI341" t="e">
        <f>AND(#REF!,"AAAAAGz0174=")</f>
        <v>#REF!</v>
      </c>
      <c r="GJ341" t="e">
        <f>AND(#REF!,"AAAAAGz0178=")</f>
        <v>#REF!</v>
      </c>
      <c r="GK341" t="e">
        <f>AND(#REF!,"AAAAAGz018A=")</f>
        <v>#REF!</v>
      </c>
      <c r="GL341" t="e">
        <f>AND(#REF!,"AAAAAGz018E=")</f>
        <v>#REF!</v>
      </c>
      <c r="GM341" t="e">
        <f>AND(#REF!,"AAAAAGz018I=")</f>
        <v>#REF!</v>
      </c>
      <c r="GN341" t="e">
        <f>AND(#REF!,"AAAAAGz018M=")</f>
        <v>#REF!</v>
      </c>
      <c r="GO341" t="e">
        <f>AND(#REF!,"AAAAAGz018Q=")</f>
        <v>#REF!</v>
      </c>
      <c r="GP341" t="e">
        <f>IF(#REF!,"AAAAAGz018U=",0)</f>
        <v>#REF!</v>
      </c>
      <c r="GQ341" t="e">
        <f>AND(#REF!,"AAAAAGz018Y=")</f>
        <v>#REF!</v>
      </c>
      <c r="GR341" t="e">
        <f>AND(#REF!,"AAAAAGz018c=")</f>
        <v>#REF!</v>
      </c>
      <c r="GS341" t="e">
        <f>AND(#REF!,"AAAAAGz018g=")</f>
        <v>#REF!</v>
      </c>
      <c r="GT341" t="e">
        <f>AND(#REF!,"AAAAAGz018k=")</f>
        <v>#REF!</v>
      </c>
      <c r="GU341" t="e">
        <f>AND(#REF!,"AAAAAGz018o=")</f>
        <v>#REF!</v>
      </c>
      <c r="GV341" t="e">
        <f>AND(#REF!,"AAAAAGz018s=")</f>
        <v>#REF!</v>
      </c>
      <c r="GW341" t="e">
        <f>AND(#REF!,"AAAAAGz018w=")</f>
        <v>#REF!</v>
      </c>
      <c r="GX341" t="e">
        <f>AND(#REF!,"AAAAAGz0180=")</f>
        <v>#REF!</v>
      </c>
      <c r="GY341" t="e">
        <f>AND(#REF!,"AAAAAGz0184=")</f>
        <v>#REF!</v>
      </c>
      <c r="GZ341" t="e">
        <f>AND(#REF!,"AAAAAGz0188=")</f>
        <v>#REF!</v>
      </c>
      <c r="HA341" t="e">
        <f>IF(#REF!,"AAAAAGz019A=",0)</f>
        <v>#REF!</v>
      </c>
      <c r="HB341" t="e">
        <f>AND(#REF!,"AAAAAGz019E=")</f>
        <v>#REF!</v>
      </c>
      <c r="HC341" t="e">
        <f>AND(#REF!,"AAAAAGz019I=")</f>
        <v>#REF!</v>
      </c>
      <c r="HD341" t="e">
        <f>AND(#REF!,"AAAAAGz019M=")</f>
        <v>#REF!</v>
      </c>
      <c r="HE341" t="e">
        <f>AND(#REF!,"AAAAAGz019Q=")</f>
        <v>#REF!</v>
      </c>
      <c r="HF341" t="e">
        <f>AND(#REF!,"AAAAAGz019U=")</f>
        <v>#REF!</v>
      </c>
      <c r="HG341" t="e">
        <f>AND(#REF!,"AAAAAGz019Y=")</f>
        <v>#REF!</v>
      </c>
      <c r="HH341" t="e">
        <f>AND(#REF!,"AAAAAGz019c=")</f>
        <v>#REF!</v>
      </c>
      <c r="HI341" t="e">
        <f>AND(#REF!,"AAAAAGz019g=")</f>
        <v>#REF!</v>
      </c>
      <c r="HJ341" t="e">
        <f>AND(#REF!,"AAAAAGz019k=")</f>
        <v>#REF!</v>
      </c>
      <c r="HK341" t="e">
        <f>AND(#REF!,"AAAAAGz019o=")</f>
        <v>#REF!</v>
      </c>
      <c r="HL341" t="e">
        <f>IF(#REF!,"AAAAAGz019s=",0)</f>
        <v>#REF!</v>
      </c>
      <c r="HM341" t="e">
        <f>AND(#REF!,"AAAAAGz019w=")</f>
        <v>#REF!</v>
      </c>
      <c r="HN341" t="e">
        <f>AND(#REF!,"AAAAAGz0190=")</f>
        <v>#REF!</v>
      </c>
      <c r="HO341" t="e">
        <f>AND(#REF!,"AAAAAGz0194=")</f>
        <v>#REF!</v>
      </c>
      <c r="HP341" t="e">
        <f>AND(#REF!,"AAAAAGz0198=")</f>
        <v>#REF!</v>
      </c>
      <c r="HQ341" t="e">
        <f>AND(#REF!,"AAAAAGz01+A=")</f>
        <v>#REF!</v>
      </c>
      <c r="HR341" t="e">
        <f>AND(#REF!,"AAAAAGz01+E=")</f>
        <v>#REF!</v>
      </c>
      <c r="HS341" t="e">
        <f>AND(#REF!,"AAAAAGz01+I=")</f>
        <v>#REF!</v>
      </c>
      <c r="HT341" t="e">
        <f>AND(#REF!,"AAAAAGz01+M=")</f>
        <v>#REF!</v>
      </c>
      <c r="HU341" t="e">
        <f>AND(#REF!,"AAAAAGz01+Q=")</f>
        <v>#REF!</v>
      </c>
      <c r="HV341" t="e">
        <f>AND(#REF!,"AAAAAGz01+U=")</f>
        <v>#REF!</v>
      </c>
      <c r="HW341" t="e">
        <f>IF(#REF!,"AAAAAGz01+Y=",0)</f>
        <v>#REF!</v>
      </c>
      <c r="HX341" t="e">
        <f>AND(#REF!,"AAAAAGz01+c=")</f>
        <v>#REF!</v>
      </c>
      <c r="HY341" t="e">
        <f>AND(#REF!,"AAAAAGz01+g=")</f>
        <v>#REF!</v>
      </c>
      <c r="HZ341" t="e">
        <f>AND(#REF!,"AAAAAGz01+k=")</f>
        <v>#REF!</v>
      </c>
      <c r="IA341" t="e">
        <f>AND(#REF!,"AAAAAGz01+o=")</f>
        <v>#REF!</v>
      </c>
      <c r="IB341" t="e">
        <f>AND(#REF!,"AAAAAGz01+s=")</f>
        <v>#REF!</v>
      </c>
      <c r="IC341" t="e">
        <f>AND(#REF!,"AAAAAGz01+w=")</f>
        <v>#REF!</v>
      </c>
      <c r="ID341" t="e">
        <f>AND(#REF!,"AAAAAGz01+0=")</f>
        <v>#REF!</v>
      </c>
      <c r="IE341" t="e">
        <f>AND(#REF!,"AAAAAGz01+4=")</f>
        <v>#REF!</v>
      </c>
      <c r="IF341" t="e">
        <f>AND(#REF!,"AAAAAGz01+8=")</f>
        <v>#REF!</v>
      </c>
      <c r="IG341" t="e">
        <f>AND(#REF!,"AAAAAGz01/A=")</f>
        <v>#REF!</v>
      </c>
      <c r="IH341" t="e">
        <f>IF(#REF!,"AAAAAGz01/E=",0)</f>
        <v>#REF!</v>
      </c>
      <c r="II341" t="e">
        <f>AND(#REF!,"AAAAAGz01/I=")</f>
        <v>#REF!</v>
      </c>
      <c r="IJ341" t="e">
        <f>AND(#REF!,"AAAAAGz01/M=")</f>
        <v>#REF!</v>
      </c>
      <c r="IK341" t="e">
        <f>AND(#REF!,"AAAAAGz01/Q=")</f>
        <v>#REF!</v>
      </c>
      <c r="IL341" t="e">
        <f>AND(#REF!,"AAAAAGz01/U=")</f>
        <v>#REF!</v>
      </c>
      <c r="IM341" t="e">
        <f>AND(#REF!,"AAAAAGz01/Y=")</f>
        <v>#REF!</v>
      </c>
      <c r="IN341" t="e">
        <f>AND(#REF!,"AAAAAGz01/c=")</f>
        <v>#REF!</v>
      </c>
      <c r="IO341" t="e">
        <f>AND(#REF!,"AAAAAGz01/g=")</f>
        <v>#REF!</v>
      </c>
      <c r="IP341" t="e">
        <f>AND(#REF!,"AAAAAGz01/k=")</f>
        <v>#REF!</v>
      </c>
      <c r="IQ341" t="e">
        <f>AND(#REF!,"AAAAAGz01/o=")</f>
        <v>#REF!</v>
      </c>
      <c r="IR341" t="e">
        <f>AND(#REF!,"AAAAAGz01/s=")</f>
        <v>#REF!</v>
      </c>
      <c r="IS341" t="e">
        <f>IF(#REF!,"AAAAAGz01/w=",0)</f>
        <v>#REF!</v>
      </c>
      <c r="IT341" t="e">
        <f>AND(#REF!,"AAAAAGz01/0=")</f>
        <v>#REF!</v>
      </c>
      <c r="IU341" t="e">
        <f>AND(#REF!,"AAAAAGz01/4=")</f>
        <v>#REF!</v>
      </c>
      <c r="IV341" t="e">
        <f>AND(#REF!,"AAAAAGz01/8=")</f>
        <v>#REF!</v>
      </c>
    </row>
    <row r="342" spans="1:256" x14ac:dyDescent="0.25">
      <c r="A342" t="e">
        <f>AND(#REF!,"AAAAAD//3wA=")</f>
        <v>#REF!</v>
      </c>
      <c r="B342" t="e">
        <f>AND(#REF!,"AAAAAD//3wE=")</f>
        <v>#REF!</v>
      </c>
      <c r="C342" t="e">
        <f>AND(#REF!,"AAAAAD//3wI=")</f>
        <v>#REF!</v>
      </c>
      <c r="D342" t="e">
        <f>AND(#REF!,"AAAAAD//3wM=")</f>
        <v>#REF!</v>
      </c>
      <c r="E342" t="e">
        <f>AND(#REF!,"AAAAAD//3wQ=")</f>
        <v>#REF!</v>
      </c>
      <c r="F342" t="e">
        <f>AND(#REF!,"AAAAAD//3wU=")</f>
        <v>#REF!</v>
      </c>
      <c r="G342" t="e">
        <f>AND(#REF!,"AAAAAD//3wY=")</f>
        <v>#REF!</v>
      </c>
      <c r="H342" t="e">
        <f>IF(#REF!,"AAAAAD//3wc=",0)</f>
        <v>#REF!</v>
      </c>
      <c r="I342" t="e">
        <f>AND(#REF!,"AAAAAD//3wg=")</f>
        <v>#REF!</v>
      </c>
      <c r="J342" t="e">
        <f>AND(#REF!,"AAAAAD//3wk=")</f>
        <v>#REF!</v>
      </c>
      <c r="K342" t="e">
        <f>AND(#REF!,"AAAAAD//3wo=")</f>
        <v>#REF!</v>
      </c>
      <c r="L342" t="e">
        <f>AND(#REF!,"AAAAAD//3ws=")</f>
        <v>#REF!</v>
      </c>
      <c r="M342" t="e">
        <f>AND(#REF!,"AAAAAD//3ww=")</f>
        <v>#REF!</v>
      </c>
      <c r="N342" t="e">
        <f>AND(#REF!,"AAAAAD//3w0=")</f>
        <v>#REF!</v>
      </c>
      <c r="O342" t="e">
        <f>AND(#REF!,"AAAAAD//3w4=")</f>
        <v>#REF!</v>
      </c>
      <c r="P342" t="e">
        <f>AND(#REF!,"AAAAAD//3w8=")</f>
        <v>#REF!</v>
      </c>
      <c r="Q342" t="e">
        <f>AND(#REF!,"AAAAAD//3xA=")</f>
        <v>#REF!</v>
      </c>
      <c r="R342" t="e">
        <f>AND(#REF!,"AAAAAD//3xE=")</f>
        <v>#REF!</v>
      </c>
      <c r="S342" t="e">
        <f>IF(#REF!,"AAAAAD//3xI=",0)</f>
        <v>#REF!</v>
      </c>
      <c r="T342" t="e">
        <f>AND(#REF!,"AAAAAD//3xM=")</f>
        <v>#REF!</v>
      </c>
      <c r="U342" t="e">
        <f>AND(#REF!,"AAAAAD//3xQ=")</f>
        <v>#REF!</v>
      </c>
      <c r="V342" t="e">
        <f>AND(#REF!,"AAAAAD//3xU=")</f>
        <v>#REF!</v>
      </c>
      <c r="W342" t="e">
        <f>AND(#REF!,"AAAAAD//3xY=")</f>
        <v>#REF!</v>
      </c>
      <c r="X342" t="e">
        <f>AND(#REF!,"AAAAAD//3xc=")</f>
        <v>#REF!</v>
      </c>
      <c r="Y342" t="e">
        <f>AND(#REF!,"AAAAAD//3xg=")</f>
        <v>#REF!</v>
      </c>
      <c r="Z342" t="e">
        <f>AND(#REF!,"AAAAAD//3xk=")</f>
        <v>#REF!</v>
      </c>
      <c r="AA342" t="e">
        <f>AND(#REF!,"AAAAAD//3xo=")</f>
        <v>#REF!</v>
      </c>
      <c r="AB342" t="e">
        <f>AND(#REF!,"AAAAAD//3xs=")</f>
        <v>#REF!</v>
      </c>
      <c r="AC342" t="e">
        <f>AND(#REF!,"AAAAAD//3xw=")</f>
        <v>#REF!</v>
      </c>
      <c r="AD342" t="e">
        <f>IF(#REF!,"AAAAAD//3x0=",0)</f>
        <v>#REF!</v>
      </c>
      <c r="AE342" t="e">
        <f>AND(#REF!,"AAAAAD//3x4=")</f>
        <v>#REF!</v>
      </c>
      <c r="AF342" t="e">
        <f>AND(#REF!,"AAAAAD//3x8=")</f>
        <v>#REF!</v>
      </c>
      <c r="AG342" t="e">
        <f>AND(#REF!,"AAAAAD//3yA=")</f>
        <v>#REF!</v>
      </c>
      <c r="AH342" t="e">
        <f>AND(#REF!,"AAAAAD//3yE=")</f>
        <v>#REF!</v>
      </c>
      <c r="AI342" t="e">
        <f>AND(#REF!,"AAAAAD//3yI=")</f>
        <v>#REF!</v>
      </c>
      <c r="AJ342" t="e">
        <f>AND(#REF!,"AAAAAD//3yM=")</f>
        <v>#REF!</v>
      </c>
      <c r="AK342" t="e">
        <f>AND(#REF!,"AAAAAD//3yQ=")</f>
        <v>#REF!</v>
      </c>
      <c r="AL342" t="e">
        <f>AND(#REF!,"AAAAAD//3yU=")</f>
        <v>#REF!</v>
      </c>
      <c r="AM342" t="e">
        <f>AND(#REF!,"AAAAAD//3yY=")</f>
        <v>#REF!</v>
      </c>
      <c r="AN342" t="e">
        <f>AND(#REF!,"AAAAAD//3yc=")</f>
        <v>#REF!</v>
      </c>
      <c r="AO342" t="e">
        <f>IF(#REF!,"AAAAAD//3yg=",0)</f>
        <v>#REF!</v>
      </c>
      <c r="AP342" t="e">
        <f>AND(#REF!,"AAAAAD//3yk=")</f>
        <v>#REF!</v>
      </c>
      <c r="AQ342" t="e">
        <f>AND(#REF!,"AAAAAD//3yo=")</f>
        <v>#REF!</v>
      </c>
      <c r="AR342" t="e">
        <f>AND(#REF!,"AAAAAD//3ys=")</f>
        <v>#REF!</v>
      </c>
      <c r="AS342" t="e">
        <f>AND(#REF!,"AAAAAD//3yw=")</f>
        <v>#REF!</v>
      </c>
      <c r="AT342" t="e">
        <f>AND(#REF!,"AAAAAD//3y0=")</f>
        <v>#REF!</v>
      </c>
      <c r="AU342" t="e">
        <f>AND(#REF!,"AAAAAD//3y4=")</f>
        <v>#REF!</v>
      </c>
      <c r="AV342" t="e">
        <f>AND(#REF!,"AAAAAD//3y8=")</f>
        <v>#REF!</v>
      </c>
      <c r="AW342" t="e">
        <f>AND(#REF!,"AAAAAD//3zA=")</f>
        <v>#REF!</v>
      </c>
      <c r="AX342" t="e">
        <f>AND(#REF!,"AAAAAD//3zE=")</f>
        <v>#REF!</v>
      </c>
      <c r="AY342" t="e">
        <f>AND(#REF!,"AAAAAD//3zI=")</f>
        <v>#REF!</v>
      </c>
      <c r="AZ342" t="e">
        <f>IF(#REF!,"AAAAAD//3zM=",0)</f>
        <v>#REF!</v>
      </c>
      <c r="BA342" t="e">
        <f>AND(#REF!,"AAAAAD//3zQ=")</f>
        <v>#REF!</v>
      </c>
      <c r="BB342" t="e">
        <f>AND(#REF!,"AAAAAD//3zU=")</f>
        <v>#REF!</v>
      </c>
      <c r="BC342" t="e">
        <f>AND(#REF!,"AAAAAD//3zY=")</f>
        <v>#REF!</v>
      </c>
      <c r="BD342" t="e">
        <f>AND(#REF!,"AAAAAD//3zc=")</f>
        <v>#REF!</v>
      </c>
      <c r="BE342" t="e">
        <f>AND(#REF!,"AAAAAD//3zg=")</f>
        <v>#REF!</v>
      </c>
      <c r="BF342" t="e">
        <f>AND(#REF!,"AAAAAD//3zk=")</f>
        <v>#REF!</v>
      </c>
      <c r="BG342" t="e">
        <f>AND(#REF!,"AAAAAD//3zo=")</f>
        <v>#REF!</v>
      </c>
      <c r="BH342" t="e">
        <f>AND(#REF!,"AAAAAD//3zs=")</f>
        <v>#REF!</v>
      </c>
      <c r="BI342" t="e">
        <f>AND(#REF!,"AAAAAD//3zw=")</f>
        <v>#REF!</v>
      </c>
      <c r="BJ342" t="e">
        <f>AND(#REF!,"AAAAAD//3z0=")</f>
        <v>#REF!</v>
      </c>
      <c r="BK342" t="e">
        <f>IF(#REF!,"AAAAAD//3z4=",0)</f>
        <v>#REF!</v>
      </c>
      <c r="BL342" t="e">
        <f>AND(#REF!,"AAAAAD//3z8=")</f>
        <v>#REF!</v>
      </c>
      <c r="BM342" t="e">
        <f>AND(#REF!,"AAAAAD//30A=")</f>
        <v>#REF!</v>
      </c>
      <c r="BN342" t="e">
        <f>AND(#REF!,"AAAAAD//30E=")</f>
        <v>#REF!</v>
      </c>
      <c r="BO342" t="e">
        <f>AND(#REF!,"AAAAAD//30I=")</f>
        <v>#REF!</v>
      </c>
      <c r="BP342" t="e">
        <f>AND(#REF!,"AAAAAD//30M=")</f>
        <v>#REF!</v>
      </c>
      <c r="BQ342" t="e">
        <f>AND(#REF!,"AAAAAD//30Q=")</f>
        <v>#REF!</v>
      </c>
      <c r="BR342" t="e">
        <f>AND(#REF!,"AAAAAD//30U=")</f>
        <v>#REF!</v>
      </c>
      <c r="BS342" t="e">
        <f>AND(#REF!,"AAAAAD//30Y=")</f>
        <v>#REF!</v>
      </c>
      <c r="BT342" t="e">
        <f>AND(#REF!,"AAAAAD//30c=")</f>
        <v>#REF!</v>
      </c>
      <c r="BU342" t="e">
        <f>AND(#REF!,"AAAAAD//30g=")</f>
        <v>#REF!</v>
      </c>
      <c r="BV342" t="e">
        <f>IF(#REF!,"AAAAAD//30k=",0)</f>
        <v>#REF!</v>
      </c>
      <c r="BW342" t="e">
        <f>AND(#REF!,"AAAAAD//30o=")</f>
        <v>#REF!</v>
      </c>
      <c r="BX342" t="e">
        <f>AND(#REF!,"AAAAAD//30s=")</f>
        <v>#REF!</v>
      </c>
      <c r="BY342" t="e">
        <f>AND(#REF!,"AAAAAD//30w=")</f>
        <v>#REF!</v>
      </c>
      <c r="BZ342" t="e">
        <f>AND(#REF!,"AAAAAD//300=")</f>
        <v>#REF!</v>
      </c>
      <c r="CA342" t="e">
        <f>AND(#REF!,"AAAAAD//304=")</f>
        <v>#REF!</v>
      </c>
      <c r="CB342" t="e">
        <f>AND(#REF!,"AAAAAD//308=")</f>
        <v>#REF!</v>
      </c>
      <c r="CC342" t="e">
        <f>AND(#REF!,"AAAAAD//31A=")</f>
        <v>#REF!</v>
      </c>
      <c r="CD342" t="e">
        <f>AND(#REF!,"AAAAAD//31E=")</f>
        <v>#REF!</v>
      </c>
      <c r="CE342" t="e">
        <f>AND(#REF!,"AAAAAD//31I=")</f>
        <v>#REF!</v>
      </c>
      <c r="CF342" t="e">
        <f>AND(#REF!,"AAAAAD//31M=")</f>
        <v>#REF!</v>
      </c>
      <c r="CG342" t="e">
        <f>IF(#REF!,"AAAAAD//31Q=",0)</f>
        <v>#REF!</v>
      </c>
      <c r="CH342" t="e">
        <f>AND(#REF!,"AAAAAD//31U=")</f>
        <v>#REF!</v>
      </c>
      <c r="CI342" t="e">
        <f>AND(#REF!,"AAAAAD//31Y=")</f>
        <v>#REF!</v>
      </c>
      <c r="CJ342" t="e">
        <f>AND(#REF!,"AAAAAD//31c=")</f>
        <v>#REF!</v>
      </c>
      <c r="CK342" t="e">
        <f>AND(#REF!,"AAAAAD//31g=")</f>
        <v>#REF!</v>
      </c>
      <c r="CL342" t="e">
        <f>AND(#REF!,"AAAAAD//31k=")</f>
        <v>#REF!</v>
      </c>
      <c r="CM342" t="e">
        <f>AND(#REF!,"AAAAAD//31o=")</f>
        <v>#REF!</v>
      </c>
      <c r="CN342" t="e">
        <f>AND(#REF!,"AAAAAD//31s=")</f>
        <v>#REF!</v>
      </c>
      <c r="CO342" t="e">
        <f>AND(#REF!,"AAAAAD//31w=")</f>
        <v>#REF!</v>
      </c>
      <c r="CP342" t="e">
        <f>AND(#REF!,"AAAAAD//310=")</f>
        <v>#REF!</v>
      </c>
      <c r="CQ342" t="e">
        <f>AND(#REF!,"AAAAAD//314=")</f>
        <v>#REF!</v>
      </c>
      <c r="CR342" t="e">
        <f>IF(#REF!,"AAAAAD//318=",0)</f>
        <v>#REF!</v>
      </c>
      <c r="CS342" t="e">
        <f>AND(#REF!,"AAAAAD//32A=")</f>
        <v>#REF!</v>
      </c>
      <c r="CT342" t="e">
        <f>AND(#REF!,"AAAAAD//32E=")</f>
        <v>#REF!</v>
      </c>
      <c r="CU342" t="e">
        <f>AND(#REF!,"AAAAAD//32I=")</f>
        <v>#REF!</v>
      </c>
      <c r="CV342" t="e">
        <f>AND(#REF!,"AAAAAD//32M=")</f>
        <v>#REF!</v>
      </c>
      <c r="CW342" t="e">
        <f>AND(#REF!,"AAAAAD//32Q=")</f>
        <v>#REF!</v>
      </c>
      <c r="CX342" t="e">
        <f>AND(#REF!,"AAAAAD//32U=")</f>
        <v>#REF!</v>
      </c>
      <c r="CY342" t="e">
        <f>AND(#REF!,"AAAAAD//32Y=")</f>
        <v>#REF!</v>
      </c>
      <c r="CZ342" t="e">
        <f>AND(#REF!,"AAAAAD//32c=")</f>
        <v>#REF!</v>
      </c>
      <c r="DA342" t="e">
        <f>AND(#REF!,"AAAAAD//32g=")</f>
        <v>#REF!</v>
      </c>
      <c r="DB342" t="e">
        <f>AND(#REF!,"AAAAAD//32k=")</f>
        <v>#REF!</v>
      </c>
      <c r="DC342" t="e">
        <f>IF(#REF!,"AAAAAD//32o=",0)</f>
        <v>#REF!</v>
      </c>
      <c r="DD342" t="e">
        <f>AND(#REF!,"AAAAAD//32s=")</f>
        <v>#REF!</v>
      </c>
      <c r="DE342" t="e">
        <f>AND(#REF!,"AAAAAD//32w=")</f>
        <v>#REF!</v>
      </c>
      <c r="DF342" t="e">
        <f>AND(#REF!,"AAAAAD//320=")</f>
        <v>#REF!</v>
      </c>
      <c r="DG342" t="e">
        <f>AND(#REF!,"AAAAAD//324=")</f>
        <v>#REF!</v>
      </c>
      <c r="DH342" t="e">
        <f>AND(#REF!,"AAAAAD//328=")</f>
        <v>#REF!</v>
      </c>
      <c r="DI342" t="e">
        <f>AND(#REF!,"AAAAAD//33A=")</f>
        <v>#REF!</v>
      </c>
      <c r="DJ342" t="e">
        <f>AND(#REF!,"AAAAAD//33E=")</f>
        <v>#REF!</v>
      </c>
      <c r="DK342" t="e">
        <f>AND(#REF!,"AAAAAD//33I=")</f>
        <v>#REF!</v>
      </c>
      <c r="DL342" t="e">
        <f>AND(#REF!,"AAAAAD//33M=")</f>
        <v>#REF!</v>
      </c>
      <c r="DM342" t="e">
        <f>AND(#REF!,"AAAAAD//33Q=")</f>
        <v>#REF!</v>
      </c>
      <c r="DN342" t="e">
        <f>IF(#REF!,"AAAAAD//33U=",0)</f>
        <v>#REF!</v>
      </c>
      <c r="DO342" t="e">
        <f>AND(#REF!,"AAAAAD//33Y=")</f>
        <v>#REF!</v>
      </c>
      <c r="DP342" t="e">
        <f>AND(#REF!,"AAAAAD//33c=")</f>
        <v>#REF!</v>
      </c>
      <c r="DQ342" t="e">
        <f>AND(#REF!,"AAAAAD//33g=")</f>
        <v>#REF!</v>
      </c>
      <c r="DR342" t="e">
        <f>AND(#REF!,"AAAAAD//33k=")</f>
        <v>#REF!</v>
      </c>
      <c r="DS342" t="e">
        <f>AND(#REF!,"AAAAAD//33o=")</f>
        <v>#REF!</v>
      </c>
      <c r="DT342" t="e">
        <f>AND(#REF!,"AAAAAD//33s=")</f>
        <v>#REF!</v>
      </c>
      <c r="DU342" t="e">
        <f>AND(#REF!,"AAAAAD//33w=")</f>
        <v>#REF!</v>
      </c>
      <c r="DV342" t="e">
        <f>AND(#REF!,"AAAAAD//330=")</f>
        <v>#REF!</v>
      </c>
      <c r="DW342" t="e">
        <f>AND(#REF!,"AAAAAD//334=")</f>
        <v>#REF!</v>
      </c>
      <c r="DX342" t="e">
        <f>AND(#REF!,"AAAAAD//338=")</f>
        <v>#REF!</v>
      </c>
      <c r="DY342" t="e">
        <f>IF(#REF!,"AAAAAD//34A=",0)</f>
        <v>#REF!</v>
      </c>
      <c r="DZ342" t="e">
        <f>AND(#REF!,"AAAAAD//34E=")</f>
        <v>#REF!</v>
      </c>
      <c r="EA342" t="e">
        <f>AND(#REF!,"AAAAAD//34I=")</f>
        <v>#REF!</v>
      </c>
      <c r="EB342" t="e">
        <f>AND(#REF!,"AAAAAD//34M=")</f>
        <v>#REF!</v>
      </c>
      <c r="EC342" t="e">
        <f>AND(#REF!,"AAAAAD//34Q=")</f>
        <v>#REF!</v>
      </c>
      <c r="ED342" t="e">
        <f>AND(#REF!,"AAAAAD//34U=")</f>
        <v>#REF!</v>
      </c>
      <c r="EE342" t="e">
        <f>AND(#REF!,"AAAAAD//34Y=")</f>
        <v>#REF!</v>
      </c>
      <c r="EF342" t="e">
        <f>AND(#REF!,"AAAAAD//34c=")</f>
        <v>#REF!</v>
      </c>
      <c r="EG342" t="e">
        <f>AND(#REF!,"AAAAAD//34g=")</f>
        <v>#REF!</v>
      </c>
      <c r="EH342" t="e">
        <f>AND(#REF!,"AAAAAD//34k=")</f>
        <v>#REF!</v>
      </c>
      <c r="EI342" t="e">
        <f>AND(#REF!,"AAAAAD//34o=")</f>
        <v>#REF!</v>
      </c>
      <c r="EJ342" t="e">
        <f>IF(#REF!,"AAAAAD//34s=",0)</f>
        <v>#REF!</v>
      </c>
      <c r="EK342" t="e">
        <f>AND(#REF!,"AAAAAD//34w=")</f>
        <v>#REF!</v>
      </c>
      <c r="EL342" t="e">
        <f>AND(#REF!,"AAAAAD//340=")</f>
        <v>#REF!</v>
      </c>
      <c r="EM342" t="e">
        <f>AND(#REF!,"AAAAAD//344=")</f>
        <v>#REF!</v>
      </c>
      <c r="EN342" t="e">
        <f>AND(#REF!,"AAAAAD//348=")</f>
        <v>#REF!</v>
      </c>
      <c r="EO342" t="e">
        <f>AND(#REF!,"AAAAAD//35A=")</f>
        <v>#REF!</v>
      </c>
      <c r="EP342" t="e">
        <f>AND(#REF!,"AAAAAD//35E=")</f>
        <v>#REF!</v>
      </c>
      <c r="EQ342" t="e">
        <f>AND(#REF!,"AAAAAD//35I=")</f>
        <v>#REF!</v>
      </c>
      <c r="ER342" t="e">
        <f>AND(#REF!,"AAAAAD//35M=")</f>
        <v>#REF!</v>
      </c>
      <c r="ES342" t="e">
        <f>AND(#REF!,"AAAAAD//35Q=")</f>
        <v>#REF!</v>
      </c>
      <c r="ET342" t="e">
        <f>AND(#REF!,"AAAAAD//35U=")</f>
        <v>#REF!</v>
      </c>
      <c r="EU342" t="e">
        <f>IF(#REF!,"AAAAAD//35Y=",0)</f>
        <v>#REF!</v>
      </c>
      <c r="EV342" t="e">
        <f>AND(#REF!,"AAAAAD//35c=")</f>
        <v>#REF!</v>
      </c>
      <c r="EW342" t="e">
        <f>AND(#REF!,"AAAAAD//35g=")</f>
        <v>#REF!</v>
      </c>
      <c r="EX342" t="e">
        <f>AND(#REF!,"AAAAAD//35k=")</f>
        <v>#REF!</v>
      </c>
      <c r="EY342" t="e">
        <f>AND(#REF!,"AAAAAD//35o=")</f>
        <v>#REF!</v>
      </c>
      <c r="EZ342" t="e">
        <f>AND(#REF!,"AAAAAD//35s=")</f>
        <v>#REF!</v>
      </c>
      <c r="FA342" t="e">
        <f>AND(#REF!,"AAAAAD//35w=")</f>
        <v>#REF!</v>
      </c>
      <c r="FB342" t="e">
        <f>AND(#REF!,"AAAAAD//350=")</f>
        <v>#REF!</v>
      </c>
      <c r="FC342" t="e">
        <f>AND(#REF!,"AAAAAD//354=")</f>
        <v>#REF!</v>
      </c>
      <c r="FD342" t="e">
        <f>AND(#REF!,"AAAAAD//358=")</f>
        <v>#REF!</v>
      </c>
      <c r="FE342" t="e">
        <f>AND(#REF!,"AAAAAD//36A=")</f>
        <v>#REF!</v>
      </c>
      <c r="FF342" t="e">
        <f>IF(#REF!,"AAAAAD//36E=",0)</f>
        <v>#REF!</v>
      </c>
      <c r="FG342" t="e">
        <f>AND(#REF!,"AAAAAD//36I=")</f>
        <v>#REF!</v>
      </c>
      <c r="FH342" t="e">
        <f>AND(#REF!,"AAAAAD//36M=")</f>
        <v>#REF!</v>
      </c>
      <c r="FI342" t="e">
        <f>AND(#REF!,"AAAAAD//36Q=")</f>
        <v>#REF!</v>
      </c>
      <c r="FJ342" t="e">
        <f>AND(#REF!,"AAAAAD//36U=")</f>
        <v>#REF!</v>
      </c>
      <c r="FK342" t="e">
        <f>AND(#REF!,"AAAAAD//36Y=")</f>
        <v>#REF!</v>
      </c>
      <c r="FL342" t="e">
        <f>AND(#REF!,"AAAAAD//36c=")</f>
        <v>#REF!</v>
      </c>
      <c r="FM342" t="e">
        <f>AND(#REF!,"AAAAAD//36g=")</f>
        <v>#REF!</v>
      </c>
      <c r="FN342" t="e">
        <f>AND(#REF!,"AAAAAD//36k=")</f>
        <v>#REF!</v>
      </c>
      <c r="FO342" t="e">
        <f>AND(#REF!,"AAAAAD//36o=")</f>
        <v>#REF!</v>
      </c>
      <c r="FP342" t="e">
        <f>AND(#REF!,"AAAAAD//36s=")</f>
        <v>#REF!</v>
      </c>
      <c r="FQ342" t="e">
        <f>IF(#REF!,"AAAAAD//36w=",0)</f>
        <v>#REF!</v>
      </c>
      <c r="FR342" t="e">
        <f>AND(#REF!,"AAAAAD//360=")</f>
        <v>#REF!</v>
      </c>
      <c r="FS342" t="e">
        <f>AND(#REF!,"AAAAAD//364=")</f>
        <v>#REF!</v>
      </c>
      <c r="FT342" t="e">
        <f>AND(#REF!,"AAAAAD//368=")</f>
        <v>#REF!</v>
      </c>
      <c r="FU342" t="e">
        <f>AND(#REF!,"AAAAAD//37A=")</f>
        <v>#REF!</v>
      </c>
      <c r="FV342" t="e">
        <f>AND(#REF!,"AAAAAD//37E=")</f>
        <v>#REF!</v>
      </c>
      <c r="FW342" t="e">
        <f>AND(#REF!,"AAAAAD//37I=")</f>
        <v>#REF!</v>
      </c>
      <c r="FX342" t="e">
        <f>AND(#REF!,"AAAAAD//37M=")</f>
        <v>#REF!</v>
      </c>
      <c r="FY342" t="e">
        <f>AND(#REF!,"AAAAAD//37Q=")</f>
        <v>#REF!</v>
      </c>
      <c r="FZ342" t="e">
        <f>AND(#REF!,"AAAAAD//37U=")</f>
        <v>#REF!</v>
      </c>
      <c r="GA342" t="e">
        <f>AND(#REF!,"AAAAAD//37Y=")</f>
        <v>#REF!</v>
      </c>
      <c r="GB342" t="e">
        <f>IF(#REF!,"AAAAAD//37c=",0)</f>
        <v>#REF!</v>
      </c>
      <c r="GC342" t="e">
        <f>AND(#REF!,"AAAAAD//37g=")</f>
        <v>#REF!</v>
      </c>
      <c r="GD342" t="e">
        <f>AND(#REF!,"AAAAAD//37k=")</f>
        <v>#REF!</v>
      </c>
      <c r="GE342" t="e">
        <f>AND(#REF!,"AAAAAD//37o=")</f>
        <v>#REF!</v>
      </c>
      <c r="GF342" t="e">
        <f>AND(#REF!,"AAAAAD//37s=")</f>
        <v>#REF!</v>
      </c>
      <c r="GG342" t="e">
        <f>AND(#REF!,"AAAAAD//37w=")</f>
        <v>#REF!</v>
      </c>
      <c r="GH342" t="e">
        <f>AND(#REF!,"AAAAAD//370=")</f>
        <v>#REF!</v>
      </c>
      <c r="GI342" t="e">
        <f>AND(#REF!,"AAAAAD//374=")</f>
        <v>#REF!</v>
      </c>
      <c r="GJ342" t="e">
        <f>AND(#REF!,"AAAAAD//378=")</f>
        <v>#REF!</v>
      </c>
      <c r="GK342" t="e">
        <f>AND(#REF!,"AAAAAD//38A=")</f>
        <v>#REF!</v>
      </c>
      <c r="GL342" t="e">
        <f>AND(#REF!,"AAAAAD//38E=")</f>
        <v>#REF!</v>
      </c>
      <c r="GM342" t="e">
        <f>IF(#REF!,"AAAAAD//38I=",0)</f>
        <v>#REF!</v>
      </c>
      <c r="GN342" t="e">
        <f>AND(#REF!,"AAAAAD//38M=")</f>
        <v>#REF!</v>
      </c>
      <c r="GO342" t="e">
        <f>AND(#REF!,"AAAAAD//38Q=")</f>
        <v>#REF!</v>
      </c>
      <c r="GP342" t="e">
        <f>AND(#REF!,"AAAAAD//38U=")</f>
        <v>#REF!</v>
      </c>
      <c r="GQ342" t="e">
        <f>AND(#REF!,"AAAAAD//38Y=")</f>
        <v>#REF!</v>
      </c>
      <c r="GR342" t="e">
        <f>AND(#REF!,"AAAAAD//38c=")</f>
        <v>#REF!</v>
      </c>
      <c r="GS342" t="e">
        <f>AND(#REF!,"AAAAAD//38g=")</f>
        <v>#REF!</v>
      </c>
      <c r="GT342" t="e">
        <f>AND(#REF!,"AAAAAD//38k=")</f>
        <v>#REF!</v>
      </c>
      <c r="GU342" t="e">
        <f>AND(#REF!,"AAAAAD//38o=")</f>
        <v>#REF!</v>
      </c>
      <c r="GV342" t="e">
        <f>AND(#REF!,"AAAAAD//38s=")</f>
        <v>#REF!</v>
      </c>
      <c r="GW342" t="e">
        <f>AND(#REF!,"AAAAAD//38w=")</f>
        <v>#REF!</v>
      </c>
      <c r="GX342" t="e">
        <f>IF(#REF!,"AAAAAD//380=",0)</f>
        <v>#REF!</v>
      </c>
      <c r="GY342" t="e">
        <f>AND(#REF!,"AAAAAD//384=")</f>
        <v>#REF!</v>
      </c>
      <c r="GZ342" t="e">
        <f>AND(#REF!,"AAAAAD//388=")</f>
        <v>#REF!</v>
      </c>
      <c r="HA342" t="e">
        <f>AND(#REF!,"AAAAAD//39A=")</f>
        <v>#REF!</v>
      </c>
      <c r="HB342" t="e">
        <f>AND(#REF!,"AAAAAD//39E=")</f>
        <v>#REF!</v>
      </c>
      <c r="HC342" t="e">
        <f>AND(#REF!,"AAAAAD//39I=")</f>
        <v>#REF!</v>
      </c>
      <c r="HD342" t="e">
        <f>AND(#REF!,"AAAAAD//39M=")</f>
        <v>#REF!</v>
      </c>
      <c r="HE342" t="e">
        <f>AND(#REF!,"AAAAAD//39Q=")</f>
        <v>#REF!</v>
      </c>
      <c r="HF342" t="e">
        <f>AND(#REF!,"AAAAAD//39U=")</f>
        <v>#REF!</v>
      </c>
      <c r="HG342" t="e">
        <f>AND(#REF!,"AAAAAD//39Y=")</f>
        <v>#REF!</v>
      </c>
      <c r="HH342" t="e">
        <f>AND(#REF!,"AAAAAD//39c=")</f>
        <v>#REF!</v>
      </c>
      <c r="HI342" t="e">
        <f>IF(#REF!,"AAAAAD//39g=",0)</f>
        <v>#REF!</v>
      </c>
      <c r="HJ342" t="e">
        <f>AND(#REF!,"AAAAAD//39k=")</f>
        <v>#REF!</v>
      </c>
      <c r="HK342" t="e">
        <f>AND(#REF!,"AAAAAD//39o=")</f>
        <v>#REF!</v>
      </c>
      <c r="HL342" t="e">
        <f>AND(#REF!,"AAAAAD//39s=")</f>
        <v>#REF!</v>
      </c>
      <c r="HM342" t="e">
        <f>AND(#REF!,"AAAAAD//39w=")</f>
        <v>#REF!</v>
      </c>
      <c r="HN342" t="e">
        <f>AND(#REF!,"AAAAAD//390=")</f>
        <v>#REF!</v>
      </c>
      <c r="HO342" t="e">
        <f>AND(#REF!,"AAAAAD//394=")</f>
        <v>#REF!</v>
      </c>
      <c r="HP342" t="e">
        <f>AND(#REF!,"AAAAAD//398=")</f>
        <v>#REF!</v>
      </c>
      <c r="HQ342" t="e">
        <f>AND(#REF!,"AAAAAD//3+A=")</f>
        <v>#REF!</v>
      </c>
      <c r="HR342" t="e">
        <f>AND(#REF!,"AAAAAD//3+E=")</f>
        <v>#REF!</v>
      </c>
      <c r="HS342" t="e">
        <f>AND(#REF!,"AAAAAD//3+I=")</f>
        <v>#REF!</v>
      </c>
      <c r="HT342" t="e">
        <f>IF(#REF!,"AAAAAD//3+M=",0)</f>
        <v>#REF!</v>
      </c>
      <c r="HU342" t="e">
        <f>AND(#REF!,"AAAAAD//3+Q=")</f>
        <v>#REF!</v>
      </c>
      <c r="HV342" t="e">
        <f>AND(#REF!,"AAAAAD//3+U=")</f>
        <v>#REF!</v>
      </c>
      <c r="HW342" t="e">
        <f>AND(#REF!,"AAAAAD//3+Y=")</f>
        <v>#REF!</v>
      </c>
      <c r="HX342" t="e">
        <f>AND(#REF!,"AAAAAD//3+c=")</f>
        <v>#REF!</v>
      </c>
      <c r="HY342" t="e">
        <f>AND(#REF!,"AAAAAD//3+g=")</f>
        <v>#REF!</v>
      </c>
      <c r="HZ342" t="e">
        <f>AND(#REF!,"AAAAAD//3+k=")</f>
        <v>#REF!</v>
      </c>
      <c r="IA342" t="e">
        <f>AND(#REF!,"AAAAAD//3+o=")</f>
        <v>#REF!</v>
      </c>
      <c r="IB342" t="e">
        <f>AND(#REF!,"AAAAAD//3+s=")</f>
        <v>#REF!</v>
      </c>
      <c r="IC342" t="e">
        <f>AND(#REF!,"AAAAAD//3+w=")</f>
        <v>#REF!</v>
      </c>
      <c r="ID342" t="e">
        <f>AND(#REF!,"AAAAAD//3+0=")</f>
        <v>#REF!</v>
      </c>
      <c r="IE342" t="e">
        <f>IF(#REF!,"AAAAAD//3+4=",0)</f>
        <v>#REF!</v>
      </c>
      <c r="IF342" t="e">
        <f>AND(#REF!,"AAAAAD//3+8=")</f>
        <v>#REF!</v>
      </c>
      <c r="IG342" t="e">
        <f>AND(#REF!,"AAAAAD//3/A=")</f>
        <v>#REF!</v>
      </c>
      <c r="IH342" t="e">
        <f>AND(#REF!,"AAAAAD//3/E=")</f>
        <v>#REF!</v>
      </c>
      <c r="II342" t="e">
        <f>AND(#REF!,"AAAAAD//3/I=")</f>
        <v>#REF!</v>
      </c>
      <c r="IJ342" t="e">
        <f>AND(#REF!,"AAAAAD//3/M=")</f>
        <v>#REF!</v>
      </c>
      <c r="IK342" t="e">
        <f>AND(#REF!,"AAAAAD//3/Q=")</f>
        <v>#REF!</v>
      </c>
      <c r="IL342" t="e">
        <f>AND(#REF!,"AAAAAD//3/U=")</f>
        <v>#REF!</v>
      </c>
      <c r="IM342" t="e">
        <f>AND(#REF!,"AAAAAD//3/Y=")</f>
        <v>#REF!</v>
      </c>
      <c r="IN342" t="e">
        <f>AND(#REF!,"AAAAAD//3/c=")</f>
        <v>#REF!</v>
      </c>
      <c r="IO342" t="e">
        <f>AND(#REF!,"AAAAAD//3/g=")</f>
        <v>#REF!</v>
      </c>
      <c r="IP342" t="e">
        <f>IF(#REF!,"AAAAAD//3/k=",0)</f>
        <v>#REF!</v>
      </c>
      <c r="IQ342" t="e">
        <f>AND(#REF!,"AAAAAD//3/o=")</f>
        <v>#REF!</v>
      </c>
      <c r="IR342" t="e">
        <f>AND(#REF!,"AAAAAD//3/s=")</f>
        <v>#REF!</v>
      </c>
      <c r="IS342" t="e">
        <f>AND(#REF!,"AAAAAD//3/w=")</f>
        <v>#REF!</v>
      </c>
      <c r="IT342" t="e">
        <f>AND(#REF!,"AAAAAD//3/0=")</f>
        <v>#REF!</v>
      </c>
      <c r="IU342" t="e">
        <f>AND(#REF!,"AAAAAD//3/4=")</f>
        <v>#REF!</v>
      </c>
      <c r="IV342" t="e">
        <f>AND(#REF!,"AAAAAD//3/8=")</f>
        <v>#REF!</v>
      </c>
    </row>
    <row r="343" spans="1:256" x14ac:dyDescent="0.25">
      <c r="A343" t="e">
        <f>AND(#REF!,"AAAAAH+/3QA=")</f>
        <v>#REF!</v>
      </c>
      <c r="B343" t="e">
        <f>AND(#REF!,"AAAAAH+/3QE=")</f>
        <v>#REF!</v>
      </c>
      <c r="C343" t="e">
        <f>AND(#REF!,"AAAAAH+/3QI=")</f>
        <v>#REF!</v>
      </c>
      <c r="D343" t="e">
        <f>AND(#REF!,"AAAAAH+/3QM=")</f>
        <v>#REF!</v>
      </c>
      <c r="E343" t="e">
        <f>IF(#REF!,"AAAAAH+/3QQ=",0)</f>
        <v>#REF!</v>
      </c>
      <c r="F343" t="e">
        <f>AND(#REF!,"AAAAAH+/3QU=")</f>
        <v>#REF!</v>
      </c>
      <c r="G343" t="e">
        <f>AND(#REF!,"AAAAAH+/3QY=")</f>
        <v>#REF!</v>
      </c>
      <c r="H343" t="e">
        <f>AND(#REF!,"AAAAAH+/3Qc=")</f>
        <v>#REF!</v>
      </c>
      <c r="I343" t="e">
        <f>AND(#REF!,"AAAAAH+/3Qg=")</f>
        <v>#REF!</v>
      </c>
      <c r="J343" t="e">
        <f>AND(#REF!,"AAAAAH+/3Qk=")</f>
        <v>#REF!</v>
      </c>
      <c r="K343" t="e">
        <f>AND(#REF!,"AAAAAH+/3Qo=")</f>
        <v>#REF!</v>
      </c>
      <c r="L343" t="e">
        <f>AND(#REF!,"AAAAAH+/3Qs=")</f>
        <v>#REF!</v>
      </c>
      <c r="M343" t="e">
        <f>AND(#REF!,"AAAAAH+/3Qw=")</f>
        <v>#REF!</v>
      </c>
      <c r="N343" t="e">
        <f>AND(#REF!,"AAAAAH+/3Q0=")</f>
        <v>#REF!</v>
      </c>
      <c r="O343" t="e">
        <f>AND(#REF!,"AAAAAH+/3Q4=")</f>
        <v>#REF!</v>
      </c>
      <c r="P343" t="e">
        <f>IF(#REF!,"AAAAAH+/3Q8=",0)</f>
        <v>#REF!</v>
      </c>
      <c r="Q343" t="e">
        <f>AND(#REF!,"AAAAAH+/3RA=")</f>
        <v>#REF!</v>
      </c>
      <c r="R343" t="e">
        <f>AND(#REF!,"AAAAAH+/3RE=")</f>
        <v>#REF!</v>
      </c>
      <c r="S343" t="e">
        <f>AND(#REF!,"AAAAAH+/3RI=")</f>
        <v>#REF!</v>
      </c>
      <c r="T343" t="e">
        <f>AND(#REF!,"AAAAAH+/3RM=")</f>
        <v>#REF!</v>
      </c>
      <c r="U343" t="e">
        <f>AND(#REF!,"AAAAAH+/3RQ=")</f>
        <v>#REF!</v>
      </c>
      <c r="V343" t="e">
        <f>AND(#REF!,"AAAAAH+/3RU=")</f>
        <v>#REF!</v>
      </c>
      <c r="W343" t="e">
        <f>AND(#REF!,"AAAAAH+/3RY=")</f>
        <v>#REF!</v>
      </c>
      <c r="X343" t="e">
        <f>AND(#REF!,"AAAAAH+/3Rc=")</f>
        <v>#REF!</v>
      </c>
      <c r="Y343" t="e">
        <f>AND(#REF!,"AAAAAH+/3Rg=")</f>
        <v>#REF!</v>
      </c>
      <c r="Z343" t="e">
        <f>AND(#REF!,"AAAAAH+/3Rk=")</f>
        <v>#REF!</v>
      </c>
      <c r="AA343" t="e">
        <f>IF(#REF!,"AAAAAH+/3Ro=",0)</f>
        <v>#REF!</v>
      </c>
      <c r="AB343" t="e">
        <f>AND(#REF!,"AAAAAH+/3Rs=")</f>
        <v>#REF!</v>
      </c>
      <c r="AC343" t="e">
        <f>AND(#REF!,"AAAAAH+/3Rw=")</f>
        <v>#REF!</v>
      </c>
      <c r="AD343" t="e">
        <f>AND(#REF!,"AAAAAH+/3R0=")</f>
        <v>#REF!</v>
      </c>
      <c r="AE343" t="e">
        <f>AND(#REF!,"AAAAAH+/3R4=")</f>
        <v>#REF!</v>
      </c>
      <c r="AF343" t="e">
        <f>AND(#REF!,"AAAAAH+/3R8=")</f>
        <v>#REF!</v>
      </c>
      <c r="AG343" t="e">
        <f>AND(#REF!,"AAAAAH+/3SA=")</f>
        <v>#REF!</v>
      </c>
      <c r="AH343" t="e">
        <f>AND(#REF!,"AAAAAH+/3SE=")</f>
        <v>#REF!</v>
      </c>
      <c r="AI343" t="e">
        <f>AND(#REF!,"AAAAAH+/3SI=")</f>
        <v>#REF!</v>
      </c>
      <c r="AJ343" t="e">
        <f>AND(#REF!,"AAAAAH+/3SM=")</f>
        <v>#REF!</v>
      </c>
      <c r="AK343" t="e">
        <f>AND(#REF!,"AAAAAH+/3SQ=")</f>
        <v>#REF!</v>
      </c>
      <c r="AL343" t="e">
        <f>IF(#REF!,"AAAAAH+/3SU=",0)</f>
        <v>#REF!</v>
      </c>
      <c r="AM343" t="e">
        <f>AND(#REF!,"AAAAAH+/3SY=")</f>
        <v>#REF!</v>
      </c>
      <c r="AN343" t="e">
        <f>AND(#REF!,"AAAAAH+/3Sc=")</f>
        <v>#REF!</v>
      </c>
      <c r="AO343" t="e">
        <f>AND(#REF!,"AAAAAH+/3Sg=")</f>
        <v>#REF!</v>
      </c>
      <c r="AP343" t="e">
        <f>AND(#REF!,"AAAAAH+/3Sk=")</f>
        <v>#REF!</v>
      </c>
      <c r="AQ343" t="e">
        <f>AND(#REF!,"AAAAAH+/3So=")</f>
        <v>#REF!</v>
      </c>
      <c r="AR343" t="e">
        <f>AND(#REF!,"AAAAAH+/3Ss=")</f>
        <v>#REF!</v>
      </c>
      <c r="AS343" t="e">
        <f>AND(#REF!,"AAAAAH+/3Sw=")</f>
        <v>#REF!</v>
      </c>
      <c r="AT343" t="e">
        <f>AND(#REF!,"AAAAAH+/3S0=")</f>
        <v>#REF!</v>
      </c>
      <c r="AU343" t="e">
        <f>AND(#REF!,"AAAAAH+/3S4=")</f>
        <v>#REF!</v>
      </c>
      <c r="AV343" t="e">
        <f>AND(#REF!,"AAAAAH+/3S8=")</f>
        <v>#REF!</v>
      </c>
      <c r="AW343" t="e">
        <f>IF(#REF!,"AAAAAH+/3TA=",0)</f>
        <v>#REF!</v>
      </c>
      <c r="AX343" t="e">
        <f>AND(#REF!,"AAAAAH+/3TE=")</f>
        <v>#REF!</v>
      </c>
      <c r="AY343" t="e">
        <f>AND(#REF!,"AAAAAH+/3TI=")</f>
        <v>#REF!</v>
      </c>
      <c r="AZ343" t="e">
        <f>AND(#REF!,"AAAAAH+/3TM=")</f>
        <v>#REF!</v>
      </c>
      <c r="BA343" t="e">
        <f>AND(#REF!,"AAAAAH+/3TQ=")</f>
        <v>#REF!</v>
      </c>
      <c r="BB343" t="e">
        <f>AND(#REF!,"AAAAAH+/3TU=")</f>
        <v>#REF!</v>
      </c>
      <c r="BC343" t="e">
        <f>AND(#REF!,"AAAAAH+/3TY=")</f>
        <v>#REF!</v>
      </c>
      <c r="BD343" t="e">
        <f>AND(#REF!,"AAAAAH+/3Tc=")</f>
        <v>#REF!</v>
      </c>
      <c r="BE343" t="e">
        <f>AND(#REF!,"AAAAAH+/3Tg=")</f>
        <v>#REF!</v>
      </c>
      <c r="BF343" t="e">
        <f>AND(#REF!,"AAAAAH+/3Tk=")</f>
        <v>#REF!</v>
      </c>
      <c r="BG343" t="e">
        <f>AND(#REF!,"AAAAAH+/3To=")</f>
        <v>#REF!</v>
      </c>
      <c r="BH343" t="e">
        <f>IF(#REF!,"AAAAAH+/3Ts=",0)</f>
        <v>#REF!</v>
      </c>
      <c r="BI343" t="e">
        <f>AND(#REF!,"AAAAAH+/3Tw=")</f>
        <v>#REF!</v>
      </c>
      <c r="BJ343" t="e">
        <f>AND(#REF!,"AAAAAH+/3T0=")</f>
        <v>#REF!</v>
      </c>
      <c r="BK343" t="e">
        <f>AND(#REF!,"AAAAAH+/3T4=")</f>
        <v>#REF!</v>
      </c>
      <c r="BL343" t="e">
        <f>AND(#REF!,"AAAAAH+/3T8=")</f>
        <v>#REF!</v>
      </c>
      <c r="BM343" t="e">
        <f>AND(#REF!,"AAAAAH+/3UA=")</f>
        <v>#REF!</v>
      </c>
      <c r="BN343" t="e">
        <f>AND(#REF!,"AAAAAH+/3UE=")</f>
        <v>#REF!</v>
      </c>
      <c r="BO343" t="e">
        <f>AND(#REF!,"AAAAAH+/3UI=")</f>
        <v>#REF!</v>
      </c>
      <c r="BP343" t="e">
        <f>AND(#REF!,"AAAAAH+/3UM=")</f>
        <v>#REF!</v>
      </c>
      <c r="BQ343" t="e">
        <f>AND(#REF!,"AAAAAH+/3UQ=")</f>
        <v>#REF!</v>
      </c>
      <c r="BR343" t="e">
        <f>AND(#REF!,"AAAAAH+/3UU=")</f>
        <v>#REF!</v>
      </c>
      <c r="BS343" t="e">
        <f>IF(#REF!,"AAAAAH+/3UY=",0)</f>
        <v>#REF!</v>
      </c>
      <c r="BT343" t="e">
        <f>AND(#REF!,"AAAAAH+/3Uc=")</f>
        <v>#REF!</v>
      </c>
      <c r="BU343" t="e">
        <f>AND(#REF!,"AAAAAH+/3Ug=")</f>
        <v>#REF!</v>
      </c>
      <c r="BV343" t="e">
        <f>AND(#REF!,"AAAAAH+/3Uk=")</f>
        <v>#REF!</v>
      </c>
      <c r="BW343" t="e">
        <f>AND(#REF!,"AAAAAH+/3Uo=")</f>
        <v>#REF!</v>
      </c>
      <c r="BX343" t="e">
        <f>AND(#REF!,"AAAAAH+/3Us=")</f>
        <v>#REF!</v>
      </c>
      <c r="BY343" t="e">
        <f>AND(#REF!,"AAAAAH+/3Uw=")</f>
        <v>#REF!</v>
      </c>
      <c r="BZ343" t="e">
        <f>AND(#REF!,"AAAAAH+/3U0=")</f>
        <v>#REF!</v>
      </c>
      <c r="CA343" t="e">
        <f>AND(#REF!,"AAAAAH+/3U4=")</f>
        <v>#REF!</v>
      </c>
      <c r="CB343" t="e">
        <f>AND(#REF!,"AAAAAH+/3U8=")</f>
        <v>#REF!</v>
      </c>
      <c r="CC343" t="e">
        <f>AND(#REF!,"AAAAAH+/3VA=")</f>
        <v>#REF!</v>
      </c>
      <c r="CD343" t="e">
        <f>IF(#REF!,"AAAAAH+/3VE=",0)</f>
        <v>#REF!</v>
      </c>
      <c r="CE343" t="e">
        <f>AND(#REF!,"AAAAAH+/3VI=")</f>
        <v>#REF!</v>
      </c>
      <c r="CF343" t="e">
        <f>AND(#REF!,"AAAAAH+/3VM=")</f>
        <v>#REF!</v>
      </c>
      <c r="CG343" t="e">
        <f>AND(#REF!,"AAAAAH+/3VQ=")</f>
        <v>#REF!</v>
      </c>
      <c r="CH343" t="e">
        <f>AND(#REF!,"AAAAAH+/3VU=")</f>
        <v>#REF!</v>
      </c>
      <c r="CI343" t="e">
        <f>AND(#REF!,"AAAAAH+/3VY=")</f>
        <v>#REF!</v>
      </c>
      <c r="CJ343" t="e">
        <f>AND(#REF!,"AAAAAH+/3Vc=")</f>
        <v>#REF!</v>
      </c>
      <c r="CK343" t="e">
        <f>AND(#REF!,"AAAAAH+/3Vg=")</f>
        <v>#REF!</v>
      </c>
      <c r="CL343" t="e">
        <f>AND(#REF!,"AAAAAH+/3Vk=")</f>
        <v>#REF!</v>
      </c>
      <c r="CM343" t="e">
        <f>AND(#REF!,"AAAAAH+/3Vo=")</f>
        <v>#REF!</v>
      </c>
      <c r="CN343" t="e">
        <f>AND(#REF!,"AAAAAH+/3Vs=")</f>
        <v>#REF!</v>
      </c>
      <c r="CO343" t="e">
        <f>IF(#REF!,"AAAAAH+/3Vw=",0)</f>
        <v>#REF!</v>
      </c>
      <c r="CP343" t="e">
        <f>AND(#REF!,"AAAAAH+/3V0=")</f>
        <v>#REF!</v>
      </c>
      <c r="CQ343" t="e">
        <f>AND(#REF!,"AAAAAH+/3V4=")</f>
        <v>#REF!</v>
      </c>
      <c r="CR343" t="e">
        <f>AND(#REF!,"AAAAAH+/3V8=")</f>
        <v>#REF!</v>
      </c>
      <c r="CS343" t="e">
        <f>AND(#REF!,"AAAAAH+/3WA=")</f>
        <v>#REF!</v>
      </c>
      <c r="CT343" t="e">
        <f>AND(#REF!,"AAAAAH+/3WE=")</f>
        <v>#REF!</v>
      </c>
      <c r="CU343" t="e">
        <f>AND(#REF!,"AAAAAH+/3WI=")</f>
        <v>#REF!</v>
      </c>
      <c r="CV343" t="e">
        <f>AND(#REF!,"AAAAAH+/3WM=")</f>
        <v>#REF!</v>
      </c>
      <c r="CW343" t="e">
        <f>AND(#REF!,"AAAAAH+/3WQ=")</f>
        <v>#REF!</v>
      </c>
      <c r="CX343" t="e">
        <f>AND(#REF!,"AAAAAH+/3WU=")</f>
        <v>#REF!</v>
      </c>
      <c r="CY343" t="e">
        <f>AND(#REF!,"AAAAAH+/3WY=")</f>
        <v>#REF!</v>
      </c>
      <c r="CZ343" t="e">
        <f>IF(#REF!,"AAAAAH+/3Wc=",0)</f>
        <v>#REF!</v>
      </c>
      <c r="DA343" t="e">
        <f>AND(#REF!,"AAAAAH+/3Wg=")</f>
        <v>#REF!</v>
      </c>
      <c r="DB343" t="e">
        <f>AND(#REF!,"AAAAAH+/3Wk=")</f>
        <v>#REF!</v>
      </c>
      <c r="DC343" t="e">
        <f>AND(#REF!,"AAAAAH+/3Wo=")</f>
        <v>#REF!</v>
      </c>
      <c r="DD343" t="e">
        <f>AND(#REF!,"AAAAAH+/3Ws=")</f>
        <v>#REF!</v>
      </c>
      <c r="DE343" t="e">
        <f>AND(#REF!,"AAAAAH+/3Ww=")</f>
        <v>#REF!</v>
      </c>
      <c r="DF343" t="e">
        <f>AND(#REF!,"AAAAAH+/3W0=")</f>
        <v>#REF!</v>
      </c>
      <c r="DG343" t="e">
        <f>AND(#REF!,"AAAAAH+/3W4=")</f>
        <v>#REF!</v>
      </c>
      <c r="DH343" t="e">
        <f>AND(#REF!,"AAAAAH+/3W8=")</f>
        <v>#REF!</v>
      </c>
      <c r="DI343" t="e">
        <f>AND(#REF!,"AAAAAH+/3XA=")</f>
        <v>#REF!</v>
      </c>
      <c r="DJ343" t="e">
        <f>AND(#REF!,"AAAAAH+/3XE=")</f>
        <v>#REF!</v>
      </c>
      <c r="DK343" t="e">
        <f>IF(#REF!,"AAAAAH+/3XI=",0)</f>
        <v>#REF!</v>
      </c>
      <c r="DL343" t="e">
        <f>AND(#REF!,"AAAAAH+/3XM=")</f>
        <v>#REF!</v>
      </c>
      <c r="DM343" t="e">
        <f>AND(#REF!,"AAAAAH+/3XQ=")</f>
        <v>#REF!</v>
      </c>
      <c r="DN343" t="e">
        <f>AND(#REF!,"AAAAAH+/3XU=")</f>
        <v>#REF!</v>
      </c>
      <c r="DO343" t="e">
        <f>AND(#REF!,"AAAAAH+/3XY=")</f>
        <v>#REF!</v>
      </c>
      <c r="DP343" t="e">
        <f>AND(#REF!,"AAAAAH+/3Xc=")</f>
        <v>#REF!</v>
      </c>
      <c r="DQ343" t="e">
        <f>AND(#REF!,"AAAAAH+/3Xg=")</f>
        <v>#REF!</v>
      </c>
      <c r="DR343" t="e">
        <f>AND(#REF!,"AAAAAH+/3Xk=")</f>
        <v>#REF!</v>
      </c>
      <c r="DS343" t="e">
        <f>AND(#REF!,"AAAAAH+/3Xo=")</f>
        <v>#REF!</v>
      </c>
      <c r="DT343" t="e">
        <f>AND(#REF!,"AAAAAH+/3Xs=")</f>
        <v>#REF!</v>
      </c>
      <c r="DU343" t="e">
        <f>AND(#REF!,"AAAAAH+/3Xw=")</f>
        <v>#REF!</v>
      </c>
      <c r="DV343" t="e">
        <f>IF(#REF!,"AAAAAH+/3X0=",0)</f>
        <v>#REF!</v>
      </c>
      <c r="DW343" t="e">
        <f>AND(#REF!,"AAAAAH+/3X4=")</f>
        <v>#REF!</v>
      </c>
      <c r="DX343" t="e">
        <f>AND(#REF!,"AAAAAH+/3X8=")</f>
        <v>#REF!</v>
      </c>
      <c r="DY343" t="e">
        <f>AND(#REF!,"AAAAAH+/3YA=")</f>
        <v>#REF!</v>
      </c>
      <c r="DZ343" t="e">
        <f>AND(#REF!,"AAAAAH+/3YE=")</f>
        <v>#REF!</v>
      </c>
      <c r="EA343" t="e">
        <f>AND(#REF!,"AAAAAH+/3YI=")</f>
        <v>#REF!</v>
      </c>
      <c r="EB343" t="e">
        <f>AND(#REF!,"AAAAAH+/3YM=")</f>
        <v>#REF!</v>
      </c>
      <c r="EC343" t="e">
        <f>AND(#REF!,"AAAAAH+/3YQ=")</f>
        <v>#REF!</v>
      </c>
      <c r="ED343" t="e">
        <f>AND(#REF!,"AAAAAH+/3YU=")</f>
        <v>#REF!</v>
      </c>
      <c r="EE343" t="e">
        <f>AND(#REF!,"AAAAAH+/3YY=")</f>
        <v>#REF!</v>
      </c>
      <c r="EF343" t="e">
        <f>AND(#REF!,"AAAAAH+/3Yc=")</f>
        <v>#REF!</v>
      </c>
      <c r="EG343" t="e">
        <f>IF(#REF!,"AAAAAH+/3Yg=",0)</f>
        <v>#REF!</v>
      </c>
      <c r="EH343" t="e">
        <f>AND(#REF!,"AAAAAH+/3Yk=")</f>
        <v>#REF!</v>
      </c>
      <c r="EI343" t="e">
        <f>AND(#REF!,"AAAAAH+/3Yo=")</f>
        <v>#REF!</v>
      </c>
      <c r="EJ343" t="e">
        <f>AND(#REF!,"AAAAAH+/3Ys=")</f>
        <v>#REF!</v>
      </c>
      <c r="EK343" t="e">
        <f>AND(#REF!,"AAAAAH+/3Yw=")</f>
        <v>#REF!</v>
      </c>
      <c r="EL343" t="e">
        <f>AND(#REF!,"AAAAAH+/3Y0=")</f>
        <v>#REF!</v>
      </c>
      <c r="EM343" t="e">
        <f>AND(#REF!,"AAAAAH+/3Y4=")</f>
        <v>#REF!</v>
      </c>
      <c r="EN343" t="e">
        <f>AND(#REF!,"AAAAAH+/3Y8=")</f>
        <v>#REF!</v>
      </c>
      <c r="EO343" t="e">
        <f>AND(#REF!,"AAAAAH+/3ZA=")</f>
        <v>#REF!</v>
      </c>
      <c r="EP343" t="e">
        <f>AND(#REF!,"AAAAAH+/3ZE=")</f>
        <v>#REF!</v>
      </c>
      <c r="EQ343" t="e">
        <f>AND(#REF!,"AAAAAH+/3ZI=")</f>
        <v>#REF!</v>
      </c>
      <c r="ER343" t="e">
        <f>IF(#REF!,"AAAAAH+/3ZM=",0)</f>
        <v>#REF!</v>
      </c>
      <c r="ES343" t="e">
        <f>AND(#REF!,"AAAAAH+/3ZQ=")</f>
        <v>#REF!</v>
      </c>
      <c r="ET343" t="e">
        <f>AND(#REF!,"AAAAAH+/3ZU=")</f>
        <v>#REF!</v>
      </c>
      <c r="EU343" t="e">
        <f>AND(#REF!,"AAAAAH+/3ZY=")</f>
        <v>#REF!</v>
      </c>
      <c r="EV343" t="e">
        <f>AND(#REF!,"AAAAAH+/3Zc=")</f>
        <v>#REF!</v>
      </c>
      <c r="EW343" t="e">
        <f>AND(#REF!,"AAAAAH+/3Zg=")</f>
        <v>#REF!</v>
      </c>
      <c r="EX343" t="e">
        <f>AND(#REF!,"AAAAAH+/3Zk=")</f>
        <v>#REF!</v>
      </c>
      <c r="EY343" t="e">
        <f>AND(#REF!,"AAAAAH+/3Zo=")</f>
        <v>#REF!</v>
      </c>
      <c r="EZ343" t="e">
        <f>AND(#REF!,"AAAAAH+/3Zs=")</f>
        <v>#REF!</v>
      </c>
      <c r="FA343" t="e">
        <f>AND(#REF!,"AAAAAH+/3Zw=")</f>
        <v>#REF!</v>
      </c>
      <c r="FB343" t="e">
        <f>AND(#REF!,"AAAAAH+/3Z0=")</f>
        <v>#REF!</v>
      </c>
      <c r="FC343" t="e">
        <f>IF(#REF!,"AAAAAH+/3Z4=",0)</f>
        <v>#REF!</v>
      </c>
      <c r="FD343" t="e">
        <f>AND(#REF!,"AAAAAH+/3Z8=")</f>
        <v>#REF!</v>
      </c>
      <c r="FE343" t="e">
        <f>AND(#REF!,"AAAAAH+/3aA=")</f>
        <v>#REF!</v>
      </c>
      <c r="FF343" t="e">
        <f>AND(#REF!,"AAAAAH+/3aE=")</f>
        <v>#REF!</v>
      </c>
      <c r="FG343" t="e">
        <f>AND(#REF!,"AAAAAH+/3aI=")</f>
        <v>#REF!</v>
      </c>
      <c r="FH343" t="e">
        <f>AND(#REF!,"AAAAAH+/3aM=")</f>
        <v>#REF!</v>
      </c>
      <c r="FI343" t="e">
        <f>AND(#REF!,"AAAAAH+/3aQ=")</f>
        <v>#REF!</v>
      </c>
      <c r="FJ343" t="e">
        <f>AND(#REF!,"AAAAAH+/3aU=")</f>
        <v>#REF!</v>
      </c>
      <c r="FK343" t="e">
        <f>AND(#REF!,"AAAAAH+/3aY=")</f>
        <v>#REF!</v>
      </c>
      <c r="FL343" t="e">
        <f>AND(#REF!,"AAAAAH+/3ac=")</f>
        <v>#REF!</v>
      </c>
      <c r="FM343" t="e">
        <f>AND(#REF!,"AAAAAH+/3ag=")</f>
        <v>#REF!</v>
      </c>
      <c r="FN343" t="e">
        <f>IF(#REF!,"AAAAAH+/3ak=",0)</f>
        <v>#REF!</v>
      </c>
      <c r="FO343" t="e">
        <f>AND(#REF!,"AAAAAH+/3ao=")</f>
        <v>#REF!</v>
      </c>
      <c r="FP343" t="e">
        <f>AND(#REF!,"AAAAAH+/3as=")</f>
        <v>#REF!</v>
      </c>
      <c r="FQ343" t="e">
        <f>AND(#REF!,"AAAAAH+/3aw=")</f>
        <v>#REF!</v>
      </c>
      <c r="FR343" t="e">
        <f>AND(#REF!,"AAAAAH+/3a0=")</f>
        <v>#REF!</v>
      </c>
      <c r="FS343" t="e">
        <f>AND(#REF!,"AAAAAH+/3a4=")</f>
        <v>#REF!</v>
      </c>
      <c r="FT343" t="e">
        <f>AND(#REF!,"AAAAAH+/3a8=")</f>
        <v>#REF!</v>
      </c>
      <c r="FU343" t="e">
        <f>AND(#REF!,"AAAAAH+/3bA=")</f>
        <v>#REF!</v>
      </c>
      <c r="FV343" t="e">
        <f>AND(#REF!,"AAAAAH+/3bE=")</f>
        <v>#REF!</v>
      </c>
      <c r="FW343" t="e">
        <f>AND(#REF!,"AAAAAH+/3bI=")</f>
        <v>#REF!</v>
      </c>
      <c r="FX343" t="e">
        <f>AND(#REF!,"AAAAAH+/3bM=")</f>
        <v>#REF!</v>
      </c>
      <c r="FY343" t="e">
        <f>IF(#REF!,"AAAAAH+/3bQ=",0)</f>
        <v>#REF!</v>
      </c>
      <c r="FZ343" t="e">
        <f>AND(#REF!,"AAAAAH+/3bU=")</f>
        <v>#REF!</v>
      </c>
      <c r="GA343" t="e">
        <f>AND(#REF!,"AAAAAH+/3bY=")</f>
        <v>#REF!</v>
      </c>
      <c r="GB343" t="e">
        <f>AND(#REF!,"AAAAAH+/3bc=")</f>
        <v>#REF!</v>
      </c>
      <c r="GC343" t="e">
        <f>AND(#REF!,"AAAAAH+/3bg=")</f>
        <v>#REF!</v>
      </c>
      <c r="GD343" t="e">
        <f>AND(#REF!,"AAAAAH+/3bk=")</f>
        <v>#REF!</v>
      </c>
      <c r="GE343" t="e">
        <f>AND(#REF!,"AAAAAH+/3bo=")</f>
        <v>#REF!</v>
      </c>
      <c r="GF343" t="e">
        <f>AND(#REF!,"AAAAAH+/3bs=")</f>
        <v>#REF!</v>
      </c>
      <c r="GG343" t="e">
        <f>AND(#REF!,"AAAAAH+/3bw=")</f>
        <v>#REF!</v>
      </c>
      <c r="GH343" t="e">
        <f>AND(#REF!,"AAAAAH+/3b0=")</f>
        <v>#REF!</v>
      </c>
      <c r="GI343" t="e">
        <f>AND(#REF!,"AAAAAH+/3b4=")</f>
        <v>#REF!</v>
      </c>
      <c r="GJ343" t="e">
        <f>IF(#REF!,"AAAAAH+/3b8=",0)</f>
        <v>#REF!</v>
      </c>
      <c r="GK343" t="e">
        <f>AND(#REF!,"AAAAAH+/3cA=")</f>
        <v>#REF!</v>
      </c>
      <c r="GL343" t="e">
        <f>AND(#REF!,"AAAAAH+/3cE=")</f>
        <v>#REF!</v>
      </c>
      <c r="GM343" t="e">
        <f>AND(#REF!,"AAAAAH+/3cI=")</f>
        <v>#REF!</v>
      </c>
      <c r="GN343" t="e">
        <f>AND(#REF!,"AAAAAH+/3cM=")</f>
        <v>#REF!</v>
      </c>
      <c r="GO343" t="e">
        <f>AND(#REF!,"AAAAAH+/3cQ=")</f>
        <v>#REF!</v>
      </c>
      <c r="GP343" t="e">
        <f>AND(#REF!,"AAAAAH+/3cU=")</f>
        <v>#REF!</v>
      </c>
      <c r="GQ343" t="e">
        <f>AND(#REF!,"AAAAAH+/3cY=")</f>
        <v>#REF!</v>
      </c>
      <c r="GR343" t="e">
        <f>AND(#REF!,"AAAAAH+/3cc=")</f>
        <v>#REF!</v>
      </c>
      <c r="GS343" t="e">
        <f>AND(#REF!,"AAAAAH+/3cg=")</f>
        <v>#REF!</v>
      </c>
      <c r="GT343" t="e">
        <f>AND(#REF!,"AAAAAH+/3ck=")</f>
        <v>#REF!</v>
      </c>
      <c r="GU343" t="e">
        <f>IF(#REF!,"AAAAAH+/3co=",0)</f>
        <v>#REF!</v>
      </c>
      <c r="GV343" t="e">
        <f>AND(#REF!,"AAAAAH+/3cs=")</f>
        <v>#REF!</v>
      </c>
      <c r="GW343" t="e">
        <f>AND(#REF!,"AAAAAH+/3cw=")</f>
        <v>#REF!</v>
      </c>
      <c r="GX343" t="e">
        <f>AND(#REF!,"AAAAAH+/3c0=")</f>
        <v>#REF!</v>
      </c>
      <c r="GY343" t="e">
        <f>AND(#REF!,"AAAAAH+/3c4=")</f>
        <v>#REF!</v>
      </c>
      <c r="GZ343" t="e">
        <f>AND(#REF!,"AAAAAH+/3c8=")</f>
        <v>#REF!</v>
      </c>
      <c r="HA343" t="e">
        <f>AND(#REF!,"AAAAAH+/3dA=")</f>
        <v>#REF!</v>
      </c>
      <c r="HB343" t="e">
        <f>AND(#REF!,"AAAAAH+/3dE=")</f>
        <v>#REF!</v>
      </c>
      <c r="HC343" t="e">
        <f>AND(#REF!,"AAAAAH+/3dI=")</f>
        <v>#REF!</v>
      </c>
      <c r="HD343" t="e">
        <f>AND(#REF!,"AAAAAH+/3dM=")</f>
        <v>#REF!</v>
      </c>
      <c r="HE343" t="e">
        <f>AND(#REF!,"AAAAAH+/3dQ=")</f>
        <v>#REF!</v>
      </c>
      <c r="HF343" t="e">
        <f>IF(#REF!,"AAAAAH+/3dU=",0)</f>
        <v>#REF!</v>
      </c>
      <c r="HG343" t="e">
        <f>AND(#REF!,"AAAAAH+/3dY=")</f>
        <v>#REF!</v>
      </c>
      <c r="HH343" t="e">
        <f>AND(#REF!,"AAAAAH+/3dc=")</f>
        <v>#REF!</v>
      </c>
      <c r="HI343" t="e">
        <f>AND(#REF!,"AAAAAH+/3dg=")</f>
        <v>#REF!</v>
      </c>
      <c r="HJ343" t="e">
        <f>AND(#REF!,"AAAAAH+/3dk=")</f>
        <v>#REF!</v>
      </c>
      <c r="HK343" t="e">
        <f>AND(#REF!,"AAAAAH+/3do=")</f>
        <v>#REF!</v>
      </c>
      <c r="HL343" t="e">
        <f>AND(#REF!,"AAAAAH+/3ds=")</f>
        <v>#REF!</v>
      </c>
      <c r="HM343" t="e">
        <f>AND(#REF!,"AAAAAH+/3dw=")</f>
        <v>#REF!</v>
      </c>
      <c r="HN343" t="e">
        <f>AND(#REF!,"AAAAAH+/3d0=")</f>
        <v>#REF!</v>
      </c>
      <c r="HO343" t="e">
        <f>AND(#REF!,"AAAAAH+/3d4=")</f>
        <v>#REF!</v>
      </c>
      <c r="HP343" t="e">
        <f>AND(#REF!,"AAAAAH+/3d8=")</f>
        <v>#REF!</v>
      </c>
      <c r="HQ343" t="e">
        <f>IF(#REF!,"AAAAAH+/3eA=",0)</f>
        <v>#REF!</v>
      </c>
      <c r="HR343" t="e">
        <f>AND(#REF!,"AAAAAH+/3eE=")</f>
        <v>#REF!</v>
      </c>
      <c r="HS343" t="e">
        <f>AND(#REF!,"AAAAAH+/3eI=")</f>
        <v>#REF!</v>
      </c>
      <c r="HT343" t="e">
        <f>AND(#REF!,"AAAAAH+/3eM=")</f>
        <v>#REF!</v>
      </c>
      <c r="HU343" t="e">
        <f>AND(#REF!,"AAAAAH+/3eQ=")</f>
        <v>#REF!</v>
      </c>
      <c r="HV343" t="e">
        <f>AND(#REF!,"AAAAAH+/3eU=")</f>
        <v>#REF!</v>
      </c>
      <c r="HW343" t="e">
        <f>AND(#REF!,"AAAAAH+/3eY=")</f>
        <v>#REF!</v>
      </c>
      <c r="HX343" t="e">
        <f>AND(#REF!,"AAAAAH+/3ec=")</f>
        <v>#REF!</v>
      </c>
      <c r="HY343" t="e">
        <f>AND(#REF!,"AAAAAH+/3eg=")</f>
        <v>#REF!</v>
      </c>
      <c r="HZ343" t="e">
        <f>AND(#REF!,"AAAAAH+/3ek=")</f>
        <v>#REF!</v>
      </c>
      <c r="IA343" t="e">
        <f>AND(#REF!,"AAAAAH+/3eo=")</f>
        <v>#REF!</v>
      </c>
      <c r="IB343" t="e">
        <f>IF(#REF!,"AAAAAH+/3es=",0)</f>
        <v>#REF!</v>
      </c>
      <c r="IC343" t="e">
        <f>AND(#REF!,"AAAAAH+/3ew=")</f>
        <v>#REF!</v>
      </c>
      <c r="ID343" t="e">
        <f>AND(#REF!,"AAAAAH+/3e0=")</f>
        <v>#REF!</v>
      </c>
      <c r="IE343" t="e">
        <f>AND(#REF!,"AAAAAH+/3e4=")</f>
        <v>#REF!</v>
      </c>
      <c r="IF343" t="e">
        <f>AND(#REF!,"AAAAAH+/3e8=")</f>
        <v>#REF!</v>
      </c>
      <c r="IG343" t="e">
        <f>AND(#REF!,"AAAAAH+/3fA=")</f>
        <v>#REF!</v>
      </c>
      <c r="IH343" t="e">
        <f>AND(#REF!,"AAAAAH+/3fE=")</f>
        <v>#REF!</v>
      </c>
      <c r="II343" t="e">
        <f>AND(#REF!,"AAAAAH+/3fI=")</f>
        <v>#REF!</v>
      </c>
      <c r="IJ343" t="e">
        <f>AND(#REF!,"AAAAAH+/3fM=")</f>
        <v>#REF!</v>
      </c>
      <c r="IK343" t="e">
        <f>AND(#REF!,"AAAAAH+/3fQ=")</f>
        <v>#REF!</v>
      </c>
      <c r="IL343" t="e">
        <f>AND(#REF!,"AAAAAH+/3fU=")</f>
        <v>#REF!</v>
      </c>
      <c r="IM343" t="e">
        <f>IF(#REF!,"AAAAAH+/3fY=",0)</f>
        <v>#REF!</v>
      </c>
      <c r="IN343" t="e">
        <f>AND(#REF!,"AAAAAH+/3fc=")</f>
        <v>#REF!</v>
      </c>
      <c r="IO343" t="e">
        <f>AND(#REF!,"AAAAAH+/3fg=")</f>
        <v>#REF!</v>
      </c>
      <c r="IP343" t="e">
        <f>AND(#REF!,"AAAAAH+/3fk=")</f>
        <v>#REF!</v>
      </c>
      <c r="IQ343" t="e">
        <f>AND(#REF!,"AAAAAH+/3fo=")</f>
        <v>#REF!</v>
      </c>
      <c r="IR343" t="e">
        <f>AND(#REF!,"AAAAAH+/3fs=")</f>
        <v>#REF!</v>
      </c>
      <c r="IS343" t="e">
        <f>AND(#REF!,"AAAAAH+/3fw=")</f>
        <v>#REF!</v>
      </c>
      <c r="IT343" t="e">
        <f>AND(#REF!,"AAAAAH+/3f0=")</f>
        <v>#REF!</v>
      </c>
      <c r="IU343" t="e">
        <f>AND(#REF!,"AAAAAH+/3f4=")</f>
        <v>#REF!</v>
      </c>
      <c r="IV343" t="e">
        <f>AND(#REF!,"AAAAAH+/3f8=")</f>
        <v>#REF!</v>
      </c>
    </row>
    <row r="344" spans="1:256" x14ac:dyDescent="0.25">
      <c r="A344" t="e">
        <f>AND(#REF!,"AAAAADd/PwA=")</f>
        <v>#REF!</v>
      </c>
      <c r="B344" t="e">
        <f>IF(#REF!,"AAAAADd/PwE=",0)</f>
        <v>#REF!</v>
      </c>
      <c r="C344" t="e">
        <f>AND(#REF!,"AAAAADd/PwI=")</f>
        <v>#REF!</v>
      </c>
      <c r="D344" t="e">
        <f>AND(#REF!,"AAAAADd/PwM=")</f>
        <v>#REF!</v>
      </c>
      <c r="E344" t="e">
        <f>AND(#REF!,"AAAAADd/PwQ=")</f>
        <v>#REF!</v>
      </c>
      <c r="F344" t="e">
        <f>AND(#REF!,"AAAAADd/PwU=")</f>
        <v>#REF!</v>
      </c>
      <c r="G344" t="e">
        <f>AND(#REF!,"AAAAADd/PwY=")</f>
        <v>#REF!</v>
      </c>
      <c r="H344" t="e">
        <f>AND(#REF!,"AAAAADd/Pwc=")</f>
        <v>#REF!</v>
      </c>
      <c r="I344" t="e">
        <f>AND(#REF!,"AAAAADd/Pwg=")</f>
        <v>#REF!</v>
      </c>
      <c r="J344" t="e">
        <f>AND(#REF!,"AAAAADd/Pwk=")</f>
        <v>#REF!</v>
      </c>
      <c r="K344" t="e">
        <f>AND(#REF!,"AAAAADd/Pwo=")</f>
        <v>#REF!</v>
      </c>
      <c r="L344" t="e">
        <f>AND(#REF!,"AAAAADd/Pws=")</f>
        <v>#REF!</v>
      </c>
      <c r="M344" t="e">
        <f>IF(#REF!,"AAAAADd/Pww=",0)</f>
        <v>#REF!</v>
      </c>
      <c r="N344" t="e">
        <f>AND(#REF!,"AAAAADd/Pw0=")</f>
        <v>#REF!</v>
      </c>
      <c r="O344" t="e">
        <f>AND(#REF!,"AAAAADd/Pw4=")</f>
        <v>#REF!</v>
      </c>
      <c r="P344" t="e">
        <f>AND(#REF!,"AAAAADd/Pw8=")</f>
        <v>#REF!</v>
      </c>
      <c r="Q344" t="e">
        <f>AND(#REF!,"AAAAADd/PxA=")</f>
        <v>#REF!</v>
      </c>
      <c r="R344" t="e">
        <f>AND(#REF!,"AAAAADd/PxE=")</f>
        <v>#REF!</v>
      </c>
      <c r="S344" t="e">
        <f>AND(#REF!,"AAAAADd/PxI=")</f>
        <v>#REF!</v>
      </c>
      <c r="T344" t="e">
        <f>AND(#REF!,"AAAAADd/PxM=")</f>
        <v>#REF!</v>
      </c>
      <c r="U344" t="e">
        <f>AND(#REF!,"AAAAADd/PxQ=")</f>
        <v>#REF!</v>
      </c>
      <c r="V344" t="e">
        <f>AND(#REF!,"AAAAADd/PxU=")</f>
        <v>#REF!</v>
      </c>
      <c r="W344" t="e">
        <f>AND(#REF!,"AAAAADd/PxY=")</f>
        <v>#REF!</v>
      </c>
      <c r="X344" t="e">
        <f>IF(#REF!,"AAAAADd/Pxc=",0)</f>
        <v>#REF!</v>
      </c>
      <c r="Y344" t="e">
        <f>AND(#REF!,"AAAAADd/Pxg=")</f>
        <v>#REF!</v>
      </c>
      <c r="Z344" t="e">
        <f>AND(#REF!,"AAAAADd/Pxk=")</f>
        <v>#REF!</v>
      </c>
      <c r="AA344" t="e">
        <f>AND(#REF!,"AAAAADd/Pxo=")</f>
        <v>#REF!</v>
      </c>
      <c r="AB344" t="e">
        <f>AND(#REF!,"AAAAADd/Pxs=")</f>
        <v>#REF!</v>
      </c>
      <c r="AC344" t="e">
        <f>AND(#REF!,"AAAAADd/Pxw=")</f>
        <v>#REF!</v>
      </c>
      <c r="AD344" t="e">
        <f>AND(#REF!,"AAAAADd/Px0=")</f>
        <v>#REF!</v>
      </c>
      <c r="AE344" t="e">
        <f>AND(#REF!,"AAAAADd/Px4=")</f>
        <v>#REF!</v>
      </c>
      <c r="AF344" t="e">
        <f>AND(#REF!,"AAAAADd/Px8=")</f>
        <v>#REF!</v>
      </c>
      <c r="AG344" t="e">
        <f>AND(#REF!,"AAAAADd/PyA=")</f>
        <v>#REF!</v>
      </c>
      <c r="AH344" t="e">
        <f>AND(#REF!,"AAAAADd/PyE=")</f>
        <v>#REF!</v>
      </c>
      <c r="AI344" t="e">
        <f>IF(#REF!,"AAAAADd/PyI=",0)</f>
        <v>#REF!</v>
      </c>
      <c r="AJ344" t="e">
        <f>AND(#REF!,"AAAAADd/PyM=")</f>
        <v>#REF!</v>
      </c>
      <c r="AK344" t="e">
        <f>AND(#REF!,"AAAAADd/PyQ=")</f>
        <v>#REF!</v>
      </c>
      <c r="AL344" t="e">
        <f>AND(#REF!,"AAAAADd/PyU=")</f>
        <v>#REF!</v>
      </c>
      <c r="AM344" t="e">
        <f>AND(#REF!,"AAAAADd/PyY=")</f>
        <v>#REF!</v>
      </c>
      <c r="AN344" t="e">
        <f>AND(#REF!,"AAAAADd/Pyc=")</f>
        <v>#REF!</v>
      </c>
      <c r="AO344" t="e">
        <f>AND(#REF!,"AAAAADd/Pyg=")</f>
        <v>#REF!</v>
      </c>
      <c r="AP344" t="e">
        <f>AND(#REF!,"AAAAADd/Pyk=")</f>
        <v>#REF!</v>
      </c>
      <c r="AQ344" t="e">
        <f>AND(#REF!,"AAAAADd/Pyo=")</f>
        <v>#REF!</v>
      </c>
      <c r="AR344" t="e">
        <f>AND(#REF!,"AAAAADd/Pys=")</f>
        <v>#REF!</v>
      </c>
      <c r="AS344" t="e">
        <f>AND(#REF!,"AAAAADd/Pyw=")</f>
        <v>#REF!</v>
      </c>
      <c r="AT344" t="e">
        <f>IF(#REF!,"AAAAADd/Py0=",0)</f>
        <v>#REF!</v>
      </c>
      <c r="AU344" t="e">
        <f>AND(#REF!,"AAAAADd/Py4=")</f>
        <v>#REF!</v>
      </c>
      <c r="AV344" t="e">
        <f>AND(#REF!,"AAAAADd/Py8=")</f>
        <v>#REF!</v>
      </c>
      <c r="AW344" t="e">
        <f>AND(#REF!,"AAAAADd/PzA=")</f>
        <v>#REF!</v>
      </c>
      <c r="AX344" t="e">
        <f>AND(#REF!,"AAAAADd/PzE=")</f>
        <v>#REF!</v>
      </c>
      <c r="AY344" t="e">
        <f>AND(#REF!,"AAAAADd/PzI=")</f>
        <v>#REF!</v>
      </c>
      <c r="AZ344" t="e">
        <f>AND(#REF!,"AAAAADd/PzM=")</f>
        <v>#REF!</v>
      </c>
      <c r="BA344" t="e">
        <f>AND(#REF!,"AAAAADd/PzQ=")</f>
        <v>#REF!</v>
      </c>
      <c r="BB344" t="e">
        <f>AND(#REF!,"AAAAADd/PzU=")</f>
        <v>#REF!</v>
      </c>
      <c r="BC344" t="e">
        <f>AND(#REF!,"AAAAADd/PzY=")</f>
        <v>#REF!</v>
      </c>
      <c r="BD344" t="e">
        <f>AND(#REF!,"AAAAADd/Pzc=")</f>
        <v>#REF!</v>
      </c>
      <c r="BE344" t="e">
        <f>IF(#REF!,"AAAAADd/Pzg=",0)</f>
        <v>#REF!</v>
      </c>
      <c r="BF344" t="e">
        <f>AND(#REF!,"AAAAADd/Pzk=")</f>
        <v>#REF!</v>
      </c>
      <c r="BG344" t="e">
        <f>AND(#REF!,"AAAAADd/Pzo=")</f>
        <v>#REF!</v>
      </c>
      <c r="BH344" t="e">
        <f>AND(#REF!,"AAAAADd/Pzs=")</f>
        <v>#REF!</v>
      </c>
      <c r="BI344" t="e">
        <f>AND(#REF!,"AAAAADd/Pzw=")</f>
        <v>#REF!</v>
      </c>
      <c r="BJ344" t="e">
        <f>AND(#REF!,"AAAAADd/Pz0=")</f>
        <v>#REF!</v>
      </c>
      <c r="BK344" t="e">
        <f>AND(#REF!,"AAAAADd/Pz4=")</f>
        <v>#REF!</v>
      </c>
      <c r="BL344" t="e">
        <f>AND(#REF!,"AAAAADd/Pz8=")</f>
        <v>#REF!</v>
      </c>
      <c r="BM344" t="e">
        <f>AND(#REF!,"AAAAADd/P0A=")</f>
        <v>#REF!</v>
      </c>
      <c r="BN344" t="e">
        <f>AND(#REF!,"AAAAADd/P0E=")</f>
        <v>#REF!</v>
      </c>
      <c r="BO344" t="e">
        <f>AND(#REF!,"AAAAADd/P0I=")</f>
        <v>#REF!</v>
      </c>
      <c r="BP344" t="e">
        <f>IF(#REF!,"AAAAADd/P0M=",0)</f>
        <v>#REF!</v>
      </c>
      <c r="BQ344" t="e">
        <f>AND(#REF!,"AAAAADd/P0Q=")</f>
        <v>#REF!</v>
      </c>
      <c r="BR344" t="e">
        <f>AND(#REF!,"AAAAADd/P0U=")</f>
        <v>#REF!</v>
      </c>
      <c r="BS344" t="e">
        <f>AND(#REF!,"AAAAADd/P0Y=")</f>
        <v>#REF!</v>
      </c>
      <c r="BT344" t="e">
        <f>AND(#REF!,"AAAAADd/P0c=")</f>
        <v>#REF!</v>
      </c>
      <c r="BU344" t="e">
        <f>AND(#REF!,"AAAAADd/P0g=")</f>
        <v>#REF!</v>
      </c>
      <c r="BV344" t="e">
        <f>AND(#REF!,"AAAAADd/P0k=")</f>
        <v>#REF!</v>
      </c>
      <c r="BW344" t="e">
        <f>AND(#REF!,"AAAAADd/P0o=")</f>
        <v>#REF!</v>
      </c>
      <c r="BX344" t="e">
        <f>AND(#REF!,"AAAAADd/P0s=")</f>
        <v>#REF!</v>
      </c>
      <c r="BY344" t="e">
        <f>AND(#REF!,"AAAAADd/P0w=")</f>
        <v>#REF!</v>
      </c>
      <c r="BZ344" t="e">
        <f>AND(#REF!,"AAAAADd/P00=")</f>
        <v>#REF!</v>
      </c>
      <c r="CA344" t="e">
        <f>IF(#REF!,"AAAAADd/P04=",0)</f>
        <v>#REF!</v>
      </c>
      <c r="CB344" t="e">
        <f>AND(#REF!,"AAAAADd/P08=")</f>
        <v>#REF!</v>
      </c>
      <c r="CC344" t="e">
        <f>AND(#REF!,"AAAAADd/P1A=")</f>
        <v>#REF!</v>
      </c>
      <c r="CD344" t="e">
        <f>AND(#REF!,"AAAAADd/P1E=")</f>
        <v>#REF!</v>
      </c>
      <c r="CE344" t="e">
        <f>AND(#REF!,"AAAAADd/P1I=")</f>
        <v>#REF!</v>
      </c>
      <c r="CF344" t="e">
        <f>AND(#REF!,"AAAAADd/P1M=")</f>
        <v>#REF!</v>
      </c>
      <c r="CG344" t="e">
        <f>AND(#REF!,"AAAAADd/P1Q=")</f>
        <v>#REF!</v>
      </c>
      <c r="CH344" t="e">
        <f>AND(#REF!,"AAAAADd/P1U=")</f>
        <v>#REF!</v>
      </c>
      <c r="CI344" t="e">
        <f>AND(#REF!,"AAAAADd/P1Y=")</f>
        <v>#REF!</v>
      </c>
      <c r="CJ344" t="e">
        <f>AND(#REF!,"AAAAADd/P1c=")</f>
        <v>#REF!</v>
      </c>
      <c r="CK344" t="e">
        <f>AND(#REF!,"AAAAADd/P1g=")</f>
        <v>#REF!</v>
      </c>
      <c r="CL344" t="e">
        <f>IF(#REF!,"AAAAADd/P1k=",0)</f>
        <v>#REF!</v>
      </c>
      <c r="CM344" t="e">
        <f>AND(#REF!,"AAAAADd/P1o=")</f>
        <v>#REF!</v>
      </c>
      <c r="CN344" t="e">
        <f>AND(#REF!,"AAAAADd/P1s=")</f>
        <v>#REF!</v>
      </c>
      <c r="CO344" t="e">
        <f>AND(#REF!,"AAAAADd/P1w=")</f>
        <v>#REF!</v>
      </c>
      <c r="CP344" t="e">
        <f>AND(#REF!,"AAAAADd/P10=")</f>
        <v>#REF!</v>
      </c>
      <c r="CQ344" t="e">
        <f>AND(#REF!,"AAAAADd/P14=")</f>
        <v>#REF!</v>
      </c>
      <c r="CR344" t="e">
        <f>AND(#REF!,"AAAAADd/P18=")</f>
        <v>#REF!</v>
      </c>
      <c r="CS344" t="e">
        <f>AND(#REF!,"AAAAADd/P2A=")</f>
        <v>#REF!</v>
      </c>
      <c r="CT344" t="e">
        <f>AND(#REF!,"AAAAADd/P2E=")</f>
        <v>#REF!</v>
      </c>
      <c r="CU344" t="e">
        <f>AND(#REF!,"AAAAADd/P2I=")</f>
        <v>#REF!</v>
      </c>
      <c r="CV344" t="e">
        <f>AND(#REF!,"AAAAADd/P2M=")</f>
        <v>#REF!</v>
      </c>
      <c r="CW344" t="e">
        <f>IF(#REF!,"AAAAADd/P2Q=",0)</f>
        <v>#REF!</v>
      </c>
      <c r="CX344" t="e">
        <f>AND(#REF!,"AAAAADd/P2U=")</f>
        <v>#REF!</v>
      </c>
      <c r="CY344" t="e">
        <f>AND(#REF!,"AAAAADd/P2Y=")</f>
        <v>#REF!</v>
      </c>
      <c r="CZ344" t="e">
        <f>AND(#REF!,"AAAAADd/P2c=")</f>
        <v>#REF!</v>
      </c>
      <c r="DA344" t="e">
        <f>AND(#REF!,"AAAAADd/P2g=")</f>
        <v>#REF!</v>
      </c>
      <c r="DB344" t="e">
        <f>AND(#REF!,"AAAAADd/P2k=")</f>
        <v>#REF!</v>
      </c>
      <c r="DC344" t="e">
        <f>AND(#REF!,"AAAAADd/P2o=")</f>
        <v>#REF!</v>
      </c>
      <c r="DD344" t="e">
        <f>AND(#REF!,"AAAAADd/P2s=")</f>
        <v>#REF!</v>
      </c>
      <c r="DE344" t="e">
        <f>AND(#REF!,"AAAAADd/P2w=")</f>
        <v>#REF!</v>
      </c>
      <c r="DF344" t="e">
        <f>AND(#REF!,"AAAAADd/P20=")</f>
        <v>#REF!</v>
      </c>
      <c r="DG344" t="e">
        <f>AND(#REF!,"AAAAADd/P24=")</f>
        <v>#REF!</v>
      </c>
      <c r="DH344" t="e">
        <f>IF(#REF!,"AAAAADd/P28=",0)</f>
        <v>#REF!</v>
      </c>
      <c r="DI344" t="e">
        <f>AND(#REF!,"AAAAADd/P3A=")</f>
        <v>#REF!</v>
      </c>
      <c r="DJ344" t="e">
        <f>AND(#REF!,"AAAAADd/P3E=")</f>
        <v>#REF!</v>
      </c>
      <c r="DK344" t="e">
        <f>AND(#REF!,"AAAAADd/P3I=")</f>
        <v>#REF!</v>
      </c>
      <c r="DL344" t="e">
        <f>AND(#REF!,"AAAAADd/P3M=")</f>
        <v>#REF!</v>
      </c>
      <c r="DM344" t="e">
        <f>AND(#REF!,"AAAAADd/P3Q=")</f>
        <v>#REF!</v>
      </c>
      <c r="DN344" t="e">
        <f>AND(#REF!,"AAAAADd/P3U=")</f>
        <v>#REF!</v>
      </c>
      <c r="DO344" t="e">
        <f>AND(#REF!,"AAAAADd/P3Y=")</f>
        <v>#REF!</v>
      </c>
      <c r="DP344" t="e">
        <f>AND(#REF!,"AAAAADd/P3c=")</f>
        <v>#REF!</v>
      </c>
      <c r="DQ344" t="e">
        <f>AND(#REF!,"AAAAADd/P3g=")</f>
        <v>#REF!</v>
      </c>
      <c r="DR344" t="e">
        <f>AND(#REF!,"AAAAADd/P3k=")</f>
        <v>#REF!</v>
      </c>
      <c r="DS344" t="e">
        <f>IF(#REF!,"AAAAADd/P3o=",0)</f>
        <v>#REF!</v>
      </c>
      <c r="DT344" t="e">
        <f>AND(#REF!,"AAAAADd/P3s=")</f>
        <v>#REF!</v>
      </c>
      <c r="DU344" t="e">
        <f>AND(#REF!,"AAAAADd/P3w=")</f>
        <v>#REF!</v>
      </c>
      <c r="DV344" t="e">
        <f>AND(#REF!,"AAAAADd/P30=")</f>
        <v>#REF!</v>
      </c>
      <c r="DW344" t="e">
        <f>AND(#REF!,"AAAAADd/P34=")</f>
        <v>#REF!</v>
      </c>
      <c r="DX344" t="e">
        <f>AND(#REF!,"AAAAADd/P38=")</f>
        <v>#REF!</v>
      </c>
      <c r="DY344" t="e">
        <f>AND(#REF!,"AAAAADd/P4A=")</f>
        <v>#REF!</v>
      </c>
      <c r="DZ344" t="e">
        <f>AND(#REF!,"AAAAADd/P4E=")</f>
        <v>#REF!</v>
      </c>
      <c r="EA344" t="e">
        <f>AND(#REF!,"AAAAADd/P4I=")</f>
        <v>#REF!</v>
      </c>
      <c r="EB344" t="e">
        <f>AND(#REF!,"AAAAADd/P4M=")</f>
        <v>#REF!</v>
      </c>
      <c r="EC344" t="e">
        <f>AND(#REF!,"AAAAADd/P4Q=")</f>
        <v>#REF!</v>
      </c>
      <c r="ED344" t="e">
        <f>IF(#REF!,"AAAAADd/P4U=",0)</f>
        <v>#REF!</v>
      </c>
      <c r="EE344" t="e">
        <f>AND(#REF!,"AAAAADd/P4Y=")</f>
        <v>#REF!</v>
      </c>
      <c r="EF344" t="e">
        <f>AND(#REF!,"AAAAADd/P4c=")</f>
        <v>#REF!</v>
      </c>
      <c r="EG344" t="e">
        <f>AND(#REF!,"AAAAADd/P4g=")</f>
        <v>#REF!</v>
      </c>
      <c r="EH344" t="e">
        <f>AND(#REF!,"AAAAADd/P4k=")</f>
        <v>#REF!</v>
      </c>
      <c r="EI344" t="e">
        <f>AND(#REF!,"AAAAADd/P4o=")</f>
        <v>#REF!</v>
      </c>
      <c r="EJ344" t="e">
        <f>AND(#REF!,"AAAAADd/P4s=")</f>
        <v>#REF!</v>
      </c>
      <c r="EK344" t="e">
        <f>AND(#REF!,"AAAAADd/P4w=")</f>
        <v>#REF!</v>
      </c>
      <c r="EL344" t="e">
        <f>AND(#REF!,"AAAAADd/P40=")</f>
        <v>#REF!</v>
      </c>
      <c r="EM344" t="e">
        <f>AND(#REF!,"AAAAADd/P44=")</f>
        <v>#REF!</v>
      </c>
      <c r="EN344" t="e">
        <f>AND(#REF!,"AAAAADd/P48=")</f>
        <v>#REF!</v>
      </c>
      <c r="EO344" t="e">
        <f>IF(#REF!,"AAAAADd/P5A=",0)</f>
        <v>#REF!</v>
      </c>
      <c r="EP344" t="e">
        <f>AND(#REF!,"AAAAADd/P5E=")</f>
        <v>#REF!</v>
      </c>
      <c r="EQ344" t="e">
        <f>AND(#REF!,"AAAAADd/P5I=")</f>
        <v>#REF!</v>
      </c>
      <c r="ER344" t="e">
        <f>AND(#REF!,"AAAAADd/P5M=")</f>
        <v>#REF!</v>
      </c>
      <c r="ES344" t="e">
        <f>AND(#REF!,"AAAAADd/P5Q=")</f>
        <v>#REF!</v>
      </c>
      <c r="ET344" t="e">
        <f>AND(#REF!,"AAAAADd/P5U=")</f>
        <v>#REF!</v>
      </c>
      <c r="EU344" t="e">
        <f>AND(#REF!,"AAAAADd/P5Y=")</f>
        <v>#REF!</v>
      </c>
      <c r="EV344" t="e">
        <f>AND(#REF!,"AAAAADd/P5c=")</f>
        <v>#REF!</v>
      </c>
      <c r="EW344" t="e">
        <f>AND(#REF!,"AAAAADd/P5g=")</f>
        <v>#REF!</v>
      </c>
      <c r="EX344" t="e">
        <f>AND(#REF!,"AAAAADd/P5k=")</f>
        <v>#REF!</v>
      </c>
      <c r="EY344" t="e">
        <f>AND(#REF!,"AAAAADd/P5o=")</f>
        <v>#REF!</v>
      </c>
      <c r="EZ344" t="e">
        <f>IF(#REF!,"AAAAADd/P5s=",0)</f>
        <v>#REF!</v>
      </c>
      <c r="FA344" t="e">
        <f>AND(#REF!,"AAAAADd/P5w=")</f>
        <v>#REF!</v>
      </c>
      <c r="FB344" t="e">
        <f>AND(#REF!,"AAAAADd/P50=")</f>
        <v>#REF!</v>
      </c>
      <c r="FC344" t="e">
        <f>AND(#REF!,"AAAAADd/P54=")</f>
        <v>#REF!</v>
      </c>
      <c r="FD344" t="e">
        <f>AND(#REF!,"AAAAADd/P58=")</f>
        <v>#REF!</v>
      </c>
      <c r="FE344" t="e">
        <f>AND(#REF!,"AAAAADd/P6A=")</f>
        <v>#REF!</v>
      </c>
      <c r="FF344" t="e">
        <f>AND(#REF!,"AAAAADd/P6E=")</f>
        <v>#REF!</v>
      </c>
      <c r="FG344" t="e">
        <f>AND(#REF!,"AAAAADd/P6I=")</f>
        <v>#REF!</v>
      </c>
      <c r="FH344" t="e">
        <f>AND(#REF!,"AAAAADd/P6M=")</f>
        <v>#REF!</v>
      </c>
      <c r="FI344" t="e">
        <f>AND(#REF!,"AAAAADd/P6Q=")</f>
        <v>#REF!</v>
      </c>
      <c r="FJ344" t="e">
        <f>AND(#REF!,"AAAAADd/P6U=")</f>
        <v>#REF!</v>
      </c>
      <c r="FK344" t="e">
        <f>IF(#REF!,"AAAAADd/P6Y=",0)</f>
        <v>#REF!</v>
      </c>
      <c r="FL344" t="e">
        <f>AND(#REF!,"AAAAADd/P6c=")</f>
        <v>#REF!</v>
      </c>
      <c r="FM344" t="e">
        <f>AND(#REF!,"AAAAADd/P6g=")</f>
        <v>#REF!</v>
      </c>
      <c r="FN344" t="e">
        <f>AND(#REF!,"AAAAADd/P6k=")</f>
        <v>#REF!</v>
      </c>
      <c r="FO344" t="e">
        <f>AND(#REF!,"AAAAADd/P6o=")</f>
        <v>#REF!</v>
      </c>
      <c r="FP344" t="e">
        <f>AND(#REF!,"AAAAADd/P6s=")</f>
        <v>#REF!</v>
      </c>
      <c r="FQ344" t="e">
        <f>AND(#REF!,"AAAAADd/P6w=")</f>
        <v>#REF!</v>
      </c>
      <c r="FR344" t="e">
        <f>AND(#REF!,"AAAAADd/P60=")</f>
        <v>#REF!</v>
      </c>
      <c r="FS344" t="e">
        <f>AND(#REF!,"AAAAADd/P64=")</f>
        <v>#REF!</v>
      </c>
      <c r="FT344" t="e">
        <f>AND(#REF!,"AAAAADd/P68=")</f>
        <v>#REF!</v>
      </c>
      <c r="FU344" t="e">
        <f>AND(#REF!,"AAAAADd/P7A=")</f>
        <v>#REF!</v>
      </c>
      <c r="FV344" t="e">
        <f>IF(#REF!,"AAAAADd/P7E=",0)</f>
        <v>#REF!</v>
      </c>
      <c r="FW344" t="e">
        <f>AND(#REF!,"AAAAADd/P7I=")</f>
        <v>#REF!</v>
      </c>
      <c r="FX344" t="e">
        <f>AND(#REF!,"AAAAADd/P7M=")</f>
        <v>#REF!</v>
      </c>
      <c r="FY344" t="e">
        <f>AND(#REF!,"AAAAADd/P7Q=")</f>
        <v>#REF!</v>
      </c>
      <c r="FZ344" t="e">
        <f>AND(#REF!,"AAAAADd/P7U=")</f>
        <v>#REF!</v>
      </c>
      <c r="GA344" t="e">
        <f>AND(#REF!,"AAAAADd/P7Y=")</f>
        <v>#REF!</v>
      </c>
      <c r="GB344" t="e">
        <f>AND(#REF!,"AAAAADd/P7c=")</f>
        <v>#REF!</v>
      </c>
      <c r="GC344" t="e">
        <f>AND(#REF!,"AAAAADd/P7g=")</f>
        <v>#REF!</v>
      </c>
      <c r="GD344" t="e">
        <f>AND(#REF!,"AAAAADd/P7k=")</f>
        <v>#REF!</v>
      </c>
      <c r="GE344" t="e">
        <f>AND(#REF!,"AAAAADd/P7o=")</f>
        <v>#REF!</v>
      </c>
      <c r="GF344" t="e">
        <f>AND(#REF!,"AAAAADd/P7s=")</f>
        <v>#REF!</v>
      </c>
      <c r="GG344" t="e">
        <f>IF(#REF!,"AAAAADd/P7w=",0)</f>
        <v>#REF!</v>
      </c>
      <c r="GH344" t="e">
        <f>AND(#REF!,"AAAAADd/P70=")</f>
        <v>#REF!</v>
      </c>
      <c r="GI344" t="e">
        <f>AND(#REF!,"AAAAADd/P74=")</f>
        <v>#REF!</v>
      </c>
      <c r="GJ344" t="e">
        <f>AND(#REF!,"AAAAADd/P78=")</f>
        <v>#REF!</v>
      </c>
      <c r="GK344" t="e">
        <f>AND(#REF!,"AAAAADd/P8A=")</f>
        <v>#REF!</v>
      </c>
      <c r="GL344" t="e">
        <f>AND(#REF!,"AAAAADd/P8E=")</f>
        <v>#REF!</v>
      </c>
      <c r="GM344" t="e">
        <f>AND(#REF!,"AAAAADd/P8I=")</f>
        <v>#REF!</v>
      </c>
      <c r="GN344" t="e">
        <f>AND(#REF!,"AAAAADd/P8M=")</f>
        <v>#REF!</v>
      </c>
      <c r="GO344" t="e">
        <f>AND(#REF!,"AAAAADd/P8Q=")</f>
        <v>#REF!</v>
      </c>
      <c r="GP344" t="e">
        <f>AND(#REF!,"AAAAADd/P8U=")</f>
        <v>#REF!</v>
      </c>
      <c r="GQ344" t="e">
        <f>AND(#REF!,"AAAAADd/P8Y=")</f>
        <v>#REF!</v>
      </c>
      <c r="GR344" t="e">
        <f>IF(#REF!,"AAAAADd/P8c=",0)</f>
        <v>#REF!</v>
      </c>
      <c r="GS344" t="e">
        <f>AND(#REF!,"AAAAADd/P8g=")</f>
        <v>#REF!</v>
      </c>
      <c r="GT344" t="e">
        <f>AND(#REF!,"AAAAADd/P8k=")</f>
        <v>#REF!</v>
      </c>
      <c r="GU344" t="e">
        <f>AND(#REF!,"AAAAADd/P8o=")</f>
        <v>#REF!</v>
      </c>
      <c r="GV344" t="e">
        <f>AND(#REF!,"AAAAADd/P8s=")</f>
        <v>#REF!</v>
      </c>
      <c r="GW344" t="e">
        <f>AND(#REF!,"AAAAADd/P8w=")</f>
        <v>#REF!</v>
      </c>
      <c r="GX344" t="e">
        <f>AND(#REF!,"AAAAADd/P80=")</f>
        <v>#REF!</v>
      </c>
      <c r="GY344" t="e">
        <f>AND(#REF!,"AAAAADd/P84=")</f>
        <v>#REF!</v>
      </c>
      <c r="GZ344" t="e">
        <f>AND(#REF!,"AAAAADd/P88=")</f>
        <v>#REF!</v>
      </c>
      <c r="HA344" t="e">
        <f>AND(#REF!,"AAAAADd/P9A=")</f>
        <v>#REF!</v>
      </c>
      <c r="HB344" t="e">
        <f>AND(#REF!,"AAAAADd/P9E=")</f>
        <v>#REF!</v>
      </c>
      <c r="HC344" t="e">
        <f>IF(#REF!,"AAAAADd/P9I=",0)</f>
        <v>#REF!</v>
      </c>
      <c r="HD344" t="e">
        <f>AND(#REF!,"AAAAADd/P9M=")</f>
        <v>#REF!</v>
      </c>
      <c r="HE344" t="e">
        <f>AND(#REF!,"AAAAADd/P9Q=")</f>
        <v>#REF!</v>
      </c>
      <c r="HF344" t="e">
        <f>AND(#REF!,"AAAAADd/P9U=")</f>
        <v>#REF!</v>
      </c>
      <c r="HG344" t="e">
        <f>AND(#REF!,"AAAAADd/P9Y=")</f>
        <v>#REF!</v>
      </c>
      <c r="HH344" t="e">
        <f>AND(#REF!,"AAAAADd/P9c=")</f>
        <v>#REF!</v>
      </c>
      <c r="HI344" t="e">
        <f>AND(#REF!,"AAAAADd/P9g=")</f>
        <v>#REF!</v>
      </c>
      <c r="HJ344" t="e">
        <f>AND(#REF!,"AAAAADd/P9k=")</f>
        <v>#REF!</v>
      </c>
      <c r="HK344" t="e">
        <f>AND(#REF!,"AAAAADd/P9o=")</f>
        <v>#REF!</v>
      </c>
      <c r="HL344" t="e">
        <f>AND(#REF!,"AAAAADd/P9s=")</f>
        <v>#REF!</v>
      </c>
      <c r="HM344" t="e">
        <f>AND(#REF!,"AAAAADd/P9w=")</f>
        <v>#REF!</v>
      </c>
      <c r="HN344" t="e">
        <f>IF(#REF!,"AAAAADd/P90=",0)</f>
        <v>#REF!</v>
      </c>
      <c r="HO344" t="e">
        <f>AND(#REF!,"AAAAADd/P94=")</f>
        <v>#REF!</v>
      </c>
      <c r="HP344" t="e">
        <f>AND(#REF!,"AAAAADd/P98=")</f>
        <v>#REF!</v>
      </c>
      <c r="HQ344" t="e">
        <f>AND(#REF!,"AAAAADd/P+A=")</f>
        <v>#REF!</v>
      </c>
      <c r="HR344" t="e">
        <f>AND(#REF!,"AAAAADd/P+E=")</f>
        <v>#REF!</v>
      </c>
      <c r="HS344" t="e">
        <f>AND(#REF!,"AAAAADd/P+I=")</f>
        <v>#REF!</v>
      </c>
      <c r="HT344" t="e">
        <f>AND(#REF!,"AAAAADd/P+M=")</f>
        <v>#REF!</v>
      </c>
      <c r="HU344" t="e">
        <f>AND(#REF!,"AAAAADd/P+Q=")</f>
        <v>#REF!</v>
      </c>
      <c r="HV344" t="e">
        <f>AND(#REF!,"AAAAADd/P+U=")</f>
        <v>#REF!</v>
      </c>
      <c r="HW344" t="e">
        <f>AND(#REF!,"AAAAADd/P+Y=")</f>
        <v>#REF!</v>
      </c>
      <c r="HX344" t="e">
        <f>AND(#REF!,"AAAAADd/P+c=")</f>
        <v>#REF!</v>
      </c>
      <c r="HY344" t="e">
        <f>IF(#REF!,"AAAAADd/P+g=",0)</f>
        <v>#REF!</v>
      </c>
      <c r="HZ344" t="e">
        <f>AND(#REF!,"AAAAADd/P+k=")</f>
        <v>#REF!</v>
      </c>
      <c r="IA344" t="e">
        <f>AND(#REF!,"AAAAADd/P+o=")</f>
        <v>#REF!</v>
      </c>
      <c r="IB344" t="e">
        <f>AND(#REF!,"AAAAADd/P+s=")</f>
        <v>#REF!</v>
      </c>
      <c r="IC344" t="e">
        <f>AND(#REF!,"AAAAADd/P+w=")</f>
        <v>#REF!</v>
      </c>
      <c r="ID344" t="e">
        <f>AND(#REF!,"AAAAADd/P+0=")</f>
        <v>#REF!</v>
      </c>
      <c r="IE344" t="e">
        <f>AND(#REF!,"AAAAADd/P+4=")</f>
        <v>#REF!</v>
      </c>
      <c r="IF344" t="e">
        <f>AND(#REF!,"AAAAADd/P+8=")</f>
        <v>#REF!</v>
      </c>
      <c r="IG344" t="e">
        <f>AND(#REF!,"AAAAADd/P/A=")</f>
        <v>#REF!</v>
      </c>
      <c r="IH344" t="e">
        <f>AND(#REF!,"AAAAADd/P/E=")</f>
        <v>#REF!</v>
      </c>
      <c r="II344" t="e">
        <f>AND(#REF!,"AAAAADd/P/I=")</f>
        <v>#REF!</v>
      </c>
      <c r="IJ344" t="e">
        <f>IF(#REF!,"AAAAADd/P/M=",0)</f>
        <v>#REF!</v>
      </c>
      <c r="IK344" t="e">
        <f>AND(#REF!,"AAAAADd/P/Q=")</f>
        <v>#REF!</v>
      </c>
      <c r="IL344" t="e">
        <f>AND(#REF!,"AAAAADd/P/U=")</f>
        <v>#REF!</v>
      </c>
      <c r="IM344" t="e">
        <f>AND(#REF!,"AAAAADd/P/Y=")</f>
        <v>#REF!</v>
      </c>
      <c r="IN344" t="e">
        <f>AND(#REF!,"AAAAADd/P/c=")</f>
        <v>#REF!</v>
      </c>
      <c r="IO344" t="e">
        <f>AND(#REF!,"AAAAADd/P/g=")</f>
        <v>#REF!</v>
      </c>
      <c r="IP344" t="e">
        <f>AND(#REF!,"AAAAADd/P/k=")</f>
        <v>#REF!</v>
      </c>
      <c r="IQ344" t="e">
        <f>AND(#REF!,"AAAAADd/P/o=")</f>
        <v>#REF!</v>
      </c>
      <c r="IR344" t="e">
        <f>AND(#REF!,"AAAAADd/P/s=")</f>
        <v>#REF!</v>
      </c>
      <c r="IS344" t="e">
        <f>AND(#REF!,"AAAAADd/P/w=")</f>
        <v>#REF!</v>
      </c>
      <c r="IT344" t="e">
        <f>AND(#REF!,"AAAAADd/P/0=")</f>
        <v>#REF!</v>
      </c>
      <c r="IU344" t="e">
        <f>IF(#REF!,"AAAAADd/P/4=",0)</f>
        <v>#REF!</v>
      </c>
      <c r="IV344" t="e">
        <f>AND(#REF!,"AAAAADd/P/8=")</f>
        <v>#REF!</v>
      </c>
    </row>
    <row r="345" spans="1:256" x14ac:dyDescent="0.25">
      <c r="A345" t="e">
        <f>AND(#REF!,"AAAAAHe/3wA=")</f>
        <v>#REF!</v>
      </c>
      <c r="B345" t="e">
        <f>AND(#REF!,"AAAAAHe/3wE=")</f>
        <v>#REF!</v>
      </c>
      <c r="C345" t="e">
        <f>AND(#REF!,"AAAAAHe/3wI=")</f>
        <v>#REF!</v>
      </c>
      <c r="D345" t="e">
        <f>AND(#REF!,"AAAAAHe/3wM=")</f>
        <v>#REF!</v>
      </c>
      <c r="E345" t="e">
        <f>AND(#REF!,"AAAAAHe/3wQ=")</f>
        <v>#REF!</v>
      </c>
      <c r="F345" t="e">
        <f>AND(#REF!,"AAAAAHe/3wU=")</f>
        <v>#REF!</v>
      </c>
      <c r="G345" t="e">
        <f>AND(#REF!,"AAAAAHe/3wY=")</f>
        <v>#REF!</v>
      </c>
      <c r="H345" t="e">
        <f>AND(#REF!,"AAAAAHe/3wc=")</f>
        <v>#REF!</v>
      </c>
      <c r="I345" t="e">
        <f>AND(#REF!,"AAAAAHe/3wg=")</f>
        <v>#REF!</v>
      </c>
      <c r="J345" t="e">
        <f>IF(#REF!,"AAAAAHe/3wk=",0)</f>
        <v>#REF!</v>
      </c>
      <c r="K345" t="e">
        <f>AND(#REF!,"AAAAAHe/3wo=")</f>
        <v>#REF!</v>
      </c>
      <c r="L345" t="e">
        <f>AND(#REF!,"AAAAAHe/3ws=")</f>
        <v>#REF!</v>
      </c>
      <c r="M345" t="e">
        <f>AND(#REF!,"AAAAAHe/3ww=")</f>
        <v>#REF!</v>
      </c>
      <c r="N345" t="e">
        <f>AND(#REF!,"AAAAAHe/3w0=")</f>
        <v>#REF!</v>
      </c>
      <c r="O345" t="e">
        <f>AND(#REF!,"AAAAAHe/3w4=")</f>
        <v>#REF!</v>
      </c>
      <c r="P345" t="e">
        <f>AND(#REF!,"AAAAAHe/3w8=")</f>
        <v>#REF!</v>
      </c>
      <c r="Q345" t="e">
        <f>AND(#REF!,"AAAAAHe/3xA=")</f>
        <v>#REF!</v>
      </c>
      <c r="R345" t="e">
        <f>AND(#REF!,"AAAAAHe/3xE=")</f>
        <v>#REF!</v>
      </c>
      <c r="S345" t="e">
        <f>AND(#REF!,"AAAAAHe/3xI=")</f>
        <v>#REF!</v>
      </c>
      <c r="T345" t="e">
        <f>AND(#REF!,"AAAAAHe/3xM=")</f>
        <v>#REF!</v>
      </c>
      <c r="U345" t="e">
        <f>IF(#REF!,"AAAAAHe/3xQ=",0)</f>
        <v>#REF!</v>
      </c>
      <c r="V345" t="e">
        <f>AND(#REF!,"AAAAAHe/3xU=")</f>
        <v>#REF!</v>
      </c>
      <c r="W345" t="e">
        <f>AND(#REF!,"AAAAAHe/3xY=")</f>
        <v>#REF!</v>
      </c>
      <c r="X345" t="e">
        <f>AND(#REF!,"AAAAAHe/3xc=")</f>
        <v>#REF!</v>
      </c>
      <c r="Y345" t="e">
        <f>AND(#REF!,"AAAAAHe/3xg=")</f>
        <v>#REF!</v>
      </c>
      <c r="Z345" t="e">
        <f>AND(#REF!,"AAAAAHe/3xk=")</f>
        <v>#REF!</v>
      </c>
      <c r="AA345" t="e">
        <f>AND(#REF!,"AAAAAHe/3xo=")</f>
        <v>#REF!</v>
      </c>
      <c r="AB345" t="e">
        <f>AND(#REF!,"AAAAAHe/3xs=")</f>
        <v>#REF!</v>
      </c>
      <c r="AC345" t="e">
        <f>AND(#REF!,"AAAAAHe/3xw=")</f>
        <v>#REF!</v>
      </c>
      <c r="AD345" t="e">
        <f>AND(#REF!,"AAAAAHe/3x0=")</f>
        <v>#REF!</v>
      </c>
      <c r="AE345" t="e">
        <f>AND(#REF!,"AAAAAHe/3x4=")</f>
        <v>#REF!</v>
      </c>
      <c r="AF345" t="e">
        <f>IF(#REF!,"AAAAAHe/3x8=",0)</f>
        <v>#REF!</v>
      </c>
      <c r="AG345" t="e">
        <f>AND(#REF!,"AAAAAHe/3yA=")</f>
        <v>#REF!</v>
      </c>
      <c r="AH345" t="e">
        <f>AND(#REF!,"AAAAAHe/3yE=")</f>
        <v>#REF!</v>
      </c>
      <c r="AI345" t="e">
        <f>AND(#REF!,"AAAAAHe/3yI=")</f>
        <v>#REF!</v>
      </c>
      <c r="AJ345" t="e">
        <f>AND(#REF!,"AAAAAHe/3yM=")</f>
        <v>#REF!</v>
      </c>
      <c r="AK345" t="e">
        <f>AND(#REF!,"AAAAAHe/3yQ=")</f>
        <v>#REF!</v>
      </c>
      <c r="AL345" t="e">
        <f>AND(#REF!,"AAAAAHe/3yU=")</f>
        <v>#REF!</v>
      </c>
      <c r="AM345" t="e">
        <f>AND(#REF!,"AAAAAHe/3yY=")</f>
        <v>#REF!</v>
      </c>
      <c r="AN345" t="e">
        <f>AND(#REF!,"AAAAAHe/3yc=")</f>
        <v>#REF!</v>
      </c>
      <c r="AO345" t="e">
        <f>AND(#REF!,"AAAAAHe/3yg=")</f>
        <v>#REF!</v>
      </c>
      <c r="AP345" t="e">
        <f>AND(#REF!,"AAAAAHe/3yk=")</f>
        <v>#REF!</v>
      </c>
      <c r="AQ345" t="e">
        <f>IF(#REF!,"AAAAAHe/3yo=",0)</f>
        <v>#REF!</v>
      </c>
      <c r="AR345" t="e">
        <f>AND(#REF!,"AAAAAHe/3ys=")</f>
        <v>#REF!</v>
      </c>
      <c r="AS345" t="e">
        <f>AND(#REF!,"AAAAAHe/3yw=")</f>
        <v>#REF!</v>
      </c>
      <c r="AT345" t="e">
        <f>AND(#REF!,"AAAAAHe/3y0=")</f>
        <v>#REF!</v>
      </c>
      <c r="AU345" t="e">
        <f>AND(#REF!,"AAAAAHe/3y4=")</f>
        <v>#REF!</v>
      </c>
      <c r="AV345" t="e">
        <f>AND(#REF!,"AAAAAHe/3y8=")</f>
        <v>#REF!</v>
      </c>
      <c r="AW345" t="e">
        <f>AND(#REF!,"AAAAAHe/3zA=")</f>
        <v>#REF!</v>
      </c>
      <c r="AX345" t="e">
        <f>AND(#REF!,"AAAAAHe/3zE=")</f>
        <v>#REF!</v>
      </c>
      <c r="AY345" t="e">
        <f>AND(#REF!,"AAAAAHe/3zI=")</f>
        <v>#REF!</v>
      </c>
      <c r="AZ345" t="e">
        <f>AND(#REF!,"AAAAAHe/3zM=")</f>
        <v>#REF!</v>
      </c>
      <c r="BA345" t="e">
        <f>AND(#REF!,"AAAAAHe/3zQ=")</f>
        <v>#REF!</v>
      </c>
      <c r="BB345" t="e">
        <f>IF(#REF!,"AAAAAHe/3zU=",0)</f>
        <v>#REF!</v>
      </c>
      <c r="BC345" t="e">
        <f>AND(#REF!,"AAAAAHe/3zY=")</f>
        <v>#REF!</v>
      </c>
      <c r="BD345" t="e">
        <f>AND(#REF!,"AAAAAHe/3zc=")</f>
        <v>#REF!</v>
      </c>
      <c r="BE345" t="e">
        <f>AND(#REF!,"AAAAAHe/3zg=")</f>
        <v>#REF!</v>
      </c>
      <c r="BF345" t="e">
        <f>AND(#REF!,"AAAAAHe/3zk=")</f>
        <v>#REF!</v>
      </c>
      <c r="BG345" t="e">
        <f>AND(#REF!,"AAAAAHe/3zo=")</f>
        <v>#REF!</v>
      </c>
      <c r="BH345" t="e">
        <f>AND(#REF!,"AAAAAHe/3zs=")</f>
        <v>#REF!</v>
      </c>
      <c r="BI345" t="e">
        <f>AND(#REF!,"AAAAAHe/3zw=")</f>
        <v>#REF!</v>
      </c>
      <c r="BJ345" t="e">
        <f>AND(#REF!,"AAAAAHe/3z0=")</f>
        <v>#REF!</v>
      </c>
      <c r="BK345" t="e">
        <f>AND(#REF!,"AAAAAHe/3z4=")</f>
        <v>#REF!</v>
      </c>
      <c r="BL345" t="e">
        <f>AND(#REF!,"AAAAAHe/3z8=")</f>
        <v>#REF!</v>
      </c>
      <c r="BM345" t="e">
        <f>IF(#REF!,"AAAAAHe/30A=",0)</f>
        <v>#REF!</v>
      </c>
      <c r="BN345" t="e">
        <f>AND(#REF!,"AAAAAHe/30E=")</f>
        <v>#REF!</v>
      </c>
      <c r="BO345" t="e">
        <f>AND(#REF!,"AAAAAHe/30I=")</f>
        <v>#REF!</v>
      </c>
      <c r="BP345" t="e">
        <f>AND(#REF!,"AAAAAHe/30M=")</f>
        <v>#REF!</v>
      </c>
      <c r="BQ345" t="e">
        <f>AND(#REF!,"AAAAAHe/30Q=")</f>
        <v>#REF!</v>
      </c>
      <c r="BR345" t="e">
        <f>AND(#REF!,"AAAAAHe/30U=")</f>
        <v>#REF!</v>
      </c>
      <c r="BS345" t="e">
        <f>AND(#REF!,"AAAAAHe/30Y=")</f>
        <v>#REF!</v>
      </c>
      <c r="BT345" t="e">
        <f>AND(#REF!,"AAAAAHe/30c=")</f>
        <v>#REF!</v>
      </c>
      <c r="BU345" t="e">
        <f>AND(#REF!,"AAAAAHe/30g=")</f>
        <v>#REF!</v>
      </c>
      <c r="BV345" t="e">
        <f>AND(#REF!,"AAAAAHe/30k=")</f>
        <v>#REF!</v>
      </c>
      <c r="BW345" t="e">
        <f>AND(#REF!,"AAAAAHe/30o=")</f>
        <v>#REF!</v>
      </c>
      <c r="BX345" t="e">
        <f>IF(#REF!,"AAAAAHe/30s=",0)</f>
        <v>#REF!</v>
      </c>
      <c r="BY345" t="e">
        <f>AND(#REF!,"AAAAAHe/30w=")</f>
        <v>#REF!</v>
      </c>
      <c r="BZ345" t="e">
        <f>AND(#REF!,"AAAAAHe/300=")</f>
        <v>#REF!</v>
      </c>
      <c r="CA345" t="e">
        <f>AND(#REF!,"AAAAAHe/304=")</f>
        <v>#REF!</v>
      </c>
      <c r="CB345" t="e">
        <f>AND(#REF!,"AAAAAHe/308=")</f>
        <v>#REF!</v>
      </c>
      <c r="CC345" t="e">
        <f>AND(#REF!,"AAAAAHe/31A=")</f>
        <v>#REF!</v>
      </c>
      <c r="CD345" t="e">
        <f>AND(#REF!,"AAAAAHe/31E=")</f>
        <v>#REF!</v>
      </c>
      <c r="CE345" t="e">
        <f>AND(#REF!,"AAAAAHe/31I=")</f>
        <v>#REF!</v>
      </c>
      <c r="CF345" t="e">
        <f>AND(#REF!,"AAAAAHe/31M=")</f>
        <v>#REF!</v>
      </c>
      <c r="CG345" t="e">
        <f>AND(#REF!,"AAAAAHe/31Q=")</f>
        <v>#REF!</v>
      </c>
      <c r="CH345" t="e">
        <f>AND(#REF!,"AAAAAHe/31U=")</f>
        <v>#REF!</v>
      </c>
      <c r="CI345" t="e">
        <f>IF(#REF!,"AAAAAHe/31Y=",0)</f>
        <v>#REF!</v>
      </c>
      <c r="CJ345" t="e">
        <f>AND(#REF!,"AAAAAHe/31c=")</f>
        <v>#REF!</v>
      </c>
      <c r="CK345" t="e">
        <f>AND(#REF!,"AAAAAHe/31g=")</f>
        <v>#REF!</v>
      </c>
      <c r="CL345" t="e">
        <f>AND(#REF!,"AAAAAHe/31k=")</f>
        <v>#REF!</v>
      </c>
      <c r="CM345" t="e">
        <f>AND(#REF!,"AAAAAHe/31o=")</f>
        <v>#REF!</v>
      </c>
      <c r="CN345" t="e">
        <f>AND(#REF!,"AAAAAHe/31s=")</f>
        <v>#REF!</v>
      </c>
      <c r="CO345" t="e">
        <f>AND(#REF!,"AAAAAHe/31w=")</f>
        <v>#REF!</v>
      </c>
      <c r="CP345" t="e">
        <f>AND(#REF!,"AAAAAHe/310=")</f>
        <v>#REF!</v>
      </c>
      <c r="CQ345" t="e">
        <f>AND(#REF!,"AAAAAHe/314=")</f>
        <v>#REF!</v>
      </c>
      <c r="CR345" t="e">
        <f>AND(#REF!,"AAAAAHe/318=")</f>
        <v>#REF!</v>
      </c>
      <c r="CS345" t="e">
        <f>AND(#REF!,"AAAAAHe/32A=")</f>
        <v>#REF!</v>
      </c>
      <c r="CT345" t="e">
        <f>IF(#REF!,"AAAAAHe/32E=",0)</f>
        <v>#REF!</v>
      </c>
      <c r="CU345" t="e">
        <f>AND(#REF!,"AAAAAHe/32I=")</f>
        <v>#REF!</v>
      </c>
      <c r="CV345" t="e">
        <f>AND(#REF!,"AAAAAHe/32M=")</f>
        <v>#REF!</v>
      </c>
      <c r="CW345" t="e">
        <f>AND(#REF!,"AAAAAHe/32Q=")</f>
        <v>#REF!</v>
      </c>
      <c r="CX345" t="e">
        <f>AND(#REF!,"AAAAAHe/32U=")</f>
        <v>#REF!</v>
      </c>
      <c r="CY345" t="e">
        <f>AND(#REF!,"AAAAAHe/32Y=")</f>
        <v>#REF!</v>
      </c>
      <c r="CZ345" t="e">
        <f>AND(#REF!,"AAAAAHe/32c=")</f>
        <v>#REF!</v>
      </c>
      <c r="DA345" t="e">
        <f>AND(#REF!,"AAAAAHe/32g=")</f>
        <v>#REF!</v>
      </c>
      <c r="DB345" t="e">
        <f>AND(#REF!,"AAAAAHe/32k=")</f>
        <v>#REF!</v>
      </c>
      <c r="DC345" t="e">
        <f>AND(#REF!,"AAAAAHe/32o=")</f>
        <v>#REF!</v>
      </c>
      <c r="DD345" t="e">
        <f>AND(#REF!,"AAAAAHe/32s=")</f>
        <v>#REF!</v>
      </c>
      <c r="DE345" t="e">
        <f>IF(#REF!,"AAAAAHe/32w=",0)</f>
        <v>#REF!</v>
      </c>
      <c r="DF345" t="e">
        <f>AND(#REF!,"AAAAAHe/320=")</f>
        <v>#REF!</v>
      </c>
      <c r="DG345" t="e">
        <f>AND(#REF!,"AAAAAHe/324=")</f>
        <v>#REF!</v>
      </c>
      <c r="DH345" t="e">
        <f>AND(#REF!,"AAAAAHe/328=")</f>
        <v>#REF!</v>
      </c>
      <c r="DI345" t="e">
        <f>AND(#REF!,"AAAAAHe/33A=")</f>
        <v>#REF!</v>
      </c>
      <c r="DJ345" t="e">
        <f>AND(#REF!,"AAAAAHe/33E=")</f>
        <v>#REF!</v>
      </c>
      <c r="DK345" t="e">
        <f>AND(#REF!,"AAAAAHe/33I=")</f>
        <v>#REF!</v>
      </c>
      <c r="DL345" t="e">
        <f>AND(#REF!,"AAAAAHe/33M=")</f>
        <v>#REF!</v>
      </c>
      <c r="DM345" t="e">
        <f>AND(#REF!,"AAAAAHe/33Q=")</f>
        <v>#REF!</v>
      </c>
      <c r="DN345" t="e">
        <f>AND(#REF!,"AAAAAHe/33U=")</f>
        <v>#REF!</v>
      </c>
      <c r="DO345" t="e">
        <f>AND(#REF!,"AAAAAHe/33Y=")</f>
        <v>#REF!</v>
      </c>
      <c r="DP345" t="e">
        <f>IF(#REF!,"AAAAAHe/33c=",0)</f>
        <v>#REF!</v>
      </c>
      <c r="DQ345" t="e">
        <f>AND(#REF!,"AAAAAHe/33g=")</f>
        <v>#REF!</v>
      </c>
      <c r="DR345" t="e">
        <f>AND(#REF!,"AAAAAHe/33k=")</f>
        <v>#REF!</v>
      </c>
      <c r="DS345" t="e">
        <f>AND(#REF!,"AAAAAHe/33o=")</f>
        <v>#REF!</v>
      </c>
      <c r="DT345" t="e">
        <f>AND(#REF!,"AAAAAHe/33s=")</f>
        <v>#REF!</v>
      </c>
      <c r="DU345" t="e">
        <f>AND(#REF!,"AAAAAHe/33w=")</f>
        <v>#REF!</v>
      </c>
      <c r="DV345" t="e">
        <f>AND(#REF!,"AAAAAHe/330=")</f>
        <v>#REF!</v>
      </c>
      <c r="DW345" t="e">
        <f>AND(#REF!,"AAAAAHe/334=")</f>
        <v>#REF!</v>
      </c>
      <c r="DX345" t="e">
        <f>AND(#REF!,"AAAAAHe/338=")</f>
        <v>#REF!</v>
      </c>
      <c r="DY345" t="e">
        <f>AND(#REF!,"AAAAAHe/34A=")</f>
        <v>#REF!</v>
      </c>
      <c r="DZ345" t="e">
        <f>AND(#REF!,"AAAAAHe/34E=")</f>
        <v>#REF!</v>
      </c>
      <c r="EA345" t="e">
        <f>IF(#REF!,"AAAAAHe/34I=",0)</f>
        <v>#REF!</v>
      </c>
      <c r="EB345" t="e">
        <f>AND(#REF!,"AAAAAHe/34M=")</f>
        <v>#REF!</v>
      </c>
      <c r="EC345" t="e">
        <f>AND(#REF!,"AAAAAHe/34Q=")</f>
        <v>#REF!</v>
      </c>
      <c r="ED345" t="e">
        <f>AND(#REF!,"AAAAAHe/34U=")</f>
        <v>#REF!</v>
      </c>
      <c r="EE345" t="e">
        <f>AND(#REF!,"AAAAAHe/34Y=")</f>
        <v>#REF!</v>
      </c>
      <c r="EF345" t="e">
        <f>AND(#REF!,"AAAAAHe/34c=")</f>
        <v>#REF!</v>
      </c>
      <c r="EG345" t="e">
        <f>AND(#REF!,"AAAAAHe/34g=")</f>
        <v>#REF!</v>
      </c>
      <c r="EH345" t="e">
        <f>AND(#REF!,"AAAAAHe/34k=")</f>
        <v>#REF!</v>
      </c>
      <c r="EI345" t="e">
        <f>AND(#REF!,"AAAAAHe/34o=")</f>
        <v>#REF!</v>
      </c>
      <c r="EJ345" t="e">
        <f>AND(#REF!,"AAAAAHe/34s=")</f>
        <v>#REF!</v>
      </c>
      <c r="EK345" t="e">
        <f>AND(#REF!,"AAAAAHe/34w=")</f>
        <v>#REF!</v>
      </c>
      <c r="EL345" t="e">
        <f>IF(#REF!,"AAAAAHe/340=",0)</f>
        <v>#REF!</v>
      </c>
      <c r="EM345" t="e">
        <f>AND(#REF!,"AAAAAHe/344=")</f>
        <v>#REF!</v>
      </c>
      <c r="EN345" t="e">
        <f>AND(#REF!,"AAAAAHe/348=")</f>
        <v>#REF!</v>
      </c>
      <c r="EO345" t="e">
        <f>AND(#REF!,"AAAAAHe/35A=")</f>
        <v>#REF!</v>
      </c>
      <c r="EP345" t="e">
        <f>AND(#REF!,"AAAAAHe/35E=")</f>
        <v>#REF!</v>
      </c>
      <c r="EQ345" t="e">
        <f>AND(#REF!,"AAAAAHe/35I=")</f>
        <v>#REF!</v>
      </c>
      <c r="ER345" t="e">
        <f>AND(#REF!,"AAAAAHe/35M=")</f>
        <v>#REF!</v>
      </c>
      <c r="ES345" t="e">
        <f>AND(#REF!,"AAAAAHe/35Q=")</f>
        <v>#REF!</v>
      </c>
      <c r="ET345" t="e">
        <f>AND(#REF!,"AAAAAHe/35U=")</f>
        <v>#REF!</v>
      </c>
      <c r="EU345" t="e">
        <f>AND(#REF!,"AAAAAHe/35Y=")</f>
        <v>#REF!</v>
      </c>
      <c r="EV345" t="e">
        <f>AND(#REF!,"AAAAAHe/35c=")</f>
        <v>#REF!</v>
      </c>
      <c r="EW345" t="e">
        <f>IF(#REF!,"AAAAAHe/35g=",0)</f>
        <v>#REF!</v>
      </c>
      <c r="EX345" t="e">
        <f>AND(#REF!,"AAAAAHe/35k=")</f>
        <v>#REF!</v>
      </c>
      <c r="EY345" t="e">
        <f>AND(#REF!,"AAAAAHe/35o=")</f>
        <v>#REF!</v>
      </c>
      <c r="EZ345" t="e">
        <f>AND(#REF!,"AAAAAHe/35s=")</f>
        <v>#REF!</v>
      </c>
      <c r="FA345" t="e">
        <f>AND(#REF!,"AAAAAHe/35w=")</f>
        <v>#REF!</v>
      </c>
      <c r="FB345" t="e">
        <f>AND(#REF!,"AAAAAHe/350=")</f>
        <v>#REF!</v>
      </c>
      <c r="FC345" t="e">
        <f>AND(#REF!,"AAAAAHe/354=")</f>
        <v>#REF!</v>
      </c>
      <c r="FD345" t="e">
        <f>AND(#REF!,"AAAAAHe/358=")</f>
        <v>#REF!</v>
      </c>
      <c r="FE345" t="e">
        <f>AND(#REF!,"AAAAAHe/36A=")</f>
        <v>#REF!</v>
      </c>
      <c r="FF345" t="e">
        <f>AND(#REF!,"AAAAAHe/36E=")</f>
        <v>#REF!</v>
      </c>
      <c r="FG345" t="e">
        <f>AND(#REF!,"AAAAAHe/36I=")</f>
        <v>#REF!</v>
      </c>
      <c r="FH345" t="e">
        <f>IF(#REF!,"AAAAAHe/36M=",0)</f>
        <v>#REF!</v>
      </c>
      <c r="FI345" t="e">
        <f>AND(#REF!,"AAAAAHe/36Q=")</f>
        <v>#REF!</v>
      </c>
      <c r="FJ345" t="e">
        <f>AND(#REF!,"AAAAAHe/36U=")</f>
        <v>#REF!</v>
      </c>
      <c r="FK345" t="e">
        <f>AND(#REF!,"AAAAAHe/36Y=")</f>
        <v>#REF!</v>
      </c>
      <c r="FL345" t="e">
        <f>AND(#REF!,"AAAAAHe/36c=")</f>
        <v>#REF!</v>
      </c>
      <c r="FM345" t="e">
        <f>AND(#REF!,"AAAAAHe/36g=")</f>
        <v>#REF!</v>
      </c>
      <c r="FN345" t="e">
        <f>AND(#REF!,"AAAAAHe/36k=")</f>
        <v>#REF!</v>
      </c>
      <c r="FO345" t="e">
        <f>AND(#REF!,"AAAAAHe/36o=")</f>
        <v>#REF!</v>
      </c>
      <c r="FP345" t="e">
        <f>AND(#REF!,"AAAAAHe/36s=")</f>
        <v>#REF!</v>
      </c>
      <c r="FQ345" t="e">
        <f>AND(#REF!,"AAAAAHe/36w=")</f>
        <v>#REF!</v>
      </c>
      <c r="FR345" t="e">
        <f>AND(#REF!,"AAAAAHe/360=")</f>
        <v>#REF!</v>
      </c>
      <c r="FS345" t="e">
        <f>IF(#REF!,"AAAAAHe/364=",0)</f>
        <v>#REF!</v>
      </c>
      <c r="FT345" t="e">
        <f>AND(#REF!,"AAAAAHe/368=")</f>
        <v>#REF!</v>
      </c>
      <c r="FU345" t="e">
        <f>AND(#REF!,"AAAAAHe/37A=")</f>
        <v>#REF!</v>
      </c>
      <c r="FV345" t="e">
        <f>AND(#REF!,"AAAAAHe/37E=")</f>
        <v>#REF!</v>
      </c>
      <c r="FW345" t="e">
        <f>AND(#REF!,"AAAAAHe/37I=")</f>
        <v>#REF!</v>
      </c>
      <c r="FX345" t="e">
        <f>AND(#REF!,"AAAAAHe/37M=")</f>
        <v>#REF!</v>
      </c>
      <c r="FY345" t="e">
        <f>AND(#REF!,"AAAAAHe/37Q=")</f>
        <v>#REF!</v>
      </c>
      <c r="FZ345" t="e">
        <f>AND(#REF!,"AAAAAHe/37U=")</f>
        <v>#REF!</v>
      </c>
      <c r="GA345" t="e">
        <f>AND(#REF!,"AAAAAHe/37Y=")</f>
        <v>#REF!</v>
      </c>
      <c r="GB345" t="e">
        <f>AND(#REF!,"AAAAAHe/37c=")</f>
        <v>#REF!</v>
      </c>
      <c r="GC345" t="e">
        <f>AND(#REF!,"AAAAAHe/37g=")</f>
        <v>#REF!</v>
      </c>
      <c r="GD345" t="e">
        <f>IF(#REF!,"AAAAAHe/37k=",0)</f>
        <v>#REF!</v>
      </c>
      <c r="GE345" t="e">
        <f>AND(#REF!,"AAAAAHe/37o=")</f>
        <v>#REF!</v>
      </c>
      <c r="GF345" t="e">
        <f>AND(#REF!,"AAAAAHe/37s=")</f>
        <v>#REF!</v>
      </c>
      <c r="GG345" t="e">
        <f>AND(#REF!,"AAAAAHe/37w=")</f>
        <v>#REF!</v>
      </c>
      <c r="GH345" t="e">
        <f>AND(#REF!,"AAAAAHe/370=")</f>
        <v>#REF!</v>
      </c>
      <c r="GI345" t="e">
        <f>AND(#REF!,"AAAAAHe/374=")</f>
        <v>#REF!</v>
      </c>
      <c r="GJ345" t="e">
        <f>AND(#REF!,"AAAAAHe/378=")</f>
        <v>#REF!</v>
      </c>
      <c r="GK345" t="e">
        <f>AND(#REF!,"AAAAAHe/38A=")</f>
        <v>#REF!</v>
      </c>
      <c r="GL345" t="e">
        <f>AND(#REF!,"AAAAAHe/38E=")</f>
        <v>#REF!</v>
      </c>
      <c r="GM345" t="e">
        <f>AND(#REF!,"AAAAAHe/38I=")</f>
        <v>#REF!</v>
      </c>
      <c r="GN345" t="e">
        <f>AND(#REF!,"AAAAAHe/38M=")</f>
        <v>#REF!</v>
      </c>
      <c r="GO345" t="e">
        <f>IF(#REF!,"AAAAAHe/38Q=",0)</f>
        <v>#REF!</v>
      </c>
      <c r="GP345" t="e">
        <f>AND(#REF!,"AAAAAHe/38U=")</f>
        <v>#REF!</v>
      </c>
      <c r="GQ345" t="e">
        <f>AND(#REF!,"AAAAAHe/38Y=")</f>
        <v>#REF!</v>
      </c>
      <c r="GR345" t="e">
        <f>AND(#REF!,"AAAAAHe/38c=")</f>
        <v>#REF!</v>
      </c>
      <c r="GS345" t="e">
        <f>AND(#REF!,"AAAAAHe/38g=")</f>
        <v>#REF!</v>
      </c>
      <c r="GT345" t="e">
        <f>AND(#REF!,"AAAAAHe/38k=")</f>
        <v>#REF!</v>
      </c>
      <c r="GU345" t="e">
        <f>AND(#REF!,"AAAAAHe/38o=")</f>
        <v>#REF!</v>
      </c>
      <c r="GV345" t="e">
        <f>AND(#REF!,"AAAAAHe/38s=")</f>
        <v>#REF!</v>
      </c>
      <c r="GW345" t="e">
        <f>AND(#REF!,"AAAAAHe/38w=")</f>
        <v>#REF!</v>
      </c>
      <c r="GX345" t="e">
        <f>AND(#REF!,"AAAAAHe/380=")</f>
        <v>#REF!</v>
      </c>
      <c r="GY345" t="e">
        <f>AND(#REF!,"AAAAAHe/384=")</f>
        <v>#REF!</v>
      </c>
      <c r="GZ345" t="e">
        <f>IF(#REF!,"AAAAAHe/388=",0)</f>
        <v>#REF!</v>
      </c>
      <c r="HA345" t="e">
        <f>AND(#REF!,"AAAAAHe/39A=")</f>
        <v>#REF!</v>
      </c>
      <c r="HB345" t="e">
        <f>AND(#REF!,"AAAAAHe/39E=")</f>
        <v>#REF!</v>
      </c>
      <c r="HC345" t="e">
        <f>AND(#REF!,"AAAAAHe/39I=")</f>
        <v>#REF!</v>
      </c>
      <c r="HD345" t="e">
        <f>AND(#REF!,"AAAAAHe/39M=")</f>
        <v>#REF!</v>
      </c>
      <c r="HE345" t="e">
        <f>AND(#REF!,"AAAAAHe/39Q=")</f>
        <v>#REF!</v>
      </c>
      <c r="HF345" t="e">
        <f>AND(#REF!,"AAAAAHe/39U=")</f>
        <v>#REF!</v>
      </c>
      <c r="HG345" t="e">
        <f>AND(#REF!,"AAAAAHe/39Y=")</f>
        <v>#REF!</v>
      </c>
      <c r="HH345" t="e">
        <f>AND(#REF!,"AAAAAHe/39c=")</f>
        <v>#REF!</v>
      </c>
      <c r="HI345" t="e">
        <f>AND(#REF!,"AAAAAHe/39g=")</f>
        <v>#REF!</v>
      </c>
      <c r="HJ345" t="e">
        <f>AND(#REF!,"AAAAAHe/39k=")</f>
        <v>#REF!</v>
      </c>
      <c r="HK345" t="e">
        <f>IF(#REF!,"AAAAAHe/39o=",0)</f>
        <v>#REF!</v>
      </c>
      <c r="HL345" t="e">
        <f>AND(#REF!,"AAAAAHe/39s=")</f>
        <v>#REF!</v>
      </c>
      <c r="HM345" t="e">
        <f>AND(#REF!,"AAAAAHe/39w=")</f>
        <v>#REF!</v>
      </c>
      <c r="HN345" t="e">
        <f>AND(#REF!,"AAAAAHe/390=")</f>
        <v>#REF!</v>
      </c>
      <c r="HO345" t="e">
        <f>AND(#REF!,"AAAAAHe/394=")</f>
        <v>#REF!</v>
      </c>
      <c r="HP345" t="e">
        <f>AND(#REF!,"AAAAAHe/398=")</f>
        <v>#REF!</v>
      </c>
      <c r="HQ345" t="e">
        <f>AND(#REF!,"AAAAAHe/3+A=")</f>
        <v>#REF!</v>
      </c>
      <c r="HR345" t="e">
        <f>AND(#REF!,"AAAAAHe/3+E=")</f>
        <v>#REF!</v>
      </c>
      <c r="HS345" t="e">
        <f>AND(#REF!,"AAAAAHe/3+I=")</f>
        <v>#REF!</v>
      </c>
      <c r="HT345" t="e">
        <f>AND(#REF!,"AAAAAHe/3+M=")</f>
        <v>#REF!</v>
      </c>
      <c r="HU345" t="e">
        <f>AND(#REF!,"AAAAAHe/3+Q=")</f>
        <v>#REF!</v>
      </c>
      <c r="HV345" t="e">
        <f>IF(#REF!,"AAAAAHe/3+U=",0)</f>
        <v>#REF!</v>
      </c>
      <c r="HW345" t="e">
        <f>AND(#REF!,"AAAAAHe/3+Y=")</f>
        <v>#REF!</v>
      </c>
      <c r="HX345" t="e">
        <f>AND(#REF!,"AAAAAHe/3+c=")</f>
        <v>#REF!</v>
      </c>
      <c r="HY345" t="e">
        <f>AND(#REF!,"AAAAAHe/3+g=")</f>
        <v>#REF!</v>
      </c>
      <c r="HZ345" t="e">
        <f>AND(#REF!,"AAAAAHe/3+k=")</f>
        <v>#REF!</v>
      </c>
      <c r="IA345" t="e">
        <f>AND(#REF!,"AAAAAHe/3+o=")</f>
        <v>#REF!</v>
      </c>
      <c r="IB345" t="e">
        <f>AND(#REF!,"AAAAAHe/3+s=")</f>
        <v>#REF!</v>
      </c>
      <c r="IC345" t="e">
        <f>AND(#REF!,"AAAAAHe/3+w=")</f>
        <v>#REF!</v>
      </c>
      <c r="ID345" t="e">
        <f>AND(#REF!,"AAAAAHe/3+0=")</f>
        <v>#REF!</v>
      </c>
      <c r="IE345" t="e">
        <f>AND(#REF!,"AAAAAHe/3+4=")</f>
        <v>#REF!</v>
      </c>
      <c r="IF345" t="e">
        <f>AND(#REF!,"AAAAAHe/3+8=")</f>
        <v>#REF!</v>
      </c>
      <c r="IG345" t="e">
        <f>IF(#REF!,"AAAAAHe/3/A=",0)</f>
        <v>#REF!</v>
      </c>
      <c r="IH345" t="e">
        <f>AND(#REF!,"AAAAAHe/3/E=")</f>
        <v>#REF!</v>
      </c>
      <c r="II345" t="e">
        <f>AND(#REF!,"AAAAAHe/3/I=")</f>
        <v>#REF!</v>
      </c>
      <c r="IJ345" t="e">
        <f>AND(#REF!,"AAAAAHe/3/M=")</f>
        <v>#REF!</v>
      </c>
      <c r="IK345" t="e">
        <f>AND(#REF!,"AAAAAHe/3/Q=")</f>
        <v>#REF!</v>
      </c>
      <c r="IL345" t="e">
        <f>AND(#REF!,"AAAAAHe/3/U=")</f>
        <v>#REF!</v>
      </c>
      <c r="IM345" t="e">
        <f>AND(#REF!,"AAAAAHe/3/Y=")</f>
        <v>#REF!</v>
      </c>
      <c r="IN345" t="e">
        <f>AND(#REF!,"AAAAAHe/3/c=")</f>
        <v>#REF!</v>
      </c>
      <c r="IO345" t="e">
        <f>AND(#REF!,"AAAAAHe/3/g=")</f>
        <v>#REF!</v>
      </c>
      <c r="IP345" t="e">
        <f>AND(#REF!,"AAAAAHe/3/k=")</f>
        <v>#REF!</v>
      </c>
      <c r="IQ345" t="e">
        <f>AND(#REF!,"AAAAAHe/3/o=")</f>
        <v>#REF!</v>
      </c>
      <c r="IR345" t="e">
        <f>IF(#REF!,"AAAAAHe/3/s=",0)</f>
        <v>#REF!</v>
      </c>
      <c r="IS345" t="e">
        <f>AND(#REF!,"AAAAAHe/3/w=")</f>
        <v>#REF!</v>
      </c>
      <c r="IT345" t="e">
        <f>AND(#REF!,"AAAAAHe/3/0=")</f>
        <v>#REF!</v>
      </c>
      <c r="IU345" t="e">
        <f>AND(#REF!,"AAAAAHe/3/4=")</f>
        <v>#REF!</v>
      </c>
      <c r="IV345" t="e">
        <f>AND(#REF!,"AAAAAHe/3/8=")</f>
        <v>#REF!</v>
      </c>
    </row>
    <row r="346" spans="1:256" x14ac:dyDescent="0.25">
      <c r="A346" t="e">
        <f>AND(#REF!,"AAAAADr+2wA=")</f>
        <v>#REF!</v>
      </c>
      <c r="B346" t="e">
        <f>AND(#REF!,"AAAAADr+2wE=")</f>
        <v>#REF!</v>
      </c>
      <c r="C346" t="e">
        <f>AND(#REF!,"AAAAADr+2wI=")</f>
        <v>#REF!</v>
      </c>
      <c r="D346" t="e">
        <f>AND(#REF!,"AAAAADr+2wM=")</f>
        <v>#REF!</v>
      </c>
      <c r="E346" t="e">
        <f>AND(#REF!,"AAAAADr+2wQ=")</f>
        <v>#REF!</v>
      </c>
      <c r="F346" t="e">
        <f>AND(#REF!,"AAAAADr+2wU=")</f>
        <v>#REF!</v>
      </c>
      <c r="G346" t="e">
        <f>IF(#REF!,"AAAAADr+2wY=",0)</f>
        <v>#REF!</v>
      </c>
      <c r="H346" t="e">
        <f>AND(#REF!,"AAAAADr+2wc=")</f>
        <v>#REF!</v>
      </c>
      <c r="I346" t="e">
        <f>AND(#REF!,"AAAAADr+2wg=")</f>
        <v>#REF!</v>
      </c>
      <c r="J346" t="e">
        <f>AND(#REF!,"AAAAADr+2wk=")</f>
        <v>#REF!</v>
      </c>
      <c r="K346" t="e">
        <f>AND(#REF!,"AAAAADr+2wo=")</f>
        <v>#REF!</v>
      </c>
      <c r="L346" t="e">
        <f>AND(#REF!,"AAAAADr+2ws=")</f>
        <v>#REF!</v>
      </c>
      <c r="M346" t="e">
        <f>AND(#REF!,"AAAAADr+2ww=")</f>
        <v>#REF!</v>
      </c>
      <c r="N346" t="e">
        <f>AND(#REF!,"AAAAADr+2w0=")</f>
        <v>#REF!</v>
      </c>
      <c r="O346" t="e">
        <f>AND(#REF!,"AAAAADr+2w4=")</f>
        <v>#REF!</v>
      </c>
      <c r="P346" t="e">
        <f>AND(#REF!,"AAAAADr+2w8=")</f>
        <v>#REF!</v>
      </c>
      <c r="Q346" t="e">
        <f>AND(#REF!,"AAAAADr+2xA=")</f>
        <v>#REF!</v>
      </c>
      <c r="R346" t="e">
        <f>IF(#REF!,"AAAAADr+2xE=",0)</f>
        <v>#REF!</v>
      </c>
      <c r="S346" t="e">
        <f>AND(#REF!,"AAAAADr+2xI=")</f>
        <v>#REF!</v>
      </c>
      <c r="T346" t="e">
        <f>AND(#REF!,"AAAAADr+2xM=")</f>
        <v>#REF!</v>
      </c>
      <c r="U346" t="e">
        <f>AND(#REF!,"AAAAADr+2xQ=")</f>
        <v>#REF!</v>
      </c>
      <c r="V346" t="e">
        <f>AND(#REF!,"AAAAADr+2xU=")</f>
        <v>#REF!</v>
      </c>
      <c r="W346" t="e">
        <f>AND(#REF!,"AAAAADr+2xY=")</f>
        <v>#REF!</v>
      </c>
      <c r="X346" t="e">
        <f>AND(#REF!,"AAAAADr+2xc=")</f>
        <v>#REF!</v>
      </c>
      <c r="Y346" t="e">
        <f>AND(#REF!,"AAAAADr+2xg=")</f>
        <v>#REF!</v>
      </c>
      <c r="Z346" t="e">
        <f>AND(#REF!,"AAAAADr+2xk=")</f>
        <v>#REF!</v>
      </c>
      <c r="AA346" t="e">
        <f>AND(#REF!,"AAAAADr+2xo=")</f>
        <v>#REF!</v>
      </c>
      <c r="AB346" t="e">
        <f>AND(#REF!,"AAAAADr+2xs=")</f>
        <v>#REF!</v>
      </c>
      <c r="AC346" t="e">
        <f>IF(#REF!,"AAAAADr+2xw=",0)</f>
        <v>#REF!</v>
      </c>
      <c r="AD346" t="e">
        <f>AND(#REF!,"AAAAADr+2x0=")</f>
        <v>#REF!</v>
      </c>
      <c r="AE346" t="e">
        <f>AND(#REF!,"AAAAADr+2x4=")</f>
        <v>#REF!</v>
      </c>
      <c r="AF346" t="e">
        <f>AND(#REF!,"AAAAADr+2x8=")</f>
        <v>#REF!</v>
      </c>
      <c r="AG346" t="e">
        <f>AND(#REF!,"AAAAADr+2yA=")</f>
        <v>#REF!</v>
      </c>
      <c r="AH346" t="e">
        <f>AND(#REF!,"AAAAADr+2yE=")</f>
        <v>#REF!</v>
      </c>
      <c r="AI346" t="e">
        <f>AND(#REF!,"AAAAADr+2yI=")</f>
        <v>#REF!</v>
      </c>
      <c r="AJ346" t="e">
        <f>AND(#REF!,"AAAAADr+2yM=")</f>
        <v>#REF!</v>
      </c>
      <c r="AK346" t="e">
        <f>AND(#REF!,"AAAAADr+2yQ=")</f>
        <v>#REF!</v>
      </c>
      <c r="AL346" t="e">
        <f>AND(#REF!,"AAAAADr+2yU=")</f>
        <v>#REF!</v>
      </c>
      <c r="AM346" t="e">
        <f>AND(#REF!,"AAAAADr+2yY=")</f>
        <v>#REF!</v>
      </c>
      <c r="AN346" t="e">
        <f>IF(#REF!,"AAAAADr+2yc=",0)</f>
        <v>#REF!</v>
      </c>
      <c r="AO346" t="e">
        <f>AND(#REF!,"AAAAADr+2yg=")</f>
        <v>#REF!</v>
      </c>
      <c r="AP346" t="e">
        <f>AND(#REF!,"AAAAADr+2yk=")</f>
        <v>#REF!</v>
      </c>
      <c r="AQ346" t="e">
        <f>AND(#REF!,"AAAAADr+2yo=")</f>
        <v>#REF!</v>
      </c>
      <c r="AR346" t="e">
        <f>AND(#REF!,"AAAAADr+2ys=")</f>
        <v>#REF!</v>
      </c>
      <c r="AS346" t="e">
        <f>AND(#REF!,"AAAAADr+2yw=")</f>
        <v>#REF!</v>
      </c>
      <c r="AT346" t="e">
        <f>AND(#REF!,"AAAAADr+2y0=")</f>
        <v>#REF!</v>
      </c>
      <c r="AU346" t="e">
        <f>AND(#REF!,"AAAAADr+2y4=")</f>
        <v>#REF!</v>
      </c>
      <c r="AV346" t="e">
        <f>AND(#REF!,"AAAAADr+2y8=")</f>
        <v>#REF!</v>
      </c>
      <c r="AW346" t="e">
        <f>AND(#REF!,"AAAAADr+2zA=")</f>
        <v>#REF!</v>
      </c>
      <c r="AX346" t="e">
        <f>AND(#REF!,"AAAAADr+2zE=")</f>
        <v>#REF!</v>
      </c>
      <c r="AY346" t="e">
        <f>IF(#REF!,"AAAAADr+2zI=",0)</f>
        <v>#REF!</v>
      </c>
      <c r="AZ346" t="e">
        <f>AND(#REF!,"AAAAADr+2zM=")</f>
        <v>#REF!</v>
      </c>
      <c r="BA346" t="e">
        <f>AND(#REF!,"AAAAADr+2zQ=")</f>
        <v>#REF!</v>
      </c>
      <c r="BB346" t="e">
        <f>AND(#REF!,"AAAAADr+2zU=")</f>
        <v>#REF!</v>
      </c>
      <c r="BC346" t="e">
        <f>AND(#REF!,"AAAAADr+2zY=")</f>
        <v>#REF!</v>
      </c>
      <c r="BD346" t="e">
        <f>AND(#REF!,"AAAAADr+2zc=")</f>
        <v>#REF!</v>
      </c>
      <c r="BE346" t="e">
        <f>AND(#REF!,"AAAAADr+2zg=")</f>
        <v>#REF!</v>
      </c>
      <c r="BF346" t="e">
        <f>AND(#REF!,"AAAAADr+2zk=")</f>
        <v>#REF!</v>
      </c>
      <c r="BG346" t="e">
        <f>AND(#REF!,"AAAAADr+2zo=")</f>
        <v>#REF!</v>
      </c>
      <c r="BH346" t="e">
        <f>AND(#REF!,"AAAAADr+2zs=")</f>
        <v>#REF!</v>
      </c>
      <c r="BI346" t="e">
        <f>AND(#REF!,"AAAAADr+2zw=")</f>
        <v>#REF!</v>
      </c>
      <c r="BJ346" t="e">
        <f>IF(#REF!,"AAAAADr+2z0=",0)</f>
        <v>#REF!</v>
      </c>
      <c r="BK346" t="e">
        <f>AND(#REF!,"AAAAADr+2z4=")</f>
        <v>#REF!</v>
      </c>
      <c r="BL346" t="e">
        <f>AND(#REF!,"AAAAADr+2z8=")</f>
        <v>#REF!</v>
      </c>
      <c r="BM346" t="e">
        <f>AND(#REF!,"AAAAADr+20A=")</f>
        <v>#REF!</v>
      </c>
      <c r="BN346" t="e">
        <f>AND(#REF!,"AAAAADr+20E=")</f>
        <v>#REF!</v>
      </c>
      <c r="BO346" t="e">
        <f>AND(#REF!,"AAAAADr+20I=")</f>
        <v>#REF!</v>
      </c>
      <c r="BP346" t="e">
        <f>AND(#REF!,"AAAAADr+20M=")</f>
        <v>#REF!</v>
      </c>
      <c r="BQ346" t="e">
        <f>AND(#REF!,"AAAAADr+20Q=")</f>
        <v>#REF!</v>
      </c>
      <c r="BR346" t="e">
        <f>AND(#REF!,"AAAAADr+20U=")</f>
        <v>#REF!</v>
      </c>
      <c r="BS346" t="e">
        <f>AND(#REF!,"AAAAADr+20Y=")</f>
        <v>#REF!</v>
      </c>
      <c r="BT346" t="e">
        <f>AND(#REF!,"AAAAADr+20c=")</f>
        <v>#REF!</v>
      </c>
      <c r="BU346" t="e">
        <f>IF(#REF!,"AAAAADr+20g=",0)</f>
        <v>#REF!</v>
      </c>
      <c r="BV346" t="e">
        <f>AND(#REF!,"AAAAADr+20k=")</f>
        <v>#REF!</v>
      </c>
      <c r="BW346" t="e">
        <f>AND(#REF!,"AAAAADr+20o=")</f>
        <v>#REF!</v>
      </c>
      <c r="BX346" t="e">
        <f>AND(#REF!,"AAAAADr+20s=")</f>
        <v>#REF!</v>
      </c>
      <c r="BY346" t="e">
        <f>AND(#REF!,"AAAAADr+20w=")</f>
        <v>#REF!</v>
      </c>
      <c r="BZ346" t="e">
        <f>AND(#REF!,"AAAAADr+200=")</f>
        <v>#REF!</v>
      </c>
      <c r="CA346" t="e">
        <f>AND(#REF!,"AAAAADr+204=")</f>
        <v>#REF!</v>
      </c>
      <c r="CB346" t="e">
        <f>AND(#REF!,"AAAAADr+208=")</f>
        <v>#REF!</v>
      </c>
      <c r="CC346" t="e">
        <f>AND(#REF!,"AAAAADr+21A=")</f>
        <v>#REF!</v>
      </c>
      <c r="CD346" t="e">
        <f>AND(#REF!,"AAAAADr+21E=")</f>
        <v>#REF!</v>
      </c>
      <c r="CE346" t="e">
        <f>AND(#REF!,"AAAAADr+21I=")</f>
        <v>#REF!</v>
      </c>
      <c r="CF346" t="e">
        <f>IF(#REF!,"AAAAADr+21M=",0)</f>
        <v>#REF!</v>
      </c>
      <c r="CG346" t="e">
        <f>AND(#REF!,"AAAAADr+21Q=")</f>
        <v>#REF!</v>
      </c>
      <c r="CH346" t="e">
        <f>AND(#REF!,"AAAAADr+21U=")</f>
        <v>#REF!</v>
      </c>
      <c r="CI346" t="e">
        <f>AND(#REF!,"AAAAADr+21Y=")</f>
        <v>#REF!</v>
      </c>
      <c r="CJ346" t="e">
        <f>AND(#REF!,"AAAAADr+21c=")</f>
        <v>#REF!</v>
      </c>
      <c r="CK346" t="e">
        <f>AND(#REF!,"AAAAADr+21g=")</f>
        <v>#REF!</v>
      </c>
      <c r="CL346" t="e">
        <f>AND(#REF!,"AAAAADr+21k=")</f>
        <v>#REF!</v>
      </c>
      <c r="CM346" t="e">
        <f>AND(#REF!,"AAAAADr+21o=")</f>
        <v>#REF!</v>
      </c>
      <c r="CN346" t="e">
        <f>AND(#REF!,"AAAAADr+21s=")</f>
        <v>#REF!</v>
      </c>
      <c r="CO346" t="e">
        <f>AND(#REF!,"AAAAADr+21w=")</f>
        <v>#REF!</v>
      </c>
      <c r="CP346" t="e">
        <f>AND(#REF!,"AAAAADr+210=")</f>
        <v>#REF!</v>
      </c>
      <c r="CQ346" t="e">
        <f>IF(#REF!,"AAAAADr+214=",0)</f>
        <v>#REF!</v>
      </c>
      <c r="CR346" t="e">
        <f>AND(#REF!,"AAAAADr+218=")</f>
        <v>#REF!</v>
      </c>
      <c r="CS346" t="e">
        <f>AND(#REF!,"AAAAADr+22A=")</f>
        <v>#REF!</v>
      </c>
      <c r="CT346" t="e">
        <f>AND(#REF!,"AAAAADr+22E=")</f>
        <v>#REF!</v>
      </c>
      <c r="CU346" t="e">
        <f>AND(#REF!,"AAAAADr+22I=")</f>
        <v>#REF!</v>
      </c>
      <c r="CV346" t="e">
        <f>AND(#REF!,"AAAAADr+22M=")</f>
        <v>#REF!</v>
      </c>
      <c r="CW346" t="e">
        <f>AND(#REF!,"AAAAADr+22Q=")</f>
        <v>#REF!</v>
      </c>
      <c r="CX346" t="e">
        <f>AND(#REF!,"AAAAADr+22U=")</f>
        <v>#REF!</v>
      </c>
      <c r="CY346" t="e">
        <f>AND(#REF!,"AAAAADr+22Y=")</f>
        <v>#REF!</v>
      </c>
      <c r="CZ346" t="e">
        <f>AND(#REF!,"AAAAADr+22c=")</f>
        <v>#REF!</v>
      </c>
      <c r="DA346" t="e">
        <f>AND(#REF!,"AAAAADr+22g=")</f>
        <v>#REF!</v>
      </c>
      <c r="DB346" t="e">
        <f>IF(#REF!,"AAAAADr+22k=",0)</f>
        <v>#REF!</v>
      </c>
      <c r="DC346" t="e">
        <f>AND(#REF!,"AAAAADr+22o=")</f>
        <v>#REF!</v>
      </c>
      <c r="DD346" t="e">
        <f>AND(#REF!,"AAAAADr+22s=")</f>
        <v>#REF!</v>
      </c>
      <c r="DE346" t="e">
        <f>AND(#REF!,"AAAAADr+22w=")</f>
        <v>#REF!</v>
      </c>
      <c r="DF346" t="e">
        <f>AND(#REF!,"AAAAADr+220=")</f>
        <v>#REF!</v>
      </c>
      <c r="DG346" t="e">
        <f>AND(#REF!,"AAAAADr+224=")</f>
        <v>#REF!</v>
      </c>
      <c r="DH346" t="e">
        <f>AND(#REF!,"AAAAADr+228=")</f>
        <v>#REF!</v>
      </c>
      <c r="DI346" t="e">
        <f>AND(#REF!,"AAAAADr+23A=")</f>
        <v>#REF!</v>
      </c>
      <c r="DJ346" t="e">
        <f>AND(#REF!,"AAAAADr+23E=")</f>
        <v>#REF!</v>
      </c>
      <c r="DK346" t="e">
        <f>AND(#REF!,"AAAAADr+23I=")</f>
        <v>#REF!</v>
      </c>
      <c r="DL346" t="e">
        <f>AND(#REF!,"AAAAADr+23M=")</f>
        <v>#REF!</v>
      </c>
      <c r="DM346" t="e">
        <f>IF(#REF!,"AAAAADr+23Q=",0)</f>
        <v>#REF!</v>
      </c>
      <c r="DN346" t="e">
        <f>AND(#REF!,"AAAAADr+23U=")</f>
        <v>#REF!</v>
      </c>
      <c r="DO346" t="e">
        <f>AND(#REF!,"AAAAADr+23Y=")</f>
        <v>#REF!</v>
      </c>
      <c r="DP346" t="e">
        <f>AND(#REF!,"AAAAADr+23c=")</f>
        <v>#REF!</v>
      </c>
      <c r="DQ346" t="e">
        <f>AND(#REF!,"AAAAADr+23g=")</f>
        <v>#REF!</v>
      </c>
      <c r="DR346" t="e">
        <f>AND(#REF!,"AAAAADr+23k=")</f>
        <v>#REF!</v>
      </c>
      <c r="DS346" t="e">
        <f>AND(#REF!,"AAAAADr+23o=")</f>
        <v>#REF!</v>
      </c>
      <c r="DT346" t="e">
        <f>AND(#REF!,"AAAAADr+23s=")</f>
        <v>#REF!</v>
      </c>
      <c r="DU346" t="e">
        <f>AND(#REF!,"AAAAADr+23w=")</f>
        <v>#REF!</v>
      </c>
      <c r="DV346" t="e">
        <f>AND(#REF!,"AAAAADr+230=")</f>
        <v>#REF!</v>
      </c>
      <c r="DW346" t="e">
        <f>AND(#REF!,"AAAAADr+234=")</f>
        <v>#REF!</v>
      </c>
      <c r="DX346" t="e">
        <f>IF(#REF!,"AAAAADr+238=",0)</f>
        <v>#REF!</v>
      </c>
      <c r="DY346" t="e">
        <f>AND(#REF!,"AAAAADr+24A=")</f>
        <v>#REF!</v>
      </c>
      <c r="DZ346" t="e">
        <f>AND(#REF!,"AAAAADr+24E=")</f>
        <v>#REF!</v>
      </c>
      <c r="EA346" t="e">
        <f>AND(#REF!,"AAAAADr+24I=")</f>
        <v>#REF!</v>
      </c>
      <c r="EB346" t="e">
        <f>AND(#REF!,"AAAAADr+24M=")</f>
        <v>#REF!</v>
      </c>
      <c r="EC346" t="e">
        <f>AND(#REF!,"AAAAADr+24Q=")</f>
        <v>#REF!</v>
      </c>
      <c r="ED346" t="e">
        <f>AND(#REF!,"AAAAADr+24U=")</f>
        <v>#REF!</v>
      </c>
      <c r="EE346" t="e">
        <f>AND(#REF!,"AAAAADr+24Y=")</f>
        <v>#REF!</v>
      </c>
      <c r="EF346" t="e">
        <f>AND(#REF!,"AAAAADr+24c=")</f>
        <v>#REF!</v>
      </c>
      <c r="EG346" t="e">
        <f>AND(#REF!,"AAAAADr+24g=")</f>
        <v>#REF!</v>
      </c>
      <c r="EH346" t="e">
        <f>AND(#REF!,"AAAAADr+24k=")</f>
        <v>#REF!</v>
      </c>
      <c r="EI346" t="e">
        <f>IF(#REF!,"AAAAADr+24o=",0)</f>
        <v>#REF!</v>
      </c>
      <c r="EJ346" t="e">
        <f>AND(#REF!,"AAAAADr+24s=")</f>
        <v>#REF!</v>
      </c>
      <c r="EK346" t="e">
        <f>AND(#REF!,"AAAAADr+24w=")</f>
        <v>#REF!</v>
      </c>
      <c r="EL346" t="e">
        <f>AND(#REF!,"AAAAADr+240=")</f>
        <v>#REF!</v>
      </c>
      <c r="EM346" t="e">
        <f>AND(#REF!,"AAAAADr+244=")</f>
        <v>#REF!</v>
      </c>
      <c r="EN346" t="e">
        <f>AND(#REF!,"AAAAADr+248=")</f>
        <v>#REF!</v>
      </c>
      <c r="EO346" t="e">
        <f>AND(#REF!,"AAAAADr+25A=")</f>
        <v>#REF!</v>
      </c>
      <c r="EP346" t="e">
        <f>AND(#REF!,"AAAAADr+25E=")</f>
        <v>#REF!</v>
      </c>
      <c r="EQ346" t="e">
        <f>AND(#REF!,"AAAAADr+25I=")</f>
        <v>#REF!</v>
      </c>
      <c r="ER346" t="e">
        <f>AND(#REF!,"AAAAADr+25M=")</f>
        <v>#REF!</v>
      </c>
      <c r="ES346" t="e">
        <f>AND(#REF!,"AAAAADr+25Q=")</f>
        <v>#REF!</v>
      </c>
      <c r="ET346" t="e">
        <f>IF(#REF!,"AAAAADr+25U=",0)</f>
        <v>#REF!</v>
      </c>
      <c r="EU346" t="e">
        <f>AND(#REF!,"AAAAADr+25Y=")</f>
        <v>#REF!</v>
      </c>
      <c r="EV346" t="e">
        <f>AND(#REF!,"AAAAADr+25c=")</f>
        <v>#REF!</v>
      </c>
      <c r="EW346" t="e">
        <f>AND(#REF!,"AAAAADr+25g=")</f>
        <v>#REF!</v>
      </c>
      <c r="EX346" t="e">
        <f>AND(#REF!,"AAAAADr+25k=")</f>
        <v>#REF!</v>
      </c>
      <c r="EY346" t="e">
        <f>AND(#REF!,"AAAAADr+25o=")</f>
        <v>#REF!</v>
      </c>
      <c r="EZ346" t="e">
        <f>AND(#REF!,"AAAAADr+25s=")</f>
        <v>#REF!</v>
      </c>
      <c r="FA346" t="e">
        <f>AND(#REF!,"AAAAADr+25w=")</f>
        <v>#REF!</v>
      </c>
      <c r="FB346" t="e">
        <f>AND(#REF!,"AAAAADr+250=")</f>
        <v>#REF!</v>
      </c>
      <c r="FC346" t="e">
        <f>AND(#REF!,"AAAAADr+254=")</f>
        <v>#REF!</v>
      </c>
      <c r="FD346" t="e">
        <f>AND(#REF!,"AAAAADr+258=")</f>
        <v>#REF!</v>
      </c>
      <c r="FE346" t="e">
        <f>IF(#REF!,"AAAAADr+26A=",0)</f>
        <v>#REF!</v>
      </c>
      <c r="FF346" t="e">
        <f>AND(#REF!,"AAAAADr+26E=")</f>
        <v>#REF!</v>
      </c>
      <c r="FG346" t="e">
        <f>AND(#REF!,"AAAAADr+26I=")</f>
        <v>#REF!</v>
      </c>
      <c r="FH346" t="e">
        <f>AND(#REF!,"AAAAADr+26M=")</f>
        <v>#REF!</v>
      </c>
      <c r="FI346" t="e">
        <f>AND(#REF!,"AAAAADr+26Q=")</f>
        <v>#REF!</v>
      </c>
      <c r="FJ346" t="e">
        <f>AND(#REF!,"AAAAADr+26U=")</f>
        <v>#REF!</v>
      </c>
      <c r="FK346" t="e">
        <f>AND(#REF!,"AAAAADr+26Y=")</f>
        <v>#REF!</v>
      </c>
      <c r="FL346" t="e">
        <f>AND(#REF!,"AAAAADr+26c=")</f>
        <v>#REF!</v>
      </c>
      <c r="FM346" t="e">
        <f>AND(#REF!,"AAAAADr+26g=")</f>
        <v>#REF!</v>
      </c>
      <c r="FN346" t="e">
        <f>AND(#REF!,"AAAAADr+26k=")</f>
        <v>#REF!</v>
      </c>
      <c r="FO346" t="e">
        <f>AND(#REF!,"AAAAADr+26o=")</f>
        <v>#REF!</v>
      </c>
      <c r="FP346" t="e">
        <f>IF(#REF!,"AAAAADr+26s=",0)</f>
        <v>#REF!</v>
      </c>
      <c r="FQ346" t="e">
        <f>AND(#REF!,"AAAAADr+26w=")</f>
        <v>#REF!</v>
      </c>
      <c r="FR346" t="e">
        <f>AND(#REF!,"AAAAADr+260=")</f>
        <v>#REF!</v>
      </c>
      <c r="FS346" t="e">
        <f>AND(#REF!,"AAAAADr+264=")</f>
        <v>#REF!</v>
      </c>
      <c r="FT346" t="e">
        <f>AND(#REF!,"AAAAADr+268=")</f>
        <v>#REF!</v>
      </c>
      <c r="FU346" t="e">
        <f>AND(#REF!,"AAAAADr+27A=")</f>
        <v>#REF!</v>
      </c>
      <c r="FV346" t="e">
        <f>AND(#REF!,"AAAAADr+27E=")</f>
        <v>#REF!</v>
      </c>
      <c r="FW346" t="e">
        <f>AND(#REF!,"AAAAADr+27I=")</f>
        <v>#REF!</v>
      </c>
      <c r="FX346" t="e">
        <f>AND(#REF!,"AAAAADr+27M=")</f>
        <v>#REF!</v>
      </c>
      <c r="FY346" t="e">
        <f>AND(#REF!,"AAAAADr+27Q=")</f>
        <v>#REF!</v>
      </c>
      <c r="FZ346" t="e">
        <f>AND(#REF!,"AAAAADr+27U=")</f>
        <v>#REF!</v>
      </c>
      <c r="GA346" t="e">
        <f>IF(#REF!,"AAAAADr+27Y=",0)</f>
        <v>#REF!</v>
      </c>
      <c r="GB346" t="e">
        <f>AND(#REF!,"AAAAADr+27c=")</f>
        <v>#REF!</v>
      </c>
      <c r="GC346" t="e">
        <f>AND(#REF!,"AAAAADr+27g=")</f>
        <v>#REF!</v>
      </c>
      <c r="GD346" t="e">
        <f>AND(#REF!,"AAAAADr+27k=")</f>
        <v>#REF!</v>
      </c>
      <c r="GE346" t="e">
        <f>AND(#REF!,"AAAAADr+27o=")</f>
        <v>#REF!</v>
      </c>
      <c r="GF346" t="e">
        <f>AND(#REF!,"AAAAADr+27s=")</f>
        <v>#REF!</v>
      </c>
      <c r="GG346" t="e">
        <f>AND(#REF!,"AAAAADr+27w=")</f>
        <v>#REF!</v>
      </c>
      <c r="GH346" t="e">
        <f>AND(#REF!,"AAAAADr+270=")</f>
        <v>#REF!</v>
      </c>
      <c r="GI346" t="e">
        <f>AND(#REF!,"AAAAADr+274=")</f>
        <v>#REF!</v>
      </c>
      <c r="GJ346" t="e">
        <f>AND(#REF!,"AAAAADr+278=")</f>
        <v>#REF!</v>
      </c>
      <c r="GK346" t="e">
        <f>AND(#REF!,"AAAAADr+28A=")</f>
        <v>#REF!</v>
      </c>
      <c r="GL346" t="e">
        <f>IF(#REF!,"AAAAADr+28E=",0)</f>
        <v>#REF!</v>
      </c>
      <c r="GM346" t="e">
        <f>AND(#REF!,"AAAAADr+28I=")</f>
        <v>#REF!</v>
      </c>
      <c r="GN346" t="e">
        <f>AND(#REF!,"AAAAADr+28M=")</f>
        <v>#REF!</v>
      </c>
      <c r="GO346" t="e">
        <f>AND(#REF!,"AAAAADr+28Q=")</f>
        <v>#REF!</v>
      </c>
      <c r="GP346" t="e">
        <f>AND(#REF!,"AAAAADr+28U=")</f>
        <v>#REF!</v>
      </c>
      <c r="GQ346" t="e">
        <f>AND(#REF!,"AAAAADr+28Y=")</f>
        <v>#REF!</v>
      </c>
      <c r="GR346" t="e">
        <f>AND(#REF!,"AAAAADr+28c=")</f>
        <v>#REF!</v>
      </c>
      <c r="GS346" t="e">
        <f>AND(#REF!,"AAAAADr+28g=")</f>
        <v>#REF!</v>
      </c>
      <c r="GT346" t="e">
        <f>AND(#REF!,"AAAAADr+28k=")</f>
        <v>#REF!</v>
      </c>
      <c r="GU346" t="e">
        <f>AND(#REF!,"AAAAADr+28o=")</f>
        <v>#REF!</v>
      </c>
      <c r="GV346" t="e">
        <f>AND(#REF!,"AAAAADr+28s=")</f>
        <v>#REF!</v>
      </c>
      <c r="GW346" t="e">
        <f>IF(#REF!,"AAAAADr+28w=",0)</f>
        <v>#REF!</v>
      </c>
      <c r="GX346" t="e">
        <f>AND(#REF!,"AAAAADr+280=")</f>
        <v>#REF!</v>
      </c>
      <c r="GY346" t="e">
        <f>AND(#REF!,"AAAAADr+284=")</f>
        <v>#REF!</v>
      </c>
      <c r="GZ346" t="e">
        <f>AND(#REF!,"AAAAADr+288=")</f>
        <v>#REF!</v>
      </c>
      <c r="HA346" t="e">
        <f>AND(#REF!,"AAAAADr+29A=")</f>
        <v>#REF!</v>
      </c>
      <c r="HB346" t="e">
        <f>AND(#REF!,"AAAAADr+29E=")</f>
        <v>#REF!</v>
      </c>
      <c r="HC346" t="e">
        <f>AND(#REF!,"AAAAADr+29I=")</f>
        <v>#REF!</v>
      </c>
      <c r="HD346" t="e">
        <f>AND(#REF!,"AAAAADr+29M=")</f>
        <v>#REF!</v>
      </c>
      <c r="HE346" t="e">
        <f>AND(#REF!,"AAAAADr+29Q=")</f>
        <v>#REF!</v>
      </c>
      <c r="HF346" t="e">
        <f>AND(#REF!,"AAAAADr+29U=")</f>
        <v>#REF!</v>
      </c>
      <c r="HG346" t="e">
        <f>AND(#REF!,"AAAAADr+29Y=")</f>
        <v>#REF!</v>
      </c>
      <c r="HH346" t="e">
        <f>IF(#REF!,"AAAAADr+29c=",0)</f>
        <v>#REF!</v>
      </c>
      <c r="HI346" t="e">
        <f>AND(#REF!,"AAAAADr+29g=")</f>
        <v>#REF!</v>
      </c>
      <c r="HJ346" t="e">
        <f>AND(#REF!,"AAAAADr+29k=")</f>
        <v>#REF!</v>
      </c>
      <c r="HK346" t="e">
        <f>AND(#REF!,"AAAAADr+29o=")</f>
        <v>#REF!</v>
      </c>
      <c r="HL346" t="e">
        <f>AND(#REF!,"AAAAADr+29s=")</f>
        <v>#REF!</v>
      </c>
      <c r="HM346" t="e">
        <f>AND(#REF!,"AAAAADr+29w=")</f>
        <v>#REF!</v>
      </c>
      <c r="HN346" t="e">
        <f>AND(#REF!,"AAAAADr+290=")</f>
        <v>#REF!</v>
      </c>
      <c r="HO346" t="e">
        <f>AND(#REF!,"AAAAADr+294=")</f>
        <v>#REF!</v>
      </c>
      <c r="HP346" t="e">
        <f>AND(#REF!,"AAAAADr+298=")</f>
        <v>#REF!</v>
      </c>
      <c r="HQ346" t="e">
        <f>AND(#REF!,"AAAAADr+2+A=")</f>
        <v>#REF!</v>
      </c>
      <c r="HR346" t="e">
        <f>AND(#REF!,"AAAAADr+2+E=")</f>
        <v>#REF!</v>
      </c>
      <c r="HS346" t="e">
        <f>IF(#REF!,"AAAAADr+2+I=",0)</f>
        <v>#REF!</v>
      </c>
      <c r="HT346" t="e">
        <f>AND(#REF!,"AAAAADr+2+M=")</f>
        <v>#REF!</v>
      </c>
      <c r="HU346" t="e">
        <f>AND(#REF!,"AAAAADr+2+Q=")</f>
        <v>#REF!</v>
      </c>
      <c r="HV346" t="e">
        <f>AND(#REF!,"AAAAADr+2+U=")</f>
        <v>#REF!</v>
      </c>
      <c r="HW346" t="e">
        <f>AND(#REF!,"AAAAADr+2+Y=")</f>
        <v>#REF!</v>
      </c>
      <c r="HX346" t="e">
        <f>AND(#REF!,"AAAAADr+2+c=")</f>
        <v>#REF!</v>
      </c>
      <c r="HY346" t="e">
        <f>AND(#REF!,"AAAAADr+2+g=")</f>
        <v>#REF!</v>
      </c>
      <c r="HZ346" t="e">
        <f>AND(#REF!,"AAAAADr+2+k=")</f>
        <v>#REF!</v>
      </c>
      <c r="IA346" t="e">
        <f>AND(#REF!,"AAAAADr+2+o=")</f>
        <v>#REF!</v>
      </c>
      <c r="IB346" t="e">
        <f>AND(#REF!,"AAAAADr+2+s=")</f>
        <v>#REF!</v>
      </c>
      <c r="IC346" t="e">
        <f>AND(#REF!,"AAAAADr+2+w=")</f>
        <v>#REF!</v>
      </c>
      <c r="ID346" t="e">
        <f>IF(#REF!,"AAAAADr+2+0=",0)</f>
        <v>#REF!</v>
      </c>
      <c r="IE346" t="e">
        <f>AND(#REF!,"AAAAADr+2+4=")</f>
        <v>#REF!</v>
      </c>
      <c r="IF346" t="e">
        <f>AND(#REF!,"AAAAADr+2+8=")</f>
        <v>#REF!</v>
      </c>
      <c r="IG346" t="e">
        <f>AND(#REF!,"AAAAADr+2/A=")</f>
        <v>#REF!</v>
      </c>
      <c r="IH346" t="e">
        <f>AND(#REF!,"AAAAADr+2/E=")</f>
        <v>#REF!</v>
      </c>
      <c r="II346" t="e">
        <f>AND(#REF!,"AAAAADr+2/I=")</f>
        <v>#REF!</v>
      </c>
      <c r="IJ346" t="e">
        <f>AND(#REF!,"AAAAADr+2/M=")</f>
        <v>#REF!</v>
      </c>
      <c r="IK346" t="e">
        <f>AND(#REF!,"AAAAADr+2/Q=")</f>
        <v>#REF!</v>
      </c>
      <c r="IL346" t="e">
        <f>AND(#REF!,"AAAAADr+2/U=")</f>
        <v>#REF!</v>
      </c>
      <c r="IM346" t="e">
        <f>AND(#REF!,"AAAAADr+2/Y=")</f>
        <v>#REF!</v>
      </c>
      <c r="IN346" t="e">
        <f>AND(#REF!,"AAAAADr+2/c=")</f>
        <v>#REF!</v>
      </c>
      <c r="IO346" t="e">
        <f>IF(#REF!,"AAAAADr+2/g=",0)</f>
        <v>#REF!</v>
      </c>
      <c r="IP346" t="e">
        <f>AND(#REF!,"AAAAADr+2/k=")</f>
        <v>#REF!</v>
      </c>
      <c r="IQ346" t="e">
        <f>AND(#REF!,"AAAAADr+2/o=")</f>
        <v>#REF!</v>
      </c>
      <c r="IR346" t="e">
        <f>AND(#REF!,"AAAAADr+2/s=")</f>
        <v>#REF!</v>
      </c>
      <c r="IS346" t="e">
        <f>AND(#REF!,"AAAAADr+2/w=")</f>
        <v>#REF!</v>
      </c>
      <c r="IT346" t="e">
        <f>AND(#REF!,"AAAAADr+2/0=")</f>
        <v>#REF!</v>
      </c>
      <c r="IU346" t="e">
        <f>AND(#REF!,"AAAAADr+2/4=")</f>
        <v>#REF!</v>
      </c>
      <c r="IV346" t="e">
        <f>AND(#REF!,"AAAAADr+2/8=")</f>
        <v>#REF!</v>
      </c>
    </row>
    <row r="347" spans="1:256" x14ac:dyDescent="0.25">
      <c r="A347" t="e">
        <f>AND(#REF!,"AAAAAH+/fwA=")</f>
        <v>#REF!</v>
      </c>
      <c r="B347" t="e">
        <f>AND(#REF!,"AAAAAH+/fwE=")</f>
        <v>#REF!</v>
      </c>
      <c r="C347" t="e">
        <f>AND(#REF!,"AAAAAH+/fwI=")</f>
        <v>#REF!</v>
      </c>
      <c r="D347" t="e">
        <f>IF(#REF!,"AAAAAH+/fwM=",0)</f>
        <v>#REF!</v>
      </c>
      <c r="E347" t="e">
        <f>AND(#REF!,"AAAAAH+/fwQ=")</f>
        <v>#REF!</v>
      </c>
      <c r="F347" t="e">
        <f>AND(#REF!,"AAAAAH+/fwU=")</f>
        <v>#REF!</v>
      </c>
      <c r="G347" t="e">
        <f>AND(#REF!,"AAAAAH+/fwY=")</f>
        <v>#REF!</v>
      </c>
      <c r="H347" t="e">
        <f>AND(#REF!,"AAAAAH+/fwc=")</f>
        <v>#REF!</v>
      </c>
      <c r="I347" t="e">
        <f>AND(#REF!,"AAAAAH+/fwg=")</f>
        <v>#REF!</v>
      </c>
      <c r="J347" t="e">
        <f>AND(#REF!,"AAAAAH+/fwk=")</f>
        <v>#REF!</v>
      </c>
      <c r="K347" t="e">
        <f>AND(#REF!,"AAAAAH+/fwo=")</f>
        <v>#REF!</v>
      </c>
      <c r="L347" t="e">
        <f>AND(#REF!,"AAAAAH+/fws=")</f>
        <v>#REF!</v>
      </c>
      <c r="M347" t="e">
        <f>AND(#REF!,"AAAAAH+/fww=")</f>
        <v>#REF!</v>
      </c>
      <c r="N347" t="e">
        <f>AND(#REF!,"AAAAAH+/fw0=")</f>
        <v>#REF!</v>
      </c>
      <c r="O347" t="e">
        <f>IF(#REF!,"AAAAAH+/fw4=",0)</f>
        <v>#REF!</v>
      </c>
      <c r="P347" t="e">
        <f>AND(#REF!,"AAAAAH+/fw8=")</f>
        <v>#REF!</v>
      </c>
      <c r="Q347" t="e">
        <f>AND(#REF!,"AAAAAH+/fxA=")</f>
        <v>#REF!</v>
      </c>
      <c r="R347" t="e">
        <f>AND(#REF!,"AAAAAH+/fxE=")</f>
        <v>#REF!</v>
      </c>
      <c r="S347" t="e">
        <f>AND(#REF!,"AAAAAH+/fxI=")</f>
        <v>#REF!</v>
      </c>
      <c r="T347" t="e">
        <f>AND(#REF!,"AAAAAH+/fxM=")</f>
        <v>#REF!</v>
      </c>
      <c r="U347" t="e">
        <f>AND(#REF!,"AAAAAH+/fxQ=")</f>
        <v>#REF!</v>
      </c>
      <c r="V347" t="e">
        <f>AND(#REF!,"AAAAAH+/fxU=")</f>
        <v>#REF!</v>
      </c>
      <c r="W347" t="e">
        <f>AND(#REF!,"AAAAAH+/fxY=")</f>
        <v>#REF!</v>
      </c>
      <c r="X347" t="e">
        <f>AND(#REF!,"AAAAAH+/fxc=")</f>
        <v>#REF!</v>
      </c>
      <c r="Y347" t="e">
        <f>AND(#REF!,"AAAAAH+/fxg=")</f>
        <v>#REF!</v>
      </c>
      <c r="Z347" t="e">
        <f>IF(#REF!,"AAAAAH+/fxk=",0)</f>
        <v>#REF!</v>
      </c>
      <c r="AA347" t="e">
        <f>AND(#REF!,"AAAAAH+/fxo=")</f>
        <v>#REF!</v>
      </c>
      <c r="AB347" t="e">
        <f>AND(#REF!,"AAAAAH+/fxs=")</f>
        <v>#REF!</v>
      </c>
      <c r="AC347" t="e">
        <f>AND(#REF!,"AAAAAH+/fxw=")</f>
        <v>#REF!</v>
      </c>
      <c r="AD347" t="e">
        <f>AND(#REF!,"AAAAAH+/fx0=")</f>
        <v>#REF!</v>
      </c>
      <c r="AE347" t="e">
        <f>AND(#REF!,"AAAAAH+/fx4=")</f>
        <v>#REF!</v>
      </c>
      <c r="AF347" t="e">
        <f>AND(#REF!,"AAAAAH+/fx8=")</f>
        <v>#REF!</v>
      </c>
      <c r="AG347" t="e">
        <f>AND(#REF!,"AAAAAH+/fyA=")</f>
        <v>#REF!</v>
      </c>
      <c r="AH347" t="e">
        <f>AND(#REF!,"AAAAAH+/fyE=")</f>
        <v>#REF!</v>
      </c>
      <c r="AI347" t="e">
        <f>AND(#REF!,"AAAAAH+/fyI=")</f>
        <v>#REF!</v>
      </c>
      <c r="AJ347" t="e">
        <f>AND(#REF!,"AAAAAH+/fyM=")</f>
        <v>#REF!</v>
      </c>
      <c r="AK347" t="e">
        <f>IF(#REF!,"AAAAAH+/fyQ=",0)</f>
        <v>#REF!</v>
      </c>
      <c r="AL347" t="e">
        <f>AND(#REF!,"AAAAAH+/fyU=")</f>
        <v>#REF!</v>
      </c>
      <c r="AM347" t="e">
        <f>AND(#REF!,"AAAAAH+/fyY=")</f>
        <v>#REF!</v>
      </c>
      <c r="AN347" t="e">
        <f>AND(#REF!,"AAAAAH+/fyc=")</f>
        <v>#REF!</v>
      </c>
      <c r="AO347" t="e">
        <f>AND(#REF!,"AAAAAH+/fyg=")</f>
        <v>#REF!</v>
      </c>
      <c r="AP347" t="e">
        <f>AND(#REF!,"AAAAAH+/fyk=")</f>
        <v>#REF!</v>
      </c>
      <c r="AQ347" t="e">
        <f>AND(#REF!,"AAAAAH+/fyo=")</f>
        <v>#REF!</v>
      </c>
      <c r="AR347" t="e">
        <f>AND(#REF!,"AAAAAH+/fys=")</f>
        <v>#REF!</v>
      </c>
      <c r="AS347" t="e">
        <f>AND(#REF!,"AAAAAH+/fyw=")</f>
        <v>#REF!</v>
      </c>
      <c r="AT347" t="e">
        <f>AND(#REF!,"AAAAAH+/fy0=")</f>
        <v>#REF!</v>
      </c>
      <c r="AU347" t="e">
        <f>AND(#REF!,"AAAAAH+/fy4=")</f>
        <v>#REF!</v>
      </c>
      <c r="AV347" t="e">
        <f>IF(#REF!,"AAAAAH+/fy8=",0)</f>
        <v>#REF!</v>
      </c>
      <c r="AW347" t="e">
        <f>AND(#REF!,"AAAAAH+/fzA=")</f>
        <v>#REF!</v>
      </c>
      <c r="AX347" t="e">
        <f>AND(#REF!,"AAAAAH+/fzE=")</f>
        <v>#REF!</v>
      </c>
      <c r="AY347" t="e">
        <f>AND(#REF!,"AAAAAH+/fzI=")</f>
        <v>#REF!</v>
      </c>
      <c r="AZ347" t="e">
        <f>AND(#REF!,"AAAAAH+/fzM=")</f>
        <v>#REF!</v>
      </c>
      <c r="BA347" t="e">
        <f>AND(#REF!,"AAAAAH+/fzQ=")</f>
        <v>#REF!</v>
      </c>
      <c r="BB347" t="e">
        <f>AND(#REF!,"AAAAAH+/fzU=")</f>
        <v>#REF!</v>
      </c>
      <c r="BC347" t="e">
        <f>AND(#REF!,"AAAAAH+/fzY=")</f>
        <v>#REF!</v>
      </c>
      <c r="BD347" t="e">
        <f>AND(#REF!,"AAAAAH+/fzc=")</f>
        <v>#REF!</v>
      </c>
      <c r="BE347" t="e">
        <f>AND(#REF!,"AAAAAH+/fzg=")</f>
        <v>#REF!</v>
      </c>
      <c r="BF347" t="e">
        <f>AND(#REF!,"AAAAAH+/fzk=")</f>
        <v>#REF!</v>
      </c>
      <c r="BG347" t="e">
        <f>IF(#REF!,"AAAAAH+/fzo=",0)</f>
        <v>#REF!</v>
      </c>
      <c r="BH347" t="e">
        <f>AND(#REF!,"AAAAAH+/fzs=")</f>
        <v>#REF!</v>
      </c>
      <c r="BI347" t="e">
        <f>AND(#REF!,"AAAAAH+/fzw=")</f>
        <v>#REF!</v>
      </c>
      <c r="BJ347" t="e">
        <f>AND(#REF!,"AAAAAH+/fz0=")</f>
        <v>#REF!</v>
      </c>
      <c r="BK347" t="e">
        <f>AND(#REF!,"AAAAAH+/fz4=")</f>
        <v>#REF!</v>
      </c>
      <c r="BL347" t="e">
        <f>AND(#REF!,"AAAAAH+/fz8=")</f>
        <v>#REF!</v>
      </c>
      <c r="BM347" t="e">
        <f>AND(#REF!,"AAAAAH+/f0A=")</f>
        <v>#REF!</v>
      </c>
      <c r="BN347" t="e">
        <f>AND(#REF!,"AAAAAH+/f0E=")</f>
        <v>#REF!</v>
      </c>
      <c r="BO347" t="e">
        <f>AND(#REF!,"AAAAAH+/f0I=")</f>
        <v>#REF!</v>
      </c>
      <c r="BP347" t="e">
        <f>AND(#REF!,"AAAAAH+/f0M=")</f>
        <v>#REF!</v>
      </c>
      <c r="BQ347" t="e">
        <f>AND(#REF!,"AAAAAH+/f0Q=")</f>
        <v>#REF!</v>
      </c>
      <c r="BR347" t="e">
        <f>IF(#REF!,"AAAAAH+/f0U=",0)</f>
        <v>#REF!</v>
      </c>
      <c r="BS347" t="e">
        <f>AND(#REF!,"AAAAAH+/f0Y=")</f>
        <v>#REF!</v>
      </c>
      <c r="BT347" t="e">
        <f>AND(#REF!,"AAAAAH+/f0c=")</f>
        <v>#REF!</v>
      </c>
      <c r="BU347" t="e">
        <f>AND(#REF!,"AAAAAH+/f0g=")</f>
        <v>#REF!</v>
      </c>
      <c r="BV347" t="e">
        <f>AND(#REF!,"AAAAAH+/f0k=")</f>
        <v>#REF!</v>
      </c>
      <c r="BW347" t="e">
        <f>AND(#REF!,"AAAAAH+/f0o=")</f>
        <v>#REF!</v>
      </c>
      <c r="BX347" t="e">
        <f>AND(#REF!,"AAAAAH+/f0s=")</f>
        <v>#REF!</v>
      </c>
      <c r="BY347" t="e">
        <f>AND(#REF!,"AAAAAH+/f0w=")</f>
        <v>#REF!</v>
      </c>
      <c r="BZ347" t="e">
        <f>AND(#REF!,"AAAAAH+/f00=")</f>
        <v>#REF!</v>
      </c>
      <c r="CA347" t="e">
        <f>AND(#REF!,"AAAAAH+/f04=")</f>
        <v>#REF!</v>
      </c>
      <c r="CB347" t="e">
        <f>AND(#REF!,"AAAAAH+/f08=")</f>
        <v>#REF!</v>
      </c>
      <c r="CC347" t="e">
        <f>IF(#REF!,"AAAAAH+/f1A=",0)</f>
        <v>#REF!</v>
      </c>
      <c r="CD347" t="e">
        <f>AND(#REF!,"AAAAAH+/f1E=")</f>
        <v>#REF!</v>
      </c>
      <c r="CE347" t="e">
        <f>AND(#REF!,"AAAAAH+/f1I=")</f>
        <v>#REF!</v>
      </c>
      <c r="CF347" t="e">
        <f>AND(#REF!,"AAAAAH+/f1M=")</f>
        <v>#REF!</v>
      </c>
      <c r="CG347" t="e">
        <f>AND(#REF!,"AAAAAH+/f1Q=")</f>
        <v>#REF!</v>
      </c>
      <c r="CH347" t="e">
        <f>AND(#REF!,"AAAAAH+/f1U=")</f>
        <v>#REF!</v>
      </c>
      <c r="CI347" t="e">
        <f>AND(#REF!,"AAAAAH+/f1Y=")</f>
        <v>#REF!</v>
      </c>
      <c r="CJ347" t="e">
        <f>AND(#REF!,"AAAAAH+/f1c=")</f>
        <v>#REF!</v>
      </c>
      <c r="CK347" t="e">
        <f>AND(#REF!,"AAAAAH+/f1g=")</f>
        <v>#REF!</v>
      </c>
      <c r="CL347" t="e">
        <f>AND(#REF!,"AAAAAH+/f1k=")</f>
        <v>#REF!</v>
      </c>
      <c r="CM347" t="e">
        <f>AND(#REF!,"AAAAAH+/f1o=")</f>
        <v>#REF!</v>
      </c>
      <c r="CN347" t="e">
        <f>IF(#REF!,"AAAAAH+/f1s=",0)</f>
        <v>#REF!</v>
      </c>
      <c r="CO347" t="e">
        <f>AND(#REF!,"AAAAAH+/f1w=")</f>
        <v>#REF!</v>
      </c>
      <c r="CP347" t="e">
        <f>AND(#REF!,"AAAAAH+/f10=")</f>
        <v>#REF!</v>
      </c>
      <c r="CQ347" t="e">
        <f>AND(#REF!,"AAAAAH+/f14=")</f>
        <v>#REF!</v>
      </c>
      <c r="CR347" t="e">
        <f>AND(#REF!,"AAAAAH+/f18=")</f>
        <v>#REF!</v>
      </c>
      <c r="CS347" t="e">
        <f>AND(#REF!,"AAAAAH+/f2A=")</f>
        <v>#REF!</v>
      </c>
      <c r="CT347" t="e">
        <f>AND(#REF!,"AAAAAH+/f2E=")</f>
        <v>#REF!</v>
      </c>
      <c r="CU347" t="e">
        <f>AND(#REF!,"AAAAAH+/f2I=")</f>
        <v>#REF!</v>
      </c>
      <c r="CV347" t="e">
        <f>AND(#REF!,"AAAAAH+/f2M=")</f>
        <v>#REF!</v>
      </c>
      <c r="CW347" t="e">
        <f>AND(#REF!,"AAAAAH+/f2Q=")</f>
        <v>#REF!</v>
      </c>
      <c r="CX347" t="e">
        <f>AND(#REF!,"AAAAAH+/f2U=")</f>
        <v>#REF!</v>
      </c>
      <c r="CY347" t="e">
        <f>IF(#REF!,"AAAAAH+/f2Y=",0)</f>
        <v>#REF!</v>
      </c>
      <c r="CZ347" t="e">
        <f>AND(#REF!,"AAAAAH+/f2c=")</f>
        <v>#REF!</v>
      </c>
      <c r="DA347" t="e">
        <f>AND(#REF!,"AAAAAH+/f2g=")</f>
        <v>#REF!</v>
      </c>
      <c r="DB347" t="e">
        <f>AND(#REF!,"AAAAAH+/f2k=")</f>
        <v>#REF!</v>
      </c>
      <c r="DC347" t="e">
        <f>AND(#REF!,"AAAAAH+/f2o=")</f>
        <v>#REF!</v>
      </c>
      <c r="DD347" t="e">
        <f>AND(#REF!,"AAAAAH+/f2s=")</f>
        <v>#REF!</v>
      </c>
      <c r="DE347" t="e">
        <f>AND(#REF!,"AAAAAH+/f2w=")</f>
        <v>#REF!</v>
      </c>
      <c r="DF347" t="e">
        <f>AND(#REF!,"AAAAAH+/f20=")</f>
        <v>#REF!</v>
      </c>
      <c r="DG347" t="e">
        <f>AND(#REF!,"AAAAAH+/f24=")</f>
        <v>#REF!</v>
      </c>
      <c r="DH347" t="e">
        <f>AND(#REF!,"AAAAAH+/f28=")</f>
        <v>#REF!</v>
      </c>
      <c r="DI347" t="e">
        <f>AND(#REF!,"AAAAAH+/f3A=")</f>
        <v>#REF!</v>
      </c>
      <c r="DJ347" t="e">
        <f>IF(#REF!,"AAAAAH+/f3E=",0)</f>
        <v>#REF!</v>
      </c>
      <c r="DK347" t="e">
        <f>AND(#REF!,"AAAAAH+/f3I=")</f>
        <v>#REF!</v>
      </c>
      <c r="DL347" t="e">
        <f>AND(#REF!,"AAAAAH+/f3M=")</f>
        <v>#REF!</v>
      </c>
      <c r="DM347" t="e">
        <f>AND(#REF!,"AAAAAH+/f3Q=")</f>
        <v>#REF!</v>
      </c>
      <c r="DN347" t="e">
        <f>AND(#REF!,"AAAAAH+/f3U=")</f>
        <v>#REF!</v>
      </c>
      <c r="DO347" t="e">
        <f>AND(#REF!,"AAAAAH+/f3Y=")</f>
        <v>#REF!</v>
      </c>
      <c r="DP347" t="e">
        <f>AND(#REF!,"AAAAAH+/f3c=")</f>
        <v>#REF!</v>
      </c>
      <c r="DQ347" t="e">
        <f>AND(#REF!,"AAAAAH+/f3g=")</f>
        <v>#REF!</v>
      </c>
      <c r="DR347" t="e">
        <f>AND(#REF!,"AAAAAH+/f3k=")</f>
        <v>#REF!</v>
      </c>
      <c r="DS347" t="e">
        <f>AND(#REF!,"AAAAAH+/f3o=")</f>
        <v>#REF!</v>
      </c>
      <c r="DT347" t="e">
        <f>AND(#REF!,"AAAAAH+/f3s=")</f>
        <v>#REF!</v>
      </c>
      <c r="DU347" t="e">
        <f>IF(#REF!,"AAAAAH+/f3w=",0)</f>
        <v>#REF!</v>
      </c>
      <c r="DV347" t="e">
        <f>AND(#REF!,"AAAAAH+/f30=")</f>
        <v>#REF!</v>
      </c>
      <c r="DW347" t="e">
        <f>AND(#REF!,"AAAAAH+/f34=")</f>
        <v>#REF!</v>
      </c>
      <c r="DX347" t="e">
        <f>AND(#REF!,"AAAAAH+/f38=")</f>
        <v>#REF!</v>
      </c>
      <c r="DY347" t="e">
        <f>AND(#REF!,"AAAAAH+/f4A=")</f>
        <v>#REF!</v>
      </c>
      <c r="DZ347" t="e">
        <f>AND(#REF!,"AAAAAH+/f4E=")</f>
        <v>#REF!</v>
      </c>
      <c r="EA347" t="e">
        <f>AND(#REF!,"AAAAAH+/f4I=")</f>
        <v>#REF!</v>
      </c>
      <c r="EB347" t="e">
        <f>AND(#REF!,"AAAAAH+/f4M=")</f>
        <v>#REF!</v>
      </c>
      <c r="EC347" t="e">
        <f>AND(#REF!,"AAAAAH+/f4Q=")</f>
        <v>#REF!</v>
      </c>
      <c r="ED347" t="e">
        <f>AND(#REF!,"AAAAAH+/f4U=")</f>
        <v>#REF!</v>
      </c>
      <c r="EE347" t="e">
        <f>AND(#REF!,"AAAAAH+/f4Y=")</f>
        <v>#REF!</v>
      </c>
      <c r="EF347" t="e">
        <f>IF(#REF!,"AAAAAH+/f4c=",0)</f>
        <v>#REF!</v>
      </c>
      <c r="EG347" t="e">
        <f>AND(#REF!,"AAAAAH+/f4g=")</f>
        <v>#REF!</v>
      </c>
      <c r="EH347" t="e">
        <f>AND(#REF!,"AAAAAH+/f4k=")</f>
        <v>#REF!</v>
      </c>
      <c r="EI347" t="e">
        <f>AND(#REF!,"AAAAAH+/f4o=")</f>
        <v>#REF!</v>
      </c>
      <c r="EJ347" t="e">
        <f>AND(#REF!,"AAAAAH+/f4s=")</f>
        <v>#REF!</v>
      </c>
      <c r="EK347" t="e">
        <f>AND(#REF!,"AAAAAH+/f4w=")</f>
        <v>#REF!</v>
      </c>
      <c r="EL347" t="e">
        <f>AND(#REF!,"AAAAAH+/f40=")</f>
        <v>#REF!</v>
      </c>
      <c r="EM347" t="e">
        <f>AND(#REF!,"AAAAAH+/f44=")</f>
        <v>#REF!</v>
      </c>
      <c r="EN347" t="e">
        <f>AND(#REF!,"AAAAAH+/f48=")</f>
        <v>#REF!</v>
      </c>
      <c r="EO347" t="e">
        <f>AND(#REF!,"AAAAAH+/f5A=")</f>
        <v>#REF!</v>
      </c>
      <c r="EP347" t="e">
        <f>AND(#REF!,"AAAAAH+/f5E=")</f>
        <v>#REF!</v>
      </c>
      <c r="EQ347" t="e">
        <f>IF(#REF!,"AAAAAH+/f5I=",0)</f>
        <v>#REF!</v>
      </c>
      <c r="ER347" t="e">
        <f>AND(#REF!,"AAAAAH+/f5M=")</f>
        <v>#REF!</v>
      </c>
      <c r="ES347" t="e">
        <f>AND(#REF!,"AAAAAH+/f5Q=")</f>
        <v>#REF!</v>
      </c>
      <c r="ET347" t="e">
        <f>AND(#REF!,"AAAAAH+/f5U=")</f>
        <v>#REF!</v>
      </c>
      <c r="EU347" t="e">
        <f>AND(#REF!,"AAAAAH+/f5Y=")</f>
        <v>#REF!</v>
      </c>
      <c r="EV347" t="e">
        <f>AND(#REF!,"AAAAAH+/f5c=")</f>
        <v>#REF!</v>
      </c>
      <c r="EW347" t="e">
        <f>AND(#REF!,"AAAAAH+/f5g=")</f>
        <v>#REF!</v>
      </c>
      <c r="EX347" t="e">
        <f>AND(#REF!,"AAAAAH+/f5k=")</f>
        <v>#REF!</v>
      </c>
      <c r="EY347" t="e">
        <f>AND(#REF!,"AAAAAH+/f5o=")</f>
        <v>#REF!</v>
      </c>
      <c r="EZ347" t="e">
        <f>AND(#REF!,"AAAAAH+/f5s=")</f>
        <v>#REF!</v>
      </c>
      <c r="FA347" t="e">
        <f>AND(#REF!,"AAAAAH+/f5w=")</f>
        <v>#REF!</v>
      </c>
      <c r="FB347" t="e">
        <f>IF(#REF!,"AAAAAH+/f50=",0)</f>
        <v>#REF!</v>
      </c>
      <c r="FC347" t="e">
        <f>AND(#REF!,"AAAAAH+/f54=")</f>
        <v>#REF!</v>
      </c>
      <c r="FD347" t="e">
        <f>AND(#REF!,"AAAAAH+/f58=")</f>
        <v>#REF!</v>
      </c>
      <c r="FE347" t="e">
        <f>AND(#REF!,"AAAAAH+/f6A=")</f>
        <v>#REF!</v>
      </c>
      <c r="FF347" t="e">
        <f>AND(#REF!,"AAAAAH+/f6E=")</f>
        <v>#REF!</v>
      </c>
      <c r="FG347" t="e">
        <f>AND(#REF!,"AAAAAH+/f6I=")</f>
        <v>#REF!</v>
      </c>
      <c r="FH347" t="e">
        <f>AND(#REF!,"AAAAAH+/f6M=")</f>
        <v>#REF!</v>
      </c>
      <c r="FI347" t="e">
        <f>AND(#REF!,"AAAAAH+/f6Q=")</f>
        <v>#REF!</v>
      </c>
      <c r="FJ347" t="e">
        <f>AND(#REF!,"AAAAAH+/f6U=")</f>
        <v>#REF!</v>
      </c>
      <c r="FK347" t="e">
        <f>AND(#REF!,"AAAAAH+/f6Y=")</f>
        <v>#REF!</v>
      </c>
      <c r="FL347" t="e">
        <f>AND(#REF!,"AAAAAH+/f6c=")</f>
        <v>#REF!</v>
      </c>
      <c r="FM347" t="e">
        <f>IF(#REF!,"AAAAAH+/f6g=",0)</f>
        <v>#REF!</v>
      </c>
      <c r="FN347" t="e">
        <f>AND(#REF!,"AAAAAH+/f6k=")</f>
        <v>#REF!</v>
      </c>
      <c r="FO347" t="e">
        <f>AND(#REF!,"AAAAAH+/f6o=")</f>
        <v>#REF!</v>
      </c>
      <c r="FP347" t="e">
        <f>AND(#REF!,"AAAAAH+/f6s=")</f>
        <v>#REF!</v>
      </c>
      <c r="FQ347" t="e">
        <f>AND(#REF!,"AAAAAH+/f6w=")</f>
        <v>#REF!</v>
      </c>
      <c r="FR347" t="e">
        <f>AND(#REF!,"AAAAAH+/f60=")</f>
        <v>#REF!</v>
      </c>
      <c r="FS347" t="e">
        <f>AND(#REF!,"AAAAAH+/f64=")</f>
        <v>#REF!</v>
      </c>
      <c r="FT347" t="e">
        <f>AND(#REF!,"AAAAAH+/f68=")</f>
        <v>#REF!</v>
      </c>
      <c r="FU347" t="e">
        <f>AND(#REF!,"AAAAAH+/f7A=")</f>
        <v>#REF!</v>
      </c>
      <c r="FV347" t="e">
        <f>AND(#REF!,"AAAAAH+/f7E=")</f>
        <v>#REF!</v>
      </c>
      <c r="FW347" t="e">
        <f>AND(#REF!,"AAAAAH+/f7I=")</f>
        <v>#REF!</v>
      </c>
      <c r="FX347" t="e">
        <f>IF(#REF!,"AAAAAH+/f7M=",0)</f>
        <v>#REF!</v>
      </c>
      <c r="FY347" t="e">
        <f>AND(#REF!,"AAAAAH+/f7Q=")</f>
        <v>#REF!</v>
      </c>
      <c r="FZ347" t="e">
        <f>AND(#REF!,"AAAAAH+/f7U=")</f>
        <v>#REF!</v>
      </c>
      <c r="GA347" t="e">
        <f>AND(#REF!,"AAAAAH+/f7Y=")</f>
        <v>#REF!</v>
      </c>
      <c r="GB347" t="e">
        <f>AND(#REF!,"AAAAAH+/f7c=")</f>
        <v>#REF!</v>
      </c>
      <c r="GC347" t="e">
        <f>AND(#REF!,"AAAAAH+/f7g=")</f>
        <v>#REF!</v>
      </c>
      <c r="GD347" t="e">
        <f>AND(#REF!,"AAAAAH+/f7k=")</f>
        <v>#REF!</v>
      </c>
      <c r="GE347" t="e">
        <f>AND(#REF!,"AAAAAH+/f7o=")</f>
        <v>#REF!</v>
      </c>
      <c r="GF347" t="e">
        <f>AND(#REF!,"AAAAAH+/f7s=")</f>
        <v>#REF!</v>
      </c>
      <c r="GG347" t="e">
        <f>AND(#REF!,"AAAAAH+/f7w=")</f>
        <v>#REF!</v>
      </c>
      <c r="GH347" t="e">
        <f>AND(#REF!,"AAAAAH+/f70=")</f>
        <v>#REF!</v>
      </c>
      <c r="GI347" t="e">
        <f>IF(#REF!,"AAAAAH+/f74=",0)</f>
        <v>#REF!</v>
      </c>
      <c r="GJ347" t="e">
        <f>AND(#REF!,"AAAAAH+/f78=")</f>
        <v>#REF!</v>
      </c>
      <c r="GK347" t="e">
        <f>AND(#REF!,"AAAAAH+/f8A=")</f>
        <v>#REF!</v>
      </c>
      <c r="GL347" t="e">
        <f>AND(#REF!,"AAAAAH+/f8E=")</f>
        <v>#REF!</v>
      </c>
      <c r="GM347" t="e">
        <f>AND(#REF!,"AAAAAH+/f8I=")</f>
        <v>#REF!</v>
      </c>
      <c r="GN347" t="e">
        <f>AND(#REF!,"AAAAAH+/f8M=")</f>
        <v>#REF!</v>
      </c>
      <c r="GO347" t="e">
        <f>AND(#REF!,"AAAAAH+/f8Q=")</f>
        <v>#REF!</v>
      </c>
      <c r="GP347" t="e">
        <f>AND(#REF!,"AAAAAH+/f8U=")</f>
        <v>#REF!</v>
      </c>
      <c r="GQ347" t="e">
        <f>AND(#REF!,"AAAAAH+/f8Y=")</f>
        <v>#REF!</v>
      </c>
      <c r="GR347" t="e">
        <f>AND(#REF!,"AAAAAH+/f8c=")</f>
        <v>#REF!</v>
      </c>
      <c r="GS347" t="e">
        <f>AND(#REF!,"AAAAAH+/f8g=")</f>
        <v>#REF!</v>
      </c>
      <c r="GT347" t="e">
        <f>IF(#REF!,"AAAAAH+/f8k=",0)</f>
        <v>#REF!</v>
      </c>
      <c r="GU347" t="e">
        <f>AND(#REF!,"AAAAAH+/f8o=")</f>
        <v>#REF!</v>
      </c>
      <c r="GV347" t="e">
        <f>AND(#REF!,"AAAAAH+/f8s=")</f>
        <v>#REF!</v>
      </c>
      <c r="GW347" t="e">
        <f>AND(#REF!,"AAAAAH+/f8w=")</f>
        <v>#REF!</v>
      </c>
      <c r="GX347" t="e">
        <f>AND(#REF!,"AAAAAH+/f80=")</f>
        <v>#REF!</v>
      </c>
      <c r="GY347" t="e">
        <f>AND(#REF!,"AAAAAH+/f84=")</f>
        <v>#REF!</v>
      </c>
      <c r="GZ347" t="e">
        <f>AND(#REF!,"AAAAAH+/f88=")</f>
        <v>#REF!</v>
      </c>
      <c r="HA347" t="e">
        <f>AND(#REF!,"AAAAAH+/f9A=")</f>
        <v>#REF!</v>
      </c>
      <c r="HB347" t="e">
        <f>AND(#REF!,"AAAAAH+/f9E=")</f>
        <v>#REF!</v>
      </c>
      <c r="HC347" t="e">
        <f>AND(#REF!,"AAAAAH+/f9I=")</f>
        <v>#REF!</v>
      </c>
      <c r="HD347" t="e">
        <f>AND(#REF!,"AAAAAH+/f9M=")</f>
        <v>#REF!</v>
      </c>
      <c r="HE347" t="e">
        <f>IF(#REF!,"AAAAAH+/f9Q=",0)</f>
        <v>#REF!</v>
      </c>
      <c r="HF347" t="e">
        <f>AND(#REF!,"AAAAAH+/f9U=")</f>
        <v>#REF!</v>
      </c>
      <c r="HG347" t="e">
        <f>AND(#REF!,"AAAAAH+/f9Y=")</f>
        <v>#REF!</v>
      </c>
      <c r="HH347" t="e">
        <f>AND(#REF!,"AAAAAH+/f9c=")</f>
        <v>#REF!</v>
      </c>
      <c r="HI347" t="e">
        <f>AND(#REF!,"AAAAAH+/f9g=")</f>
        <v>#REF!</v>
      </c>
      <c r="HJ347" t="e">
        <f>AND(#REF!,"AAAAAH+/f9k=")</f>
        <v>#REF!</v>
      </c>
      <c r="HK347" t="e">
        <f>AND(#REF!,"AAAAAH+/f9o=")</f>
        <v>#REF!</v>
      </c>
      <c r="HL347" t="e">
        <f>AND(#REF!,"AAAAAH+/f9s=")</f>
        <v>#REF!</v>
      </c>
      <c r="HM347" t="e">
        <f>AND(#REF!,"AAAAAH+/f9w=")</f>
        <v>#REF!</v>
      </c>
      <c r="HN347" t="e">
        <f>AND(#REF!,"AAAAAH+/f90=")</f>
        <v>#REF!</v>
      </c>
      <c r="HO347" t="e">
        <f>AND(#REF!,"AAAAAH+/f94=")</f>
        <v>#REF!</v>
      </c>
      <c r="HP347" t="e">
        <f>IF(#REF!,"AAAAAH+/f98=",0)</f>
        <v>#REF!</v>
      </c>
      <c r="HQ347" t="e">
        <f>AND(#REF!,"AAAAAH+/f+A=")</f>
        <v>#REF!</v>
      </c>
      <c r="HR347" t="e">
        <f>AND(#REF!,"AAAAAH+/f+E=")</f>
        <v>#REF!</v>
      </c>
      <c r="HS347" t="e">
        <f>AND(#REF!,"AAAAAH+/f+I=")</f>
        <v>#REF!</v>
      </c>
      <c r="HT347" t="e">
        <f>AND(#REF!,"AAAAAH+/f+M=")</f>
        <v>#REF!</v>
      </c>
      <c r="HU347" t="e">
        <f>AND(#REF!,"AAAAAH+/f+Q=")</f>
        <v>#REF!</v>
      </c>
      <c r="HV347" t="e">
        <f>AND(#REF!,"AAAAAH+/f+U=")</f>
        <v>#REF!</v>
      </c>
      <c r="HW347" t="e">
        <f>AND(#REF!,"AAAAAH+/f+Y=")</f>
        <v>#REF!</v>
      </c>
      <c r="HX347" t="e">
        <f>AND(#REF!,"AAAAAH+/f+c=")</f>
        <v>#REF!</v>
      </c>
      <c r="HY347" t="e">
        <f>AND(#REF!,"AAAAAH+/f+g=")</f>
        <v>#REF!</v>
      </c>
      <c r="HZ347" t="e">
        <f>AND(#REF!,"AAAAAH+/f+k=")</f>
        <v>#REF!</v>
      </c>
      <c r="IA347" t="e">
        <f>IF(#REF!,"AAAAAH+/f+o=",0)</f>
        <v>#REF!</v>
      </c>
      <c r="IB347" t="e">
        <f>AND(#REF!,"AAAAAH+/f+s=")</f>
        <v>#REF!</v>
      </c>
      <c r="IC347" t="e">
        <f>AND(#REF!,"AAAAAH+/f+w=")</f>
        <v>#REF!</v>
      </c>
      <c r="ID347" t="e">
        <f>AND(#REF!,"AAAAAH+/f+0=")</f>
        <v>#REF!</v>
      </c>
      <c r="IE347" t="e">
        <f>AND(#REF!,"AAAAAH+/f+4=")</f>
        <v>#REF!</v>
      </c>
      <c r="IF347" t="e">
        <f>AND(#REF!,"AAAAAH+/f+8=")</f>
        <v>#REF!</v>
      </c>
      <c r="IG347" t="e">
        <f>AND(#REF!,"AAAAAH+/f/A=")</f>
        <v>#REF!</v>
      </c>
      <c r="IH347" t="e">
        <f>AND(#REF!,"AAAAAH+/f/E=")</f>
        <v>#REF!</v>
      </c>
      <c r="II347" t="e">
        <f>AND(#REF!,"AAAAAH+/f/I=")</f>
        <v>#REF!</v>
      </c>
      <c r="IJ347" t="e">
        <f>AND(#REF!,"AAAAAH+/f/M=")</f>
        <v>#REF!</v>
      </c>
      <c r="IK347" t="e">
        <f>AND(#REF!,"AAAAAH+/f/Q=")</f>
        <v>#REF!</v>
      </c>
      <c r="IL347" t="e">
        <f>IF(#REF!,"AAAAAH+/f/U=",0)</f>
        <v>#REF!</v>
      </c>
      <c r="IM347" t="e">
        <f>AND(#REF!,"AAAAAH+/f/Y=")</f>
        <v>#REF!</v>
      </c>
      <c r="IN347" t="e">
        <f>AND(#REF!,"AAAAAH+/f/c=")</f>
        <v>#REF!</v>
      </c>
      <c r="IO347" t="e">
        <f>AND(#REF!,"AAAAAH+/f/g=")</f>
        <v>#REF!</v>
      </c>
      <c r="IP347" t="e">
        <f>AND(#REF!,"AAAAAH+/f/k=")</f>
        <v>#REF!</v>
      </c>
      <c r="IQ347" t="e">
        <f>AND(#REF!,"AAAAAH+/f/o=")</f>
        <v>#REF!</v>
      </c>
      <c r="IR347" t="e">
        <f>AND(#REF!,"AAAAAH+/f/s=")</f>
        <v>#REF!</v>
      </c>
      <c r="IS347" t="e">
        <f>AND(#REF!,"AAAAAH+/f/w=")</f>
        <v>#REF!</v>
      </c>
      <c r="IT347" t="e">
        <f>AND(#REF!,"AAAAAH+/f/0=")</f>
        <v>#REF!</v>
      </c>
      <c r="IU347" t="e">
        <f>AND(#REF!,"AAAAAH+/f/4=")</f>
        <v>#REF!</v>
      </c>
      <c r="IV347" t="e">
        <f>AND(#REF!,"AAAAAH+/f/8=")</f>
        <v>#REF!</v>
      </c>
    </row>
    <row r="348" spans="1:256" x14ac:dyDescent="0.25">
      <c r="A348" t="e">
        <f>IF(#REF!,"AAAAAHP+/wA=",0)</f>
        <v>#REF!</v>
      </c>
      <c r="B348" t="e">
        <f>AND(#REF!,"AAAAAHP+/wE=")</f>
        <v>#REF!</v>
      </c>
      <c r="C348" t="e">
        <f>AND(#REF!,"AAAAAHP+/wI=")</f>
        <v>#REF!</v>
      </c>
      <c r="D348" t="e">
        <f>AND(#REF!,"AAAAAHP+/wM=")</f>
        <v>#REF!</v>
      </c>
      <c r="E348" t="e">
        <f>AND(#REF!,"AAAAAHP+/wQ=")</f>
        <v>#REF!</v>
      </c>
      <c r="F348" t="e">
        <f>AND(#REF!,"AAAAAHP+/wU=")</f>
        <v>#REF!</v>
      </c>
      <c r="G348" t="e">
        <f>AND(#REF!,"AAAAAHP+/wY=")</f>
        <v>#REF!</v>
      </c>
      <c r="H348" t="e">
        <f>AND(#REF!,"AAAAAHP+/wc=")</f>
        <v>#REF!</v>
      </c>
      <c r="I348" t="e">
        <f>AND(#REF!,"AAAAAHP+/wg=")</f>
        <v>#REF!</v>
      </c>
      <c r="J348" t="e">
        <f>AND(#REF!,"AAAAAHP+/wk=")</f>
        <v>#REF!</v>
      </c>
      <c r="K348" t="e">
        <f>AND(#REF!,"AAAAAHP+/wo=")</f>
        <v>#REF!</v>
      </c>
      <c r="L348" t="e">
        <f>IF(#REF!,"AAAAAHP+/ws=",0)</f>
        <v>#REF!</v>
      </c>
      <c r="M348" t="e">
        <f>AND(#REF!,"AAAAAHP+/ww=")</f>
        <v>#REF!</v>
      </c>
      <c r="N348" t="e">
        <f>AND(#REF!,"AAAAAHP+/w0=")</f>
        <v>#REF!</v>
      </c>
      <c r="O348" t="e">
        <f>AND(#REF!,"AAAAAHP+/w4=")</f>
        <v>#REF!</v>
      </c>
      <c r="P348" t="e">
        <f>AND(#REF!,"AAAAAHP+/w8=")</f>
        <v>#REF!</v>
      </c>
      <c r="Q348" t="e">
        <f>AND(#REF!,"AAAAAHP+/xA=")</f>
        <v>#REF!</v>
      </c>
      <c r="R348" t="e">
        <f>AND(#REF!,"AAAAAHP+/xE=")</f>
        <v>#REF!</v>
      </c>
      <c r="S348" t="e">
        <f>AND(#REF!,"AAAAAHP+/xI=")</f>
        <v>#REF!</v>
      </c>
      <c r="T348" t="e">
        <f>AND(#REF!,"AAAAAHP+/xM=")</f>
        <v>#REF!</v>
      </c>
      <c r="U348" t="e">
        <f>AND(#REF!,"AAAAAHP+/xQ=")</f>
        <v>#REF!</v>
      </c>
      <c r="V348" t="e">
        <f>AND(#REF!,"AAAAAHP+/xU=")</f>
        <v>#REF!</v>
      </c>
      <c r="W348" t="e">
        <f>IF(#REF!,"AAAAAHP+/xY=",0)</f>
        <v>#REF!</v>
      </c>
      <c r="X348" t="e">
        <f>AND(#REF!,"AAAAAHP+/xc=")</f>
        <v>#REF!</v>
      </c>
      <c r="Y348" t="e">
        <f>AND(#REF!,"AAAAAHP+/xg=")</f>
        <v>#REF!</v>
      </c>
      <c r="Z348" t="e">
        <f>AND(#REF!,"AAAAAHP+/xk=")</f>
        <v>#REF!</v>
      </c>
      <c r="AA348" t="e">
        <f>AND(#REF!,"AAAAAHP+/xo=")</f>
        <v>#REF!</v>
      </c>
      <c r="AB348" t="e">
        <f>AND(#REF!,"AAAAAHP+/xs=")</f>
        <v>#REF!</v>
      </c>
      <c r="AC348" t="e">
        <f>AND(#REF!,"AAAAAHP+/xw=")</f>
        <v>#REF!</v>
      </c>
      <c r="AD348" t="e">
        <f>AND(#REF!,"AAAAAHP+/x0=")</f>
        <v>#REF!</v>
      </c>
      <c r="AE348" t="e">
        <f>AND(#REF!,"AAAAAHP+/x4=")</f>
        <v>#REF!</v>
      </c>
      <c r="AF348" t="e">
        <f>AND(#REF!,"AAAAAHP+/x8=")</f>
        <v>#REF!</v>
      </c>
      <c r="AG348" t="e">
        <f>AND(#REF!,"AAAAAHP+/yA=")</f>
        <v>#REF!</v>
      </c>
      <c r="AH348" t="e">
        <f>IF(#REF!,"AAAAAHP+/yE=",0)</f>
        <v>#REF!</v>
      </c>
      <c r="AI348" t="e">
        <f>AND(#REF!,"AAAAAHP+/yI=")</f>
        <v>#REF!</v>
      </c>
      <c r="AJ348" t="e">
        <f>AND(#REF!,"AAAAAHP+/yM=")</f>
        <v>#REF!</v>
      </c>
      <c r="AK348" t="e">
        <f>AND(#REF!,"AAAAAHP+/yQ=")</f>
        <v>#REF!</v>
      </c>
      <c r="AL348" t="e">
        <f>AND(#REF!,"AAAAAHP+/yU=")</f>
        <v>#REF!</v>
      </c>
      <c r="AM348" t="e">
        <f>AND(#REF!,"AAAAAHP+/yY=")</f>
        <v>#REF!</v>
      </c>
      <c r="AN348" t="e">
        <f>AND(#REF!,"AAAAAHP+/yc=")</f>
        <v>#REF!</v>
      </c>
      <c r="AO348" t="e">
        <f>AND(#REF!,"AAAAAHP+/yg=")</f>
        <v>#REF!</v>
      </c>
      <c r="AP348" t="e">
        <f>AND(#REF!,"AAAAAHP+/yk=")</f>
        <v>#REF!</v>
      </c>
      <c r="AQ348" t="e">
        <f>AND(#REF!,"AAAAAHP+/yo=")</f>
        <v>#REF!</v>
      </c>
      <c r="AR348" t="e">
        <f>AND(#REF!,"AAAAAHP+/ys=")</f>
        <v>#REF!</v>
      </c>
      <c r="AS348" t="e">
        <f>IF(#REF!,"AAAAAHP+/yw=",0)</f>
        <v>#REF!</v>
      </c>
      <c r="AT348" t="e">
        <f>AND(#REF!,"AAAAAHP+/y0=")</f>
        <v>#REF!</v>
      </c>
      <c r="AU348" t="e">
        <f>AND(#REF!,"AAAAAHP+/y4=")</f>
        <v>#REF!</v>
      </c>
      <c r="AV348" t="e">
        <f>AND(#REF!,"AAAAAHP+/y8=")</f>
        <v>#REF!</v>
      </c>
      <c r="AW348" t="e">
        <f>AND(#REF!,"AAAAAHP+/zA=")</f>
        <v>#REF!</v>
      </c>
      <c r="AX348" t="e">
        <f>AND(#REF!,"AAAAAHP+/zE=")</f>
        <v>#REF!</v>
      </c>
      <c r="AY348" t="e">
        <f>AND(#REF!,"AAAAAHP+/zI=")</f>
        <v>#REF!</v>
      </c>
      <c r="AZ348" t="e">
        <f>AND(#REF!,"AAAAAHP+/zM=")</f>
        <v>#REF!</v>
      </c>
      <c r="BA348" t="e">
        <f>AND(#REF!,"AAAAAHP+/zQ=")</f>
        <v>#REF!</v>
      </c>
      <c r="BB348" t="e">
        <f>AND(#REF!,"AAAAAHP+/zU=")</f>
        <v>#REF!</v>
      </c>
      <c r="BC348" t="e">
        <f>AND(#REF!,"AAAAAHP+/zY=")</f>
        <v>#REF!</v>
      </c>
      <c r="BD348" t="e">
        <f>IF(#REF!,"AAAAAHP+/zc=",0)</f>
        <v>#REF!</v>
      </c>
      <c r="BE348" t="e">
        <f>AND(#REF!,"AAAAAHP+/zg=")</f>
        <v>#REF!</v>
      </c>
      <c r="BF348" t="e">
        <f>AND(#REF!,"AAAAAHP+/zk=")</f>
        <v>#REF!</v>
      </c>
      <c r="BG348" t="e">
        <f>AND(#REF!,"AAAAAHP+/zo=")</f>
        <v>#REF!</v>
      </c>
      <c r="BH348" t="e">
        <f>AND(#REF!,"AAAAAHP+/zs=")</f>
        <v>#REF!</v>
      </c>
      <c r="BI348" t="e">
        <f>AND(#REF!,"AAAAAHP+/zw=")</f>
        <v>#REF!</v>
      </c>
      <c r="BJ348" t="e">
        <f>AND(#REF!,"AAAAAHP+/z0=")</f>
        <v>#REF!</v>
      </c>
      <c r="BK348" t="e">
        <f>AND(#REF!,"AAAAAHP+/z4=")</f>
        <v>#REF!</v>
      </c>
      <c r="BL348" t="e">
        <f>AND(#REF!,"AAAAAHP+/z8=")</f>
        <v>#REF!</v>
      </c>
      <c r="BM348" t="e">
        <f>AND(#REF!,"AAAAAHP+/0A=")</f>
        <v>#REF!</v>
      </c>
      <c r="BN348" t="e">
        <f>AND(#REF!,"AAAAAHP+/0E=")</f>
        <v>#REF!</v>
      </c>
      <c r="BO348" t="e">
        <f>IF(#REF!,"AAAAAHP+/0I=",0)</f>
        <v>#REF!</v>
      </c>
      <c r="BP348" t="e">
        <f>AND(#REF!,"AAAAAHP+/0M=")</f>
        <v>#REF!</v>
      </c>
      <c r="BQ348" t="e">
        <f>AND(#REF!,"AAAAAHP+/0Q=")</f>
        <v>#REF!</v>
      </c>
      <c r="BR348" t="e">
        <f>AND(#REF!,"AAAAAHP+/0U=")</f>
        <v>#REF!</v>
      </c>
      <c r="BS348" t="e">
        <f>AND(#REF!,"AAAAAHP+/0Y=")</f>
        <v>#REF!</v>
      </c>
      <c r="BT348" t="e">
        <f>AND(#REF!,"AAAAAHP+/0c=")</f>
        <v>#REF!</v>
      </c>
      <c r="BU348" t="e">
        <f>AND(#REF!,"AAAAAHP+/0g=")</f>
        <v>#REF!</v>
      </c>
      <c r="BV348" t="e">
        <f>AND(#REF!,"AAAAAHP+/0k=")</f>
        <v>#REF!</v>
      </c>
      <c r="BW348" t="e">
        <f>AND(#REF!,"AAAAAHP+/0o=")</f>
        <v>#REF!</v>
      </c>
      <c r="BX348" t="e">
        <f>AND(#REF!,"AAAAAHP+/0s=")</f>
        <v>#REF!</v>
      </c>
      <c r="BY348" t="e">
        <f>AND(#REF!,"AAAAAHP+/0w=")</f>
        <v>#REF!</v>
      </c>
      <c r="BZ348" t="e">
        <f>IF(#REF!,"AAAAAHP+/00=",0)</f>
        <v>#REF!</v>
      </c>
      <c r="CA348" t="e">
        <f>AND(#REF!,"AAAAAHP+/04=")</f>
        <v>#REF!</v>
      </c>
      <c r="CB348" t="e">
        <f>AND(#REF!,"AAAAAHP+/08=")</f>
        <v>#REF!</v>
      </c>
      <c r="CC348" t="e">
        <f>AND(#REF!,"AAAAAHP+/1A=")</f>
        <v>#REF!</v>
      </c>
      <c r="CD348" t="e">
        <f>AND(#REF!,"AAAAAHP+/1E=")</f>
        <v>#REF!</v>
      </c>
      <c r="CE348" t="e">
        <f>AND(#REF!,"AAAAAHP+/1I=")</f>
        <v>#REF!</v>
      </c>
      <c r="CF348" t="e">
        <f>AND(#REF!,"AAAAAHP+/1M=")</f>
        <v>#REF!</v>
      </c>
      <c r="CG348" t="e">
        <f>AND(#REF!,"AAAAAHP+/1Q=")</f>
        <v>#REF!</v>
      </c>
      <c r="CH348" t="e">
        <f>AND(#REF!,"AAAAAHP+/1U=")</f>
        <v>#REF!</v>
      </c>
      <c r="CI348" t="e">
        <f>AND(#REF!,"AAAAAHP+/1Y=")</f>
        <v>#REF!</v>
      </c>
      <c r="CJ348" t="e">
        <f>AND(#REF!,"AAAAAHP+/1c=")</f>
        <v>#REF!</v>
      </c>
      <c r="CK348" t="e">
        <f>IF(#REF!,"AAAAAHP+/1g=",0)</f>
        <v>#REF!</v>
      </c>
      <c r="CL348" t="e">
        <f>AND(#REF!,"AAAAAHP+/1k=")</f>
        <v>#REF!</v>
      </c>
      <c r="CM348" t="e">
        <f>AND(#REF!,"AAAAAHP+/1o=")</f>
        <v>#REF!</v>
      </c>
      <c r="CN348" t="e">
        <f>AND(#REF!,"AAAAAHP+/1s=")</f>
        <v>#REF!</v>
      </c>
      <c r="CO348" t="e">
        <f>AND(#REF!,"AAAAAHP+/1w=")</f>
        <v>#REF!</v>
      </c>
      <c r="CP348" t="e">
        <f>AND(#REF!,"AAAAAHP+/10=")</f>
        <v>#REF!</v>
      </c>
      <c r="CQ348" t="e">
        <f>AND(#REF!,"AAAAAHP+/14=")</f>
        <v>#REF!</v>
      </c>
      <c r="CR348" t="e">
        <f>AND(#REF!,"AAAAAHP+/18=")</f>
        <v>#REF!</v>
      </c>
      <c r="CS348" t="e">
        <f>AND(#REF!,"AAAAAHP+/2A=")</f>
        <v>#REF!</v>
      </c>
      <c r="CT348" t="e">
        <f>AND(#REF!,"AAAAAHP+/2E=")</f>
        <v>#REF!</v>
      </c>
      <c r="CU348" t="e">
        <f>AND(#REF!,"AAAAAHP+/2I=")</f>
        <v>#REF!</v>
      </c>
      <c r="CV348" t="e">
        <f>IF(#REF!,"AAAAAHP+/2M=",0)</f>
        <v>#REF!</v>
      </c>
      <c r="CW348" t="e">
        <f>AND(#REF!,"AAAAAHP+/2Q=")</f>
        <v>#REF!</v>
      </c>
      <c r="CX348" t="e">
        <f>AND(#REF!,"AAAAAHP+/2U=")</f>
        <v>#REF!</v>
      </c>
      <c r="CY348" t="e">
        <f>AND(#REF!,"AAAAAHP+/2Y=")</f>
        <v>#REF!</v>
      </c>
      <c r="CZ348" t="e">
        <f>AND(#REF!,"AAAAAHP+/2c=")</f>
        <v>#REF!</v>
      </c>
      <c r="DA348" t="e">
        <f>AND(#REF!,"AAAAAHP+/2g=")</f>
        <v>#REF!</v>
      </c>
      <c r="DB348" t="e">
        <f>AND(#REF!,"AAAAAHP+/2k=")</f>
        <v>#REF!</v>
      </c>
      <c r="DC348" t="e">
        <f>AND(#REF!,"AAAAAHP+/2o=")</f>
        <v>#REF!</v>
      </c>
      <c r="DD348" t="e">
        <f>AND(#REF!,"AAAAAHP+/2s=")</f>
        <v>#REF!</v>
      </c>
      <c r="DE348" t="e">
        <f>AND(#REF!,"AAAAAHP+/2w=")</f>
        <v>#REF!</v>
      </c>
      <c r="DF348" t="e">
        <f>AND(#REF!,"AAAAAHP+/20=")</f>
        <v>#REF!</v>
      </c>
      <c r="DG348" t="e">
        <f>IF(#REF!,"AAAAAHP+/24=",0)</f>
        <v>#REF!</v>
      </c>
      <c r="DH348" t="e">
        <f>AND(#REF!,"AAAAAHP+/28=")</f>
        <v>#REF!</v>
      </c>
      <c r="DI348" t="e">
        <f>AND(#REF!,"AAAAAHP+/3A=")</f>
        <v>#REF!</v>
      </c>
      <c r="DJ348" t="e">
        <f>AND(#REF!,"AAAAAHP+/3E=")</f>
        <v>#REF!</v>
      </c>
      <c r="DK348" t="e">
        <f>AND(#REF!,"AAAAAHP+/3I=")</f>
        <v>#REF!</v>
      </c>
      <c r="DL348" t="e">
        <f>AND(#REF!,"AAAAAHP+/3M=")</f>
        <v>#REF!</v>
      </c>
      <c r="DM348" t="e">
        <f>AND(#REF!,"AAAAAHP+/3Q=")</f>
        <v>#REF!</v>
      </c>
      <c r="DN348" t="e">
        <f>AND(#REF!,"AAAAAHP+/3U=")</f>
        <v>#REF!</v>
      </c>
      <c r="DO348" t="e">
        <f>AND(#REF!,"AAAAAHP+/3Y=")</f>
        <v>#REF!</v>
      </c>
      <c r="DP348" t="e">
        <f>AND(#REF!,"AAAAAHP+/3c=")</f>
        <v>#REF!</v>
      </c>
      <c r="DQ348" t="e">
        <f>AND(#REF!,"AAAAAHP+/3g=")</f>
        <v>#REF!</v>
      </c>
      <c r="DR348" t="e">
        <f>IF(#REF!,"AAAAAHP+/3k=",0)</f>
        <v>#REF!</v>
      </c>
      <c r="DS348" t="e">
        <f>AND(#REF!,"AAAAAHP+/3o=")</f>
        <v>#REF!</v>
      </c>
      <c r="DT348" t="e">
        <f>AND(#REF!,"AAAAAHP+/3s=")</f>
        <v>#REF!</v>
      </c>
      <c r="DU348" t="e">
        <f>AND(#REF!,"AAAAAHP+/3w=")</f>
        <v>#REF!</v>
      </c>
      <c r="DV348" t="e">
        <f>AND(#REF!,"AAAAAHP+/30=")</f>
        <v>#REF!</v>
      </c>
      <c r="DW348" t="e">
        <f>AND(#REF!,"AAAAAHP+/34=")</f>
        <v>#REF!</v>
      </c>
      <c r="DX348" t="e">
        <f>AND(#REF!,"AAAAAHP+/38=")</f>
        <v>#REF!</v>
      </c>
      <c r="DY348" t="e">
        <f>AND(#REF!,"AAAAAHP+/4A=")</f>
        <v>#REF!</v>
      </c>
      <c r="DZ348" t="e">
        <f>AND(#REF!,"AAAAAHP+/4E=")</f>
        <v>#REF!</v>
      </c>
      <c r="EA348" t="e">
        <f>AND(#REF!,"AAAAAHP+/4I=")</f>
        <v>#REF!</v>
      </c>
      <c r="EB348" t="e">
        <f>AND(#REF!,"AAAAAHP+/4M=")</f>
        <v>#REF!</v>
      </c>
      <c r="EC348" t="e">
        <f>IF(#REF!,"AAAAAHP+/4Q=",0)</f>
        <v>#REF!</v>
      </c>
      <c r="ED348" t="e">
        <f>AND(#REF!,"AAAAAHP+/4U=")</f>
        <v>#REF!</v>
      </c>
      <c r="EE348" t="e">
        <f>AND(#REF!,"AAAAAHP+/4Y=")</f>
        <v>#REF!</v>
      </c>
      <c r="EF348" t="e">
        <f>AND(#REF!,"AAAAAHP+/4c=")</f>
        <v>#REF!</v>
      </c>
      <c r="EG348" t="e">
        <f>AND(#REF!,"AAAAAHP+/4g=")</f>
        <v>#REF!</v>
      </c>
      <c r="EH348" t="e">
        <f>AND(#REF!,"AAAAAHP+/4k=")</f>
        <v>#REF!</v>
      </c>
      <c r="EI348" t="e">
        <f>AND(#REF!,"AAAAAHP+/4o=")</f>
        <v>#REF!</v>
      </c>
      <c r="EJ348" t="e">
        <f>AND(#REF!,"AAAAAHP+/4s=")</f>
        <v>#REF!</v>
      </c>
      <c r="EK348" t="e">
        <f>AND(#REF!,"AAAAAHP+/4w=")</f>
        <v>#REF!</v>
      </c>
      <c r="EL348" t="e">
        <f>AND(#REF!,"AAAAAHP+/40=")</f>
        <v>#REF!</v>
      </c>
      <c r="EM348" t="e">
        <f>AND(#REF!,"AAAAAHP+/44=")</f>
        <v>#REF!</v>
      </c>
      <c r="EN348" t="e">
        <f>IF(#REF!,"AAAAAHP+/48=",0)</f>
        <v>#REF!</v>
      </c>
      <c r="EO348" t="e">
        <f>AND(#REF!,"AAAAAHP+/5A=")</f>
        <v>#REF!</v>
      </c>
      <c r="EP348" t="e">
        <f>AND(#REF!,"AAAAAHP+/5E=")</f>
        <v>#REF!</v>
      </c>
      <c r="EQ348" t="e">
        <f>AND(#REF!,"AAAAAHP+/5I=")</f>
        <v>#REF!</v>
      </c>
      <c r="ER348" t="e">
        <f>AND(#REF!,"AAAAAHP+/5M=")</f>
        <v>#REF!</v>
      </c>
      <c r="ES348" t="e">
        <f>AND(#REF!,"AAAAAHP+/5Q=")</f>
        <v>#REF!</v>
      </c>
      <c r="ET348" t="e">
        <f>AND(#REF!,"AAAAAHP+/5U=")</f>
        <v>#REF!</v>
      </c>
      <c r="EU348" t="e">
        <f>AND(#REF!,"AAAAAHP+/5Y=")</f>
        <v>#REF!</v>
      </c>
      <c r="EV348" t="e">
        <f>AND(#REF!,"AAAAAHP+/5c=")</f>
        <v>#REF!</v>
      </c>
      <c r="EW348" t="e">
        <f>AND(#REF!,"AAAAAHP+/5g=")</f>
        <v>#REF!</v>
      </c>
      <c r="EX348" t="e">
        <f>AND(#REF!,"AAAAAHP+/5k=")</f>
        <v>#REF!</v>
      </c>
      <c r="EY348" t="e">
        <f>IF(#REF!,"AAAAAHP+/5o=",0)</f>
        <v>#REF!</v>
      </c>
      <c r="EZ348" t="e">
        <f>AND(#REF!,"AAAAAHP+/5s=")</f>
        <v>#REF!</v>
      </c>
      <c r="FA348" t="e">
        <f>AND(#REF!,"AAAAAHP+/5w=")</f>
        <v>#REF!</v>
      </c>
      <c r="FB348" t="e">
        <f>AND(#REF!,"AAAAAHP+/50=")</f>
        <v>#REF!</v>
      </c>
      <c r="FC348" t="e">
        <f>AND(#REF!,"AAAAAHP+/54=")</f>
        <v>#REF!</v>
      </c>
      <c r="FD348" t="e">
        <f>AND(#REF!,"AAAAAHP+/58=")</f>
        <v>#REF!</v>
      </c>
      <c r="FE348" t="e">
        <f>AND(#REF!,"AAAAAHP+/6A=")</f>
        <v>#REF!</v>
      </c>
      <c r="FF348" t="e">
        <f>AND(#REF!,"AAAAAHP+/6E=")</f>
        <v>#REF!</v>
      </c>
      <c r="FG348" t="e">
        <f>AND(#REF!,"AAAAAHP+/6I=")</f>
        <v>#REF!</v>
      </c>
      <c r="FH348" t="e">
        <f>AND(#REF!,"AAAAAHP+/6M=")</f>
        <v>#REF!</v>
      </c>
      <c r="FI348" t="e">
        <f>AND(#REF!,"AAAAAHP+/6Q=")</f>
        <v>#REF!</v>
      </c>
      <c r="FJ348" t="e">
        <f>IF(#REF!,"AAAAAHP+/6U=",0)</f>
        <v>#REF!</v>
      </c>
      <c r="FK348" t="e">
        <f>AND(#REF!,"AAAAAHP+/6Y=")</f>
        <v>#REF!</v>
      </c>
      <c r="FL348" t="e">
        <f>AND(#REF!,"AAAAAHP+/6c=")</f>
        <v>#REF!</v>
      </c>
      <c r="FM348" t="e">
        <f>AND(#REF!,"AAAAAHP+/6g=")</f>
        <v>#REF!</v>
      </c>
      <c r="FN348" t="e">
        <f>AND(#REF!,"AAAAAHP+/6k=")</f>
        <v>#REF!</v>
      </c>
      <c r="FO348" t="e">
        <f>AND(#REF!,"AAAAAHP+/6o=")</f>
        <v>#REF!</v>
      </c>
      <c r="FP348" t="e">
        <f>AND(#REF!,"AAAAAHP+/6s=")</f>
        <v>#REF!</v>
      </c>
      <c r="FQ348" t="e">
        <f>AND(#REF!,"AAAAAHP+/6w=")</f>
        <v>#REF!</v>
      </c>
      <c r="FR348" t="e">
        <f>AND(#REF!,"AAAAAHP+/60=")</f>
        <v>#REF!</v>
      </c>
      <c r="FS348" t="e">
        <f>AND(#REF!,"AAAAAHP+/64=")</f>
        <v>#REF!</v>
      </c>
      <c r="FT348" t="e">
        <f>AND(#REF!,"AAAAAHP+/68=")</f>
        <v>#REF!</v>
      </c>
      <c r="FU348" t="e">
        <f>IF(#REF!,"AAAAAHP+/7A=",0)</f>
        <v>#REF!</v>
      </c>
      <c r="FV348" t="e">
        <f>AND(#REF!,"AAAAAHP+/7E=")</f>
        <v>#REF!</v>
      </c>
      <c r="FW348" t="e">
        <f>AND(#REF!,"AAAAAHP+/7I=")</f>
        <v>#REF!</v>
      </c>
      <c r="FX348" t="e">
        <f>AND(#REF!,"AAAAAHP+/7M=")</f>
        <v>#REF!</v>
      </c>
      <c r="FY348" t="e">
        <f>AND(#REF!,"AAAAAHP+/7Q=")</f>
        <v>#REF!</v>
      </c>
      <c r="FZ348" t="e">
        <f>AND(#REF!,"AAAAAHP+/7U=")</f>
        <v>#REF!</v>
      </c>
      <c r="GA348" t="e">
        <f>AND(#REF!,"AAAAAHP+/7Y=")</f>
        <v>#REF!</v>
      </c>
      <c r="GB348" t="e">
        <f>AND(#REF!,"AAAAAHP+/7c=")</f>
        <v>#REF!</v>
      </c>
      <c r="GC348" t="e">
        <f>AND(#REF!,"AAAAAHP+/7g=")</f>
        <v>#REF!</v>
      </c>
      <c r="GD348" t="e">
        <f>AND(#REF!,"AAAAAHP+/7k=")</f>
        <v>#REF!</v>
      </c>
      <c r="GE348" t="e">
        <f>AND(#REF!,"AAAAAHP+/7o=")</f>
        <v>#REF!</v>
      </c>
      <c r="GF348" t="e">
        <f>IF(#REF!,"AAAAAHP+/7s=",0)</f>
        <v>#REF!</v>
      </c>
      <c r="GG348" t="e">
        <f>AND(#REF!,"AAAAAHP+/7w=")</f>
        <v>#REF!</v>
      </c>
      <c r="GH348" t="e">
        <f>AND(#REF!,"AAAAAHP+/70=")</f>
        <v>#REF!</v>
      </c>
      <c r="GI348" t="e">
        <f>AND(#REF!,"AAAAAHP+/74=")</f>
        <v>#REF!</v>
      </c>
      <c r="GJ348" t="e">
        <f>AND(#REF!,"AAAAAHP+/78=")</f>
        <v>#REF!</v>
      </c>
      <c r="GK348" t="e">
        <f>AND(#REF!,"AAAAAHP+/8A=")</f>
        <v>#REF!</v>
      </c>
      <c r="GL348" t="e">
        <f>AND(#REF!,"AAAAAHP+/8E=")</f>
        <v>#REF!</v>
      </c>
      <c r="GM348" t="e">
        <f>AND(#REF!,"AAAAAHP+/8I=")</f>
        <v>#REF!</v>
      </c>
      <c r="GN348" t="e">
        <f>AND(#REF!,"AAAAAHP+/8M=")</f>
        <v>#REF!</v>
      </c>
      <c r="GO348" t="e">
        <f>AND(#REF!,"AAAAAHP+/8Q=")</f>
        <v>#REF!</v>
      </c>
      <c r="GP348" t="e">
        <f>AND(#REF!,"AAAAAHP+/8U=")</f>
        <v>#REF!</v>
      </c>
      <c r="GQ348" t="e">
        <f>IF(#REF!,"AAAAAHP+/8Y=",0)</f>
        <v>#REF!</v>
      </c>
      <c r="GR348" t="e">
        <f>AND(#REF!,"AAAAAHP+/8c=")</f>
        <v>#REF!</v>
      </c>
      <c r="GS348" t="e">
        <f>AND(#REF!,"AAAAAHP+/8g=")</f>
        <v>#REF!</v>
      </c>
      <c r="GT348" t="e">
        <f>AND(#REF!,"AAAAAHP+/8k=")</f>
        <v>#REF!</v>
      </c>
      <c r="GU348" t="e">
        <f>AND(#REF!,"AAAAAHP+/8o=")</f>
        <v>#REF!</v>
      </c>
      <c r="GV348" t="e">
        <f>AND(#REF!,"AAAAAHP+/8s=")</f>
        <v>#REF!</v>
      </c>
      <c r="GW348" t="e">
        <f>AND(#REF!,"AAAAAHP+/8w=")</f>
        <v>#REF!</v>
      </c>
      <c r="GX348" t="e">
        <f>AND(#REF!,"AAAAAHP+/80=")</f>
        <v>#REF!</v>
      </c>
      <c r="GY348" t="e">
        <f>AND(#REF!,"AAAAAHP+/84=")</f>
        <v>#REF!</v>
      </c>
      <c r="GZ348" t="e">
        <f>AND(#REF!,"AAAAAHP+/88=")</f>
        <v>#REF!</v>
      </c>
      <c r="HA348" t="e">
        <f>AND(#REF!,"AAAAAHP+/9A=")</f>
        <v>#REF!</v>
      </c>
      <c r="HB348" t="e">
        <f>IF(#REF!,"AAAAAHP+/9E=",0)</f>
        <v>#REF!</v>
      </c>
      <c r="HC348" t="e">
        <f>AND(#REF!,"AAAAAHP+/9I=")</f>
        <v>#REF!</v>
      </c>
      <c r="HD348" t="e">
        <f>AND(#REF!,"AAAAAHP+/9M=")</f>
        <v>#REF!</v>
      </c>
      <c r="HE348" t="e">
        <f>AND(#REF!,"AAAAAHP+/9Q=")</f>
        <v>#REF!</v>
      </c>
      <c r="HF348" t="e">
        <f>AND(#REF!,"AAAAAHP+/9U=")</f>
        <v>#REF!</v>
      </c>
      <c r="HG348" t="e">
        <f>AND(#REF!,"AAAAAHP+/9Y=")</f>
        <v>#REF!</v>
      </c>
      <c r="HH348" t="e">
        <f>AND(#REF!,"AAAAAHP+/9c=")</f>
        <v>#REF!</v>
      </c>
      <c r="HI348" t="e">
        <f>AND(#REF!,"AAAAAHP+/9g=")</f>
        <v>#REF!</v>
      </c>
      <c r="HJ348" t="e">
        <f>AND(#REF!,"AAAAAHP+/9k=")</f>
        <v>#REF!</v>
      </c>
      <c r="HK348" t="e">
        <f>AND(#REF!,"AAAAAHP+/9o=")</f>
        <v>#REF!</v>
      </c>
      <c r="HL348" t="e">
        <f>AND(#REF!,"AAAAAHP+/9s=")</f>
        <v>#REF!</v>
      </c>
      <c r="HM348" t="e">
        <f>IF(#REF!,"AAAAAHP+/9w=",0)</f>
        <v>#REF!</v>
      </c>
      <c r="HN348" t="e">
        <f>AND(#REF!,"AAAAAHP+/90=")</f>
        <v>#REF!</v>
      </c>
      <c r="HO348" t="e">
        <f>AND(#REF!,"AAAAAHP+/94=")</f>
        <v>#REF!</v>
      </c>
      <c r="HP348" t="e">
        <f>AND(#REF!,"AAAAAHP+/98=")</f>
        <v>#REF!</v>
      </c>
      <c r="HQ348" t="e">
        <f>AND(#REF!,"AAAAAHP+/+A=")</f>
        <v>#REF!</v>
      </c>
      <c r="HR348" t="e">
        <f>AND(#REF!,"AAAAAHP+/+E=")</f>
        <v>#REF!</v>
      </c>
      <c r="HS348" t="e">
        <f>AND(#REF!,"AAAAAHP+/+I=")</f>
        <v>#REF!</v>
      </c>
      <c r="HT348" t="e">
        <f>AND(#REF!,"AAAAAHP+/+M=")</f>
        <v>#REF!</v>
      </c>
      <c r="HU348" t="e">
        <f>AND(#REF!,"AAAAAHP+/+Q=")</f>
        <v>#REF!</v>
      </c>
      <c r="HV348" t="e">
        <f>AND(#REF!,"AAAAAHP+/+U=")</f>
        <v>#REF!</v>
      </c>
      <c r="HW348" t="e">
        <f>AND(#REF!,"AAAAAHP+/+Y=")</f>
        <v>#REF!</v>
      </c>
      <c r="HX348" t="e">
        <f>IF(#REF!,"AAAAAHP+/+c=",0)</f>
        <v>#REF!</v>
      </c>
      <c r="HY348" t="e">
        <f>AND(#REF!,"AAAAAHP+/+g=")</f>
        <v>#REF!</v>
      </c>
      <c r="HZ348" t="e">
        <f>AND(#REF!,"AAAAAHP+/+k=")</f>
        <v>#REF!</v>
      </c>
      <c r="IA348" t="e">
        <f>AND(#REF!,"AAAAAHP+/+o=")</f>
        <v>#REF!</v>
      </c>
      <c r="IB348" t="e">
        <f>AND(#REF!,"AAAAAHP+/+s=")</f>
        <v>#REF!</v>
      </c>
      <c r="IC348" t="e">
        <f>AND(#REF!,"AAAAAHP+/+w=")</f>
        <v>#REF!</v>
      </c>
      <c r="ID348" t="e">
        <f>AND(#REF!,"AAAAAHP+/+0=")</f>
        <v>#REF!</v>
      </c>
      <c r="IE348" t="e">
        <f>AND(#REF!,"AAAAAHP+/+4=")</f>
        <v>#REF!</v>
      </c>
      <c r="IF348" t="e">
        <f>AND(#REF!,"AAAAAHP+/+8=")</f>
        <v>#REF!</v>
      </c>
      <c r="IG348" t="e">
        <f>AND(#REF!,"AAAAAHP+//A=")</f>
        <v>#REF!</v>
      </c>
      <c r="IH348" t="e">
        <f>AND(#REF!,"AAAAAHP+//E=")</f>
        <v>#REF!</v>
      </c>
      <c r="II348" t="e">
        <f>IF(#REF!,"AAAAAHP+//I=",0)</f>
        <v>#REF!</v>
      </c>
      <c r="IJ348" t="e">
        <f>AND(#REF!,"AAAAAHP+//M=")</f>
        <v>#REF!</v>
      </c>
      <c r="IK348" t="e">
        <f>AND(#REF!,"AAAAAHP+//Q=")</f>
        <v>#REF!</v>
      </c>
      <c r="IL348" t="e">
        <f>AND(#REF!,"AAAAAHP+//U=")</f>
        <v>#REF!</v>
      </c>
      <c r="IM348" t="e">
        <f>AND(#REF!,"AAAAAHP+//Y=")</f>
        <v>#REF!</v>
      </c>
      <c r="IN348" t="e">
        <f>AND(#REF!,"AAAAAHP+//c=")</f>
        <v>#REF!</v>
      </c>
      <c r="IO348" t="e">
        <f>AND(#REF!,"AAAAAHP+//g=")</f>
        <v>#REF!</v>
      </c>
      <c r="IP348" t="e">
        <f>AND(#REF!,"AAAAAHP+//k=")</f>
        <v>#REF!</v>
      </c>
      <c r="IQ348" t="e">
        <f>AND(#REF!,"AAAAAHP+//o=")</f>
        <v>#REF!</v>
      </c>
      <c r="IR348" t="e">
        <f>AND(#REF!,"AAAAAHP+//s=")</f>
        <v>#REF!</v>
      </c>
      <c r="IS348" t="e">
        <f>AND(#REF!,"AAAAAHP+//w=")</f>
        <v>#REF!</v>
      </c>
      <c r="IT348" t="e">
        <f>IF(#REF!,"AAAAAHP+//0=",0)</f>
        <v>#REF!</v>
      </c>
      <c r="IU348" t="e">
        <f>AND(#REF!,"AAAAAHP+//4=")</f>
        <v>#REF!</v>
      </c>
      <c r="IV348" t="e">
        <f>AND(#REF!,"AAAAAHP+//8=")</f>
        <v>#REF!</v>
      </c>
    </row>
    <row r="349" spans="1:256" x14ac:dyDescent="0.25">
      <c r="A349" t="e">
        <f>AND(#REF!,"AAAAAEc/uwA=")</f>
        <v>#REF!</v>
      </c>
      <c r="B349" t="e">
        <f>AND(#REF!,"AAAAAEc/uwE=")</f>
        <v>#REF!</v>
      </c>
      <c r="C349" t="e">
        <f>AND(#REF!,"AAAAAEc/uwI=")</f>
        <v>#REF!</v>
      </c>
      <c r="D349" t="e">
        <f>AND(#REF!,"AAAAAEc/uwM=")</f>
        <v>#REF!</v>
      </c>
      <c r="E349" t="e">
        <f>AND(#REF!,"AAAAAEc/uwQ=")</f>
        <v>#REF!</v>
      </c>
      <c r="F349" t="e">
        <f>AND(#REF!,"AAAAAEc/uwU=")</f>
        <v>#REF!</v>
      </c>
      <c r="G349" t="e">
        <f>AND(#REF!,"AAAAAEc/uwY=")</f>
        <v>#REF!</v>
      </c>
      <c r="H349" t="e">
        <f>AND(#REF!,"AAAAAEc/uwc=")</f>
        <v>#REF!</v>
      </c>
      <c r="I349" t="e">
        <f>IF(#REF!,"AAAAAEc/uwg=",0)</f>
        <v>#REF!</v>
      </c>
      <c r="J349" t="e">
        <f>AND(#REF!,"AAAAAEc/uwk=")</f>
        <v>#REF!</v>
      </c>
      <c r="K349" t="e">
        <f>AND(#REF!,"AAAAAEc/uwo=")</f>
        <v>#REF!</v>
      </c>
      <c r="L349" t="e">
        <f>AND(#REF!,"AAAAAEc/uws=")</f>
        <v>#REF!</v>
      </c>
      <c r="M349" t="e">
        <f>AND(#REF!,"AAAAAEc/uww=")</f>
        <v>#REF!</v>
      </c>
      <c r="N349" t="e">
        <f>AND(#REF!,"AAAAAEc/uw0=")</f>
        <v>#REF!</v>
      </c>
      <c r="O349" t="e">
        <f>AND(#REF!,"AAAAAEc/uw4=")</f>
        <v>#REF!</v>
      </c>
      <c r="P349" t="e">
        <f>AND(#REF!,"AAAAAEc/uw8=")</f>
        <v>#REF!</v>
      </c>
      <c r="Q349" t="e">
        <f>AND(#REF!,"AAAAAEc/uxA=")</f>
        <v>#REF!</v>
      </c>
      <c r="R349" t="e">
        <f>AND(#REF!,"AAAAAEc/uxE=")</f>
        <v>#REF!</v>
      </c>
      <c r="S349" t="e">
        <f>AND(#REF!,"AAAAAEc/uxI=")</f>
        <v>#REF!</v>
      </c>
      <c r="T349" t="e">
        <f>IF(#REF!,"AAAAAEc/uxM=",0)</f>
        <v>#REF!</v>
      </c>
      <c r="U349" t="e">
        <f>AND(#REF!,"AAAAAEc/uxQ=")</f>
        <v>#REF!</v>
      </c>
      <c r="V349" t="e">
        <f>AND(#REF!,"AAAAAEc/uxU=")</f>
        <v>#REF!</v>
      </c>
      <c r="W349" t="e">
        <f>AND(#REF!,"AAAAAEc/uxY=")</f>
        <v>#REF!</v>
      </c>
      <c r="X349" t="e">
        <f>AND(#REF!,"AAAAAEc/uxc=")</f>
        <v>#REF!</v>
      </c>
      <c r="Y349" t="e">
        <f>AND(#REF!,"AAAAAEc/uxg=")</f>
        <v>#REF!</v>
      </c>
      <c r="Z349" t="e">
        <f>AND(#REF!,"AAAAAEc/uxk=")</f>
        <v>#REF!</v>
      </c>
      <c r="AA349" t="e">
        <f>AND(#REF!,"AAAAAEc/uxo=")</f>
        <v>#REF!</v>
      </c>
      <c r="AB349" t="e">
        <f>AND(#REF!,"AAAAAEc/uxs=")</f>
        <v>#REF!</v>
      </c>
      <c r="AC349" t="e">
        <f>AND(#REF!,"AAAAAEc/uxw=")</f>
        <v>#REF!</v>
      </c>
      <c r="AD349" t="e">
        <f>AND(#REF!,"AAAAAEc/ux0=")</f>
        <v>#REF!</v>
      </c>
      <c r="AE349" t="e">
        <f>IF(#REF!,"AAAAAEc/ux4=",0)</f>
        <v>#REF!</v>
      </c>
      <c r="AF349" t="e">
        <f>AND(#REF!,"AAAAAEc/ux8=")</f>
        <v>#REF!</v>
      </c>
      <c r="AG349" t="e">
        <f>AND(#REF!,"AAAAAEc/uyA=")</f>
        <v>#REF!</v>
      </c>
      <c r="AH349" t="e">
        <f>AND(#REF!,"AAAAAEc/uyE=")</f>
        <v>#REF!</v>
      </c>
      <c r="AI349" t="e">
        <f>AND(#REF!,"AAAAAEc/uyI=")</f>
        <v>#REF!</v>
      </c>
      <c r="AJ349" t="e">
        <f>AND(#REF!,"AAAAAEc/uyM=")</f>
        <v>#REF!</v>
      </c>
      <c r="AK349" t="e">
        <f>AND(#REF!,"AAAAAEc/uyQ=")</f>
        <v>#REF!</v>
      </c>
      <c r="AL349" t="e">
        <f>AND(#REF!,"AAAAAEc/uyU=")</f>
        <v>#REF!</v>
      </c>
      <c r="AM349" t="e">
        <f>AND(#REF!,"AAAAAEc/uyY=")</f>
        <v>#REF!</v>
      </c>
      <c r="AN349" t="e">
        <f>AND(#REF!,"AAAAAEc/uyc=")</f>
        <v>#REF!</v>
      </c>
      <c r="AO349" t="e">
        <f>AND(#REF!,"AAAAAEc/uyg=")</f>
        <v>#REF!</v>
      </c>
      <c r="AP349" t="e">
        <f>IF(#REF!,"AAAAAEc/uyk=",0)</f>
        <v>#REF!</v>
      </c>
      <c r="AQ349" t="e">
        <f>AND(#REF!,"AAAAAEc/uyo=")</f>
        <v>#REF!</v>
      </c>
      <c r="AR349" t="e">
        <f>AND(#REF!,"AAAAAEc/uys=")</f>
        <v>#REF!</v>
      </c>
      <c r="AS349" t="e">
        <f>AND(#REF!,"AAAAAEc/uyw=")</f>
        <v>#REF!</v>
      </c>
      <c r="AT349" t="e">
        <f>AND(#REF!,"AAAAAEc/uy0=")</f>
        <v>#REF!</v>
      </c>
      <c r="AU349" t="e">
        <f>AND(#REF!,"AAAAAEc/uy4=")</f>
        <v>#REF!</v>
      </c>
      <c r="AV349" t="e">
        <f>AND(#REF!,"AAAAAEc/uy8=")</f>
        <v>#REF!</v>
      </c>
      <c r="AW349" t="e">
        <f>AND(#REF!,"AAAAAEc/uzA=")</f>
        <v>#REF!</v>
      </c>
      <c r="AX349" t="e">
        <f>AND(#REF!,"AAAAAEc/uzE=")</f>
        <v>#REF!</v>
      </c>
      <c r="AY349" t="e">
        <f>AND(#REF!,"AAAAAEc/uzI=")</f>
        <v>#REF!</v>
      </c>
      <c r="AZ349" t="e">
        <f>AND(#REF!,"AAAAAEc/uzM=")</f>
        <v>#REF!</v>
      </c>
      <c r="BA349" t="e">
        <f>IF(#REF!,"AAAAAEc/uzQ=",0)</f>
        <v>#REF!</v>
      </c>
      <c r="BB349" t="e">
        <f>AND(#REF!,"AAAAAEc/uzU=")</f>
        <v>#REF!</v>
      </c>
      <c r="BC349" t="e">
        <f>AND(#REF!,"AAAAAEc/uzY=")</f>
        <v>#REF!</v>
      </c>
      <c r="BD349" t="e">
        <f>AND(#REF!,"AAAAAEc/uzc=")</f>
        <v>#REF!</v>
      </c>
      <c r="BE349" t="e">
        <f>AND(#REF!,"AAAAAEc/uzg=")</f>
        <v>#REF!</v>
      </c>
      <c r="BF349" t="e">
        <f>AND(#REF!,"AAAAAEc/uzk=")</f>
        <v>#REF!</v>
      </c>
      <c r="BG349" t="e">
        <f>AND(#REF!,"AAAAAEc/uzo=")</f>
        <v>#REF!</v>
      </c>
      <c r="BH349" t="e">
        <f>AND(#REF!,"AAAAAEc/uzs=")</f>
        <v>#REF!</v>
      </c>
      <c r="BI349" t="e">
        <f>AND(#REF!,"AAAAAEc/uzw=")</f>
        <v>#REF!</v>
      </c>
      <c r="BJ349" t="e">
        <f>AND(#REF!,"AAAAAEc/uz0=")</f>
        <v>#REF!</v>
      </c>
      <c r="BK349" t="e">
        <f>AND(#REF!,"AAAAAEc/uz4=")</f>
        <v>#REF!</v>
      </c>
      <c r="BL349" t="e">
        <f>IF(#REF!,"AAAAAEc/uz8=",0)</f>
        <v>#REF!</v>
      </c>
      <c r="BM349" t="e">
        <f>AND(#REF!,"AAAAAEc/u0A=")</f>
        <v>#REF!</v>
      </c>
      <c r="BN349" t="e">
        <f>AND(#REF!,"AAAAAEc/u0E=")</f>
        <v>#REF!</v>
      </c>
      <c r="BO349" t="e">
        <f>AND(#REF!,"AAAAAEc/u0I=")</f>
        <v>#REF!</v>
      </c>
      <c r="BP349" t="e">
        <f>AND(#REF!,"AAAAAEc/u0M=")</f>
        <v>#REF!</v>
      </c>
      <c r="BQ349" t="e">
        <f>AND(#REF!,"AAAAAEc/u0Q=")</f>
        <v>#REF!</v>
      </c>
      <c r="BR349" t="e">
        <f>AND(#REF!,"AAAAAEc/u0U=")</f>
        <v>#REF!</v>
      </c>
      <c r="BS349" t="e">
        <f>AND(#REF!,"AAAAAEc/u0Y=")</f>
        <v>#REF!</v>
      </c>
      <c r="BT349" t="e">
        <f>AND(#REF!,"AAAAAEc/u0c=")</f>
        <v>#REF!</v>
      </c>
      <c r="BU349" t="e">
        <f>AND(#REF!,"AAAAAEc/u0g=")</f>
        <v>#REF!</v>
      </c>
      <c r="BV349" t="e">
        <f>AND(#REF!,"AAAAAEc/u0k=")</f>
        <v>#REF!</v>
      </c>
      <c r="BW349" t="e">
        <f>IF(#REF!,"AAAAAEc/u0o=",0)</f>
        <v>#REF!</v>
      </c>
      <c r="BX349" t="e">
        <f>AND(#REF!,"AAAAAEc/u0s=")</f>
        <v>#REF!</v>
      </c>
      <c r="BY349" t="e">
        <f>AND(#REF!,"AAAAAEc/u0w=")</f>
        <v>#REF!</v>
      </c>
      <c r="BZ349" t="e">
        <f>AND(#REF!,"AAAAAEc/u00=")</f>
        <v>#REF!</v>
      </c>
      <c r="CA349" t="e">
        <f>AND(#REF!,"AAAAAEc/u04=")</f>
        <v>#REF!</v>
      </c>
      <c r="CB349" t="e">
        <f>AND(#REF!,"AAAAAEc/u08=")</f>
        <v>#REF!</v>
      </c>
      <c r="CC349" t="e">
        <f>AND(#REF!,"AAAAAEc/u1A=")</f>
        <v>#REF!</v>
      </c>
      <c r="CD349" t="e">
        <f>AND(#REF!,"AAAAAEc/u1E=")</f>
        <v>#REF!</v>
      </c>
      <c r="CE349" t="e">
        <f>AND(#REF!,"AAAAAEc/u1I=")</f>
        <v>#REF!</v>
      </c>
      <c r="CF349" t="e">
        <f>AND(#REF!,"AAAAAEc/u1M=")</f>
        <v>#REF!</v>
      </c>
      <c r="CG349" t="e">
        <f>AND(#REF!,"AAAAAEc/u1Q=")</f>
        <v>#REF!</v>
      </c>
      <c r="CH349" t="e">
        <f>IF(#REF!,"AAAAAEc/u1U=",0)</f>
        <v>#REF!</v>
      </c>
      <c r="CI349" t="e">
        <f>AND(#REF!,"AAAAAEc/u1Y=")</f>
        <v>#REF!</v>
      </c>
      <c r="CJ349" t="e">
        <f>AND(#REF!,"AAAAAEc/u1c=")</f>
        <v>#REF!</v>
      </c>
      <c r="CK349" t="e">
        <f>AND(#REF!,"AAAAAEc/u1g=")</f>
        <v>#REF!</v>
      </c>
      <c r="CL349" t="e">
        <f>AND(#REF!,"AAAAAEc/u1k=")</f>
        <v>#REF!</v>
      </c>
      <c r="CM349" t="e">
        <f>AND(#REF!,"AAAAAEc/u1o=")</f>
        <v>#REF!</v>
      </c>
      <c r="CN349" t="e">
        <f>AND(#REF!,"AAAAAEc/u1s=")</f>
        <v>#REF!</v>
      </c>
      <c r="CO349" t="e">
        <f>AND(#REF!,"AAAAAEc/u1w=")</f>
        <v>#REF!</v>
      </c>
      <c r="CP349" t="e">
        <f>AND(#REF!,"AAAAAEc/u10=")</f>
        <v>#REF!</v>
      </c>
      <c r="CQ349" t="e">
        <f>AND(#REF!,"AAAAAEc/u14=")</f>
        <v>#REF!</v>
      </c>
      <c r="CR349" t="e">
        <f>AND(#REF!,"AAAAAEc/u18=")</f>
        <v>#REF!</v>
      </c>
      <c r="CS349" t="e">
        <f>IF(#REF!,"AAAAAEc/u2A=",0)</f>
        <v>#REF!</v>
      </c>
      <c r="CT349" t="e">
        <f>AND(#REF!,"AAAAAEc/u2E=")</f>
        <v>#REF!</v>
      </c>
      <c r="CU349" t="e">
        <f>AND(#REF!,"AAAAAEc/u2I=")</f>
        <v>#REF!</v>
      </c>
      <c r="CV349" t="e">
        <f>AND(#REF!,"AAAAAEc/u2M=")</f>
        <v>#REF!</v>
      </c>
      <c r="CW349" t="e">
        <f>AND(#REF!,"AAAAAEc/u2Q=")</f>
        <v>#REF!</v>
      </c>
      <c r="CX349" t="e">
        <f>AND(#REF!,"AAAAAEc/u2U=")</f>
        <v>#REF!</v>
      </c>
      <c r="CY349" t="e">
        <f>AND(#REF!,"AAAAAEc/u2Y=")</f>
        <v>#REF!</v>
      </c>
      <c r="CZ349" t="e">
        <f>AND(#REF!,"AAAAAEc/u2c=")</f>
        <v>#REF!</v>
      </c>
      <c r="DA349" t="e">
        <f>AND(#REF!,"AAAAAEc/u2g=")</f>
        <v>#REF!</v>
      </c>
      <c r="DB349" t="e">
        <f>AND(#REF!,"AAAAAEc/u2k=")</f>
        <v>#REF!</v>
      </c>
      <c r="DC349" t="e">
        <f>AND(#REF!,"AAAAAEc/u2o=")</f>
        <v>#REF!</v>
      </c>
      <c r="DD349" t="e">
        <f>IF(#REF!,"AAAAAEc/u2s=",0)</f>
        <v>#REF!</v>
      </c>
      <c r="DE349" t="e">
        <f>AND(#REF!,"AAAAAEc/u2w=")</f>
        <v>#REF!</v>
      </c>
      <c r="DF349" t="e">
        <f>AND(#REF!,"AAAAAEc/u20=")</f>
        <v>#REF!</v>
      </c>
      <c r="DG349" t="e">
        <f>AND(#REF!,"AAAAAEc/u24=")</f>
        <v>#REF!</v>
      </c>
      <c r="DH349" t="e">
        <f>AND(#REF!,"AAAAAEc/u28=")</f>
        <v>#REF!</v>
      </c>
      <c r="DI349" t="e">
        <f>AND(#REF!,"AAAAAEc/u3A=")</f>
        <v>#REF!</v>
      </c>
      <c r="DJ349" t="e">
        <f>AND(#REF!,"AAAAAEc/u3E=")</f>
        <v>#REF!</v>
      </c>
      <c r="DK349" t="e">
        <f>AND(#REF!,"AAAAAEc/u3I=")</f>
        <v>#REF!</v>
      </c>
      <c r="DL349" t="e">
        <f>AND(#REF!,"AAAAAEc/u3M=")</f>
        <v>#REF!</v>
      </c>
      <c r="DM349" t="e">
        <f>AND(#REF!,"AAAAAEc/u3Q=")</f>
        <v>#REF!</v>
      </c>
      <c r="DN349" t="e">
        <f>AND(#REF!,"AAAAAEc/u3U=")</f>
        <v>#REF!</v>
      </c>
      <c r="DO349" t="e">
        <f>IF(#REF!,"AAAAAEc/u3Y=",0)</f>
        <v>#REF!</v>
      </c>
      <c r="DP349" t="e">
        <f>AND(#REF!,"AAAAAEc/u3c=")</f>
        <v>#REF!</v>
      </c>
      <c r="DQ349" t="e">
        <f>AND(#REF!,"AAAAAEc/u3g=")</f>
        <v>#REF!</v>
      </c>
      <c r="DR349" t="e">
        <f>AND(#REF!,"AAAAAEc/u3k=")</f>
        <v>#REF!</v>
      </c>
      <c r="DS349" t="e">
        <f>AND(#REF!,"AAAAAEc/u3o=")</f>
        <v>#REF!</v>
      </c>
      <c r="DT349" t="e">
        <f>AND(#REF!,"AAAAAEc/u3s=")</f>
        <v>#REF!</v>
      </c>
      <c r="DU349" t="e">
        <f>AND(#REF!,"AAAAAEc/u3w=")</f>
        <v>#REF!</v>
      </c>
      <c r="DV349" t="e">
        <f>AND(#REF!,"AAAAAEc/u30=")</f>
        <v>#REF!</v>
      </c>
      <c r="DW349" t="e">
        <f>AND(#REF!,"AAAAAEc/u34=")</f>
        <v>#REF!</v>
      </c>
      <c r="DX349" t="e">
        <f>AND(#REF!,"AAAAAEc/u38=")</f>
        <v>#REF!</v>
      </c>
      <c r="DY349" t="e">
        <f>AND(#REF!,"AAAAAEc/u4A=")</f>
        <v>#REF!</v>
      </c>
      <c r="DZ349" t="e">
        <f>IF(#REF!,"AAAAAEc/u4E=",0)</f>
        <v>#REF!</v>
      </c>
      <c r="EA349" t="e">
        <f>AND(#REF!,"AAAAAEc/u4I=")</f>
        <v>#REF!</v>
      </c>
      <c r="EB349" t="e">
        <f>AND(#REF!,"AAAAAEc/u4M=")</f>
        <v>#REF!</v>
      </c>
      <c r="EC349" t="e">
        <f>AND(#REF!,"AAAAAEc/u4Q=")</f>
        <v>#REF!</v>
      </c>
      <c r="ED349" t="e">
        <f>AND(#REF!,"AAAAAEc/u4U=")</f>
        <v>#REF!</v>
      </c>
      <c r="EE349" t="e">
        <f>AND(#REF!,"AAAAAEc/u4Y=")</f>
        <v>#REF!</v>
      </c>
      <c r="EF349" t="e">
        <f>AND(#REF!,"AAAAAEc/u4c=")</f>
        <v>#REF!</v>
      </c>
      <c r="EG349" t="e">
        <f>AND(#REF!,"AAAAAEc/u4g=")</f>
        <v>#REF!</v>
      </c>
      <c r="EH349" t="e">
        <f>AND(#REF!,"AAAAAEc/u4k=")</f>
        <v>#REF!</v>
      </c>
      <c r="EI349" t="e">
        <f>AND(#REF!,"AAAAAEc/u4o=")</f>
        <v>#REF!</v>
      </c>
      <c r="EJ349" t="e">
        <f>AND(#REF!,"AAAAAEc/u4s=")</f>
        <v>#REF!</v>
      </c>
      <c r="EK349" t="e">
        <f>IF(#REF!,"AAAAAEc/u4w=",0)</f>
        <v>#REF!</v>
      </c>
      <c r="EL349" t="e">
        <f>AND(#REF!,"AAAAAEc/u40=")</f>
        <v>#REF!</v>
      </c>
      <c r="EM349" t="e">
        <f>AND(#REF!,"AAAAAEc/u44=")</f>
        <v>#REF!</v>
      </c>
      <c r="EN349" t="e">
        <f>AND(#REF!,"AAAAAEc/u48=")</f>
        <v>#REF!</v>
      </c>
      <c r="EO349" t="e">
        <f>AND(#REF!,"AAAAAEc/u5A=")</f>
        <v>#REF!</v>
      </c>
      <c r="EP349" t="e">
        <f>AND(#REF!,"AAAAAEc/u5E=")</f>
        <v>#REF!</v>
      </c>
      <c r="EQ349" t="e">
        <f>AND(#REF!,"AAAAAEc/u5I=")</f>
        <v>#REF!</v>
      </c>
      <c r="ER349" t="e">
        <f>AND(#REF!,"AAAAAEc/u5M=")</f>
        <v>#REF!</v>
      </c>
      <c r="ES349" t="e">
        <f>AND(#REF!,"AAAAAEc/u5Q=")</f>
        <v>#REF!</v>
      </c>
      <c r="ET349" t="e">
        <f>AND(#REF!,"AAAAAEc/u5U=")</f>
        <v>#REF!</v>
      </c>
      <c r="EU349" t="e">
        <f>AND(#REF!,"AAAAAEc/u5Y=")</f>
        <v>#REF!</v>
      </c>
      <c r="EV349" t="e">
        <f>IF(#REF!,"AAAAAEc/u5c=",0)</f>
        <v>#REF!</v>
      </c>
      <c r="EW349" t="e">
        <f>AND(#REF!,"AAAAAEc/u5g=")</f>
        <v>#REF!</v>
      </c>
      <c r="EX349" t="e">
        <f>AND(#REF!,"AAAAAEc/u5k=")</f>
        <v>#REF!</v>
      </c>
      <c r="EY349" t="e">
        <f>AND(#REF!,"AAAAAEc/u5o=")</f>
        <v>#REF!</v>
      </c>
      <c r="EZ349" t="e">
        <f>AND(#REF!,"AAAAAEc/u5s=")</f>
        <v>#REF!</v>
      </c>
      <c r="FA349" t="e">
        <f>AND(#REF!,"AAAAAEc/u5w=")</f>
        <v>#REF!</v>
      </c>
      <c r="FB349" t="e">
        <f>AND(#REF!,"AAAAAEc/u50=")</f>
        <v>#REF!</v>
      </c>
      <c r="FC349" t="e">
        <f>AND(#REF!,"AAAAAEc/u54=")</f>
        <v>#REF!</v>
      </c>
      <c r="FD349" t="e">
        <f>AND(#REF!,"AAAAAEc/u58=")</f>
        <v>#REF!</v>
      </c>
      <c r="FE349" t="e">
        <f>AND(#REF!,"AAAAAEc/u6A=")</f>
        <v>#REF!</v>
      </c>
      <c r="FF349" t="e">
        <f>AND(#REF!,"AAAAAEc/u6E=")</f>
        <v>#REF!</v>
      </c>
      <c r="FG349" t="e">
        <f>IF(#REF!,"AAAAAEc/u6I=",0)</f>
        <v>#REF!</v>
      </c>
      <c r="FH349" t="e">
        <f>AND(#REF!,"AAAAAEc/u6M=")</f>
        <v>#REF!</v>
      </c>
      <c r="FI349" t="e">
        <f>AND(#REF!,"AAAAAEc/u6Q=")</f>
        <v>#REF!</v>
      </c>
      <c r="FJ349" t="e">
        <f>AND(#REF!,"AAAAAEc/u6U=")</f>
        <v>#REF!</v>
      </c>
      <c r="FK349" t="e">
        <f>AND(#REF!,"AAAAAEc/u6Y=")</f>
        <v>#REF!</v>
      </c>
      <c r="FL349" t="e">
        <f>AND(#REF!,"AAAAAEc/u6c=")</f>
        <v>#REF!</v>
      </c>
      <c r="FM349" t="e">
        <f>AND(#REF!,"AAAAAEc/u6g=")</f>
        <v>#REF!</v>
      </c>
      <c r="FN349" t="e">
        <f>AND(#REF!,"AAAAAEc/u6k=")</f>
        <v>#REF!</v>
      </c>
      <c r="FO349" t="e">
        <f>AND(#REF!,"AAAAAEc/u6o=")</f>
        <v>#REF!</v>
      </c>
      <c r="FP349" t="e">
        <f>AND(#REF!,"AAAAAEc/u6s=")</f>
        <v>#REF!</v>
      </c>
      <c r="FQ349" t="e">
        <f>AND(#REF!,"AAAAAEc/u6w=")</f>
        <v>#REF!</v>
      </c>
      <c r="FR349" t="e">
        <f>IF(#REF!,"AAAAAEc/u60=",0)</f>
        <v>#REF!</v>
      </c>
      <c r="FS349" t="e">
        <f>AND(#REF!,"AAAAAEc/u64=")</f>
        <v>#REF!</v>
      </c>
      <c r="FT349" t="e">
        <f>AND(#REF!,"AAAAAEc/u68=")</f>
        <v>#REF!</v>
      </c>
      <c r="FU349" t="e">
        <f>AND(#REF!,"AAAAAEc/u7A=")</f>
        <v>#REF!</v>
      </c>
      <c r="FV349" t="e">
        <f>AND(#REF!,"AAAAAEc/u7E=")</f>
        <v>#REF!</v>
      </c>
      <c r="FW349" t="e">
        <f>AND(#REF!,"AAAAAEc/u7I=")</f>
        <v>#REF!</v>
      </c>
      <c r="FX349" t="e">
        <f>AND(#REF!,"AAAAAEc/u7M=")</f>
        <v>#REF!</v>
      </c>
      <c r="FY349" t="e">
        <f>AND(#REF!,"AAAAAEc/u7Q=")</f>
        <v>#REF!</v>
      </c>
      <c r="FZ349" t="e">
        <f>AND(#REF!,"AAAAAEc/u7U=")</f>
        <v>#REF!</v>
      </c>
      <c r="GA349" t="e">
        <f>AND(#REF!,"AAAAAEc/u7Y=")</f>
        <v>#REF!</v>
      </c>
      <c r="GB349" t="e">
        <f>AND(#REF!,"AAAAAEc/u7c=")</f>
        <v>#REF!</v>
      </c>
      <c r="GC349" t="e">
        <f>IF(#REF!,"AAAAAEc/u7g=",0)</f>
        <v>#REF!</v>
      </c>
      <c r="GD349" t="e">
        <f>AND(#REF!,"AAAAAEc/u7k=")</f>
        <v>#REF!</v>
      </c>
      <c r="GE349" t="e">
        <f>AND(#REF!,"AAAAAEc/u7o=")</f>
        <v>#REF!</v>
      </c>
      <c r="GF349" t="e">
        <f>AND(#REF!,"AAAAAEc/u7s=")</f>
        <v>#REF!</v>
      </c>
      <c r="GG349" t="e">
        <f>AND(#REF!,"AAAAAEc/u7w=")</f>
        <v>#REF!</v>
      </c>
      <c r="GH349" t="e">
        <f>AND(#REF!,"AAAAAEc/u70=")</f>
        <v>#REF!</v>
      </c>
      <c r="GI349" t="e">
        <f>AND(#REF!,"AAAAAEc/u74=")</f>
        <v>#REF!</v>
      </c>
      <c r="GJ349" t="e">
        <f>AND(#REF!,"AAAAAEc/u78=")</f>
        <v>#REF!</v>
      </c>
      <c r="GK349" t="e">
        <f>AND(#REF!,"AAAAAEc/u8A=")</f>
        <v>#REF!</v>
      </c>
      <c r="GL349" t="e">
        <f>AND(#REF!,"AAAAAEc/u8E=")</f>
        <v>#REF!</v>
      </c>
      <c r="GM349" t="e">
        <f>AND(#REF!,"AAAAAEc/u8I=")</f>
        <v>#REF!</v>
      </c>
      <c r="GN349" t="e">
        <f>IF(#REF!,"AAAAAEc/u8M=",0)</f>
        <v>#REF!</v>
      </c>
      <c r="GO349" t="e">
        <f>AND(#REF!,"AAAAAEc/u8Q=")</f>
        <v>#REF!</v>
      </c>
      <c r="GP349" t="e">
        <f>AND(#REF!,"AAAAAEc/u8U=")</f>
        <v>#REF!</v>
      </c>
      <c r="GQ349" t="e">
        <f>AND(#REF!,"AAAAAEc/u8Y=")</f>
        <v>#REF!</v>
      </c>
      <c r="GR349" t="e">
        <f>AND(#REF!,"AAAAAEc/u8c=")</f>
        <v>#REF!</v>
      </c>
      <c r="GS349" t="e">
        <f>AND(#REF!,"AAAAAEc/u8g=")</f>
        <v>#REF!</v>
      </c>
      <c r="GT349" t="e">
        <f>AND(#REF!,"AAAAAEc/u8k=")</f>
        <v>#REF!</v>
      </c>
      <c r="GU349" t="e">
        <f>AND(#REF!,"AAAAAEc/u8o=")</f>
        <v>#REF!</v>
      </c>
      <c r="GV349" t="e">
        <f>AND(#REF!,"AAAAAEc/u8s=")</f>
        <v>#REF!</v>
      </c>
      <c r="GW349" t="e">
        <f>AND(#REF!,"AAAAAEc/u8w=")</f>
        <v>#REF!</v>
      </c>
      <c r="GX349" t="e">
        <f>AND(#REF!,"AAAAAEc/u80=")</f>
        <v>#REF!</v>
      </c>
      <c r="GY349" t="e">
        <f>IF(#REF!,"AAAAAEc/u84=",0)</f>
        <v>#REF!</v>
      </c>
      <c r="GZ349" t="e">
        <f>AND(#REF!,"AAAAAEc/u88=")</f>
        <v>#REF!</v>
      </c>
      <c r="HA349" t="e">
        <f>AND(#REF!,"AAAAAEc/u9A=")</f>
        <v>#REF!</v>
      </c>
      <c r="HB349" t="e">
        <f>AND(#REF!,"AAAAAEc/u9E=")</f>
        <v>#REF!</v>
      </c>
      <c r="HC349" t="e">
        <f>AND(#REF!,"AAAAAEc/u9I=")</f>
        <v>#REF!</v>
      </c>
      <c r="HD349" t="e">
        <f>AND(#REF!,"AAAAAEc/u9M=")</f>
        <v>#REF!</v>
      </c>
      <c r="HE349" t="e">
        <f>AND(#REF!,"AAAAAEc/u9Q=")</f>
        <v>#REF!</v>
      </c>
      <c r="HF349" t="e">
        <f>AND(#REF!,"AAAAAEc/u9U=")</f>
        <v>#REF!</v>
      </c>
      <c r="HG349" t="e">
        <f>AND(#REF!,"AAAAAEc/u9Y=")</f>
        <v>#REF!</v>
      </c>
      <c r="HH349" t="e">
        <f>AND(#REF!,"AAAAAEc/u9c=")</f>
        <v>#REF!</v>
      </c>
      <c r="HI349" t="e">
        <f>AND(#REF!,"AAAAAEc/u9g=")</f>
        <v>#REF!</v>
      </c>
      <c r="HJ349" t="e">
        <f>IF(#REF!,"AAAAAEc/u9k=",0)</f>
        <v>#REF!</v>
      </c>
      <c r="HK349" t="e">
        <f>AND(#REF!,"AAAAAEc/u9o=")</f>
        <v>#REF!</v>
      </c>
      <c r="HL349" t="e">
        <f>AND(#REF!,"AAAAAEc/u9s=")</f>
        <v>#REF!</v>
      </c>
      <c r="HM349" t="e">
        <f>AND(#REF!,"AAAAAEc/u9w=")</f>
        <v>#REF!</v>
      </c>
      <c r="HN349" t="e">
        <f>AND(#REF!,"AAAAAEc/u90=")</f>
        <v>#REF!</v>
      </c>
      <c r="HO349" t="e">
        <f>AND(#REF!,"AAAAAEc/u94=")</f>
        <v>#REF!</v>
      </c>
      <c r="HP349" t="e">
        <f>AND(#REF!,"AAAAAEc/u98=")</f>
        <v>#REF!</v>
      </c>
      <c r="HQ349" t="e">
        <f>AND(#REF!,"AAAAAEc/u+A=")</f>
        <v>#REF!</v>
      </c>
      <c r="HR349" t="e">
        <f>AND(#REF!,"AAAAAEc/u+E=")</f>
        <v>#REF!</v>
      </c>
      <c r="HS349" t="e">
        <f>AND(#REF!,"AAAAAEc/u+I=")</f>
        <v>#REF!</v>
      </c>
      <c r="HT349" t="e">
        <f>AND(#REF!,"AAAAAEc/u+M=")</f>
        <v>#REF!</v>
      </c>
      <c r="HU349" t="e">
        <f>IF(#REF!,"AAAAAEc/u+Q=",0)</f>
        <v>#REF!</v>
      </c>
      <c r="HV349" t="e">
        <f>AND(#REF!,"AAAAAEc/u+U=")</f>
        <v>#REF!</v>
      </c>
      <c r="HW349" t="e">
        <f>AND(#REF!,"AAAAAEc/u+Y=")</f>
        <v>#REF!</v>
      </c>
      <c r="HX349" t="e">
        <f>AND(#REF!,"AAAAAEc/u+c=")</f>
        <v>#REF!</v>
      </c>
      <c r="HY349" t="e">
        <f>AND(#REF!,"AAAAAEc/u+g=")</f>
        <v>#REF!</v>
      </c>
      <c r="HZ349" t="e">
        <f>AND(#REF!,"AAAAAEc/u+k=")</f>
        <v>#REF!</v>
      </c>
      <c r="IA349" t="e">
        <f>AND(#REF!,"AAAAAEc/u+o=")</f>
        <v>#REF!</v>
      </c>
      <c r="IB349" t="e">
        <f>AND(#REF!,"AAAAAEc/u+s=")</f>
        <v>#REF!</v>
      </c>
      <c r="IC349" t="e">
        <f>AND(#REF!,"AAAAAEc/u+w=")</f>
        <v>#REF!</v>
      </c>
      <c r="ID349" t="e">
        <f>AND(#REF!,"AAAAAEc/u+0=")</f>
        <v>#REF!</v>
      </c>
      <c r="IE349" t="e">
        <f>AND(#REF!,"AAAAAEc/u+4=")</f>
        <v>#REF!</v>
      </c>
      <c r="IF349" t="e">
        <f>IF(#REF!,"AAAAAEc/u+8=",0)</f>
        <v>#REF!</v>
      </c>
      <c r="IG349" t="e">
        <f>AND(#REF!,"AAAAAEc/u/A=")</f>
        <v>#REF!</v>
      </c>
      <c r="IH349" t="e">
        <f>AND(#REF!,"AAAAAEc/u/E=")</f>
        <v>#REF!</v>
      </c>
      <c r="II349" t="e">
        <f>AND(#REF!,"AAAAAEc/u/I=")</f>
        <v>#REF!</v>
      </c>
      <c r="IJ349" t="e">
        <f>AND(#REF!,"AAAAAEc/u/M=")</f>
        <v>#REF!</v>
      </c>
      <c r="IK349" t="e">
        <f>AND(#REF!,"AAAAAEc/u/Q=")</f>
        <v>#REF!</v>
      </c>
      <c r="IL349" t="e">
        <f>AND(#REF!,"AAAAAEc/u/U=")</f>
        <v>#REF!</v>
      </c>
      <c r="IM349" t="e">
        <f>AND(#REF!,"AAAAAEc/u/Y=")</f>
        <v>#REF!</v>
      </c>
      <c r="IN349" t="e">
        <f>AND(#REF!,"AAAAAEc/u/c=")</f>
        <v>#REF!</v>
      </c>
      <c r="IO349" t="e">
        <f>AND(#REF!,"AAAAAEc/u/g=")</f>
        <v>#REF!</v>
      </c>
      <c r="IP349" t="e">
        <f>AND(#REF!,"AAAAAEc/u/k=")</f>
        <v>#REF!</v>
      </c>
      <c r="IQ349" t="e">
        <f>IF(#REF!,"AAAAAEc/u/o=",0)</f>
        <v>#REF!</v>
      </c>
      <c r="IR349" t="e">
        <f>AND(#REF!,"AAAAAEc/u/s=")</f>
        <v>#REF!</v>
      </c>
      <c r="IS349" t="e">
        <f>AND(#REF!,"AAAAAEc/u/w=")</f>
        <v>#REF!</v>
      </c>
      <c r="IT349" t="e">
        <f>AND(#REF!,"AAAAAEc/u/0=")</f>
        <v>#REF!</v>
      </c>
      <c r="IU349" t="e">
        <f>AND(#REF!,"AAAAAEc/u/4=")</f>
        <v>#REF!</v>
      </c>
      <c r="IV349" t="e">
        <f>AND(#REF!,"AAAAAEc/u/8=")</f>
        <v>#REF!</v>
      </c>
    </row>
    <row r="350" spans="1:256" x14ac:dyDescent="0.25">
      <c r="A350" t="e">
        <f>AND(#REF!,"AAAAAHu85wA=")</f>
        <v>#REF!</v>
      </c>
      <c r="B350" t="e">
        <f>AND(#REF!,"AAAAAHu85wE=")</f>
        <v>#REF!</v>
      </c>
      <c r="C350" t="e">
        <f>AND(#REF!,"AAAAAHu85wI=")</f>
        <v>#REF!</v>
      </c>
      <c r="D350" t="e">
        <f>AND(#REF!,"AAAAAHu85wM=")</f>
        <v>#REF!</v>
      </c>
      <c r="E350" t="e">
        <f>AND(#REF!,"AAAAAHu85wQ=")</f>
        <v>#REF!</v>
      </c>
      <c r="F350" t="e">
        <f>IF(#REF!,"AAAAAHu85wU=",0)</f>
        <v>#REF!</v>
      </c>
      <c r="G350" t="e">
        <f>AND(#REF!,"AAAAAHu85wY=")</f>
        <v>#REF!</v>
      </c>
      <c r="H350" t="e">
        <f>AND(#REF!,"AAAAAHu85wc=")</f>
        <v>#REF!</v>
      </c>
      <c r="I350" t="e">
        <f>AND(#REF!,"AAAAAHu85wg=")</f>
        <v>#REF!</v>
      </c>
      <c r="J350" t="e">
        <f>AND(#REF!,"AAAAAHu85wk=")</f>
        <v>#REF!</v>
      </c>
      <c r="K350" t="e">
        <f>AND(#REF!,"AAAAAHu85wo=")</f>
        <v>#REF!</v>
      </c>
      <c r="L350" t="e">
        <f>AND(#REF!,"AAAAAHu85ws=")</f>
        <v>#REF!</v>
      </c>
      <c r="M350" t="e">
        <f>AND(#REF!,"AAAAAHu85ww=")</f>
        <v>#REF!</v>
      </c>
      <c r="N350" t="e">
        <f>AND(#REF!,"AAAAAHu85w0=")</f>
        <v>#REF!</v>
      </c>
      <c r="O350" t="e">
        <f>AND(#REF!,"AAAAAHu85w4=")</f>
        <v>#REF!</v>
      </c>
      <c r="P350" t="e">
        <f>AND(#REF!,"AAAAAHu85w8=")</f>
        <v>#REF!</v>
      </c>
      <c r="Q350" t="e">
        <f>IF(#REF!,"AAAAAHu85xA=",0)</f>
        <v>#REF!</v>
      </c>
      <c r="R350" t="e">
        <f>AND(#REF!,"AAAAAHu85xE=")</f>
        <v>#REF!</v>
      </c>
      <c r="S350" t="e">
        <f>AND(#REF!,"AAAAAHu85xI=")</f>
        <v>#REF!</v>
      </c>
      <c r="T350" t="e">
        <f>AND(#REF!,"AAAAAHu85xM=")</f>
        <v>#REF!</v>
      </c>
      <c r="U350" t="e">
        <f>AND(#REF!,"AAAAAHu85xQ=")</f>
        <v>#REF!</v>
      </c>
      <c r="V350" t="e">
        <f>AND(#REF!,"AAAAAHu85xU=")</f>
        <v>#REF!</v>
      </c>
      <c r="W350" t="e">
        <f>AND(#REF!,"AAAAAHu85xY=")</f>
        <v>#REF!</v>
      </c>
      <c r="X350" t="e">
        <f>AND(#REF!,"AAAAAHu85xc=")</f>
        <v>#REF!</v>
      </c>
      <c r="Y350" t="e">
        <f>AND(#REF!,"AAAAAHu85xg=")</f>
        <v>#REF!</v>
      </c>
      <c r="Z350" t="e">
        <f>AND(#REF!,"AAAAAHu85xk=")</f>
        <v>#REF!</v>
      </c>
      <c r="AA350" t="e">
        <f>AND(#REF!,"AAAAAHu85xo=")</f>
        <v>#REF!</v>
      </c>
      <c r="AB350" t="e">
        <f>IF(#REF!,"AAAAAHu85xs=",0)</f>
        <v>#REF!</v>
      </c>
      <c r="AC350" t="e">
        <f>AND(#REF!,"AAAAAHu85xw=")</f>
        <v>#REF!</v>
      </c>
      <c r="AD350" t="e">
        <f>AND(#REF!,"AAAAAHu85x0=")</f>
        <v>#REF!</v>
      </c>
      <c r="AE350" t="e">
        <f>AND(#REF!,"AAAAAHu85x4=")</f>
        <v>#REF!</v>
      </c>
      <c r="AF350" t="e">
        <f>AND(#REF!,"AAAAAHu85x8=")</f>
        <v>#REF!</v>
      </c>
      <c r="AG350" t="e">
        <f>AND(#REF!,"AAAAAHu85yA=")</f>
        <v>#REF!</v>
      </c>
      <c r="AH350" t="e">
        <f>AND(#REF!,"AAAAAHu85yE=")</f>
        <v>#REF!</v>
      </c>
      <c r="AI350" t="e">
        <f>AND(#REF!,"AAAAAHu85yI=")</f>
        <v>#REF!</v>
      </c>
      <c r="AJ350" t="e">
        <f>AND(#REF!,"AAAAAHu85yM=")</f>
        <v>#REF!</v>
      </c>
      <c r="AK350" t="e">
        <f>AND(#REF!,"AAAAAHu85yQ=")</f>
        <v>#REF!</v>
      </c>
      <c r="AL350" t="e">
        <f>AND(#REF!,"AAAAAHu85yU=")</f>
        <v>#REF!</v>
      </c>
      <c r="AM350" t="e">
        <f>IF(#REF!,"AAAAAHu85yY=",0)</f>
        <v>#REF!</v>
      </c>
      <c r="AN350" t="e">
        <f>AND(#REF!,"AAAAAHu85yc=")</f>
        <v>#REF!</v>
      </c>
      <c r="AO350" t="e">
        <f>AND(#REF!,"AAAAAHu85yg=")</f>
        <v>#REF!</v>
      </c>
      <c r="AP350" t="e">
        <f>AND(#REF!,"AAAAAHu85yk=")</f>
        <v>#REF!</v>
      </c>
      <c r="AQ350" t="e">
        <f>AND(#REF!,"AAAAAHu85yo=")</f>
        <v>#REF!</v>
      </c>
      <c r="AR350" t="e">
        <f>AND(#REF!,"AAAAAHu85ys=")</f>
        <v>#REF!</v>
      </c>
      <c r="AS350" t="e">
        <f>AND(#REF!,"AAAAAHu85yw=")</f>
        <v>#REF!</v>
      </c>
      <c r="AT350" t="e">
        <f>AND(#REF!,"AAAAAHu85y0=")</f>
        <v>#REF!</v>
      </c>
      <c r="AU350" t="e">
        <f>AND(#REF!,"AAAAAHu85y4=")</f>
        <v>#REF!</v>
      </c>
      <c r="AV350" t="e">
        <f>AND(#REF!,"AAAAAHu85y8=")</f>
        <v>#REF!</v>
      </c>
      <c r="AW350" t="e">
        <f>AND(#REF!,"AAAAAHu85zA=")</f>
        <v>#REF!</v>
      </c>
      <c r="AX350" t="e">
        <f>IF(#REF!,"AAAAAHu85zE=",0)</f>
        <v>#REF!</v>
      </c>
      <c r="AY350" t="e">
        <f>AND(#REF!,"AAAAAHu85zI=")</f>
        <v>#REF!</v>
      </c>
      <c r="AZ350" t="e">
        <f>AND(#REF!,"AAAAAHu85zM=")</f>
        <v>#REF!</v>
      </c>
      <c r="BA350" t="e">
        <f>AND(#REF!,"AAAAAHu85zQ=")</f>
        <v>#REF!</v>
      </c>
      <c r="BB350" t="e">
        <f>AND(#REF!,"AAAAAHu85zU=")</f>
        <v>#REF!</v>
      </c>
      <c r="BC350" t="e">
        <f>AND(#REF!,"AAAAAHu85zY=")</f>
        <v>#REF!</v>
      </c>
      <c r="BD350" t="e">
        <f>AND(#REF!,"AAAAAHu85zc=")</f>
        <v>#REF!</v>
      </c>
      <c r="BE350" t="e">
        <f>AND(#REF!,"AAAAAHu85zg=")</f>
        <v>#REF!</v>
      </c>
      <c r="BF350" t="e">
        <f>AND(#REF!,"AAAAAHu85zk=")</f>
        <v>#REF!</v>
      </c>
      <c r="BG350" t="e">
        <f>AND(#REF!,"AAAAAHu85zo=")</f>
        <v>#REF!</v>
      </c>
      <c r="BH350" t="e">
        <f>AND(#REF!,"AAAAAHu85zs=")</f>
        <v>#REF!</v>
      </c>
      <c r="BI350" t="e">
        <f>IF(#REF!,"AAAAAHu85zw=",0)</f>
        <v>#REF!</v>
      </c>
      <c r="BJ350" t="e">
        <f>AND(#REF!,"AAAAAHu85z0=")</f>
        <v>#REF!</v>
      </c>
      <c r="BK350" t="e">
        <f>AND(#REF!,"AAAAAHu85z4=")</f>
        <v>#REF!</v>
      </c>
      <c r="BL350" t="e">
        <f>AND(#REF!,"AAAAAHu85z8=")</f>
        <v>#REF!</v>
      </c>
      <c r="BM350" t="e">
        <f>AND(#REF!,"AAAAAHu850A=")</f>
        <v>#REF!</v>
      </c>
      <c r="BN350" t="e">
        <f>AND(#REF!,"AAAAAHu850E=")</f>
        <v>#REF!</v>
      </c>
      <c r="BO350" t="e">
        <f>AND(#REF!,"AAAAAHu850I=")</f>
        <v>#REF!</v>
      </c>
      <c r="BP350" t="e">
        <f>AND(#REF!,"AAAAAHu850M=")</f>
        <v>#REF!</v>
      </c>
      <c r="BQ350" t="e">
        <f>AND(#REF!,"AAAAAHu850Q=")</f>
        <v>#REF!</v>
      </c>
      <c r="BR350" t="e">
        <f>AND(#REF!,"AAAAAHu850U=")</f>
        <v>#REF!</v>
      </c>
      <c r="BS350" t="e">
        <f>AND(#REF!,"AAAAAHu850Y=")</f>
        <v>#REF!</v>
      </c>
      <c r="BT350" t="e">
        <f>IF(#REF!,"AAAAAHu850c=",0)</f>
        <v>#REF!</v>
      </c>
      <c r="BU350" t="e">
        <f>AND(#REF!,"AAAAAHu850g=")</f>
        <v>#REF!</v>
      </c>
      <c r="BV350" t="e">
        <f>AND(#REF!,"AAAAAHu850k=")</f>
        <v>#REF!</v>
      </c>
      <c r="BW350" t="e">
        <f>AND(#REF!,"AAAAAHu850o=")</f>
        <v>#REF!</v>
      </c>
      <c r="BX350" t="e">
        <f>AND(#REF!,"AAAAAHu850s=")</f>
        <v>#REF!</v>
      </c>
      <c r="BY350" t="e">
        <f>AND(#REF!,"AAAAAHu850w=")</f>
        <v>#REF!</v>
      </c>
      <c r="BZ350" t="e">
        <f>AND(#REF!,"AAAAAHu8500=")</f>
        <v>#REF!</v>
      </c>
      <c r="CA350" t="e">
        <f>AND(#REF!,"AAAAAHu8504=")</f>
        <v>#REF!</v>
      </c>
      <c r="CB350" t="e">
        <f>AND(#REF!,"AAAAAHu8508=")</f>
        <v>#REF!</v>
      </c>
      <c r="CC350" t="e">
        <f>AND(#REF!,"AAAAAHu851A=")</f>
        <v>#REF!</v>
      </c>
      <c r="CD350" t="e">
        <f>AND(#REF!,"AAAAAHu851E=")</f>
        <v>#REF!</v>
      </c>
      <c r="CE350" t="e">
        <f>IF(#REF!,"AAAAAHu851I=",0)</f>
        <v>#REF!</v>
      </c>
      <c r="CF350" t="e">
        <f>AND(#REF!,"AAAAAHu851M=")</f>
        <v>#REF!</v>
      </c>
      <c r="CG350" t="e">
        <f>AND(#REF!,"AAAAAHu851Q=")</f>
        <v>#REF!</v>
      </c>
      <c r="CH350" t="e">
        <f>AND(#REF!,"AAAAAHu851U=")</f>
        <v>#REF!</v>
      </c>
      <c r="CI350" t="e">
        <f>AND(#REF!,"AAAAAHu851Y=")</f>
        <v>#REF!</v>
      </c>
      <c r="CJ350" t="e">
        <f>AND(#REF!,"AAAAAHu851c=")</f>
        <v>#REF!</v>
      </c>
      <c r="CK350" t="e">
        <f>AND(#REF!,"AAAAAHu851g=")</f>
        <v>#REF!</v>
      </c>
      <c r="CL350" t="e">
        <f>AND(#REF!,"AAAAAHu851k=")</f>
        <v>#REF!</v>
      </c>
      <c r="CM350" t="e">
        <f>AND(#REF!,"AAAAAHu851o=")</f>
        <v>#REF!</v>
      </c>
      <c r="CN350" t="e">
        <f>AND(#REF!,"AAAAAHu851s=")</f>
        <v>#REF!</v>
      </c>
      <c r="CO350" t="e">
        <f>AND(#REF!,"AAAAAHu851w=")</f>
        <v>#REF!</v>
      </c>
      <c r="CP350" t="e">
        <f>IF(#REF!,"AAAAAHu8510=",0)</f>
        <v>#REF!</v>
      </c>
      <c r="CQ350" t="e">
        <f>AND(#REF!,"AAAAAHu8514=")</f>
        <v>#REF!</v>
      </c>
      <c r="CR350" t="e">
        <f>AND(#REF!,"AAAAAHu8518=")</f>
        <v>#REF!</v>
      </c>
      <c r="CS350" t="e">
        <f>AND(#REF!,"AAAAAHu852A=")</f>
        <v>#REF!</v>
      </c>
      <c r="CT350" t="e">
        <f>AND(#REF!,"AAAAAHu852E=")</f>
        <v>#REF!</v>
      </c>
      <c r="CU350" t="e">
        <f>AND(#REF!,"AAAAAHu852I=")</f>
        <v>#REF!</v>
      </c>
      <c r="CV350" t="e">
        <f>AND(#REF!,"AAAAAHu852M=")</f>
        <v>#REF!</v>
      </c>
      <c r="CW350" t="e">
        <f>AND(#REF!,"AAAAAHu852Q=")</f>
        <v>#REF!</v>
      </c>
      <c r="CX350" t="e">
        <f>AND(#REF!,"AAAAAHu852U=")</f>
        <v>#REF!</v>
      </c>
      <c r="CY350" t="e">
        <f>AND(#REF!,"AAAAAHu852Y=")</f>
        <v>#REF!</v>
      </c>
      <c r="CZ350" t="e">
        <f>AND(#REF!,"AAAAAHu852c=")</f>
        <v>#REF!</v>
      </c>
      <c r="DA350" t="e">
        <f>IF(#REF!,"AAAAAHu852g=",0)</f>
        <v>#REF!</v>
      </c>
      <c r="DB350" t="e">
        <f>AND(#REF!,"AAAAAHu852k=")</f>
        <v>#REF!</v>
      </c>
      <c r="DC350" t="e">
        <f>AND(#REF!,"AAAAAHu852o=")</f>
        <v>#REF!</v>
      </c>
      <c r="DD350" t="e">
        <f>AND(#REF!,"AAAAAHu852s=")</f>
        <v>#REF!</v>
      </c>
      <c r="DE350" t="e">
        <f>AND(#REF!,"AAAAAHu852w=")</f>
        <v>#REF!</v>
      </c>
      <c r="DF350" t="e">
        <f>AND(#REF!,"AAAAAHu8520=")</f>
        <v>#REF!</v>
      </c>
      <c r="DG350" t="e">
        <f>AND(#REF!,"AAAAAHu8524=")</f>
        <v>#REF!</v>
      </c>
      <c r="DH350" t="e">
        <f>AND(#REF!,"AAAAAHu8528=")</f>
        <v>#REF!</v>
      </c>
      <c r="DI350" t="e">
        <f>AND(#REF!,"AAAAAHu853A=")</f>
        <v>#REF!</v>
      </c>
      <c r="DJ350" t="e">
        <f>AND(#REF!,"AAAAAHu853E=")</f>
        <v>#REF!</v>
      </c>
      <c r="DK350" t="e">
        <f>AND(#REF!,"AAAAAHu853I=")</f>
        <v>#REF!</v>
      </c>
      <c r="DL350" t="e">
        <f>IF(#REF!,"AAAAAHu853M=",0)</f>
        <v>#REF!</v>
      </c>
      <c r="DM350" t="e">
        <f>AND(#REF!,"AAAAAHu853Q=")</f>
        <v>#REF!</v>
      </c>
      <c r="DN350" t="e">
        <f>AND(#REF!,"AAAAAHu853U=")</f>
        <v>#REF!</v>
      </c>
      <c r="DO350" t="e">
        <f>AND(#REF!,"AAAAAHu853Y=")</f>
        <v>#REF!</v>
      </c>
      <c r="DP350" t="e">
        <f>AND(#REF!,"AAAAAHu853c=")</f>
        <v>#REF!</v>
      </c>
      <c r="DQ350" t="e">
        <f>AND(#REF!,"AAAAAHu853g=")</f>
        <v>#REF!</v>
      </c>
      <c r="DR350" t="e">
        <f>AND(#REF!,"AAAAAHu853k=")</f>
        <v>#REF!</v>
      </c>
      <c r="DS350" t="e">
        <f>AND(#REF!,"AAAAAHu853o=")</f>
        <v>#REF!</v>
      </c>
      <c r="DT350" t="e">
        <f>AND(#REF!,"AAAAAHu853s=")</f>
        <v>#REF!</v>
      </c>
      <c r="DU350" t="e">
        <f>AND(#REF!,"AAAAAHu853w=")</f>
        <v>#REF!</v>
      </c>
      <c r="DV350" t="e">
        <f>AND(#REF!,"AAAAAHu8530=")</f>
        <v>#REF!</v>
      </c>
      <c r="DW350" t="e">
        <f>IF(#REF!,"AAAAAHu8534=",0)</f>
        <v>#REF!</v>
      </c>
      <c r="DX350" t="e">
        <f>AND(#REF!,"AAAAAHu8538=")</f>
        <v>#REF!</v>
      </c>
      <c r="DY350" t="e">
        <f>AND(#REF!,"AAAAAHu854A=")</f>
        <v>#REF!</v>
      </c>
      <c r="DZ350" t="e">
        <f>AND(#REF!,"AAAAAHu854E=")</f>
        <v>#REF!</v>
      </c>
      <c r="EA350" t="e">
        <f>AND(#REF!,"AAAAAHu854I=")</f>
        <v>#REF!</v>
      </c>
      <c r="EB350" t="e">
        <f>AND(#REF!,"AAAAAHu854M=")</f>
        <v>#REF!</v>
      </c>
      <c r="EC350" t="e">
        <f>AND(#REF!,"AAAAAHu854Q=")</f>
        <v>#REF!</v>
      </c>
      <c r="ED350" t="e">
        <f>AND(#REF!,"AAAAAHu854U=")</f>
        <v>#REF!</v>
      </c>
      <c r="EE350" t="e">
        <f>AND(#REF!,"AAAAAHu854Y=")</f>
        <v>#REF!</v>
      </c>
      <c r="EF350" t="e">
        <f>AND(#REF!,"AAAAAHu854c=")</f>
        <v>#REF!</v>
      </c>
      <c r="EG350" t="e">
        <f>AND(#REF!,"AAAAAHu854g=")</f>
        <v>#REF!</v>
      </c>
      <c r="EH350" t="e">
        <f>IF(#REF!,"AAAAAHu854k=",0)</f>
        <v>#REF!</v>
      </c>
      <c r="EI350" t="e">
        <f>AND(#REF!,"AAAAAHu854o=")</f>
        <v>#REF!</v>
      </c>
      <c r="EJ350" t="e">
        <f>AND(#REF!,"AAAAAHu854s=")</f>
        <v>#REF!</v>
      </c>
      <c r="EK350" t="e">
        <f>AND(#REF!,"AAAAAHu854w=")</f>
        <v>#REF!</v>
      </c>
      <c r="EL350" t="e">
        <f>AND(#REF!,"AAAAAHu8540=")</f>
        <v>#REF!</v>
      </c>
      <c r="EM350" t="e">
        <f>AND(#REF!,"AAAAAHu8544=")</f>
        <v>#REF!</v>
      </c>
      <c r="EN350" t="e">
        <f>AND(#REF!,"AAAAAHu8548=")</f>
        <v>#REF!</v>
      </c>
      <c r="EO350" t="e">
        <f>AND(#REF!,"AAAAAHu855A=")</f>
        <v>#REF!</v>
      </c>
      <c r="EP350" t="e">
        <f>AND(#REF!,"AAAAAHu855E=")</f>
        <v>#REF!</v>
      </c>
      <c r="EQ350" t="e">
        <f>AND(#REF!,"AAAAAHu855I=")</f>
        <v>#REF!</v>
      </c>
      <c r="ER350" t="e">
        <f>AND(#REF!,"AAAAAHu855M=")</f>
        <v>#REF!</v>
      </c>
      <c r="ES350" t="e">
        <f>IF(#REF!,"AAAAAHu855Q=",0)</f>
        <v>#REF!</v>
      </c>
      <c r="ET350" t="e">
        <f>AND(#REF!,"AAAAAHu855U=")</f>
        <v>#REF!</v>
      </c>
      <c r="EU350" t="e">
        <f>AND(#REF!,"AAAAAHu855Y=")</f>
        <v>#REF!</v>
      </c>
      <c r="EV350" t="e">
        <f>AND(#REF!,"AAAAAHu855c=")</f>
        <v>#REF!</v>
      </c>
      <c r="EW350" t="e">
        <f>AND(#REF!,"AAAAAHu855g=")</f>
        <v>#REF!</v>
      </c>
      <c r="EX350" t="e">
        <f>AND(#REF!,"AAAAAHu855k=")</f>
        <v>#REF!</v>
      </c>
      <c r="EY350" t="e">
        <f>AND(#REF!,"AAAAAHu855o=")</f>
        <v>#REF!</v>
      </c>
      <c r="EZ350" t="e">
        <f>AND(#REF!,"AAAAAHu855s=")</f>
        <v>#REF!</v>
      </c>
      <c r="FA350" t="e">
        <f>AND(#REF!,"AAAAAHu855w=")</f>
        <v>#REF!</v>
      </c>
      <c r="FB350" t="e">
        <f>AND(#REF!,"AAAAAHu8550=")</f>
        <v>#REF!</v>
      </c>
      <c r="FC350" t="e">
        <f>AND(#REF!,"AAAAAHu8554=")</f>
        <v>#REF!</v>
      </c>
      <c r="FD350" t="e">
        <f>IF(#REF!,"AAAAAHu8558=",0)</f>
        <v>#REF!</v>
      </c>
      <c r="FE350" t="e">
        <f>AND(#REF!,"AAAAAHu856A=")</f>
        <v>#REF!</v>
      </c>
      <c r="FF350" t="e">
        <f>AND(#REF!,"AAAAAHu856E=")</f>
        <v>#REF!</v>
      </c>
      <c r="FG350" t="e">
        <f>AND(#REF!,"AAAAAHu856I=")</f>
        <v>#REF!</v>
      </c>
      <c r="FH350" t="e">
        <f>AND(#REF!,"AAAAAHu856M=")</f>
        <v>#REF!</v>
      </c>
      <c r="FI350" t="e">
        <f>AND(#REF!,"AAAAAHu856Q=")</f>
        <v>#REF!</v>
      </c>
      <c r="FJ350" t="e">
        <f>AND(#REF!,"AAAAAHu856U=")</f>
        <v>#REF!</v>
      </c>
      <c r="FK350" t="e">
        <f>AND(#REF!,"AAAAAHu856Y=")</f>
        <v>#REF!</v>
      </c>
      <c r="FL350" t="e">
        <f>AND(#REF!,"AAAAAHu856c=")</f>
        <v>#REF!</v>
      </c>
      <c r="FM350" t="e">
        <f>AND(#REF!,"AAAAAHu856g=")</f>
        <v>#REF!</v>
      </c>
      <c r="FN350" t="e">
        <f>AND(#REF!,"AAAAAHu856k=")</f>
        <v>#REF!</v>
      </c>
      <c r="FO350" t="e">
        <f>IF(#REF!,"AAAAAHu856o=",0)</f>
        <v>#REF!</v>
      </c>
      <c r="FP350" t="e">
        <f>AND(#REF!,"AAAAAHu856s=")</f>
        <v>#REF!</v>
      </c>
      <c r="FQ350" t="e">
        <f>AND(#REF!,"AAAAAHu856w=")</f>
        <v>#REF!</v>
      </c>
      <c r="FR350" t="e">
        <f>AND(#REF!,"AAAAAHu8560=")</f>
        <v>#REF!</v>
      </c>
      <c r="FS350" t="e">
        <f>AND(#REF!,"AAAAAHu8564=")</f>
        <v>#REF!</v>
      </c>
      <c r="FT350" t="e">
        <f>AND(#REF!,"AAAAAHu8568=")</f>
        <v>#REF!</v>
      </c>
      <c r="FU350" t="e">
        <f>AND(#REF!,"AAAAAHu857A=")</f>
        <v>#REF!</v>
      </c>
      <c r="FV350" t="e">
        <f>AND(#REF!,"AAAAAHu857E=")</f>
        <v>#REF!</v>
      </c>
      <c r="FW350" t="e">
        <f>AND(#REF!,"AAAAAHu857I=")</f>
        <v>#REF!</v>
      </c>
      <c r="FX350" t="e">
        <f>AND(#REF!,"AAAAAHu857M=")</f>
        <v>#REF!</v>
      </c>
      <c r="FY350" t="e">
        <f>AND(#REF!,"AAAAAHu857Q=")</f>
        <v>#REF!</v>
      </c>
      <c r="FZ350" t="e">
        <f>IF(#REF!,"AAAAAHu857U=",0)</f>
        <v>#REF!</v>
      </c>
      <c r="GA350" t="e">
        <f>AND(#REF!,"AAAAAHu857Y=")</f>
        <v>#REF!</v>
      </c>
      <c r="GB350" t="e">
        <f>AND(#REF!,"AAAAAHu857c=")</f>
        <v>#REF!</v>
      </c>
      <c r="GC350" t="e">
        <f>AND(#REF!,"AAAAAHu857g=")</f>
        <v>#REF!</v>
      </c>
      <c r="GD350" t="e">
        <f>AND(#REF!,"AAAAAHu857k=")</f>
        <v>#REF!</v>
      </c>
      <c r="GE350" t="e">
        <f>AND(#REF!,"AAAAAHu857o=")</f>
        <v>#REF!</v>
      </c>
      <c r="GF350" t="e">
        <f>AND(#REF!,"AAAAAHu857s=")</f>
        <v>#REF!</v>
      </c>
      <c r="GG350" t="e">
        <f>AND(#REF!,"AAAAAHu857w=")</f>
        <v>#REF!</v>
      </c>
      <c r="GH350" t="e">
        <f>AND(#REF!,"AAAAAHu8570=")</f>
        <v>#REF!</v>
      </c>
      <c r="GI350" t="e">
        <f>AND(#REF!,"AAAAAHu8574=")</f>
        <v>#REF!</v>
      </c>
      <c r="GJ350" t="e">
        <f>AND(#REF!,"AAAAAHu8578=")</f>
        <v>#REF!</v>
      </c>
      <c r="GK350" t="e">
        <f>IF(#REF!,"AAAAAHu858A=",0)</f>
        <v>#REF!</v>
      </c>
      <c r="GL350" t="e">
        <f>AND(#REF!,"AAAAAHu858E=")</f>
        <v>#REF!</v>
      </c>
      <c r="GM350" t="e">
        <f>AND(#REF!,"AAAAAHu858I=")</f>
        <v>#REF!</v>
      </c>
      <c r="GN350" t="e">
        <f>AND(#REF!,"AAAAAHu858M=")</f>
        <v>#REF!</v>
      </c>
      <c r="GO350" t="e">
        <f>AND(#REF!,"AAAAAHu858Q=")</f>
        <v>#REF!</v>
      </c>
      <c r="GP350" t="e">
        <f>AND(#REF!,"AAAAAHu858U=")</f>
        <v>#REF!</v>
      </c>
      <c r="GQ350" t="e">
        <f>AND(#REF!,"AAAAAHu858Y=")</f>
        <v>#REF!</v>
      </c>
      <c r="GR350" t="e">
        <f>AND(#REF!,"AAAAAHu858c=")</f>
        <v>#REF!</v>
      </c>
      <c r="GS350" t="e">
        <f>AND(#REF!,"AAAAAHu858g=")</f>
        <v>#REF!</v>
      </c>
      <c r="GT350" t="e">
        <f>AND(#REF!,"AAAAAHu858k=")</f>
        <v>#REF!</v>
      </c>
      <c r="GU350" t="e">
        <f>AND(#REF!,"AAAAAHu858o=")</f>
        <v>#REF!</v>
      </c>
      <c r="GV350" t="e">
        <f>IF(#REF!,"AAAAAHu858s=",0)</f>
        <v>#REF!</v>
      </c>
      <c r="GW350" t="e">
        <f>AND(#REF!,"AAAAAHu858w=")</f>
        <v>#REF!</v>
      </c>
      <c r="GX350" t="e">
        <f>AND(#REF!,"AAAAAHu8580=")</f>
        <v>#REF!</v>
      </c>
      <c r="GY350" t="e">
        <f>AND(#REF!,"AAAAAHu8584=")</f>
        <v>#REF!</v>
      </c>
      <c r="GZ350" t="e">
        <f>AND(#REF!,"AAAAAHu8588=")</f>
        <v>#REF!</v>
      </c>
      <c r="HA350" t="e">
        <f>AND(#REF!,"AAAAAHu859A=")</f>
        <v>#REF!</v>
      </c>
      <c r="HB350" t="e">
        <f>AND(#REF!,"AAAAAHu859E=")</f>
        <v>#REF!</v>
      </c>
      <c r="HC350" t="e">
        <f>AND(#REF!,"AAAAAHu859I=")</f>
        <v>#REF!</v>
      </c>
      <c r="HD350" t="e">
        <f>AND(#REF!,"AAAAAHu859M=")</f>
        <v>#REF!</v>
      </c>
      <c r="HE350" t="e">
        <f>AND(#REF!,"AAAAAHu859Q=")</f>
        <v>#REF!</v>
      </c>
      <c r="HF350" t="e">
        <f>AND(#REF!,"AAAAAHu859U=")</f>
        <v>#REF!</v>
      </c>
      <c r="HG350" t="e">
        <f>IF(#REF!,"AAAAAHu859Y=",0)</f>
        <v>#REF!</v>
      </c>
      <c r="HH350" t="e">
        <f>AND(#REF!,"AAAAAHu859c=")</f>
        <v>#REF!</v>
      </c>
      <c r="HI350" t="e">
        <f>AND(#REF!,"AAAAAHu859g=")</f>
        <v>#REF!</v>
      </c>
      <c r="HJ350" t="e">
        <f>AND(#REF!,"AAAAAHu859k=")</f>
        <v>#REF!</v>
      </c>
      <c r="HK350" t="e">
        <f>AND(#REF!,"AAAAAHu859o=")</f>
        <v>#REF!</v>
      </c>
      <c r="HL350" t="e">
        <f>AND(#REF!,"AAAAAHu859s=")</f>
        <v>#REF!</v>
      </c>
      <c r="HM350" t="e">
        <f>AND(#REF!,"AAAAAHu859w=")</f>
        <v>#REF!</v>
      </c>
      <c r="HN350" t="e">
        <f>AND(#REF!,"AAAAAHu8590=")</f>
        <v>#REF!</v>
      </c>
      <c r="HO350" t="e">
        <f>AND(#REF!,"AAAAAHu8594=")</f>
        <v>#REF!</v>
      </c>
      <c r="HP350" t="e">
        <f>AND(#REF!,"AAAAAHu8598=")</f>
        <v>#REF!</v>
      </c>
      <c r="HQ350" t="e">
        <f>AND(#REF!,"AAAAAHu85+A=")</f>
        <v>#REF!</v>
      </c>
      <c r="HR350" t="e">
        <f>IF(#REF!,"AAAAAHu85+E=",0)</f>
        <v>#REF!</v>
      </c>
      <c r="HS350" t="e">
        <f>AND(#REF!,"AAAAAHu85+I=")</f>
        <v>#REF!</v>
      </c>
      <c r="HT350" t="e">
        <f>AND(#REF!,"AAAAAHu85+M=")</f>
        <v>#REF!</v>
      </c>
      <c r="HU350" t="e">
        <f>AND(#REF!,"AAAAAHu85+Q=")</f>
        <v>#REF!</v>
      </c>
      <c r="HV350" t="e">
        <f>AND(#REF!,"AAAAAHu85+U=")</f>
        <v>#REF!</v>
      </c>
      <c r="HW350" t="e">
        <f>AND(#REF!,"AAAAAHu85+Y=")</f>
        <v>#REF!</v>
      </c>
      <c r="HX350" t="e">
        <f>AND(#REF!,"AAAAAHu85+c=")</f>
        <v>#REF!</v>
      </c>
      <c r="HY350" t="e">
        <f>AND(#REF!,"AAAAAHu85+g=")</f>
        <v>#REF!</v>
      </c>
      <c r="HZ350" t="e">
        <f>AND(#REF!,"AAAAAHu85+k=")</f>
        <v>#REF!</v>
      </c>
      <c r="IA350" t="e">
        <f>AND(#REF!,"AAAAAHu85+o=")</f>
        <v>#REF!</v>
      </c>
      <c r="IB350" t="e">
        <f>AND(#REF!,"AAAAAHu85+s=")</f>
        <v>#REF!</v>
      </c>
      <c r="IC350" t="e">
        <f>IF(#REF!,"AAAAAHu85+w=",0)</f>
        <v>#REF!</v>
      </c>
      <c r="ID350" t="e">
        <f>AND(#REF!,"AAAAAHu85+0=")</f>
        <v>#REF!</v>
      </c>
      <c r="IE350" t="e">
        <f>AND(#REF!,"AAAAAHu85+4=")</f>
        <v>#REF!</v>
      </c>
      <c r="IF350" t="e">
        <f>AND(#REF!,"AAAAAHu85+8=")</f>
        <v>#REF!</v>
      </c>
      <c r="IG350" t="e">
        <f>AND(#REF!,"AAAAAHu85/A=")</f>
        <v>#REF!</v>
      </c>
      <c r="IH350" t="e">
        <f>AND(#REF!,"AAAAAHu85/E=")</f>
        <v>#REF!</v>
      </c>
      <c r="II350" t="e">
        <f>AND(#REF!,"AAAAAHu85/I=")</f>
        <v>#REF!</v>
      </c>
      <c r="IJ350" t="e">
        <f>AND(#REF!,"AAAAAHu85/M=")</f>
        <v>#REF!</v>
      </c>
      <c r="IK350" t="e">
        <f>AND(#REF!,"AAAAAHu85/Q=")</f>
        <v>#REF!</v>
      </c>
      <c r="IL350" t="e">
        <f>AND(#REF!,"AAAAAHu85/U=")</f>
        <v>#REF!</v>
      </c>
      <c r="IM350" t="e">
        <f>AND(#REF!,"AAAAAHu85/Y=")</f>
        <v>#REF!</v>
      </c>
      <c r="IN350" t="e">
        <f>IF(#REF!,"AAAAAHu85/c=",0)</f>
        <v>#REF!</v>
      </c>
      <c r="IO350" t="e">
        <f>AND(#REF!,"AAAAAHu85/g=")</f>
        <v>#REF!</v>
      </c>
      <c r="IP350" t="e">
        <f>AND(#REF!,"AAAAAHu85/k=")</f>
        <v>#REF!</v>
      </c>
      <c r="IQ350" t="e">
        <f>AND(#REF!,"AAAAAHu85/o=")</f>
        <v>#REF!</v>
      </c>
      <c r="IR350" t="e">
        <f>AND(#REF!,"AAAAAHu85/s=")</f>
        <v>#REF!</v>
      </c>
      <c r="IS350" t="e">
        <f>AND(#REF!,"AAAAAHu85/w=")</f>
        <v>#REF!</v>
      </c>
      <c r="IT350" t="e">
        <f>AND(#REF!,"AAAAAHu85/0=")</f>
        <v>#REF!</v>
      </c>
      <c r="IU350" t="e">
        <f>AND(#REF!,"AAAAAHu85/4=")</f>
        <v>#REF!</v>
      </c>
      <c r="IV350" t="e">
        <f>AND(#REF!,"AAAAAHu85/8=")</f>
        <v>#REF!</v>
      </c>
    </row>
    <row r="351" spans="1:256" x14ac:dyDescent="0.25">
      <c r="A351" t="e">
        <f>AND(#REF!,"AAAAAH/3/wA=")</f>
        <v>#REF!</v>
      </c>
      <c r="B351" t="e">
        <f>AND(#REF!,"AAAAAH/3/wE=")</f>
        <v>#REF!</v>
      </c>
      <c r="C351" t="e">
        <f>IF(#REF!,"AAAAAH/3/wI=",0)</f>
        <v>#REF!</v>
      </c>
      <c r="D351" t="e">
        <f>AND(#REF!,"AAAAAH/3/wM=")</f>
        <v>#REF!</v>
      </c>
      <c r="E351" t="e">
        <f>AND(#REF!,"AAAAAH/3/wQ=")</f>
        <v>#REF!</v>
      </c>
      <c r="F351" t="e">
        <f>AND(#REF!,"AAAAAH/3/wU=")</f>
        <v>#REF!</v>
      </c>
      <c r="G351" t="e">
        <f>AND(#REF!,"AAAAAH/3/wY=")</f>
        <v>#REF!</v>
      </c>
      <c r="H351" t="e">
        <f>AND(#REF!,"AAAAAH/3/wc=")</f>
        <v>#REF!</v>
      </c>
      <c r="I351" t="e">
        <f>AND(#REF!,"AAAAAH/3/wg=")</f>
        <v>#REF!</v>
      </c>
      <c r="J351" t="e">
        <f>AND(#REF!,"AAAAAH/3/wk=")</f>
        <v>#REF!</v>
      </c>
      <c r="K351" t="e">
        <f>AND(#REF!,"AAAAAH/3/wo=")</f>
        <v>#REF!</v>
      </c>
      <c r="L351" t="e">
        <f>AND(#REF!,"AAAAAH/3/ws=")</f>
        <v>#REF!</v>
      </c>
      <c r="M351" t="e">
        <f>AND(#REF!,"AAAAAH/3/ww=")</f>
        <v>#REF!</v>
      </c>
      <c r="N351" t="e">
        <f>IF(#REF!,"AAAAAH/3/w0=",0)</f>
        <v>#REF!</v>
      </c>
      <c r="O351" t="e">
        <f>AND(#REF!,"AAAAAH/3/w4=")</f>
        <v>#REF!</v>
      </c>
      <c r="P351" t="e">
        <f>AND(#REF!,"AAAAAH/3/w8=")</f>
        <v>#REF!</v>
      </c>
      <c r="Q351" t="e">
        <f>AND(#REF!,"AAAAAH/3/xA=")</f>
        <v>#REF!</v>
      </c>
      <c r="R351" t="e">
        <f>AND(#REF!,"AAAAAH/3/xE=")</f>
        <v>#REF!</v>
      </c>
      <c r="S351" t="e">
        <f>AND(#REF!,"AAAAAH/3/xI=")</f>
        <v>#REF!</v>
      </c>
      <c r="T351" t="e">
        <f>AND(#REF!,"AAAAAH/3/xM=")</f>
        <v>#REF!</v>
      </c>
      <c r="U351" t="e">
        <f>AND(#REF!,"AAAAAH/3/xQ=")</f>
        <v>#REF!</v>
      </c>
      <c r="V351" t="e">
        <f>AND(#REF!,"AAAAAH/3/xU=")</f>
        <v>#REF!</v>
      </c>
      <c r="W351" t="e">
        <f>AND(#REF!,"AAAAAH/3/xY=")</f>
        <v>#REF!</v>
      </c>
      <c r="X351" t="e">
        <f>AND(#REF!,"AAAAAH/3/xc=")</f>
        <v>#REF!</v>
      </c>
      <c r="Y351" t="e">
        <f>IF(#REF!,"AAAAAH/3/xg=",0)</f>
        <v>#REF!</v>
      </c>
      <c r="Z351" t="e">
        <f>AND(#REF!,"AAAAAH/3/xk=")</f>
        <v>#REF!</v>
      </c>
      <c r="AA351" t="e">
        <f>AND(#REF!,"AAAAAH/3/xo=")</f>
        <v>#REF!</v>
      </c>
      <c r="AB351" t="e">
        <f>AND(#REF!,"AAAAAH/3/xs=")</f>
        <v>#REF!</v>
      </c>
      <c r="AC351" t="e">
        <f>AND(#REF!,"AAAAAH/3/xw=")</f>
        <v>#REF!</v>
      </c>
      <c r="AD351" t="e">
        <f>AND(#REF!,"AAAAAH/3/x0=")</f>
        <v>#REF!</v>
      </c>
      <c r="AE351" t="e">
        <f>AND(#REF!,"AAAAAH/3/x4=")</f>
        <v>#REF!</v>
      </c>
      <c r="AF351" t="e">
        <f>AND(#REF!,"AAAAAH/3/x8=")</f>
        <v>#REF!</v>
      </c>
      <c r="AG351" t="e">
        <f>AND(#REF!,"AAAAAH/3/yA=")</f>
        <v>#REF!</v>
      </c>
      <c r="AH351" t="e">
        <f>AND(#REF!,"AAAAAH/3/yE=")</f>
        <v>#REF!</v>
      </c>
      <c r="AI351" t="e">
        <f>AND(#REF!,"AAAAAH/3/yI=")</f>
        <v>#REF!</v>
      </c>
      <c r="AJ351" t="e">
        <f>IF(#REF!,"AAAAAH/3/yM=",0)</f>
        <v>#REF!</v>
      </c>
      <c r="AK351" t="e">
        <f>AND(#REF!,"AAAAAH/3/yQ=")</f>
        <v>#REF!</v>
      </c>
      <c r="AL351" t="e">
        <f>AND(#REF!,"AAAAAH/3/yU=")</f>
        <v>#REF!</v>
      </c>
      <c r="AM351" t="e">
        <f>AND(#REF!,"AAAAAH/3/yY=")</f>
        <v>#REF!</v>
      </c>
      <c r="AN351" t="e">
        <f>AND(#REF!,"AAAAAH/3/yc=")</f>
        <v>#REF!</v>
      </c>
      <c r="AO351" t="e">
        <f>AND(#REF!,"AAAAAH/3/yg=")</f>
        <v>#REF!</v>
      </c>
      <c r="AP351" t="e">
        <f>AND(#REF!,"AAAAAH/3/yk=")</f>
        <v>#REF!</v>
      </c>
      <c r="AQ351" t="e">
        <f>AND(#REF!,"AAAAAH/3/yo=")</f>
        <v>#REF!</v>
      </c>
      <c r="AR351" t="e">
        <f>AND(#REF!,"AAAAAH/3/ys=")</f>
        <v>#REF!</v>
      </c>
      <c r="AS351" t="e">
        <f>AND(#REF!,"AAAAAH/3/yw=")</f>
        <v>#REF!</v>
      </c>
      <c r="AT351" t="e">
        <f>AND(#REF!,"AAAAAH/3/y0=")</f>
        <v>#REF!</v>
      </c>
      <c r="AU351" t="e">
        <f>IF(#REF!,"AAAAAH/3/y4=",0)</f>
        <v>#REF!</v>
      </c>
      <c r="AV351" t="e">
        <f>AND(#REF!,"AAAAAH/3/y8=")</f>
        <v>#REF!</v>
      </c>
      <c r="AW351" t="e">
        <f>AND(#REF!,"AAAAAH/3/zA=")</f>
        <v>#REF!</v>
      </c>
      <c r="AX351" t="e">
        <f>AND(#REF!,"AAAAAH/3/zE=")</f>
        <v>#REF!</v>
      </c>
      <c r="AY351" t="e">
        <f>AND(#REF!,"AAAAAH/3/zI=")</f>
        <v>#REF!</v>
      </c>
      <c r="AZ351" t="e">
        <f>AND(#REF!,"AAAAAH/3/zM=")</f>
        <v>#REF!</v>
      </c>
      <c r="BA351" t="e">
        <f>AND(#REF!,"AAAAAH/3/zQ=")</f>
        <v>#REF!</v>
      </c>
      <c r="BB351" t="e">
        <f>AND(#REF!,"AAAAAH/3/zU=")</f>
        <v>#REF!</v>
      </c>
      <c r="BC351" t="e">
        <f>AND(#REF!,"AAAAAH/3/zY=")</f>
        <v>#REF!</v>
      </c>
      <c r="BD351" t="e">
        <f>AND(#REF!,"AAAAAH/3/zc=")</f>
        <v>#REF!</v>
      </c>
      <c r="BE351" t="e">
        <f>AND(#REF!,"AAAAAH/3/zg=")</f>
        <v>#REF!</v>
      </c>
      <c r="BF351" t="e">
        <f>IF(#REF!,"AAAAAH/3/zk=",0)</f>
        <v>#REF!</v>
      </c>
      <c r="BG351" t="e">
        <f>AND(#REF!,"AAAAAH/3/zo=")</f>
        <v>#REF!</v>
      </c>
      <c r="BH351" t="e">
        <f>AND(#REF!,"AAAAAH/3/zs=")</f>
        <v>#REF!</v>
      </c>
      <c r="BI351" t="e">
        <f>AND(#REF!,"AAAAAH/3/zw=")</f>
        <v>#REF!</v>
      </c>
      <c r="BJ351" t="e">
        <f>AND(#REF!,"AAAAAH/3/z0=")</f>
        <v>#REF!</v>
      </c>
      <c r="BK351" t="e">
        <f>AND(#REF!,"AAAAAH/3/z4=")</f>
        <v>#REF!</v>
      </c>
      <c r="BL351" t="e">
        <f>AND(#REF!,"AAAAAH/3/z8=")</f>
        <v>#REF!</v>
      </c>
      <c r="BM351" t="e">
        <f>AND(#REF!,"AAAAAH/3/0A=")</f>
        <v>#REF!</v>
      </c>
      <c r="BN351" t="e">
        <f>AND(#REF!,"AAAAAH/3/0E=")</f>
        <v>#REF!</v>
      </c>
      <c r="BO351" t="e">
        <f>AND(#REF!,"AAAAAH/3/0I=")</f>
        <v>#REF!</v>
      </c>
      <c r="BP351" t="e">
        <f>AND(#REF!,"AAAAAH/3/0M=")</f>
        <v>#REF!</v>
      </c>
      <c r="BQ351" t="e">
        <f>IF(#REF!,"AAAAAH/3/0Q=",0)</f>
        <v>#REF!</v>
      </c>
      <c r="BR351" t="e">
        <f>AND(#REF!,"AAAAAH/3/0U=")</f>
        <v>#REF!</v>
      </c>
      <c r="BS351" t="e">
        <f>AND(#REF!,"AAAAAH/3/0Y=")</f>
        <v>#REF!</v>
      </c>
      <c r="BT351" t="e">
        <f>AND(#REF!,"AAAAAH/3/0c=")</f>
        <v>#REF!</v>
      </c>
      <c r="BU351" t="e">
        <f>AND(#REF!,"AAAAAH/3/0g=")</f>
        <v>#REF!</v>
      </c>
      <c r="BV351" t="e">
        <f>AND(#REF!,"AAAAAH/3/0k=")</f>
        <v>#REF!</v>
      </c>
      <c r="BW351" t="e">
        <f>AND(#REF!,"AAAAAH/3/0o=")</f>
        <v>#REF!</v>
      </c>
      <c r="BX351" t="e">
        <f>AND(#REF!,"AAAAAH/3/0s=")</f>
        <v>#REF!</v>
      </c>
      <c r="BY351" t="e">
        <f>AND(#REF!,"AAAAAH/3/0w=")</f>
        <v>#REF!</v>
      </c>
      <c r="BZ351" t="e">
        <f>AND(#REF!,"AAAAAH/3/00=")</f>
        <v>#REF!</v>
      </c>
      <c r="CA351" t="e">
        <f>AND(#REF!,"AAAAAH/3/04=")</f>
        <v>#REF!</v>
      </c>
      <c r="CB351" t="e">
        <f>IF(#REF!,"AAAAAH/3/08=",0)</f>
        <v>#REF!</v>
      </c>
      <c r="CC351" t="e">
        <f>AND(#REF!,"AAAAAH/3/1A=")</f>
        <v>#REF!</v>
      </c>
      <c r="CD351" t="e">
        <f>AND(#REF!,"AAAAAH/3/1E=")</f>
        <v>#REF!</v>
      </c>
      <c r="CE351" t="e">
        <f>AND(#REF!,"AAAAAH/3/1I=")</f>
        <v>#REF!</v>
      </c>
      <c r="CF351" t="e">
        <f>AND(#REF!,"AAAAAH/3/1M=")</f>
        <v>#REF!</v>
      </c>
      <c r="CG351" t="e">
        <f>AND(#REF!,"AAAAAH/3/1Q=")</f>
        <v>#REF!</v>
      </c>
      <c r="CH351" t="e">
        <f>AND(#REF!,"AAAAAH/3/1U=")</f>
        <v>#REF!</v>
      </c>
      <c r="CI351" t="e">
        <f>AND(#REF!,"AAAAAH/3/1Y=")</f>
        <v>#REF!</v>
      </c>
      <c r="CJ351" t="e">
        <f>AND(#REF!,"AAAAAH/3/1c=")</f>
        <v>#REF!</v>
      </c>
      <c r="CK351" t="e">
        <f>AND(#REF!,"AAAAAH/3/1g=")</f>
        <v>#REF!</v>
      </c>
      <c r="CL351" t="e">
        <f>AND(#REF!,"AAAAAH/3/1k=")</f>
        <v>#REF!</v>
      </c>
      <c r="CM351" t="e">
        <f>IF(#REF!,"AAAAAH/3/1o=",0)</f>
        <v>#REF!</v>
      </c>
      <c r="CN351" t="e">
        <f>AND(#REF!,"AAAAAH/3/1s=")</f>
        <v>#REF!</v>
      </c>
      <c r="CO351" t="e">
        <f>AND(#REF!,"AAAAAH/3/1w=")</f>
        <v>#REF!</v>
      </c>
      <c r="CP351" t="e">
        <f>AND(#REF!,"AAAAAH/3/10=")</f>
        <v>#REF!</v>
      </c>
      <c r="CQ351" t="e">
        <f>AND(#REF!,"AAAAAH/3/14=")</f>
        <v>#REF!</v>
      </c>
      <c r="CR351" t="e">
        <f>AND(#REF!,"AAAAAH/3/18=")</f>
        <v>#REF!</v>
      </c>
      <c r="CS351" t="e">
        <f>AND(#REF!,"AAAAAH/3/2A=")</f>
        <v>#REF!</v>
      </c>
      <c r="CT351" t="e">
        <f>AND(#REF!,"AAAAAH/3/2E=")</f>
        <v>#REF!</v>
      </c>
      <c r="CU351" t="e">
        <f>AND(#REF!,"AAAAAH/3/2I=")</f>
        <v>#REF!</v>
      </c>
      <c r="CV351" t="e">
        <f>AND(#REF!,"AAAAAH/3/2M=")</f>
        <v>#REF!</v>
      </c>
      <c r="CW351" t="e">
        <f>AND(#REF!,"AAAAAH/3/2Q=")</f>
        <v>#REF!</v>
      </c>
      <c r="CX351" t="e">
        <f>IF(#REF!,"AAAAAH/3/2U=",0)</f>
        <v>#REF!</v>
      </c>
      <c r="CY351" t="e">
        <f>AND(#REF!,"AAAAAH/3/2Y=")</f>
        <v>#REF!</v>
      </c>
      <c r="CZ351" t="e">
        <f>AND(#REF!,"AAAAAH/3/2c=")</f>
        <v>#REF!</v>
      </c>
      <c r="DA351" t="e">
        <f>AND(#REF!,"AAAAAH/3/2g=")</f>
        <v>#REF!</v>
      </c>
      <c r="DB351" t="e">
        <f>AND(#REF!,"AAAAAH/3/2k=")</f>
        <v>#REF!</v>
      </c>
      <c r="DC351" t="e">
        <f>AND(#REF!,"AAAAAH/3/2o=")</f>
        <v>#REF!</v>
      </c>
      <c r="DD351" t="e">
        <f>AND(#REF!,"AAAAAH/3/2s=")</f>
        <v>#REF!</v>
      </c>
      <c r="DE351" t="e">
        <f>AND(#REF!,"AAAAAH/3/2w=")</f>
        <v>#REF!</v>
      </c>
      <c r="DF351" t="e">
        <f>AND(#REF!,"AAAAAH/3/20=")</f>
        <v>#REF!</v>
      </c>
      <c r="DG351" t="e">
        <f>AND(#REF!,"AAAAAH/3/24=")</f>
        <v>#REF!</v>
      </c>
      <c r="DH351" t="e">
        <f>AND(#REF!,"AAAAAH/3/28=")</f>
        <v>#REF!</v>
      </c>
      <c r="DI351" t="e">
        <f>IF(#REF!,"AAAAAH/3/3A=",0)</f>
        <v>#REF!</v>
      </c>
      <c r="DJ351" t="e">
        <f>AND(#REF!,"AAAAAH/3/3E=")</f>
        <v>#REF!</v>
      </c>
      <c r="DK351" t="e">
        <f>AND(#REF!,"AAAAAH/3/3I=")</f>
        <v>#REF!</v>
      </c>
      <c r="DL351" t="e">
        <f>AND(#REF!,"AAAAAH/3/3M=")</f>
        <v>#REF!</v>
      </c>
      <c r="DM351" t="e">
        <f>AND(#REF!,"AAAAAH/3/3Q=")</f>
        <v>#REF!</v>
      </c>
      <c r="DN351" t="e">
        <f>AND(#REF!,"AAAAAH/3/3U=")</f>
        <v>#REF!</v>
      </c>
      <c r="DO351" t="e">
        <f>AND(#REF!,"AAAAAH/3/3Y=")</f>
        <v>#REF!</v>
      </c>
      <c r="DP351" t="e">
        <f>AND(#REF!,"AAAAAH/3/3c=")</f>
        <v>#REF!</v>
      </c>
      <c r="DQ351" t="e">
        <f>AND(#REF!,"AAAAAH/3/3g=")</f>
        <v>#REF!</v>
      </c>
      <c r="DR351" t="e">
        <f>AND(#REF!,"AAAAAH/3/3k=")</f>
        <v>#REF!</v>
      </c>
      <c r="DS351" t="e">
        <f>AND(#REF!,"AAAAAH/3/3o=")</f>
        <v>#REF!</v>
      </c>
      <c r="DT351" t="e">
        <f>IF(#REF!,"AAAAAH/3/3s=",0)</f>
        <v>#REF!</v>
      </c>
      <c r="DU351" t="e">
        <f>AND(#REF!,"AAAAAH/3/3w=")</f>
        <v>#REF!</v>
      </c>
      <c r="DV351" t="e">
        <f>AND(#REF!,"AAAAAH/3/30=")</f>
        <v>#REF!</v>
      </c>
      <c r="DW351" t="e">
        <f>AND(#REF!,"AAAAAH/3/34=")</f>
        <v>#REF!</v>
      </c>
      <c r="DX351" t="e">
        <f>AND(#REF!,"AAAAAH/3/38=")</f>
        <v>#REF!</v>
      </c>
      <c r="DY351" t="e">
        <f>AND(#REF!,"AAAAAH/3/4A=")</f>
        <v>#REF!</v>
      </c>
      <c r="DZ351" t="e">
        <f>AND(#REF!,"AAAAAH/3/4E=")</f>
        <v>#REF!</v>
      </c>
      <c r="EA351" t="e">
        <f>AND(#REF!,"AAAAAH/3/4I=")</f>
        <v>#REF!</v>
      </c>
      <c r="EB351" t="e">
        <f>AND(#REF!,"AAAAAH/3/4M=")</f>
        <v>#REF!</v>
      </c>
      <c r="EC351" t="e">
        <f>AND(#REF!,"AAAAAH/3/4Q=")</f>
        <v>#REF!</v>
      </c>
      <c r="ED351" t="e">
        <f>AND(#REF!,"AAAAAH/3/4U=")</f>
        <v>#REF!</v>
      </c>
      <c r="EE351" t="e">
        <f>IF(#REF!,"AAAAAH/3/4Y=",0)</f>
        <v>#REF!</v>
      </c>
      <c r="EF351" t="e">
        <f>AND(#REF!,"AAAAAH/3/4c=")</f>
        <v>#REF!</v>
      </c>
      <c r="EG351" t="e">
        <f>AND(#REF!,"AAAAAH/3/4g=")</f>
        <v>#REF!</v>
      </c>
      <c r="EH351" t="e">
        <f>AND(#REF!,"AAAAAH/3/4k=")</f>
        <v>#REF!</v>
      </c>
      <c r="EI351" t="e">
        <f>AND(#REF!,"AAAAAH/3/4o=")</f>
        <v>#REF!</v>
      </c>
      <c r="EJ351" t="e">
        <f>AND(#REF!,"AAAAAH/3/4s=")</f>
        <v>#REF!</v>
      </c>
      <c r="EK351" t="e">
        <f>AND(#REF!,"AAAAAH/3/4w=")</f>
        <v>#REF!</v>
      </c>
      <c r="EL351" t="e">
        <f>AND(#REF!,"AAAAAH/3/40=")</f>
        <v>#REF!</v>
      </c>
      <c r="EM351" t="e">
        <f>AND(#REF!,"AAAAAH/3/44=")</f>
        <v>#REF!</v>
      </c>
      <c r="EN351" t="e">
        <f>AND(#REF!,"AAAAAH/3/48=")</f>
        <v>#REF!</v>
      </c>
      <c r="EO351" t="e">
        <f>AND(#REF!,"AAAAAH/3/5A=")</f>
        <v>#REF!</v>
      </c>
      <c r="EP351" t="e">
        <f>IF(#REF!,"AAAAAH/3/5E=",0)</f>
        <v>#REF!</v>
      </c>
      <c r="EQ351" t="e">
        <f>AND(#REF!,"AAAAAH/3/5I=")</f>
        <v>#REF!</v>
      </c>
      <c r="ER351" t="e">
        <f>AND(#REF!,"AAAAAH/3/5M=")</f>
        <v>#REF!</v>
      </c>
      <c r="ES351" t="e">
        <f>AND(#REF!,"AAAAAH/3/5Q=")</f>
        <v>#REF!</v>
      </c>
      <c r="ET351" t="e">
        <f>AND(#REF!,"AAAAAH/3/5U=")</f>
        <v>#REF!</v>
      </c>
      <c r="EU351" t="e">
        <f>AND(#REF!,"AAAAAH/3/5Y=")</f>
        <v>#REF!</v>
      </c>
      <c r="EV351" t="e">
        <f>AND(#REF!,"AAAAAH/3/5c=")</f>
        <v>#REF!</v>
      </c>
      <c r="EW351" t="e">
        <f>AND(#REF!,"AAAAAH/3/5g=")</f>
        <v>#REF!</v>
      </c>
      <c r="EX351" t="e">
        <f>AND(#REF!,"AAAAAH/3/5k=")</f>
        <v>#REF!</v>
      </c>
      <c r="EY351" t="e">
        <f>AND(#REF!,"AAAAAH/3/5o=")</f>
        <v>#REF!</v>
      </c>
      <c r="EZ351" t="e">
        <f>AND(#REF!,"AAAAAH/3/5s=")</f>
        <v>#REF!</v>
      </c>
      <c r="FA351" t="e">
        <f>IF(#REF!,"AAAAAH/3/5w=",0)</f>
        <v>#REF!</v>
      </c>
      <c r="FB351" t="e">
        <f>AND(#REF!,"AAAAAH/3/50=")</f>
        <v>#REF!</v>
      </c>
      <c r="FC351" t="e">
        <f>AND(#REF!,"AAAAAH/3/54=")</f>
        <v>#REF!</v>
      </c>
      <c r="FD351" t="e">
        <f>AND(#REF!,"AAAAAH/3/58=")</f>
        <v>#REF!</v>
      </c>
      <c r="FE351" t="e">
        <f>AND(#REF!,"AAAAAH/3/6A=")</f>
        <v>#REF!</v>
      </c>
      <c r="FF351" t="e">
        <f>AND(#REF!,"AAAAAH/3/6E=")</f>
        <v>#REF!</v>
      </c>
      <c r="FG351" t="e">
        <f>AND(#REF!,"AAAAAH/3/6I=")</f>
        <v>#REF!</v>
      </c>
      <c r="FH351" t="e">
        <f>AND(#REF!,"AAAAAH/3/6M=")</f>
        <v>#REF!</v>
      </c>
      <c r="FI351" t="e">
        <f>AND(#REF!,"AAAAAH/3/6Q=")</f>
        <v>#REF!</v>
      </c>
      <c r="FJ351" t="e">
        <f>AND(#REF!,"AAAAAH/3/6U=")</f>
        <v>#REF!</v>
      </c>
      <c r="FK351" t="e">
        <f>AND(#REF!,"AAAAAH/3/6Y=")</f>
        <v>#REF!</v>
      </c>
      <c r="FL351" t="e">
        <f>IF(#REF!,"AAAAAH/3/6c=",0)</f>
        <v>#REF!</v>
      </c>
      <c r="FM351" t="e">
        <f>AND(#REF!,"AAAAAH/3/6g=")</f>
        <v>#REF!</v>
      </c>
      <c r="FN351" t="e">
        <f>AND(#REF!,"AAAAAH/3/6k=")</f>
        <v>#REF!</v>
      </c>
      <c r="FO351" t="e">
        <f>AND(#REF!,"AAAAAH/3/6o=")</f>
        <v>#REF!</v>
      </c>
      <c r="FP351" t="e">
        <f>AND(#REF!,"AAAAAH/3/6s=")</f>
        <v>#REF!</v>
      </c>
      <c r="FQ351" t="e">
        <f>AND(#REF!,"AAAAAH/3/6w=")</f>
        <v>#REF!</v>
      </c>
      <c r="FR351" t="e">
        <f>AND(#REF!,"AAAAAH/3/60=")</f>
        <v>#REF!</v>
      </c>
      <c r="FS351" t="e">
        <f>AND(#REF!,"AAAAAH/3/64=")</f>
        <v>#REF!</v>
      </c>
      <c r="FT351" t="e">
        <f>AND(#REF!,"AAAAAH/3/68=")</f>
        <v>#REF!</v>
      </c>
      <c r="FU351" t="e">
        <f>AND(#REF!,"AAAAAH/3/7A=")</f>
        <v>#REF!</v>
      </c>
      <c r="FV351" t="e">
        <f>AND(#REF!,"AAAAAH/3/7E=")</f>
        <v>#REF!</v>
      </c>
      <c r="FW351" t="e">
        <f>IF(#REF!,"AAAAAH/3/7I=",0)</f>
        <v>#REF!</v>
      </c>
      <c r="FX351" t="e">
        <f>AND(#REF!,"AAAAAH/3/7M=")</f>
        <v>#REF!</v>
      </c>
      <c r="FY351" t="e">
        <f>AND(#REF!,"AAAAAH/3/7Q=")</f>
        <v>#REF!</v>
      </c>
      <c r="FZ351" t="e">
        <f>AND(#REF!,"AAAAAH/3/7U=")</f>
        <v>#REF!</v>
      </c>
      <c r="GA351" t="e">
        <f>AND(#REF!,"AAAAAH/3/7Y=")</f>
        <v>#REF!</v>
      </c>
      <c r="GB351" t="e">
        <f>AND(#REF!,"AAAAAH/3/7c=")</f>
        <v>#REF!</v>
      </c>
      <c r="GC351" t="e">
        <f>AND(#REF!,"AAAAAH/3/7g=")</f>
        <v>#REF!</v>
      </c>
      <c r="GD351" t="e">
        <f>AND(#REF!,"AAAAAH/3/7k=")</f>
        <v>#REF!</v>
      </c>
      <c r="GE351" t="e">
        <f>AND(#REF!,"AAAAAH/3/7o=")</f>
        <v>#REF!</v>
      </c>
      <c r="GF351" t="e">
        <f>AND(#REF!,"AAAAAH/3/7s=")</f>
        <v>#REF!</v>
      </c>
      <c r="GG351" t="e">
        <f>AND(#REF!,"AAAAAH/3/7w=")</f>
        <v>#REF!</v>
      </c>
      <c r="GH351" t="e">
        <f>IF(#REF!,"AAAAAH/3/70=",0)</f>
        <v>#REF!</v>
      </c>
      <c r="GI351" t="e">
        <f>AND(#REF!,"AAAAAH/3/74=")</f>
        <v>#REF!</v>
      </c>
      <c r="GJ351" t="e">
        <f>AND(#REF!,"AAAAAH/3/78=")</f>
        <v>#REF!</v>
      </c>
      <c r="GK351" t="e">
        <f>AND(#REF!,"AAAAAH/3/8A=")</f>
        <v>#REF!</v>
      </c>
      <c r="GL351" t="e">
        <f>AND(#REF!,"AAAAAH/3/8E=")</f>
        <v>#REF!</v>
      </c>
      <c r="GM351" t="e">
        <f>AND(#REF!,"AAAAAH/3/8I=")</f>
        <v>#REF!</v>
      </c>
      <c r="GN351" t="e">
        <f>AND(#REF!,"AAAAAH/3/8M=")</f>
        <v>#REF!</v>
      </c>
      <c r="GO351" t="e">
        <f>AND(#REF!,"AAAAAH/3/8Q=")</f>
        <v>#REF!</v>
      </c>
      <c r="GP351" t="e">
        <f>AND(#REF!,"AAAAAH/3/8U=")</f>
        <v>#REF!</v>
      </c>
      <c r="GQ351" t="e">
        <f>AND(#REF!,"AAAAAH/3/8Y=")</f>
        <v>#REF!</v>
      </c>
      <c r="GR351" t="e">
        <f>AND(#REF!,"AAAAAH/3/8c=")</f>
        <v>#REF!</v>
      </c>
      <c r="GS351" t="e">
        <f>IF(#REF!,"AAAAAH/3/8g=",0)</f>
        <v>#REF!</v>
      </c>
      <c r="GT351" t="e">
        <f>AND(#REF!,"AAAAAH/3/8k=")</f>
        <v>#REF!</v>
      </c>
      <c r="GU351" t="e">
        <f>AND(#REF!,"AAAAAH/3/8o=")</f>
        <v>#REF!</v>
      </c>
      <c r="GV351" t="e">
        <f>AND(#REF!,"AAAAAH/3/8s=")</f>
        <v>#REF!</v>
      </c>
      <c r="GW351" t="e">
        <f>AND(#REF!,"AAAAAH/3/8w=")</f>
        <v>#REF!</v>
      </c>
      <c r="GX351" t="e">
        <f>AND(#REF!,"AAAAAH/3/80=")</f>
        <v>#REF!</v>
      </c>
      <c r="GY351" t="e">
        <f>AND(#REF!,"AAAAAH/3/84=")</f>
        <v>#REF!</v>
      </c>
      <c r="GZ351" t="e">
        <f>AND(#REF!,"AAAAAH/3/88=")</f>
        <v>#REF!</v>
      </c>
      <c r="HA351" t="e">
        <f>AND(#REF!,"AAAAAH/3/9A=")</f>
        <v>#REF!</v>
      </c>
      <c r="HB351" t="e">
        <f>AND(#REF!,"AAAAAH/3/9E=")</f>
        <v>#REF!</v>
      </c>
      <c r="HC351" t="e">
        <f>AND(#REF!,"AAAAAH/3/9I=")</f>
        <v>#REF!</v>
      </c>
      <c r="HD351" t="e">
        <f>IF(#REF!,"AAAAAH/3/9M=",0)</f>
        <v>#REF!</v>
      </c>
      <c r="HE351" t="e">
        <f>AND(#REF!,"AAAAAH/3/9Q=")</f>
        <v>#REF!</v>
      </c>
      <c r="HF351" t="e">
        <f>AND(#REF!,"AAAAAH/3/9U=")</f>
        <v>#REF!</v>
      </c>
      <c r="HG351" t="e">
        <f>AND(#REF!,"AAAAAH/3/9Y=")</f>
        <v>#REF!</v>
      </c>
      <c r="HH351" t="e">
        <f>AND(#REF!,"AAAAAH/3/9c=")</f>
        <v>#REF!</v>
      </c>
      <c r="HI351" t="e">
        <f>AND(#REF!,"AAAAAH/3/9g=")</f>
        <v>#REF!</v>
      </c>
      <c r="HJ351" t="e">
        <f>AND(#REF!,"AAAAAH/3/9k=")</f>
        <v>#REF!</v>
      </c>
      <c r="HK351" t="e">
        <f>AND(#REF!,"AAAAAH/3/9o=")</f>
        <v>#REF!</v>
      </c>
      <c r="HL351" t="e">
        <f>AND(#REF!,"AAAAAH/3/9s=")</f>
        <v>#REF!</v>
      </c>
      <c r="HM351" t="e">
        <f>AND(#REF!,"AAAAAH/3/9w=")</f>
        <v>#REF!</v>
      </c>
      <c r="HN351" t="e">
        <f>AND(#REF!,"AAAAAH/3/90=")</f>
        <v>#REF!</v>
      </c>
      <c r="HO351" t="e">
        <f>IF(#REF!,"AAAAAH/3/94=",0)</f>
        <v>#REF!</v>
      </c>
      <c r="HP351" t="e">
        <f>AND(#REF!,"AAAAAH/3/98=")</f>
        <v>#REF!</v>
      </c>
      <c r="HQ351" t="e">
        <f>AND(#REF!,"AAAAAH/3/+A=")</f>
        <v>#REF!</v>
      </c>
      <c r="HR351" t="e">
        <f>AND(#REF!,"AAAAAH/3/+E=")</f>
        <v>#REF!</v>
      </c>
      <c r="HS351" t="e">
        <f>AND(#REF!,"AAAAAH/3/+I=")</f>
        <v>#REF!</v>
      </c>
      <c r="HT351" t="e">
        <f>AND(#REF!,"AAAAAH/3/+M=")</f>
        <v>#REF!</v>
      </c>
      <c r="HU351" t="e">
        <f>AND(#REF!,"AAAAAH/3/+Q=")</f>
        <v>#REF!</v>
      </c>
      <c r="HV351" t="e">
        <f>AND(#REF!,"AAAAAH/3/+U=")</f>
        <v>#REF!</v>
      </c>
      <c r="HW351" t="e">
        <f>AND(#REF!,"AAAAAH/3/+Y=")</f>
        <v>#REF!</v>
      </c>
      <c r="HX351" t="e">
        <f>AND(#REF!,"AAAAAH/3/+c=")</f>
        <v>#REF!</v>
      </c>
      <c r="HY351" t="e">
        <f>AND(#REF!,"AAAAAH/3/+g=")</f>
        <v>#REF!</v>
      </c>
      <c r="HZ351" t="e">
        <f>IF(#REF!,"AAAAAH/3/+k=",0)</f>
        <v>#REF!</v>
      </c>
      <c r="IA351" t="e">
        <f>AND(#REF!,"AAAAAH/3/+o=")</f>
        <v>#REF!</v>
      </c>
      <c r="IB351" t="e">
        <f>AND(#REF!,"AAAAAH/3/+s=")</f>
        <v>#REF!</v>
      </c>
      <c r="IC351" t="e">
        <f>AND(#REF!,"AAAAAH/3/+w=")</f>
        <v>#REF!</v>
      </c>
      <c r="ID351" t="e">
        <f>AND(#REF!,"AAAAAH/3/+0=")</f>
        <v>#REF!</v>
      </c>
      <c r="IE351" t="e">
        <f>AND(#REF!,"AAAAAH/3/+4=")</f>
        <v>#REF!</v>
      </c>
      <c r="IF351" t="e">
        <f>AND(#REF!,"AAAAAH/3/+8=")</f>
        <v>#REF!</v>
      </c>
      <c r="IG351" t="e">
        <f>AND(#REF!,"AAAAAH/3//A=")</f>
        <v>#REF!</v>
      </c>
      <c r="IH351" t="e">
        <f>AND(#REF!,"AAAAAH/3//E=")</f>
        <v>#REF!</v>
      </c>
      <c r="II351" t="e">
        <f>AND(#REF!,"AAAAAH/3//I=")</f>
        <v>#REF!</v>
      </c>
      <c r="IJ351" t="e">
        <f>AND(#REF!,"AAAAAH/3//M=")</f>
        <v>#REF!</v>
      </c>
      <c r="IK351" t="e">
        <f>IF(#REF!,"AAAAAH/3//Q=",0)</f>
        <v>#REF!</v>
      </c>
      <c r="IL351" t="e">
        <f>AND(#REF!,"AAAAAH/3//U=")</f>
        <v>#REF!</v>
      </c>
      <c r="IM351" t="e">
        <f>AND(#REF!,"AAAAAH/3//Y=")</f>
        <v>#REF!</v>
      </c>
      <c r="IN351" t="e">
        <f>AND(#REF!,"AAAAAH/3//c=")</f>
        <v>#REF!</v>
      </c>
      <c r="IO351" t="e">
        <f>AND(#REF!,"AAAAAH/3//g=")</f>
        <v>#REF!</v>
      </c>
      <c r="IP351" t="e">
        <f>AND(#REF!,"AAAAAH/3//k=")</f>
        <v>#REF!</v>
      </c>
      <c r="IQ351" t="e">
        <f>AND(#REF!,"AAAAAH/3//o=")</f>
        <v>#REF!</v>
      </c>
      <c r="IR351" t="e">
        <f>AND(#REF!,"AAAAAH/3//s=")</f>
        <v>#REF!</v>
      </c>
      <c r="IS351" t="e">
        <f>AND(#REF!,"AAAAAH/3//w=")</f>
        <v>#REF!</v>
      </c>
      <c r="IT351" t="e">
        <f>AND(#REF!,"AAAAAH/3//0=")</f>
        <v>#REF!</v>
      </c>
      <c r="IU351" t="e">
        <f>AND(#REF!,"AAAAAH/3//4=")</f>
        <v>#REF!</v>
      </c>
      <c r="IV351" t="e">
        <f>IF(#REF!,"AAAAAH/3//8=",0)</f>
        <v>#REF!</v>
      </c>
    </row>
    <row r="352" spans="1:256" x14ac:dyDescent="0.25">
      <c r="A352" t="e">
        <f>AND(#REF!,"AAAAADn7fwA=")</f>
        <v>#REF!</v>
      </c>
      <c r="B352" t="e">
        <f>AND(#REF!,"AAAAADn7fwE=")</f>
        <v>#REF!</v>
      </c>
      <c r="C352" t="e">
        <f>AND(#REF!,"AAAAADn7fwI=")</f>
        <v>#REF!</v>
      </c>
      <c r="D352" t="e">
        <f>AND(#REF!,"AAAAADn7fwM=")</f>
        <v>#REF!</v>
      </c>
      <c r="E352" t="e">
        <f>AND(#REF!,"AAAAADn7fwQ=")</f>
        <v>#REF!</v>
      </c>
      <c r="F352" t="e">
        <f>AND(#REF!,"AAAAADn7fwU=")</f>
        <v>#REF!</v>
      </c>
      <c r="G352" t="e">
        <f>AND(#REF!,"AAAAADn7fwY=")</f>
        <v>#REF!</v>
      </c>
      <c r="H352" t="e">
        <f>AND(#REF!,"AAAAADn7fwc=")</f>
        <v>#REF!</v>
      </c>
      <c r="I352" t="e">
        <f>AND(#REF!,"AAAAADn7fwg=")</f>
        <v>#REF!</v>
      </c>
      <c r="J352" t="e">
        <f>AND(#REF!,"AAAAADn7fwk=")</f>
        <v>#REF!</v>
      </c>
      <c r="K352" t="e">
        <f>IF(#REF!,"AAAAADn7fwo=",0)</f>
        <v>#REF!</v>
      </c>
      <c r="L352" t="e">
        <f>AND(#REF!,"AAAAADn7fws=")</f>
        <v>#REF!</v>
      </c>
      <c r="M352" t="e">
        <f>AND(#REF!,"AAAAADn7fww=")</f>
        <v>#REF!</v>
      </c>
      <c r="N352" t="e">
        <f>AND(#REF!,"AAAAADn7fw0=")</f>
        <v>#REF!</v>
      </c>
      <c r="O352" t="e">
        <f>AND(#REF!,"AAAAADn7fw4=")</f>
        <v>#REF!</v>
      </c>
      <c r="P352" t="e">
        <f>AND(#REF!,"AAAAADn7fw8=")</f>
        <v>#REF!</v>
      </c>
      <c r="Q352" t="e">
        <f>AND(#REF!,"AAAAADn7fxA=")</f>
        <v>#REF!</v>
      </c>
      <c r="R352" t="e">
        <f>AND(#REF!,"AAAAADn7fxE=")</f>
        <v>#REF!</v>
      </c>
      <c r="S352" t="e">
        <f>AND(#REF!,"AAAAADn7fxI=")</f>
        <v>#REF!</v>
      </c>
      <c r="T352" t="e">
        <f>AND(#REF!,"AAAAADn7fxM=")</f>
        <v>#REF!</v>
      </c>
      <c r="U352" t="e">
        <f>AND(#REF!,"AAAAADn7fxQ=")</f>
        <v>#REF!</v>
      </c>
      <c r="V352" t="e">
        <f>IF(#REF!,"AAAAADn7fxU=",0)</f>
        <v>#REF!</v>
      </c>
      <c r="W352" t="e">
        <f>AND(#REF!,"AAAAADn7fxY=")</f>
        <v>#REF!</v>
      </c>
      <c r="X352" t="e">
        <f>AND(#REF!,"AAAAADn7fxc=")</f>
        <v>#REF!</v>
      </c>
      <c r="Y352" t="e">
        <f>AND(#REF!,"AAAAADn7fxg=")</f>
        <v>#REF!</v>
      </c>
      <c r="Z352" t="e">
        <f>AND(#REF!,"AAAAADn7fxk=")</f>
        <v>#REF!</v>
      </c>
      <c r="AA352" t="e">
        <f>AND(#REF!,"AAAAADn7fxo=")</f>
        <v>#REF!</v>
      </c>
      <c r="AB352" t="e">
        <f>AND(#REF!,"AAAAADn7fxs=")</f>
        <v>#REF!</v>
      </c>
      <c r="AC352" t="e">
        <f>AND(#REF!,"AAAAADn7fxw=")</f>
        <v>#REF!</v>
      </c>
      <c r="AD352" t="e">
        <f>AND(#REF!,"AAAAADn7fx0=")</f>
        <v>#REF!</v>
      </c>
      <c r="AE352" t="e">
        <f>AND(#REF!,"AAAAADn7fx4=")</f>
        <v>#REF!</v>
      </c>
      <c r="AF352" t="e">
        <f>AND(#REF!,"AAAAADn7fx8=")</f>
        <v>#REF!</v>
      </c>
      <c r="AG352" t="e">
        <f>IF(#REF!,"AAAAADn7fyA=",0)</f>
        <v>#REF!</v>
      </c>
      <c r="AH352" t="e">
        <f>AND(#REF!,"AAAAADn7fyE=")</f>
        <v>#REF!</v>
      </c>
      <c r="AI352" t="e">
        <f>AND(#REF!,"AAAAADn7fyI=")</f>
        <v>#REF!</v>
      </c>
      <c r="AJ352" t="e">
        <f>AND(#REF!,"AAAAADn7fyM=")</f>
        <v>#REF!</v>
      </c>
      <c r="AK352" t="e">
        <f>AND(#REF!,"AAAAADn7fyQ=")</f>
        <v>#REF!</v>
      </c>
      <c r="AL352" t="e">
        <f>AND(#REF!,"AAAAADn7fyU=")</f>
        <v>#REF!</v>
      </c>
      <c r="AM352" t="e">
        <f>AND(#REF!,"AAAAADn7fyY=")</f>
        <v>#REF!</v>
      </c>
      <c r="AN352" t="e">
        <f>AND(#REF!,"AAAAADn7fyc=")</f>
        <v>#REF!</v>
      </c>
      <c r="AO352" t="e">
        <f>AND(#REF!,"AAAAADn7fyg=")</f>
        <v>#REF!</v>
      </c>
      <c r="AP352" t="e">
        <f>AND(#REF!,"AAAAADn7fyk=")</f>
        <v>#REF!</v>
      </c>
      <c r="AQ352" t="e">
        <f>AND(#REF!,"AAAAADn7fyo=")</f>
        <v>#REF!</v>
      </c>
      <c r="AR352" t="e">
        <f>IF(#REF!,"AAAAADn7fys=",0)</f>
        <v>#REF!</v>
      </c>
      <c r="AS352" t="e">
        <f>AND(#REF!,"AAAAADn7fyw=")</f>
        <v>#REF!</v>
      </c>
      <c r="AT352" t="e">
        <f>AND(#REF!,"AAAAADn7fy0=")</f>
        <v>#REF!</v>
      </c>
      <c r="AU352" t="e">
        <f>AND(#REF!,"AAAAADn7fy4=")</f>
        <v>#REF!</v>
      </c>
      <c r="AV352" t="e">
        <f>AND(#REF!,"AAAAADn7fy8=")</f>
        <v>#REF!</v>
      </c>
      <c r="AW352" t="e">
        <f>AND(#REF!,"AAAAADn7fzA=")</f>
        <v>#REF!</v>
      </c>
      <c r="AX352" t="e">
        <f>AND(#REF!,"AAAAADn7fzE=")</f>
        <v>#REF!</v>
      </c>
      <c r="AY352" t="e">
        <f>AND(#REF!,"AAAAADn7fzI=")</f>
        <v>#REF!</v>
      </c>
      <c r="AZ352" t="e">
        <f>AND(#REF!,"AAAAADn7fzM=")</f>
        <v>#REF!</v>
      </c>
      <c r="BA352" t="e">
        <f>AND(#REF!,"AAAAADn7fzQ=")</f>
        <v>#REF!</v>
      </c>
      <c r="BB352" t="e">
        <f>AND(#REF!,"AAAAADn7fzU=")</f>
        <v>#REF!</v>
      </c>
      <c r="BC352" t="e">
        <f>IF(#REF!,"AAAAADn7fzY=",0)</f>
        <v>#REF!</v>
      </c>
      <c r="BD352" t="e">
        <f>AND(#REF!,"AAAAADn7fzc=")</f>
        <v>#REF!</v>
      </c>
      <c r="BE352" t="e">
        <f>AND(#REF!,"AAAAADn7fzg=")</f>
        <v>#REF!</v>
      </c>
      <c r="BF352" t="e">
        <f>AND(#REF!,"AAAAADn7fzk=")</f>
        <v>#REF!</v>
      </c>
      <c r="BG352" t="e">
        <f>AND(#REF!,"AAAAADn7fzo=")</f>
        <v>#REF!</v>
      </c>
      <c r="BH352" t="e">
        <f>AND(#REF!,"AAAAADn7fzs=")</f>
        <v>#REF!</v>
      </c>
      <c r="BI352" t="e">
        <f>AND(#REF!,"AAAAADn7fzw=")</f>
        <v>#REF!</v>
      </c>
      <c r="BJ352" t="e">
        <f>AND(#REF!,"AAAAADn7fz0=")</f>
        <v>#REF!</v>
      </c>
      <c r="BK352" t="e">
        <f>AND(#REF!,"AAAAADn7fz4=")</f>
        <v>#REF!</v>
      </c>
      <c r="BL352" t="e">
        <f>AND(#REF!,"AAAAADn7fz8=")</f>
        <v>#REF!</v>
      </c>
      <c r="BM352" t="e">
        <f>AND(#REF!,"AAAAADn7f0A=")</f>
        <v>#REF!</v>
      </c>
      <c r="BN352" t="e">
        <f>IF(#REF!,"AAAAADn7f0E=",0)</f>
        <v>#REF!</v>
      </c>
      <c r="BO352" t="e">
        <f>AND(#REF!,"AAAAADn7f0I=")</f>
        <v>#REF!</v>
      </c>
      <c r="BP352" t="e">
        <f>AND(#REF!,"AAAAADn7f0M=")</f>
        <v>#REF!</v>
      </c>
      <c r="BQ352" t="e">
        <f>AND(#REF!,"AAAAADn7f0Q=")</f>
        <v>#REF!</v>
      </c>
      <c r="BR352" t="e">
        <f>AND(#REF!,"AAAAADn7f0U=")</f>
        <v>#REF!</v>
      </c>
      <c r="BS352" t="e">
        <f>AND(#REF!,"AAAAADn7f0Y=")</f>
        <v>#REF!</v>
      </c>
      <c r="BT352" t="e">
        <f>AND(#REF!,"AAAAADn7f0c=")</f>
        <v>#REF!</v>
      </c>
      <c r="BU352" t="e">
        <f>AND(#REF!,"AAAAADn7f0g=")</f>
        <v>#REF!</v>
      </c>
      <c r="BV352" t="e">
        <f>AND(#REF!,"AAAAADn7f0k=")</f>
        <v>#REF!</v>
      </c>
      <c r="BW352" t="e">
        <f>AND(#REF!,"AAAAADn7f0o=")</f>
        <v>#REF!</v>
      </c>
      <c r="BX352" t="e">
        <f>AND(#REF!,"AAAAADn7f0s=")</f>
        <v>#REF!</v>
      </c>
      <c r="BY352" t="e">
        <f>IF(#REF!,"AAAAADn7f0w=",0)</f>
        <v>#REF!</v>
      </c>
      <c r="BZ352" t="e">
        <f>AND(#REF!,"AAAAADn7f00=")</f>
        <v>#REF!</v>
      </c>
      <c r="CA352" t="e">
        <f>AND(#REF!,"AAAAADn7f04=")</f>
        <v>#REF!</v>
      </c>
      <c r="CB352" t="e">
        <f>AND(#REF!,"AAAAADn7f08=")</f>
        <v>#REF!</v>
      </c>
      <c r="CC352" t="e">
        <f>AND(#REF!,"AAAAADn7f1A=")</f>
        <v>#REF!</v>
      </c>
      <c r="CD352" t="e">
        <f>AND(#REF!,"AAAAADn7f1E=")</f>
        <v>#REF!</v>
      </c>
      <c r="CE352" t="e">
        <f>AND(#REF!,"AAAAADn7f1I=")</f>
        <v>#REF!</v>
      </c>
      <c r="CF352" t="e">
        <f>AND(#REF!,"AAAAADn7f1M=")</f>
        <v>#REF!</v>
      </c>
      <c r="CG352" t="e">
        <f>AND(#REF!,"AAAAADn7f1Q=")</f>
        <v>#REF!</v>
      </c>
      <c r="CH352" t="e">
        <f>AND(#REF!,"AAAAADn7f1U=")</f>
        <v>#REF!</v>
      </c>
      <c r="CI352" t="e">
        <f>AND(#REF!,"AAAAADn7f1Y=")</f>
        <v>#REF!</v>
      </c>
      <c r="CJ352" t="e">
        <f>IF(#REF!,"AAAAADn7f1c=",0)</f>
        <v>#REF!</v>
      </c>
      <c r="CK352" t="e">
        <f>AND(#REF!,"AAAAADn7f1g=")</f>
        <v>#REF!</v>
      </c>
      <c r="CL352" t="e">
        <f>AND(#REF!,"AAAAADn7f1k=")</f>
        <v>#REF!</v>
      </c>
      <c r="CM352" t="e">
        <f>AND(#REF!,"AAAAADn7f1o=")</f>
        <v>#REF!</v>
      </c>
      <c r="CN352" t="e">
        <f>AND(#REF!,"AAAAADn7f1s=")</f>
        <v>#REF!</v>
      </c>
      <c r="CO352" t="e">
        <f>AND(#REF!,"AAAAADn7f1w=")</f>
        <v>#REF!</v>
      </c>
      <c r="CP352" t="e">
        <f>AND(#REF!,"AAAAADn7f10=")</f>
        <v>#REF!</v>
      </c>
      <c r="CQ352" t="e">
        <f>AND(#REF!,"AAAAADn7f14=")</f>
        <v>#REF!</v>
      </c>
      <c r="CR352" t="e">
        <f>AND(#REF!,"AAAAADn7f18=")</f>
        <v>#REF!</v>
      </c>
      <c r="CS352" t="e">
        <f>AND(#REF!,"AAAAADn7f2A=")</f>
        <v>#REF!</v>
      </c>
      <c r="CT352" t="e">
        <f>AND(#REF!,"AAAAADn7f2E=")</f>
        <v>#REF!</v>
      </c>
      <c r="CU352" t="e">
        <f>IF(#REF!,"AAAAADn7f2I=",0)</f>
        <v>#REF!</v>
      </c>
      <c r="CV352" t="e">
        <f>AND(#REF!,"AAAAADn7f2M=")</f>
        <v>#REF!</v>
      </c>
      <c r="CW352" t="e">
        <f>AND(#REF!,"AAAAADn7f2Q=")</f>
        <v>#REF!</v>
      </c>
      <c r="CX352" t="e">
        <f>AND(#REF!,"AAAAADn7f2U=")</f>
        <v>#REF!</v>
      </c>
      <c r="CY352" t="e">
        <f>AND(#REF!,"AAAAADn7f2Y=")</f>
        <v>#REF!</v>
      </c>
      <c r="CZ352" t="e">
        <f>AND(#REF!,"AAAAADn7f2c=")</f>
        <v>#REF!</v>
      </c>
      <c r="DA352" t="e">
        <f>AND(#REF!,"AAAAADn7f2g=")</f>
        <v>#REF!</v>
      </c>
      <c r="DB352" t="e">
        <f>AND(#REF!,"AAAAADn7f2k=")</f>
        <v>#REF!</v>
      </c>
      <c r="DC352" t="e">
        <f>AND(#REF!,"AAAAADn7f2o=")</f>
        <v>#REF!</v>
      </c>
      <c r="DD352" t="e">
        <f>AND(#REF!,"AAAAADn7f2s=")</f>
        <v>#REF!</v>
      </c>
      <c r="DE352" t="e">
        <f>AND(#REF!,"AAAAADn7f2w=")</f>
        <v>#REF!</v>
      </c>
      <c r="DF352" t="e">
        <f>IF(#REF!,"AAAAADn7f20=",0)</f>
        <v>#REF!</v>
      </c>
      <c r="DG352" t="e">
        <f>AND(#REF!,"AAAAADn7f24=")</f>
        <v>#REF!</v>
      </c>
      <c r="DH352" t="e">
        <f>AND(#REF!,"AAAAADn7f28=")</f>
        <v>#REF!</v>
      </c>
      <c r="DI352" t="e">
        <f>AND(#REF!,"AAAAADn7f3A=")</f>
        <v>#REF!</v>
      </c>
      <c r="DJ352" t="e">
        <f>AND(#REF!,"AAAAADn7f3E=")</f>
        <v>#REF!</v>
      </c>
      <c r="DK352" t="e">
        <f>AND(#REF!,"AAAAADn7f3I=")</f>
        <v>#REF!</v>
      </c>
      <c r="DL352" t="e">
        <f>AND(#REF!,"AAAAADn7f3M=")</f>
        <v>#REF!</v>
      </c>
      <c r="DM352" t="e">
        <f>AND(#REF!,"AAAAADn7f3Q=")</f>
        <v>#REF!</v>
      </c>
      <c r="DN352" t="e">
        <f>AND(#REF!,"AAAAADn7f3U=")</f>
        <v>#REF!</v>
      </c>
      <c r="DO352" t="e">
        <f>AND(#REF!,"AAAAADn7f3Y=")</f>
        <v>#REF!</v>
      </c>
      <c r="DP352" t="e">
        <f>AND(#REF!,"AAAAADn7f3c=")</f>
        <v>#REF!</v>
      </c>
      <c r="DQ352" t="e">
        <f>IF(#REF!,"AAAAADn7f3g=",0)</f>
        <v>#REF!</v>
      </c>
      <c r="DR352" t="e">
        <f>AND(#REF!,"AAAAADn7f3k=")</f>
        <v>#REF!</v>
      </c>
      <c r="DS352" t="e">
        <f>AND(#REF!,"AAAAADn7f3o=")</f>
        <v>#REF!</v>
      </c>
      <c r="DT352" t="e">
        <f>AND(#REF!,"AAAAADn7f3s=")</f>
        <v>#REF!</v>
      </c>
      <c r="DU352" t="e">
        <f>AND(#REF!,"AAAAADn7f3w=")</f>
        <v>#REF!</v>
      </c>
      <c r="DV352" t="e">
        <f>AND(#REF!,"AAAAADn7f30=")</f>
        <v>#REF!</v>
      </c>
      <c r="DW352" t="e">
        <f>AND(#REF!,"AAAAADn7f34=")</f>
        <v>#REF!</v>
      </c>
      <c r="DX352" t="e">
        <f>AND(#REF!,"AAAAADn7f38=")</f>
        <v>#REF!</v>
      </c>
      <c r="DY352" t="e">
        <f>AND(#REF!,"AAAAADn7f4A=")</f>
        <v>#REF!</v>
      </c>
      <c r="DZ352" t="e">
        <f>AND(#REF!,"AAAAADn7f4E=")</f>
        <v>#REF!</v>
      </c>
      <c r="EA352" t="e">
        <f>AND(#REF!,"AAAAADn7f4I=")</f>
        <v>#REF!</v>
      </c>
      <c r="EB352" t="e">
        <f>IF(#REF!,"AAAAADn7f4M=",0)</f>
        <v>#REF!</v>
      </c>
      <c r="EC352" t="e">
        <f>AND(#REF!,"AAAAADn7f4Q=")</f>
        <v>#REF!</v>
      </c>
      <c r="ED352" t="e">
        <f>AND(#REF!,"AAAAADn7f4U=")</f>
        <v>#REF!</v>
      </c>
      <c r="EE352" t="e">
        <f>AND(#REF!,"AAAAADn7f4Y=")</f>
        <v>#REF!</v>
      </c>
      <c r="EF352" t="e">
        <f>AND(#REF!,"AAAAADn7f4c=")</f>
        <v>#REF!</v>
      </c>
      <c r="EG352" t="e">
        <f>AND(#REF!,"AAAAADn7f4g=")</f>
        <v>#REF!</v>
      </c>
      <c r="EH352" t="e">
        <f>AND(#REF!,"AAAAADn7f4k=")</f>
        <v>#REF!</v>
      </c>
      <c r="EI352" t="e">
        <f>AND(#REF!,"AAAAADn7f4o=")</f>
        <v>#REF!</v>
      </c>
      <c r="EJ352" t="e">
        <f>AND(#REF!,"AAAAADn7f4s=")</f>
        <v>#REF!</v>
      </c>
      <c r="EK352" t="e">
        <f>AND(#REF!,"AAAAADn7f4w=")</f>
        <v>#REF!</v>
      </c>
      <c r="EL352" t="e">
        <f>AND(#REF!,"AAAAADn7f40=")</f>
        <v>#REF!</v>
      </c>
      <c r="EM352" t="e">
        <f>IF(#REF!,"AAAAADn7f44=",0)</f>
        <v>#REF!</v>
      </c>
      <c r="EN352" t="e">
        <f>AND(#REF!,"AAAAADn7f48=")</f>
        <v>#REF!</v>
      </c>
      <c r="EO352" t="e">
        <f>AND(#REF!,"AAAAADn7f5A=")</f>
        <v>#REF!</v>
      </c>
      <c r="EP352" t="e">
        <f>AND(#REF!,"AAAAADn7f5E=")</f>
        <v>#REF!</v>
      </c>
      <c r="EQ352" t="e">
        <f>AND(#REF!,"AAAAADn7f5I=")</f>
        <v>#REF!</v>
      </c>
      <c r="ER352" t="e">
        <f>AND(#REF!,"AAAAADn7f5M=")</f>
        <v>#REF!</v>
      </c>
      <c r="ES352" t="e">
        <f>AND(#REF!,"AAAAADn7f5Q=")</f>
        <v>#REF!</v>
      </c>
      <c r="ET352" t="e">
        <f>AND(#REF!,"AAAAADn7f5U=")</f>
        <v>#REF!</v>
      </c>
      <c r="EU352" t="e">
        <f>AND(#REF!,"AAAAADn7f5Y=")</f>
        <v>#REF!</v>
      </c>
      <c r="EV352" t="e">
        <f>AND(#REF!,"AAAAADn7f5c=")</f>
        <v>#REF!</v>
      </c>
      <c r="EW352" t="e">
        <f>AND(#REF!,"AAAAADn7f5g=")</f>
        <v>#REF!</v>
      </c>
      <c r="EX352" t="e">
        <f>IF(#REF!,"AAAAADn7f5k=",0)</f>
        <v>#REF!</v>
      </c>
      <c r="EY352" t="e">
        <f>AND(#REF!,"AAAAADn7f5o=")</f>
        <v>#REF!</v>
      </c>
      <c r="EZ352" t="e">
        <f>AND(#REF!,"AAAAADn7f5s=")</f>
        <v>#REF!</v>
      </c>
      <c r="FA352" t="e">
        <f>AND(#REF!,"AAAAADn7f5w=")</f>
        <v>#REF!</v>
      </c>
      <c r="FB352" t="e">
        <f>AND(#REF!,"AAAAADn7f50=")</f>
        <v>#REF!</v>
      </c>
      <c r="FC352" t="e">
        <f>AND(#REF!,"AAAAADn7f54=")</f>
        <v>#REF!</v>
      </c>
      <c r="FD352" t="e">
        <f>AND(#REF!,"AAAAADn7f58=")</f>
        <v>#REF!</v>
      </c>
      <c r="FE352" t="e">
        <f>AND(#REF!,"AAAAADn7f6A=")</f>
        <v>#REF!</v>
      </c>
      <c r="FF352" t="e">
        <f>AND(#REF!,"AAAAADn7f6E=")</f>
        <v>#REF!</v>
      </c>
      <c r="FG352" t="e">
        <f>AND(#REF!,"AAAAADn7f6I=")</f>
        <v>#REF!</v>
      </c>
      <c r="FH352" t="e">
        <f>AND(#REF!,"AAAAADn7f6M=")</f>
        <v>#REF!</v>
      </c>
      <c r="FI352" t="e">
        <f>IF(#REF!,"AAAAADn7f6Q=",0)</f>
        <v>#REF!</v>
      </c>
      <c r="FJ352" t="e">
        <f>AND(#REF!,"AAAAADn7f6U=")</f>
        <v>#REF!</v>
      </c>
      <c r="FK352" t="e">
        <f>AND(#REF!,"AAAAADn7f6Y=")</f>
        <v>#REF!</v>
      </c>
      <c r="FL352" t="e">
        <f>AND(#REF!,"AAAAADn7f6c=")</f>
        <v>#REF!</v>
      </c>
      <c r="FM352" t="e">
        <f>AND(#REF!,"AAAAADn7f6g=")</f>
        <v>#REF!</v>
      </c>
      <c r="FN352" t="e">
        <f>AND(#REF!,"AAAAADn7f6k=")</f>
        <v>#REF!</v>
      </c>
      <c r="FO352" t="e">
        <f>AND(#REF!,"AAAAADn7f6o=")</f>
        <v>#REF!</v>
      </c>
      <c r="FP352" t="e">
        <f>AND(#REF!,"AAAAADn7f6s=")</f>
        <v>#REF!</v>
      </c>
      <c r="FQ352" t="e">
        <f>AND(#REF!,"AAAAADn7f6w=")</f>
        <v>#REF!</v>
      </c>
      <c r="FR352" t="e">
        <f>AND(#REF!,"AAAAADn7f60=")</f>
        <v>#REF!</v>
      </c>
      <c r="FS352" t="e">
        <f>AND(#REF!,"AAAAADn7f64=")</f>
        <v>#REF!</v>
      </c>
      <c r="FT352" t="e">
        <f>IF(#REF!,"AAAAADn7f68=",0)</f>
        <v>#REF!</v>
      </c>
      <c r="FU352" t="e">
        <f>AND(#REF!,"AAAAADn7f7A=")</f>
        <v>#REF!</v>
      </c>
      <c r="FV352" t="e">
        <f>AND(#REF!,"AAAAADn7f7E=")</f>
        <v>#REF!</v>
      </c>
      <c r="FW352" t="e">
        <f>AND(#REF!,"AAAAADn7f7I=")</f>
        <v>#REF!</v>
      </c>
      <c r="FX352" t="e">
        <f>AND(#REF!,"AAAAADn7f7M=")</f>
        <v>#REF!</v>
      </c>
      <c r="FY352" t="e">
        <f>AND(#REF!,"AAAAADn7f7Q=")</f>
        <v>#REF!</v>
      </c>
      <c r="FZ352" t="e">
        <f>AND(#REF!,"AAAAADn7f7U=")</f>
        <v>#REF!</v>
      </c>
      <c r="GA352" t="e">
        <f>AND(#REF!,"AAAAADn7f7Y=")</f>
        <v>#REF!</v>
      </c>
      <c r="GB352" t="e">
        <f>AND(#REF!,"AAAAADn7f7c=")</f>
        <v>#REF!</v>
      </c>
      <c r="GC352" t="e">
        <f>AND(#REF!,"AAAAADn7f7g=")</f>
        <v>#REF!</v>
      </c>
      <c r="GD352" t="e">
        <f>AND(#REF!,"AAAAADn7f7k=")</f>
        <v>#REF!</v>
      </c>
      <c r="GE352" t="e">
        <f>IF(#REF!,"AAAAADn7f7o=",0)</f>
        <v>#REF!</v>
      </c>
      <c r="GF352" t="e">
        <f>AND(#REF!,"AAAAADn7f7s=")</f>
        <v>#REF!</v>
      </c>
      <c r="GG352" t="e">
        <f>AND(#REF!,"AAAAADn7f7w=")</f>
        <v>#REF!</v>
      </c>
      <c r="GH352" t="e">
        <f>AND(#REF!,"AAAAADn7f70=")</f>
        <v>#REF!</v>
      </c>
      <c r="GI352" t="e">
        <f>AND(#REF!,"AAAAADn7f74=")</f>
        <v>#REF!</v>
      </c>
      <c r="GJ352" t="e">
        <f>AND(#REF!,"AAAAADn7f78=")</f>
        <v>#REF!</v>
      </c>
      <c r="GK352" t="e">
        <f>AND(#REF!,"AAAAADn7f8A=")</f>
        <v>#REF!</v>
      </c>
      <c r="GL352" t="e">
        <f>AND(#REF!,"AAAAADn7f8E=")</f>
        <v>#REF!</v>
      </c>
      <c r="GM352" t="e">
        <f>AND(#REF!,"AAAAADn7f8I=")</f>
        <v>#REF!</v>
      </c>
      <c r="GN352" t="e">
        <f>AND(#REF!,"AAAAADn7f8M=")</f>
        <v>#REF!</v>
      </c>
      <c r="GO352" t="e">
        <f>AND(#REF!,"AAAAADn7f8Q=")</f>
        <v>#REF!</v>
      </c>
      <c r="GP352" t="e">
        <f>IF(#REF!,"AAAAADn7f8U=",0)</f>
        <v>#REF!</v>
      </c>
      <c r="GQ352" t="e">
        <f>AND(#REF!,"AAAAADn7f8Y=")</f>
        <v>#REF!</v>
      </c>
      <c r="GR352" t="e">
        <f>AND(#REF!,"AAAAADn7f8c=")</f>
        <v>#REF!</v>
      </c>
      <c r="GS352" t="e">
        <f>AND(#REF!,"AAAAADn7f8g=")</f>
        <v>#REF!</v>
      </c>
      <c r="GT352" t="e">
        <f>AND(#REF!,"AAAAADn7f8k=")</f>
        <v>#REF!</v>
      </c>
      <c r="GU352" t="e">
        <f>AND(#REF!,"AAAAADn7f8o=")</f>
        <v>#REF!</v>
      </c>
      <c r="GV352" t="e">
        <f>AND(#REF!,"AAAAADn7f8s=")</f>
        <v>#REF!</v>
      </c>
      <c r="GW352" t="e">
        <f>AND(#REF!,"AAAAADn7f8w=")</f>
        <v>#REF!</v>
      </c>
      <c r="GX352" t="e">
        <f>AND(#REF!,"AAAAADn7f80=")</f>
        <v>#REF!</v>
      </c>
      <c r="GY352" t="e">
        <f>AND(#REF!,"AAAAADn7f84=")</f>
        <v>#REF!</v>
      </c>
      <c r="GZ352" t="e">
        <f>AND(#REF!,"AAAAADn7f88=")</f>
        <v>#REF!</v>
      </c>
      <c r="HA352" t="e">
        <f>IF(#REF!,"AAAAADn7f9A=",0)</f>
        <v>#REF!</v>
      </c>
      <c r="HB352" t="e">
        <f>AND(#REF!,"AAAAADn7f9E=")</f>
        <v>#REF!</v>
      </c>
      <c r="HC352" t="e">
        <f>AND(#REF!,"AAAAADn7f9I=")</f>
        <v>#REF!</v>
      </c>
      <c r="HD352" t="e">
        <f>AND(#REF!,"AAAAADn7f9M=")</f>
        <v>#REF!</v>
      </c>
      <c r="HE352" t="e">
        <f>AND(#REF!,"AAAAADn7f9Q=")</f>
        <v>#REF!</v>
      </c>
      <c r="HF352" t="e">
        <f>AND(#REF!,"AAAAADn7f9U=")</f>
        <v>#REF!</v>
      </c>
      <c r="HG352" t="e">
        <f>AND(#REF!,"AAAAADn7f9Y=")</f>
        <v>#REF!</v>
      </c>
      <c r="HH352" t="e">
        <f>AND(#REF!,"AAAAADn7f9c=")</f>
        <v>#REF!</v>
      </c>
      <c r="HI352" t="e">
        <f>AND(#REF!,"AAAAADn7f9g=")</f>
        <v>#REF!</v>
      </c>
      <c r="HJ352" t="e">
        <f>AND(#REF!,"AAAAADn7f9k=")</f>
        <v>#REF!</v>
      </c>
      <c r="HK352" t="e">
        <f>AND(#REF!,"AAAAADn7f9o=")</f>
        <v>#REF!</v>
      </c>
      <c r="HL352" t="e">
        <f>IF(#REF!,"AAAAADn7f9s=",0)</f>
        <v>#REF!</v>
      </c>
      <c r="HM352" t="e">
        <f>AND(#REF!,"AAAAADn7f9w=")</f>
        <v>#REF!</v>
      </c>
      <c r="HN352" t="e">
        <f>AND(#REF!,"AAAAADn7f90=")</f>
        <v>#REF!</v>
      </c>
      <c r="HO352" t="e">
        <f>AND(#REF!,"AAAAADn7f94=")</f>
        <v>#REF!</v>
      </c>
      <c r="HP352" t="e">
        <f>AND(#REF!,"AAAAADn7f98=")</f>
        <v>#REF!</v>
      </c>
      <c r="HQ352" t="e">
        <f>AND(#REF!,"AAAAADn7f+A=")</f>
        <v>#REF!</v>
      </c>
      <c r="HR352" t="e">
        <f>AND(#REF!,"AAAAADn7f+E=")</f>
        <v>#REF!</v>
      </c>
      <c r="HS352" t="e">
        <f>AND(#REF!,"AAAAADn7f+I=")</f>
        <v>#REF!</v>
      </c>
      <c r="HT352" t="e">
        <f>AND(#REF!,"AAAAADn7f+M=")</f>
        <v>#REF!</v>
      </c>
      <c r="HU352" t="e">
        <f>AND(#REF!,"AAAAADn7f+Q=")</f>
        <v>#REF!</v>
      </c>
      <c r="HV352" t="e">
        <f>AND(#REF!,"AAAAADn7f+U=")</f>
        <v>#REF!</v>
      </c>
      <c r="HW352" t="e">
        <f>IF(#REF!,"AAAAADn7f+Y=",0)</f>
        <v>#REF!</v>
      </c>
      <c r="HX352" t="e">
        <f>AND(#REF!,"AAAAADn7f+c=")</f>
        <v>#REF!</v>
      </c>
      <c r="HY352" t="e">
        <f>AND(#REF!,"AAAAADn7f+g=")</f>
        <v>#REF!</v>
      </c>
      <c r="HZ352" t="e">
        <f>AND(#REF!,"AAAAADn7f+k=")</f>
        <v>#REF!</v>
      </c>
      <c r="IA352" t="e">
        <f>AND(#REF!,"AAAAADn7f+o=")</f>
        <v>#REF!</v>
      </c>
      <c r="IB352" t="e">
        <f>AND(#REF!,"AAAAADn7f+s=")</f>
        <v>#REF!</v>
      </c>
      <c r="IC352" t="e">
        <f>AND(#REF!,"AAAAADn7f+w=")</f>
        <v>#REF!</v>
      </c>
      <c r="ID352" t="e">
        <f>AND(#REF!,"AAAAADn7f+0=")</f>
        <v>#REF!</v>
      </c>
      <c r="IE352" t="e">
        <f>AND(#REF!,"AAAAADn7f+4=")</f>
        <v>#REF!</v>
      </c>
      <c r="IF352" t="e">
        <f>AND(#REF!,"AAAAADn7f+8=")</f>
        <v>#REF!</v>
      </c>
      <c r="IG352" t="e">
        <f>AND(#REF!,"AAAAADn7f/A=")</f>
        <v>#REF!</v>
      </c>
      <c r="IH352" t="e">
        <f>IF(#REF!,"AAAAADn7f/E=",0)</f>
        <v>#REF!</v>
      </c>
      <c r="II352" t="e">
        <f>AND(#REF!,"AAAAADn7f/I=")</f>
        <v>#REF!</v>
      </c>
      <c r="IJ352" t="e">
        <f>AND(#REF!,"AAAAADn7f/M=")</f>
        <v>#REF!</v>
      </c>
      <c r="IK352" t="e">
        <f>AND(#REF!,"AAAAADn7f/Q=")</f>
        <v>#REF!</v>
      </c>
      <c r="IL352" t="e">
        <f>AND(#REF!,"AAAAADn7f/U=")</f>
        <v>#REF!</v>
      </c>
      <c r="IM352" t="e">
        <f>AND(#REF!,"AAAAADn7f/Y=")</f>
        <v>#REF!</v>
      </c>
      <c r="IN352" t="e">
        <f>AND(#REF!,"AAAAADn7f/c=")</f>
        <v>#REF!</v>
      </c>
      <c r="IO352" t="e">
        <f>AND(#REF!,"AAAAADn7f/g=")</f>
        <v>#REF!</v>
      </c>
      <c r="IP352" t="e">
        <f>AND(#REF!,"AAAAADn7f/k=")</f>
        <v>#REF!</v>
      </c>
      <c r="IQ352" t="e">
        <f>AND(#REF!,"AAAAADn7f/o=")</f>
        <v>#REF!</v>
      </c>
      <c r="IR352" t="e">
        <f>AND(#REF!,"AAAAADn7f/s=")</f>
        <v>#REF!</v>
      </c>
      <c r="IS352" t="e">
        <f>IF(#REF!,"AAAAADn7f/w=",0)</f>
        <v>#REF!</v>
      </c>
      <c r="IT352" t="e">
        <f>AND(#REF!,"AAAAADn7f/0=")</f>
        <v>#REF!</v>
      </c>
      <c r="IU352" t="e">
        <f>AND(#REF!,"AAAAADn7f/4=")</f>
        <v>#REF!</v>
      </c>
      <c r="IV352" t="e">
        <f>AND(#REF!,"AAAAADn7f/8=")</f>
        <v>#REF!</v>
      </c>
    </row>
    <row r="353" spans="1:256" x14ac:dyDescent="0.25">
      <c r="A353" t="e">
        <f>AND(#REF!,"AAAAAGl/fgA=")</f>
        <v>#REF!</v>
      </c>
      <c r="B353" t="e">
        <f>AND(#REF!,"AAAAAGl/fgE=")</f>
        <v>#REF!</v>
      </c>
      <c r="C353" t="e">
        <f>AND(#REF!,"AAAAAGl/fgI=")</f>
        <v>#REF!</v>
      </c>
      <c r="D353" t="e">
        <f>AND(#REF!,"AAAAAGl/fgM=")</f>
        <v>#REF!</v>
      </c>
      <c r="E353" t="e">
        <f>AND(#REF!,"AAAAAGl/fgQ=")</f>
        <v>#REF!</v>
      </c>
      <c r="F353" t="e">
        <f>AND(#REF!,"AAAAAGl/fgU=")</f>
        <v>#REF!</v>
      </c>
      <c r="G353" t="e">
        <f>AND(#REF!,"AAAAAGl/fgY=")</f>
        <v>#REF!</v>
      </c>
      <c r="H353" t="e">
        <f>IF(#REF!,"AAAAAGl/fgc=",0)</f>
        <v>#REF!</v>
      </c>
      <c r="I353" t="e">
        <f>AND(#REF!,"AAAAAGl/fgg=")</f>
        <v>#REF!</v>
      </c>
      <c r="J353" t="e">
        <f>AND(#REF!,"AAAAAGl/fgk=")</f>
        <v>#REF!</v>
      </c>
      <c r="K353" t="e">
        <f>AND(#REF!,"AAAAAGl/fgo=")</f>
        <v>#REF!</v>
      </c>
      <c r="L353" t="e">
        <f>AND(#REF!,"AAAAAGl/fgs=")</f>
        <v>#REF!</v>
      </c>
      <c r="M353" t="e">
        <f>AND(#REF!,"AAAAAGl/fgw=")</f>
        <v>#REF!</v>
      </c>
      <c r="N353" t="e">
        <f>AND(#REF!,"AAAAAGl/fg0=")</f>
        <v>#REF!</v>
      </c>
      <c r="O353" t="e">
        <f>AND(#REF!,"AAAAAGl/fg4=")</f>
        <v>#REF!</v>
      </c>
      <c r="P353" t="e">
        <f>AND(#REF!,"AAAAAGl/fg8=")</f>
        <v>#REF!</v>
      </c>
      <c r="Q353" t="e">
        <f>AND(#REF!,"AAAAAGl/fhA=")</f>
        <v>#REF!</v>
      </c>
      <c r="R353" t="e">
        <f>AND(#REF!,"AAAAAGl/fhE=")</f>
        <v>#REF!</v>
      </c>
      <c r="S353" t="e">
        <f>IF(#REF!,"AAAAAGl/fhI=",0)</f>
        <v>#REF!</v>
      </c>
      <c r="T353" t="e">
        <f>AND(#REF!,"AAAAAGl/fhM=")</f>
        <v>#REF!</v>
      </c>
      <c r="U353" t="e">
        <f>AND(#REF!,"AAAAAGl/fhQ=")</f>
        <v>#REF!</v>
      </c>
      <c r="V353" t="e">
        <f>AND(#REF!,"AAAAAGl/fhU=")</f>
        <v>#REF!</v>
      </c>
      <c r="W353" t="e">
        <f>AND(#REF!,"AAAAAGl/fhY=")</f>
        <v>#REF!</v>
      </c>
      <c r="X353" t="e">
        <f>AND(#REF!,"AAAAAGl/fhc=")</f>
        <v>#REF!</v>
      </c>
      <c r="Y353" t="e">
        <f>AND(#REF!,"AAAAAGl/fhg=")</f>
        <v>#REF!</v>
      </c>
      <c r="Z353" t="e">
        <f>AND(#REF!,"AAAAAGl/fhk=")</f>
        <v>#REF!</v>
      </c>
      <c r="AA353" t="e">
        <f>AND(#REF!,"AAAAAGl/fho=")</f>
        <v>#REF!</v>
      </c>
      <c r="AB353" t="e">
        <f>AND(#REF!,"AAAAAGl/fhs=")</f>
        <v>#REF!</v>
      </c>
      <c r="AC353" t="e">
        <f>AND(#REF!,"AAAAAGl/fhw=")</f>
        <v>#REF!</v>
      </c>
      <c r="AD353" t="e">
        <f>IF(#REF!,"AAAAAGl/fh0=",0)</f>
        <v>#REF!</v>
      </c>
      <c r="AE353" t="e">
        <f>AND(#REF!,"AAAAAGl/fh4=")</f>
        <v>#REF!</v>
      </c>
      <c r="AF353" t="e">
        <f>AND(#REF!,"AAAAAGl/fh8=")</f>
        <v>#REF!</v>
      </c>
      <c r="AG353" t="e">
        <f>AND(#REF!,"AAAAAGl/fiA=")</f>
        <v>#REF!</v>
      </c>
      <c r="AH353" t="e">
        <f>AND(#REF!,"AAAAAGl/fiE=")</f>
        <v>#REF!</v>
      </c>
      <c r="AI353" t="e">
        <f>AND(#REF!,"AAAAAGl/fiI=")</f>
        <v>#REF!</v>
      </c>
      <c r="AJ353" t="e">
        <f>AND(#REF!,"AAAAAGl/fiM=")</f>
        <v>#REF!</v>
      </c>
      <c r="AK353" t="e">
        <f>AND(#REF!,"AAAAAGl/fiQ=")</f>
        <v>#REF!</v>
      </c>
      <c r="AL353" t="e">
        <f>AND(#REF!,"AAAAAGl/fiU=")</f>
        <v>#REF!</v>
      </c>
      <c r="AM353" t="e">
        <f>AND(#REF!,"AAAAAGl/fiY=")</f>
        <v>#REF!</v>
      </c>
      <c r="AN353" t="e">
        <f>AND(#REF!,"AAAAAGl/fic=")</f>
        <v>#REF!</v>
      </c>
      <c r="AO353" t="e">
        <f>IF(#REF!,"AAAAAGl/fig=",0)</f>
        <v>#REF!</v>
      </c>
      <c r="AP353" t="e">
        <f>AND(#REF!,"AAAAAGl/fik=")</f>
        <v>#REF!</v>
      </c>
      <c r="AQ353" t="e">
        <f>AND(#REF!,"AAAAAGl/fio=")</f>
        <v>#REF!</v>
      </c>
      <c r="AR353" t="e">
        <f>AND(#REF!,"AAAAAGl/fis=")</f>
        <v>#REF!</v>
      </c>
      <c r="AS353" t="e">
        <f>AND(#REF!,"AAAAAGl/fiw=")</f>
        <v>#REF!</v>
      </c>
      <c r="AT353" t="e">
        <f>AND(#REF!,"AAAAAGl/fi0=")</f>
        <v>#REF!</v>
      </c>
      <c r="AU353" t="e">
        <f>AND(#REF!,"AAAAAGl/fi4=")</f>
        <v>#REF!</v>
      </c>
      <c r="AV353" t="e">
        <f>AND(#REF!,"AAAAAGl/fi8=")</f>
        <v>#REF!</v>
      </c>
      <c r="AW353" t="e">
        <f>AND(#REF!,"AAAAAGl/fjA=")</f>
        <v>#REF!</v>
      </c>
      <c r="AX353" t="e">
        <f>AND(#REF!,"AAAAAGl/fjE=")</f>
        <v>#REF!</v>
      </c>
      <c r="AY353" t="e">
        <f>AND(#REF!,"AAAAAGl/fjI=")</f>
        <v>#REF!</v>
      </c>
      <c r="AZ353" t="e">
        <f>IF(#REF!,"AAAAAGl/fjM=",0)</f>
        <v>#REF!</v>
      </c>
      <c r="BA353" t="e">
        <f>AND(#REF!,"AAAAAGl/fjQ=")</f>
        <v>#REF!</v>
      </c>
      <c r="BB353" t="e">
        <f>AND(#REF!,"AAAAAGl/fjU=")</f>
        <v>#REF!</v>
      </c>
      <c r="BC353" t="e">
        <f>AND(#REF!,"AAAAAGl/fjY=")</f>
        <v>#REF!</v>
      </c>
      <c r="BD353" t="e">
        <f>AND(#REF!,"AAAAAGl/fjc=")</f>
        <v>#REF!</v>
      </c>
      <c r="BE353" t="e">
        <f>AND(#REF!,"AAAAAGl/fjg=")</f>
        <v>#REF!</v>
      </c>
      <c r="BF353" t="e">
        <f>AND(#REF!,"AAAAAGl/fjk=")</f>
        <v>#REF!</v>
      </c>
      <c r="BG353" t="e">
        <f>AND(#REF!,"AAAAAGl/fjo=")</f>
        <v>#REF!</v>
      </c>
      <c r="BH353" t="e">
        <f>AND(#REF!,"AAAAAGl/fjs=")</f>
        <v>#REF!</v>
      </c>
      <c r="BI353" t="e">
        <f>AND(#REF!,"AAAAAGl/fjw=")</f>
        <v>#REF!</v>
      </c>
      <c r="BJ353" t="e">
        <f>AND(#REF!,"AAAAAGl/fj0=")</f>
        <v>#REF!</v>
      </c>
      <c r="BK353" t="e">
        <f>IF(#REF!,"AAAAAGl/fj4=",0)</f>
        <v>#REF!</v>
      </c>
      <c r="BL353" t="e">
        <f>AND(#REF!,"AAAAAGl/fj8=")</f>
        <v>#REF!</v>
      </c>
      <c r="BM353" t="e">
        <f>AND(#REF!,"AAAAAGl/fkA=")</f>
        <v>#REF!</v>
      </c>
      <c r="BN353" t="e">
        <f>AND(#REF!,"AAAAAGl/fkE=")</f>
        <v>#REF!</v>
      </c>
      <c r="BO353" t="e">
        <f>AND(#REF!,"AAAAAGl/fkI=")</f>
        <v>#REF!</v>
      </c>
      <c r="BP353" t="e">
        <f>AND(#REF!,"AAAAAGl/fkM=")</f>
        <v>#REF!</v>
      </c>
      <c r="BQ353" t="e">
        <f>AND(#REF!,"AAAAAGl/fkQ=")</f>
        <v>#REF!</v>
      </c>
      <c r="BR353" t="e">
        <f>AND(#REF!,"AAAAAGl/fkU=")</f>
        <v>#REF!</v>
      </c>
      <c r="BS353" t="e">
        <f>AND(#REF!,"AAAAAGl/fkY=")</f>
        <v>#REF!</v>
      </c>
      <c r="BT353" t="e">
        <f>AND(#REF!,"AAAAAGl/fkc=")</f>
        <v>#REF!</v>
      </c>
      <c r="BU353" t="e">
        <f>AND(#REF!,"AAAAAGl/fkg=")</f>
        <v>#REF!</v>
      </c>
      <c r="BV353" t="e">
        <f>IF(#REF!,"AAAAAGl/fkk=",0)</f>
        <v>#REF!</v>
      </c>
      <c r="BW353" t="e">
        <f>AND(#REF!,"AAAAAGl/fko=")</f>
        <v>#REF!</v>
      </c>
      <c r="BX353" t="e">
        <f>AND(#REF!,"AAAAAGl/fks=")</f>
        <v>#REF!</v>
      </c>
      <c r="BY353" t="e">
        <f>AND(#REF!,"AAAAAGl/fkw=")</f>
        <v>#REF!</v>
      </c>
      <c r="BZ353" t="e">
        <f>AND(#REF!,"AAAAAGl/fk0=")</f>
        <v>#REF!</v>
      </c>
      <c r="CA353" t="e">
        <f>AND(#REF!,"AAAAAGl/fk4=")</f>
        <v>#REF!</v>
      </c>
      <c r="CB353" t="e">
        <f>AND(#REF!,"AAAAAGl/fk8=")</f>
        <v>#REF!</v>
      </c>
      <c r="CC353" t="e">
        <f>AND(#REF!,"AAAAAGl/flA=")</f>
        <v>#REF!</v>
      </c>
      <c r="CD353" t="e">
        <f>AND(#REF!,"AAAAAGl/flE=")</f>
        <v>#REF!</v>
      </c>
      <c r="CE353" t="e">
        <f>AND(#REF!,"AAAAAGl/flI=")</f>
        <v>#REF!</v>
      </c>
      <c r="CF353" t="e">
        <f>AND(#REF!,"AAAAAGl/flM=")</f>
        <v>#REF!</v>
      </c>
      <c r="CG353" t="e">
        <f>IF(#REF!,"AAAAAGl/flQ=",0)</f>
        <v>#REF!</v>
      </c>
      <c r="CH353" t="e">
        <f>AND(#REF!,"AAAAAGl/flU=")</f>
        <v>#REF!</v>
      </c>
      <c r="CI353" t="e">
        <f>AND(#REF!,"AAAAAGl/flY=")</f>
        <v>#REF!</v>
      </c>
      <c r="CJ353" t="e">
        <f>AND(#REF!,"AAAAAGl/flc=")</f>
        <v>#REF!</v>
      </c>
      <c r="CK353" t="e">
        <f>AND(#REF!,"AAAAAGl/flg=")</f>
        <v>#REF!</v>
      </c>
      <c r="CL353" t="e">
        <f>AND(#REF!,"AAAAAGl/flk=")</f>
        <v>#REF!</v>
      </c>
      <c r="CM353" t="e">
        <f>AND(#REF!,"AAAAAGl/flo=")</f>
        <v>#REF!</v>
      </c>
      <c r="CN353" t="e">
        <f>AND(#REF!,"AAAAAGl/fls=")</f>
        <v>#REF!</v>
      </c>
      <c r="CO353" t="e">
        <f>AND(#REF!,"AAAAAGl/flw=")</f>
        <v>#REF!</v>
      </c>
      <c r="CP353" t="e">
        <f>AND(#REF!,"AAAAAGl/fl0=")</f>
        <v>#REF!</v>
      </c>
      <c r="CQ353" t="e">
        <f>AND(#REF!,"AAAAAGl/fl4=")</f>
        <v>#REF!</v>
      </c>
      <c r="CR353" t="e">
        <f>IF(#REF!,"AAAAAGl/fl8=",0)</f>
        <v>#REF!</v>
      </c>
      <c r="CS353" t="e">
        <f>AND(#REF!,"AAAAAGl/fmA=")</f>
        <v>#REF!</v>
      </c>
      <c r="CT353" t="e">
        <f>AND(#REF!,"AAAAAGl/fmE=")</f>
        <v>#REF!</v>
      </c>
      <c r="CU353" t="e">
        <f>AND(#REF!,"AAAAAGl/fmI=")</f>
        <v>#REF!</v>
      </c>
      <c r="CV353" t="e">
        <f>AND(#REF!,"AAAAAGl/fmM=")</f>
        <v>#REF!</v>
      </c>
      <c r="CW353" t="e">
        <f>AND(#REF!,"AAAAAGl/fmQ=")</f>
        <v>#REF!</v>
      </c>
      <c r="CX353" t="e">
        <f>AND(#REF!,"AAAAAGl/fmU=")</f>
        <v>#REF!</v>
      </c>
      <c r="CY353" t="e">
        <f>AND(#REF!,"AAAAAGl/fmY=")</f>
        <v>#REF!</v>
      </c>
      <c r="CZ353" t="e">
        <f>AND(#REF!,"AAAAAGl/fmc=")</f>
        <v>#REF!</v>
      </c>
      <c r="DA353" t="e">
        <f>AND(#REF!,"AAAAAGl/fmg=")</f>
        <v>#REF!</v>
      </c>
      <c r="DB353" t="e">
        <f>AND(#REF!,"AAAAAGl/fmk=")</f>
        <v>#REF!</v>
      </c>
      <c r="DC353" t="e">
        <f>IF(#REF!,"AAAAAGl/fmo=",0)</f>
        <v>#REF!</v>
      </c>
      <c r="DD353" t="e">
        <f>AND(#REF!,"AAAAAGl/fms=")</f>
        <v>#REF!</v>
      </c>
      <c r="DE353" t="e">
        <f>AND(#REF!,"AAAAAGl/fmw=")</f>
        <v>#REF!</v>
      </c>
      <c r="DF353" t="e">
        <f>AND(#REF!,"AAAAAGl/fm0=")</f>
        <v>#REF!</v>
      </c>
      <c r="DG353" t="e">
        <f>AND(#REF!,"AAAAAGl/fm4=")</f>
        <v>#REF!</v>
      </c>
      <c r="DH353" t="e">
        <f>AND(#REF!,"AAAAAGl/fm8=")</f>
        <v>#REF!</v>
      </c>
      <c r="DI353" t="e">
        <f>AND(#REF!,"AAAAAGl/fnA=")</f>
        <v>#REF!</v>
      </c>
      <c r="DJ353" t="e">
        <f>AND(#REF!,"AAAAAGl/fnE=")</f>
        <v>#REF!</v>
      </c>
      <c r="DK353" t="e">
        <f>AND(#REF!,"AAAAAGl/fnI=")</f>
        <v>#REF!</v>
      </c>
      <c r="DL353" t="e">
        <f>AND(#REF!,"AAAAAGl/fnM=")</f>
        <v>#REF!</v>
      </c>
      <c r="DM353" t="e">
        <f>AND(#REF!,"AAAAAGl/fnQ=")</f>
        <v>#REF!</v>
      </c>
      <c r="DN353" t="e">
        <f>IF(#REF!,"AAAAAGl/fnU=",0)</f>
        <v>#REF!</v>
      </c>
      <c r="DO353" t="e">
        <f>AND(#REF!,"AAAAAGl/fnY=")</f>
        <v>#REF!</v>
      </c>
      <c r="DP353" t="e">
        <f>AND(#REF!,"AAAAAGl/fnc=")</f>
        <v>#REF!</v>
      </c>
      <c r="DQ353" t="e">
        <f>AND(#REF!,"AAAAAGl/fng=")</f>
        <v>#REF!</v>
      </c>
      <c r="DR353" t="e">
        <f>AND(#REF!,"AAAAAGl/fnk=")</f>
        <v>#REF!</v>
      </c>
      <c r="DS353" t="e">
        <f>AND(#REF!,"AAAAAGl/fno=")</f>
        <v>#REF!</v>
      </c>
      <c r="DT353" t="e">
        <f>AND(#REF!,"AAAAAGl/fns=")</f>
        <v>#REF!</v>
      </c>
      <c r="DU353" t="e">
        <f>AND(#REF!,"AAAAAGl/fnw=")</f>
        <v>#REF!</v>
      </c>
      <c r="DV353" t="e">
        <f>AND(#REF!,"AAAAAGl/fn0=")</f>
        <v>#REF!</v>
      </c>
      <c r="DW353" t="e">
        <f>AND(#REF!,"AAAAAGl/fn4=")</f>
        <v>#REF!</v>
      </c>
      <c r="DX353" t="e">
        <f>AND(#REF!,"AAAAAGl/fn8=")</f>
        <v>#REF!</v>
      </c>
      <c r="DY353" t="e">
        <f>IF(#REF!,"AAAAAGl/foA=",0)</f>
        <v>#REF!</v>
      </c>
      <c r="DZ353" t="e">
        <f>AND(#REF!,"AAAAAGl/foE=")</f>
        <v>#REF!</v>
      </c>
      <c r="EA353" t="e">
        <f>AND(#REF!,"AAAAAGl/foI=")</f>
        <v>#REF!</v>
      </c>
      <c r="EB353" t="e">
        <f>AND(#REF!,"AAAAAGl/foM=")</f>
        <v>#REF!</v>
      </c>
      <c r="EC353" t="e">
        <f>AND(#REF!,"AAAAAGl/foQ=")</f>
        <v>#REF!</v>
      </c>
      <c r="ED353" t="e">
        <f>AND(#REF!,"AAAAAGl/foU=")</f>
        <v>#REF!</v>
      </c>
      <c r="EE353" t="e">
        <f>AND(#REF!,"AAAAAGl/foY=")</f>
        <v>#REF!</v>
      </c>
      <c r="EF353" t="e">
        <f>AND(#REF!,"AAAAAGl/foc=")</f>
        <v>#REF!</v>
      </c>
      <c r="EG353" t="e">
        <f>AND(#REF!,"AAAAAGl/fog=")</f>
        <v>#REF!</v>
      </c>
      <c r="EH353" t="e">
        <f>AND(#REF!,"AAAAAGl/fok=")</f>
        <v>#REF!</v>
      </c>
      <c r="EI353" t="e">
        <f>AND(#REF!,"AAAAAGl/foo=")</f>
        <v>#REF!</v>
      </c>
      <c r="EJ353" t="e">
        <f>IF(#REF!,"AAAAAGl/fos=",0)</f>
        <v>#REF!</v>
      </c>
      <c r="EK353" t="e">
        <f>AND(#REF!,"AAAAAGl/fow=")</f>
        <v>#REF!</v>
      </c>
      <c r="EL353" t="e">
        <f>AND(#REF!,"AAAAAGl/fo0=")</f>
        <v>#REF!</v>
      </c>
      <c r="EM353" t="e">
        <f>AND(#REF!,"AAAAAGl/fo4=")</f>
        <v>#REF!</v>
      </c>
      <c r="EN353" t="e">
        <f>AND(#REF!,"AAAAAGl/fo8=")</f>
        <v>#REF!</v>
      </c>
      <c r="EO353" t="e">
        <f>AND(#REF!,"AAAAAGl/fpA=")</f>
        <v>#REF!</v>
      </c>
      <c r="EP353" t="e">
        <f>AND(#REF!,"AAAAAGl/fpE=")</f>
        <v>#REF!</v>
      </c>
      <c r="EQ353" t="e">
        <f>AND(#REF!,"AAAAAGl/fpI=")</f>
        <v>#REF!</v>
      </c>
      <c r="ER353" t="e">
        <f>AND(#REF!,"AAAAAGl/fpM=")</f>
        <v>#REF!</v>
      </c>
      <c r="ES353" t="e">
        <f>AND(#REF!,"AAAAAGl/fpQ=")</f>
        <v>#REF!</v>
      </c>
      <c r="ET353" t="e">
        <f>AND(#REF!,"AAAAAGl/fpU=")</f>
        <v>#REF!</v>
      </c>
      <c r="EU353" t="e">
        <f>IF(#REF!,"AAAAAGl/fpY=",0)</f>
        <v>#REF!</v>
      </c>
      <c r="EV353" t="e">
        <f>AND(#REF!,"AAAAAGl/fpc=")</f>
        <v>#REF!</v>
      </c>
      <c r="EW353" t="e">
        <f>AND(#REF!,"AAAAAGl/fpg=")</f>
        <v>#REF!</v>
      </c>
      <c r="EX353" t="e">
        <f>AND(#REF!,"AAAAAGl/fpk=")</f>
        <v>#REF!</v>
      </c>
      <c r="EY353" t="e">
        <f>AND(#REF!,"AAAAAGl/fpo=")</f>
        <v>#REF!</v>
      </c>
      <c r="EZ353" t="e">
        <f>AND(#REF!,"AAAAAGl/fps=")</f>
        <v>#REF!</v>
      </c>
      <c r="FA353" t="e">
        <f>AND(#REF!,"AAAAAGl/fpw=")</f>
        <v>#REF!</v>
      </c>
      <c r="FB353" t="e">
        <f>AND(#REF!,"AAAAAGl/fp0=")</f>
        <v>#REF!</v>
      </c>
      <c r="FC353" t="e">
        <f>AND(#REF!,"AAAAAGl/fp4=")</f>
        <v>#REF!</v>
      </c>
      <c r="FD353" t="e">
        <f>AND(#REF!,"AAAAAGl/fp8=")</f>
        <v>#REF!</v>
      </c>
      <c r="FE353" t="e">
        <f>AND(#REF!,"AAAAAGl/fqA=")</f>
        <v>#REF!</v>
      </c>
      <c r="FF353" t="e">
        <f>IF(#REF!,"AAAAAGl/fqE=",0)</f>
        <v>#REF!</v>
      </c>
      <c r="FG353" t="e">
        <f>AND(#REF!,"AAAAAGl/fqI=")</f>
        <v>#REF!</v>
      </c>
      <c r="FH353" t="e">
        <f>AND(#REF!,"AAAAAGl/fqM=")</f>
        <v>#REF!</v>
      </c>
      <c r="FI353" t="e">
        <f>AND(#REF!,"AAAAAGl/fqQ=")</f>
        <v>#REF!</v>
      </c>
      <c r="FJ353" t="e">
        <f>AND(#REF!,"AAAAAGl/fqU=")</f>
        <v>#REF!</v>
      </c>
      <c r="FK353" t="e">
        <f>AND(#REF!,"AAAAAGl/fqY=")</f>
        <v>#REF!</v>
      </c>
      <c r="FL353" t="e">
        <f>AND(#REF!,"AAAAAGl/fqc=")</f>
        <v>#REF!</v>
      </c>
      <c r="FM353" t="e">
        <f>AND(#REF!,"AAAAAGl/fqg=")</f>
        <v>#REF!</v>
      </c>
      <c r="FN353" t="e">
        <f>AND(#REF!,"AAAAAGl/fqk=")</f>
        <v>#REF!</v>
      </c>
      <c r="FO353" t="e">
        <f>AND(#REF!,"AAAAAGl/fqo=")</f>
        <v>#REF!</v>
      </c>
      <c r="FP353" t="e">
        <f>AND(#REF!,"AAAAAGl/fqs=")</f>
        <v>#REF!</v>
      </c>
      <c r="FQ353" t="e">
        <f>IF(#REF!,"AAAAAGl/fqw=",0)</f>
        <v>#REF!</v>
      </c>
      <c r="FR353" t="e">
        <f>AND(#REF!,"AAAAAGl/fq0=")</f>
        <v>#REF!</v>
      </c>
      <c r="FS353" t="e">
        <f>AND(#REF!,"AAAAAGl/fq4=")</f>
        <v>#REF!</v>
      </c>
      <c r="FT353" t="e">
        <f>AND(#REF!,"AAAAAGl/fq8=")</f>
        <v>#REF!</v>
      </c>
      <c r="FU353" t="e">
        <f>AND(#REF!,"AAAAAGl/frA=")</f>
        <v>#REF!</v>
      </c>
      <c r="FV353" t="e">
        <f>AND(#REF!,"AAAAAGl/frE=")</f>
        <v>#REF!</v>
      </c>
      <c r="FW353" t="e">
        <f>AND(#REF!,"AAAAAGl/frI=")</f>
        <v>#REF!</v>
      </c>
      <c r="FX353" t="e">
        <f>AND(#REF!,"AAAAAGl/frM=")</f>
        <v>#REF!</v>
      </c>
      <c r="FY353" t="e">
        <f>AND(#REF!,"AAAAAGl/frQ=")</f>
        <v>#REF!</v>
      </c>
      <c r="FZ353" t="e">
        <f>AND(#REF!,"AAAAAGl/frU=")</f>
        <v>#REF!</v>
      </c>
      <c r="GA353" t="e">
        <f>AND(#REF!,"AAAAAGl/frY=")</f>
        <v>#REF!</v>
      </c>
      <c r="GB353" t="e">
        <f>IF(#REF!,"AAAAAGl/frc=",0)</f>
        <v>#REF!</v>
      </c>
      <c r="GC353" t="e">
        <f>AND(#REF!,"AAAAAGl/frg=")</f>
        <v>#REF!</v>
      </c>
      <c r="GD353" t="e">
        <f>AND(#REF!,"AAAAAGl/frk=")</f>
        <v>#REF!</v>
      </c>
      <c r="GE353" t="e">
        <f>AND(#REF!,"AAAAAGl/fro=")</f>
        <v>#REF!</v>
      </c>
      <c r="GF353" t="e">
        <f>AND(#REF!,"AAAAAGl/frs=")</f>
        <v>#REF!</v>
      </c>
      <c r="GG353" t="e">
        <f>AND(#REF!,"AAAAAGl/frw=")</f>
        <v>#REF!</v>
      </c>
      <c r="GH353" t="e">
        <f>AND(#REF!,"AAAAAGl/fr0=")</f>
        <v>#REF!</v>
      </c>
      <c r="GI353" t="e">
        <f>AND(#REF!,"AAAAAGl/fr4=")</f>
        <v>#REF!</v>
      </c>
      <c r="GJ353" t="e">
        <f>AND(#REF!,"AAAAAGl/fr8=")</f>
        <v>#REF!</v>
      </c>
      <c r="GK353" t="e">
        <f>AND(#REF!,"AAAAAGl/fsA=")</f>
        <v>#REF!</v>
      </c>
      <c r="GL353" t="e">
        <f>AND(#REF!,"AAAAAGl/fsE=")</f>
        <v>#REF!</v>
      </c>
      <c r="GM353" t="e">
        <f>IF(#REF!,"AAAAAGl/fsI=",0)</f>
        <v>#REF!</v>
      </c>
      <c r="GN353" t="e">
        <f>AND(#REF!,"AAAAAGl/fsM=")</f>
        <v>#REF!</v>
      </c>
      <c r="GO353" t="e">
        <f>AND(#REF!,"AAAAAGl/fsQ=")</f>
        <v>#REF!</v>
      </c>
      <c r="GP353" t="e">
        <f>AND(#REF!,"AAAAAGl/fsU=")</f>
        <v>#REF!</v>
      </c>
      <c r="GQ353" t="e">
        <f>AND(#REF!,"AAAAAGl/fsY=")</f>
        <v>#REF!</v>
      </c>
      <c r="GR353" t="e">
        <f>AND(#REF!,"AAAAAGl/fsc=")</f>
        <v>#REF!</v>
      </c>
      <c r="GS353" t="e">
        <f>AND(#REF!,"AAAAAGl/fsg=")</f>
        <v>#REF!</v>
      </c>
      <c r="GT353" t="e">
        <f>AND(#REF!,"AAAAAGl/fsk=")</f>
        <v>#REF!</v>
      </c>
      <c r="GU353" t="e">
        <f>AND(#REF!,"AAAAAGl/fso=")</f>
        <v>#REF!</v>
      </c>
      <c r="GV353" t="e">
        <f>AND(#REF!,"AAAAAGl/fss=")</f>
        <v>#REF!</v>
      </c>
      <c r="GW353" t="e">
        <f>AND(#REF!,"AAAAAGl/fsw=")</f>
        <v>#REF!</v>
      </c>
      <c r="GX353" t="e">
        <f>IF(#REF!,"AAAAAGl/fs0=",0)</f>
        <v>#REF!</v>
      </c>
      <c r="GY353" t="e">
        <f>AND(#REF!,"AAAAAGl/fs4=")</f>
        <v>#REF!</v>
      </c>
      <c r="GZ353" t="e">
        <f>AND(#REF!,"AAAAAGl/fs8=")</f>
        <v>#REF!</v>
      </c>
      <c r="HA353" t="e">
        <f>AND(#REF!,"AAAAAGl/ftA=")</f>
        <v>#REF!</v>
      </c>
      <c r="HB353" t="e">
        <f>AND(#REF!,"AAAAAGl/ftE=")</f>
        <v>#REF!</v>
      </c>
      <c r="HC353" t="e">
        <f>AND(#REF!,"AAAAAGl/ftI=")</f>
        <v>#REF!</v>
      </c>
      <c r="HD353" t="e">
        <f>AND(#REF!,"AAAAAGl/ftM=")</f>
        <v>#REF!</v>
      </c>
      <c r="HE353" t="e">
        <f>AND(#REF!,"AAAAAGl/ftQ=")</f>
        <v>#REF!</v>
      </c>
      <c r="HF353" t="e">
        <f>AND(#REF!,"AAAAAGl/ftU=")</f>
        <v>#REF!</v>
      </c>
      <c r="HG353" t="e">
        <f>AND(#REF!,"AAAAAGl/ftY=")</f>
        <v>#REF!</v>
      </c>
      <c r="HH353" t="e">
        <f>AND(#REF!,"AAAAAGl/ftc=")</f>
        <v>#REF!</v>
      </c>
      <c r="HI353" t="e">
        <f>IF(#REF!,"AAAAAGl/ftg=",0)</f>
        <v>#REF!</v>
      </c>
      <c r="HJ353" t="e">
        <f>AND(#REF!,"AAAAAGl/ftk=")</f>
        <v>#REF!</v>
      </c>
      <c r="HK353" t="e">
        <f>AND(#REF!,"AAAAAGl/fto=")</f>
        <v>#REF!</v>
      </c>
      <c r="HL353" t="e">
        <f>AND(#REF!,"AAAAAGl/fts=")</f>
        <v>#REF!</v>
      </c>
      <c r="HM353" t="e">
        <f>AND(#REF!,"AAAAAGl/ftw=")</f>
        <v>#REF!</v>
      </c>
      <c r="HN353" t="e">
        <f>AND(#REF!,"AAAAAGl/ft0=")</f>
        <v>#REF!</v>
      </c>
      <c r="HO353" t="e">
        <f>AND(#REF!,"AAAAAGl/ft4=")</f>
        <v>#REF!</v>
      </c>
      <c r="HP353" t="e">
        <f>AND(#REF!,"AAAAAGl/ft8=")</f>
        <v>#REF!</v>
      </c>
      <c r="HQ353" t="e">
        <f>AND(#REF!,"AAAAAGl/fuA=")</f>
        <v>#REF!</v>
      </c>
      <c r="HR353" t="e">
        <f>AND(#REF!,"AAAAAGl/fuE=")</f>
        <v>#REF!</v>
      </c>
      <c r="HS353" t="e">
        <f>AND(#REF!,"AAAAAGl/fuI=")</f>
        <v>#REF!</v>
      </c>
      <c r="HT353" t="e">
        <f>IF(#REF!,"AAAAAGl/fuM=",0)</f>
        <v>#REF!</v>
      </c>
      <c r="HU353" t="e">
        <f>AND(#REF!,"AAAAAGl/fuQ=")</f>
        <v>#REF!</v>
      </c>
      <c r="HV353" t="e">
        <f>AND(#REF!,"AAAAAGl/fuU=")</f>
        <v>#REF!</v>
      </c>
      <c r="HW353" t="e">
        <f>AND(#REF!,"AAAAAGl/fuY=")</f>
        <v>#REF!</v>
      </c>
      <c r="HX353" t="e">
        <f>AND(#REF!,"AAAAAGl/fuc=")</f>
        <v>#REF!</v>
      </c>
      <c r="HY353" t="e">
        <f>AND(#REF!,"AAAAAGl/fug=")</f>
        <v>#REF!</v>
      </c>
      <c r="HZ353" t="e">
        <f>AND(#REF!,"AAAAAGl/fuk=")</f>
        <v>#REF!</v>
      </c>
      <c r="IA353" t="e">
        <f>AND(#REF!,"AAAAAGl/fuo=")</f>
        <v>#REF!</v>
      </c>
      <c r="IB353" t="e">
        <f>AND(#REF!,"AAAAAGl/fus=")</f>
        <v>#REF!</v>
      </c>
      <c r="IC353" t="e">
        <f>AND(#REF!,"AAAAAGl/fuw=")</f>
        <v>#REF!</v>
      </c>
      <c r="ID353" t="e">
        <f>AND(#REF!,"AAAAAGl/fu0=")</f>
        <v>#REF!</v>
      </c>
      <c r="IE353" t="e">
        <f>IF(#REF!,"AAAAAGl/fu4=",0)</f>
        <v>#REF!</v>
      </c>
      <c r="IF353" t="e">
        <f>AND(#REF!,"AAAAAGl/fu8=")</f>
        <v>#REF!</v>
      </c>
      <c r="IG353" t="e">
        <f>AND(#REF!,"AAAAAGl/fvA=")</f>
        <v>#REF!</v>
      </c>
      <c r="IH353" t="e">
        <f>AND(#REF!,"AAAAAGl/fvE=")</f>
        <v>#REF!</v>
      </c>
      <c r="II353" t="e">
        <f>AND(#REF!,"AAAAAGl/fvI=")</f>
        <v>#REF!</v>
      </c>
      <c r="IJ353" t="e">
        <f>AND(#REF!,"AAAAAGl/fvM=")</f>
        <v>#REF!</v>
      </c>
      <c r="IK353" t="e">
        <f>AND(#REF!,"AAAAAGl/fvQ=")</f>
        <v>#REF!</v>
      </c>
      <c r="IL353" t="e">
        <f>AND(#REF!,"AAAAAGl/fvU=")</f>
        <v>#REF!</v>
      </c>
      <c r="IM353" t="e">
        <f>AND(#REF!,"AAAAAGl/fvY=")</f>
        <v>#REF!</v>
      </c>
      <c r="IN353" t="e">
        <f>AND(#REF!,"AAAAAGl/fvc=")</f>
        <v>#REF!</v>
      </c>
      <c r="IO353" t="e">
        <f>AND(#REF!,"AAAAAGl/fvg=")</f>
        <v>#REF!</v>
      </c>
      <c r="IP353" t="e">
        <f>IF(#REF!,"AAAAAGl/fvk=",0)</f>
        <v>#REF!</v>
      </c>
      <c r="IQ353" t="e">
        <f>AND(#REF!,"AAAAAGl/fvo=")</f>
        <v>#REF!</v>
      </c>
      <c r="IR353" t="e">
        <f>AND(#REF!,"AAAAAGl/fvs=")</f>
        <v>#REF!</v>
      </c>
      <c r="IS353" t="e">
        <f>AND(#REF!,"AAAAAGl/fvw=")</f>
        <v>#REF!</v>
      </c>
      <c r="IT353" t="e">
        <f>AND(#REF!,"AAAAAGl/fv0=")</f>
        <v>#REF!</v>
      </c>
      <c r="IU353" t="e">
        <f>AND(#REF!,"AAAAAGl/fv4=")</f>
        <v>#REF!</v>
      </c>
      <c r="IV353" t="e">
        <f>AND(#REF!,"AAAAAGl/fv8=")</f>
        <v>#REF!</v>
      </c>
    </row>
    <row r="354" spans="1:256" x14ac:dyDescent="0.25">
      <c r="A354" t="e">
        <f>AND(#REF!,"AAAAAH/lVgA=")</f>
        <v>#REF!</v>
      </c>
      <c r="B354" t="e">
        <f>AND(#REF!,"AAAAAH/lVgE=")</f>
        <v>#REF!</v>
      </c>
      <c r="C354" t="e">
        <f>AND(#REF!,"AAAAAH/lVgI=")</f>
        <v>#REF!</v>
      </c>
      <c r="D354" t="e">
        <f>AND(#REF!,"AAAAAH/lVgM=")</f>
        <v>#REF!</v>
      </c>
      <c r="E354" t="e">
        <f>IF(#REF!,"AAAAAH/lVgQ=",0)</f>
        <v>#REF!</v>
      </c>
      <c r="F354" t="e">
        <f>AND(#REF!,"AAAAAH/lVgU=")</f>
        <v>#REF!</v>
      </c>
      <c r="G354" t="e">
        <f>AND(#REF!,"AAAAAH/lVgY=")</f>
        <v>#REF!</v>
      </c>
      <c r="H354" t="e">
        <f>AND(#REF!,"AAAAAH/lVgc=")</f>
        <v>#REF!</v>
      </c>
      <c r="I354" t="e">
        <f>AND(#REF!,"AAAAAH/lVgg=")</f>
        <v>#REF!</v>
      </c>
      <c r="J354" t="e">
        <f>AND(#REF!,"AAAAAH/lVgk=")</f>
        <v>#REF!</v>
      </c>
      <c r="K354" t="e">
        <f>AND(#REF!,"AAAAAH/lVgo=")</f>
        <v>#REF!</v>
      </c>
      <c r="L354" t="e">
        <f>AND(#REF!,"AAAAAH/lVgs=")</f>
        <v>#REF!</v>
      </c>
      <c r="M354" t="e">
        <f>AND(#REF!,"AAAAAH/lVgw=")</f>
        <v>#REF!</v>
      </c>
      <c r="N354" t="e">
        <f>AND(#REF!,"AAAAAH/lVg0=")</f>
        <v>#REF!</v>
      </c>
      <c r="O354" t="e">
        <f>AND(#REF!,"AAAAAH/lVg4=")</f>
        <v>#REF!</v>
      </c>
      <c r="P354" t="e">
        <f>IF(#REF!,"AAAAAH/lVg8=",0)</f>
        <v>#REF!</v>
      </c>
      <c r="Q354" t="e">
        <f>AND(#REF!,"AAAAAH/lVhA=")</f>
        <v>#REF!</v>
      </c>
      <c r="R354" t="e">
        <f>AND(#REF!,"AAAAAH/lVhE=")</f>
        <v>#REF!</v>
      </c>
      <c r="S354" t="e">
        <f>AND(#REF!,"AAAAAH/lVhI=")</f>
        <v>#REF!</v>
      </c>
      <c r="T354" t="e">
        <f>AND(#REF!,"AAAAAH/lVhM=")</f>
        <v>#REF!</v>
      </c>
      <c r="U354" t="e">
        <f>AND(#REF!,"AAAAAH/lVhQ=")</f>
        <v>#REF!</v>
      </c>
      <c r="V354" t="e">
        <f>AND(#REF!,"AAAAAH/lVhU=")</f>
        <v>#REF!</v>
      </c>
      <c r="W354" t="e">
        <f>AND(#REF!,"AAAAAH/lVhY=")</f>
        <v>#REF!</v>
      </c>
      <c r="X354" t="e">
        <f>AND(#REF!,"AAAAAH/lVhc=")</f>
        <v>#REF!</v>
      </c>
      <c r="Y354" t="e">
        <f>AND(#REF!,"AAAAAH/lVhg=")</f>
        <v>#REF!</v>
      </c>
      <c r="Z354" t="e">
        <f>AND(#REF!,"AAAAAH/lVhk=")</f>
        <v>#REF!</v>
      </c>
      <c r="AA354" t="e">
        <f>IF(#REF!,"AAAAAH/lVho=",0)</f>
        <v>#REF!</v>
      </c>
      <c r="AB354" t="e">
        <f>AND(#REF!,"AAAAAH/lVhs=")</f>
        <v>#REF!</v>
      </c>
      <c r="AC354" t="e">
        <f>AND(#REF!,"AAAAAH/lVhw=")</f>
        <v>#REF!</v>
      </c>
      <c r="AD354" t="e">
        <f>AND(#REF!,"AAAAAH/lVh0=")</f>
        <v>#REF!</v>
      </c>
      <c r="AE354" t="e">
        <f>AND(#REF!,"AAAAAH/lVh4=")</f>
        <v>#REF!</v>
      </c>
      <c r="AF354" t="e">
        <f>AND(#REF!,"AAAAAH/lVh8=")</f>
        <v>#REF!</v>
      </c>
      <c r="AG354" t="e">
        <f>AND(#REF!,"AAAAAH/lViA=")</f>
        <v>#REF!</v>
      </c>
      <c r="AH354" t="e">
        <f>AND(#REF!,"AAAAAH/lViE=")</f>
        <v>#REF!</v>
      </c>
      <c r="AI354" t="e">
        <f>AND(#REF!,"AAAAAH/lViI=")</f>
        <v>#REF!</v>
      </c>
      <c r="AJ354" t="e">
        <f>AND(#REF!,"AAAAAH/lViM=")</f>
        <v>#REF!</v>
      </c>
      <c r="AK354" t="e">
        <f>AND(#REF!,"AAAAAH/lViQ=")</f>
        <v>#REF!</v>
      </c>
      <c r="AL354" t="e">
        <f>IF(#REF!,"AAAAAH/lViU=",0)</f>
        <v>#REF!</v>
      </c>
      <c r="AM354" t="e">
        <f>AND(#REF!,"AAAAAH/lViY=")</f>
        <v>#REF!</v>
      </c>
      <c r="AN354" t="e">
        <f>AND(#REF!,"AAAAAH/lVic=")</f>
        <v>#REF!</v>
      </c>
      <c r="AO354" t="e">
        <f>AND(#REF!,"AAAAAH/lVig=")</f>
        <v>#REF!</v>
      </c>
      <c r="AP354" t="e">
        <f>AND(#REF!,"AAAAAH/lVik=")</f>
        <v>#REF!</v>
      </c>
      <c r="AQ354" t="e">
        <f>AND(#REF!,"AAAAAH/lVio=")</f>
        <v>#REF!</v>
      </c>
      <c r="AR354" t="e">
        <f>AND(#REF!,"AAAAAH/lVis=")</f>
        <v>#REF!</v>
      </c>
      <c r="AS354" t="e">
        <f>AND(#REF!,"AAAAAH/lViw=")</f>
        <v>#REF!</v>
      </c>
      <c r="AT354" t="e">
        <f>AND(#REF!,"AAAAAH/lVi0=")</f>
        <v>#REF!</v>
      </c>
      <c r="AU354" t="e">
        <f>AND(#REF!,"AAAAAH/lVi4=")</f>
        <v>#REF!</v>
      </c>
      <c r="AV354" t="e">
        <f>AND(#REF!,"AAAAAH/lVi8=")</f>
        <v>#REF!</v>
      </c>
      <c r="AW354" t="e">
        <f>IF(#REF!,"AAAAAH/lVjA=",0)</f>
        <v>#REF!</v>
      </c>
      <c r="AX354" t="e">
        <f>AND(#REF!,"AAAAAH/lVjE=")</f>
        <v>#REF!</v>
      </c>
      <c r="AY354" t="e">
        <f>AND(#REF!,"AAAAAH/lVjI=")</f>
        <v>#REF!</v>
      </c>
      <c r="AZ354" t="e">
        <f>AND(#REF!,"AAAAAH/lVjM=")</f>
        <v>#REF!</v>
      </c>
      <c r="BA354" t="e">
        <f>AND(#REF!,"AAAAAH/lVjQ=")</f>
        <v>#REF!</v>
      </c>
      <c r="BB354" t="e">
        <f>AND(#REF!,"AAAAAH/lVjU=")</f>
        <v>#REF!</v>
      </c>
      <c r="BC354" t="e">
        <f>AND(#REF!,"AAAAAH/lVjY=")</f>
        <v>#REF!</v>
      </c>
      <c r="BD354" t="e">
        <f>AND(#REF!,"AAAAAH/lVjc=")</f>
        <v>#REF!</v>
      </c>
      <c r="BE354" t="e">
        <f>AND(#REF!,"AAAAAH/lVjg=")</f>
        <v>#REF!</v>
      </c>
      <c r="BF354" t="e">
        <f>AND(#REF!,"AAAAAH/lVjk=")</f>
        <v>#REF!</v>
      </c>
      <c r="BG354" t="e">
        <f>AND(#REF!,"AAAAAH/lVjo=")</f>
        <v>#REF!</v>
      </c>
      <c r="BH354" t="e">
        <f>IF(#REF!,"AAAAAH/lVjs=",0)</f>
        <v>#REF!</v>
      </c>
      <c r="BI354" t="e">
        <f>AND(#REF!,"AAAAAH/lVjw=")</f>
        <v>#REF!</v>
      </c>
      <c r="BJ354" t="e">
        <f>AND(#REF!,"AAAAAH/lVj0=")</f>
        <v>#REF!</v>
      </c>
      <c r="BK354" t="e">
        <f>AND(#REF!,"AAAAAH/lVj4=")</f>
        <v>#REF!</v>
      </c>
      <c r="BL354" t="e">
        <f>AND(#REF!,"AAAAAH/lVj8=")</f>
        <v>#REF!</v>
      </c>
      <c r="BM354" t="e">
        <f>AND(#REF!,"AAAAAH/lVkA=")</f>
        <v>#REF!</v>
      </c>
      <c r="BN354" t="e">
        <f>AND(#REF!,"AAAAAH/lVkE=")</f>
        <v>#REF!</v>
      </c>
      <c r="BO354" t="e">
        <f>AND(#REF!,"AAAAAH/lVkI=")</f>
        <v>#REF!</v>
      </c>
      <c r="BP354" t="e">
        <f>AND(#REF!,"AAAAAH/lVkM=")</f>
        <v>#REF!</v>
      </c>
      <c r="BQ354" t="e">
        <f>AND(#REF!,"AAAAAH/lVkQ=")</f>
        <v>#REF!</v>
      </c>
      <c r="BR354" t="e">
        <f>AND(#REF!,"AAAAAH/lVkU=")</f>
        <v>#REF!</v>
      </c>
      <c r="BS354" t="e">
        <f>IF(#REF!,"AAAAAH/lVkY=",0)</f>
        <v>#REF!</v>
      </c>
      <c r="BT354" t="e">
        <f>AND(#REF!,"AAAAAH/lVkc=")</f>
        <v>#REF!</v>
      </c>
      <c r="BU354" t="e">
        <f>AND(#REF!,"AAAAAH/lVkg=")</f>
        <v>#REF!</v>
      </c>
      <c r="BV354" t="e">
        <f>AND(#REF!,"AAAAAH/lVkk=")</f>
        <v>#REF!</v>
      </c>
      <c r="BW354" t="e">
        <f>AND(#REF!,"AAAAAH/lVko=")</f>
        <v>#REF!</v>
      </c>
      <c r="BX354" t="e">
        <f>AND(#REF!,"AAAAAH/lVks=")</f>
        <v>#REF!</v>
      </c>
      <c r="BY354" t="e">
        <f>AND(#REF!,"AAAAAH/lVkw=")</f>
        <v>#REF!</v>
      </c>
      <c r="BZ354" t="e">
        <f>AND(#REF!,"AAAAAH/lVk0=")</f>
        <v>#REF!</v>
      </c>
      <c r="CA354" t="e">
        <f>AND(#REF!,"AAAAAH/lVk4=")</f>
        <v>#REF!</v>
      </c>
      <c r="CB354" t="e">
        <f>AND(#REF!,"AAAAAH/lVk8=")</f>
        <v>#REF!</v>
      </c>
      <c r="CC354" t="e">
        <f>AND(#REF!,"AAAAAH/lVlA=")</f>
        <v>#REF!</v>
      </c>
      <c r="CD354" t="e">
        <f>IF(#REF!,"AAAAAH/lVlE=",0)</f>
        <v>#REF!</v>
      </c>
      <c r="CE354" t="e">
        <f>AND(#REF!,"AAAAAH/lVlI=")</f>
        <v>#REF!</v>
      </c>
      <c r="CF354" t="e">
        <f>AND(#REF!,"AAAAAH/lVlM=")</f>
        <v>#REF!</v>
      </c>
      <c r="CG354" t="e">
        <f>AND(#REF!,"AAAAAH/lVlQ=")</f>
        <v>#REF!</v>
      </c>
      <c r="CH354" t="e">
        <f>AND(#REF!,"AAAAAH/lVlU=")</f>
        <v>#REF!</v>
      </c>
      <c r="CI354" t="e">
        <f>AND(#REF!,"AAAAAH/lVlY=")</f>
        <v>#REF!</v>
      </c>
      <c r="CJ354" t="e">
        <f>AND(#REF!,"AAAAAH/lVlc=")</f>
        <v>#REF!</v>
      </c>
      <c r="CK354" t="e">
        <f>AND(#REF!,"AAAAAH/lVlg=")</f>
        <v>#REF!</v>
      </c>
      <c r="CL354" t="e">
        <f>AND(#REF!,"AAAAAH/lVlk=")</f>
        <v>#REF!</v>
      </c>
      <c r="CM354" t="e">
        <f>AND(#REF!,"AAAAAH/lVlo=")</f>
        <v>#REF!</v>
      </c>
      <c r="CN354" t="e">
        <f>AND(#REF!,"AAAAAH/lVls=")</f>
        <v>#REF!</v>
      </c>
      <c r="CO354" t="e">
        <f>IF(#REF!,"AAAAAH/lVlw=",0)</f>
        <v>#REF!</v>
      </c>
      <c r="CP354" t="e">
        <f>AND(#REF!,"AAAAAH/lVl0=")</f>
        <v>#REF!</v>
      </c>
      <c r="CQ354" t="e">
        <f>AND(#REF!,"AAAAAH/lVl4=")</f>
        <v>#REF!</v>
      </c>
      <c r="CR354" t="e">
        <f>AND(#REF!,"AAAAAH/lVl8=")</f>
        <v>#REF!</v>
      </c>
      <c r="CS354" t="e">
        <f>AND(#REF!,"AAAAAH/lVmA=")</f>
        <v>#REF!</v>
      </c>
      <c r="CT354" t="e">
        <f>AND(#REF!,"AAAAAH/lVmE=")</f>
        <v>#REF!</v>
      </c>
      <c r="CU354" t="e">
        <f>AND(#REF!,"AAAAAH/lVmI=")</f>
        <v>#REF!</v>
      </c>
      <c r="CV354" t="e">
        <f>AND(#REF!,"AAAAAH/lVmM=")</f>
        <v>#REF!</v>
      </c>
      <c r="CW354" t="e">
        <f>AND(#REF!,"AAAAAH/lVmQ=")</f>
        <v>#REF!</v>
      </c>
      <c r="CX354" t="e">
        <f>AND(#REF!,"AAAAAH/lVmU=")</f>
        <v>#REF!</v>
      </c>
      <c r="CY354" t="e">
        <f>AND(#REF!,"AAAAAH/lVmY=")</f>
        <v>#REF!</v>
      </c>
      <c r="CZ354" t="e">
        <f>IF(#REF!,"AAAAAH/lVmc=",0)</f>
        <v>#REF!</v>
      </c>
      <c r="DA354" t="e">
        <f>AND(#REF!,"AAAAAH/lVmg=")</f>
        <v>#REF!</v>
      </c>
      <c r="DB354" t="e">
        <f>AND(#REF!,"AAAAAH/lVmk=")</f>
        <v>#REF!</v>
      </c>
      <c r="DC354" t="e">
        <f>AND(#REF!,"AAAAAH/lVmo=")</f>
        <v>#REF!</v>
      </c>
      <c r="DD354" t="e">
        <f>AND(#REF!,"AAAAAH/lVms=")</f>
        <v>#REF!</v>
      </c>
      <c r="DE354" t="e">
        <f>AND(#REF!,"AAAAAH/lVmw=")</f>
        <v>#REF!</v>
      </c>
      <c r="DF354" t="e">
        <f>AND(#REF!,"AAAAAH/lVm0=")</f>
        <v>#REF!</v>
      </c>
      <c r="DG354" t="e">
        <f>AND(#REF!,"AAAAAH/lVm4=")</f>
        <v>#REF!</v>
      </c>
      <c r="DH354" t="e">
        <f>AND(#REF!,"AAAAAH/lVm8=")</f>
        <v>#REF!</v>
      </c>
      <c r="DI354" t="e">
        <f>AND(#REF!,"AAAAAH/lVnA=")</f>
        <v>#REF!</v>
      </c>
      <c r="DJ354" t="e">
        <f>AND(#REF!,"AAAAAH/lVnE=")</f>
        <v>#REF!</v>
      </c>
      <c r="DK354" t="e">
        <f>IF(#REF!,"AAAAAH/lVnI=",0)</f>
        <v>#REF!</v>
      </c>
      <c r="DL354" t="e">
        <f>AND(#REF!,"AAAAAH/lVnM=")</f>
        <v>#REF!</v>
      </c>
      <c r="DM354" t="e">
        <f>AND(#REF!,"AAAAAH/lVnQ=")</f>
        <v>#REF!</v>
      </c>
      <c r="DN354" t="e">
        <f>AND(#REF!,"AAAAAH/lVnU=")</f>
        <v>#REF!</v>
      </c>
      <c r="DO354" t="e">
        <f>AND(#REF!,"AAAAAH/lVnY=")</f>
        <v>#REF!</v>
      </c>
      <c r="DP354" t="e">
        <f>AND(#REF!,"AAAAAH/lVnc=")</f>
        <v>#REF!</v>
      </c>
      <c r="DQ354" t="e">
        <f>AND(#REF!,"AAAAAH/lVng=")</f>
        <v>#REF!</v>
      </c>
      <c r="DR354" t="e">
        <f>AND(#REF!,"AAAAAH/lVnk=")</f>
        <v>#REF!</v>
      </c>
      <c r="DS354" t="e">
        <f>AND(#REF!,"AAAAAH/lVno=")</f>
        <v>#REF!</v>
      </c>
      <c r="DT354" t="e">
        <f>AND(#REF!,"AAAAAH/lVns=")</f>
        <v>#REF!</v>
      </c>
      <c r="DU354" t="e">
        <f>AND(#REF!,"AAAAAH/lVnw=")</f>
        <v>#REF!</v>
      </c>
      <c r="DV354" t="e">
        <f>IF(#REF!,"AAAAAH/lVn0=",0)</f>
        <v>#REF!</v>
      </c>
      <c r="DW354" t="e">
        <f>AND(#REF!,"AAAAAH/lVn4=")</f>
        <v>#REF!</v>
      </c>
      <c r="DX354" t="e">
        <f>AND(#REF!,"AAAAAH/lVn8=")</f>
        <v>#REF!</v>
      </c>
      <c r="DY354" t="e">
        <f>AND(#REF!,"AAAAAH/lVoA=")</f>
        <v>#REF!</v>
      </c>
      <c r="DZ354" t="e">
        <f>AND(#REF!,"AAAAAH/lVoE=")</f>
        <v>#REF!</v>
      </c>
      <c r="EA354" t="e">
        <f>AND(#REF!,"AAAAAH/lVoI=")</f>
        <v>#REF!</v>
      </c>
      <c r="EB354" t="e">
        <f>AND(#REF!,"AAAAAH/lVoM=")</f>
        <v>#REF!</v>
      </c>
      <c r="EC354" t="e">
        <f>AND(#REF!,"AAAAAH/lVoQ=")</f>
        <v>#REF!</v>
      </c>
      <c r="ED354" t="e">
        <f>AND(#REF!,"AAAAAH/lVoU=")</f>
        <v>#REF!</v>
      </c>
      <c r="EE354" t="e">
        <f>AND(#REF!,"AAAAAH/lVoY=")</f>
        <v>#REF!</v>
      </c>
      <c r="EF354" t="e">
        <f>AND(#REF!,"AAAAAH/lVoc=")</f>
        <v>#REF!</v>
      </c>
      <c r="EG354" t="e">
        <f>IF(#REF!,"AAAAAH/lVog=",0)</f>
        <v>#REF!</v>
      </c>
      <c r="EH354" t="e">
        <f>AND(#REF!,"AAAAAH/lVok=")</f>
        <v>#REF!</v>
      </c>
      <c r="EI354" t="e">
        <f>AND(#REF!,"AAAAAH/lVoo=")</f>
        <v>#REF!</v>
      </c>
      <c r="EJ354" t="e">
        <f>AND(#REF!,"AAAAAH/lVos=")</f>
        <v>#REF!</v>
      </c>
      <c r="EK354" t="e">
        <f>AND(#REF!,"AAAAAH/lVow=")</f>
        <v>#REF!</v>
      </c>
      <c r="EL354" t="e">
        <f>AND(#REF!,"AAAAAH/lVo0=")</f>
        <v>#REF!</v>
      </c>
      <c r="EM354" t="e">
        <f>AND(#REF!,"AAAAAH/lVo4=")</f>
        <v>#REF!</v>
      </c>
      <c r="EN354" t="e">
        <f>AND(#REF!,"AAAAAH/lVo8=")</f>
        <v>#REF!</v>
      </c>
      <c r="EO354" t="e">
        <f>AND(#REF!,"AAAAAH/lVpA=")</f>
        <v>#REF!</v>
      </c>
      <c r="EP354" t="e">
        <f>AND(#REF!,"AAAAAH/lVpE=")</f>
        <v>#REF!</v>
      </c>
      <c r="EQ354" t="e">
        <f>AND(#REF!,"AAAAAH/lVpI=")</f>
        <v>#REF!</v>
      </c>
      <c r="ER354" t="e">
        <f>IF(#REF!,"AAAAAH/lVpM=",0)</f>
        <v>#REF!</v>
      </c>
      <c r="ES354" t="e">
        <f>AND(#REF!,"AAAAAH/lVpQ=")</f>
        <v>#REF!</v>
      </c>
      <c r="ET354" t="e">
        <f>AND(#REF!,"AAAAAH/lVpU=")</f>
        <v>#REF!</v>
      </c>
      <c r="EU354" t="e">
        <f>AND(#REF!,"AAAAAH/lVpY=")</f>
        <v>#REF!</v>
      </c>
      <c r="EV354" t="e">
        <f>AND(#REF!,"AAAAAH/lVpc=")</f>
        <v>#REF!</v>
      </c>
      <c r="EW354" t="e">
        <f>AND(#REF!,"AAAAAH/lVpg=")</f>
        <v>#REF!</v>
      </c>
      <c r="EX354" t="e">
        <f>AND(#REF!,"AAAAAH/lVpk=")</f>
        <v>#REF!</v>
      </c>
      <c r="EY354" t="e">
        <f>AND(#REF!,"AAAAAH/lVpo=")</f>
        <v>#REF!</v>
      </c>
      <c r="EZ354" t="e">
        <f>AND(#REF!,"AAAAAH/lVps=")</f>
        <v>#REF!</v>
      </c>
      <c r="FA354" t="e">
        <f>AND(#REF!,"AAAAAH/lVpw=")</f>
        <v>#REF!</v>
      </c>
      <c r="FB354" t="e">
        <f>AND(#REF!,"AAAAAH/lVp0=")</f>
        <v>#REF!</v>
      </c>
      <c r="FC354" t="e">
        <f>IF(#REF!,"AAAAAH/lVp4=",0)</f>
        <v>#REF!</v>
      </c>
      <c r="FD354" t="e">
        <f>AND(#REF!,"AAAAAH/lVp8=")</f>
        <v>#REF!</v>
      </c>
      <c r="FE354" t="e">
        <f>AND(#REF!,"AAAAAH/lVqA=")</f>
        <v>#REF!</v>
      </c>
      <c r="FF354" t="e">
        <f>AND(#REF!,"AAAAAH/lVqE=")</f>
        <v>#REF!</v>
      </c>
      <c r="FG354" t="e">
        <f>AND(#REF!,"AAAAAH/lVqI=")</f>
        <v>#REF!</v>
      </c>
      <c r="FH354" t="e">
        <f>AND(#REF!,"AAAAAH/lVqM=")</f>
        <v>#REF!</v>
      </c>
      <c r="FI354" t="e">
        <f>AND(#REF!,"AAAAAH/lVqQ=")</f>
        <v>#REF!</v>
      </c>
      <c r="FJ354" t="e">
        <f>AND(#REF!,"AAAAAH/lVqU=")</f>
        <v>#REF!</v>
      </c>
      <c r="FK354" t="e">
        <f>AND(#REF!,"AAAAAH/lVqY=")</f>
        <v>#REF!</v>
      </c>
      <c r="FL354" t="e">
        <f>AND(#REF!,"AAAAAH/lVqc=")</f>
        <v>#REF!</v>
      </c>
      <c r="FM354" t="e">
        <f>AND(#REF!,"AAAAAH/lVqg=")</f>
        <v>#REF!</v>
      </c>
      <c r="FN354" t="e">
        <f>IF(#REF!,"AAAAAH/lVqk=",0)</f>
        <v>#REF!</v>
      </c>
      <c r="FO354" t="e">
        <f>AND(#REF!,"AAAAAH/lVqo=")</f>
        <v>#REF!</v>
      </c>
      <c r="FP354" t="e">
        <f>AND(#REF!,"AAAAAH/lVqs=")</f>
        <v>#REF!</v>
      </c>
      <c r="FQ354" t="e">
        <f>AND(#REF!,"AAAAAH/lVqw=")</f>
        <v>#REF!</v>
      </c>
      <c r="FR354" t="e">
        <f>AND(#REF!,"AAAAAH/lVq0=")</f>
        <v>#REF!</v>
      </c>
      <c r="FS354" t="e">
        <f>AND(#REF!,"AAAAAH/lVq4=")</f>
        <v>#REF!</v>
      </c>
      <c r="FT354" t="e">
        <f>AND(#REF!,"AAAAAH/lVq8=")</f>
        <v>#REF!</v>
      </c>
      <c r="FU354" t="e">
        <f>AND(#REF!,"AAAAAH/lVrA=")</f>
        <v>#REF!</v>
      </c>
      <c r="FV354" t="e">
        <f>AND(#REF!,"AAAAAH/lVrE=")</f>
        <v>#REF!</v>
      </c>
      <c r="FW354" t="e">
        <f>AND(#REF!,"AAAAAH/lVrI=")</f>
        <v>#REF!</v>
      </c>
      <c r="FX354" t="e">
        <f>AND(#REF!,"AAAAAH/lVrM=")</f>
        <v>#REF!</v>
      </c>
      <c r="FY354" t="e">
        <f>IF(#REF!,"AAAAAH/lVrQ=",0)</f>
        <v>#REF!</v>
      </c>
      <c r="FZ354" t="e">
        <f>AND(#REF!,"AAAAAH/lVrU=")</f>
        <v>#REF!</v>
      </c>
      <c r="GA354" t="e">
        <f>AND(#REF!,"AAAAAH/lVrY=")</f>
        <v>#REF!</v>
      </c>
      <c r="GB354" t="e">
        <f>AND(#REF!,"AAAAAH/lVrc=")</f>
        <v>#REF!</v>
      </c>
      <c r="GC354" t="e">
        <f>AND(#REF!,"AAAAAH/lVrg=")</f>
        <v>#REF!</v>
      </c>
      <c r="GD354" t="e">
        <f>AND(#REF!,"AAAAAH/lVrk=")</f>
        <v>#REF!</v>
      </c>
      <c r="GE354" t="e">
        <f>AND(#REF!,"AAAAAH/lVro=")</f>
        <v>#REF!</v>
      </c>
      <c r="GF354" t="e">
        <f>AND(#REF!,"AAAAAH/lVrs=")</f>
        <v>#REF!</v>
      </c>
      <c r="GG354" t="e">
        <f>AND(#REF!,"AAAAAH/lVrw=")</f>
        <v>#REF!</v>
      </c>
      <c r="GH354" t="e">
        <f>AND(#REF!,"AAAAAH/lVr0=")</f>
        <v>#REF!</v>
      </c>
      <c r="GI354" t="e">
        <f>AND(#REF!,"AAAAAH/lVr4=")</f>
        <v>#REF!</v>
      </c>
      <c r="GJ354" t="e">
        <f>IF(#REF!,"AAAAAH/lVr8=",0)</f>
        <v>#REF!</v>
      </c>
      <c r="GK354" t="e">
        <f>AND(#REF!,"AAAAAH/lVsA=")</f>
        <v>#REF!</v>
      </c>
      <c r="GL354" t="e">
        <f>AND(#REF!,"AAAAAH/lVsE=")</f>
        <v>#REF!</v>
      </c>
      <c r="GM354" t="e">
        <f>AND(#REF!,"AAAAAH/lVsI=")</f>
        <v>#REF!</v>
      </c>
      <c r="GN354" t="e">
        <f>AND(#REF!,"AAAAAH/lVsM=")</f>
        <v>#REF!</v>
      </c>
      <c r="GO354" t="e">
        <f>AND(#REF!,"AAAAAH/lVsQ=")</f>
        <v>#REF!</v>
      </c>
      <c r="GP354" t="e">
        <f>AND(#REF!,"AAAAAH/lVsU=")</f>
        <v>#REF!</v>
      </c>
      <c r="GQ354" t="e">
        <f>AND(#REF!,"AAAAAH/lVsY=")</f>
        <v>#REF!</v>
      </c>
      <c r="GR354" t="e">
        <f>AND(#REF!,"AAAAAH/lVsc=")</f>
        <v>#REF!</v>
      </c>
      <c r="GS354" t="e">
        <f>AND(#REF!,"AAAAAH/lVsg=")</f>
        <v>#REF!</v>
      </c>
      <c r="GT354" t="e">
        <f>AND(#REF!,"AAAAAH/lVsk=")</f>
        <v>#REF!</v>
      </c>
      <c r="GU354" t="e">
        <f>IF(#REF!,"AAAAAH/lVso=",0)</f>
        <v>#REF!</v>
      </c>
      <c r="GV354" t="e">
        <f>AND(#REF!,"AAAAAH/lVss=")</f>
        <v>#REF!</v>
      </c>
      <c r="GW354" t="e">
        <f>AND(#REF!,"AAAAAH/lVsw=")</f>
        <v>#REF!</v>
      </c>
      <c r="GX354" t="e">
        <f>AND(#REF!,"AAAAAH/lVs0=")</f>
        <v>#REF!</v>
      </c>
      <c r="GY354" t="e">
        <f>AND(#REF!,"AAAAAH/lVs4=")</f>
        <v>#REF!</v>
      </c>
      <c r="GZ354" t="e">
        <f>AND(#REF!,"AAAAAH/lVs8=")</f>
        <v>#REF!</v>
      </c>
      <c r="HA354" t="e">
        <f>AND(#REF!,"AAAAAH/lVtA=")</f>
        <v>#REF!</v>
      </c>
      <c r="HB354" t="e">
        <f>AND(#REF!,"AAAAAH/lVtE=")</f>
        <v>#REF!</v>
      </c>
      <c r="HC354" t="e">
        <f>AND(#REF!,"AAAAAH/lVtI=")</f>
        <v>#REF!</v>
      </c>
      <c r="HD354" t="e">
        <f>AND(#REF!,"AAAAAH/lVtM=")</f>
        <v>#REF!</v>
      </c>
      <c r="HE354" t="e">
        <f>AND(#REF!,"AAAAAH/lVtQ=")</f>
        <v>#REF!</v>
      </c>
      <c r="HF354" t="e">
        <f>IF(#REF!,"AAAAAH/lVtU=",0)</f>
        <v>#REF!</v>
      </c>
      <c r="HG354" t="e">
        <f>AND(#REF!,"AAAAAH/lVtY=")</f>
        <v>#REF!</v>
      </c>
      <c r="HH354" t="e">
        <f>AND(#REF!,"AAAAAH/lVtc=")</f>
        <v>#REF!</v>
      </c>
      <c r="HI354" t="e">
        <f>AND(#REF!,"AAAAAH/lVtg=")</f>
        <v>#REF!</v>
      </c>
      <c r="HJ354" t="e">
        <f>AND(#REF!,"AAAAAH/lVtk=")</f>
        <v>#REF!</v>
      </c>
      <c r="HK354" t="e">
        <f>AND(#REF!,"AAAAAH/lVto=")</f>
        <v>#REF!</v>
      </c>
      <c r="HL354" t="e">
        <f>AND(#REF!,"AAAAAH/lVts=")</f>
        <v>#REF!</v>
      </c>
      <c r="HM354" t="e">
        <f>AND(#REF!,"AAAAAH/lVtw=")</f>
        <v>#REF!</v>
      </c>
      <c r="HN354" t="e">
        <f>AND(#REF!,"AAAAAH/lVt0=")</f>
        <v>#REF!</v>
      </c>
      <c r="HO354" t="e">
        <f>AND(#REF!,"AAAAAH/lVt4=")</f>
        <v>#REF!</v>
      </c>
      <c r="HP354" t="e">
        <f>AND(#REF!,"AAAAAH/lVt8=")</f>
        <v>#REF!</v>
      </c>
      <c r="HQ354" t="e">
        <f>IF(#REF!,"AAAAAH/lVuA=",0)</f>
        <v>#REF!</v>
      </c>
      <c r="HR354" t="e">
        <f>AND(#REF!,"AAAAAH/lVuE=")</f>
        <v>#REF!</v>
      </c>
      <c r="HS354" t="e">
        <f>AND(#REF!,"AAAAAH/lVuI=")</f>
        <v>#REF!</v>
      </c>
      <c r="HT354" t="e">
        <f>AND(#REF!,"AAAAAH/lVuM=")</f>
        <v>#REF!</v>
      </c>
      <c r="HU354" t="e">
        <f>AND(#REF!,"AAAAAH/lVuQ=")</f>
        <v>#REF!</v>
      </c>
      <c r="HV354" t="e">
        <f>AND(#REF!,"AAAAAH/lVuU=")</f>
        <v>#REF!</v>
      </c>
      <c r="HW354" t="e">
        <f>AND(#REF!,"AAAAAH/lVuY=")</f>
        <v>#REF!</v>
      </c>
      <c r="HX354" t="e">
        <f>AND(#REF!,"AAAAAH/lVuc=")</f>
        <v>#REF!</v>
      </c>
      <c r="HY354" t="e">
        <f>AND(#REF!,"AAAAAH/lVug=")</f>
        <v>#REF!</v>
      </c>
      <c r="HZ354" t="e">
        <f>AND(#REF!,"AAAAAH/lVuk=")</f>
        <v>#REF!</v>
      </c>
      <c r="IA354" t="e">
        <f>AND(#REF!,"AAAAAH/lVuo=")</f>
        <v>#REF!</v>
      </c>
      <c r="IB354" t="e">
        <f>IF(#REF!,"AAAAAH/lVus=",0)</f>
        <v>#REF!</v>
      </c>
      <c r="IC354" t="e">
        <f>AND(#REF!,"AAAAAH/lVuw=")</f>
        <v>#REF!</v>
      </c>
      <c r="ID354" t="e">
        <f>AND(#REF!,"AAAAAH/lVu0=")</f>
        <v>#REF!</v>
      </c>
      <c r="IE354" t="e">
        <f>AND(#REF!,"AAAAAH/lVu4=")</f>
        <v>#REF!</v>
      </c>
      <c r="IF354" t="e">
        <f>AND(#REF!,"AAAAAH/lVu8=")</f>
        <v>#REF!</v>
      </c>
      <c r="IG354" t="e">
        <f>AND(#REF!,"AAAAAH/lVvA=")</f>
        <v>#REF!</v>
      </c>
      <c r="IH354" t="e">
        <f>AND(#REF!,"AAAAAH/lVvE=")</f>
        <v>#REF!</v>
      </c>
      <c r="II354" t="e">
        <f>AND(#REF!,"AAAAAH/lVvI=")</f>
        <v>#REF!</v>
      </c>
      <c r="IJ354" t="e">
        <f>AND(#REF!,"AAAAAH/lVvM=")</f>
        <v>#REF!</v>
      </c>
      <c r="IK354" t="e">
        <f>AND(#REF!,"AAAAAH/lVvQ=")</f>
        <v>#REF!</v>
      </c>
      <c r="IL354" t="e">
        <f>AND(#REF!,"AAAAAH/lVvU=")</f>
        <v>#REF!</v>
      </c>
      <c r="IM354" t="e">
        <f>IF(#REF!,"AAAAAH/lVvY=",0)</f>
        <v>#REF!</v>
      </c>
      <c r="IN354" t="e">
        <f>AND(#REF!,"AAAAAH/lVvc=")</f>
        <v>#REF!</v>
      </c>
      <c r="IO354" t="e">
        <f>AND(#REF!,"AAAAAH/lVvg=")</f>
        <v>#REF!</v>
      </c>
      <c r="IP354" t="e">
        <f>AND(#REF!,"AAAAAH/lVvk=")</f>
        <v>#REF!</v>
      </c>
      <c r="IQ354" t="e">
        <f>AND(#REF!,"AAAAAH/lVvo=")</f>
        <v>#REF!</v>
      </c>
      <c r="IR354" t="e">
        <f>AND(#REF!,"AAAAAH/lVvs=")</f>
        <v>#REF!</v>
      </c>
      <c r="IS354" t="e">
        <f>AND(#REF!,"AAAAAH/lVvw=")</f>
        <v>#REF!</v>
      </c>
      <c r="IT354" t="e">
        <f>AND(#REF!,"AAAAAH/lVv0=")</f>
        <v>#REF!</v>
      </c>
      <c r="IU354" t="e">
        <f>AND(#REF!,"AAAAAH/lVv4=")</f>
        <v>#REF!</v>
      </c>
      <c r="IV354" t="e">
        <f>AND(#REF!,"AAAAAH/lVv8=")</f>
        <v>#REF!</v>
      </c>
    </row>
    <row r="355" spans="1:256" x14ac:dyDescent="0.25">
      <c r="A355" t="e">
        <f>AND(#REF!,"AAAAAFLFOwA=")</f>
        <v>#REF!</v>
      </c>
      <c r="B355" t="e">
        <f>IF(#REF!,"AAAAAFLFOwE=",0)</f>
        <v>#REF!</v>
      </c>
      <c r="C355" t="e">
        <f>AND(#REF!,"AAAAAFLFOwI=")</f>
        <v>#REF!</v>
      </c>
      <c r="D355" t="e">
        <f>AND(#REF!,"AAAAAFLFOwM=")</f>
        <v>#REF!</v>
      </c>
      <c r="E355" t="e">
        <f>AND(#REF!,"AAAAAFLFOwQ=")</f>
        <v>#REF!</v>
      </c>
      <c r="F355" t="e">
        <f>AND(#REF!,"AAAAAFLFOwU=")</f>
        <v>#REF!</v>
      </c>
      <c r="G355" t="e">
        <f>AND(#REF!,"AAAAAFLFOwY=")</f>
        <v>#REF!</v>
      </c>
      <c r="H355" t="e">
        <f>AND(#REF!,"AAAAAFLFOwc=")</f>
        <v>#REF!</v>
      </c>
      <c r="I355" t="e">
        <f>AND(#REF!,"AAAAAFLFOwg=")</f>
        <v>#REF!</v>
      </c>
      <c r="J355" t="e">
        <f>AND(#REF!,"AAAAAFLFOwk=")</f>
        <v>#REF!</v>
      </c>
      <c r="K355" t="e">
        <f>AND(#REF!,"AAAAAFLFOwo=")</f>
        <v>#REF!</v>
      </c>
      <c r="L355" t="e">
        <f>AND(#REF!,"AAAAAFLFOws=")</f>
        <v>#REF!</v>
      </c>
      <c r="M355" t="e">
        <f>IF(#REF!,"AAAAAFLFOww=",0)</f>
        <v>#REF!</v>
      </c>
      <c r="N355" t="e">
        <f>AND(#REF!,"AAAAAFLFOw0=")</f>
        <v>#REF!</v>
      </c>
      <c r="O355" t="e">
        <f>AND(#REF!,"AAAAAFLFOw4=")</f>
        <v>#REF!</v>
      </c>
      <c r="P355" t="e">
        <f>AND(#REF!,"AAAAAFLFOw8=")</f>
        <v>#REF!</v>
      </c>
      <c r="Q355" t="e">
        <f>AND(#REF!,"AAAAAFLFOxA=")</f>
        <v>#REF!</v>
      </c>
      <c r="R355" t="e">
        <f>AND(#REF!,"AAAAAFLFOxE=")</f>
        <v>#REF!</v>
      </c>
      <c r="S355" t="e">
        <f>AND(#REF!,"AAAAAFLFOxI=")</f>
        <v>#REF!</v>
      </c>
      <c r="T355" t="e">
        <f>AND(#REF!,"AAAAAFLFOxM=")</f>
        <v>#REF!</v>
      </c>
      <c r="U355" t="e">
        <f>AND(#REF!,"AAAAAFLFOxQ=")</f>
        <v>#REF!</v>
      </c>
      <c r="V355" t="e">
        <f>AND(#REF!,"AAAAAFLFOxU=")</f>
        <v>#REF!</v>
      </c>
      <c r="W355" t="e">
        <f>AND(#REF!,"AAAAAFLFOxY=")</f>
        <v>#REF!</v>
      </c>
      <c r="X355" t="e">
        <f>IF(#REF!,"AAAAAFLFOxc=",0)</f>
        <v>#REF!</v>
      </c>
      <c r="Y355" t="e">
        <f>AND(#REF!,"AAAAAFLFOxg=")</f>
        <v>#REF!</v>
      </c>
      <c r="Z355" t="e">
        <f>AND(#REF!,"AAAAAFLFOxk=")</f>
        <v>#REF!</v>
      </c>
      <c r="AA355" t="e">
        <f>AND(#REF!,"AAAAAFLFOxo=")</f>
        <v>#REF!</v>
      </c>
      <c r="AB355" t="e">
        <f>AND(#REF!,"AAAAAFLFOxs=")</f>
        <v>#REF!</v>
      </c>
      <c r="AC355" t="e">
        <f>AND(#REF!,"AAAAAFLFOxw=")</f>
        <v>#REF!</v>
      </c>
      <c r="AD355" t="e">
        <f>AND(#REF!,"AAAAAFLFOx0=")</f>
        <v>#REF!</v>
      </c>
      <c r="AE355" t="e">
        <f>AND(#REF!,"AAAAAFLFOx4=")</f>
        <v>#REF!</v>
      </c>
      <c r="AF355" t="e">
        <f>AND(#REF!,"AAAAAFLFOx8=")</f>
        <v>#REF!</v>
      </c>
      <c r="AG355" t="e">
        <f>AND(#REF!,"AAAAAFLFOyA=")</f>
        <v>#REF!</v>
      </c>
      <c r="AH355" t="e">
        <f>AND(#REF!,"AAAAAFLFOyE=")</f>
        <v>#REF!</v>
      </c>
      <c r="AI355" t="e">
        <f>IF(#REF!,"AAAAAFLFOyI=",0)</f>
        <v>#REF!</v>
      </c>
      <c r="AJ355" t="e">
        <f>AND(#REF!,"AAAAAFLFOyM=")</f>
        <v>#REF!</v>
      </c>
      <c r="AK355" t="e">
        <f>AND(#REF!,"AAAAAFLFOyQ=")</f>
        <v>#REF!</v>
      </c>
      <c r="AL355" t="e">
        <f>AND(#REF!,"AAAAAFLFOyU=")</f>
        <v>#REF!</v>
      </c>
      <c r="AM355" t="e">
        <f>AND(#REF!,"AAAAAFLFOyY=")</f>
        <v>#REF!</v>
      </c>
      <c r="AN355" t="e">
        <f>AND(#REF!,"AAAAAFLFOyc=")</f>
        <v>#REF!</v>
      </c>
      <c r="AO355" t="e">
        <f>AND(#REF!,"AAAAAFLFOyg=")</f>
        <v>#REF!</v>
      </c>
      <c r="AP355" t="e">
        <f>AND(#REF!,"AAAAAFLFOyk=")</f>
        <v>#REF!</v>
      </c>
      <c r="AQ355" t="e">
        <f>AND(#REF!,"AAAAAFLFOyo=")</f>
        <v>#REF!</v>
      </c>
      <c r="AR355" t="e">
        <f>AND(#REF!,"AAAAAFLFOys=")</f>
        <v>#REF!</v>
      </c>
      <c r="AS355" t="e">
        <f>AND(#REF!,"AAAAAFLFOyw=")</f>
        <v>#REF!</v>
      </c>
      <c r="AT355" t="e">
        <f>IF(#REF!,"AAAAAFLFOy0=",0)</f>
        <v>#REF!</v>
      </c>
      <c r="AU355" t="e">
        <f>AND(#REF!,"AAAAAFLFOy4=")</f>
        <v>#REF!</v>
      </c>
      <c r="AV355" t="e">
        <f>AND(#REF!,"AAAAAFLFOy8=")</f>
        <v>#REF!</v>
      </c>
      <c r="AW355" t="e">
        <f>AND(#REF!,"AAAAAFLFOzA=")</f>
        <v>#REF!</v>
      </c>
      <c r="AX355" t="e">
        <f>AND(#REF!,"AAAAAFLFOzE=")</f>
        <v>#REF!</v>
      </c>
      <c r="AY355" t="e">
        <f>AND(#REF!,"AAAAAFLFOzI=")</f>
        <v>#REF!</v>
      </c>
      <c r="AZ355" t="e">
        <f>AND(#REF!,"AAAAAFLFOzM=")</f>
        <v>#REF!</v>
      </c>
      <c r="BA355" t="e">
        <f>AND(#REF!,"AAAAAFLFOzQ=")</f>
        <v>#REF!</v>
      </c>
      <c r="BB355" t="e">
        <f>AND(#REF!,"AAAAAFLFOzU=")</f>
        <v>#REF!</v>
      </c>
      <c r="BC355" t="e">
        <f>AND(#REF!,"AAAAAFLFOzY=")</f>
        <v>#REF!</v>
      </c>
      <c r="BD355" t="e">
        <f>AND(#REF!,"AAAAAFLFOzc=")</f>
        <v>#REF!</v>
      </c>
      <c r="BE355" t="e">
        <f>IF(#REF!,"AAAAAFLFOzg=",0)</f>
        <v>#REF!</v>
      </c>
      <c r="BF355" t="e">
        <f>AND(#REF!,"AAAAAFLFOzk=")</f>
        <v>#REF!</v>
      </c>
      <c r="BG355" t="e">
        <f>AND(#REF!,"AAAAAFLFOzo=")</f>
        <v>#REF!</v>
      </c>
      <c r="BH355" t="e">
        <f>AND(#REF!,"AAAAAFLFOzs=")</f>
        <v>#REF!</v>
      </c>
      <c r="BI355" t="e">
        <f>AND(#REF!,"AAAAAFLFOzw=")</f>
        <v>#REF!</v>
      </c>
      <c r="BJ355" t="e">
        <f>AND(#REF!,"AAAAAFLFOz0=")</f>
        <v>#REF!</v>
      </c>
      <c r="BK355" t="e">
        <f>AND(#REF!,"AAAAAFLFOz4=")</f>
        <v>#REF!</v>
      </c>
      <c r="BL355" t="e">
        <f>AND(#REF!,"AAAAAFLFOz8=")</f>
        <v>#REF!</v>
      </c>
      <c r="BM355" t="e">
        <f>AND(#REF!,"AAAAAFLFO0A=")</f>
        <v>#REF!</v>
      </c>
      <c r="BN355" t="e">
        <f>AND(#REF!,"AAAAAFLFO0E=")</f>
        <v>#REF!</v>
      </c>
      <c r="BO355" t="e">
        <f>AND(#REF!,"AAAAAFLFO0I=")</f>
        <v>#REF!</v>
      </c>
      <c r="BP355" t="e">
        <f>IF(#REF!,"AAAAAFLFO0M=",0)</f>
        <v>#REF!</v>
      </c>
      <c r="BQ355" t="e">
        <f>AND(#REF!,"AAAAAFLFO0Q=")</f>
        <v>#REF!</v>
      </c>
      <c r="BR355" t="e">
        <f>AND(#REF!,"AAAAAFLFO0U=")</f>
        <v>#REF!</v>
      </c>
      <c r="BS355" t="e">
        <f>AND(#REF!,"AAAAAFLFO0Y=")</f>
        <v>#REF!</v>
      </c>
      <c r="BT355" t="e">
        <f>AND(#REF!,"AAAAAFLFO0c=")</f>
        <v>#REF!</v>
      </c>
      <c r="BU355" t="e">
        <f>AND(#REF!,"AAAAAFLFO0g=")</f>
        <v>#REF!</v>
      </c>
      <c r="BV355" t="e">
        <f>AND(#REF!,"AAAAAFLFO0k=")</f>
        <v>#REF!</v>
      </c>
      <c r="BW355" t="e">
        <f>AND(#REF!,"AAAAAFLFO0o=")</f>
        <v>#REF!</v>
      </c>
      <c r="BX355" t="e">
        <f>AND(#REF!,"AAAAAFLFO0s=")</f>
        <v>#REF!</v>
      </c>
      <c r="BY355" t="e">
        <f>AND(#REF!,"AAAAAFLFO0w=")</f>
        <v>#REF!</v>
      </c>
      <c r="BZ355" t="e">
        <f>AND(#REF!,"AAAAAFLFO00=")</f>
        <v>#REF!</v>
      </c>
      <c r="CA355" t="e">
        <f>IF(#REF!,"AAAAAFLFO04=",0)</f>
        <v>#REF!</v>
      </c>
      <c r="CB355" t="e">
        <f>AND(#REF!,"AAAAAFLFO08=")</f>
        <v>#REF!</v>
      </c>
      <c r="CC355" t="e">
        <f>AND(#REF!,"AAAAAFLFO1A=")</f>
        <v>#REF!</v>
      </c>
      <c r="CD355" t="e">
        <f>AND(#REF!,"AAAAAFLFO1E=")</f>
        <v>#REF!</v>
      </c>
      <c r="CE355" t="e">
        <f>AND(#REF!,"AAAAAFLFO1I=")</f>
        <v>#REF!</v>
      </c>
      <c r="CF355" t="e">
        <f>AND(#REF!,"AAAAAFLFO1M=")</f>
        <v>#REF!</v>
      </c>
      <c r="CG355" t="e">
        <f>AND(#REF!,"AAAAAFLFO1Q=")</f>
        <v>#REF!</v>
      </c>
      <c r="CH355" t="e">
        <f>AND(#REF!,"AAAAAFLFO1U=")</f>
        <v>#REF!</v>
      </c>
      <c r="CI355" t="e">
        <f>AND(#REF!,"AAAAAFLFO1Y=")</f>
        <v>#REF!</v>
      </c>
      <c r="CJ355" t="e">
        <f>AND(#REF!,"AAAAAFLFO1c=")</f>
        <v>#REF!</v>
      </c>
      <c r="CK355" t="e">
        <f>AND(#REF!,"AAAAAFLFO1g=")</f>
        <v>#REF!</v>
      </c>
      <c r="CL355" t="e">
        <f>IF(#REF!,"AAAAAFLFO1k=",0)</f>
        <v>#REF!</v>
      </c>
      <c r="CM355" t="e">
        <f>AND(#REF!,"AAAAAFLFO1o=")</f>
        <v>#REF!</v>
      </c>
      <c r="CN355" t="e">
        <f>AND(#REF!,"AAAAAFLFO1s=")</f>
        <v>#REF!</v>
      </c>
      <c r="CO355" t="e">
        <f>AND(#REF!,"AAAAAFLFO1w=")</f>
        <v>#REF!</v>
      </c>
      <c r="CP355" t="e">
        <f>AND(#REF!,"AAAAAFLFO10=")</f>
        <v>#REF!</v>
      </c>
      <c r="CQ355" t="e">
        <f>AND(#REF!,"AAAAAFLFO14=")</f>
        <v>#REF!</v>
      </c>
      <c r="CR355" t="e">
        <f>AND(#REF!,"AAAAAFLFO18=")</f>
        <v>#REF!</v>
      </c>
      <c r="CS355" t="e">
        <f>AND(#REF!,"AAAAAFLFO2A=")</f>
        <v>#REF!</v>
      </c>
      <c r="CT355" t="e">
        <f>AND(#REF!,"AAAAAFLFO2E=")</f>
        <v>#REF!</v>
      </c>
      <c r="CU355" t="e">
        <f>AND(#REF!,"AAAAAFLFO2I=")</f>
        <v>#REF!</v>
      </c>
      <c r="CV355" t="e">
        <f>AND(#REF!,"AAAAAFLFO2M=")</f>
        <v>#REF!</v>
      </c>
      <c r="CW355" t="e">
        <f>IF(#REF!,"AAAAAFLFO2Q=",0)</f>
        <v>#REF!</v>
      </c>
      <c r="CX355" t="e">
        <f>AND(#REF!,"AAAAAFLFO2U=")</f>
        <v>#REF!</v>
      </c>
      <c r="CY355" t="e">
        <f>AND(#REF!,"AAAAAFLFO2Y=")</f>
        <v>#REF!</v>
      </c>
      <c r="CZ355" t="e">
        <f>AND(#REF!,"AAAAAFLFO2c=")</f>
        <v>#REF!</v>
      </c>
      <c r="DA355" t="e">
        <f>AND(#REF!,"AAAAAFLFO2g=")</f>
        <v>#REF!</v>
      </c>
      <c r="DB355" t="e">
        <f>AND(#REF!,"AAAAAFLFO2k=")</f>
        <v>#REF!</v>
      </c>
      <c r="DC355" t="e">
        <f>AND(#REF!,"AAAAAFLFO2o=")</f>
        <v>#REF!</v>
      </c>
      <c r="DD355" t="e">
        <f>AND(#REF!,"AAAAAFLFO2s=")</f>
        <v>#REF!</v>
      </c>
      <c r="DE355" t="e">
        <f>AND(#REF!,"AAAAAFLFO2w=")</f>
        <v>#REF!</v>
      </c>
      <c r="DF355" t="e">
        <f>AND(#REF!,"AAAAAFLFO20=")</f>
        <v>#REF!</v>
      </c>
      <c r="DG355" t="e">
        <f>AND(#REF!,"AAAAAFLFO24=")</f>
        <v>#REF!</v>
      </c>
      <c r="DH355" t="e">
        <f>IF(#REF!,"AAAAAFLFO28=",0)</f>
        <v>#REF!</v>
      </c>
      <c r="DI355" t="e">
        <f>AND(#REF!,"AAAAAFLFO3A=")</f>
        <v>#REF!</v>
      </c>
      <c r="DJ355" t="e">
        <f>AND(#REF!,"AAAAAFLFO3E=")</f>
        <v>#REF!</v>
      </c>
      <c r="DK355" t="e">
        <f>AND(#REF!,"AAAAAFLFO3I=")</f>
        <v>#REF!</v>
      </c>
      <c r="DL355" t="e">
        <f>AND(#REF!,"AAAAAFLFO3M=")</f>
        <v>#REF!</v>
      </c>
      <c r="DM355" t="e">
        <f>AND(#REF!,"AAAAAFLFO3Q=")</f>
        <v>#REF!</v>
      </c>
      <c r="DN355" t="e">
        <f>AND(#REF!,"AAAAAFLFO3U=")</f>
        <v>#REF!</v>
      </c>
      <c r="DO355" t="e">
        <f>AND(#REF!,"AAAAAFLFO3Y=")</f>
        <v>#REF!</v>
      </c>
      <c r="DP355" t="e">
        <f>AND(#REF!,"AAAAAFLFO3c=")</f>
        <v>#REF!</v>
      </c>
      <c r="DQ355" t="e">
        <f>AND(#REF!,"AAAAAFLFO3g=")</f>
        <v>#REF!</v>
      </c>
      <c r="DR355" t="e">
        <f>AND(#REF!,"AAAAAFLFO3k=")</f>
        <v>#REF!</v>
      </c>
      <c r="DS355" t="e">
        <f>IF(#REF!,"AAAAAFLFO3o=",0)</f>
        <v>#REF!</v>
      </c>
      <c r="DT355" t="e">
        <f>AND(#REF!,"AAAAAFLFO3s=")</f>
        <v>#REF!</v>
      </c>
      <c r="DU355" t="e">
        <f>AND(#REF!,"AAAAAFLFO3w=")</f>
        <v>#REF!</v>
      </c>
      <c r="DV355" t="e">
        <f>AND(#REF!,"AAAAAFLFO30=")</f>
        <v>#REF!</v>
      </c>
      <c r="DW355" t="e">
        <f>AND(#REF!,"AAAAAFLFO34=")</f>
        <v>#REF!</v>
      </c>
      <c r="DX355" t="e">
        <f>AND(#REF!,"AAAAAFLFO38=")</f>
        <v>#REF!</v>
      </c>
      <c r="DY355" t="e">
        <f>AND(#REF!,"AAAAAFLFO4A=")</f>
        <v>#REF!</v>
      </c>
      <c r="DZ355" t="e">
        <f>AND(#REF!,"AAAAAFLFO4E=")</f>
        <v>#REF!</v>
      </c>
      <c r="EA355" t="e">
        <f>AND(#REF!,"AAAAAFLFO4I=")</f>
        <v>#REF!</v>
      </c>
      <c r="EB355" t="e">
        <f>AND(#REF!,"AAAAAFLFO4M=")</f>
        <v>#REF!</v>
      </c>
      <c r="EC355" t="e">
        <f>AND(#REF!,"AAAAAFLFO4Q=")</f>
        <v>#REF!</v>
      </c>
      <c r="ED355" t="e">
        <f>IF(#REF!,"AAAAAFLFO4U=",0)</f>
        <v>#REF!</v>
      </c>
      <c r="EE355" t="e">
        <f>AND(#REF!,"AAAAAFLFO4Y=")</f>
        <v>#REF!</v>
      </c>
      <c r="EF355" t="e">
        <f>AND(#REF!,"AAAAAFLFO4c=")</f>
        <v>#REF!</v>
      </c>
      <c r="EG355" t="e">
        <f>AND(#REF!,"AAAAAFLFO4g=")</f>
        <v>#REF!</v>
      </c>
      <c r="EH355" t="e">
        <f>AND(#REF!,"AAAAAFLFO4k=")</f>
        <v>#REF!</v>
      </c>
      <c r="EI355" t="e">
        <f>AND(#REF!,"AAAAAFLFO4o=")</f>
        <v>#REF!</v>
      </c>
      <c r="EJ355" t="e">
        <f>AND(#REF!,"AAAAAFLFO4s=")</f>
        <v>#REF!</v>
      </c>
      <c r="EK355" t="e">
        <f>AND(#REF!,"AAAAAFLFO4w=")</f>
        <v>#REF!</v>
      </c>
      <c r="EL355" t="e">
        <f>AND(#REF!,"AAAAAFLFO40=")</f>
        <v>#REF!</v>
      </c>
      <c r="EM355" t="e">
        <f>AND(#REF!,"AAAAAFLFO44=")</f>
        <v>#REF!</v>
      </c>
      <c r="EN355" t="e">
        <f>AND(#REF!,"AAAAAFLFO48=")</f>
        <v>#REF!</v>
      </c>
      <c r="EO355" t="e">
        <f>IF(#REF!,"AAAAAFLFO5A=",0)</f>
        <v>#REF!</v>
      </c>
      <c r="EP355" t="e">
        <f>AND(#REF!,"AAAAAFLFO5E=")</f>
        <v>#REF!</v>
      </c>
      <c r="EQ355" t="e">
        <f>AND(#REF!,"AAAAAFLFO5I=")</f>
        <v>#REF!</v>
      </c>
      <c r="ER355" t="e">
        <f>AND(#REF!,"AAAAAFLFO5M=")</f>
        <v>#REF!</v>
      </c>
      <c r="ES355" t="e">
        <f>AND(#REF!,"AAAAAFLFO5Q=")</f>
        <v>#REF!</v>
      </c>
      <c r="ET355" t="e">
        <f>AND(#REF!,"AAAAAFLFO5U=")</f>
        <v>#REF!</v>
      </c>
      <c r="EU355" t="e">
        <f>AND(#REF!,"AAAAAFLFO5Y=")</f>
        <v>#REF!</v>
      </c>
      <c r="EV355" t="e">
        <f>AND(#REF!,"AAAAAFLFO5c=")</f>
        <v>#REF!</v>
      </c>
      <c r="EW355" t="e">
        <f>AND(#REF!,"AAAAAFLFO5g=")</f>
        <v>#REF!</v>
      </c>
      <c r="EX355" t="e">
        <f>AND(#REF!,"AAAAAFLFO5k=")</f>
        <v>#REF!</v>
      </c>
      <c r="EY355" t="e">
        <f>AND(#REF!,"AAAAAFLFO5o=")</f>
        <v>#REF!</v>
      </c>
      <c r="EZ355" t="e">
        <f>IF(#REF!,"AAAAAFLFO5s=",0)</f>
        <v>#REF!</v>
      </c>
      <c r="FA355" t="e">
        <f>AND(#REF!,"AAAAAFLFO5w=")</f>
        <v>#REF!</v>
      </c>
      <c r="FB355" t="e">
        <f>AND(#REF!,"AAAAAFLFO50=")</f>
        <v>#REF!</v>
      </c>
      <c r="FC355" t="e">
        <f>AND(#REF!,"AAAAAFLFO54=")</f>
        <v>#REF!</v>
      </c>
      <c r="FD355" t="e">
        <f>AND(#REF!,"AAAAAFLFO58=")</f>
        <v>#REF!</v>
      </c>
      <c r="FE355" t="e">
        <f>AND(#REF!,"AAAAAFLFO6A=")</f>
        <v>#REF!</v>
      </c>
      <c r="FF355" t="e">
        <f>AND(#REF!,"AAAAAFLFO6E=")</f>
        <v>#REF!</v>
      </c>
      <c r="FG355" t="e">
        <f>AND(#REF!,"AAAAAFLFO6I=")</f>
        <v>#REF!</v>
      </c>
      <c r="FH355" t="e">
        <f>AND(#REF!,"AAAAAFLFO6M=")</f>
        <v>#REF!</v>
      </c>
      <c r="FI355" t="e">
        <f>AND(#REF!,"AAAAAFLFO6Q=")</f>
        <v>#REF!</v>
      </c>
      <c r="FJ355" t="e">
        <f>AND(#REF!,"AAAAAFLFO6U=")</f>
        <v>#REF!</v>
      </c>
      <c r="FK355" t="e">
        <f>IF(#REF!,"AAAAAFLFO6Y=",0)</f>
        <v>#REF!</v>
      </c>
      <c r="FL355" t="e">
        <f>AND(#REF!,"AAAAAFLFO6c=")</f>
        <v>#REF!</v>
      </c>
      <c r="FM355" t="e">
        <f>AND(#REF!,"AAAAAFLFO6g=")</f>
        <v>#REF!</v>
      </c>
      <c r="FN355" t="e">
        <f>AND(#REF!,"AAAAAFLFO6k=")</f>
        <v>#REF!</v>
      </c>
      <c r="FO355" t="e">
        <f>AND(#REF!,"AAAAAFLFO6o=")</f>
        <v>#REF!</v>
      </c>
      <c r="FP355" t="e">
        <f>AND(#REF!,"AAAAAFLFO6s=")</f>
        <v>#REF!</v>
      </c>
      <c r="FQ355" t="e">
        <f>AND(#REF!,"AAAAAFLFO6w=")</f>
        <v>#REF!</v>
      </c>
      <c r="FR355" t="e">
        <f>AND(#REF!,"AAAAAFLFO60=")</f>
        <v>#REF!</v>
      </c>
      <c r="FS355" t="e">
        <f>AND(#REF!,"AAAAAFLFO64=")</f>
        <v>#REF!</v>
      </c>
      <c r="FT355" t="e">
        <f>AND(#REF!,"AAAAAFLFO68=")</f>
        <v>#REF!</v>
      </c>
      <c r="FU355" t="e">
        <f>AND(#REF!,"AAAAAFLFO7A=")</f>
        <v>#REF!</v>
      </c>
      <c r="FV355" t="e">
        <f>IF(#REF!,"AAAAAFLFO7E=",0)</f>
        <v>#REF!</v>
      </c>
      <c r="FW355" t="e">
        <f>AND(#REF!,"AAAAAFLFO7I=")</f>
        <v>#REF!</v>
      </c>
      <c r="FX355" t="e">
        <f>AND(#REF!,"AAAAAFLFO7M=")</f>
        <v>#REF!</v>
      </c>
      <c r="FY355" t="e">
        <f>AND(#REF!,"AAAAAFLFO7Q=")</f>
        <v>#REF!</v>
      </c>
      <c r="FZ355" t="e">
        <f>AND(#REF!,"AAAAAFLFO7U=")</f>
        <v>#REF!</v>
      </c>
      <c r="GA355" t="e">
        <f>AND(#REF!,"AAAAAFLFO7Y=")</f>
        <v>#REF!</v>
      </c>
      <c r="GB355" t="e">
        <f>AND(#REF!,"AAAAAFLFO7c=")</f>
        <v>#REF!</v>
      </c>
      <c r="GC355" t="e">
        <f>AND(#REF!,"AAAAAFLFO7g=")</f>
        <v>#REF!</v>
      </c>
      <c r="GD355" t="e">
        <f>AND(#REF!,"AAAAAFLFO7k=")</f>
        <v>#REF!</v>
      </c>
      <c r="GE355" t="e">
        <f>AND(#REF!,"AAAAAFLFO7o=")</f>
        <v>#REF!</v>
      </c>
      <c r="GF355" t="e">
        <f>AND(#REF!,"AAAAAFLFO7s=")</f>
        <v>#REF!</v>
      </c>
      <c r="GG355" t="e">
        <f>IF(#REF!,"AAAAAFLFO7w=",0)</f>
        <v>#REF!</v>
      </c>
      <c r="GH355" t="e">
        <f>AND(#REF!,"AAAAAFLFO70=")</f>
        <v>#REF!</v>
      </c>
      <c r="GI355" t="e">
        <f>AND(#REF!,"AAAAAFLFO74=")</f>
        <v>#REF!</v>
      </c>
      <c r="GJ355" t="e">
        <f>AND(#REF!,"AAAAAFLFO78=")</f>
        <v>#REF!</v>
      </c>
      <c r="GK355" t="e">
        <f>AND(#REF!,"AAAAAFLFO8A=")</f>
        <v>#REF!</v>
      </c>
      <c r="GL355" t="e">
        <f>AND(#REF!,"AAAAAFLFO8E=")</f>
        <v>#REF!</v>
      </c>
      <c r="GM355" t="e">
        <f>AND(#REF!,"AAAAAFLFO8I=")</f>
        <v>#REF!</v>
      </c>
      <c r="GN355" t="e">
        <f>AND(#REF!,"AAAAAFLFO8M=")</f>
        <v>#REF!</v>
      </c>
      <c r="GO355" t="e">
        <f>AND(#REF!,"AAAAAFLFO8Q=")</f>
        <v>#REF!</v>
      </c>
      <c r="GP355" t="e">
        <f>AND(#REF!,"AAAAAFLFO8U=")</f>
        <v>#REF!</v>
      </c>
      <c r="GQ355" t="e">
        <f>AND(#REF!,"AAAAAFLFO8Y=")</f>
        <v>#REF!</v>
      </c>
      <c r="GR355" t="e">
        <f>IF(#REF!,"AAAAAFLFO8c=",0)</f>
        <v>#REF!</v>
      </c>
      <c r="GS355" t="e">
        <f>AND(#REF!,"AAAAAFLFO8g=")</f>
        <v>#REF!</v>
      </c>
      <c r="GT355" t="e">
        <f>AND(#REF!,"AAAAAFLFO8k=")</f>
        <v>#REF!</v>
      </c>
      <c r="GU355" t="e">
        <f>AND(#REF!,"AAAAAFLFO8o=")</f>
        <v>#REF!</v>
      </c>
      <c r="GV355" t="e">
        <f>AND(#REF!,"AAAAAFLFO8s=")</f>
        <v>#REF!</v>
      </c>
      <c r="GW355" t="e">
        <f>AND(#REF!,"AAAAAFLFO8w=")</f>
        <v>#REF!</v>
      </c>
      <c r="GX355" t="e">
        <f>AND(#REF!,"AAAAAFLFO80=")</f>
        <v>#REF!</v>
      </c>
      <c r="GY355" t="e">
        <f>AND(#REF!,"AAAAAFLFO84=")</f>
        <v>#REF!</v>
      </c>
      <c r="GZ355" t="e">
        <f>AND(#REF!,"AAAAAFLFO88=")</f>
        <v>#REF!</v>
      </c>
      <c r="HA355" t="e">
        <f>AND(#REF!,"AAAAAFLFO9A=")</f>
        <v>#REF!</v>
      </c>
      <c r="HB355" t="e">
        <f>AND(#REF!,"AAAAAFLFO9E=")</f>
        <v>#REF!</v>
      </c>
      <c r="HC355" t="e">
        <f>IF(#REF!,"AAAAAFLFO9I=",0)</f>
        <v>#REF!</v>
      </c>
      <c r="HD355" t="e">
        <f>AND(#REF!,"AAAAAFLFO9M=")</f>
        <v>#REF!</v>
      </c>
      <c r="HE355" t="e">
        <f>AND(#REF!,"AAAAAFLFO9Q=")</f>
        <v>#REF!</v>
      </c>
      <c r="HF355" t="e">
        <f>AND(#REF!,"AAAAAFLFO9U=")</f>
        <v>#REF!</v>
      </c>
      <c r="HG355" t="e">
        <f>AND(#REF!,"AAAAAFLFO9Y=")</f>
        <v>#REF!</v>
      </c>
      <c r="HH355" t="e">
        <f>AND(#REF!,"AAAAAFLFO9c=")</f>
        <v>#REF!</v>
      </c>
      <c r="HI355" t="e">
        <f>AND(#REF!,"AAAAAFLFO9g=")</f>
        <v>#REF!</v>
      </c>
      <c r="HJ355" t="e">
        <f>AND(#REF!,"AAAAAFLFO9k=")</f>
        <v>#REF!</v>
      </c>
      <c r="HK355" t="e">
        <f>AND(#REF!,"AAAAAFLFO9o=")</f>
        <v>#REF!</v>
      </c>
      <c r="HL355" t="e">
        <f>AND(#REF!,"AAAAAFLFO9s=")</f>
        <v>#REF!</v>
      </c>
      <c r="HM355" t="e">
        <f>AND(#REF!,"AAAAAFLFO9w=")</f>
        <v>#REF!</v>
      </c>
      <c r="HN355" t="e">
        <f>IF(#REF!,"AAAAAFLFO90=",0)</f>
        <v>#REF!</v>
      </c>
      <c r="HO355" t="e">
        <f>AND(#REF!,"AAAAAFLFO94=")</f>
        <v>#REF!</v>
      </c>
      <c r="HP355" t="e">
        <f>AND(#REF!,"AAAAAFLFO98=")</f>
        <v>#REF!</v>
      </c>
      <c r="HQ355" t="e">
        <f>AND(#REF!,"AAAAAFLFO+A=")</f>
        <v>#REF!</v>
      </c>
      <c r="HR355" t="e">
        <f>AND(#REF!,"AAAAAFLFO+E=")</f>
        <v>#REF!</v>
      </c>
      <c r="HS355" t="e">
        <f>AND(#REF!,"AAAAAFLFO+I=")</f>
        <v>#REF!</v>
      </c>
      <c r="HT355" t="e">
        <f>AND(#REF!,"AAAAAFLFO+M=")</f>
        <v>#REF!</v>
      </c>
      <c r="HU355" t="e">
        <f>AND(#REF!,"AAAAAFLFO+Q=")</f>
        <v>#REF!</v>
      </c>
      <c r="HV355" t="e">
        <f>AND(#REF!,"AAAAAFLFO+U=")</f>
        <v>#REF!</v>
      </c>
      <c r="HW355" t="e">
        <f>AND(#REF!,"AAAAAFLFO+Y=")</f>
        <v>#REF!</v>
      </c>
      <c r="HX355" t="e">
        <f>AND(#REF!,"AAAAAFLFO+c=")</f>
        <v>#REF!</v>
      </c>
      <c r="HY355" t="e">
        <f>IF(#REF!,"AAAAAFLFO+g=",0)</f>
        <v>#REF!</v>
      </c>
      <c r="HZ355" t="e">
        <f>AND(#REF!,"AAAAAFLFO+k=")</f>
        <v>#REF!</v>
      </c>
      <c r="IA355" t="e">
        <f>AND(#REF!,"AAAAAFLFO+o=")</f>
        <v>#REF!</v>
      </c>
      <c r="IB355" t="e">
        <f>AND(#REF!,"AAAAAFLFO+s=")</f>
        <v>#REF!</v>
      </c>
      <c r="IC355" t="e">
        <f>AND(#REF!,"AAAAAFLFO+w=")</f>
        <v>#REF!</v>
      </c>
      <c r="ID355" t="e">
        <f>AND(#REF!,"AAAAAFLFO+0=")</f>
        <v>#REF!</v>
      </c>
      <c r="IE355" t="e">
        <f>AND(#REF!,"AAAAAFLFO+4=")</f>
        <v>#REF!</v>
      </c>
      <c r="IF355" t="e">
        <f>AND(#REF!,"AAAAAFLFO+8=")</f>
        <v>#REF!</v>
      </c>
      <c r="IG355" t="e">
        <f>AND(#REF!,"AAAAAFLFO/A=")</f>
        <v>#REF!</v>
      </c>
      <c r="IH355" t="e">
        <f>AND(#REF!,"AAAAAFLFO/E=")</f>
        <v>#REF!</v>
      </c>
      <c r="II355" t="e">
        <f>AND(#REF!,"AAAAAFLFO/I=")</f>
        <v>#REF!</v>
      </c>
      <c r="IJ355" t="e">
        <f>IF(#REF!,"AAAAAFLFO/M=",0)</f>
        <v>#REF!</v>
      </c>
      <c r="IK355" t="e">
        <f>AND(#REF!,"AAAAAFLFO/Q=")</f>
        <v>#REF!</v>
      </c>
      <c r="IL355" t="e">
        <f>AND(#REF!,"AAAAAFLFO/U=")</f>
        <v>#REF!</v>
      </c>
      <c r="IM355" t="e">
        <f>AND(#REF!,"AAAAAFLFO/Y=")</f>
        <v>#REF!</v>
      </c>
      <c r="IN355" t="e">
        <f>AND(#REF!,"AAAAAFLFO/c=")</f>
        <v>#REF!</v>
      </c>
      <c r="IO355" t="e">
        <f>AND(#REF!,"AAAAAFLFO/g=")</f>
        <v>#REF!</v>
      </c>
      <c r="IP355" t="e">
        <f>AND(#REF!,"AAAAAFLFO/k=")</f>
        <v>#REF!</v>
      </c>
      <c r="IQ355" t="e">
        <f>AND(#REF!,"AAAAAFLFO/o=")</f>
        <v>#REF!</v>
      </c>
      <c r="IR355" t="e">
        <f>AND(#REF!,"AAAAAFLFO/s=")</f>
        <v>#REF!</v>
      </c>
      <c r="IS355" t="e">
        <f>AND(#REF!,"AAAAAFLFO/w=")</f>
        <v>#REF!</v>
      </c>
      <c r="IT355" t="e">
        <f>AND(#REF!,"AAAAAFLFO/0=")</f>
        <v>#REF!</v>
      </c>
      <c r="IU355" t="e">
        <f>IF(#REF!,"AAAAAFLFO/4=",0)</f>
        <v>#REF!</v>
      </c>
      <c r="IV355" t="e">
        <f>AND(#REF!,"AAAAAFLFO/8=")</f>
        <v>#REF!</v>
      </c>
    </row>
    <row r="356" spans="1:256" x14ac:dyDescent="0.25">
      <c r="A356" t="e">
        <f>AND(#REF!,"AAAAADMMvwA=")</f>
        <v>#REF!</v>
      </c>
      <c r="B356" t="e">
        <f>AND(#REF!,"AAAAADMMvwE=")</f>
        <v>#REF!</v>
      </c>
      <c r="C356" t="e">
        <f>AND(#REF!,"AAAAADMMvwI=")</f>
        <v>#REF!</v>
      </c>
      <c r="D356" t="e">
        <f>AND(#REF!,"AAAAADMMvwM=")</f>
        <v>#REF!</v>
      </c>
      <c r="E356" t="e">
        <f>AND(#REF!,"AAAAADMMvwQ=")</f>
        <v>#REF!</v>
      </c>
      <c r="F356" t="e">
        <f>AND(#REF!,"AAAAADMMvwU=")</f>
        <v>#REF!</v>
      </c>
      <c r="G356" t="e">
        <f>AND(#REF!,"AAAAADMMvwY=")</f>
        <v>#REF!</v>
      </c>
      <c r="H356" t="e">
        <f>AND(#REF!,"AAAAADMMvwc=")</f>
        <v>#REF!</v>
      </c>
      <c r="I356" t="e">
        <f>AND(#REF!,"AAAAADMMvwg=")</f>
        <v>#REF!</v>
      </c>
      <c r="J356" t="e">
        <f>IF(#REF!,"AAAAADMMvwk=",0)</f>
        <v>#REF!</v>
      </c>
      <c r="K356" t="e">
        <f>AND(#REF!,"AAAAADMMvwo=")</f>
        <v>#REF!</v>
      </c>
      <c r="L356" t="e">
        <f>AND(#REF!,"AAAAADMMvws=")</f>
        <v>#REF!</v>
      </c>
      <c r="M356" t="e">
        <f>AND(#REF!,"AAAAADMMvww=")</f>
        <v>#REF!</v>
      </c>
      <c r="N356" t="e">
        <f>AND(#REF!,"AAAAADMMvw0=")</f>
        <v>#REF!</v>
      </c>
      <c r="O356" t="e">
        <f>AND(#REF!,"AAAAADMMvw4=")</f>
        <v>#REF!</v>
      </c>
      <c r="P356" t="e">
        <f>AND(#REF!,"AAAAADMMvw8=")</f>
        <v>#REF!</v>
      </c>
      <c r="Q356" t="e">
        <f>AND(#REF!,"AAAAADMMvxA=")</f>
        <v>#REF!</v>
      </c>
      <c r="R356" t="e">
        <f>AND(#REF!,"AAAAADMMvxE=")</f>
        <v>#REF!</v>
      </c>
      <c r="S356" t="e">
        <f>AND(#REF!,"AAAAADMMvxI=")</f>
        <v>#REF!</v>
      </c>
      <c r="T356" t="e">
        <f>AND(#REF!,"AAAAADMMvxM=")</f>
        <v>#REF!</v>
      </c>
      <c r="U356" t="e">
        <f>IF(#REF!,"AAAAADMMvxQ=",0)</f>
        <v>#REF!</v>
      </c>
      <c r="V356" t="e">
        <f>AND(#REF!,"AAAAADMMvxU=")</f>
        <v>#REF!</v>
      </c>
      <c r="W356" t="e">
        <f>AND(#REF!,"AAAAADMMvxY=")</f>
        <v>#REF!</v>
      </c>
      <c r="X356" t="e">
        <f>AND(#REF!,"AAAAADMMvxc=")</f>
        <v>#REF!</v>
      </c>
      <c r="Y356" t="e">
        <f>AND(#REF!,"AAAAADMMvxg=")</f>
        <v>#REF!</v>
      </c>
      <c r="Z356" t="e">
        <f>AND(#REF!,"AAAAADMMvxk=")</f>
        <v>#REF!</v>
      </c>
      <c r="AA356" t="e">
        <f>AND(#REF!,"AAAAADMMvxo=")</f>
        <v>#REF!</v>
      </c>
      <c r="AB356" t="e">
        <f>AND(#REF!,"AAAAADMMvxs=")</f>
        <v>#REF!</v>
      </c>
      <c r="AC356" t="e">
        <f>AND(#REF!,"AAAAADMMvxw=")</f>
        <v>#REF!</v>
      </c>
      <c r="AD356" t="e">
        <f>AND(#REF!,"AAAAADMMvx0=")</f>
        <v>#REF!</v>
      </c>
      <c r="AE356" t="e">
        <f>AND(#REF!,"AAAAADMMvx4=")</f>
        <v>#REF!</v>
      </c>
      <c r="AF356" t="e">
        <f>IF(#REF!,"AAAAADMMvx8=",0)</f>
        <v>#REF!</v>
      </c>
      <c r="AG356" t="e">
        <f>AND(#REF!,"AAAAADMMvyA=")</f>
        <v>#REF!</v>
      </c>
      <c r="AH356" t="e">
        <f>AND(#REF!,"AAAAADMMvyE=")</f>
        <v>#REF!</v>
      </c>
      <c r="AI356" t="e">
        <f>AND(#REF!,"AAAAADMMvyI=")</f>
        <v>#REF!</v>
      </c>
      <c r="AJ356" t="e">
        <f>AND(#REF!,"AAAAADMMvyM=")</f>
        <v>#REF!</v>
      </c>
      <c r="AK356" t="e">
        <f>AND(#REF!,"AAAAADMMvyQ=")</f>
        <v>#REF!</v>
      </c>
      <c r="AL356" t="e">
        <f>AND(#REF!,"AAAAADMMvyU=")</f>
        <v>#REF!</v>
      </c>
      <c r="AM356" t="e">
        <f>AND(#REF!,"AAAAADMMvyY=")</f>
        <v>#REF!</v>
      </c>
      <c r="AN356" t="e">
        <f>AND(#REF!,"AAAAADMMvyc=")</f>
        <v>#REF!</v>
      </c>
      <c r="AO356" t="e">
        <f>AND(#REF!,"AAAAADMMvyg=")</f>
        <v>#REF!</v>
      </c>
      <c r="AP356" t="e">
        <f>AND(#REF!,"AAAAADMMvyk=")</f>
        <v>#REF!</v>
      </c>
      <c r="AQ356" t="e">
        <f>IF(#REF!,"AAAAADMMvyo=",0)</f>
        <v>#REF!</v>
      </c>
      <c r="AR356" t="e">
        <f>AND(#REF!,"AAAAADMMvys=")</f>
        <v>#REF!</v>
      </c>
      <c r="AS356" t="e">
        <f>AND(#REF!,"AAAAADMMvyw=")</f>
        <v>#REF!</v>
      </c>
      <c r="AT356" t="e">
        <f>AND(#REF!,"AAAAADMMvy0=")</f>
        <v>#REF!</v>
      </c>
      <c r="AU356" t="e">
        <f>AND(#REF!,"AAAAADMMvy4=")</f>
        <v>#REF!</v>
      </c>
      <c r="AV356" t="e">
        <f>AND(#REF!,"AAAAADMMvy8=")</f>
        <v>#REF!</v>
      </c>
      <c r="AW356" t="e">
        <f>AND(#REF!,"AAAAADMMvzA=")</f>
        <v>#REF!</v>
      </c>
      <c r="AX356" t="e">
        <f>AND(#REF!,"AAAAADMMvzE=")</f>
        <v>#REF!</v>
      </c>
      <c r="AY356" t="e">
        <f>AND(#REF!,"AAAAADMMvzI=")</f>
        <v>#REF!</v>
      </c>
      <c r="AZ356" t="e">
        <f>AND(#REF!,"AAAAADMMvzM=")</f>
        <v>#REF!</v>
      </c>
      <c r="BA356" t="e">
        <f>AND(#REF!,"AAAAADMMvzQ=")</f>
        <v>#REF!</v>
      </c>
      <c r="BB356" t="e">
        <f>IF(#REF!,"AAAAADMMvzU=",0)</f>
        <v>#REF!</v>
      </c>
      <c r="BC356" t="e">
        <f>AND(#REF!,"AAAAADMMvzY=")</f>
        <v>#REF!</v>
      </c>
      <c r="BD356" t="e">
        <f>AND(#REF!,"AAAAADMMvzc=")</f>
        <v>#REF!</v>
      </c>
      <c r="BE356" t="e">
        <f>AND(#REF!,"AAAAADMMvzg=")</f>
        <v>#REF!</v>
      </c>
      <c r="BF356" t="e">
        <f>AND(#REF!,"AAAAADMMvzk=")</f>
        <v>#REF!</v>
      </c>
      <c r="BG356" t="e">
        <f>AND(#REF!,"AAAAADMMvzo=")</f>
        <v>#REF!</v>
      </c>
      <c r="BH356" t="e">
        <f>AND(#REF!,"AAAAADMMvzs=")</f>
        <v>#REF!</v>
      </c>
      <c r="BI356" t="e">
        <f>AND(#REF!,"AAAAADMMvzw=")</f>
        <v>#REF!</v>
      </c>
      <c r="BJ356" t="e">
        <f>AND(#REF!,"AAAAADMMvz0=")</f>
        <v>#REF!</v>
      </c>
      <c r="BK356" t="e">
        <f>AND(#REF!,"AAAAADMMvz4=")</f>
        <v>#REF!</v>
      </c>
      <c r="BL356" t="e">
        <f>AND(#REF!,"AAAAADMMvz8=")</f>
        <v>#REF!</v>
      </c>
      <c r="BM356" t="e">
        <f>IF(#REF!,"AAAAADMMv0A=",0)</f>
        <v>#REF!</v>
      </c>
      <c r="BN356" t="e">
        <f>AND(#REF!,"AAAAADMMv0E=")</f>
        <v>#REF!</v>
      </c>
      <c r="BO356" t="e">
        <f>AND(#REF!,"AAAAADMMv0I=")</f>
        <v>#REF!</v>
      </c>
      <c r="BP356" t="e">
        <f>AND(#REF!,"AAAAADMMv0M=")</f>
        <v>#REF!</v>
      </c>
      <c r="BQ356" t="e">
        <f>AND(#REF!,"AAAAADMMv0Q=")</f>
        <v>#REF!</v>
      </c>
      <c r="BR356" t="e">
        <f>AND(#REF!,"AAAAADMMv0U=")</f>
        <v>#REF!</v>
      </c>
      <c r="BS356" t="e">
        <f>AND(#REF!,"AAAAADMMv0Y=")</f>
        <v>#REF!</v>
      </c>
      <c r="BT356" t="e">
        <f>AND(#REF!,"AAAAADMMv0c=")</f>
        <v>#REF!</v>
      </c>
      <c r="BU356" t="e">
        <f>AND(#REF!,"AAAAADMMv0g=")</f>
        <v>#REF!</v>
      </c>
      <c r="BV356" t="e">
        <f>AND(#REF!,"AAAAADMMv0k=")</f>
        <v>#REF!</v>
      </c>
      <c r="BW356" t="e">
        <f>AND(#REF!,"AAAAADMMv0o=")</f>
        <v>#REF!</v>
      </c>
      <c r="BX356" t="e">
        <f>IF(#REF!,"AAAAADMMv0s=",0)</f>
        <v>#REF!</v>
      </c>
      <c r="BY356" t="e">
        <f>AND(#REF!,"AAAAADMMv0w=")</f>
        <v>#REF!</v>
      </c>
      <c r="BZ356" t="e">
        <f>AND(#REF!,"AAAAADMMv00=")</f>
        <v>#REF!</v>
      </c>
      <c r="CA356" t="e">
        <f>AND(#REF!,"AAAAADMMv04=")</f>
        <v>#REF!</v>
      </c>
      <c r="CB356" t="e">
        <f>AND(#REF!,"AAAAADMMv08=")</f>
        <v>#REF!</v>
      </c>
      <c r="CC356" t="e">
        <f>AND(#REF!,"AAAAADMMv1A=")</f>
        <v>#REF!</v>
      </c>
      <c r="CD356" t="e">
        <f>AND(#REF!,"AAAAADMMv1E=")</f>
        <v>#REF!</v>
      </c>
      <c r="CE356" t="e">
        <f>AND(#REF!,"AAAAADMMv1I=")</f>
        <v>#REF!</v>
      </c>
      <c r="CF356" t="e">
        <f>AND(#REF!,"AAAAADMMv1M=")</f>
        <v>#REF!</v>
      </c>
      <c r="CG356" t="e">
        <f>AND(#REF!,"AAAAADMMv1Q=")</f>
        <v>#REF!</v>
      </c>
      <c r="CH356" t="e">
        <f>AND(#REF!,"AAAAADMMv1U=")</f>
        <v>#REF!</v>
      </c>
      <c r="CI356" t="e">
        <f>IF(#REF!,"AAAAADMMv1Y=",0)</f>
        <v>#REF!</v>
      </c>
      <c r="CJ356" t="e">
        <f>AND(#REF!,"AAAAADMMv1c=")</f>
        <v>#REF!</v>
      </c>
      <c r="CK356" t="e">
        <f>AND(#REF!,"AAAAADMMv1g=")</f>
        <v>#REF!</v>
      </c>
      <c r="CL356" t="e">
        <f>AND(#REF!,"AAAAADMMv1k=")</f>
        <v>#REF!</v>
      </c>
      <c r="CM356" t="e">
        <f>AND(#REF!,"AAAAADMMv1o=")</f>
        <v>#REF!</v>
      </c>
      <c r="CN356" t="e">
        <f>AND(#REF!,"AAAAADMMv1s=")</f>
        <v>#REF!</v>
      </c>
      <c r="CO356" t="e">
        <f>AND(#REF!,"AAAAADMMv1w=")</f>
        <v>#REF!</v>
      </c>
      <c r="CP356" t="e">
        <f>AND(#REF!,"AAAAADMMv10=")</f>
        <v>#REF!</v>
      </c>
      <c r="CQ356" t="e">
        <f>AND(#REF!,"AAAAADMMv14=")</f>
        <v>#REF!</v>
      </c>
      <c r="CR356" t="e">
        <f>AND(#REF!,"AAAAADMMv18=")</f>
        <v>#REF!</v>
      </c>
      <c r="CS356" t="e">
        <f>AND(#REF!,"AAAAADMMv2A=")</f>
        <v>#REF!</v>
      </c>
      <c r="CT356" t="e">
        <f>IF(#REF!,"AAAAADMMv2E=",0)</f>
        <v>#REF!</v>
      </c>
      <c r="CU356" t="e">
        <f>AND(#REF!,"AAAAADMMv2I=")</f>
        <v>#REF!</v>
      </c>
      <c r="CV356" t="e">
        <f>AND(#REF!,"AAAAADMMv2M=")</f>
        <v>#REF!</v>
      </c>
      <c r="CW356" t="e">
        <f>AND(#REF!,"AAAAADMMv2Q=")</f>
        <v>#REF!</v>
      </c>
      <c r="CX356" t="e">
        <f>AND(#REF!,"AAAAADMMv2U=")</f>
        <v>#REF!</v>
      </c>
      <c r="CY356" t="e">
        <f>AND(#REF!,"AAAAADMMv2Y=")</f>
        <v>#REF!</v>
      </c>
      <c r="CZ356" t="e">
        <f>AND(#REF!,"AAAAADMMv2c=")</f>
        <v>#REF!</v>
      </c>
      <c r="DA356" t="e">
        <f>AND(#REF!,"AAAAADMMv2g=")</f>
        <v>#REF!</v>
      </c>
      <c r="DB356" t="e">
        <f>AND(#REF!,"AAAAADMMv2k=")</f>
        <v>#REF!</v>
      </c>
      <c r="DC356" t="e">
        <f>AND(#REF!,"AAAAADMMv2o=")</f>
        <v>#REF!</v>
      </c>
      <c r="DD356" t="e">
        <f>AND(#REF!,"AAAAADMMv2s=")</f>
        <v>#REF!</v>
      </c>
      <c r="DE356" t="e">
        <f>IF(#REF!,"AAAAADMMv2w=",0)</f>
        <v>#REF!</v>
      </c>
      <c r="DF356" t="e">
        <f>AND(#REF!,"AAAAADMMv20=")</f>
        <v>#REF!</v>
      </c>
      <c r="DG356" t="e">
        <f>AND(#REF!,"AAAAADMMv24=")</f>
        <v>#REF!</v>
      </c>
      <c r="DH356" t="e">
        <f>AND(#REF!,"AAAAADMMv28=")</f>
        <v>#REF!</v>
      </c>
      <c r="DI356" t="e">
        <f>AND(#REF!,"AAAAADMMv3A=")</f>
        <v>#REF!</v>
      </c>
      <c r="DJ356" t="e">
        <f>AND(#REF!,"AAAAADMMv3E=")</f>
        <v>#REF!</v>
      </c>
      <c r="DK356" t="e">
        <f>AND(#REF!,"AAAAADMMv3I=")</f>
        <v>#REF!</v>
      </c>
      <c r="DL356" t="e">
        <f>AND(#REF!,"AAAAADMMv3M=")</f>
        <v>#REF!</v>
      </c>
      <c r="DM356" t="e">
        <f>AND(#REF!,"AAAAADMMv3Q=")</f>
        <v>#REF!</v>
      </c>
      <c r="DN356" t="e">
        <f>AND(#REF!,"AAAAADMMv3U=")</f>
        <v>#REF!</v>
      </c>
      <c r="DO356" t="e">
        <f>AND(#REF!,"AAAAADMMv3Y=")</f>
        <v>#REF!</v>
      </c>
      <c r="DP356" t="e">
        <f>IF(#REF!,"AAAAADMMv3c=",0)</f>
        <v>#REF!</v>
      </c>
      <c r="DQ356" t="e">
        <f>AND(#REF!,"AAAAADMMv3g=")</f>
        <v>#REF!</v>
      </c>
      <c r="DR356" t="e">
        <f>AND(#REF!,"AAAAADMMv3k=")</f>
        <v>#REF!</v>
      </c>
      <c r="DS356" t="e">
        <f>AND(#REF!,"AAAAADMMv3o=")</f>
        <v>#REF!</v>
      </c>
      <c r="DT356" t="e">
        <f>AND(#REF!,"AAAAADMMv3s=")</f>
        <v>#REF!</v>
      </c>
      <c r="DU356" t="e">
        <f>AND(#REF!,"AAAAADMMv3w=")</f>
        <v>#REF!</v>
      </c>
      <c r="DV356" t="e">
        <f>AND(#REF!,"AAAAADMMv30=")</f>
        <v>#REF!</v>
      </c>
      <c r="DW356" t="e">
        <f>AND(#REF!,"AAAAADMMv34=")</f>
        <v>#REF!</v>
      </c>
      <c r="DX356" t="e">
        <f>AND(#REF!,"AAAAADMMv38=")</f>
        <v>#REF!</v>
      </c>
      <c r="DY356" t="e">
        <f>AND(#REF!,"AAAAADMMv4A=")</f>
        <v>#REF!</v>
      </c>
      <c r="DZ356" t="e">
        <f>AND(#REF!,"AAAAADMMv4E=")</f>
        <v>#REF!</v>
      </c>
      <c r="EA356" t="e">
        <f>IF(#REF!,"AAAAADMMv4I=",0)</f>
        <v>#REF!</v>
      </c>
      <c r="EB356" t="e">
        <f>AND(#REF!,"AAAAADMMv4M=")</f>
        <v>#REF!</v>
      </c>
      <c r="EC356" t="e">
        <f>AND(#REF!,"AAAAADMMv4Q=")</f>
        <v>#REF!</v>
      </c>
      <c r="ED356" t="e">
        <f>AND(#REF!,"AAAAADMMv4U=")</f>
        <v>#REF!</v>
      </c>
      <c r="EE356" t="e">
        <f>AND(#REF!,"AAAAADMMv4Y=")</f>
        <v>#REF!</v>
      </c>
      <c r="EF356" t="e">
        <f>AND(#REF!,"AAAAADMMv4c=")</f>
        <v>#REF!</v>
      </c>
      <c r="EG356" t="e">
        <f>AND(#REF!,"AAAAADMMv4g=")</f>
        <v>#REF!</v>
      </c>
      <c r="EH356" t="e">
        <f>AND(#REF!,"AAAAADMMv4k=")</f>
        <v>#REF!</v>
      </c>
      <c r="EI356" t="e">
        <f>AND(#REF!,"AAAAADMMv4o=")</f>
        <v>#REF!</v>
      </c>
      <c r="EJ356" t="e">
        <f>AND(#REF!,"AAAAADMMv4s=")</f>
        <v>#REF!</v>
      </c>
      <c r="EK356" t="e">
        <f>AND(#REF!,"AAAAADMMv4w=")</f>
        <v>#REF!</v>
      </c>
      <c r="EL356" t="e">
        <f>IF(#REF!,"AAAAADMMv40=",0)</f>
        <v>#REF!</v>
      </c>
      <c r="EM356" t="e">
        <f>AND(#REF!,"AAAAADMMv44=")</f>
        <v>#REF!</v>
      </c>
      <c r="EN356" t="e">
        <f>AND(#REF!,"AAAAADMMv48=")</f>
        <v>#REF!</v>
      </c>
      <c r="EO356" t="e">
        <f>AND(#REF!,"AAAAADMMv5A=")</f>
        <v>#REF!</v>
      </c>
      <c r="EP356" t="e">
        <f>AND(#REF!,"AAAAADMMv5E=")</f>
        <v>#REF!</v>
      </c>
      <c r="EQ356" t="e">
        <f>AND(#REF!,"AAAAADMMv5I=")</f>
        <v>#REF!</v>
      </c>
      <c r="ER356" t="e">
        <f>AND(#REF!,"AAAAADMMv5M=")</f>
        <v>#REF!</v>
      </c>
      <c r="ES356" t="e">
        <f>AND(#REF!,"AAAAADMMv5Q=")</f>
        <v>#REF!</v>
      </c>
      <c r="ET356" t="e">
        <f>AND(#REF!,"AAAAADMMv5U=")</f>
        <v>#REF!</v>
      </c>
      <c r="EU356" t="e">
        <f>AND(#REF!,"AAAAADMMv5Y=")</f>
        <v>#REF!</v>
      </c>
      <c r="EV356" t="e">
        <f>AND(#REF!,"AAAAADMMv5c=")</f>
        <v>#REF!</v>
      </c>
      <c r="EW356" t="e">
        <f>IF(#REF!,"AAAAADMMv5g=",0)</f>
        <v>#REF!</v>
      </c>
      <c r="EX356" t="e">
        <f>AND(#REF!,"AAAAADMMv5k=")</f>
        <v>#REF!</v>
      </c>
      <c r="EY356" t="e">
        <f>AND(#REF!,"AAAAADMMv5o=")</f>
        <v>#REF!</v>
      </c>
      <c r="EZ356" t="e">
        <f>AND(#REF!,"AAAAADMMv5s=")</f>
        <v>#REF!</v>
      </c>
      <c r="FA356" t="e">
        <f>AND(#REF!,"AAAAADMMv5w=")</f>
        <v>#REF!</v>
      </c>
      <c r="FB356" t="e">
        <f>AND(#REF!,"AAAAADMMv50=")</f>
        <v>#REF!</v>
      </c>
      <c r="FC356" t="e">
        <f>AND(#REF!,"AAAAADMMv54=")</f>
        <v>#REF!</v>
      </c>
      <c r="FD356" t="e">
        <f>AND(#REF!,"AAAAADMMv58=")</f>
        <v>#REF!</v>
      </c>
      <c r="FE356" t="e">
        <f>AND(#REF!,"AAAAADMMv6A=")</f>
        <v>#REF!</v>
      </c>
      <c r="FF356" t="e">
        <f>AND(#REF!,"AAAAADMMv6E=")</f>
        <v>#REF!</v>
      </c>
      <c r="FG356" t="e">
        <f>AND(#REF!,"AAAAADMMv6I=")</f>
        <v>#REF!</v>
      </c>
      <c r="FH356" t="e">
        <f>IF(#REF!,"AAAAADMMv6M=",0)</f>
        <v>#REF!</v>
      </c>
      <c r="FI356" t="e">
        <f>AND(#REF!,"AAAAADMMv6Q=")</f>
        <v>#REF!</v>
      </c>
      <c r="FJ356" t="e">
        <f>AND(#REF!,"AAAAADMMv6U=")</f>
        <v>#REF!</v>
      </c>
      <c r="FK356" t="e">
        <f>AND(#REF!,"AAAAADMMv6Y=")</f>
        <v>#REF!</v>
      </c>
      <c r="FL356" t="e">
        <f>AND(#REF!,"AAAAADMMv6c=")</f>
        <v>#REF!</v>
      </c>
      <c r="FM356" t="e">
        <f>AND(#REF!,"AAAAADMMv6g=")</f>
        <v>#REF!</v>
      </c>
      <c r="FN356" t="e">
        <f>AND(#REF!,"AAAAADMMv6k=")</f>
        <v>#REF!</v>
      </c>
      <c r="FO356" t="e">
        <f>AND(#REF!,"AAAAADMMv6o=")</f>
        <v>#REF!</v>
      </c>
      <c r="FP356" t="e">
        <f>AND(#REF!,"AAAAADMMv6s=")</f>
        <v>#REF!</v>
      </c>
      <c r="FQ356" t="e">
        <f>AND(#REF!,"AAAAADMMv6w=")</f>
        <v>#REF!</v>
      </c>
      <c r="FR356" t="e">
        <f>AND(#REF!,"AAAAADMMv60=")</f>
        <v>#REF!</v>
      </c>
      <c r="FS356" t="e">
        <f>IF(#REF!,"AAAAADMMv64=",0)</f>
        <v>#REF!</v>
      </c>
      <c r="FT356" t="e">
        <f>AND(#REF!,"AAAAADMMv68=")</f>
        <v>#REF!</v>
      </c>
      <c r="FU356" t="e">
        <f>AND(#REF!,"AAAAADMMv7A=")</f>
        <v>#REF!</v>
      </c>
      <c r="FV356" t="e">
        <f>AND(#REF!,"AAAAADMMv7E=")</f>
        <v>#REF!</v>
      </c>
      <c r="FW356" t="e">
        <f>AND(#REF!,"AAAAADMMv7I=")</f>
        <v>#REF!</v>
      </c>
      <c r="FX356" t="e">
        <f>AND(#REF!,"AAAAADMMv7M=")</f>
        <v>#REF!</v>
      </c>
      <c r="FY356" t="e">
        <f>AND(#REF!,"AAAAADMMv7Q=")</f>
        <v>#REF!</v>
      </c>
      <c r="FZ356" t="e">
        <f>AND(#REF!,"AAAAADMMv7U=")</f>
        <v>#REF!</v>
      </c>
      <c r="GA356" t="e">
        <f>AND(#REF!,"AAAAADMMv7Y=")</f>
        <v>#REF!</v>
      </c>
      <c r="GB356" t="e">
        <f>AND(#REF!,"AAAAADMMv7c=")</f>
        <v>#REF!</v>
      </c>
      <c r="GC356" t="e">
        <f>AND(#REF!,"AAAAADMMv7g=")</f>
        <v>#REF!</v>
      </c>
      <c r="GD356" t="e">
        <f>IF(#REF!,"AAAAADMMv7k=",0)</f>
        <v>#REF!</v>
      </c>
      <c r="GE356" t="e">
        <f>AND(#REF!,"AAAAADMMv7o=")</f>
        <v>#REF!</v>
      </c>
      <c r="GF356" t="e">
        <f>AND(#REF!,"AAAAADMMv7s=")</f>
        <v>#REF!</v>
      </c>
      <c r="GG356" t="e">
        <f>AND(#REF!,"AAAAADMMv7w=")</f>
        <v>#REF!</v>
      </c>
      <c r="GH356" t="e">
        <f>AND(#REF!,"AAAAADMMv70=")</f>
        <v>#REF!</v>
      </c>
      <c r="GI356" t="e">
        <f>AND(#REF!,"AAAAADMMv74=")</f>
        <v>#REF!</v>
      </c>
      <c r="GJ356" t="e">
        <f>AND(#REF!,"AAAAADMMv78=")</f>
        <v>#REF!</v>
      </c>
      <c r="GK356" t="e">
        <f>AND(#REF!,"AAAAADMMv8A=")</f>
        <v>#REF!</v>
      </c>
      <c r="GL356" t="e">
        <f>AND(#REF!,"AAAAADMMv8E=")</f>
        <v>#REF!</v>
      </c>
      <c r="GM356" t="e">
        <f>AND(#REF!,"AAAAADMMv8I=")</f>
        <v>#REF!</v>
      </c>
      <c r="GN356" t="e">
        <f>AND(#REF!,"AAAAADMMv8M=")</f>
        <v>#REF!</v>
      </c>
      <c r="GO356" t="e">
        <f>IF(#REF!,"AAAAADMMv8Q=",0)</f>
        <v>#REF!</v>
      </c>
      <c r="GP356" t="e">
        <f>AND(#REF!,"AAAAADMMv8U=")</f>
        <v>#REF!</v>
      </c>
      <c r="GQ356" t="e">
        <f>AND(#REF!,"AAAAADMMv8Y=")</f>
        <v>#REF!</v>
      </c>
      <c r="GR356" t="e">
        <f>AND(#REF!,"AAAAADMMv8c=")</f>
        <v>#REF!</v>
      </c>
      <c r="GS356" t="e">
        <f>AND(#REF!,"AAAAADMMv8g=")</f>
        <v>#REF!</v>
      </c>
      <c r="GT356" t="e">
        <f>AND(#REF!,"AAAAADMMv8k=")</f>
        <v>#REF!</v>
      </c>
      <c r="GU356" t="e">
        <f>AND(#REF!,"AAAAADMMv8o=")</f>
        <v>#REF!</v>
      </c>
      <c r="GV356" t="e">
        <f>AND(#REF!,"AAAAADMMv8s=")</f>
        <v>#REF!</v>
      </c>
      <c r="GW356" t="e">
        <f>AND(#REF!,"AAAAADMMv8w=")</f>
        <v>#REF!</v>
      </c>
      <c r="GX356" t="e">
        <f>AND(#REF!,"AAAAADMMv80=")</f>
        <v>#REF!</v>
      </c>
      <c r="GY356" t="e">
        <f>AND(#REF!,"AAAAADMMv84=")</f>
        <v>#REF!</v>
      </c>
      <c r="GZ356" t="e">
        <f>IF(#REF!,"AAAAADMMv88=",0)</f>
        <v>#REF!</v>
      </c>
      <c r="HA356" t="e">
        <f>AND(#REF!,"AAAAADMMv9A=")</f>
        <v>#REF!</v>
      </c>
      <c r="HB356" t="e">
        <f>AND(#REF!,"AAAAADMMv9E=")</f>
        <v>#REF!</v>
      </c>
      <c r="HC356" t="e">
        <f>AND(#REF!,"AAAAADMMv9I=")</f>
        <v>#REF!</v>
      </c>
      <c r="HD356" t="e">
        <f>AND(#REF!,"AAAAADMMv9M=")</f>
        <v>#REF!</v>
      </c>
      <c r="HE356" t="e">
        <f>AND(#REF!,"AAAAADMMv9Q=")</f>
        <v>#REF!</v>
      </c>
      <c r="HF356" t="e">
        <f>AND(#REF!,"AAAAADMMv9U=")</f>
        <v>#REF!</v>
      </c>
      <c r="HG356" t="e">
        <f>AND(#REF!,"AAAAADMMv9Y=")</f>
        <v>#REF!</v>
      </c>
      <c r="HH356" t="e">
        <f>AND(#REF!,"AAAAADMMv9c=")</f>
        <v>#REF!</v>
      </c>
      <c r="HI356" t="e">
        <f>AND(#REF!,"AAAAADMMv9g=")</f>
        <v>#REF!</v>
      </c>
      <c r="HJ356" t="e">
        <f>AND(#REF!,"AAAAADMMv9k=")</f>
        <v>#REF!</v>
      </c>
      <c r="HK356" t="e">
        <f>IF(#REF!,"AAAAADMMv9o=",0)</f>
        <v>#REF!</v>
      </c>
      <c r="HL356" t="e">
        <f>AND(#REF!,"AAAAADMMv9s=")</f>
        <v>#REF!</v>
      </c>
      <c r="HM356" t="e">
        <f>AND(#REF!,"AAAAADMMv9w=")</f>
        <v>#REF!</v>
      </c>
      <c r="HN356" t="e">
        <f>AND(#REF!,"AAAAADMMv90=")</f>
        <v>#REF!</v>
      </c>
      <c r="HO356" t="e">
        <f>AND(#REF!,"AAAAADMMv94=")</f>
        <v>#REF!</v>
      </c>
      <c r="HP356" t="e">
        <f>AND(#REF!,"AAAAADMMv98=")</f>
        <v>#REF!</v>
      </c>
      <c r="HQ356" t="e">
        <f>AND(#REF!,"AAAAADMMv+A=")</f>
        <v>#REF!</v>
      </c>
      <c r="HR356" t="e">
        <f>AND(#REF!,"AAAAADMMv+E=")</f>
        <v>#REF!</v>
      </c>
      <c r="HS356" t="e">
        <f>AND(#REF!,"AAAAADMMv+I=")</f>
        <v>#REF!</v>
      </c>
      <c r="HT356" t="e">
        <f>AND(#REF!,"AAAAADMMv+M=")</f>
        <v>#REF!</v>
      </c>
      <c r="HU356" t="e">
        <f>AND(#REF!,"AAAAADMMv+Q=")</f>
        <v>#REF!</v>
      </c>
      <c r="HV356" t="e">
        <f>IF(#REF!,"AAAAADMMv+U=",0)</f>
        <v>#REF!</v>
      </c>
      <c r="HW356" t="e">
        <f>AND(#REF!,"AAAAADMMv+Y=")</f>
        <v>#REF!</v>
      </c>
      <c r="HX356" t="e">
        <f>AND(#REF!,"AAAAADMMv+c=")</f>
        <v>#REF!</v>
      </c>
      <c r="HY356" t="e">
        <f>AND(#REF!,"AAAAADMMv+g=")</f>
        <v>#REF!</v>
      </c>
      <c r="HZ356" t="e">
        <f>AND(#REF!,"AAAAADMMv+k=")</f>
        <v>#REF!</v>
      </c>
      <c r="IA356" t="e">
        <f>AND(#REF!,"AAAAADMMv+o=")</f>
        <v>#REF!</v>
      </c>
      <c r="IB356" t="e">
        <f>AND(#REF!,"AAAAADMMv+s=")</f>
        <v>#REF!</v>
      </c>
      <c r="IC356" t="e">
        <f>AND(#REF!,"AAAAADMMv+w=")</f>
        <v>#REF!</v>
      </c>
      <c r="ID356" t="e">
        <f>AND(#REF!,"AAAAADMMv+0=")</f>
        <v>#REF!</v>
      </c>
      <c r="IE356" t="e">
        <f>AND(#REF!,"AAAAADMMv+4=")</f>
        <v>#REF!</v>
      </c>
      <c r="IF356" t="e">
        <f>AND(#REF!,"AAAAADMMv+8=")</f>
        <v>#REF!</v>
      </c>
      <c r="IG356" t="e">
        <f>IF(#REF!,"AAAAADMMv/A=",0)</f>
        <v>#REF!</v>
      </c>
      <c r="IH356" t="e">
        <f>AND(#REF!,"AAAAADMMv/E=")</f>
        <v>#REF!</v>
      </c>
      <c r="II356" t="e">
        <f>AND(#REF!,"AAAAADMMv/I=")</f>
        <v>#REF!</v>
      </c>
      <c r="IJ356" t="e">
        <f>AND(#REF!,"AAAAADMMv/M=")</f>
        <v>#REF!</v>
      </c>
      <c r="IK356" t="e">
        <f>AND(#REF!,"AAAAADMMv/Q=")</f>
        <v>#REF!</v>
      </c>
      <c r="IL356" t="e">
        <f>AND(#REF!,"AAAAADMMv/U=")</f>
        <v>#REF!</v>
      </c>
      <c r="IM356" t="e">
        <f>AND(#REF!,"AAAAADMMv/Y=")</f>
        <v>#REF!</v>
      </c>
      <c r="IN356" t="e">
        <f>AND(#REF!,"AAAAADMMv/c=")</f>
        <v>#REF!</v>
      </c>
      <c r="IO356" t="e">
        <f>AND(#REF!,"AAAAADMMv/g=")</f>
        <v>#REF!</v>
      </c>
      <c r="IP356" t="e">
        <f>AND(#REF!,"AAAAADMMv/k=")</f>
        <v>#REF!</v>
      </c>
      <c r="IQ356" t="e">
        <f>AND(#REF!,"AAAAADMMv/o=")</f>
        <v>#REF!</v>
      </c>
      <c r="IR356" t="e">
        <f>IF(#REF!,"AAAAADMMv/s=",0)</f>
        <v>#REF!</v>
      </c>
      <c r="IS356" t="e">
        <f>AND(#REF!,"AAAAADMMv/w=")</f>
        <v>#REF!</v>
      </c>
      <c r="IT356" t="e">
        <f>AND(#REF!,"AAAAADMMv/0=")</f>
        <v>#REF!</v>
      </c>
      <c r="IU356" t="e">
        <f>AND(#REF!,"AAAAADMMv/4=")</f>
        <v>#REF!</v>
      </c>
      <c r="IV356" t="e">
        <f>AND(#REF!,"AAAAADMMv/8=")</f>
        <v>#REF!</v>
      </c>
    </row>
    <row r="357" spans="1:256" x14ac:dyDescent="0.25">
      <c r="A357" t="e">
        <f>AND(#REF!,"AAAAAC/v/gA=")</f>
        <v>#REF!</v>
      </c>
      <c r="B357" t="e">
        <f>AND(#REF!,"AAAAAC/v/gE=")</f>
        <v>#REF!</v>
      </c>
      <c r="C357" t="e">
        <f>AND(#REF!,"AAAAAC/v/gI=")</f>
        <v>#REF!</v>
      </c>
      <c r="D357" t="e">
        <f>AND(#REF!,"AAAAAC/v/gM=")</f>
        <v>#REF!</v>
      </c>
      <c r="E357" t="e">
        <f>AND(#REF!,"AAAAAC/v/gQ=")</f>
        <v>#REF!</v>
      </c>
      <c r="F357" t="e">
        <f>AND(#REF!,"AAAAAC/v/gU=")</f>
        <v>#REF!</v>
      </c>
      <c r="G357" t="e">
        <f>IF(#REF!,"AAAAAC/v/gY=",0)</f>
        <v>#REF!</v>
      </c>
      <c r="H357" t="e">
        <f>AND(#REF!,"AAAAAC/v/gc=")</f>
        <v>#REF!</v>
      </c>
      <c r="I357" t="e">
        <f>AND(#REF!,"AAAAAC/v/gg=")</f>
        <v>#REF!</v>
      </c>
      <c r="J357" t="e">
        <f>AND(#REF!,"AAAAAC/v/gk=")</f>
        <v>#REF!</v>
      </c>
      <c r="K357" t="e">
        <f>AND(#REF!,"AAAAAC/v/go=")</f>
        <v>#REF!</v>
      </c>
      <c r="L357" t="e">
        <f>AND(#REF!,"AAAAAC/v/gs=")</f>
        <v>#REF!</v>
      </c>
      <c r="M357" t="e">
        <f>AND(#REF!,"AAAAAC/v/gw=")</f>
        <v>#REF!</v>
      </c>
      <c r="N357" t="e">
        <f>AND(#REF!,"AAAAAC/v/g0=")</f>
        <v>#REF!</v>
      </c>
      <c r="O357" t="e">
        <f>AND(#REF!,"AAAAAC/v/g4=")</f>
        <v>#REF!</v>
      </c>
      <c r="P357" t="e">
        <f>AND(#REF!,"AAAAAC/v/g8=")</f>
        <v>#REF!</v>
      </c>
      <c r="Q357" t="e">
        <f>AND(#REF!,"AAAAAC/v/hA=")</f>
        <v>#REF!</v>
      </c>
      <c r="R357" t="e">
        <f>IF(#REF!,"AAAAAC/v/hE=",0)</f>
        <v>#REF!</v>
      </c>
      <c r="S357" t="e">
        <f>AND(#REF!,"AAAAAC/v/hI=")</f>
        <v>#REF!</v>
      </c>
      <c r="T357" t="e">
        <f>AND(#REF!,"AAAAAC/v/hM=")</f>
        <v>#REF!</v>
      </c>
      <c r="U357" t="e">
        <f>AND(#REF!,"AAAAAC/v/hQ=")</f>
        <v>#REF!</v>
      </c>
      <c r="V357" t="e">
        <f>AND(#REF!,"AAAAAC/v/hU=")</f>
        <v>#REF!</v>
      </c>
      <c r="W357" t="e">
        <f>AND(#REF!,"AAAAAC/v/hY=")</f>
        <v>#REF!</v>
      </c>
      <c r="X357" t="e">
        <f>AND(#REF!,"AAAAAC/v/hc=")</f>
        <v>#REF!</v>
      </c>
      <c r="Y357" t="e">
        <f>AND(#REF!,"AAAAAC/v/hg=")</f>
        <v>#REF!</v>
      </c>
      <c r="Z357" t="e">
        <f>AND(#REF!,"AAAAAC/v/hk=")</f>
        <v>#REF!</v>
      </c>
      <c r="AA357" t="e">
        <f>AND(#REF!,"AAAAAC/v/ho=")</f>
        <v>#REF!</v>
      </c>
      <c r="AB357" t="e">
        <f>AND(#REF!,"AAAAAC/v/hs=")</f>
        <v>#REF!</v>
      </c>
      <c r="AC357" t="e">
        <f>IF(#REF!,"AAAAAC/v/hw=",0)</f>
        <v>#REF!</v>
      </c>
      <c r="AD357" t="e">
        <f>AND(#REF!,"AAAAAC/v/h0=")</f>
        <v>#REF!</v>
      </c>
      <c r="AE357" t="e">
        <f>AND(#REF!,"AAAAAC/v/h4=")</f>
        <v>#REF!</v>
      </c>
      <c r="AF357" t="e">
        <f>AND(#REF!,"AAAAAC/v/h8=")</f>
        <v>#REF!</v>
      </c>
      <c r="AG357" t="e">
        <f>AND(#REF!,"AAAAAC/v/iA=")</f>
        <v>#REF!</v>
      </c>
      <c r="AH357" t="e">
        <f>AND(#REF!,"AAAAAC/v/iE=")</f>
        <v>#REF!</v>
      </c>
      <c r="AI357" t="e">
        <f>AND(#REF!,"AAAAAC/v/iI=")</f>
        <v>#REF!</v>
      </c>
      <c r="AJ357" t="e">
        <f>AND(#REF!,"AAAAAC/v/iM=")</f>
        <v>#REF!</v>
      </c>
      <c r="AK357" t="e">
        <f>AND(#REF!,"AAAAAC/v/iQ=")</f>
        <v>#REF!</v>
      </c>
      <c r="AL357" t="e">
        <f>AND(#REF!,"AAAAAC/v/iU=")</f>
        <v>#REF!</v>
      </c>
      <c r="AM357" t="e">
        <f>AND(#REF!,"AAAAAC/v/iY=")</f>
        <v>#REF!</v>
      </c>
      <c r="AN357" t="e">
        <f>IF(#REF!,"AAAAAC/v/ic=",0)</f>
        <v>#REF!</v>
      </c>
      <c r="AO357" t="e">
        <f>AND(#REF!,"AAAAAC/v/ig=")</f>
        <v>#REF!</v>
      </c>
      <c r="AP357" t="e">
        <f>AND(#REF!,"AAAAAC/v/ik=")</f>
        <v>#REF!</v>
      </c>
      <c r="AQ357" t="e">
        <f>AND(#REF!,"AAAAAC/v/io=")</f>
        <v>#REF!</v>
      </c>
      <c r="AR357" t="e">
        <f>AND(#REF!,"AAAAAC/v/is=")</f>
        <v>#REF!</v>
      </c>
      <c r="AS357" t="e">
        <f>AND(#REF!,"AAAAAC/v/iw=")</f>
        <v>#REF!</v>
      </c>
      <c r="AT357" t="e">
        <f>AND(#REF!,"AAAAAC/v/i0=")</f>
        <v>#REF!</v>
      </c>
      <c r="AU357" t="e">
        <f>AND(#REF!,"AAAAAC/v/i4=")</f>
        <v>#REF!</v>
      </c>
      <c r="AV357" t="e">
        <f>AND(#REF!,"AAAAAC/v/i8=")</f>
        <v>#REF!</v>
      </c>
      <c r="AW357" t="e">
        <f>AND(#REF!,"AAAAAC/v/jA=")</f>
        <v>#REF!</v>
      </c>
      <c r="AX357" t="e">
        <f>AND(#REF!,"AAAAAC/v/jE=")</f>
        <v>#REF!</v>
      </c>
      <c r="AY357" t="e">
        <f>IF(#REF!,"AAAAAC/v/jI=",0)</f>
        <v>#REF!</v>
      </c>
      <c r="AZ357" t="e">
        <f>AND(#REF!,"AAAAAC/v/jM=")</f>
        <v>#REF!</v>
      </c>
      <c r="BA357" t="e">
        <f>AND(#REF!,"AAAAAC/v/jQ=")</f>
        <v>#REF!</v>
      </c>
      <c r="BB357" t="e">
        <f>AND(#REF!,"AAAAAC/v/jU=")</f>
        <v>#REF!</v>
      </c>
      <c r="BC357" t="e">
        <f>AND(#REF!,"AAAAAC/v/jY=")</f>
        <v>#REF!</v>
      </c>
      <c r="BD357" t="e">
        <f>AND(#REF!,"AAAAAC/v/jc=")</f>
        <v>#REF!</v>
      </c>
      <c r="BE357" t="e">
        <f>AND(#REF!,"AAAAAC/v/jg=")</f>
        <v>#REF!</v>
      </c>
      <c r="BF357" t="e">
        <f>AND(#REF!,"AAAAAC/v/jk=")</f>
        <v>#REF!</v>
      </c>
      <c r="BG357" t="e">
        <f>AND(#REF!,"AAAAAC/v/jo=")</f>
        <v>#REF!</v>
      </c>
      <c r="BH357" t="e">
        <f>AND(#REF!,"AAAAAC/v/js=")</f>
        <v>#REF!</v>
      </c>
      <c r="BI357" t="e">
        <f>AND(#REF!,"AAAAAC/v/jw=")</f>
        <v>#REF!</v>
      </c>
      <c r="BJ357" t="e">
        <f>IF(#REF!,"AAAAAC/v/j0=",0)</f>
        <v>#REF!</v>
      </c>
      <c r="BK357" t="e">
        <f>AND(#REF!,"AAAAAC/v/j4=")</f>
        <v>#REF!</v>
      </c>
      <c r="BL357" t="e">
        <f>AND(#REF!,"AAAAAC/v/j8=")</f>
        <v>#REF!</v>
      </c>
      <c r="BM357" t="e">
        <f>AND(#REF!,"AAAAAC/v/kA=")</f>
        <v>#REF!</v>
      </c>
      <c r="BN357" t="e">
        <f>AND(#REF!,"AAAAAC/v/kE=")</f>
        <v>#REF!</v>
      </c>
      <c r="BO357" t="e">
        <f>AND(#REF!,"AAAAAC/v/kI=")</f>
        <v>#REF!</v>
      </c>
      <c r="BP357" t="e">
        <f>AND(#REF!,"AAAAAC/v/kM=")</f>
        <v>#REF!</v>
      </c>
      <c r="BQ357" t="e">
        <f>AND(#REF!,"AAAAAC/v/kQ=")</f>
        <v>#REF!</v>
      </c>
      <c r="BR357" t="e">
        <f>AND(#REF!,"AAAAAC/v/kU=")</f>
        <v>#REF!</v>
      </c>
      <c r="BS357" t="e">
        <f>AND(#REF!,"AAAAAC/v/kY=")</f>
        <v>#REF!</v>
      </c>
      <c r="BT357" t="e">
        <f>AND(#REF!,"AAAAAC/v/kc=")</f>
        <v>#REF!</v>
      </c>
      <c r="BU357" t="e">
        <f>IF(#REF!,"AAAAAC/v/kg=",0)</f>
        <v>#REF!</v>
      </c>
      <c r="BV357" t="e">
        <f>AND(#REF!,"AAAAAC/v/kk=")</f>
        <v>#REF!</v>
      </c>
      <c r="BW357" t="e">
        <f>AND(#REF!,"AAAAAC/v/ko=")</f>
        <v>#REF!</v>
      </c>
      <c r="BX357" t="e">
        <f>AND(#REF!,"AAAAAC/v/ks=")</f>
        <v>#REF!</v>
      </c>
      <c r="BY357" t="e">
        <f>AND(#REF!,"AAAAAC/v/kw=")</f>
        <v>#REF!</v>
      </c>
      <c r="BZ357" t="e">
        <f>AND(#REF!,"AAAAAC/v/k0=")</f>
        <v>#REF!</v>
      </c>
      <c r="CA357" t="e">
        <f>AND(#REF!,"AAAAAC/v/k4=")</f>
        <v>#REF!</v>
      </c>
      <c r="CB357" t="e">
        <f>AND(#REF!,"AAAAAC/v/k8=")</f>
        <v>#REF!</v>
      </c>
      <c r="CC357" t="e">
        <f>AND(#REF!,"AAAAAC/v/lA=")</f>
        <v>#REF!</v>
      </c>
      <c r="CD357" t="e">
        <f>AND(#REF!,"AAAAAC/v/lE=")</f>
        <v>#REF!</v>
      </c>
      <c r="CE357" t="e">
        <f>AND(#REF!,"AAAAAC/v/lI=")</f>
        <v>#REF!</v>
      </c>
      <c r="CF357" t="e">
        <f>IF(#REF!,"AAAAAC/v/lM=",0)</f>
        <v>#REF!</v>
      </c>
      <c r="CG357" t="e">
        <f>AND(#REF!,"AAAAAC/v/lQ=")</f>
        <v>#REF!</v>
      </c>
      <c r="CH357" t="e">
        <f>AND(#REF!,"AAAAAC/v/lU=")</f>
        <v>#REF!</v>
      </c>
      <c r="CI357" t="e">
        <f>AND(#REF!,"AAAAAC/v/lY=")</f>
        <v>#REF!</v>
      </c>
      <c r="CJ357" t="e">
        <f>AND(#REF!,"AAAAAC/v/lc=")</f>
        <v>#REF!</v>
      </c>
      <c r="CK357" t="e">
        <f>AND(#REF!,"AAAAAC/v/lg=")</f>
        <v>#REF!</v>
      </c>
      <c r="CL357" t="e">
        <f>AND(#REF!,"AAAAAC/v/lk=")</f>
        <v>#REF!</v>
      </c>
      <c r="CM357" t="e">
        <f>AND(#REF!,"AAAAAC/v/lo=")</f>
        <v>#REF!</v>
      </c>
      <c r="CN357" t="e">
        <f>AND(#REF!,"AAAAAC/v/ls=")</f>
        <v>#REF!</v>
      </c>
      <c r="CO357" t="e">
        <f>AND(#REF!,"AAAAAC/v/lw=")</f>
        <v>#REF!</v>
      </c>
      <c r="CP357" t="e">
        <f>AND(#REF!,"AAAAAC/v/l0=")</f>
        <v>#REF!</v>
      </c>
      <c r="CQ357" t="e">
        <f>IF(#REF!,"AAAAAC/v/l4=",0)</f>
        <v>#REF!</v>
      </c>
      <c r="CR357" t="e">
        <f>AND(#REF!,"AAAAAC/v/l8=")</f>
        <v>#REF!</v>
      </c>
      <c r="CS357" t="e">
        <f>AND(#REF!,"AAAAAC/v/mA=")</f>
        <v>#REF!</v>
      </c>
      <c r="CT357" t="e">
        <f>AND(#REF!,"AAAAAC/v/mE=")</f>
        <v>#REF!</v>
      </c>
      <c r="CU357" t="e">
        <f>AND(#REF!,"AAAAAC/v/mI=")</f>
        <v>#REF!</v>
      </c>
      <c r="CV357" t="e">
        <f>AND(#REF!,"AAAAAC/v/mM=")</f>
        <v>#REF!</v>
      </c>
      <c r="CW357" t="e">
        <f>AND(#REF!,"AAAAAC/v/mQ=")</f>
        <v>#REF!</v>
      </c>
      <c r="CX357" t="e">
        <f>AND(#REF!,"AAAAAC/v/mU=")</f>
        <v>#REF!</v>
      </c>
      <c r="CY357" t="e">
        <f>AND(#REF!,"AAAAAC/v/mY=")</f>
        <v>#REF!</v>
      </c>
      <c r="CZ357" t="e">
        <f>AND(#REF!,"AAAAAC/v/mc=")</f>
        <v>#REF!</v>
      </c>
      <c r="DA357" t="e">
        <f>AND(#REF!,"AAAAAC/v/mg=")</f>
        <v>#REF!</v>
      </c>
      <c r="DB357" t="e">
        <f>IF(#REF!,"AAAAAC/v/mk=",0)</f>
        <v>#REF!</v>
      </c>
      <c r="DC357" t="e">
        <f>AND(#REF!,"AAAAAC/v/mo=")</f>
        <v>#REF!</v>
      </c>
      <c r="DD357" t="e">
        <f>AND(#REF!,"AAAAAC/v/ms=")</f>
        <v>#REF!</v>
      </c>
      <c r="DE357" t="e">
        <f>AND(#REF!,"AAAAAC/v/mw=")</f>
        <v>#REF!</v>
      </c>
      <c r="DF357" t="e">
        <f>AND(#REF!,"AAAAAC/v/m0=")</f>
        <v>#REF!</v>
      </c>
      <c r="DG357" t="e">
        <f>AND(#REF!,"AAAAAC/v/m4=")</f>
        <v>#REF!</v>
      </c>
      <c r="DH357" t="e">
        <f>AND(#REF!,"AAAAAC/v/m8=")</f>
        <v>#REF!</v>
      </c>
      <c r="DI357" t="e">
        <f>AND(#REF!,"AAAAAC/v/nA=")</f>
        <v>#REF!</v>
      </c>
      <c r="DJ357" t="e">
        <f>AND(#REF!,"AAAAAC/v/nE=")</f>
        <v>#REF!</v>
      </c>
      <c r="DK357" t="e">
        <f>AND(#REF!,"AAAAAC/v/nI=")</f>
        <v>#REF!</v>
      </c>
      <c r="DL357" t="e">
        <f>AND(#REF!,"AAAAAC/v/nM=")</f>
        <v>#REF!</v>
      </c>
      <c r="DM357" t="e">
        <f>IF(#REF!,"AAAAAC/v/nQ=",0)</f>
        <v>#REF!</v>
      </c>
      <c r="DN357" t="e">
        <f>AND(#REF!,"AAAAAC/v/nU=")</f>
        <v>#REF!</v>
      </c>
      <c r="DO357" t="e">
        <f>AND(#REF!,"AAAAAC/v/nY=")</f>
        <v>#REF!</v>
      </c>
      <c r="DP357" t="e">
        <f>AND(#REF!,"AAAAAC/v/nc=")</f>
        <v>#REF!</v>
      </c>
      <c r="DQ357" t="e">
        <f>AND(#REF!,"AAAAAC/v/ng=")</f>
        <v>#REF!</v>
      </c>
      <c r="DR357" t="e">
        <f>AND(#REF!,"AAAAAC/v/nk=")</f>
        <v>#REF!</v>
      </c>
      <c r="DS357" t="e">
        <f>AND(#REF!,"AAAAAC/v/no=")</f>
        <v>#REF!</v>
      </c>
      <c r="DT357" t="e">
        <f>AND(#REF!,"AAAAAC/v/ns=")</f>
        <v>#REF!</v>
      </c>
      <c r="DU357" t="e">
        <f>AND(#REF!,"AAAAAC/v/nw=")</f>
        <v>#REF!</v>
      </c>
      <c r="DV357" t="e">
        <f>AND(#REF!,"AAAAAC/v/n0=")</f>
        <v>#REF!</v>
      </c>
      <c r="DW357" t="e">
        <f>AND(#REF!,"AAAAAC/v/n4=")</f>
        <v>#REF!</v>
      </c>
      <c r="DX357" t="e">
        <f>IF(#REF!,"AAAAAC/v/n8=",0)</f>
        <v>#REF!</v>
      </c>
      <c r="DY357" t="e">
        <f>AND(#REF!,"AAAAAC/v/oA=")</f>
        <v>#REF!</v>
      </c>
      <c r="DZ357" t="e">
        <f>AND(#REF!,"AAAAAC/v/oE=")</f>
        <v>#REF!</v>
      </c>
      <c r="EA357" t="e">
        <f>AND(#REF!,"AAAAAC/v/oI=")</f>
        <v>#REF!</v>
      </c>
      <c r="EB357" t="e">
        <f>AND(#REF!,"AAAAAC/v/oM=")</f>
        <v>#REF!</v>
      </c>
      <c r="EC357" t="e">
        <f>AND(#REF!,"AAAAAC/v/oQ=")</f>
        <v>#REF!</v>
      </c>
      <c r="ED357" t="e">
        <f>AND(#REF!,"AAAAAC/v/oU=")</f>
        <v>#REF!</v>
      </c>
      <c r="EE357" t="e">
        <f>AND(#REF!,"AAAAAC/v/oY=")</f>
        <v>#REF!</v>
      </c>
      <c r="EF357" t="e">
        <f>AND(#REF!,"AAAAAC/v/oc=")</f>
        <v>#REF!</v>
      </c>
      <c r="EG357" t="e">
        <f>AND(#REF!,"AAAAAC/v/og=")</f>
        <v>#REF!</v>
      </c>
      <c r="EH357" t="e">
        <f>AND(#REF!,"AAAAAC/v/ok=")</f>
        <v>#REF!</v>
      </c>
      <c r="EI357" t="e">
        <f>IF(#REF!,"AAAAAC/v/oo=",0)</f>
        <v>#REF!</v>
      </c>
      <c r="EJ357" t="e">
        <f>AND(#REF!,"AAAAAC/v/os=")</f>
        <v>#REF!</v>
      </c>
      <c r="EK357" t="e">
        <f>AND(#REF!,"AAAAAC/v/ow=")</f>
        <v>#REF!</v>
      </c>
      <c r="EL357" t="e">
        <f>AND(#REF!,"AAAAAC/v/o0=")</f>
        <v>#REF!</v>
      </c>
      <c r="EM357" t="e">
        <f>AND(#REF!,"AAAAAC/v/o4=")</f>
        <v>#REF!</v>
      </c>
      <c r="EN357" t="e">
        <f>AND(#REF!,"AAAAAC/v/o8=")</f>
        <v>#REF!</v>
      </c>
      <c r="EO357" t="e">
        <f>AND(#REF!,"AAAAAC/v/pA=")</f>
        <v>#REF!</v>
      </c>
      <c r="EP357" t="e">
        <f>AND(#REF!,"AAAAAC/v/pE=")</f>
        <v>#REF!</v>
      </c>
      <c r="EQ357" t="e">
        <f>AND(#REF!,"AAAAAC/v/pI=")</f>
        <v>#REF!</v>
      </c>
      <c r="ER357" t="e">
        <f>AND(#REF!,"AAAAAC/v/pM=")</f>
        <v>#REF!</v>
      </c>
      <c r="ES357" t="e">
        <f>AND(#REF!,"AAAAAC/v/pQ=")</f>
        <v>#REF!</v>
      </c>
      <c r="ET357" t="e">
        <f>IF(#REF!,"AAAAAC/v/pU=",0)</f>
        <v>#REF!</v>
      </c>
      <c r="EU357" t="e">
        <f>AND(#REF!,"AAAAAC/v/pY=")</f>
        <v>#REF!</v>
      </c>
      <c r="EV357" t="e">
        <f>AND(#REF!,"AAAAAC/v/pc=")</f>
        <v>#REF!</v>
      </c>
      <c r="EW357" t="e">
        <f>AND(#REF!,"AAAAAC/v/pg=")</f>
        <v>#REF!</v>
      </c>
      <c r="EX357" t="e">
        <f>AND(#REF!,"AAAAAC/v/pk=")</f>
        <v>#REF!</v>
      </c>
      <c r="EY357" t="e">
        <f>AND(#REF!,"AAAAAC/v/po=")</f>
        <v>#REF!</v>
      </c>
      <c r="EZ357" t="e">
        <f>AND(#REF!,"AAAAAC/v/ps=")</f>
        <v>#REF!</v>
      </c>
      <c r="FA357" t="e">
        <f>AND(#REF!,"AAAAAC/v/pw=")</f>
        <v>#REF!</v>
      </c>
      <c r="FB357" t="e">
        <f>AND(#REF!,"AAAAAC/v/p0=")</f>
        <v>#REF!</v>
      </c>
      <c r="FC357" t="e">
        <f>AND(#REF!,"AAAAAC/v/p4=")</f>
        <v>#REF!</v>
      </c>
      <c r="FD357" t="e">
        <f>AND(#REF!,"AAAAAC/v/p8=")</f>
        <v>#REF!</v>
      </c>
      <c r="FE357" t="e">
        <f>IF(#REF!,"AAAAAC/v/qA=",0)</f>
        <v>#REF!</v>
      </c>
      <c r="FF357" t="e">
        <f>AND(#REF!,"AAAAAC/v/qE=")</f>
        <v>#REF!</v>
      </c>
      <c r="FG357" t="e">
        <f>AND(#REF!,"AAAAAC/v/qI=")</f>
        <v>#REF!</v>
      </c>
      <c r="FH357" t="e">
        <f>AND(#REF!,"AAAAAC/v/qM=")</f>
        <v>#REF!</v>
      </c>
      <c r="FI357" t="e">
        <f>AND(#REF!,"AAAAAC/v/qQ=")</f>
        <v>#REF!</v>
      </c>
      <c r="FJ357" t="e">
        <f>AND(#REF!,"AAAAAC/v/qU=")</f>
        <v>#REF!</v>
      </c>
      <c r="FK357" t="e">
        <f>AND(#REF!,"AAAAAC/v/qY=")</f>
        <v>#REF!</v>
      </c>
      <c r="FL357" t="e">
        <f>AND(#REF!,"AAAAAC/v/qc=")</f>
        <v>#REF!</v>
      </c>
      <c r="FM357" t="e">
        <f>AND(#REF!,"AAAAAC/v/qg=")</f>
        <v>#REF!</v>
      </c>
      <c r="FN357" t="e">
        <f>AND(#REF!,"AAAAAC/v/qk=")</f>
        <v>#REF!</v>
      </c>
      <c r="FO357" t="e">
        <f>AND(#REF!,"AAAAAC/v/qo=")</f>
        <v>#REF!</v>
      </c>
      <c r="FP357" t="e">
        <f>IF(#REF!,"AAAAAC/v/qs=",0)</f>
        <v>#REF!</v>
      </c>
      <c r="FQ357" t="e">
        <f>AND(#REF!,"AAAAAC/v/qw=")</f>
        <v>#REF!</v>
      </c>
      <c r="FR357" t="e">
        <f>AND(#REF!,"AAAAAC/v/q0=")</f>
        <v>#REF!</v>
      </c>
      <c r="FS357" t="e">
        <f>AND(#REF!,"AAAAAC/v/q4=")</f>
        <v>#REF!</v>
      </c>
      <c r="FT357" t="e">
        <f>AND(#REF!,"AAAAAC/v/q8=")</f>
        <v>#REF!</v>
      </c>
      <c r="FU357" t="e">
        <f>AND(#REF!,"AAAAAC/v/rA=")</f>
        <v>#REF!</v>
      </c>
      <c r="FV357" t="e">
        <f>AND(#REF!,"AAAAAC/v/rE=")</f>
        <v>#REF!</v>
      </c>
      <c r="FW357" t="e">
        <f>AND(#REF!,"AAAAAC/v/rI=")</f>
        <v>#REF!</v>
      </c>
      <c r="FX357" t="e">
        <f>AND(#REF!,"AAAAAC/v/rM=")</f>
        <v>#REF!</v>
      </c>
      <c r="FY357" t="e">
        <f>AND(#REF!,"AAAAAC/v/rQ=")</f>
        <v>#REF!</v>
      </c>
      <c r="FZ357" t="e">
        <f>AND(#REF!,"AAAAAC/v/rU=")</f>
        <v>#REF!</v>
      </c>
      <c r="GA357" t="e">
        <f>IF(#REF!,"AAAAAC/v/rY=",0)</f>
        <v>#REF!</v>
      </c>
      <c r="GB357" t="e">
        <f>AND(#REF!,"AAAAAC/v/rc=")</f>
        <v>#REF!</v>
      </c>
      <c r="GC357" t="e">
        <f>AND(#REF!,"AAAAAC/v/rg=")</f>
        <v>#REF!</v>
      </c>
      <c r="GD357" t="e">
        <f>AND(#REF!,"AAAAAC/v/rk=")</f>
        <v>#REF!</v>
      </c>
      <c r="GE357" t="e">
        <f>AND(#REF!,"AAAAAC/v/ro=")</f>
        <v>#REF!</v>
      </c>
      <c r="GF357" t="e">
        <f>AND(#REF!,"AAAAAC/v/rs=")</f>
        <v>#REF!</v>
      </c>
      <c r="GG357" t="e">
        <f>AND(#REF!,"AAAAAC/v/rw=")</f>
        <v>#REF!</v>
      </c>
      <c r="GH357" t="e">
        <f>AND(#REF!,"AAAAAC/v/r0=")</f>
        <v>#REF!</v>
      </c>
      <c r="GI357" t="e">
        <f>AND(#REF!,"AAAAAC/v/r4=")</f>
        <v>#REF!</v>
      </c>
      <c r="GJ357" t="e">
        <f>AND(#REF!,"AAAAAC/v/r8=")</f>
        <v>#REF!</v>
      </c>
      <c r="GK357" t="e">
        <f>AND(#REF!,"AAAAAC/v/sA=")</f>
        <v>#REF!</v>
      </c>
      <c r="GL357" t="e">
        <f>IF(#REF!,"AAAAAC/v/sE=",0)</f>
        <v>#REF!</v>
      </c>
      <c r="GM357" t="e">
        <f>AND(#REF!,"AAAAAC/v/sI=")</f>
        <v>#REF!</v>
      </c>
      <c r="GN357" t="e">
        <f>AND(#REF!,"AAAAAC/v/sM=")</f>
        <v>#REF!</v>
      </c>
      <c r="GO357" t="e">
        <f>AND(#REF!,"AAAAAC/v/sQ=")</f>
        <v>#REF!</v>
      </c>
      <c r="GP357" t="e">
        <f>AND(#REF!,"AAAAAC/v/sU=")</f>
        <v>#REF!</v>
      </c>
      <c r="GQ357" t="e">
        <f>AND(#REF!,"AAAAAC/v/sY=")</f>
        <v>#REF!</v>
      </c>
      <c r="GR357" t="e">
        <f>AND(#REF!,"AAAAAC/v/sc=")</f>
        <v>#REF!</v>
      </c>
      <c r="GS357" t="e">
        <f>AND(#REF!,"AAAAAC/v/sg=")</f>
        <v>#REF!</v>
      </c>
      <c r="GT357" t="e">
        <f>AND(#REF!,"AAAAAC/v/sk=")</f>
        <v>#REF!</v>
      </c>
      <c r="GU357" t="e">
        <f>AND(#REF!,"AAAAAC/v/so=")</f>
        <v>#REF!</v>
      </c>
      <c r="GV357" t="e">
        <f>AND(#REF!,"AAAAAC/v/ss=")</f>
        <v>#REF!</v>
      </c>
      <c r="GW357" t="e">
        <f>IF(#REF!,"AAAAAC/v/sw=",0)</f>
        <v>#REF!</v>
      </c>
      <c r="GX357" t="e">
        <f>AND(#REF!,"AAAAAC/v/s0=")</f>
        <v>#REF!</v>
      </c>
      <c r="GY357" t="e">
        <f>AND(#REF!,"AAAAAC/v/s4=")</f>
        <v>#REF!</v>
      </c>
      <c r="GZ357" t="e">
        <f>AND(#REF!,"AAAAAC/v/s8=")</f>
        <v>#REF!</v>
      </c>
      <c r="HA357" t="e">
        <f>AND(#REF!,"AAAAAC/v/tA=")</f>
        <v>#REF!</v>
      </c>
      <c r="HB357" t="e">
        <f>AND(#REF!,"AAAAAC/v/tE=")</f>
        <v>#REF!</v>
      </c>
      <c r="HC357" t="e">
        <f>AND(#REF!,"AAAAAC/v/tI=")</f>
        <v>#REF!</v>
      </c>
      <c r="HD357" t="e">
        <f>AND(#REF!,"AAAAAC/v/tM=")</f>
        <v>#REF!</v>
      </c>
      <c r="HE357" t="e">
        <f>AND(#REF!,"AAAAAC/v/tQ=")</f>
        <v>#REF!</v>
      </c>
      <c r="HF357" t="e">
        <f>AND(#REF!,"AAAAAC/v/tU=")</f>
        <v>#REF!</v>
      </c>
      <c r="HG357" t="e">
        <f>AND(#REF!,"AAAAAC/v/tY=")</f>
        <v>#REF!</v>
      </c>
      <c r="HH357" t="e">
        <f>IF(#REF!,"AAAAAC/v/tc=",0)</f>
        <v>#REF!</v>
      </c>
      <c r="HI357" t="e">
        <f>AND(#REF!,"AAAAAC/v/tg=")</f>
        <v>#REF!</v>
      </c>
      <c r="HJ357" t="e">
        <f>AND(#REF!,"AAAAAC/v/tk=")</f>
        <v>#REF!</v>
      </c>
      <c r="HK357" t="e">
        <f>AND(#REF!,"AAAAAC/v/to=")</f>
        <v>#REF!</v>
      </c>
      <c r="HL357" t="e">
        <f>AND(#REF!,"AAAAAC/v/ts=")</f>
        <v>#REF!</v>
      </c>
      <c r="HM357" t="e">
        <f>AND(#REF!,"AAAAAC/v/tw=")</f>
        <v>#REF!</v>
      </c>
      <c r="HN357" t="e">
        <f>AND(#REF!,"AAAAAC/v/t0=")</f>
        <v>#REF!</v>
      </c>
      <c r="HO357" t="e">
        <f>AND(#REF!,"AAAAAC/v/t4=")</f>
        <v>#REF!</v>
      </c>
      <c r="HP357" t="e">
        <f>AND(#REF!,"AAAAAC/v/t8=")</f>
        <v>#REF!</v>
      </c>
      <c r="HQ357" t="e">
        <f>AND(#REF!,"AAAAAC/v/uA=")</f>
        <v>#REF!</v>
      </c>
      <c r="HR357" t="e">
        <f>AND(#REF!,"AAAAAC/v/uE=")</f>
        <v>#REF!</v>
      </c>
      <c r="HS357" t="e">
        <f>IF(#REF!,"AAAAAC/v/uI=",0)</f>
        <v>#REF!</v>
      </c>
      <c r="HT357" t="e">
        <f>AND(#REF!,"AAAAAC/v/uM=")</f>
        <v>#REF!</v>
      </c>
      <c r="HU357" t="e">
        <f>AND(#REF!,"AAAAAC/v/uQ=")</f>
        <v>#REF!</v>
      </c>
      <c r="HV357" t="e">
        <f>AND(#REF!,"AAAAAC/v/uU=")</f>
        <v>#REF!</v>
      </c>
      <c r="HW357" t="e">
        <f>AND(#REF!,"AAAAAC/v/uY=")</f>
        <v>#REF!</v>
      </c>
      <c r="HX357" t="e">
        <f>AND(#REF!,"AAAAAC/v/uc=")</f>
        <v>#REF!</v>
      </c>
      <c r="HY357" t="e">
        <f>AND(#REF!,"AAAAAC/v/ug=")</f>
        <v>#REF!</v>
      </c>
      <c r="HZ357" t="e">
        <f>AND(#REF!,"AAAAAC/v/uk=")</f>
        <v>#REF!</v>
      </c>
      <c r="IA357" t="e">
        <f>AND(#REF!,"AAAAAC/v/uo=")</f>
        <v>#REF!</v>
      </c>
      <c r="IB357" t="e">
        <f>AND(#REF!,"AAAAAC/v/us=")</f>
        <v>#REF!</v>
      </c>
      <c r="IC357" t="e">
        <f>AND(#REF!,"AAAAAC/v/uw=")</f>
        <v>#REF!</v>
      </c>
      <c r="ID357" t="e">
        <f>IF(#REF!,"AAAAAC/v/u0=",0)</f>
        <v>#REF!</v>
      </c>
      <c r="IE357" t="e">
        <f>AND(#REF!,"AAAAAC/v/u4=")</f>
        <v>#REF!</v>
      </c>
      <c r="IF357" t="e">
        <f>AND(#REF!,"AAAAAC/v/u8=")</f>
        <v>#REF!</v>
      </c>
      <c r="IG357" t="e">
        <f>AND(#REF!,"AAAAAC/v/vA=")</f>
        <v>#REF!</v>
      </c>
      <c r="IH357" t="e">
        <f>AND(#REF!,"AAAAAC/v/vE=")</f>
        <v>#REF!</v>
      </c>
      <c r="II357" t="e">
        <f>AND(#REF!,"AAAAAC/v/vI=")</f>
        <v>#REF!</v>
      </c>
      <c r="IJ357" t="e">
        <f>AND(#REF!,"AAAAAC/v/vM=")</f>
        <v>#REF!</v>
      </c>
      <c r="IK357" t="e">
        <f>AND(#REF!,"AAAAAC/v/vQ=")</f>
        <v>#REF!</v>
      </c>
      <c r="IL357" t="e">
        <f>AND(#REF!,"AAAAAC/v/vU=")</f>
        <v>#REF!</v>
      </c>
      <c r="IM357" t="e">
        <f>AND(#REF!,"AAAAAC/v/vY=")</f>
        <v>#REF!</v>
      </c>
      <c r="IN357" t="e">
        <f>AND(#REF!,"AAAAAC/v/vc=")</f>
        <v>#REF!</v>
      </c>
      <c r="IO357" t="e">
        <f>IF(#REF!,"AAAAAC/v/vg=",0)</f>
        <v>#REF!</v>
      </c>
      <c r="IP357" t="e">
        <f>AND(#REF!,"AAAAAC/v/vk=")</f>
        <v>#REF!</v>
      </c>
      <c r="IQ357" t="e">
        <f>AND(#REF!,"AAAAAC/v/vo=")</f>
        <v>#REF!</v>
      </c>
      <c r="IR357" t="e">
        <f>AND(#REF!,"AAAAAC/v/vs=")</f>
        <v>#REF!</v>
      </c>
      <c r="IS357" t="e">
        <f>AND(#REF!,"AAAAAC/v/vw=")</f>
        <v>#REF!</v>
      </c>
      <c r="IT357" t="e">
        <f>AND(#REF!,"AAAAAC/v/v0=")</f>
        <v>#REF!</v>
      </c>
      <c r="IU357" t="e">
        <f>AND(#REF!,"AAAAAC/v/v4=")</f>
        <v>#REF!</v>
      </c>
      <c r="IV357" t="e">
        <f>AND(#REF!,"AAAAAC/v/v8=")</f>
        <v>#REF!</v>
      </c>
    </row>
    <row r="358" spans="1:256" x14ac:dyDescent="0.25">
      <c r="A358" t="e">
        <f>AND(#REF!,"AAAAAB81+wA=")</f>
        <v>#REF!</v>
      </c>
      <c r="B358" t="e">
        <f>AND(#REF!,"AAAAAB81+wE=")</f>
        <v>#REF!</v>
      </c>
      <c r="C358" t="e">
        <f>AND(#REF!,"AAAAAB81+wI=")</f>
        <v>#REF!</v>
      </c>
      <c r="D358" t="e">
        <f>IF(#REF!,"AAAAAB81+wM=",0)</f>
        <v>#REF!</v>
      </c>
      <c r="E358" t="e">
        <f>AND(#REF!,"AAAAAB81+wQ=")</f>
        <v>#REF!</v>
      </c>
      <c r="F358" t="e">
        <f>AND(#REF!,"AAAAAB81+wU=")</f>
        <v>#REF!</v>
      </c>
      <c r="G358" t="e">
        <f>AND(#REF!,"AAAAAB81+wY=")</f>
        <v>#REF!</v>
      </c>
      <c r="H358" t="e">
        <f>AND(#REF!,"AAAAAB81+wc=")</f>
        <v>#REF!</v>
      </c>
      <c r="I358" t="e">
        <f>AND(#REF!,"AAAAAB81+wg=")</f>
        <v>#REF!</v>
      </c>
      <c r="J358" t="e">
        <f>AND(#REF!,"AAAAAB81+wk=")</f>
        <v>#REF!</v>
      </c>
      <c r="K358" t="e">
        <f>AND(#REF!,"AAAAAB81+wo=")</f>
        <v>#REF!</v>
      </c>
      <c r="L358" t="e">
        <f>AND(#REF!,"AAAAAB81+ws=")</f>
        <v>#REF!</v>
      </c>
      <c r="M358" t="e">
        <f>AND(#REF!,"AAAAAB81+ww=")</f>
        <v>#REF!</v>
      </c>
      <c r="N358" t="e">
        <f>AND(#REF!,"AAAAAB81+w0=")</f>
        <v>#REF!</v>
      </c>
      <c r="O358" t="e">
        <f>IF(#REF!,"AAAAAB81+w4=",0)</f>
        <v>#REF!</v>
      </c>
      <c r="P358" t="e">
        <f>AND(#REF!,"AAAAAB81+w8=")</f>
        <v>#REF!</v>
      </c>
      <c r="Q358" t="e">
        <f>AND(#REF!,"AAAAAB81+xA=")</f>
        <v>#REF!</v>
      </c>
      <c r="R358" t="e">
        <f>AND(#REF!,"AAAAAB81+xE=")</f>
        <v>#REF!</v>
      </c>
      <c r="S358" t="e">
        <f>AND(#REF!,"AAAAAB81+xI=")</f>
        <v>#REF!</v>
      </c>
      <c r="T358" t="e">
        <f>AND(#REF!,"AAAAAB81+xM=")</f>
        <v>#REF!</v>
      </c>
      <c r="U358" t="e">
        <f>AND(#REF!,"AAAAAB81+xQ=")</f>
        <v>#REF!</v>
      </c>
      <c r="V358" t="e">
        <f>AND(#REF!,"AAAAAB81+xU=")</f>
        <v>#REF!</v>
      </c>
      <c r="W358" t="e">
        <f>AND(#REF!,"AAAAAB81+xY=")</f>
        <v>#REF!</v>
      </c>
      <c r="X358" t="e">
        <f>AND(#REF!,"AAAAAB81+xc=")</f>
        <v>#REF!</v>
      </c>
      <c r="Y358" t="e">
        <f>AND(#REF!,"AAAAAB81+xg=")</f>
        <v>#REF!</v>
      </c>
      <c r="Z358" t="e">
        <f>IF(#REF!,"AAAAAB81+xk=",0)</f>
        <v>#REF!</v>
      </c>
      <c r="AA358" t="e">
        <f>AND(#REF!,"AAAAAB81+xo=")</f>
        <v>#REF!</v>
      </c>
      <c r="AB358" t="e">
        <f>AND(#REF!,"AAAAAB81+xs=")</f>
        <v>#REF!</v>
      </c>
      <c r="AC358" t="e">
        <f>AND(#REF!,"AAAAAB81+xw=")</f>
        <v>#REF!</v>
      </c>
      <c r="AD358" t="e">
        <f>AND(#REF!,"AAAAAB81+x0=")</f>
        <v>#REF!</v>
      </c>
      <c r="AE358" t="e">
        <f>AND(#REF!,"AAAAAB81+x4=")</f>
        <v>#REF!</v>
      </c>
      <c r="AF358" t="e">
        <f>AND(#REF!,"AAAAAB81+x8=")</f>
        <v>#REF!</v>
      </c>
      <c r="AG358" t="e">
        <f>AND(#REF!,"AAAAAB81+yA=")</f>
        <v>#REF!</v>
      </c>
      <c r="AH358" t="e">
        <f>AND(#REF!,"AAAAAB81+yE=")</f>
        <v>#REF!</v>
      </c>
      <c r="AI358" t="e">
        <f>AND(#REF!,"AAAAAB81+yI=")</f>
        <v>#REF!</v>
      </c>
      <c r="AJ358" t="e">
        <f>AND(#REF!,"AAAAAB81+yM=")</f>
        <v>#REF!</v>
      </c>
      <c r="AK358" t="e">
        <f>IF(#REF!,"AAAAAB81+yQ=",0)</f>
        <v>#REF!</v>
      </c>
      <c r="AL358" t="e">
        <f>AND(#REF!,"AAAAAB81+yU=")</f>
        <v>#REF!</v>
      </c>
      <c r="AM358" t="e">
        <f>AND(#REF!,"AAAAAB81+yY=")</f>
        <v>#REF!</v>
      </c>
      <c r="AN358" t="e">
        <f>AND(#REF!,"AAAAAB81+yc=")</f>
        <v>#REF!</v>
      </c>
      <c r="AO358" t="e">
        <f>AND(#REF!,"AAAAAB81+yg=")</f>
        <v>#REF!</v>
      </c>
      <c r="AP358" t="e">
        <f>AND(#REF!,"AAAAAB81+yk=")</f>
        <v>#REF!</v>
      </c>
      <c r="AQ358" t="e">
        <f>AND(#REF!,"AAAAAB81+yo=")</f>
        <v>#REF!</v>
      </c>
      <c r="AR358" t="e">
        <f>AND(#REF!,"AAAAAB81+ys=")</f>
        <v>#REF!</v>
      </c>
      <c r="AS358" t="e">
        <f>AND(#REF!,"AAAAAB81+yw=")</f>
        <v>#REF!</v>
      </c>
      <c r="AT358" t="e">
        <f>AND(#REF!,"AAAAAB81+y0=")</f>
        <v>#REF!</v>
      </c>
      <c r="AU358" t="e">
        <f>AND(#REF!,"AAAAAB81+y4=")</f>
        <v>#REF!</v>
      </c>
      <c r="AV358" t="e">
        <f>IF(#REF!,"AAAAAB81+y8=",0)</f>
        <v>#REF!</v>
      </c>
      <c r="AW358" t="e">
        <f>AND(#REF!,"AAAAAB81+zA=")</f>
        <v>#REF!</v>
      </c>
      <c r="AX358" t="e">
        <f>AND(#REF!,"AAAAAB81+zE=")</f>
        <v>#REF!</v>
      </c>
      <c r="AY358" t="e">
        <f>AND(#REF!,"AAAAAB81+zI=")</f>
        <v>#REF!</v>
      </c>
      <c r="AZ358" t="e">
        <f>AND(#REF!,"AAAAAB81+zM=")</f>
        <v>#REF!</v>
      </c>
      <c r="BA358" t="e">
        <f>AND(#REF!,"AAAAAB81+zQ=")</f>
        <v>#REF!</v>
      </c>
      <c r="BB358" t="e">
        <f>AND(#REF!,"AAAAAB81+zU=")</f>
        <v>#REF!</v>
      </c>
      <c r="BC358" t="e">
        <f>AND(#REF!,"AAAAAB81+zY=")</f>
        <v>#REF!</v>
      </c>
      <c r="BD358" t="e">
        <f>AND(#REF!,"AAAAAB81+zc=")</f>
        <v>#REF!</v>
      </c>
      <c r="BE358" t="e">
        <f>AND(#REF!,"AAAAAB81+zg=")</f>
        <v>#REF!</v>
      </c>
      <c r="BF358" t="e">
        <f>AND(#REF!,"AAAAAB81+zk=")</f>
        <v>#REF!</v>
      </c>
      <c r="BG358" t="e">
        <f>IF(#REF!,"AAAAAB81+zo=",0)</f>
        <v>#REF!</v>
      </c>
      <c r="BH358" t="e">
        <f>AND(#REF!,"AAAAAB81+zs=")</f>
        <v>#REF!</v>
      </c>
      <c r="BI358" t="e">
        <f>AND(#REF!,"AAAAAB81+zw=")</f>
        <v>#REF!</v>
      </c>
      <c r="BJ358" t="e">
        <f>AND(#REF!,"AAAAAB81+z0=")</f>
        <v>#REF!</v>
      </c>
      <c r="BK358" t="e">
        <f>AND(#REF!,"AAAAAB81+z4=")</f>
        <v>#REF!</v>
      </c>
      <c r="BL358" t="e">
        <f>AND(#REF!,"AAAAAB81+z8=")</f>
        <v>#REF!</v>
      </c>
      <c r="BM358" t="e">
        <f>AND(#REF!,"AAAAAB81+0A=")</f>
        <v>#REF!</v>
      </c>
      <c r="BN358" t="e">
        <f>AND(#REF!,"AAAAAB81+0E=")</f>
        <v>#REF!</v>
      </c>
      <c r="BO358" t="e">
        <f>AND(#REF!,"AAAAAB81+0I=")</f>
        <v>#REF!</v>
      </c>
      <c r="BP358" t="e">
        <f>AND(#REF!,"AAAAAB81+0M=")</f>
        <v>#REF!</v>
      </c>
      <c r="BQ358" t="e">
        <f>AND(#REF!,"AAAAAB81+0Q=")</f>
        <v>#REF!</v>
      </c>
      <c r="BR358" t="e">
        <f>IF(#REF!,"AAAAAB81+0U=",0)</f>
        <v>#REF!</v>
      </c>
      <c r="BS358" t="e">
        <f>AND(#REF!,"AAAAAB81+0Y=")</f>
        <v>#REF!</v>
      </c>
      <c r="BT358" t="e">
        <f>AND(#REF!,"AAAAAB81+0c=")</f>
        <v>#REF!</v>
      </c>
      <c r="BU358" t="e">
        <f>AND(#REF!,"AAAAAB81+0g=")</f>
        <v>#REF!</v>
      </c>
      <c r="BV358" t="e">
        <f>AND(#REF!,"AAAAAB81+0k=")</f>
        <v>#REF!</v>
      </c>
      <c r="BW358" t="e">
        <f>AND(#REF!,"AAAAAB81+0o=")</f>
        <v>#REF!</v>
      </c>
      <c r="BX358" t="e">
        <f>AND(#REF!,"AAAAAB81+0s=")</f>
        <v>#REF!</v>
      </c>
      <c r="BY358" t="e">
        <f>AND(#REF!,"AAAAAB81+0w=")</f>
        <v>#REF!</v>
      </c>
      <c r="BZ358" t="e">
        <f>AND(#REF!,"AAAAAB81+00=")</f>
        <v>#REF!</v>
      </c>
      <c r="CA358" t="e">
        <f>AND(#REF!,"AAAAAB81+04=")</f>
        <v>#REF!</v>
      </c>
      <c r="CB358" t="e">
        <f>AND(#REF!,"AAAAAB81+08=")</f>
        <v>#REF!</v>
      </c>
      <c r="CC358" t="e">
        <f>IF(#REF!,"AAAAAB81+1A=",0)</f>
        <v>#REF!</v>
      </c>
      <c r="CD358" t="e">
        <f>AND(#REF!,"AAAAAB81+1E=")</f>
        <v>#REF!</v>
      </c>
      <c r="CE358" t="e">
        <f>AND(#REF!,"AAAAAB81+1I=")</f>
        <v>#REF!</v>
      </c>
      <c r="CF358" t="e">
        <f>AND(#REF!,"AAAAAB81+1M=")</f>
        <v>#REF!</v>
      </c>
      <c r="CG358" t="e">
        <f>AND(#REF!,"AAAAAB81+1Q=")</f>
        <v>#REF!</v>
      </c>
      <c r="CH358" t="e">
        <f>AND(#REF!,"AAAAAB81+1U=")</f>
        <v>#REF!</v>
      </c>
      <c r="CI358" t="e">
        <f>AND(#REF!,"AAAAAB81+1Y=")</f>
        <v>#REF!</v>
      </c>
      <c r="CJ358" t="e">
        <f>AND(#REF!,"AAAAAB81+1c=")</f>
        <v>#REF!</v>
      </c>
      <c r="CK358" t="e">
        <f>AND(#REF!,"AAAAAB81+1g=")</f>
        <v>#REF!</v>
      </c>
      <c r="CL358" t="e">
        <f>AND(#REF!,"AAAAAB81+1k=")</f>
        <v>#REF!</v>
      </c>
      <c r="CM358" t="e">
        <f>AND(#REF!,"AAAAAB81+1o=")</f>
        <v>#REF!</v>
      </c>
      <c r="CN358" t="e">
        <f>IF(#REF!,"AAAAAB81+1s=",0)</f>
        <v>#REF!</v>
      </c>
      <c r="CO358" t="e">
        <f>AND(#REF!,"AAAAAB81+1w=")</f>
        <v>#REF!</v>
      </c>
      <c r="CP358" t="e">
        <f>AND(#REF!,"AAAAAB81+10=")</f>
        <v>#REF!</v>
      </c>
      <c r="CQ358" t="e">
        <f>AND(#REF!,"AAAAAB81+14=")</f>
        <v>#REF!</v>
      </c>
      <c r="CR358" t="e">
        <f>AND(#REF!,"AAAAAB81+18=")</f>
        <v>#REF!</v>
      </c>
      <c r="CS358" t="e">
        <f>AND(#REF!,"AAAAAB81+2A=")</f>
        <v>#REF!</v>
      </c>
      <c r="CT358" t="e">
        <f>AND(#REF!,"AAAAAB81+2E=")</f>
        <v>#REF!</v>
      </c>
      <c r="CU358" t="e">
        <f>AND(#REF!,"AAAAAB81+2I=")</f>
        <v>#REF!</v>
      </c>
      <c r="CV358" t="e">
        <f>AND(#REF!,"AAAAAB81+2M=")</f>
        <v>#REF!</v>
      </c>
      <c r="CW358" t="e">
        <f>AND(#REF!,"AAAAAB81+2Q=")</f>
        <v>#REF!</v>
      </c>
      <c r="CX358" t="e">
        <f>AND(#REF!,"AAAAAB81+2U=")</f>
        <v>#REF!</v>
      </c>
      <c r="CY358" t="e">
        <f>IF(#REF!,"AAAAAB81+2Y=",0)</f>
        <v>#REF!</v>
      </c>
      <c r="CZ358" t="e">
        <f>AND(#REF!,"AAAAAB81+2c=")</f>
        <v>#REF!</v>
      </c>
      <c r="DA358" t="e">
        <f>AND(#REF!,"AAAAAB81+2g=")</f>
        <v>#REF!</v>
      </c>
      <c r="DB358" t="e">
        <f>AND(#REF!,"AAAAAB81+2k=")</f>
        <v>#REF!</v>
      </c>
      <c r="DC358" t="e">
        <f>AND(#REF!,"AAAAAB81+2o=")</f>
        <v>#REF!</v>
      </c>
      <c r="DD358" t="e">
        <f>AND(#REF!,"AAAAAB81+2s=")</f>
        <v>#REF!</v>
      </c>
      <c r="DE358" t="e">
        <f>AND(#REF!,"AAAAAB81+2w=")</f>
        <v>#REF!</v>
      </c>
      <c r="DF358" t="e">
        <f>AND(#REF!,"AAAAAB81+20=")</f>
        <v>#REF!</v>
      </c>
      <c r="DG358" t="e">
        <f>AND(#REF!,"AAAAAB81+24=")</f>
        <v>#REF!</v>
      </c>
      <c r="DH358" t="e">
        <f>AND(#REF!,"AAAAAB81+28=")</f>
        <v>#REF!</v>
      </c>
      <c r="DI358" t="e">
        <f>AND(#REF!,"AAAAAB81+3A=")</f>
        <v>#REF!</v>
      </c>
      <c r="DJ358" t="e">
        <f>IF(#REF!,"AAAAAB81+3E=",0)</f>
        <v>#REF!</v>
      </c>
      <c r="DK358" t="e">
        <f>AND(#REF!,"AAAAAB81+3I=")</f>
        <v>#REF!</v>
      </c>
      <c r="DL358" t="e">
        <f>AND(#REF!,"AAAAAB81+3M=")</f>
        <v>#REF!</v>
      </c>
      <c r="DM358" t="e">
        <f>AND(#REF!,"AAAAAB81+3Q=")</f>
        <v>#REF!</v>
      </c>
      <c r="DN358" t="e">
        <f>AND(#REF!,"AAAAAB81+3U=")</f>
        <v>#REF!</v>
      </c>
      <c r="DO358" t="e">
        <f>AND(#REF!,"AAAAAB81+3Y=")</f>
        <v>#REF!</v>
      </c>
      <c r="DP358" t="e">
        <f>AND(#REF!,"AAAAAB81+3c=")</f>
        <v>#REF!</v>
      </c>
      <c r="DQ358" t="e">
        <f>AND(#REF!,"AAAAAB81+3g=")</f>
        <v>#REF!</v>
      </c>
      <c r="DR358" t="e">
        <f>AND(#REF!,"AAAAAB81+3k=")</f>
        <v>#REF!</v>
      </c>
      <c r="DS358" t="e">
        <f>AND(#REF!,"AAAAAB81+3o=")</f>
        <v>#REF!</v>
      </c>
      <c r="DT358" t="e">
        <f>AND(#REF!,"AAAAAB81+3s=")</f>
        <v>#REF!</v>
      </c>
      <c r="DU358" t="e">
        <f>IF(#REF!,"AAAAAB81+3w=",0)</f>
        <v>#REF!</v>
      </c>
      <c r="DV358" t="e">
        <f>AND(#REF!,"AAAAAB81+30=")</f>
        <v>#REF!</v>
      </c>
      <c r="DW358" t="e">
        <f>AND(#REF!,"AAAAAB81+34=")</f>
        <v>#REF!</v>
      </c>
      <c r="DX358" t="e">
        <f>AND(#REF!,"AAAAAB81+38=")</f>
        <v>#REF!</v>
      </c>
      <c r="DY358" t="e">
        <f>AND(#REF!,"AAAAAB81+4A=")</f>
        <v>#REF!</v>
      </c>
      <c r="DZ358" t="e">
        <f>AND(#REF!,"AAAAAB81+4E=")</f>
        <v>#REF!</v>
      </c>
      <c r="EA358" t="e">
        <f>AND(#REF!,"AAAAAB81+4I=")</f>
        <v>#REF!</v>
      </c>
      <c r="EB358" t="e">
        <f>AND(#REF!,"AAAAAB81+4M=")</f>
        <v>#REF!</v>
      </c>
      <c r="EC358" t="e">
        <f>AND(#REF!,"AAAAAB81+4Q=")</f>
        <v>#REF!</v>
      </c>
      <c r="ED358" t="e">
        <f>AND(#REF!,"AAAAAB81+4U=")</f>
        <v>#REF!</v>
      </c>
      <c r="EE358" t="e">
        <f>AND(#REF!,"AAAAAB81+4Y=")</f>
        <v>#REF!</v>
      </c>
      <c r="EF358" t="e">
        <f>IF(#REF!,"AAAAAB81+4c=",0)</f>
        <v>#REF!</v>
      </c>
      <c r="EG358" t="e">
        <f>AND(#REF!,"AAAAAB81+4g=")</f>
        <v>#REF!</v>
      </c>
      <c r="EH358" t="e">
        <f>AND(#REF!,"AAAAAB81+4k=")</f>
        <v>#REF!</v>
      </c>
      <c r="EI358" t="e">
        <f>AND(#REF!,"AAAAAB81+4o=")</f>
        <v>#REF!</v>
      </c>
      <c r="EJ358" t="e">
        <f>AND(#REF!,"AAAAAB81+4s=")</f>
        <v>#REF!</v>
      </c>
      <c r="EK358" t="e">
        <f>AND(#REF!,"AAAAAB81+4w=")</f>
        <v>#REF!</v>
      </c>
      <c r="EL358" t="e">
        <f>AND(#REF!,"AAAAAB81+40=")</f>
        <v>#REF!</v>
      </c>
      <c r="EM358" t="e">
        <f>AND(#REF!,"AAAAAB81+44=")</f>
        <v>#REF!</v>
      </c>
      <c r="EN358" t="e">
        <f>AND(#REF!,"AAAAAB81+48=")</f>
        <v>#REF!</v>
      </c>
      <c r="EO358" t="e">
        <f>AND(#REF!,"AAAAAB81+5A=")</f>
        <v>#REF!</v>
      </c>
      <c r="EP358" t="e">
        <f>AND(#REF!,"AAAAAB81+5E=")</f>
        <v>#REF!</v>
      </c>
      <c r="EQ358" t="e">
        <f>IF(#REF!,"AAAAAB81+5I=",0)</f>
        <v>#REF!</v>
      </c>
      <c r="ER358" t="e">
        <f>AND(#REF!,"AAAAAB81+5M=")</f>
        <v>#REF!</v>
      </c>
      <c r="ES358" t="e">
        <f>AND(#REF!,"AAAAAB81+5Q=")</f>
        <v>#REF!</v>
      </c>
      <c r="ET358" t="e">
        <f>AND(#REF!,"AAAAAB81+5U=")</f>
        <v>#REF!</v>
      </c>
      <c r="EU358" t="e">
        <f>AND(#REF!,"AAAAAB81+5Y=")</f>
        <v>#REF!</v>
      </c>
      <c r="EV358" t="e">
        <f>AND(#REF!,"AAAAAB81+5c=")</f>
        <v>#REF!</v>
      </c>
      <c r="EW358" t="e">
        <f>AND(#REF!,"AAAAAB81+5g=")</f>
        <v>#REF!</v>
      </c>
      <c r="EX358" t="e">
        <f>AND(#REF!,"AAAAAB81+5k=")</f>
        <v>#REF!</v>
      </c>
      <c r="EY358" t="e">
        <f>AND(#REF!,"AAAAAB81+5o=")</f>
        <v>#REF!</v>
      </c>
      <c r="EZ358" t="e">
        <f>AND(#REF!,"AAAAAB81+5s=")</f>
        <v>#REF!</v>
      </c>
      <c r="FA358" t="e">
        <f>AND(#REF!,"AAAAAB81+5w=")</f>
        <v>#REF!</v>
      </c>
      <c r="FB358" t="e">
        <f>IF(#REF!,"AAAAAB81+50=",0)</f>
        <v>#REF!</v>
      </c>
      <c r="FC358" t="e">
        <f>AND(#REF!,"AAAAAB81+54=")</f>
        <v>#REF!</v>
      </c>
      <c r="FD358" t="e">
        <f>AND(#REF!,"AAAAAB81+58=")</f>
        <v>#REF!</v>
      </c>
      <c r="FE358" t="e">
        <f>AND(#REF!,"AAAAAB81+6A=")</f>
        <v>#REF!</v>
      </c>
      <c r="FF358" t="e">
        <f>AND(#REF!,"AAAAAB81+6E=")</f>
        <v>#REF!</v>
      </c>
      <c r="FG358" t="e">
        <f>AND(#REF!,"AAAAAB81+6I=")</f>
        <v>#REF!</v>
      </c>
      <c r="FH358" t="e">
        <f>AND(#REF!,"AAAAAB81+6M=")</f>
        <v>#REF!</v>
      </c>
      <c r="FI358" t="e">
        <f>AND(#REF!,"AAAAAB81+6Q=")</f>
        <v>#REF!</v>
      </c>
      <c r="FJ358" t="e">
        <f>AND(#REF!,"AAAAAB81+6U=")</f>
        <v>#REF!</v>
      </c>
      <c r="FK358" t="e">
        <f>AND(#REF!,"AAAAAB81+6Y=")</f>
        <v>#REF!</v>
      </c>
      <c r="FL358" t="e">
        <f>AND(#REF!,"AAAAAB81+6c=")</f>
        <v>#REF!</v>
      </c>
      <c r="FM358" t="e">
        <f>IF(#REF!,"AAAAAB81+6g=",0)</f>
        <v>#REF!</v>
      </c>
      <c r="FN358" t="e">
        <f>AND(#REF!,"AAAAAB81+6k=")</f>
        <v>#REF!</v>
      </c>
      <c r="FO358" t="e">
        <f>AND(#REF!,"AAAAAB81+6o=")</f>
        <v>#REF!</v>
      </c>
      <c r="FP358" t="e">
        <f>AND(#REF!,"AAAAAB81+6s=")</f>
        <v>#REF!</v>
      </c>
      <c r="FQ358" t="e">
        <f>AND(#REF!,"AAAAAB81+6w=")</f>
        <v>#REF!</v>
      </c>
      <c r="FR358" t="e">
        <f>AND(#REF!,"AAAAAB81+60=")</f>
        <v>#REF!</v>
      </c>
      <c r="FS358" t="e">
        <f>AND(#REF!,"AAAAAB81+64=")</f>
        <v>#REF!</v>
      </c>
      <c r="FT358" t="e">
        <f>AND(#REF!,"AAAAAB81+68=")</f>
        <v>#REF!</v>
      </c>
      <c r="FU358" t="e">
        <f>AND(#REF!,"AAAAAB81+7A=")</f>
        <v>#REF!</v>
      </c>
      <c r="FV358" t="e">
        <f>AND(#REF!,"AAAAAB81+7E=")</f>
        <v>#REF!</v>
      </c>
      <c r="FW358" t="e">
        <f>AND(#REF!,"AAAAAB81+7I=")</f>
        <v>#REF!</v>
      </c>
      <c r="FX358" t="e">
        <f>IF(#REF!,"AAAAAB81+7M=",0)</f>
        <v>#REF!</v>
      </c>
      <c r="FY358" t="e">
        <f>AND(#REF!,"AAAAAB81+7Q=")</f>
        <v>#REF!</v>
      </c>
      <c r="FZ358" t="e">
        <f>AND(#REF!,"AAAAAB81+7U=")</f>
        <v>#REF!</v>
      </c>
      <c r="GA358" t="e">
        <f>AND(#REF!,"AAAAAB81+7Y=")</f>
        <v>#REF!</v>
      </c>
      <c r="GB358" t="e">
        <f>AND(#REF!,"AAAAAB81+7c=")</f>
        <v>#REF!</v>
      </c>
      <c r="GC358" t="e">
        <f>AND(#REF!,"AAAAAB81+7g=")</f>
        <v>#REF!</v>
      </c>
      <c r="GD358" t="e">
        <f>AND(#REF!,"AAAAAB81+7k=")</f>
        <v>#REF!</v>
      </c>
      <c r="GE358" t="e">
        <f>AND(#REF!,"AAAAAB81+7o=")</f>
        <v>#REF!</v>
      </c>
      <c r="GF358" t="e">
        <f>AND(#REF!,"AAAAAB81+7s=")</f>
        <v>#REF!</v>
      </c>
      <c r="GG358" t="e">
        <f>AND(#REF!,"AAAAAB81+7w=")</f>
        <v>#REF!</v>
      </c>
      <c r="GH358" t="e">
        <f>AND(#REF!,"AAAAAB81+70=")</f>
        <v>#REF!</v>
      </c>
      <c r="GI358" t="e">
        <f>IF(#REF!,"AAAAAB81+74=",0)</f>
        <v>#REF!</v>
      </c>
      <c r="GJ358" t="e">
        <f>AND(#REF!,"AAAAAB81+78=")</f>
        <v>#REF!</v>
      </c>
      <c r="GK358" t="e">
        <f>AND(#REF!,"AAAAAB81+8A=")</f>
        <v>#REF!</v>
      </c>
      <c r="GL358" t="e">
        <f>AND(#REF!,"AAAAAB81+8E=")</f>
        <v>#REF!</v>
      </c>
      <c r="GM358" t="e">
        <f>AND(#REF!,"AAAAAB81+8I=")</f>
        <v>#REF!</v>
      </c>
      <c r="GN358" t="e">
        <f>AND(#REF!,"AAAAAB81+8M=")</f>
        <v>#REF!</v>
      </c>
      <c r="GO358" t="e">
        <f>AND(#REF!,"AAAAAB81+8Q=")</f>
        <v>#REF!</v>
      </c>
      <c r="GP358" t="e">
        <f>AND(#REF!,"AAAAAB81+8U=")</f>
        <v>#REF!</v>
      </c>
      <c r="GQ358" t="e">
        <f>AND(#REF!,"AAAAAB81+8Y=")</f>
        <v>#REF!</v>
      </c>
      <c r="GR358" t="e">
        <f>AND(#REF!,"AAAAAB81+8c=")</f>
        <v>#REF!</v>
      </c>
      <c r="GS358" t="e">
        <f>AND(#REF!,"AAAAAB81+8g=")</f>
        <v>#REF!</v>
      </c>
      <c r="GT358" t="e">
        <f>IF(#REF!,"AAAAAB81+8k=",0)</f>
        <v>#REF!</v>
      </c>
      <c r="GU358" t="e">
        <f>AND(#REF!,"AAAAAB81+8o=")</f>
        <v>#REF!</v>
      </c>
      <c r="GV358" t="e">
        <f>AND(#REF!,"AAAAAB81+8s=")</f>
        <v>#REF!</v>
      </c>
      <c r="GW358" t="e">
        <f>AND(#REF!,"AAAAAB81+8w=")</f>
        <v>#REF!</v>
      </c>
      <c r="GX358" t="e">
        <f>AND(#REF!,"AAAAAB81+80=")</f>
        <v>#REF!</v>
      </c>
      <c r="GY358" t="e">
        <f>AND(#REF!,"AAAAAB81+84=")</f>
        <v>#REF!</v>
      </c>
      <c r="GZ358" t="e">
        <f>AND(#REF!,"AAAAAB81+88=")</f>
        <v>#REF!</v>
      </c>
      <c r="HA358" t="e">
        <f>AND(#REF!,"AAAAAB81+9A=")</f>
        <v>#REF!</v>
      </c>
      <c r="HB358" t="e">
        <f>AND(#REF!,"AAAAAB81+9E=")</f>
        <v>#REF!</v>
      </c>
      <c r="HC358" t="e">
        <f>AND(#REF!,"AAAAAB81+9I=")</f>
        <v>#REF!</v>
      </c>
      <c r="HD358" t="e">
        <f>AND(#REF!,"AAAAAB81+9M=")</f>
        <v>#REF!</v>
      </c>
      <c r="HE358" t="e">
        <f>IF(#REF!,"AAAAAB81+9Q=",0)</f>
        <v>#REF!</v>
      </c>
      <c r="HF358" t="e">
        <f>AND(#REF!,"AAAAAB81+9U=")</f>
        <v>#REF!</v>
      </c>
      <c r="HG358" t="e">
        <f>AND(#REF!,"AAAAAB81+9Y=")</f>
        <v>#REF!</v>
      </c>
      <c r="HH358" t="e">
        <f>AND(#REF!,"AAAAAB81+9c=")</f>
        <v>#REF!</v>
      </c>
      <c r="HI358" t="e">
        <f>AND(#REF!,"AAAAAB81+9g=")</f>
        <v>#REF!</v>
      </c>
      <c r="HJ358" t="e">
        <f>AND(#REF!,"AAAAAB81+9k=")</f>
        <v>#REF!</v>
      </c>
      <c r="HK358" t="e">
        <f>AND(#REF!,"AAAAAB81+9o=")</f>
        <v>#REF!</v>
      </c>
      <c r="HL358" t="e">
        <f>AND(#REF!,"AAAAAB81+9s=")</f>
        <v>#REF!</v>
      </c>
      <c r="HM358" t="e">
        <f>AND(#REF!,"AAAAAB81+9w=")</f>
        <v>#REF!</v>
      </c>
      <c r="HN358" t="e">
        <f>AND(#REF!,"AAAAAB81+90=")</f>
        <v>#REF!</v>
      </c>
      <c r="HO358" t="e">
        <f>AND(#REF!,"AAAAAB81+94=")</f>
        <v>#REF!</v>
      </c>
      <c r="HP358" t="e">
        <f>IF(#REF!,"AAAAAB81+98=",0)</f>
        <v>#REF!</v>
      </c>
      <c r="HQ358" t="e">
        <f>AND(#REF!,"AAAAAB81++A=")</f>
        <v>#REF!</v>
      </c>
      <c r="HR358" t="e">
        <f>AND(#REF!,"AAAAAB81++E=")</f>
        <v>#REF!</v>
      </c>
      <c r="HS358" t="e">
        <f>AND(#REF!,"AAAAAB81++I=")</f>
        <v>#REF!</v>
      </c>
      <c r="HT358" t="e">
        <f>AND(#REF!,"AAAAAB81++M=")</f>
        <v>#REF!</v>
      </c>
      <c r="HU358" t="e">
        <f>AND(#REF!,"AAAAAB81++Q=")</f>
        <v>#REF!</v>
      </c>
      <c r="HV358" t="e">
        <f>AND(#REF!,"AAAAAB81++U=")</f>
        <v>#REF!</v>
      </c>
      <c r="HW358" t="e">
        <f>AND(#REF!,"AAAAAB81++Y=")</f>
        <v>#REF!</v>
      </c>
      <c r="HX358" t="e">
        <f>AND(#REF!,"AAAAAB81++c=")</f>
        <v>#REF!</v>
      </c>
      <c r="HY358" t="e">
        <f>AND(#REF!,"AAAAAB81++g=")</f>
        <v>#REF!</v>
      </c>
      <c r="HZ358" t="e">
        <f>AND(#REF!,"AAAAAB81++k=")</f>
        <v>#REF!</v>
      </c>
      <c r="IA358" t="e">
        <f>IF(#REF!,"AAAAAB81++o=",0)</f>
        <v>#REF!</v>
      </c>
      <c r="IB358" t="e">
        <f>AND(#REF!,"AAAAAB81++s=")</f>
        <v>#REF!</v>
      </c>
      <c r="IC358" t="e">
        <f>AND(#REF!,"AAAAAB81++w=")</f>
        <v>#REF!</v>
      </c>
      <c r="ID358" t="e">
        <f>AND(#REF!,"AAAAAB81++0=")</f>
        <v>#REF!</v>
      </c>
      <c r="IE358" t="e">
        <f>AND(#REF!,"AAAAAB81++4=")</f>
        <v>#REF!</v>
      </c>
      <c r="IF358" t="e">
        <f>AND(#REF!,"AAAAAB81++8=")</f>
        <v>#REF!</v>
      </c>
      <c r="IG358" t="e">
        <f>AND(#REF!,"AAAAAB81+/A=")</f>
        <v>#REF!</v>
      </c>
      <c r="IH358" t="e">
        <f>AND(#REF!,"AAAAAB81+/E=")</f>
        <v>#REF!</v>
      </c>
      <c r="II358" t="e">
        <f>AND(#REF!,"AAAAAB81+/I=")</f>
        <v>#REF!</v>
      </c>
      <c r="IJ358" t="e">
        <f>AND(#REF!,"AAAAAB81+/M=")</f>
        <v>#REF!</v>
      </c>
      <c r="IK358" t="e">
        <f>AND(#REF!,"AAAAAB81+/Q=")</f>
        <v>#REF!</v>
      </c>
      <c r="IL358" t="e">
        <f>IF(#REF!,"AAAAAB81+/U=",0)</f>
        <v>#REF!</v>
      </c>
      <c r="IM358" t="e">
        <f>AND(#REF!,"AAAAAB81+/Y=")</f>
        <v>#REF!</v>
      </c>
      <c r="IN358" t="e">
        <f>AND(#REF!,"AAAAAB81+/c=")</f>
        <v>#REF!</v>
      </c>
      <c r="IO358" t="e">
        <f>AND(#REF!,"AAAAAB81+/g=")</f>
        <v>#REF!</v>
      </c>
      <c r="IP358" t="e">
        <f>AND(#REF!,"AAAAAB81+/k=")</f>
        <v>#REF!</v>
      </c>
      <c r="IQ358" t="e">
        <f>AND(#REF!,"AAAAAB81+/o=")</f>
        <v>#REF!</v>
      </c>
      <c r="IR358" t="e">
        <f>AND(#REF!,"AAAAAB81+/s=")</f>
        <v>#REF!</v>
      </c>
      <c r="IS358" t="e">
        <f>AND(#REF!,"AAAAAB81+/w=")</f>
        <v>#REF!</v>
      </c>
      <c r="IT358" t="e">
        <f>AND(#REF!,"AAAAAB81+/0=")</f>
        <v>#REF!</v>
      </c>
      <c r="IU358" t="e">
        <f>AND(#REF!,"AAAAAB81+/4=")</f>
        <v>#REF!</v>
      </c>
      <c r="IV358" t="e">
        <f>AND(#REF!,"AAAAAB81+/8=")</f>
        <v>#REF!</v>
      </c>
    </row>
    <row r="359" spans="1:256" x14ac:dyDescent="0.25">
      <c r="A359" t="e">
        <f>IF(#REF!,"AAAAAF9nvgA=",0)</f>
        <v>#REF!</v>
      </c>
      <c r="B359" t="e">
        <f>AND(#REF!,"AAAAAF9nvgE=")</f>
        <v>#REF!</v>
      </c>
      <c r="C359" t="e">
        <f>AND(#REF!,"AAAAAF9nvgI=")</f>
        <v>#REF!</v>
      </c>
      <c r="D359" t="e">
        <f>AND(#REF!,"AAAAAF9nvgM=")</f>
        <v>#REF!</v>
      </c>
      <c r="E359" t="e">
        <f>AND(#REF!,"AAAAAF9nvgQ=")</f>
        <v>#REF!</v>
      </c>
      <c r="F359" t="e">
        <f>AND(#REF!,"AAAAAF9nvgU=")</f>
        <v>#REF!</v>
      </c>
      <c r="G359" t="e">
        <f>AND(#REF!,"AAAAAF9nvgY=")</f>
        <v>#REF!</v>
      </c>
      <c r="H359" t="e">
        <f>AND(#REF!,"AAAAAF9nvgc=")</f>
        <v>#REF!</v>
      </c>
      <c r="I359" t="e">
        <f>AND(#REF!,"AAAAAF9nvgg=")</f>
        <v>#REF!</v>
      </c>
      <c r="J359" t="e">
        <f>AND(#REF!,"AAAAAF9nvgk=")</f>
        <v>#REF!</v>
      </c>
      <c r="K359" t="e">
        <f>AND(#REF!,"AAAAAF9nvgo=")</f>
        <v>#REF!</v>
      </c>
      <c r="L359" t="e">
        <f>IF(#REF!,"AAAAAF9nvgs=",0)</f>
        <v>#REF!</v>
      </c>
      <c r="M359" t="e">
        <f>AND(#REF!,"AAAAAF9nvgw=")</f>
        <v>#REF!</v>
      </c>
      <c r="N359" t="e">
        <f>AND(#REF!,"AAAAAF9nvg0=")</f>
        <v>#REF!</v>
      </c>
      <c r="O359" t="e">
        <f>AND(#REF!,"AAAAAF9nvg4=")</f>
        <v>#REF!</v>
      </c>
      <c r="P359" t="e">
        <f>AND(#REF!,"AAAAAF9nvg8=")</f>
        <v>#REF!</v>
      </c>
      <c r="Q359" t="e">
        <f>AND(#REF!,"AAAAAF9nvhA=")</f>
        <v>#REF!</v>
      </c>
      <c r="R359" t="e">
        <f>AND(#REF!,"AAAAAF9nvhE=")</f>
        <v>#REF!</v>
      </c>
      <c r="S359" t="e">
        <f>AND(#REF!,"AAAAAF9nvhI=")</f>
        <v>#REF!</v>
      </c>
      <c r="T359" t="e">
        <f>AND(#REF!,"AAAAAF9nvhM=")</f>
        <v>#REF!</v>
      </c>
      <c r="U359" t="e">
        <f>AND(#REF!,"AAAAAF9nvhQ=")</f>
        <v>#REF!</v>
      </c>
      <c r="V359" t="e">
        <f>AND(#REF!,"AAAAAF9nvhU=")</f>
        <v>#REF!</v>
      </c>
      <c r="W359" t="e">
        <f>IF(#REF!,"AAAAAF9nvhY=",0)</f>
        <v>#REF!</v>
      </c>
      <c r="X359" t="e">
        <f>AND(#REF!,"AAAAAF9nvhc=")</f>
        <v>#REF!</v>
      </c>
      <c r="Y359" t="e">
        <f>AND(#REF!,"AAAAAF9nvhg=")</f>
        <v>#REF!</v>
      </c>
      <c r="Z359" t="e">
        <f>AND(#REF!,"AAAAAF9nvhk=")</f>
        <v>#REF!</v>
      </c>
      <c r="AA359" t="e">
        <f>AND(#REF!,"AAAAAF9nvho=")</f>
        <v>#REF!</v>
      </c>
      <c r="AB359" t="e">
        <f>AND(#REF!,"AAAAAF9nvhs=")</f>
        <v>#REF!</v>
      </c>
      <c r="AC359" t="e">
        <f>AND(#REF!,"AAAAAF9nvhw=")</f>
        <v>#REF!</v>
      </c>
      <c r="AD359" t="e">
        <f>AND(#REF!,"AAAAAF9nvh0=")</f>
        <v>#REF!</v>
      </c>
      <c r="AE359" t="e">
        <f>AND(#REF!,"AAAAAF9nvh4=")</f>
        <v>#REF!</v>
      </c>
      <c r="AF359" t="e">
        <f>AND(#REF!,"AAAAAF9nvh8=")</f>
        <v>#REF!</v>
      </c>
      <c r="AG359" t="e">
        <f>AND(#REF!,"AAAAAF9nviA=")</f>
        <v>#REF!</v>
      </c>
      <c r="AH359" t="e">
        <f>IF(#REF!,"AAAAAF9nviE=",0)</f>
        <v>#REF!</v>
      </c>
      <c r="AI359" t="e">
        <f>AND(#REF!,"AAAAAF9nviI=")</f>
        <v>#REF!</v>
      </c>
      <c r="AJ359" t="e">
        <f>AND(#REF!,"AAAAAF9nviM=")</f>
        <v>#REF!</v>
      </c>
      <c r="AK359" t="e">
        <f>AND(#REF!,"AAAAAF9nviQ=")</f>
        <v>#REF!</v>
      </c>
      <c r="AL359" t="e">
        <f>AND(#REF!,"AAAAAF9nviU=")</f>
        <v>#REF!</v>
      </c>
      <c r="AM359" t="e">
        <f>AND(#REF!,"AAAAAF9nviY=")</f>
        <v>#REF!</v>
      </c>
      <c r="AN359" t="e">
        <f>AND(#REF!,"AAAAAF9nvic=")</f>
        <v>#REF!</v>
      </c>
      <c r="AO359" t="e">
        <f>AND(#REF!,"AAAAAF9nvig=")</f>
        <v>#REF!</v>
      </c>
      <c r="AP359" t="e">
        <f>AND(#REF!,"AAAAAF9nvik=")</f>
        <v>#REF!</v>
      </c>
      <c r="AQ359" t="e">
        <f>AND(#REF!,"AAAAAF9nvio=")</f>
        <v>#REF!</v>
      </c>
      <c r="AR359" t="e">
        <f>AND(#REF!,"AAAAAF9nvis=")</f>
        <v>#REF!</v>
      </c>
      <c r="AS359" t="e">
        <f>IF(#REF!,"AAAAAF9nviw=",0)</f>
        <v>#REF!</v>
      </c>
      <c r="AT359" t="e">
        <f>AND(#REF!,"AAAAAF9nvi0=")</f>
        <v>#REF!</v>
      </c>
      <c r="AU359" t="e">
        <f>AND(#REF!,"AAAAAF9nvi4=")</f>
        <v>#REF!</v>
      </c>
      <c r="AV359" t="e">
        <f>AND(#REF!,"AAAAAF9nvi8=")</f>
        <v>#REF!</v>
      </c>
      <c r="AW359" t="e">
        <f>AND(#REF!,"AAAAAF9nvjA=")</f>
        <v>#REF!</v>
      </c>
      <c r="AX359" t="e">
        <f>AND(#REF!,"AAAAAF9nvjE=")</f>
        <v>#REF!</v>
      </c>
      <c r="AY359" t="e">
        <f>AND(#REF!,"AAAAAF9nvjI=")</f>
        <v>#REF!</v>
      </c>
      <c r="AZ359" t="e">
        <f>AND(#REF!,"AAAAAF9nvjM=")</f>
        <v>#REF!</v>
      </c>
      <c r="BA359" t="e">
        <f>AND(#REF!,"AAAAAF9nvjQ=")</f>
        <v>#REF!</v>
      </c>
      <c r="BB359" t="e">
        <f>AND(#REF!,"AAAAAF9nvjU=")</f>
        <v>#REF!</v>
      </c>
      <c r="BC359" t="e">
        <f>AND(#REF!,"AAAAAF9nvjY=")</f>
        <v>#REF!</v>
      </c>
      <c r="BD359" t="e">
        <f>IF(#REF!,"AAAAAF9nvjc=",0)</f>
        <v>#REF!</v>
      </c>
      <c r="BE359" t="e">
        <f>AND(#REF!,"AAAAAF9nvjg=")</f>
        <v>#REF!</v>
      </c>
      <c r="BF359" t="e">
        <f>AND(#REF!,"AAAAAF9nvjk=")</f>
        <v>#REF!</v>
      </c>
      <c r="BG359" t="e">
        <f>AND(#REF!,"AAAAAF9nvjo=")</f>
        <v>#REF!</v>
      </c>
      <c r="BH359" t="e">
        <f>AND(#REF!,"AAAAAF9nvjs=")</f>
        <v>#REF!</v>
      </c>
      <c r="BI359" t="e">
        <f>AND(#REF!,"AAAAAF9nvjw=")</f>
        <v>#REF!</v>
      </c>
      <c r="BJ359" t="e">
        <f>AND(#REF!,"AAAAAF9nvj0=")</f>
        <v>#REF!</v>
      </c>
      <c r="BK359" t="e">
        <f>AND(#REF!,"AAAAAF9nvj4=")</f>
        <v>#REF!</v>
      </c>
      <c r="BL359" t="e">
        <f>AND(#REF!,"AAAAAF9nvj8=")</f>
        <v>#REF!</v>
      </c>
      <c r="BM359" t="e">
        <f>AND(#REF!,"AAAAAF9nvkA=")</f>
        <v>#REF!</v>
      </c>
      <c r="BN359" t="e">
        <f>AND(#REF!,"AAAAAF9nvkE=")</f>
        <v>#REF!</v>
      </c>
      <c r="BO359" t="e">
        <f>IF(#REF!,"AAAAAF9nvkI=",0)</f>
        <v>#REF!</v>
      </c>
      <c r="BP359" t="e">
        <f>AND(#REF!,"AAAAAF9nvkM=")</f>
        <v>#REF!</v>
      </c>
      <c r="BQ359" t="e">
        <f>AND(#REF!,"AAAAAF9nvkQ=")</f>
        <v>#REF!</v>
      </c>
      <c r="BR359" t="e">
        <f>AND(#REF!,"AAAAAF9nvkU=")</f>
        <v>#REF!</v>
      </c>
      <c r="BS359" t="e">
        <f>AND(#REF!,"AAAAAF9nvkY=")</f>
        <v>#REF!</v>
      </c>
      <c r="BT359" t="e">
        <f>AND(#REF!,"AAAAAF9nvkc=")</f>
        <v>#REF!</v>
      </c>
      <c r="BU359" t="e">
        <f>AND(#REF!,"AAAAAF9nvkg=")</f>
        <v>#REF!</v>
      </c>
      <c r="BV359" t="e">
        <f>AND(#REF!,"AAAAAF9nvkk=")</f>
        <v>#REF!</v>
      </c>
      <c r="BW359" t="e">
        <f>AND(#REF!,"AAAAAF9nvko=")</f>
        <v>#REF!</v>
      </c>
      <c r="BX359" t="e">
        <f>AND(#REF!,"AAAAAF9nvks=")</f>
        <v>#REF!</v>
      </c>
      <c r="BY359" t="e">
        <f>AND(#REF!,"AAAAAF9nvkw=")</f>
        <v>#REF!</v>
      </c>
      <c r="BZ359" t="e">
        <f>IF(#REF!,"AAAAAF9nvk0=",0)</f>
        <v>#REF!</v>
      </c>
      <c r="CA359" t="e">
        <f>AND(#REF!,"AAAAAF9nvk4=")</f>
        <v>#REF!</v>
      </c>
      <c r="CB359" t="e">
        <f>AND(#REF!,"AAAAAF9nvk8=")</f>
        <v>#REF!</v>
      </c>
      <c r="CC359" t="e">
        <f>AND(#REF!,"AAAAAF9nvlA=")</f>
        <v>#REF!</v>
      </c>
      <c r="CD359" t="e">
        <f>AND(#REF!,"AAAAAF9nvlE=")</f>
        <v>#REF!</v>
      </c>
      <c r="CE359" t="e">
        <f>AND(#REF!,"AAAAAF9nvlI=")</f>
        <v>#REF!</v>
      </c>
      <c r="CF359" t="e">
        <f>AND(#REF!,"AAAAAF9nvlM=")</f>
        <v>#REF!</v>
      </c>
      <c r="CG359" t="e">
        <f>AND(#REF!,"AAAAAF9nvlQ=")</f>
        <v>#REF!</v>
      </c>
      <c r="CH359" t="e">
        <f>AND(#REF!,"AAAAAF9nvlU=")</f>
        <v>#REF!</v>
      </c>
      <c r="CI359" t="e">
        <f>AND(#REF!,"AAAAAF9nvlY=")</f>
        <v>#REF!</v>
      </c>
      <c r="CJ359" t="e">
        <f>AND(#REF!,"AAAAAF9nvlc=")</f>
        <v>#REF!</v>
      </c>
      <c r="CK359" t="e">
        <f>IF(#REF!,"AAAAAF9nvlg=",0)</f>
        <v>#REF!</v>
      </c>
      <c r="CL359" t="e">
        <f>AND(#REF!,"AAAAAF9nvlk=")</f>
        <v>#REF!</v>
      </c>
      <c r="CM359" t="e">
        <f>AND(#REF!,"AAAAAF9nvlo=")</f>
        <v>#REF!</v>
      </c>
      <c r="CN359" t="e">
        <f>AND(#REF!,"AAAAAF9nvls=")</f>
        <v>#REF!</v>
      </c>
      <c r="CO359" t="e">
        <f>AND(#REF!,"AAAAAF9nvlw=")</f>
        <v>#REF!</v>
      </c>
      <c r="CP359" t="e">
        <f>AND(#REF!,"AAAAAF9nvl0=")</f>
        <v>#REF!</v>
      </c>
      <c r="CQ359" t="e">
        <f>AND(#REF!,"AAAAAF9nvl4=")</f>
        <v>#REF!</v>
      </c>
      <c r="CR359" t="e">
        <f>AND(#REF!,"AAAAAF9nvl8=")</f>
        <v>#REF!</v>
      </c>
      <c r="CS359" t="e">
        <f>AND(#REF!,"AAAAAF9nvmA=")</f>
        <v>#REF!</v>
      </c>
      <c r="CT359" t="e">
        <f>AND(#REF!,"AAAAAF9nvmE=")</f>
        <v>#REF!</v>
      </c>
      <c r="CU359" t="e">
        <f>AND(#REF!,"AAAAAF9nvmI=")</f>
        <v>#REF!</v>
      </c>
      <c r="CV359" t="e">
        <f>IF(#REF!,"AAAAAF9nvmM=",0)</f>
        <v>#REF!</v>
      </c>
      <c r="CW359" t="e">
        <f>AND(#REF!,"AAAAAF9nvmQ=")</f>
        <v>#REF!</v>
      </c>
      <c r="CX359" t="e">
        <f>AND(#REF!,"AAAAAF9nvmU=")</f>
        <v>#REF!</v>
      </c>
      <c r="CY359" t="e">
        <f>AND(#REF!,"AAAAAF9nvmY=")</f>
        <v>#REF!</v>
      </c>
      <c r="CZ359" t="e">
        <f>AND(#REF!,"AAAAAF9nvmc=")</f>
        <v>#REF!</v>
      </c>
      <c r="DA359" t="e">
        <f>AND(#REF!,"AAAAAF9nvmg=")</f>
        <v>#REF!</v>
      </c>
      <c r="DB359" t="e">
        <f>AND(#REF!,"AAAAAF9nvmk=")</f>
        <v>#REF!</v>
      </c>
      <c r="DC359" t="e">
        <f>AND(#REF!,"AAAAAF9nvmo=")</f>
        <v>#REF!</v>
      </c>
      <c r="DD359" t="e">
        <f>AND(#REF!,"AAAAAF9nvms=")</f>
        <v>#REF!</v>
      </c>
      <c r="DE359" t="e">
        <f>AND(#REF!,"AAAAAF9nvmw=")</f>
        <v>#REF!</v>
      </c>
      <c r="DF359" t="e">
        <f>AND(#REF!,"AAAAAF9nvm0=")</f>
        <v>#REF!</v>
      </c>
      <c r="DG359" t="e">
        <f>IF(#REF!,"AAAAAF9nvm4=",0)</f>
        <v>#REF!</v>
      </c>
      <c r="DH359" t="e">
        <f>AND(#REF!,"AAAAAF9nvm8=")</f>
        <v>#REF!</v>
      </c>
      <c r="DI359" t="e">
        <f>AND(#REF!,"AAAAAF9nvnA=")</f>
        <v>#REF!</v>
      </c>
      <c r="DJ359" t="e">
        <f>AND(#REF!,"AAAAAF9nvnE=")</f>
        <v>#REF!</v>
      </c>
      <c r="DK359" t="e">
        <f>AND(#REF!,"AAAAAF9nvnI=")</f>
        <v>#REF!</v>
      </c>
      <c r="DL359" t="e">
        <f>AND(#REF!,"AAAAAF9nvnM=")</f>
        <v>#REF!</v>
      </c>
      <c r="DM359" t="e">
        <f>AND(#REF!,"AAAAAF9nvnQ=")</f>
        <v>#REF!</v>
      </c>
      <c r="DN359" t="e">
        <f>AND(#REF!,"AAAAAF9nvnU=")</f>
        <v>#REF!</v>
      </c>
      <c r="DO359" t="e">
        <f>AND(#REF!,"AAAAAF9nvnY=")</f>
        <v>#REF!</v>
      </c>
      <c r="DP359" t="e">
        <f>AND(#REF!,"AAAAAF9nvnc=")</f>
        <v>#REF!</v>
      </c>
      <c r="DQ359" t="e">
        <f>AND(#REF!,"AAAAAF9nvng=")</f>
        <v>#REF!</v>
      </c>
      <c r="DR359" t="e">
        <f>IF(#REF!,"AAAAAF9nvnk=",0)</f>
        <v>#REF!</v>
      </c>
      <c r="DS359" t="e">
        <f>AND(#REF!,"AAAAAF9nvno=")</f>
        <v>#REF!</v>
      </c>
      <c r="DT359" t="e">
        <f>AND(#REF!,"AAAAAF9nvns=")</f>
        <v>#REF!</v>
      </c>
      <c r="DU359" t="e">
        <f>AND(#REF!,"AAAAAF9nvnw=")</f>
        <v>#REF!</v>
      </c>
      <c r="DV359" t="e">
        <f>AND(#REF!,"AAAAAF9nvn0=")</f>
        <v>#REF!</v>
      </c>
      <c r="DW359" t="e">
        <f>AND(#REF!,"AAAAAF9nvn4=")</f>
        <v>#REF!</v>
      </c>
      <c r="DX359" t="e">
        <f>AND(#REF!,"AAAAAF9nvn8=")</f>
        <v>#REF!</v>
      </c>
      <c r="DY359" t="e">
        <f>AND(#REF!,"AAAAAF9nvoA=")</f>
        <v>#REF!</v>
      </c>
      <c r="DZ359" t="e">
        <f>AND(#REF!,"AAAAAF9nvoE=")</f>
        <v>#REF!</v>
      </c>
      <c r="EA359" t="e">
        <f>AND(#REF!,"AAAAAF9nvoI=")</f>
        <v>#REF!</v>
      </c>
      <c r="EB359" t="e">
        <f>AND(#REF!,"AAAAAF9nvoM=")</f>
        <v>#REF!</v>
      </c>
      <c r="EC359" t="e">
        <f>IF(#REF!,"AAAAAF9nvoQ=",0)</f>
        <v>#REF!</v>
      </c>
      <c r="ED359" t="e">
        <f>AND(#REF!,"AAAAAF9nvoU=")</f>
        <v>#REF!</v>
      </c>
      <c r="EE359" t="e">
        <f>AND(#REF!,"AAAAAF9nvoY=")</f>
        <v>#REF!</v>
      </c>
      <c r="EF359" t="e">
        <f>AND(#REF!,"AAAAAF9nvoc=")</f>
        <v>#REF!</v>
      </c>
      <c r="EG359" t="e">
        <f>AND(#REF!,"AAAAAF9nvog=")</f>
        <v>#REF!</v>
      </c>
      <c r="EH359" t="e">
        <f>AND(#REF!,"AAAAAF9nvok=")</f>
        <v>#REF!</v>
      </c>
      <c r="EI359" t="e">
        <f>AND(#REF!,"AAAAAF9nvoo=")</f>
        <v>#REF!</v>
      </c>
      <c r="EJ359" t="e">
        <f>AND(#REF!,"AAAAAF9nvos=")</f>
        <v>#REF!</v>
      </c>
      <c r="EK359" t="e">
        <f>AND(#REF!,"AAAAAF9nvow=")</f>
        <v>#REF!</v>
      </c>
      <c r="EL359" t="e">
        <f>AND(#REF!,"AAAAAF9nvo0=")</f>
        <v>#REF!</v>
      </c>
      <c r="EM359" t="e">
        <f>AND(#REF!,"AAAAAF9nvo4=")</f>
        <v>#REF!</v>
      </c>
      <c r="EN359" t="e">
        <f>IF(#REF!,"AAAAAF9nvo8=",0)</f>
        <v>#REF!</v>
      </c>
      <c r="EO359" t="e">
        <f>AND(#REF!,"AAAAAF9nvpA=")</f>
        <v>#REF!</v>
      </c>
      <c r="EP359" t="e">
        <f>AND(#REF!,"AAAAAF9nvpE=")</f>
        <v>#REF!</v>
      </c>
      <c r="EQ359" t="e">
        <f>AND(#REF!,"AAAAAF9nvpI=")</f>
        <v>#REF!</v>
      </c>
      <c r="ER359" t="e">
        <f>AND(#REF!,"AAAAAF9nvpM=")</f>
        <v>#REF!</v>
      </c>
      <c r="ES359" t="e">
        <f>AND(#REF!,"AAAAAF9nvpQ=")</f>
        <v>#REF!</v>
      </c>
      <c r="ET359" t="e">
        <f>AND(#REF!,"AAAAAF9nvpU=")</f>
        <v>#REF!</v>
      </c>
      <c r="EU359" t="e">
        <f>AND(#REF!,"AAAAAF9nvpY=")</f>
        <v>#REF!</v>
      </c>
      <c r="EV359" t="e">
        <f>AND(#REF!,"AAAAAF9nvpc=")</f>
        <v>#REF!</v>
      </c>
      <c r="EW359" t="e">
        <f>AND(#REF!,"AAAAAF9nvpg=")</f>
        <v>#REF!</v>
      </c>
      <c r="EX359" t="e">
        <f>AND(#REF!,"AAAAAF9nvpk=")</f>
        <v>#REF!</v>
      </c>
      <c r="EY359" t="e">
        <f>IF(#REF!,"AAAAAF9nvpo=",0)</f>
        <v>#REF!</v>
      </c>
      <c r="EZ359" t="e">
        <f>AND(#REF!,"AAAAAF9nvps=")</f>
        <v>#REF!</v>
      </c>
      <c r="FA359" t="e">
        <f>AND(#REF!,"AAAAAF9nvpw=")</f>
        <v>#REF!</v>
      </c>
      <c r="FB359" t="e">
        <f>AND(#REF!,"AAAAAF9nvp0=")</f>
        <v>#REF!</v>
      </c>
      <c r="FC359" t="e">
        <f>AND(#REF!,"AAAAAF9nvp4=")</f>
        <v>#REF!</v>
      </c>
      <c r="FD359" t="e">
        <f>AND(#REF!,"AAAAAF9nvp8=")</f>
        <v>#REF!</v>
      </c>
      <c r="FE359" t="e">
        <f>AND(#REF!,"AAAAAF9nvqA=")</f>
        <v>#REF!</v>
      </c>
      <c r="FF359" t="e">
        <f>AND(#REF!,"AAAAAF9nvqE=")</f>
        <v>#REF!</v>
      </c>
      <c r="FG359" t="e">
        <f>AND(#REF!,"AAAAAF9nvqI=")</f>
        <v>#REF!</v>
      </c>
      <c r="FH359" t="e">
        <f>AND(#REF!,"AAAAAF9nvqM=")</f>
        <v>#REF!</v>
      </c>
      <c r="FI359" t="e">
        <f>AND(#REF!,"AAAAAF9nvqQ=")</f>
        <v>#REF!</v>
      </c>
      <c r="FJ359" t="e">
        <f>IF(#REF!,"AAAAAF9nvqU=",0)</f>
        <v>#REF!</v>
      </c>
      <c r="FK359" t="e">
        <f>AND(#REF!,"AAAAAF9nvqY=")</f>
        <v>#REF!</v>
      </c>
      <c r="FL359" t="e">
        <f>AND(#REF!,"AAAAAF9nvqc=")</f>
        <v>#REF!</v>
      </c>
      <c r="FM359" t="e">
        <f>AND(#REF!,"AAAAAF9nvqg=")</f>
        <v>#REF!</v>
      </c>
      <c r="FN359" t="e">
        <f>AND(#REF!,"AAAAAF9nvqk=")</f>
        <v>#REF!</v>
      </c>
      <c r="FO359" t="e">
        <f>AND(#REF!,"AAAAAF9nvqo=")</f>
        <v>#REF!</v>
      </c>
      <c r="FP359" t="e">
        <f>AND(#REF!,"AAAAAF9nvqs=")</f>
        <v>#REF!</v>
      </c>
      <c r="FQ359" t="e">
        <f>AND(#REF!,"AAAAAF9nvqw=")</f>
        <v>#REF!</v>
      </c>
      <c r="FR359" t="e">
        <f>AND(#REF!,"AAAAAF9nvq0=")</f>
        <v>#REF!</v>
      </c>
      <c r="FS359" t="e">
        <f>AND(#REF!,"AAAAAF9nvq4=")</f>
        <v>#REF!</v>
      </c>
      <c r="FT359" t="e">
        <f>AND(#REF!,"AAAAAF9nvq8=")</f>
        <v>#REF!</v>
      </c>
      <c r="FU359" t="e">
        <f>IF(#REF!,"AAAAAF9nvrA=",0)</f>
        <v>#REF!</v>
      </c>
      <c r="FV359" t="e">
        <f>AND(#REF!,"AAAAAF9nvrE=")</f>
        <v>#REF!</v>
      </c>
      <c r="FW359" t="e">
        <f>AND(#REF!,"AAAAAF9nvrI=")</f>
        <v>#REF!</v>
      </c>
      <c r="FX359" t="e">
        <f>AND(#REF!,"AAAAAF9nvrM=")</f>
        <v>#REF!</v>
      </c>
      <c r="FY359" t="e">
        <f>AND(#REF!,"AAAAAF9nvrQ=")</f>
        <v>#REF!</v>
      </c>
      <c r="FZ359" t="e">
        <f>AND(#REF!,"AAAAAF9nvrU=")</f>
        <v>#REF!</v>
      </c>
      <c r="GA359" t="e">
        <f>AND(#REF!,"AAAAAF9nvrY=")</f>
        <v>#REF!</v>
      </c>
      <c r="GB359" t="e">
        <f>AND(#REF!,"AAAAAF9nvrc=")</f>
        <v>#REF!</v>
      </c>
      <c r="GC359" t="e">
        <f>AND(#REF!,"AAAAAF9nvrg=")</f>
        <v>#REF!</v>
      </c>
      <c r="GD359" t="e">
        <f>AND(#REF!,"AAAAAF9nvrk=")</f>
        <v>#REF!</v>
      </c>
      <c r="GE359" t="e">
        <f>AND(#REF!,"AAAAAF9nvro=")</f>
        <v>#REF!</v>
      </c>
      <c r="GF359" t="e">
        <f>IF(#REF!,"AAAAAF9nvrs=",0)</f>
        <v>#REF!</v>
      </c>
      <c r="GG359" t="e">
        <f>AND(#REF!,"AAAAAF9nvrw=")</f>
        <v>#REF!</v>
      </c>
      <c r="GH359" t="e">
        <f>AND(#REF!,"AAAAAF9nvr0=")</f>
        <v>#REF!</v>
      </c>
      <c r="GI359" t="e">
        <f>AND(#REF!,"AAAAAF9nvr4=")</f>
        <v>#REF!</v>
      </c>
      <c r="GJ359" t="e">
        <f>AND(#REF!,"AAAAAF9nvr8=")</f>
        <v>#REF!</v>
      </c>
      <c r="GK359" t="e">
        <f>AND(#REF!,"AAAAAF9nvsA=")</f>
        <v>#REF!</v>
      </c>
      <c r="GL359" t="e">
        <f>AND(#REF!,"AAAAAF9nvsE=")</f>
        <v>#REF!</v>
      </c>
      <c r="GM359" t="e">
        <f>AND(#REF!,"AAAAAF9nvsI=")</f>
        <v>#REF!</v>
      </c>
      <c r="GN359" t="e">
        <f>AND(#REF!,"AAAAAF9nvsM=")</f>
        <v>#REF!</v>
      </c>
      <c r="GO359" t="e">
        <f>AND(#REF!,"AAAAAF9nvsQ=")</f>
        <v>#REF!</v>
      </c>
      <c r="GP359" t="e">
        <f>AND(#REF!,"AAAAAF9nvsU=")</f>
        <v>#REF!</v>
      </c>
      <c r="GQ359" t="e">
        <f>IF(#REF!,"AAAAAF9nvsY=",0)</f>
        <v>#REF!</v>
      </c>
      <c r="GR359" t="e">
        <f>AND(#REF!,"AAAAAF9nvsc=")</f>
        <v>#REF!</v>
      </c>
      <c r="GS359" t="e">
        <f>AND(#REF!,"AAAAAF9nvsg=")</f>
        <v>#REF!</v>
      </c>
      <c r="GT359" t="e">
        <f>AND(#REF!,"AAAAAF9nvsk=")</f>
        <v>#REF!</v>
      </c>
      <c r="GU359" t="e">
        <f>AND(#REF!,"AAAAAF9nvso=")</f>
        <v>#REF!</v>
      </c>
      <c r="GV359" t="e">
        <f>AND(#REF!,"AAAAAF9nvss=")</f>
        <v>#REF!</v>
      </c>
      <c r="GW359" t="e">
        <f>AND(#REF!,"AAAAAF9nvsw=")</f>
        <v>#REF!</v>
      </c>
      <c r="GX359" t="e">
        <f>AND(#REF!,"AAAAAF9nvs0=")</f>
        <v>#REF!</v>
      </c>
      <c r="GY359" t="e">
        <f>AND(#REF!,"AAAAAF9nvs4=")</f>
        <v>#REF!</v>
      </c>
      <c r="GZ359" t="e">
        <f>AND(#REF!,"AAAAAF9nvs8=")</f>
        <v>#REF!</v>
      </c>
      <c r="HA359" t="e">
        <f>AND(#REF!,"AAAAAF9nvtA=")</f>
        <v>#REF!</v>
      </c>
      <c r="HB359" t="e">
        <f>IF(#REF!,"AAAAAF9nvtE=",0)</f>
        <v>#REF!</v>
      </c>
      <c r="HC359" t="e">
        <f>AND(#REF!,"AAAAAF9nvtI=")</f>
        <v>#REF!</v>
      </c>
      <c r="HD359" t="e">
        <f>AND(#REF!,"AAAAAF9nvtM=")</f>
        <v>#REF!</v>
      </c>
      <c r="HE359" t="e">
        <f>AND(#REF!,"AAAAAF9nvtQ=")</f>
        <v>#REF!</v>
      </c>
      <c r="HF359" t="e">
        <f>AND(#REF!,"AAAAAF9nvtU=")</f>
        <v>#REF!</v>
      </c>
      <c r="HG359" t="e">
        <f>AND(#REF!,"AAAAAF9nvtY=")</f>
        <v>#REF!</v>
      </c>
      <c r="HH359" t="e">
        <f>AND(#REF!,"AAAAAF9nvtc=")</f>
        <v>#REF!</v>
      </c>
      <c r="HI359" t="e">
        <f>AND(#REF!,"AAAAAF9nvtg=")</f>
        <v>#REF!</v>
      </c>
      <c r="HJ359" t="e">
        <f>AND(#REF!,"AAAAAF9nvtk=")</f>
        <v>#REF!</v>
      </c>
      <c r="HK359" t="e">
        <f>AND(#REF!,"AAAAAF9nvto=")</f>
        <v>#REF!</v>
      </c>
      <c r="HL359" t="e">
        <f>AND(#REF!,"AAAAAF9nvts=")</f>
        <v>#REF!</v>
      </c>
      <c r="HM359" t="e">
        <f>IF(#REF!,"AAAAAF9nvtw=",0)</f>
        <v>#REF!</v>
      </c>
      <c r="HN359" t="e">
        <f>AND(#REF!,"AAAAAF9nvt0=")</f>
        <v>#REF!</v>
      </c>
      <c r="HO359" t="e">
        <f>AND(#REF!,"AAAAAF9nvt4=")</f>
        <v>#REF!</v>
      </c>
      <c r="HP359" t="e">
        <f>AND(#REF!,"AAAAAF9nvt8=")</f>
        <v>#REF!</v>
      </c>
      <c r="HQ359" t="e">
        <f>AND(#REF!,"AAAAAF9nvuA=")</f>
        <v>#REF!</v>
      </c>
      <c r="HR359" t="e">
        <f>AND(#REF!,"AAAAAF9nvuE=")</f>
        <v>#REF!</v>
      </c>
      <c r="HS359" t="e">
        <f>AND(#REF!,"AAAAAF9nvuI=")</f>
        <v>#REF!</v>
      </c>
      <c r="HT359" t="e">
        <f>AND(#REF!,"AAAAAF9nvuM=")</f>
        <v>#REF!</v>
      </c>
      <c r="HU359" t="e">
        <f>AND(#REF!,"AAAAAF9nvuQ=")</f>
        <v>#REF!</v>
      </c>
      <c r="HV359" t="e">
        <f>AND(#REF!,"AAAAAF9nvuU=")</f>
        <v>#REF!</v>
      </c>
      <c r="HW359" t="e">
        <f>AND(#REF!,"AAAAAF9nvuY=")</f>
        <v>#REF!</v>
      </c>
      <c r="HX359" t="e">
        <f>IF(#REF!,"AAAAAF9nvuc=",0)</f>
        <v>#REF!</v>
      </c>
      <c r="HY359" t="e">
        <f>AND(#REF!,"AAAAAF9nvug=")</f>
        <v>#REF!</v>
      </c>
      <c r="HZ359" t="e">
        <f>AND(#REF!,"AAAAAF9nvuk=")</f>
        <v>#REF!</v>
      </c>
      <c r="IA359" t="e">
        <f>AND(#REF!,"AAAAAF9nvuo=")</f>
        <v>#REF!</v>
      </c>
      <c r="IB359" t="e">
        <f>AND(#REF!,"AAAAAF9nvus=")</f>
        <v>#REF!</v>
      </c>
      <c r="IC359" t="e">
        <f>AND(#REF!,"AAAAAF9nvuw=")</f>
        <v>#REF!</v>
      </c>
      <c r="ID359" t="e">
        <f>AND(#REF!,"AAAAAF9nvu0=")</f>
        <v>#REF!</v>
      </c>
      <c r="IE359" t="e">
        <f>AND(#REF!,"AAAAAF9nvu4=")</f>
        <v>#REF!</v>
      </c>
      <c r="IF359" t="e">
        <f>AND(#REF!,"AAAAAF9nvu8=")</f>
        <v>#REF!</v>
      </c>
      <c r="IG359" t="e">
        <f>AND(#REF!,"AAAAAF9nvvA=")</f>
        <v>#REF!</v>
      </c>
      <c r="IH359" t="e">
        <f>AND(#REF!,"AAAAAF9nvvE=")</f>
        <v>#REF!</v>
      </c>
      <c r="II359" t="e">
        <f>IF(#REF!,"AAAAAF9nvvI=",0)</f>
        <v>#REF!</v>
      </c>
      <c r="IJ359" t="e">
        <f>AND(#REF!,"AAAAAF9nvvM=")</f>
        <v>#REF!</v>
      </c>
      <c r="IK359" t="e">
        <f>AND(#REF!,"AAAAAF9nvvQ=")</f>
        <v>#REF!</v>
      </c>
      <c r="IL359" t="e">
        <f>AND(#REF!,"AAAAAF9nvvU=")</f>
        <v>#REF!</v>
      </c>
      <c r="IM359" t="e">
        <f>AND(#REF!,"AAAAAF9nvvY=")</f>
        <v>#REF!</v>
      </c>
      <c r="IN359" t="e">
        <f>AND(#REF!,"AAAAAF9nvvc=")</f>
        <v>#REF!</v>
      </c>
      <c r="IO359" t="e">
        <f>AND(#REF!,"AAAAAF9nvvg=")</f>
        <v>#REF!</v>
      </c>
      <c r="IP359" t="e">
        <f>AND(#REF!,"AAAAAF9nvvk=")</f>
        <v>#REF!</v>
      </c>
      <c r="IQ359" t="e">
        <f>AND(#REF!,"AAAAAF9nvvo=")</f>
        <v>#REF!</v>
      </c>
      <c r="IR359" t="e">
        <f>AND(#REF!,"AAAAAF9nvvs=")</f>
        <v>#REF!</v>
      </c>
      <c r="IS359" t="e">
        <f>AND(#REF!,"AAAAAF9nvvw=")</f>
        <v>#REF!</v>
      </c>
      <c r="IT359" t="e">
        <f>IF(#REF!,"AAAAAF9nvv0=",0)</f>
        <v>#REF!</v>
      </c>
      <c r="IU359" t="e">
        <f>AND(#REF!,"AAAAAF9nvv4=")</f>
        <v>#REF!</v>
      </c>
      <c r="IV359" t="e">
        <f>AND(#REF!,"AAAAAF9nvv8=")</f>
        <v>#REF!</v>
      </c>
    </row>
    <row r="360" spans="1:256" x14ac:dyDescent="0.25">
      <c r="A360" t="e">
        <f>AND(#REF!,"AAAAABfnJgA=")</f>
        <v>#REF!</v>
      </c>
      <c r="B360" t="e">
        <f>AND(#REF!,"AAAAABfnJgE=")</f>
        <v>#REF!</v>
      </c>
      <c r="C360" t="e">
        <f>AND(#REF!,"AAAAABfnJgI=")</f>
        <v>#REF!</v>
      </c>
      <c r="D360" t="e">
        <f>AND(#REF!,"AAAAABfnJgM=")</f>
        <v>#REF!</v>
      </c>
      <c r="E360" t="e">
        <f>AND(#REF!,"AAAAABfnJgQ=")</f>
        <v>#REF!</v>
      </c>
      <c r="F360" t="e">
        <f>AND(#REF!,"AAAAABfnJgU=")</f>
        <v>#REF!</v>
      </c>
      <c r="G360" t="e">
        <f>AND(#REF!,"AAAAABfnJgY=")</f>
        <v>#REF!</v>
      </c>
      <c r="H360" t="e">
        <f>AND(#REF!,"AAAAABfnJgc=")</f>
        <v>#REF!</v>
      </c>
      <c r="I360" t="e">
        <f>IF(#REF!,"AAAAABfnJgg=",0)</f>
        <v>#REF!</v>
      </c>
      <c r="J360" t="e">
        <f>AND(#REF!,"AAAAABfnJgk=")</f>
        <v>#REF!</v>
      </c>
      <c r="K360" t="e">
        <f>AND(#REF!,"AAAAABfnJgo=")</f>
        <v>#REF!</v>
      </c>
      <c r="L360" t="e">
        <f>AND(#REF!,"AAAAABfnJgs=")</f>
        <v>#REF!</v>
      </c>
      <c r="M360" t="e">
        <f>AND(#REF!,"AAAAABfnJgw=")</f>
        <v>#REF!</v>
      </c>
      <c r="N360" t="e">
        <f>AND(#REF!,"AAAAABfnJg0=")</f>
        <v>#REF!</v>
      </c>
      <c r="O360" t="e">
        <f>AND(#REF!,"AAAAABfnJg4=")</f>
        <v>#REF!</v>
      </c>
      <c r="P360" t="e">
        <f>AND(#REF!,"AAAAABfnJg8=")</f>
        <v>#REF!</v>
      </c>
      <c r="Q360" t="e">
        <f>AND(#REF!,"AAAAABfnJhA=")</f>
        <v>#REF!</v>
      </c>
      <c r="R360" t="e">
        <f>AND(#REF!,"AAAAABfnJhE=")</f>
        <v>#REF!</v>
      </c>
      <c r="S360" t="e">
        <f>AND(#REF!,"AAAAABfnJhI=")</f>
        <v>#REF!</v>
      </c>
      <c r="T360" t="e">
        <f>IF(#REF!,"AAAAABfnJhM=",0)</f>
        <v>#REF!</v>
      </c>
      <c r="U360" t="e">
        <f>AND(#REF!,"AAAAABfnJhQ=")</f>
        <v>#REF!</v>
      </c>
      <c r="V360" t="e">
        <f>AND(#REF!,"AAAAABfnJhU=")</f>
        <v>#REF!</v>
      </c>
      <c r="W360" t="e">
        <f>AND(#REF!,"AAAAABfnJhY=")</f>
        <v>#REF!</v>
      </c>
      <c r="X360" t="e">
        <f>AND(#REF!,"AAAAABfnJhc=")</f>
        <v>#REF!</v>
      </c>
      <c r="Y360" t="e">
        <f>AND(#REF!,"AAAAABfnJhg=")</f>
        <v>#REF!</v>
      </c>
      <c r="Z360" t="e">
        <f>AND(#REF!,"AAAAABfnJhk=")</f>
        <v>#REF!</v>
      </c>
      <c r="AA360" t="e">
        <f>AND(#REF!,"AAAAABfnJho=")</f>
        <v>#REF!</v>
      </c>
      <c r="AB360" t="e">
        <f>AND(#REF!,"AAAAABfnJhs=")</f>
        <v>#REF!</v>
      </c>
      <c r="AC360" t="e">
        <f>AND(#REF!,"AAAAABfnJhw=")</f>
        <v>#REF!</v>
      </c>
      <c r="AD360" t="e">
        <f>AND(#REF!,"AAAAABfnJh0=")</f>
        <v>#REF!</v>
      </c>
      <c r="AE360" t="e">
        <f>IF(#REF!,"AAAAABfnJh4=",0)</f>
        <v>#REF!</v>
      </c>
      <c r="AF360" t="e">
        <f>AND(#REF!,"AAAAABfnJh8=")</f>
        <v>#REF!</v>
      </c>
      <c r="AG360" t="e">
        <f>AND(#REF!,"AAAAABfnJiA=")</f>
        <v>#REF!</v>
      </c>
      <c r="AH360" t="e">
        <f>AND(#REF!,"AAAAABfnJiE=")</f>
        <v>#REF!</v>
      </c>
      <c r="AI360" t="e">
        <f>AND(#REF!,"AAAAABfnJiI=")</f>
        <v>#REF!</v>
      </c>
      <c r="AJ360" t="e">
        <f>AND(#REF!,"AAAAABfnJiM=")</f>
        <v>#REF!</v>
      </c>
      <c r="AK360" t="e">
        <f>AND(#REF!,"AAAAABfnJiQ=")</f>
        <v>#REF!</v>
      </c>
      <c r="AL360" t="e">
        <f>AND(#REF!,"AAAAABfnJiU=")</f>
        <v>#REF!</v>
      </c>
      <c r="AM360" t="e">
        <f>AND(#REF!,"AAAAABfnJiY=")</f>
        <v>#REF!</v>
      </c>
      <c r="AN360" t="e">
        <f>AND(#REF!,"AAAAABfnJic=")</f>
        <v>#REF!</v>
      </c>
      <c r="AO360" t="e">
        <f>AND(#REF!,"AAAAABfnJig=")</f>
        <v>#REF!</v>
      </c>
      <c r="AP360" t="e">
        <f>IF(#REF!,"AAAAABfnJik=",0)</f>
        <v>#REF!</v>
      </c>
      <c r="AQ360" t="e">
        <f>AND(#REF!,"AAAAABfnJio=")</f>
        <v>#REF!</v>
      </c>
      <c r="AR360" t="e">
        <f>AND(#REF!,"AAAAABfnJis=")</f>
        <v>#REF!</v>
      </c>
      <c r="AS360" t="e">
        <f>AND(#REF!,"AAAAABfnJiw=")</f>
        <v>#REF!</v>
      </c>
      <c r="AT360" t="e">
        <f>AND(#REF!,"AAAAABfnJi0=")</f>
        <v>#REF!</v>
      </c>
      <c r="AU360" t="e">
        <f>AND(#REF!,"AAAAABfnJi4=")</f>
        <v>#REF!</v>
      </c>
      <c r="AV360" t="e">
        <f>AND(#REF!,"AAAAABfnJi8=")</f>
        <v>#REF!</v>
      </c>
      <c r="AW360" t="e">
        <f>AND(#REF!,"AAAAABfnJjA=")</f>
        <v>#REF!</v>
      </c>
      <c r="AX360" t="e">
        <f>AND(#REF!,"AAAAABfnJjE=")</f>
        <v>#REF!</v>
      </c>
      <c r="AY360" t="e">
        <f>AND(#REF!,"AAAAABfnJjI=")</f>
        <v>#REF!</v>
      </c>
      <c r="AZ360" t="e">
        <f>AND(#REF!,"AAAAABfnJjM=")</f>
        <v>#REF!</v>
      </c>
      <c r="BA360" t="e">
        <f>IF(#REF!,"AAAAABfnJjQ=",0)</f>
        <v>#REF!</v>
      </c>
      <c r="BB360" t="e">
        <f>AND(#REF!,"AAAAABfnJjU=")</f>
        <v>#REF!</v>
      </c>
      <c r="BC360" t="e">
        <f>AND(#REF!,"AAAAABfnJjY=")</f>
        <v>#REF!</v>
      </c>
      <c r="BD360" t="e">
        <f>AND(#REF!,"AAAAABfnJjc=")</f>
        <v>#REF!</v>
      </c>
      <c r="BE360" t="e">
        <f>AND(#REF!,"AAAAABfnJjg=")</f>
        <v>#REF!</v>
      </c>
      <c r="BF360" t="e">
        <f>AND(#REF!,"AAAAABfnJjk=")</f>
        <v>#REF!</v>
      </c>
      <c r="BG360" t="e">
        <f>AND(#REF!,"AAAAABfnJjo=")</f>
        <v>#REF!</v>
      </c>
      <c r="BH360" t="e">
        <f>AND(#REF!,"AAAAABfnJjs=")</f>
        <v>#REF!</v>
      </c>
      <c r="BI360" t="e">
        <f>AND(#REF!,"AAAAABfnJjw=")</f>
        <v>#REF!</v>
      </c>
      <c r="BJ360" t="e">
        <f>AND(#REF!,"AAAAABfnJj0=")</f>
        <v>#REF!</v>
      </c>
      <c r="BK360" t="e">
        <f>AND(#REF!,"AAAAABfnJj4=")</f>
        <v>#REF!</v>
      </c>
      <c r="BL360" t="e">
        <f>IF(#REF!,"AAAAABfnJj8=",0)</f>
        <v>#REF!</v>
      </c>
      <c r="BM360" t="e">
        <f>AND(#REF!,"AAAAABfnJkA=")</f>
        <v>#REF!</v>
      </c>
      <c r="BN360" t="e">
        <f>AND(#REF!,"AAAAABfnJkE=")</f>
        <v>#REF!</v>
      </c>
      <c r="BO360" t="e">
        <f>AND(#REF!,"AAAAABfnJkI=")</f>
        <v>#REF!</v>
      </c>
      <c r="BP360" t="e">
        <f>AND(#REF!,"AAAAABfnJkM=")</f>
        <v>#REF!</v>
      </c>
      <c r="BQ360" t="e">
        <f>AND(#REF!,"AAAAABfnJkQ=")</f>
        <v>#REF!</v>
      </c>
      <c r="BR360" t="e">
        <f>AND(#REF!,"AAAAABfnJkU=")</f>
        <v>#REF!</v>
      </c>
      <c r="BS360" t="e">
        <f>AND(#REF!,"AAAAABfnJkY=")</f>
        <v>#REF!</v>
      </c>
      <c r="BT360" t="e">
        <f>AND(#REF!,"AAAAABfnJkc=")</f>
        <v>#REF!</v>
      </c>
      <c r="BU360" t="e">
        <f>AND(#REF!,"AAAAABfnJkg=")</f>
        <v>#REF!</v>
      </c>
      <c r="BV360" t="e">
        <f>AND(#REF!,"AAAAABfnJkk=")</f>
        <v>#REF!</v>
      </c>
      <c r="BW360" t="e">
        <f>IF(#REF!,"AAAAABfnJko=",0)</f>
        <v>#REF!</v>
      </c>
      <c r="BX360" t="e">
        <f>AND(#REF!,"AAAAABfnJks=")</f>
        <v>#REF!</v>
      </c>
      <c r="BY360" t="e">
        <f>AND(#REF!,"AAAAABfnJkw=")</f>
        <v>#REF!</v>
      </c>
      <c r="BZ360" t="e">
        <f>AND(#REF!,"AAAAABfnJk0=")</f>
        <v>#REF!</v>
      </c>
      <c r="CA360" t="e">
        <f>AND(#REF!,"AAAAABfnJk4=")</f>
        <v>#REF!</v>
      </c>
      <c r="CB360" t="e">
        <f>AND(#REF!,"AAAAABfnJk8=")</f>
        <v>#REF!</v>
      </c>
      <c r="CC360" t="e">
        <f>AND(#REF!,"AAAAABfnJlA=")</f>
        <v>#REF!</v>
      </c>
      <c r="CD360" t="e">
        <f>AND(#REF!,"AAAAABfnJlE=")</f>
        <v>#REF!</v>
      </c>
      <c r="CE360" t="e">
        <f>AND(#REF!,"AAAAABfnJlI=")</f>
        <v>#REF!</v>
      </c>
      <c r="CF360" t="e">
        <f>AND(#REF!,"AAAAABfnJlM=")</f>
        <v>#REF!</v>
      </c>
      <c r="CG360" t="e">
        <f>AND(#REF!,"AAAAABfnJlQ=")</f>
        <v>#REF!</v>
      </c>
      <c r="CH360" t="e">
        <f>IF(#REF!,"AAAAABfnJlU=",0)</f>
        <v>#REF!</v>
      </c>
      <c r="CI360" t="e">
        <f>AND(#REF!,"AAAAABfnJlY=")</f>
        <v>#REF!</v>
      </c>
      <c r="CJ360" t="e">
        <f>AND(#REF!,"AAAAABfnJlc=")</f>
        <v>#REF!</v>
      </c>
      <c r="CK360" t="e">
        <f>AND(#REF!,"AAAAABfnJlg=")</f>
        <v>#REF!</v>
      </c>
      <c r="CL360" t="e">
        <f>AND(#REF!,"AAAAABfnJlk=")</f>
        <v>#REF!</v>
      </c>
      <c r="CM360" t="e">
        <f>AND(#REF!,"AAAAABfnJlo=")</f>
        <v>#REF!</v>
      </c>
      <c r="CN360" t="e">
        <f>AND(#REF!,"AAAAABfnJls=")</f>
        <v>#REF!</v>
      </c>
      <c r="CO360" t="e">
        <f>AND(#REF!,"AAAAABfnJlw=")</f>
        <v>#REF!</v>
      </c>
      <c r="CP360" t="e">
        <f>AND(#REF!,"AAAAABfnJl0=")</f>
        <v>#REF!</v>
      </c>
      <c r="CQ360" t="e">
        <f>AND(#REF!,"AAAAABfnJl4=")</f>
        <v>#REF!</v>
      </c>
      <c r="CR360" t="e">
        <f>AND(#REF!,"AAAAABfnJl8=")</f>
        <v>#REF!</v>
      </c>
      <c r="CS360" t="e">
        <f>IF(#REF!,"AAAAABfnJmA=",0)</f>
        <v>#REF!</v>
      </c>
      <c r="CT360" t="e">
        <f>AND(#REF!,"AAAAABfnJmE=")</f>
        <v>#REF!</v>
      </c>
      <c r="CU360" t="e">
        <f>AND(#REF!,"AAAAABfnJmI=")</f>
        <v>#REF!</v>
      </c>
      <c r="CV360" t="e">
        <f>AND(#REF!,"AAAAABfnJmM=")</f>
        <v>#REF!</v>
      </c>
      <c r="CW360" t="e">
        <f>AND(#REF!,"AAAAABfnJmQ=")</f>
        <v>#REF!</v>
      </c>
      <c r="CX360" t="e">
        <f>AND(#REF!,"AAAAABfnJmU=")</f>
        <v>#REF!</v>
      </c>
      <c r="CY360" t="e">
        <f>AND(#REF!,"AAAAABfnJmY=")</f>
        <v>#REF!</v>
      </c>
      <c r="CZ360" t="e">
        <f>AND(#REF!,"AAAAABfnJmc=")</f>
        <v>#REF!</v>
      </c>
      <c r="DA360" t="e">
        <f>AND(#REF!,"AAAAABfnJmg=")</f>
        <v>#REF!</v>
      </c>
      <c r="DB360" t="e">
        <f>AND(#REF!,"AAAAABfnJmk=")</f>
        <v>#REF!</v>
      </c>
      <c r="DC360" t="e">
        <f>AND(#REF!,"AAAAABfnJmo=")</f>
        <v>#REF!</v>
      </c>
      <c r="DD360" t="e">
        <f>IF(#REF!,"AAAAABfnJms=",0)</f>
        <v>#REF!</v>
      </c>
      <c r="DE360" t="e">
        <f>AND(#REF!,"AAAAABfnJmw=")</f>
        <v>#REF!</v>
      </c>
      <c r="DF360" t="e">
        <f>AND(#REF!,"AAAAABfnJm0=")</f>
        <v>#REF!</v>
      </c>
      <c r="DG360" t="e">
        <f>AND(#REF!,"AAAAABfnJm4=")</f>
        <v>#REF!</v>
      </c>
      <c r="DH360" t="e">
        <f>AND(#REF!,"AAAAABfnJm8=")</f>
        <v>#REF!</v>
      </c>
      <c r="DI360" t="e">
        <f>AND(#REF!,"AAAAABfnJnA=")</f>
        <v>#REF!</v>
      </c>
      <c r="DJ360" t="e">
        <f>AND(#REF!,"AAAAABfnJnE=")</f>
        <v>#REF!</v>
      </c>
      <c r="DK360" t="e">
        <f>AND(#REF!,"AAAAABfnJnI=")</f>
        <v>#REF!</v>
      </c>
      <c r="DL360" t="e">
        <f>AND(#REF!,"AAAAABfnJnM=")</f>
        <v>#REF!</v>
      </c>
      <c r="DM360" t="e">
        <f>AND(#REF!,"AAAAABfnJnQ=")</f>
        <v>#REF!</v>
      </c>
      <c r="DN360" t="e">
        <f>AND(#REF!,"AAAAABfnJnU=")</f>
        <v>#REF!</v>
      </c>
      <c r="DO360" t="e">
        <f>IF(#REF!,"AAAAABfnJnY=",0)</f>
        <v>#REF!</v>
      </c>
      <c r="DP360" t="e">
        <f>AND(#REF!,"AAAAABfnJnc=")</f>
        <v>#REF!</v>
      </c>
      <c r="DQ360" t="e">
        <f>AND(#REF!,"AAAAABfnJng=")</f>
        <v>#REF!</v>
      </c>
      <c r="DR360" t="e">
        <f>AND(#REF!,"AAAAABfnJnk=")</f>
        <v>#REF!</v>
      </c>
      <c r="DS360" t="e">
        <f>AND(#REF!,"AAAAABfnJno=")</f>
        <v>#REF!</v>
      </c>
      <c r="DT360" t="e">
        <f>AND(#REF!,"AAAAABfnJns=")</f>
        <v>#REF!</v>
      </c>
      <c r="DU360" t="e">
        <f>AND(#REF!,"AAAAABfnJnw=")</f>
        <v>#REF!</v>
      </c>
      <c r="DV360" t="e">
        <f>AND(#REF!,"AAAAABfnJn0=")</f>
        <v>#REF!</v>
      </c>
      <c r="DW360" t="e">
        <f>AND(#REF!,"AAAAABfnJn4=")</f>
        <v>#REF!</v>
      </c>
      <c r="DX360" t="e">
        <f>AND(#REF!,"AAAAABfnJn8=")</f>
        <v>#REF!</v>
      </c>
      <c r="DY360" t="e">
        <f>AND(#REF!,"AAAAABfnJoA=")</f>
        <v>#REF!</v>
      </c>
      <c r="DZ360" t="e">
        <f>IF(#REF!,"AAAAABfnJoE=",0)</f>
        <v>#REF!</v>
      </c>
      <c r="EA360" t="e">
        <f>AND(#REF!,"AAAAABfnJoI=")</f>
        <v>#REF!</v>
      </c>
      <c r="EB360" t="e">
        <f>AND(#REF!,"AAAAABfnJoM=")</f>
        <v>#REF!</v>
      </c>
      <c r="EC360" t="e">
        <f>AND(#REF!,"AAAAABfnJoQ=")</f>
        <v>#REF!</v>
      </c>
      <c r="ED360" t="e">
        <f>AND(#REF!,"AAAAABfnJoU=")</f>
        <v>#REF!</v>
      </c>
      <c r="EE360" t="e">
        <f>AND(#REF!,"AAAAABfnJoY=")</f>
        <v>#REF!</v>
      </c>
      <c r="EF360" t="e">
        <f>AND(#REF!,"AAAAABfnJoc=")</f>
        <v>#REF!</v>
      </c>
      <c r="EG360" t="e">
        <f>AND(#REF!,"AAAAABfnJog=")</f>
        <v>#REF!</v>
      </c>
      <c r="EH360" t="e">
        <f>AND(#REF!,"AAAAABfnJok=")</f>
        <v>#REF!</v>
      </c>
      <c r="EI360" t="e">
        <f>AND(#REF!,"AAAAABfnJoo=")</f>
        <v>#REF!</v>
      </c>
      <c r="EJ360" t="e">
        <f>AND(#REF!,"AAAAABfnJos=")</f>
        <v>#REF!</v>
      </c>
      <c r="EK360" t="e">
        <f>IF(#REF!,"AAAAABfnJow=",0)</f>
        <v>#REF!</v>
      </c>
      <c r="EL360" t="e">
        <f>AND(#REF!,"AAAAABfnJo0=")</f>
        <v>#REF!</v>
      </c>
      <c r="EM360" t="e">
        <f>AND(#REF!,"AAAAABfnJo4=")</f>
        <v>#REF!</v>
      </c>
      <c r="EN360" t="e">
        <f>AND(#REF!,"AAAAABfnJo8=")</f>
        <v>#REF!</v>
      </c>
      <c r="EO360" t="e">
        <f>AND(#REF!,"AAAAABfnJpA=")</f>
        <v>#REF!</v>
      </c>
      <c r="EP360" t="e">
        <f>AND(#REF!,"AAAAABfnJpE=")</f>
        <v>#REF!</v>
      </c>
      <c r="EQ360" t="e">
        <f>AND(#REF!,"AAAAABfnJpI=")</f>
        <v>#REF!</v>
      </c>
      <c r="ER360" t="e">
        <f>AND(#REF!,"AAAAABfnJpM=")</f>
        <v>#REF!</v>
      </c>
      <c r="ES360" t="e">
        <f>AND(#REF!,"AAAAABfnJpQ=")</f>
        <v>#REF!</v>
      </c>
      <c r="ET360" t="e">
        <f>AND(#REF!,"AAAAABfnJpU=")</f>
        <v>#REF!</v>
      </c>
      <c r="EU360" t="e">
        <f>AND(#REF!,"AAAAABfnJpY=")</f>
        <v>#REF!</v>
      </c>
      <c r="EV360" t="e">
        <f>IF(#REF!,"AAAAABfnJpc=",0)</f>
        <v>#REF!</v>
      </c>
      <c r="EW360" t="e">
        <f>AND(#REF!,"AAAAABfnJpg=")</f>
        <v>#REF!</v>
      </c>
      <c r="EX360" t="e">
        <f>AND(#REF!,"AAAAABfnJpk=")</f>
        <v>#REF!</v>
      </c>
      <c r="EY360" t="e">
        <f>AND(#REF!,"AAAAABfnJpo=")</f>
        <v>#REF!</v>
      </c>
      <c r="EZ360" t="e">
        <f>AND(#REF!,"AAAAABfnJps=")</f>
        <v>#REF!</v>
      </c>
      <c r="FA360" t="e">
        <f>AND(#REF!,"AAAAABfnJpw=")</f>
        <v>#REF!</v>
      </c>
      <c r="FB360" t="e">
        <f>AND(#REF!,"AAAAABfnJp0=")</f>
        <v>#REF!</v>
      </c>
      <c r="FC360" t="e">
        <f>AND(#REF!,"AAAAABfnJp4=")</f>
        <v>#REF!</v>
      </c>
      <c r="FD360" t="e">
        <f>AND(#REF!,"AAAAABfnJp8=")</f>
        <v>#REF!</v>
      </c>
      <c r="FE360" t="e">
        <f>AND(#REF!,"AAAAABfnJqA=")</f>
        <v>#REF!</v>
      </c>
      <c r="FF360" t="e">
        <f>AND(#REF!,"AAAAABfnJqE=")</f>
        <v>#REF!</v>
      </c>
      <c r="FG360" t="e">
        <f>IF(#REF!,"AAAAABfnJqI=",0)</f>
        <v>#REF!</v>
      </c>
      <c r="FH360" t="e">
        <f>AND(#REF!,"AAAAABfnJqM=")</f>
        <v>#REF!</v>
      </c>
      <c r="FI360" t="e">
        <f>AND(#REF!,"AAAAABfnJqQ=")</f>
        <v>#REF!</v>
      </c>
      <c r="FJ360" t="e">
        <f>AND(#REF!,"AAAAABfnJqU=")</f>
        <v>#REF!</v>
      </c>
      <c r="FK360" t="e">
        <f>AND(#REF!,"AAAAABfnJqY=")</f>
        <v>#REF!</v>
      </c>
      <c r="FL360" t="e">
        <f>AND(#REF!,"AAAAABfnJqc=")</f>
        <v>#REF!</v>
      </c>
      <c r="FM360" t="e">
        <f>AND(#REF!,"AAAAABfnJqg=")</f>
        <v>#REF!</v>
      </c>
      <c r="FN360" t="e">
        <f>AND(#REF!,"AAAAABfnJqk=")</f>
        <v>#REF!</v>
      </c>
      <c r="FO360" t="e">
        <f>AND(#REF!,"AAAAABfnJqo=")</f>
        <v>#REF!</v>
      </c>
      <c r="FP360" t="e">
        <f>AND(#REF!,"AAAAABfnJqs=")</f>
        <v>#REF!</v>
      </c>
      <c r="FQ360" t="e">
        <f>AND(#REF!,"AAAAABfnJqw=")</f>
        <v>#REF!</v>
      </c>
      <c r="FR360" t="e">
        <f>IF(#REF!,"AAAAABfnJq0=",0)</f>
        <v>#REF!</v>
      </c>
      <c r="FS360" t="e">
        <f>AND(#REF!,"AAAAABfnJq4=")</f>
        <v>#REF!</v>
      </c>
      <c r="FT360" t="e">
        <f>AND(#REF!,"AAAAABfnJq8=")</f>
        <v>#REF!</v>
      </c>
      <c r="FU360" t="e">
        <f>AND(#REF!,"AAAAABfnJrA=")</f>
        <v>#REF!</v>
      </c>
      <c r="FV360" t="e">
        <f>AND(#REF!,"AAAAABfnJrE=")</f>
        <v>#REF!</v>
      </c>
      <c r="FW360" t="e">
        <f>AND(#REF!,"AAAAABfnJrI=")</f>
        <v>#REF!</v>
      </c>
      <c r="FX360" t="e">
        <f>AND(#REF!,"AAAAABfnJrM=")</f>
        <v>#REF!</v>
      </c>
      <c r="FY360" t="e">
        <f>AND(#REF!,"AAAAABfnJrQ=")</f>
        <v>#REF!</v>
      </c>
      <c r="FZ360" t="e">
        <f>AND(#REF!,"AAAAABfnJrU=")</f>
        <v>#REF!</v>
      </c>
      <c r="GA360" t="e">
        <f>AND(#REF!,"AAAAABfnJrY=")</f>
        <v>#REF!</v>
      </c>
      <c r="GB360" t="e">
        <f>AND(#REF!,"AAAAABfnJrc=")</f>
        <v>#REF!</v>
      </c>
      <c r="GC360" t="e">
        <f>IF(#REF!,"AAAAABfnJrg=",0)</f>
        <v>#REF!</v>
      </c>
      <c r="GD360" t="e">
        <f>AND(#REF!,"AAAAABfnJrk=")</f>
        <v>#REF!</v>
      </c>
      <c r="GE360" t="e">
        <f>AND(#REF!,"AAAAABfnJro=")</f>
        <v>#REF!</v>
      </c>
      <c r="GF360" t="e">
        <f>AND(#REF!,"AAAAABfnJrs=")</f>
        <v>#REF!</v>
      </c>
      <c r="GG360" t="e">
        <f>AND(#REF!,"AAAAABfnJrw=")</f>
        <v>#REF!</v>
      </c>
      <c r="GH360" t="e">
        <f>AND(#REF!,"AAAAABfnJr0=")</f>
        <v>#REF!</v>
      </c>
      <c r="GI360" t="e">
        <f>AND(#REF!,"AAAAABfnJr4=")</f>
        <v>#REF!</v>
      </c>
      <c r="GJ360" t="e">
        <f>AND(#REF!,"AAAAABfnJr8=")</f>
        <v>#REF!</v>
      </c>
      <c r="GK360" t="e">
        <f>AND(#REF!,"AAAAABfnJsA=")</f>
        <v>#REF!</v>
      </c>
      <c r="GL360" t="e">
        <f>AND(#REF!,"AAAAABfnJsE=")</f>
        <v>#REF!</v>
      </c>
      <c r="GM360" t="e">
        <f>AND(#REF!,"AAAAABfnJsI=")</f>
        <v>#REF!</v>
      </c>
      <c r="GN360" t="e">
        <f>IF(#REF!,"AAAAABfnJsM=",0)</f>
        <v>#REF!</v>
      </c>
      <c r="GO360" t="e">
        <f>AND(#REF!,"AAAAABfnJsQ=")</f>
        <v>#REF!</v>
      </c>
      <c r="GP360" t="e">
        <f>AND(#REF!,"AAAAABfnJsU=")</f>
        <v>#REF!</v>
      </c>
      <c r="GQ360" t="e">
        <f>AND(#REF!,"AAAAABfnJsY=")</f>
        <v>#REF!</v>
      </c>
      <c r="GR360" t="e">
        <f>AND(#REF!,"AAAAABfnJsc=")</f>
        <v>#REF!</v>
      </c>
      <c r="GS360" t="e">
        <f>AND(#REF!,"AAAAABfnJsg=")</f>
        <v>#REF!</v>
      </c>
      <c r="GT360" t="e">
        <f>AND(#REF!,"AAAAABfnJsk=")</f>
        <v>#REF!</v>
      </c>
      <c r="GU360" t="e">
        <f>AND(#REF!,"AAAAABfnJso=")</f>
        <v>#REF!</v>
      </c>
      <c r="GV360" t="e">
        <f>AND(#REF!,"AAAAABfnJss=")</f>
        <v>#REF!</v>
      </c>
      <c r="GW360" t="e">
        <f>AND(#REF!,"AAAAABfnJsw=")</f>
        <v>#REF!</v>
      </c>
      <c r="GX360" t="e">
        <f>AND(#REF!,"AAAAABfnJs0=")</f>
        <v>#REF!</v>
      </c>
      <c r="GY360" t="e">
        <f>IF(#REF!,"AAAAABfnJs4=",0)</f>
        <v>#REF!</v>
      </c>
      <c r="GZ360" t="e">
        <f>AND(#REF!,"AAAAABfnJs8=")</f>
        <v>#REF!</v>
      </c>
      <c r="HA360" t="e">
        <f>AND(#REF!,"AAAAABfnJtA=")</f>
        <v>#REF!</v>
      </c>
      <c r="HB360" t="e">
        <f>AND(#REF!,"AAAAABfnJtE=")</f>
        <v>#REF!</v>
      </c>
      <c r="HC360" t="e">
        <f>AND(#REF!,"AAAAABfnJtI=")</f>
        <v>#REF!</v>
      </c>
      <c r="HD360" t="e">
        <f>AND(#REF!,"AAAAABfnJtM=")</f>
        <v>#REF!</v>
      </c>
      <c r="HE360" t="e">
        <f>AND(#REF!,"AAAAABfnJtQ=")</f>
        <v>#REF!</v>
      </c>
      <c r="HF360" t="e">
        <f>AND(#REF!,"AAAAABfnJtU=")</f>
        <v>#REF!</v>
      </c>
      <c r="HG360" t="e">
        <f>AND(#REF!,"AAAAABfnJtY=")</f>
        <v>#REF!</v>
      </c>
      <c r="HH360" t="e">
        <f>AND(#REF!,"AAAAABfnJtc=")</f>
        <v>#REF!</v>
      </c>
      <c r="HI360" t="e">
        <f>AND(#REF!,"AAAAABfnJtg=")</f>
        <v>#REF!</v>
      </c>
      <c r="HJ360" t="e">
        <f>IF(#REF!,"AAAAABfnJtk=",0)</f>
        <v>#REF!</v>
      </c>
      <c r="HK360" t="e">
        <f>AND(#REF!,"AAAAABfnJto=")</f>
        <v>#REF!</v>
      </c>
      <c r="HL360" t="e">
        <f>AND(#REF!,"AAAAABfnJts=")</f>
        <v>#REF!</v>
      </c>
      <c r="HM360" t="e">
        <f>AND(#REF!,"AAAAABfnJtw=")</f>
        <v>#REF!</v>
      </c>
      <c r="HN360" t="e">
        <f>AND(#REF!,"AAAAABfnJt0=")</f>
        <v>#REF!</v>
      </c>
      <c r="HO360" t="e">
        <f>AND(#REF!,"AAAAABfnJt4=")</f>
        <v>#REF!</v>
      </c>
      <c r="HP360" t="e">
        <f>AND(#REF!,"AAAAABfnJt8=")</f>
        <v>#REF!</v>
      </c>
      <c r="HQ360" t="e">
        <f>AND(#REF!,"AAAAABfnJuA=")</f>
        <v>#REF!</v>
      </c>
      <c r="HR360" t="e">
        <f>AND(#REF!,"AAAAABfnJuE=")</f>
        <v>#REF!</v>
      </c>
      <c r="HS360" t="e">
        <f>AND(#REF!,"AAAAABfnJuI=")</f>
        <v>#REF!</v>
      </c>
      <c r="HT360" t="e">
        <f>AND(#REF!,"AAAAABfnJuM=")</f>
        <v>#REF!</v>
      </c>
      <c r="HU360" t="e">
        <f>IF(#REF!,"AAAAABfnJuQ=",0)</f>
        <v>#REF!</v>
      </c>
      <c r="HV360" t="e">
        <f>AND(#REF!,"AAAAABfnJuU=")</f>
        <v>#REF!</v>
      </c>
      <c r="HW360" t="e">
        <f>AND(#REF!,"AAAAABfnJuY=")</f>
        <v>#REF!</v>
      </c>
      <c r="HX360" t="e">
        <f>AND(#REF!,"AAAAABfnJuc=")</f>
        <v>#REF!</v>
      </c>
      <c r="HY360" t="e">
        <f>AND(#REF!,"AAAAABfnJug=")</f>
        <v>#REF!</v>
      </c>
      <c r="HZ360" t="e">
        <f>AND(#REF!,"AAAAABfnJuk=")</f>
        <v>#REF!</v>
      </c>
      <c r="IA360" t="e">
        <f>AND(#REF!,"AAAAABfnJuo=")</f>
        <v>#REF!</v>
      </c>
      <c r="IB360" t="e">
        <f>AND(#REF!,"AAAAABfnJus=")</f>
        <v>#REF!</v>
      </c>
      <c r="IC360" t="e">
        <f>AND(#REF!,"AAAAABfnJuw=")</f>
        <v>#REF!</v>
      </c>
      <c r="ID360" t="e">
        <f>AND(#REF!,"AAAAABfnJu0=")</f>
        <v>#REF!</v>
      </c>
      <c r="IE360" t="e">
        <f>AND(#REF!,"AAAAABfnJu4=")</f>
        <v>#REF!</v>
      </c>
      <c r="IF360" t="e">
        <f>IF(#REF!,"AAAAABfnJu8=",0)</f>
        <v>#REF!</v>
      </c>
      <c r="IG360" t="e">
        <f>AND(#REF!,"AAAAABfnJvA=")</f>
        <v>#REF!</v>
      </c>
      <c r="IH360" t="e">
        <f>AND(#REF!,"AAAAABfnJvE=")</f>
        <v>#REF!</v>
      </c>
      <c r="II360" t="e">
        <f>AND(#REF!,"AAAAABfnJvI=")</f>
        <v>#REF!</v>
      </c>
      <c r="IJ360" t="e">
        <f>AND(#REF!,"AAAAABfnJvM=")</f>
        <v>#REF!</v>
      </c>
      <c r="IK360" t="e">
        <f>AND(#REF!,"AAAAABfnJvQ=")</f>
        <v>#REF!</v>
      </c>
      <c r="IL360" t="e">
        <f>AND(#REF!,"AAAAABfnJvU=")</f>
        <v>#REF!</v>
      </c>
      <c r="IM360" t="e">
        <f>AND(#REF!,"AAAAABfnJvY=")</f>
        <v>#REF!</v>
      </c>
      <c r="IN360" t="e">
        <f>AND(#REF!,"AAAAABfnJvc=")</f>
        <v>#REF!</v>
      </c>
      <c r="IO360" t="e">
        <f>AND(#REF!,"AAAAABfnJvg=")</f>
        <v>#REF!</v>
      </c>
      <c r="IP360" t="e">
        <f>AND(#REF!,"AAAAABfnJvk=")</f>
        <v>#REF!</v>
      </c>
      <c r="IQ360" t="e">
        <f>IF(#REF!,"AAAAABfnJvo=",0)</f>
        <v>#REF!</v>
      </c>
      <c r="IR360" t="e">
        <f>AND(#REF!,"AAAAABfnJvs=")</f>
        <v>#REF!</v>
      </c>
      <c r="IS360" t="e">
        <f>AND(#REF!,"AAAAABfnJvw=")</f>
        <v>#REF!</v>
      </c>
      <c r="IT360" t="e">
        <f>AND(#REF!,"AAAAABfnJv0=")</f>
        <v>#REF!</v>
      </c>
      <c r="IU360" t="e">
        <f>AND(#REF!,"AAAAABfnJv4=")</f>
        <v>#REF!</v>
      </c>
      <c r="IV360" t="e">
        <f>AND(#REF!,"AAAAABfnJv8=")</f>
        <v>#REF!</v>
      </c>
    </row>
    <row r="361" spans="1:256" x14ac:dyDescent="0.25">
      <c r="A361" t="e">
        <f>AND(#REF!,"AAAAAH+++wA=")</f>
        <v>#REF!</v>
      </c>
      <c r="B361" t="e">
        <f>AND(#REF!,"AAAAAH+++wE=")</f>
        <v>#REF!</v>
      </c>
      <c r="C361" t="e">
        <f>AND(#REF!,"AAAAAH+++wI=")</f>
        <v>#REF!</v>
      </c>
      <c r="D361" t="e">
        <f>AND(#REF!,"AAAAAH+++wM=")</f>
        <v>#REF!</v>
      </c>
      <c r="E361" t="e">
        <f>AND(#REF!,"AAAAAH+++wQ=")</f>
        <v>#REF!</v>
      </c>
      <c r="F361" t="e">
        <f>IF(#REF!,"AAAAAH+++wU=",0)</f>
        <v>#REF!</v>
      </c>
      <c r="G361" t="e">
        <f>AND(#REF!,"AAAAAH+++wY=")</f>
        <v>#REF!</v>
      </c>
      <c r="H361" t="e">
        <f>AND(#REF!,"AAAAAH+++wc=")</f>
        <v>#REF!</v>
      </c>
      <c r="I361" t="e">
        <f>AND(#REF!,"AAAAAH+++wg=")</f>
        <v>#REF!</v>
      </c>
      <c r="J361" t="e">
        <f>AND(#REF!,"AAAAAH+++wk=")</f>
        <v>#REF!</v>
      </c>
      <c r="K361" t="e">
        <f>AND(#REF!,"AAAAAH+++wo=")</f>
        <v>#REF!</v>
      </c>
      <c r="L361" t="e">
        <f>AND(#REF!,"AAAAAH+++ws=")</f>
        <v>#REF!</v>
      </c>
      <c r="M361" t="e">
        <f>AND(#REF!,"AAAAAH+++ww=")</f>
        <v>#REF!</v>
      </c>
      <c r="N361" t="e">
        <f>AND(#REF!,"AAAAAH+++w0=")</f>
        <v>#REF!</v>
      </c>
      <c r="O361" t="e">
        <f>AND(#REF!,"AAAAAH+++w4=")</f>
        <v>#REF!</v>
      </c>
      <c r="P361" t="e">
        <f>AND(#REF!,"AAAAAH+++w8=")</f>
        <v>#REF!</v>
      </c>
      <c r="Q361" t="e">
        <f>IF(#REF!,"AAAAAH+++xA=",0)</f>
        <v>#REF!</v>
      </c>
      <c r="R361" t="e">
        <f>AND(#REF!,"AAAAAH+++xE=")</f>
        <v>#REF!</v>
      </c>
      <c r="S361" t="e">
        <f>AND(#REF!,"AAAAAH+++xI=")</f>
        <v>#REF!</v>
      </c>
      <c r="T361" t="e">
        <f>AND(#REF!,"AAAAAH+++xM=")</f>
        <v>#REF!</v>
      </c>
      <c r="U361" t="e">
        <f>AND(#REF!,"AAAAAH+++xQ=")</f>
        <v>#REF!</v>
      </c>
      <c r="V361" t="e">
        <f>AND(#REF!,"AAAAAH+++xU=")</f>
        <v>#REF!</v>
      </c>
      <c r="W361" t="e">
        <f>AND(#REF!,"AAAAAH+++xY=")</f>
        <v>#REF!</v>
      </c>
      <c r="X361" t="e">
        <f>AND(#REF!,"AAAAAH+++xc=")</f>
        <v>#REF!</v>
      </c>
      <c r="Y361" t="e">
        <f>AND(#REF!,"AAAAAH+++xg=")</f>
        <v>#REF!</v>
      </c>
      <c r="Z361" t="e">
        <f>AND(#REF!,"AAAAAH+++xk=")</f>
        <v>#REF!</v>
      </c>
      <c r="AA361" t="e">
        <f>AND(#REF!,"AAAAAH+++xo=")</f>
        <v>#REF!</v>
      </c>
      <c r="AB361" t="e">
        <f>IF(#REF!,"AAAAAH+++xs=",0)</f>
        <v>#REF!</v>
      </c>
      <c r="AC361" t="e">
        <f>AND(#REF!,"AAAAAH+++xw=")</f>
        <v>#REF!</v>
      </c>
      <c r="AD361" t="e">
        <f>AND(#REF!,"AAAAAH+++x0=")</f>
        <v>#REF!</v>
      </c>
      <c r="AE361" t="e">
        <f>AND(#REF!,"AAAAAH+++x4=")</f>
        <v>#REF!</v>
      </c>
      <c r="AF361" t="e">
        <f>AND(#REF!,"AAAAAH+++x8=")</f>
        <v>#REF!</v>
      </c>
      <c r="AG361" t="e">
        <f>AND(#REF!,"AAAAAH+++yA=")</f>
        <v>#REF!</v>
      </c>
      <c r="AH361" t="e">
        <f>AND(#REF!,"AAAAAH+++yE=")</f>
        <v>#REF!</v>
      </c>
      <c r="AI361" t="e">
        <f>AND(#REF!,"AAAAAH+++yI=")</f>
        <v>#REF!</v>
      </c>
      <c r="AJ361" t="e">
        <f>AND(#REF!,"AAAAAH+++yM=")</f>
        <v>#REF!</v>
      </c>
      <c r="AK361" t="e">
        <f>AND(#REF!,"AAAAAH+++yQ=")</f>
        <v>#REF!</v>
      </c>
      <c r="AL361" t="e">
        <f>AND(#REF!,"AAAAAH+++yU=")</f>
        <v>#REF!</v>
      </c>
      <c r="AM361" t="e">
        <f>IF(#REF!,"AAAAAH+++yY=",0)</f>
        <v>#REF!</v>
      </c>
      <c r="AN361" t="e">
        <f>AND(#REF!,"AAAAAH+++yc=")</f>
        <v>#REF!</v>
      </c>
      <c r="AO361" t="e">
        <f>AND(#REF!,"AAAAAH+++yg=")</f>
        <v>#REF!</v>
      </c>
      <c r="AP361" t="e">
        <f>AND(#REF!,"AAAAAH+++yk=")</f>
        <v>#REF!</v>
      </c>
      <c r="AQ361" t="e">
        <f>AND(#REF!,"AAAAAH+++yo=")</f>
        <v>#REF!</v>
      </c>
      <c r="AR361" t="e">
        <f>AND(#REF!,"AAAAAH+++ys=")</f>
        <v>#REF!</v>
      </c>
      <c r="AS361" t="e">
        <f>AND(#REF!,"AAAAAH+++yw=")</f>
        <v>#REF!</v>
      </c>
      <c r="AT361" t="e">
        <f>AND(#REF!,"AAAAAH+++y0=")</f>
        <v>#REF!</v>
      </c>
      <c r="AU361" t="e">
        <f>AND(#REF!,"AAAAAH+++y4=")</f>
        <v>#REF!</v>
      </c>
      <c r="AV361" t="e">
        <f>AND(#REF!,"AAAAAH+++y8=")</f>
        <v>#REF!</v>
      </c>
      <c r="AW361" t="e">
        <f>AND(#REF!,"AAAAAH+++zA=")</f>
        <v>#REF!</v>
      </c>
      <c r="AX361" t="e">
        <f>IF(#REF!,"AAAAAH+++zE=",0)</f>
        <v>#REF!</v>
      </c>
      <c r="AY361" t="e">
        <f>AND(#REF!,"AAAAAH+++zI=")</f>
        <v>#REF!</v>
      </c>
      <c r="AZ361" t="e">
        <f>AND(#REF!,"AAAAAH+++zM=")</f>
        <v>#REF!</v>
      </c>
      <c r="BA361" t="e">
        <f>AND(#REF!,"AAAAAH+++zQ=")</f>
        <v>#REF!</v>
      </c>
      <c r="BB361" t="e">
        <f>AND(#REF!,"AAAAAH+++zU=")</f>
        <v>#REF!</v>
      </c>
      <c r="BC361" t="e">
        <f>AND(#REF!,"AAAAAH+++zY=")</f>
        <v>#REF!</v>
      </c>
      <c r="BD361" t="e">
        <f>AND(#REF!,"AAAAAH+++zc=")</f>
        <v>#REF!</v>
      </c>
      <c r="BE361" t="e">
        <f>AND(#REF!,"AAAAAH+++zg=")</f>
        <v>#REF!</v>
      </c>
      <c r="BF361" t="e">
        <f>AND(#REF!,"AAAAAH+++zk=")</f>
        <v>#REF!</v>
      </c>
      <c r="BG361" t="e">
        <f>AND(#REF!,"AAAAAH+++zo=")</f>
        <v>#REF!</v>
      </c>
      <c r="BH361" t="e">
        <f>AND(#REF!,"AAAAAH+++zs=")</f>
        <v>#REF!</v>
      </c>
      <c r="BI361" t="e">
        <f>IF(#REF!,"AAAAAH+++zw=",0)</f>
        <v>#REF!</v>
      </c>
      <c r="BJ361" t="e">
        <f>AND(#REF!,"AAAAAH+++z0=")</f>
        <v>#REF!</v>
      </c>
      <c r="BK361" t="e">
        <f>AND(#REF!,"AAAAAH+++z4=")</f>
        <v>#REF!</v>
      </c>
      <c r="BL361" t="e">
        <f>AND(#REF!,"AAAAAH+++z8=")</f>
        <v>#REF!</v>
      </c>
      <c r="BM361" t="e">
        <f>AND(#REF!,"AAAAAH+++0A=")</f>
        <v>#REF!</v>
      </c>
      <c r="BN361" t="e">
        <f>AND(#REF!,"AAAAAH+++0E=")</f>
        <v>#REF!</v>
      </c>
      <c r="BO361" t="e">
        <f>AND(#REF!,"AAAAAH+++0I=")</f>
        <v>#REF!</v>
      </c>
      <c r="BP361" t="e">
        <f>AND(#REF!,"AAAAAH+++0M=")</f>
        <v>#REF!</v>
      </c>
      <c r="BQ361" t="e">
        <f>AND(#REF!,"AAAAAH+++0Q=")</f>
        <v>#REF!</v>
      </c>
      <c r="BR361" t="e">
        <f>AND(#REF!,"AAAAAH+++0U=")</f>
        <v>#REF!</v>
      </c>
      <c r="BS361" t="e">
        <f>AND(#REF!,"AAAAAH+++0Y=")</f>
        <v>#REF!</v>
      </c>
      <c r="BT361" t="e">
        <f>IF(#REF!,"AAAAAH+++0c=",0)</f>
        <v>#REF!</v>
      </c>
      <c r="BU361" t="e">
        <f>AND(#REF!,"AAAAAH+++0g=")</f>
        <v>#REF!</v>
      </c>
      <c r="BV361" t="e">
        <f>AND(#REF!,"AAAAAH+++0k=")</f>
        <v>#REF!</v>
      </c>
      <c r="BW361" t="e">
        <f>AND(#REF!,"AAAAAH+++0o=")</f>
        <v>#REF!</v>
      </c>
      <c r="BX361" t="e">
        <f>AND(#REF!,"AAAAAH+++0s=")</f>
        <v>#REF!</v>
      </c>
      <c r="BY361" t="e">
        <f>AND(#REF!,"AAAAAH+++0w=")</f>
        <v>#REF!</v>
      </c>
      <c r="BZ361" t="e">
        <f>AND(#REF!,"AAAAAH+++00=")</f>
        <v>#REF!</v>
      </c>
      <c r="CA361" t="e">
        <f>AND(#REF!,"AAAAAH+++04=")</f>
        <v>#REF!</v>
      </c>
      <c r="CB361" t="e">
        <f>AND(#REF!,"AAAAAH+++08=")</f>
        <v>#REF!</v>
      </c>
      <c r="CC361" t="e">
        <f>AND(#REF!,"AAAAAH+++1A=")</f>
        <v>#REF!</v>
      </c>
      <c r="CD361" t="e">
        <f>AND(#REF!,"AAAAAH+++1E=")</f>
        <v>#REF!</v>
      </c>
      <c r="CE361" t="e">
        <f>IF(#REF!,"AAAAAH+++1I=",0)</f>
        <v>#REF!</v>
      </c>
      <c r="CF361" t="e">
        <f>AND(#REF!,"AAAAAH+++1M=")</f>
        <v>#REF!</v>
      </c>
      <c r="CG361" t="e">
        <f>AND(#REF!,"AAAAAH+++1Q=")</f>
        <v>#REF!</v>
      </c>
      <c r="CH361" t="e">
        <f>AND(#REF!,"AAAAAH+++1U=")</f>
        <v>#REF!</v>
      </c>
      <c r="CI361" t="e">
        <f>AND(#REF!,"AAAAAH+++1Y=")</f>
        <v>#REF!</v>
      </c>
      <c r="CJ361" t="e">
        <f>AND(#REF!,"AAAAAH+++1c=")</f>
        <v>#REF!</v>
      </c>
      <c r="CK361" t="e">
        <f>AND(#REF!,"AAAAAH+++1g=")</f>
        <v>#REF!</v>
      </c>
      <c r="CL361" t="e">
        <f>AND(#REF!,"AAAAAH+++1k=")</f>
        <v>#REF!</v>
      </c>
      <c r="CM361" t="e">
        <f>AND(#REF!,"AAAAAH+++1o=")</f>
        <v>#REF!</v>
      </c>
      <c r="CN361" t="e">
        <f>AND(#REF!,"AAAAAH+++1s=")</f>
        <v>#REF!</v>
      </c>
      <c r="CO361" t="e">
        <f>AND(#REF!,"AAAAAH+++1w=")</f>
        <v>#REF!</v>
      </c>
      <c r="CP361" t="e">
        <f>IF(#REF!,"AAAAAH+++10=",0)</f>
        <v>#REF!</v>
      </c>
      <c r="CQ361" t="e">
        <f>AND(#REF!,"AAAAAH+++14=")</f>
        <v>#REF!</v>
      </c>
      <c r="CR361" t="e">
        <f>AND(#REF!,"AAAAAH+++18=")</f>
        <v>#REF!</v>
      </c>
      <c r="CS361" t="e">
        <f>AND(#REF!,"AAAAAH+++2A=")</f>
        <v>#REF!</v>
      </c>
      <c r="CT361" t="e">
        <f>AND(#REF!,"AAAAAH+++2E=")</f>
        <v>#REF!</v>
      </c>
      <c r="CU361" t="e">
        <f>AND(#REF!,"AAAAAH+++2I=")</f>
        <v>#REF!</v>
      </c>
      <c r="CV361" t="e">
        <f>AND(#REF!,"AAAAAH+++2M=")</f>
        <v>#REF!</v>
      </c>
      <c r="CW361" t="e">
        <f>AND(#REF!,"AAAAAH+++2Q=")</f>
        <v>#REF!</v>
      </c>
      <c r="CX361" t="e">
        <f>AND(#REF!,"AAAAAH+++2U=")</f>
        <v>#REF!</v>
      </c>
      <c r="CY361" t="e">
        <f>AND(#REF!,"AAAAAH+++2Y=")</f>
        <v>#REF!</v>
      </c>
      <c r="CZ361" t="e">
        <f>AND(#REF!,"AAAAAH+++2c=")</f>
        <v>#REF!</v>
      </c>
      <c r="DA361" t="e">
        <f>IF(#REF!,"AAAAAH+++2g=",0)</f>
        <v>#REF!</v>
      </c>
      <c r="DB361" t="e">
        <f>AND(#REF!,"AAAAAH+++2k=")</f>
        <v>#REF!</v>
      </c>
      <c r="DC361" t="e">
        <f>AND(#REF!,"AAAAAH+++2o=")</f>
        <v>#REF!</v>
      </c>
      <c r="DD361" t="e">
        <f>AND(#REF!,"AAAAAH+++2s=")</f>
        <v>#REF!</v>
      </c>
      <c r="DE361" t="e">
        <f>AND(#REF!,"AAAAAH+++2w=")</f>
        <v>#REF!</v>
      </c>
      <c r="DF361" t="e">
        <f>AND(#REF!,"AAAAAH+++20=")</f>
        <v>#REF!</v>
      </c>
      <c r="DG361" t="e">
        <f>AND(#REF!,"AAAAAH+++24=")</f>
        <v>#REF!</v>
      </c>
      <c r="DH361" t="e">
        <f>AND(#REF!,"AAAAAH+++28=")</f>
        <v>#REF!</v>
      </c>
      <c r="DI361" t="e">
        <f>AND(#REF!,"AAAAAH+++3A=")</f>
        <v>#REF!</v>
      </c>
      <c r="DJ361" t="e">
        <f>AND(#REF!,"AAAAAH+++3E=")</f>
        <v>#REF!</v>
      </c>
      <c r="DK361" t="e">
        <f>AND(#REF!,"AAAAAH+++3I=")</f>
        <v>#REF!</v>
      </c>
      <c r="DL361" t="e">
        <f>IF(#REF!,"AAAAAH+++3M=",0)</f>
        <v>#REF!</v>
      </c>
      <c r="DM361" t="e">
        <f>AND(#REF!,"AAAAAH+++3Q=")</f>
        <v>#REF!</v>
      </c>
      <c r="DN361" t="e">
        <f>AND(#REF!,"AAAAAH+++3U=")</f>
        <v>#REF!</v>
      </c>
      <c r="DO361" t="e">
        <f>AND(#REF!,"AAAAAH+++3Y=")</f>
        <v>#REF!</v>
      </c>
      <c r="DP361" t="e">
        <f>AND(#REF!,"AAAAAH+++3c=")</f>
        <v>#REF!</v>
      </c>
      <c r="DQ361" t="e">
        <f>AND(#REF!,"AAAAAH+++3g=")</f>
        <v>#REF!</v>
      </c>
      <c r="DR361" t="e">
        <f>AND(#REF!,"AAAAAH+++3k=")</f>
        <v>#REF!</v>
      </c>
      <c r="DS361" t="e">
        <f>AND(#REF!,"AAAAAH+++3o=")</f>
        <v>#REF!</v>
      </c>
      <c r="DT361" t="e">
        <f>AND(#REF!,"AAAAAH+++3s=")</f>
        <v>#REF!</v>
      </c>
      <c r="DU361" t="e">
        <f>AND(#REF!,"AAAAAH+++3w=")</f>
        <v>#REF!</v>
      </c>
      <c r="DV361" t="e">
        <f>AND(#REF!,"AAAAAH+++30=")</f>
        <v>#REF!</v>
      </c>
      <c r="DW361" t="e">
        <f>IF(#REF!,"AAAAAH+++34=",0)</f>
        <v>#REF!</v>
      </c>
      <c r="DX361" t="e">
        <f>AND(#REF!,"AAAAAH+++38=")</f>
        <v>#REF!</v>
      </c>
      <c r="DY361" t="e">
        <f>AND(#REF!,"AAAAAH+++4A=")</f>
        <v>#REF!</v>
      </c>
      <c r="DZ361" t="e">
        <f>AND(#REF!,"AAAAAH+++4E=")</f>
        <v>#REF!</v>
      </c>
      <c r="EA361" t="e">
        <f>AND(#REF!,"AAAAAH+++4I=")</f>
        <v>#REF!</v>
      </c>
      <c r="EB361" t="e">
        <f>AND(#REF!,"AAAAAH+++4M=")</f>
        <v>#REF!</v>
      </c>
      <c r="EC361" t="e">
        <f>AND(#REF!,"AAAAAH+++4Q=")</f>
        <v>#REF!</v>
      </c>
      <c r="ED361" t="e">
        <f>AND(#REF!,"AAAAAH+++4U=")</f>
        <v>#REF!</v>
      </c>
      <c r="EE361" t="e">
        <f>AND(#REF!,"AAAAAH+++4Y=")</f>
        <v>#REF!</v>
      </c>
      <c r="EF361" t="e">
        <f>AND(#REF!,"AAAAAH+++4c=")</f>
        <v>#REF!</v>
      </c>
      <c r="EG361" t="e">
        <f>AND(#REF!,"AAAAAH+++4g=")</f>
        <v>#REF!</v>
      </c>
      <c r="EH361" t="e">
        <f>IF(#REF!,"AAAAAH+++4k=",0)</f>
        <v>#REF!</v>
      </c>
      <c r="EI361" t="e">
        <f>AND(#REF!,"AAAAAH+++4o=")</f>
        <v>#REF!</v>
      </c>
      <c r="EJ361" t="e">
        <f>AND(#REF!,"AAAAAH+++4s=")</f>
        <v>#REF!</v>
      </c>
      <c r="EK361" t="e">
        <f>AND(#REF!,"AAAAAH+++4w=")</f>
        <v>#REF!</v>
      </c>
      <c r="EL361" t="e">
        <f>AND(#REF!,"AAAAAH+++40=")</f>
        <v>#REF!</v>
      </c>
      <c r="EM361" t="e">
        <f>AND(#REF!,"AAAAAH+++44=")</f>
        <v>#REF!</v>
      </c>
      <c r="EN361" t="e">
        <f>AND(#REF!,"AAAAAH+++48=")</f>
        <v>#REF!</v>
      </c>
      <c r="EO361" t="e">
        <f>AND(#REF!,"AAAAAH+++5A=")</f>
        <v>#REF!</v>
      </c>
      <c r="EP361" t="e">
        <f>AND(#REF!,"AAAAAH+++5E=")</f>
        <v>#REF!</v>
      </c>
      <c r="EQ361" t="e">
        <f>AND(#REF!,"AAAAAH+++5I=")</f>
        <v>#REF!</v>
      </c>
      <c r="ER361" t="e">
        <f>AND(#REF!,"AAAAAH+++5M=")</f>
        <v>#REF!</v>
      </c>
      <c r="ES361" t="e">
        <f>IF(#REF!,"AAAAAH+++5Q=",0)</f>
        <v>#REF!</v>
      </c>
      <c r="ET361" t="e">
        <f>AND(#REF!,"AAAAAH+++5U=")</f>
        <v>#REF!</v>
      </c>
      <c r="EU361" t="e">
        <f>AND(#REF!,"AAAAAH+++5Y=")</f>
        <v>#REF!</v>
      </c>
      <c r="EV361" t="e">
        <f>AND(#REF!,"AAAAAH+++5c=")</f>
        <v>#REF!</v>
      </c>
      <c r="EW361" t="e">
        <f>AND(#REF!,"AAAAAH+++5g=")</f>
        <v>#REF!</v>
      </c>
      <c r="EX361" t="e">
        <f>AND(#REF!,"AAAAAH+++5k=")</f>
        <v>#REF!</v>
      </c>
      <c r="EY361" t="e">
        <f>AND(#REF!,"AAAAAH+++5o=")</f>
        <v>#REF!</v>
      </c>
      <c r="EZ361" t="e">
        <f>AND(#REF!,"AAAAAH+++5s=")</f>
        <v>#REF!</v>
      </c>
      <c r="FA361" t="e">
        <f>AND(#REF!,"AAAAAH+++5w=")</f>
        <v>#REF!</v>
      </c>
      <c r="FB361" t="e">
        <f>AND(#REF!,"AAAAAH+++50=")</f>
        <v>#REF!</v>
      </c>
      <c r="FC361" t="e">
        <f>AND(#REF!,"AAAAAH+++54=")</f>
        <v>#REF!</v>
      </c>
      <c r="FD361" t="e">
        <f>IF(#REF!,"AAAAAH+++58=",0)</f>
        <v>#REF!</v>
      </c>
      <c r="FE361" t="e">
        <f>AND(#REF!,"AAAAAH+++6A=")</f>
        <v>#REF!</v>
      </c>
      <c r="FF361" t="e">
        <f>AND(#REF!,"AAAAAH+++6E=")</f>
        <v>#REF!</v>
      </c>
      <c r="FG361" t="e">
        <f>AND(#REF!,"AAAAAH+++6I=")</f>
        <v>#REF!</v>
      </c>
      <c r="FH361" t="e">
        <f>AND(#REF!,"AAAAAH+++6M=")</f>
        <v>#REF!</v>
      </c>
      <c r="FI361" t="e">
        <f>AND(#REF!,"AAAAAH+++6Q=")</f>
        <v>#REF!</v>
      </c>
      <c r="FJ361" t="e">
        <f>AND(#REF!,"AAAAAH+++6U=")</f>
        <v>#REF!</v>
      </c>
      <c r="FK361" t="e">
        <f>AND(#REF!,"AAAAAH+++6Y=")</f>
        <v>#REF!</v>
      </c>
      <c r="FL361" t="e">
        <f>AND(#REF!,"AAAAAH+++6c=")</f>
        <v>#REF!</v>
      </c>
      <c r="FM361" t="e">
        <f>AND(#REF!,"AAAAAH+++6g=")</f>
        <v>#REF!</v>
      </c>
      <c r="FN361" t="e">
        <f>AND(#REF!,"AAAAAH+++6k=")</f>
        <v>#REF!</v>
      </c>
      <c r="FO361" t="e">
        <f>IF(#REF!,"AAAAAH+++6o=",0)</f>
        <v>#REF!</v>
      </c>
      <c r="FP361" t="e">
        <f>AND(#REF!,"AAAAAH+++6s=")</f>
        <v>#REF!</v>
      </c>
      <c r="FQ361" t="e">
        <f>AND(#REF!,"AAAAAH+++6w=")</f>
        <v>#REF!</v>
      </c>
      <c r="FR361" t="e">
        <f>AND(#REF!,"AAAAAH+++60=")</f>
        <v>#REF!</v>
      </c>
      <c r="FS361" t="e">
        <f>AND(#REF!,"AAAAAH+++64=")</f>
        <v>#REF!</v>
      </c>
      <c r="FT361" t="e">
        <f>AND(#REF!,"AAAAAH+++68=")</f>
        <v>#REF!</v>
      </c>
      <c r="FU361" t="e">
        <f>AND(#REF!,"AAAAAH+++7A=")</f>
        <v>#REF!</v>
      </c>
      <c r="FV361" t="e">
        <f>AND(#REF!,"AAAAAH+++7E=")</f>
        <v>#REF!</v>
      </c>
      <c r="FW361" t="e">
        <f>AND(#REF!,"AAAAAH+++7I=")</f>
        <v>#REF!</v>
      </c>
      <c r="FX361" t="e">
        <f>AND(#REF!,"AAAAAH+++7M=")</f>
        <v>#REF!</v>
      </c>
      <c r="FY361" t="e">
        <f>AND(#REF!,"AAAAAH+++7Q=")</f>
        <v>#REF!</v>
      </c>
      <c r="FZ361" t="e">
        <f>IF(#REF!,"AAAAAH+++7U=",0)</f>
        <v>#REF!</v>
      </c>
      <c r="GA361" t="e">
        <f>AND(#REF!,"AAAAAH+++7Y=")</f>
        <v>#REF!</v>
      </c>
      <c r="GB361" t="e">
        <f>AND(#REF!,"AAAAAH+++7c=")</f>
        <v>#REF!</v>
      </c>
      <c r="GC361" t="e">
        <f>AND(#REF!,"AAAAAH+++7g=")</f>
        <v>#REF!</v>
      </c>
      <c r="GD361" t="e">
        <f>AND(#REF!,"AAAAAH+++7k=")</f>
        <v>#REF!</v>
      </c>
      <c r="GE361" t="e">
        <f>AND(#REF!,"AAAAAH+++7o=")</f>
        <v>#REF!</v>
      </c>
      <c r="GF361" t="e">
        <f>AND(#REF!,"AAAAAH+++7s=")</f>
        <v>#REF!</v>
      </c>
      <c r="GG361" t="e">
        <f>AND(#REF!,"AAAAAH+++7w=")</f>
        <v>#REF!</v>
      </c>
      <c r="GH361" t="e">
        <f>AND(#REF!,"AAAAAH+++70=")</f>
        <v>#REF!</v>
      </c>
      <c r="GI361" t="e">
        <f>AND(#REF!,"AAAAAH+++74=")</f>
        <v>#REF!</v>
      </c>
      <c r="GJ361" t="e">
        <f>AND(#REF!,"AAAAAH+++78=")</f>
        <v>#REF!</v>
      </c>
      <c r="GK361" t="e">
        <f>IF(#REF!,"AAAAAH+++8A=",0)</f>
        <v>#REF!</v>
      </c>
      <c r="GL361" t="e">
        <f>AND(#REF!,"AAAAAH+++8E=")</f>
        <v>#REF!</v>
      </c>
      <c r="GM361" t="e">
        <f>AND(#REF!,"AAAAAH+++8I=")</f>
        <v>#REF!</v>
      </c>
      <c r="GN361" t="e">
        <f>AND(#REF!,"AAAAAH+++8M=")</f>
        <v>#REF!</v>
      </c>
      <c r="GO361" t="e">
        <f>AND(#REF!,"AAAAAH+++8Q=")</f>
        <v>#REF!</v>
      </c>
      <c r="GP361" t="e">
        <f>AND(#REF!,"AAAAAH+++8U=")</f>
        <v>#REF!</v>
      </c>
      <c r="GQ361" t="e">
        <f>AND(#REF!,"AAAAAH+++8Y=")</f>
        <v>#REF!</v>
      </c>
      <c r="GR361" t="e">
        <f>AND(#REF!,"AAAAAH+++8c=")</f>
        <v>#REF!</v>
      </c>
      <c r="GS361" t="e">
        <f>AND(#REF!,"AAAAAH+++8g=")</f>
        <v>#REF!</v>
      </c>
      <c r="GT361" t="e">
        <f>AND(#REF!,"AAAAAH+++8k=")</f>
        <v>#REF!</v>
      </c>
      <c r="GU361" t="e">
        <f>AND(#REF!,"AAAAAH+++8o=")</f>
        <v>#REF!</v>
      </c>
      <c r="GV361" t="e">
        <f>IF(#REF!,"AAAAAH+++8s=",0)</f>
        <v>#REF!</v>
      </c>
      <c r="GW361" t="e">
        <f>AND(#REF!,"AAAAAH+++8w=")</f>
        <v>#REF!</v>
      </c>
      <c r="GX361" t="e">
        <f>AND(#REF!,"AAAAAH+++80=")</f>
        <v>#REF!</v>
      </c>
      <c r="GY361" t="e">
        <f>AND(#REF!,"AAAAAH+++84=")</f>
        <v>#REF!</v>
      </c>
      <c r="GZ361" t="e">
        <f>AND(#REF!,"AAAAAH+++88=")</f>
        <v>#REF!</v>
      </c>
      <c r="HA361" t="e">
        <f>AND(#REF!,"AAAAAH+++9A=")</f>
        <v>#REF!</v>
      </c>
      <c r="HB361" t="e">
        <f>AND(#REF!,"AAAAAH+++9E=")</f>
        <v>#REF!</v>
      </c>
      <c r="HC361" t="e">
        <f>AND(#REF!,"AAAAAH+++9I=")</f>
        <v>#REF!</v>
      </c>
      <c r="HD361" t="e">
        <f>AND(#REF!,"AAAAAH+++9M=")</f>
        <v>#REF!</v>
      </c>
      <c r="HE361" t="e">
        <f>AND(#REF!,"AAAAAH+++9Q=")</f>
        <v>#REF!</v>
      </c>
      <c r="HF361" t="e">
        <f>AND(#REF!,"AAAAAH+++9U=")</f>
        <v>#REF!</v>
      </c>
      <c r="HG361" t="e">
        <f>IF(#REF!,"AAAAAH+++9Y=",0)</f>
        <v>#REF!</v>
      </c>
      <c r="HH361" t="e">
        <f>AND(#REF!,"AAAAAH+++9c=")</f>
        <v>#REF!</v>
      </c>
      <c r="HI361" t="e">
        <f>AND(#REF!,"AAAAAH+++9g=")</f>
        <v>#REF!</v>
      </c>
      <c r="HJ361" t="e">
        <f>AND(#REF!,"AAAAAH+++9k=")</f>
        <v>#REF!</v>
      </c>
      <c r="HK361" t="e">
        <f>AND(#REF!,"AAAAAH+++9o=")</f>
        <v>#REF!</v>
      </c>
      <c r="HL361" t="e">
        <f>AND(#REF!,"AAAAAH+++9s=")</f>
        <v>#REF!</v>
      </c>
      <c r="HM361" t="e">
        <f>AND(#REF!,"AAAAAH+++9w=")</f>
        <v>#REF!</v>
      </c>
      <c r="HN361" t="e">
        <f>AND(#REF!,"AAAAAH+++90=")</f>
        <v>#REF!</v>
      </c>
      <c r="HO361" t="e">
        <f>AND(#REF!,"AAAAAH+++94=")</f>
        <v>#REF!</v>
      </c>
      <c r="HP361" t="e">
        <f>AND(#REF!,"AAAAAH+++98=")</f>
        <v>#REF!</v>
      </c>
      <c r="HQ361" t="e">
        <f>AND(#REF!,"AAAAAH++++A=")</f>
        <v>#REF!</v>
      </c>
      <c r="HR361" t="e">
        <f>IF(#REF!,"AAAAAH++++E=",0)</f>
        <v>#REF!</v>
      </c>
      <c r="HS361" t="e">
        <f>AND(#REF!,"AAAAAH++++I=")</f>
        <v>#REF!</v>
      </c>
      <c r="HT361" t="e">
        <f>AND(#REF!,"AAAAAH++++M=")</f>
        <v>#REF!</v>
      </c>
      <c r="HU361" t="e">
        <f>AND(#REF!,"AAAAAH++++Q=")</f>
        <v>#REF!</v>
      </c>
      <c r="HV361" t="e">
        <f>AND(#REF!,"AAAAAH++++U=")</f>
        <v>#REF!</v>
      </c>
      <c r="HW361" t="e">
        <f>AND(#REF!,"AAAAAH++++Y=")</f>
        <v>#REF!</v>
      </c>
      <c r="HX361" t="e">
        <f>AND(#REF!,"AAAAAH++++c=")</f>
        <v>#REF!</v>
      </c>
      <c r="HY361" t="e">
        <f>AND(#REF!,"AAAAAH++++g=")</f>
        <v>#REF!</v>
      </c>
      <c r="HZ361" t="e">
        <f>AND(#REF!,"AAAAAH++++k=")</f>
        <v>#REF!</v>
      </c>
      <c r="IA361" t="e">
        <f>AND(#REF!,"AAAAAH++++o=")</f>
        <v>#REF!</v>
      </c>
      <c r="IB361" t="e">
        <f>AND(#REF!,"AAAAAH++++s=")</f>
        <v>#REF!</v>
      </c>
      <c r="IC361" t="e">
        <f>IF(#REF!,"AAAAAH++++w=",0)</f>
        <v>#REF!</v>
      </c>
      <c r="ID361" t="e">
        <f>AND(#REF!,"AAAAAH++++0=")</f>
        <v>#REF!</v>
      </c>
      <c r="IE361" t="e">
        <f>AND(#REF!,"AAAAAH++++4=")</f>
        <v>#REF!</v>
      </c>
      <c r="IF361" t="e">
        <f>AND(#REF!,"AAAAAH++++8=")</f>
        <v>#REF!</v>
      </c>
      <c r="IG361" t="e">
        <f>AND(#REF!,"AAAAAH+++/A=")</f>
        <v>#REF!</v>
      </c>
      <c r="IH361" t="e">
        <f>AND(#REF!,"AAAAAH+++/E=")</f>
        <v>#REF!</v>
      </c>
      <c r="II361" t="e">
        <f>AND(#REF!,"AAAAAH+++/I=")</f>
        <v>#REF!</v>
      </c>
      <c r="IJ361" t="e">
        <f>AND(#REF!,"AAAAAH+++/M=")</f>
        <v>#REF!</v>
      </c>
      <c r="IK361" t="e">
        <f>AND(#REF!,"AAAAAH+++/Q=")</f>
        <v>#REF!</v>
      </c>
      <c r="IL361" t="e">
        <f>AND(#REF!,"AAAAAH+++/U=")</f>
        <v>#REF!</v>
      </c>
      <c r="IM361" t="e">
        <f>AND(#REF!,"AAAAAH+++/Y=")</f>
        <v>#REF!</v>
      </c>
      <c r="IN361" t="e">
        <f>IF(#REF!,"AAAAAH+++/c=",0)</f>
        <v>#REF!</v>
      </c>
      <c r="IO361" t="e">
        <f>AND(#REF!,"AAAAAH+++/g=")</f>
        <v>#REF!</v>
      </c>
      <c r="IP361" t="e">
        <f>AND(#REF!,"AAAAAH+++/k=")</f>
        <v>#REF!</v>
      </c>
      <c r="IQ361" t="e">
        <f>AND(#REF!,"AAAAAH+++/o=")</f>
        <v>#REF!</v>
      </c>
      <c r="IR361" t="e">
        <f>AND(#REF!,"AAAAAH+++/s=")</f>
        <v>#REF!</v>
      </c>
      <c r="IS361" t="e">
        <f>AND(#REF!,"AAAAAH+++/w=")</f>
        <v>#REF!</v>
      </c>
      <c r="IT361" t="e">
        <f>AND(#REF!,"AAAAAH+++/0=")</f>
        <v>#REF!</v>
      </c>
      <c r="IU361" t="e">
        <f>AND(#REF!,"AAAAAH+++/4=")</f>
        <v>#REF!</v>
      </c>
      <c r="IV361" t="e">
        <f>AND(#REF!,"AAAAAH+++/8=")</f>
        <v>#REF!</v>
      </c>
    </row>
    <row r="362" spans="1:256" x14ac:dyDescent="0.25">
      <c r="A362" t="e">
        <f>AND(#REF!,"AAAAAD795wA=")</f>
        <v>#REF!</v>
      </c>
      <c r="B362" t="e">
        <f>AND(#REF!,"AAAAAD795wE=")</f>
        <v>#REF!</v>
      </c>
      <c r="C362" t="e">
        <f>IF(#REF!,"AAAAAD795wI=",0)</f>
        <v>#REF!</v>
      </c>
      <c r="D362" t="e">
        <f>AND(#REF!,"AAAAAD795wM=")</f>
        <v>#REF!</v>
      </c>
      <c r="E362" t="e">
        <f>AND(#REF!,"AAAAAD795wQ=")</f>
        <v>#REF!</v>
      </c>
      <c r="F362" t="e">
        <f>AND(#REF!,"AAAAAD795wU=")</f>
        <v>#REF!</v>
      </c>
      <c r="G362" t="e">
        <f>AND(#REF!,"AAAAAD795wY=")</f>
        <v>#REF!</v>
      </c>
      <c r="H362" t="e">
        <f>AND(#REF!,"AAAAAD795wc=")</f>
        <v>#REF!</v>
      </c>
      <c r="I362" t="e">
        <f>AND(#REF!,"AAAAAD795wg=")</f>
        <v>#REF!</v>
      </c>
      <c r="J362" t="e">
        <f>AND(#REF!,"AAAAAD795wk=")</f>
        <v>#REF!</v>
      </c>
      <c r="K362" t="e">
        <f>AND(#REF!,"AAAAAD795wo=")</f>
        <v>#REF!</v>
      </c>
      <c r="L362" t="e">
        <f>AND(#REF!,"AAAAAD795ws=")</f>
        <v>#REF!</v>
      </c>
      <c r="M362" t="e">
        <f>AND(#REF!,"AAAAAD795ww=")</f>
        <v>#REF!</v>
      </c>
      <c r="N362" t="e">
        <f>IF(#REF!,"AAAAAD795w0=",0)</f>
        <v>#REF!</v>
      </c>
      <c r="O362" t="e">
        <f>AND(#REF!,"AAAAAD795w4=")</f>
        <v>#REF!</v>
      </c>
      <c r="P362" t="e">
        <f>AND(#REF!,"AAAAAD795w8=")</f>
        <v>#REF!</v>
      </c>
      <c r="Q362" t="e">
        <f>AND(#REF!,"AAAAAD795xA=")</f>
        <v>#REF!</v>
      </c>
      <c r="R362" t="e">
        <f>AND(#REF!,"AAAAAD795xE=")</f>
        <v>#REF!</v>
      </c>
      <c r="S362" t="e">
        <f>AND(#REF!,"AAAAAD795xI=")</f>
        <v>#REF!</v>
      </c>
      <c r="T362" t="e">
        <f>AND(#REF!,"AAAAAD795xM=")</f>
        <v>#REF!</v>
      </c>
      <c r="U362" t="e">
        <f>AND(#REF!,"AAAAAD795xQ=")</f>
        <v>#REF!</v>
      </c>
      <c r="V362" t="e">
        <f>AND(#REF!,"AAAAAD795xU=")</f>
        <v>#REF!</v>
      </c>
      <c r="W362" t="e">
        <f>AND(#REF!,"AAAAAD795xY=")</f>
        <v>#REF!</v>
      </c>
      <c r="X362" t="e">
        <f>AND(#REF!,"AAAAAD795xc=")</f>
        <v>#REF!</v>
      </c>
      <c r="Y362" t="e">
        <f>IF(#REF!,"AAAAAD795xg=",0)</f>
        <v>#REF!</v>
      </c>
      <c r="Z362" t="e">
        <f>AND(#REF!,"AAAAAD795xk=")</f>
        <v>#REF!</v>
      </c>
      <c r="AA362" t="e">
        <f>AND(#REF!,"AAAAAD795xo=")</f>
        <v>#REF!</v>
      </c>
      <c r="AB362" t="e">
        <f>AND(#REF!,"AAAAAD795xs=")</f>
        <v>#REF!</v>
      </c>
      <c r="AC362" t="e">
        <f>AND(#REF!,"AAAAAD795xw=")</f>
        <v>#REF!</v>
      </c>
      <c r="AD362" t="e">
        <f>AND(#REF!,"AAAAAD795x0=")</f>
        <v>#REF!</v>
      </c>
      <c r="AE362" t="e">
        <f>AND(#REF!,"AAAAAD795x4=")</f>
        <v>#REF!</v>
      </c>
      <c r="AF362" t="e">
        <f>AND(#REF!,"AAAAAD795x8=")</f>
        <v>#REF!</v>
      </c>
      <c r="AG362" t="e">
        <f>AND(#REF!,"AAAAAD795yA=")</f>
        <v>#REF!</v>
      </c>
      <c r="AH362" t="e">
        <f>AND(#REF!,"AAAAAD795yE=")</f>
        <v>#REF!</v>
      </c>
      <c r="AI362" t="e">
        <f>AND(#REF!,"AAAAAD795yI=")</f>
        <v>#REF!</v>
      </c>
      <c r="AJ362" t="e">
        <f>IF(#REF!,"AAAAAD795yM=",0)</f>
        <v>#REF!</v>
      </c>
      <c r="AK362" t="e">
        <f>AND(#REF!,"AAAAAD795yQ=")</f>
        <v>#REF!</v>
      </c>
      <c r="AL362" t="e">
        <f>AND(#REF!,"AAAAAD795yU=")</f>
        <v>#REF!</v>
      </c>
      <c r="AM362" t="e">
        <f>AND(#REF!,"AAAAAD795yY=")</f>
        <v>#REF!</v>
      </c>
      <c r="AN362" t="e">
        <f>AND(#REF!,"AAAAAD795yc=")</f>
        <v>#REF!</v>
      </c>
      <c r="AO362" t="e">
        <f>AND(#REF!,"AAAAAD795yg=")</f>
        <v>#REF!</v>
      </c>
      <c r="AP362" t="e">
        <f>AND(#REF!,"AAAAAD795yk=")</f>
        <v>#REF!</v>
      </c>
      <c r="AQ362" t="e">
        <f>AND(#REF!,"AAAAAD795yo=")</f>
        <v>#REF!</v>
      </c>
      <c r="AR362" t="e">
        <f>AND(#REF!,"AAAAAD795ys=")</f>
        <v>#REF!</v>
      </c>
      <c r="AS362" t="e">
        <f>AND(#REF!,"AAAAAD795yw=")</f>
        <v>#REF!</v>
      </c>
      <c r="AT362" t="e">
        <f>AND(#REF!,"AAAAAD795y0=")</f>
        <v>#REF!</v>
      </c>
      <c r="AU362" t="e">
        <f>IF(#REF!,"AAAAAD795y4=",0)</f>
        <v>#REF!</v>
      </c>
      <c r="AV362" t="e">
        <f>AND(#REF!,"AAAAAD795y8=")</f>
        <v>#REF!</v>
      </c>
      <c r="AW362" t="e">
        <f>AND(#REF!,"AAAAAD795zA=")</f>
        <v>#REF!</v>
      </c>
      <c r="AX362" t="e">
        <f>AND(#REF!,"AAAAAD795zE=")</f>
        <v>#REF!</v>
      </c>
      <c r="AY362" t="e">
        <f>AND(#REF!,"AAAAAD795zI=")</f>
        <v>#REF!</v>
      </c>
      <c r="AZ362" t="e">
        <f>AND(#REF!,"AAAAAD795zM=")</f>
        <v>#REF!</v>
      </c>
      <c r="BA362" t="e">
        <f>AND(#REF!,"AAAAAD795zQ=")</f>
        <v>#REF!</v>
      </c>
      <c r="BB362" t="e">
        <f>AND(#REF!,"AAAAAD795zU=")</f>
        <v>#REF!</v>
      </c>
      <c r="BC362" t="e">
        <f>AND(#REF!,"AAAAAD795zY=")</f>
        <v>#REF!</v>
      </c>
      <c r="BD362" t="e">
        <f>AND(#REF!,"AAAAAD795zc=")</f>
        <v>#REF!</v>
      </c>
      <c r="BE362" t="e">
        <f>AND(#REF!,"AAAAAD795zg=")</f>
        <v>#REF!</v>
      </c>
      <c r="BF362" t="e">
        <f>IF(#REF!,"AAAAAD795zk=",0)</f>
        <v>#REF!</v>
      </c>
      <c r="BG362" t="e">
        <f>AND(#REF!,"AAAAAD795zo=")</f>
        <v>#REF!</v>
      </c>
      <c r="BH362" t="e">
        <f>AND(#REF!,"AAAAAD795zs=")</f>
        <v>#REF!</v>
      </c>
      <c r="BI362" t="e">
        <f>AND(#REF!,"AAAAAD795zw=")</f>
        <v>#REF!</v>
      </c>
      <c r="BJ362" t="e">
        <f>AND(#REF!,"AAAAAD795z0=")</f>
        <v>#REF!</v>
      </c>
      <c r="BK362" t="e">
        <f>AND(#REF!,"AAAAAD795z4=")</f>
        <v>#REF!</v>
      </c>
      <c r="BL362" t="e">
        <f>AND(#REF!,"AAAAAD795z8=")</f>
        <v>#REF!</v>
      </c>
      <c r="BM362" t="e">
        <f>AND(#REF!,"AAAAAD7950A=")</f>
        <v>#REF!</v>
      </c>
      <c r="BN362" t="e">
        <f>AND(#REF!,"AAAAAD7950E=")</f>
        <v>#REF!</v>
      </c>
      <c r="BO362" t="e">
        <f>AND(#REF!,"AAAAAD7950I=")</f>
        <v>#REF!</v>
      </c>
      <c r="BP362" t="e">
        <f>AND(#REF!,"AAAAAD7950M=")</f>
        <v>#REF!</v>
      </c>
      <c r="BQ362" t="e">
        <f>IF(#REF!,"AAAAAD7950Q=",0)</f>
        <v>#REF!</v>
      </c>
      <c r="BR362" t="e">
        <f>AND(#REF!,"AAAAAD7950U=")</f>
        <v>#REF!</v>
      </c>
      <c r="BS362" t="e">
        <f>AND(#REF!,"AAAAAD7950Y=")</f>
        <v>#REF!</v>
      </c>
      <c r="BT362" t="e">
        <f>AND(#REF!,"AAAAAD7950c=")</f>
        <v>#REF!</v>
      </c>
      <c r="BU362" t="e">
        <f>AND(#REF!,"AAAAAD7950g=")</f>
        <v>#REF!</v>
      </c>
      <c r="BV362" t="e">
        <f>AND(#REF!,"AAAAAD7950k=")</f>
        <v>#REF!</v>
      </c>
      <c r="BW362" t="e">
        <f>AND(#REF!,"AAAAAD7950o=")</f>
        <v>#REF!</v>
      </c>
      <c r="BX362" t="e">
        <f>AND(#REF!,"AAAAAD7950s=")</f>
        <v>#REF!</v>
      </c>
      <c r="BY362" t="e">
        <f>AND(#REF!,"AAAAAD7950w=")</f>
        <v>#REF!</v>
      </c>
      <c r="BZ362" t="e">
        <f>AND(#REF!,"AAAAAD79500=")</f>
        <v>#REF!</v>
      </c>
      <c r="CA362" t="e">
        <f>AND(#REF!,"AAAAAD79504=")</f>
        <v>#REF!</v>
      </c>
      <c r="CB362" t="e">
        <f>IF(#REF!,"AAAAAD79508=",0)</f>
        <v>#REF!</v>
      </c>
      <c r="CC362" t="e">
        <f>AND(#REF!,"AAAAAD7951A=")</f>
        <v>#REF!</v>
      </c>
      <c r="CD362" t="e">
        <f>AND(#REF!,"AAAAAD7951E=")</f>
        <v>#REF!</v>
      </c>
      <c r="CE362" t="e">
        <f>AND(#REF!,"AAAAAD7951I=")</f>
        <v>#REF!</v>
      </c>
      <c r="CF362" t="e">
        <f>AND(#REF!,"AAAAAD7951M=")</f>
        <v>#REF!</v>
      </c>
      <c r="CG362" t="e">
        <f>AND(#REF!,"AAAAAD7951Q=")</f>
        <v>#REF!</v>
      </c>
      <c r="CH362" t="e">
        <f>AND(#REF!,"AAAAAD7951U=")</f>
        <v>#REF!</v>
      </c>
      <c r="CI362" t="e">
        <f>AND(#REF!,"AAAAAD7951Y=")</f>
        <v>#REF!</v>
      </c>
      <c r="CJ362" t="e">
        <f>AND(#REF!,"AAAAAD7951c=")</f>
        <v>#REF!</v>
      </c>
      <c r="CK362" t="e">
        <f>AND(#REF!,"AAAAAD7951g=")</f>
        <v>#REF!</v>
      </c>
      <c r="CL362" t="e">
        <f>AND(#REF!,"AAAAAD7951k=")</f>
        <v>#REF!</v>
      </c>
      <c r="CM362" t="e">
        <f>IF(#REF!,"AAAAAD7951o=",0)</f>
        <v>#REF!</v>
      </c>
      <c r="CN362" t="e">
        <f>AND(#REF!,"AAAAAD7951s=")</f>
        <v>#REF!</v>
      </c>
      <c r="CO362" t="e">
        <f>AND(#REF!,"AAAAAD7951w=")</f>
        <v>#REF!</v>
      </c>
      <c r="CP362" t="e">
        <f>AND(#REF!,"AAAAAD79510=")</f>
        <v>#REF!</v>
      </c>
      <c r="CQ362" t="e">
        <f>AND(#REF!,"AAAAAD79514=")</f>
        <v>#REF!</v>
      </c>
      <c r="CR362" t="e">
        <f>AND(#REF!,"AAAAAD79518=")</f>
        <v>#REF!</v>
      </c>
      <c r="CS362" t="e">
        <f>AND(#REF!,"AAAAAD7952A=")</f>
        <v>#REF!</v>
      </c>
      <c r="CT362" t="e">
        <f>AND(#REF!,"AAAAAD7952E=")</f>
        <v>#REF!</v>
      </c>
      <c r="CU362" t="e">
        <f>AND(#REF!,"AAAAAD7952I=")</f>
        <v>#REF!</v>
      </c>
      <c r="CV362" t="e">
        <f>AND(#REF!,"AAAAAD7952M=")</f>
        <v>#REF!</v>
      </c>
      <c r="CW362" t="e">
        <f>AND(#REF!,"AAAAAD7952Q=")</f>
        <v>#REF!</v>
      </c>
      <c r="CX362" t="e">
        <f>IF(#REF!,"AAAAAD7952U=",0)</f>
        <v>#REF!</v>
      </c>
      <c r="CY362" t="e">
        <f>AND(#REF!,"AAAAAD7952Y=")</f>
        <v>#REF!</v>
      </c>
      <c r="CZ362" t="e">
        <f>AND(#REF!,"AAAAAD7952c=")</f>
        <v>#REF!</v>
      </c>
      <c r="DA362" t="e">
        <f>AND(#REF!,"AAAAAD7952g=")</f>
        <v>#REF!</v>
      </c>
      <c r="DB362" t="e">
        <f>AND(#REF!,"AAAAAD7952k=")</f>
        <v>#REF!</v>
      </c>
      <c r="DC362" t="e">
        <f>AND(#REF!,"AAAAAD7952o=")</f>
        <v>#REF!</v>
      </c>
      <c r="DD362" t="e">
        <f>AND(#REF!,"AAAAAD7952s=")</f>
        <v>#REF!</v>
      </c>
      <c r="DE362" t="e">
        <f>AND(#REF!,"AAAAAD7952w=")</f>
        <v>#REF!</v>
      </c>
      <c r="DF362" t="e">
        <f>AND(#REF!,"AAAAAD79520=")</f>
        <v>#REF!</v>
      </c>
      <c r="DG362" t="e">
        <f>AND(#REF!,"AAAAAD79524=")</f>
        <v>#REF!</v>
      </c>
      <c r="DH362" t="e">
        <f>AND(#REF!,"AAAAAD79528=")</f>
        <v>#REF!</v>
      </c>
      <c r="DI362" t="e">
        <f>IF(#REF!,"AAAAAD7953A=",0)</f>
        <v>#REF!</v>
      </c>
      <c r="DJ362" t="e">
        <f>AND(#REF!,"AAAAAD7953E=")</f>
        <v>#REF!</v>
      </c>
      <c r="DK362" t="e">
        <f>AND(#REF!,"AAAAAD7953I=")</f>
        <v>#REF!</v>
      </c>
      <c r="DL362" t="e">
        <f>AND(#REF!,"AAAAAD7953M=")</f>
        <v>#REF!</v>
      </c>
      <c r="DM362" t="e">
        <f>AND(#REF!,"AAAAAD7953Q=")</f>
        <v>#REF!</v>
      </c>
      <c r="DN362" t="e">
        <f>AND(#REF!,"AAAAAD7953U=")</f>
        <v>#REF!</v>
      </c>
      <c r="DO362" t="e">
        <f>AND(#REF!,"AAAAAD7953Y=")</f>
        <v>#REF!</v>
      </c>
      <c r="DP362" t="e">
        <f>AND(#REF!,"AAAAAD7953c=")</f>
        <v>#REF!</v>
      </c>
      <c r="DQ362" t="e">
        <f>AND(#REF!,"AAAAAD7953g=")</f>
        <v>#REF!</v>
      </c>
      <c r="DR362" t="e">
        <f>AND(#REF!,"AAAAAD7953k=")</f>
        <v>#REF!</v>
      </c>
      <c r="DS362" t="e">
        <f>AND(#REF!,"AAAAAD7953o=")</f>
        <v>#REF!</v>
      </c>
      <c r="DT362" t="e">
        <f>IF(#REF!,"AAAAAD7953s=",0)</f>
        <v>#REF!</v>
      </c>
      <c r="DU362" t="e">
        <f>AND(#REF!,"AAAAAD7953w=")</f>
        <v>#REF!</v>
      </c>
      <c r="DV362" t="e">
        <f>AND(#REF!,"AAAAAD79530=")</f>
        <v>#REF!</v>
      </c>
      <c r="DW362" t="e">
        <f>AND(#REF!,"AAAAAD79534=")</f>
        <v>#REF!</v>
      </c>
      <c r="DX362" t="e">
        <f>AND(#REF!,"AAAAAD79538=")</f>
        <v>#REF!</v>
      </c>
      <c r="DY362" t="e">
        <f>AND(#REF!,"AAAAAD7954A=")</f>
        <v>#REF!</v>
      </c>
      <c r="DZ362" t="e">
        <f>AND(#REF!,"AAAAAD7954E=")</f>
        <v>#REF!</v>
      </c>
      <c r="EA362" t="e">
        <f>AND(#REF!,"AAAAAD7954I=")</f>
        <v>#REF!</v>
      </c>
      <c r="EB362" t="e">
        <f>AND(#REF!,"AAAAAD7954M=")</f>
        <v>#REF!</v>
      </c>
      <c r="EC362" t="e">
        <f>AND(#REF!,"AAAAAD7954Q=")</f>
        <v>#REF!</v>
      </c>
      <c r="ED362" t="e">
        <f>AND(#REF!,"AAAAAD7954U=")</f>
        <v>#REF!</v>
      </c>
      <c r="EE362" t="e">
        <f>IF(#REF!,"AAAAAD7954Y=",0)</f>
        <v>#REF!</v>
      </c>
      <c r="EF362" t="e">
        <f>AND(#REF!,"AAAAAD7954c=")</f>
        <v>#REF!</v>
      </c>
      <c r="EG362" t="e">
        <f>AND(#REF!,"AAAAAD7954g=")</f>
        <v>#REF!</v>
      </c>
      <c r="EH362" t="e">
        <f>AND(#REF!,"AAAAAD7954k=")</f>
        <v>#REF!</v>
      </c>
      <c r="EI362" t="e">
        <f>AND(#REF!,"AAAAAD7954o=")</f>
        <v>#REF!</v>
      </c>
      <c r="EJ362" t="e">
        <f>AND(#REF!,"AAAAAD7954s=")</f>
        <v>#REF!</v>
      </c>
      <c r="EK362" t="e">
        <f>AND(#REF!,"AAAAAD7954w=")</f>
        <v>#REF!</v>
      </c>
      <c r="EL362" t="e">
        <f>AND(#REF!,"AAAAAD79540=")</f>
        <v>#REF!</v>
      </c>
      <c r="EM362" t="e">
        <f>AND(#REF!,"AAAAAD79544=")</f>
        <v>#REF!</v>
      </c>
      <c r="EN362" t="e">
        <f>AND(#REF!,"AAAAAD79548=")</f>
        <v>#REF!</v>
      </c>
      <c r="EO362" t="e">
        <f>AND(#REF!,"AAAAAD7955A=")</f>
        <v>#REF!</v>
      </c>
      <c r="EP362" t="e">
        <f>IF(#REF!,"AAAAAD7955E=",0)</f>
        <v>#REF!</v>
      </c>
      <c r="EQ362" t="e">
        <f>AND(#REF!,"AAAAAD7955I=")</f>
        <v>#REF!</v>
      </c>
      <c r="ER362" t="e">
        <f>AND(#REF!,"AAAAAD7955M=")</f>
        <v>#REF!</v>
      </c>
      <c r="ES362" t="e">
        <f>AND(#REF!,"AAAAAD7955Q=")</f>
        <v>#REF!</v>
      </c>
      <c r="ET362" t="e">
        <f>AND(#REF!,"AAAAAD7955U=")</f>
        <v>#REF!</v>
      </c>
      <c r="EU362" t="e">
        <f>AND(#REF!,"AAAAAD7955Y=")</f>
        <v>#REF!</v>
      </c>
      <c r="EV362" t="e">
        <f>AND(#REF!,"AAAAAD7955c=")</f>
        <v>#REF!</v>
      </c>
      <c r="EW362" t="e">
        <f>AND(#REF!,"AAAAAD7955g=")</f>
        <v>#REF!</v>
      </c>
      <c r="EX362" t="e">
        <f>AND(#REF!,"AAAAAD7955k=")</f>
        <v>#REF!</v>
      </c>
      <c r="EY362" t="e">
        <f>AND(#REF!,"AAAAAD7955o=")</f>
        <v>#REF!</v>
      </c>
      <c r="EZ362" t="e">
        <f>AND(#REF!,"AAAAAD7955s=")</f>
        <v>#REF!</v>
      </c>
      <c r="FA362" t="e">
        <f>IF(#REF!,"AAAAAD7955w=",0)</f>
        <v>#REF!</v>
      </c>
      <c r="FB362" t="e">
        <f>AND(#REF!,"AAAAAD79550=")</f>
        <v>#REF!</v>
      </c>
      <c r="FC362" t="e">
        <f>AND(#REF!,"AAAAAD79554=")</f>
        <v>#REF!</v>
      </c>
      <c r="FD362" t="e">
        <f>AND(#REF!,"AAAAAD79558=")</f>
        <v>#REF!</v>
      </c>
      <c r="FE362" t="e">
        <f>AND(#REF!,"AAAAAD7956A=")</f>
        <v>#REF!</v>
      </c>
      <c r="FF362" t="e">
        <f>AND(#REF!,"AAAAAD7956E=")</f>
        <v>#REF!</v>
      </c>
      <c r="FG362" t="e">
        <f>AND(#REF!,"AAAAAD7956I=")</f>
        <v>#REF!</v>
      </c>
      <c r="FH362" t="e">
        <f>AND(#REF!,"AAAAAD7956M=")</f>
        <v>#REF!</v>
      </c>
      <c r="FI362" t="e">
        <f>AND(#REF!,"AAAAAD7956Q=")</f>
        <v>#REF!</v>
      </c>
      <c r="FJ362" t="e">
        <f>AND(#REF!,"AAAAAD7956U=")</f>
        <v>#REF!</v>
      </c>
      <c r="FK362" t="e">
        <f>AND(#REF!,"AAAAAD7956Y=")</f>
        <v>#REF!</v>
      </c>
      <c r="FL362" t="e">
        <f>IF(#REF!,"AAAAAD7956c=",0)</f>
        <v>#REF!</v>
      </c>
      <c r="FM362" t="e">
        <f>AND(#REF!,"AAAAAD7956g=")</f>
        <v>#REF!</v>
      </c>
      <c r="FN362" t="e">
        <f>AND(#REF!,"AAAAAD7956k=")</f>
        <v>#REF!</v>
      </c>
      <c r="FO362" t="e">
        <f>AND(#REF!,"AAAAAD7956o=")</f>
        <v>#REF!</v>
      </c>
      <c r="FP362" t="e">
        <f>AND(#REF!,"AAAAAD7956s=")</f>
        <v>#REF!</v>
      </c>
      <c r="FQ362" t="e">
        <f>AND(#REF!,"AAAAAD7956w=")</f>
        <v>#REF!</v>
      </c>
      <c r="FR362" t="e">
        <f>AND(#REF!,"AAAAAD79560=")</f>
        <v>#REF!</v>
      </c>
      <c r="FS362" t="e">
        <f>AND(#REF!,"AAAAAD79564=")</f>
        <v>#REF!</v>
      </c>
      <c r="FT362" t="e">
        <f>AND(#REF!,"AAAAAD79568=")</f>
        <v>#REF!</v>
      </c>
      <c r="FU362" t="e">
        <f>AND(#REF!,"AAAAAD7957A=")</f>
        <v>#REF!</v>
      </c>
      <c r="FV362" t="e">
        <f>AND(#REF!,"AAAAAD7957E=")</f>
        <v>#REF!</v>
      </c>
      <c r="FW362" t="e">
        <f>IF(#REF!,"AAAAAD7957I=",0)</f>
        <v>#REF!</v>
      </c>
      <c r="FX362" t="e">
        <f>AND(#REF!,"AAAAAD7957M=")</f>
        <v>#REF!</v>
      </c>
      <c r="FY362" t="e">
        <f>AND(#REF!,"AAAAAD7957Q=")</f>
        <v>#REF!</v>
      </c>
      <c r="FZ362" t="e">
        <f>AND(#REF!,"AAAAAD7957U=")</f>
        <v>#REF!</v>
      </c>
      <c r="GA362" t="e">
        <f>AND(#REF!,"AAAAAD7957Y=")</f>
        <v>#REF!</v>
      </c>
      <c r="GB362" t="e">
        <f>AND(#REF!,"AAAAAD7957c=")</f>
        <v>#REF!</v>
      </c>
      <c r="GC362" t="e">
        <f>AND(#REF!,"AAAAAD7957g=")</f>
        <v>#REF!</v>
      </c>
      <c r="GD362" t="e">
        <f>AND(#REF!,"AAAAAD7957k=")</f>
        <v>#REF!</v>
      </c>
      <c r="GE362" t="e">
        <f>AND(#REF!,"AAAAAD7957o=")</f>
        <v>#REF!</v>
      </c>
      <c r="GF362" t="e">
        <f>AND(#REF!,"AAAAAD7957s=")</f>
        <v>#REF!</v>
      </c>
      <c r="GG362" t="e">
        <f>AND(#REF!,"AAAAAD7957w=")</f>
        <v>#REF!</v>
      </c>
      <c r="GH362" t="e">
        <f>IF(#REF!,"AAAAAD79570=",0)</f>
        <v>#REF!</v>
      </c>
      <c r="GI362" t="e">
        <f>AND(#REF!,"AAAAAD79574=")</f>
        <v>#REF!</v>
      </c>
      <c r="GJ362" t="e">
        <f>AND(#REF!,"AAAAAD79578=")</f>
        <v>#REF!</v>
      </c>
      <c r="GK362" t="e">
        <f>AND(#REF!,"AAAAAD7958A=")</f>
        <v>#REF!</v>
      </c>
      <c r="GL362" t="e">
        <f>AND(#REF!,"AAAAAD7958E=")</f>
        <v>#REF!</v>
      </c>
      <c r="GM362" t="e">
        <f>AND(#REF!,"AAAAAD7958I=")</f>
        <v>#REF!</v>
      </c>
      <c r="GN362" t="e">
        <f>AND(#REF!,"AAAAAD7958M=")</f>
        <v>#REF!</v>
      </c>
      <c r="GO362" t="e">
        <f>AND(#REF!,"AAAAAD7958Q=")</f>
        <v>#REF!</v>
      </c>
      <c r="GP362" t="e">
        <f>AND(#REF!,"AAAAAD7958U=")</f>
        <v>#REF!</v>
      </c>
      <c r="GQ362" t="e">
        <f>AND(#REF!,"AAAAAD7958Y=")</f>
        <v>#REF!</v>
      </c>
      <c r="GR362" t="e">
        <f>AND(#REF!,"AAAAAD7958c=")</f>
        <v>#REF!</v>
      </c>
      <c r="GS362" t="e">
        <f>IF(#REF!,"AAAAAD7958g=",0)</f>
        <v>#REF!</v>
      </c>
      <c r="GT362" t="e">
        <f>AND(#REF!,"AAAAAD7958k=")</f>
        <v>#REF!</v>
      </c>
      <c r="GU362" t="e">
        <f>AND(#REF!,"AAAAAD7958o=")</f>
        <v>#REF!</v>
      </c>
      <c r="GV362" t="e">
        <f>AND(#REF!,"AAAAAD7958s=")</f>
        <v>#REF!</v>
      </c>
      <c r="GW362" t="e">
        <f>AND(#REF!,"AAAAAD7958w=")</f>
        <v>#REF!</v>
      </c>
      <c r="GX362" t="e">
        <f>AND(#REF!,"AAAAAD79580=")</f>
        <v>#REF!</v>
      </c>
      <c r="GY362" t="e">
        <f>AND(#REF!,"AAAAAD79584=")</f>
        <v>#REF!</v>
      </c>
      <c r="GZ362" t="e">
        <f>AND(#REF!,"AAAAAD79588=")</f>
        <v>#REF!</v>
      </c>
      <c r="HA362" t="e">
        <f>AND(#REF!,"AAAAAD7959A=")</f>
        <v>#REF!</v>
      </c>
      <c r="HB362" t="e">
        <f>AND(#REF!,"AAAAAD7959E=")</f>
        <v>#REF!</v>
      </c>
      <c r="HC362" t="e">
        <f>AND(#REF!,"AAAAAD7959I=")</f>
        <v>#REF!</v>
      </c>
      <c r="HD362" t="e">
        <f>IF(#REF!,"AAAAAD7959M=",0)</f>
        <v>#REF!</v>
      </c>
      <c r="HE362" t="e">
        <f>AND(#REF!,"AAAAAD7959Q=")</f>
        <v>#REF!</v>
      </c>
      <c r="HF362" t="e">
        <f>AND(#REF!,"AAAAAD7959U=")</f>
        <v>#REF!</v>
      </c>
      <c r="HG362" t="e">
        <f>AND(#REF!,"AAAAAD7959Y=")</f>
        <v>#REF!</v>
      </c>
      <c r="HH362" t="e">
        <f>AND(#REF!,"AAAAAD7959c=")</f>
        <v>#REF!</v>
      </c>
      <c r="HI362" t="e">
        <f>AND(#REF!,"AAAAAD7959g=")</f>
        <v>#REF!</v>
      </c>
      <c r="HJ362" t="e">
        <f>AND(#REF!,"AAAAAD7959k=")</f>
        <v>#REF!</v>
      </c>
      <c r="HK362" t="e">
        <f>AND(#REF!,"AAAAAD7959o=")</f>
        <v>#REF!</v>
      </c>
      <c r="HL362" t="e">
        <f>AND(#REF!,"AAAAAD7959s=")</f>
        <v>#REF!</v>
      </c>
      <c r="HM362" t="e">
        <f>AND(#REF!,"AAAAAD7959w=")</f>
        <v>#REF!</v>
      </c>
      <c r="HN362" t="e">
        <f>AND(#REF!,"AAAAAD79590=")</f>
        <v>#REF!</v>
      </c>
      <c r="HO362" t="e">
        <f>IF(#REF!,"AAAAAD79594=",0)</f>
        <v>#REF!</v>
      </c>
      <c r="HP362" t="e">
        <f>AND(#REF!,"AAAAAD79598=")</f>
        <v>#REF!</v>
      </c>
      <c r="HQ362" t="e">
        <f>AND(#REF!,"AAAAAD795+A=")</f>
        <v>#REF!</v>
      </c>
      <c r="HR362" t="e">
        <f>AND(#REF!,"AAAAAD795+E=")</f>
        <v>#REF!</v>
      </c>
      <c r="HS362" t="e">
        <f>AND(#REF!,"AAAAAD795+I=")</f>
        <v>#REF!</v>
      </c>
      <c r="HT362" t="e">
        <f>AND(#REF!,"AAAAAD795+M=")</f>
        <v>#REF!</v>
      </c>
      <c r="HU362" t="e">
        <f>AND(#REF!,"AAAAAD795+Q=")</f>
        <v>#REF!</v>
      </c>
      <c r="HV362" t="e">
        <f>AND(#REF!,"AAAAAD795+U=")</f>
        <v>#REF!</v>
      </c>
      <c r="HW362" t="e">
        <f>AND(#REF!,"AAAAAD795+Y=")</f>
        <v>#REF!</v>
      </c>
      <c r="HX362" t="e">
        <f>AND(#REF!,"AAAAAD795+c=")</f>
        <v>#REF!</v>
      </c>
      <c r="HY362" t="e">
        <f>AND(#REF!,"AAAAAD795+g=")</f>
        <v>#REF!</v>
      </c>
      <c r="HZ362" t="e">
        <f>IF(#REF!,"AAAAAD795+k=",0)</f>
        <v>#REF!</v>
      </c>
      <c r="IA362" t="e">
        <f>AND(#REF!,"AAAAAD795+o=")</f>
        <v>#REF!</v>
      </c>
      <c r="IB362" t="e">
        <f>AND(#REF!,"AAAAAD795+s=")</f>
        <v>#REF!</v>
      </c>
      <c r="IC362" t="e">
        <f>AND(#REF!,"AAAAAD795+w=")</f>
        <v>#REF!</v>
      </c>
      <c r="ID362" t="e">
        <f>AND(#REF!,"AAAAAD795+0=")</f>
        <v>#REF!</v>
      </c>
      <c r="IE362" t="e">
        <f>AND(#REF!,"AAAAAD795+4=")</f>
        <v>#REF!</v>
      </c>
      <c r="IF362" t="e">
        <f>AND(#REF!,"AAAAAD795+8=")</f>
        <v>#REF!</v>
      </c>
      <c r="IG362" t="e">
        <f>AND(#REF!,"AAAAAD795/A=")</f>
        <v>#REF!</v>
      </c>
      <c r="IH362" t="e">
        <f>AND(#REF!,"AAAAAD795/E=")</f>
        <v>#REF!</v>
      </c>
      <c r="II362" t="e">
        <f>AND(#REF!,"AAAAAD795/I=")</f>
        <v>#REF!</v>
      </c>
      <c r="IJ362" t="e">
        <f>AND(#REF!,"AAAAAD795/M=")</f>
        <v>#REF!</v>
      </c>
      <c r="IK362" t="e">
        <f>IF(#REF!,"AAAAAD795/Q=",0)</f>
        <v>#REF!</v>
      </c>
      <c r="IL362" t="e">
        <f>AND(#REF!,"AAAAAD795/U=")</f>
        <v>#REF!</v>
      </c>
      <c r="IM362" t="e">
        <f>AND(#REF!,"AAAAAD795/Y=")</f>
        <v>#REF!</v>
      </c>
      <c r="IN362" t="e">
        <f>AND(#REF!,"AAAAAD795/c=")</f>
        <v>#REF!</v>
      </c>
      <c r="IO362" t="e">
        <f>AND(#REF!,"AAAAAD795/g=")</f>
        <v>#REF!</v>
      </c>
      <c r="IP362" t="e">
        <f>AND(#REF!,"AAAAAD795/k=")</f>
        <v>#REF!</v>
      </c>
      <c r="IQ362" t="e">
        <f>AND(#REF!,"AAAAAD795/o=")</f>
        <v>#REF!</v>
      </c>
      <c r="IR362" t="e">
        <f>AND(#REF!,"AAAAAD795/s=")</f>
        <v>#REF!</v>
      </c>
      <c r="IS362" t="e">
        <f>AND(#REF!,"AAAAAD795/w=")</f>
        <v>#REF!</v>
      </c>
      <c r="IT362" t="e">
        <f>AND(#REF!,"AAAAAD795/0=")</f>
        <v>#REF!</v>
      </c>
      <c r="IU362" t="e">
        <f>AND(#REF!,"AAAAAD795/4=")</f>
        <v>#REF!</v>
      </c>
      <c r="IV362" t="e">
        <f>IF(#REF!,"AAAAAD795/8=",0)</f>
        <v>#REF!</v>
      </c>
    </row>
    <row r="363" spans="1:256" x14ac:dyDescent="0.25">
      <c r="A363" t="e">
        <f>AND(#REF!,"AAAAAHzvvwA=")</f>
        <v>#REF!</v>
      </c>
      <c r="B363" t="e">
        <f>AND(#REF!,"AAAAAHzvvwE=")</f>
        <v>#REF!</v>
      </c>
      <c r="C363" t="e">
        <f>AND(#REF!,"AAAAAHzvvwI=")</f>
        <v>#REF!</v>
      </c>
      <c r="D363" t="e">
        <f>AND(#REF!,"AAAAAHzvvwM=")</f>
        <v>#REF!</v>
      </c>
      <c r="E363" t="e">
        <f>AND(#REF!,"AAAAAHzvvwQ=")</f>
        <v>#REF!</v>
      </c>
      <c r="F363" t="e">
        <f>AND(#REF!,"AAAAAHzvvwU=")</f>
        <v>#REF!</v>
      </c>
      <c r="G363" t="e">
        <f>AND(#REF!,"AAAAAHzvvwY=")</f>
        <v>#REF!</v>
      </c>
      <c r="H363" t="e">
        <f>AND(#REF!,"AAAAAHzvvwc=")</f>
        <v>#REF!</v>
      </c>
      <c r="I363" t="e">
        <f>AND(#REF!,"AAAAAHzvvwg=")</f>
        <v>#REF!</v>
      </c>
      <c r="J363" t="e">
        <f>AND(#REF!,"AAAAAHzvvwk=")</f>
        <v>#REF!</v>
      </c>
      <c r="K363" t="e">
        <f>IF(#REF!,"AAAAAHzvvwo=",0)</f>
        <v>#REF!</v>
      </c>
      <c r="L363" t="e">
        <f>AND(#REF!,"AAAAAHzvvws=")</f>
        <v>#REF!</v>
      </c>
      <c r="M363" t="e">
        <f>AND(#REF!,"AAAAAHzvvww=")</f>
        <v>#REF!</v>
      </c>
      <c r="N363" t="e">
        <f>AND(#REF!,"AAAAAHzvvw0=")</f>
        <v>#REF!</v>
      </c>
      <c r="O363" t="e">
        <f>AND(#REF!,"AAAAAHzvvw4=")</f>
        <v>#REF!</v>
      </c>
      <c r="P363" t="e">
        <f>AND(#REF!,"AAAAAHzvvw8=")</f>
        <v>#REF!</v>
      </c>
      <c r="Q363" t="e">
        <f>AND(#REF!,"AAAAAHzvvxA=")</f>
        <v>#REF!</v>
      </c>
      <c r="R363" t="e">
        <f>AND(#REF!,"AAAAAHzvvxE=")</f>
        <v>#REF!</v>
      </c>
      <c r="S363" t="e">
        <f>AND(#REF!,"AAAAAHzvvxI=")</f>
        <v>#REF!</v>
      </c>
      <c r="T363" t="e">
        <f>AND(#REF!,"AAAAAHzvvxM=")</f>
        <v>#REF!</v>
      </c>
      <c r="U363" t="e">
        <f>AND(#REF!,"AAAAAHzvvxQ=")</f>
        <v>#REF!</v>
      </c>
      <c r="V363" t="e">
        <f>IF(#REF!,"AAAAAHzvvxU=",0)</f>
        <v>#REF!</v>
      </c>
      <c r="W363" t="e">
        <f>AND(#REF!,"AAAAAHzvvxY=")</f>
        <v>#REF!</v>
      </c>
      <c r="X363" t="e">
        <f>AND(#REF!,"AAAAAHzvvxc=")</f>
        <v>#REF!</v>
      </c>
      <c r="Y363" t="e">
        <f>AND(#REF!,"AAAAAHzvvxg=")</f>
        <v>#REF!</v>
      </c>
      <c r="Z363" t="e">
        <f>AND(#REF!,"AAAAAHzvvxk=")</f>
        <v>#REF!</v>
      </c>
      <c r="AA363" t="e">
        <f>AND(#REF!,"AAAAAHzvvxo=")</f>
        <v>#REF!</v>
      </c>
      <c r="AB363" t="e">
        <f>AND(#REF!,"AAAAAHzvvxs=")</f>
        <v>#REF!</v>
      </c>
      <c r="AC363" t="e">
        <f>AND(#REF!,"AAAAAHzvvxw=")</f>
        <v>#REF!</v>
      </c>
      <c r="AD363" t="e">
        <f>AND(#REF!,"AAAAAHzvvx0=")</f>
        <v>#REF!</v>
      </c>
      <c r="AE363" t="e">
        <f>AND(#REF!,"AAAAAHzvvx4=")</f>
        <v>#REF!</v>
      </c>
      <c r="AF363" t="e">
        <f>AND(#REF!,"AAAAAHzvvx8=")</f>
        <v>#REF!</v>
      </c>
      <c r="AG363" t="e">
        <f>IF(#REF!,"AAAAAHzvvyA=",0)</f>
        <v>#REF!</v>
      </c>
      <c r="AH363" t="e">
        <f>AND(#REF!,"AAAAAHzvvyE=")</f>
        <v>#REF!</v>
      </c>
      <c r="AI363" t="e">
        <f>AND(#REF!,"AAAAAHzvvyI=")</f>
        <v>#REF!</v>
      </c>
      <c r="AJ363" t="e">
        <f>AND(#REF!,"AAAAAHzvvyM=")</f>
        <v>#REF!</v>
      </c>
      <c r="AK363" t="e">
        <f>AND(#REF!,"AAAAAHzvvyQ=")</f>
        <v>#REF!</v>
      </c>
      <c r="AL363" t="e">
        <f>AND(#REF!,"AAAAAHzvvyU=")</f>
        <v>#REF!</v>
      </c>
      <c r="AM363" t="e">
        <f>AND(#REF!,"AAAAAHzvvyY=")</f>
        <v>#REF!</v>
      </c>
      <c r="AN363" t="e">
        <f>AND(#REF!,"AAAAAHzvvyc=")</f>
        <v>#REF!</v>
      </c>
      <c r="AO363" t="e">
        <f>AND(#REF!,"AAAAAHzvvyg=")</f>
        <v>#REF!</v>
      </c>
      <c r="AP363" t="e">
        <f>AND(#REF!,"AAAAAHzvvyk=")</f>
        <v>#REF!</v>
      </c>
      <c r="AQ363" t="e">
        <f>AND(#REF!,"AAAAAHzvvyo=")</f>
        <v>#REF!</v>
      </c>
      <c r="AR363" t="e">
        <f>IF(#REF!,"AAAAAHzvvys=",0)</f>
        <v>#REF!</v>
      </c>
      <c r="AS363" t="e">
        <f>AND(#REF!,"AAAAAHzvvyw=")</f>
        <v>#REF!</v>
      </c>
      <c r="AT363" t="e">
        <f>AND(#REF!,"AAAAAHzvvy0=")</f>
        <v>#REF!</v>
      </c>
      <c r="AU363" t="e">
        <f>AND(#REF!,"AAAAAHzvvy4=")</f>
        <v>#REF!</v>
      </c>
      <c r="AV363" t="e">
        <f>AND(#REF!,"AAAAAHzvvy8=")</f>
        <v>#REF!</v>
      </c>
      <c r="AW363" t="e">
        <f>AND(#REF!,"AAAAAHzvvzA=")</f>
        <v>#REF!</v>
      </c>
      <c r="AX363" t="e">
        <f>AND(#REF!,"AAAAAHzvvzE=")</f>
        <v>#REF!</v>
      </c>
      <c r="AY363" t="e">
        <f>AND(#REF!,"AAAAAHzvvzI=")</f>
        <v>#REF!</v>
      </c>
      <c r="AZ363" t="e">
        <f>AND(#REF!,"AAAAAHzvvzM=")</f>
        <v>#REF!</v>
      </c>
      <c r="BA363" t="e">
        <f>AND(#REF!,"AAAAAHzvvzQ=")</f>
        <v>#REF!</v>
      </c>
      <c r="BB363" t="e">
        <f>AND(#REF!,"AAAAAHzvvzU=")</f>
        <v>#REF!</v>
      </c>
      <c r="BC363" t="e">
        <f>IF(#REF!,"AAAAAHzvvzY=",0)</f>
        <v>#REF!</v>
      </c>
      <c r="BD363" t="e">
        <f>AND(#REF!,"AAAAAHzvvzc=")</f>
        <v>#REF!</v>
      </c>
      <c r="BE363" t="e">
        <f>AND(#REF!,"AAAAAHzvvzg=")</f>
        <v>#REF!</v>
      </c>
      <c r="BF363" t="e">
        <f>AND(#REF!,"AAAAAHzvvzk=")</f>
        <v>#REF!</v>
      </c>
      <c r="BG363" t="e">
        <f>AND(#REF!,"AAAAAHzvvzo=")</f>
        <v>#REF!</v>
      </c>
      <c r="BH363" t="e">
        <f>AND(#REF!,"AAAAAHzvvzs=")</f>
        <v>#REF!</v>
      </c>
      <c r="BI363" t="e">
        <f>AND(#REF!,"AAAAAHzvvzw=")</f>
        <v>#REF!</v>
      </c>
      <c r="BJ363" t="e">
        <f>AND(#REF!,"AAAAAHzvvz0=")</f>
        <v>#REF!</v>
      </c>
      <c r="BK363" t="e">
        <f>AND(#REF!,"AAAAAHzvvz4=")</f>
        <v>#REF!</v>
      </c>
      <c r="BL363" t="e">
        <f>AND(#REF!,"AAAAAHzvvz8=")</f>
        <v>#REF!</v>
      </c>
      <c r="BM363" t="e">
        <f>AND(#REF!,"AAAAAHzvv0A=")</f>
        <v>#REF!</v>
      </c>
      <c r="BN363" t="e">
        <f>IF(#REF!,"AAAAAHzvv0E=",0)</f>
        <v>#REF!</v>
      </c>
      <c r="BO363" t="e">
        <f>AND(#REF!,"AAAAAHzvv0I=")</f>
        <v>#REF!</v>
      </c>
      <c r="BP363" t="e">
        <f>AND(#REF!,"AAAAAHzvv0M=")</f>
        <v>#REF!</v>
      </c>
      <c r="BQ363" t="e">
        <f>AND(#REF!,"AAAAAHzvv0Q=")</f>
        <v>#REF!</v>
      </c>
      <c r="BR363" t="e">
        <f>AND(#REF!,"AAAAAHzvv0U=")</f>
        <v>#REF!</v>
      </c>
      <c r="BS363" t="e">
        <f>AND(#REF!,"AAAAAHzvv0Y=")</f>
        <v>#REF!</v>
      </c>
      <c r="BT363" t="e">
        <f>AND(#REF!,"AAAAAHzvv0c=")</f>
        <v>#REF!</v>
      </c>
      <c r="BU363" t="e">
        <f>AND(#REF!,"AAAAAHzvv0g=")</f>
        <v>#REF!</v>
      </c>
      <c r="BV363" t="e">
        <f>AND(#REF!,"AAAAAHzvv0k=")</f>
        <v>#REF!</v>
      </c>
      <c r="BW363" t="e">
        <f>AND(#REF!,"AAAAAHzvv0o=")</f>
        <v>#REF!</v>
      </c>
      <c r="BX363" t="e">
        <f>AND(#REF!,"AAAAAHzvv0s=")</f>
        <v>#REF!</v>
      </c>
      <c r="BY363" t="e">
        <f>IF(#REF!,"AAAAAHzvv0w=",0)</f>
        <v>#REF!</v>
      </c>
      <c r="BZ363" t="e">
        <f>AND(#REF!,"AAAAAHzvv00=")</f>
        <v>#REF!</v>
      </c>
      <c r="CA363" t="e">
        <f>AND(#REF!,"AAAAAHzvv04=")</f>
        <v>#REF!</v>
      </c>
      <c r="CB363" t="e">
        <f>AND(#REF!,"AAAAAHzvv08=")</f>
        <v>#REF!</v>
      </c>
      <c r="CC363" t="e">
        <f>AND(#REF!,"AAAAAHzvv1A=")</f>
        <v>#REF!</v>
      </c>
      <c r="CD363" t="e">
        <f>AND(#REF!,"AAAAAHzvv1E=")</f>
        <v>#REF!</v>
      </c>
      <c r="CE363" t="e">
        <f>AND(#REF!,"AAAAAHzvv1I=")</f>
        <v>#REF!</v>
      </c>
      <c r="CF363" t="e">
        <f>AND(#REF!,"AAAAAHzvv1M=")</f>
        <v>#REF!</v>
      </c>
      <c r="CG363" t="e">
        <f>AND(#REF!,"AAAAAHzvv1Q=")</f>
        <v>#REF!</v>
      </c>
      <c r="CH363" t="e">
        <f>AND(#REF!,"AAAAAHzvv1U=")</f>
        <v>#REF!</v>
      </c>
      <c r="CI363" t="e">
        <f>AND(#REF!,"AAAAAHzvv1Y=")</f>
        <v>#REF!</v>
      </c>
      <c r="CJ363" t="e">
        <f>IF(#REF!,"AAAAAHzvv1c=",0)</f>
        <v>#REF!</v>
      </c>
      <c r="CK363" t="e">
        <f>AND(#REF!,"AAAAAHzvv1g=")</f>
        <v>#REF!</v>
      </c>
      <c r="CL363" t="e">
        <f>AND(#REF!,"AAAAAHzvv1k=")</f>
        <v>#REF!</v>
      </c>
      <c r="CM363" t="e">
        <f>AND(#REF!,"AAAAAHzvv1o=")</f>
        <v>#REF!</v>
      </c>
      <c r="CN363" t="e">
        <f>AND(#REF!,"AAAAAHzvv1s=")</f>
        <v>#REF!</v>
      </c>
      <c r="CO363" t="e">
        <f>AND(#REF!,"AAAAAHzvv1w=")</f>
        <v>#REF!</v>
      </c>
      <c r="CP363" t="e">
        <f>AND(#REF!,"AAAAAHzvv10=")</f>
        <v>#REF!</v>
      </c>
      <c r="CQ363" t="e">
        <f>AND(#REF!,"AAAAAHzvv14=")</f>
        <v>#REF!</v>
      </c>
      <c r="CR363" t="e">
        <f>AND(#REF!,"AAAAAHzvv18=")</f>
        <v>#REF!</v>
      </c>
      <c r="CS363" t="e">
        <f>AND(#REF!,"AAAAAHzvv2A=")</f>
        <v>#REF!</v>
      </c>
      <c r="CT363" t="e">
        <f>AND(#REF!,"AAAAAHzvv2E=")</f>
        <v>#REF!</v>
      </c>
      <c r="CU363" t="e">
        <f>IF(#REF!,"AAAAAHzvv2I=",0)</f>
        <v>#REF!</v>
      </c>
      <c r="CV363" t="e">
        <f>AND(#REF!,"AAAAAHzvv2M=")</f>
        <v>#REF!</v>
      </c>
      <c r="CW363" t="e">
        <f>AND(#REF!,"AAAAAHzvv2Q=")</f>
        <v>#REF!</v>
      </c>
      <c r="CX363" t="e">
        <f>AND(#REF!,"AAAAAHzvv2U=")</f>
        <v>#REF!</v>
      </c>
      <c r="CY363" t="e">
        <f>AND(#REF!,"AAAAAHzvv2Y=")</f>
        <v>#REF!</v>
      </c>
      <c r="CZ363" t="e">
        <f>AND(#REF!,"AAAAAHzvv2c=")</f>
        <v>#REF!</v>
      </c>
      <c r="DA363" t="e">
        <f>AND(#REF!,"AAAAAHzvv2g=")</f>
        <v>#REF!</v>
      </c>
      <c r="DB363" t="e">
        <f>AND(#REF!,"AAAAAHzvv2k=")</f>
        <v>#REF!</v>
      </c>
      <c r="DC363" t="e">
        <f>AND(#REF!,"AAAAAHzvv2o=")</f>
        <v>#REF!</v>
      </c>
      <c r="DD363" t="e">
        <f>AND(#REF!,"AAAAAHzvv2s=")</f>
        <v>#REF!</v>
      </c>
      <c r="DE363" t="e">
        <f>AND(#REF!,"AAAAAHzvv2w=")</f>
        <v>#REF!</v>
      </c>
      <c r="DF363" t="e">
        <f>IF(#REF!,"AAAAAHzvv20=",0)</f>
        <v>#REF!</v>
      </c>
      <c r="DG363" t="e">
        <f>AND(#REF!,"AAAAAHzvv24=")</f>
        <v>#REF!</v>
      </c>
      <c r="DH363" t="e">
        <f>AND(#REF!,"AAAAAHzvv28=")</f>
        <v>#REF!</v>
      </c>
      <c r="DI363" t="e">
        <f>AND(#REF!,"AAAAAHzvv3A=")</f>
        <v>#REF!</v>
      </c>
      <c r="DJ363" t="e">
        <f>AND(#REF!,"AAAAAHzvv3E=")</f>
        <v>#REF!</v>
      </c>
      <c r="DK363" t="e">
        <f>AND(#REF!,"AAAAAHzvv3I=")</f>
        <v>#REF!</v>
      </c>
      <c r="DL363" t="e">
        <f>AND(#REF!,"AAAAAHzvv3M=")</f>
        <v>#REF!</v>
      </c>
      <c r="DM363" t="e">
        <f>AND(#REF!,"AAAAAHzvv3Q=")</f>
        <v>#REF!</v>
      </c>
      <c r="DN363" t="e">
        <f>AND(#REF!,"AAAAAHzvv3U=")</f>
        <v>#REF!</v>
      </c>
      <c r="DO363" t="e">
        <f>AND(#REF!,"AAAAAHzvv3Y=")</f>
        <v>#REF!</v>
      </c>
      <c r="DP363" t="e">
        <f>AND(#REF!,"AAAAAHzvv3c=")</f>
        <v>#REF!</v>
      </c>
      <c r="DQ363" t="e">
        <f>IF(#REF!,"AAAAAHzvv3g=",0)</f>
        <v>#REF!</v>
      </c>
      <c r="DR363" t="e">
        <f>AND(#REF!,"AAAAAHzvv3k=")</f>
        <v>#REF!</v>
      </c>
      <c r="DS363" t="e">
        <f>AND(#REF!,"AAAAAHzvv3o=")</f>
        <v>#REF!</v>
      </c>
      <c r="DT363" t="e">
        <f>AND(#REF!,"AAAAAHzvv3s=")</f>
        <v>#REF!</v>
      </c>
      <c r="DU363" t="e">
        <f>AND(#REF!,"AAAAAHzvv3w=")</f>
        <v>#REF!</v>
      </c>
      <c r="DV363" t="e">
        <f>AND(#REF!,"AAAAAHzvv30=")</f>
        <v>#REF!</v>
      </c>
      <c r="DW363" t="e">
        <f>AND(#REF!,"AAAAAHzvv34=")</f>
        <v>#REF!</v>
      </c>
      <c r="DX363" t="e">
        <f>AND(#REF!,"AAAAAHzvv38=")</f>
        <v>#REF!</v>
      </c>
      <c r="DY363" t="e">
        <f>AND(#REF!,"AAAAAHzvv4A=")</f>
        <v>#REF!</v>
      </c>
      <c r="DZ363" t="e">
        <f>AND(#REF!,"AAAAAHzvv4E=")</f>
        <v>#REF!</v>
      </c>
      <c r="EA363" t="e">
        <f>AND(#REF!,"AAAAAHzvv4I=")</f>
        <v>#REF!</v>
      </c>
      <c r="EB363" t="e">
        <f>IF(#REF!,"AAAAAHzvv4M=",0)</f>
        <v>#REF!</v>
      </c>
      <c r="EC363" t="e">
        <f>AND(#REF!,"AAAAAHzvv4Q=")</f>
        <v>#REF!</v>
      </c>
      <c r="ED363" t="e">
        <f>AND(#REF!,"AAAAAHzvv4U=")</f>
        <v>#REF!</v>
      </c>
      <c r="EE363" t="e">
        <f>AND(#REF!,"AAAAAHzvv4Y=")</f>
        <v>#REF!</v>
      </c>
      <c r="EF363" t="e">
        <f>AND(#REF!,"AAAAAHzvv4c=")</f>
        <v>#REF!</v>
      </c>
      <c r="EG363" t="e">
        <f>AND(#REF!,"AAAAAHzvv4g=")</f>
        <v>#REF!</v>
      </c>
      <c r="EH363" t="e">
        <f>AND(#REF!,"AAAAAHzvv4k=")</f>
        <v>#REF!</v>
      </c>
      <c r="EI363" t="e">
        <f>AND(#REF!,"AAAAAHzvv4o=")</f>
        <v>#REF!</v>
      </c>
      <c r="EJ363" t="e">
        <f>AND(#REF!,"AAAAAHzvv4s=")</f>
        <v>#REF!</v>
      </c>
      <c r="EK363" t="e">
        <f>AND(#REF!,"AAAAAHzvv4w=")</f>
        <v>#REF!</v>
      </c>
      <c r="EL363" t="e">
        <f>AND(#REF!,"AAAAAHzvv40=")</f>
        <v>#REF!</v>
      </c>
      <c r="EM363" t="e">
        <f>IF(#REF!,"AAAAAHzvv44=",0)</f>
        <v>#REF!</v>
      </c>
      <c r="EN363" t="e">
        <f>AND(#REF!,"AAAAAHzvv48=")</f>
        <v>#REF!</v>
      </c>
      <c r="EO363" t="e">
        <f>AND(#REF!,"AAAAAHzvv5A=")</f>
        <v>#REF!</v>
      </c>
      <c r="EP363" t="e">
        <f>AND(#REF!,"AAAAAHzvv5E=")</f>
        <v>#REF!</v>
      </c>
      <c r="EQ363" t="e">
        <f>AND(#REF!,"AAAAAHzvv5I=")</f>
        <v>#REF!</v>
      </c>
      <c r="ER363" t="e">
        <f>AND(#REF!,"AAAAAHzvv5M=")</f>
        <v>#REF!</v>
      </c>
      <c r="ES363" t="e">
        <f>AND(#REF!,"AAAAAHzvv5Q=")</f>
        <v>#REF!</v>
      </c>
      <c r="ET363" t="e">
        <f>AND(#REF!,"AAAAAHzvv5U=")</f>
        <v>#REF!</v>
      </c>
      <c r="EU363" t="e">
        <f>AND(#REF!,"AAAAAHzvv5Y=")</f>
        <v>#REF!</v>
      </c>
      <c r="EV363" t="e">
        <f>AND(#REF!,"AAAAAHzvv5c=")</f>
        <v>#REF!</v>
      </c>
      <c r="EW363" t="e">
        <f>AND(#REF!,"AAAAAHzvv5g=")</f>
        <v>#REF!</v>
      </c>
      <c r="EX363" t="e">
        <f>IF(#REF!,"AAAAAHzvv5k=",0)</f>
        <v>#REF!</v>
      </c>
      <c r="EY363" t="e">
        <f>AND(#REF!,"AAAAAHzvv5o=")</f>
        <v>#REF!</v>
      </c>
      <c r="EZ363" t="e">
        <f>AND(#REF!,"AAAAAHzvv5s=")</f>
        <v>#REF!</v>
      </c>
      <c r="FA363" t="e">
        <f>AND(#REF!,"AAAAAHzvv5w=")</f>
        <v>#REF!</v>
      </c>
      <c r="FB363" t="e">
        <f>AND(#REF!,"AAAAAHzvv50=")</f>
        <v>#REF!</v>
      </c>
      <c r="FC363" t="e">
        <f>AND(#REF!,"AAAAAHzvv54=")</f>
        <v>#REF!</v>
      </c>
      <c r="FD363" t="e">
        <f>AND(#REF!,"AAAAAHzvv58=")</f>
        <v>#REF!</v>
      </c>
      <c r="FE363" t="e">
        <f>AND(#REF!,"AAAAAHzvv6A=")</f>
        <v>#REF!</v>
      </c>
      <c r="FF363" t="e">
        <f>AND(#REF!,"AAAAAHzvv6E=")</f>
        <v>#REF!</v>
      </c>
      <c r="FG363" t="e">
        <f>AND(#REF!,"AAAAAHzvv6I=")</f>
        <v>#REF!</v>
      </c>
      <c r="FH363" t="e">
        <f>AND(#REF!,"AAAAAHzvv6M=")</f>
        <v>#REF!</v>
      </c>
      <c r="FI363" t="e">
        <f>IF(#REF!,"AAAAAHzvv6Q=",0)</f>
        <v>#REF!</v>
      </c>
      <c r="FJ363" t="e">
        <f>AND(#REF!,"AAAAAHzvv6U=")</f>
        <v>#REF!</v>
      </c>
      <c r="FK363" t="e">
        <f>AND(#REF!,"AAAAAHzvv6Y=")</f>
        <v>#REF!</v>
      </c>
      <c r="FL363" t="e">
        <f>AND(#REF!,"AAAAAHzvv6c=")</f>
        <v>#REF!</v>
      </c>
      <c r="FM363" t="e">
        <f>AND(#REF!,"AAAAAHzvv6g=")</f>
        <v>#REF!</v>
      </c>
      <c r="FN363" t="e">
        <f>AND(#REF!,"AAAAAHzvv6k=")</f>
        <v>#REF!</v>
      </c>
      <c r="FO363" t="e">
        <f>AND(#REF!,"AAAAAHzvv6o=")</f>
        <v>#REF!</v>
      </c>
      <c r="FP363" t="e">
        <f>AND(#REF!,"AAAAAHzvv6s=")</f>
        <v>#REF!</v>
      </c>
      <c r="FQ363" t="e">
        <f>AND(#REF!,"AAAAAHzvv6w=")</f>
        <v>#REF!</v>
      </c>
      <c r="FR363" t="e">
        <f>AND(#REF!,"AAAAAHzvv60=")</f>
        <v>#REF!</v>
      </c>
      <c r="FS363" t="e">
        <f>AND(#REF!,"AAAAAHzvv64=")</f>
        <v>#REF!</v>
      </c>
      <c r="FT363" t="e">
        <f>IF(#REF!,"AAAAAHzvv68=",0)</f>
        <v>#REF!</v>
      </c>
      <c r="FU363" t="e">
        <f>AND(#REF!,"AAAAAHzvv7A=")</f>
        <v>#REF!</v>
      </c>
      <c r="FV363" t="e">
        <f>AND(#REF!,"AAAAAHzvv7E=")</f>
        <v>#REF!</v>
      </c>
      <c r="FW363" t="e">
        <f>AND(#REF!,"AAAAAHzvv7I=")</f>
        <v>#REF!</v>
      </c>
      <c r="FX363" t="e">
        <f>AND(#REF!,"AAAAAHzvv7M=")</f>
        <v>#REF!</v>
      </c>
      <c r="FY363" t="e">
        <f>AND(#REF!,"AAAAAHzvv7Q=")</f>
        <v>#REF!</v>
      </c>
      <c r="FZ363" t="e">
        <f>AND(#REF!,"AAAAAHzvv7U=")</f>
        <v>#REF!</v>
      </c>
      <c r="GA363" t="e">
        <f>AND(#REF!,"AAAAAHzvv7Y=")</f>
        <v>#REF!</v>
      </c>
      <c r="GB363" t="e">
        <f>AND(#REF!,"AAAAAHzvv7c=")</f>
        <v>#REF!</v>
      </c>
      <c r="GC363" t="e">
        <f>AND(#REF!,"AAAAAHzvv7g=")</f>
        <v>#REF!</v>
      </c>
      <c r="GD363" t="e">
        <f>AND(#REF!,"AAAAAHzvv7k=")</f>
        <v>#REF!</v>
      </c>
      <c r="GE363" t="e">
        <f>IF(#REF!,"AAAAAHzvv7o=",0)</f>
        <v>#REF!</v>
      </c>
      <c r="GF363" t="e">
        <f>AND(#REF!,"AAAAAHzvv7s=")</f>
        <v>#REF!</v>
      </c>
      <c r="GG363" t="e">
        <f>AND(#REF!,"AAAAAHzvv7w=")</f>
        <v>#REF!</v>
      </c>
      <c r="GH363" t="e">
        <f>AND(#REF!,"AAAAAHzvv70=")</f>
        <v>#REF!</v>
      </c>
      <c r="GI363" t="e">
        <f>AND(#REF!,"AAAAAHzvv74=")</f>
        <v>#REF!</v>
      </c>
      <c r="GJ363" t="e">
        <f>AND(#REF!,"AAAAAHzvv78=")</f>
        <v>#REF!</v>
      </c>
      <c r="GK363" t="e">
        <f>AND(#REF!,"AAAAAHzvv8A=")</f>
        <v>#REF!</v>
      </c>
      <c r="GL363" t="e">
        <f>AND(#REF!,"AAAAAHzvv8E=")</f>
        <v>#REF!</v>
      </c>
      <c r="GM363" t="e">
        <f>AND(#REF!,"AAAAAHzvv8I=")</f>
        <v>#REF!</v>
      </c>
      <c r="GN363" t="e">
        <f>AND(#REF!,"AAAAAHzvv8M=")</f>
        <v>#REF!</v>
      </c>
      <c r="GO363" t="e">
        <f>AND(#REF!,"AAAAAHzvv8Q=")</f>
        <v>#REF!</v>
      </c>
      <c r="GP363" t="e">
        <f>IF(#REF!,"AAAAAHzvv8U=",0)</f>
        <v>#REF!</v>
      </c>
      <c r="GQ363" t="e">
        <f>AND(#REF!,"AAAAAHzvv8Y=")</f>
        <v>#REF!</v>
      </c>
      <c r="GR363" t="e">
        <f>AND(#REF!,"AAAAAHzvv8c=")</f>
        <v>#REF!</v>
      </c>
      <c r="GS363" t="e">
        <f>AND(#REF!,"AAAAAHzvv8g=")</f>
        <v>#REF!</v>
      </c>
      <c r="GT363" t="e">
        <f>AND(#REF!,"AAAAAHzvv8k=")</f>
        <v>#REF!</v>
      </c>
      <c r="GU363" t="e">
        <f>AND(#REF!,"AAAAAHzvv8o=")</f>
        <v>#REF!</v>
      </c>
      <c r="GV363" t="e">
        <f>AND(#REF!,"AAAAAHzvv8s=")</f>
        <v>#REF!</v>
      </c>
      <c r="GW363" t="e">
        <f>AND(#REF!,"AAAAAHzvv8w=")</f>
        <v>#REF!</v>
      </c>
      <c r="GX363" t="e">
        <f>AND(#REF!,"AAAAAHzvv80=")</f>
        <v>#REF!</v>
      </c>
      <c r="GY363" t="e">
        <f>AND(#REF!,"AAAAAHzvv84=")</f>
        <v>#REF!</v>
      </c>
      <c r="GZ363" t="e">
        <f>AND(#REF!,"AAAAAHzvv88=")</f>
        <v>#REF!</v>
      </c>
      <c r="HA363" t="e">
        <f>IF(#REF!,"AAAAAHzvv9A=",0)</f>
        <v>#REF!</v>
      </c>
      <c r="HB363" t="e">
        <f>AND(#REF!,"AAAAAHzvv9E=")</f>
        <v>#REF!</v>
      </c>
      <c r="HC363" t="e">
        <f>AND(#REF!,"AAAAAHzvv9I=")</f>
        <v>#REF!</v>
      </c>
      <c r="HD363" t="e">
        <f>AND(#REF!,"AAAAAHzvv9M=")</f>
        <v>#REF!</v>
      </c>
      <c r="HE363" t="e">
        <f>AND(#REF!,"AAAAAHzvv9Q=")</f>
        <v>#REF!</v>
      </c>
      <c r="HF363" t="e">
        <f>AND(#REF!,"AAAAAHzvv9U=")</f>
        <v>#REF!</v>
      </c>
      <c r="HG363" t="e">
        <f>AND(#REF!,"AAAAAHzvv9Y=")</f>
        <v>#REF!</v>
      </c>
      <c r="HH363" t="e">
        <f>AND(#REF!,"AAAAAHzvv9c=")</f>
        <v>#REF!</v>
      </c>
      <c r="HI363" t="e">
        <f>AND(#REF!,"AAAAAHzvv9g=")</f>
        <v>#REF!</v>
      </c>
      <c r="HJ363" t="e">
        <f>AND(#REF!,"AAAAAHzvv9k=")</f>
        <v>#REF!</v>
      </c>
      <c r="HK363" t="e">
        <f>AND(#REF!,"AAAAAHzvv9o=")</f>
        <v>#REF!</v>
      </c>
      <c r="HL363" t="e">
        <f>IF(#REF!,"AAAAAHzvv9s=",0)</f>
        <v>#REF!</v>
      </c>
      <c r="HM363" t="e">
        <f>AND(#REF!,"AAAAAHzvv9w=")</f>
        <v>#REF!</v>
      </c>
      <c r="HN363" t="e">
        <f>AND(#REF!,"AAAAAHzvv90=")</f>
        <v>#REF!</v>
      </c>
      <c r="HO363" t="e">
        <f>AND(#REF!,"AAAAAHzvv94=")</f>
        <v>#REF!</v>
      </c>
      <c r="HP363" t="e">
        <f>AND(#REF!,"AAAAAHzvv98=")</f>
        <v>#REF!</v>
      </c>
      <c r="HQ363" t="e">
        <f>AND(#REF!,"AAAAAHzvv+A=")</f>
        <v>#REF!</v>
      </c>
      <c r="HR363" t="e">
        <f>AND(#REF!,"AAAAAHzvv+E=")</f>
        <v>#REF!</v>
      </c>
      <c r="HS363" t="e">
        <f>AND(#REF!,"AAAAAHzvv+I=")</f>
        <v>#REF!</v>
      </c>
      <c r="HT363" t="e">
        <f>AND(#REF!,"AAAAAHzvv+M=")</f>
        <v>#REF!</v>
      </c>
      <c r="HU363" t="e">
        <f>AND(#REF!,"AAAAAHzvv+Q=")</f>
        <v>#REF!</v>
      </c>
      <c r="HV363" t="e">
        <f>AND(#REF!,"AAAAAHzvv+U=")</f>
        <v>#REF!</v>
      </c>
      <c r="HW363" t="e">
        <f>IF(#REF!,"AAAAAHzvv+Y=",0)</f>
        <v>#REF!</v>
      </c>
      <c r="HX363" t="e">
        <f>AND(#REF!,"AAAAAHzvv+c=")</f>
        <v>#REF!</v>
      </c>
      <c r="HY363" t="e">
        <f>AND(#REF!,"AAAAAHzvv+g=")</f>
        <v>#REF!</v>
      </c>
      <c r="HZ363" t="e">
        <f>AND(#REF!,"AAAAAHzvv+k=")</f>
        <v>#REF!</v>
      </c>
      <c r="IA363" t="e">
        <f>AND(#REF!,"AAAAAHzvv+o=")</f>
        <v>#REF!</v>
      </c>
      <c r="IB363" t="e">
        <f>AND(#REF!,"AAAAAHzvv+s=")</f>
        <v>#REF!</v>
      </c>
      <c r="IC363" t="e">
        <f>AND(#REF!,"AAAAAHzvv+w=")</f>
        <v>#REF!</v>
      </c>
      <c r="ID363" t="e">
        <f>AND(#REF!,"AAAAAHzvv+0=")</f>
        <v>#REF!</v>
      </c>
      <c r="IE363" t="e">
        <f>AND(#REF!,"AAAAAHzvv+4=")</f>
        <v>#REF!</v>
      </c>
      <c r="IF363" t="e">
        <f>AND(#REF!,"AAAAAHzvv+8=")</f>
        <v>#REF!</v>
      </c>
      <c r="IG363" t="e">
        <f>AND(#REF!,"AAAAAHzvv/A=")</f>
        <v>#REF!</v>
      </c>
      <c r="IH363" t="e">
        <f>IF(#REF!,"AAAAAHzvv/E=",0)</f>
        <v>#REF!</v>
      </c>
      <c r="II363" t="e">
        <f>AND(#REF!,"AAAAAHzvv/I=")</f>
        <v>#REF!</v>
      </c>
      <c r="IJ363" t="e">
        <f>AND(#REF!,"AAAAAHzvv/M=")</f>
        <v>#REF!</v>
      </c>
      <c r="IK363" t="e">
        <f>AND(#REF!,"AAAAAHzvv/Q=")</f>
        <v>#REF!</v>
      </c>
      <c r="IL363" t="e">
        <f>AND(#REF!,"AAAAAHzvv/U=")</f>
        <v>#REF!</v>
      </c>
      <c r="IM363" t="e">
        <f>AND(#REF!,"AAAAAHzvv/Y=")</f>
        <v>#REF!</v>
      </c>
      <c r="IN363" t="e">
        <f>AND(#REF!,"AAAAAHzvv/c=")</f>
        <v>#REF!</v>
      </c>
      <c r="IO363" t="e">
        <f>AND(#REF!,"AAAAAHzvv/g=")</f>
        <v>#REF!</v>
      </c>
      <c r="IP363" t="e">
        <f>AND(#REF!,"AAAAAHzvv/k=")</f>
        <v>#REF!</v>
      </c>
      <c r="IQ363" t="e">
        <f>AND(#REF!,"AAAAAHzvv/o=")</f>
        <v>#REF!</v>
      </c>
      <c r="IR363" t="e">
        <f>AND(#REF!,"AAAAAHzvv/s=")</f>
        <v>#REF!</v>
      </c>
      <c r="IS363" t="e">
        <f>IF(#REF!,"AAAAAHzvv/w=",0)</f>
        <v>#REF!</v>
      </c>
      <c r="IT363" t="e">
        <f>AND(#REF!,"AAAAAHzvv/0=")</f>
        <v>#REF!</v>
      </c>
      <c r="IU363" t="e">
        <f>AND(#REF!,"AAAAAHzvv/4=")</f>
        <v>#REF!</v>
      </c>
      <c r="IV363" t="e">
        <f>AND(#REF!,"AAAAAHzvv/8=")</f>
        <v>#REF!</v>
      </c>
    </row>
    <row r="364" spans="1:256" x14ac:dyDescent="0.25">
      <c r="A364" t="e">
        <f>AND(#REF!,"AAAAAEP/vQA=")</f>
        <v>#REF!</v>
      </c>
      <c r="B364" t="e">
        <f>AND(#REF!,"AAAAAEP/vQE=")</f>
        <v>#REF!</v>
      </c>
      <c r="C364" t="e">
        <f>AND(#REF!,"AAAAAEP/vQI=")</f>
        <v>#REF!</v>
      </c>
      <c r="D364" t="e">
        <f>AND(#REF!,"AAAAAEP/vQM=")</f>
        <v>#REF!</v>
      </c>
      <c r="E364" t="e">
        <f>AND(#REF!,"AAAAAEP/vQQ=")</f>
        <v>#REF!</v>
      </c>
      <c r="F364" t="e">
        <f>AND(#REF!,"AAAAAEP/vQU=")</f>
        <v>#REF!</v>
      </c>
      <c r="G364" t="e">
        <f>AND(#REF!,"AAAAAEP/vQY=")</f>
        <v>#REF!</v>
      </c>
      <c r="H364" t="e">
        <f>IF(#REF!,"AAAAAEP/vQc=",0)</f>
        <v>#REF!</v>
      </c>
      <c r="I364" t="e">
        <f>AND(#REF!,"AAAAAEP/vQg=")</f>
        <v>#REF!</v>
      </c>
      <c r="J364" t="e">
        <f>AND(#REF!,"AAAAAEP/vQk=")</f>
        <v>#REF!</v>
      </c>
      <c r="K364" t="e">
        <f>AND(#REF!,"AAAAAEP/vQo=")</f>
        <v>#REF!</v>
      </c>
      <c r="L364" t="e">
        <f>AND(#REF!,"AAAAAEP/vQs=")</f>
        <v>#REF!</v>
      </c>
      <c r="M364" t="e">
        <f>AND(#REF!,"AAAAAEP/vQw=")</f>
        <v>#REF!</v>
      </c>
      <c r="N364" t="e">
        <f>AND(#REF!,"AAAAAEP/vQ0=")</f>
        <v>#REF!</v>
      </c>
      <c r="O364" t="e">
        <f>AND(#REF!,"AAAAAEP/vQ4=")</f>
        <v>#REF!</v>
      </c>
      <c r="P364" t="e">
        <f>AND(#REF!,"AAAAAEP/vQ8=")</f>
        <v>#REF!</v>
      </c>
      <c r="Q364" t="e">
        <f>AND(#REF!,"AAAAAEP/vRA=")</f>
        <v>#REF!</v>
      </c>
      <c r="R364" t="e">
        <f>AND(#REF!,"AAAAAEP/vRE=")</f>
        <v>#REF!</v>
      </c>
      <c r="S364" t="e">
        <f>IF(#REF!,"AAAAAEP/vRI=",0)</f>
        <v>#REF!</v>
      </c>
      <c r="T364" t="e">
        <f>AND(#REF!,"AAAAAEP/vRM=")</f>
        <v>#REF!</v>
      </c>
      <c r="U364" t="e">
        <f>AND(#REF!,"AAAAAEP/vRQ=")</f>
        <v>#REF!</v>
      </c>
      <c r="V364" t="e">
        <f>AND(#REF!,"AAAAAEP/vRU=")</f>
        <v>#REF!</v>
      </c>
      <c r="W364" t="e">
        <f>AND(#REF!,"AAAAAEP/vRY=")</f>
        <v>#REF!</v>
      </c>
      <c r="X364" t="e">
        <f>AND(#REF!,"AAAAAEP/vRc=")</f>
        <v>#REF!</v>
      </c>
      <c r="Y364" t="e">
        <f>AND(#REF!,"AAAAAEP/vRg=")</f>
        <v>#REF!</v>
      </c>
      <c r="Z364" t="e">
        <f>AND(#REF!,"AAAAAEP/vRk=")</f>
        <v>#REF!</v>
      </c>
      <c r="AA364" t="e">
        <f>AND(#REF!,"AAAAAEP/vRo=")</f>
        <v>#REF!</v>
      </c>
      <c r="AB364" t="e">
        <f>AND(#REF!,"AAAAAEP/vRs=")</f>
        <v>#REF!</v>
      </c>
      <c r="AC364" t="e">
        <f>AND(#REF!,"AAAAAEP/vRw=")</f>
        <v>#REF!</v>
      </c>
      <c r="AD364" t="e">
        <f>IF(#REF!,"AAAAAEP/vR0=",0)</f>
        <v>#REF!</v>
      </c>
      <c r="AE364" t="e">
        <f>AND(#REF!,"AAAAAEP/vR4=")</f>
        <v>#REF!</v>
      </c>
      <c r="AF364" t="e">
        <f>AND(#REF!,"AAAAAEP/vR8=")</f>
        <v>#REF!</v>
      </c>
      <c r="AG364" t="e">
        <f>AND(#REF!,"AAAAAEP/vSA=")</f>
        <v>#REF!</v>
      </c>
      <c r="AH364" t="e">
        <f>AND(#REF!,"AAAAAEP/vSE=")</f>
        <v>#REF!</v>
      </c>
      <c r="AI364" t="e">
        <f>AND(#REF!,"AAAAAEP/vSI=")</f>
        <v>#REF!</v>
      </c>
      <c r="AJ364" t="e">
        <f>AND(#REF!,"AAAAAEP/vSM=")</f>
        <v>#REF!</v>
      </c>
      <c r="AK364" t="e">
        <f>AND(#REF!,"AAAAAEP/vSQ=")</f>
        <v>#REF!</v>
      </c>
      <c r="AL364" t="e">
        <f>AND(#REF!,"AAAAAEP/vSU=")</f>
        <v>#REF!</v>
      </c>
      <c r="AM364" t="e">
        <f>AND(#REF!,"AAAAAEP/vSY=")</f>
        <v>#REF!</v>
      </c>
      <c r="AN364" t="e">
        <f>AND(#REF!,"AAAAAEP/vSc=")</f>
        <v>#REF!</v>
      </c>
      <c r="AO364" t="e">
        <f>IF(#REF!,"AAAAAEP/vSg=",0)</f>
        <v>#REF!</v>
      </c>
      <c r="AP364" t="e">
        <f>AND(#REF!,"AAAAAEP/vSk=")</f>
        <v>#REF!</v>
      </c>
      <c r="AQ364" t="e">
        <f>AND(#REF!,"AAAAAEP/vSo=")</f>
        <v>#REF!</v>
      </c>
      <c r="AR364" t="e">
        <f>AND(#REF!,"AAAAAEP/vSs=")</f>
        <v>#REF!</v>
      </c>
      <c r="AS364" t="e">
        <f>AND(#REF!,"AAAAAEP/vSw=")</f>
        <v>#REF!</v>
      </c>
      <c r="AT364" t="e">
        <f>AND(#REF!,"AAAAAEP/vS0=")</f>
        <v>#REF!</v>
      </c>
      <c r="AU364" t="e">
        <f>AND(#REF!,"AAAAAEP/vS4=")</f>
        <v>#REF!</v>
      </c>
      <c r="AV364" t="e">
        <f>AND(#REF!,"AAAAAEP/vS8=")</f>
        <v>#REF!</v>
      </c>
      <c r="AW364" t="e">
        <f>AND(#REF!,"AAAAAEP/vTA=")</f>
        <v>#REF!</v>
      </c>
      <c r="AX364" t="e">
        <f>AND(#REF!,"AAAAAEP/vTE=")</f>
        <v>#REF!</v>
      </c>
      <c r="AY364" t="e">
        <f>AND(#REF!,"AAAAAEP/vTI=")</f>
        <v>#REF!</v>
      </c>
      <c r="AZ364" t="e">
        <f>IF(#REF!,"AAAAAEP/vTM=",0)</f>
        <v>#REF!</v>
      </c>
      <c r="BA364" t="e">
        <f>AND(#REF!,"AAAAAEP/vTQ=")</f>
        <v>#REF!</v>
      </c>
      <c r="BB364" t="e">
        <f>AND(#REF!,"AAAAAEP/vTU=")</f>
        <v>#REF!</v>
      </c>
      <c r="BC364" t="e">
        <f>AND(#REF!,"AAAAAEP/vTY=")</f>
        <v>#REF!</v>
      </c>
      <c r="BD364" t="e">
        <f>AND(#REF!,"AAAAAEP/vTc=")</f>
        <v>#REF!</v>
      </c>
      <c r="BE364" t="e">
        <f>AND(#REF!,"AAAAAEP/vTg=")</f>
        <v>#REF!</v>
      </c>
      <c r="BF364" t="e">
        <f>AND(#REF!,"AAAAAEP/vTk=")</f>
        <v>#REF!</v>
      </c>
      <c r="BG364" t="e">
        <f>AND(#REF!,"AAAAAEP/vTo=")</f>
        <v>#REF!</v>
      </c>
      <c r="BH364" t="e">
        <f>AND(#REF!,"AAAAAEP/vTs=")</f>
        <v>#REF!</v>
      </c>
      <c r="BI364" t="e">
        <f>AND(#REF!,"AAAAAEP/vTw=")</f>
        <v>#REF!</v>
      </c>
      <c r="BJ364" t="e">
        <f>AND(#REF!,"AAAAAEP/vT0=")</f>
        <v>#REF!</v>
      </c>
      <c r="BK364" t="e">
        <f>IF(#REF!,"AAAAAEP/vT4=",0)</f>
        <v>#REF!</v>
      </c>
      <c r="BL364" t="e">
        <f>AND(#REF!,"AAAAAEP/vT8=")</f>
        <v>#REF!</v>
      </c>
      <c r="BM364" t="e">
        <f>AND(#REF!,"AAAAAEP/vUA=")</f>
        <v>#REF!</v>
      </c>
      <c r="BN364" t="e">
        <f>AND(#REF!,"AAAAAEP/vUE=")</f>
        <v>#REF!</v>
      </c>
      <c r="BO364" t="e">
        <f>AND(#REF!,"AAAAAEP/vUI=")</f>
        <v>#REF!</v>
      </c>
      <c r="BP364" t="e">
        <f>AND(#REF!,"AAAAAEP/vUM=")</f>
        <v>#REF!</v>
      </c>
      <c r="BQ364" t="e">
        <f>AND(#REF!,"AAAAAEP/vUQ=")</f>
        <v>#REF!</v>
      </c>
      <c r="BR364" t="e">
        <f>AND(#REF!,"AAAAAEP/vUU=")</f>
        <v>#REF!</v>
      </c>
      <c r="BS364" t="e">
        <f>AND(#REF!,"AAAAAEP/vUY=")</f>
        <v>#REF!</v>
      </c>
      <c r="BT364" t="e">
        <f>AND(#REF!,"AAAAAEP/vUc=")</f>
        <v>#REF!</v>
      </c>
      <c r="BU364" t="e">
        <f>AND(#REF!,"AAAAAEP/vUg=")</f>
        <v>#REF!</v>
      </c>
      <c r="BV364" t="e">
        <f>IF(#REF!,"AAAAAEP/vUk=",0)</f>
        <v>#REF!</v>
      </c>
      <c r="BW364" t="e">
        <f>AND(#REF!,"AAAAAEP/vUo=")</f>
        <v>#REF!</v>
      </c>
      <c r="BX364" t="e">
        <f>AND(#REF!,"AAAAAEP/vUs=")</f>
        <v>#REF!</v>
      </c>
      <c r="BY364" t="e">
        <f>AND(#REF!,"AAAAAEP/vUw=")</f>
        <v>#REF!</v>
      </c>
      <c r="BZ364" t="e">
        <f>AND(#REF!,"AAAAAEP/vU0=")</f>
        <v>#REF!</v>
      </c>
      <c r="CA364" t="e">
        <f>AND(#REF!,"AAAAAEP/vU4=")</f>
        <v>#REF!</v>
      </c>
      <c r="CB364" t="e">
        <f>AND(#REF!,"AAAAAEP/vU8=")</f>
        <v>#REF!</v>
      </c>
      <c r="CC364" t="e">
        <f>AND(#REF!,"AAAAAEP/vVA=")</f>
        <v>#REF!</v>
      </c>
      <c r="CD364" t="e">
        <f>AND(#REF!,"AAAAAEP/vVE=")</f>
        <v>#REF!</v>
      </c>
      <c r="CE364" t="e">
        <f>AND(#REF!,"AAAAAEP/vVI=")</f>
        <v>#REF!</v>
      </c>
      <c r="CF364" t="e">
        <f>AND(#REF!,"AAAAAEP/vVM=")</f>
        <v>#REF!</v>
      </c>
      <c r="CG364" t="e">
        <f>IF(#REF!,"AAAAAEP/vVQ=",0)</f>
        <v>#REF!</v>
      </c>
      <c r="CH364" t="e">
        <f>AND(#REF!,"AAAAAEP/vVU=")</f>
        <v>#REF!</v>
      </c>
      <c r="CI364" t="e">
        <f>AND(#REF!,"AAAAAEP/vVY=")</f>
        <v>#REF!</v>
      </c>
      <c r="CJ364" t="e">
        <f>AND(#REF!,"AAAAAEP/vVc=")</f>
        <v>#REF!</v>
      </c>
      <c r="CK364" t="e">
        <f>AND(#REF!,"AAAAAEP/vVg=")</f>
        <v>#REF!</v>
      </c>
      <c r="CL364" t="e">
        <f>AND(#REF!,"AAAAAEP/vVk=")</f>
        <v>#REF!</v>
      </c>
      <c r="CM364" t="e">
        <f>AND(#REF!,"AAAAAEP/vVo=")</f>
        <v>#REF!</v>
      </c>
      <c r="CN364" t="e">
        <f>AND(#REF!,"AAAAAEP/vVs=")</f>
        <v>#REF!</v>
      </c>
      <c r="CO364" t="e">
        <f>AND(#REF!,"AAAAAEP/vVw=")</f>
        <v>#REF!</v>
      </c>
      <c r="CP364" t="e">
        <f>AND(#REF!,"AAAAAEP/vV0=")</f>
        <v>#REF!</v>
      </c>
      <c r="CQ364" t="e">
        <f>AND(#REF!,"AAAAAEP/vV4=")</f>
        <v>#REF!</v>
      </c>
      <c r="CR364" t="e">
        <f>IF(#REF!,"AAAAAEP/vV8=",0)</f>
        <v>#REF!</v>
      </c>
      <c r="CS364" t="e">
        <f>AND(#REF!,"AAAAAEP/vWA=")</f>
        <v>#REF!</v>
      </c>
      <c r="CT364" t="e">
        <f>AND(#REF!,"AAAAAEP/vWE=")</f>
        <v>#REF!</v>
      </c>
      <c r="CU364" t="e">
        <f>AND(#REF!,"AAAAAEP/vWI=")</f>
        <v>#REF!</v>
      </c>
      <c r="CV364" t="e">
        <f>AND(#REF!,"AAAAAEP/vWM=")</f>
        <v>#REF!</v>
      </c>
      <c r="CW364" t="e">
        <f>AND(#REF!,"AAAAAEP/vWQ=")</f>
        <v>#REF!</v>
      </c>
      <c r="CX364" t="e">
        <f>AND(#REF!,"AAAAAEP/vWU=")</f>
        <v>#REF!</v>
      </c>
      <c r="CY364" t="e">
        <f>AND(#REF!,"AAAAAEP/vWY=")</f>
        <v>#REF!</v>
      </c>
      <c r="CZ364" t="e">
        <f>AND(#REF!,"AAAAAEP/vWc=")</f>
        <v>#REF!</v>
      </c>
      <c r="DA364" t="e">
        <f>AND(#REF!,"AAAAAEP/vWg=")</f>
        <v>#REF!</v>
      </c>
      <c r="DB364" t="e">
        <f>AND(#REF!,"AAAAAEP/vWk=")</f>
        <v>#REF!</v>
      </c>
      <c r="DC364" t="e">
        <f>IF(#REF!,"AAAAAEP/vWo=",0)</f>
        <v>#REF!</v>
      </c>
      <c r="DD364" t="e">
        <f>AND(#REF!,"AAAAAEP/vWs=")</f>
        <v>#REF!</v>
      </c>
      <c r="DE364" t="e">
        <f>AND(#REF!,"AAAAAEP/vWw=")</f>
        <v>#REF!</v>
      </c>
      <c r="DF364" t="e">
        <f>AND(#REF!,"AAAAAEP/vW0=")</f>
        <v>#REF!</v>
      </c>
      <c r="DG364" t="e">
        <f>AND(#REF!,"AAAAAEP/vW4=")</f>
        <v>#REF!</v>
      </c>
      <c r="DH364" t="e">
        <f>AND(#REF!,"AAAAAEP/vW8=")</f>
        <v>#REF!</v>
      </c>
      <c r="DI364" t="e">
        <f>AND(#REF!,"AAAAAEP/vXA=")</f>
        <v>#REF!</v>
      </c>
      <c r="DJ364" t="e">
        <f>AND(#REF!,"AAAAAEP/vXE=")</f>
        <v>#REF!</v>
      </c>
      <c r="DK364" t="e">
        <f>AND(#REF!,"AAAAAEP/vXI=")</f>
        <v>#REF!</v>
      </c>
      <c r="DL364" t="e">
        <f>AND(#REF!,"AAAAAEP/vXM=")</f>
        <v>#REF!</v>
      </c>
      <c r="DM364" t="e">
        <f>AND(#REF!,"AAAAAEP/vXQ=")</f>
        <v>#REF!</v>
      </c>
      <c r="DN364" t="e">
        <f>IF(#REF!,"AAAAAEP/vXU=",0)</f>
        <v>#REF!</v>
      </c>
      <c r="DO364" t="e">
        <f>AND(#REF!,"AAAAAEP/vXY=")</f>
        <v>#REF!</v>
      </c>
      <c r="DP364" t="e">
        <f>AND(#REF!,"AAAAAEP/vXc=")</f>
        <v>#REF!</v>
      </c>
      <c r="DQ364" t="e">
        <f>AND(#REF!,"AAAAAEP/vXg=")</f>
        <v>#REF!</v>
      </c>
      <c r="DR364" t="e">
        <f>AND(#REF!,"AAAAAEP/vXk=")</f>
        <v>#REF!</v>
      </c>
      <c r="DS364" t="e">
        <f>AND(#REF!,"AAAAAEP/vXo=")</f>
        <v>#REF!</v>
      </c>
      <c r="DT364" t="e">
        <f>AND(#REF!,"AAAAAEP/vXs=")</f>
        <v>#REF!</v>
      </c>
      <c r="DU364" t="e">
        <f>AND(#REF!,"AAAAAEP/vXw=")</f>
        <v>#REF!</v>
      </c>
      <c r="DV364" t="e">
        <f>AND(#REF!,"AAAAAEP/vX0=")</f>
        <v>#REF!</v>
      </c>
      <c r="DW364" t="e">
        <f>AND(#REF!,"AAAAAEP/vX4=")</f>
        <v>#REF!</v>
      </c>
      <c r="DX364" t="e">
        <f>AND(#REF!,"AAAAAEP/vX8=")</f>
        <v>#REF!</v>
      </c>
      <c r="DY364" t="e">
        <f>IF(#REF!,"AAAAAEP/vYA=",0)</f>
        <v>#REF!</v>
      </c>
      <c r="DZ364" t="e">
        <f>AND(#REF!,"AAAAAEP/vYE=")</f>
        <v>#REF!</v>
      </c>
      <c r="EA364" t="e">
        <f>AND(#REF!,"AAAAAEP/vYI=")</f>
        <v>#REF!</v>
      </c>
      <c r="EB364" t="e">
        <f>AND(#REF!,"AAAAAEP/vYM=")</f>
        <v>#REF!</v>
      </c>
      <c r="EC364" t="e">
        <f>AND(#REF!,"AAAAAEP/vYQ=")</f>
        <v>#REF!</v>
      </c>
      <c r="ED364" t="e">
        <f>AND(#REF!,"AAAAAEP/vYU=")</f>
        <v>#REF!</v>
      </c>
      <c r="EE364" t="e">
        <f>AND(#REF!,"AAAAAEP/vYY=")</f>
        <v>#REF!</v>
      </c>
      <c r="EF364" t="e">
        <f>AND(#REF!,"AAAAAEP/vYc=")</f>
        <v>#REF!</v>
      </c>
      <c r="EG364" t="e">
        <f>AND(#REF!,"AAAAAEP/vYg=")</f>
        <v>#REF!</v>
      </c>
      <c r="EH364" t="e">
        <f>AND(#REF!,"AAAAAEP/vYk=")</f>
        <v>#REF!</v>
      </c>
      <c r="EI364" t="e">
        <f>AND(#REF!,"AAAAAEP/vYo=")</f>
        <v>#REF!</v>
      </c>
      <c r="EJ364" t="e">
        <f>IF(#REF!,"AAAAAEP/vYs=",0)</f>
        <v>#REF!</v>
      </c>
      <c r="EK364" t="e">
        <f>AND(#REF!,"AAAAAEP/vYw=")</f>
        <v>#REF!</v>
      </c>
      <c r="EL364" t="e">
        <f>AND(#REF!,"AAAAAEP/vY0=")</f>
        <v>#REF!</v>
      </c>
      <c r="EM364" t="e">
        <f>AND(#REF!,"AAAAAEP/vY4=")</f>
        <v>#REF!</v>
      </c>
      <c r="EN364" t="e">
        <f>AND(#REF!,"AAAAAEP/vY8=")</f>
        <v>#REF!</v>
      </c>
      <c r="EO364" t="e">
        <f>AND(#REF!,"AAAAAEP/vZA=")</f>
        <v>#REF!</v>
      </c>
      <c r="EP364" t="e">
        <f>AND(#REF!,"AAAAAEP/vZE=")</f>
        <v>#REF!</v>
      </c>
      <c r="EQ364" t="e">
        <f>AND(#REF!,"AAAAAEP/vZI=")</f>
        <v>#REF!</v>
      </c>
      <c r="ER364" t="e">
        <f>AND(#REF!,"AAAAAEP/vZM=")</f>
        <v>#REF!</v>
      </c>
      <c r="ES364" t="e">
        <f>AND(#REF!,"AAAAAEP/vZQ=")</f>
        <v>#REF!</v>
      </c>
      <c r="ET364" t="e">
        <f>AND(#REF!,"AAAAAEP/vZU=")</f>
        <v>#REF!</v>
      </c>
      <c r="EU364" t="e">
        <f>IF(#REF!,"AAAAAEP/vZY=",0)</f>
        <v>#REF!</v>
      </c>
      <c r="EV364" t="e">
        <f>AND(#REF!,"AAAAAEP/vZc=")</f>
        <v>#REF!</v>
      </c>
      <c r="EW364" t="e">
        <f>AND(#REF!,"AAAAAEP/vZg=")</f>
        <v>#REF!</v>
      </c>
      <c r="EX364" t="e">
        <f>AND(#REF!,"AAAAAEP/vZk=")</f>
        <v>#REF!</v>
      </c>
      <c r="EY364" t="e">
        <f>AND(#REF!,"AAAAAEP/vZo=")</f>
        <v>#REF!</v>
      </c>
      <c r="EZ364" t="e">
        <f>AND(#REF!,"AAAAAEP/vZs=")</f>
        <v>#REF!</v>
      </c>
      <c r="FA364" t="e">
        <f>AND(#REF!,"AAAAAEP/vZw=")</f>
        <v>#REF!</v>
      </c>
      <c r="FB364" t="e">
        <f>AND(#REF!,"AAAAAEP/vZ0=")</f>
        <v>#REF!</v>
      </c>
      <c r="FC364" t="e">
        <f>AND(#REF!,"AAAAAEP/vZ4=")</f>
        <v>#REF!</v>
      </c>
      <c r="FD364" t="e">
        <f>AND(#REF!,"AAAAAEP/vZ8=")</f>
        <v>#REF!</v>
      </c>
      <c r="FE364" t="e">
        <f>AND(#REF!,"AAAAAEP/vaA=")</f>
        <v>#REF!</v>
      </c>
      <c r="FF364" t="e">
        <f>IF(#REF!,"AAAAAEP/vaE=",0)</f>
        <v>#REF!</v>
      </c>
      <c r="FG364" t="e">
        <f>AND(#REF!,"AAAAAEP/vaI=")</f>
        <v>#REF!</v>
      </c>
      <c r="FH364" t="e">
        <f>AND(#REF!,"AAAAAEP/vaM=")</f>
        <v>#REF!</v>
      </c>
      <c r="FI364" t="e">
        <f>AND(#REF!,"AAAAAEP/vaQ=")</f>
        <v>#REF!</v>
      </c>
      <c r="FJ364" t="e">
        <f>AND(#REF!,"AAAAAEP/vaU=")</f>
        <v>#REF!</v>
      </c>
      <c r="FK364" t="e">
        <f>AND(#REF!,"AAAAAEP/vaY=")</f>
        <v>#REF!</v>
      </c>
      <c r="FL364" t="e">
        <f>AND(#REF!,"AAAAAEP/vac=")</f>
        <v>#REF!</v>
      </c>
      <c r="FM364" t="e">
        <f>AND(#REF!,"AAAAAEP/vag=")</f>
        <v>#REF!</v>
      </c>
      <c r="FN364" t="e">
        <f>AND(#REF!,"AAAAAEP/vak=")</f>
        <v>#REF!</v>
      </c>
      <c r="FO364" t="e">
        <f>AND(#REF!,"AAAAAEP/vao=")</f>
        <v>#REF!</v>
      </c>
      <c r="FP364" t="e">
        <f>AND(#REF!,"AAAAAEP/vas=")</f>
        <v>#REF!</v>
      </c>
      <c r="FQ364" t="e">
        <f>IF(#REF!,"AAAAAEP/vaw=",0)</f>
        <v>#REF!</v>
      </c>
      <c r="FR364" t="e">
        <f>AND(#REF!,"AAAAAEP/va0=")</f>
        <v>#REF!</v>
      </c>
      <c r="FS364" t="e">
        <f>AND(#REF!,"AAAAAEP/va4=")</f>
        <v>#REF!</v>
      </c>
      <c r="FT364" t="e">
        <f>AND(#REF!,"AAAAAEP/va8=")</f>
        <v>#REF!</v>
      </c>
      <c r="FU364" t="e">
        <f>AND(#REF!,"AAAAAEP/vbA=")</f>
        <v>#REF!</v>
      </c>
      <c r="FV364" t="e">
        <f>AND(#REF!,"AAAAAEP/vbE=")</f>
        <v>#REF!</v>
      </c>
      <c r="FW364" t="e">
        <f>AND(#REF!,"AAAAAEP/vbI=")</f>
        <v>#REF!</v>
      </c>
      <c r="FX364" t="e">
        <f>AND(#REF!,"AAAAAEP/vbM=")</f>
        <v>#REF!</v>
      </c>
      <c r="FY364" t="e">
        <f>AND(#REF!,"AAAAAEP/vbQ=")</f>
        <v>#REF!</v>
      </c>
      <c r="FZ364" t="e">
        <f>AND(#REF!,"AAAAAEP/vbU=")</f>
        <v>#REF!</v>
      </c>
      <c r="GA364" t="e">
        <f>AND(#REF!,"AAAAAEP/vbY=")</f>
        <v>#REF!</v>
      </c>
      <c r="GB364" t="e">
        <f>IF(#REF!,"AAAAAEP/vbc=",0)</f>
        <v>#REF!</v>
      </c>
      <c r="GC364" t="e">
        <f>AND(#REF!,"AAAAAEP/vbg=")</f>
        <v>#REF!</v>
      </c>
      <c r="GD364" t="e">
        <f>AND(#REF!,"AAAAAEP/vbk=")</f>
        <v>#REF!</v>
      </c>
      <c r="GE364" t="e">
        <f>AND(#REF!,"AAAAAEP/vbo=")</f>
        <v>#REF!</v>
      </c>
      <c r="GF364" t="e">
        <f>AND(#REF!,"AAAAAEP/vbs=")</f>
        <v>#REF!</v>
      </c>
      <c r="GG364" t="e">
        <f>AND(#REF!,"AAAAAEP/vbw=")</f>
        <v>#REF!</v>
      </c>
      <c r="GH364" t="e">
        <f>AND(#REF!,"AAAAAEP/vb0=")</f>
        <v>#REF!</v>
      </c>
      <c r="GI364" t="e">
        <f>AND(#REF!,"AAAAAEP/vb4=")</f>
        <v>#REF!</v>
      </c>
      <c r="GJ364" t="e">
        <f>AND(#REF!,"AAAAAEP/vb8=")</f>
        <v>#REF!</v>
      </c>
      <c r="GK364" t="e">
        <f>AND(#REF!,"AAAAAEP/vcA=")</f>
        <v>#REF!</v>
      </c>
      <c r="GL364" t="e">
        <f>AND(#REF!,"AAAAAEP/vcE=")</f>
        <v>#REF!</v>
      </c>
      <c r="GM364" t="e">
        <f>IF(#REF!,"AAAAAEP/vcI=",0)</f>
        <v>#REF!</v>
      </c>
      <c r="GN364" t="e">
        <f>AND(#REF!,"AAAAAEP/vcM=")</f>
        <v>#REF!</v>
      </c>
      <c r="GO364" t="e">
        <f>AND(#REF!,"AAAAAEP/vcQ=")</f>
        <v>#REF!</v>
      </c>
      <c r="GP364" t="e">
        <f>AND(#REF!,"AAAAAEP/vcU=")</f>
        <v>#REF!</v>
      </c>
      <c r="GQ364" t="e">
        <f>AND(#REF!,"AAAAAEP/vcY=")</f>
        <v>#REF!</v>
      </c>
      <c r="GR364" t="e">
        <f>AND(#REF!,"AAAAAEP/vcc=")</f>
        <v>#REF!</v>
      </c>
      <c r="GS364" t="e">
        <f>AND(#REF!,"AAAAAEP/vcg=")</f>
        <v>#REF!</v>
      </c>
      <c r="GT364" t="e">
        <f>AND(#REF!,"AAAAAEP/vck=")</f>
        <v>#REF!</v>
      </c>
      <c r="GU364" t="e">
        <f>AND(#REF!,"AAAAAEP/vco=")</f>
        <v>#REF!</v>
      </c>
      <c r="GV364" t="e">
        <f>AND(#REF!,"AAAAAEP/vcs=")</f>
        <v>#REF!</v>
      </c>
      <c r="GW364" t="e">
        <f>AND(#REF!,"AAAAAEP/vcw=")</f>
        <v>#REF!</v>
      </c>
      <c r="GX364" t="e">
        <f>IF(#REF!,"AAAAAEP/vc0=",0)</f>
        <v>#REF!</v>
      </c>
      <c r="GY364" t="e">
        <f>AND(#REF!,"AAAAAEP/vc4=")</f>
        <v>#REF!</v>
      </c>
      <c r="GZ364" t="e">
        <f>AND(#REF!,"AAAAAEP/vc8=")</f>
        <v>#REF!</v>
      </c>
      <c r="HA364" t="e">
        <f>AND(#REF!,"AAAAAEP/vdA=")</f>
        <v>#REF!</v>
      </c>
      <c r="HB364" t="e">
        <f>AND(#REF!,"AAAAAEP/vdE=")</f>
        <v>#REF!</v>
      </c>
      <c r="HC364" t="e">
        <f>AND(#REF!,"AAAAAEP/vdI=")</f>
        <v>#REF!</v>
      </c>
      <c r="HD364" t="e">
        <f>AND(#REF!,"AAAAAEP/vdM=")</f>
        <v>#REF!</v>
      </c>
      <c r="HE364" t="e">
        <f>AND(#REF!,"AAAAAEP/vdQ=")</f>
        <v>#REF!</v>
      </c>
      <c r="HF364" t="e">
        <f>AND(#REF!,"AAAAAEP/vdU=")</f>
        <v>#REF!</v>
      </c>
      <c r="HG364" t="e">
        <f>AND(#REF!,"AAAAAEP/vdY=")</f>
        <v>#REF!</v>
      </c>
      <c r="HH364" t="e">
        <f>AND(#REF!,"AAAAAEP/vdc=")</f>
        <v>#REF!</v>
      </c>
      <c r="HI364" t="e">
        <f>IF(#REF!,"AAAAAEP/vdg=",0)</f>
        <v>#REF!</v>
      </c>
      <c r="HJ364" t="e">
        <f>AND(#REF!,"AAAAAEP/vdk=")</f>
        <v>#REF!</v>
      </c>
      <c r="HK364" t="e">
        <f>AND(#REF!,"AAAAAEP/vdo=")</f>
        <v>#REF!</v>
      </c>
      <c r="HL364" t="e">
        <f>AND(#REF!,"AAAAAEP/vds=")</f>
        <v>#REF!</v>
      </c>
      <c r="HM364" t="e">
        <f>AND(#REF!,"AAAAAEP/vdw=")</f>
        <v>#REF!</v>
      </c>
      <c r="HN364" t="e">
        <f>AND(#REF!,"AAAAAEP/vd0=")</f>
        <v>#REF!</v>
      </c>
      <c r="HO364" t="e">
        <f>AND(#REF!,"AAAAAEP/vd4=")</f>
        <v>#REF!</v>
      </c>
      <c r="HP364" t="e">
        <f>AND(#REF!,"AAAAAEP/vd8=")</f>
        <v>#REF!</v>
      </c>
      <c r="HQ364" t="e">
        <f>AND(#REF!,"AAAAAEP/veA=")</f>
        <v>#REF!</v>
      </c>
      <c r="HR364" t="e">
        <f>AND(#REF!,"AAAAAEP/veE=")</f>
        <v>#REF!</v>
      </c>
      <c r="HS364" t="e">
        <f>AND(#REF!,"AAAAAEP/veI=")</f>
        <v>#REF!</v>
      </c>
      <c r="HT364" t="e">
        <f>IF(#REF!,"AAAAAEP/veM=",0)</f>
        <v>#REF!</v>
      </c>
      <c r="HU364" t="e">
        <f>AND(#REF!,"AAAAAEP/veQ=")</f>
        <v>#REF!</v>
      </c>
      <c r="HV364" t="e">
        <f>AND(#REF!,"AAAAAEP/veU=")</f>
        <v>#REF!</v>
      </c>
      <c r="HW364" t="e">
        <f>AND(#REF!,"AAAAAEP/veY=")</f>
        <v>#REF!</v>
      </c>
      <c r="HX364" t="e">
        <f>AND(#REF!,"AAAAAEP/vec=")</f>
        <v>#REF!</v>
      </c>
      <c r="HY364" t="e">
        <f>AND(#REF!,"AAAAAEP/veg=")</f>
        <v>#REF!</v>
      </c>
      <c r="HZ364" t="e">
        <f>AND(#REF!,"AAAAAEP/vek=")</f>
        <v>#REF!</v>
      </c>
      <c r="IA364" t="e">
        <f>AND(#REF!,"AAAAAEP/veo=")</f>
        <v>#REF!</v>
      </c>
      <c r="IB364" t="e">
        <f>AND(#REF!,"AAAAAEP/ves=")</f>
        <v>#REF!</v>
      </c>
      <c r="IC364" t="e">
        <f>AND(#REF!,"AAAAAEP/vew=")</f>
        <v>#REF!</v>
      </c>
      <c r="ID364" t="e">
        <f>AND(#REF!,"AAAAAEP/ve0=")</f>
        <v>#REF!</v>
      </c>
      <c r="IE364" t="e">
        <f>IF(#REF!,"AAAAAEP/ve4=",0)</f>
        <v>#REF!</v>
      </c>
      <c r="IF364" t="e">
        <f>AND(#REF!,"AAAAAEP/ve8=")</f>
        <v>#REF!</v>
      </c>
      <c r="IG364" t="e">
        <f>AND(#REF!,"AAAAAEP/vfA=")</f>
        <v>#REF!</v>
      </c>
      <c r="IH364" t="e">
        <f>AND(#REF!,"AAAAAEP/vfE=")</f>
        <v>#REF!</v>
      </c>
      <c r="II364" t="e">
        <f>AND(#REF!,"AAAAAEP/vfI=")</f>
        <v>#REF!</v>
      </c>
      <c r="IJ364" t="e">
        <f>AND(#REF!,"AAAAAEP/vfM=")</f>
        <v>#REF!</v>
      </c>
      <c r="IK364" t="e">
        <f>AND(#REF!,"AAAAAEP/vfQ=")</f>
        <v>#REF!</v>
      </c>
      <c r="IL364" t="e">
        <f>AND(#REF!,"AAAAAEP/vfU=")</f>
        <v>#REF!</v>
      </c>
      <c r="IM364" t="e">
        <f>AND(#REF!,"AAAAAEP/vfY=")</f>
        <v>#REF!</v>
      </c>
      <c r="IN364" t="e">
        <f>AND(#REF!,"AAAAAEP/vfc=")</f>
        <v>#REF!</v>
      </c>
      <c r="IO364" t="e">
        <f>AND(#REF!,"AAAAAEP/vfg=")</f>
        <v>#REF!</v>
      </c>
      <c r="IP364" t="e">
        <f>IF(#REF!,"AAAAAEP/vfk=",0)</f>
        <v>#REF!</v>
      </c>
      <c r="IQ364" t="e">
        <f>AND(#REF!,"AAAAAEP/vfo=")</f>
        <v>#REF!</v>
      </c>
      <c r="IR364" t="e">
        <f>AND(#REF!,"AAAAAEP/vfs=")</f>
        <v>#REF!</v>
      </c>
      <c r="IS364" t="e">
        <f>AND(#REF!,"AAAAAEP/vfw=")</f>
        <v>#REF!</v>
      </c>
      <c r="IT364" t="e">
        <f>AND(#REF!,"AAAAAEP/vf0=")</f>
        <v>#REF!</v>
      </c>
      <c r="IU364" t="e">
        <f>AND(#REF!,"AAAAAEP/vf4=")</f>
        <v>#REF!</v>
      </c>
      <c r="IV364" t="e">
        <f>AND(#REF!,"AAAAAEP/vf8=")</f>
        <v>#REF!</v>
      </c>
    </row>
    <row r="365" spans="1:256" x14ac:dyDescent="0.25">
      <c r="A365" t="e">
        <f>AND(#REF!,"AAAAAHX7/wA=")</f>
        <v>#REF!</v>
      </c>
      <c r="B365" t="e">
        <f>AND(#REF!,"AAAAAHX7/wE=")</f>
        <v>#REF!</v>
      </c>
      <c r="C365" t="e">
        <f>AND(#REF!,"AAAAAHX7/wI=")</f>
        <v>#REF!</v>
      </c>
      <c r="D365" t="e">
        <f>AND(#REF!,"AAAAAHX7/wM=")</f>
        <v>#REF!</v>
      </c>
      <c r="E365" t="e">
        <f>IF(#REF!,"AAAAAHX7/wQ=",0)</f>
        <v>#REF!</v>
      </c>
      <c r="F365" t="e">
        <f>AND(#REF!,"AAAAAHX7/wU=")</f>
        <v>#REF!</v>
      </c>
      <c r="G365" t="e">
        <f>AND(#REF!,"AAAAAHX7/wY=")</f>
        <v>#REF!</v>
      </c>
      <c r="H365" t="e">
        <f>AND(#REF!,"AAAAAHX7/wc=")</f>
        <v>#REF!</v>
      </c>
      <c r="I365" t="e">
        <f>AND(#REF!,"AAAAAHX7/wg=")</f>
        <v>#REF!</v>
      </c>
      <c r="J365" t="e">
        <f>AND(#REF!,"AAAAAHX7/wk=")</f>
        <v>#REF!</v>
      </c>
      <c r="K365" t="e">
        <f>AND(#REF!,"AAAAAHX7/wo=")</f>
        <v>#REF!</v>
      </c>
      <c r="L365" t="e">
        <f>AND(#REF!,"AAAAAHX7/ws=")</f>
        <v>#REF!</v>
      </c>
      <c r="M365" t="e">
        <f>AND(#REF!,"AAAAAHX7/ww=")</f>
        <v>#REF!</v>
      </c>
      <c r="N365" t="e">
        <f>AND(#REF!,"AAAAAHX7/w0=")</f>
        <v>#REF!</v>
      </c>
      <c r="O365" t="e">
        <f>AND(#REF!,"AAAAAHX7/w4=")</f>
        <v>#REF!</v>
      </c>
      <c r="P365" t="e">
        <f>IF(#REF!,"AAAAAHX7/w8=",0)</f>
        <v>#REF!</v>
      </c>
      <c r="Q365" t="e">
        <f>AND(#REF!,"AAAAAHX7/xA=")</f>
        <v>#REF!</v>
      </c>
      <c r="R365" t="e">
        <f>AND(#REF!,"AAAAAHX7/xE=")</f>
        <v>#REF!</v>
      </c>
      <c r="S365" t="e">
        <f>AND(#REF!,"AAAAAHX7/xI=")</f>
        <v>#REF!</v>
      </c>
      <c r="T365" t="e">
        <f>AND(#REF!,"AAAAAHX7/xM=")</f>
        <v>#REF!</v>
      </c>
      <c r="U365" t="e">
        <f>AND(#REF!,"AAAAAHX7/xQ=")</f>
        <v>#REF!</v>
      </c>
      <c r="V365" t="e">
        <f>AND(#REF!,"AAAAAHX7/xU=")</f>
        <v>#REF!</v>
      </c>
      <c r="W365" t="e">
        <f>AND(#REF!,"AAAAAHX7/xY=")</f>
        <v>#REF!</v>
      </c>
      <c r="X365" t="e">
        <f>AND(#REF!,"AAAAAHX7/xc=")</f>
        <v>#REF!</v>
      </c>
      <c r="Y365" t="e">
        <f>AND(#REF!,"AAAAAHX7/xg=")</f>
        <v>#REF!</v>
      </c>
      <c r="Z365" t="e">
        <f>AND(#REF!,"AAAAAHX7/xk=")</f>
        <v>#REF!</v>
      </c>
      <c r="AA365" t="e">
        <f>IF(#REF!,"AAAAAHX7/xo=",0)</f>
        <v>#REF!</v>
      </c>
      <c r="AB365" t="e">
        <f>AND(#REF!,"AAAAAHX7/xs=")</f>
        <v>#REF!</v>
      </c>
      <c r="AC365" t="e">
        <f>AND(#REF!,"AAAAAHX7/xw=")</f>
        <v>#REF!</v>
      </c>
      <c r="AD365" t="e">
        <f>AND(#REF!,"AAAAAHX7/x0=")</f>
        <v>#REF!</v>
      </c>
      <c r="AE365" t="e">
        <f>AND(#REF!,"AAAAAHX7/x4=")</f>
        <v>#REF!</v>
      </c>
      <c r="AF365" t="e">
        <f>AND(#REF!,"AAAAAHX7/x8=")</f>
        <v>#REF!</v>
      </c>
      <c r="AG365" t="e">
        <f>AND(#REF!,"AAAAAHX7/yA=")</f>
        <v>#REF!</v>
      </c>
      <c r="AH365" t="e">
        <f>AND(#REF!,"AAAAAHX7/yE=")</f>
        <v>#REF!</v>
      </c>
      <c r="AI365" t="e">
        <f>AND(#REF!,"AAAAAHX7/yI=")</f>
        <v>#REF!</v>
      </c>
      <c r="AJ365" t="e">
        <f>AND(#REF!,"AAAAAHX7/yM=")</f>
        <v>#REF!</v>
      </c>
      <c r="AK365" t="e">
        <f>AND(#REF!,"AAAAAHX7/yQ=")</f>
        <v>#REF!</v>
      </c>
      <c r="AL365" t="e">
        <f>IF(#REF!,"AAAAAHX7/yU=",0)</f>
        <v>#REF!</v>
      </c>
      <c r="AM365" t="e">
        <f>AND(#REF!,"AAAAAHX7/yY=")</f>
        <v>#REF!</v>
      </c>
      <c r="AN365" t="e">
        <f>AND(#REF!,"AAAAAHX7/yc=")</f>
        <v>#REF!</v>
      </c>
      <c r="AO365" t="e">
        <f>AND(#REF!,"AAAAAHX7/yg=")</f>
        <v>#REF!</v>
      </c>
      <c r="AP365" t="e">
        <f>AND(#REF!,"AAAAAHX7/yk=")</f>
        <v>#REF!</v>
      </c>
      <c r="AQ365" t="e">
        <f>AND(#REF!,"AAAAAHX7/yo=")</f>
        <v>#REF!</v>
      </c>
      <c r="AR365" t="e">
        <f>AND(#REF!,"AAAAAHX7/ys=")</f>
        <v>#REF!</v>
      </c>
      <c r="AS365" t="e">
        <f>AND(#REF!,"AAAAAHX7/yw=")</f>
        <v>#REF!</v>
      </c>
      <c r="AT365" t="e">
        <f>AND(#REF!,"AAAAAHX7/y0=")</f>
        <v>#REF!</v>
      </c>
      <c r="AU365" t="e">
        <f>AND(#REF!,"AAAAAHX7/y4=")</f>
        <v>#REF!</v>
      </c>
      <c r="AV365" t="e">
        <f>AND(#REF!,"AAAAAHX7/y8=")</f>
        <v>#REF!</v>
      </c>
      <c r="AW365" t="e">
        <f>IF(#REF!,"AAAAAHX7/zA=",0)</f>
        <v>#REF!</v>
      </c>
      <c r="AX365" t="e">
        <f>AND(#REF!,"AAAAAHX7/zE=")</f>
        <v>#REF!</v>
      </c>
      <c r="AY365" t="e">
        <f>AND(#REF!,"AAAAAHX7/zI=")</f>
        <v>#REF!</v>
      </c>
      <c r="AZ365" t="e">
        <f>AND(#REF!,"AAAAAHX7/zM=")</f>
        <v>#REF!</v>
      </c>
      <c r="BA365" t="e">
        <f>AND(#REF!,"AAAAAHX7/zQ=")</f>
        <v>#REF!</v>
      </c>
      <c r="BB365" t="e">
        <f>AND(#REF!,"AAAAAHX7/zU=")</f>
        <v>#REF!</v>
      </c>
      <c r="BC365" t="e">
        <f>AND(#REF!,"AAAAAHX7/zY=")</f>
        <v>#REF!</v>
      </c>
      <c r="BD365" t="e">
        <f>AND(#REF!,"AAAAAHX7/zc=")</f>
        <v>#REF!</v>
      </c>
      <c r="BE365" t="e">
        <f>AND(#REF!,"AAAAAHX7/zg=")</f>
        <v>#REF!</v>
      </c>
      <c r="BF365" t="e">
        <f>AND(#REF!,"AAAAAHX7/zk=")</f>
        <v>#REF!</v>
      </c>
      <c r="BG365" t="e">
        <f>AND(#REF!,"AAAAAHX7/zo=")</f>
        <v>#REF!</v>
      </c>
      <c r="BH365" t="e">
        <f>IF(#REF!,"AAAAAHX7/zs=",0)</f>
        <v>#REF!</v>
      </c>
      <c r="BI365" t="e">
        <f>AND(#REF!,"AAAAAHX7/zw=")</f>
        <v>#REF!</v>
      </c>
      <c r="BJ365" t="e">
        <f>AND(#REF!,"AAAAAHX7/z0=")</f>
        <v>#REF!</v>
      </c>
      <c r="BK365" t="e">
        <f>AND(#REF!,"AAAAAHX7/z4=")</f>
        <v>#REF!</v>
      </c>
      <c r="BL365" t="e">
        <f>AND(#REF!,"AAAAAHX7/z8=")</f>
        <v>#REF!</v>
      </c>
      <c r="BM365" t="e">
        <f>AND(#REF!,"AAAAAHX7/0A=")</f>
        <v>#REF!</v>
      </c>
      <c r="BN365" t="e">
        <f>AND(#REF!,"AAAAAHX7/0E=")</f>
        <v>#REF!</v>
      </c>
      <c r="BO365" t="e">
        <f>AND(#REF!,"AAAAAHX7/0I=")</f>
        <v>#REF!</v>
      </c>
      <c r="BP365" t="e">
        <f>AND(#REF!,"AAAAAHX7/0M=")</f>
        <v>#REF!</v>
      </c>
      <c r="BQ365" t="e">
        <f>AND(#REF!,"AAAAAHX7/0Q=")</f>
        <v>#REF!</v>
      </c>
      <c r="BR365" t="e">
        <f>AND(#REF!,"AAAAAHX7/0U=")</f>
        <v>#REF!</v>
      </c>
      <c r="BS365" t="e">
        <f>IF(#REF!,"AAAAAHX7/0Y=",0)</f>
        <v>#REF!</v>
      </c>
      <c r="BT365" t="e">
        <f>AND(#REF!,"AAAAAHX7/0c=")</f>
        <v>#REF!</v>
      </c>
      <c r="BU365" t="e">
        <f>AND(#REF!,"AAAAAHX7/0g=")</f>
        <v>#REF!</v>
      </c>
      <c r="BV365" t="e">
        <f>AND(#REF!,"AAAAAHX7/0k=")</f>
        <v>#REF!</v>
      </c>
      <c r="BW365" t="e">
        <f>AND(#REF!,"AAAAAHX7/0o=")</f>
        <v>#REF!</v>
      </c>
      <c r="BX365" t="e">
        <f>AND(#REF!,"AAAAAHX7/0s=")</f>
        <v>#REF!</v>
      </c>
      <c r="BY365" t="e">
        <f>AND(#REF!,"AAAAAHX7/0w=")</f>
        <v>#REF!</v>
      </c>
      <c r="BZ365" t="e">
        <f>AND(#REF!,"AAAAAHX7/00=")</f>
        <v>#REF!</v>
      </c>
      <c r="CA365" t="e">
        <f>AND(#REF!,"AAAAAHX7/04=")</f>
        <v>#REF!</v>
      </c>
      <c r="CB365" t="e">
        <f>AND(#REF!,"AAAAAHX7/08=")</f>
        <v>#REF!</v>
      </c>
      <c r="CC365" t="e">
        <f>AND(#REF!,"AAAAAHX7/1A=")</f>
        <v>#REF!</v>
      </c>
      <c r="CD365" t="e">
        <f>IF(#REF!,"AAAAAHX7/1E=",0)</f>
        <v>#REF!</v>
      </c>
      <c r="CE365" t="e">
        <f>AND(#REF!,"AAAAAHX7/1I=")</f>
        <v>#REF!</v>
      </c>
      <c r="CF365" t="e">
        <f>AND(#REF!,"AAAAAHX7/1M=")</f>
        <v>#REF!</v>
      </c>
      <c r="CG365" t="e">
        <f>AND(#REF!,"AAAAAHX7/1Q=")</f>
        <v>#REF!</v>
      </c>
      <c r="CH365" t="e">
        <f>AND(#REF!,"AAAAAHX7/1U=")</f>
        <v>#REF!</v>
      </c>
      <c r="CI365" t="e">
        <f>AND(#REF!,"AAAAAHX7/1Y=")</f>
        <v>#REF!</v>
      </c>
      <c r="CJ365" t="e">
        <f>AND(#REF!,"AAAAAHX7/1c=")</f>
        <v>#REF!</v>
      </c>
      <c r="CK365" t="e">
        <f>AND(#REF!,"AAAAAHX7/1g=")</f>
        <v>#REF!</v>
      </c>
      <c r="CL365" t="e">
        <f>AND(#REF!,"AAAAAHX7/1k=")</f>
        <v>#REF!</v>
      </c>
      <c r="CM365" t="e">
        <f>AND(#REF!,"AAAAAHX7/1o=")</f>
        <v>#REF!</v>
      </c>
      <c r="CN365" t="e">
        <f>AND(#REF!,"AAAAAHX7/1s=")</f>
        <v>#REF!</v>
      </c>
      <c r="CO365" t="e">
        <f>IF(#REF!,"AAAAAHX7/1w=",0)</f>
        <v>#REF!</v>
      </c>
      <c r="CP365" t="e">
        <f>AND(#REF!,"AAAAAHX7/10=")</f>
        <v>#REF!</v>
      </c>
      <c r="CQ365" t="e">
        <f>AND(#REF!,"AAAAAHX7/14=")</f>
        <v>#REF!</v>
      </c>
      <c r="CR365" t="e">
        <f>AND(#REF!,"AAAAAHX7/18=")</f>
        <v>#REF!</v>
      </c>
      <c r="CS365" t="e">
        <f>AND(#REF!,"AAAAAHX7/2A=")</f>
        <v>#REF!</v>
      </c>
      <c r="CT365" t="e">
        <f>AND(#REF!,"AAAAAHX7/2E=")</f>
        <v>#REF!</v>
      </c>
      <c r="CU365" t="e">
        <f>AND(#REF!,"AAAAAHX7/2I=")</f>
        <v>#REF!</v>
      </c>
      <c r="CV365" t="e">
        <f>AND(#REF!,"AAAAAHX7/2M=")</f>
        <v>#REF!</v>
      </c>
      <c r="CW365" t="e">
        <f>AND(#REF!,"AAAAAHX7/2Q=")</f>
        <v>#REF!</v>
      </c>
      <c r="CX365" t="e">
        <f>AND(#REF!,"AAAAAHX7/2U=")</f>
        <v>#REF!</v>
      </c>
      <c r="CY365" t="e">
        <f>AND(#REF!,"AAAAAHX7/2Y=")</f>
        <v>#REF!</v>
      </c>
      <c r="CZ365" t="e">
        <f>IF(#REF!,"AAAAAHX7/2c=",0)</f>
        <v>#REF!</v>
      </c>
      <c r="DA365" t="e">
        <f>AND(#REF!,"AAAAAHX7/2g=")</f>
        <v>#REF!</v>
      </c>
      <c r="DB365" t="e">
        <f>AND(#REF!,"AAAAAHX7/2k=")</f>
        <v>#REF!</v>
      </c>
      <c r="DC365" t="e">
        <f>AND(#REF!,"AAAAAHX7/2o=")</f>
        <v>#REF!</v>
      </c>
      <c r="DD365" t="e">
        <f>AND(#REF!,"AAAAAHX7/2s=")</f>
        <v>#REF!</v>
      </c>
      <c r="DE365" t="e">
        <f>AND(#REF!,"AAAAAHX7/2w=")</f>
        <v>#REF!</v>
      </c>
      <c r="DF365" t="e">
        <f>AND(#REF!,"AAAAAHX7/20=")</f>
        <v>#REF!</v>
      </c>
      <c r="DG365" t="e">
        <f>AND(#REF!,"AAAAAHX7/24=")</f>
        <v>#REF!</v>
      </c>
      <c r="DH365" t="e">
        <f>AND(#REF!,"AAAAAHX7/28=")</f>
        <v>#REF!</v>
      </c>
      <c r="DI365" t="e">
        <f>AND(#REF!,"AAAAAHX7/3A=")</f>
        <v>#REF!</v>
      </c>
      <c r="DJ365" t="e">
        <f>AND(#REF!,"AAAAAHX7/3E=")</f>
        <v>#REF!</v>
      </c>
      <c r="DK365" t="e">
        <f>IF(#REF!,"AAAAAHX7/3I=",0)</f>
        <v>#REF!</v>
      </c>
      <c r="DL365" t="e">
        <f>AND(#REF!,"AAAAAHX7/3M=")</f>
        <v>#REF!</v>
      </c>
      <c r="DM365" t="e">
        <f>AND(#REF!,"AAAAAHX7/3Q=")</f>
        <v>#REF!</v>
      </c>
      <c r="DN365" t="e">
        <f>AND(#REF!,"AAAAAHX7/3U=")</f>
        <v>#REF!</v>
      </c>
      <c r="DO365" t="e">
        <f>AND(#REF!,"AAAAAHX7/3Y=")</f>
        <v>#REF!</v>
      </c>
      <c r="DP365" t="e">
        <f>AND(#REF!,"AAAAAHX7/3c=")</f>
        <v>#REF!</v>
      </c>
      <c r="DQ365" t="e">
        <f>AND(#REF!,"AAAAAHX7/3g=")</f>
        <v>#REF!</v>
      </c>
      <c r="DR365" t="e">
        <f>AND(#REF!,"AAAAAHX7/3k=")</f>
        <v>#REF!</v>
      </c>
      <c r="DS365" t="e">
        <f>AND(#REF!,"AAAAAHX7/3o=")</f>
        <v>#REF!</v>
      </c>
      <c r="DT365" t="e">
        <f>AND(#REF!,"AAAAAHX7/3s=")</f>
        <v>#REF!</v>
      </c>
      <c r="DU365" t="e">
        <f>AND(#REF!,"AAAAAHX7/3w=")</f>
        <v>#REF!</v>
      </c>
      <c r="DV365" t="e">
        <f>IF(#REF!,"AAAAAHX7/30=",0)</f>
        <v>#REF!</v>
      </c>
      <c r="DW365" t="e">
        <f>AND(#REF!,"AAAAAHX7/34=")</f>
        <v>#REF!</v>
      </c>
      <c r="DX365" t="e">
        <f>AND(#REF!,"AAAAAHX7/38=")</f>
        <v>#REF!</v>
      </c>
      <c r="DY365" t="e">
        <f>AND(#REF!,"AAAAAHX7/4A=")</f>
        <v>#REF!</v>
      </c>
      <c r="DZ365" t="e">
        <f>AND(#REF!,"AAAAAHX7/4E=")</f>
        <v>#REF!</v>
      </c>
      <c r="EA365" t="e">
        <f>AND(#REF!,"AAAAAHX7/4I=")</f>
        <v>#REF!</v>
      </c>
      <c r="EB365" t="e">
        <f>AND(#REF!,"AAAAAHX7/4M=")</f>
        <v>#REF!</v>
      </c>
      <c r="EC365" t="e">
        <f>AND(#REF!,"AAAAAHX7/4Q=")</f>
        <v>#REF!</v>
      </c>
      <c r="ED365" t="e">
        <f>AND(#REF!,"AAAAAHX7/4U=")</f>
        <v>#REF!</v>
      </c>
      <c r="EE365" t="e">
        <f>AND(#REF!,"AAAAAHX7/4Y=")</f>
        <v>#REF!</v>
      </c>
      <c r="EF365" t="e">
        <f>AND(#REF!,"AAAAAHX7/4c=")</f>
        <v>#REF!</v>
      </c>
      <c r="EG365" t="e">
        <f>IF(#REF!,"AAAAAHX7/4g=",0)</f>
        <v>#REF!</v>
      </c>
      <c r="EH365" t="e">
        <f>AND(#REF!,"AAAAAHX7/4k=")</f>
        <v>#REF!</v>
      </c>
      <c r="EI365" t="e">
        <f>AND(#REF!,"AAAAAHX7/4o=")</f>
        <v>#REF!</v>
      </c>
      <c r="EJ365" t="e">
        <f>AND(#REF!,"AAAAAHX7/4s=")</f>
        <v>#REF!</v>
      </c>
      <c r="EK365" t="e">
        <f>AND(#REF!,"AAAAAHX7/4w=")</f>
        <v>#REF!</v>
      </c>
      <c r="EL365" t="e">
        <f>AND(#REF!,"AAAAAHX7/40=")</f>
        <v>#REF!</v>
      </c>
      <c r="EM365" t="e">
        <f>AND(#REF!,"AAAAAHX7/44=")</f>
        <v>#REF!</v>
      </c>
      <c r="EN365" t="e">
        <f>AND(#REF!,"AAAAAHX7/48=")</f>
        <v>#REF!</v>
      </c>
      <c r="EO365" t="e">
        <f>AND(#REF!,"AAAAAHX7/5A=")</f>
        <v>#REF!</v>
      </c>
      <c r="EP365" t="e">
        <f>AND(#REF!,"AAAAAHX7/5E=")</f>
        <v>#REF!</v>
      </c>
      <c r="EQ365" t="e">
        <f>AND(#REF!,"AAAAAHX7/5I=")</f>
        <v>#REF!</v>
      </c>
      <c r="ER365" t="e">
        <f>IF(#REF!,"AAAAAHX7/5M=",0)</f>
        <v>#REF!</v>
      </c>
      <c r="ES365" t="e">
        <f>AND(#REF!,"AAAAAHX7/5Q=")</f>
        <v>#REF!</v>
      </c>
      <c r="ET365" t="e">
        <f>AND(#REF!,"AAAAAHX7/5U=")</f>
        <v>#REF!</v>
      </c>
      <c r="EU365" t="e">
        <f>AND(#REF!,"AAAAAHX7/5Y=")</f>
        <v>#REF!</v>
      </c>
      <c r="EV365" t="e">
        <f>AND(#REF!,"AAAAAHX7/5c=")</f>
        <v>#REF!</v>
      </c>
      <c r="EW365" t="e">
        <f>AND(#REF!,"AAAAAHX7/5g=")</f>
        <v>#REF!</v>
      </c>
      <c r="EX365" t="e">
        <f>AND(#REF!,"AAAAAHX7/5k=")</f>
        <v>#REF!</v>
      </c>
      <c r="EY365" t="e">
        <f>AND(#REF!,"AAAAAHX7/5o=")</f>
        <v>#REF!</v>
      </c>
      <c r="EZ365" t="e">
        <f>AND(#REF!,"AAAAAHX7/5s=")</f>
        <v>#REF!</v>
      </c>
      <c r="FA365" t="e">
        <f>AND(#REF!,"AAAAAHX7/5w=")</f>
        <v>#REF!</v>
      </c>
      <c r="FB365" t="e">
        <f>AND(#REF!,"AAAAAHX7/50=")</f>
        <v>#REF!</v>
      </c>
      <c r="FC365" t="e">
        <f>IF(#REF!,"AAAAAHX7/54=",0)</f>
        <v>#REF!</v>
      </c>
      <c r="FD365" t="e">
        <f>AND(#REF!,"AAAAAHX7/58=")</f>
        <v>#REF!</v>
      </c>
      <c r="FE365" t="e">
        <f>AND(#REF!,"AAAAAHX7/6A=")</f>
        <v>#REF!</v>
      </c>
      <c r="FF365" t="e">
        <f>AND(#REF!,"AAAAAHX7/6E=")</f>
        <v>#REF!</v>
      </c>
      <c r="FG365" t="e">
        <f>AND(#REF!,"AAAAAHX7/6I=")</f>
        <v>#REF!</v>
      </c>
      <c r="FH365" t="e">
        <f>AND(#REF!,"AAAAAHX7/6M=")</f>
        <v>#REF!</v>
      </c>
      <c r="FI365" t="e">
        <f>AND(#REF!,"AAAAAHX7/6Q=")</f>
        <v>#REF!</v>
      </c>
      <c r="FJ365" t="e">
        <f>AND(#REF!,"AAAAAHX7/6U=")</f>
        <v>#REF!</v>
      </c>
      <c r="FK365" t="e">
        <f>AND(#REF!,"AAAAAHX7/6Y=")</f>
        <v>#REF!</v>
      </c>
      <c r="FL365" t="e">
        <f>AND(#REF!,"AAAAAHX7/6c=")</f>
        <v>#REF!</v>
      </c>
      <c r="FM365" t="e">
        <f>AND(#REF!,"AAAAAHX7/6g=")</f>
        <v>#REF!</v>
      </c>
      <c r="FN365" t="e">
        <f>IF(#REF!,"AAAAAHX7/6k=",0)</f>
        <v>#REF!</v>
      </c>
      <c r="FO365" t="e">
        <f>AND(#REF!,"AAAAAHX7/6o=")</f>
        <v>#REF!</v>
      </c>
      <c r="FP365" t="e">
        <f>AND(#REF!,"AAAAAHX7/6s=")</f>
        <v>#REF!</v>
      </c>
      <c r="FQ365" t="e">
        <f>AND(#REF!,"AAAAAHX7/6w=")</f>
        <v>#REF!</v>
      </c>
      <c r="FR365" t="e">
        <f>AND(#REF!,"AAAAAHX7/60=")</f>
        <v>#REF!</v>
      </c>
      <c r="FS365" t="e">
        <f>AND(#REF!,"AAAAAHX7/64=")</f>
        <v>#REF!</v>
      </c>
      <c r="FT365" t="e">
        <f>AND(#REF!,"AAAAAHX7/68=")</f>
        <v>#REF!</v>
      </c>
      <c r="FU365" t="e">
        <f>AND(#REF!,"AAAAAHX7/7A=")</f>
        <v>#REF!</v>
      </c>
      <c r="FV365" t="e">
        <f>AND(#REF!,"AAAAAHX7/7E=")</f>
        <v>#REF!</v>
      </c>
      <c r="FW365" t="e">
        <f>AND(#REF!,"AAAAAHX7/7I=")</f>
        <v>#REF!</v>
      </c>
      <c r="FX365" t="e">
        <f>AND(#REF!,"AAAAAHX7/7M=")</f>
        <v>#REF!</v>
      </c>
      <c r="FY365" t="e">
        <f>IF(#REF!,"AAAAAHX7/7Q=",0)</f>
        <v>#REF!</v>
      </c>
      <c r="FZ365" t="e">
        <f>AND(#REF!,"AAAAAHX7/7U=")</f>
        <v>#REF!</v>
      </c>
      <c r="GA365" t="e">
        <f>AND(#REF!,"AAAAAHX7/7Y=")</f>
        <v>#REF!</v>
      </c>
      <c r="GB365" t="e">
        <f>AND(#REF!,"AAAAAHX7/7c=")</f>
        <v>#REF!</v>
      </c>
      <c r="GC365" t="e">
        <f>AND(#REF!,"AAAAAHX7/7g=")</f>
        <v>#REF!</v>
      </c>
      <c r="GD365" t="e">
        <f>AND(#REF!,"AAAAAHX7/7k=")</f>
        <v>#REF!</v>
      </c>
      <c r="GE365" t="e">
        <f>AND(#REF!,"AAAAAHX7/7o=")</f>
        <v>#REF!</v>
      </c>
      <c r="GF365" t="e">
        <f>AND(#REF!,"AAAAAHX7/7s=")</f>
        <v>#REF!</v>
      </c>
      <c r="GG365" t="e">
        <f>AND(#REF!,"AAAAAHX7/7w=")</f>
        <v>#REF!</v>
      </c>
      <c r="GH365" t="e">
        <f>AND(#REF!,"AAAAAHX7/70=")</f>
        <v>#REF!</v>
      </c>
      <c r="GI365" t="e">
        <f>AND(#REF!,"AAAAAHX7/74=")</f>
        <v>#REF!</v>
      </c>
      <c r="GJ365" t="e">
        <f>IF(#REF!,"AAAAAHX7/78=",0)</f>
        <v>#REF!</v>
      </c>
      <c r="GK365" t="e">
        <f>AND(#REF!,"AAAAAHX7/8A=")</f>
        <v>#REF!</v>
      </c>
      <c r="GL365" t="e">
        <f>AND(#REF!,"AAAAAHX7/8E=")</f>
        <v>#REF!</v>
      </c>
      <c r="GM365" t="e">
        <f>AND(#REF!,"AAAAAHX7/8I=")</f>
        <v>#REF!</v>
      </c>
      <c r="GN365" t="e">
        <f>AND(#REF!,"AAAAAHX7/8M=")</f>
        <v>#REF!</v>
      </c>
      <c r="GO365" t="e">
        <f>AND(#REF!,"AAAAAHX7/8Q=")</f>
        <v>#REF!</v>
      </c>
      <c r="GP365" t="e">
        <f>AND(#REF!,"AAAAAHX7/8U=")</f>
        <v>#REF!</v>
      </c>
      <c r="GQ365" t="e">
        <f>AND(#REF!,"AAAAAHX7/8Y=")</f>
        <v>#REF!</v>
      </c>
      <c r="GR365" t="e">
        <f>AND(#REF!,"AAAAAHX7/8c=")</f>
        <v>#REF!</v>
      </c>
      <c r="GS365" t="e">
        <f>AND(#REF!,"AAAAAHX7/8g=")</f>
        <v>#REF!</v>
      </c>
      <c r="GT365" t="e">
        <f>AND(#REF!,"AAAAAHX7/8k=")</f>
        <v>#REF!</v>
      </c>
      <c r="GU365" t="e">
        <f>IF(#REF!,"AAAAAHX7/8o=",0)</f>
        <v>#REF!</v>
      </c>
      <c r="GV365" t="e">
        <f>AND(#REF!,"AAAAAHX7/8s=")</f>
        <v>#REF!</v>
      </c>
      <c r="GW365" t="e">
        <f>AND(#REF!,"AAAAAHX7/8w=")</f>
        <v>#REF!</v>
      </c>
      <c r="GX365" t="e">
        <f>AND(#REF!,"AAAAAHX7/80=")</f>
        <v>#REF!</v>
      </c>
      <c r="GY365" t="e">
        <f>AND(#REF!,"AAAAAHX7/84=")</f>
        <v>#REF!</v>
      </c>
      <c r="GZ365" t="e">
        <f>AND(#REF!,"AAAAAHX7/88=")</f>
        <v>#REF!</v>
      </c>
      <c r="HA365" t="e">
        <f>AND(#REF!,"AAAAAHX7/9A=")</f>
        <v>#REF!</v>
      </c>
      <c r="HB365" t="e">
        <f>AND(#REF!,"AAAAAHX7/9E=")</f>
        <v>#REF!</v>
      </c>
      <c r="HC365" t="e">
        <f>AND(#REF!,"AAAAAHX7/9I=")</f>
        <v>#REF!</v>
      </c>
      <c r="HD365" t="e">
        <f>AND(#REF!,"AAAAAHX7/9M=")</f>
        <v>#REF!</v>
      </c>
      <c r="HE365" t="e">
        <f>AND(#REF!,"AAAAAHX7/9Q=")</f>
        <v>#REF!</v>
      </c>
      <c r="HF365" t="e">
        <f>IF(#REF!,"AAAAAHX7/9U=",0)</f>
        <v>#REF!</v>
      </c>
      <c r="HG365" t="e">
        <f>AND(#REF!,"AAAAAHX7/9Y=")</f>
        <v>#REF!</v>
      </c>
      <c r="HH365" t="e">
        <f>AND(#REF!,"AAAAAHX7/9c=")</f>
        <v>#REF!</v>
      </c>
      <c r="HI365" t="e">
        <f>AND(#REF!,"AAAAAHX7/9g=")</f>
        <v>#REF!</v>
      </c>
      <c r="HJ365" t="e">
        <f>AND(#REF!,"AAAAAHX7/9k=")</f>
        <v>#REF!</v>
      </c>
      <c r="HK365" t="e">
        <f>AND(#REF!,"AAAAAHX7/9o=")</f>
        <v>#REF!</v>
      </c>
      <c r="HL365" t="e">
        <f>AND(#REF!,"AAAAAHX7/9s=")</f>
        <v>#REF!</v>
      </c>
      <c r="HM365" t="e">
        <f>AND(#REF!,"AAAAAHX7/9w=")</f>
        <v>#REF!</v>
      </c>
      <c r="HN365" t="e">
        <f>AND(#REF!,"AAAAAHX7/90=")</f>
        <v>#REF!</v>
      </c>
      <c r="HO365" t="e">
        <f>AND(#REF!,"AAAAAHX7/94=")</f>
        <v>#REF!</v>
      </c>
      <c r="HP365" t="e">
        <f>AND(#REF!,"AAAAAHX7/98=")</f>
        <v>#REF!</v>
      </c>
      <c r="HQ365" t="e">
        <f>IF(#REF!,"AAAAAHX7/+A=",0)</f>
        <v>#REF!</v>
      </c>
      <c r="HR365" t="e">
        <f>AND(#REF!,"AAAAAHX7/+E=")</f>
        <v>#REF!</v>
      </c>
      <c r="HS365" t="e">
        <f>AND(#REF!,"AAAAAHX7/+I=")</f>
        <v>#REF!</v>
      </c>
      <c r="HT365" t="e">
        <f>AND(#REF!,"AAAAAHX7/+M=")</f>
        <v>#REF!</v>
      </c>
      <c r="HU365" t="e">
        <f>AND(#REF!,"AAAAAHX7/+Q=")</f>
        <v>#REF!</v>
      </c>
      <c r="HV365" t="e">
        <f>AND(#REF!,"AAAAAHX7/+U=")</f>
        <v>#REF!</v>
      </c>
      <c r="HW365" t="e">
        <f>AND(#REF!,"AAAAAHX7/+Y=")</f>
        <v>#REF!</v>
      </c>
      <c r="HX365" t="e">
        <f>AND(#REF!,"AAAAAHX7/+c=")</f>
        <v>#REF!</v>
      </c>
      <c r="HY365" t="e">
        <f>AND(#REF!,"AAAAAHX7/+g=")</f>
        <v>#REF!</v>
      </c>
      <c r="HZ365" t="e">
        <f>AND(#REF!,"AAAAAHX7/+k=")</f>
        <v>#REF!</v>
      </c>
      <c r="IA365" t="e">
        <f>AND(#REF!,"AAAAAHX7/+o=")</f>
        <v>#REF!</v>
      </c>
      <c r="IB365" t="e">
        <f>IF(#REF!,"AAAAAHX7/+s=",0)</f>
        <v>#REF!</v>
      </c>
      <c r="IC365" t="e">
        <f>AND(#REF!,"AAAAAHX7/+w=")</f>
        <v>#REF!</v>
      </c>
      <c r="ID365" t="e">
        <f>AND(#REF!,"AAAAAHX7/+0=")</f>
        <v>#REF!</v>
      </c>
      <c r="IE365" t="e">
        <f>AND(#REF!,"AAAAAHX7/+4=")</f>
        <v>#REF!</v>
      </c>
      <c r="IF365" t="e">
        <f>AND(#REF!,"AAAAAHX7/+8=")</f>
        <v>#REF!</v>
      </c>
      <c r="IG365" t="e">
        <f>AND(#REF!,"AAAAAHX7//A=")</f>
        <v>#REF!</v>
      </c>
      <c r="IH365" t="e">
        <f>AND(#REF!,"AAAAAHX7//E=")</f>
        <v>#REF!</v>
      </c>
      <c r="II365" t="e">
        <f>AND(#REF!,"AAAAAHX7//I=")</f>
        <v>#REF!</v>
      </c>
      <c r="IJ365" t="e">
        <f>AND(#REF!,"AAAAAHX7//M=")</f>
        <v>#REF!</v>
      </c>
      <c r="IK365" t="e">
        <f>AND(#REF!,"AAAAAHX7//Q=")</f>
        <v>#REF!</v>
      </c>
      <c r="IL365" t="e">
        <f>AND(#REF!,"AAAAAHX7//U=")</f>
        <v>#REF!</v>
      </c>
      <c r="IM365" t="e">
        <f>IF(#REF!,"AAAAAHX7//Y=",0)</f>
        <v>#REF!</v>
      </c>
      <c r="IN365" t="e">
        <f>AND(#REF!,"AAAAAHX7//c=")</f>
        <v>#REF!</v>
      </c>
      <c r="IO365" t="e">
        <f>AND(#REF!,"AAAAAHX7//g=")</f>
        <v>#REF!</v>
      </c>
      <c r="IP365" t="e">
        <f>AND(#REF!,"AAAAAHX7//k=")</f>
        <v>#REF!</v>
      </c>
      <c r="IQ365" t="e">
        <f>AND(#REF!,"AAAAAHX7//o=")</f>
        <v>#REF!</v>
      </c>
      <c r="IR365" t="e">
        <f>AND(#REF!,"AAAAAHX7//s=")</f>
        <v>#REF!</v>
      </c>
      <c r="IS365" t="e">
        <f>AND(#REF!,"AAAAAHX7//w=")</f>
        <v>#REF!</v>
      </c>
      <c r="IT365" t="e">
        <f>AND(#REF!,"AAAAAHX7//0=")</f>
        <v>#REF!</v>
      </c>
      <c r="IU365" t="e">
        <f>AND(#REF!,"AAAAAHX7//4=")</f>
        <v>#REF!</v>
      </c>
      <c r="IV365" t="e">
        <f>AND(#REF!,"AAAAAHX7//8=")</f>
        <v>#REF!</v>
      </c>
    </row>
    <row r="366" spans="1:256" x14ac:dyDescent="0.25">
      <c r="A366" t="e">
        <f>AND(#REF!,"AAAAAB2/cQA=")</f>
        <v>#REF!</v>
      </c>
      <c r="B366" t="e">
        <f>IF(#REF!,"AAAAAB2/cQE=",0)</f>
        <v>#REF!</v>
      </c>
      <c r="C366" t="e">
        <f>AND(#REF!,"AAAAAB2/cQI=")</f>
        <v>#REF!</v>
      </c>
      <c r="D366" t="e">
        <f>AND(#REF!,"AAAAAB2/cQM=")</f>
        <v>#REF!</v>
      </c>
      <c r="E366" t="e">
        <f>AND(#REF!,"AAAAAB2/cQQ=")</f>
        <v>#REF!</v>
      </c>
      <c r="F366" t="e">
        <f>AND(#REF!,"AAAAAB2/cQU=")</f>
        <v>#REF!</v>
      </c>
      <c r="G366" t="e">
        <f>AND(#REF!,"AAAAAB2/cQY=")</f>
        <v>#REF!</v>
      </c>
      <c r="H366" t="e">
        <f>AND(#REF!,"AAAAAB2/cQc=")</f>
        <v>#REF!</v>
      </c>
      <c r="I366" t="e">
        <f>AND(#REF!,"AAAAAB2/cQg=")</f>
        <v>#REF!</v>
      </c>
      <c r="J366" t="e">
        <f>AND(#REF!,"AAAAAB2/cQk=")</f>
        <v>#REF!</v>
      </c>
      <c r="K366" t="e">
        <f>AND(#REF!,"AAAAAB2/cQo=")</f>
        <v>#REF!</v>
      </c>
      <c r="L366" t="e">
        <f>AND(#REF!,"AAAAAB2/cQs=")</f>
        <v>#REF!</v>
      </c>
      <c r="M366" t="e">
        <f>IF(#REF!,"AAAAAB2/cQw=",0)</f>
        <v>#REF!</v>
      </c>
      <c r="N366" t="e">
        <f>AND(#REF!,"AAAAAB2/cQ0=")</f>
        <v>#REF!</v>
      </c>
      <c r="O366" t="e">
        <f>AND(#REF!,"AAAAAB2/cQ4=")</f>
        <v>#REF!</v>
      </c>
      <c r="P366" t="e">
        <f>AND(#REF!,"AAAAAB2/cQ8=")</f>
        <v>#REF!</v>
      </c>
      <c r="Q366" t="e">
        <f>AND(#REF!,"AAAAAB2/cRA=")</f>
        <v>#REF!</v>
      </c>
      <c r="R366" t="e">
        <f>AND(#REF!,"AAAAAB2/cRE=")</f>
        <v>#REF!</v>
      </c>
      <c r="S366" t="e">
        <f>AND(#REF!,"AAAAAB2/cRI=")</f>
        <v>#REF!</v>
      </c>
      <c r="T366" t="e">
        <f>AND(#REF!,"AAAAAB2/cRM=")</f>
        <v>#REF!</v>
      </c>
      <c r="U366" t="e">
        <f>AND(#REF!,"AAAAAB2/cRQ=")</f>
        <v>#REF!</v>
      </c>
      <c r="V366" t="e">
        <f>AND(#REF!,"AAAAAB2/cRU=")</f>
        <v>#REF!</v>
      </c>
      <c r="W366" t="e">
        <f>AND(#REF!,"AAAAAB2/cRY=")</f>
        <v>#REF!</v>
      </c>
      <c r="X366" t="e">
        <f>IF(#REF!,"AAAAAB2/cRc=",0)</f>
        <v>#REF!</v>
      </c>
      <c r="Y366" t="e">
        <f>AND(#REF!,"AAAAAB2/cRg=")</f>
        <v>#REF!</v>
      </c>
      <c r="Z366" t="e">
        <f>AND(#REF!,"AAAAAB2/cRk=")</f>
        <v>#REF!</v>
      </c>
      <c r="AA366" t="e">
        <f>AND(#REF!,"AAAAAB2/cRo=")</f>
        <v>#REF!</v>
      </c>
      <c r="AB366" t="e">
        <f>AND(#REF!,"AAAAAB2/cRs=")</f>
        <v>#REF!</v>
      </c>
      <c r="AC366" t="e">
        <f>AND(#REF!,"AAAAAB2/cRw=")</f>
        <v>#REF!</v>
      </c>
      <c r="AD366" t="e">
        <f>AND(#REF!,"AAAAAB2/cR0=")</f>
        <v>#REF!</v>
      </c>
      <c r="AE366" t="e">
        <f>AND(#REF!,"AAAAAB2/cR4=")</f>
        <v>#REF!</v>
      </c>
      <c r="AF366" t="e">
        <f>AND(#REF!,"AAAAAB2/cR8=")</f>
        <v>#REF!</v>
      </c>
      <c r="AG366" t="e">
        <f>AND(#REF!,"AAAAAB2/cSA=")</f>
        <v>#REF!</v>
      </c>
      <c r="AH366" t="e">
        <f>AND(#REF!,"AAAAAB2/cSE=")</f>
        <v>#REF!</v>
      </c>
      <c r="AI366" t="e">
        <f>IF(#REF!,"AAAAAB2/cSI=",0)</f>
        <v>#REF!</v>
      </c>
      <c r="AJ366" t="e">
        <f>AND(#REF!,"AAAAAB2/cSM=")</f>
        <v>#REF!</v>
      </c>
      <c r="AK366" t="e">
        <f>AND(#REF!,"AAAAAB2/cSQ=")</f>
        <v>#REF!</v>
      </c>
      <c r="AL366" t="e">
        <f>AND(#REF!,"AAAAAB2/cSU=")</f>
        <v>#REF!</v>
      </c>
      <c r="AM366" t="e">
        <f>AND(#REF!,"AAAAAB2/cSY=")</f>
        <v>#REF!</v>
      </c>
      <c r="AN366" t="e">
        <f>AND(#REF!,"AAAAAB2/cSc=")</f>
        <v>#REF!</v>
      </c>
      <c r="AO366" t="e">
        <f>AND(#REF!,"AAAAAB2/cSg=")</f>
        <v>#REF!</v>
      </c>
      <c r="AP366" t="e">
        <f>AND(#REF!,"AAAAAB2/cSk=")</f>
        <v>#REF!</v>
      </c>
      <c r="AQ366" t="e">
        <f>AND(#REF!,"AAAAAB2/cSo=")</f>
        <v>#REF!</v>
      </c>
      <c r="AR366" t="e">
        <f>AND(#REF!,"AAAAAB2/cSs=")</f>
        <v>#REF!</v>
      </c>
      <c r="AS366" t="e">
        <f>AND(#REF!,"AAAAAB2/cSw=")</f>
        <v>#REF!</v>
      </c>
      <c r="AT366" t="e">
        <f>IF(#REF!,"AAAAAB2/cS0=",0)</f>
        <v>#REF!</v>
      </c>
      <c r="AU366" t="e">
        <f>AND(#REF!,"AAAAAB2/cS4=")</f>
        <v>#REF!</v>
      </c>
      <c r="AV366" t="e">
        <f>AND(#REF!,"AAAAAB2/cS8=")</f>
        <v>#REF!</v>
      </c>
      <c r="AW366" t="e">
        <f>AND(#REF!,"AAAAAB2/cTA=")</f>
        <v>#REF!</v>
      </c>
      <c r="AX366" t="e">
        <f>AND(#REF!,"AAAAAB2/cTE=")</f>
        <v>#REF!</v>
      </c>
      <c r="AY366" t="e">
        <f>AND(#REF!,"AAAAAB2/cTI=")</f>
        <v>#REF!</v>
      </c>
      <c r="AZ366" t="e">
        <f>AND(#REF!,"AAAAAB2/cTM=")</f>
        <v>#REF!</v>
      </c>
      <c r="BA366" t="e">
        <f>AND(#REF!,"AAAAAB2/cTQ=")</f>
        <v>#REF!</v>
      </c>
      <c r="BB366" t="e">
        <f>AND(#REF!,"AAAAAB2/cTU=")</f>
        <v>#REF!</v>
      </c>
      <c r="BC366" t="e">
        <f>AND(#REF!,"AAAAAB2/cTY=")</f>
        <v>#REF!</v>
      </c>
      <c r="BD366" t="e">
        <f>AND(#REF!,"AAAAAB2/cTc=")</f>
        <v>#REF!</v>
      </c>
      <c r="BE366" t="e">
        <f>IF(#REF!,"AAAAAB2/cTg=",0)</f>
        <v>#REF!</v>
      </c>
      <c r="BF366" t="e">
        <f>AND(#REF!,"AAAAAB2/cTk=")</f>
        <v>#REF!</v>
      </c>
      <c r="BG366" t="e">
        <f>AND(#REF!,"AAAAAB2/cTo=")</f>
        <v>#REF!</v>
      </c>
      <c r="BH366" t="e">
        <f>AND(#REF!,"AAAAAB2/cTs=")</f>
        <v>#REF!</v>
      </c>
      <c r="BI366" t="e">
        <f>AND(#REF!,"AAAAAB2/cTw=")</f>
        <v>#REF!</v>
      </c>
      <c r="BJ366" t="e">
        <f>AND(#REF!,"AAAAAB2/cT0=")</f>
        <v>#REF!</v>
      </c>
      <c r="BK366" t="e">
        <f>AND(#REF!,"AAAAAB2/cT4=")</f>
        <v>#REF!</v>
      </c>
      <c r="BL366" t="e">
        <f>AND(#REF!,"AAAAAB2/cT8=")</f>
        <v>#REF!</v>
      </c>
      <c r="BM366" t="e">
        <f>AND(#REF!,"AAAAAB2/cUA=")</f>
        <v>#REF!</v>
      </c>
      <c r="BN366" t="e">
        <f>AND(#REF!,"AAAAAB2/cUE=")</f>
        <v>#REF!</v>
      </c>
      <c r="BO366" t="e">
        <f>AND(#REF!,"AAAAAB2/cUI=")</f>
        <v>#REF!</v>
      </c>
      <c r="BP366" t="e">
        <f>IF(#REF!,"AAAAAB2/cUM=",0)</f>
        <v>#REF!</v>
      </c>
      <c r="BQ366" t="e">
        <f>AND(#REF!,"AAAAAB2/cUQ=")</f>
        <v>#REF!</v>
      </c>
      <c r="BR366" t="e">
        <f>AND(#REF!,"AAAAAB2/cUU=")</f>
        <v>#REF!</v>
      </c>
      <c r="BS366" t="e">
        <f>AND(#REF!,"AAAAAB2/cUY=")</f>
        <v>#REF!</v>
      </c>
      <c r="BT366" t="e">
        <f>AND(#REF!,"AAAAAB2/cUc=")</f>
        <v>#REF!</v>
      </c>
      <c r="BU366" t="e">
        <f>AND(#REF!,"AAAAAB2/cUg=")</f>
        <v>#REF!</v>
      </c>
      <c r="BV366" t="e">
        <f>AND(#REF!,"AAAAAB2/cUk=")</f>
        <v>#REF!</v>
      </c>
      <c r="BW366" t="e">
        <f>AND(#REF!,"AAAAAB2/cUo=")</f>
        <v>#REF!</v>
      </c>
      <c r="BX366" t="e">
        <f>AND(#REF!,"AAAAAB2/cUs=")</f>
        <v>#REF!</v>
      </c>
      <c r="BY366" t="e">
        <f>AND(#REF!,"AAAAAB2/cUw=")</f>
        <v>#REF!</v>
      </c>
      <c r="BZ366" t="e">
        <f>AND(#REF!,"AAAAAB2/cU0=")</f>
        <v>#REF!</v>
      </c>
      <c r="CA366" t="e">
        <f>IF(#REF!,"AAAAAB2/cU4=",0)</f>
        <v>#REF!</v>
      </c>
      <c r="CB366" t="e">
        <f>AND(#REF!,"AAAAAB2/cU8=")</f>
        <v>#REF!</v>
      </c>
      <c r="CC366" t="e">
        <f>AND(#REF!,"AAAAAB2/cVA=")</f>
        <v>#REF!</v>
      </c>
      <c r="CD366" t="e">
        <f>AND(#REF!,"AAAAAB2/cVE=")</f>
        <v>#REF!</v>
      </c>
      <c r="CE366" t="e">
        <f>AND(#REF!,"AAAAAB2/cVI=")</f>
        <v>#REF!</v>
      </c>
      <c r="CF366" t="e">
        <f>AND(#REF!,"AAAAAB2/cVM=")</f>
        <v>#REF!</v>
      </c>
      <c r="CG366" t="e">
        <f>AND(#REF!,"AAAAAB2/cVQ=")</f>
        <v>#REF!</v>
      </c>
      <c r="CH366" t="e">
        <f>AND(#REF!,"AAAAAB2/cVU=")</f>
        <v>#REF!</v>
      </c>
      <c r="CI366" t="e">
        <f>AND(#REF!,"AAAAAB2/cVY=")</f>
        <v>#REF!</v>
      </c>
      <c r="CJ366" t="e">
        <f>AND(#REF!,"AAAAAB2/cVc=")</f>
        <v>#REF!</v>
      </c>
      <c r="CK366" t="e">
        <f>AND(#REF!,"AAAAAB2/cVg=")</f>
        <v>#REF!</v>
      </c>
      <c r="CL366" t="e">
        <f>IF(#REF!,"AAAAAB2/cVk=",0)</f>
        <v>#REF!</v>
      </c>
      <c r="CM366" t="e">
        <f>AND(#REF!,"AAAAAB2/cVo=")</f>
        <v>#REF!</v>
      </c>
      <c r="CN366" t="e">
        <f>AND(#REF!,"AAAAAB2/cVs=")</f>
        <v>#REF!</v>
      </c>
      <c r="CO366" t="e">
        <f>AND(#REF!,"AAAAAB2/cVw=")</f>
        <v>#REF!</v>
      </c>
      <c r="CP366" t="e">
        <f>AND(#REF!,"AAAAAB2/cV0=")</f>
        <v>#REF!</v>
      </c>
      <c r="CQ366" t="e">
        <f>AND(#REF!,"AAAAAB2/cV4=")</f>
        <v>#REF!</v>
      </c>
      <c r="CR366" t="e">
        <f>AND(#REF!,"AAAAAB2/cV8=")</f>
        <v>#REF!</v>
      </c>
      <c r="CS366" t="e">
        <f>AND(#REF!,"AAAAAB2/cWA=")</f>
        <v>#REF!</v>
      </c>
      <c r="CT366" t="e">
        <f>AND(#REF!,"AAAAAB2/cWE=")</f>
        <v>#REF!</v>
      </c>
      <c r="CU366" t="e">
        <f>AND(#REF!,"AAAAAB2/cWI=")</f>
        <v>#REF!</v>
      </c>
      <c r="CV366" t="e">
        <f>AND(#REF!,"AAAAAB2/cWM=")</f>
        <v>#REF!</v>
      </c>
      <c r="CW366" t="e">
        <f>IF(#REF!,"AAAAAB2/cWQ=",0)</f>
        <v>#REF!</v>
      </c>
      <c r="CX366" t="e">
        <f>AND(#REF!,"AAAAAB2/cWU=")</f>
        <v>#REF!</v>
      </c>
      <c r="CY366" t="e">
        <f>AND(#REF!,"AAAAAB2/cWY=")</f>
        <v>#REF!</v>
      </c>
      <c r="CZ366" t="e">
        <f>AND(#REF!,"AAAAAB2/cWc=")</f>
        <v>#REF!</v>
      </c>
      <c r="DA366" t="e">
        <f>AND(#REF!,"AAAAAB2/cWg=")</f>
        <v>#REF!</v>
      </c>
      <c r="DB366" t="e">
        <f>AND(#REF!,"AAAAAB2/cWk=")</f>
        <v>#REF!</v>
      </c>
      <c r="DC366" t="e">
        <f>AND(#REF!,"AAAAAB2/cWo=")</f>
        <v>#REF!</v>
      </c>
      <c r="DD366" t="e">
        <f>AND(#REF!,"AAAAAB2/cWs=")</f>
        <v>#REF!</v>
      </c>
      <c r="DE366" t="e">
        <f>AND(#REF!,"AAAAAB2/cWw=")</f>
        <v>#REF!</v>
      </c>
      <c r="DF366" t="e">
        <f>AND(#REF!,"AAAAAB2/cW0=")</f>
        <v>#REF!</v>
      </c>
      <c r="DG366" t="e">
        <f>AND(#REF!,"AAAAAB2/cW4=")</f>
        <v>#REF!</v>
      </c>
      <c r="DH366" t="e">
        <f>IF(#REF!,"AAAAAB2/cW8=",0)</f>
        <v>#REF!</v>
      </c>
      <c r="DI366" t="e">
        <f>AND(#REF!,"AAAAAB2/cXA=")</f>
        <v>#REF!</v>
      </c>
      <c r="DJ366" t="e">
        <f>AND(#REF!,"AAAAAB2/cXE=")</f>
        <v>#REF!</v>
      </c>
      <c r="DK366" t="e">
        <f>AND(#REF!,"AAAAAB2/cXI=")</f>
        <v>#REF!</v>
      </c>
      <c r="DL366" t="e">
        <f>AND(#REF!,"AAAAAB2/cXM=")</f>
        <v>#REF!</v>
      </c>
      <c r="DM366" t="e">
        <f>AND(#REF!,"AAAAAB2/cXQ=")</f>
        <v>#REF!</v>
      </c>
      <c r="DN366" t="e">
        <f>AND(#REF!,"AAAAAB2/cXU=")</f>
        <v>#REF!</v>
      </c>
      <c r="DO366" t="e">
        <f>AND(#REF!,"AAAAAB2/cXY=")</f>
        <v>#REF!</v>
      </c>
      <c r="DP366" t="e">
        <f>AND(#REF!,"AAAAAB2/cXc=")</f>
        <v>#REF!</v>
      </c>
      <c r="DQ366" t="e">
        <f>AND(#REF!,"AAAAAB2/cXg=")</f>
        <v>#REF!</v>
      </c>
      <c r="DR366" t="e">
        <f>AND(#REF!,"AAAAAB2/cXk=")</f>
        <v>#REF!</v>
      </c>
      <c r="DS366" t="e">
        <f>IF(#REF!,"AAAAAB2/cXo=",0)</f>
        <v>#REF!</v>
      </c>
      <c r="DT366" t="e">
        <f>AND(#REF!,"AAAAAB2/cXs=")</f>
        <v>#REF!</v>
      </c>
      <c r="DU366" t="e">
        <f>AND(#REF!,"AAAAAB2/cXw=")</f>
        <v>#REF!</v>
      </c>
      <c r="DV366" t="e">
        <f>AND(#REF!,"AAAAAB2/cX0=")</f>
        <v>#REF!</v>
      </c>
      <c r="DW366" t="e">
        <f>AND(#REF!,"AAAAAB2/cX4=")</f>
        <v>#REF!</v>
      </c>
      <c r="DX366" t="e">
        <f>AND(#REF!,"AAAAAB2/cX8=")</f>
        <v>#REF!</v>
      </c>
      <c r="DY366" t="e">
        <f>AND(#REF!,"AAAAAB2/cYA=")</f>
        <v>#REF!</v>
      </c>
      <c r="DZ366" t="e">
        <f>AND(#REF!,"AAAAAB2/cYE=")</f>
        <v>#REF!</v>
      </c>
      <c r="EA366" t="e">
        <f>AND(#REF!,"AAAAAB2/cYI=")</f>
        <v>#REF!</v>
      </c>
      <c r="EB366" t="e">
        <f>AND(#REF!,"AAAAAB2/cYM=")</f>
        <v>#REF!</v>
      </c>
      <c r="EC366" t="e">
        <f>AND(#REF!,"AAAAAB2/cYQ=")</f>
        <v>#REF!</v>
      </c>
      <c r="ED366" t="e">
        <f>IF(#REF!,"AAAAAB2/cYU=",0)</f>
        <v>#REF!</v>
      </c>
      <c r="EE366" t="e">
        <f>AND(#REF!,"AAAAAB2/cYY=")</f>
        <v>#REF!</v>
      </c>
      <c r="EF366" t="e">
        <f>AND(#REF!,"AAAAAB2/cYc=")</f>
        <v>#REF!</v>
      </c>
      <c r="EG366" t="e">
        <f>AND(#REF!,"AAAAAB2/cYg=")</f>
        <v>#REF!</v>
      </c>
      <c r="EH366" t="e">
        <f>AND(#REF!,"AAAAAB2/cYk=")</f>
        <v>#REF!</v>
      </c>
      <c r="EI366" t="e">
        <f>AND(#REF!,"AAAAAB2/cYo=")</f>
        <v>#REF!</v>
      </c>
      <c r="EJ366" t="e">
        <f>AND(#REF!,"AAAAAB2/cYs=")</f>
        <v>#REF!</v>
      </c>
      <c r="EK366" t="e">
        <f>AND(#REF!,"AAAAAB2/cYw=")</f>
        <v>#REF!</v>
      </c>
      <c r="EL366" t="e">
        <f>AND(#REF!,"AAAAAB2/cY0=")</f>
        <v>#REF!</v>
      </c>
      <c r="EM366" t="e">
        <f>AND(#REF!,"AAAAAB2/cY4=")</f>
        <v>#REF!</v>
      </c>
      <c r="EN366" t="e">
        <f>AND(#REF!,"AAAAAB2/cY8=")</f>
        <v>#REF!</v>
      </c>
      <c r="EO366" t="e">
        <f>IF(#REF!,"AAAAAB2/cZA=",0)</f>
        <v>#REF!</v>
      </c>
      <c r="EP366" t="e">
        <f>AND(#REF!,"AAAAAB2/cZE=")</f>
        <v>#REF!</v>
      </c>
      <c r="EQ366" t="e">
        <f>AND(#REF!,"AAAAAB2/cZI=")</f>
        <v>#REF!</v>
      </c>
      <c r="ER366" t="e">
        <f>AND(#REF!,"AAAAAB2/cZM=")</f>
        <v>#REF!</v>
      </c>
      <c r="ES366" t="e">
        <f>AND(#REF!,"AAAAAB2/cZQ=")</f>
        <v>#REF!</v>
      </c>
      <c r="ET366" t="e">
        <f>AND(#REF!,"AAAAAB2/cZU=")</f>
        <v>#REF!</v>
      </c>
      <c r="EU366" t="e">
        <f>AND(#REF!,"AAAAAB2/cZY=")</f>
        <v>#REF!</v>
      </c>
      <c r="EV366" t="e">
        <f>AND(#REF!,"AAAAAB2/cZc=")</f>
        <v>#REF!</v>
      </c>
      <c r="EW366" t="e">
        <f>AND(#REF!,"AAAAAB2/cZg=")</f>
        <v>#REF!</v>
      </c>
      <c r="EX366" t="e">
        <f>AND(#REF!,"AAAAAB2/cZk=")</f>
        <v>#REF!</v>
      </c>
      <c r="EY366" t="e">
        <f>AND(#REF!,"AAAAAB2/cZo=")</f>
        <v>#REF!</v>
      </c>
      <c r="EZ366" t="e">
        <f>IF(#REF!,"AAAAAB2/cZs=",0)</f>
        <v>#REF!</v>
      </c>
      <c r="FA366" t="e">
        <f>AND(#REF!,"AAAAAB2/cZw=")</f>
        <v>#REF!</v>
      </c>
      <c r="FB366" t="e">
        <f>AND(#REF!,"AAAAAB2/cZ0=")</f>
        <v>#REF!</v>
      </c>
      <c r="FC366" t="e">
        <f>AND(#REF!,"AAAAAB2/cZ4=")</f>
        <v>#REF!</v>
      </c>
      <c r="FD366" t="e">
        <f>AND(#REF!,"AAAAAB2/cZ8=")</f>
        <v>#REF!</v>
      </c>
      <c r="FE366" t="e">
        <f>AND(#REF!,"AAAAAB2/caA=")</f>
        <v>#REF!</v>
      </c>
      <c r="FF366" t="e">
        <f>AND(#REF!,"AAAAAB2/caE=")</f>
        <v>#REF!</v>
      </c>
      <c r="FG366" t="e">
        <f>AND(#REF!,"AAAAAB2/caI=")</f>
        <v>#REF!</v>
      </c>
      <c r="FH366" t="e">
        <f>AND(#REF!,"AAAAAB2/caM=")</f>
        <v>#REF!</v>
      </c>
      <c r="FI366" t="e">
        <f>AND(#REF!,"AAAAAB2/caQ=")</f>
        <v>#REF!</v>
      </c>
      <c r="FJ366" t="e">
        <f>AND(#REF!,"AAAAAB2/caU=")</f>
        <v>#REF!</v>
      </c>
      <c r="FK366" t="e">
        <f>IF(#REF!,"AAAAAB2/caY=",0)</f>
        <v>#REF!</v>
      </c>
      <c r="FL366" t="e">
        <f>AND(#REF!,"AAAAAB2/cac=")</f>
        <v>#REF!</v>
      </c>
      <c r="FM366" t="e">
        <f>AND(#REF!,"AAAAAB2/cag=")</f>
        <v>#REF!</v>
      </c>
      <c r="FN366" t="e">
        <f>AND(#REF!,"AAAAAB2/cak=")</f>
        <v>#REF!</v>
      </c>
      <c r="FO366" t="e">
        <f>AND(#REF!,"AAAAAB2/cao=")</f>
        <v>#REF!</v>
      </c>
      <c r="FP366" t="e">
        <f>AND(#REF!,"AAAAAB2/cas=")</f>
        <v>#REF!</v>
      </c>
      <c r="FQ366" t="e">
        <f>AND(#REF!,"AAAAAB2/caw=")</f>
        <v>#REF!</v>
      </c>
      <c r="FR366" t="e">
        <f>AND(#REF!,"AAAAAB2/ca0=")</f>
        <v>#REF!</v>
      </c>
      <c r="FS366" t="e">
        <f>AND(#REF!,"AAAAAB2/ca4=")</f>
        <v>#REF!</v>
      </c>
      <c r="FT366" t="e">
        <f>AND(#REF!,"AAAAAB2/ca8=")</f>
        <v>#REF!</v>
      </c>
      <c r="FU366" t="e">
        <f>AND(#REF!,"AAAAAB2/cbA=")</f>
        <v>#REF!</v>
      </c>
      <c r="FV366" t="e">
        <f>IF(#REF!,"AAAAAB2/cbE=",0)</f>
        <v>#REF!</v>
      </c>
      <c r="FW366" t="e">
        <f>AND(#REF!,"AAAAAB2/cbI=")</f>
        <v>#REF!</v>
      </c>
      <c r="FX366" t="e">
        <f>AND(#REF!,"AAAAAB2/cbM=")</f>
        <v>#REF!</v>
      </c>
      <c r="FY366" t="e">
        <f>AND(#REF!,"AAAAAB2/cbQ=")</f>
        <v>#REF!</v>
      </c>
      <c r="FZ366" t="e">
        <f>AND(#REF!,"AAAAAB2/cbU=")</f>
        <v>#REF!</v>
      </c>
      <c r="GA366" t="e">
        <f>AND(#REF!,"AAAAAB2/cbY=")</f>
        <v>#REF!</v>
      </c>
      <c r="GB366" t="e">
        <f>AND(#REF!,"AAAAAB2/cbc=")</f>
        <v>#REF!</v>
      </c>
      <c r="GC366" t="e">
        <f>AND(#REF!,"AAAAAB2/cbg=")</f>
        <v>#REF!</v>
      </c>
      <c r="GD366" t="e">
        <f>AND(#REF!,"AAAAAB2/cbk=")</f>
        <v>#REF!</v>
      </c>
      <c r="GE366" t="e">
        <f>AND(#REF!,"AAAAAB2/cbo=")</f>
        <v>#REF!</v>
      </c>
      <c r="GF366" t="e">
        <f>AND(#REF!,"AAAAAB2/cbs=")</f>
        <v>#REF!</v>
      </c>
      <c r="GG366" t="e">
        <f>IF(#REF!,"AAAAAB2/cbw=",0)</f>
        <v>#REF!</v>
      </c>
      <c r="GH366" t="e">
        <f>AND(#REF!,"AAAAAB2/cb0=")</f>
        <v>#REF!</v>
      </c>
      <c r="GI366" t="e">
        <f>AND(#REF!,"AAAAAB2/cb4=")</f>
        <v>#REF!</v>
      </c>
      <c r="GJ366" t="e">
        <f>AND(#REF!,"AAAAAB2/cb8=")</f>
        <v>#REF!</v>
      </c>
      <c r="GK366" t="e">
        <f>AND(#REF!,"AAAAAB2/ccA=")</f>
        <v>#REF!</v>
      </c>
      <c r="GL366" t="e">
        <f>AND(#REF!,"AAAAAB2/ccE=")</f>
        <v>#REF!</v>
      </c>
      <c r="GM366" t="e">
        <f>AND(#REF!,"AAAAAB2/ccI=")</f>
        <v>#REF!</v>
      </c>
      <c r="GN366" t="e">
        <f>AND(#REF!,"AAAAAB2/ccM=")</f>
        <v>#REF!</v>
      </c>
      <c r="GO366" t="e">
        <f>AND(#REF!,"AAAAAB2/ccQ=")</f>
        <v>#REF!</v>
      </c>
      <c r="GP366" t="e">
        <f>AND(#REF!,"AAAAAB2/ccU=")</f>
        <v>#REF!</v>
      </c>
      <c r="GQ366" t="e">
        <f>AND(#REF!,"AAAAAB2/ccY=")</f>
        <v>#REF!</v>
      </c>
      <c r="GR366" t="e">
        <f>IF(#REF!,"AAAAAB2/ccc=",0)</f>
        <v>#REF!</v>
      </c>
      <c r="GS366" t="e">
        <f>AND(#REF!,"AAAAAB2/ccg=")</f>
        <v>#REF!</v>
      </c>
      <c r="GT366" t="e">
        <f>AND(#REF!,"AAAAAB2/cck=")</f>
        <v>#REF!</v>
      </c>
      <c r="GU366" t="e">
        <f>AND(#REF!,"AAAAAB2/cco=")</f>
        <v>#REF!</v>
      </c>
      <c r="GV366" t="e">
        <f>AND(#REF!,"AAAAAB2/ccs=")</f>
        <v>#REF!</v>
      </c>
      <c r="GW366" t="e">
        <f>AND(#REF!,"AAAAAB2/ccw=")</f>
        <v>#REF!</v>
      </c>
      <c r="GX366" t="e">
        <f>AND(#REF!,"AAAAAB2/cc0=")</f>
        <v>#REF!</v>
      </c>
      <c r="GY366" t="e">
        <f>AND(#REF!,"AAAAAB2/cc4=")</f>
        <v>#REF!</v>
      </c>
      <c r="GZ366" t="e">
        <f>AND(#REF!,"AAAAAB2/cc8=")</f>
        <v>#REF!</v>
      </c>
      <c r="HA366" t="e">
        <f>AND(#REF!,"AAAAAB2/cdA=")</f>
        <v>#REF!</v>
      </c>
      <c r="HB366" t="e">
        <f>AND(#REF!,"AAAAAB2/cdE=")</f>
        <v>#REF!</v>
      </c>
      <c r="HC366" t="e">
        <f>IF(#REF!,"AAAAAB2/cdI=",0)</f>
        <v>#REF!</v>
      </c>
      <c r="HD366" t="e">
        <f>AND(#REF!,"AAAAAB2/cdM=")</f>
        <v>#REF!</v>
      </c>
      <c r="HE366" t="e">
        <f>AND(#REF!,"AAAAAB2/cdQ=")</f>
        <v>#REF!</v>
      </c>
      <c r="HF366" t="e">
        <f>AND(#REF!,"AAAAAB2/cdU=")</f>
        <v>#REF!</v>
      </c>
      <c r="HG366" t="e">
        <f>AND(#REF!,"AAAAAB2/cdY=")</f>
        <v>#REF!</v>
      </c>
      <c r="HH366" t="e">
        <f>AND(#REF!,"AAAAAB2/cdc=")</f>
        <v>#REF!</v>
      </c>
      <c r="HI366" t="e">
        <f>AND(#REF!,"AAAAAB2/cdg=")</f>
        <v>#REF!</v>
      </c>
      <c r="HJ366" t="e">
        <f>AND(#REF!,"AAAAAB2/cdk=")</f>
        <v>#REF!</v>
      </c>
      <c r="HK366" t="e">
        <f>AND(#REF!,"AAAAAB2/cdo=")</f>
        <v>#REF!</v>
      </c>
      <c r="HL366" t="e">
        <f>AND(#REF!,"AAAAAB2/cds=")</f>
        <v>#REF!</v>
      </c>
      <c r="HM366" t="e">
        <f>AND(#REF!,"AAAAAB2/cdw=")</f>
        <v>#REF!</v>
      </c>
      <c r="HN366" t="e">
        <f>IF(#REF!,"AAAAAB2/cd0=",0)</f>
        <v>#REF!</v>
      </c>
      <c r="HO366" t="e">
        <f>AND(#REF!,"AAAAAB2/cd4=")</f>
        <v>#REF!</v>
      </c>
      <c r="HP366" t="e">
        <f>AND(#REF!,"AAAAAB2/cd8=")</f>
        <v>#REF!</v>
      </c>
      <c r="HQ366" t="e">
        <f>AND(#REF!,"AAAAAB2/ceA=")</f>
        <v>#REF!</v>
      </c>
      <c r="HR366" t="e">
        <f>AND(#REF!,"AAAAAB2/ceE=")</f>
        <v>#REF!</v>
      </c>
      <c r="HS366" t="e">
        <f>AND(#REF!,"AAAAAB2/ceI=")</f>
        <v>#REF!</v>
      </c>
      <c r="HT366" t="e">
        <f>AND(#REF!,"AAAAAB2/ceM=")</f>
        <v>#REF!</v>
      </c>
      <c r="HU366" t="e">
        <f>AND(#REF!,"AAAAAB2/ceQ=")</f>
        <v>#REF!</v>
      </c>
      <c r="HV366" t="e">
        <f>AND(#REF!,"AAAAAB2/ceU=")</f>
        <v>#REF!</v>
      </c>
      <c r="HW366" t="e">
        <f>AND(#REF!,"AAAAAB2/ceY=")</f>
        <v>#REF!</v>
      </c>
      <c r="HX366" t="e">
        <f>AND(#REF!,"AAAAAB2/cec=")</f>
        <v>#REF!</v>
      </c>
      <c r="HY366" t="e">
        <f>IF(#REF!,"AAAAAB2/ceg=",0)</f>
        <v>#REF!</v>
      </c>
      <c r="HZ366" t="e">
        <f>AND(#REF!,"AAAAAB2/cek=")</f>
        <v>#REF!</v>
      </c>
      <c r="IA366" t="e">
        <f>AND(#REF!,"AAAAAB2/ceo=")</f>
        <v>#REF!</v>
      </c>
      <c r="IB366" t="e">
        <f>AND(#REF!,"AAAAAB2/ces=")</f>
        <v>#REF!</v>
      </c>
      <c r="IC366" t="e">
        <f>AND(#REF!,"AAAAAB2/cew=")</f>
        <v>#REF!</v>
      </c>
      <c r="ID366" t="e">
        <f>AND(#REF!,"AAAAAB2/ce0=")</f>
        <v>#REF!</v>
      </c>
      <c r="IE366" t="e">
        <f>AND(#REF!,"AAAAAB2/ce4=")</f>
        <v>#REF!</v>
      </c>
      <c r="IF366" t="e">
        <f>AND(#REF!,"AAAAAB2/ce8=")</f>
        <v>#REF!</v>
      </c>
      <c r="IG366" t="e">
        <f>AND(#REF!,"AAAAAB2/cfA=")</f>
        <v>#REF!</v>
      </c>
      <c r="IH366" t="e">
        <f>AND(#REF!,"AAAAAB2/cfE=")</f>
        <v>#REF!</v>
      </c>
      <c r="II366" t="e">
        <f>AND(#REF!,"AAAAAB2/cfI=")</f>
        <v>#REF!</v>
      </c>
      <c r="IJ366" t="e">
        <f>IF(#REF!,"AAAAAB2/cfM=",0)</f>
        <v>#REF!</v>
      </c>
      <c r="IK366" t="e">
        <f>AND(#REF!,"AAAAAB2/cfQ=")</f>
        <v>#REF!</v>
      </c>
      <c r="IL366" t="e">
        <f>AND(#REF!,"AAAAAB2/cfU=")</f>
        <v>#REF!</v>
      </c>
      <c r="IM366" t="e">
        <f>AND(#REF!,"AAAAAB2/cfY=")</f>
        <v>#REF!</v>
      </c>
      <c r="IN366" t="e">
        <f>AND(#REF!,"AAAAAB2/cfc=")</f>
        <v>#REF!</v>
      </c>
      <c r="IO366" t="e">
        <f>AND(#REF!,"AAAAAB2/cfg=")</f>
        <v>#REF!</v>
      </c>
      <c r="IP366" t="e">
        <f>AND(#REF!,"AAAAAB2/cfk=")</f>
        <v>#REF!</v>
      </c>
      <c r="IQ366" t="e">
        <f>AND(#REF!,"AAAAAB2/cfo=")</f>
        <v>#REF!</v>
      </c>
      <c r="IR366" t="e">
        <f>AND(#REF!,"AAAAAB2/cfs=")</f>
        <v>#REF!</v>
      </c>
      <c r="IS366" t="e">
        <f>AND(#REF!,"AAAAAB2/cfw=")</f>
        <v>#REF!</v>
      </c>
      <c r="IT366" t="e">
        <f>AND(#REF!,"AAAAAB2/cf0=")</f>
        <v>#REF!</v>
      </c>
      <c r="IU366" t="e">
        <f>IF(#REF!,"AAAAAB2/cf4=",0)</f>
        <v>#REF!</v>
      </c>
      <c r="IV366" t="e">
        <f>AND(#REF!,"AAAAAB2/cf8=")</f>
        <v>#REF!</v>
      </c>
    </row>
    <row r="367" spans="1:256" x14ac:dyDescent="0.25">
      <c r="A367" t="e">
        <f>AND(#REF!,"AAAAAGG3/wA=")</f>
        <v>#REF!</v>
      </c>
      <c r="B367" t="e">
        <f>AND(#REF!,"AAAAAGG3/wE=")</f>
        <v>#REF!</v>
      </c>
      <c r="C367" t="e">
        <f>AND(#REF!,"AAAAAGG3/wI=")</f>
        <v>#REF!</v>
      </c>
      <c r="D367" t="e">
        <f>AND(#REF!,"AAAAAGG3/wM=")</f>
        <v>#REF!</v>
      </c>
      <c r="E367" t="e">
        <f>AND(#REF!,"AAAAAGG3/wQ=")</f>
        <v>#REF!</v>
      </c>
      <c r="F367" t="e">
        <f>AND(#REF!,"AAAAAGG3/wU=")</f>
        <v>#REF!</v>
      </c>
      <c r="G367" t="e">
        <f>AND(#REF!,"AAAAAGG3/wY=")</f>
        <v>#REF!</v>
      </c>
      <c r="H367" t="e">
        <f>AND(#REF!,"AAAAAGG3/wc=")</f>
        <v>#REF!</v>
      </c>
      <c r="I367" t="e">
        <f>AND(#REF!,"AAAAAGG3/wg=")</f>
        <v>#REF!</v>
      </c>
      <c r="J367" t="e">
        <f>IF(#REF!,"AAAAAGG3/wk=",0)</f>
        <v>#REF!</v>
      </c>
      <c r="K367" t="e">
        <f>AND(#REF!,"AAAAAGG3/wo=")</f>
        <v>#REF!</v>
      </c>
      <c r="L367" t="e">
        <f>AND(#REF!,"AAAAAGG3/ws=")</f>
        <v>#REF!</v>
      </c>
      <c r="M367" t="e">
        <f>AND(#REF!,"AAAAAGG3/ww=")</f>
        <v>#REF!</v>
      </c>
      <c r="N367" t="e">
        <f>AND(#REF!,"AAAAAGG3/w0=")</f>
        <v>#REF!</v>
      </c>
      <c r="O367" t="e">
        <f>AND(#REF!,"AAAAAGG3/w4=")</f>
        <v>#REF!</v>
      </c>
      <c r="P367" t="e">
        <f>AND(#REF!,"AAAAAGG3/w8=")</f>
        <v>#REF!</v>
      </c>
      <c r="Q367" t="e">
        <f>AND(#REF!,"AAAAAGG3/xA=")</f>
        <v>#REF!</v>
      </c>
      <c r="R367" t="e">
        <f>AND(#REF!,"AAAAAGG3/xE=")</f>
        <v>#REF!</v>
      </c>
      <c r="S367" t="e">
        <f>AND(#REF!,"AAAAAGG3/xI=")</f>
        <v>#REF!</v>
      </c>
      <c r="T367" t="e">
        <f>AND(#REF!,"AAAAAGG3/xM=")</f>
        <v>#REF!</v>
      </c>
      <c r="U367" t="e">
        <f>IF(#REF!,"AAAAAGG3/xQ=",0)</f>
        <v>#REF!</v>
      </c>
      <c r="V367" t="e">
        <f>AND(#REF!,"AAAAAGG3/xU=")</f>
        <v>#REF!</v>
      </c>
      <c r="W367" t="e">
        <f>AND(#REF!,"AAAAAGG3/xY=")</f>
        <v>#REF!</v>
      </c>
      <c r="X367" t="e">
        <f>AND(#REF!,"AAAAAGG3/xc=")</f>
        <v>#REF!</v>
      </c>
      <c r="Y367" t="e">
        <f>AND(#REF!,"AAAAAGG3/xg=")</f>
        <v>#REF!</v>
      </c>
      <c r="Z367" t="e">
        <f>AND(#REF!,"AAAAAGG3/xk=")</f>
        <v>#REF!</v>
      </c>
      <c r="AA367" t="e">
        <f>AND(#REF!,"AAAAAGG3/xo=")</f>
        <v>#REF!</v>
      </c>
      <c r="AB367" t="e">
        <f>AND(#REF!,"AAAAAGG3/xs=")</f>
        <v>#REF!</v>
      </c>
      <c r="AC367" t="e">
        <f>AND(#REF!,"AAAAAGG3/xw=")</f>
        <v>#REF!</v>
      </c>
      <c r="AD367" t="e">
        <f>AND(#REF!,"AAAAAGG3/x0=")</f>
        <v>#REF!</v>
      </c>
      <c r="AE367" t="e">
        <f>AND(#REF!,"AAAAAGG3/x4=")</f>
        <v>#REF!</v>
      </c>
      <c r="AF367" t="e">
        <f>IF(#REF!,"AAAAAGG3/x8=",0)</f>
        <v>#REF!</v>
      </c>
      <c r="AG367" t="e">
        <f>AND(#REF!,"AAAAAGG3/yA=")</f>
        <v>#REF!</v>
      </c>
      <c r="AH367" t="e">
        <f>AND(#REF!,"AAAAAGG3/yE=")</f>
        <v>#REF!</v>
      </c>
      <c r="AI367" t="e">
        <f>AND(#REF!,"AAAAAGG3/yI=")</f>
        <v>#REF!</v>
      </c>
      <c r="AJ367" t="e">
        <f>AND(#REF!,"AAAAAGG3/yM=")</f>
        <v>#REF!</v>
      </c>
      <c r="AK367" t="e">
        <f>AND(#REF!,"AAAAAGG3/yQ=")</f>
        <v>#REF!</v>
      </c>
      <c r="AL367" t="e">
        <f>AND(#REF!,"AAAAAGG3/yU=")</f>
        <v>#REF!</v>
      </c>
      <c r="AM367" t="e">
        <f>AND(#REF!,"AAAAAGG3/yY=")</f>
        <v>#REF!</v>
      </c>
      <c r="AN367" t="e">
        <f>AND(#REF!,"AAAAAGG3/yc=")</f>
        <v>#REF!</v>
      </c>
      <c r="AO367" t="e">
        <f>AND(#REF!,"AAAAAGG3/yg=")</f>
        <v>#REF!</v>
      </c>
      <c r="AP367" t="e">
        <f>AND(#REF!,"AAAAAGG3/yk=")</f>
        <v>#REF!</v>
      </c>
      <c r="AQ367" t="e">
        <f>IF(#REF!,"AAAAAGG3/yo=",0)</f>
        <v>#REF!</v>
      </c>
      <c r="AR367" t="e">
        <f>AND(#REF!,"AAAAAGG3/ys=")</f>
        <v>#REF!</v>
      </c>
      <c r="AS367" t="e">
        <f>AND(#REF!,"AAAAAGG3/yw=")</f>
        <v>#REF!</v>
      </c>
      <c r="AT367" t="e">
        <f>AND(#REF!,"AAAAAGG3/y0=")</f>
        <v>#REF!</v>
      </c>
      <c r="AU367" t="e">
        <f>AND(#REF!,"AAAAAGG3/y4=")</f>
        <v>#REF!</v>
      </c>
      <c r="AV367" t="e">
        <f>AND(#REF!,"AAAAAGG3/y8=")</f>
        <v>#REF!</v>
      </c>
      <c r="AW367" t="e">
        <f>AND(#REF!,"AAAAAGG3/zA=")</f>
        <v>#REF!</v>
      </c>
      <c r="AX367" t="e">
        <f>AND(#REF!,"AAAAAGG3/zE=")</f>
        <v>#REF!</v>
      </c>
      <c r="AY367" t="e">
        <f>AND(#REF!,"AAAAAGG3/zI=")</f>
        <v>#REF!</v>
      </c>
      <c r="AZ367" t="e">
        <f>AND(#REF!,"AAAAAGG3/zM=")</f>
        <v>#REF!</v>
      </c>
      <c r="BA367" t="e">
        <f>AND(#REF!,"AAAAAGG3/zQ=")</f>
        <v>#REF!</v>
      </c>
      <c r="BB367" t="e">
        <f>IF(#REF!,"AAAAAGG3/zU=",0)</f>
        <v>#REF!</v>
      </c>
      <c r="BC367" t="e">
        <f>AND(#REF!,"AAAAAGG3/zY=")</f>
        <v>#REF!</v>
      </c>
      <c r="BD367" t="e">
        <f>AND(#REF!,"AAAAAGG3/zc=")</f>
        <v>#REF!</v>
      </c>
      <c r="BE367" t="e">
        <f>AND(#REF!,"AAAAAGG3/zg=")</f>
        <v>#REF!</v>
      </c>
      <c r="BF367" t="e">
        <f>AND(#REF!,"AAAAAGG3/zk=")</f>
        <v>#REF!</v>
      </c>
      <c r="BG367" t="e">
        <f>AND(#REF!,"AAAAAGG3/zo=")</f>
        <v>#REF!</v>
      </c>
      <c r="BH367" t="e">
        <f>AND(#REF!,"AAAAAGG3/zs=")</f>
        <v>#REF!</v>
      </c>
      <c r="BI367" t="e">
        <f>AND(#REF!,"AAAAAGG3/zw=")</f>
        <v>#REF!</v>
      </c>
      <c r="BJ367" t="e">
        <f>AND(#REF!,"AAAAAGG3/z0=")</f>
        <v>#REF!</v>
      </c>
      <c r="BK367" t="e">
        <f>AND(#REF!,"AAAAAGG3/z4=")</f>
        <v>#REF!</v>
      </c>
      <c r="BL367" t="e">
        <f>AND(#REF!,"AAAAAGG3/z8=")</f>
        <v>#REF!</v>
      </c>
      <c r="BM367" t="e">
        <f>IF(#REF!,"AAAAAGG3/0A=",0)</f>
        <v>#REF!</v>
      </c>
      <c r="BN367" t="e">
        <f>AND(#REF!,"AAAAAGG3/0E=")</f>
        <v>#REF!</v>
      </c>
      <c r="BO367" t="e">
        <f>AND(#REF!,"AAAAAGG3/0I=")</f>
        <v>#REF!</v>
      </c>
      <c r="BP367" t="e">
        <f>AND(#REF!,"AAAAAGG3/0M=")</f>
        <v>#REF!</v>
      </c>
      <c r="BQ367" t="e">
        <f>AND(#REF!,"AAAAAGG3/0Q=")</f>
        <v>#REF!</v>
      </c>
      <c r="BR367" t="e">
        <f>AND(#REF!,"AAAAAGG3/0U=")</f>
        <v>#REF!</v>
      </c>
      <c r="BS367" t="e">
        <f>AND(#REF!,"AAAAAGG3/0Y=")</f>
        <v>#REF!</v>
      </c>
      <c r="BT367" t="e">
        <f>AND(#REF!,"AAAAAGG3/0c=")</f>
        <v>#REF!</v>
      </c>
      <c r="BU367" t="e">
        <f>AND(#REF!,"AAAAAGG3/0g=")</f>
        <v>#REF!</v>
      </c>
      <c r="BV367" t="e">
        <f>AND(#REF!,"AAAAAGG3/0k=")</f>
        <v>#REF!</v>
      </c>
      <c r="BW367" t="e">
        <f>AND(#REF!,"AAAAAGG3/0o=")</f>
        <v>#REF!</v>
      </c>
      <c r="BX367" t="e">
        <f>IF(#REF!,"AAAAAGG3/0s=",0)</f>
        <v>#REF!</v>
      </c>
      <c r="BY367" t="e">
        <f>AND(#REF!,"AAAAAGG3/0w=")</f>
        <v>#REF!</v>
      </c>
      <c r="BZ367" t="e">
        <f>AND(#REF!,"AAAAAGG3/00=")</f>
        <v>#REF!</v>
      </c>
      <c r="CA367" t="e">
        <f>AND(#REF!,"AAAAAGG3/04=")</f>
        <v>#REF!</v>
      </c>
      <c r="CB367" t="e">
        <f>AND(#REF!,"AAAAAGG3/08=")</f>
        <v>#REF!</v>
      </c>
      <c r="CC367" t="e">
        <f>AND(#REF!,"AAAAAGG3/1A=")</f>
        <v>#REF!</v>
      </c>
      <c r="CD367" t="e">
        <f>AND(#REF!,"AAAAAGG3/1E=")</f>
        <v>#REF!</v>
      </c>
      <c r="CE367" t="e">
        <f>AND(#REF!,"AAAAAGG3/1I=")</f>
        <v>#REF!</v>
      </c>
      <c r="CF367" t="e">
        <f>AND(#REF!,"AAAAAGG3/1M=")</f>
        <v>#REF!</v>
      </c>
      <c r="CG367" t="e">
        <f>AND(#REF!,"AAAAAGG3/1Q=")</f>
        <v>#REF!</v>
      </c>
      <c r="CH367" t="e">
        <f>AND(#REF!,"AAAAAGG3/1U=")</f>
        <v>#REF!</v>
      </c>
      <c r="CI367" t="e">
        <f>IF(#REF!,"AAAAAGG3/1Y=",0)</f>
        <v>#REF!</v>
      </c>
      <c r="CJ367" t="e">
        <f>AND(#REF!,"AAAAAGG3/1c=")</f>
        <v>#REF!</v>
      </c>
      <c r="CK367" t="e">
        <f>AND(#REF!,"AAAAAGG3/1g=")</f>
        <v>#REF!</v>
      </c>
      <c r="CL367" t="e">
        <f>AND(#REF!,"AAAAAGG3/1k=")</f>
        <v>#REF!</v>
      </c>
      <c r="CM367" t="e">
        <f>AND(#REF!,"AAAAAGG3/1o=")</f>
        <v>#REF!</v>
      </c>
      <c r="CN367" t="e">
        <f>AND(#REF!,"AAAAAGG3/1s=")</f>
        <v>#REF!</v>
      </c>
      <c r="CO367" t="e">
        <f>AND(#REF!,"AAAAAGG3/1w=")</f>
        <v>#REF!</v>
      </c>
      <c r="CP367" t="e">
        <f>AND(#REF!,"AAAAAGG3/10=")</f>
        <v>#REF!</v>
      </c>
      <c r="CQ367" t="e">
        <f>AND(#REF!,"AAAAAGG3/14=")</f>
        <v>#REF!</v>
      </c>
      <c r="CR367" t="e">
        <f>AND(#REF!,"AAAAAGG3/18=")</f>
        <v>#REF!</v>
      </c>
      <c r="CS367" t="e">
        <f>AND(#REF!,"AAAAAGG3/2A=")</f>
        <v>#REF!</v>
      </c>
      <c r="CT367" t="e">
        <f>IF(#REF!,"AAAAAGG3/2E=",0)</f>
        <v>#REF!</v>
      </c>
      <c r="CU367" t="e">
        <f>AND(#REF!,"AAAAAGG3/2I=")</f>
        <v>#REF!</v>
      </c>
      <c r="CV367" t="e">
        <f>AND(#REF!,"AAAAAGG3/2M=")</f>
        <v>#REF!</v>
      </c>
      <c r="CW367" t="e">
        <f>AND(#REF!,"AAAAAGG3/2Q=")</f>
        <v>#REF!</v>
      </c>
      <c r="CX367" t="e">
        <f>AND(#REF!,"AAAAAGG3/2U=")</f>
        <v>#REF!</v>
      </c>
      <c r="CY367" t="e">
        <f>AND(#REF!,"AAAAAGG3/2Y=")</f>
        <v>#REF!</v>
      </c>
      <c r="CZ367" t="e">
        <f>AND(#REF!,"AAAAAGG3/2c=")</f>
        <v>#REF!</v>
      </c>
      <c r="DA367" t="e">
        <f>AND(#REF!,"AAAAAGG3/2g=")</f>
        <v>#REF!</v>
      </c>
      <c r="DB367" t="e">
        <f>AND(#REF!,"AAAAAGG3/2k=")</f>
        <v>#REF!</v>
      </c>
      <c r="DC367" t="e">
        <f>AND(#REF!,"AAAAAGG3/2o=")</f>
        <v>#REF!</v>
      </c>
      <c r="DD367" t="e">
        <f>AND(#REF!,"AAAAAGG3/2s=")</f>
        <v>#REF!</v>
      </c>
      <c r="DE367" t="e">
        <f>IF(#REF!,"AAAAAGG3/2w=",0)</f>
        <v>#REF!</v>
      </c>
      <c r="DF367" t="e">
        <f>AND(#REF!,"AAAAAGG3/20=")</f>
        <v>#REF!</v>
      </c>
      <c r="DG367" t="e">
        <f>AND(#REF!,"AAAAAGG3/24=")</f>
        <v>#REF!</v>
      </c>
      <c r="DH367" t="e">
        <f>AND(#REF!,"AAAAAGG3/28=")</f>
        <v>#REF!</v>
      </c>
      <c r="DI367" t="e">
        <f>AND(#REF!,"AAAAAGG3/3A=")</f>
        <v>#REF!</v>
      </c>
      <c r="DJ367" t="e">
        <f>AND(#REF!,"AAAAAGG3/3E=")</f>
        <v>#REF!</v>
      </c>
      <c r="DK367" t="e">
        <f>AND(#REF!,"AAAAAGG3/3I=")</f>
        <v>#REF!</v>
      </c>
      <c r="DL367" t="e">
        <f>AND(#REF!,"AAAAAGG3/3M=")</f>
        <v>#REF!</v>
      </c>
      <c r="DM367" t="e">
        <f>AND(#REF!,"AAAAAGG3/3Q=")</f>
        <v>#REF!</v>
      </c>
      <c r="DN367" t="e">
        <f>AND(#REF!,"AAAAAGG3/3U=")</f>
        <v>#REF!</v>
      </c>
      <c r="DO367" t="e">
        <f>AND(#REF!,"AAAAAGG3/3Y=")</f>
        <v>#REF!</v>
      </c>
      <c r="DP367" t="e">
        <f>IF(#REF!,"AAAAAGG3/3c=",0)</f>
        <v>#REF!</v>
      </c>
      <c r="DQ367" t="e">
        <f>AND(#REF!,"AAAAAGG3/3g=")</f>
        <v>#REF!</v>
      </c>
      <c r="DR367" t="e">
        <f>AND(#REF!,"AAAAAGG3/3k=")</f>
        <v>#REF!</v>
      </c>
      <c r="DS367" t="e">
        <f>AND(#REF!,"AAAAAGG3/3o=")</f>
        <v>#REF!</v>
      </c>
      <c r="DT367" t="e">
        <f>AND(#REF!,"AAAAAGG3/3s=")</f>
        <v>#REF!</v>
      </c>
      <c r="DU367" t="e">
        <f>AND(#REF!,"AAAAAGG3/3w=")</f>
        <v>#REF!</v>
      </c>
      <c r="DV367" t="e">
        <f>AND(#REF!,"AAAAAGG3/30=")</f>
        <v>#REF!</v>
      </c>
      <c r="DW367" t="e">
        <f>AND(#REF!,"AAAAAGG3/34=")</f>
        <v>#REF!</v>
      </c>
      <c r="DX367" t="e">
        <f>AND(#REF!,"AAAAAGG3/38=")</f>
        <v>#REF!</v>
      </c>
      <c r="DY367" t="e">
        <f>AND(#REF!,"AAAAAGG3/4A=")</f>
        <v>#REF!</v>
      </c>
      <c r="DZ367" t="e">
        <f>AND(#REF!,"AAAAAGG3/4E=")</f>
        <v>#REF!</v>
      </c>
      <c r="EA367" t="e">
        <f>IF(#REF!,"AAAAAGG3/4I=",0)</f>
        <v>#REF!</v>
      </c>
      <c r="EB367" t="e">
        <f>AND(#REF!,"AAAAAGG3/4M=")</f>
        <v>#REF!</v>
      </c>
      <c r="EC367" t="e">
        <f>AND(#REF!,"AAAAAGG3/4Q=")</f>
        <v>#REF!</v>
      </c>
      <c r="ED367" t="e">
        <f>AND(#REF!,"AAAAAGG3/4U=")</f>
        <v>#REF!</v>
      </c>
      <c r="EE367" t="e">
        <f>AND(#REF!,"AAAAAGG3/4Y=")</f>
        <v>#REF!</v>
      </c>
      <c r="EF367" t="e">
        <f>AND(#REF!,"AAAAAGG3/4c=")</f>
        <v>#REF!</v>
      </c>
      <c r="EG367" t="e">
        <f>AND(#REF!,"AAAAAGG3/4g=")</f>
        <v>#REF!</v>
      </c>
      <c r="EH367" t="e">
        <f>AND(#REF!,"AAAAAGG3/4k=")</f>
        <v>#REF!</v>
      </c>
      <c r="EI367" t="e">
        <f>AND(#REF!,"AAAAAGG3/4o=")</f>
        <v>#REF!</v>
      </c>
      <c r="EJ367" t="e">
        <f>AND(#REF!,"AAAAAGG3/4s=")</f>
        <v>#REF!</v>
      </c>
      <c r="EK367" t="e">
        <f>AND(#REF!,"AAAAAGG3/4w=")</f>
        <v>#REF!</v>
      </c>
      <c r="EL367" t="e">
        <f>IF(#REF!,"AAAAAGG3/40=",0)</f>
        <v>#REF!</v>
      </c>
      <c r="EM367" t="e">
        <f>AND(#REF!,"AAAAAGG3/44=")</f>
        <v>#REF!</v>
      </c>
      <c r="EN367" t="e">
        <f>AND(#REF!,"AAAAAGG3/48=")</f>
        <v>#REF!</v>
      </c>
      <c r="EO367" t="e">
        <f>AND(#REF!,"AAAAAGG3/5A=")</f>
        <v>#REF!</v>
      </c>
      <c r="EP367" t="e">
        <f>AND(#REF!,"AAAAAGG3/5E=")</f>
        <v>#REF!</v>
      </c>
      <c r="EQ367" t="e">
        <f>AND(#REF!,"AAAAAGG3/5I=")</f>
        <v>#REF!</v>
      </c>
      <c r="ER367" t="e">
        <f>AND(#REF!,"AAAAAGG3/5M=")</f>
        <v>#REF!</v>
      </c>
      <c r="ES367" t="e">
        <f>AND(#REF!,"AAAAAGG3/5Q=")</f>
        <v>#REF!</v>
      </c>
      <c r="ET367" t="e">
        <f>AND(#REF!,"AAAAAGG3/5U=")</f>
        <v>#REF!</v>
      </c>
      <c r="EU367" t="e">
        <f>AND(#REF!,"AAAAAGG3/5Y=")</f>
        <v>#REF!</v>
      </c>
      <c r="EV367" t="e">
        <f>AND(#REF!,"AAAAAGG3/5c=")</f>
        <v>#REF!</v>
      </c>
      <c r="EW367" t="e">
        <f>IF(#REF!,"AAAAAGG3/5g=",0)</f>
        <v>#REF!</v>
      </c>
      <c r="EX367" t="e">
        <f>AND(#REF!,"AAAAAGG3/5k=")</f>
        <v>#REF!</v>
      </c>
      <c r="EY367" t="e">
        <f>AND(#REF!,"AAAAAGG3/5o=")</f>
        <v>#REF!</v>
      </c>
      <c r="EZ367" t="e">
        <f>AND(#REF!,"AAAAAGG3/5s=")</f>
        <v>#REF!</v>
      </c>
      <c r="FA367" t="e">
        <f>AND(#REF!,"AAAAAGG3/5w=")</f>
        <v>#REF!</v>
      </c>
      <c r="FB367" t="e">
        <f>AND(#REF!,"AAAAAGG3/50=")</f>
        <v>#REF!</v>
      </c>
      <c r="FC367" t="e">
        <f>AND(#REF!,"AAAAAGG3/54=")</f>
        <v>#REF!</v>
      </c>
      <c r="FD367" t="e">
        <f>AND(#REF!,"AAAAAGG3/58=")</f>
        <v>#REF!</v>
      </c>
      <c r="FE367" t="e">
        <f>AND(#REF!,"AAAAAGG3/6A=")</f>
        <v>#REF!</v>
      </c>
      <c r="FF367" t="e">
        <f>AND(#REF!,"AAAAAGG3/6E=")</f>
        <v>#REF!</v>
      </c>
      <c r="FG367" t="e">
        <f>AND(#REF!,"AAAAAGG3/6I=")</f>
        <v>#REF!</v>
      </c>
      <c r="FH367" t="e">
        <f>IF(#REF!,"AAAAAGG3/6M=",0)</f>
        <v>#REF!</v>
      </c>
      <c r="FI367" t="e">
        <f>AND(#REF!,"AAAAAGG3/6Q=")</f>
        <v>#REF!</v>
      </c>
      <c r="FJ367" t="e">
        <f>AND(#REF!,"AAAAAGG3/6U=")</f>
        <v>#REF!</v>
      </c>
      <c r="FK367" t="e">
        <f>AND(#REF!,"AAAAAGG3/6Y=")</f>
        <v>#REF!</v>
      </c>
      <c r="FL367" t="e">
        <f>AND(#REF!,"AAAAAGG3/6c=")</f>
        <v>#REF!</v>
      </c>
      <c r="FM367" t="e">
        <f>AND(#REF!,"AAAAAGG3/6g=")</f>
        <v>#REF!</v>
      </c>
      <c r="FN367" t="e">
        <f>AND(#REF!,"AAAAAGG3/6k=")</f>
        <v>#REF!</v>
      </c>
      <c r="FO367" t="e">
        <f>AND(#REF!,"AAAAAGG3/6o=")</f>
        <v>#REF!</v>
      </c>
      <c r="FP367" t="e">
        <f>AND(#REF!,"AAAAAGG3/6s=")</f>
        <v>#REF!</v>
      </c>
      <c r="FQ367" t="e">
        <f>AND(#REF!,"AAAAAGG3/6w=")</f>
        <v>#REF!</v>
      </c>
      <c r="FR367" t="e">
        <f>AND(#REF!,"AAAAAGG3/60=")</f>
        <v>#REF!</v>
      </c>
      <c r="FS367" t="e">
        <f>IF(#REF!,"AAAAAGG3/64=",0)</f>
        <v>#REF!</v>
      </c>
      <c r="FT367" t="e">
        <f>AND(#REF!,"AAAAAGG3/68=")</f>
        <v>#REF!</v>
      </c>
      <c r="FU367" t="e">
        <f>AND(#REF!,"AAAAAGG3/7A=")</f>
        <v>#REF!</v>
      </c>
      <c r="FV367" t="e">
        <f>AND(#REF!,"AAAAAGG3/7E=")</f>
        <v>#REF!</v>
      </c>
      <c r="FW367" t="e">
        <f>AND(#REF!,"AAAAAGG3/7I=")</f>
        <v>#REF!</v>
      </c>
      <c r="FX367" t="e">
        <f>AND(#REF!,"AAAAAGG3/7M=")</f>
        <v>#REF!</v>
      </c>
      <c r="FY367" t="e">
        <f>AND(#REF!,"AAAAAGG3/7Q=")</f>
        <v>#REF!</v>
      </c>
      <c r="FZ367" t="e">
        <f>AND(#REF!,"AAAAAGG3/7U=")</f>
        <v>#REF!</v>
      </c>
      <c r="GA367" t="e">
        <f>AND(#REF!,"AAAAAGG3/7Y=")</f>
        <v>#REF!</v>
      </c>
      <c r="GB367" t="e">
        <f>AND(#REF!,"AAAAAGG3/7c=")</f>
        <v>#REF!</v>
      </c>
      <c r="GC367" t="e">
        <f>AND(#REF!,"AAAAAGG3/7g=")</f>
        <v>#REF!</v>
      </c>
      <c r="GD367" t="e">
        <f>IF(#REF!,"AAAAAGG3/7k=",0)</f>
        <v>#REF!</v>
      </c>
      <c r="GE367" t="e">
        <f>AND(#REF!,"AAAAAGG3/7o=")</f>
        <v>#REF!</v>
      </c>
      <c r="GF367" t="e">
        <f>AND(#REF!,"AAAAAGG3/7s=")</f>
        <v>#REF!</v>
      </c>
      <c r="GG367" t="e">
        <f>AND(#REF!,"AAAAAGG3/7w=")</f>
        <v>#REF!</v>
      </c>
      <c r="GH367" t="e">
        <f>AND(#REF!,"AAAAAGG3/70=")</f>
        <v>#REF!</v>
      </c>
      <c r="GI367" t="e">
        <f>AND(#REF!,"AAAAAGG3/74=")</f>
        <v>#REF!</v>
      </c>
      <c r="GJ367" t="e">
        <f>AND(#REF!,"AAAAAGG3/78=")</f>
        <v>#REF!</v>
      </c>
      <c r="GK367" t="e">
        <f>AND(#REF!,"AAAAAGG3/8A=")</f>
        <v>#REF!</v>
      </c>
      <c r="GL367" t="e">
        <f>AND(#REF!,"AAAAAGG3/8E=")</f>
        <v>#REF!</v>
      </c>
      <c r="GM367" t="e">
        <f>AND(#REF!,"AAAAAGG3/8I=")</f>
        <v>#REF!</v>
      </c>
      <c r="GN367" t="e">
        <f>AND(#REF!,"AAAAAGG3/8M=")</f>
        <v>#REF!</v>
      </c>
      <c r="GO367" t="e">
        <f>IF(#REF!,"AAAAAGG3/8Q=",0)</f>
        <v>#REF!</v>
      </c>
      <c r="GP367" t="e">
        <f>AND(#REF!,"AAAAAGG3/8U=")</f>
        <v>#REF!</v>
      </c>
      <c r="GQ367" t="e">
        <f>AND(#REF!,"AAAAAGG3/8Y=")</f>
        <v>#REF!</v>
      </c>
      <c r="GR367" t="e">
        <f>AND(#REF!,"AAAAAGG3/8c=")</f>
        <v>#REF!</v>
      </c>
      <c r="GS367" t="e">
        <f>AND(#REF!,"AAAAAGG3/8g=")</f>
        <v>#REF!</v>
      </c>
      <c r="GT367" t="e">
        <f>AND(#REF!,"AAAAAGG3/8k=")</f>
        <v>#REF!</v>
      </c>
      <c r="GU367" t="e">
        <f>AND(#REF!,"AAAAAGG3/8o=")</f>
        <v>#REF!</v>
      </c>
      <c r="GV367" t="e">
        <f>AND(#REF!,"AAAAAGG3/8s=")</f>
        <v>#REF!</v>
      </c>
      <c r="GW367" t="e">
        <f>AND(#REF!,"AAAAAGG3/8w=")</f>
        <v>#REF!</v>
      </c>
      <c r="GX367" t="e">
        <f>AND(#REF!,"AAAAAGG3/80=")</f>
        <v>#REF!</v>
      </c>
      <c r="GY367" t="e">
        <f>AND(#REF!,"AAAAAGG3/84=")</f>
        <v>#REF!</v>
      </c>
      <c r="GZ367" t="e">
        <f>IF(#REF!,"AAAAAGG3/88=",0)</f>
        <v>#REF!</v>
      </c>
      <c r="HA367" t="e">
        <f>AND(#REF!,"AAAAAGG3/9A=")</f>
        <v>#REF!</v>
      </c>
      <c r="HB367" t="e">
        <f>AND(#REF!,"AAAAAGG3/9E=")</f>
        <v>#REF!</v>
      </c>
      <c r="HC367" t="e">
        <f>AND(#REF!,"AAAAAGG3/9I=")</f>
        <v>#REF!</v>
      </c>
      <c r="HD367" t="e">
        <f>AND(#REF!,"AAAAAGG3/9M=")</f>
        <v>#REF!</v>
      </c>
      <c r="HE367" t="e">
        <f>AND(#REF!,"AAAAAGG3/9Q=")</f>
        <v>#REF!</v>
      </c>
      <c r="HF367" t="e">
        <f>AND(#REF!,"AAAAAGG3/9U=")</f>
        <v>#REF!</v>
      </c>
      <c r="HG367" t="e">
        <f>AND(#REF!,"AAAAAGG3/9Y=")</f>
        <v>#REF!</v>
      </c>
      <c r="HH367" t="e">
        <f>AND(#REF!,"AAAAAGG3/9c=")</f>
        <v>#REF!</v>
      </c>
      <c r="HI367" t="e">
        <f>AND(#REF!,"AAAAAGG3/9g=")</f>
        <v>#REF!</v>
      </c>
      <c r="HJ367" t="e">
        <f>AND(#REF!,"AAAAAGG3/9k=")</f>
        <v>#REF!</v>
      </c>
      <c r="HK367" t="e">
        <f>IF(#REF!,"AAAAAGG3/9o=",0)</f>
        <v>#REF!</v>
      </c>
      <c r="HL367" t="e">
        <f>AND(#REF!,"AAAAAGG3/9s=")</f>
        <v>#REF!</v>
      </c>
      <c r="HM367" t="e">
        <f>AND(#REF!,"AAAAAGG3/9w=")</f>
        <v>#REF!</v>
      </c>
      <c r="HN367" t="e">
        <f>AND(#REF!,"AAAAAGG3/90=")</f>
        <v>#REF!</v>
      </c>
      <c r="HO367" t="e">
        <f>AND(#REF!,"AAAAAGG3/94=")</f>
        <v>#REF!</v>
      </c>
      <c r="HP367" t="e">
        <f>AND(#REF!,"AAAAAGG3/98=")</f>
        <v>#REF!</v>
      </c>
      <c r="HQ367" t="e">
        <f>AND(#REF!,"AAAAAGG3/+A=")</f>
        <v>#REF!</v>
      </c>
      <c r="HR367" t="e">
        <f>AND(#REF!,"AAAAAGG3/+E=")</f>
        <v>#REF!</v>
      </c>
      <c r="HS367" t="e">
        <f>AND(#REF!,"AAAAAGG3/+I=")</f>
        <v>#REF!</v>
      </c>
      <c r="HT367" t="e">
        <f>AND(#REF!,"AAAAAGG3/+M=")</f>
        <v>#REF!</v>
      </c>
      <c r="HU367" t="e">
        <f>AND(#REF!,"AAAAAGG3/+Q=")</f>
        <v>#REF!</v>
      </c>
      <c r="HV367" t="e">
        <f>IF(#REF!,"AAAAAGG3/+U=",0)</f>
        <v>#REF!</v>
      </c>
      <c r="HW367" t="e">
        <f>AND(#REF!,"AAAAAGG3/+Y=")</f>
        <v>#REF!</v>
      </c>
      <c r="HX367" t="e">
        <f>AND(#REF!,"AAAAAGG3/+c=")</f>
        <v>#REF!</v>
      </c>
      <c r="HY367" t="e">
        <f>AND(#REF!,"AAAAAGG3/+g=")</f>
        <v>#REF!</v>
      </c>
      <c r="HZ367" t="e">
        <f>AND(#REF!,"AAAAAGG3/+k=")</f>
        <v>#REF!</v>
      </c>
      <c r="IA367" t="e">
        <f>AND(#REF!,"AAAAAGG3/+o=")</f>
        <v>#REF!</v>
      </c>
      <c r="IB367" t="e">
        <f>AND(#REF!,"AAAAAGG3/+s=")</f>
        <v>#REF!</v>
      </c>
      <c r="IC367" t="e">
        <f>AND(#REF!,"AAAAAGG3/+w=")</f>
        <v>#REF!</v>
      </c>
      <c r="ID367" t="e">
        <f>AND(#REF!,"AAAAAGG3/+0=")</f>
        <v>#REF!</v>
      </c>
      <c r="IE367" t="e">
        <f>AND(#REF!,"AAAAAGG3/+4=")</f>
        <v>#REF!</v>
      </c>
      <c r="IF367" t="e">
        <f>AND(#REF!,"AAAAAGG3/+8=")</f>
        <v>#REF!</v>
      </c>
      <c r="IG367" t="e">
        <f>IF(#REF!,"AAAAAGG3//A=",0)</f>
        <v>#REF!</v>
      </c>
      <c r="IH367" t="e">
        <f>AND(#REF!,"AAAAAGG3//E=")</f>
        <v>#REF!</v>
      </c>
      <c r="II367" t="e">
        <f>AND(#REF!,"AAAAAGG3//I=")</f>
        <v>#REF!</v>
      </c>
      <c r="IJ367" t="e">
        <f>AND(#REF!,"AAAAAGG3//M=")</f>
        <v>#REF!</v>
      </c>
      <c r="IK367" t="e">
        <f>AND(#REF!,"AAAAAGG3//Q=")</f>
        <v>#REF!</v>
      </c>
      <c r="IL367" t="e">
        <f>AND(#REF!,"AAAAAGG3//U=")</f>
        <v>#REF!</v>
      </c>
      <c r="IM367" t="e">
        <f>AND(#REF!,"AAAAAGG3//Y=")</f>
        <v>#REF!</v>
      </c>
      <c r="IN367" t="e">
        <f>AND(#REF!,"AAAAAGG3//c=")</f>
        <v>#REF!</v>
      </c>
      <c r="IO367" t="e">
        <f>AND(#REF!,"AAAAAGG3//g=")</f>
        <v>#REF!</v>
      </c>
      <c r="IP367" t="e">
        <f>AND(#REF!,"AAAAAGG3//k=")</f>
        <v>#REF!</v>
      </c>
      <c r="IQ367" t="e">
        <f>AND(#REF!,"AAAAAGG3//o=")</f>
        <v>#REF!</v>
      </c>
      <c r="IR367" t="e">
        <f>IF(#REF!,"AAAAAGG3//s=",0)</f>
        <v>#REF!</v>
      </c>
      <c r="IS367" t="e">
        <f>AND(#REF!,"AAAAAGG3//w=")</f>
        <v>#REF!</v>
      </c>
      <c r="IT367" t="e">
        <f>AND(#REF!,"AAAAAGG3//0=")</f>
        <v>#REF!</v>
      </c>
      <c r="IU367" t="e">
        <f>AND(#REF!,"AAAAAGG3//4=")</f>
        <v>#REF!</v>
      </c>
      <c r="IV367" t="e">
        <f>AND(#REF!,"AAAAAGG3//8=")</f>
        <v>#REF!</v>
      </c>
    </row>
    <row r="368" spans="1:256" x14ac:dyDescent="0.25">
      <c r="A368" t="e">
        <f>AND(#REF!,"AAAAADv8/AA=")</f>
        <v>#REF!</v>
      </c>
      <c r="B368" t="e">
        <f>AND(#REF!,"AAAAADv8/AE=")</f>
        <v>#REF!</v>
      </c>
      <c r="C368" t="e">
        <f>AND(#REF!,"AAAAADv8/AI=")</f>
        <v>#REF!</v>
      </c>
      <c r="D368" t="e">
        <f>AND(#REF!,"AAAAADv8/AM=")</f>
        <v>#REF!</v>
      </c>
      <c r="E368" t="e">
        <f>AND(#REF!,"AAAAADv8/AQ=")</f>
        <v>#REF!</v>
      </c>
      <c r="F368" t="e">
        <f>AND(#REF!,"AAAAADv8/AU=")</f>
        <v>#REF!</v>
      </c>
      <c r="G368" t="e">
        <f>IF(#REF!,"AAAAADv8/AY=",0)</f>
        <v>#REF!</v>
      </c>
      <c r="H368" t="e">
        <f>AND(#REF!,"AAAAADv8/Ac=")</f>
        <v>#REF!</v>
      </c>
      <c r="I368" t="e">
        <f>AND(#REF!,"AAAAADv8/Ag=")</f>
        <v>#REF!</v>
      </c>
      <c r="J368" t="e">
        <f>AND(#REF!,"AAAAADv8/Ak=")</f>
        <v>#REF!</v>
      </c>
      <c r="K368" t="e">
        <f>AND(#REF!,"AAAAADv8/Ao=")</f>
        <v>#REF!</v>
      </c>
      <c r="L368" t="e">
        <f>AND(#REF!,"AAAAADv8/As=")</f>
        <v>#REF!</v>
      </c>
      <c r="M368" t="e">
        <f>AND(#REF!,"AAAAADv8/Aw=")</f>
        <v>#REF!</v>
      </c>
      <c r="N368" t="e">
        <f>AND(#REF!,"AAAAADv8/A0=")</f>
        <v>#REF!</v>
      </c>
      <c r="O368" t="e">
        <f>AND(#REF!,"AAAAADv8/A4=")</f>
        <v>#REF!</v>
      </c>
      <c r="P368" t="e">
        <f>AND(#REF!,"AAAAADv8/A8=")</f>
        <v>#REF!</v>
      </c>
      <c r="Q368" t="e">
        <f>AND(#REF!,"AAAAADv8/BA=")</f>
        <v>#REF!</v>
      </c>
      <c r="R368" t="e">
        <f>IF(#REF!,"AAAAADv8/BE=",0)</f>
        <v>#REF!</v>
      </c>
      <c r="S368" t="e">
        <f>AND(#REF!,"AAAAADv8/BI=")</f>
        <v>#REF!</v>
      </c>
      <c r="T368" t="e">
        <f>AND(#REF!,"AAAAADv8/BM=")</f>
        <v>#REF!</v>
      </c>
      <c r="U368" t="e">
        <f>AND(#REF!,"AAAAADv8/BQ=")</f>
        <v>#REF!</v>
      </c>
      <c r="V368" t="e">
        <f>AND(#REF!,"AAAAADv8/BU=")</f>
        <v>#REF!</v>
      </c>
      <c r="W368" t="e">
        <f>AND(#REF!,"AAAAADv8/BY=")</f>
        <v>#REF!</v>
      </c>
      <c r="X368" t="e">
        <f>AND(#REF!,"AAAAADv8/Bc=")</f>
        <v>#REF!</v>
      </c>
      <c r="Y368" t="e">
        <f>AND(#REF!,"AAAAADv8/Bg=")</f>
        <v>#REF!</v>
      </c>
      <c r="Z368" t="e">
        <f>AND(#REF!,"AAAAADv8/Bk=")</f>
        <v>#REF!</v>
      </c>
      <c r="AA368" t="e">
        <f>AND(#REF!,"AAAAADv8/Bo=")</f>
        <v>#REF!</v>
      </c>
      <c r="AB368" t="e">
        <f>AND(#REF!,"AAAAADv8/Bs=")</f>
        <v>#REF!</v>
      </c>
      <c r="AC368" t="e">
        <f>IF(#REF!,"AAAAADv8/Bw=",0)</f>
        <v>#REF!</v>
      </c>
      <c r="AD368" t="e">
        <f>AND(#REF!,"AAAAADv8/B0=")</f>
        <v>#REF!</v>
      </c>
      <c r="AE368" t="e">
        <f>AND(#REF!,"AAAAADv8/B4=")</f>
        <v>#REF!</v>
      </c>
      <c r="AF368" t="e">
        <f>AND(#REF!,"AAAAADv8/B8=")</f>
        <v>#REF!</v>
      </c>
      <c r="AG368" t="e">
        <f>AND(#REF!,"AAAAADv8/CA=")</f>
        <v>#REF!</v>
      </c>
      <c r="AH368" t="e">
        <f>AND(#REF!,"AAAAADv8/CE=")</f>
        <v>#REF!</v>
      </c>
      <c r="AI368" t="e">
        <f>AND(#REF!,"AAAAADv8/CI=")</f>
        <v>#REF!</v>
      </c>
      <c r="AJ368" t="e">
        <f>AND(#REF!,"AAAAADv8/CM=")</f>
        <v>#REF!</v>
      </c>
      <c r="AK368" t="e">
        <f>AND(#REF!,"AAAAADv8/CQ=")</f>
        <v>#REF!</v>
      </c>
      <c r="AL368" t="e">
        <f>AND(#REF!,"AAAAADv8/CU=")</f>
        <v>#REF!</v>
      </c>
      <c r="AM368" t="e">
        <f>AND(#REF!,"AAAAADv8/CY=")</f>
        <v>#REF!</v>
      </c>
      <c r="AN368" t="e">
        <f>IF(#REF!,"AAAAADv8/Cc=",0)</f>
        <v>#REF!</v>
      </c>
      <c r="AO368" t="e">
        <f>AND(#REF!,"AAAAADv8/Cg=")</f>
        <v>#REF!</v>
      </c>
      <c r="AP368" t="e">
        <f>AND(#REF!,"AAAAADv8/Ck=")</f>
        <v>#REF!</v>
      </c>
      <c r="AQ368" t="e">
        <f>AND(#REF!,"AAAAADv8/Co=")</f>
        <v>#REF!</v>
      </c>
      <c r="AR368" t="e">
        <f>AND(#REF!,"AAAAADv8/Cs=")</f>
        <v>#REF!</v>
      </c>
      <c r="AS368" t="e">
        <f>AND(#REF!,"AAAAADv8/Cw=")</f>
        <v>#REF!</v>
      </c>
      <c r="AT368" t="e">
        <f>AND(#REF!,"AAAAADv8/C0=")</f>
        <v>#REF!</v>
      </c>
      <c r="AU368" t="e">
        <f>AND(#REF!,"AAAAADv8/C4=")</f>
        <v>#REF!</v>
      </c>
      <c r="AV368" t="e">
        <f>AND(#REF!,"AAAAADv8/C8=")</f>
        <v>#REF!</v>
      </c>
      <c r="AW368" t="e">
        <f>AND(#REF!,"AAAAADv8/DA=")</f>
        <v>#REF!</v>
      </c>
      <c r="AX368" t="e">
        <f>AND(#REF!,"AAAAADv8/DE=")</f>
        <v>#REF!</v>
      </c>
      <c r="AY368" t="e">
        <f>IF(#REF!,"AAAAADv8/DI=",0)</f>
        <v>#REF!</v>
      </c>
      <c r="AZ368" t="e">
        <f>AND(#REF!,"AAAAADv8/DM=")</f>
        <v>#REF!</v>
      </c>
      <c r="BA368" t="e">
        <f>AND(#REF!,"AAAAADv8/DQ=")</f>
        <v>#REF!</v>
      </c>
      <c r="BB368" t="e">
        <f>AND(#REF!,"AAAAADv8/DU=")</f>
        <v>#REF!</v>
      </c>
      <c r="BC368" t="e">
        <f>AND(#REF!,"AAAAADv8/DY=")</f>
        <v>#REF!</v>
      </c>
      <c r="BD368" t="e">
        <f>AND(#REF!,"AAAAADv8/Dc=")</f>
        <v>#REF!</v>
      </c>
      <c r="BE368" t="e">
        <f>AND(#REF!,"AAAAADv8/Dg=")</f>
        <v>#REF!</v>
      </c>
      <c r="BF368" t="e">
        <f>AND(#REF!,"AAAAADv8/Dk=")</f>
        <v>#REF!</v>
      </c>
      <c r="BG368" t="e">
        <f>AND(#REF!,"AAAAADv8/Do=")</f>
        <v>#REF!</v>
      </c>
      <c r="BH368" t="e">
        <f>AND(#REF!,"AAAAADv8/Ds=")</f>
        <v>#REF!</v>
      </c>
      <c r="BI368" t="e">
        <f>AND(#REF!,"AAAAADv8/Dw=")</f>
        <v>#REF!</v>
      </c>
      <c r="BJ368" t="e">
        <f>IF(#REF!,"AAAAADv8/D0=",0)</f>
        <v>#REF!</v>
      </c>
      <c r="BK368" t="e">
        <f>AND(#REF!,"AAAAADv8/D4=")</f>
        <v>#REF!</v>
      </c>
      <c r="BL368" t="e">
        <f>AND(#REF!,"AAAAADv8/D8=")</f>
        <v>#REF!</v>
      </c>
      <c r="BM368" t="e">
        <f>AND(#REF!,"AAAAADv8/EA=")</f>
        <v>#REF!</v>
      </c>
      <c r="BN368" t="e">
        <f>AND(#REF!,"AAAAADv8/EE=")</f>
        <v>#REF!</v>
      </c>
      <c r="BO368" t="e">
        <f>AND(#REF!,"AAAAADv8/EI=")</f>
        <v>#REF!</v>
      </c>
      <c r="BP368" t="e">
        <f>AND(#REF!,"AAAAADv8/EM=")</f>
        <v>#REF!</v>
      </c>
      <c r="BQ368" t="e">
        <f>AND(#REF!,"AAAAADv8/EQ=")</f>
        <v>#REF!</v>
      </c>
      <c r="BR368" t="e">
        <f>AND(#REF!,"AAAAADv8/EU=")</f>
        <v>#REF!</v>
      </c>
      <c r="BS368" t="e">
        <f>AND(#REF!,"AAAAADv8/EY=")</f>
        <v>#REF!</v>
      </c>
      <c r="BT368" t="e">
        <f>AND(#REF!,"AAAAADv8/Ec=")</f>
        <v>#REF!</v>
      </c>
      <c r="BU368" t="e">
        <f>IF(#REF!,"AAAAADv8/Eg=",0)</f>
        <v>#REF!</v>
      </c>
      <c r="BV368" t="e">
        <f>AND(#REF!,"AAAAADv8/Ek=")</f>
        <v>#REF!</v>
      </c>
      <c r="BW368" t="e">
        <f>AND(#REF!,"AAAAADv8/Eo=")</f>
        <v>#REF!</v>
      </c>
      <c r="BX368" t="e">
        <f>AND(#REF!,"AAAAADv8/Es=")</f>
        <v>#REF!</v>
      </c>
      <c r="BY368" t="e">
        <f>AND(#REF!,"AAAAADv8/Ew=")</f>
        <v>#REF!</v>
      </c>
      <c r="BZ368" t="e">
        <f>AND(#REF!,"AAAAADv8/E0=")</f>
        <v>#REF!</v>
      </c>
      <c r="CA368" t="e">
        <f>AND(#REF!,"AAAAADv8/E4=")</f>
        <v>#REF!</v>
      </c>
      <c r="CB368" t="e">
        <f>AND(#REF!,"AAAAADv8/E8=")</f>
        <v>#REF!</v>
      </c>
      <c r="CC368" t="e">
        <f>AND(#REF!,"AAAAADv8/FA=")</f>
        <v>#REF!</v>
      </c>
      <c r="CD368" t="e">
        <f>AND(#REF!,"AAAAADv8/FE=")</f>
        <v>#REF!</v>
      </c>
      <c r="CE368" t="e">
        <f>AND(#REF!,"AAAAADv8/FI=")</f>
        <v>#REF!</v>
      </c>
      <c r="CF368" t="e">
        <f>IF(#REF!,"AAAAADv8/FM=",0)</f>
        <v>#REF!</v>
      </c>
      <c r="CG368" t="e">
        <f>AND(#REF!,"AAAAADv8/FQ=")</f>
        <v>#REF!</v>
      </c>
      <c r="CH368" t="e">
        <f>AND(#REF!,"AAAAADv8/FU=")</f>
        <v>#REF!</v>
      </c>
      <c r="CI368" t="e">
        <f>AND(#REF!,"AAAAADv8/FY=")</f>
        <v>#REF!</v>
      </c>
      <c r="CJ368" t="e">
        <f>AND(#REF!,"AAAAADv8/Fc=")</f>
        <v>#REF!</v>
      </c>
      <c r="CK368" t="e">
        <f>AND(#REF!,"AAAAADv8/Fg=")</f>
        <v>#REF!</v>
      </c>
      <c r="CL368" t="e">
        <f>AND(#REF!,"AAAAADv8/Fk=")</f>
        <v>#REF!</v>
      </c>
      <c r="CM368" t="e">
        <f>AND(#REF!,"AAAAADv8/Fo=")</f>
        <v>#REF!</v>
      </c>
      <c r="CN368" t="e">
        <f>AND(#REF!,"AAAAADv8/Fs=")</f>
        <v>#REF!</v>
      </c>
      <c r="CO368" t="e">
        <f>AND(#REF!,"AAAAADv8/Fw=")</f>
        <v>#REF!</v>
      </c>
      <c r="CP368" t="e">
        <f>AND(#REF!,"AAAAADv8/F0=")</f>
        <v>#REF!</v>
      </c>
      <c r="CQ368" t="e">
        <f>IF(#REF!,"AAAAADv8/F4=",0)</f>
        <v>#REF!</v>
      </c>
      <c r="CR368" t="e">
        <f>AND(#REF!,"AAAAADv8/F8=")</f>
        <v>#REF!</v>
      </c>
      <c r="CS368" t="e">
        <f>AND(#REF!,"AAAAADv8/GA=")</f>
        <v>#REF!</v>
      </c>
      <c r="CT368" t="e">
        <f>AND(#REF!,"AAAAADv8/GE=")</f>
        <v>#REF!</v>
      </c>
      <c r="CU368" t="e">
        <f>AND(#REF!,"AAAAADv8/GI=")</f>
        <v>#REF!</v>
      </c>
      <c r="CV368" t="e">
        <f>AND(#REF!,"AAAAADv8/GM=")</f>
        <v>#REF!</v>
      </c>
      <c r="CW368" t="e">
        <f>AND(#REF!,"AAAAADv8/GQ=")</f>
        <v>#REF!</v>
      </c>
      <c r="CX368" t="e">
        <f>AND(#REF!,"AAAAADv8/GU=")</f>
        <v>#REF!</v>
      </c>
      <c r="CY368" t="e">
        <f>AND(#REF!,"AAAAADv8/GY=")</f>
        <v>#REF!</v>
      </c>
      <c r="CZ368" t="e">
        <f>AND(#REF!,"AAAAADv8/Gc=")</f>
        <v>#REF!</v>
      </c>
      <c r="DA368" t="e">
        <f>AND(#REF!,"AAAAADv8/Gg=")</f>
        <v>#REF!</v>
      </c>
      <c r="DB368" t="e">
        <f>IF(#REF!,"AAAAADv8/Gk=",0)</f>
        <v>#REF!</v>
      </c>
      <c r="DC368" t="e">
        <f>AND(#REF!,"AAAAADv8/Go=")</f>
        <v>#REF!</v>
      </c>
      <c r="DD368" t="e">
        <f>AND(#REF!,"AAAAADv8/Gs=")</f>
        <v>#REF!</v>
      </c>
      <c r="DE368" t="e">
        <f>AND(#REF!,"AAAAADv8/Gw=")</f>
        <v>#REF!</v>
      </c>
      <c r="DF368" t="e">
        <f>AND(#REF!,"AAAAADv8/G0=")</f>
        <v>#REF!</v>
      </c>
      <c r="DG368" t="e">
        <f>AND(#REF!,"AAAAADv8/G4=")</f>
        <v>#REF!</v>
      </c>
      <c r="DH368" t="e">
        <f>AND(#REF!,"AAAAADv8/G8=")</f>
        <v>#REF!</v>
      </c>
      <c r="DI368" t="e">
        <f>AND(#REF!,"AAAAADv8/HA=")</f>
        <v>#REF!</v>
      </c>
      <c r="DJ368" t="e">
        <f>AND(#REF!,"AAAAADv8/HE=")</f>
        <v>#REF!</v>
      </c>
      <c r="DK368" t="e">
        <f>AND(#REF!,"AAAAADv8/HI=")</f>
        <v>#REF!</v>
      </c>
      <c r="DL368" t="e">
        <f>AND(#REF!,"AAAAADv8/HM=")</f>
        <v>#REF!</v>
      </c>
      <c r="DM368" t="e">
        <f>IF(#REF!,"AAAAADv8/HQ=",0)</f>
        <v>#REF!</v>
      </c>
      <c r="DN368" t="e">
        <f>AND(#REF!,"AAAAADv8/HU=")</f>
        <v>#REF!</v>
      </c>
      <c r="DO368" t="e">
        <f>AND(#REF!,"AAAAADv8/HY=")</f>
        <v>#REF!</v>
      </c>
      <c r="DP368" t="e">
        <f>AND(#REF!,"AAAAADv8/Hc=")</f>
        <v>#REF!</v>
      </c>
      <c r="DQ368" t="e">
        <f>AND(#REF!,"AAAAADv8/Hg=")</f>
        <v>#REF!</v>
      </c>
      <c r="DR368" t="e">
        <f>AND(#REF!,"AAAAADv8/Hk=")</f>
        <v>#REF!</v>
      </c>
      <c r="DS368" t="e">
        <f>AND(#REF!,"AAAAADv8/Ho=")</f>
        <v>#REF!</v>
      </c>
      <c r="DT368" t="e">
        <f>AND(#REF!,"AAAAADv8/Hs=")</f>
        <v>#REF!</v>
      </c>
      <c r="DU368" t="e">
        <f>AND(#REF!,"AAAAADv8/Hw=")</f>
        <v>#REF!</v>
      </c>
      <c r="DV368" t="e">
        <f>AND(#REF!,"AAAAADv8/H0=")</f>
        <v>#REF!</v>
      </c>
      <c r="DW368" t="e">
        <f>AND(#REF!,"AAAAADv8/H4=")</f>
        <v>#REF!</v>
      </c>
      <c r="DX368" t="e">
        <f>IF(#REF!,"AAAAADv8/H8=",0)</f>
        <v>#REF!</v>
      </c>
      <c r="DY368" t="e">
        <f>AND(#REF!,"AAAAADv8/IA=")</f>
        <v>#REF!</v>
      </c>
      <c r="DZ368" t="e">
        <f>AND(#REF!,"AAAAADv8/IE=")</f>
        <v>#REF!</v>
      </c>
      <c r="EA368" t="e">
        <f>AND(#REF!,"AAAAADv8/II=")</f>
        <v>#REF!</v>
      </c>
      <c r="EB368" t="e">
        <f>AND(#REF!,"AAAAADv8/IM=")</f>
        <v>#REF!</v>
      </c>
      <c r="EC368" t="e">
        <f>AND(#REF!,"AAAAADv8/IQ=")</f>
        <v>#REF!</v>
      </c>
      <c r="ED368" t="e">
        <f>AND(#REF!,"AAAAADv8/IU=")</f>
        <v>#REF!</v>
      </c>
      <c r="EE368" t="e">
        <f>AND(#REF!,"AAAAADv8/IY=")</f>
        <v>#REF!</v>
      </c>
      <c r="EF368" t="e">
        <f>AND(#REF!,"AAAAADv8/Ic=")</f>
        <v>#REF!</v>
      </c>
      <c r="EG368" t="e">
        <f>AND(#REF!,"AAAAADv8/Ig=")</f>
        <v>#REF!</v>
      </c>
      <c r="EH368" t="e">
        <f>AND(#REF!,"AAAAADv8/Ik=")</f>
        <v>#REF!</v>
      </c>
      <c r="EI368" t="e">
        <f>IF(#REF!,"AAAAADv8/Io=",0)</f>
        <v>#REF!</v>
      </c>
      <c r="EJ368" t="e">
        <f>AND(#REF!,"AAAAADv8/Is=")</f>
        <v>#REF!</v>
      </c>
      <c r="EK368" t="e">
        <f>AND(#REF!,"AAAAADv8/Iw=")</f>
        <v>#REF!</v>
      </c>
      <c r="EL368" t="e">
        <f>AND(#REF!,"AAAAADv8/I0=")</f>
        <v>#REF!</v>
      </c>
      <c r="EM368" t="e">
        <f>AND(#REF!,"AAAAADv8/I4=")</f>
        <v>#REF!</v>
      </c>
      <c r="EN368" t="e">
        <f>AND(#REF!,"AAAAADv8/I8=")</f>
        <v>#REF!</v>
      </c>
      <c r="EO368" t="e">
        <f>AND(#REF!,"AAAAADv8/JA=")</f>
        <v>#REF!</v>
      </c>
      <c r="EP368" t="e">
        <f>AND(#REF!,"AAAAADv8/JE=")</f>
        <v>#REF!</v>
      </c>
      <c r="EQ368" t="e">
        <f>AND(#REF!,"AAAAADv8/JI=")</f>
        <v>#REF!</v>
      </c>
      <c r="ER368" t="e">
        <f>AND(#REF!,"AAAAADv8/JM=")</f>
        <v>#REF!</v>
      </c>
      <c r="ES368" t="e">
        <f>AND(#REF!,"AAAAADv8/JQ=")</f>
        <v>#REF!</v>
      </c>
      <c r="ET368" t="e">
        <f>IF(#REF!,"AAAAADv8/JU=",0)</f>
        <v>#REF!</v>
      </c>
      <c r="EU368" t="e">
        <f>AND(#REF!,"AAAAADv8/JY=")</f>
        <v>#REF!</v>
      </c>
      <c r="EV368" t="e">
        <f>AND(#REF!,"AAAAADv8/Jc=")</f>
        <v>#REF!</v>
      </c>
      <c r="EW368" t="e">
        <f>AND(#REF!,"AAAAADv8/Jg=")</f>
        <v>#REF!</v>
      </c>
      <c r="EX368" t="e">
        <f>AND(#REF!,"AAAAADv8/Jk=")</f>
        <v>#REF!</v>
      </c>
      <c r="EY368" t="e">
        <f>AND(#REF!,"AAAAADv8/Jo=")</f>
        <v>#REF!</v>
      </c>
      <c r="EZ368" t="e">
        <f>AND(#REF!,"AAAAADv8/Js=")</f>
        <v>#REF!</v>
      </c>
      <c r="FA368" t="e">
        <f>AND(#REF!,"AAAAADv8/Jw=")</f>
        <v>#REF!</v>
      </c>
      <c r="FB368" t="e">
        <f>AND(#REF!,"AAAAADv8/J0=")</f>
        <v>#REF!</v>
      </c>
      <c r="FC368" t="e">
        <f>AND(#REF!,"AAAAADv8/J4=")</f>
        <v>#REF!</v>
      </c>
      <c r="FD368" t="e">
        <f>AND(#REF!,"AAAAADv8/J8=")</f>
        <v>#REF!</v>
      </c>
      <c r="FE368" t="e">
        <f>IF(#REF!,"AAAAADv8/KA=",0)</f>
        <v>#REF!</v>
      </c>
      <c r="FF368" t="e">
        <f>AND(#REF!,"AAAAADv8/KE=")</f>
        <v>#REF!</v>
      </c>
      <c r="FG368" t="e">
        <f>AND(#REF!,"AAAAADv8/KI=")</f>
        <v>#REF!</v>
      </c>
      <c r="FH368" t="e">
        <f>AND(#REF!,"AAAAADv8/KM=")</f>
        <v>#REF!</v>
      </c>
      <c r="FI368" t="e">
        <f>AND(#REF!,"AAAAADv8/KQ=")</f>
        <v>#REF!</v>
      </c>
      <c r="FJ368" t="e">
        <f>AND(#REF!,"AAAAADv8/KU=")</f>
        <v>#REF!</v>
      </c>
      <c r="FK368" t="e">
        <f>AND(#REF!,"AAAAADv8/KY=")</f>
        <v>#REF!</v>
      </c>
      <c r="FL368" t="e">
        <f>AND(#REF!,"AAAAADv8/Kc=")</f>
        <v>#REF!</v>
      </c>
      <c r="FM368" t="e">
        <f>AND(#REF!,"AAAAADv8/Kg=")</f>
        <v>#REF!</v>
      </c>
      <c r="FN368" t="e">
        <f>AND(#REF!,"AAAAADv8/Kk=")</f>
        <v>#REF!</v>
      </c>
      <c r="FO368" t="e">
        <f>AND(#REF!,"AAAAADv8/Ko=")</f>
        <v>#REF!</v>
      </c>
      <c r="FP368" t="e">
        <f>IF(#REF!,"AAAAADv8/Ks=",0)</f>
        <v>#REF!</v>
      </c>
      <c r="FQ368" t="e">
        <f>AND(#REF!,"AAAAADv8/Kw=")</f>
        <v>#REF!</v>
      </c>
      <c r="FR368" t="e">
        <f>AND(#REF!,"AAAAADv8/K0=")</f>
        <v>#REF!</v>
      </c>
      <c r="FS368" t="e">
        <f>AND(#REF!,"AAAAADv8/K4=")</f>
        <v>#REF!</v>
      </c>
      <c r="FT368" t="e">
        <f>AND(#REF!,"AAAAADv8/K8=")</f>
        <v>#REF!</v>
      </c>
      <c r="FU368" t="e">
        <f>AND(#REF!,"AAAAADv8/LA=")</f>
        <v>#REF!</v>
      </c>
      <c r="FV368" t="e">
        <f>AND(#REF!,"AAAAADv8/LE=")</f>
        <v>#REF!</v>
      </c>
      <c r="FW368" t="e">
        <f>AND(#REF!,"AAAAADv8/LI=")</f>
        <v>#REF!</v>
      </c>
      <c r="FX368" t="e">
        <f>AND(#REF!,"AAAAADv8/LM=")</f>
        <v>#REF!</v>
      </c>
      <c r="FY368" t="e">
        <f>AND(#REF!,"AAAAADv8/LQ=")</f>
        <v>#REF!</v>
      </c>
      <c r="FZ368" t="e">
        <f>AND(#REF!,"AAAAADv8/LU=")</f>
        <v>#REF!</v>
      </c>
      <c r="GA368" t="e">
        <f>IF(#REF!,"AAAAADv8/LY=",0)</f>
        <v>#REF!</v>
      </c>
      <c r="GB368" t="e">
        <f>AND(#REF!,"AAAAADv8/Lc=")</f>
        <v>#REF!</v>
      </c>
      <c r="GC368" t="e">
        <f>AND(#REF!,"AAAAADv8/Lg=")</f>
        <v>#REF!</v>
      </c>
      <c r="GD368" t="e">
        <f>AND(#REF!,"AAAAADv8/Lk=")</f>
        <v>#REF!</v>
      </c>
      <c r="GE368" t="e">
        <f>AND(#REF!,"AAAAADv8/Lo=")</f>
        <v>#REF!</v>
      </c>
      <c r="GF368" t="e">
        <f>AND(#REF!,"AAAAADv8/Ls=")</f>
        <v>#REF!</v>
      </c>
      <c r="GG368" t="e">
        <f>AND(#REF!,"AAAAADv8/Lw=")</f>
        <v>#REF!</v>
      </c>
      <c r="GH368" t="e">
        <f>AND(#REF!,"AAAAADv8/L0=")</f>
        <v>#REF!</v>
      </c>
      <c r="GI368" t="e">
        <f>AND(#REF!,"AAAAADv8/L4=")</f>
        <v>#REF!</v>
      </c>
      <c r="GJ368" t="e">
        <f>AND(#REF!,"AAAAADv8/L8=")</f>
        <v>#REF!</v>
      </c>
      <c r="GK368" t="e">
        <f>AND(#REF!,"AAAAADv8/MA=")</f>
        <v>#REF!</v>
      </c>
      <c r="GL368" t="e">
        <f>IF(#REF!,"AAAAADv8/ME=",0)</f>
        <v>#REF!</v>
      </c>
      <c r="GM368" t="e">
        <f>AND(#REF!,"AAAAADv8/MI=")</f>
        <v>#REF!</v>
      </c>
      <c r="GN368" t="e">
        <f>AND(#REF!,"AAAAADv8/MM=")</f>
        <v>#REF!</v>
      </c>
      <c r="GO368" t="e">
        <f>AND(#REF!,"AAAAADv8/MQ=")</f>
        <v>#REF!</v>
      </c>
      <c r="GP368" t="e">
        <f>AND(#REF!,"AAAAADv8/MU=")</f>
        <v>#REF!</v>
      </c>
      <c r="GQ368" t="e">
        <f>AND(#REF!,"AAAAADv8/MY=")</f>
        <v>#REF!</v>
      </c>
      <c r="GR368" t="e">
        <f>AND(#REF!,"AAAAADv8/Mc=")</f>
        <v>#REF!</v>
      </c>
      <c r="GS368" t="e">
        <f>AND(#REF!,"AAAAADv8/Mg=")</f>
        <v>#REF!</v>
      </c>
      <c r="GT368" t="e">
        <f>AND(#REF!,"AAAAADv8/Mk=")</f>
        <v>#REF!</v>
      </c>
      <c r="GU368" t="e">
        <f>AND(#REF!,"AAAAADv8/Mo=")</f>
        <v>#REF!</v>
      </c>
      <c r="GV368" t="e">
        <f>AND(#REF!,"AAAAADv8/Ms=")</f>
        <v>#REF!</v>
      </c>
      <c r="GW368" t="e">
        <f>IF(#REF!,"AAAAADv8/Mw=",0)</f>
        <v>#REF!</v>
      </c>
      <c r="GX368" t="e">
        <f>AND(#REF!,"AAAAADv8/M0=")</f>
        <v>#REF!</v>
      </c>
      <c r="GY368" t="e">
        <f>AND(#REF!,"AAAAADv8/M4=")</f>
        <v>#REF!</v>
      </c>
      <c r="GZ368" t="e">
        <f>AND(#REF!,"AAAAADv8/M8=")</f>
        <v>#REF!</v>
      </c>
      <c r="HA368" t="e">
        <f>AND(#REF!,"AAAAADv8/NA=")</f>
        <v>#REF!</v>
      </c>
      <c r="HB368" t="e">
        <f>AND(#REF!,"AAAAADv8/NE=")</f>
        <v>#REF!</v>
      </c>
      <c r="HC368" t="e">
        <f>AND(#REF!,"AAAAADv8/NI=")</f>
        <v>#REF!</v>
      </c>
      <c r="HD368" t="e">
        <f>AND(#REF!,"AAAAADv8/NM=")</f>
        <v>#REF!</v>
      </c>
      <c r="HE368" t="e">
        <f>AND(#REF!,"AAAAADv8/NQ=")</f>
        <v>#REF!</v>
      </c>
      <c r="HF368" t="e">
        <f>AND(#REF!,"AAAAADv8/NU=")</f>
        <v>#REF!</v>
      </c>
      <c r="HG368" t="e">
        <f>AND(#REF!,"AAAAADv8/NY=")</f>
        <v>#REF!</v>
      </c>
      <c r="HH368" t="e">
        <f>IF(#REF!,"AAAAADv8/Nc=",0)</f>
        <v>#REF!</v>
      </c>
      <c r="HI368" t="e">
        <f>AND(#REF!,"AAAAADv8/Ng=")</f>
        <v>#REF!</v>
      </c>
      <c r="HJ368" t="e">
        <f>AND(#REF!,"AAAAADv8/Nk=")</f>
        <v>#REF!</v>
      </c>
      <c r="HK368" t="e">
        <f>AND(#REF!,"AAAAADv8/No=")</f>
        <v>#REF!</v>
      </c>
      <c r="HL368" t="e">
        <f>AND(#REF!,"AAAAADv8/Ns=")</f>
        <v>#REF!</v>
      </c>
      <c r="HM368" t="e">
        <f>AND(#REF!,"AAAAADv8/Nw=")</f>
        <v>#REF!</v>
      </c>
      <c r="HN368" t="e">
        <f>AND(#REF!,"AAAAADv8/N0=")</f>
        <v>#REF!</v>
      </c>
      <c r="HO368" t="e">
        <f>AND(#REF!,"AAAAADv8/N4=")</f>
        <v>#REF!</v>
      </c>
      <c r="HP368" t="e">
        <f>AND(#REF!,"AAAAADv8/N8=")</f>
        <v>#REF!</v>
      </c>
      <c r="HQ368" t="e">
        <f>AND(#REF!,"AAAAADv8/OA=")</f>
        <v>#REF!</v>
      </c>
      <c r="HR368" t="e">
        <f>AND(#REF!,"AAAAADv8/OE=")</f>
        <v>#REF!</v>
      </c>
      <c r="HS368" t="e">
        <f>IF(#REF!,"AAAAADv8/OI=",0)</f>
        <v>#REF!</v>
      </c>
      <c r="HT368" t="e">
        <f>AND(#REF!,"AAAAADv8/OM=")</f>
        <v>#REF!</v>
      </c>
      <c r="HU368" t="e">
        <f>AND(#REF!,"AAAAADv8/OQ=")</f>
        <v>#REF!</v>
      </c>
      <c r="HV368" t="e">
        <f>AND(#REF!,"AAAAADv8/OU=")</f>
        <v>#REF!</v>
      </c>
      <c r="HW368" t="e">
        <f>AND(#REF!,"AAAAADv8/OY=")</f>
        <v>#REF!</v>
      </c>
      <c r="HX368" t="e">
        <f>AND(#REF!,"AAAAADv8/Oc=")</f>
        <v>#REF!</v>
      </c>
      <c r="HY368" t="e">
        <f>AND(#REF!,"AAAAADv8/Og=")</f>
        <v>#REF!</v>
      </c>
      <c r="HZ368" t="e">
        <f>AND(#REF!,"AAAAADv8/Ok=")</f>
        <v>#REF!</v>
      </c>
      <c r="IA368" t="e">
        <f>AND(#REF!,"AAAAADv8/Oo=")</f>
        <v>#REF!</v>
      </c>
      <c r="IB368" t="e">
        <f>AND(#REF!,"AAAAADv8/Os=")</f>
        <v>#REF!</v>
      </c>
      <c r="IC368" t="e">
        <f>AND(#REF!,"AAAAADv8/Ow=")</f>
        <v>#REF!</v>
      </c>
      <c r="ID368" t="e">
        <f>IF(#REF!,"AAAAADv8/O0=",0)</f>
        <v>#REF!</v>
      </c>
      <c r="IE368" t="e">
        <f>AND(#REF!,"AAAAADv8/O4=")</f>
        <v>#REF!</v>
      </c>
      <c r="IF368" t="e">
        <f>AND(#REF!,"AAAAADv8/O8=")</f>
        <v>#REF!</v>
      </c>
      <c r="IG368" t="e">
        <f>AND(#REF!,"AAAAADv8/PA=")</f>
        <v>#REF!</v>
      </c>
      <c r="IH368" t="e">
        <f>AND(#REF!,"AAAAADv8/PE=")</f>
        <v>#REF!</v>
      </c>
      <c r="II368" t="e">
        <f>AND(#REF!,"AAAAADv8/PI=")</f>
        <v>#REF!</v>
      </c>
      <c r="IJ368" t="e">
        <f>AND(#REF!,"AAAAADv8/PM=")</f>
        <v>#REF!</v>
      </c>
      <c r="IK368" t="e">
        <f>AND(#REF!,"AAAAADv8/PQ=")</f>
        <v>#REF!</v>
      </c>
      <c r="IL368" t="e">
        <f>AND(#REF!,"AAAAADv8/PU=")</f>
        <v>#REF!</v>
      </c>
      <c r="IM368" t="e">
        <f>AND(#REF!,"AAAAADv8/PY=")</f>
        <v>#REF!</v>
      </c>
      <c r="IN368" t="e">
        <f>AND(#REF!,"AAAAADv8/Pc=")</f>
        <v>#REF!</v>
      </c>
      <c r="IO368" t="e">
        <f>IF(#REF!,"AAAAADv8/Pg=",0)</f>
        <v>#REF!</v>
      </c>
      <c r="IP368" t="e">
        <f>AND(#REF!,"AAAAADv8/Pk=")</f>
        <v>#REF!</v>
      </c>
      <c r="IQ368" t="e">
        <f>AND(#REF!,"AAAAADv8/Po=")</f>
        <v>#REF!</v>
      </c>
      <c r="IR368" t="e">
        <f>AND(#REF!,"AAAAADv8/Ps=")</f>
        <v>#REF!</v>
      </c>
      <c r="IS368" t="e">
        <f>AND(#REF!,"AAAAADv8/Pw=")</f>
        <v>#REF!</v>
      </c>
      <c r="IT368" t="e">
        <f>AND(#REF!,"AAAAADv8/P0=")</f>
        <v>#REF!</v>
      </c>
      <c r="IU368" t="e">
        <f>AND(#REF!,"AAAAADv8/P4=")</f>
        <v>#REF!</v>
      </c>
      <c r="IV368" t="e">
        <f>AND(#REF!,"AAAAADv8/P8=")</f>
        <v>#REF!</v>
      </c>
    </row>
    <row r="369" spans="1:256" x14ac:dyDescent="0.25">
      <c r="A369" t="e">
        <f>AND(#REF!,"AAAAADvrWwA=")</f>
        <v>#REF!</v>
      </c>
      <c r="B369" t="e">
        <f>AND(#REF!,"AAAAADvrWwE=")</f>
        <v>#REF!</v>
      </c>
      <c r="C369" t="e">
        <f>AND(#REF!,"AAAAADvrWwI=")</f>
        <v>#REF!</v>
      </c>
      <c r="D369" t="e">
        <f>IF(#REF!,"AAAAADvrWwM=",0)</f>
        <v>#REF!</v>
      </c>
      <c r="E369" t="e">
        <f>AND(#REF!,"AAAAADvrWwQ=")</f>
        <v>#REF!</v>
      </c>
      <c r="F369" t="e">
        <f>AND(#REF!,"AAAAADvrWwU=")</f>
        <v>#REF!</v>
      </c>
      <c r="G369" t="e">
        <f>AND(#REF!,"AAAAADvrWwY=")</f>
        <v>#REF!</v>
      </c>
      <c r="H369" t="e">
        <f>AND(#REF!,"AAAAADvrWwc=")</f>
        <v>#REF!</v>
      </c>
      <c r="I369" t="e">
        <f>AND(#REF!,"AAAAADvrWwg=")</f>
        <v>#REF!</v>
      </c>
      <c r="J369" t="e">
        <f>AND(#REF!,"AAAAADvrWwk=")</f>
        <v>#REF!</v>
      </c>
      <c r="K369" t="e">
        <f>AND(#REF!,"AAAAADvrWwo=")</f>
        <v>#REF!</v>
      </c>
      <c r="L369" t="e">
        <f>AND(#REF!,"AAAAADvrWws=")</f>
        <v>#REF!</v>
      </c>
      <c r="M369" t="e">
        <f>AND(#REF!,"AAAAADvrWww=")</f>
        <v>#REF!</v>
      </c>
      <c r="N369" t="e">
        <f>AND(#REF!,"AAAAADvrWw0=")</f>
        <v>#REF!</v>
      </c>
      <c r="O369" t="e">
        <f>IF(#REF!,"AAAAADvrWw4=",0)</f>
        <v>#REF!</v>
      </c>
      <c r="P369" t="e">
        <f>AND(#REF!,"AAAAADvrWw8=")</f>
        <v>#REF!</v>
      </c>
      <c r="Q369" t="e">
        <f>AND(#REF!,"AAAAADvrWxA=")</f>
        <v>#REF!</v>
      </c>
      <c r="R369" t="e">
        <f>AND(#REF!,"AAAAADvrWxE=")</f>
        <v>#REF!</v>
      </c>
      <c r="S369" t="e">
        <f>AND(#REF!,"AAAAADvrWxI=")</f>
        <v>#REF!</v>
      </c>
      <c r="T369" t="e">
        <f>AND(#REF!,"AAAAADvrWxM=")</f>
        <v>#REF!</v>
      </c>
      <c r="U369" t="e">
        <f>AND(#REF!,"AAAAADvrWxQ=")</f>
        <v>#REF!</v>
      </c>
      <c r="V369" t="e">
        <f>AND(#REF!,"AAAAADvrWxU=")</f>
        <v>#REF!</v>
      </c>
      <c r="W369" t="e">
        <f>AND(#REF!,"AAAAADvrWxY=")</f>
        <v>#REF!</v>
      </c>
      <c r="X369" t="e">
        <f>AND(#REF!,"AAAAADvrWxc=")</f>
        <v>#REF!</v>
      </c>
      <c r="Y369" t="e">
        <f>AND(#REF!,"AAAAADvrWxg=")</f>
        <v>#REF!</v>
      </c>
      <c r="Z369" t="e">
        <f>IF(#REF!,"AAAAADvrWxk=",0)</f>
        <v>#REF!</v>
      </c>
      <c r="AA369" t="e">
        <f>AND(#REF!,"AAAAADvrWxo=")</f>
        <v>#REF!</v>
      </c>
      <c r="AB369" t="e">
        <f>AND(#REF!,"AAAAADvrWxs=")</f>
        <v>#REF!</v>
      </c>
      <c r="AC369" t="e">
        <f>AND(#REF!,"AAAAADvrWxw=")</f>
        <v>#REF!</v>
      </c>
      <c r="AD369" t="e">
        <f>AND(#REF!,"AAAAADvrWx0=")</f>
        <v>#REF!</v>
      </c>
      <c r="AE369" t="e">
        <f>AND(#REF!,"AAAAADvrWx4=")</f>
        <v>#REF!</v>
      </c>
      <c r="AF369" t="e">
        <f>AND(#REF!,"AAAAADvrWx8=")</f>
        <v>#REF!</v>
      </c>
      <c r="AG369" t="e">
        <f>AND(#REF!,"AAAAADvrWyA=")</f>
        <v>#REF!</v>
      </c>
      <c r="AH369" t="e">
        <f>AND(#REF!,"AAAAADvrWyE=")</f>
        <v>#REF!</v>
      </c>
      <c r="AI369" t="e">
        <f>AND(#REF!,"AAAAADvrWyI=")</f>
        <v>#REF!</v>
      </c>
      <c r="AJ369" t="e">
        <f>AND(#REF!,"AAAAADvrWyM=")</f>
        <v>#REF!</v>
      </c>
      <c r="AK369" t="e">
        <f>IF(#REF!,"AAAAADvrWyQ=",0)</f>
        <v>#REF!</v>
      </c>
      <c r="AL369" t="e">
        <f>AND(#REF!,"AAAAADvrWyU=")</f>
        <v>#REF!</v>
      </c>
      <c r="AM369" t="e">
        <f>AND(#REF!,"AAAAADvrWyY=")</f>
        <v>#REF!</v>
      </c>
      <c r="AN369" t="e">
        <f>AND(#REF!,"AAAAADvrWyc=")</f>
        <v>#REF!</v>
      </c>
      <c r="AO369" t="e">
        <f>AND(#REF!,"AAAAADvrWyg=")</f>
        <v>#REF!</v>
      </c>
      <c r="AP369" t="e">
        <f>AND(#REF!,"AAAAADvrWyk=")</f>
        <v>#REF!</v>
      </c>
      <c r="AQ369" t="e">
        <f>AND(#REF!,"AAAAADvrWyo=")</f>
        <v>#REF!</v>
      </c>
      <c r="AR369" t="e">
        <f>AND(#REF!,"AAAAADvrWys=")</f>
        <v>#REF!</v>
      </c>
      <c r="AS369" t="e">
        <f>AND(#REF!,"AAAAADvrWyw=")</f>
        <v>#REF!</v>
      </c>
      <c r="AT369" t="e">
        <f>AND(#REF!,"AAAAADvrWy0=")</f>
        <v>#REF!</v>
      </c>
      <c r="AU369" t="e">
        <f>AND(#REF!,"AAAAADvrWy4=")</f>
        <v>#REF!</v>
      </c>
      <c r="AV369" t="e">
        <f>IF(#REF!,"AAAAADvrWy8=",0)</f>
        <v>#REF!</v>
      </c>
      <c r="AW369" t="e">
        <f>AND(#REF!,"AAAAADvrWzA=")</f>
        <v>#REF!</v>
      </c>
      <c r="AX369" t="e">
        <f>AND(#REF!,"AAAAADvrWzE=")</f>
        <v>#REF!</v>
      </c>
      <c r="AY369" t="e">
        <f>AND(#REF!,"AAAAADvrWzI=")</f>
        <v>#REF!</v>
      </c>
      <c r="AZ369" t="e">
        <f>AND(#REF!,"AAAAADvrWzM=")</f>
        <v>#REF!</v>
      </c>
      <c r="BA369" t="e">
        <f>AND(#REF!,"AAAAADvrWzQ=")</f>
        <v>#REF!</v>
      </c>
      <c r="BB369" t="e">
        <f>AND(#REF!,"AAAAADvrWzU=")</f>
        <v>#REF!</v>
      </c>
      <c r="BC369" t="e">
        <f>AND(#REF!,"AAAAADvrWzY=")</f>
        <v>#REF!</v>
      </c>
      <c r="BD369" t="e">
        <f>AND(#REF!,"AAAAADvrWzc=")</f>
        <v>#REF!</v>
      </c>
      <c r="BE369" t="e">
        <f>AND(#REF!,"AAAAADvrWzg=")</f>
        <v>#REF!</v>
      </c>
      <c r="BF369" t="e">
        <f>AND(#REF!,"AAAAADvrWzk=")</f>
        <v>#REF!</v>
      </c>
      <c r="BG369" t="e">
        <f>IF(#REF!,"AAAAADvrWzo=",0)</f>
        <v>#REF!</v>
      </c>
      <c r="BH369" t="e">
        <f>AND(#REF!,"AAAAADvrWzs=")</f>
        <v>#REF!</v>
      </c>
      <c r="BI369" t="e">
        <f>AND(#REF!,"AAAAADvrWzw=")</f>
        <v>#REF!</v>
      </c>
      <c r="BJ369" t="e">
        <f>AND(#REF!,"AAAAADvrWz0=")</f>
        <v>#REF!</v>
      </c>
      <c r="BK369" t="e">
        <f>AND(#REF!,"AAAAADvrWz4=")</f>
        <v>#REF!</v>
      </c>
      <c r="BL369" t="e">
        <f>AND(#REF!,"AAAAADvrWz8=")</f>
        <v>#REF!</v>
      </c>
      <c r="BM369" t="e">
        <f>AND(#REF!,"AAAAADvrW0A=")</f>
        <v>#REF!</v>
      </c>
      <c r="BN369" t="e">
        <f>AND(#REF!,"AAAAADvrW0E=")</f>
        <v>#REF!</v>
      </c>
      <c r="BO369" t="e">
        <f>AND(#REF!,"AAAAADvrW0I=")</f>
        <v>#REF!</v>
      </c>
      <c r="BP369" t="e">
        <f>AND(#REF!,"AAAAADvrW0M=")</f>
        <v>#REF!</v>
      </c>
      <c r="BQ369" t="e">
        <f>AND(#REF!,"AAAAADvrW0Q=")</f>
        <v>#REF!</v>
      </c>
      <c r="BR369" t="e">
        <f>IF(#REF!,"AAAAADvrW0U=",0)</f>
        <v>#REF!</v>
      </c>
      <c r="BS369" t="e">
        <f>AND(#REF!,"AAAAADvrW0Y=")</f>
        <v>#REF!</v>
      </c>
      <c r="BT369" t="e">
        <f>AND(#REF!,"AAAAADvrW0c=")</f>
        <v>#REF!</v>
      </c>
      <c r="BU369" t="e">
        <f>AND(#REF!,"AAAAADvrW0g=")</f>
        <v>#REF!</v>
      </c>
      <c r="BV369" t="e">
        <f>AND(#REF!,"AAAAADvrW0k=")</f>
        <v>#REF!</v>
      </c>
      <c r="BW369" t="e">
        <f>AND(#REF!,"AAAAADvrW0o=")</f>
        <v>#REF!</v>
      </c>
      <c r="BX369" t="e">
        <f>AND(#REF!,"AAAAADvrW0s=")</f>
        <v>#REF!</v>
      </c>
      <c r="BY369" t="e">
        <f>AND(#REF!,"AAAAADvrW0w=")</f>
        <v>#REF!</v>
      </c>
      <c r="BZ369" t="e">
        <f>AND(#REF!,"AAAAADvrW00=")</f>
        <v>#REF!</v>
      </c>
      <c r="CA369" t="e">
        <f>AND(#REF!,"AAAAADvrW04=")</f>
        <v>#REF!</v>
      </c>
      <c r="CB369" t="e">
        <f>AND(#REF!,"AAAAADvrW08=")</f>
        <v>#REF!</v>
      </c>
      <c r="CC369" t="e">
        <f>IF(#REF!,"AAAAADvrW1A=",0)</f>
        <v>#REF!</v>
      </c>
      <c r="CD369" t="e">
        <f>AND(#REF!,"AAAAADvrW1E=")</f>
        <v>#REF!</v>
      </c>
      <c r="CE369" t="e">
        <f>AND(#REF!,"AAAAADvrW1I=")</f>
        <v>#REF!</v>
      </c>
      <c r="CF369" t="e">
        <f>AND(#REF!,"AAAAADvrW1M=")</f>
        <v>#REF!</v>
      </c>
      <c r="CG369" t="e">
        <f>AND(#REF!,"AAAAADvrW1Q=")</f>
        <v>#REF!</v>
      </c>
      <c r="CH369" t="e">
        <f>AND(#REF!,"AAAAADvrW1U=")</f>
        <v>#REF!</v>
      </c>
      <c r="CI369" t="e">
        <f>AND(#REF!,"AAAAADvrW1Y=")</f>
        <v>#REF!</v>
      </c>
      <c r="CJ369" t="e">
        <f>AND(#REF!,"AAAAADvrW1c=")</f>
        <v>#REF!</v>
      </c>
      <c r="CK369" t="e">
        <f>AND(#REF!,"AAAAADvrW1g=")</f>
        <v>#REF!</v>
      </c>
      <c r="CL369" t="e">
        <f>AND(#REF!,"AAAAADvrW1k=")</f>
        <v>#REF!</v>
      </c>
      <c r="CM369" t="e">
        <f>AND(#REF!,"AAAAADvrW1o=")</f>
        <v>#REF!</v>
      </c>
      <c r="CN369" t="e">
        <f>IF(#REF!,"AAAAADvrW1s=",0)</f>
        <v>#REF!</v>
      </c>
      <c r="CO369" t="e">
        <f>AND(#REF!,"AAAAADvrW1w=")</f>
        <v>#REF!</v>
      </c>
      <c r="CP369" t="e">
        <f>AND(#REF!,"AAAAADvrW10=")</f>
        <v>#REF!</v>
      </c>
      <c r="CQ369" t="e">
        <f>AND(#REF!,"AAAAADvrW14=")</f>
        <v>#REF!</v>
      </c>
      <c r="CR369" t="e">
        <f>AND(#REF!,"AAAAADvrW18=")</f>
        <v>#REF!</v>
      </c>
      <c r="CS369" t="e">
        <f>AND(#REF!,"AAAAADvrW2A=")</f>
        <v>#REF!</v>
      </c>
      <c r="CT369" t="e">
        <f>AND(#REF!,"AAAAADvrW2E=")</f>
        <v>#REF!</v>
      </c>
      <c r="CU369" t="e">
        <f>AND(#REF!,"AAAAADvrW2I=")</f>
        <v>#REF!</v>
      </c>
      <c r="CV369" t="e">
        <f>AND(#REF!,"AAAAADvrW2M=")</f>
        <v>#REF!</v>
      </c>
      <c r="CW369" t="e">
        <f>AND(#REF!,"AAAAADvrW2Q=")</f>
        <v>#REF!</v>
      </c>
      <c r="CX369" t="e">
        <f>AND(#REF!,"AAAAADvrW2U=")</f>
        <v>#REF!</v>
      </c>
      <c r="CY369" t="e">
        <f>IF(#REF!,"AAAAADvrW2Y=",0)</f>
        <v>#REF!</v>
      </c>
      <c r="CZ369" t="e">
        <f>AND(#REF!,"AAAAADvrW2c=")</f>
        <v>#REF!</v>
      </c>
      <c r="DA369" t="e">
        <f>AND(#REF!,"AAAAADvrW2g=")</f>
        <v>#REF!</v>
      </c>
      <c r="DB369" t="e">
        <f>AND(#REF!,"AAAAADvrW2k=")</f>
        <v>#REF!</v>
      </c>
      <c r="DC369" t="e">
        <f>AND(#REF!,"AAAAADvrW2o=")</f>
        <v>#REF!</v>
      </c>
      <c r="DD369" t="e">
        <f>AND(#REF!,"AAAAADvrW2s=")</f>
        <v>#REF!</v>
      </c>
      <c r="DE369" t="e">
        <f>AND(#REF!,"AAAAADvrW2w=")</f>
        <v>#REF!</v>
      </c>
      <c r="DF369" t="e">
        <f>AND(#REF!,"AAAAADvrW20=")</f>
        <v>#REF!</v>
      </c>
      <c r="DG369" t="e">
        <f>AND(#REF!,"AAAAADvrW24=")</f>
        <v>#REF!</v>
      </c>
      <c r="DH369" t="e">
        <f>AND(#REF!,"AAAAADvrW28=")</f>
        <v>#REF!</v>
      </c>
      <c r="DI369" t="e">
        <f>AND(#REF!,"AAAAADvrW3A=")</f>
        <v>#REF!</v>
      </c>
      <c r="DJ369" t="e">
        <f>IF(#REF!,"AAAAADvrW3E=",0)</f>
        <v>#REF!</v>
      </c>
      <c r="DK369" t="e">
        <f>AND(#REF!,"AAAAADvrW3I=")</f>
        <v>#REF!</v>
      </c>
      <c r="DL369" t="e">
        <f>AND(#REF!,"AAAAADvrW3M=")</f>
        <v>#REF!</v>
      </c>
      <c r="DM369" t="e">
        <f>AND(#REF!,"AAAAADvrW3Q=")</f>
        <v>#REF!</v>
      </c>
      <c r="DN369" t="e">
        <f>AND(#REF!,"AAAAADvrW3U=")</f>
        <v>#REF!</v>
      </c>
      <c r="DO369" t="e">
        <f>AND(#REF!,"AAAAADvrW3Y=")</f>
        <v>#REF!</v>
      </c>
      <c r="DP369" t="e">
        <f>AND(#REF!,"AAAAADvrW3c=")</f>
        <v>#REF!</v>
      </c>
      <c r="DQ369" t="e">
        <f>AND(#REF!,"AAAAADvrW3g=")</f>
        <v>#REF!</v>
      </c>
      <c r="DR369" t="e">
        <f>AND(#REF!,"AAAAADvrW3k=")</f>
        <v>#REF!</v>
      </c>
      <c r="DS369" t="e">
        <f>AND(#REF!,"AAAAADvrW3o=")</f>
        <v>#REF!</v>
      </c>
      <c r="DT369" t="e">
        <f>AND(#REF!,"AAAAADvrW3s=")</f>
        <v>#REF!</v>
      </c>
      <c r="DU369" t="e">
        <f>IF(#REF!,"AAAAADvrW3w=",0)</f>
        <v>#REF!</v>
      </c>
      <c r="DV369" t="e">
        <f>AND(#REF!,"AAAAADvrW30=")</f>
        <v>#REF!</v>
      </c>
      <c r="DW369" t="e">
        <f>AND(#REF!,"AAAAADvrW34=")</f>
        <v>#REF!</v>
      </c>
      <c r="DX369" t="e">
        <f>AND(#REF!,"AAAAADvrW38=")</f>
        <v>#REF!</v>
      </c>
      <c r="DY369" t="e">
        <f>AND(#REF!,"AAAAADvrW4A=")</f>
        <v>#REF!</v>
      </c>
      <c r="DZ369" t="e">
        <f>AND(#REF!,"AAAAADvrW4E=")</f>
        <v>#REF!</v>
      </c>
      <c r="EA369" t="e">
        <f>AND(#REF!,"AAAAADvrW4I=")</f>
        <v>#REF!</v>
      </c>
      <c r="EB369" t="e">
        <f>AND(#REF!,"AAAAADvrW4M=")</f>
        <v>#REF!</v>
      </c>
      <c r="EC369" t="e">
        <f>AND(#REF!,"AAAAADvrW4Q=")</f>
        <v>#REF!</v>
      </c>
      <c r="ED369" t="e">
        <f>AND(#REF!,"AAAAADvrW4U=")</f>
        <v>#REF!</v>
      </c>
      <c r="EE369" t="e">
        <f>AND(#REF!,"AAAAADvrW4Y=")</f>
        <v>#REF!</v>
      </c>
      <c r="EF369" t="e">
        <f>IF(#REF!,"AAAAADvrW4c=",0)</f>
        <v>#REF!</v>
      </c>
      <c r="EG369" t="e">
        <f>AND(#REF!,"AAAAADvrW4g=")</f>
        <v>#REF!</v>
      </c>
      <c r="EH369" t="e">
        <f>AND(#REF!,"AAAAADvrW4k=")</f>
        <v>#REF!</v>
      </c>
      <c r="EI369" t="e">
        <f>AND(#REF!,"AAAAADvrW4o=")</f>
        <v>#REF!</v>
      </c>
      <c r="EJ369" t="e">
        <f>AND(#REF!,"AAAAADvrW4s=")</f>
        <v>#REF!</v>
      </c>
      <c r="EK369" t="e">
        <f>AND(#REF!,"AAAAADvrW4w=")</f>
        <v>#REF!</v>
      </c>
      <c r="EL369" t="e">
        <f>AND(#REF!,"AAAAADvrW40=")</f>
        <v>#REF!</v>
      </c>
      <c r="EM369" t="e">
        <f>AND(#REF!,"AAAAADvrW44=")</f>
        <v>#REF!</v>
      </c>
      <c r="EN369" t="e">
        <f>AND(#REF!,"AAAAADvrW48=")</f>
        <v>#REF!</v>
      </c>
      <c r="EO369" t="e">
        <f>AND(#REF!,"AAAAADvrW5A=")</f>
        <v>#REF!</v>
      </c>
      <c r="EP369" t="e">
        <f>AND(#REF!,"AAAAADvrW5E=")</f>
        <v>#REF!</v>
      </c>
      <c r="EQ369" t="e">
        <f>IF(#REF!,"AAAAADvrW5I=",0)</f>
        <v>#REF!</v>
      </c>
      <c r="ER369" t="e">
        <f>AND(#REF!,"AAAAADvrW5M=")</f>
        <v>#REF!</v>
      </c>
      <c r="ES369" t="e">
        <f>AND(#REF!,"AAAAADvrW5Q=")</f>
        <v>#REF!</v>
      </c>
      <c r="ET369" t="e">
        <f>AND(#REF!,"AAAAADvrW5U=")</f>
        <v>#REF!</v>
      </c>
      <c r="EU369" t="e">
        <f>AND(#REF!,"AAAAADvrW5Y=")</f>
        <v>#REF!</v>
      </c>
      <c r="EV369" t="e">
        <f>AND(#REF!,"AAAAADvrW5c=")</f>
        <v>#REF!</v>
      </c>
      <c r="EW369" t="e">
        <f>AND(#REF!,"AAAAADvrW5g=")</f>
        <v>#REF!</v>
      </c>
      <c r="EX369" t="e">
        <f>AND(#REF!,"AAAAADvrW5k=")</f>
        <v>#REF!</v>
      </c>
      <c r="EY369" t="e">
        <f>AND(#REF!,"AAAAADvrW5o=")</f>
        <v>#REF!</v>
      </c>
      <c r="EZ369" t="e">
        <f>AND(#REF!,"AAAAADvrW5s=")</f>
        <v>#REF!</v>
      </c>
      <c r="FA369" t="e">
        <f>AND(#REF!,"AAAAADvrW5w=")</f>
        <v>#REF!</v>
      </c>
      <c r="FB369" t="e">
        <f>IF(#REF!,"AAAAADvrW50=",0)</f>
        <v>#REF!</v>
      </c>
      <c r="FC369" t="e">
        <f>AND(#REF!,"AAAAADvrW54=")</f>
        <v>#REF!</v>
      </c>
      <c r="FD369" t="e">
        <f>AND(#REF!,"AAAAADvrW58=")</f>
        <v>#REF!</v>
      </c>
      <c r="FE369" t="e">
        <f>AND(#REF!,"AAAAADvrW6A=")</f>
        <v>#REF!</v>
      </c>
      <c r="FF369" t="e">
        <f>AND(#REF!,"AAAAADvrW6E=")</f>
        <v>#REF!</v>
      </c>
      <c r="FG369" t="e">
        <f>AND(#REF!,"AAAAADvrW6I=")</f>
        <v>#REF!</v>
      </c>
      <c r="FH369" t="e">
        <f>AND(#REF!,"AAAAADvrW6M=")</f>
        <v>#REF!</v>
      </c>
      <c r="FI369" t="e">
        <f>AND(#REF!,"AAAAADvrW6Q=")</f>
        <v>#REF!</v>
      </c>
      <c r="FJ369" t="e">
        <f>AND(#REF!,"AAAAADvrW6U=")</f>
        <v>#REF!</v>
      </c>
      <c r="FK369" t="e">
        <f>AND(#REF!,"AAAAADvrW6Y=")</f>
        <v>#REF!</v>
      </c>
      <c r="FL369" t="e">
        <f>AND(#REF!,"AAAAADvrW6c=")</f>
        <v>#REF!</v>
      </c>
      <c r="FM369" t="e">
        <f>IF(#REF!,"AAAAADvrW6g=",0)</f>
        <v>#REF!</v>
      </c>
      <c r="FN369" t="e">
        <f>AND(#REF!,"AAAAADvrW6k=")</f>
        <v>#REF!</v>
      </c>
      <c r="FO369" t="e">
        <f>AND(#REF!,"AAAAADvrW6o=")</f>
        <v>#REF!</v>
      </c>
      <c r="FP369" t="e">
        <f>AND(#REF!,"AAAAADvrW6s=")</f>
        <v>#REF!</v>
      </c>
      <c r="FQ369" t="e">
        <f>AND(#REF!,"AAAAADvrW6w=")</f>
        <v>#REF!</v>
      </c>
      <c r="FR369" t="e">
        <f>AND(#REF!,"AAAAADvrW60=")</f>
        <v>#REF!</v>
      </c>
      <c r="FS369" t="e">
        <f>AND(#REF!,"AAAAADvrW64=")</f>
        <v>#REF!</v>
      </c>
      <c r="FT369" t="e">
        <f>AND(#REF!,"AAAAADvrW68=")</f>
        <v>#REF!</v>
      </c>
      <c r="FU369" t="e">
        <f>AND(#REF!,"AAAAADvrW7A=")</f>
        <v>#REF!</v>
      </c>
      <c r="FV369" t="e">
        <f>AND(#REF!,"AAAAADvrW7E=")</f>
        <v>#REF!</v>
      </c>
      <c r="FW369" t="e">
        <f>AND(#REF!,"AAAAADvrW7I=")</f>
        <v>#REF!</v>
      </c>
      <c r="FX369" t="e">
        <f>IF(#REF!,"AAAAADvrW7M=",0)</f>
        <v>#REF!</v>
      </c>
      <c r="FY369" t="e">
        <f>AND(#REF!,"AAAAADvrW7Q=")</f>
        <v>#REF!</v>
      </c>
      <c r="FZ369" t="e">
        <f>AND(#REF!,"AAAAADvrW7U=")</f>
        <v>#REF!</v>
      </c>
      <c r="GA369" t="e">
        <f>AND(#REF!,"AAAAADvrW7Y=")</f>
        <v>#REF!</v>
      </c>
      <c r="GB369" t="e">
        <f>AND(#REF!,"AAAAADvrW7c=")</f>
        <v>#REF!</v>
      </c>
      <c r="GC369" t="e">
        <f>AND(#REF!,"AAAAADvrW7g=")</f>
        <v>#REF!</v>
      </c>
      <c r="GD369" t="e">
        <f>AND(#REF!,"AAAAADvrW7k=")</f>
        <v>#REF!</v>
      </c>
      <c r="GE369" t="e">
        <f>AND(#REF!,"AAAAADvrW7o=")</f>
        <v>#REF!</v>
      </c>
      <c r="GF369" t="e">
        <f>AND(#REF!,"AAAAADvrW7s=")</f>
        <v>#REF!</v>
      </c>
      <c r="GG369" t="e">
        <f>AND(#REF!,"AAAAADvrW7w=")</f>
        <v>#REF!</v>
      </c>
      <c r="GH369" t="e">
        <f>AND(#REF!,"AAAAADvrW70=")</f>
        <v>#REF!</v>
      </c>
      <c r="GI369" t="e">
        <f>IF(#REF!,"AAAAADvrW74=",0)</f>
        <v>#REF!</v>
      </c>
      <c r="GJ369" t="e">
        <f>AND(#REF!,"AAAAADvrW78=")</f>
        <v>#REF!</v>
      </c>
      <c r="GK369" t="e">
        <f>AND(#REF!,"AAAAADvrW8A=")</f>
        <v>#REF!</v>
      </c>
      <c r="GL369" t="e">
        <f>AND(#REF!,"AAAAADvrW8E=")</f>
        <v>#REF!</v>
      </c>
      <c r="GM369" t="e">
        <f>AND(#REF!,"AAAAADvrW8I=")</f>
        <v>#REF!</v>
      </c>
      <c r="GN369" t="e">
        <f>AND(#REF!,"AAAAADvrW8M=")</f>
        <v>#REF!</v>
      </c>
      <c r="GO369" t="e">
        <f>AND(#REF!,"AAAAADvrW8Q=")</f>
        <v>#REF!</v>
      </c>
      <c r="GP369" t="e">
        <f>AND(#REF!,"AAAAADvrW8U=")</f>
        <v>#REF!</v>
      </c>
      <c r="GQ369" t="e">
        <f>AND(#REF!,"AAAAADvrW8Y=")</f>
        <v>#REF!</v>
      </c>
      <c r="GR369" t="e">
        <f>AND(#REF!,"AAAAADvrW8c=")</f>
        <v>#REF!</v>
      </c>
      <c r="GS369" t="e">
        <f>AND(#REF!,"AAAAADvrW8g=")</f>
        <v>#REF!</v>
      </c>
      <c r="GT369" t="e">
        <f>IF(#REF!,"AAAAADvrW8k=",0)</f>
        <v>#REF!</v>
      </c>
      <c r="GU369" t="e">
        <f>AND(#REF!,"AAAAADvrW8o=")</f>
        <v>#REF!</v>
      </c>
      <c r="GV369" t="e">
        <f>AND(#REF!,"AAAAADvrW8s=")</f>
        <v>#REF!</v>
      </c>
      <c r="GW369" t="e">
        <f>AND(#REF!,"AAAAADvrW8w=")</f>
        <v>#REF!</v>
      </c>
      <c r="GX369" t="e">
        <f>AND(#REF!,"AAAAADvrW80=")</f>
        <v>#REF!</v>
      </c>
      <c r="GY369" t="e">
        <f>AND(#REF!,"AAAAADvrW84=")</f>
        <v>#REF!</v>
      </c>
      <c r="GZ369" t="e">
        <f>AND(#REF!,"AAAAADvrW88=")</f>
        <v>#REF!</v>
      </c>
      <c r="HA369" t="e">
        <f>AND(#REF!,"AAAAADvrW9A=")</f>
        <v>#REF!</v>
      </c>
      <c r="HB369" t="e">
        <f>AND(#REF!,"AAAAADvrW9E=")</f>
        <v>#REF!</v>
      </c>
      <c r="HC369" t="e">
        <f>AND(#REF!,"AAAAADvrW9I=")</f>
        <v>#REF!</v>
      </c>
      <c r="HD369" t="e">
        <f>AND(#REF!,"AAAAADvrW9M=")</f>
        <v>#REF!</v>
      </c>
      <c r="HE369" t="e">
        <f>IF(#REF!,"AAAAADvrW9Q=",0)</f>
        <v>#REF!</v>
      </c>
      <c r="HF369" t="e">
        <f>AND(#REF!,"AAAAADvrW9U=")</f>
        <v>#REF!</v>
      </c>
      <c r="HG369" t="e">
        <f>AND(#REF!,"AAAAADvrW9Y=")</f>
        <v>#REF!</v>
      </c>
      <c r="HH369" t="e">
        <f>AND(#REF!,"AAAAADvrW9c=")</f>
        <v>#REF!</v>
      </c>
      <c r="HI369" t="e">
        <f>AND(#REF!,"AAAAADvrW9g=")</f>
        <v>#REF!</v>
      </c>
      <c r="HJ369" t="e">
        <f>AND(#REF!,"AAAAADvrW9k=")</f>
        <v>#REF!</v>
      </c>
      <c r="HK369" t="e">
        <f>AND(#REF!,"AAAAADvrW9o=")</f>
        <v>#REF!</v>
      </c>
      <c r="HL369" t="e">
        <f>AND(#REF!,"AAAAADvrW9s=")</f>
        <v>#REF!</v>
      </c>
      <c r="HM369" t="e">
        <f>AND(#REF!,"AAAAADvrW9w=")</f>
        <v>#REF!</v>
      </c>
      <c r="HN369" t="e">
        <f>AND(#REF!,"AAAAADvrW90=")</f>
        <v>#REF!</v>
      </c>
      <c r="HO369" t="e">
        <f>AND(#REF!,"AAAAADvrW94=")</f>
        <v>#REF!</v>
      </c>
      <c r="HP369" t="e">
        <f>IF(#REF!,"AAAAADvrW98=",0)</f>
        <v>#REF!</v>
      </c>
      <c r="HQ369" t="e">
        <f>AND(#REF!,"AAAAADvrW+A=")</f>
        <v>#REF!</v>
      </c>
      <c r="HR369" t="e">
        <f>AND(#REF!,"AAAAADvrW+E=")</f>
        <v>#REF!</v>
      </c>
      <c r="HS369" t="e">
        <f>AND(#REF!,"AAAAADvrW+I=")</f>
        <v>#REF!</v>
      </c>
      <c r="HT369" t="e">
        <f>AND(#REF!,"AAAAADvrW+M=")</f>
        <v>#REF!</v>
      </c>
      <c r="HU369" t="e">
        <f>AND(#REF!,"AAAAADvrW+Q=")</f>
        <v>#REF!</v>
      </c>
      <c r="HV369" t="e">
        <f>AND(#REF!,"AAAAADvrW+U=")</f>
        <v>#REF!</v>
      </c>
      <c r="HW369" t="e">
        <f>AND(#REF!,"AAAAADvrW+Y=")</f>
        <v>#REF!</v>
      </c>
      <c r="HX369" t="e">
        <f>AND(#REF!,"AAAAADvrW+c=")</f>
        <v>#REF!</v>
      </c>
      <c r="HY369" t="e">
        <f>AND(#REF!,"AAAAADvrW+g=")</f>
        <v>#REF!</v>
      </c>
      <c r="HZ369" t="e">
        <f>AND(#REF!,"AAAAADvrW+k=")</f>
        <v>#REF!</v>
      </c>
      <c r="IA369" t="e">
        <f>IF(#REF!,"AAAAADvrW+o=",0)</f>
        <v>#REF!</v>
      </c>
      <c r="IB369" t="e">
        <f>AND(#REF!,"AAAAADvrW+s=")</f>
        <v>#REF!</v>
      </c>
      <c r="IC369" t="e">
        <f>AND(#REF!,"AAAAADvrW+w=")</f>
        <v>#REF!</v>
      </c>
      <c r="ID369" t="e">
        <f>AND(#REF!,"AAAAADvrW+0=")</f>
        <v>#REF!</v>
      </c>
      <c r="IE369" t="e">
        <f>AND(#REF!,"AAAAADvrW+4=")</f>
        <v>#REF!</v>
      </c>
      <c r="IF369" t="e">
        <f>AND(#REF!,"AAAAADvrW+8=")</f>
        <v>#REF!</v>
      </c>
      <c r="IG369" t="e">
        <f>AND(#REF!,"AAAAADvrW/A=")</f>
        <v>#REF!</v>
      </c>
      <c r="IH369" t="e">
        <f>AND(#REF!,"AAAAADvrW/E=")</f>
        <v>#REF!</v>
      </c>
      <c r="II369" t="e">
        <f>AND(#REF!,"AAAAADvrW/I=")</f>
        <v>#REF!</v>
      </c>
      <c r="IJ369" t="e">
        <f>AND(#REF!,"AAAAADvrW/M=")</f>
        <v>#REF!</v>
      </c>
      <c r="IK369" t="e">
        <f>AND(#REF!,"AAAAADvrW/Q=")</f>
        <v>#REF!</v>
      </c>
      <c r="IL369" t="e">
        <f>IF(#REF!,"AAAAADvrW/U=",0)</f>
        <v>#REF!</v>
      </c>
      <c r="IM369" t="e">
        <f>AND(#REF!,"AAAAADvrW/Y=")</f>
        <v>#REF!</v>
      </c>
      <c r="IN369" t="e">
        <f>AND(#REF!,"AAAAADvrW/c=")</f>
        <v>#REF!</v>
      </c>
      <c r="IO369" t="e">
        <f>AND(#REF!,"AAAAADvrW/g=")</f>
        <v>#REF!</v>
      </c>
      <c r="IP369" t="e">
        <f>AND(#REF!,"AAAAADvrW/k=")</f>
        <v>#REF!</v>
      </c>
      <c r="IQ369" t="e">
        <f>AND(#REF!,"AAAAADvrW/o=")</f>
        <v>#REF!</v>
      </c>
      <c r="IR369" t="e">
        <f>AND(#REF!,"AAAAADvrW/s=")</f>
        <v>#REF!</v>
      </c>
      <c r="IS369" t="e">
        <f>AND(#REF!,"AAAAADvrW/w=")</f>
        <v>#REF!</v>
      </c>
      <c r="IT369" t="e">
        <f>AND(#REF!,"AAAAADvrW/0=")</f>
        <v>#REF!</v>
      </c>
      <c r="IU369" t="e">
        <f>AND(#REF!,"AAAAADvrW/4=")</f>
        <v>#REF!</v>
      </c>
      <c r="IV369" t="e">
        <f>AND(#REF!,"AAAAADvrW/8=")</f>
        <v>#REF!</v>
      </c>
    </row>
    <row r="370" spans="1:256" x14ac:dyDescent="0.25">
      <c r="A370" t="e">
        <f>IF(#REF!,"AAAAAH1s4gA=",0)</f>
        <v>#REF!</v>
      </c>
      <c r="B370" t="e">
        <f>AND(#REF!,"AAAAAH1s4gE=")</f>
        <v>#REF!</v>
      </c>
      <c r="C370" t="e">
        <f>AND(#REF!,"AAAAAH1s4gI=")</f>
        <v>#REF!</v>
      </c>
      <c r="D370" t="e">
        <f>AND(#REF!,"AAAAAH1s4gM=")</f>
        <v>#REF!</v>
      </c>
      <c r="E370" t="e">
        <f>AND(#REF!,"AAAAAH1s4gQ=")</f>
        <v>#REF!</v>
      </c>
      <c r="F370" t="e">
        <f>AND(#REF!,"AAAAAH1s4gU=")</f>
        <v>#REF!</v>
      </c>
      <c r="G370" t="e">
        <f>AND(#REF!,"AAAAAH1s4gY=")</f>
        <v>#REF!</v>
      </c>
      <c r="H370" t="e">
        <f>AND(#REF!,"AAAAAH1s4gc=")</f>
        <v>#REF!</v>
      </c>
      <c r="I370" t="e">
        <f>AND(#REF!,"AAAAAH1s4gg=")</f>
        <v>#REF!</v>
      </c>
      <c r="J370" t="e">
        <f>AND(#REF!,"AAAAAH1s4gk=")</f>
        <v>#REF!</v>
      </c>
      <c r="K370" t="e">
        <f>AND(#REF!,"AAAAAH1s4go=")</f>
        <v>#REF!</v>
      </c>
      <c r="L370" t="e">
        <f>IF(#REF!,"AAAAAH1s4gs=",0)</f>
        <v>#REF!</v>
      </c>
      <c r="M370" t="e">
        <f>AND(#REF!,"AAAAAH1s4gw=")</f>
        <v>#REF!</v>
      </c>
      <c r="N370" t="e">
        <f>AND(#REF!,"AAAAAH1s4g0=")</f>
        <v>#REF!</v>
      </c>
      <c r="O370" t="e">
        <f>AND(#REF!,"AAAAAH1s4g4=")</f>
        <v>#REF!</v>
      </c>
      <c r="P370" t="e">
        <f>AND(#REF!,"AAAAAH1s4g8=")</f>
        <v>#REF!</v>
      </c>
      <c r="Q370" t="e">
        <f>AND(#REF!,"AAAAAH1s4hA=")</f>
        <v>#REF!</v>
      </c>
      <c r="R370" t="e">
        <f>AND(#REF!,"AAAAAH1s4hE=")</f>
        <v>#REF!</v>
      </c>
      <c r="S370" t="e">
        <f>AND(#REF!,"AAAAAH1s4hI=")</f>
        <v>#REF!</v>
      </c>
      <c r="T370" t="e">
        <f>AND(#REF!,"AAAAAH1s4hM=")</f>
        <v>#REF!</v>
      </c>
      <c r="U370" t="e">
        <f>AND(#REF!,"AAAAAH1s4hQ=")</f>
        <v>#REF!</v>
      </c>
      <c r="V370" t="e">
        <f>AND(#REF!,"AAAAAH1s4hU=")</f>
        <v>#REF!</v>
      </c>
      <c r="W370" t="e">
        <f>IF(#REF!,"AAAAAH1s4hY=",0)</f>
        <v>#REF!</v>
      </c>
      <c r="X370" t="e">
        <f>AND(#REF!,"AAAAAH1s4hc=")</f>
        <v>#REF!</v>
      </c>
      <c r="Y370" t="e">
        <f>AND(#REF!,"AAAAAH1s4hg=")</f>
        <v>#REF!</v>
      </c>
      <c r="Z370" t="e">
        <f>AND(#REF!,"AAAAAH1s4hk=")</f>
        <v>#REF!</v>
      </c>
      <c r="AA370" t="e">
        <f>AND(#REF!,"AAAAAH1s4ho=")</f>
        <v>#REF!</v>
      </c>
      <c r="AB370" t="e">
        <f>AND(#REF!,"AAAAAH1s4hs=")</f>
        <v>#REF!</v>
      </c>
      <c r="AC370" t="e">
        <f>AND(#REF!,"AAAAAH1s4hw=")</f>
        <v>#REF!</v>
      </c>
      <c r="AD370" t="e">
        <f>AND(#REF!,"AAAAAH1s4h0=")</f>
        <v>#REF!</v>
      </c>
      <c r="AE370" t="e">
        <f>AND(#REF!,"AAAAAH1s4h4=")</f>
        <v>#REF!</v>
      </c>
      <c r="AF370" t="e">
        <f>AND(#REF!,"AAAAAH1s4h8=")</f>
        <v>#REF!</v>
      </c>
      <c r="AG370" t="e">
        <f>AND(#REF!,"AAAAAH1s4iA=")</f>
        <v>#REF!</v>
      </c>
      <c r="AH370" t="e">
        <f>IF(#REF!,"AAAAAH1s4iE=",0)</f>
        <v>#REF!</v>
      </c>
      <c r="AI370" t="e">
        <f>AND(#REF!,"AAAAAH1s4iI=")</f>
        <v>#REF!</v>
      </c>
      <c r="AJ370" t="e">
        <f>AND(#REF!,"AAAAAH1s4iM=")</f>
        <v>#REF!</v>
      </c>
      <c r="AK370" t="e">
        <f>AND(#REF!,"AAAAAH1s4iQ=")</f>
        <v>#REF!</v>
      </c>
      <c r="AL370" t="e">
        <f>AND(#REF!,"AAAAAH1s4iU=")</f>
        <v>#REF!</v>
      </c>
      <c r="AM370" t="e">
        <f>AND(#REF!,"AAAAAH1s4iY=")</f>
        <v>#REF!</v>
      </c>
      <c r="AN370" t="e">
        <f>AND(#REF!,"AAAAAH1s4ic=")</f>
        <v>#REF!</v>
      </c>
      <c r="AO370" t="e">
        <f>AND(#REF!,"AAAAAH1s4ig=")</f>
        <v>#REF!</v>
      </c>
      <c r="AP370" t="e">
        <f>AND(#REF!,"AAAAAH1s4ik=")</f>
        <v>#REF!</v>
      </c>
      <c r="AQ370" t="e">
        <f>AND(#REF!,"AAAAAH1s4io=")</f>
        <v>#REF!</v>
      </c>
      <c r="AR370" t="e">
        <f>AND(#REF!,"AAAAAH1s4is=")</f>
        <v>#REF!</v>
      </c>
      <c r="AS370" t="e">
        <f>IF(#REF!,"AAAAAH1s4iw=",0)</f>
        <v>#REF!</v>
      </c>
      <c r="AT370" t="e">
        <f>AND(#REF!,"AAAAAH1s4i0=")</f>
        <v>#REF!</v>
      </c>
      <c r="AU370" t="e">
        <f>AND(#REF!,"AAAAAH1s4i4=")</f>
        <v>#REF!</v>
      </c>
      <c r="AV370" t="e">
        <f>AND(#REF!,"AAAAAH1s4i8=")</f>
        <v>#REF!</v>
      </c>
      <c r="AW370" t="e">
        <f>AND(#REF!,"AAAAAH1s4jA=")</f>
        <v>#REF!</v>
      </c>
      <c r="AX370" t="e">
        <f>AND(#REF!,"AAAAAH1s4jE=")</f>
        <v>#REF!</v>
      </c>
      <c r="AY370" t="e">
        <f>AND(#REF!,"AAAAAH1s4jI=")</f>
        <v>#REF!</v>
      </c>
      <c r="AZ370" t="e">
        <f>AND(#REF!,"AAAAAH1s4jM=")</f>
        <v>#REF!</v>
      </c>
      <c r="BA370" t="e">
        <f>AND(#REF!,"AAAAAH1s4jQ=")</f>
        <v>#REF!</v>
      </c>
      <c r="BB370" t="e">
        <f>AND(#REF!,"AAAAAH1s4jU=")</f>
        <v>#REF!</v>
      </c>
      <c r="BC370" t="e">
        <f>AND(#REF!,"AAAAAH1s4jY=")</f>
        <v>#REF!</v>
      </c>
      <c r="BD370" t="e">
        <f>IF(#REF!,"AAAAAH1s4jc=",0)</f>
        <v>#REF!</v>
      </c>
      <c r="BE370" t="e">
        <f>AND(#REF!,"AAAAAH1s4jg=")</f>
        <v>#REF!</v>
      </c>
      <c r="BF370" t="e">
        <f>AND(#REF!,"AAAAAH1s4jk=")</f>
        <v>#REF!</v>
      </c>
      <c r="BG370" t="e">
        <f>AND(#REF!,"AAAAAH1s4jo=")</f>
        <v>#REF!</v>
      </c>
      <c r="BH370" t="e">
        <f>AND(#REF!,"AAAAAH1s4js=")</f>
        <v>#REF!</v>
      </c>
      <c r="BI370" t="e">
        <f>AND(#REF!,"AAAAAH1s4jw=")</f>
        <v>#REF!</v>
      </c>
      <c r="BJ370" t="e">
        <f>AND(#REF!,"AAAAAH1s4j0=")</f>
        <v>#REF!</v>
      </c>
      <c r="BK370" t="e">
        <f>AND(#REF!,"AAAAAH1s4j4=")</f>
        <v>#REF!</v>
      </c>
      <c r="BL370" t="e">
        <f>AND(#REF!,"AAAAAH1s4j8=")</f>
        <v>#REF!</v>
      </c>
      <c r="BM370" t="e">
        <f>AND(#REF!,"AAAAAH1s4kA=")</f>
        <v>#REF!</v>
      </c>
      <c r="BN370" t="e">
        <f>AND(#REF!,"AAAAAH1s4kE=")</f>
        <v>#REF!</v>
      </c>
      <c r="BO370" t="e">
        <f>IF(#REF!,"AAAAAH1s4kI=",0)</f>
        <v>#REF!</v>
      </c>
      <c r="BP370" t="e">
        <f>AND(#REF!,"AAAAAH1s4kM=")</f>
        <v>#REF!</v>
      </c>
      <c r="BQ370" t="e">
        <f>AND(#REF!,"AAAAAH1s4kQ=")</f>
        <v>#REF!</v>
      </c>
      <c r="BR370" t="e">
        <f>AND(#REF!,"AAAAAH1s4kU=")</f>
        <v>#REF!</v>
      </c>
      <c r="BS370" t="e">
        <f>AND(#REF!,"AAAAAH1s4kY=")</f>
        <v>#REF!</v>
      </c>
      <c r="BT370" t="e">
        <f>AND(#REF!,"AAAAAH1s4kc=")</f>
        <v>#REF!</v>
      </c>
      <c r="BU370" t="e">
        <f>AND(#REF!,"AAAAAH1s4kg=")</f>
        <v>#REF!</v>
      </c>
      <c r="BV370" t="e">
        <f>AND(#REF!,"AAAAAH1s4kk=")</f>
        <v>#REF!</v>
      </c>
      <c r="BW370" t="e">
        <f>AND(#REF!,"AAAAAH1s4ko=")</f>
        <v>#REF!</v>
      </c>
      <c r="BX370" t="e">
        <f>AND(#REF!,"AAAAAH1s4ks=")</f>
        <v>#REF!</v>
      </c>
      <c r="BY370" t="e">
        <f>AND(#REF!,"AAAAAH1s4kw=")</f>
        <v>#REF!</v>
      </c>
      <c r="BZ370" t="e">
        <f>IF(#REF!,"AAAAAH1s4k0=",0)</f>
        <v>#REF!</v>
      </c>
      <c r="CA370" t="e">
        <f>AND(#REF!,"AAAAAH1s4k4=")</f>
        <v>#REF!</v>
      </c>
      <c r="CB370" t="e">
        <f>AND(#REF!,"AAAAAH1s4k8=")</f>
        <v>#REF!</v>
      </c>
      <c r="CC370" t="e">
        <f>AND(#REF!,"AAAAAH1s4lA=")</f>
        <v>#REF!</v>
      </c>
      <c r="CD370" t="e">
        <f>AND(#REF!,"AAAAAH1s4lE=")</f>
        <v>#REF!</v>
      </c>
      <c r="CE370" t="e">
        <f>AND(#REF!,"AAAAAH1s4lI=")</f>
        <v>#REF!</v>
      </c>
      <c r="CF370" t="e">
        <f>AND(#REF!,"AAAAAH1s4lM=")</f>
        <v>#REF!</v>
      </c>
      <c r="CG370" t="e">
        <f>AND(#REF!,"AAAAAH1s4lQ=")</f>
        <v>#REF!</v>
      </c>
      <c r="CH370" t="e">
        <f>AND(#REF!,"AAAAAH1s4lU=")</f>
        <v>#REF!</v>
      </c>
      <c r="CI370" t="e">
        <f>AND(#REF!,"AAAAAH1s4lY=")</f>
        <v>#REF!</v>
      </c>
      <c r="CJ370" t="e">
        <f>AND(#REF!,"AAAAAH1s4lc=")</f>
        <v>#REF!</v>
      </c>
      <c r="CK370" t="e">
        <f>IF(#REF!,"AAAAAH1s4lg=",0)</f>
        <v>#REF!</v>
      </c>
      <c r="CL370" t="e">
        <f>AND(#REF!,"AAAAAH1s4lk=")</f>
        <v>#REF!</v>
      </c>
      <c r="CM370" t="e">
        <f>AND(#REF!,"AAAAAH1s4lo=")</f>
        <v>#REF!</v>
      </c>
      <c r="CN370" t="e">
        <f>AND(#REF!,"AAAAAH1s4ls=")</f>
        <v>#REF!</v>
      </c>
      <c r="CO370" t="e">
        <f>AND(#REF!,"AAAAAH1s4lw=")</f>
        <v>#REF!</v>
      </c>
      <c r="CP370" t="e">
        <f>AND(#REF!,"AAAAAH1s4l0=")</f>
        <v>#REF!</v>
      </c>
      <c r="CQ370" t="e">
        <f>AND(#REF!,"AAAAAH1s4l4=")</f>
        <v>#REF!</v>
      </c>
      <c r="CR370" t="e">
        <f>AND(#REF!,"AAAAAH1s4l8=")</f>
        <v>#REF!</v>
      </c>
      <c r="CS370" t="e">
        <f>AND(#REF!,"AAAAAH1s4mA=")</f>
        <v>#REF!</v>
      </c>
      <c r="CT370" t="e">
        <f>AND(#REF!,"AAAAAH1s4mE=")</f>
        <v>#REF!</v>
      </c>
      <c r="CU370" t="e">
        <f>AND(#REF!,"AAAAAH1s4mI=")</f>
        <v>#REF!</v>
      </c>
      <c r="CV370" t="e">
        <f>IF(#REF!,"AAAAAH1s4mM=",0)</f>
        <v>#REF!</v>
      </c>
      <c r="CW370" t="e">
        <f>AND(#REF!,"AAAAAH1s4mQ=")</f>
        <v>#REF!</v>
      </c>
      <c r="CX370" t="e">
        <f>AND(#REF!,"AAAAAH1s4mU=")</f>
        <v>#REF!</v>
      </c>
      <c r="CY370" t="e">
        <f>AND(#REF!,"AAAAAH1s4mY=")</f>
        <v>#REF!</v>
      </c>
      <c r="CZ370" t="e">
        <f>AND(#REF!,"AAAAAH1s4mc=")</f>
        <v>#REF!</v>
      </c>
      <c r="DA370" t="e">
        <f>AND(#REF!,"AAAAAH1s4mg=")</f>
        <v>#REF!</v>
      </c>
      <c r="DB370" t="e">
        <f>AND(#REF!,"AAAAAH1s4mk=")</f>
        <v>#REF!</v>
      </c>
      <c r="DC370" t="e">
        <f>AND(#REF!,"AAAAAH1s4mo=")</f>
        <v>#REF!</v>
      </c>
      <c r="DD370" t="e">
        <f>AND(#REF!,"AAAAAH1s4ms=")</f>
        <v>#REF!</v>
      </c>
      <c r="DE370" t="e">
        <f>AND(#REF!,"AAAAAH1s4mw=")</f>
        <v>#REF!</v>
      </c>
      <c r="DF370" t="e">
        <f>AND(#REF!,"AAAAAH1s4m0=")</f>
        <v>#REF!</v>
      </c>
      <c r="DG370" t="e">
        <f>IF(#REF!,"AAAAAH1s4m4=",0)</f>
        <v>#REF!</v>
      </c>
      <c r="DH370" t="e">
        <f>AND(#REF!,"AAAAAH1s4m8=")</f>
        <v>#REF!</v>
      </c>
      <c r="DI370" t="e">
        <f>AND(#REF!,"AAAAAH1s4nA=")</f>
        <v>#REF!</v>
      </c>
      <c r="DJ370" t="e">
        <f>AND(#REF!,"AAAAAH1s4nE=")</f>
        <v>#REF!</v>
      </c>
      <c r="DK370" t="e">
        <f>AND(#REF!,"AAAAAH1s4nI=")</f>
        <v>#REF!</v>
      </c>
      <c r="DL370" t="e">
        <f>AND(#REF!,"AAAAAH1s4nM=")</f>
        <v>#REF!</v>
      </c>
      <c r="DM370" t="e">
        <f>AND(#REF!,"AAAAAH1s4nQ=")</f>
        <v>#REF!</v>
      </c>
      <c r="DN370" t="e">
        <f>AND(#REF!,"AAAAAH1s4nU=")</f>
        <v>#REF!</v>
      </c>
      <c r="DO370" t="e">
        <f>AND(#REF!,"AAAAAH1s4nY=")</f>
        <v>#REF!</v>
      </c>
      <c r="DP370" t="e">
        <f>AND(#REF!,"AAAAAH1s4nc=")</f>
        <v>#REF!</v>
      </c>
      <c r="DQ370" t="e">
        <f>AND(#REF!,"AAAAAH1s4ng=")</f>
        <v>#REF!</v>
      </c>
      <c r="DR370" t="e">
        <f>IF(#REF!,"AAAAAH1s4nk=",0)</f>
        <v>#REF!</v>
      </c>
      <c r="DS370" t="e">
        <f>AND(#REF!,"AAAAAH1s4no=")</f>
        <v>#REF!</v>
      </c>
      <c r="DT370" t="e">
        <f>AND(#REF!,"AAAAAH1s4ns=")</f>
        <v>#REF!</v>
      </c>
      <c r="DU370" t="e">
        <f>AND(#REF!,"AAAAAH1s4nw=")</f>
        <v>#REF!</v>
      </c>
      <c r="DV370" t="e">
        <f>AND(#REF!,"AAAAAH1s4n0=")</f>
        <v>#REF!</v>
      </c>
      <c r="DW370" t="e">
        <f>AND(#REF!,"AAAAAH1s4n4=")</f>
        <v>#REF!</v>
      </c>
      <c r="DX370" t="e">
        <f>AND(#REF!,"AAAAAH1s4n8=")</f>
        <v>#REF!</v>
      </c>
      <c r="DY370" t="e">
        <f>AND(#REF!,"AAAAAH1s4oA=")</f>
        <v>#REF!</v>
      </c>
      <c r="DZ370" t="e">
        <f>AND(#REF!,"AAAAAH1s4oE=")</f>
        <v>#REF!</v>
      </c>
      <c r="EA370" t="e">
        <f>AND(#REF!,"AAAAAH1s4oI=")</f>
        <v>#REF!</v>
      </c>
      <c r="EB370" t="e">
        <f>AND(#REF!,"AAAAAH1s4oM=")</f>
        <v>#REF!</v>
      </c>
      <c r="EC370" t="e">
        <f>IF(#REF!,"AAAAAH1s4oQ=",0)</f>
        <v>#REF!</v>
      </c>
      <c r="ED370" t="e">
        <f>AND(#REF!,"AAAAAH1s4oU=")</f>
        <v>#REF!</v>
      </c>
      <c r="EE370" t="e">
        <f>AND(#REF!,"AAAAAH1s4oY=")</f>
        <v>#REF!</v>
      </c>
      <c r="EF370" t="e">
        <f>AND(#REF!,"AAAAAH1s4oc=")</f>
        <v>#REF!</v>
      </c>
      <c r="EG370" t="e">
        <f>AND(#REF!,"AAAAAH1s4og=")</f>
        <v>#REF!</v>
      </c>
      <c r="EH370" t="e">
        <f>AND(#REF!,"AAAAAH1s4ok=")</f>
        <v>#REF!</v>
      </c>
      <c r="EI370" t="e">
        <f>AND(#REF!,"AAAAAH1s4oo=")</f>
        <v>#REF!</v>
      </c>
      <c r="EJ370" t="e">
        <f>AND(#REF!,"AAAAAH1s4os=")</f>
        <v>#REF!</v>
      </c>
      <c r="EK370" t="e">
        <f>AND(#REF!,"AAAAAH1s4ow=")</f>
        <v>#REF!</v>
      </c>
      <c r="EL370" t="e">
        <f>AND(#REF!,"AAAAAH1s4o0=")</f>
        <v>#REF!</v>
      </c>
      <c r="EM370" t="e">
        <f>AND(#REF!,"AAAAAH1s4o4=")</f>
        <v>#REF!</v>
      </c>
      <c r="EN370" t="e">
        <f>IF(#REF!,"AAAAAH1s4o8=",0)</f>
        <v>#REF!</v>
      </c>
      <c r="EO370" t="e">
        <f>AND(#REF!,"AAAAAH1s4pA=")</f>
        <v>#REF!</v>
      </c>
      <c r="EP370" t="e">
        <f>AND(#REF!,"AAAAAH1s4pE=")</f>
        <v>#REF!</v>
      </c>
      <c r="EQ370" t="e">
        <f>AND(#REF!,"AAAAAH1s4pI=")</f>
        <v>#REF!</v>
      </c>
      <c r="ER370" t="e">
        <f>AND(#REF!,"AAAAAH1s4pM=")</f>
        <v>#REF!</v>
      </c>
      <c r="ES370" t="e">
        <f>AND(#REF!,"AAAAAH1s4pQ=")</f>
        <v>#REF!</v>
      </c>
      <c r="ET370" t="e">
        <f>AND(#REF!,"AAAAAH1s4pU=")</f>
        <v>#REF!</v>
      </c>
      <c r="EU370" t="e">
        <f>AND(#REF!,"AAAAAH1s4pY=")</f>
        <v>#REF!</v>
      </c>
      <c r="EV370" t="e">
        <f>AND(#REF!,"AAAAAH1s4pc=")</f>
        <v>#REF!</v>
      </c>
      <c r="EW370" t="e">
        <f>AND(#REF!,"AAAAAH1s4pg=")</f>
        <v>#REF!</v>
      </c>
      <c r="EX370" t="e">
        <f>AND(#REF!,"AAAAAH1s4pk=")</f>
        <v>#REF!</v>
      </c>
      <c r="EY370" t="e">
        <f>IF(#REF!,"AAAAAH1s4po=",0)</f>
        <v>#REF!</v>
      </c>
      <c r="EZ370" t="e">
        <f>AND(#REF!,"AAAAAH1s4ps=")</f>
        <v>#REF!</v>
      </c>
      <c r="FA370" t="e">
        <f>AND(#REF!,"AAAAAH1s4pw=")</f>
        <v>#REF!</v>
      </c>
      <c r="FB370" t="e">
        <f>AND(#REF!,"AAAAAH1s4p0=")</f>
        <v>#REF!</v>
      </c>
      <c r="FC370" t="e">
        <f>AND(#REF!,"AAAAAH1s4p4=")</f>
        <v>#REF!</v>
      </c>
      <c r="FD370" t="e">
        <f>AND(#REF!,"AAAAAH1s4p8=")</f>
        <v>#REF!</v>
      </c>
      <c r="FE370" t="e">
        <f>AND(#REF!,"AAAAAH1s4qA=")</f>
        <v>#REF!</v>
      </c>
      <c r="FF370" t="e">
        <f>AND(#REF!,"AAAAAH1s4qE=")</f>
        <v>#REF!</v>
      </c>
      <c r="FG370" t="e">
        <f>AND(#REF!,"AAAAAH1s4qI=")</f>
        <v>#REF!</v>
      </c>
      <c r="FH370" t="e">
        <f>AND(#REF!,"AAAAAH1s4qM=")</f>
        <v>#REF!</v>
      </c>
      <c r="FI370" t="e">
        <f>AND(#REF!,"AAAAAH1s4qQ=")</f>
        <v>#REF!</v>
      </c>
      <c r="FJ370" t="e">
        <f>IF(#REF!,"AAAAAH1s4qU=",0)</f>
        <v>#REF!</v>
      </c>
      <c r="FK370" t="e">
        <f>AND(#REF!,"AAAAAH1s4qY=")</f>
        <v>#REF!</v>
      </c>
      <c r="FL370" t="e">
        <f>AND(#REF!,"AAAAAH1s4qc=")</f>
        <v>#REF!</v>
      </c>
      <c r="FM370" t="e">
        <f>AND(#REF!,"AAAAAH1s4qg=")</f>
        <v>#REF!</v>
      </c>
      <c r="FN370" t="e">
        <f>AND(#REF!,"AAAAAH1s4qk=")</f>
        <v>#REF!</v>
      </c>
      <c r="FO370" t="e">
        <f>AND(#REF!,"AAAAAH1s4qo=")</f>
        <v>#REF!</v>
      </c>
      <c r="FP370" t="e">
        <f>AND(#REF!,"AAAAAH1s4qs=")</f>
        <v>#REF!</v>
      </c>
      <c r="FQ370" t="e">
        <f>AND(#REF!,"AAAAAH1s4qw=")</f>
        <v>#REF!</v>
      </c>
      <c r="FR370" t="e">
        <f>AND(#REF!,"AAAAAH1s4q0=")</f>
        <v>#REF!</v>
      </c>
      <c r="FS370" t="e">
        <f>AND(#REF!,"AAAAAH1s4q4=")</f>
        <v>#REF!</v>
      </c>
      <c r="FT370" t="e">
        <f>AND(#REF!,"AAAAAH1s4q8=")</f>
        <v>#REF!</v>
      </c>
      <c r="FU370" t="e">
        <f>IF(#REF!,"AAAAAH1s4rA=",0)</f>
        <v>#REF!</v>
      </c>
      <c r="FV370" t="e">
        <f>AND(#REF!,"AAAAAH1s4rE=")</f>
        <v>#REF!</v>
      </c>
      <c r="FW370" t="e">
        <f>AND(#REF!,"AAAAAH1s4rI=")</f>
        <v>#REF!</v>
      </c>
      <c r="FX370" t="e">
        <f>AND(#REF!,"AAAAAH1s4rM=")</f>
        <v>#REF!</v>
      </c>
      <c r="FY370" t="e">
        <f>AND(#REF!,"AAAAAH1s4rQ=")</f>
        <v>#REF!</v>
      </c>
      <c r="FZ370" t="e">
        <f>AND(#REF!,"AAAAAH1s4rU=")</f>
        <v>#REF!</v>
      </c>
      <c r="GA370" t="e">
        <f>AND(#REF!,"AAAAAH1s4rY=")</f>
        <v>#REF!</v>
      </c>
      <c r="GB370" t="e">
        <f>AND(#REF!,"AAAAAH1s4rc=")</f>
        <v>#REF!</v>
      </c>
      <c r="GC370" t="e">
        <f>AND(#REF!,"AAAAAH1s4rg=")</f>
        <v>#REF!</v>
      </c>
      <c r="GD370" t="e">
        <f>AND(#REF!,"AAAAAH1s4rk=")</f>
        <v>#REF!</v>
      </c>
      <c r="GE370" t="e">
        <f>AND(#REF!,"AAAAAH1s4ro=")</f>
        <v>#REF!</v>
      </c>
      <c r="GF370" t="e">
        <f>IF(#REF!,"AAAAAH1s4rs=",0)</f>
        <v>#REF!</v>
      </c>
      <c r="GG370" t="e">
        <f>AND(#REF!,"AAAAAH1s4rw=")</f>
        <v>#REF!</v>
      </c>
      <c r="GH370" t="e">
        <f>AND(#REF!,"AAAAAH1s4r0=")</f>
        <v>#REF!</v>
      </c>
      <c r="GI370" t="e">
        <f>AND(#REF!,"AAAAAH1s4r4=")</f>
        <v>#REF!</v>
      </c>
      <c r="GJ370" t="e">
        <f>AND(#REF!,"AAAAAH1s4r8=")</f>
        <v>#REF!</v>
      </c>
      <c r="GK370" t="e">
        <f>AND(#REF!,"AAAAAH1s4sA=")</f>
        <v>#REF!</v>
      </c>
      <c r="GL370" t="e">
        <f>AND(#REF!,"AAAAAH1s4sE=")</f>
        <v>#REF!</v>
      </c>
      <c r="GM370" t="e">
        <f>AND(#REF!,"AAAAAH1s4sI=")</f>
        <v>#REF!</v>
      </c>
      <c r="GN370" t="e">
        <f>AND(#REF!,"AAAAAH1s4sM=")</f>
        <v>#REF!</v>
      </c>
      <c r="GO370" t="e">
        <f>AND(#REF!,"AAAAAH1s4sQ=")</f>
        <v>#REF!</v>
      </c>
      <c r="GP370" t="e">
        <f>AND(#REF!,"AAAAAH1s4sU=")</f>
        <v>#REF!</v>
      </c>
      <c r="GQ370" t="e">
        <f>IF(#REF!,"AAAAAH1s4sY=",0)</f>
        <v>#REF!</v>
      </c>
      <c r="GR370" t="e">
        <f>AND(#REF!,"AAAAAH1s4sc=")</f>
        <v>#REF!</v>
      </c>
      <c r="GS370" t="e">
        <f>AND(#REF!,"AAAAAH1s4sg=")</f>
        <v>#REF!</v>
      </c>
      <c r="GT370" t="e">
        <f>AND(#REF!,"AAAAAH1s4sk=")</f>
        <v>#REF!</v>
      </c>
      <c r="GU370" t="e">
        <f>AND(#REF!,"AAAAAH1s4so=")</f>
        <v>#REF!</v>
      </c>
      <c r="GV370" t="e">
        <f>AND(#REF!,"AAAAAH1s4ss=")</f>
        <v>#REF!</v>
      </c>
      <c r="GW370" t="e">
        <f>AND(#REF!,"AAAAAH1s4sw=")</f>
        <v>#REF!</v>
      </c>
      <c r="GX370" t="e">
        <f>AND(#REF!,"AAAAAH1s4s0=")</f>
        <v>#REF!</v>
      </c>
      <c r="GY370" t="e">
        <f>AND(#REF!,"AAAAAH1s4s4=")</f>
        <v>#REF!</v>
      </c>
      <c r="GZ370" t="e">
        <f>AND(#REF!,"AAAAAH1s4s8=")</f>
        <v>#REF!</v>
      </c>
      <c r="HA370" t="e">
        <f>AND(#REF!,"AAAAAH1s4tA=")</f>
        <v>#REF!</v>
      </c>
      <c r="HB370" t="e">
        <f>IF(#REF!,"AAAAAH1s4tE=",0)</f>
        <v>#REF!</v>
      </c>
      <c r="HC370" t="e">
        <f>AND(#REF!,"AAAAAH1s4tI=")</f>
        <v>#REF!</v>
      </c>
      <c r="HD370" t="e">
        <f>AND(#REF!,"AAAAAH1s4tM=")</f>
        <v>#REF!</v>
      </c>
      <c r="HE370" t="e">
        <f>AND(#REF!,"AAAAAH1s4tQ=")</f>
        <v>#REF!</v>
      </c>
      <c r="HF370" t="e">
        <f>AND(#REF!,"AAAAAH1s4tU=")</f>
        <v>#REF!</v>
      </c>
      <c r="HG370" t="e">
        <f>AND(#REF!,"AAAAAH1s4tY=")</f>
        <v>#REF!</v>
      </c>
      <c r="HH370" t="e">
        <f>AND(#REF!,"AAAAAH1s4tc=")</f>
        <v>#REF!</v>
      </c>
      <c r="HI370" t="e">
        <f>AND(#REF!,"AAAAAH1s4tg=")</f>
        <v>#REF!</v>
      </c>
      <c r="HJ370" t="e">
        <f>AND(#REF!,"AAAAAH1s4tk=")</f>
        <v>#REF!</v>
      </c>
      <c r="HK370" t="e">
        <f>AND(#REF!,"AAAAAH1s4to=")</f>
        <v>#REF!</v>
      </c>
      <c r="HL370" t="e">
        <f>AND(#REF!,"AAAAAH1s4ts=")</f>
        <v>#REF!</v>
      </c>
      <c r="HM370" t="e">
        <f>IF(#REF!,"AAAAAH1s4tw=",0)</f>
        <v>#REF!</v>
      </c>
      <c r="HN370" t="e">
        <f>AND(#REF!,"AAAAAH1s4t0=")</f>
        <v>#REF!</v>
      </c>
      <c r="HO370" t="e">
        <f>AND(#REF!,"AAAAAH1s4t4=")</f>
        <v>#REF!</v>
      </c>
      <c r="HP370" t="e">
        <f>AND(#REF!,"AAAAAH1s4t8=")</f>
        <v>#REF!</v>
      </c>
      <c r="HQ370" t="e">
        <f>AND(#REF!,"AAAAAH1s4uA=")</f>
        <v>#REF!</v>
      </c>
      <c r="HR370" t="e">
        <f>AND(#REF!,"AAAAAH1s4uE=")</f>
        <v>#REF!</v>
      </c>
      <c r="HS370" t="e">
        <f>AND(#REF!,"AAAAAH1s4uI=")</f>
        <v>#REF!</v>
      </c>
      <c r="HT370" t="e">
        <f>AND(#REF!,"AAAAAH1s4uM=")</f>
        <v>#REF!</v>
      </c>
      <c r="HU370" t="e">
        <f>AND(#REF!,"AAAAAH1s4uQ=")</f>
        <v>#REF!</v>
      </c>
      <c r="HV370" t="e">
        <f>AND(#REF!,"AAAAAH1s4uU=")</f>
        <v>#REF!</v>
      </c>
      <c r="HW370" t="e">
        <f>AND(#REF!,"AAAAAH1s4uY=")</f>
        <v>#REF!</v>
      </c>
      <c r="HX370" t="e">
        <f>IF(#REF!,"AAAAAH1s4uc=",0)</f>
        <v>#REF!</v>
      </c>
      <c r="HY370" t="e">
        <f>AND(#REF!,"AAAAAH1s4ug=")</f>
        <v>#REF!</v>
      </c>
      <c r="HZ370" t="e">
        <f>AND(#REF!,"AAAAAH1s4uk=")</f>
        <v>#REF!</v>
      </c>
      <c r="IA370" t="e">
        <f>AND(#REF!,"AAAAAH1s4uo=")</f>
        <v>#REF!</v>
      </c>
      <c r="IB370" t="e">
        <f>AND(#REF!,"AAAAAH1s4us=")</f>
        <v>#REF!</v>
      </c>
      <c r="IC370" t="e">
        <f>AND(#REF!,"AAAAAH1s4uw=")</f>
        <v>#REF!</v>
      </c>
      <c r="ID370" t="e">
        <f>AND(#REF!,"AAAAAH1s4u0=")</f>
        <v>#REF!</v>
      </c>
      <c r="IE370" t="e">
        <f>AND(#REF!,"AAAAAH1s4u4=")</f>
        <v>#REF!</v>
      </c>
      <c r="IF370" t="e">
        <f>AND(#REF!,"AAAAAH1s4u8=")</f>
        <v>#REF!</v>
      </c>
      <c r="IG370" t="e">
        <f>AND(#REF!,"AAAAAH1s4vA=")</f>
        <v>#REF!</v>
      </c>
      <c r="IH370" t="e">
        <f>AND(#REF!,"AAAAAH1s4vE=")</f>
        <v>#REF!</v>
      </c>
      <c r="II370" t="e">
        <f>IF(#REF!,"AAAAAH1s4vI=",0)</f>
        <v>#REF!</v>
      </c>
      <c r="IJ370" t="e">
        <f>AND(#REF!,"AAAAAH1s4vM=")</f>
        <v>#REF!</v>
      </c>
      <c r="IK370" t="e">
        <f>AND(#REF!,"AAAAAH1s4vQ=")</f>
        <v>#REF!</v>
      </c>
      <c r="IL370" t="e">
        <f>AND(#REF!,"AAAAAH1s4vU=")</f>
        <v>#REF!</v>
      </c>
      <c r="IM370" t="e">
        <f>AND(#REF!,"AAAAAH1s4vY=")</f>
        <v>#REF!</v>
      </c>
      <c r="IN370" t="e">
        <f>AND(#REF!,"AAAAAH1s4vc=")</f>
        <v>#REF!</v>
      </c>
      <c r="IO370" t="e">
        <f>AND(#REF!,"AAAAAH1s4vg=")</f>
        <v>#REF!</v>
      </c>
      <c r="IP370" t="e">
        <f>AND(#REF!,"AAAAAH1s4vk=")</f>
        <v>#REF!</v>
      </c>
      <c r="IQ370" t="e">
        <f>AND(#REF!,"AAAAAH1s4vo=")</f>
        <v>#REF!</v>
      </c>
      <c r="IR370" t="e">
        <f>AND(#REF!,"AAAAAH1s4vs=")</f>
        <v>#REF!</v>
      </c>
      <c r="IS370" t="e">
        <f>AND(#REF!,"AAAAAH1s4vw=")</f>
        <v>#REF!</v>
      </c>
      <c r="IT370" t="e">
        <f>IF(#REF!,"AAAAAH1s4v0=",0)</f>
        <v>#REF!</v>
      </c>
      <c r="IU370" t="e">
        <f>AND(#REF!,"AAAAAH1s4v4=")</f>
        <v>#REF!</v>
      </c>
      <c r="IV370" t="e">
        <f>AND(#REF!,"AAAAAH1s4v8=")</f>
        <v>#REF!</v>
      </c>
    </row>
    <row r="371" spans="1:256" x14ac:dyDescent="0.25">
      <c r="A371" t="e">
        <f>AND(#REF!,"AAAAAHfvzwA=")</f>
        <v>#REF!</v>
      </c>
      <c r="B371" t="e">
        <f>AND(#REF!,"AAAAAHfvzwE=")</f>
        <v>#REF!</v>
      </c>
      <c r="C371" t="e">
        <f>AND(#REF!,"AAAAAHfvzwI=")</f>
        <v>#REF!</v>
      </c>
      <c r="D371" t="e">
        <f>AND(#REF!,"AAAAAHfvzwM=")</f>
        <v>#REF!</v>
      </c>
      <c r="E371" t="e">
        <f>AND(#REF!,"AAAAAHfvzwQ=")</f>
        <v>#REF!</v>
      </c>
      <c r="F371" t="e">
        <f>AND(#REF!,"AAAAAHfvzwU=")</f>
        <v>#REF!</v>
      </c>
      <c r="G371" t="e">
        <f>AND(#REF!,"AAAAAHfvzwY=")</f>
        <v>#REF!</v>
      </c>
      <c r="H371" t="e">
        <f>AND(#REF!,"AAAAAHfvzwc=")</f>
        <v>#REF!</v>
      </c>
      <c r="I371" t="e">
        <f>IF(#REF!,"AAAAAHfvzwg=",0)</f>
        <v>#REF!</v>
      </c>
      <c r="J371" t="e">
        <f>AND(#REF!,"AAAAAHfvzwk=")</f>
        <v>#REF!</v>
      </c>
      <c r="K371" t="e">
        <f>AND(#REF!,"AAAAAHfvzwo=")</f>
        <v>#REF!</v>
      </c>
      <c r="L371" t="e">
        <f>AND(#REF!,"AAAAAHfvzws=")</f>
        <v>#REF!</v>
      </c>
      <c r="M371" t="e">
        <f>AND(#REF!,"AAAAAHfvzww=")</f>
        <v>#REF!</v>
      </c>
      <c r="N371" t="e">
        <f>AND(#REF!,"AAAAAHfvzw0=")</f>
        <v>#REF!</v>
      </c>
      <c r="O371" t="e">
        <f>AND(#REF!,"AAAAAHfvzw4=")</f>
        <v>#REF!</v>
      </c>
      <c r="P371" t="e">
        <f>AND(#REF!,"AAAAAHfvzw8=")</f>
        <v>#REF!</v>
      </c>
      <c r="Q371" t="e">
        <f>AND(#REF!,"AAAAAHfvzxA=")</f>
        <v>#REF!</v>
      </c>
      <c r="R371" t="e">
        <f>AND(#REF!,"AAAAAHfvzxE=")</f>
        <v>#REF!</v>
      </c>
      <c r="S371" t="e">
        <f>AND(#REF!,"AAAAAHfvzxI=")</f>
        <v>#REF!</v>
      </c>
      <c r="T371" t="e">
        <f>IF(#REF!,"AAAAAHfvzxM=",0)</f>
        <v>#REF!</v>
      </c>
      <c r="U371" t="e">
        <f>AND(#REF!,"AAAAAHfvzxQ=")</f>
        <v>#REF!</v>
      </c>
      <c r="V371" t="e">
        <f>AND(#REF!,"AAAAAHfvzxU=")</f>
        <v>#REF!</v>
      </c>
      <c r="W371" t="e">
        <f>AND(#REF!,"AAAAAHfvzxY=")</f>
        <v>#REF!</v>
      </c>
      <c r="X371" t="e">
        <f>AND(#REF!,"AAAAAHfvzxc=")</f>
        <v>#REF!</v>
      </c>
      <c r="Y371" t="e">
        <f>AND(#REF!,"AAAAAHfvzxg=")</f>
        <v>#REF!</v>
      </c>
      <c r="Z371" t="e">
        <f>AND(#REF!,"AAAAAHfvzxk=")</f>
        <v>#REF!</v>
      </c>
      <c r="AA371" t="e">
        <f>AND(#REF!,"AAAAAHfvzxo=")</f>
        <v>#REF!</v>
      </c>
      <c r="AB371" t="e">
        <f>AND(#REF!,"AAAAAHfvzxs=")</f>
        <v>#REF!</v>
      </c>
      <c r="AC371" t="e">
        <f>AND(#REF!,"AAAAAHfvzxw=")</f>
        <v>#REF!</v>
      </c>
      <c r="AD371" t="e">
        <f>AND(#REF!,"AAAAAHfvzx0=")</f>
        <v>#REF!</v>
      </c>
      <c r="AE371" t="e">
        <f>IF(#REF!,"AAAAAHfvzx4=",0)</f>
        <v>#REF!</v>
      </c>
      <c r="AF371" t="e">
        <f>AND(#REF!,"AAAAAHfvzx8=")</f>
        <v>#REF!</v>
      </c>
      <c r="AG371" t="e">
        <f>AND(#REF!,"AAAAAHfvzyA=")</f>
        <v>#REF!</v>
      </c>
      <c r="AH371" t="e">
        <f>AND(#REF!,"AAAAAHfvzyE=")</f>
        <v>#REF!</v>
      </c>
      <c r="AI371" t="e">
        <f>AND(#REF!,"AAAAAHfvzyI=")</f>
        <v>#REF!</v>
      </c>
      <c r="AJ371" t="e">
        <f>AND(#REF!,"AAAAAHfvzyM=")</f>
        <v>#REF!</v>
      </c>
      <c r="AK371" t="e">
        <f>AND(#REF!,"AAAAAHfvzyQ=")</f>
        <v>#REF!</v>
      </c>
      <c r="AL371" t="e">
        <f>AND(#REF!,"AAAAAHfvzyU=")</f>
        <v>#REF!</v>
      </c>
      <c r="AM371" t="e">
        <f>AND(#REF!,"AAAAAHfvzyY=")</f>
        <v>#REF!</v>
      </c>
      <c r="AN371" t="e">
        <f>AND(#REF!,"AAAAAHfvzyc=")</f>
        <v>#REF!</v>
      </c>
      <c r="AO371" t="e">
        <f>AND(#REF!,"AAAAAHfvzyg=")</f>
        <v>#REF!</v>
      </c>
      <c r="AP371" t="e">
        <f>IF(#REF!,"AAAAAHfvzyk=",0)</f>
        <v>#REF!</v>
      </c>
      <c r="AQ371" t="e">
        <f>AND(#REF!,"AAAAAHfvzyo=")</f>
        <v>#REF!</v>
      </c>
      <c r="AR371" t="e">
        <f>AND(#REF!,"AAAAAHfvzys=")</f>
        <v>#REF!</v>
      </c>
      <c r="AS371" t="e">
        <f>AND(#REF!,"AAAAAHfvzyw=")</f>
        <v>#REF!</v>
      </c>
      <c r="AT371" t="e">
        <f>AND(#REF!,"AAAAAHfvzy0=")</f>
        <v>#REF!</v>
      </c>
      <c r="AU371" t="e">
        <f>AND(#REF!,"AAAAAHfvzy4=")</f>
        <v>#REF!</v>
      </c>
      <c r="AV371" t="e">
        <f>AND(#REF!,"AAAAAHfvzy8=")</f>
        <v>#REF!</v>
      </c>
      <c r="AW371" t="e">
        <f>AND(#REF!,"AAAAAHfvzzA=")</f>
        <v>#REF!</v>
      </c>
      <c r="AX371" t="e">
        <f>AND(#REF!,"AAAAAHfvzzE=")</f>
        <v>#REF!</v>
      </c>
      <c r="AY371" t="e">
        <f>AND(#REF!,"AAAAAHfvzzI=")</f>
        <v>#REF!</v>
      </c>
      <c r="AZ371" t="e">
        <f>AND(#REF!,"AAAAAHfvzzM=")</f>
        <v>#REF!</v>
      </c>
      <c r="BA371" t="e">
        <f>IF(#REF!,"AAAAAHfvzzQ=",0)</f>
        <v>#REF!</v>
      </c>
      <c r="BB371" t="e">
        <f>AND(#REF!,"AAAAAHfvzzU=")</f>
        <v>#REF!</v>
      </c>
      <c r="BC371" t="e">
        <f>AND(#REF!,"AAAAAHfvzzY=")</f>
        <v>#REF!</v>
      </c>
      <c r="BD371" t="e">
        <f>AND(#REF!,"AAAAAHfvzzc=")</f>
        <v>#REF!</v>
      </c>
      <c r="BE371" t="e">
        <f>AND(#REF!,"AAAAAHfvzzg=")</f>
        <v>#REF!</v>
      </c>
      <c r="BF371" t="e">
        <f>AND(#REF!,"AAAAAHfvzzk=")</f>
        <v>#REF!</v>
      </c>
      <c r="BG371" t="e">
        <f>AND(#REF!,"AAAAAHfvzzo=")</f>
        <v>#REF!</v>
      </c>
      <c r="BH371" t="e">
        <f>AND(#REF!,"AAAAAHfvzzs=")</f>
        <v>#REF!</v>
      </c>
      <c r="BI371" t="e">
        <f>AND(#REF!,"AAAAAHfvzzw=")</f>
        <v>#REF!</v>
      </c>
      <c r="BJ371" t="e">
        <f>AND(#REF!,"AAAAAHfvzz0=")</f>
        <v>#REF!</v>
      </c>
      <c r="BK371" t="e">
        <f>AND(#REF!,"AAAAAHfvzz4=")</f>
        <v>#REF!</v>
      </c>
      <c r="BL371" t="e">
        <f>IF(#REF!,"AAAAAHfvzz8=",0)</f>
        <v>#REF!</v>
      </c>
      <c r="BM371" t="e">
        <f>AND(#REF!,"AAAAAHfvz0A=")</f>
        <v>#REF!</v>
      </c>
      <c r="BN371" t="e">
        <f>AND(#REF!,"AAAAAHfvz0E=")</f>
        <v>#REF!</v>
      </c>
      <c r="BO371" t="e">
        <f>AND(#REF!,"AAAAAHfvz0I=")</f>
        <v>#REF!</v>
      </c>
      <c r="BP371" t="e">
        <f>AND(#REF!,"AAAAAHfvz0M=")</f>
        <v>#REF!</v>
      </c>
      <c r="BQ371" t="e">
        <f>AND(#REF!,"AAAAAHfvz0Q=")</f>
        <v>#REF!</v>
      </c>
      <c r="BR371" t="e">
        <f>AND(#REF!,"AAAAAHfvz0U=")</f>
        <v>#REF!</v>
      </c>
      <c r="BS371" t="e">
        <f>AND(#REF!,"AAAAAHfvz0Y=")</f>
        <v>#REF!</v>
      </c>
      <c r="BT371" t="e">
        <f>AND(#REF!,"AAAAAHfvz0c=")</f>
        <v>#REF!</v>
      </c>
      <c r="BU371" t="e">
        <f>AND(#REF!,"AAAAAHfvz0g=")</f>
        <v>#REF!</v>
      </c>
      <c r="BV371" t="e">
        <f>AND(#REF!,"AAAAAHfvz0k=")</f>
        <v>#REF!</v>
      </c>
      <c r="BW371" t="e">
        <f>IF(#REF!,"AAAAAHfvz0o=",0)</f>
        <v>#REF!</v>
      </c>
      <c r="BX371" t="e">
        <f>AND(#REF!,"AAAAAHfvz0s=")</f>
        <v>#REF!</v>
      </c>
      <c r="BY371" t="e">
        <f>AND(#REF!,"AAAAAHfvz0w=")</f>
        <v>#REF!</v>
      </c>
      <c r="BZ371" t="e">
        <f>AND(#REF!,"AAAAAHfvz00=")</f>
        <v>#REF!</v>
      </c>
      <c r="CA371" t="e">
        <f>AND(#REF!,"AAAAAHfvz04=")</f>
        <v>#REF!</v>
      </c>
      <c r="CB371" t="e">
        <f>AND(#REF!,"AAAAAHfvz08=")</f>
        <v>#REF!</v>
      </c>
      <c r="CC371" t="e">
        <f>AND(#REF!,"AAAAAHfvz1A=")</f>
        <v>#REF!</v>
      </c>
      <c r="CD371" t="e">
        <f>AND(#REF!,"AAAAAHfvz1E=")</f>
        <v>#REF!</v>
      </c>
      <c r="CE371" t="e">
        <f>AND(#REF!,"AAAAAHfvz1I=")</f>
        <v>#REF!</v>
      </c>
      <c r="CF371" t="e">
        <f>AND(#REF!,"AAAAAHfvz1M=")</f>
        <v>#REF!</v>
      </c>
      <c r="CG371" t="e">
        <f>AND(#REF!,"AAAAAHfvz1Q=")</f>
        <v>#REF!</v>
      </c>
      <c r="CH371" t="e">
        <f>IF(#REF!,"AAAAAHfvz1U=",0)</f>
        <v>#REF!</v>
      </c>
      <c r="CI371" t="e">
        <f>AND(#REF!,"AAAAAHfvz1Y=")</f>
        <v>#REF!</v>
      </c>
      <c r="CJ371" t="e">
        <f>AND(#REF!,"AAAAAHfvz1c=")</f>
        <v>#REF!</v>
      </c>
      <c r="CK371" t="e">
        <f>AND(#REF!,"AAAAAHfvz1g=")</f>
        <v>#REF!</v>
      </c>
      <c r="CL371" t="e">
        <f>AND(#REF!,"AAAAAHfvz1k=")</f>
        <v>#REF!</v>
      </c>
      <c r="CM371" t="e">
        <f>AND(#REF!,"AAAAAHfvz1o=")</f>
        <v>#REF!</v>
      </c>
      <c r="CN371" t="e">
        <f>AND(#REF!,"AAAAAHfvz1s=")</f>
        <v>#REF!</v>
      </c>
      <c r="CO371" t="e">
        <f>AND(#REF!,"AAAAAHfvz1w=")</f>
        <v>#REF!</v>
      </c>
      <c r="CP371" t="e">
        <f>AND(#REF!,"AAAAAHfvz10=")</f>
        <v>#REF!</v>
      </c>
      <c r="CQ371" t="e">
        <f>AND(#REF!,"AAAAAHfvz14=")</f>
        <v>#REF!</v>
      </c>
      <c r="CR371" t="e">
        <f>AND(#REF!,"AAAAAHfvz18=")</f>
        <v>#REF!</v>
      </c>
      <c r="CS371" t="e">
        <f>IF(#REF!,"AAAAAHfvz2A=",0)</f>
        <v>#REF!</v>
      </c>
      <c r="CT371" t="e">
        <f>AND(#REF!,"AAAAAHfvz2E=")</f>
        <v>#REF!</v>
      </c>
      <c r="CU371" t="e">
        <f>AND(#REF!,"AAAAAHfvz2I=")</f>
        <v>#REF!</v>
      </c>
      <c r="CV371" t="e">
        <f>AND(#REF!,"AAAAAHfvz2M=")</f>
        <v>#REF!</v>
      </c>
      <c r="CW371" t="e">
        <f>AND(#REF!,"AAAAAHfvz2Q=")</f>
        <v>#REF!</v>
      </c>
      <c r="CX371" t="e">
        <f>AND(#REF!,"AAAAAHfvz2U=")</f>
        <v>#REF!</v>
      </c>
      <c r="CY371" t="e">
        <f>AND(#REF!,"AAAAAHfvz2Y=")</f>
        <v>#REF!</v>
      </c>
      <c r="CZ371" t="e">
        <f>AND(#REF!,"AAAAAHfvz2c=")</f>
        <v>#REF!</v>
      </c>
      <c r="DA371" t="e">
        <f>AND(#REF!,"AAAAAHfvz2g=")</f>
        <v>#REF!</v>
      </c>
      <c r="DB371" t="e">
        <f>AND(#REF!,"AAAAAHfvz2k=")</f>
        <v>#REF!</v>
      </c>
      <c r="DC371" t="e">
        <f>AND(#REF!,"AAAAAHfvz2o=")</f>
        <v>#REF!</v>
      </c>
      <c r="DD371" t="e">
        <f>IF(#REF!,"AAAAAHfvz2s=",0)</f>
        <v>#REF!</v>
      </c>
      <c r="DE371" t="e">
        <f>AND(#REF!,"AAAAAHfvz2w=")</f>
        <v>#REF!</v>
      </c>
      <c r="DF371" t="e">
        <f>AND(#REF!,"AAAAAHfvz20=")</f>
        <v>#REF!</v>
      </c>
      <c r="DG371" t="e">
        <f>AND(#REF!,"AAAAAHfvz24=")</f>
        <v>#REF!</v>
      </c>
      <c r="DH371" t="e">
        <f>AND(#REF!,"AAAAAHfvz28=")</f>
        <v>#REF!</v>
      </c>
      <c r="DI371" t="e">
        <f>AND(#REF!,"AAAAAHfvz3A=")</f>
        <v>#REF!</v>
      </c>
      <c r="DJ371" t="e">
        <f>AND(#REF!,"AAAAAHfvz3E=")</f>
        <v>#REF!</v>
      </c>
      <c r="DK371" t="e">
        <f>AND(#REF!,"AAAAAHfvz3I=")</f>
        <v>#REF!</v>
      </c>
      <c r="DL371" t="e">
        <f>AND(#REF!,"AAAAAHfvz3M=")</f>
        <v>#REF!</v>
      </c>
      <c r="DM371" t="e">
        <f>AND(#REF!,"AAAAAHfvz3Q=")</f>
        <v>#REF!</v>
      </c>
      <c r="DN371" t="e">
        <f>AND(#REF!,"AAAAAHfvz3U=")</f>
        <v>#REF!</v>
      </c>
      <c r="DO371" t="e">
        <f>IF(#REF!,"AAAAAHfvz3Y=",0)</f>
        <v>#REF!</v>
      </c>
      <c r="DP371" t="e">
        <f>AND(#REF!,"AAAAAHfvz3c=")</f>
        <v>#REF!</v>
      </c>
      <c r="DQ371" t="e">
        <f>AND(#REF!,"AAAAAHfvz3g=")</f>
        <v>#REF!</v>
      </c>
      <c r="DR371" t="e">
        <f>AND(#REF!,"AAAAAHfvz3k=")</f>
        <v>#REF!</v>
      </c>
      <c r="DS371" t="e">
        <f>AND(#REF!,"AAAAAHfvz3o=")</f>
        <v>#REF!</v>
      </c>
      <c r="DT371" t="e">
        <f>AND(#REF!,"AAAAAHfvz3s=")</f>
        <v>#REF!</v>
      </c>
      <c r="DU371" t="e">
        <f>AND(#REF!,"AAAAAHfvz3w=")</f>
        <v>#REF!</v>
      </c>
      <c r="DV371" t="e">
        <f>AND(#REF!,"AAAAAHfvz30=")</f>
        <v>#REF!</v>
      </c>
      <c r="DW371" t="e">
        <f>AND(#REF!,"AAAAAHfvz34=")</f>
        <v>#REF!</v>
      </c>
      <c r="DX371" t="e">
        <f>AND(#REF!,"AAAAAHfvz38=")</f>
        <v>#REF!</v>
      </c>
      <c r="DY371" t="e">
        <f>AND(#REF!,"AAAAAHfvz4A=")</f>
        <v>#REF!</v>
      </c>
      <c r="DZ371" t="e">
        <f>IF(#REF!,"AAAAAHfvz4E=",0)</f>
        <v>#REF!</v>
      </c>
      <c r="EA371" t="e">
        <f>AND(#REF!,"AAAAAHfvz4I=")</f>
        <v>#REF!</v>
      </c>
      <c r="EB371" t="e">
        <f>AND(#REF!,"AAAAAHfvz4M=")</f>
        <v>#REF!</v>
      </c>
      <c r="EC371" t="e">
        <f>AND(#REF!,"AAAAAHfvz4Q=")</f>
        <v>#REF!</v>
      </c>
      <c r="ED371" t="e">
        <f>AND(#REF!,"AAAAAHfvz4U=")</f>
        <v>#REF!</v>
      </c>
      <c r="EE371" t="e">
        <f>AND(#REF!,"AAAAAHfvz4Y=")</f>
        <v>#REF!</v>
      </c>
      <c r="EF371" t="e">
        <f>AND(#REF!,"AAAAAHfvz4c=")</f>
        <v>#REF!</v>
      </c>
      <c r="EG371" t="e">
        <f>AND(#REF!,"AAAAAHfvz4g=")</f>
        <v>#REF!</v>
      </c>
      <c r="EH371" t="e">
        <f>AND(#REF!,"AAAAAHfvz4k=")</f>
        <v>#REF!</v>
      </c>
      <c r="EI371" t="e">
        <f>AND(#REF!,"AAAAAHfvz4o=")</f>
        <v>#REF!</v>
      </c>
      <c r="EJ371" t="e">
        <f>AND(#REF!,"AAAAAHfvz4s=")</f>
        <v>#REF!</v>
      </c>
      <c r="EK371" t="e">
        <f>IF(#REF!,"AAAAAHfvz4w=",0)</f>
        <v>#REF!</v>
      </c>
      <c r="EL371" t="e">
        <f>AND(#REF!,"AAAAAHfvz40=")</f>
        <v>#REF!</v>
      </c>
      <c r="EM371" t="e">
        <f>AND(#REF!,"AAAAAHfvz44=")</f>
        <v>#REF!</v>
      </c>
      <c r="EN371" t="e">
        <f>AND(#REF!,"AAAAAHfvz48=")</f>
        <v>#REF!</v>
      </c>
      <c r="EO371" t="e">
        <f>AND(#REF!,"AAAAAHfvz5A=")</f>
        <v>#REF!</v>
      </c>
      <c r="EP371" t="e">
        <f>AND(#REF!,"AAAAAHfvz5E=")</f>
        <v>#REF!</v>
      </c>
      <c r="EQ371" t="e">
        <f>AND(#REF!,"AAAAAHfvz5I=")</f>
        <v>#REF!</v>
      </c>
      <c r="ER371" t="e">
        <f>AND(#REF!,"AAAAAHfvz5M=")</f>
        <v>#REF!</v>
      </c>
      <c r="ES371" t="e">
        <f>AND(#REF!,"AAAAAHfvz5Q=")</f>
        <v>#REF!</v>
      </c>
      <c r="ET371" t="e">
        <f>AND(#REF!,"AAAAAHfvz5U=")</f>
        <v>#REF!</v>
      </c>
      <c r="EU371" t="e">
        <f>AND(#REF!,"AAAAAHfvz5Y=")</f>
        <v>#REF!</v>
      </c>
      <c r="EV371" t="e">
        <f>IF(#REF!,"AAAAAHfvz5c=",0)</f>
        <v>#REF!</v>
      </c>
      <c r="EW371" t="e">
        <f>AND(#REF!,"AAAAAHfvz5g=")</f>
        <v>#REF!</v>
      </c>
      <c r="EX371" t="e">
        <f>AND(#REF!,"AAAAAHfvz5k=")</f>
        <v>#REF!</v>
      </c>
      <c r="EY371" t="e">
        <f>AND(#REF!,"AAAAAHfvz5o=")</f>
        <v>#REF!</v>
      </c>
      <c r="EZ371" t="e">
        <f>AND(#REF!,"AAAAAHfvz5s=")</f>
        <v>#REF!</v>
      </c>
      <c r="FA371" t="e">
        <f>AND(#REF!,"AAAAAHfvz5w=")</f>
        <v>#REF!</v>
      </c>
      <c r="FB371" t="e">
        <f>AND(#REF!,"AAAAAHfvz50=")</f>
        <v>#REF!</v>
      </c>
      <c r="FC371" t="e">
        <f>AND(#REF!,"AAAAAHfvz54=")</f>
        <v>#REF!</v>
      </c>
      <c r="FD371" t="e">
        <f>AND(#REF!,"AAAAAHfvz58=")</f>
        <v>#REF!</v>
      </c>
      <c r="FE371" t="e">
        <f>AND(#REF!,"AAAAAHfvz6A=")</f>
        <v>#REF!</v>
      </c>
      <c r="FF371" t="e">
        <f>AND(#REF!,"AAAAAHfvz6E=")</f>
        <v>#REF!</v>
      </c>
      <c r="FG371" t="e">
        <f>IF(#REF!,"AAAAAHfvz6I=",0)</f>
        <v>#REF!</v>
      </c>
      <c r="FH371" t="e">
        <f>AND(#REF!,"AAAAAHfvz6M=")</f>
        <v>#REF!</v>
      </c>
      <c r="FI371" t="e">
        <f>AND(#REF!,"AAAAAHfvz6Q=")</f>
        <v>#REF!</v>
      </c>
      <c r="FJ371" t="e">
        <f>AND(#REF!,"AAAAAHfvz6U=")</f>
        <v>#REF!</v>
      </c>
      <c r="FK371" t="e">
        <f>AND(#REF!,"AAAAAHfvz6Y=")</f>
        <v>#REF!</v>
      </c>
      <c r="FL371" t="e">
        <f>AND(#REF!,"AAAAAHfvz6c=")</f>
        <v>#REF!</v>
      </c>
      <c r="FM371" t="e">
        <f>AND(#REF!,"AAAAAHfvz6g=")</f>
        <v>#REF!</v>
      </c>
      <c r="FN371" t="e">
        <f>AND(#REF!,"AAAAAHfvz6k=")</f>
        <v>#REF!</v>
      </c>
      <c r="FO371" t="e">
        <f>AND(#REF!,"AAAAAHfvz6o=")</f>
        <v>#REF!</v>
      </c>
      <c r="FP371" t="e">
        <f>AND(#REF!,"AAAAAHfvz6s=")</f>
        <v>#REF!</v>
      </c>
      <c r="FQ371" t="e">
        <f>AND(#REF!,"AAAAAHfvz6w=")</f>
        <v>#REF!</v>
      </c>
      <c r="FR371" t="e">
        <f>IF(#REF!,"AAAAAHfvz60=",0)</f>
        <v>#REF!</v>
      </c>
      <c r="FS371" t="e">
        <f>AND(#REF!,"AAAAAHfvz64=")</f>
        <v>#REF!</v>
      </c>
      <c r="FT371" t="e">
        <f>AND(#REF!,"AAAAAHfvz68=")</f>
        <v>#REF!</v>
      </c>
      <c r="FU371" t="e">
        <f>AND(#REF!,"AAAAAHfvz7A=")</f>
        <v>#REF!</v>
      </c>
      <c r="FV371" t="e">
        <f>AND(#REF!,"AAAAAHfvz7E=")</f>
        <v>#REF!</v>
      </c>
      <c r="FW371" t="e">
        <f>AND(#REF!,"AAAAAHfvz7I=")</f>
        <v>#REF!</v>
      </c>
      <c r="FX371" t="e">
        <f>AND(#REF!,"AAAAAHfvz7M=")</f>
        <v>#REF!</v>
      </c>
      <c r="FY371" t="e">
        <f>AND(#REF!,"AAAAAHfvz7Q=")</f>
        <v>#REF!</v>
      </c>
      <c r="FZ371" t="e">
        <f>AND(#REF!,"AAAAAHfvz7U=")</f>
        <v>#REF!</v>
      </c>
      <c r="GA371" t="e">
        <f>AND(#REF!,"AAAAAHfvz7Y=")</f>
        <v>#REF!</v>
      </c>
      <c r="GB371" t="e">
        <f>AND(#REF!,"AAAAAHfvz7c=")</f>
        <v>#REF!</v>
      </c>
      <c r="GC371" t="e">
        <f>IF(#REF!,"AAAAAHfvz7g=",0)</f>
        <v>#REF!</v>
      </c>
      <c r="GD371" t="e">
        <f>AND(#REF!,"AAAAAHfvz7k=")</f>
        <v>#REF!</v>
      </c>
      <c r="GE371" t="e">
        <f>AND(#REF!,"AAAAAHfvz7o=")</f>
        <v>#REF!</v>
      </c>
      <c r="GF371" t="e">
        <f>AND(#REF!,"AAAAAHfvz7s=")</f>
        <v>#REF!</v>
      </c>
      <c r="GG371" t="e">
        <f>AND(#REF!,"AAAAAHfvz7w=")</f>
        <v>#REF!</v>
      </c>
      <c r="GH371" t="e">
        <f>AND(#REF!,"AAAAAHfvz70=")</f>
        <v>#REF!</v>
      </c>
      <c r="GI371" t="e">
        <f>AND(#REF!,"AAAAAHfvz74=")</f>
        <v>#REF!</v>
      </c>
      <c r="GJ371" t="e">
        <f>AND(#REF!,"AAAAAHfvz78=")</f>
        <v>#REF!</v>
      </c>
      <c r="GK371" t="e">
        <f>AND(#REF!,"AAAAAHfvz8A=")</f>
        <v>#REF!</v>
      </c>
      <c r="GL371" t="e">
        <f>AND(#REF!,"AAAAAHfvz8E=")</f>
        <v>#REF!</v>
      </c>
      <c r="GM371" t="e">
        <f>AND(#REF!,"AAAAAHfvz8I=")</f>
        <v>#REF!</v>
      </c>
      <c r="GN371" t="e">
        <f>IF(#REF!,"AAAAAHfvz8M=",0)</f>
        <v>#REF!</v>
      </c>
      <c r="GO371" t="e">
        <f>AND(#REF!,"AAAAAHfvz8Q=")</f>
        <v>#REF!</v>
      </c>
      <c r="GP371" t="e">
        <f>AND(#REF!,"AAAAAHfvz8U=")</f>
        <v>#REF!</v>
      </c>
      <c r="GQ371" t="e">
        <f>AND(#REF!,"AAAAAHfvz8Y=")</f>
        <v>#REF!</v>
      </c>
      <c r="GR371" t="e">
        <f>AND(#REF!,"AAAAAHfvz8c=")</f>
        <v>#REF!</v>
      </c>
      <c r="GS371" t="e">
        <f>AND(#REF!,"AAAAAHfvz8g=")</f>
        <v>#REF!</v>
      </c>
      <c r="GT371" t="e">
        <f>AND(#REF!,"AAAAAHfvz8k=")</f>
        <v>#REF!</v>
      </c>
      <c r="GU371" t="e">
        <f>AND(#REF!,"AAAAAHfvz8o=")</f>
        <v>#REF!</v>
      </c>
      <c r="GV371" t="e">
        <f>AND(#REF!,"AAAAAHfvz8s=")</f>
        <v>#REF!</v>
      </c>
      <c r="GW371" t="e">
        <f>AND(#REF!,"AAAAAHfvz8w=")</f>
        <v>#REF!</v>
      </c>
      <c r="GX371" t="e">
        <f>AND(#REF!,"AAAAAHfvz80=")</f>
        <v>#REF!</v>
      </c>
      <c r="GY371" t="e">
        <f>IF(#REF!,"AAAAAHfvz84=",0)</f>
        <v>#REF!</v>
      </c>
      <c r="GZ371" t="e">
        <f>AND(#REF!,"AAAAAHfvz88=")</f>
        <v>#REF!</v>
      </c>
      <c r="HA371" t="e">
        <f>AND(#REF!,"AAAAAHfvz9A=")</f>
        <v>#REF!</v>
      </c>
      <c r="HB371" t="e">
        <f>AND(#REF!,"AAAAAHfvz9E=")</f>
        <v>#REF!</v>
      </c>
      <c r="HC371" t="e">
        <f>AND(#REF!,"AAAAAHfvz9I=")</f>
        <v>#REF!</v>
      </c>
      <c r="HD371" t="e">
        <f>AND(#REF!,"AAAAAHfvz9M=")</f>
        <v>#REF!</v>
      </c>
      <c r="HE371" t="e">
        <f>AND(#REF!,"AAAAAHfvz9Q=")</f>
        <v>#REF!</v>
      </c>
      <c r="HF371" t="e">
        <f>AND(#REF!,"AAAAAHfvz9U=")</f>
        <v>#REF!</v>
      </c>
      <c r="HG371" t="e">
        <f>AND(#REF!,"AAAAAHfvz9Y=")</f>
        <v>#REF!</v>
      </c>
      <c r="HH371" t="e">
        <f>AND(#REF!,"AAAAAHfvz9c=")</f>
        <v>#REF!</v>
      </c>
      <c r="HI371" t="e">
        <f>AND(#REF!,"AAAAAHfvz9g=")</f>
        <v>#REF!</v>
      </c>
      <c r="HJ371" t="e">
        <f>IF(#REF!,"AAAAAHfvz9k=",0)</f>
        <v>#REF!</v>
      </c>
      <c r="HK371" t="e">
        <f>AND(#REF!,"AAAAAHfvz9o=")</f>
        <v>#REF!</v>
      </c>
      <c r="HL371" t="e">
        <f>AND(#REF!,"AAAAAHfvz9s=")</f>
        <v>#REF!</v>
      </c>
      <c r="HM371" t="e">
        <f>AND(#REF!,"AAAAAHfvz9w=")</f>
        <v>#REF!</v>
      </c>
      <c r="HN371" t="e">
        <f>AND(#REF!,"AAAAAHfvz90=")</f>
        <v>#REF!</v>
      </c>
      <c r="HO371" t="e">
        <f>AND(#REF!,"AAAAAHfvz94=")</f>
        <v>#REF!</v>
      </c>
      <c r="HP371" t="e">
        <f>AND(#REF!,"AAAAAHfvz98=")</f>
        <v>#REF!</v>
      </c>
      <c r="HQ371" t="e">
        <f>AND(#REF!,"AAAAAHfvz+A=")</f>
        <v>#REF!</v>
      </c>
      <c r="HR371" t="e">
        <f>AND(#REF!,"AAAAAHfvz+E=")</f>
        <v>#REF!</v>
      </c>
      <c r="HS371" t="e">
        <f>AND(#REF!,"AAAAAHfvz+I=")</f>
        <v>#REF!</v>
      </c>
      <c r="HT371" t="e">
        <f>AND(#REF!,"AAAAAHfvz+M=")</f>
        <v>#REF!</v>
      </c>
      <c r="HU371" t="e">
        <f>IF(#REF!,"AAAAAHfvz+Q=",0)</f>
        <v>#REF!</v>
      </c>
      <c r="HV371" t="e">
        <f>AND(#REF!,"AAAAAHfvz+U=")</f>
        <v>#REF!</v>
      </c>
      <c r="HW371" t="e">
        <f>AND(#REF!,"AAAAAHfvz+Y=")</f>
        <v>#REF!</v>
      </c>
      <c r="HX371" t="e">
        <f>AND(#REF!,"AAAAAHfvz+c=")</f>
        <v>#REF!</v>
      </c>
      <c r="HY371" t="e">
        <f>AND(#REF!,"AAAAAHfvz+g=")</f>
        <v>#REF!</v>
      </c>
      <c r="HZ371" t="e">
        <f>AND(#REF!,"AAAAAHfvz+k=")</f>
        <v>#REF!</v>
      </c>
      <c r="IA371" t="e">
        <f>AND(#REF!,"AAAAAHfvz+o=")</f>
        <v>#REF!</v>
      </c>
      <c r="IB371" t="e">
        <f>AND(#REF!,"AAAAAHfvz+s=")</f>
        <v>#REF!</v>
      </c>
      <c r="IC371" t="e">
        <f>AND(#REF!,"AAAAAHfvz+w=")</f>
        <v>#REF!</v>
      </c>
      <c r="ID371" t="e">
        <f>AND(#REF!,"AAAAAHfvz+0=")</f>
        <v>#REF!</v>
      </c>
      <c r="IE371" t="e">
        <f>AND(#REF!,"AAAAAHfvz+4=")</f>
        <v>#REF!</v>
      </c>
      <c r="IF371" t="e">
        <f>IF(#REF!,"AAAAAHfvz+8=",0)</f>
        <v>#REF!</v>
      </c>
      <c r="IG371" t="e">
        <f>AND(#REF!,"AAAAAHfvz/A=")</f>
        <v>#REF!</v>
      </c>
      <c r="IH371" t="e">
        <f>AND(#REF!,"AAAAAHfvz/E=")</f>
        <v>#REF!</v>
      </c>
      <c r="II371" t="e">
        <f>AND(#REF!,"AAAAAHfvz/I=")</f>
        <v>#REF!</v>
      </c>
      <c r="IJ371" t="e">
        <f>AND(#REF!,"AAAAAHfvz/M=")</f>
        <v>#REF!</v>
      </c>
      <c r="IK371" t="e">
        <f>AND(#REF!,"AAAAAHfvz/Q=")</f>
        <v>#REF!</v>
      </c>
      <c r="IL371" t="e">
        <f>AND(#REF!,"AAAAAHfvz/U=")</f>
        <v>#REF!</v>
      </c>
      <c r="IM371" t="e">
        <f>AND(#REF!,"AAAAAHfvz/Y=")</f>
        <v>#REF!</v>
      </c>
      <c r="IN371" t="e">
        <f>AND(#REF!,"AAAAAHfvz/c=")</f>
        <v>#REF!</v>
      </c>
      <c r="IO371" t="e">
        <f>AND(#REF!,"AAAAAHfvz/g=")</f>
        <v>#REF!</v>
      </c>
      <c r="IP371" t="e">
        <f>AND(#REF!,"AAAAAHfvz/k=")</f>
        <v>#REF!</v>
      </c>
      <c r="IQ371" t="e">
        <f>IF(#REF!,"AAAAAHfvz/o=",0)</f>
        <v>#REF!</v>
      </c>
      <c r="IR371" t="e">
        <f>AND(#REF!,"AAAAAHfvz/s=")</f>
        <v>#REF!</v>
      </c>
      <c r="IS371" t="e">
        <f>AND(#REF!,"AAAAAHfvz/w=")</f>
        <v>#REF!</v>
      </c>
      <c r="IT371" t="e">
        <f>AND(#REF!,"AAAAAHfvz/0=")</f>
        <v>#REF!</v>
      </c>
      <c r="IU371" t="e">
        <f>AND(#REF!,"AAAAAHfvz/4=")</f>
        <v>#REF!</v>
      </c>
      <c r="IV371" t="e">
        <f>AND(#REF!,"AAAAAHfvz/8=")</f>
        <v>#REF!</v>
      </c>
    </row>
    <row r="372" spans="1:256" x14ac:dyDescent="0.25">
      <c r="A372" t="e">
        <f>AND(#REF!,"AAAAAGe6OwA=")</f>
        <v>#REF!</v>
      </c>
      <c r="B372" t="e">
        <f>AND(#REF!,"AAAAAGe6OwE=")</f>
        <v>#REF!</v>
      </c>
      <c r="C372" t="e">
        <f>AND(#REF!,"AAAAAGe6OwI=")</f>
        <v>#REF!</v>
      </c>
      <c r="D372" t="e">
        <f>AND(#REF!,"AAAAAGe6OwM=")</f>
        <v>#REF!</v>
      </c>
      <c r="E372" t="e">
        <f>AND(#REF!,"AAAAAGe6OwQ=")</f>
        <v>#REF!</v>
      </c>
      <c r="F372" t="e">
        <f>IF(#REF!,"AAAAAGe6OwU=",0)</f>
        <v>#REF!</v>
      </c>
      <c r="G372" t="e">
        <f>AND(#REF!,"AAAAAGe6OwY=")</f>
        <v>#REF!</v>
      </c>
      <c r="H372" t="e">
        <f>AND(#REF!,"AAAAAGe6Owc=")</f>
        <v>#REF!</v>
      </c>
      <c r="I372" t="e">
        <f>AND(#REF!,"AAAAAGe6Owg=")</f>
        <v>#REF!</v>
      </c>
      <c r="J372" t="e">
        <f>AND(#REF!,"AAAAAGe6Owk=")</f>
        <v>#REF!</v>
      </c>
      <c r="K372" t="e">
        <f>AND(#REF!,"AAAAAGe6Owo=")</f>
        <v>#REF!</v>
      </c>
      <c r="L372" t="e">
        <f>AND(#REF!,"AAAAAGe6Ows=")</f>
        <v>#REF!</v>
      </c>
      <c r="M372" t="e">
        <f>AND(#REF!,"AAAAAGe6Oww=")</f>
        <v>#REF!</v>
      </c>
      <c r="N372" t="e">
        <f>AND(#REF!,"AAAAAGe6Ow0=")</f>
        <v>#REF!</v>
      </c>
      <c r="O372" t="e">
        <f>AND(#REF!,"AAAAAGe6Ow4=")</f>
        <v>#REF!</v>
      </c>
      <c r="P372" t="e">
        <f>AND(#REF!,"AAAAAGe6Ow8=")</f>
        <v>#REF!</v>
      </c>
      <c r="Q372" t="e">
        <f>IF(#REF!,"AAAAAGe6OxA=",0)</f>
        <v>#REF!</v>
      </c>
      <c r="R372" t="e">
        <f>AND(#REF!,"AAAAAGe6OxE=")</f>
        <v>#REF!</v>
      </c>
      <c r="S372" t="e">
        <f>AND(#REF!,"AAAAAGe6OxI=")</f>
        <v>#REF!</v>
      </c>
      <c r="T372" t="e">
        <f>AND(#REF!,"AAAAAGe6OxM=")</f>
        <v>#REF!</v>
      </c>
      <c r="U372" t="e">
        <f>AND(#REF!,"AAAAAGe6OxQ=")</f>
        <v>#REF!</v>
      </c>
      <c r="V372" t="e">
        <f>AND(#REF!,"AAAAAGe6OxU=")</f>
        <v>#REF!</v>
      </c>
      <c r="W372" t="e">
        <f>AND(#REF!,"AAAAAGe6OxY=")</f>
        <v>#REF!</v>
      </c>
      <c r="X372" t="e">
        <f>AND(#REF!,"AAAAAGe6Oxc=")</f>
        <v>#REF!</v>
      </c>
      <c r="Y372" t="e">
        <f>AND(#REF!,"AAAAAGe6Oxg=")</f>
        <v>#REF!</v>
      </c>
      <c r="Z372" t="e">
        <f>AND(#REF!,"AAAAAGe6Oxk=")</f>
        <v>#REF!</v>
      </c>
      <c r="AA372" t="e">
        <f>AND(#REF!,"AAAAAGe6Oxo=")</f>
        <v>#REF!</v>
      </c>
      <c r="AB372" t="e">
        <f>IF(#REF!,"AAAAAGe6Oxs=",0)</f>
        <v>#REF!</v>
      </c>
      <c r="AC372" t="e">
        <f>AND(#REF!,"AAAAAGe6Oxw=")</f>
        <v>#REF!</v>
      </c>
      <c r="AD372" t="e">
        <f>AND(#REF!,"AAAAAGe6Ox0=")</f>
        <v>#REF!</v>
      </c>
      <c r="AE372" t="e">
        <f>AND(#REF!,"AAAAAGe6Ox4=")</f>
        <v>#REF!</v>
      </c>
      <c r="AF372" t="e">
        <f>AND(#REF!,"AAAAAGe6Ox8=")</f>
        <v>#REF!</v>
      </c>
      <c r="AG372" t="e">
        <f>AND(#REF!,"AAAAAGe6OyA=")</f>
        <v>#REF!</v>
      </c>
      <c r="AH372" t="e">
        <f>AND(#REF!,"AAAAAGe6OyE=")</f>
        <v>#REF!</v>
      </c>
      <c r="AI372" t="e">
        <f>AND(#REF!,"AAAAAGe6OyI=")</f>
        <v>#REF!</v>
      </c>
      <c r="AJ372" t="e">
        <f>AND(#REF!,"AAAAAGe6OyM=")</f>
        <v>#REF!</v>
      </c>
      <c r="AK372" t="e">
        <f>AND(#REF!,"AAAAAGe6OyQ=")</f>
        <v>#REF!</v>
      </c>
      <c r="AL372" t="e">
        <f>AND(#REF!,"AAAAAGe6OyU=")</f>
        <v>#REF!</v>
      </c>
      <c r="AM372" t="e">
        <f>IF(#REF!,"AAAAAGe6OyY=",0)</f>
        <v>#REF!</v>
      </c>
      <c r="AN372" t="e">
        <f>AND(#REF!,"AAAAAGe6Oyc=")</f>
        <v>#REF!</v>
      </c>
      <c r="AO372" t="e">
        <f>AND(#REF!,"AAAAAGe6Oyg=")</f>
        <v>#REF!</v>
      </c>
      <c r="AP372" t="e">
        <f>AND(#REF!,"AAAAAGe6Oyk=")</f>
        <v>#REF!</v>
      </c>
      <c r="AQ372" t="e">
        <f>AND(#REF!,"AAAAAGe6Oyo=")</f>
        <v>#REF!</v>
      </c>
      <c r="AR372" t="e">
        <f>AND(#REF!,"AAAAAGe6Oys=")</f>
        <v>#REF!</v>
      </c>
      <c r="AS372" t="e">
        <f>AND(#REF!,"AAAAAGe6Oyw=")</f>
        <v>#REF!</v>
      </c>
      <c r="AT372" t="e">
        <f>AND(#REF!,"AAAAAGe6Oy0=")</f>
        <v>#REF!</v>
      </c>
      <c r="AU372" t="e">
        <f>AND(#REF!,"AAAAAGe6Oy4=")</f>
        <v>#REF!</v>
      </c>
      <c r="AV372" t="e">
        <f>AND(#REF!,"AAAAAGe6Oy8=")</f>
        <v>#REF!</v>
      </c>
      <c r="AW372" t="e">
        <f>AND(#REF!,"AAAAAGe6OzA=")</f>
        <v>#REF!</v>
      </c>
      <c r="AX372" t="e">
        <f>IF(#REF!,"AAAAAGe6OzE=",0)</f>
        <v>#REF!</v>
      </c>
      <c r="AY372" t="e">
        <f>AND(#REF!,"AAAAAGe6OzI=")</f>
        <v>#REF!</v>
      </c>
      <c r="AZ372" t="e">
        <f>AND(#REF!,"AAAAAGe6OzM=")</f>
        <v>#REF!</v>
      </c>
      <c r="BA372" t="e">
        <f>AND(#REF!,"AAAAAGe6OzQ=")</f>
        <v>#REF!</v>
      </c>
      <c r="BB372" t="e">
        <f>AND(#REF!,"AAAAAGe6OzU=")</f>
        <v>#REF!</v>
      </c>
      <c r="BC372" t="e">
        <f>AND(#REF!,"AAAAAGe6OzY=")</f>
        <v>#REF!</v>
      </c>
      <c r="BD372" t="e">
        <f>AND(#REF!,"AAAAAGe6Ozc=")</f>
        <v>#REF!</v>
      </c>
      <c r="BE372" t="e">
        <f>AND(#REF!,"AAAAAGe6Ozg=")</f>
        <v>#REF!</v>
      </c>
      <c r="BF372" t="e">
        <f>AND(#REF!,"AAAAAGe6Ozk=")</f>
        <v>#REF!</v>
      </c>
      <c r="BG372" t="e">
        <f>AND(#REF!,"AAAAAGe6Ozo=")</f>
        <v>#REF!</v>
      </c>
      <c r="BH372" t="e">
        <f>AND(#REF!,"AAAAAGe6Ozs=")</f>
        <v>#REF!</v>
      </c>
      <c r="BI372" t="e">
        <f>IF(#REF!,"AAAAAGe6Ozw=",0)</f>
        <v>#REF!</v>
      </c>
      <c r="BJ372" t="e">
        <f>AND(#REF!,"AAAAAGe6Oz0=")</f>
        <v>#REF!</v>
      </c>
      <c r="BK372" t="e">
        <f>AND(#REF!,"AAAAAGe6Oz4=")</f>
        <v>#REF!</v>
      </c>
      <c r="BL372" t="e">
        <f>AND(#REF!,"AAAAAGe6Oz8=")</f>
        <v>#REF!</v>
      </c>
      <c r="BM372" t="e">
        <f>AND(#REF!,"AAAAAGe6O0A=")</f>
        <v>#REF!</v>
      </c>
      <c r="BN372" t="e">
        <f>AND(#REF!,"AAAAAGe6O0E=")</f>
        <v>#REF!</v>
      </c>
      <c r="BO372" t="e">
        <f>AND(#REF!,"AAAAAGe6O0I=")</f>
        <v>#REF!</v>
      </c>
      <c r="BP372" t="e">
        <f>AND(#REF!,"AAAAAGe6O0M=")</f>
        <v>#REF!</v>
      </c>
      <c r="BQ372" t="e">
        <f>AND(#REF!,"AAAAAGe6O0Q=")</f>
        <v>#REF!</v>
      </c>
      <c r="BR372" t="e">
        <f>AND(#REF!,"AAAAAGe6O0U=")</f>
        <v>#REF!</v>
      </c>
      <c r="BS372" t="e">
        <f>AND(#REF!,"AAAAAGe6O0Y=")</f>
        <v>#REF!</v>
      </c>
      <c r="BT372" t="e">
        <f>IF(#REF!,"AAAAAGe6O0c=",0)</f>
        <v>#REF!</v>
      </c>
      <c r="BU372" t="e">
        <f>AND(#REF!,"AAAAAGe6O0g=")</f>
        <v>#REF!</v>
      </c>
      <c r="BV372" t="e">
        <f>AND(#REF!,"AAAAAGe6O0k=")</f>
        <v>#REF!</v>
      </c>
      <c r="BW372" t="e">
        <f>AND(#REF!,"AAAAAGe6O0o=")</f>
        <v>#REF!</v>
      </c>
      <c r="BX372" t="e">
        <f>AND(#REF!,"AAAAAGe6O0s=")</f>
        <v>#REF!</v>
      </c>
      <c r="BY372" t="e">
        <f>AND(#REF!,"AAAAAGe6O0w=")</f>
        <v>#REF!</v>
      </c>
      <c r="BZ372" t="e">
        <f>AND(#REF!,"AAAAAGe6O00=")</f>
        <v>#REF!</v>
      </c>
      <c r="CA372" t="e">
        <f>AND(#REF!,"AAAAAGe6O04=")</f>
        <v>#REF!</v>
      </c>
      <c r="CB372" t="e">
        <f>AND(#REF!,"AAAAAGe6O08=")</f>
        <v>#REF!</v>
      </c>
      <c r="CC372" t="e">
        <f>AND(#REF!,"AAAAAGe6O1A=")</f>
        <v>#REF!</v>
      </c>
      <c r="CD372" t="e">
        <f>AND(#REF!,"AAAAAGe6O1E=")</f>
        <v>#REF!</v>
      </c>
      <c r="CE372" t="e">
        <f>IF(#REF!,"AAAAAGe6O1I=",0)</f>
        <v>#REF!</v>
      </c>
      <c r="CF372" t="e">
        <f>AND(#REF!,"AAAAAGe6O1M=")</f>
        <v>#REF!</v>
      </c>
      <c r="CG372" t="e">
        <f>AND(#REF!,"AAAAAGe6O1Q=")</f>
        <v>#REF!</v>
      </c>
      <c r="CH372" t="e">
        <f>AND(#REF!,"AAAAAGe6O1U=")</f>
        <v>#REF!</v>
      </c>
      <c r="CI372" t="e">
        <f>AND(#REF!,"AAAAAGe6O1Y=")</f>
        <v>#REF!</v>
      </c>
      <c r="CJ372" t="e">
        <f>AND(#REF!,"AAAAAGe6O1c=")</f>
        <v>#REF!</v>
      </c>
      <c r="CK372" t="e">
        <f>AND(#REF!,"AAAAAGe6O1g=")</f>
        <v>#REF!</v>
      </c>
      <c r="CL372" t="e">
        <f>AND(#REF!,"AAAAAGe6O1k=")</f>
        <v>#REF!</v>
      </c>
      <c r="CM372" t="e">
        <f>AND(#REF!,"AAAAAGe6O1o=")</f>
        <v>#REF!</v>
      </c>
      <c r="CN372" t="e">
        <f>AND(#REF!,"AAAAAGe6O1s=")</f>
        <v>#REF!</v>
      </c>
      <c r="CO372" t="e">
        <f>AND(#REF!,"AAAAAGe6O1w=")</f>
        <v>#REF!</v>
      </c>
      <c r="CP372" t="e">
        <f>IF(#REF!,"AAAAAGe6O10=",0)</f>
        <v>#REF!</v>
      </c>
      <c r="CQ372" t="e">
        <f>AND(#REF!,"AAAAAGe6O14=")</f>
        <v>#REF!</v>
      </c>
      <c r="CR372" t="e">
        <f>AND(#REF!,"AAAAAGe6O18=")</f>
        <v>#REF!</v>
      </c>
      <c r="CS372" t="e">
        <f>AND(#REF!,"AAAAAGe6O2A=")</f>
        <v>#REF!</v>
      </c>
      <c r="CT372" t="e">
        <f>AND(#REF!,"AAAAAGe6O2E=")</f>
        <v>#REF!</v>
      </c>
      <c r="CU372" t="e">
        <f>AND(#REF!,"AAAAAGe6O2I=")</f>
        <v>#REF!</v>
      </c>
      <c r="CV372" t="e">
        <f>AND(#REF!,"AAAAAGe6O2M=")</f>
        <v>#REF!</v>
      </c>
      <c r="CW372" t="e">
        <f>AND(#REF!,"AAAAAGe6O2Q=")</f>
        <v>#REF!</v>
      </c>
      <c r="CX372" t="e">
        <f>AND(#REF!,"AAAAAGe6O2U=")</f>
        <v>#REF!</v>
      </c>
      <c r="CY372" t="e">
        <f>AND(#REF!,"AAAAAGe6O2Y=")</f>
        <v>#REF!</v>
      </c>
      <c r="CZ372" t="e">
        <f>AND(#REF!,"AAAAAGe6O2c=")</f>
        <v>#REF!</v>
      </c>
      <c r="DA372" t="e">
        <f>IF(#REF!,"AAAAAGe6O2g=",0)</f>
        <v>#REF!</v>
      </c>
      <c r="DB372" t="e">
        <f>AND(#REF!,"AAAAAGe6O2k=")</f>
        <v>#REF!</v>
      </c>
      <c r="DC372" t="e">
        <f>AND(#REF!,"AAAAAGe6O2o=")</f>
        <v>#REF!</v>
      </c>
      <c r="DD372" t="e">
        <f>AND(#REF!,"AAAAAGe6O2s=")</f>
        <v>#REF!</v>
      </c>
      <c r="DE372" t="e">
        <f>AND(#REF!,"AAAAAGe6O2w=")</f>
        <v>#REF!</v>
      </c>
      <c r="DF372" t="e">
        <f>AND(#REF!,"AAAAAGe6O20=")</f>
        <v>#REF!</v>
      </c>
      <c r="DG372" t="e">
        <f>AND(#REF!,"AAAAAGe6O24=")</f>
        <v>#REF!</v>
      </c>
      <c r="DH372" t="e">
        <f>AND(#REF!,"AAAAAGe6O28=")</f>
        <v>#REF!</v>
      </c>
      <c r="DI372" t="e">
        <f>AND(#REF!,"AAAAAGe6O3A=")</f>
        <v>#REF!</v>
      </c>
      <c r="DJ372" t="e">
        <f>AND(#REF!,"AAAAAGe6O3E=")</f>
        <v>#REF!</v>
      </c>
      <c r="DK372" t="e">
        <f>AND(#REF!,"AAAAAGe6O3I=")</f>
        <v>#REF!</v>
      </c>
      <c r="DL372" t="e">
        <f>IF(#REF!,"AAAAAGe6O3M=",0)</f>
        <v>#REF!</v>
      </c>
      <c r="DM372" t="e">
        <f>AND(#REF!,"AAAAAGe6O3Q=")</f>
        <v>#REF!</v>
      </c>
      <c r="DN372" t="e">
        <f>AND(#REF!,"AAAAAGe6O3U=")</f>
        <v>#REF!</v>
      </c>
      <c r="DO372" t="e">
        <f>AND(#REF!,"AAAAAGe6O3Y=")</f>
        <v>#REF!</v>
      </c>
      <c r="DP372" t="e">
        <f>AND(#REF!,"AAAAAGe6O3c=")</f>
        <v>#REF!</v>
      </c>
      <c r="DQ372" t="e">
        <f>AND(#REF!,"AAAAAGe6O3g=")</f>
        <v>#REF!</v>
      </c>
      <c r="DR372" t="e">
        <f>AND(#REF!,"AAAAAGe6O3k=")</f>
        <v>#REF!</v>
      </c>
      <c r="DS372" t="e">
        <f>AND(#REF!,"AAAAAGe6O3o=")</f>
        <v>#REF!</v>
      </c>
      <c r="DT372" t="e">
        <f>AND(#REF!,"AAAAAGe6O3s=")</f>
        <v>#REF!</v>
      </c>
      <c r="DU372" t="e">
        <f>AND(#REF!,"AAAAAGe6O3w=")</f>
        <v>#REF!</v>
      </c>
      <c r="DV372" t="e">
        <f>AND(#REF!,"AAAAAGe6O30=")</f>
        <v>#REF!</v>
      </c>
      <c r="DW372" t="e">
        <f>IF(#REF!,"AAAAAGe6O34=",0)</f>
        <v>#REF!</v>
      </c>
      <c r="DX372" t="e">
        <f>AND(#REF!,"AAAAAGe6O38=")</f>
        <v>#REF!</v>
      </c>
      <c r="DY372" t="e">
        <f>AND(#REF!,"AAAAAGe6O4A=")</f>
        <v>#REF!</v>
      </c>
      <c r="DZ372" t="e">
        <f>AND(#REF!,"AAAAAGe6O4E=")</f>
        <v>#REF!</v>
      </c>
      <c r="EA372" t="e">
        <f>AND(#REF!,"AAAAAGe6O4I=")</f>
        <v>#REF!</v>
      </c>
      <c r="EB372" t="e">
        <f>AND(#REF!,"AAAAAGe6O4M=")</f>
        <v>#REF!</v>
      </c>
      <c r="EC372" t="e">
        <f>AND(#REF!,"AAAAAGe6O4Q=")</f>
        <v>#REF!</v>
      </c>
      <c r="ED372" t="e">
        <f>AND(#REF!,"AAAAAGe6O4U=")</f>
        <v>#REF!</v>
      </c>
      <c r="EE372" t="e">
        <f>AND(#REF!,"AAAAAGe6O4Y=")</f>
        <v>#REF!</v>
      </c>
      <c r="EF372" t="e">
        <f>AND(#REF!,"AAAAAGe6O4c=")</f>
        <v>#REF!</v>
      </c>
      <c r="EG372" t="e">
        <f>AND(#REF!,"AAAAAGe6O4g=")</f>
        <v>#REF!</v>
      </c>
      <c r="EH372" t="e">
        <f>IF(#REF!,"AAAAAGe6O4k=",0)</f>
        <v>#REF!</v>
      </c>
      <c r="EI372" t="e">
        <f>AND(#REF!,"AAAAAGe6O4o=")</f>
        <v>#REF!</v>
      </c>
      <c r="EJ372" t="e">
        <f>AND(#REF!,"AAAAAGe6O4s=")</f>
        <v>#REF!</v>
      </c>
      <c r="EK372" t="e">
        <f>AND(#REF!,"AAAAAGe6O4w=")</f>
        <v>#REF!</v>
      </c>
      <c r="EL372" t="e">
        <f>AND(#REF!,"AAAAAGe6O40=")</f>
        <v>#REF!</v>
      </c>
      <c r="EM372" t="e">
        <f>AND(#REF!,"AAAAAGe6O44=")</f>
        <v>#REF!</v>
      </c>
      <c r="EN372" t="e">
        <f>AND(#REF!,"AAAAAGe6O48=")</f>
        <v>#REF!</v>
      </c>
      <c r="EO372" t="e">
        <f>AND(#REF!,"AAAAAGe6O5A=")</f>
        <v>#REF!</v>
      </c>
      <c r="EP372" t="e">
        <f>AND(#REF!,"AAAAAGe6O5E=")</f>
        <v>#REF!</v>
      </c>
      <c r="EQ372" t="e">
        <f>AND(#REF!,"AAAAAGe6O5I=")</f>
        <v>#REF!</v>
      </c>
      <c r="ER372" t="e">
        <f>AND(#REF!,"AAAAAGe6O5M=")</f>
        <v>#REF!</v>
      </c>
      <c r="ES372" t="e">
        <f>IF(#REF!,"AAAAAGe6O5Q=",0)</f>
        <v>#REF!</v>
      </c>
      <c r="ET372" t="e">
        <f>AND(#REF!,"AAAAAGe6O5U=")</f>
        <v>#REF!</v>
      </c>
      <c r="EU372" t="e">
        <f>AND(#REF!,"AAAAAGe6O5Y=")</f>
        <v>#REF!</v>
      </c>
      <c r="EV372" t="e">
        <f>AND(#REF!,"AAAAAGe6O5c=")</f>
        <v>#REF!</v>
      </c>
      <c r="EW372" t="e">
        <f>AND(#REF!,"AAAAAGe6O5g=")</f>
        <v>#REF!</v>
      </c>
      <c r="EX372" t="e">
        <f>AND(#REF!,"AAAAAGe6O5k=")</f>
        <v>#REF!</v>
      </c>
      <c r="EY372" t="e">
        <f>AND(#REF!,"AAAAAGe6O5o=")</f>
        <v>#REF!</v>
      </c>
      <c r="EZ372" t="e">
        <f>AND(#REF!,"AAAAAGe6O5s=")</f>
        <v>#REF!</v>
      </c>
      <c r="FA372" t="e">
        <f>AND(#REF!,"AAAAAGe6O5w=")</f>
        <v>#REF!</v>
      </c>
      <c r="FB372" t="e">
        <f>AND(#REF!,"AAAAAGe6O50=")</f>
        <v>#REF!</v>
      </c>
      <c r="FC372" t="e">
        <f>AND(#REF!,"AAAAAGe6O54=")</f>
        <v>#REF!</v>
      </c>
      <c r="FD372" t="e">
        <f>IF(#REF!,"AAAAAGe6O58=",0)</f>
        <v>#REF!</v>
      </c>
      <c r="FE372" t="e">
        <f>AND(#REF!,"AAAAAGe6O6A=")</f>
        <v>#REF!</v>
      </c>
      <c r="FF372" t="e">
        <f>AND(#REF!,"AAAAAGe6O6E=")</f>
        <v>#REF!</v>
      </c>
      <c r="FG372" t="e">
        <f>AND(#REF!,"AAAAAGe6O6I=")</f>
        <v>#REF!</v>
      </c>
      <c r="FH372" t="e">
        <f>AND(#REF!,"AAAAAGe6O6M=")</f>
        <v>#REF!</v>
      </c>
      <c r="FI372" t="e">
        <f>AND(#REF!,"AAAAAGe6O6Q=")</f>
        <v>#REF!</v>
      </c>
      <c r="FJ372" t="e">
        <f>AND(#REF!,"AAAAAGe6O6U=")</f>
        <v>#REF!</v>
      </c>
      <c r="FK372" t="e">
        <f>AND(#REF!,"AAAAAGe6O6Y=")</f>
        <v>#REF!</v>
      </c>
      <c r="FL372" t="e">
        <f>AND(#REF!,"AAAAAGe6O6c=")</f>
        <v>#REF!</v>
      </c>
      <c r="FM372" t="e">
        <f>AND(#REF!,"AAAAAGe6O6g=")</f>
        <v>#REF!</v>
      </c>
      <c r="FN372" t="e">
        <f>AND(#REF!,"AAAAAGe6O6k=")</f>
        <v>#REF!</v>
      </c>
      <c r="FO372" t="e">
        <f>IF(#REF!,"AAAAAGe6O6o=",0)</f>
        <v>#REF!</v>
      </c>
      <c r="FP372" t="e">
        <f>AND(#REF!,"AAAAAGe6O6s=")</f>
        <v>#REF!</v>
      </c>
      <c r="FQ372" t="e">
        <f>AND(#REF!,"AAAAAGe6O6w=")</f>
        <v>#REF!</v>
      </c>
      <c r="FR372" t="e">
        <f>AND(#REF!,"AAAAAGe6O60=")</f>
        <v>#REF!</v>
      </c>
      <c r="FS372" t="e">
        <f>AND(#REF!,"AAAAAGe6O64=")</f>
        <v>#REF!</v>
      </c>
      <c r="FT372" t="e">
        <f>AND(#REF!,"AAAAAGe6O68=")</f>
        <v>#REF!</v>
      </c>
      <c r="FU372" t="e">
        <f>AND(#REF!,"AAAAAGe6O7A=")</f>
        <v>#REF!</v>
      </c>
      <c r="FV372" t="e">
        <f>AND(#REF!,"AAAAAGe6O7E=")</f>
        <v>#REF!</v>
      </c>
      <c r="FW372" t="e">
        <f>AND(#REF!,"AAAAAGe6O7I=")</f>
        <v>#REF!</v>
      </c>
      <c r="FX372" t="e">
        <f>AND(#REF!,"AAAAAGe6O7M=")</f>
        <v>#REF!</v>
      </c>
      <c r="FY372" t="e">
        <f>AND(#REF!,"AAAAAGe6O7Q=")</f>
        <v>#REF!</v>
      </c>
      <c r="FZ372" t="e">
        <f>IF(#REF!,"AAAAAGe6O7U=",0)</f>
        <v>#REF!</v>
      </c>
      <c r="GA372" t="e">
        <f>AND(#REF!,"AAAAAGe6O7Y=")</f>
        <v>#REF!</v>
      </c>
      <c r="GB372" t="e">
        <f>AND(#REF!,"AAAAAGe6O7c=")</f>
        <v>#REF!</v>
      </c>
      <c r="GC372" t="e">
        <f>AND(#REF!,"AAAAAGe6O7g=")</f>
        <v>#REF!</v>
      </c>
      <c r="GD372" t="e">
        <f>AND(#REF!,"AAAAAGe6O7k=")</f>
        <v>#REF!</v>
      </c>
      <c r="GE372" t="e">
        <f>AND(#REF!,"AAAAAGe6O7o=")</f>
        <v>#REF!</v>
      </c>
      <c r="GF372" t="e">
        <f>AND(#REF!,"AAAAAGe6O7s=")</f>
        <v>#REF!</v>
      </c>
      <c r="GG372" t="e">
        <f>AND(#REF!,"AAAAAGe6O7w=")</f>
        <v>#REF!</v>
      </c>
      <c r="GH372" t="e">
        <f>AND(#REF!,"AAAAAGe6O70=")</f>
        <v>#REF!</v>
      </c>
      <c r="GI372" t="e">
        <f>AND(#REF!,"AAAAAGe6O74=")</f>
        <v>#REF!</v>
      </c>
      <c r="GJ372" t="e">
        <f>AND(#REF!,"AAAAAGe6O78=")</f>
        <v>#REF!</v>
      </c>
      <c r="GK372" t="e">
        <f>IF(#REF!,"AAAAAGe6O8A=",0)</f>
        <v>#REF!</v>
      </c>
      <c r="GL372" t="e">
        <f>AND(#REF!,"AAAAAGe6O8E=")</f>
        <v>#REF!</v>
      </c>
      <c r="GM372" t="e">
        <f>AND(#REF!,"AAAAAGe6O8I=")</f>
        <v>#REF!</v>
      </c>
      <c r="GN372" t="e">
        <f>AND(#REF!,"AAAAAGe6O8M=")</f>
        <v>#REF!</v>
      </c>
      <c r="GO372" t="e">
        <f>AND(#REF!,"AAAAAGe6O8Q=")</f>
        <v>#REF!</v>
      </c>
      <c r="GP372" t="e">
        <f>AND(#REF!,"AAAAAGe6O8U=")</f>
        <v>#REF!</v>
      </c>
      <c r="GQ372" t="e">
        <f>AND(#REF!,"AAAAAGe6O8Y=")</f>
        <v>#REF!</v>
      </c>
      <c r="GR372" t="e">
        <f>AND(#REF!,"AAAAAGe6O8c=")</f>
        <v>#REF!</v>
      </c>
      <c r="GS372" t="e">
        <f>AND(#REF!,"AAAAAGe6O8g=")</f>
        <v>#REF!</v>
      </c>
      <c r="GT372" t="e">
        <f>AND(#REF!,"AAAAAGe6O8k=")</f>
        <v>#REF!</v>
      </c>
      <c r="GU372" t="e">
        <f>AND(#REF!,"AAAAAGe6O8o=")</f>
        <v>#REF!</v>
      </c>
      <c r="GV372" t="e">
        <f>IF(#REF!,"AAAAAGe6O8s=",0)</f>
        <v>#REF!</v>
      </c>
      <c r="GW372" t="e">
        <f>AND(#REF!,"AAAAAGe6O8w=")</f>
        <v>#REF!</v>
      </c>
      <c r="GX372" t="e">
        <f>AND(#REF!,"AAAAAGe6O80=")</f>
        <v>#REF!</v>
      </c>
      <c r="GY372" t="e">
        <f>AND(#REF!,"AAAAAGe6O84=")</f>
        <v>#REF!</v>
      </c>
      <c r="GZ372" t="e">
        <f>AND(#REF!,"AAAAAGe6O88=")</f>
        <v>#REF!</v>
      </c>
      <c r="HA372" t="e">
        <f>AND(#REF!,"AAAAAGe6O9A=")</f>
        <v>#REF!</v>
      </c>
      <c r="HB372" t="e">
        <f>AND(#REF!,"AAAAAGe6O9E=")</f>
        <v>#REF!</v>
      </c>
      <c r="HC372" t="e">
        <f>AND(#REF!,"AAAAAGe6O9I=")</f>
        <v>#REF!</v>
      </c>
      <c r="HD372" t="e">
        <f>AND(#REF!,"AAAAAGe6O9M=")</f>
        <v>#REF!</v>
      </c>
      <c r="HE372" t="e">
        <f>AND(#REF!,"AAAAAGe6O9Q=")</f>
        <v>#REF!</v>
      </c>
      <c r="HF372" t="e">
        <f>AND(#REF!,"AAAAAGe6O9U=")</f>
        <v>#REF!</v>
      </c>
      <c r="HG372" t="e">
        <f>IF(#REF!,"AAAAAGe6O9Y=",0)</f>
        <v>#REF!</v>
      </c>
      <c r="HH372" t="e">
        <f>AND(#REF!,"AAAAAGe6O9c=")</f>
        <v>#REF!</v>
      </c>
      <c r="HI372" t="e">
        <f>AND(#REF!,"AAAAAGe6O9g=")</f>
        <v>#REF!</v>
      </c>
      <c r="HJ372" t="e">
        <f>AND(#REF!,"AAAAAGe6O9k=")</f>
        <v>#REF!</v>
      </c>
      <c r="HK372" t="e">
        <f>AND(#REF!,"AAAAAGe6O9o=")</f>
        <v>#REF!</v>
      </c>
      <c r="HL372" t="e">
        <f>AND(#REF!,"AAAAAGe6O9s=")</f>
        <v>#REF!</v>
      </c>
      <c r="HM372" t="e">
        <f>AND(#REF!,"AAAAAGe6O9w=")</f>
        <v>#REF!</v>
      </c>
      <c r="HN372" t="e">
        <f>AND(#REF!,"AAAAAGe6O90=")</f>
        <v>#REF!</v>
      </c>
      <c r="HO372" t="e">
        <f>AND(#REF!,"AAAAAGe6O94=")</f>
        <v>#REF!</v>
      </c>
      <c r="HP372" t="e">
        <f>AND(#REF!,"AAAAAGe6O98=")</f>
        <v>#REF!</v>
      </c>
      <c r="HQ372" t="e">
        <f>AND(#REF!,"AAAAAGe6O+A=")</f>
        <v>#REF!</v>
      </c>
      <c r="HR372" t="e">
        <f>IF(#REF!,"AAAAAGe6O+E=",0)</f>
        <v>#REF!</v>
      </c>
      <c r="HS372" t="e">
        <f>AND(#REF!,"AAAAAGe6O+I=")</f>
        <v>#REF!</v>
      </c>
      <c r="HT372" t="e">
        <f>AND(#REF!,"AAAAAGe6O+M=")</f>
        <v>#REF!</v>
      </c>
      <c r="HU372" t="e">
        <f>AND(#REF!,"AAAAAGe6O+Q=")</f>
        <v>#REF!</v>
      </c>
      <c r="HV372" t="e">
        <f>AND(#REF!,"AAAAAGe6O+U=")</f>
        <v>#REF!</v>
      </c>
      <c r="HW372" t="e">
        <f>AND(#REF!,"AAAAAGe6O+Y=")</f>
        <v>#REF!</v>
      </c>
      <c r="HX372" t="e">
        <f>AND(#REF!,"AAAAAGe6O+c=")</f>
        <v>#REF!</v>
      </c>
      <c r="HY372" t="e">
        <f>AND(#REF!,"AAAAAGe6O+g=")</f>
        <v>#REF!</v>
      </c>
      <c r="HZ372" t="e">
        <f>AND(#REF!,"AAAAAGe6O+k=")</f>
        <v>#REF!</v>
      </c>
      <c r="IA372" t="e">
        <f>AND(#REF!,"AAAAAGe6O+o=")</f>
        <v>#REF!</v>
      </c>
      <c r="IB372" t="e">
        <f>AND(#REF!,"AAAAAGe6O+s=")</f>
        <v>#REF!</v>
      </c>
      <c r="IC372" t="e">
        <f>IF(#REF!,"AAAAAGe6O+w=",0)</f>
        <v>#REF!</v>
      </c>
      <c r="ID372" t="e">
        <f>AND(#REF!,"AAAAAGe6O+0=")</f>
        <v>#REF!</v>
      </c>
      <c r="IE372" t="e">
        <f>AND(#REF!,"AAAAAGe6O+4=")</f>
        <v>#REF!</v>
      </c>
      <c r="IF372" t="e">
        <f>AND(#REF!,"AAAAAGe6O+8=")</f>
        <v>#REF!</v>
      </c>
      <c r="IG372" t="e">
        <f>AND(#REF!,"AAAAAGe6O/A=")</f>
        <v>#REF!</v>
      </c>
      <c r="IH372" t="e">
        <f>AND(#REF!,"AAAAAGe6O/E=")</f>
        <v>#REF!</v>
      </c>
      <c r="II372" t="e">
        <f>AND(#REF!,"AAAAAGe6O/I=")</f>
        <v>#REF!</v>
      </c>
      <c r="IJ372" t="e">
        <f>AND(#REF!,"AAAAAGe6O/M=")</f>
        <v>#REF!</v>
      </c>
      <c r="IK372" t="e">
        <f>AND(#REF!,"AAAAAGe6O/Q=")</f>
        <v>#REF!</v>
      </c>
      <c r="IL372" t="e">
        <f>AND(#REF!,"AAAAAGe6O/U=")</f>
        <v>#REF!</v>
      </c>
      <c r="IM372" t="e">
        <f>AND(#REF!,"AAAAAGe6O/Y=")</f>
        <v>#REF!</v>
      </c>
      <c r="IN372" t="e">
        <f>IF(#REF!,"AAAAAGe6O/c=",0)</f>
        <v>#REF!</v>
      </c>
      <c r="IO372" t="e">
        <f>AND(#REF!,"AAAAAGe6O/g=")</f>
        <v>#REF!</v>
      </c>
      <c r="IP372" t="e">
        <f>AND(#REF!,"AAAAAGe6O/k=")</f>
        <v>#REF!</v>
      </c>
      <c r="IQ372" t="e">
        <f>AND(#REF!,"AAAAAGe6O/o=")</f>
        <v>#REF!</v>
      </c>
      <c r="IR372" t="e">
        <f>AND(#REF!,"AAAAAGe6O/s=")</f>
        <v>#REF!</v>
      </c>
      <c r="IS372" t="e">
        <f>AND(#REF!,"AAAAAGe6O/w=")</f>
        <v>#REF!</v>
      </c>
      <c r="IT372" t="e">
        <f>AND(#REF!,"AAAAAGe6O/0=")</f>
        <v>#REF!</v>
      </c>
      <c r="IU372" t="e">
        <f>AND(#REF!,"AAAAAGe6O/4=")</f>
        <v>#REF!</v>
      </c>
      <c r="IV372" t="e">
        <f>AND(#REF!,"AAAAAGe6O/8=")</f>
        <v>#REF!</v>
      </c>
    </row>
    <row r="373" spans="1:256" x14ac:dyDescent="0.25">
      <c r="A373" t="e">
        <f>AND(#REF!,"AAAAAF/+8QA=")</f>
        <v>#REF!</v>
      </c>
      <c r="B373" t="e">
        <f>AND(#REF!,"AAAAAF/+8QE=")</f>
        <v>#REF!</v>
      </c>
      <c r="C373" t="e">
        <f>IF(#REF!,"AAAAAF/+8QI=",0)</f>
        <v>#REF!</v>
      </c>
      <c r="D373" t="e">
        <f>AND(#REF!,"AAAAAF/+8QM=")</f>
        <v>#REF!</v>
      </c>
      <c r="E373" t="e">
        <f>AND(#REF!,"AAAAAF/+8QQ=")</f>
        <v>#REF!</v>
      </c>
      <c r="F373" t="e">
        <f>AND(#REF!,"AAAAAF/+8QU=")</f>
        <v>#REF!</v>
      </c>
      <c r="G373" t="e">
        <f>AND(#REF!,"AAAAAF/+8QY=")</f>
        <v>#REF!</v>
      </c>
      <c r="H373" t="e">
        <f>AND(#REF!,"AAAAAF/+8Qc=")</f>
        <v>#REF!</v>
      </c>
      <c r="I373" t="e">
        <f>AND(#REF!,"AAAAAF/+8Qg=")</f>
        <v>#REF!</v>
      </c>
      <c r="J373" t="e">
        <f>AND(#REF!,"AAAAAF/+8Qk=")</f>
        <v>#REF!</v>
      </c>
      <c r="K373" t="e">
        <f>AND(#REF!,"AAAAAF/+8Qo=")</f>
        <v>#REF!</v>
      </c>
      <c r="L373" t="e">
        <f>AND(#REF!,"AAAAAF/+8Qs=")</f>
        <v>#REF!</v>
      </c>
      <c r="M373" t="e">
        <f>AND(#REF!,"AAAAAF/+8Qw=")</f>
        <v>#REF!</v>
      </c>
      <c r="N373" t="e">
        <f>IF(#REF!,"AAAAAF/+8Q0=",0)</f>
        <v>#REF!</v>
      </c>
      <c r="O373" t="e">
        <f>AND(#REF!,"AAAAAF/+8Q4=")</f>
        <v>#REF!</v>
      </c>
      <c r="P373" t="e">
        <f>AND(#REF!,"AAAAAF/+8Q8=")</f>
        <v>#REF!</v>
      </c>
      <c r="Q373" t="e">
        <f>AND(#REF!,"AAAAAF/+8RA=")</f>
        <v>#REF!</v>
      </c>
      <c r="R373" t="e">
        <f>AND(#REF!,"AAAAAF/+8RE=")</f>
        <v>#REF!</v>
      </c>
      <c r="S373" t="e">
        <f>AND(#REF!,"AAAAAF/+8RI=")</f>
        <v>#REF!</v>
      </c>
      <c r="T373" t="e">
        <f>AND(#REF!,"AAAAAF/+8RM=")</f>
        <v>#REF!</v>
      </c>
      <c r="U373" t="e">
        <f>AND(#REF!,"AAAAAF/+8RQ=")</f>
        <v>#REF!</v>
      </c>
      <c r="V373" t="e">
        <f>AND(#REF!,"AAAAAF/+8RU=")</f>
        <v>#REF!</v>
      </c>
      <c r="W373" t="e">
        <f>AND(#REF!,"AAAAAF/+8RY=")</f>
        <v>#REF!</v>
      </c>
      <c r="X373" t="e">
        <f>AND(#REF!,"AAAAAF/+8Rc=")</f>
        <v>#REF!</v>
      </c>
      <c r="Y373" t="e">
        <f>IF(#REF!,"AAAAAF/+8Rg=",0)</f>
        <v>#REF!</v>
      </c>
      <c r="Z373" t="e">
        <f>AND(#REF!,"AAAAAF/+8Rk=")</f>
        <v>#REF!</v>
      </c>
      <c r="AA373" t="e">
        <f>AND(#REF!,"AAAAAF/+8Ro=")</f>
        <v>#REF!</v>
      </c>
      <c r="AB373" t="e">
        <f>AND(#REF!,"AAAAAF/+8Rs=")</f>
        <v>#REF!</v>
      </c>
      <c r="AC373" t="e">
        <f>AND(#REF!,"AAAAAF/+8Rw=")</f>
        <v>#REF!</v>
      </c>
      <c r="AD373" t="e">
        <f>AND(#REF!,"AAAAAF/+8R0=")</f>
        <v>#REF!</v>
      </c>
      <c r="AE373" t="e">
        <f>AND(#REF!,"AAAAAF/+8R4=")</f>
        <v>#REF!</v>
      </c>
      <c r="AF373" t="e">
        <f>AND(#REF!,"AAAAAF/+8R8=")</f>
        <v>#REF!</v>
      </c>
      <c r="AG373" t="e">
        <f>AND(#REF!,"AAAAAF/+8SA=")</f>
        <v>#REF!</v>
      </c>
      <c r="AH373" t="e">
        <f>AND(#REF!,"AAAAAF/+8SE=")</f>
        <v>#REF!</v>
      </c>
      <c r="AI373" t="e">
        <f>AND(#REF!,"AAAAAF/+8SI=")</f>
        <v>#REF!</v>
      </c>
      <c r="AJ373" t="e">
        <f>IF(#REF!,"AAAAAF/+8SM=",0)</f>
        <v>#REF!</v>
      </c>
      <c r="AK373" t="e">
        <f>AND(#REF!,"AAAAAF/+8SQ=")</f>
        <v>#REF!</v>
      </c>
      <c r="AL373" t="e">
        <f>AND(#REF!,"AAAAAF/+8SU=")</f>
        <v>#REF!</v>
      </c>
      <c r="AM373" t="e">
        <f>AND(#REF!,"AAAAAF/+8SY=")</f>
        <v>#REF!</v>
      </c>
      <c r="AN373" t="e">
        <f>AND(#REF!,"AAAAAF/+8Sc=")</f>
        <v>#REF!</v>
      </c>
      <c r="AO373" t="e">
        <f>AND(#REF!,"AAAAAF/+8Sg=")</f>
        <v>#REF!</v>
      </c>
      <c r="AP373" t="e">
        <f>AND(#REF!,"AAAAAF/+8Sk=")</f>
        <v>#REF!</v>
      </c>
      <c r="AQ373" t="e">
        <f>AND(#REF!,"AAAAAF/+8So=")</f>
        <v>#REF!</v>
      </c>
      <c r="AR373" t="e">
        <f>AND(#REF!,"AAAAAF/+8Ss=")</f>
        <v>#REF!</v>
      </c>
      <c r="AS373" t="e">
        <f>AND(#REF!,"AAAAAF/+8Sw=")</f>
        <v>#REF!</v>
      </c>
      <c r="AT373" t="e">
        <f>AND(#REF!,"AAAAAF/+8S0=")</f>
        <v>#REF!</v>
      </c>
      <c r="AU373" t="e">
        <f>IF(#REF!,"AAAAAF/+8S4=",0)</f>
        <v>#REF!</v>
      </c>
      <c r="AV373" t="e">
        <f>AND(#REF!,"AAAAAF/+8S8=")</f>
        <v>#REF!</v>
      </c>
      <c r="AW373" t="e">
        <f>AND(#REF!,"AAAAAF/+8TA=")</f>
        <v>#REF!</v>
      </c>
      <c r="AX373" t="e">
        <f>AND(#REF!,"AAAAAF/+8TE=")</f>
        <v>#REF!</v>
      </c>
      <c r="AY373" t="e">
        <f>AND(#REF!,"AAAAAF/+8TI=")</f>
        <v>#REF!</v>
      </c>
      <c r="AZ373" t="e">
        <f>AND(#REF!,"AAAAAF/+8TM=")</f>
        <v>#REF!</v>
      </c>
      <c r="BA373" t="e">
        <f>AND(#REF!,"AAAAAF/+8TQ=")</f>
        <v>#REF!</v>
      </c>
      <c r="BB373" t="e">
        <f>AND(#REF!,"AAAAAF/+8TU=")</f>
        <v>#REF!</v>
      </c>
      <c r="BC373" t="e">
        <f>AND(#REF!,"AAAAAF/+8TY=")</f>
        <v>#REF!</v>
      </c>
      <c r="BD373" t="e">
        <f>AND(#REF!,"AAAAAF/+8Tc=")</f>
        <v>#REF!</v>
      </c>
      <c r="BE373" t="e">
        <f>AND(#REF!,"AAAAAF/+8Tg=")</f>
        <v>#REF!</v>
      </c>
      <c r="BF373" t="e">
        <f>IF(#REF!,"AAAAAF/+8Tk=",0)</f>
        <v>#REF!</v>
      </c>
      <c r="BG373" t="e">
        <f>AND(#REF!,"AAAAAF/+8To=")</f>
        <v>#REF!</v>
      </c>
      <c r="BH373" t="e">
        <f>AND(#REF!,"AAAAAF/+8Ts=")</f>
        <v>#REF!</v>
      </c>
      <c r="BI373" t="e">
        <f>AND(#REF!,"AAAAAF/+8Tw=")</f>
        <v>#REF!</v>
      </c>
      <c r="BJ373" t="e">
        <f>AND(#REF!,"AAAAAF/+8T0=")</f>
        <v>#REF!</v>
      </c>
      <c r="BK373" t="e">
        <f>AND(#REF!,"AAAAAF/+8T4=")</f>
        <v>#REF!</v>
      </c>
      <c r="BL373" t="e">
        <f>AND(#REF!,"AAAAAF/+8T8=")</f>
        <v>#REF!</v>
      </c>
      <c r="BM373" t="e">
        <f>AND(#REF!,"AAAAAF/+8UA=")</f>
        <v>#REF!</v>
      </c>
      <c r="BN373" t="e">
        <f>AND(#REF!,"AAAAAF/+8UE=")</f>
        <v>#REF!</v>
      </c>
      <c r="BO373" t="e">
        <f>AND(#REF!,"AAAAAF/+8UI=")</f>
        <v>#REF!</v>
      </c>
      <c r="BP373" t="e">
        <f>AND(#REF!,"AAAAAF/+8UM=")</f>
        <v>#REF!</v>
      </c>
      <c r="BQ373" t="e">
        <f>IF(#REF!,"AAAAAF/+8UQ=",0)</f>
        <v>#REF!</v>
      </c>
      <c r="BR373" t="e">
        <f>AND(#REF!,"AAAAAF/+8UU=")</f>
        <v>#REF!</v>
      </c>
      <c r="BS373" t="e">
        <f>AND(#REF!,"AAAAAF/+8UY=")</f>
        <v>#REF!</v>
      </c>
      <c r="BT373" t="e">
        <f>AND(#REF!,"AAAAAF/+8Uc=")</f>
        <v>#REF!</v>
      </c>
      <c r="BU373" t="e">
        <f>AND(#REF!,"AAAAAF/+8Ug=")</f>
        <v>#REF!</v>
      </c>
      <c r="BV373" t="e">
        <f>AND(#REF!,"AAAAAF/+8Uk=")</f>
        <v>#REF!</v>
      </c>
      <c r="BW373" t="e">
        <f>AND(#REF!,"AAAAAF/+8Uo=")</f>
        <v>#REF!</v>
      </c>
      <c r="BX373" t="e">
        <f>AND(#REF!,"AAAAAF/+8Us=")</f>
        <v>#REF!</v>
      </c>
      <c r="BY373" t="e">
        <f>AND(#REF!,"AAAAAF/+8Uw=")</f>
        <v>#REF!</v>
      </c>
      <c r="BZ373" t="e">
        <f>AND(#REF!,"AAAAAF/+8U0=")</f>
        <v>#REF!</v>
      </c>
      <c r="CA373" t="e">
        <f>AND(#REF!,"AAAAAF/+8U4=")</f>
        <v>#REF!</v>
      </c>
      <c r="CB373" t="e">
        <f>IF(#REF!,"AAAAAF/+8U8=",0)</f>
        <v>#REF!</v>
      </c>
      <c r="CC373" t="e">
        <f>AND(#REF!,"AAAAAF/+8VA=")</f>
        <v>#REF!</v>
      </c>
      <c r="CD373" t="e">
        <f>AND(#REF!,"AAAAAF/+8VE=")</f>
        <v>#REF!</v>
      </c>
      <c r="CE373" t="e">
        <f>AND(#REF!,"AAAAAF/+8VI=")</f>
        <v>#REF!</v>
      </c>
      <c r="CF373" t="e">
        <f>AND(#REF!,"AAAAAF/+8VM=")</f>
        <v>#REF!</v>
      </c>
      <c r="CG373" t="e">
        <f>AND(#REF!,"AAAAAF/+8VQ=")</f>
        <v>#REF!</v>
      </c>
      <c r="CH373" t="e">
        <f>AND(#REF!,"AAAAAF/+8VU=")</f>
        <v>#REF!</v>
      </c>
      <c r="CI373" t="e">
        <f>AND(#REF!,"AAAAAF/+8VY=")</f>
        <v>#REF!</v>
      </c>
      <c r="CJ373" t="e">
        <f>AND(#REF!,"AAAAAF/+8Vc=")</f>
        <v>#REF!</v>
      </c>
      <c r="CK373" t="e">
        <f>AND(#REF!,"AAAAAF/+8Vg=")</f>
        <v>#REF!</v>
      </c>
      <c r="CL373" t="e">
        <f>AND(#REF!,"AAAAAF/+8Vk=")</f>
        <v>#REF!</v>
      </c>
      <c r="CM373" t="e">
        <f>IF(#REF!,"AAAAAF/+8Vo=",0)</f>
        <v>#REF!</v>
      </c>
      <c r="CN373" t="e">
        <f>AND(#REF!,"AAAAAF/+8Vs=")</f>
        <v>#REF!</v>
      </c>
      <c r="CO373" t="e">
        <f>AND(#REF!,"AAAAAF/+8Vw=")</f>
        <v>#REF!</v>
      </c>
      <c r="CP373" t="e">
        <f>AND(#REF!,"AAAAAF/+8V0=")</f>
        <v>#REF!</v>
      </c>
      <c r="CQ373" t="e">
        <f>AND(#REF!,"AAAAAF/+8V4=")</f>
        <v>#REF!</v>
      </c>
      <c r="CR373" t="e">
        <f>AND(#REF!,"AAAAAF/+8V8=")</f>
        <v>#REF!</v>
      </c>
      <c r="CS373" t="e">
        <f>AND(#REF!,"AAAAAF/+8WA=")</f>
        <v>#REF!</v>
      </c>
      <c r="CT373" t="e">
        <f>AND(#REF!,"AAAAAF/+8WE=")</f>
        <v>#REF!</v>
      </c>
      <c r="CU373" t="e">
        <f>AND(#REF!,"AAAAAF/+8WI=")</f>
        <v>#REF!</v>
      </c>
      <c r="CV373" t="e">
        <f>AND(#REF!,"AAAAAF/+8WM=")</f>
        <v>#REF!</v>
      </c>
      <c r="CW373" t="e">
        <f>AND(#REF!,"AAAAAF/+8WQ=")</f>
        <v>#REF!</v>
      </c>
      <c r="CX373" t="e">
        <f>IF(#REF!,"AAAAAF/+8WU=",0)</f>
        <v>#REF!</v>
      </c>
      <c r="CY373" t="e">
        <f>AND(#REF!,"AAAAAF/+8WY=")</f>
        <v>#REF!</v>
      </c>
      <c r="CZ373" t="e">
        <f>AND(#REF!,"AAAAAF/+8Wc=")</f>
        <v>#REF!</v>
      </c>
      <c r="DA373" t="e">
        <f>AND(#REF!,"AAAAAF/+8Wg=")</f>
        <v>#REF!</v>
      </c>
      <c r="DB373" t="e">
        <f>AND(#REF!,"AAAAAF/+8Wk=")</f>
        <v>#REF!</v>
      </c>
      <c r="DC373" t="e">
        <f>AND(#REF!,"AAAAAF/+8Wo=")</f>
        <v>#REF!</v>
      </c>
      <c r="DD373" t="e">
        <f>AND(#REF!,"AAAAAF/+8Ws=")</f>
        <v>#REF!</v>
      </c>
      <c r="DE373" t="e">
        <f>AND(#REF!,"AAAAAF/+8Ww=")</f>
        <v>#REF!</v>
      </c>
      <c r="DF373" t="e">
        <f>AND(#REF!,"AAAAAF/+8W0=")</f>
        <v>#REF!</v>
      </c>
      <c r="DG373" t="e">
        <f>AND(#REF!,"AAAAAF/+8W4=")</f>
        <v>#REF!</v>
      </c>
      <c r="DH373" t="e">
        <f>AND(#REF!,"AAAAAF/+8W8=")</f>
        <v>#REF!</v>
      </c>
      <c r="DI373" t="e">
        <f>IF(#REF!,"AAAAAF/+8XA=",0)</f>
        <v>#REF!</v>
      </c>
      <c r="DJ373" t="e">
        <f>AND(#REF!,"AAAAAF/+8XE=")</f>
        <v>#REF!</v>
      </c>
      <c r="DK373" t="e">
        <f>AND(#REF!,"AAAAAF/+8XI=")</f>
        <v>#REF!</v>
      </c>
      <c r="DL373" t="e">
        <f>AND(#REF!,"AAAAAF/+8XM=")</f>
        <v>#REF!</v>
      </c>
      <c r="DM373" t="e">
        <f>AND(#REF!,"AAAAAF/+8XQ=")</f>
        <v>#REF!</v>
      </c>
      <c r="DN373" t="e">
        <f>AND(#REF!,"AAAAAF/+8XU=")</f>
        <v>#REF!</v>
      </c>
      <c r="DO373" t="e">
        <f>AND(#REF!,"AAAAAF/+8XY=")</f>
        <v>#REF!</v>
      </c>
      <c r="DP373" t="e">
        <f>AND(#REF!,"AAAAAF/+8Xc=")</f>
        <v>#REF!</v>
      </c>
      <c r="DQ373" t="e">
        <f>AND(#REF!,"AAAAAF/+8Xg=")</f>
        <v>#REF!</v>
      </c>
      <c r="DR373" t="e">
        <f>AND(#REF!,"AAAAAF/+8Xk=")</f>
        <v>#REF!</v>
      </c>
      <c r="DS373" t="e">
        <f>AND(#REF!,"AAAAAF/+8Xo=")</f>
        <v>#REF!</v>
      </c>
      <c r="DT373" t="e">
        <f>IF(#REF!,"AAAAAF/+8Xs=",0)</f>
        <v>#REF!</v>
      </c>
      <c r="DU373" t="e">
        <f>AND(#REF!,"AAAAAF/+8Xw=")</f>
        <v>#REF!</v>
      </c>
      <c r="DV373" t="e">
        <f>AND(#REF!,"AAAAAF/+8X0=")</f>
        <v>#REF!</v>
      </c>
      <c r="DW373" t="e">
        <f>AND(#REF!,"AAAAAF/+8X4=")</f>
        <v>#REF!</v>
      </c>
      <c r="DX373" t="e">
        <f>AND(#REF!,"AAAAAF/+8X8=")</f>
        <v>#REF!</v>
      </c>
      <c r="DY373" t="e">
        <f>AND(#REF!,"AAAAAF/+8YA=")</f>
        <v>#REF!</v>
      </c>
      <c r="DZ373" t="e">
        <f>AND(#REF!,"AAAAAF/+8YE=")</f>
        <v>#REF!</v>
      </c>
      <c r="EA373" t="e">
        <f>AND(#REF!,"AAAAAF/+8YI=")</f>
        <v>#REF!</v>
      </c>
      <c r="EB373" t="e">
        <f>AND(#REF!,"AAAAAF/+8YM=")</f>
        <v>#REF!</v>
      </c>
      <c r="EC373" t="e">
        <f>AND(#REF!,"AAAAAF/+8YQ=")</f>
        <v>#REF!</v>
      </c>
      <c r="ED373" t="e">
        <f>AND(#REF!,"AAAAAF/+8YU=")</f>
        <v>#REF!</v>
      </c>
      <c r="EE373" t="e">
        <f>IF(#REF!,"AAAAAF/+8YY=",0)</f>
        <v>#REF!</v>
      </c>
      <c r="EF373" t="e">
        <f>AND(#REF!,"AAAAAF/+8Yc=")</f>
        <v>#REF!</v>
      </c>
      <c r="EG373" t="e">
        <f>AND(#REF!,"AAAAAF/+8Yg=")</f>
        <v>#REF!</v>
      </c>
      <c r="EH373" t="e">
        <f>AND(#REF!,"AAAAAF/+8Yk=")</f>
        <v>#REF!</v>
      </c>
      <c r="EI373" t="e">
        <f>AND(#REF!,"AAAAAF/+8Yo=")</f>
        <v>#REF!</v>
      </c>
      <c r="EJ373" t="e">
        <f>AND(#REF!,"AAAAAF/+8Ys=")</f>
        <v>#REF!</v>
      </c>
      <c r="EK373" t="e">
        <f>AND(#REF!,"AAAAAF/+8Yw=")</f>
        <v>#REF!</v>
      </c>
      <c r="EL373" t="e">
        <f>AND(#REF!,"AAAAAF/+8Y0=")</f>
        <v>#REF!</v>
      </c>
      <c r="EM373" t="e">
        <f>AND(#REF!,"AAAAAF/+8Y4=")</f>
        <v>#REF!</v>
      </c>
      <c r="EN373" t="e">
        <f>AND(#REF!,"AAAAAF/+8Y8=")</f>
        <v>#REF!</v>
      </c>
      <c r="EO373" t="e">
        <f>AND(#REF!,"AAAAAF/+8ZA=")</f>
        <v>#REF!</v>
      </c>
      <c r="EP373" t="e">
        <f>IF(#REF!,"AAAAAF/+8ZE=",0)</f>
        <v>#REF!</v>
      </c>
      <c r="EQ373" t="e">
        <f>AND(#REF!,"AAAAAF/+8ZI=")</f>
        <v>#REF!</v>
      </c>
      <c r="ER373" t="e">
        <f>AND(#REF!,"AAAAAF/+8ZM=")</f>
        <v>#REF!</v>
      </c>
      <c r="ES373" t="e">
        <f>AND(#REF!,"AAAAAF/+8ZQ=")</f>
        <v>#REF!</v>
      </c>
      <c r="ET373" t="e">
        <f>AND(#REF!,"AAAAAF/+8ZU=")</f>
        <v>#REF!</v>
      </c>
      <c r="EU373" t="e">
        <f>AND(#REF!,"AAAAAF/+8ZY=")</f>
        <v>#REF!</v>
      </c>
      <c r="EV373" t="e">
        <f>AND(#REF!,"AAAAAF/+8Zc=")</f>
        <v>#REF!</v>
      </c>
      <c r="EW373" t="e">
        <f>AND(#REF!,"AAAAAF/+8Zg=")</f>
        <v>#REF!</v>
      </c>
      <c r="EX373" t="e">
        <f>AND(#REF!,"AAAAAF/+8Zk=")</f>
        <v>#REF!</v>
      </c>
      <c r="EY373" t="e">
        <f>AND(#REF!,"AAAAAF/+8Zo=")</f>
        <v>#REF!</v>
      </c>
      <c r="EZ373" t="e">
        <f>AND(#REF!,"AAAAAF/+8Zs=")</f>
        <v>#REF!</v>
      </c>
      <c r="FA373" t="e">
        <f>IF(#REF!,"AAAAAF/+8Zw=",0)</f>
        <v>#REF!</v>
      </c>
      <c r="FB373" t="e">
        <f>AND(#REF!,"AAAAAF/+8Z0=")</f>
        <v>#REF!</v>
      </c>
      <c r="FC373" t="e">
        <f>AND(#REF!,"AAAAAF/+8Z4=")</f>
        <v>#REF!</v>
      </c>
      <c r="FD373" t="e">
        <f>AND(#REF!,"AAAAAF/+8Z8=")</f>
        <v>#REF!</v>
      </c>
      <c r="FE373" t="e">
        <f>AND(#REF!,"AAAAAF/+8aA=")</f>
        <v>#REF!</v>
      </c>
      <c r="FF373" t="e">
        <f>AND(#REF!,"AAAAAF/+8aE=")</f>
        <v>#REF!</v>
      </c>
      <c r="FG373" t="e">
        <f>AND(#REF!,"AAAAAF/+8aI=")</f>
        <v>#REF!</v>
      </c>
      <c r="FH373" t="e">
        <f>AND(#REF!,"AAAAAF/+8aM=")</f>
        <v>#REF!</v>
      </c>
      <c r="FI373" t="e">
        <f>AND(#REF!,"AAAAAF/+8aQ=")</f>
        <v>#REF!</v>
      </c>
      <c r="FJ373" t="e">
        <f>AND(#REF!,"AAAAAF/+8aU=")</f>
        <v>#REF!</v>
      </c>
      <c r="FK373" t="e">
        <f>AND(#REF!,"AAAAAF/+8aY=")</f>
        <v>#REF!</v>
      </c>
      <c r="FL373" t="e">
        <f>IF(#REF!,"AAAAAF/+8ac=",0)</f>
        <v>#REF!</v>
      </c>
      <c r="FM373" t="e">
        <f>AND(#REF!,"AAAAAF/+8ag=")</f>
        <v>#REF!</v>
      </c>
      <c r="FN373" t="e">
        <f>AND(#REF!,"AAAAAF/+8ak=")</f>
        <v>#REF!</v>
      </c>
      <c r="FO373" t="e">
        <f>AND(#REF!,"AAAAAF/+8ao=")</f>
        <v>#REF!</v>
      </c>
      <c r="FP373" t="e">
        <f>AND(#REF!,"AAAAAF/+8as=")</f>
        <v>#REF!</v>
      </c>
      <c r="FQ373" t="e">
        <f>AND(#REF!,"AAAAAF/+8aw=")</f>
        <v>#REF!</v>
      </c>
      <c r="FR373" t="e">
        <f>AND(#REF!,"AAAAAF/+8a0=")</f>
        <v>#REF!</v>
      </c>
      <c r="FS373" t="e">
        <f>AND(#REF!,"AAAAAF/+8a4=")</f>
        <v>#REF!</v>
      </c>
      <c r="FT373" t="e">
        <f>AND(#REF!,"AAAAAF/+8a8=")</f>
        <v>#REF!</v>
      </c>
      <c r="FU373" t="e">
        <f>AND(#REF!,"AAAAAF/+8bA=")</f>
        <v>#REF!</v>
      </c>
      <c r="FV373" t="e">
        <f>AND(#REF!,"AAAAAF/+8bE=")</f>
        <v>#REF!</v>
      </c>
      <c r="FW373" t="e">
        <f>IF(#REF!,"AAAAAF/+8bI=",0)</f>
        <v>#REF!</v>
      </c>
      <c r="FX373" t="e">
        <f>AND(#REF!,"AAAAAF/+8bM=")</f>
        <v>#REF!</v>
      </c>
      <c r="FY373" t="e">
        <f>AND(#REF!,"AAAAAF/+8bQ=")</f>
        <v>#REF!</v>
      </c>
      <c r="FZ373" t="e">
        <f>AND(#REF!,"AAAAAF/+8bU=")</f>
        <v>#REF!</v>
      </c>
      <c r="GA373" t="e">
        <f>AND(#REF!,"AAAAAF/+8bY=")</f>
        <v>#REF!</v>
      </c>
      <c r="GB373" t="e">
        <f>AND(#REF!,"AAAAAF/+8bc=")</f>
        <v>#REF!</v>
      </c>
      <c r="GC373" t="e">
        <f>AND(#REF!,"AAAAAF/+8bg=")</f>
        <v>#REF!</v>
      </c>
      <c r="GD373" t="e">
        <f>AND(#REF!,"AAAAAF/+8bk=")</f>
        <v>#REF!</v>
      </c>
      <c r="GE373" t="e">
        <f>AND(#REF!,"AAAAAF/+8bo=")</f>
        <v>#REF!</v>
      </c>
      <c r="GF373" t="e">
        <f>AND(#REF!,"AAAAAF/+8bs=")</f>
        <v>#REF!</v>
      </c>
      <c r="GG373" t="e">
        <f>AND(#REF!,"AAAAAF/+8bw=")</f>
        <v>#REF!</v>
      </c>
      <c r="GH373" t="e">
        <f>IF(#REF!,"AAAAAF/+8b0=",0)</f>
        <v>#REF!</v>
      </c>
      <c r="GI373" t="e">
        <f>AND(#REF!,"AAAAAF/+8b4=")</f>
        <v>#REF!</v>
      </c>
      <c r="GJ373" t="e">
        <f>AND(#REF!,"AAAAAF/+8b8=")</f>
        <v>#REF!</v>
      </c>
      <c r="GK373" t="e">
        <f>AND(#REF!,"AAAAAF/+8cA=")</f>
        <v>#REF!</v>
      </c>
      <c r="GL373" t="e">
        <f>AND(#REF!,"AAAAAF/+8cE=")</f>
        <v>#REF!</v>
      </c>
      <c r="GM373" t="e">
        <f>AND(#REF!,"AAAAAF/+8cI=")</f>
        <v>#REF!</v>
      </c>
      <c r="GN373" t="e">
        <f>AND(#REF!,"AAAAAF/+8cM=")</f>
        <v>#REF!</v>
      </c>
      <c r="GO373" t="e">
        <f>AND(#REF!,"AAAAAF/+8cQ=")</f>
        <v>#REF!</v>
      </c>
      <c r="GP373" t="e">
        <f>AND(#REF!,"AAAAAF/+8cU=")</f>
        <v>#REF!</v>
      </c>
      <c r="GQ373" t="e">
        <f>AND(#REF!,"AAAAAF/+8cY=")</f>
        <v>#REF!</v>
      </c>
      <c r="GR373" t="e">
        <f>AND(#REF!,"AAAAAF/+8cc=")</f>
        <v>#REF!</v>
      </c>
      <c r="GS373" t="e">
        <f>IF(#REF!,"AAAAAF/+8cg=",0)</f>
        <v>#REF!</v>
      </c>
      <c r="GT373" t="e">
        <f>AND(#REF!,"AAAAAF/+8ck=")</f>
        <v>#REF!</v>
      </c>
      <c r="GU373" t="e">
        <f>AND(#REF!,"AAAAAF/+8co=")</f>
        <v>#REF!</v>
      </c>
      <c r="GV373" t="e">
        <f>AND(#REF!,"AAAAAF/+8cs=")</f>
        <v>#REF!</v>
      </c>
      <c r="GW373" t="e">
        <f>AND(#REF!,"AAAAAF/+8cw=")</f>
        <v>#REF!</v>
      </c>
      <c r="GX373" t="e">
        <f>AND(#REF!,"AAAAAF/+8c0=")</f>
        <v>#REF!</v>
      </c>
      <c r="GY373" t="e">
        <f>AND(#REF!,"AAAAAF/+8c4=")</f>
        <v>#REF!</v>
      </c>
      <c r="GZ373" t="e">
        <f>AND(#REF!,"AAAAAF/+8c8=")</f>
        <v>#REF!</v>
      </c>
      <c r="HA373" t="e">
        <f>AND(#REF!,"AAAAAF/+8dA=")</f>
        <v>#REF!</v>
      </c>
      <c r="HB373" t="e">
        <f>AND(#REF!,"AAAAAF/+8dE=")</f>
        <v>#REF!</v>
      </c>
      <c r="HC373" t="e">
        <f>AND(#REF!,"AAAAAF/+8dI=")</f>
        <v>#REF!</v>
      </c>
      <c r="HD373" t="e">
        <f>IF(#REF!,"AAAAAF/+8dM=",0)</f>
        <v>#REF!</v>
      </c>
      <c r="HE373" t="e">
        <f>AND(#REF!,"AAAAAF/+8dQ=")</f>
        <v>#REF!</v>
      </c>
      <c r="HF373" t="e">
        <f>AND(#REF!,"AAAAAF/+8dU=")</f>
        <v>#REF!</v>
      </c>
      <c r="HG373" t="e">
        <f>AND(#REF!,"AAAAAF/+8dY=")</f>
        <v>#REF!</v>
      </c>
      <c r="HH373" t="e">
        <f>AND(#REF!,"AAAAAF/+8dc=")</f>
        <v>#REF!</v>
      </c>
      <c r="HI373" t="e">
        <f>AND(#REF!,"AAAAAF/+8dg=")</f>
        <v>#REF!</v>
      </c>
      <c r="HJ373" t="e">
        <f>AND(#REF!,"AAAAAF/+8dk=")</f>
        <v>#REF!</v>
      </c>
      <c r="HK373" t="e">
        <f>AND(#REF!,"AAAAAF/+8do=")</f>
        <v>#REF!</v>
      </c>
      <c r="HL373" t="e">
        <f>AND(#REF!,"AAAAAF/+8ds=")</f>
        <v>#REF!</v>
      </c>
      <c r="HM373" t="e">
        <f>AND(#REF!,"AAAAAF/+8dw=")</f>
        <v>#REF!</v>
      </c>
      <c r="HN373" t="e">
        <f>AND(#REF!,"AAAAAF/+8d0=")</f>
        <v>#REF!</v>
      </c>
      <c r="HO373" t="e">
        <f>IF(#REF!,"AAAAAF/+8d4=",0)</f>
        <v>#REF!</v>
      </c>
      <c r="HP373" t="e">
        <f>AND(#REF!,"AAAAAF/+8d8=")</f>
        <v>#REF!</v>
      </c>
      <c r="HQ373" t="e">
        <f>AND(#REF!,"AAAAAF/+8eA=")</f>
        <v>#REF!</v>
      </c>
      <c r="HR373" t="e">
        <f>AND(#REF!,"AAAAAF/+8eE=")</f>
        <v>#REF!</v>
      </c>
      <c r="HS373" t="e">
        <f>AND(#REF!,"AAAAAF/+8eI=")</f>
        <v>#REF!</v>
      </c>
      <c r="HT373" t="e">
        <f>AND(#REF!,"AAAAAF/+8eM=")</f>
        <v>#REF!</v>
      </c>
      <c r="HU373" t="e">
        <f>AND(#REF!,"AAAAAF/+8eQ=")</f>
        <v>#REF!</v>
      </c>
      <c r="HV373" t="e">
        <f>AND(#REF!,"AAAAAF/+8eU=")</f>
        <v>#REF!</v>
      </c>
      <c r="HW373" t="e">
        <f>AND(#REF!,"AAAAAF/+8eY=")</f>
        <v>#REF!</v>
      </c>
      <c r="HX373" t="e">
        <f>AND(#REF!,"AAAAAF/+8ec=")</f>
        <v>#REF!</v>
      </c>
      <c r="HY373" t="e">
        <f>AND(#REF!,"AAAAAF/+8eg=")</f>
        <v>#REF!</v>
      </c>
      <c r="HZ373" t="e">
        <f>IF(#REF!,"AAAAAF/+8ek=",0)</f>
        <v>#REF!</v>
      </c>
      <c r="IA373" t="e">
        <f>AND(#REF!,"AAAAAF/+8eo=")</f>
        <v>#REF!</v>
      </c>
      <c r="IB373" t="e">
        <f>AND(#REF!,"AAAAAF/+8es=")</f>
        <v>#REF!</v>
      </c>
      <c r="IC373" t="e">
        <f>AND(#REF!,"AAAAAF/+8ew=")</f>
        <v>#REF!</v>
      </c>
      <c r="ID373" t="e">
        <f>AND(#REF!,"AAAAAF/+8e0=")</f>
        <v>#REF!</v>
      </c>
      <c r="IE373" t="e">
        <f>AND(#REF!,"AAAAAF/+8e4=")</f>
        <v>#REF!</v>
      </c>
      <c r="IF373" t="e">
        <f>AND(#REF!,"AAAAAF/+8e8=")</f>
        <v>#REF!</v>
      </c>
      <c r="IG373" t="e">
        <f>AND(#REF!,"AAAAAF/+8fA=")</f>
        <v>#REF!</v>
      </c>
      <c r="IH373" t="e">
        <f>AND(#REF!,"AAAAAF/+8fE=")</f>
        <v>#REF!</v>
      </c>
      <c r="II373" t="e">
        <f>AND(#REF!,"AAAAAF/+8fI=")</f>
        <v>#REF!</v>
      </c>
      <c r="IJ373" t="e">
        <f>AND(#REF!,"AAAAAF/+8fM=")</f>
        <v>#REF!</v>
      </c>
      <c r="IK373" t="e">
        <f>IF(#REF!,"AAAAAF/+8fQ=",0)</f>
        <v>#REF!</v>
      </c>
      <c r="IL373" t="e">
        <f>AND(#REF!,"AAAAAF/+8fU=")</f>
        <v>#REF!</v>
      </c>
      <c r="IM373" t="e">
        <f>AND(#REF!,"AAAAAF/+8fY=")</f>
        <v>#REF!</v>
      </c>
      <c r="IN373" t="e">
        <f>AND(#REF!,"AAAAAF/+8fc=")</f>
        <v>#REF!</v>
      </c>
      <c r="IO373" t="e">
        <f>AND(#REF!,"AAAAAF/+8fg=")</f>
        <v>#REF!</v>
      </c>
      <c r="IP373" t="e">
        <f>AND(#REF!,"AAAAAF/+8fk=")</f>
        <v>#REF!</v>
      </c>
      <c r="IQ373" t="e">
        <f>AND(#REF!,"AAAAAF/+8fo=")</f>
        <v>#REF!</v>
      </c>
      <c r="IR373" t="e">
        <f>AND(#REF!,"AAAAAF/+8fs=")</f>
        <v>#REF!</v>
      </c>
      <c r="IS373" t="e">
        <f>AND(#REF!,"AAAAAF/+8fw=")</f>
        <v>#REF!</v>
      </c>
      <c r="IT373" t="e">
        <f>AND(#REF!,"AAAAAF/+8f0=")</f>
        <v>#REF!</v>
      </c>
      <c r="IU373" t="e">
        <f>AND(#REF!,"AAAAAF/+8f4=")</f>
        <v>#REF!</v>
      </c>
      <c r="IV373" t="e">
        <f>IF(#REF!,"AAAAAF/+8f8=",0)</f>
        <v>#REF!</v>
      </c>
    </row>
    <row r="374" spans="1:256" x14ac:dyDescent="0.25">
      <c r="A374" t="e">
        <f>AND(#REF!,"AAAAAFt8PwA=")</f>
        <v>#REF!</v>
      </c>
      <c r="B374" t="e">
        <f>AND(#REF!,"AAAAAFt8PwE=")</f>
        <v>#REF!</v>
      </c>
      <c r="C374" t="e">
        <f>AND(#REF!,"AAAAAFt8PwI=")</f>
        <v>#REF!</v>
      </c>
      <c r="D374" t="e">
        <f>AND(#REF!,"AAAAAFt8PwM=")</f>
        <v>#REF!</v>
      </c>
      <c r="E374" t="e">
        <f>AND(#REF!,"AAAAAFt8PwQ=")</f>
        <v>#REF!</v>
      </c>
      <c r="F374" t="e">
        <f>AND(#REF!,"AAAAAFt8PwU=")</f>
        <v>#REF!</v>
      </c>
      <c r="G374" t="e">
        <f>AND(#REF!,"AAAAAFt8PwY=")</f>
        <v>#REF!</v>
      </c>
      <c r="H374" t="e">
        <f>AND(#REF!,"AAAAAFt8Pwc=")</f>
        <v>#REF!</v>
      </c>
      <c r="I374" t="e">
        <f>AND(#REF!,"AAAAAFt8Pwg=")</f>
        <v>#REF!</v>
      </c>
      <c r="J374" t="e">
        <f>AND(#REF!,"AAAAAFt8Pwk=")</f>
        <v>#REF!</v>
      </c>
      <c r="K374" t="e">
        <f>IF(#REF!,"AAAAAFt8Pwo=",0)</f>
        <v>#REF!</v>
      </c>
      <c r="L374" t="e">
        <f>AND(#REF!,"AAAAAFt8Pws=")</f>
        <v>#REF!</v>
      </c>
      <c r="M374" t="e">
        <f>AND(#REF!,"AAAAAFt8Pww=")</f>
        <v>#REF!</v>
      </c>
      <c r="N374" t="e">
        <f>AND(#REF!,"AAAAAFt8Pw0=")</f>
        <v>#REF!</v>
      </c>
      <c r="O374" t="e">
        <f>AND(#REF!,"AAAAAFt8Pw4=")</f>
        <v>#REF!</v>
      </c>
      <c r="P374" t="e">
        <f>AND(#REF!,"AAAAAFt8Pw8=")</f>
        <v>#REF!</v>
      </c>
      <c r="Q374" t="e">
        <f>AND(#REF!,"AAAAAFt8PxA=")</f>
        <v>#REF!</v>
      </c>
      <c r="R374" t="e">
        <f>AND(#REF!,"AAAAAFt8PxE=")</f>
        <v>#REF!</v>
      </c>
      <c r="S374" t="e">
        <f>AND(#REF!,"AAAAAFt8PxI=")</f>
        <v>#REF!</v>
      </c>
      <c r="T374" t="e">
        <f>AND(#REF!,"AAAAAFt8PxM=")</f>
        <v>#REF!</v>
      </c>
      <c r="U374" t="e">
        <f>AND(#REF!,"AAAAAFt8PxQ=")</f>
        <v>#REF!</v>
      </c>
      <c r="V374" t="e">
        <f>IF(#REF!,"AAAAAFt8PxU=",0)</f>
        <v>#REF!</v>
      </c>
      <c r="W374" t="e">
        <f>AND(#REF!,"AAAAAFt8PxY=")</f>
        <v>#REF!</v>
      </c>
      <c r="X374" t="e">
        <f>AND(#REF!,"AAAAAFt8Pxc=")</f>
        <v>#REF!</v>
      </c>
      <c r="Y374" t="e">
        <f>AND(#REF!,"AAAAAFt8Pxg=")</f>
        <v>#REF!</v>
      </c>
      <c r="Z374" t="e">
        <f>AND(#REF!,"AAAAAFt8Pxk=")</f>
        <v>#REF!</v>
      </c>
      <c r="AA374" t="e">
        <f>AND(#REF!,"AAAAAFt8Pxo=")</f>
        <v>#REF!</v>
      </c>
      <c r="AB374" t="e">
        <f>AND(#REF!,"AAAAAFt8Pxs=")</f>
        <v>#REF!</v>
      </c>
      <c r="AC374" t="e">
        <f>AND(#REF!,"AAAAAFt8Pxw=")</f>
        <v>#REF!</v>
      </c>
      <c r="AD374" t="e">
        <f>AND(#REF!,"AAAAAFt8Px0=")</f>
        <v>#REF!</v>
      </c>
      <c r="AE374" t="e">
        <f>AND(#REF!,"AAAAAFt8Px4=")</f>
        <v>#REF!</v>
      </c>
      <c r="AF374" t="e">
        <f>AND(#REF!,"AAAAAFt8Px8=")</f>
        <v>#REF!</v>
      </c>
      <c r="AG374" t="e">
        <f>IF(#REF!,"AAAAAFt8PyA=",0)</f>
        <v>#REF!</v>
      </c>
      <c r="AH374" t="e">
        <f>AND(#REF!,"AAAAAFt8PyE=")</f>
        <v>#REF!</v>
      </c>
      <c r="AI374" t="e">
        <f>AND(#REF!,"AAAAAFt8PyI=")</f>
        <v>#REF!</v>
      </c>
      <c r="AJ374" t="e">
        <f>AND(#REF!,"AAAAAFt8PyM=")</f>
        <v>#REF!</v>
      </c>
      <c r="AK374" t="e">
        <f>AND(#REF!,"AAAAAFt8PyQ=")</f>
        <v>#REF!</v>
      </c>
      <c r="AL374" t="e">
        <f>AND(#REF!,"AAAAAFt8PyU=")</f>
        <v>#REF!</v>
      </c>
      <c r="AM374" t="e">
        <f>AND(#REF!,"AAAAAFt8PyY=")</f>
        <v>#REF!</v>
      </c>
      <c r="AN374" t="e">
        <f>AND(#REF!,"AAAAAFt8Pyc=")</f>
        <v>#REF!</v>
      </c>
      <c r="AO374" t="e">
        <f>AND(#REF!,"AAAAAFt8Pyg=")</f>
        <v>#REF!</v>
      </c>
      <c r="AP374" t="e">
        <f>AND(#REF!,"AAAAAFt8Pyk=")</f>
        <v>#REF!</v>
      </c>
      <c r="AQ374" t="e">
        <f>AND(#REF!,"AAAAAFt8Pyo=")</f>
        <v>#REF!</v>
      </c>
      <c r="AR374" t="e">
        <f>IF(#REF!,"AAAAAFt8Pys=",0)</f>
        <v>#REF!</v>
      </c>
      <c r="AS374" t="e">
        <f>AND(#REF!,"AAAAAFt8Pyw=")</f>
        <v>#REF!</v>
      </c>
      <c r="AT374" t="e">
        <f>AND(#REF!,"AAAAAFt8Py0=")</f>
        <v>#REF!</v>
      </c>
      <c r="AU374" t="e">
        <f>AND(#REF!,"AAAAAFt8Py4=")</f>
        <v>#REF!</v>
      </c>
      <c r="AV374" t="e">
        <f>AND(#REF!,"AAAAAFt8Py8=")</f>
        <v>#REF!</v>
      </c>
      <c r="AW374" t="e">
        <f>AND(#REF!,"AAAAAFt8PzA=")</f>
        <v>#REF!</v>
      </c>
      <c r="AX374" t="e">
        <f>AND(#REF!,"AAAAAFt8PzE=")</f>
        <v>#REF!</v>
      </c>
      <c r="AY374" t="e">
        <f>AND(#REF!,"AAAAAFt8PzI=")</f>
        <v>#REF!</v>
      </c>
      <c r="AZ374" t="e">
        <f>AND(#REF!,"AAAAAFt8PzM=")</f>
        <v>#REF!</v>
      </c>
      <c r="BA374" t="e">
        <f>AND(#REF!,"AAAAAFt8PzQ=")</f>
        <v>#REF!</v>
      </c>
      <c r="BB374" t="e">
        <f>AND(#REF!,"AAAAAFt8PzU=")</f>
        <v>#REF!</v>
      </c>
      <c r="BC374" t="e">
        <f>IF(#REF!,"AAAAAFt8PzY=",0)</f>
        <v>#REF!</v>
      </c>
      <c r="BD374" t="e">
        <f>AND(#REF!,"AAAAAFt8Pzc=")</f>
        <v>#REF!</v>
      </c>
      <c r="BE374" t="e">
        <f>AND(#REF!,"AAAAAFt8Pzg=")</f>
        <v>#REF!</v>
      </c>
      <c r="BF374" t="e">
        <f>AND(#REF!,"AAAAAFt8Pzk=")</f>
        <v>#REF!</v>
      </c>
      <c r="BG374" t="e">
        <f>AND(#REF!,"AAAAAFt8Pzo=")</f>
        <v>#REF!</v>
      </c>
      <c r="BH374" t="e">
        <f>AND(#REF!,"AAAAAFt8Pzs=")</f>
        <v>#REF!</v>
      </c>
      <c r="BI374" t="e">
        <f>AND(#REF!,"AAAAAFt8Pzw=")</f>
        <v>#REF!</v>
      </c>
      <c r="BJ374" t="e">
        <f>AND(#REF!,"AAAAAFt8Pz0=")</f>
        <v>#REF!</v>
      </c>
      <c r="BK374" t="e">
        <f>AND(#REF!,"AAAAAFt8Pz4=")</f>
        <v>#REF!</v>
      </c>
      <c r="BL374" t="e">
        <f>AND(#REF!,"AAAAAFt8Pz8=")</f>
        <v>#REF!</v>
      </c>
      <c r="BM374" t="e">
        <f>AND(#REF!,"AAAAAFt8P0A=")</f>
        <v>#REF!</v>
      </c>
      <c r="BN374" t="e">
        <f>IF(#REF!,"AAAAAFt8P0E=",0)</f>
        <v>#REF!</v>
      </c>
      <c r="BO374" t="e">
        <f>AND(#REF!,"AAAAAFt8P0I=")</f>
        <v>#REF!</v>
      </c>
      <c r="BP374" t="e">
        <f>AND(#REF!,"AAAAAFt8P0M=")</f>
        <v>#REF!</v>
      </c>
      <c r="BQ374" t="e">
        <f>AND(#REF!,"AAAAAFt8P0Q=")</f>
        <v>#REF!</v>
      </c>
      <c r="BR374" t="e">
        <f>AND(#REF!,"AAAAAFt8P0U=")</f>
        <v>#REF!</v>
      </c>
      <c r="BS374" t="e">
        <f>AND(#REF!,"AAAAAFt8P0Y=")</f>
        <v>#REF!</v>
      </c>
      <c r="BT374" t="e">
        <f>AND(#REF!,"AAAAAFt8P0c=")</f>
        <v>#REF!</v>
      </c>
      <c r="BU374" t="e">
        <f>AND(#REF!,"AAAAAFt8P0g=")</f>
        <v>#REF!</v>
      </c>
      <c r="BV374" t="e">
        <f>AND(#REF!,"AAAAAFt8P0k=")</f>
        <v>#REF!</v>
      </c>
      <c r="BW374" t="e">
        <f>AND(#REF!,"AAAAAFt8P0o=")</f>
        <v>#REF!</v>
      </c>
      <c r="BX374" t="e">
        <f>AND(#REF!,"AAAAAFt8P0s=")</f>
        <v>#REF!</v>
      </c>
      <c r="BY374" t="e">
        <f>IF(#REF!,"AAAAAFt8P0w=",0)</f>
        <v>#REF!</v>
      </c>
      <c r="BZ374" t="e">
        <f>AND(#REF!,"AAAAAFt8P00=")</f>
        <v>#REF!</v>
      </c>
      <c r="CA374" t="e">
        <f>AND(#REF!,"AAAAAFt8P04=")</f>
        <v>#REF!</v>
      </c>
      <c r="CB374" t="e">
        <f>AND(#REF!,"AAAAAFt8P08=")</f>
        <v>#REF!</v>
      </c>
      <c r="CC374" t="e">
        <f>AND(#REF!,"AAAAAFt8P1A=")</f>
        <v>#REF!</v>
      </c>
      <c r="CD374" t="e">
        <f>AND(#REF!,"AAAAAFt8P1E=")</f>
        <v>#REF!</v>
      </c>
      <c r="CE374" t="e">
        <f>AND(#REF!,"AAAAAFt8P1I=")</f>
        <v>#REF!</v>
      </c>
      <c r="CF374" t="e">
        <f>AND(#REF!,"AAAAAFt8P1M=")</f>
        <v>#REF!</v>
      </c>
      <c r="CG374" t="e">
        <f>AND(#REF!,"AAAAAFt8P1Q=")</f>
        <v>#REF!</v>
      </c>
      <c r="CH374" t="e">
        <f>AND(#REF!,"AAAAAFt8P1U=")</f>
        <v>#REF!</v>
      </c>
      <c r="CI374" t="e">
        <f>AND(#REF!,"AAAAAFt8P1Y=")</f>
        <v>#REF!</v>
      </c>
      <c r="CJ374" t="e">
        <f>IF(#REF!,"AAAAAFt8P1c=",0)</f>
        <v>#REF!</v>
      </c>
      <c r="CK374" t="e">
        <f>AND(#REF!,"AAAAAFt8P1g=")</f>
        <v>#REF!</v>
      </c>
      <c r="CL374" t="e">
        <f>AND(#REF!,"AAAAAFt8P1k=")</f>
        <v>#REF!</v>
      </c>
      <c r="CM374" t="e">
        <f>AND(#REF!,"AAAAAFt8P1o=")</f>
        <v>#REF!</v>
      </c>
      <c r="CN374" t="e">
        <f>AND(#REF!,"AAAAAFt8P1s=")</f>
        <v>#REF!</v>
      </c>
      <c r="CO374" t="e">
        <f>AND(#REF!,"AAAAAFt8P1w=")</f>
        <v>#REF!</v>
      </c>
      <c r="CP374" t="e">
        <f>AND(#REF!,"AAAAAFt8P10=")</f>
        <v>#REF!</v>
      </c>
      <c r="CQ374" t="e">
        <f>AND(#REF!,"AAAAAFt8P14=")</f>
        <v>#REF!</v>
      </c>
      <c r="CR374" t="e">
        <f>AND(#REF!,"AAAAAFt8P18=")</f>
        <v>#REF!</v>
      </c>
      <c r="CS374" t="e">
        <f>AND(#REF!,"AAAAAFt8P2A=")</f>
        <v>#REF!</v>
      </c>
      <c r="CT374" t="e">
        <f>AND(#REF!,"AAAAAFt8P2E=")</f>
        <v>#REF!</v>
      </c>
      <c r="CU374" t="e">
        <f>IF(#REF!,"AAAAAFt8P2I=",0)</f>
        <v>#REF!</v>
      </c>
      <c r="CV374" t="e">
        <f>AND(#REF!,"AAAAAFt8P2M=")</f>
        <v>#REF!</v>
      </c>
      <c r="CW374" t="e">
        <f>AND(#REF!,"AAAAAFt8P2Q=")</f>
        <v>#REF!</v>
      </c>
      <c r="CX374" t="e">
        <f>AND(#REF!,"AAAAAFt8P2U=")</f>
        <v>#REF!</v>
      </c>
      <c r="CY374" t="e">
        <f>AND(#REF!,"AAAAAFt8P2Y=")</f>
        <v>#REF!</v>
      </c>
      <c r="CZ374" t="e">
        <f>AND(#REF!,"AAAAAFt8P2c=")</f>
        <v>#REF!</v>
      </c>
      <c r="DA374" t="e">
        <f>AND(#REF!,"AAAAAFt8P2g=")</f>
        <v>#REF!</v>
      </c>
      <c r="DB374" t="e">
        <f>AND(#REF!,"AAAAAFt8P2k=")</f>
        <v>#REF!</v>
      </c>
      <c r="DC374" t="e">
        <f>AND(#REF!,"AAAAAFt8P2o=")</f>
        <v>#REF!</v>
      </c>
      <c r="DD374" t="e">
        <f>AND(#REF!,"AAAAAFt8P2s=")</f>
        <v>#REF!</v>
      </c>
      <c r="DE374" t="e">
        <f>AND(#REF!,"AAAAAFt8P2w=")</f>
        <v>#REF!</v>
      </c>
      <c r="DF374" t="e">
        <f>IF(#REF!,"AAAAAFt8P20=",0)</f>
        <v>#REF!</v>
      </c>
      <c r="DG374" t="e">
        <f>AND(#REF!,"AAAAAFt8P24=")</f>
        <v>#REF!</v>
      </c>
      <c r="DH374" t="e">
        <f>AND(#REF!,"AAAAAFt8P28=")</f>
        <v>#REF!</v>
      </c>
      <c r="DI374" t="e">
        <f>AND(#REF!,"AAAAAFt8P3A=")</f>
        <v>#REF!</v>
      </c>
      <c r="DJ374" t="e">
        <f>AND(#REF!,"AAAAAFt8P3E=")</f>
        <v>#REF!</v>
      </c>
      <c r="DK374" t="e">
        <f>AND(#REF!,"AAAAAFt8P3I=")</f>
        <v>#REF!</v>
      </c>
      <c r="DL374" t="e">
        <f>AND(#REF!,"AAAAAFt8P3M=")</f>
        <v>#REF!</v>
      </c>
      <c r="DM374" t="e">
        <f>AND(#REF!,"AAAAAFt8P3Q=")</f>
        <v>#REF!</v>
      </c>
      <c r="DN374" t="e">
        <f>AND(#REF!,"AAAAAFt8P3U=")</f>
        <v>#REF!</v>
      </c>
      <c r="DO374" t="e">
        <f>AND(#REF!,"AAAAAFt8P3Y=")</f>
        <v>#REF!</v>
      </c>
      <c r="DP374" t="e">
        <f>AND(#REF!,"AAAAAFt8P3c=")</f>
        <v>#REF!</v>
      </c>
      <c r="DQ374" t="e">
        <f>IF(#REF!,"AAAAAFt8P3g=",0)</f>
        <v>#REF!</v>
      </c>
      <c r="DR374" t="e">
        <f>AND(#REF!,"AAAAAFt8P3k=")</f>
        <v>#REF!</v>
      </c>
      <c r="DS374" t="e">
        <f>AND(#REF!,"AAAAAFt8P3o=")</f>
        <v>#REF!</v>
      </c>
      <c r="DT374" t="e">
        <f>AND(#REF!,"AAAAAFt8P3s=")</f>
        <v>#REF!</v>
      </c>
      <c r="DU374" t="e">
        <f>AND(#REF!,"AAAAAFt8P3w=")</f>
        <v>#REF!</v>
      </c>
      <c r="DV374" t="e">
        <f>AND(#REF!,"AAAAAFt8P30=")</f>
        <v>#REF!</v>
      </c>
      <c r="DW374" t="e">
        <f>AND(#REF!,"AAAAAFt8P34=")</f>
        <v>#REF!</v>
      </c>
      <c r="DX374" t="e">
        <f>AND(#REF!,"AAAAAFt8P38=")</f>
        <v>#REF!</v>
      </c>
      <c r="DY374" t="e">
        <f>AND(#REF!,"AAAAAFt8P4A=")</f>
        <v>#REF!</v>
      </c>
      <c r="DZ374" t="e">
        <f>AND(#REF!,"AAAAAFt8P4E=")</f>
        <v>#REF!</v>
      </c>
      <c r="EA374" t="e">
        <f>AND(#REF!,"AAAAAFt8P4I=")</f>
        <v>#REF!</v>
      </c>
      <c r="EB374" t="e">
        <f>IF(#REF!,"AAAAAFt8P4M=",0)</f>
        <v>#REF!</v>
      </c>
      <c r="EC374" t="e">
        <f>AND(#REF!,"AAAAAFt8P4Q=")</f>
        <v>#REF!</v>
      </c>
      <c r="ED374" t="e">
        <f>AND(#REF!,"AAAAAFt8P4U=")</f>
        <v>#REF!</v>
      </c>
      <c r="EE374" t="e">
        <f>AND(#REF!,"AAAAAFt8P4Y=")</f>
        <v>#REF!</v>
      </c>
      <c r="EF374" t="e">
        <f>AND(#REF!,"AAAAAFt8P4c=")</f>
        <v>#REF!</v>
      </c>
      <c r="EG374" t="e">
        <f>AND(#REF!,"AAAAAFt8P4g=")</f>
        <v>#REF!</v>
      </c>
      <c r="EH374" t="e">
        <f>AND(#REF!,"AAAAAFt8P4k=")</f>
        <v>#REF!</v>
      </c>
      <c r="EI374" t="e">
        <f>AND(#REF!,"AAAAAFt8P4o=")</f>
        <v>#REF!</v>
      </c>
      <c r="EJ374" t="e">
        <f>AND(#REF!,"AAAAAFt8P4s=")</f>
        <v>#REF!</v>
      </c>
      <c r="EK374" t="e">
        <f>AND(#REF!,"AAAAAFt8P4w=")</f>
        <v>#REF!</v>
      </c>
      <c r="EL374" t="e">
        <f>AND(#REF!,"AAAAAFt8P40=")</f>
        <v>#REF!</v>
      </c>
      <c r="EM374" t="e">
        <f>IF(#REF!,"AAAAAFt8P44=",0)</f>
        <v>#REF!</v>
      </c>
      <c r="EN374" t="e">
        <f>AND(#REF!,"AAAAAFt8P48=")</f>
        <v>#REF!</v>
      </c>
      <c r="EO374" t="e">
        <f>AND(#REF!,"AAAAAFt8P5A=")</f>
        <v>#REF!</v>
      </c>
      <c r="EP374" t="e">
        <f>AND(#REF!,"AAAAAFt8P5E=")</f>
        <v>#REF!</v>
      </c>
      <c r="EQ374" t="e">
        <f>AND(#REF!,"AAAAAFt8P5I=")</f>
        <v>#REF!</v>
      </c>
      <c r="ER374" t="e">
        <f>AND(#REF!,"AAAAAFt8P5M=")</f>
        <v>#REF!</v>
      </c>
      <c r="ES374" t="e">
        <f>AND(#REF!,"AAAAAFt8P5Q=")</f>
        <v>#REF!</v>
      </c>
      <c r="ET374" t="e">
        <f>AND(#REF!,"AAAAAFt8P5U=")</f>
        <v>#REF!</v>
      </c>
      <c r="EU374" t="e">
        <f>AND(#REF!,"AAAAAFt8P5Y=")</f>
        <v>#REF!</v>
      </c>
      <c r="EV374" t="e">
        <f>AND(#REF!,"AAAAAFt8P5c=")</f>
        <v>#REF!</v>
      </c>
      <c r="EW374" t="e">
        <f>AND(#REF!,"AAAAAFt8P5g=")</f>
        <v>#REF!</v>
      </c>
      <c r="EX374" t="e">
        <f>IF(#REF!,"AAAAAFt8P5k=",0)</f>
        <v>#REF!</v>
      </c>
      <c r="EY374" t="e">
        <f>AND(#REF!,"AAAAAFt8P5o=")</f>
        <v>#REF!</v>
      </c>
      <c r="EZ374" t="e">
        <f>AND(#REF!,"AAAAAFt8P5s=")</f>
        <v>#REF!</v>
      </c>
      <c r="FA374" t="e">
        <f>AND(#REF!,"AAAAAFt8P5w=")</f>
        <v>#REF!</v>
      </c>
      <c r="FB374" t="e">
        <f>AND(#REF!,"AAAAAFt8P50=")</f>
        <v>#REF!</v>
      </c>
      <c r="FC374" t="e">
        <f>AND(#REF!,"AAAAAFt8P54=")</f>
        <v>#REF!</v>
      </c>
      <c r="FD374" t="e">
        <f>AND(#REF!,"AAAAAFt8P58=")</f>
        <v>#REF!</v>
      </c>
      <c r="FE374" t="e">
        <f>AND(#REF!,"AAAAAFt8P6A=")</f>
        <v>#REF!</v>
      </c>
      <c r="FF374" t="e">
        <f>AND(#REF!,"AAAAAFt8P6E=")</f>
        <v>#REF!</v>
      </c>
      <c r="FG374" t="e">
        <f>AND(#REF!,"AAAAAFt8P6I=")</f>
        <v>#REF!</v>
      </c>
      <c r="FH374" t="e">
        <f>AND(#REF!,"AAAAAFt8P6M=")</f>
        <v>#REF!</v>
      </c>
      <c r="FI374" t="e">
        <f>IF(#REF!,"AAAAAFt8P6Q=",0)</f>
        <v>#REF!</v>
      </c>
      <c r="FJ374" t="e">
        <f>AND(#REF!,"AAAAAFt8P6U=")</f>
        <v>#REF!</v>
      </c>
      <c r="FK374" t="e">
        <f>AND(#REF!,"AAAAAFt8P6Y=")</f>
        <v>#REF!</v>
      </c>
      <c r="FL374" t="e">
        <f>AND(#REF!,"AAAAAFt8P6c=")</f>
        <v>#REF!</v>
      </c>
      <c r="FM374" t="e">
        <f>AND(#REF!,"AAAAAFt8P6g=")</f>
        <v>#REF!</v>
      </c>
      <c r="FN374" t="e">
        <f>AND(#REF!,"AAAAAFt8P6k=")</f>
        <v>#REF!</v>
      </c>
      <c r="FO374" t="e">
        <f>AND(#REF!,"AAAAAFt8P6o=")</f>
        <v>#REF!</v>
      </c>
      <c r="FP374" t="e">
        <f>AND(#REF!,"AAAAAFt8P6s=")</f>
        <v>#REF!</v>
      </c>
      <c r="FQ374" t="e">
        <f>AND(#REF!,"AAAAAFt8P6w=")</f>
        <v>#REF!</v>
      </c>
      <c r="FR374" t="e">
        <f>AND(#REF!,"AAAAAFt8P60=")</f>
        <v>#REF!</v>
      </c>
      <c r="FS374" t="e">
        <f>AND(#REF!,"AAAAAFt8P64=")</f>
        <v>#REF!</v>
      </c>
      <c r="FT374" t="e">
        <f>IF(#REF!,"AAAAAFt8P68=",0)</f>
        <v>#REF!</v>
      </c>
      <c r="FU374" t="e">
        <f>AND(#REF!,"AAAAAFt8P7A=")</f>
        <v>#REF!</v>
      </c>
      <c r="FV374" t="e">
        <f>AND(#REF!,"AAAAAFt8P7E=")</f>
        <v>#REF!</v>
      </c>
      <c r="FW374" t="e">
        <f>AND(#REF!,"AAAAAFt8P7I=")</f>
        <v>#REF!</v>
      </c>
      <c r="FX374" t="e">
        <f>AND(#REF!,"AAAAAFt8P7M=")</f>
        <v>#REF!</v>
      </c>
      <c r="FY374" t="e">
        <f>AND(#REF!,"AAAAAFt8P7Q=")</f>
        <v>#REF!</v>
      </c>
      <c r="FZ374" t="e">
        <f>AND(#REF!,"AAAAAFt8P7U=")</f>
        <v>#REF!</v>
      </c>
      <c r="GA374" t="e">
        <f>AND(#REF!,"AAAAAFt8P7Y=")</f>
        <v>#REF!</v>
      </c>
      <c r="GB374" t="e">
        <f>AND(#REF!,"AAAAAFt8P7c=")</f>
        <v>#REF!</v>
      </c>
      <c r="GC374" t="e">
        <f>AND(#REF!,"AAAAAFt8P7g=")</f>
        <v>#REF!</v>
      </c>
      <c r="GD374" t="e">
        <f>AND(#REF!,"AAAAAFt8P7k=")</f>
        <v>#REF!</v>
      </c>
      <c r="GE374" t="e">
        <f>IF(#REF!,"AAAAAFt8P7o=",0)</f>
        <v>#REF!</v>
      </c>
      <c r="GF374" t="e">
        <f>AND(#REF!,"AAAAAFt8P7s=")</f>
        <v>#REF!</v>
      </c>
      <c r="GG374" t="e">
        <f>AND(#REF!,"AAAAAFt8P7w=")</f>
        <v>#REF!</v>
      </c>
      <c r="GH374" t="e">
        <f>AND(#REF!,"AAAAAFt8P70=")</f>
        <v>#REF!</v>
      </c>
      <c r="GI374" t="e">
        <f>AND(#REF!,"AAAAAFt8P74=")</f>
        <v>#REF!</v>
      </c>
      <c r="GJ374" t="e">
        <f>AND(#REF!,"AAAAAFt8P78=")</f>
        <v>#REF!</v>
      </c>
      <c r="GK374" t="e">
        <f>AND(#REF!,"AAAAAFt8P8A=")</f>
        <v>#REF!</v>
      </c>
      <c r="GL374" t="e">
        <f>AND(#REF!,"AAAAAFt8P8E=")</f>
        <v>#REF!</v>
      </c>
      <c r="GM374" t="e">
        <f>AND(#REF!,"AAAAAFt8P8I=")</f>
        <v>#REF!</v>
      </c>
      <c r="GN374" t="e">
        <f>AND(#REF!,"AAAAAFt8P8M=")</f>
        <v>#REF!</v>
      </c>
      <c r="GO374" t="e">
        <f>AND(#REF!,"AAAAAFt8P8Q=")</f>
        <v>#REF!</v>
      </c>
      <c r="GP374" t="e">
        <f>IF(#REF!,"AAAAAFt8P8U=",0)</f>
        <v>#REF!</v>
      </c>
      <c r="GQ374" t="e">
        <f>AND(#REF!,"AAAAAFt8P8Y=")</f>
        <v>#REF!</v>
      </c>
      <c r="GR374" t="e">
        <f>AND(#REF!,"AAAAAFt8P8c=")</f>
        <v>#REF!</v>
      </c>
      <c r="GS374" t="e">
        <f>AND(#REF!,"AAAAAFt8P8g=")</f>
        <v>#REF!</v>
      </c>
      <c r="GT374" t="e">
        <f>AND(#REF!,"AAAAAFt8P8k=")</f>
        <v>#REF!</v>
      </c>
      <c r="GU374" t="e">
        <f>AND(#REF!,"AAAAAFt8P8o=")</f>
        <v>#REF!</v>
      </c>
      <c r="GV374" t="e">
        <f>AND(#REF!,"AAAAAFt8P8s=")</f>
        <v>#REF!</v>
      </c>
      <c r="GW374" t="e">
        <f>AND(#REF!,"AAAAAFt8P8w=")</f>
        <v>#REF!</v>
      </c>
      <c r="GX374" t="e">
        <f>AND(#REF!,"AAAAAFt8P80=")</f>
        <v>#REF!</v>
      </c>
      <c r="GY374" t="e">
        <f>AND(#REF!,"AAAAAFt8P84=")</f>
        <v>#REF!</v>
      </c>
      <c r="GZ374" t="e">
        <f>AND(#REF!,"AAAAAFt8P88=")</f>
        <v>#REF!</v>
      </c>
      <c r="HA374" t="e">
        <f>IF(#REF!,"AAAAAFt8P9A=",0)</f>
        <v>#REF!</v>
      </c>
      <c r="HB374" t="e">
        <f>AND(#REF!,"AAAAAFt8P9E=")</f>
        <v>#REF!</v>
      </c>
      <c r="HC374" t="e">
        <f>AND(#REF!,"AAAAAFt8P9I=")</f>
        <v>#REF!</v>
      </c>
      <c r="HD374" t="e">
        <f>AND(#REF!,"AAAAAFt8P9M=")</f>
        <v>#REF!</v>
      </c>
      <c r="HE374" t="e">
        <f>AND(#REF!,"AAAAAFt8P9Q=")</f>
        <v>#REF!</v>
      </c>
      <c r="HF374" t="e">
        <f>AND(#REF!,"AAAAAFt8P9U=")</f>
        <v>#REF!</v>
      </c>
      <c r="HG374" t="e">
        <f>AND(#REF!,"AAAAAFt8P9Y=")</f>
        <v>#REF!</v>
      </c>
      <c r="HH374" t="e">
        <f>AND(#REF!,"AAAAAFt8P9c=")</f>
        <v>#REF!</v>
      </c>
      <c r="HI374" t="e">
        <f>AND(#REF!,"AAAAAFt8P9g=")</f>
        <v>#REF!</v>
      </c>
      <c r="HJ374" t="e">
        <f>AND(#REF!,"AAAAAFt8P9k=")</f>
        <v>#REF!</v>
      </c>
      <c r="HK374" t="e">
        <f>AND(#REF!,"AAAAAFt8P9o=")</f>
        <v>#REF!</v>
      </c>
      <c r="HL374" t="e">
        <f>IF(#REF!,"AAAAAFt8P9s=",0)</f>
        <v>#REF!</v>
      </c>
      <c r="HM374" t="e">
        <f>AND(#REF!,"AAAAAFt8P9w=")</f>
        <v>#REF!</v>
      </c>
      <c r="HN374" t="e">
        <f>AND(#REF!,"AAAAAFt8P90=")</f>
        <v>#REF!</v>
      </c>
      <c r="HO374" t="e">
        <f>AND(#REF!,"AAAAAFt8P94=")</f>
        <v>#REF!</v>
      </c>
      <c r="HP374" t="e">
        <f>AND(#REF!,"AAAAAFt8P98=")</f>
        <v>#REF!</v>
      </c>
      <c r="HQ374" t="e">
        <f>AND(#REF!,"AAAAAFt8P+A=")</f>
        <v>#REF!</v>
      </c>
      <c r="HR374" t="e">
        <f>AND(#REF!,"AAAAAFt8P+E=")</f>
        <v>#REF!</v>
      </c>
      <c r="HS374" t="e">
        <f>AND(#REF!,"AAAAAFt8P+I=")</f>
        <v>#REF!</v>
      </c>
      <c r="HT374" t="e">
        <f>AND(#REF!,"AAAAAFt8P+M=")</f>
        <v>#REF!</v>
      </c>
      <c r="HU374" t="e">
        <f>AND(#REF!,"AAAAAFt8P+Q=")</f>
        <v>#REF!</v>
      </c>
      <c r="HV374" t="e">
        <f>AND(#REF!,"AAAAAFt8P+U=")</f>
        <v>#REF!</v>
      </c>
      <c r="HW374" t="e">
        <f>IF(#REF!,"AAAAAFt8P+Y=",0)</f>
        <v>#REF!</v>
      </c>
      <c r="HX374" t="e">
        <f>AND(#REF!,"AAAAAFt8P+c=")</f>
        <v>#REF!</v>
      </c>
      <c r="HY374" t="e">
        <f>AND(#REF!,"AAAAAFt8P+g=")</f>
        <v>#REF!</v>
      </c>
      <c r="HZ374" t="e">
        <f>AND(#REF!,"AAAAAFt8P+k=")</f>
        <v>#REF!</v>
      </c>
      <c r="IA374" t="e">
        <f>AND(#REF!,"AAAAAFt8P+o=")</f>
        <v>#REF!</v>
      </c>
      <c r="IB374" t="e">
        <f>AND(#REF!,"AAAAAFt8P+s=")</f>
        <v>#REF!</v>
      </c>
      <c r="IC374" t="e">
        <f>AND(#REF!,"AAAAAFt8P+w=")</f>
        <v>#REF!</v>
      </c>
      <c r="ID374" t="e">
        <f>AND(#REF!,"AAAAAFt8P+0=")</f>
        <v>#REF!</v>
      </c>
      <c r="IE374" t="e">
        <f>AND(#REF!,"AAAAAFt8P+4=")</f>
        <v>#REF!</v>
      </c>
      <c r="IF374" t="e">
        <f>AND(#REF!,"AAAAAFt8P+8=")</f>
        <v>#REF!</v>
      </c>
      <c r="IG374" t="e">
        <f>AND(#REF!,"AAAAAFt8P/A=")</f>
        <v>#REF!</v>
      </c>
      <c r="IH374" t="e">
        <f>IF(#REF!,"AAAAAFt8P/E=",0)</f>
        <v>#REF!</v>
      </c>
      <c r="II374" t="e">
        <f>AND(#REF!,"AAAAAFt8P/I=")</f>
        <v>#REF!</v>
      </c>
      <c r="IJ374" t="e">
        <f>AND(#REF!,"AAAAAFt8P/M=")</f>
        <v>#REF!</v>
      </c>
      <c r="IK374" t="e">
        <f>AND(#REF!,"AAAAAFt8P/Q=")</f>
        <v>#REF!</v>
      </c>
      <c r="IL374" t="e">
        <f>AND(#REF!,"AAAAAFt8P/U=")</f>
        <v>#REF!</v>
      </c>
      <c r="IM374" t="e">
        <f>AND(#REF!,"AAAAAFt8P/Y=")</f>
        <v>#REF!</v>
      </c>
      <c r="IN374" t="e">
        <f>AND(#REF!,"AAAAAFt8P/c=")</f>
        <v>#REF!</v>
      </c>
      <c r="IO374" t="e">
        <f>AND(#REF!,"AAAAAFt8P/g=")</f>
        <v>#REF!</v>
      </c>
      <c r="IP374" t="e">
        <f>AND(#REF!,"AAAAAFt8P/k=")</f>
        <v>#REF!</v>
      </c>
      <c r="IQ374" t="e">
        <f>AND(#REF!,"AAAAAFt8P/o=")</f>
        <v>#REF!</v>
      </c>
      <c r="IR374" t="e">
        <f>AND(#REF!,"AAAAAFt8P/s=")</f>
        <v>#REF!</v>
      </c>
      <c r="IS374" t="e">
        <f>IF(#REF!,"AAAAAFt8P/w=",0)</f>
        <v>#REF!</v>
      </c>
      <c r="IT374" t="e">
        <f>AND(#REF!,"AAAAAFt8P/0=")</f>
        <v>#REF!</v>
      </c>
      <c r="IU374" t="e">
        <f>AND(#REF!,"AAAAAFt8P/4=")</f>
        <v>#REF!</v>
      </c>
      <c r="IV374" t="e">
        <f>AND(#REF!,"AAAAAFt8P/8=")</f>
        <v>#REF!</v>
      </c>
    </row>
    <row r="375" spans="1:256" x14ac:dyDescent="0.25">
      <c r="A375" t="e">
        <f>AND(#REF!,"AAAAADN5/QA=")</f>
        <v>#REF!</v>
      </c>
      <c r="B375" t="e">
        <f>AND(#REF!,"AAAAADN5/QE=")</f>
        <v>#REF!</v>
      </c>
      <c r="C375" t="e">
        <f>AND(#REF!,"AAAAADN5/QI=")</f>
        <v>#REF!</v>
      </c>
      <c r="D375" t="e">
        <f>AND(#REF!,"AAAAADN5/QM=")</f>
        <v>#REF!</v>
      </c>
      <c r="E375" t="e">
        <f>AND(#REF!,"AAAAADN5/QQ=")</f>
        <v>#REF!</v>
      </c>
      <c r="F375" t="e">
        <f>AND(#REF!,"AAAAADN5/QU=")</f>
        <v>#REF!</v>
      </c>
      <c r="G375" t="e">
        <f>AND(#REF!,"AAAAADN5/QY=")</f>
        <v>#REF!</v>
      </c>
      <c r="H375" t="e">
        <f>IF(#REF!,"AAAAADN5/Qc=",0)</f>
        <v>#REF!</v>
      </c>
      <c r="I375" t="e">
        <f>AND(#REF!,"AAAAADN5/Qg=")</f>
        <v>#REF!</v>
      </c>
      <c r="J375" t="e">
        <f>AND(#REF!,"AAAAADN5/Qk=")</f>
        <v>#REF!</v>
      </c>
      <c r="K375" t="e">
        <f>AND(#REF!,"AAAAADN5/Qo=")</f>
        <v>#REF!</v>
      </c>
      <c r="L375" t="e">
        <f>AND(#REF!,"AAAAADN5/Qs=")</f>
        <v>#REF!</v>
      </c>
      <c r="M375" t="e">
        <f>AND(#REF!,"AAAAADN5/Qw=")</f>
        <v>#REF!</v>
      </c>
      <c r="N375" t="e">
        <f>AND(#REF!,"AAAAADN5/Q0=")</f>
        <v>#REF!</v>
      </c>
      <c r="O375" t="e">
        <f>AND(#REF!,"AAAAADN5/Q4=")</f>
        <v>#REF!</v>
      </c>
      <c r="P375" t="e">
        <f>AND(#REF!,"AAAAADN5/Q8=")</f>
        <v>#REF!</v>
      </c>
      <c r="Q375" t="e">
        <f>AND(#REF!,"AAAAADN5/RA=")</f>
        <v>#REF!</v>
      </c>
      <c r="R375" t="e">
        <f>AND(#REF!,"AAAAADN5/RE=")</f>
        <v>#REF!</v>
      </c>
      <c r="S375" t="e">
        <f>IF(#REF!,"AAAAADN5/RI=",0)</f>
        <v>#REF!</v>
      </c>
      <c r="T375" t="e">
        <f>AND(#REF!,"AAAAADN5/RM=")</f>
        <v>#REF!</v>
      </c>
      <c r="U375" t="e">
        <f>AND(#REF!,"AAAAADN5/RQ=")</f>
        <v>#REF!</v>
      </c>
      <c r="V375" t="e">
        <f>AND(#REF!,"AAAAADN5/RU=")</f>
        <v>#REF!</v>
      </c>
      <c r="W375" t="e">
        <f>AND(#REF!,"AAAAADN5/RY=")</f>
        <v>#REF!</v>
      </c>
      <c r="X375" t="e">
        <f>AND(#REF!,"AAAAADN5/Rc=")</f>
        <v>#REF!</v>
      </c>
      <c r="Y375" t="e">
        <f>AND(#REF!,"AAAAADN5/Rg=")</f>
        <v>#REF!</v>
      </c>
      <c r="Z375" t="e">
        <f>AND(#REF!,"AAAAADN5/Rk=")</f>
        <v>#REF!</v>
      </c>
      <c r="AA375" t="e">
        <f>AND(#REF!,"AAAAADN5/Ro=")</f>
        <v>#REF!</v>
      </c>
      <c r="AB375" t="e">
        <f>AND(#REF!,"AAAAADN5/Rs=")</f>
        <v>#REF!</v>
      </c>
      <c r="AC375" t="e">
        <f>AND(#REF!,"AAAAADN5/Rw=")</f>
        <v>#REF!</v>
      </c>
      <c r="AD375" t="e">
        <f>IF(#REF!,"AAAAADN5/R0=",0)</f>
        <v>#REF!</v>
      </c>
      <c r="AE375" t="e">
        <f>AND(#REF!,"AAAAADN5/R4=")</f>
        <v>#REF!</v>
      </c>
      <c r="AF375" t="e">
        <f>AND(#REF!,"AAAAADN5/R8=")</f>
        <v>#REF!</v>
      </c>
      <c r="AG375" t="e">
        <f>AND(#REF!,"AAAAADN5/SA=")</f>
        <v>#REF!</v>
      </c>
      <c r="AH375" t="e">
        <f>AND(#REF!,"AAAAADN5/SE=")</f>
        <v>#REF!</v>
      </c>
      <c r="AI375" t="e">
        <f>AND(#REF!,"AAAAADN5/SI=")</f>
        <v>#REF!</v>
      </c>
      <c r="AJ375" t="e">
        <f>AND(#REF!,"AAAAADN5/SM=")</f>
        <v>#REF!</v>
      </c>
      <c r="AK375" t="e">
        <f>AND(#REF!,"AAAAADN5/SQ=")</f>
        <v>#REF!</v>
      </c>
      <c r="AL375" t="e">
        <f>AND(#REF!,"AAAAADN5/SU=")</f>
        <v>#REF!</v>
      </c>
      <c r="AM375" t="e">
        <f>AND(#REF!,"AAAAADN5/SY=")</f>
        <v>#REF!</v>
      </c>
      <c r="AN375" t="e">
        <f>AND(#REF!,"AAAAADN5/Sc=")</f>
        <v>#REF!</v>
      </c>
      <c r="AO375" t="e">
        <f>IF(#REF!,"AAAAADN5/Sg=",0)</f>
        <v>#REF!</v>
      </c>
      <c r="AP375" t="e">
        <f>AND(#REF!,"AAAAADN5/Sk=")</f>
        <v>#REF!</v>
      </c>
      <c r="AQ375" t="e">
        <f>AND(#REF!,"AAAAADN5/So=")</f>
        <v>#REF!</v>
      </c>
      <c r="AR375" t="e">
        <f>AND(#REF!,"AAAAADN5/Ss=")</f>
        <v>#REF!</v>
      </c>
      <c r="AS375" t="e">
        <f>AND(#REF!,"AAAAADN5/Sw=")</f>
        <v>#REF!</v>
      </c>
      <c r="AT375" t="e">
        <f>AND(#REF!,"AAAAADN5/S0=")</f>
        <v>#REF!</v>
      </c>
      <c r="AU375" t="e">
        <f>AND(#REF!,"AAAAADN5/S4=")</f>
        <v>#REF!</v>
      </c>
      <c r="AV375" t="e">
        <f>AND(#REF!,"AAAAADN5/S8=")</f>
        <v>#REF!</v>
      </c>
      <c r="AW375" t="e">
        <f>AND(#REF!,"AAAAADN5/TA=")</f>
        <v>#REF!</v>
      </c>
      <c r="AX375" t="e">
        <f>AND(#REF!,"AAAAADN5/TE=")</f>
        <v>#REF!</v>
      </c>
      <c r="AY375" t="e">
        <f>AND(#REF!,"AAAAADN5/TI=")</f>
        <v>#REF!</v>
      </c>
      <c r="AZ375" t="e">
        <f>IF(#REF!,"AAAAADN5/TM=",0)</f>
        <v>#REF!</v>
      </c>
      <c r="BA375" t="e">
        <f>AND(#REF!,"AAAAADN5/TQ=")</f>
        <v>#REF!</v>
      </c>
      <c r="BB375" t="e">
        <f>AND(#REF!,"AAAAADN5/TU=")</f>
        <v>#REF!</v>
      </c>
      <c r="BC375" t="e">
        <f>AND(#REF!,"AAAAADN5/TY=")</f>
        <v>#REF!</v>
      </c>
      <c r="BD375" t="e">
        <f>AND(#REF!,"AAAAADN5/Tc=")</f>
        <v>#REF!</v>
      </c>
      <c r="BE375" t="e">
        <f>AND(#REF!,"AAAAADN5/Tg=")</f>
        <v>#REF!</v>
      </c>
      <c r="BF375" t="e">
        <f>AND(#REF!,"AAAAADN5/Tk=")</f>
        <v>#REF!</v>
      </c>
      <c r="BG375" t="e">
        <f>AND(#REF!,"AAAAADN5/To=")</f>
        <v>#REF!</v>
      </c>
      <c r="BH375" t="e">
        <f>AND(#REF!,"AAAAADN5/Ts=")</f>
        <v>#REF!</v>
      </c>
      <c r="BI375" t="e">
        <f>AND(#REF!,"AAAAADN5/Tw=")</f>
        <v>#REF!</v>
      </c>
      <c r="BJ375" t="e">
        <f>AND(#REF!,"AAAAADN5/T0=")</f>
        <v>#REF!</v>
      </c>
      <c r="BK375" t="e">
        <f>IF(#REF!,"AAAAADN5/T4=",0)</f>
        <v>#REF!</v>
      </c>
      <c r="BL375" t="e">
        <f>AND(#REF!,"AAAAADN5/T8=")</f>
        <v>#REF!</v>
      </c>
      <c r="BM375" t="e">
        <f>AND(#REF!,"AAAAADN5/UA=")</f>
        <v>#REF!</v>
      </c>
      <c r="BN375" t="e">
        <f>AND(#REF!,"AAAAADN5/UE=")</f>
        <v>#REF!</v>
      </c>
      <c r="BO375" t="e">
        <f>AND(#REF!,"AAAAADN5/UI=")</f>
        <v>#REF!</v>
      </c>
      <c r="BP375" t="e">
        <f>AND(#REF!,"AAAAADN5/UM=")</f>
        <v>#REF!</v>
      </c>
      <c r="BQ375" t="e">
        <f>AND(#REF!,"AAAAADN5/UQ=")</f>
        <v>#REF!</v>
      </c>
      <c r="BR375" t="e">
        <f>AND(#REF!,"AAAAADN5/UU=")</f>
        <v>#REF!</v>
      </c>
      <c r="BS375" t="e">
        <f>AND(#REF!,"AAAAADN5/UY=")</f>
        <v>#REF!</v>
      </c>
      <c r="BT375" t="e">
        <f>AND(#REF!,"AAAAADN5/Uc=")</f>
        <v>#REF!</v>
      </c>
      <c r="BU375" t="e">
        <f>AND(#REF!,"AAAAADN5/Ug=")</f>
        <v>#REF!</v>
      </c>
      <c r="BV375" t="e">
        <f>IF(#REF!,"AAAAADN5/Uk=",0)</f>
        <v>#REF!</v>
      </c>
      <c r="BW375" t="e">
        <f>AND(#REF!,"AAAAADN5/Uo=")</f>
        <v>#REF!</v>
      </c>
      <c r="BX375" t="e">
        <f>AND(#REF!,"AAAAADN5/Us=")</f>
        <v>#REF!</v>
      </c>
      <c r="BY375" t="e">
        <f>AND(#REF!,"AAAAADN5/Uw=")</f>
        <v>#REF!</v>
      </c>
      <c r="BZ375" t="e">
        <f>AND(#REF!,"AAAAADN5/U0=")</f>
        <v>#REF!</v>
      </c>
      <c r="CA375" t="e">
        <f>AND(#REF!,"AAAAADN5/U4=")</f>
        <v>#REF!</v>
      </c>
      <c r="CB375" t="e">
        <f>AND(#REF!,"AAAAADN5/U8=")</f>
        <v>#REF!</v>
      </c>
      <c r="CC375" t="e">
        <f>AND(#REF!,"AAAAADN5/VA=")</f>
        <v>#REF!</v>
      </c>
      <c r="CD375" t="e">
        <f>AND(#REF!,"AAAAADN5/VE=")</f>
        <v>#REF!</v>
      </c>
      <c r="CE375" t="e">
        <f>AND(#REF!,"AAAAADN5/VI=")</f>
        <v>#REF!</v>
      </c>
      <c r="CF375" t="e">
        <f>AND(#REF!,"AAAAADN5/VM=")</f>
        <v>#REF!</v>
      </c>
      <c r="CG375" t="e">
        <f>IF(#REF!,"AAAAADN5/VQ=",0)</f>
        <v>#REF!</v>
      </c>
      <c r="CH375" t="e">
        <f>AND(#REF!,"AAAAADN5/VU=")</f>
        <v>#REF!</v>
      </c>
      <c r="CI375" t="e">
        <f>AND(#REF!,"AAAAADN5/VY=")</f>
        <v>#REF!</v>
      </c>
      <c r="CJ375" t="e">
        <f>AND(#REF!,"AAAAADN5/Vc=")</f>
        <v>#REF!</v>
      </c>
      <c r="CK375" t="e">
        <f>AND(#REF!,"AAAAADN5/Vg=")</f>
        <v>#REF!</v>
      </c>
      <c r="CL375" t="e">
        <f>AND(#REF!,"AAAAADN5/Vk=")</f>
        <v>#REF!</v>
      </c>
      <c r="CM375" t="e">
        <f>AND(#REF!,"AAAAADN5/Vo=")</f>
        <v>#REF!</v>
      </c>
      <c r="CN375" t="e">
        <f>AND(#REF!,"AAAAADN5/Vs=")</f>
        <v>#REF!</v>
      </c>
      <c r="CO375" t="e">
        <f>AND(#REF!,"AAAAADN5/Vw=")</f>
        <v>#REF!</v>
      </c>
      <c r="CP375" t="e">
        <f>AND(#REF!,"AAAAADN5/V0=")</f>
        <v>#REF!</v>
      </c>
      <c r="CQ375" t="e">
        <f>AND(#REF!,"AAAAADN5/V4=")</f>
        <v>#REF!</v>
      </c>
      <c r="CR375" t="e">
        <f>IF(#REF!,"AAAAADN5/V8=",0)</f>
        <v>#REF!</v>
      </c>
      <c r="CS375" t="e">
        <f>AND(#REF!,"AAAAADN5/WA=")</f>
        <v>#REF!</v>
      </c>
      <c r="CT375" t="e">
        <f>AND(#REF!,"AAAAADN5/WE=")</f>
        <v>#REF!</v>
      </c>
      <c r="CU375" t="e">
        <f>AND(#REF!,"AAAAADN5/WI=")</f>
        <v>#REF!</v>
      </c>
      <c r="CV375" t="e">
        <f>AND(#REF!,"AAAAADN5/WM=")</f>
        <v>#REF!</v>
      </c>
      <c r="CW375" t="e">
        <f>AND(#REF!,"AAAAADN5/WQ=")</f>
        <v>#REF!</v>
      </c>
      <c r="CX375" t="e">
        <f>AND(#REF!,"AAAAADN5/WU=")</f>
        <v>#REF!</v>
      </c>
      <c r="CY375" t="e">
        <f>AND(#REF!,"AAAAADN5/WY=")</f>
        <v>#REF!</v>
      </c>
      <c r="CZ375" t="e">
        <f>AND(#REF!,"AAAAADN5/Wc=")</f>
        <v>#REF!</v>
      </c>
      <c r="DA375" t="e">
        <f>AND(#REF!,"AAAAADN5/Wg=")</f>
        <v>#REF!</v>
      </c>
      <c r="DB375" t="e">
        <f>AND(#REF!,"AAAAADN5/Wk=")</f>
        <v>#REF!</v>
      </c>
      <c r="DC375" t="e">
        <f>IF(#REF!,"AAAAADN5/Wo=",0)</f>
        <v>#REF!</v>
      </c>
      <c r="DD375" t="e">
        <f>AND(#REF!,"AAAAADN5/Ws=")</f>
        <v>#REF!</v>
      </c>
      <c r="DE375" t="e">
        <f>AND(#REF!,"AAAAADN5/Ww=")</f>
        <v>#REF!</v>
      </c>
      <c r="DF375" t="e">
        <f>AND(#REF!,"AAAAADN5/W0=")</f>
        <v>#REF!</v>
      </c>
      <c r="DG375" t="e">
        <f>AND(#REF!,"AAAAADN5/W4=")</f>
        <v>#REF!</v>
      </c>
      <c r="DH375" t="e">
        <f>AND(#REF!,"AAAAADN5/W8=")</f>
        <v>#REF!</v>
      </c>
      <c r="DI375" t="e">
        <f>AND(#REF!,"AAAAADN5/XA=")</f>
        <v>#REF!</v>
      </c>
      <c r="DJ375" t="e">
        <f>AND(#REF!,"AAAAADN5/XE=")</f>
        <v>#REF!</v>
      </c>
      <c r="DK375" t="e">
        <f>AND(#REF!,"AAAAADN5/XI=")</f>
        <v>#REF!</v>
      </c>
      <c r="DL375" t="e">
        <f>AND(#REF!,"AAAAADN5/XM=")</f>
        <v>#REF!</v>
      </c>
      <c r="DM375" t="e">
        <f>AND(#REF!,"AAAAADN5/XQ=")</f>
        <v>#REF!</v>
      </c>
      <c r="DN375" t="e">
        <f>IF(#REF!,"AAAAADN5/XU=",0)</f>
        <v>#REF!</v>
      </c>
      <c r="DO375" t="e">
        <f>AND(#REF!,"AAAAADN5/XY=")</f>
        <v>#REF!</v>
      </c>
      <c r="DP375" t="e">
        <f>AND(#REF!,"AAAAADN5/Xc=")</f>
        <v>#REF!</v>
      </c>
      <c r="DQ375" t="e">
        <f>AND(#REF!,"AAAAADN5/Xg=")</f>
        <v>#REF!</v>
      </c>
      <c r="DR375" t="e">
        <f>AND(#REF!,"AAAAADN5/Xk=")</f>
        <v>#REF!</v>
      </c>
      <c r="DS375" t="e">
        <f>AND(#REF!,"AAAAADN5/Xo=")</f>
        <v>#REF!</v>
      </c>
      <c r="DT375" t="e">
        <f>AND(#REF!,"AAAAADN5/Xs=")</f>
        <v>#REF!</v>
      </c>
      <c r="DU375" t="e">
        <f>AND(#REF!,"AAAAADN5/Xw=")</f>
        <v>#REF!</v>
      </c>
      <c r="DV375" t="e">
        <f>AND(#REF!,"AAAAADN5/X0=")</f>
        <v>#REF!</v>
      </c>
      <c r="DW375" t="e">
        <f>AND(#REF!,"AAAAADN5/X4=")</f>
        <v>#REF!</v>
      </c>
      <c r="DX375" t="e">
        <f>AND(#REF!,"AAAAADN5/X8=")</f>
        <v>#REF!</v>
      </c>
      <c r="DY375" t="e">
        <f>IF(#REF!,"AAAAADN5/YA=",0)</f>
        <v>#REF!</v>
      </c>
      <c r="DZ375" t="e">
        <f>IF(#REF!,"AAAAADN5/YE=",0)</f>
        <v>#REF!</v>
      </c>
      <c r="EA375" t="e">
        <f>IF(#REF!,"AAAAADN5/YI=",0)</f>
        <v>#REF!</v>
      </c>
      <c r="EB375" t="e">
        <f>IF(#REF!,"AAAAADN5/YM=",0)</f>
        <v>#REF!</v>
      </c>
      <c r="EC375" t="e">
        <f>IF(#REF!,"AAAAADN5/YQ=",0)</f>
        <v>#REF!</v>
      </c>
      <c r="ED375" t="e">
        <f>IF(#REF!,"AAAAADN5/YU=",0)</f>
        <v>#REF!</v>
      </c>
      <c r="EE375" t="e">
        <f>IF(#REF!,"AAAAADN5/YY=",0)</f>
        <v>#REF!</v>
      </c>
      <c r="EF375" t="e">
        <f>IF(#REF!,"AAAAADN5/Yc=",0)</f>
        <v>#REF!</v>
      </c>
      <c r="EG375" t="e">
        <f>IF(#REF!,"AAAAADN5/Yg=",0)</f>
        <v>#REF!</v>
      </c>
      <c r="EH375" t="e">
        <f>IF(#REF!,"AAAAADN5/Yk=",0)</f>
        <v>#REF!</v>
      </c>
      <c r="EI375" t="e">
        <f>IF("N",printRange,"AAAAADN5/Yo=")</f>
        <v>#VALUE!</v>
      </c>
    </row>
    <row r="376" spans="1:256" x14ac:dyDescent="0.25">
      <c r="A376" t="e">
        <f>IF(#REF!,"AAAAAG/6zwA=",0)</f>
        <v>#REF!</v>
      </c>
      <c r="B376" t="e">
        <f>AND(#REF!,"AAAAAG/6zwE=")</f>
        <v>#REF!</v>
      </c>
      <c r="C376" t="e">
        <f>AND(#REF!,"AAAAAG/6zwI=")</f>
        <v>#REF!</v>
      </c>
      <c r="D376" t="e">
        <f>AND(#REF!,"AAAAAG/6zwM=")</f>
        <v>#REF!</v>
      </c>
      <c r="E376" t="e">
        <f>AND(#REF!,"AAAAAG/6zwQ=")</f>
        <v>#REF!</v>
      </c>
      <c r="F376" t="e">
        <f>AND(#REF!,"AAAAAG/6zwU=")</f>
        <v>#REF!</v>
      </c>
      <c r="G376" t="e">
        <f>AND(#REF!,"AAAAAG/6zwY=")</f>
        <v>#REF!</v>
      </c>
      <c r="H376" t="e">
        <f>AND(#REF!,"AAAAAG/6zwc=")</f>
        <v>#REF!</v>
      </c>
      <c r="I376" t="e">
        <f>AND(#REF!,"AAAAAG/6zwg=")</f>
        <v>#REF!</v>
      </c>
      <c r="J376" t="e">
        <f>AND(#REF!,"AAAAAG/6zwk=")</f>
        <v>#REF!</v>
      </c>
      <c r="K376" t="e">
        <f>AND(#REF!,"AAAAAG/6zwo=")</f>
        <v>#REF!</v>
      </c>
      <c r="L376" t="e">
        <f>IF(#REF!,"AAAAAG/6zws=",0)</f>
        <v>#REF!</v>
      </c>
      <c r="M376" t="e">
        <f>AND(#REF!,"AAAAAG/6zww=")</f>
        <v>#REF!</v>
      </c>
      <c r="N376" t="e">
        <f>AND(#REF!,"AAAAAG/6zw0=")</f>
        <v>#REF!</v>
      </c>
      <c r="O376" t="e">
        <f>AND(#REF!,"AAAAAG/6zw4=")</f>
        <v>#REF!</v>
      </c>
      <c r="P376" t="e">
        <f>AND(#REF!,"AAAAAG/6zw8=")</f>
        <v>#REF!</v>
      </c>
      <c r="Q376" t="e">
        <f>AND(#REF!,"AAAAAG/6zxA=")</f>
        <v>#REF!</v>
      </c>
      <c r="R376" t="e">
        <f>AND(#REF!,"AAAAAG/6zxE=")</f>
        <v>#REF!</v>
      </c>
      <c r="S376" t="e">
        <f>AND(#REF!,"AAAAAG/6zxI=")</f>
        <v>#REF!</v>
      </c>
      <c r="T376" t="e">
        <f>AND(#REF!,"AAAAAG/6zxM=")</f>
        <v>#REF!</v>
      </c>
      <c r="U376" t="e">
        <f>AND(#REF!,"AAAAAG/6zxQ=")</f>
        <v>#REF!</v>
      </c>
      <c r="V376" t="e">
        <f>AND(#REF!,"AAAAAG/6zxU=")</f>
        <v>#REF!</v>
      </c>
      <c r="W376" t="e">
        <f>IF(#REF!,"AAAAAG/6zxY=",0)</f>
        <v>#REF!</v>
      </c>
      <c r="X376" t="e">
        <f>AND(#REF!,"AAAAAG/6zxc=")</f>
        <v>#REF!</v>
      </c>
      <c r="Y376" t="e">
        <f>AND(#REF!,"AAAAAG/6zxg=")</f>
        <v>#REF!</v>
      </c>
      <c r="Z376" t="e">
        <f>AND(#REF!,"AAAAAG/6zxk=")</f>
        <v>#REF!</v>
      </c>
      <c r="AA376" t="e">
        <f>AND(#REF!,"AAAAAG/6zxo=")</f>
        <v>#REF!</v>
      </c>
      <c r="AB376" t="e">
        <f>AND(#REF!,"AAAAAG/6zxs=")</f>
        <v>#REF!</v>
      </c>
      <c r="AC376" t="e">
        <f>AND(#REF!,"AAAAAG/6zxw=")</f>
        <v>#REF!</v>
      </c>
      <c r="AD376" t="e">
        <f>AND(#REF!,"AAAAAG/6zx0=")</f>
        <v>#REF!</v>
      </c>
      <c r="AE376" t="e">
        <f>AND(#REF!,"AAAAAG/6zx4=")</f>
        <v>#REF!</v>
      </c>
      <c r="AF376" t="e">
        <f>AND(#REF!,"AAAAAG/6zx8=")</f>
        <v>#REF!</v>
      </c>
      <c r="AG376" t="e">
        <f>AND(#REF!,"AAAAAG/6zyA=")</f>
        <v>#REF!</v>
      </c>
      <c r="AH376" t="e">
        <f>IF(#REF!,"AAAAAG/6zyE=",0)</f>
        <v>#REF!</v>
      </c>
      <c r="AI376" t="e">
        <f>AND(#REF!,"AAAAAG/6zyI=")</f>
        <v>#REF!</v>
      </c>
      <c r="AJ376" t="e">
        <f>AND(#REF!,"AAAAAG/6zyM=")</f>
        <v>#REF!</v>
      </c>
      <c r="AK376" t="e">
        <f>AND(#REF!,"AAAAAG/6zyQ=")</f>
        <v>#REF!</v>
      </c>
      <c r="AL376" t="e">
        <f>AND(#REF!,"AAAAAG/6zyU=")</f>
        <v>#REF!</v>
      </c>
      <c r="AM376" t="e">
        <f>AND(#REF!,"AAAAAG/6zyY=")</f>
        <v>#REF!</v>
      </c>
      <c r="AN376" t="e">
        <f>AND(#REF!,"AAAAAG/6zyc=")</f>
        <v>#REF!</v>
      </c>
      <c r="AO376" t="e">
        <f>AND(#REF!,"AAAAAG/6zyg=")</f>
        <v>#REF!</v>
      </c>
      <c r="AP376" t="e">
        <f>AND(#REF!,"AAAAAG/6zyk=")</f>
        <v>#REF!</v>
      </c>
      <c r="AQ376" t="e">
        <f>AND(#REF!,"AAAAAG/6zyo=")</f>
        <v>#REF!</v>
      </c>
      <c r="AR376" t="e">
        <f>AND(#REF!,"AAAAAG/6zys=")</f>
        <v>#REF!</v>
      </c>
      <c r="AS376" t="e">
        <f>IF(#REF!,"AAAAAG/6zyw=",0)</f>
        <v>#REF!</v>
      </c>
      <c r="AT376" t="e">
        <f>AND(#REF!,"AAAAAG/6zy0=")</f>
        <v>#REF!</v>
      </c>
      <c r="AU376" t="e">
        <f>AND(#REF!,"AAAAAG/6zy4=")</f>
        <v>#REF!</v>
      </c>
      <c r="AV376" t="e">
        <f>AND(#REF!,"AAAAAG/6zy8=")</f>
        <v>#REF!</v>
      </c>
      <c r="AW376" t="e">
        <f>AND(#REF!,"AAAAAG/6zzA=")</f>
        <v>#REF!</v>
      </c>
      <c r="AX376" t="e">
        <f>AND(#REF!,"AAAAAG/6zzE=")</f>
        <v>#REF!</v>
      </c>
      <c r="AY376" t="e">
        <f>AND(#REF!,"AAAAAG/6zzI=")</f>
        <v>#REF!</v>
      </c>
      <c r="AZ376" t="e">
        <f>AND(#REF!,"AAAAAG/6zzM=")</f>
        <v>#REF!</v>
      </c>
      <c r="BA376" t="e">
        <f>AND(#REF!,"AAAAAG/6zzQ=")</f>
        <v>#REF!</v>
      </c>
      <c r="BB376" t="e">
        <f>AND(#REF!,"AAAAAG/6zzU=")</f>
        <v>#REF!</v>
      </c>
      <c r="BC376" t="e">
        <f>AND(#REF!,"AAAAAG/6zzY=")</f>
        <v>#REF!</v>
      </c>
      <c r="BD376" t="e">
        <f>IF(#REF!,"AAAAAG/6zzc=",0)</f>
        <v>#REF!</v>
      </c>
      <c r="BE376" t="e">
        <f>AND(#REF!,"AAAAAG/6zzg=")</f>
        <v>#REF!</v>
      </c>
      <c r="BF376" t="e">
        <f>AND(#REF!,"AAAAAG/6zzk=")</f>
        <v>#REF!</v>
      </c>
      <c r="BG376" t="e">
        <f>AND(#REF!,"AAAAAG/6zzo=")</f>
        <v>#REF!</v>
      </c>
      <c r="BH376" t="e">
        <f>AND(#REF!,"AAAAAG/6zzs=")</f>
        <v>#REF!</v>
      </c>
      <c r="BI376" t="e">
        <f>AND(#REF!,"AAAAAG/6zzw=")</f>
        <v>#REF!</v>
      </c>
      <c r="BJ376" t="e">
        <f>AND(#REF!,"AAAAAG/6zz0=")</f>
        <v>#REF!</v>
      </c>
      <c r="BK376" t="e">
        <f>AND(#REF!,"AAAAAG/6zz4=")</f>
        <v>#REF!</v>
      </c>
      <c r="BL376" t="e">
        <f>AND(#REF!,"AAAAAG/6zz8=")</f>
        <v>#REF!</v>
      </c>
      <c r="BM376" t="e">
        <f>AND(#REF!,"AAAAAG/6z0A=")</f>
        <v>#REF!</v>
      </c>
      <c r="BN376" t="e">
        <f>AND(#REF!,"AAAAAG/6z0E=")</f>
        <v>#REF!</v>
      </c>
      <c r="BO376" t="e">
        <f>IF(#REF!,"AAAAAG/6z0I=",0)</f>
        <v>#REF!</v>
      </c>
      <c r="BP376" t="e">
        <f>AND(#REF!,"AAAAAG/6z0M=")</f>
        <v>#REF!</v>
      </c>
      <c r="BQ376" t="e">
        <f>AND(#REF!,"AAAAAG/6z0Q=")</f>
        <v>#REF!</v>
      </c>
      <c r="BR376" t="e">
        <f>AND(#REF!,"AAAAAG/6z0U=")</f>
        <v>#REF!</v>
      </c>
      <c r="BS376" t="e">
        <f>AND(#REF!,"AAAAAG/6z0Y=")</f>
        <v>#REF!</v>
      </c>
      <c r="BT376" t="e">
        <f>AND(#REF!,"AAAAAG/6z0c=")</f>
        <v>#REF!</v>
      </c>
      <c r="BU376" t="e">
        <f>AND(#REF!,"AAAAAG/6z0g=")</f>
        <v>#REF!</v>
      </c>
      <c r="BV376" t="e">
        <f>AND(#REF!,"AAAAAG/6z0k=")</f>
        <v>#REF!</v>
      </c>
      <c r="BW376" t="e">
        <f>AND(#REF!,"AAAAAG/6z0o=")</f>
        <v>#REF!</v>
      </c>
      <c r="BX376" t="e">
        <f>AND(#REF!,"AAAAAG/6z0s=")</f>
        <v>#REF!</v>
      </c>
      <c r="BY376" t="e">
        <f>AND(#REF!,"AAAAAG/6z0w=")</f>
        <v>#REF!</v>
      </c>
      <c r="BZ376" t="e">
        <f>IF(#REF!,"AAAAAG/6z00=",0)</f>
        <v>#REF!</v>
      </c>
      <c r="CA376" t="e">
        <f>AND(#REF!,"AAAAAG/6z04=")</f>
        <v>#REF!</v>
      </c>
      <c r="CB376" t="e">
        <f>AND(#REF!,"AAAAAG/6z08=")</f>
        <v>#REF!</v>
      </c>
      <c r="CC376" t="e">
        <f>AND(#REF!,"AAAAAG/6z1A=")</f>
        <v>#REF!</v>
      </c>
      <c r="CD376" t="e">
        <f>AND(#REF!,"AAAAAG/6z1E=")</f>
        <v>#REF!</v>
      </c>
      <c r="CE376" t="e">
        <f>AND(#REF!,"AAAAAG/6z1I=")</f>
        <v>#REF!</v>
      </c>
      <c r="CF376" t="e">
        <f>AND(#REF!,"AAAAAG/6z1M=")</f>
        <v>#REF!</v>
      </c>
      <c r="CG376" t="e">
        <f>AND(#REF!,"AAAAAG/6z1Q=")</f>
        <v>#REF!</v>
      </c>
      <c r="CH376" t="e">
        <f>AND(#REF!,"AAAAAG/6z1U=")</f>
        <v>#REF!</v>
      </c>
      <c r="CI376" t="e">
        <f>AND(#REF!,"AAAAAG/6z1Y=")</f>
        <v>#REF!</v>
      </c>
      <c r="CJ376" t="e">
        <f>AND(#REF!,"AAAAAG/6z1c=")</f>
        <v>#REF!</v>
      </c>
      <c r="CK376" t="e">
        <f>IF(#REF!,"AAAAAG/6z1g=",0)</f>
        <v>#REF!</v>
      </c>
      <c r="CL376" t="e">
        <f>AND(#REF!,"AAAAAG/6z1k=")</f>
        <v>#REF!</v>
      </c>
      <c r="CM376" t="e">
        <f>AND(#REF!,"AAAAAG/6z1o=")</f>
        <v>#REF!</v>
      </c>
      <c r="CN376" t="e">
        <f>AND(#REF!,"AAAAAG/6z1s=")</f>
        <v>#REF!</v>
      </c>
      <c r="CO376" t="e">
        <f>AND(#REF!,"AAAAAG/6z1w=")</f>
        <v>#REF!</v>
      </c>
      <c r="CP376" t="e">
        <f>AND(#REF!,"AAAAAG/6z10=")</f>
        <v>#REF!</v>
      </c>
      <c r="CQ376" t="e">
        <f>AND(#REF!,"AAAAAG/6z14=")</f>
        <v>#REF!</v>
      </c>
      <c r="CR376" t="e">
        <f>AND(#REF!,"AAAAAG/6z18=")</f>
        <v>#REF!</v>
      </c>
      <c r="CS376" t="e">
        <f>AND(#REF!,"AAAAAG/6z2A=")</f>
        <v>#REF!</v>
      </c>
      <c r="CT376" t="e">
        <f>AND(#REF!,"AAAAAG/6z2E=")</f>
        <v>#REF!</v>
      </c>
      <c r="CU376" t="e">
        <f>AND(#REF!,"AAAAAG/6z2I=")</f>
        <v>#REF!</v>
      </c>
      <c r="CV376" t="e">
        <f>IF(#REF!,"AAAAAG/6z2M=",0)</f>
        <v>#REF!</v>
      </c>
      <c r="CW376" t="e">
        <f>AND(#REF!,"AAAAAG/6z2Q=")</f>
        <v>#REF!</v>
      </c>
      <c r="CX376" t="e">
        <f>AND(#REF!,"AAAAAG/6z2U=")</f>
        <v>#REF!</v>
      </c>
      <c r="CY376" t="e">
        <f>AND(#REF!,"AAAAAG/6z2Y=")</f>
        <v>#REF!</v>
      </c>
      <c r="CZ376" t="e">
        <f>AND(#REF!,"AAAAAG/6z2c=")</f>
        <v>#REF!</v>
      </c>
      <c r="DA376" t="e">
        <f>AND(#REF!,"AAAAAG/6z2g=")</f>
        <v>#REF!</v>
      </c>
      <c r="DB376" t="e">
        <f>AND(#REF!,"AAAAAG/6z2k=")</f>
        <v>#REF!</v>
      </c>
      <c r="DC376" t="e">
        <f>AND(#REF!,"AAAAAG/6z2o=")</f>
        <v>#REF!</v>
      </c>
      <c r="DD376" t="e">
        <f>AND(#REF!,"AAAAAG/6z2s=")</f>
        <v>#REF!</v>
      </c>
      <c r="DE376" t="e">
        <f>AND(#REF!,"AAAAAG/6z2w=")</f>
        <v>#REF!</v>
      </c>
      <c r="DF376" t="e">
        <f>AND(#REF!,"AAAAAG/6z20=")</f>
        <v>#REF!</v>
      </c>
      <c r="DG376" t="e">
        <f>IF(#REF!,"AAAAAG/6z24=",0)</f>
        <v>#REF!</v>
      </c>
      <c r="DH376" t="e">
        <f>AND(#REF!,"AAAAAG/6z28=")</f>
        <v>#REF!</v>
      </c>
      <c r="DI376" t="e">
        <f>AND(#REF!,"AAAAAG/6z3A=")</f>
        <v>#REF!</v>
      </c>
      <c r="DJ376" t="e">
        <f>AND(#REF!,"AAAAAG/6z3E=")</f>
        <v>#REF!</v>
      </c>
      <c r="DK376" t="e">
        <f>AND(#REF!,"AAAAAG/6z3I=")</f>
        <v>#REF!</v>
      </c>
      <c r="DL376" t="e">
        <f>AND(#REF!,"AAAAAG/6z3M=")</f>
        <v>#REF!</v>
      </c>
      <c r="DM376" t="e">
        <f>AND(#REF!,"AAAAAG/6z3Q=")</f>
        <v>#REF!</v>
      </c>
      <c r="DN376" t="e">
        <f>AND(#REF!,"AAAAAG/6z3U=")</f>
        <v>#REF!</v>
      </c>
      <c r="DO376" t="e">
        <f>AND(#REF!,"AAAAAG/6z3Y=")</f>
        <v>#REF!</v>
      </c>
      <c r="DP376" t="e">
        <f>AND(#REF!,"AAAAAG/6z3c=")</f>
        <v>#REF!</v>
      </c>
      <c r="DQ376" t="e">
        <f>AND(#REF!,"AAAAAG/6z3g=")</f>
        <v>#REF!</v>
      </c>
      <c r="DR376" t="e">
        <f>IF(#REF!,"AAAAAG/6z3k=",0)</f>
        <v>#REF!</v>
      </c>
      <c r="DS376" t="e">
        <f>AND(#REF!,"AAAAAG/6z3o=")</f>
        <v>#REF!</v>
      </c>
      <c r="DT376" t="e">
        <f>AND(#REF!,"AAAAAG/6z3s=")</f>
        <v>#REF!</v>
      </c>
      <c r="DU376" t="e">
        <f>AND(#REF!,"AAAAAG/6z3w=")</f>
        <v>#REF!</v>
      </c>
      <c r="DV376" t="e">
        <f>AND(#REF!,"AAAAAG/6z30=")</f>
        <v>#REF!</v>
      </c>
      <c r="DW376" t="e">
        <f>AND(#REF!,"AAAAAG/6z34=")</f>
        <v>#REF!</v>
      </c>
      <c r="DX376" t="e">
        <f>AND(#REF!,"AAAAAG/6z38=")</f>
        <v>#REF!</v>
      </c>
      <c r="DY376" t="e">
        <f>AND(#REF!,"AAAAAG/6z4A=")</f>
        <v>#REF!</v>
      </c>
      <c r="DZ376" t="e">
        <f>AND(#REF!,"AAAAAG/6z4E=")</f>
        <v>#REF!</v>
      </c>
      <c r="EA376" t="e">
        <f>AND(#REF!,"AAAAAG/6z4I=")</f>
        <v>#REF!</v>
      </c>
      <c r="EB376" t="e">
        <f>AND(#REF!,"AAAAAG/6z4M=")</f>
        <v>#REF!</v>
      </c>
      <c r="EC376" t="e">
        <f>IF(#REF!,"AAAAAG/6z4Q=",0)</f>
        <v>#REF!</v>
      </c>
      <c r="ED376" t="e">
        <f>AND(#REF!,"AAAAAG/6z4U=")</f>
        <v>#REF!</v>
      </c>
      <c r="EE376" t="e">
        <f>AND(#REF!,"AAAAAG/6z4Y=")</f>
        <v>#REF!</v>
      </c>
      <c r="EF376" t="e">
        <f>AND(#REF!,"AAAAAG/6z4c=")</f>
        <v>#REF!</v>
      </c>
      <c r="EG376" t="e">
        <f>AND(#REF!,"AAAAAG/6z4g=")</f>
        <v>#REF!</v>
      </c>
      <c r="EH376" t="e">
        <f>AND(#REF!,"AAAAAG/6z4k=")</f>
        <v>#REF!</v>
      </c>
      <c r="EI376" t="e">
        <f>AND(#REF!,"AAAAAG/6z4o=")</f>
        <v>#REF!</v>
      </c>
      <c r="EJ376" t="e">
        <f>AND(#REF!,"AAAAAG/6z4s=")</f>
        <v>#REF!</v>
      </c>
      <c r="EK376" t="e">
        <f>AND(#REF!,"AAAAAG/6z4w=")</f>
        <v>#REF!</v>
      </c>
      <c r="EL376" t="e">
        <f>AND(#REF!,"AAAAAG/6z40=")</f>
        <v>#REF!</v>
      </c>
      <c r="EM376" t="e">
        <f>AND(#REF!,"AAAAAG/6z44=")</f>
        <v>#REF!</v>
      </c>
      <c r="EN376" t="e">
        <f>IF(#REF!,"AAAAAG/6z48=",0)</f>
        <v>#REF!</v>
      </c>
      <c r="EO376" t="e">
        <f>AND(#REF!,"AAAAAG/6z5A=")</f>
        <v>#REF!</v>
      </c>
      <c r="EP376" t="e">
        <f>AND(#REF!,"AAAAAG/6z5E=")</f>
        <v>#REF!</v>
      </c>
      <c r="EQ376" t="e">
        <f>AND(#REF!,"AAAAAG/6z5I=")</f>
        <v>#REF!</v>
      </c>
      <c r="ER376" t="e">
        <f>AND(#REF!,"AAAAAG/6z5M=")</f>
        <v>#REF!</v>
      </c>
      <c r="ES376" t="e">
        <f>AND(#REF!,"AAAAAG/6z5Q=")</f>
        <v>#REF!</v>
      </c>
      <c r="ET376" t="e">
        <f>AND(#REF!,"AAAAAG/6z5U=")</f>
        <v>#REF!</v>
      </c>
      <c r="EU376" t="e">
        <f>AND(#REF!,"AAAAAG/6z5Y=")</f>
        <v>#REF!</v>
      </c>
      <c r="EV376" t="e">
        <f>AND(#REF!,"AAAAAG/6z5c=")</f>
        <v>#REF!</v>
      </c>
      <c r="EW376" t="e">
        <f>AND(#REF!,"AAAAAG/6z5g=")</f>
        <v>#REF!</v>
      </c>
      <c r="EX376" t="e">
        <f>AND(#REF!,"AAAAAG/6z5k=")</f>
        <v>#REF!</v>
      </c>
      <c r="EY376" t="e">
        <f>IF(#REF!,"AAAAAG/6z5o=",0)</f>
        <v>#REF!</v>
      </c>
      <c r="EZ376" t="e">
        <f>AND(#REF!,"AAAAAG/6z5s=")</f>
        <v>#REF!</v>
      </c>
      <c r="FA376" t="e">
        <f>AND(#REF!,"AAAAAG/6z5w=")</f>
        <v>#REF!</v>
      </c>
      <c r="FB376" t="e">
        <f>AND(#REF!,"AAAAAG/6z50=")</f>
        <v>#REF!</v>
      </c>
      <c r="FC376" t="e">
        <f>AND(#REF!,"AAAAAG/6z54=")</f>
        <v>#REF!</v>
      </c>
      <c r="FD376" t="e">
        <f>AND(#REF!,"AAAAAG/6z58=")</f>
        <v>#REF!</v>
      </c>
      <c r="FE376" t="e">
        <f>AND(#REF!,"AAAAAG/6z6A=")</f>
        <v>#REF!</v>
      </c>
      <c r="FF376" t="e">
        <f>AND(#REF!,"AAAAAG/6z6E=")</f>
        <v>#REF!</v>
      </c>
      <c r="FG376" t="e">
        <f>AND(#REF!,"AAAAAG/6z6I=")</f>
        <v>#REF!</v>
      </c>
      <c r="FH376" t="e">
        <f>AND(#REF!,"AAAAAG/6z6M=")</f>
        <v>#REF!</v>
      </c>
      <c r="FI376" t="e">
        <f>AND(#REF!,"AAAAAG/6z6Q=")</f>
        <v>#REF!</v>
      </c>
      <c r="FJ376" t="e">
        <f>IF(#REF!,"AAAAAG/6z6U=",0)</f>
        <v>#REF!</v>
      </c>
      <c r="FK376" t="e">
        <f>AND(#REF!,"AAAAAG/6z6Y=")</f>
        <v>#REF!</v>
      </c>
      <c r="FL376" t="e">
        <f>AND(#REF!,"AAAAAG/6z6c=")</f>
        <v>#REF!</v>
      </c>
      <c r="FM376" t="e">
        <f>AND(#REF!,"AAAAAG/6z6g=")</f>
        <v>#REF!</v>
      </c>
      <c r="FN376" t="e">
        <f>AND(#REF!,"AAAAAG/6z6k=")</f>
        <v>#REF!</v>
      </c>
      <c r="FO376" t="e">
        <f>AND(#REF!,"AAAAAG/6z6o=")</f>
        <v>#REF!</v>
      </c>
      <c r="FP376" t="e">
        <f>AND(#REF!,"AAAAAG/6z6s=")</f>
        <v>#REF!</v>
      </c>
      <c r="FQ376" t="e">
        <f>AND(#REF!,"AAAAAG/6z6w=")</f>
        <v>#REF!</v>
      </c>
      <c r="FR376" t="e">
        <f>AND(#REF!,"AAAAAG/6z60=")</f>
        <v>#REF!</v>
      </c>
      <c r="FS376" t="e">
        <f>AND(#REF!,"AAAAAG/6z64=")</f>
        <v>#REF!</v>
      </c>
      <c r="FT376" t="e">
        <f>AND(#REF!,"AAAAAG/6z68=")</f>
        <v>#REF!</v>
      </c>
      <c r="FU376" t="e">
        <f>IF(#REF!,"AAAAAG/6z7A=",0)</f>
        <v>#REF!</v>
      </c>
      <c r="FV376" t="e">
        <f>AND(#REF!,"AAAAAG/6z7E=")</f>
        <v>#REF!</v>
      </c>
      <c r="FW376" t="e">
        <f>AND(#REF!,"AAAAAG/6z7I=")</f>
        <v>#REF!</v>
      </c>
      <c r="FX376" t="e">
        <f>AND(#REF!,"AAAAAG/6z7M=")</f>
        <v>#REF!</v>
      </c>
      <c r="FY376" t="e">
        <f>AND(#REF!,"AAAAAG/6z7Q=")</f>
        <v>#REF!</v>
      </c>
      <c r="FZ376" t="e">
        <f>AND(#REF!,"AAAAAG/6z7U=")</f>
        <v>#REF!</v>
      </c>
      <c r="GA376" t="e">
        <f>AND(#REF!,"AAAAAG/6z7Y=")</f>
        <v>#REF!</v>
      </c>
      <c r="GB376" t="e">
        <f>AND(#REF!,"AAAAAG/6z7c=")</f>
        <v>#REF!</v>
      </c>
      <c r="GC376" t="e">
        <f>AND(#REF!,"AAAAAG/6z7g=")</f>
        <v>#REF!</v>
      </c>
      <c r="GD376" t="e">
        <f>AND(#REF!,"AAAAAG/6z7k=")</f>
        <v>#REF!</v>
      </c>
      <c r="GE376" t="e">
        <f>AND(#REF!,"AAAAAG/6z7o=")</f>
        <v>#REF!</v>
      </c>
      <c r="GF376" t="e">
        <f>IF(#REF!,"AAAAAG/6z7s=",0)</f>
        <v>#REF!</v>
      </c>
      <c r="GG376" t="e">
        <f>AND(#REF!,"AAAAAG/6z7w=")</f>
        <v>#REF!</v>
      </c>
      <c r="GH376" t="e">
        <f>AND(#REF!,"AAAAAG/6z70=")</f>
        <v>#REF!</v>
      </c>
      <c r="GI376" t="e">
        <f>AND(#REF!,"AAAAAG/6z74=")</f>
        <v>#REF!</v>
      </c>
      <c r="GJ376" t="e">
        <f>AND(#REF!,"AAAAAG/6z78=")</f>
        <v>#REF!</v>
      </c>
      <c r="GK376" t="e">
        <f>AND(#REF!,"AAAAAG/6z8A=")</f>
        <v>#REF!</v>
      </c>
      <c r="GL376" t="e">
        <f>AND(#REF!,"AAAAAG/6z8E=")</f>
        <v>#REF!</v>
      </c>
      <c r="GM376" t="e">
        <f>AND(#REF!,"AAAAAG/6z8I=")</f>
        <v>#REF!</v>
      </c>
      <c r="GN376" t="e">
        <f>AND(#REF!,"AAAAAG/6z8M=")</f>
        <v>#REF!</v>
      </c>
      <c r="GO376" t="e">
        <f>AND(#REF!,"AAAAAG/6z8Q=")</f>
        <v>#REF!</v>
      </c>
      <c r="GP376" t="e">
        <f>AND(#REF!,"AAAAAG/6z8U=")</f>
        <v>#REF!</v>
      </c>
      <c r="GQ376" t="e">
        <f>IF(#REF!,"AAAAAG/6z8Y=",0)</f>
        <v>#REF!</v>
      </c>
      <c r="GR376" t="e">
        <f>AND(#REF!,"AAAAAG/6z8c=")</f>
        <v>#REF!</v>
      </c>
      <c r="GS376" t="e">
        <f>AND(#REF!,"AAAAAG/6z8g=")</f>
        <v>#REF!</v>
      </c>
      <c r="GT376" t="e">
        <f>AND(#REF!,"AAAAAG/6z8k=")</f>
        <v>#REF!</v>
      </c>
      <c r="GU376" t="e">
        <f>AND(#REF!,"AAAAAG/6z8o=")</f>
        <v>#REF!</v>
      </c>
      <c r="GV376" t="e">
        <f>AND(#REF!,"AAAAAG/6z8s=")</f>
        <v>#REF!</v>
      </c>
      <c r="GW376" t="e">
        <f>AND(#REF!,"AAAAAG/6z8w=")</f>
        <v>#REF!</v>
      </c>
      <c r="GX376" t="e">
        <f>AND(#REF!,"AAAAAG/6z80=")</f>
        <v>#REF!</v>
      </c>
      <c r="GY376" t="e">
        <f>AND(#REF!,"AAAAAG/6z84=")</f>
        <v>#REF!</v>
      </c>
      <c r="GZ376" t="e">
        <f>AND(#REF!,"AAAAAG/6z88=")</f>
        <v>#REF!</v>
      </c>
      <c r="HA376" t="e">
        <f>AND(#REF!,"AAAAAG/6z9A=")</f>
        <v>#REF!</v>
      </c>
      <c r="HB376" t="e">
        <f>IF(#REF!,"AAAAAG/6z9E=",0)</f>
        <v>#REF!</v>
      </c>
      <c r="HC376" t="e">
        <f>AND(#REF!,"AAAAAG/6z9I=")</f>
        <v>#REF!</v>
      </c>
      <c r="HD376" t="e">
        <f>AND(#REF!,"AAAAAG/6z9M=")</f>
        <v>#REF!</v>
      </c>
      <c r="HE376" t="e">
        <f>AND(#REF!,"AAAAAG/6z9Q=")</f>
        <v>#REF!</v>
      </c>
      <c r="HF376" t="e">
        <f>AND(#REF!,"AAAAAG/6z9U=")</f>
        <v>#REF!</v>
      </c>
      <c r="HG376" t="e">
        <f>AND(#REF!,"AAAAAG/6z9Y=")</f>
        <v>#REF!</v>
      </c>
      <c r="HH376" t="e">
        <f>AND(#REF!,"AAAAAG/6z9c=")</f>
        <v>#REF!</v>
      </c>
      <c r="HI376" t="e">
        <f>AND(#REF!,"AAAAAG/6z9g=")</f>
        <v>#REF!</v>
      </c>
      <c r="HJ376" t="e">
        <f>AND(#REF!,"AAAAAG/6z9k=")</f>
        <v>#REF!</v>
      </c>
      <c r="HK376" t="e">
        <f>AND(#REF!,"AAAAAG/6z9o=")</f>
        <v>#REF!</v>
      </c>
      <c r="HL376" t="e">
        <f>AND(#REF!,"AAAAAG/6z9s=")</f>
        <v>#REF!</v>
      </c>
      <c r="HM376" t="e">
        <f>IF(#REF!,"AAAAAG/6z9w=",0)</f>
        <v>#REF!</v>
      </c>
      <c r="HN376" t="e">
        <f>AND(#REF!,"AAAAAG/6z90=")</f>
        <v>#REF!</v>
      </c>
      <c r="HO376" t="e">
        <f>AND(#REF!,"AAAAAG/6z94=")</f>
        <v>#REF!</v>
      </c>
      <c r="HP376" t="e">
        <f>AND(#REF!,"AAAAAG/6z98=")</f>
        <v>#REF!</v>
      </c>
      <c r="HQ376" t="e">
        <f>AND(#REF!,"AAAAAG/6z+A=")</f>
        <v>#REF!</v>
      </c>
      <c r="HR376" t="e">
        <f>AND(#REF!,"AAAAAG/6z+E=")</f>
        <v>#REF!</v>
      </c>
      <c r="HS376" t="e">
        <f>AND(#REF!,"AAAAAG/6z+I=")</f>
        <v>#REF!</v>
      </c>
      <c r="HT376" t="e">
        <f>AND(#REF!,"AAAAAG/6z+M=")</f>
        <v>#REF!</v>
      </c>
      <c r="HU376" t="e">
        <f>AND(#REF!,"AAAAAG/6z+Q=")</f>
        <v>#REF!</v>
      </c>
      <c r="HV376" t="e">
        <f>AND(#REF!,"AAAAAG/6z+U=")</f>
        <v>#REF!</v>
      </c>
      <c r="HW376" t="e">
        <f>AND(#REF!,"AAAAAG/6z+Y=")</f>
        <v>#REF!</v>
      </c>
      <c r="HX376" t="e">
        <f>IF(#REF!,"AAAAAG/6z+c=",0)</f>
        <v>#REF!</v>
      </c>
      <c r="HY376" t="e">
        <f>AND(#REF!,"AAAAAG/6z+g=")</f>
        <v>#REF!</v>
      </c>
      <c r="HZ376" t="e">
        <f>AND(#REF!,"AAAAAG/6z+k=")</f>
        <v>#REF!</v>
      </c>
      <c r="IA376" t="e">
        <f>AND(#REF!,"AAAAAG/6z+o=")</f>
        <v>#REF!</v>
      </c>
      <c r="IB376" t="e">
        <f>AND(#REF!,"AAAAAG/6z+s=")</f>
        <v>#REF!</v>
      </c>
      <c r="IC376" t="e">
        <f>AND(#REF!,"AAAAAG/6z+w=")</f>
        <v>#REF!</v>
      </c>
      <c r="ID376" t="e">
        <f>AND(#REF!,"AAAAAG/6z+0=")</f>
        <v>#REF!</v>
      </c>
      <c r="IE376" t="e">
        <f>AND(#REF!,"AAAAAG/6z+4=")</f>
        <v>#REF!</v>
      </c>
      <c r="IF376" t="e">
        <f>AND(#REF!,"AAAAAG/6z+8=")</f>
        <v>#REF!</v>
      </c>
      <c r="IG376" t="e">
        <f>AND(#REF!,"AAAAAG/6z/A=")</f>
        <v>#REF!</v>
      </c>
      <c r="IH376" t="e">
        <f>AND(#REF!,"AAAAAG/6z/E=")</f>
        <v>#REF!</v>
      </c>
      <c r="II376" t="e">
        <f>IF(#REF!,"AAAAAG/6z/I=",0)</f>
        <v>#REF!</v>
      </c>
      <c r="IJ376" t="e">
        <f>AND(#REF!,"AAAAAG/6z/M=")</f>
        <v>#REF!</v>
      </c>
      <c r="IK376" t="e">
        <f>AND(#REF!,"AAAAAG/6z/Q=")</f>
        <v>#REF!</v>
      </c>
      <c r="IL376" t="e">
        <f>AND(#REF!,"AAAAAG/6z/U=")</f>
        <v>#REF!</v>
      </c>
      <c r="IM376" t="e">
        <f>AND(#REF!,"AAAAAG/6z/Y=")</f>
        <v>#REF!</v>
      </c>
      <c r="IN376" t="e">
        <f>AND(#REF!,"AAAAAG/6z/c=")</f>
        <v>#REF!</v>
      </c>
      <c r="IO376" t="e">
        <f>AND(#REF!,"AAAAAG/6z/g=")</f>
        <v>#REF!</v>
      </c>
      <c r="IP376" t="e">
        <f>AND(#REF!,"AAAAAG/6z/k=")</f>
        <v>#REF!</v>
      </c>
      <c r="IQ376" t="e">
        <f>AND(#REF!,"AAAAAG/6z/o=")</f>
        <v>#REF!</v>
      </c>
      <c r="IR376" t="e">
        <f>AND(#REF!,"AAAAAG/6z/s=")</f>
        <v>#REF!</v>
      </c>
      <c r="IS376" t="e">
        <f>AND(#REF!,"AAAAAG/6z/w=")</f>
        <v>#REF!</v>
      </c>
      <c r="IT376" t="e">
        <f>IF(#REF!,"AAAAAG/6z/0=",0)</f>
        <v>#REF!</v>
      </c>
      <c r="IU376" t="e">
        <f>AND(#REF!,"AAAAAG/6z/4=")</f>
        <v>#REF!</v>
      </c>
      <c r="IV376" t="e">
        <f>AND(#REF!,"AAAAAG/6z/8=")</f>
        <v>#REF!</v>
      </c>
    </row>
    <row r="377" spans="1:256" x14ac:dyDescent="0.25">
      <c r="A377" t="e">
        <f>AND(#REF!,"AAAAAC8f7QA=")</f>
        <v>#REF!</v>
      </c>
      <c r="B377" t="e">
        <f>AND(#REF!,"AAAAAC8f7QE=")</f>
        <v>#REF!</v>
      </c>
      <c r="C377" t="e">
        <f>AND(#REF!,"AAAAAC8f7QI=")</f>
        <v>#REF!</v>
      </c>
      <c r="D377" t="e">
        <f>AND(#REF!,"AAAAAC8f7QM=")</f>
        <v>#REF!</v>
      </c>
      <c r="E377" t="e">
        <f>AND(#REF!,"AAAAAC8f7QQ=")</f>
        <v>#REF!</v>
      </c>
      <c r="F377" t="e">
        <f>AND(#REF!,"AAAAAC8f7QU=")</f>
        <v>#REF!</v>
      </c>
      <c r="G377" t="e">
        <f>AND(#REF!,"AAAAAC8f7QY=")</f>
        <v>#REF!</v>
      </c>
      <c r="H377" t="e">
        <f>AND(#REF!,"AAAAAC8f7Qc=")</f>
        <v>#REF!</v>
      </c>
      <c r="I377" t="e">
        <f>IF(#REF!,"AAAAAC8f7Qg=",0)</f>
        <v>#REF!</v>
      </c>
      <c r="J377" t="e">
        <f>AND(#REF!,"AAAAAC8f7Qk=")</f>
        <v>#REF!</v>
      </c>
      <c r="K377" t="e">
        <f>AND(#REF!,"AAAAAC8f7Qo=")</f>
        <v>#REF!</v>
      </c>
      <c r="L377" t="e">
        <f>AND(#REF!,"AAAAAC8f7Qs=")</f>
        <v>#REF!</v>
      </c>
      <c r="M377" t="e">
        <f>AND(#REF!,"AAAAAC8f7Qw=")</f>
        <v>#REF!</v>
      </c>
      <c r="N377" t="e">
        <f>AND(#REF!,"AAAAAC8f7Q0=")</f>
        <v>#REF!</v>
      </c>
      <c r="O377" t="e">
        <f>AND(#REF!,"AAAAAC8f7Q4=")</f>
        <v>#REF!</v>
      </c>
      <c r="P377" t="e">
        <f>AND(#REF!,"AAAAAC8f7Q8=")</f>
        <v>#REF!</v>
      </c>
      <c r="Q377" t="e">
        <f>AND(#REF!,"AAAAAC8f7RA=")</f>
        <v>#REF!</v>
      </c>
      <c r="R377" t="e">
        <f>AND(#REF!,"AAAAAC8f7RE=")</f>
        <v>#REF!</v>
      </c>
      <c r="S377" t="e">
        <f>AND(#REF!,"AAAAAC8f7RI=")</f>
        <v>#REF!</v>
      </c>
      <c r="T377" t="e">
        <f>IF(#REF!,"AAAAAC8f7RM=",0)</f>
        <v>#REF!</v>
      </c>
      <c r="U377" t="e">
        <f>AND(#REF!,"AAAAAC8f7RQ=")</f>
        <v>#REF!</v>
      </c>
      <c r="V377" t="e">
        <f>AND(#REF!,"AAAAAC8f7RU=")</f>
        <v>#REF!</v>
      </c>
      <c r="W377" t="e">
        <f>AND(#REF!,"AAAAAC8f7RY=")</f>
        <v>#REF!</v>
      </c>
      <c r="X377" t="e">
        <f>AND(#REF!,"AAAAAC8f7Rc=")</f>
        <v>#REF!</v>
      </c>
      <c r="Y377" t="e">
        <f>AND(#REF!,"AAAAAC8f7Rg=")</f>
        <v>#REF!</v>
      </c>
      <c r="Z377" t="e">
        <f>AND(#REF!,"AAAAAC8f7Rk=")</f>
        <v>#REF!</v>
      </c>
      <c r="AA377" t="e">
        <f>AND(#REF!,"AAAAAC8f7Ro=")</f>
        <v>#REF!</v>
      </c>
      <c r="AB377" t="e">
        <f>AND(#REF!,"AAAAAC8f7Rs=")</f>
        <v>#REF!</v>
      </c>
      <c r="AC377" t="e">
        <f>AND(#REF!,"AAAAAC8f7Rw=")</f>
        <v>#REF!</v>
      </c>
      <c r="AD377" t="e">
        <f>AND(#REF!,"AAAAAC8f7R0=")</f>
        <v>#REF!</v>
      </c>
      <c r="AE377" t="e">
        <f>IF(#REF!,"AAAAAC8f7R4=",0)</f>
        <v>#REF!</v>
      </c>
      <c r="AF377" t="e">
        <f>AND(#REF!,"AAAAAC8f7R8=")</f>
        <v>#REF!</v>
      </c>
      <c r="AG377" t="e">
        <f>AND(#REF!,"AAAAAC8f7SA=")</f>
        <v>#REF!</v>
      </c>
      <c r="AH377" t="e">
        <f>AND(#REF!,"AAAAAC8f7SE=")</f>
        <v>#REF!</v>
      </c>
      <c r="AI377" t="e">
        <f>AND(#REF!,"AAAAAC8f7SI=")</f>
        <v>#REF!</v>
      </c>
      <c r="AJ377" t="e">
        <f>AND(#REF!,"AAAAAC8f7SM=")</f>
        <v>#REF!</v>
      </c>
      <c r="AK377" t="e">
        <f>AND(#REF!,"AAAAAC8f7SQ=")</f>
        <v>#REF!</v>
      </c>
      <c r="AL377" t="e">
        <f>AND(#REF!,"AAAAAC8f7SU=")</f>
        <v>#REF!</v>
      </c>
      <c r="AM377" t="e">
        <f>AND(#REF!,"AAAAAC8f7SY=")</f>
        <v>#REF!</v>
      </c>
      <c r="AN377" t="e">
        <f>AND(#REF!,"AAAAAC8f7Sc=")</f>
        <v>#REF!</v>
      </c>
      <c r="AO377" t="e">
        <f>AND(#REF!,"AAAAAC8f7Sg=")</f>
        <v>#REF!</v>
      </c>
      <c r="AP377" t="e">
        <f>IF(#REF!,"AAAAAC8f7Sk=",0)</f>
        <v>#REF!</v>
      </c>
      <c r="AQ377" t="e">
        <f>AND(#REF!,"AAAAAC8f7So=")</f>
        <v>#REF!</v>
      </c>
      <c r="AR377" t="e">
        <f>AND(#REF!,"AAAAAC8f7Ss=")</f>
        <v>#REF!</v>
      </c>
      <c r="AS377" t="e">
        <f>AND(#REF!,"AAAAAC8f7Sw=")</f>
        <v>#REF!</v>
      </c>
      <c r="AT377" t="e">
        <f>AND(#REF!,"AAAAAC8f7S0=")</f>
        <v>#REF!</v>
      </c>
      <c r="AU377" t="e">
        <f>AND(#REF!,"AAAAAC8f7S4=")</f>
        <v>#REF!</v>
      </c>
      <c r="AV377" t="e">
        <f>AND(#REF!,"AAAAAC8f7S8=")</f>
        <v>#REF!</v>
      </c>
      <c r="AW377" t="e">
        <f>AND(#REF!,"AAAAAC8f7TA=")</f>
        <v>#REF!</v>
      </c>
      <c r="AX377" t="e">
        <f>AND(#REF!,"AAAAAC8f7TE=")</f>
        <v>#REF!</v>
      </c>
      <c r="AY377" t="e">
        <f>AND(#REF!,"AAAAAC8f7TI=")</f>
        <v>#REF!</v>
      </c>
      <c r="AZ377" t="e">
        <f>AND(#REF!,"AAAAAC8f7TM=")</f>
        <v>#REF!</v>
      </c>
      <c r="BA377" t="e">
        <f>IF(#REF!,"AAAAAC8f7TQ=",0)</f>
        <v>#REF!</v>
      </c>
      <c r="BB377" t="e">
        <f>AND(#REF!,"AAAAAC8f7TU=")</f>
        <v>#REF!</v>
      </c>
      <c r="BC377" t="e">
        <f>AND(#REF!,"AAAAAC8f7TY=")</f>
        <v>#REF!</v>
      </c>
      <c r="BD377" t="e">
        <f>AND(#REF!,"AAAAAC8f7Tc=")</f>
        <v>#REF!</v>
      </c>
      <c r="BE377" t="e">
        <f>AND(#REF!,"AAAAAC8f7Tg=")</f>
        <v>#REF!</v>
      </c>
      <c r="BF377" t="e">
        <f>AND(#REF!,"AAAAAC8f7Tk=")</f>
        <v>#REF!</v>
      </c>
      <c r="BG377" t="e">
        <f>AND(#REF!,"AAAAAC8f7To=")</f>
        <v>#REF!</v>
      </c>
      <c r="BH377" t="e">
        <f>AND(#REF!,"AAAAAC8f7Ts=")</f>
        <v>#REF!</v>
      </c>
      <c r="BI377" t="e">
        <f>AND(#REF!,"AAAAAC8f7Tw=")</f>
        <v>#REF!</v>
      </c>
      <c r="BJ377" t="e">
        <f>AND(#REF!,"AAAAAC8f7T0=")</f>
        <v>#REF!</v>
      </c>
      <c r="BK377" t="e">
        <f>AND(#REF!,"AAAAAC8f7T4=")</f>
        <v>#REF!</v>
      </c>
      <c r="BL377" t="e">
        <f>IF(#REF!,"AAAAAC8f7T8=",0)</f>
        <v>#REF!</v>
      </c>
      <c r="BM377" t="e">
        <f>AND(#REF!,"AAAAAC8f7UA=")</f>
        <v>#REF!</v>
      </c>
      <c r="BN377" t="e">
        <f>AND(#REF!,"AAAAAC8f7UE=")</f>
        <v>#REF!</v>
      </c>
      <c r="BO377" t="e">
        <f>AND(#REF!,"AAAAAC8f7UI=")</f>
        <v>#REF!</v>
      </c>
      <c r="BP377" t="e">
        <f>AND(#REF!,"AAAAAC8f7UM=")</f>
        <v>#REF!</v>
      </c>
      <c r="BQ377" t="e">
        <f>AND(#REF!,"AAAAAC8f7UQ=")</f>
        <v>#REF!</v>
      </c>
      <c r="BR377" t="e">
        <f>AND(#REF!,"AAAAAC8f7UU=")</f>
        <v>#REF!</v>
      </c>
      <c r="BS377" t="e">
        <f>AND(#REF!,"AAAAAC8f7UY=")</f>
        <v>#REF!</v>
      </c>
      <c r="BT377" t="e">
        <f>AND(#REF!,"AAAAAC8f7Uc=")</f>
        <v>#REF!</v>
      </c>
      <c r="BU377" t="e">
        <f>AND(#REF!,"AAAAAC8f7Ug=")</f>
        <v>#REF!</v>
      </c>
      <c r="BV377" t="e">
        <f>AND(#REF!,"AAAAAC8f7Uk=")</f>
        <v>#REF!</v>
      </c>
      <c r="BW377" t="e">
        <f>IF(#REF!,"AAAAAC8f7Uo=",0)</f>
        <v>#REF!</v>
      </c>
      <c r="BX377" t="e">
        <f>AND(#REF!,"AAAAAC8f7Us=")</f>
        <v>#REF!</v>
      </c>
      <c r="BY377" t="e">
        <f>AND(#REF!,"AAAAAC8f7Uw=")</f>
        <v>#REF!</v>
      </c>
      <c r="BZ377" t="e">
        <f>AND(#REF!,"AAAAAC8f7U0=")</f>
        <v>#REF!</v>
      </c>
      <c r="CA377" t="e">
        <f>AND(#REF!,"AAAAAC8f7U4=")</f>
        <v>#REF!</v>
      </c>
      <c r="CB377" t="e">
        <f>AND(#REF!,"AAAAAC8f7U8=")</f>
        <v>#REF!</v>
      </c>
      <c r="CC377" t="e">
        <f>AND(#REF!,"AAAAAC8f7VA=")</f>
        <v>#REF!</v>
      </c>
      <c r="CD377" t="e">
        <f>AND(#REF!,"AAAAAC8f7VE=")</f>
        <v>#REF!</v>
      </c>
      <c r="CE377" t="e">
        <f>AND(#REF!,"AAAAAC8f7VI=")</f>
        <v>#REF!</v>
      </c>
      <c r="CF377" t="e">
        <f>AND(#REF!,"AAAAAC8f7VM=")</f>
        <v>#REF!</v>
      </c>
      <c r="CG377" t="e">
        <f>AND(#REF!,"AAAAAC8f7VQ=")</f>
        <v>#REF!</v>
      </c>
      <c r="CH377" t="e">
        <f>IF(#REF!,"AAAAAC8f7VU=",0)</f>
        <v>#REF!</v>
      </c>
      <c r="CI377" t="e">
        <f>AND(#REF!,"AAAAAC8f7VY=")</f>
        <v>#REF!</v>
      </c>
      <c r="CJ377" t="e">
        <f>AND(#REF!,"AAAAAC8f7Vc=")</f>
        <v>#REF!</v>
      </c>
      <c r="CK377" t="e">
        <f>AND(#REF!,"AAAAAC8f7Vg=")</f>
        <v>#REF!</v>
      </c>
      <c r="CL377" t="e">
        <f>AND(#REF!,"AAAAAC8f7Vk=")</f>
        <v>#REF!</v>
      </c>
      <c r="CM377" t="e">
        <f>AND(#REF!,"AAAAAC8f7Vo=")</f>
        <v>#REF!</v>
      </c>
      <c r="CN377" t="e">
        <f>AND(#REF!,"AAAAAC8f7Vs=")</f>
        <v>#REF!</v>
      </c>
      <c r="CO377" t="e">
        <f>AND(#REF!,"AAAAAC8f7Vw=")</f>
        <v>#REF!</v>
      </c>
      <c r="CP377" t="e">
        <f>AND(#REF!,"AAAAAC8f7V0=")</f>
        <v>#REF!</v>
      </c>
      <c r="CQ377" t="e">
        <f>AND(#REF!,"AAAAAC8f7V4=")</f>
        <v>#REF!</v>
      </c>
      <c r="CR377" t="e">
        <f>AND(#REF!,"AAAAAC8f7V8=")</f>
        <v>#REF!</v>
      </c>
      <c r="CS377" t="e">
        <f>IF(#REF!,"AAAAAC8f7WA=",0)</f>
        <v>#REF!</v>
      </c>
      <c r="CT377" t="e">
        <f>AND(#REF!,"AAAAAC8f7WE=")</f>
        <v>#REF!</v>
      </c>
      <c r="CU377" t="e">
        <f>AND(#REF!,"AAAAAC8f7WI=")</f>
        <v>#REF!</v>
      </c>
      <c r="CV377" t="e">
        <f>AND(#REF!,"AAAAAC8f7WM=")</f>
        <v>#REF!</v>
      </c>
      <c r="CW377" t="e">
        <f>AND(#REF!,"AAAAAC8f7WQ=")</f>
        <v>#REF!</v>
      </c>
      <c r="CX377" t="e">
        <f>AND(#REF!,"AAAAAC8f7WU=")</f>
        <v>#REF!</v>
      </c>
      <c r="CY377" t="e">
        <f>AND(#REF!,"AAAAAC8f7WY=")</f>
        <v>#REF!</v>
      </c>
      <c r="CZ377" t="e">
        <f>AND(#REF!,"AAAAAC8f7Wc=")</f>
        <v>#REF!</v>
      </c>
      <c r="DA377" t="e">
        <f>AND(#REF!,"AAAAAC8f7Wg=")</f>
        <v>#REF!</v>
      </c>
      <c r="DB377" t="e">
        <f>AND(#REF!,"AAAAAC8f7Wk=")</f>
        <v>#REF!</v>
      </c>
      <c r="DC377" t="e">
        <f>AND(#REF!,"AAAAAC8f7Wo=")</f>
        <v>#REF!</v>
      </c>
      <c r="DD377" t="e">
        <f>IF(#REF!,"AAAAAC8f7Ws=",0)</f>
        <v>#REF!</v>
      </c>
      <c r="DE377" t="e">
        <f>AND(#REF!,"AAAAAC8f7Ww=")</f>
        <v>#REF!</v>
      </c>
      <c r="DF377" t="e">
        <f>AND(#REF!,"AAAAAC8f7W0=")</f>
        <v>#REF!</v>
      </c>
      <c r="DG377" t="e">
        <f>AND(#REF!,"AAAAAC8f7W4=")</f>
        <v>#REF!</v>
      </c>
      <c r="DH377" t="e">
        <f>AND(#REF!,"AAAAAC8f7W8=")</f>
        <v>#REF!</v>
      </c>
      <c r="DI377" t="e">
        <f>AND(#REF!,"AAAAAC8f7XA=")</f>
        <v>#REF!</v>
      </c>
      <c r="DJ377" t="e">
        <f>AND(#REF!,"AAAAAC8f7XE=")</f>
        <v>#REF!</v>
      </c>
      <c r="DK377" t="e">
        <f>AND(#REF!,"AAAAAC8f7XI=")</f>
        <v>#REF!</v>
      </c>
      <c r="DL377" t="e">
        <f>AND(#REF!,"AAAAAC8f7XM=")</f>
        <v>#REF!</v>
      </c>
      <c r="DM377" t="e">
        <f>AND(#REF!,"AAAAAC8f7XQ=")</f>
        <v>#REF!</v>
      </c>
      <c r="DN377" t="e">
        <f>AND(#REF!,"AAAAAC8f7XU=")</f>
        <v>#REF!</v>
      </c>
      <c r="DO377" t="e">
        <f>IF(#REF!,"AAAAAC8f7XY=",0)</f>
        <v>#REF!</v>
      </c>
      <c r="DP377" t="e">
        <f>AND(#REF!,"AAAAAC8f7Xc=")</f>
        <v>#REF!</v>
      </c>
      <c r="DQ377" t="e">
        <f>AND(#REF!,"AAAAAC8f7Xg=")</f>
        <v>#REF!</v>
      </c>
      <c r="DR377" t="e">
        <f>AND(#REF!,"AAAAAC8f7Xk=")</f>
        <v>#REF!</v>
      </c>
      <c r="DS377" t="e">
        <f>AND(#REF!,"AAAAAC8f7Xo=")</f>
        <v>#REF!</v>
      </c>
      <c r="DT377" t="e">
        <f>AND(#REF!,"AAAAAC8f7Xs=")</f>
        <v>#REF!</v>
      </c>
      <c r="DU377" t="e">
        <f>AND(#REF!,"AAAAAC8f7Xw=")</f>
        <v>#REF!</v>
      </c>
      <c r="DV377" t="e">
        <f>AND(#REF!,"AAAAAC8f7X0=")</f>
        <v>#REF!</v>
      </c>
      <c r="DW377" t="e">
        <f>AND(#REF!,"AAAAAC8f7X4=")</f>
        <v>#REF!</v>
      </c>
      <c r="DX377" t="e">
        <f>AND(#REF!,"AAAAAC8f7X8=")</f>
        <v>#REF!</v>
      </c>
      <c r="DY377" t="e">
        <f>AND(#REF!,"AAAAAC8f7YA=")</f>
        <v>#REF!</v>
      </c>
      <c r="DZ377" t="e">
        <f>IF(#REF!,"AAAAAC8f7YE=",0)</f>
        <v>#REF!</v>
      </c>
      <c r="EA377" t="e">
        <f>AND(#REF!,"AAAAAC8f7YI=")</f>
        <v>#REF!</v>
      </c>
      <c r="EB377" t="e">
        <f>AND(#REF!,"AAAAAC8f7YM=")</f>
        <v>#REF!</v>
      </c>
      <c r="EC377" t="e">
        <f>AND(#REF!,"AAAAAC8f7YQ=")</f>
        <v>#REF!</v>
      </c>
      <c r="ED377" t="e">
        <f>AND(#REF!,"AAAAAC8f7YU=")</f>
        <v>#REF!</v>
      </c>
      <c r="EE377" t="e">
        <f>AND(#REF!,"AAAAAC8f7YY=")</f>
        <v>#REF!</v>
      </c>
      <c r="EF377" t="e">
        <f>AND(#REF!,"AAAAAC8f7Yc=")</f>
        <v>#REF!</v>
      </c>
      <c r="EG377" t="e">
        <f>AND(#REF!,"AAAAAC8f7Yg=")</f>
        <v>#REF!</v>
      </c>
      <c r="EH377" t="e">
        <f>AND(#REF!,"AAAAAC8f7Yk=")</f>
        <v>#REF!</v>
      </c>
      <c r="EI377" t="e">
        <f>AND(#REF!,"AAAAAC8f7Yo=")</f>
        <v>#REF!</v>
      </c>
      <c r="EJ377" t="e">
        <f>AND(#REF!,"AAAAAC8f7Ys=")</f>
        <v>#REF!</v>
      </c>
      <c r="EK377" t="e">
        <f>IF(#REF!,"AAAAAC8f7Yw=",0)</f>
        <v>#REF!</v>
      </c>
      <c r="EL377" t="e">
        <f>AND(#REF!,"AAAAAC8f7Y0=")</f>
        <v>#REF!</v>
      </c>
      <c r="EM377" t="e">
        <f>AND(#REF!,"AAAAAC8f7Y4=")</f>
        <v>#REF!</v>
      </c>
      <c r="EN377" t="e">
        <f>AND(#REF!,"AAAAAC8f7Y8=")</f>
        <v>#REF!</v>
      </c>
      <c r="EO377" t="e">
        <f>AND(#REF!,"AAAAAC8f7ZA=")</f>
        <v>#REF!</v>
      </c>
      <c r="EP377" t="e">
        <f>AND(#REF!,"AAAAAC8f7ZE=")</f>
        <v>#REF!</v>
      </c>
      <c r="EQ377" t="e">
        <f>AND(#REF!,"AAAAAC8f7ZI=")</f>
        <v>#REF!</v>
      </c>
      <c r="ER377" t="e">
        <f>AND(#REF!,"AAAAAC8f7ZM=")</f>
        <v>#REF!</v>
      </c>
      <c r="ES377" t="e">
        <f>AND(#REF!,"AAAAAC8f7ZQ=")</f>
        <v>#REF!</v>
      </c>
      <c r="ET377" t="e">
        <f>AND(#REF!,"AAAAAC8f7ZU=")</f>
        <v>#REF!</v>
      </c>
      <c r="EU377" t="e">
        <f>AND(#REF!,"AAAAAC8f7ZY=")</f>
        <v>#REF!</v>
      </c>
      <c r="EV377" t="e">
        <f>IF(#REF!,"AAAAAC8f7Zc=",0)</f>
        <v>#REF!</v>
      </c>
      <c r="EW377" t="e">
        <f>AND(#REF!,"AAAAAC8f7Zg=")</f>
        <v>#REF!</v>
      </c>
      <c r="EX377" t="e">
        <f>AND(#REF!,"AAAAAC8f7Zk=")</f>
        <v>#REF!</v>
      </c>
      <c r="EY377" t="e">
        <f>AND(#REF!,"AAAAAC8f7Zo=")</f>
        <v>#REF!</v>
      </c>
      <c r="EZ377" t="e">
        <f>AND(#REF!,"AAAAAC8f7Zs=")</f>
        <v>#REF!</v>
      </c>
      <c r="FA377" t="e">
        <f>AND(#REF!,"AAAAAC8f7Zw=")</f>
        <v>#REF!</v>
      </c>
      <c r="FB377" t="e">
        <f>AND(#REF!,"AAAAAC8f7Z0=")</f>
        <v>#REF!</v>
      </c>
      <c r="FC377" t="e">
        <f>AND(#REF!,"AAAAAC8f7Z4=")</f>
        <v>#REF!</v>
      </c>
      <c r="FD377" t="e">
        <f>AND(#REF!,"AAAAAC8f7Z8=")</f>
        <v>#REF!</v>
      </c>
      <c r="FE377" t="e">
        <f>AND(#REF!,"AAAAAC8f7aA=")</f>
        <v>#REF!</v>
      </c>
      <c r="FF377" t="e">
        <f>AND(#REF!,"AAAAAC8f7aE=")</f>
        <v>#REF!</v>
      </c>
      <c r="FG377" t="e">
        <f>IF(#REF!,"AAAAAC8f7aI=",0)</f>
        <v>#REF!</v>
      </c>
      <c r="FH377" t="e">
        <f>AND(#REF!,"AAAAAC8f7aM=")</f>
        <v>#REF!</v>
      </c>
      <c r="FI377" t="e">
        <f>AND(#REF!,"AAAAAC8f7aQ=")</f>
        <v>#REF!</v>
      </c>
      <c r="FJ377" t="e">
        <f>AND(#REF!,"AAAAAC8f7aU=")</f>
        <v>#REF!</v>
      </c>
      <c r="FK377" t="e">
        <f>AND(#REF!,"AAAAAC8f7aY=")</f>
        <v>#REF!</v>
      </c>
      <c r="FL377" t="e">
        <f>AND(#REF!,"AAAAAC8f7ac=")</f>
        <v>#REF!</v>
      </c>
      <c r="FM377" t="e">
        <f>AND(#REF!,"AAAAAC8f7ag=")</f>
        <v>#REF!</v>
      </c>
      <c r="FN377" t="e">
        <f>AND(#REF!,"AAAAAC8f7ak=")</f>
        <v>#REF!</v>
      </c>
      <c r="FO377" t="e">
        <f>AND(#REF!,"AAAAAC8f7ao=")</f>
        <v>#REF!</v>
      </c>
      <c r="FP377" t="e">
        <f>AND(#REF!,"AAAAAC8f7as=")</f>
        <v>#REF!</v>
      </c>
      <c r="FQ377" t="e">
        <f>AND(#REF!,"AAAAAC8f7aw=")</f>
        <v>#REF!</v>
      </c>
      <c r="FR377" t="e">
        <f>IF(#REF!,"AAAAAC8f7a0=",0)</f>
        <v>#REF!</v>
      </c>
      <c r="FS377" t="e">
        <f>AND(#REF!,"AAAAAC8f7a4=")</f>
        <v>#REF!</v>
      </c>
      <c r="FT377" t="e">
        <f>AND(#REF!,"AAAAAC8f7a8=")</f>
        <v>#REF!</v>
      </c>
      <c r="FU377" t="e">
        <f>AND(#REF!,"AAAAAC8f7bA=")</f>
        <v>#REF!</v>
      </c>
      <c r="FV377" t="e">
        <f>AND(#REF!,"AAAAAC8f7bE=")</f>
        <v>#REF!</v>
      </c>
      <c r="FW377" t="e">
        <f>AND(#REF!,"AAAAAC8f7bI=")</f>
        <v>#REF!</v>
      </c>
      <c r="FX377" t="e">
        <f>AND(#REF!,"AAAAAC8f7bM=")</f>
        <v>#REF!</v>
      </c>
      <c r="FY377" t="e">
        <f>AND(#REF!,"AAAAAC8f7bQ=")</f>
        <v>#REF!</v>
      </c>
      <c r="FZ377" t="e">
        <f>AND(#REF!,"AAAAAC8f7bU=")</f>
        <v>#REF!</v>
      </c>
      <c r="GA377" t="e">
        <f>AND(#REF!,"AAAAAC8f7bY=")</f>
        <v>#REF!</v>
      </c>
      <c r="GB377" t="e">
        <f>AND(#REF!,"AAAAAC8f7bc=")</f>
        <v>#REF!</v>
      </c>
      <c r="GC377" t="e">
        <f>IF(#REF!,"AAAAAC8f7bg=",0)</f>
        <v>#REF!</v>
      </c>
      <c r="GD377" t="e">
        <f>AND(#REF!,"AAAAAC8f7bk=")</f>
        <v>#REF!</v>
      </c>
      <c r="GE377" t="e">
        <f>AND(#REF!,"AAAAAC8f7bo=")</f>
        <v>#REF!</v>
      </c>
      <c r="GF377" t="e">
        <f>AND(#REF!,"AAAAAC8f7bs=")</f>
        <v>#REF!</v>
      </c>
      <c r="GG377" t="e">
        <f>AND(#REF!,"AAAAAC8f7bw=")</f>
        <v>#REF!</v>
      </c>
      <c r="GH377" t="e">
        <f>AND(#REF!,"AAAAAC8f7b0=")</f>
        <v>#REF!</v>
      </c>
      <c r="GI377" t="e">
        <f>AND(#REF!,"AAAAAC8f7b4=")</f>
        <v>#REF!</v>
      </c>
      <c r="GJ377" t="e">
        <f>AND(#REF!,"AAAAAC8f7b8=")</f>
        <v>#REF!</v>
      </c>
      <c r="GK377" t="e">
        <f>AND(#REF!,"AAAAAC8f7cA=")</f>
        <v>#REF!</v>
      </c>
      <c r="GL377" t="e">
        <f>AND(#REF!,"AAAAAC8f7cE=")</f>
        <v>#REF!</v>
      </c>
      <c r="GM377" t="e">
        <f>AND(#REF!,"AAAAAC8f7cI=")</f>
        <v>#REF!</v>
      </c>
      <c r="GN377" t="e">
        <f>IF(#REF!,"AAAAAC8f7cM=",0)</f>
        <v>#REF!</v>
      </c>
      <c r="GO377" t="e">
        <f>AND(#REF!,"AAAAAC8f7cQ=")</f>
        <v>#REF!</v>
      </c>
      <c r="GP377" t="e">
        <f>AND(#REF!,"AAAAAC8f7cU=")</f>
        <v>#REF!</v>
      </c>
      <c r="GQ377" t="e">
        <f>AND(#REF!,"AAAAAC8f7cY=")</f>
        <v>#REF!</v>
      </c>
      <c r="GR377" t="e">
        <f>AND(#REF!,"AAAAAC8f7cc=")</f>
        <v>#REF!</v>
      </c>
      <c r="GS377" t="e">
        <f>AND(#REF!,"AAAAAC8f7cg=")</f>
        <v>#REF!</v>
      </c>
      <c r="GT377" t="e">
        <f>AND(#REF!,"AAAAAC8f7ck=")</f>
        <v>#REF!</v>
      </c>
      <c r="GU377" t="e">
        <f>AND(#REF!,"AAAAAC8f7co=")</f>
        <v>#REF!</v>
      </c>
      <c r="GV377" t="e">
        <f>AND(#REF!,"AAAAAC8f7cs=")</f>
        <v>#REF!</v>
      </c>
      <c r="GW377" t="e">
        <f>AND(#REF!,"AAAAAC8f7cw=")</f>
        <v>#REF!</v>
      </c>
      <c r="GX377" t="e">
        <f>AND(#REF!,"AAAAAC8f7c0=")</f>
        <v>#REF!</v>
      </c>
      <c r="GY377" t="e">
        <f>IF(#REF!,"AAAAAC8f7c4=",0)</f>
        <v>#REF!</v>
      </c>
      <c r="GZ377" t="e">
        <f>AND(#REF!,"AAAAAC8f7c8=")</f>
        <v>#REF!</v>
      </c>
      <c r="HA377" t="e">
        <f>AND(#REF!,"AAAAAC8f7dA=")</f>
        <v>#REF!</v>
      </c>
      <c r="HB377" t="e">
        <f>AND(#REF!,"AAAAAC8f7dE=")</f>
        <v>#REF!</v>
      </c>
      <c r="HC377" t="e">
        <f>AND(#REF!,"AAAAAC8f7dI=")</f>
        <v>#REF!</v>
      </c>
      <c r="HD377" t="e">
        <f>AND(#REF!,"AAAAAC8f7dM=")</f>
        <v>#REF!</v>
      </c>
      <c r="HE377" t="e">
        <f>AND(#REF!,"AAAAAC8f7dQ=")</f>
        <v>#REF!</v>
      </c>
      <c r="HF377" t="e">
        <f>AND(#REF!,"AAAAAC8f7dU=")</f>
        <v>#REF!</v>
      </c>
      <c r="HG377" t="e">
        <f>AND(#REF!,"AAAAAC8f7dY=")</f>
        <v>#REF!</v>
      </c>
      <c r="HH377" t="e">
        <f>AND(#REF!,"AAAAAC8f7dc=")</f>
        <v>#REF!</v>
      </c>
      <c r="HI377" t="e">
        <f>AND(#REF!,"AAAAAC8f7dg=")</f>
        <v>#REF!</v>
      </c>
      <c r="HJ377" t="e">
        <f>IF(#REF!,"AAAAAC8f7dk=",0)</f>
        <v>#REF!</v>
      </c>
      <c r="HK377" t="e">
        <f>AND(#REF!,"AAAAAC8f7do=")</f>
        <v>#REF!</v>
      </c>
      <c r="HL377" t="e">
        <f>AND(#REF!,"AAAAAC8f7ds=")</f>
        <v>#REF!</v>
      </c>
      <c r="HM377" t="e">
        <f>AND(#REF!,"AAAAAC8f7dw=")</f>
        <v>#REF!</v>
      </c>
      <c r="HN377" t="e">
        <f>AND(#REF!,"AAAAAC8f7d0=")</f>
        <v>#REF!</v>
      </c>
      <c r="HO377" t="e">
        <f>AND(#REF!,"AAAAAC8f7d4=")</f>
        <v>#REF!</v>
      </c>
      <c r="HP377" t="e">
        <f>AND(#REF!,"AAAAAC8f7d8=")</f>
        <v>#REF!</v>
      </c>
      <c r="HQ377" t="e">
        <f>AND(#REF!,"AAAAAC8f7eA=")</f>
        <v>#REF!</v>
      </c>
      <c r="HR377" t="e">
        <f>AND(#REF!,"AAAAAC8f7eE=")</f>
        <v>#REF!</v>
      </c>
      <c r="HS377" t="e">
        <f>AND(#REF!,"AAAAAC8f7eI=")</f>
        <v>#REF!</v>
      </c>
      <c r="HT377" t="e">
        <f>AND(#REF!,"AAAAAC8f7eM=")</f>
        <v>#REF!</v>
      </c>
      <c r="HU377" t="e">
        <f>IF(#REF!,"AAAAAC8f7eQ=",0)</f>
        <v>#REF!</v>
      </c>
      <c r="HV377" t="e">
        <f>AND(#REF!,"AAAAAC8f7eU=")</f>
        <v>#REF!</v>
      </c>
      <c r="HW377" t="e">
        <f>AND(#REF!,"AAAAAC8f7eY=")</f>
        <v>#REF!</v>
      </c>
      <c r="HX377" t="e">
        <f>AND(#REF!,"AAAAAC8f7ec=")</f>
        <v>#REF!</v>
      </c>
      <c r="HY377" t="e">
        <f>AND(#REF!,"AAAAAC8f7eg=")</f>
        <v>#REF!</v>
      </c>
      <c r="HZ377" t="e">
        <f>AND(#REF!,"AAAAAC8f7ek=")</f>
        <v>#REF!</v>
      </c>
      <c r="IA377" t="e">
        <f>AND(#REF!,"AAAAAC8f7eo=")</f>
        <v>#REF!</v>
      </c>
      <c r="IB377" t="e">
        <f>AND(#REF!,"AAAAAC8f7es=")</f>
        <v>#REF!</v>
      </c>
      <c r="IC377" t="e">
        <f>AND(#REF!,"AAAAAC8f7ew=")</f>
        <v>#REF!</v>
      </c>
      <c r="ID377" t="e">
        <f>AND(#REF!,"AAAAAC8f7e0=")</f>
        <v>#REF!</v>
      </c>
      <c r="IE377" t="e">
        <f>AND(#REF!,"AAAAAC8f7e4=")</f>
        <v>#REF!</v>
      </c>
      <c r="IF377" t="e">
        <f>IF(#REF!,"AAAAAC8f7e8=",0)</f>
        <v>#REF!</v>
      </c>
      <c r="IG377" t="e">
        <f>AND(#REF!,"AAAAAC8f7fA=")</f>
        <v>#REF!</v>
      </c>
      <c r="IH377" t="e">
        <f>AND(#REF!,"AAAAAC8f7fE=")</f>
        <v>#REF!</v>
      </c>
      <c r="II377" t="e">
        <f>AND(#REF!,"AAAAAC8f7fI=")</f>
        <v>#REF!</v>
      </c>
      <c r="IJ377" t="e">
        <f>AND(#REF!,"AAAAAC8f7fM=")</f>
        <v>#REF!</v>
      </c>
      <c r="IK377" t="e">
        <f>AND(#REF!,"AAAAAC8f7fQ=")</f>
        <v>#REF!</v>
      </c>
      <c r="IL377" t="e">
        <f>AND(#REF!,"AAAAAC8f7fU=")</f>
        <v>#REF!</v>
      </c>
      <c r="IM377" t="e">
        <f>AND(#REF!,"AAAAAC8f7fY=")</f>
        <v>#REF!</v>
      </c>
      <c r="IN377" t="e">
        <f>AND(#REF!,"AAAAAC8f7fc=")</f>
        <v>#REF!</v>
      </c>
      <c r="IO377" t="e">
        <f>AND(#REF!,"AAAAAC8f7fg=")</f>
        <v>#REF!</v>
      </c>
      <c r="IP377" t="e">
        <f>AND(#REF!,"AAAAAC8f7fk=")</f>
        <v>#REF!</v>
      </c>
      <c r="IQ377" t="e">
        <f>IF(#REF!,"AAAAAC8f7fo=",0)</f>
        <v>#REF!</v>
      </c>
      <c r="IR377" t="e">
        <f>AND(#REF!,"AAAAAC8f7fs=")</f>
        <v>#REF!</v>
      </c>
      <c r="IS377" t="e">
        <f>AND(#REF!,"AAAAAC8f7fw=")</f>
        <v>#REF!</v>
      </c>
      <c r="IT377" t="e">
        <f>AND(#REF!,"AAAAAC8f7f0=")</f>
        <v>#REF!</v>
      </c>
      <c r="IU377" t="e">
        <f>AND(#REF!,"AAAAAC8f7f4=")</f>
        <v>#REF!</v>
      </c>
      <c r="IV377" t="e">
        <f>AND(#REF!,"AAAAAC8f7f8=")</f>
        <v>#REF!</v>
      </c>
    </row>
    <row r="378" spans="1:256" x14ac:dyDescent="0.25">
      <c r="A378" t="e">
        <f>AND(#REF!,"AAAAAHf39QA=")</f>
        <v>#REF!</v>
      </c>
      <c r="B378" t="e">
        <f>AND(#REF!,"AAAAAHf39QE=")</f>
        <v>#REF!</v>
      </c>
      <c r="C378" t="e">
        <f>AND(#REF!,"AAAAAHf39QI=")</f>
        <v>#REF!</v>
      </c>
      <c r="D378" t="e">
        <f>AND(#REF!,"AAAAAHf39QM=")</f>
        <v>#REF!</v>
      </c>
      <c r="E378" t="e">
        <f>AND(#REF!,"AAAAAHf39QQ=")</f>
        <v>#REF!</v>
      </c>
      <c r="F378" t="e">
        <f>IF(#REF!,"AAAAAHf39QU=",0)</f>
        <v>#REF!</v>
      </c>
      <c r="G378" t="e">
        <f>AND(#REF!,"AAAAAHf39QY=")</f>
        <v>#REF!</v>
      </c>
      <c r="H378" t="e">
        <f>AND(#REF!,"AAAAAHf39Qc=")</f>
        <v>#REF!</v>
      </c>
      <c r="I378" t="e">
        <f>AND(#REF!,"AAAAAHf39Qg=")</f>
        <v>#REF!</v>
      </c>
      <c r="J378" t="e">
        <f>AND(#REF!,"AAAAAHf39Qk=")</f>
        <v>#REF!</v>
      </c>
      <c r="K378" t="e">
        <f>AND(#REF!,"AAAAAHf39Qo=")</f>
        <v>#REF!</v>
      </c>
      <c r="L378" t="e">
        <f>AND(#REF!,"AAAAAHf39Qs=")</f>
        <v>#REF!</v>
      </c>
      <c r="M378" t="e">
        <f>AND(#REF!,"AAAAAHf39Qw=")</f>
        <v>#REF!</v>
      </c>
      <c r="N378" t="e">
        <f>AND(#REF!,"AAAAAHf39Q0=")</f>
        <v>#REF!</v>
      </c>
      <c r="O378" t="e">
        <f>AND(#REF!,"AAAAAHf39Q4=")</f>
        <v>#REF!</v>
      </c>
      <c r="P378" t="e">
        <f>AND(#REF!,"AAAAAHf39Q8=")</f>
        <v>#REF!</v>
      </c>
      <c r="Q378" t="e">
        <f>IF(#REF!,"AAAAAHf39RA=",0)</f>
        <v>#REF!</v>
      </c>
      <c r="R378" t="e">
        <f>AND(#REF!,"AAAAAHf39RE=")</f>
        <v>#REF!</v>
      </c>
      <c r="S378" t="e">
        <f>AND(#REF!,"AAAAAHf39RI=")</f>
        <v>#REF!</v>
      </c>
      <c r="T378" t="e">
        <f>AND(#REF!,"AAAAAHf39RM=")</f>
        <v>#REF!</v>
      </c>
      <c r="U378" t="e">
        <f>AND(#REF!,"AAAAAHf39RQ=")</f>
        <v>#REF!</v>
      </c>
      <c r="V378" t="e">
        <f>AND(#REF!,"AAAAAHf39RU=")</f>
        <v>#REF!</v>
      </c>
      <c r="W378" t="e">
        <f>AND(#REF!,"AAAAAHf39RY=")</f>
        <v>#REF!</v>
      </c>
      <c r="X378" t="e">
        <f>AND(#REF!,"AAAAAHf39Rc=")</f>
        <v>#REF!</v>
      </c>
      <c r="Y378" t="e">
        <f>AND(#REF!,"AAAAAHf39Rg=")</f>
        <v>#REF!</v>
      </c>
      <c r="Z378" t="e">
        <f>AND(#REF!,"AAAAAHf39Rk=")</f>
        <v>#REF!</v>
      </c>
      <c r="AA378" t="e">
        <f>AND(#REF!,"AAAAAHf39Ro=")</f>
        <v>#REF!</v>
      </c>
      <c r="AB378" t="e">
        <f>IF(#REF!,"AAAAAHf39Rs=",0)</f>
        <v>#REF!</v>
      </c>
      <c r="AC378" t="e">
        <f>AND(#REF!,"AAAAAHf39Rw=")</f>
        <v>#REF!</v>
      </c>
      <c r="AD378" t="e">
        <f>AND(#REF!,"AAAAAHf39R0=")</f>
        <v>#REF!</v>
      </c>
      <c r="AE378" t="e">
        <f>AND(#REF!,"AAAAAHf39R4=")</f>
        <v>#REF!</v>
      </c>
      <c r="AF378" t="e">
        <f>AND(#REF!,"AAAAAHf39R8=")</f>
        <v>#REF!</v>
      </c>
      <c r="AG378" t="e">
        <f>AND(#REF!,"AAAAAHf39SA=")</f>
        <v>#REF!</v>
      </c>
      <c r="AH378" t="e">
        <f>AND(#REF!,"AAAAAHf39SE=")</f>
        <v>#REF!</v>
      </c>
      <c r="AI378" t="e">
        <f>AND(#REF!,"AAAAAHf39SI=")</f>
        <v>#REF!</v>
      </c>
      <c r="AJ378" t="e">
        <f>AND(#REF!,"AAAAAHf39SM=")</f>
        <v>#REF!</v>
      </c>
      <c r="AK378" t="e">
        <f>AND(#REF!,"AAAAAHf39SQ=")</f>
        <v>#REF!</v>
      </c>
      <c r="AL378" t="e">
        <f>AND(#REF!,"AAAAAHf39SU=")</f>
        <v>#REF!</v>
      </c>
      <c r="AM378" t="e">
        <f>IF(#REF!,"AAAAAHf39SY=",0)</f>
        <v>#REF!</v>
      </c>
      <c r="AN378" t="e">
        <f>AND(#REF!,"AAAAAHf39Sc=")</f>
        <v>#REF!</v>
      </c>
      <c r="AO378" t="e">
        <f>AND(#REF!,"AAAAAHf39Sg=")</f>
        <v>#REF!</v>
      </c>
      <c r="AP378" t="e">
        <f>AND(#REF!,"AAAAAHf39Sk=")</f>
        <v>#REF!</v>
      </c>
      <c r="AQ378" t="e">
        <f>AND(#REF!,"AAAAAHf39So=")</f>
        <v>#REF!</v>
      </c>
      <c r="AR378" t="e">
        <f>AND(#REF!,"AAAAAHf39Ss=")</f>
        <v>#REF!</v>
      </c>
      <c r="AS378" t="e">
        <f>AND(#REF!,"AAAAAHf39Sw=")</f>
        <v>#REF!</v>
      </c>
      <c r="AT378" t="e">
        <f>AND(#REF!,"AAAAAHf39S0=")</f>
        <v>#REF!</v>
      </c>
      <c r="AU378" t="e">
        <f>AND(#REF!,"AAAAAHf39S4=")</f>
        <v>#REF!</v>
      </c>
      <c r="AV378" t="e">
        <f>AND(#REF!,"AAAAAHf39S8=")</f>
        <v>#REF!</v>
      </c>
      <c r="AW378" t="e">
        <f>AND(#REF!,"AAAAAHf39TA=")</f>
        <v>#REF!</v>
      </c>
      <c r="AX378" t="e">
        <f>IF(#REF!,"AAAAAHf39TE=",0)</f>
        <v>#REF!</v>
      </c>
      <c r="AY378" t="e">
        <f>AND(#REF!,"AAAAAHf39TI=")</f>
        <v>#REF!</v>
      </c>
      <c r="AZ378" t="e">
        <f>AND(#REF!,"AAAAAHf39TM=")</f>
        <v>#REF!</v>
      </c>
      <c r="BA378" t="e">
        <f>AND(#REF!,"AAAAAHf39TQ=")</f>
        <v>#REF!</v>
      </c>
      <c r="BB378" t="e">
        <f>AND(#REF!,"AAAAAHf39TU=")</f>
        <v>#REF!</v>
      </c>
      <c r="BC378" t="e">
        <f>AND(#REF!,"AAAAAHf39TY=")</f>
        <v>#REF!</v>
      </c>
      <c r="BD378" t="e">
        <f>AND(#REF!,"AAAAAHf39Tc=")</f>
        <v>#REF!</v>
      </c>
      <c r="BE378" t="e">
        <f>AND(#REF!,"AAAAAHf39Tg=")</f>
        <v>#REF!</v>
      </c>
      <c r="BF378" t="e">
        <f>AND(#REF!,"AAAAAHf39Tk=")</f>
        <v>#REF!</v>
      </c>
      <c r="BG378" t="e">
        <f>AND(#REF!,"AAAAAHf39To=")</f>
        <v>#REF!</v>
      </c>
      <c r="BH378" t="e">
        <f>AND(#REF!,"AAAAAHf39Ts=")</f>
        <v>#REF!</v>
      </c>
      <c r="BI378" t="e">
        <f>IF(#REF!,"AAAAAHf39Tw=",0)</f>
        <v>#REF!</v>
      </c>
      <c r="BJ378" t="e">
        <f>AND(#REF!,"AAAAAHf39T0=")</f>
        <v>#REF!</v>
      </c>
      <c r="BK378" t="e">
        <f>AND(#REF!,"AAAAAHf39T4=")</f>
        <v>#REF!</v>
      </c>
      <c r="BL378" t="e">
        <f>AND(#REF!,"AAAAAHf39T8=")</f>
        <v>#REF!</v>
      </c>
      <c r="BM378" t="e">
        <f>AND(#REF!,"AAAAAHf39UA=")</f>
        <v>#REF!</v>
      </c>
      <c r="BN378" t="e">
        <f>AND(#REF!,"AAAAAHf39UE=")</f>
        <v>#REF!</v>
      </c>
      <c r="BO378" t="e">
        <f>AND(#REF!,"AAAAAHf39UI=")</f>
        <v>#REF!</v>
      </c>
      <c r="BP378" t="e">
        <f>AND(#REF!,"AAAAAHf39UM=")</f>
        <v>#REF!</v>
      </c>
      <c r="BQ378" t="e">
        <f>AND(#REF!,"AAAAAHf39UQ=")</f>
        <v>#REF!</v>
      </c>
      <c r="BR378" t="e">
        <f>AND(#REF!,"AAAAAHf39UU=")</f>
        <v>#REF!</v>
      </c>
      <c r="BS378" t="e">
        <f>AND(#REF!,"AAAAAHf39UY=")</f>
        <v>#REF!</v>
      </c>
      <c r="BT378" t="e">
        <f>IF(#REF!,"AAAAAHf39Uc=",0)</f>
        <v>#REF!</v>
      </c>
      <c r="BU378" t="e">
        <f>AND(#REF!,"AAAAAHf39Ug=")</f>
        <v>#REF!</v>
      </c>
      <c r="BV378" t="e">
        <f>AND(#REF!,"AAAAAHf39Uk=")</f>
        <v>#REF!</v>
      </c>
      <c r="BW378" t="e">
        <f>AND(#REF!,"AAAAAHf39Uo=")</f>
        <v>#REF!</v>
      </c>
      <c r="BX378" t="e">
        <f>AND(#REF!,"AAAAAHf39Us=")</f>
        <v>#REF!</v>
      </c>
      <c r="BY378" t="e">
        <f>AND(#REF!,"AAAAAHf39Uw=")</f>
        <v>#REF!</v>
      </c>
      <c r="BZ378" t="e">
        <f>AND(#REF!,"AAAAAHf39U0=")</f>
        <v>#REF!</v>
      </c>
      <c r="CA378" t="e">
        <f>AND(#REF!,"AAAAAHf39U4=")</f>
        <v>#REF!</v>
      </c>
      <c r="CB378" t="e">
        <f>AND(#REF!,"AAAAAHf39U8=")</f>
        <v>#REF!</v>
      </c>
      <c r="CC378" t="e">
        <f>AND(#REF!,"AAAAAHf39VA=")</f>
        <v>#REF!</v>
      </c>
      <c r="CD378" t="e">
        <f>AND(#REF!,"AAAAAHf39VE=")</f>
        <v>#REF!</v>
      </c>
      <c r="CE378" t="e">
        <f>IF(#REF!,"AAAAAHf39VI=",0)</f>
        <v>#REF!</v>
      </c>
      <c r="CF378" t="e">
        <f>AND(#REF!,"AAAAAHf39VM=")</f>
        <v>#REF!</v>
      </c>
      <c r="CG378" t="e">
        <f>AND(#REF!,"AAAAAHf39VQ=")</f>
        <v>#REF!</v>
      </c>
      <c r="CH378" t="e">
        <f>AND(#REF!,"AAAAAHf39VU=")</f>
        <v>#REF!</v>
      </c>
      <c r="CI378" t="e">
        <f>AND(#REF!,"AAAAAHf39VY=")</f>
        <v>#REF!</v>
      </c>
      <c r="CJ378" t="e">
        <f>AND(#REF!,"AAAAAHf39Vc=")</f>
        <v>#REF!</v>
      </c>
      <c r="CK378" t="e">
        <f>AND(#REF!,"AAAAAHf39Vg=")</f>
        <v>#REF!</v>
      </c>
      <c r="CL378" t="e">
        <f>AND(#REF!,"AAAAAHf39Vk=")</f>
        <v>#REF!</v>
      </c>
      <c r="CM378" t="e">
        <f>AND(#REF!,"AAAAAHf39Vo=")</f>
        <v>#REF!</v>
      </c>
      <c r="CN378" t="e">
        <f>AND(#REF!,"AAAAAHf39Vs=")</f>
        <v>#REF!</v>
      </c>
      <c r="CO378" t="e">
        <f>AND(#REF!,"AAAAAHf39Vw=")</f>
        <v>#REF!</v>
      </c>
      <c r="CP378" t="e">
        <f>IF(#REF!,"AAAAAHf39V0=",0)</f>
        <v>#REF!</v>
      </c>
      <c r="CQ378" t="e">
        <f>AND(#REF!,"AAAAAHf39V4=")</f>
        <v>#REF!</v>
      </c>
      <c r="CR378" t="e">
        <f>AND(#REF!,"AAAAAHf39V8=")</f>
        <v>#REF!</v>
      </c>
      <c r="CS378" t="e">
        <f>AND(#REF!,"AAAAAHf39WA=")</f>
        <v>#REF!</v>
      </c>
      <c r="CT378" t="e">
        <f>AND(#REF!,"AAAAAHf39WE=")</f>
        <v>#REF!</v>
      </c>
      <c r="CU378" t="e">
        <f>AND(#REF!,"AAAAAHf39WI=")</f>
        <v>#REF!</v>
      </c>
      <c r="CV378" t="e">
        <f>AND(#REF!,"AAAAAHf39WM=")</f>
        <v>#REF!</v>
      </c>
      <c r="CW378" t="e">
        <f>AND(#REF!,"AAAAAHf39WQ=")</f>
        <v>#REF!</v>
      </c>
      <c r="CX378" t="e">
        <f>AND(#REF!,"AAAAAHf39WU=")</f>
        <v>#REF!</v>
      </c>
      <c r="CY378" t="e">
        <f>AND(#REF!,"AAAAAHf39WY=")</f>
        <v>#REF!</v>
      </c>
      <c r="CZ378" t="e">
        <f>AND(#REF!,"AAAAAHf39Wc=")</f>
        <v>#REF!</v>
      </c>
      <c r="DA378" t="e">
        <f>IF(#REF!,"AAAAAHf39Wg=",0)</f>
        <v>#REF!</v>
      </c>
      <c r="DB378" t="e">
        <f>AND(#REF!,"AAAAAHf39Wk=")</f>
        <v>#REF!</v>
      </c>
      <c r="DC378" t="e">
        <f>AND(#REF!,"AAAAAHf39Wo=")</f>
        <v>#REF!</v>
      </c>
      <c r="DD378" t="e">
        <f>AND(#REF!,"AAAAAHf39Ws=")</f>
        <v>#REF!</v>
      </c>
      <c r="DE378" t="e">
        <f>AND(#REF!,"AAAAAHf39Ww=")</f>
        <v>#REF!</v>
      </c>
      <c r="DF378" t="e">
        <f>AND(#REF!,"AAAAAHf39W0=")</f>
        <v>#REF!</v>
      </c>
      <c r="DG378" t="e">
        <f>AND(#REF!,"AAAAAHf39W4=")</f>
        <v>#REF!</v>
      </c>
      <c r="DH378" t="e">
        <f>AND(#REF!,"AAAAAHf39W8=")</f>
        <v>#REF!</v>
      </c>
      <c r="DI378" t="e">
        <f>AND(#REF!,"AAAAAHf39XA=")</f>
        <v>#REF!</v>
      </c>
      <c r="DJ378" t="e">
        <f>AND(#REF!,"AAAAAHf39XE=")</f>
        <v>#REF!</v>
      </c>
      <c r="DK378" t="e">
        <f>AND(#REF!,"AAAAAHf39XI=")</f>
        <v>#REF!</v>
      </c>
      <c r="DL378" t="e">
        <f>IF(#REF!,"AAAAAHf39XM=",0)</f>
        <v>#REF!</v>
      </c>
      <c r="DM378" t="e">
        <f>AND(#REF!,"AAAAAHf39XQ=")</f>
        <v>#REF!</v>
      </c>
      <c r="DN378" t="e">
        <f>AND(#REF!,"AAAAAHf39XU=")</f>
        <v>#REF!</v>
      </c>
      <c r="DO378" t="e">
        <f>AND(#REF!,"AAAAAHf39XY=")</f>
        <v>#REF!</v>
      </c>
      <c r="DP378" t="e">
        <f>AND(#REF!,"AAAAAHf39Xc=")</f>
        <v>#REF!</v>
      </c>
      <c r="DQ378" t="e">
        <f>AND(#REF!,"AAAAAHf39Xg=")</f>
        <v>#REF!</v>
      </c>
      <c r="DR378" t="e">
        <f>AND(#REF!,"AAAAAHf39Xk=")</f>
        <v>#REF!</v>
      </c>
      <c r="DS378" t="e">
        <f>AND(#REF!,"AAAAAHf39Xo=")</f>
        <v>#REF!</v>
      </c>
      <c r="DT378" t="e">
        <f>AND(#REF!,"AAAAAHf39Xs=")</f>
        <v>#REF!</v>
      </c>
      <c r="DU378" t="e">
        <f>AND(#REF!,"AAAAAHf39Xw=")</f>
        <v>#REF!</v>
      </c>
      <c r="DV378" t="e">
        <f>AND(#REF!,"AAAAAHf39X0=")</f>
        <v>#REF!</v>
      </c>
      <c r="DW378" t="e">
        <f>IF(#REF!,"AAAAAHf39X4=",0)</f>
        <v>#REF!</v>
      </c>
      <c r="DX378" t="e">
        <f>AND(#REF!,"AAAAAHf39X8=")</f>
        <v>#REF!</v>
      </c>
      <c r="DY378" t="e">
        <f>AND(#REF!,"AAAAAHf39YA=")</f>
        <v>#REF!</v>
      </c>
      <c r="DZ378" t="e">
        <f>AND(#REF!,"AAAAAHf39YE=")</f>
        <v>#REF!</v>
      </c>
      <c r="EA378" t="e">
        <f>AND(#REF!,"AAAAAHf39YI=")</f>
        <v>#REF!</v>
      </c>
      <c r="EB378" t="e">
        <f>AND(#REF!,"AAAAAHf39YM=")</f>
        <v>#REF!</v>
      </c>
      <c r="EC378" t="e">
        <f>AND(#REF!,"AAAAAHf39YQ=")</f>
        <v>#REF!</v>
      </c>
      <c r="ED378" t="e">
        <f>AND(#REF!,"AAAAAHf39YU=")</f>
        <v>#REF!</v>
      </c>
      <c r="EE378" t="e">
        <f>AND(#REF!,"AAAAAHf39YY=")</f>
        <v>#REF!</v>
      </c>
      <c r="EF378" t="e">
        <f>AND(#REF!,"AAAAAHf39Yc=")</f>
        <v>#REF!</v>
      </c>
      <c r="EG378" t="e">
        <f>AND(#REF!,"AAAAAHf39Yg=")</f>
        <v>#REF!</v>
      </c>
      <c r="EH378" t="e">
        <f>IF(#REF!,"AAAAAHf39Yk=",0)</f>
        <v>#REF!</v>
      </c>
      <c r="EI378" t="e">
        <f>AND(#REF!,"AAAAAHf39Yo=")</f>
        <v>#REF!</v>
      </c>
      <c r="EJ378" t="e">
        <f>AND(#REF!,"AAAAAHf39Ys=")</f>
        <v>#REF!</v>
      </c>
      <c r="EK378" t="e">
        <f>AND(#REF!,"AAAAAHf39Yw=")</f>
        <v>#REF!</v>
      </c>
      <c r="EL378" t="e">
        <f>AND(#REF!,"AAAAAHf39Y0=")</f>
        <v>#REF!</v>
      </c>
      <c r="EM378" t="e">
        <f>AND(#REF!,"AAAAAHf39Y4=")</f>
        <v>#REF!</v>
      </c>
      <c r="EN378" t="e">
        <f>AND(#REF!,"AAAAAHf39Y8=")</f>
        <v>#REF!</v>
      </c>
      <c r="EO378" t="e">
        <f>AND(#REF!,"AAAAAHf39ZA=")</f>
        <v>#REF!</v>
      </c>
      <c r="EP378" t="e">
        <f>AND(#REF!,"AAAAAHf39ZE=")</f>
        <v>#REF!</v>
      </c>
      <c r="EQ378" t="e">
        <f>AND(#REF!,"AAAAAHf39ZI=")</f>
        <v>#REF!</v>
      </c>
      <c r="ER378" t="e">
        <f>AND(#REF!,"AAAAAHf39ZM=")</f>
        <v>#REF!</v>
      </c>
      <c r="ES378" t="e">
        <f>IF(#REF!,"AAAAAHf39ZQ=",0)</f>
        <v>#REF!</v>
      </c>
      <c r="ET378" t="e">
        <f>AND(#REF!,"AAAAAHf39ZU=")</f>
        <v>#REF!</v>
      </c>
      <c r="EU378" t="e">
        <f>AND(#REF!,"AAAAAHf39ZY=")</f>
        <v>#REF!</v>
      </c>
      <c r="EV378" t="e">
        <f>AND(#REF!,"AAAAAHf39Zc=")</f>
        <v>#REF!</v>
      </c>
      <c r="EW378" t="e">
        <f>AND(#REF!,"AAAAAHf39Zg=")</f>
        <v>#REF!</v>
      </c>
      <c r="EX378" t="e">
        <f>AND(#REF!,"AAAAAHf39Zk=")</f>
        <v>#REF!</v>
      </c>
      <c r="EY378" t="e">
        <f>AND(#REF!,"AAAAAHf39Zo=")</f>
        <v>#REF!</v>
      </c>
      <c r="EZ378" t="e">
        <f>AND(#REF!,"AAAAAHf39Zs=")</f>
        <v>#REF!</v>
      </c>
      <c r="FA378" t="e">
        <f>AND(#REF!,"AAAAAHf39Zw=")</f>
        <v>#REF!</v>
      </c>
      <c r="FB378" t="e">
        <f>AND(#REF!,"AAAAAHf39Z0=")</f>
        <v>#REF!</v>
      </c>
      <c r="FC378" t="e">
        <f>AND(#REF!,"AAAAAHf39Z4=")</f>
        <v>#REF!</v>
      </c>
      <c r="FD378" t="e">
        <f>IF(#REF!,"AAAAAHf39Z8=",0)</f>
        <v>#REF!</v>
      </c>
      <c r="FE378" t="e">
        <f>AND(#REF!,"AAAAAHf39aA=")</f>
        <v>#REF!</v>
      </c>
      <c r="FF378" t="e">
        <f>AND(#REF!,"AAAAAHf39aE=")</f>
        <v>#REF!</v>
      </c>
      <c r="FG378" t="e">
        <f>AND(#REF!,"AAAAAHf39aI=")</f>
        <v>#REF!</v>
      </c>
      <c r="FH378" t="e">
        <f>AND(#REF!,"AAAAAHf39aM=")</f>
        <v>#REF!</v>
      </c>
      <c r="FI378" t="e">
        <f>AND(#REF!,"AAAAAHf39aQ=")</f>
        <v>#REF!</v>
      </c>
      <c r="FJ378" t="e">
        <f>AND(#REF!,"AAAAAHf39aU=")</f>
        <v>#REF!</v>
      </c>
      <c r="FK378" t="e">
        <f>AND(#REF!,"AAAAAHf39aY=")</f>
        <v>#REF!</v>
      </c>
      <c r="FL378" t="e">
        <f>AND(#REF!,"AAAAAHf39ac=")</f>
        <v>#REF!</v>
      </c>
      <c r="FM378" t="e">
        <f>AND(#REF!,"AAAAAHf39ag=")</f>
        <v>#REF!</v>
      </c>
      <c r="FN378" t="e">
        <f>AND(#REF!,"AAAAAHf39ak=")</f>
        <v>#REF!</v>
      </c>
      <c r="FO378" t="e">
        <f>IF(#REF!,"AAAAAHf39ao=",0)</f>
        <v>#REF!</v>
      </c>
      <c r="FP378" t="e">
        <f>AND(#REF!,"AAAAAHf39as=")</f>
        <v>#REF!</v>
      </c>
      <c r="FQ378" t="e">
        <f>AND(#REF!,"AAAAAHf39aw=")</f>
        <v>#REF!</v>
      </c>
      <c r="FR378" t="e">
        <f>AND(#REF!,"AAAAAHf39a0=")</f>
        <v>#REF!</v>
      </c>
      <c r="FS378" t="e">
        <f>AND(#REF!,"AAAAAHf39a4=")</f>
        <v>#REF!</v>
      </c>
      <c r="FT378" t="e">
        <f>AND(#REF!,"AAAAAHf39a8=")</f>
        <v>#REF!</v>
      </c>
      <c r="FU378" t="e">
        <f>AND(#REF!,"AAAAAHf39bA=")</f>
        <v>#REF!</v>
      </c>
      <c r="FV378" t="e">
        <f>AND(#REF!,"AAAAAHf39bE=")</f>
        <v>#REF!</v>
      </c>
      <c r="FW378" t="e">
        <f>AND(#REF!,"AAAAAHf39bI=")</f>
        <v>#REF!</v>
      </c>
      <c r="FX378" t="e">
        <f>AND(#REF!,"AAAAAHf39bM=")</f>
        <v>#REF!</v>
      </c>
      <c r="FY378" t="e">
        <f>AND(#REF!,"AAAAAHf39bQ=")</f>
        <v>#REF!</v>
      </c>
      <c r="FZ378" t="e">
        <f>IF(#REF!,"AAAAAHf39bU=",0)</f>
        <v>#REF!</v>
      </c>
      <c r="GA378" t="e">
        <f>AND(#REF!,"AAAAAHf39bY=")</f>
        <v>#REF!</v>
      </c>
      <c r="GB378" t="e">
        <f>AND(#REF!,"AAAAAHf39bc=")</f>
        <v>#REF!</v>
      </c>
      <c r="GC378" t="e">
        <f>AND(#REF!,"AAAAAHf39bg=")</f>
        <v>#REF!</v>
      </c>
      <c r="GD378" t="e">
        <f>AND(#REF!,"AAAAAHf39bk=")</f>
        <v>#REF!</v>
      </c>
      <c r="GE378" t="e">
        <f>AND(#REF!,"AAAAAHf39bo=")</f>
        <v>#REF!</v>
      </c>
      <c r="GF378" t="e">
        <f>AND(#REF!,"AAAAAHf39bs=")</f>
        <v>#REF!</v>
      </c>
      <c r="GG378" t="e">
        <f>AND(#REF!,"AAAAAHf39bw=")</f>
        <v>#REF!</v>
      </c>
      <c r="GH378" t="e">
        <f>AND(#REF!,"AAAAAHf39b0=")</f>
        <v>#REF!</v>
      </c>
      <c r="GI378" t="e">
        <f>AND(#REF!,"AAAAAHf39b4=")</f>
        <v>#REF!</v>
      </c>
      <c r="GJ378" t="e">
        <f>AND(#REF!,"AAAAAHf39b8=")</f>
        <v>#REF!</v>
      </c>
      <c r="GK378" t="e">
        <f>IF(#REF!,"AAAAAHf39cA=",0)</f>
        <v>#REF!</v>
      </c>
      <c r="GL378" t="e">
        <f>AND(#REF!,"AAAAAHf39cE=")</f>
        <v>#REF!</v>
      </c>
      <c r="GM378" t="e">
        <f>AND(#REF!,"AAAAAHf39cI=")</f>
        <v>#REF!</v>
      </c>
      <c r="GN378" t="e">
        <f>AND(#REF!,"AAAAAHf39cM=")</f>
        <v>#REF!</v>
      </c>
      <c r="GO378" t="e">
        <f>AND(#REF!,"AAAAAHf39cQ=")</f>
        <v>#REF!</v>
      </c>
      <c r="GP378" t="e">
        <f>AND(#REF!,"AAAAAHf39cU=")</f>
        <v>#REF!</v>
      </c>
      <c r="GQ378" t="e">
        <f>AND(#REF!,"AAAAAHf39cY=")</f>
        <v>#REF!</v>
      </c>
      <c r="GR378" t="e">
        <f>AND(#REF!,"AAAAAHf39cc=")</f>
        <v>#REF!</v>
      </c>
      <c r="GS378" t="e">
        <f>AND(#REF!,"AAAAAHf39cg=")</f>
        <v>#REF!</v>
      </c>
      <c r="GT378" t="e">
        <f>AND(#REF!,"AAAAAHf39ck=")</f>
        <v>#REF!</v>
      </c>
      <c r="GU378" t="e">
        <f>AND(#REF!,"AAAAAHf39co=")</f>
        <v>#REF!</v>
      </c>
      <c r="GV378" t="e">
        <f>IF(#REF!,"AAAAAHf39cs=",0)</f>
        <v>#REF!</v>
      </c>
      <c r="GW378" t="e">
        <f>AND(#REF!,"AAAAAHf39cw=")</f>
        <v>#REF!</v>
      </c>
      <c r="GX378" t="e">
        <f>AND(#REF!,"AAAAAHf39c0=")</f>
        <v>#REF!</v>
      </c>
      <c r="GY378" t="e">
        <f>AND(#REF!,"AAAAAHf39c4=")</f>
        <v>#REF!</v>
      </c>
      <c r="GZ378" t="e">
        <f>AND(#REF!,"AAAAAHf39c8=")</f>
        <v>#REF!</v>
      </c>
      <c r="HA378" t="e">
        <f>AND(#REF!,"AAAAAHf39dA=")</f>
        <v>#REF!</v>
      </c>
      <c r="HB378" t="e">
        <f>AND(#REF!,"AAAAAHf39dE=")</f>
        <v>#REF!</v>
      </c>
      <c r="HC378" t="e">
        <f>AND(#REF!,"AAAAAHf39dI=")</f>
        <v>#REF!</v>
      </c>
      <c r="HD378" t="e">
        <f>AND(#REF!,"AAAAAHf39dM=")</f>
        <v>#REF!</v>
      </c>
      <c r="HE378" t="e">
        <f>AND(#REF!,"AAAAAHf39dQ=")</f>
        <v>#REF!</v>
      </c>
      <c r="HF378" t="e">
        <f>AND(#REF!,"AAAAAHf39dU=")</f>
        <v>#REF!</v>
      </c>
      <c r="HG378" t="e">
        <f>IF(#REF!,"AAAAAHf39dY=",0)</f>
        <v>#REF!</v>
      </c>
      <c r="HH378" t="e">
        <f>AND(#REF!,"AAAAAHf39dc=")</f>
        <v>#REF!</v>
      </c>
      <c r="HI378" t="e">
        <f>AND(#REF!,"AAAAAHf39dg=")</f>
        <v>#REF!</v>
      </c>
      <c r="HJ378" t="e">
        <f>AND(#REF!,"AAAAAHf39dk=")</f>
        <v>#REF!</v>
      </c>
      <c r="HK378" t="e">
        <f>AND(#REF!,"AAAAAHf39do=")</f>
        <v>#REF!</v>
      </c>
      <c r="HL378" t="e">
        <f>AND(#REF!,"AAAAAHf39ds=")</f>
        <v>#REF!</v>
      </c>
      <c r="HM378" t="e">
        <f>AND(#REF!,"AAAAAHf39dw=")</f>
        <v>#REF!</v>
      </c>
      <c r="HN378" t="e">
        <f>AND(#REF!,"AAAAAHf39d0=")</f>
        <v>#REF!</v>
      </c>
      <c r="HO378" t="e">
        <f>AND(#REF!,"AAAAAHf39d4=")</f>
        <v>#REF!</v>
      </c>
      <c r="HP378" t="e">
        <f>AND(#REF!,"AAAAAHf39d8=")</f>
        <v>#REF!</v>
      </c>
      <c r="HQ378" t="e">
        <f>AND(#REF!,"AAAAAHf39eA=")</f>
        <v>#REF!</v>
      </c>
      <c r="HR378" t="e">
        <f>IF(#REF!,"AAAAAHf39eE=",0)</f>
        <v>#REF!</v>
      </c>
      <c r="HS378" t="e">
        <f>AND(#REF!,"AAAAAHf39eI=")</f>
        <v>#REF!</v>
      </c>
      <c r="HT378" t="e">
        <f>AND(#REF!,"AAAAAHf39eM=")</f>
        <v>#REF!</v>
      </c>
      <c r="HU378" t="e">
        <f>AND(#REF!,"AAAAAHf39eQ=")</f>
        <v>#REF!</v>
      </c>
      <c r="HV378" t="e">
        <f>AND(#REF!,"AAAAAHf39eU=")</f>
        <v>#REF!</v>
      </c>
      <c r="HW378" t="e">
        <f>AND(#REF!,"AAAAAHf39eY=")</f>
        <v>#REF!</v>
      </c>
      <c r="HX378" t="e">
        <f>AND(#REF!,"AAAAAHf39ec=")</f>
        <v>#REF!</v>
      </c>
      <c r="HY378" t="e">
        <f>AND(#REF!,"AAAAAHf39eg=")</f>
        <v>#REF!</v>
      </c>
      <c r="HZ378" t="e">
        <f>AND(#REF!,"AAAAAHf39ek=")</f>
        <v>#REF!</v>
      </c>
      <c r="IA378" t="e">
        <f>AND(#REF!,"AAAAAHf39eo=")</f>
        <v>#REF!</v>
      </c>
      <c r="IB378" t="e">
        <f>AND(#REF!,"AAAAAHf39es=")</f>
        <v>#REF!</v>
      </c>
      <c r="IC378" t="e">
        <f>IF(#REF!,"AAAAAHf39ew=",0)</f>
        <v>#REF!</v>
      </c>
      <c r="ID378" t="e">
        <f>AND(#REF!,"AAAAAHf39e0=")</f>
        <v>#REF!</v>
      </c>
      <c r="IE378" t="e">
        <f>AND(#REF!,"AAAAAHf39e4=")</f>
        <v>#REF!</v>
      </c>
      <c r="IF378" t="e">
        <f>AND(#REF!,"AAAAAHf39e8=")</f>
        <v>#REF!</v>
      </c>
      <c r="IG378" t="e">
        <f>AND(#REF!,"AAAAAHf39fA=")</f>
        <v>#REF!</v>
      </c>
      <c r="IH378" t="e">
        <f>AND(#REF!,"AAAAAHf39fE=")</f>
        <v>#REF!</v>
      </c>
      <c r="II378" t="e">
        <f>AND(#REF!,"AAAAAHf39fI=")</f>
        <v>#REF!</v>
      </c>
      <c r="IJ378" t="e">
        <f>AND(#REF!,"AAAAAHf39fM=")</f>
        <v>#REF!</v>
      </c>
      <c r="IK378" t="e">
        <f>AND(#REF!,"AAAAAHf39fQ=")</f>
        <v>#REF!</v>
      </c>
      <c r="IL378" t="e">
        <f>AND(#REF!,"AAAAAHf39fU=")</f>
        <v>#REF!</v>
      </c>
      <c r="IM378" t="e">
        <f>AND(#REF!,"AAAAAHf39fY=")</f>
        <v>#REF!</v>
      </c>
      <c r="IN378" t="e">
        <f>IF(#REF!,"AAAAAHf39fc=",0)</f>
        <v>#REF!</v>
      </c>
      <c r="IO378" t="e">
        <f>AND(#REF!,"AAAAAHf39fg=")</f>
        <v>#REF!</v>
      </c>
      <c r="IP378" t="e">
        <f>AND(#REF!,"AAAAAHf39fk=")</f>
        <v>#REF!</v>
      </c>
      <c r="IQ378" t="e">
        <f>AND(#REF!,"AAAAAHf39fo=")</f>
        <v>#REF!</v>
      </c>
      <c r="IR378" t="e">
        <f>AND(#REF!,"AAAAAHf39fs=")</f>
        <v>#REF!</v>
      </c>
      <c r="IS378" t="e">
        <f>AND(#REF!,"AAAAAHf39fw=")</f>
        <v>#REF!</v>
      </c>
      <c r="IT378" t="e">
        <f>AND(#REF!,"AAAAAHf39f0=")</f>
        <v>#REF!</v>
      </c>
      <c r="IU378" t="e">
        <f>AND(#REF!,"AAAAAHf39f4=")</f>
        <v>#REF!</v>
      </c>
      <c r="IV378" t="e">
        <f>AND(#REF!,"AAAAAHf39f8=")</f>
        <v>#REF!</v>
      </c>
    </row>
    <row r="379" spans="1:256" x14ac:dyDescent="0.25">
      <c r="A379" t="e">
        <f>AND(#REF!,"AAAAAHzTfwA=")</f>
        <v>#REF!</v>
      </c>
      <c r="B379" t="e">
        <f>AND(#REF!,"AAAAAHzTfwE=")</f>
        <v>#REF!</v>
      </c>
      <c r="C379" t="e">
        <f>IF(#REF!,"AAAAAHzTfwI=",0)</f>
        <v>#REF!</v>
      </c>
      <c r="D379" t="e">
        <f>AND(#REF!,"AAAAAHzTfwM=")</f>
        <v>#REF!</v>
      </c>
      <c r="E379" t="e">
        <f>AND(#REF!,"AAAAAHzTfwQ=")</f>
        <v>#REF!</v>
      </c>
      <c r="F379" t="e">
        <f>AND(#REF!,"AAAAAHzTfwU=")</f>
        <v>#REF!</v>
      </c>
      <c r="G379" t="e">
        <f>AND(#REF!,"AAAAAHzTfwY=")</f>
        <v>#REF!</v>
      </c>
      <c r="H379" t="e">
        <f>AND(#REF!,"AAAAAHzTfwc=")</f>
        <v>#REF!</v>
      </c>
      <c r="I379" t="e">
        <f>AND(#REF!,"AAAAAHzTfwg=")</f>
        <v>#REF!</v>
      </c>
      <c r="J379" t="e">
        <f>AND(#REF!,"AAAAAHzTfwk=")</f>
        <v>#REF!</v>
      </c>
      <c r="K379" t="e">
        <f>AND(#REF!,"AAAAAHzTfwo=")</f>
        <v>#REF!</v>
      </c>
      <c r="L379" t="e">
        <f>AND(#REF!,"AAAAAHzTfws=")</f>
        <v>#REF!</v>
      </c>
      <c r="M379" t="e">
        <f>AND(#REF!,"AAAAAHzTfww=")</f>
        <v>#REF!</v>
      </c>
      <c r="N379" t="e">
        <f>IF(#REF!,"AAAAAHzTfw0=",0)</f>
        <v>#REF!</v>
      </c>
      <c r="O379" t="e">
        <f>AND(#REF!,"AAAAAHzTfw4=")</f>
        <v>#REF!</v>
      </c>
      <c r="P379" t="e">
        <f>AND(#REF!,"AAAAAHzTfw8=")</f>
        <v>#REF!</v>
      </c>
      <c r="Q379" t="e">
        <f>AND(#REF!,"AAAAAHzTfxA=")</f>
        <v>#REF!</v>
      </c>
      <c r="R379" t="e">
        <f>AND(#REF!,"AAAAAHzTfxE=")</f>
        <v>#REF!</v>
      </c>
      <c r="S379" t="e">
        <f>AND(#REF!,"AAAAAHzTfxI=")</f>
        <v>#REF!</v>
      </c>
      <c r="T379" t="e">
        <f>AND(#REF!,"AAAAAHzTfxM=")</f>
        <v>#REF!</v>
      </c>
      <c r="U379" t="e">
        <f>AND(#REF!,"AAAAAHzTfxQ=")</f>
        <v>#REF!</v>
      </c>
      <c r="V379" t="e">
        <f>AND(#REF!,"AAAAAHzTfxU=")</f>
        <v>#REF!</v>
      </c>
      <c r="W379" t="e">
        <f>AND(#REF!,"AAAAAHzTfxY=")</f>
        <v>#REF!</v>
      </c>
      <c r="X379" t="e">
        <f>AND(#REF!,"AAAAAHzTfxc=")</f>
        <v>#REF!</v>
      </c>
      <c r="Y379" t="e">
        <f>IF(#REF!,"AAAAAHzTfxg=",0)</f>
        <v>#REF!</v>
      </c>
      <c r="Z379" t="e">
        <f>AND(#REF!,"AAAAAHzTfxk=")</f>
        <v>#REF!</v>
      </c>
      <c r="AA379" t="e">
        <f>AND(#REF!,"AAAAAHzTfxo=")</f>
        <v>#REF!</v>
      </c>
      <c r="AB379" t="e">
        <f>AND(#REF!,"AAAAAHzTfxs=")</f>
        <v>#REF!</v>
      </c>
      <c r="AC379" t="e">
        <f>AND(#REF!,"AAAAAHzTfxw=")</f>
        <v>#REF!</v>
      </c>
      <c r="AD379" t="e">
        <f>AND(#REF!,"AAAAAHzTfx0=")</f>
        <v>#REF!</v>
      </c>
      <c r="AE379" t="e">
        <f>AND(#REF!,"AAAAAHzTfx4=")</f>
        <v>#REF!</v>
      </c>
      <c r="AF379" t="e">
        <f>AND(#REF!,"AAAAAHzTfx8=")</f>
        <v>#REF!</v>
      </c>
      <c r="AG379" t="e">
        <f>AND(#REF!,"AAAAAHzTfyA=")</f>
        <v>#REF!</v>
      </c>
      <c r="AH379" t="e">
        <f>AND(#REF!,"AAAAAHzTfyE=")</f>
        <v>#REF!</v>
      </c>
      <c r="AI379" t="e">
        <f>AND(#REF!,"AAAAAHzTfyI=")</f>
        <v>#REF!</v>
      </c>
      <c r="AJ379" t="e">
        <f>IF(#REF!,"AAAAAHzTfyM=",0)</f>
        <v>#REF!</v>
      </c>
      <c r="AK379" t="e">
        <f>AND(#REF!,"AAAAAHzTfyQ=")</f>
        <v>#REF!</v>
      </c>
      <c r="AL379" t="e">
        <f>AND(#REF!,"AAAAAHzTfyU=")</f>
        <v>#REF!</v>
      </c>
      <c r="AM379" t="e">
        <f>AND(#REF!,"AAAAAHzTfyY=")</f>
        <v>#REF!</v>
      </c>
      <c r="AN379" t="e">
        <f>AND(#REF!,"AAAAAHzTfyc=")</f>
        <v>#REF!</v>
      </c>
      <c r="AO379" t="e">
        <f>AND(#REF!,"AAAAAHzTfyg=")</f>
        <v>#REF!</v>
      </c>
      <c r="AP379" t="e">
        <f>AND(#REF!,"AAAAAHzTfyk=")</f>
        <v>#REF!</v>
      </c>
      <c r="AQ379" t="e">
        <f>AND(#REF!,"AAAAAHzTfyo=")</f>
        <v>#REF!</v>
      </c>
      <c r="AR379" t="e">
        <f>AND(#REF!,"AAAAAHzTfys=")</f>
        <v>#REF!</v>
      </c>
      <c r="AS379" t="e">
        <f>AND(#REF!,"AAAAAHzTfyw=")</f>
        <v>#REF!</v>
      </c>
      <c r="AT379" t="e">
        <f>AND(#REF!,"AAAAAHzTfy0=")</f>
        <v>#REF!</v>
      </c>
      <c r="AU379" t="e">
        <f>IF(#REF!,"AAAAAHzTfy4=",0)</f>
        <v>#REF!</v>
      </c>
      <c r="AV379" t="e">
        <f>AND(#REF!,"AAAAAHzTfy8=")</f>
        <v>#REF!</v>
      </c>
      <c r="AW379" t="e">
        <f>AND(#REF!,"AAAAAHzTfzA=")</f>
        <v>#REF!</v>
      </c>
      <c r="AX379" t="e">
        <f>AND(#REF!,"AAAAAHzTfzE=")</f>
        <v>#REF!</v>
      </c>
      <c r="AY379" t="e">
        <f>AND(#REF!,"AAAAAHzTfzI=")</f>
        <v>#REF!</v>
      </c>
      <c r="AZ379" t="e">
        <f>AND(#REF!,"AAAAAHzTfzM=")</f>
        <v>#REF!</v>
      </c>
      <c r="BA379" t="e">
        <f>AND(#REF!,"AAAAAHzTfzQ=")</f>
        <v>#REF!</v>
      </c>
      <c r="BB379" t="e">
        <f>AND(#REF!,"AAAAAHzTfzU=")</f>
        <v>#REF!</v>
      </c>
      <c r="BC379" t="e">
        <f>AND(#REF!,"AAAAAHzTfzY=")</f>
        <v>#REF!</v>
      </c>
      <c r="BD379" t="e">
        <f>AND(#REF!,"AAAAAHzTfzc=")</f>
        <v>#REF!</v>
      </c>
      <c r="BE379" t="e">
        <f>AND(#REF!,"AAAAAHzTfzg=")</f>
        <v>#REF!</v>
      </c>
      <c r="BF379" t="e">
        <f>IF(#REF!,"AAAAAHzTfzk=",0)</f>
        <v>#REF!</v>
      </c>
      <c r="BG379" t="e">
        <f>AND(#REF!,"AAAAAHzTfzo=")</f>
        <v>#REF!</v>
      </c>
      <c r="BH379" t="e">
        <f>AND(#REF!,"AAAAAHzTfzs=")</f>
        <v>#REF!</v>
      </c>
      <c r="BI379" t="e">
        <f>AND(#REF!,"AAAAAHzTfzw=")</f>
        <v>#REF!</v>
      </c>
      <c r="BJ379" t="e">
        <f>AND(#REF!,"AAAAAHzTfz0=")</f>
        <v>#REF!</v>
      </c>
      <c r="BK379" t="e">
        <f>AND(#REF!,"AAAAAHzTfz4=")</f>
        <v>#REF!</v>
      </c>
      <c r="BL379" t="e">
        <f>AND(#REF!,"AAAAAHzTfz8=")</f>
        <v>#REF!</v>
      </c>
      <c r="BM379" t="e">
        <f>AND(#REF!,"AAAAAHzTf0A=")</f>
        <v>#REF!</v>
      </c>
      <c r="BN379" t="e">
        <f>AND(#REF!,"AAAAAHzTf0E=")</f>
        <v>#REF!</v>
      </c>
      <c r="BO379" t="e">
        <f>AND(#REF!,"AAAAAHzTf0I=")</f>
        <v>#REF!</v>
      </c>
      <c r="BP379" t="e">
        <f>AND(#REF!,"AAAAAHzTf0M=")</f>
        <v>#REF!</v>
      </c>
      <c r="BQ379" t="e">
        <f>IF(#REF!,"AAAAAHzTf0Q=",0)</f>
        <v>#REF!</v>
      </c>
      <c r="BR379" t="e">
        <f>AND(#REF!,"AAAAAHzTf0U=")</f>
        <v>#REF!</v>
      </c>
      <c r="BS379" t="e">
        <f>AND(#REF!,"AAAAAHzTf0Y=")</f>
        <v>#REF!</v>
      </c>
      <c r="BT379" t="e">
        <f>AND(#REF!,"AAAAAHzTf0c=")</f>
        <v>#REF!</v>
      </c>
      <c r="BU379" t="e">
        <f>AND(#REF!,"AAAAAHzTf0g=")</f>
        <v>#REF!</v>
      </c>
      <c r="BV379" t="e">
        <f>AND(#REF!,"AAAAAHzTf0k=")</f>
        <v>#REF!</v>
      </c>
      <c r="BW379" t="e">
        <f>AND(#REF!,"AAAAAHzTf0o=")</f>
        <v>#REF!</v>
      </c>
      <c r="BX379" t="e">
        <f>AND(#REF!,"AAAAAHzTf0s=")</f>
        <v>#REF!</v>
      </c>
      <c r="BY379" t="e">
        <f>AND(#REF!,"AAAAAHzTf0w=")</f>
        <v>#REF!</v>
      </c>
      <c r="BZ379" t="e">
        <f>AND(#REF!,"AAAAAHzTf00=")</f>
        <v>#REF!</v>
      </c>
      <c r="CA379" t="e">
        <f>AND(#REF!,"AAAAAHzTf04=")</f>
        <v>#REF!</v>
      </c>
      <c r="CB379" t="e">
        <f>IF(#REF!,"AAAAAHzTf08=",0)</f>
        <v>#REF!</v>
      </c>
      <c r="CC379" t="e">
        <f>AND(#REF!,"AAAAAHzTf1A=")</f>
        <v>#REF!</v>
      </c>
      <c r="CD379" t="e">
        <f>AND(#REF!,"AAAAAHzTf1E=")</f>
        <v>#REF!</v>
      </c>
      <c r="CE379" t="e">
        <f>AND(#REF!,"AAAAAHzTf1I=")</f>
        <v>#REF!</v>
      </c>
      <c r="CF379" t="e">
        <f>AND(#REF!,"AAAAAHzTf1M=")</f>
        <v>#REF!</v>
      </c>
      <c r="CG379" t="e">
        <f>AND(#REF!,"AAAAAHzTf1Q=")</f>
        <v>#REF!</v>
      </c>
      <c r="CH379" t="e">
        <f>AND(#REF!,"AAAAAHzTf1U=")</f>
        <v>#REF!</v>
      </c>
      <c r="CI379" t="e">
        <f>AND(#REF!,"AAAAAHzTf1Y=")</f>
        <v>#REF!</v>
      </c>
      <c r="CJ379" t="e">
        <f>AND(#REF!,"AAAAAHzTf1c=")</f>
        <v>#REF!</v>
      </c>
      <c r="CK379" t="e">
        <f>AND(#REF!,"AAAAAHzTf1g=")</f>
        <v>#REF!</v>
      </c>
      <c r="CL379" t="e">
        <f>AND(#REF!,"AAAAAHzTf1k=")</f>
        <v>#REF!</v>
      </c>
      <c r="CM379" t="e">
        <f>IF(#REF!,"AAAAAHzTf1o=",0)</f>
        <v>#REF!</v>
      </c>
      <c r="CN379" t="e">
        <f>AND(#REF!,"AAAAAHzTf1s=")</f>
        <v>#REF!</v>
      </c>
      <c r="CO379" t="e">
        <f>AND(#REF!,"AAAAAHzTf1w=")</f>
        <v>#REF!</v>
      </c>
      <c r="CP379" t="e">
        <f>AND(#REF!,"AAAAAHzTf10=")</f>
        <v>#REF!</v>
      </c>
      <c r="CQ379" t="e">
        <f>AND(#REF!,"AAAAAHzTf14=")</f>
        <v>#REF!</v>
      </c>
      <c r="CR379" t="e">
        <f>AND(#REF!,"AAAAAHzTf18=")</f>
        <v>#REF!</v>
      </c>
      <c r="CS379" t="e">
        <f>AND(#REF!,"AAAAAHzTf2A=")</f>
        <v>#REF!</v>
      </c>
      <c r="CT379" t="e">
        <f>AND(#REF!,"AAAAAHzTf2E=")</f>
        <v>#REF!</v>
      </c>
      <c r="CU379" t="e">
        <f>AND(#REF!,"AAAAAHzTf2I=")</f>
        <v>#REF!</v>
      </c>
      <c r="CV379" t="e">
        <f>AND(#REF!,"AAAAAHzTf2M=")</f>
        <v>#REF!</v>
      </c>
      <c r="CW379" t="e">
        <f>AND(#REF!,"AAAAAHzTf2Q=")</f>
        <v>#REF!</v>
      </c>
      <c r="CX379" t="e">
        <f>IF(#REF!,"AAAAAHzTf2U=",0)</f>
        <v>#REF!</v>
      </c>
      <c r="CY379" t="e">
        <f>AND(#REF!,"AAAAAHzTf2Y=")</f>
        <v>#REF!</v>
      </c>
      <c r="CZ379" t="e">
        <f>AND(#REF!,"AAAAAHzTf2c=")</f>
        <v>#REF!</v>
      </c>
      <c r="DA379" t="e">
        <f>AND(#REF!,"AAAAAHzTf2g=")</f>
        <v>#REF!</v>
      </c>
      <c r="DB379" t="e">
        <f>AND(#REF!,"AAAAAHzTf2k=")</f>
        <v>#REF!</v>
      </c>
      <c r="DC379" t="e">
        <f>AND(#REF!,"AAAAAHzTf2o=")</f>
        <v>#REF!</v>
      </c>
      <c r="DD379" t="e">
        <f>AND(#REF!,"AAAAAHzTf2s=")</f>
        <v>#REF!</v>
      </c>
      <c r="DE379" t="e">
        <f>AND(#REF!,"AAAAAHzTf2w=")</f>
        <v>#REF!</v>
      </c>
      <c r="DF379" t="e">
        <f>AND(#REF!,"AAAAAHzTf20=")</f>
        <v>#REF!</v>
      </c>
      <c r="DG379" t="e">
        <f>AND(#REF!,"AAAAAHzTf24=")</f>
        <v>#REF!</v>
      </c>
      <c r="DH379" t="e">
        <f>AND(#REF!,"AAAAAHzTf28=")</f>
        <v>#REF!</v>
      </c>
      <c r="DI379" t="e">
        <f>IF(#REF!,"AAAAAHzTf3A=",0)</f>
        <v>#REF!</v>
      </c>
      <c r="DJ379" t="e">
        <f>AND(#REF!,"AAAAAHzTf3E=")</f>
        <v>#REF!</v>
      </c>
      <c r="DK379" t="e">
        <f>AND(#REF!,"AAAAAHzTf3I=")</f>
        <v>#REF!</v>
      </c>
      <c r="DL379" t="e">
        <f>AND(#REF!,"AAAAAHzTf3M=")</f>
        <v>#REF!</v>
      </c>
      <c r="DM379" t="e">
        <f>AND(#REF!,"AAAAAHzTf3Q=")</f>
        <v>#REF!</v>
      </c>
      <c r="DN379" t="e">
        <f>AND(#REF!,"AAAAAHzTf3U=")</f>
        <v>#REF!</v>
      </c>
      <c r="DO379" t="e">
        <f>AND(#REF!,"AAAAAHzTf3Y=")</f>
        <v>#REF!</v>
      </c>
      <c r="DP379" t="e">
        <f>AND(#REF!,"AAAAAHzTf3c=")</f>
        <v>#REF!</v>
      </c>
      <c r="DQ379" t="e">
        <f>AND(#REF!,"AAAAAHzTf3g=")</f>
        <v>#REF!</v>
      </c>
      <c r="DR379" t="e">
        <f>AND(#REF!,"AAAAAHzTf3k=")</f>
        <v>#REF!</v>
      </c>
      <c r="DS379" t="e">
        <f>AND(#REF!,"AAAAAHzTf3o=")</f>
        <v>#REF!</v>
      </c>
      <c r="DT379" t="e">
        <f>IF(#REF!,"AAAAAHzTf3s=",0)</f>
        <v>#REF!</v>
      </c>
      <c r="DU379" t="e">
        <f>AND(#REF!,"AAAAAHzTf3w=")</f>
        <v>#REF!</v>
      </c>
      <c r="DV379" t="e">
        <f>AND(#REF!,"AAAAAHzTf30=")</f>
        <v>#REF!</v>
      </c>
      <c r="DW379" t="e">
        <f>AND(#REF!,"AAAAAHzTf34=")</f>
        <v>#REF!</v>
      </c>
      <c r="DX379" t="e">
        <f>AND(#REF!,"AAAAAHzTf38=")</f>
        <v>#REF!</v>
      </c>
      <c r="DY379" t="e">
        <f>AND(#REF!,"AAAAAHzTf4A=")</f>
        <v>#REF!</v>
      </c>
      <c r="DZ379" t="e">
        <f>AND(#REF!,"AAAAAHzTf4E=")</f>
        <v>#REF!</v>
      </c>
      <c r="EA379" t="e">
        <f>AND(#REF!,"AAAAAHzTf4I=")</f>
        <v>#REF!</v>
      </c>
      <c r="EB379" t="e">
        <f>AND(#REF!,"AAAAAHzTf4M=")</f>
        <v>#REF!</v>
      </c>
      <c r="EC379" t="e">
        <f>AND(#REF!,"AAAAAHzTf4Q=")</f>
        <v>#REF!</v>
      </c>
      <c r="ED379" t="e">
        <f>AND(#REF!,"AAAAAHzTf4U=")</f>
        <v>#REF!</v>
      </c>
      <c r="EE379" t="e">
        <f>IF(#REF!,"AAAAAHzTf4Y=",0)</f>
        <v>#REF!</v>
      </c>
      <c r="EF379" t="e">
        <f>AND(#REF!,"AAAAAHzTf4c=")</f>
        <v>#REF!</v>
      </c>
      <c r="EG379" t="e">
        <f>AND(#REF!,"AAAAAHzTf4g=")</f>
        <v>#REF!</v>
      </c>
      <c r="EH379" t="e">
        <f>AND(#REF!,"AAAAAHzTf4k=")</f>
        <v>#REF!</v>
      </c>
      <c r="EI379" t="e">
        <f>AND(#REF!,"AAAAAHzTf4o=")</f>
        <v>#REF!</v>
      </c>
      <c r="EJ379" t="e">
        <f>AND(#REF!,"AAAAAHzTf4s=")</f>
        <v>#REF!</v>
      </c>
      <c r="EK379" t="e">
        <f>AND(#REF!,"AAAAAHzTf4w=")</f>
        <v>#REF!</v>
      </c>
      <c r="EL379" t="e">
        <f>AND(#REF!,"AAAAAHzTf40=")</f>
        <v>#REF!</v>
      </c>
      <c r="EM379" t="e">
        <f>AND(#REF!,"AAAAAHzTf44=")</f>
        <v>#REF!</v>
      </c>
      <c r="EN379" t="e">
        <f>AND(#REF!,"AAAAAHzTf48=")</f>
        <v>#REF!</v>
      </c>
      <c r="EO379" t="e">
        <f>AND(#REF!,"AAAAAHzTf5A=")</f>
        <v>#REF!</v>
      </c>
      <c r="EP379" t="e">
        <f>IF(#REF!,"AAAAAHzTf5E=",0)</f>
        <v>#REF!</v>
      </c>
      <c r="EQ379" t="e">
        <f>AND(#REF!,"AAAAAHzTf5I=")</f>
        <v>#REF!</v>
      </c>
      <c r="ER379" t="e">
        <f>AND(#REF!,"AAAAAHzTf5M=")</f>
        <v>#REF!</v>
      </c>
      <c r="ES379" t="e">
        <f>AND(#REF!,"AAAAAHzTf5Q=")</f>
        <v>#REF!</v>
      </c>
      <c r="ET379" t="e">
        <f>AND(#REF!,"AAAAAHzTf5U=")</f>
        <v>#REF!</v>
      </c>
      <c r="EU379" t="e">
        <f>AND(#REF!,"AAAAAHzTf5Y=")</f>
        <v>#REF!</v>
      </c>
      <c r="EV379" t="e">
        <f>AND(#REF!,"AAAAAHzTf5c=")</f>
        <v>#REF!</v>
      </c>
      <c r="EW379" t="e">
        <f>AND(#REF!,"AAAAAHzTf5g=")</f>
        <v>#REF!</v>
      </c>
      <c r="EX379" t="e">
        <f>AND(#REF!,"AAAAAHzTf5k=")</f>
        <v>#REF!</v>
      </c>
      <c r="EY379" t="e">
        <f>AND(#REF!,"AAAAAHzTf5o=")</f>
        <v>#REF!</v>
      </c>
      <c r="EZ379" t="e">
        <f>AND(#REF!,"AAAAAHzTf5s=")</f>
        <v>#REF!</v>
      </c>
      <c r="FA379" t="e">
        <f>IF(#REF!,"AAAAAHzTf5w=",0)</f>
        <v>#REF!</v>
      </c>
      <c r="FB379" t="e">
        <f>AND(#REF!,"AAAAAHzTf50=")</f>
        <v>#REF!</v>
      </c>
      <c r="FC379" t="e">
        <f>AND(#REF!,"AAAAAHzTf54=")</f>
        <v>#REF!</v>
      </c>
      <c r="FD379" t="e">
        <f>AND(#REF!,"AAAAAHzTf58=")</f>
        <v>#REF!</v>
      </c>
      <c r="FE379" t="e">
        <f>AND(#REF!,"AAAAAHzTf6A=")</f>
        <v>#REF!</v>
      </c>
      <c r="FF379" t="e">
        <f>AND(#REF!,"AAAAAHzTf6E=")</f>
        <v>#REF!</v>
      </c>
      <c r="FG379" t="e">
        <f>AND(#REF!,"AAAAAHzTf6I=")</f>
        <v>#REF!</v>
      </c>
      <c r="FH379" t="e">
        <f>AND(#REF!,"AAAAAHzTf6M=")</f>
        <v>#REF!</v>
      </c>
      <c r="FI379" t="e">
        <f>AND(#REF!,"AAAAAHzTf6Q=")</f>
        <v>#REF!</v>
      </c>
      <c r="FJ379" t="e">
        <f>AND(#REF!,"AAAAAHzTf6U=")</f>
        <v>#REF!</v>
      </c>
      <c r="FK379" t="e">
        <f>AND(#REF!,"AAAAAHzTf6Y=")</f>
        <v>#REF!</v>
      </c>
      <c r="FL379" t="e">
        <f>IF(#REF!,"AAAAAHzTf6c=",0)</f>
        <v>#REF!</v>
      </c>
      <c r="FM379" t="e">
        <f>AND(#REF!,"AAAAAHzTf6g=")</f>
        <v>#REF!</v>
      </c>
      <c r="FN379" t="e">
        <f>AND(#REF!,"AAAAAHzTf6k=")</f>
        <v>#REF!</v>
      </c>
      <c r="FO379" t="e">
        <f>AND(#REF!,"AAAAAHzTf6o=")</f>
        <v>#REF!</v>
      </c>
      <c r="FP379" t="e">
        <f>AND(#REF!,"AAAAAHzTf6s=")</f>
        <v>#REF!</v>
      </c>
      <c r="FQ379" t="e">
        <f>AND(#REF!,"AAAAAHzTf6w=")</f>
        <v>#REF!</v>
      </c>
      <c r="FR379" t="e">
        <f>AND(#REF!,"AAAAAHzTf60=")</f>
        <v>#REF!</v>
      </c>
      <c r="FS379" t="e">
        <f>AND(#REF!,"AAAAAHzTf64=")</f>
        <v>#REF!</v>
      </c>
      <c r="FT379" t="e">
        <f>AND(#REF!,"AAAAAHzTf68=")</f>
        <v>#REF!</v>
      </c>
      <c r="FU379" t="e">
        <f>AND(#REF!,"AAAAAHzTf7A=")</f>
        <v>#REF!</v>
      </c>
      <c r="FV379" t="e">
        <f>AND(#REF!,"AAAAAHzTf7E=")</f>
        <v>#REF!</v>
      </c>
      <c r="FW379" t="e">
        <f>IF(#REF!,"AAAAAHzTf7I=",0)</f>
        <v>#REF!</v>
      </c>
      <c r="FX379" t="e">
        <f>AND(#REF!,"AAAAAHzTf7M=")</f>
        <v>#REF!</v>
      </c>
      <c r="FY379" t="e">
        <f>AND(#REF!,"AAAAAHzTf7Q=")</f>
        <v>#REF!</v>
      </c>
      <c r="FZ379" t="e">
        <f>AND(#REF!,"AAAAAHzTf7U=")</f>
        <v>#REF!</v>
      </c>
      <c r="GA379" t="e">
        <f>AND(#REF!,"AAAAAHzTf7Y=")</f>
        <v>#REF!</v>
      </c>
      <c r="GB379" t="e">
        <f>AND(#REF!,"AAAAAHzTf7c=")</f>
        <v>#REF!</v>
      </c>
      <c r="GC379" t="e">
        <f>AND(#REF!,"AAAAAHzTf7g=")</f>
        <v>#REF!</v>
      </c>
      <c r="GD379" t="e">
        <f>AND(#REF!,"AAAAAHzTf7k=")</f>
        <v>#REF!</v>
      </c>
      <c r="GE379" t="e">
        <f>AND(#REF!,"AAAAAHzTf7o=")</f>
        <v>#REF!</v>
      </c>
      <c r="GF379" t="e">
        <f>AND(#REF!,"AAAAAHzTf7s=")</f>
        <v>#REF!</v>
      </c>
      <c r="GG379" t="e">
        <f>AND(#REF!,"AAAAAHzTf7w=")</f>
        <v>#REF!</v>
      </c>
      <c r="GH379" t="e">
        <f>IF(#REF!,"AAAAAHzTf70=",0)</f>
        <v>#REF!</v>
      </c>
      <c r="GI379" t="e">
        <f>AND(#REF!,"AAAAAHzTf74=")</f>
        <v>#REF!</v>
      </c>
      <c r="GJ379" t="e">
        <f>AND(#REF!,"AAAAAHzTf78=")</f>
        <v>#REF!</v>
      </c>
      <c r="GK379" t="e">
        <f>AND(#REF!,"AAAAAHzTf8A=")</f>
        <v>#REF!</v>
      </c>
      <c r="GL379" t="e">
        <f>AND(#REF!,"AAAAAHzTf8E=")</f>
        <v>#REF!</v>
      </c>
      <c r="GM379" t="e">
        <f>AND(#REF!,"AAAAAHzTf8I=")</f>
        <v>#REF!</v>
      </c>
      <c r="GN379" t="e">
        <f>AND(#REF!,"AAAAAHzTf8M=")</f>
        <v>#REF!</v>
      </c>
      <c r="GO379" t="e">
        <f>AND(#REF!,"AAAAAHzTf8Q=")</f>
        <v>#REF!</v>
      </c>
      <c r="GP379" t="e">
        <f>AND(#REF!,"AAAAAHzTf8U=")</f>
        <v>#REF!</v>
      </c>
      <c r="GQ379" t="e">
        <f>AND(#REF!,"AAAAAHzTf8Y=")</f>
        <v>#REF!</v>
      </c>
      <c r="GR379" t="e">
        <f>AND(#REF!,"AAAAAHzTf8c=")</f>
        <v>#REF!</v>
      </c>
      <c r="GS379" t="e">
        <f>IF(#REF!,"AAAAAHzTf8g=",0)</f>
        <v>#REF!</v>
      </c>
      <c r="GT379" t="e">
        <f>AND(#REF!,"AAAAAHzTf8k=")</f>
        <v>#REF!</v>
      </c>
      <c r="GU379" t="e">
        <f>AND(#REF!,"AAAAAHzTf8o=")</f>
        <v>#REF!</v>
      </c>
      <c r="GV379" t="e">
        <f>AND(#REF!,"AAAAAHzTf8s=")</f>
        <v>#REF!</v>
      </c>
      <c r="GW379" t="e">
        <f>AND(#REF!,"AAAAAHzTf8w=")</f>
        <v>#REF!</v>
      </c>
      <c r="GX379" t="e">
        <f>AND(#REF!,"AAAAAHzTf80=")</f>
        <v>#REF!</v>
      </c>
      <c r="GY379" t="e">
        <f>AND(#REF!,"AAAAAHzTf84=")</f>
        <v>#REF!</v>
      </c>
      <c r="GZ379" t="e">
        <f>AND(#REF!,"AAAAAHzTf88=")</f>
        <v>#REF!</v>
      </c>
      <c r="HA379" t="e">
        <f>AND(#REF!,"AAAAAHzTf9A=")</f>
        <v>#REF!</v>
      </c>
      <c r="HB379" t="e">
        <f>AND(#REF!,"AAAAAHzTf9E=")</f>
        <v>#REF!</v>
      </c>
      <c r="HC379" t="e">
        <f>AND(#REF!,"AAAAAHzTf9I=")</f>
        <v>#REF!</v>
      </c>
      <c r="HD379" t="e">
        <f>IF(#REF!,"AAAAAHzTf9M=",0)</f>
        <v>#REF!</v>
      </c>
      <c r="HE379" t="e">
        <f>AND(#REF!,"AAAAAHzTf9Q=")</f>
        <v>#REF!</v>
      </c>
      <c r="HF379" t="e">
        <f>AND(#REF!,"AAAAAHzTf9U=")</f>
        <v>#REF!</v>
      </c>
      <c r="HG379" t="e">
        <f>AND(#REF!,"AAAAAHzTf9Y=")</f>
        <v>#REF!</v>
      </c>
      <c r="HH379" t="e">
        <f>AND(#REF!,"AAAAAHzTf9c=")</f>
        <v>#REF!</v>
      </c>
      <c r="HI379" t="e">
        <f>AND(#REF!,"AAAAAHzTf9g=")</f>
        <v>#REF!</v>
      </c>
      <c r="HJ379" t="e">
        <f>AND(#REF!,"AAAAAHzTf9k=")</f>
        <v>#REF!</v>
      </c>
      <c r="HK379" t="e">
        <f>AND(#REF!,"AAAAAHzTf9o=")</f>
        <v>#REF!</v>
      </c>
      <c r="HL379" t="e">
        <f>AND(#REF!,"AAAAAHzTf9s=")</f>
        <v>#REF!</v>
      </c>
      <c r="HM379" t="e">
        <f>AND(#REF!,"AAAAAHzTf9w=")</f>
        <v>#REF!</v>
      </c>
      <c r="HN379" t="e">
        <f>AND(#REF!,"AAAAAHzTf90=")</f>
        <v>#REF!</v>
      </c>
      <c r="HO379" t="e">
        <f>IF(#REF!,"AAAAAHzTf94=",0)</f>
        <v>#REF!</v>
      </c>
      <c r="HP379" t="e">
        <f>AND(#REF!,"AAAAAHzTf98=")</f>
        <v>#REF!</v>
      </c>
      <c r="HQ379" t="e">
        <f>AND(#REF!,"AAAAAHzTf+A=")</f>
        <v>#REF!</v>
      </c>
      <c r="HR379" t="e">
        <f>AND(#REF!,"AAAAAHzTf+E=")</f>
        <v>#REF!</v>
      </c>
      <c r="HS379" t="e">
        <f>AND(#REF!,"AAAAAHzTf+I=")</f>
        <v>#REF!</v>
      </c>
      <c r="HT379" t="e">
        <f>AND(#REF!,"AAAAAHzTf+M=")</f>
        <v>#REF!</v>
      </c>
      <c r="HU379" t="e">
        <f>AND(#REF!,"AAAAAHzTf+Q=")</f>
        <v>#REF!</v>
      </c>
      <c r="HV379" t="e">
        <f>AND(#REF!,"AAAAAHzTf+U=")</f>
        <v>#REF!</v>
      </c>
      <c r="HW379" t="e">
        <f>AND(#REF!,"AAAAAHzTf+Y=")</f>
        <v>#REF!</v>
      </c>
      <c r="HX379" t="e">
        <f>AND(#REF!,"AAAAAHzTf+c=")</f>
        <v>#REF!</v>
      </c>
      <c r="HY379" t="e">
        <f>AND(#REF!,"AAAAAHzTf+g=")</f>
        <v>#REF!</v>
      </c>
      <c r="HZ379" t="e">
        <f>IF(#REF!,"AAAAAHzTf+k=",0)</f>
        <v>#REF!</v>
      </c>
      <c r="IA379" t="e">
        <f>AND(#REF!,"AAAAAHzTf+o=")</f>
        <v>#REF!</v>
      </c>
      <c r="IB379" t="e">
        <f>AND(#REF!,"AAAAAHzTf+s=")</f>
        <v>#REF!</v>
      </c>
      <c r="IC379" t="e">
        <f>AND(#REF!,"AAAAAHzTf+w=")</f>
        <v>#REF!</v>
      </c>
      <c r="ID379" t="e">
        <f>AND(#REF!,"AAAAAHzTf+0=")</f>
        <v>#REF!</v>
      </c>
      <c r="IE379" t="e">
        <f>AND(#REF!,"AAAAAHzTf+4=")</f>
        <v>#REF!</v>
      </c>
      <c r="IF379" t="e">
        <f>AND(#REF!,"AAAAAHzTf+8=")</f>
        <v>#REF!</v>
      </c>
      <c r="IG379" t="e">
        <f>AND(#REF!,"AAAAAHzTf/A=")</f>
        <v>#REF!</v>
      </c>
      <c r="IH379" t="e">
        <f>AND(#REF!,"AAAAAHzTf/E=")</f>
        <v>#REF!</v>
      </c>
      <c r="II379" t="e">
        <f>AND(#REF!,"AAAAAHzTf/I=")</f>
        <v>#REF!</v>
      </c>
      <c r="IJ379" t="e">
        <f>AND(#REF!,"AAAAAHzTf/M=")</f>
        <v>#REF!</v>
      </c>
      <c r="IK379" t="e">
        <f>IF(#REF!,"AAAAAHzTf/Q=",0)</f>
        <v>#REF!</v>
      </c>
      <c r="IL379" t="e">
        <f>AND(#REF!,"AAAAAHzTf/U=")</f>
        <v>#REF!</v>
      </c>
      <c r="IM379" t="e">
        <f>AND(#REF!,"AAAAAHzTf/Y=")</f>
        <v>#REF!</v>
      </c>
      <c r="IN379" t="e">
        <f>AND(#REF!,"AAAAAHzTf/c=")</f>
        <v>#REF!</v>
      </c>
      <c r="IO379" t="e">
        <f>AND(#REF!,"AAAAAHzTf/g=")</f>
        <v>#REF!</v>
      </c>
      <c r="IP379" t="e">
        <f>AND(#REF!,"AAAAAHzTf/k=")</f>
        <v>#REF!</v>
      </c>
      <c r="IQ379" t="e">
        <f>AND(#REF!,"AAAAAHzTf/o=")</f>
        <v>#REF!</v>
      </c>
      <c r="IR379" t="e">
        <f>AND(#REF!,"AAAAAHzTf/s=")</f>
        <v>#REF!</v>
      </c>
      <c r="IS379" t="e">
        <f>AND(#REF!,"AAAAAHzTf/w=")</f>
        <v>#REF!</v>
      </c>
      <c r="IT379" t="e">
        <f>AND(#REF!,"AAAAAHzTf/0=")</f>
        <v>#REF!</v>
      </c>
      <c r="IU379" t="e">
        <f>AND(#REF!,"AAAAAHzTf/4=")</f>
        <v>#REF!</v>
      </c>
      <c r="IV379" t="e">
        <f>IF(#REF!,"AAAAAHzTf/8=",0)</f>
        <v>#REF!</v>
      </c>
    </row>
    <row r="380" spans="1:256" x14ac:dyDescent="0.25">
      <c r="A380" t="e">
        <f>AND(#REF!,"AAAAAD0qvgA=")</f>
        <v>#REF!</v>
      </c>
      <c r="B380" t="e">
        <f>AND(#REF!,"AAAAAD0qvgE=")</f>
        <v>#REF!</v>
      </c>
      <c r="C380" t="e">
        <f>AND(#REF!,"AAAAAD0qvgI=")</f>
        <v>#REF!</v>
      </c>
      <c r="D380" t="e">
        <f>AND(#REF!,"AAAAAD0qvgM=")</f>
        <v>#REF!</v>
      </c>
      <c r="E380" t="e">
        <f>AND(#REF!,"AAAAAD0qvgQ=")</f>
        <v>#REF!</v>
      </c>
      <c r="F380" t="e">
        <f>AND(#REF!,"AAAAAD0qvgU=")</f>
        <v>#REF!</v>
      </c>
      <c r="G380" t="e">
        <f>AND(#REF!,"AAAAAD0qvgY=")</f>
        <v>#REF!</v>
      </c>
      <c r="H380" t="e">
        <f>AND(#REF!,"AAAAAD0qvgc=")</f>
        <v>#REF!</v>
      </c>
      <c r="I380" t="e">
        <f>AND(#REF!,"AAAAAD0qvgg=")</f>
        <v>#REF!</v>
      </c>
      <c r="J380" t="e">
        <f>AND(#REF!,"AAAAAD0qvgk=")</f>
        <v>#REF!</v>
      </c>
      <c r="K380" t="e">
        <f>IF(#REF!,"AAAAAD0qvgo=",0)</f>
        <v>#REF!</v>
      </c>
      <c r="L380" t="e">
        <f>AND(#REF!,"AAAAAD0qvgs=")</f>
        <v>#REF!</v>
      </c>
      <c r="M380" t="e">
        <f>AND(#REF!,"AAAAAD0qvgw=")</f>
        <v>#REF!</v>
      </c>
      <c r="N380" t="e">
        <f>AND(#REF!,"AAAAAD0qvg0=")</f>
        <v>#REF!</v>
      </c>
      <c r="O380" t="e">
        <f>AND(#REF!,"AAAAAD0qvg4=")</f>
        <v>#REF!</v>
      </c>
      <c r="P380" t="e">
        <f>AND(#REF!,"AAAAAD0qvg8=")</f>
        <v>#REF!</v>
      </c>
      <c r="Q380" t="e">
        <f>AND(#REF!,"AAAAAD0qvhA=")</f>
        <v>#REF!</v>
      </c>
      <c r="R380" t="e">
        <f>AND(#REF!,"AAAAAD0qvhE=")</f>
        <v>#REF!</v>
      </c>
      <c r="S380" t="e">
        <f>AND(#REF!,"AAAAAD0qvhI=")</f>
        <v>#REF!</v>
      </c>
      <c r="T380" t="e">
        <f>AND(#REF!,"AAAAAD0qvhM=")</f>
        <v>#REF!</v>
      </c>
      <c r="U380" t="e">
        <f>AND(#REF!,"AAAAAD0qvhQ=")</f>
        <v>#REF!</v>
      </c>
      <c r="V380" t="e">
        <f>IF(#REF!,"AAAAAD0qvhU=",0)</f>
        <v>#REF!</v>
      </c>
      <c r="W380" t="e">
        <f>AND(#REF!,"AAAAAD0qvhY=")</f>
        <v>#REF!</v>
      </c>
      <c r="X380" t="e">
        <f>AND(#REF!,"AAAAAD0qvhc=")</f>
        <v>#REF!</v>
      </c>
      <c r="Y380" t="e">
        <f>AND(#REF!,"AAAAAD0qvhg=")</f>
        <v>#REF!</v>
      </c>
      <c r="Z380" t="e">
        <f>AND(#REF!,"AAAAAD0qvhk=")</f>
        <v>#REF!</v>
      </c>
      <c r="AA380" t="e">
        <f>AND(#REF!,"AAAAAD0qvho=")</f>
        <v>#REF!</v>
      </c>
      <c r="AB380" t="e">
        <f>AND(#REF!,"AAAAAD0qvhs=")</f>
        <v>#REF!</v>
      </c>
      <c r="AC380" t="e">
        <f>AND(#REF!,"AAAAAD0qvhw=")</f>
        <v>#REF!</v>
      </c>
      <c r="AD380" t="e">
        <f>AND(#REF!,"AAAAAD0qvh0=")</f>
        <v>#REF!</v>
      </c>
      <c r="AE380" t="e">
        <f>AND(#REF!,"AAAAAD0qvh4=")</f>
        <v>#REF!</v>
      </c>
      <c r="AF380" t="e">
        <f>AND(#REF!,"AAAAAD0qvh8=")</f>
        <v>#REF!</v>
      </c>
      <c r="AG380" t="e">
        <f>IF(#REF!,"AAAAAD0qviA=",0)</f>
        <v>#REF!</v>
      </c>
      <c r="AH380" t="e">
        <f>AND(#REF!,"AAAAAD0qviE=")</f>
        <v>#REF!</v>
      </c>
      <c r="AI380" t="e">
        <f>AND(#REF!,"AAAAAD0qviI=")</f>
        <v>#REF!</v>
      </c>
      <c r="AJ380" t="e">
        <f>AND(#REF!,"AAAAAD0qviM=")</f>
        <v>#REF!</v>
      </c>
      <c r="AK380" t="e">
        <f>AND(#REF!,"AAAAAD0qviQ=")</f>
        <v>#REF!</v>
      </c>
      <c r="AL380" t="e">
        <f>AND(#REF!,"AAAAAD0qviU=")</f>
        <v>#REF!</v>
      </c>
      <c r="AM380" t="e">
        <f>AND(#REF!,"AAAAAD0qviY=")</f>
        <v>#REF!</v>
      </c>
      <c r="AN380" t="e">
        <f>AND(#REF!,"AAAAAD0qvic=")</f>
        <v>#REF!</v>
      </c>
      <c r="AO380" t="e">
        <f>AND(#REF!,"AAAAAD0qvig=")</f>
        <v>#REF!</v>
      </c>
      <c r="AP380" t="e">
        <f>AND(#REF!,"AAAAAD0qvik=")</f>
        <v>#REF!</v>
      </c>
      <c r="AQ380" t="e">
        <f>AND(#REF!,"AAAAAD0qvio=")</f>
        <v>#REF!</v>
      </c>
      <c r="AR380" t="e">
        <f>IF(#REF!,"AAAAAD0qvis=",0)</f>
        <v>#REF!</v>
      </c>
      <c r="AS380" t="e">
        <f>AND(#REF!,"AAAAAD0qviw=")</f>
        <v>#REF!</v>
      </c>
      <c r="AT380" t="e">
        <f>AND(#REF!,"AAAAAD0qvi0=")</f>
        <v>#REF!</v>
      </c>
      <c r="AU380" t="e">
        <f>AND(#REF!,"AAAAAD0qvi4=")</f>
        <v>#REF!</v>
      </c>
      <c r="AV380" t="e">
        <f>AND(#REF!,"AAAAAD0qvi8=")</f>
        <v>#REF!</v>
      </c>
      <c r="AW380" t="e">
        <f>AND(#REF!,"AAAAAD0qvjA=")</f>
        <v>#REF!</v>
      </c>
      <c r="AX380" t="e">
        <f>AND(#REF!,"AAAAAD0qvjE=")</f>
        <v>#REF!</v>
      </c>
      <c r="AY380" t="e">
        <f>AND(#REF!,"AAAAAD0qvjI=")</f>
        <v>#REF!</v>
      </c>
      <c r="AZ380" t="e">
        <f>AND(#REF!,"AAAAAD0qvjM=")</f>
        <v>#REF!</v>
      </c>
      <c r="BA380" t="e">
        <f>AND(#REF!,"AAAAAD0qvjQ=")</f>
        <v>#REF!</v>
      </c>
      <c r="BB380" t="e">
        <f>AND(#REF!,"AAAAAD0qvjU=")</f>
        <v>#REF!</v>
      </c>
      <c r="BC380" t="e">
        <f>IF(#REF!,"AAAAAD0qvjY=",0)</f>
        <v>#REF!</v>
      </c>
      <c r="BD380" t="e">
        <f>AND(#REF!,"AAAAAD0qvjc=")</f>
        <v>#REF!</v>
      </c>
      <c r="BE380" t="e">
        <f>AND(#REF!,"AAAAAD0qvjg=")</f>
        <v>#REF!</v>
      </c>
      <c r="BF380" t="e">
        <f>AND(#REF!,"AAAAAD0qvjk=")</f>
        <v>#REF!</v>
      </c>
      <c r="BG380" t="e">
        <f>AND(#REF!,"AAAAAD0qvjo=")</f>
        <v>#REF!</v>
      </c>
      <c r="BH380" t="e">
        <f>AND(#REF!,"AAAAAD0qvjs=")</f>
        <v>#REF!</v>
      </c>
      <c r="BI380" t="e">
        <f>AND(#REF!,"AAAAAD0qvjw=")</f>
        <v>#REF!</v>
      </c>
      <c r="BJ380" t="e">
        <f>AND(#REF!,"AAAAAD0qvj0=")</f>
        <v>#REF!</v>
      </c>
      <c r="BK380" t="e">
        <f>AND(#REF!,"AAAAAD0qvj4=")</f>
        <v>#REF!</v>
      </c>
      <c r="BL380" t="e">
        <f>AND(#REF!,"AAAAAD0qvj8=")</f>
        <v>#REF!</v>
      </c>
      <c r="BM380" t="e">
        <f>AND(#REF!,"AAAAAD0qvkA=")</f>
        <v>#REF!</v>
      </c>
      <c r="BN380" t="e">
        <f>IF(#REF!,"AAAAAD0qvkE=",0)</f>
        <v>#REF!</v>
      </c>
      <c r="BO380" t="e">
        <f>AND(#REF!,"AAAAAD0qvkI=")</f>
        <v>#REF!</v>
      </c>
      <c r="BP380" t="e">
        <f>AND(#REF!,"AAAAAD0qvkM=")</f>
        <v>#REF!</v>
      </c>
      <c r="BQ380" t="e">
        <f>AND(#REF!,"AAAAAD0qvkQ=")</f>
        <v>#REF!</v>
      </c>
      <c r="BR380" t="e">
        <f>AND(#REF!,"AAAAAD0qvkU=")</f>
        <v>#REF!</v>
      </c>
      <c r="BS380" t="e">
        <f>AND(#REF!,"AAAAAD0qvkY=")</f>
        <v>#REF!</v>
      </c>
      <c r="BT380" t="e">
        <f>AND(#REF!,"AAAAAD0qvkc=")</f>
        <v>#REF!</v>
      </c>
      <c r="BU380" t="e">
        <f>AND(#REF!,"AAAAAD0qvkg=")</f>
        <v>#REF!</v>
      </c>
      <c r="BV380" t="e">
        <f>AND(#REF!,"AAAAAD0qvkk=")</f>
        <v>#REF!</v>
      </c>
      <c r="BW380" t="e">
        <f>AND(#REF!,"AAAAAD0qvko=")</f>
        <v>#REF!</v>
      </c>
      <c r="BX380" t="e">
        <f>AND(#REF!,"AAAAAD0qvks=")</f>
        <v>#REF!</v>
      </c>
      <c r="BY380" t="e">
        <f>IF(#REF!,"AAAAAD0qvkw=",0)</f>
        <v>#REF!</v>
      </c>
      <c r="BZ380" t="e">
        <f>AND(#REF!,"AAAAAD0qvk0=")</f>
        <v>#REF!</v>
      </c>
      <c r="CA380" t="e">
        <f>AND(#REF!,"AAAAAD0qvk4=")</f>
        <v>#REF!</v>
      </c>
      <c r="CB380" t="e">
        <f>AND(#REF!,"AAAAAD0qvk8=")</f>
        <v>#REF!</v>
      </c>
      <c r="CC380" t="e">
        <f>AND(#REF!,"AAAAAD0qvlA=")</f>
        <v>#REF!</v>
      </c>
      <c r="CD380" t="e">
        <f>AND(#REF!,"AAAAAD0qvlE=")</f>
        <v>#REF!</v>
      </c>
      <c r="CE380" t="e">
        <f>AND(#REF!,"AAAAAD0qvlI=")</f>
        <v>#REF!</v>
      </c>
      <c r="CF380" t="e">
        <f>AND(#REF!,"AAAAAD0qvlM=")</f>
        <v>#REF!</v>
      </c>
      <c r="CG380" t="e">
        <f>AND(#REF!,"AAAAAD0qvlQ=")</f>
        <v>#REF!</v>
      </c>
      <c r="CH380" t="e">
        <f>AND(#REF!,"AAAAAD0qvlU=")</f>
        <v>#REF!</v>
      </c>
      <c r="CI380" t="e">
        <f>AND(#REF!,"AAAAAD0qvlY=")</f>
        <v>#REF!</v>
      </c>
      <c r="CJ380" t="e">
        <f>IF(#REF!,"AAAAAD0qvlc=",0)</f>
        <v>#REF!</v>
      </c>
      <c r="CK380" t="e">
        <f>AND(#REF!,"AAAAAD0qvlg=")</f>
        <v>#REF!</v>
      </c>
      <c r="CL380" t="e">
        <f>AND(#REF!,"AAAAAD0qvlk=")</f>
        <v>#REF!</v>
      </c>
      <c r="CM380" t="e">
        <f>AND(#REF!,"AAAAAD0qvlo=")</f>
        <v>#REF!</v>
      </c>
      <c r="CN380" t="e">
        <f>AND(#REF!,"AAAAAD0qvls=")</f>
        <v>#REF!</v>
      </c>
      <c r="CO380" t="e">
        <f>AND(#REF!,"AAAAAD0qvlw=")</f>
        <v>#REF!</v>
      </c>
      <c r="CP380" t="e">
        <f>AND(#REF!,"AAAAAD0qvl0=")</f>
        <v>#REF!</v>
      </c>
      <c r="CQ380" t="e">
        <f>AND(#REF!,"AAAAAD0qvl4=")</f>
        <v>#REF!</v>
      </c>
      <c r="CR380" t="e">
        <f>AND(#REF!,"AAAAAD0qvl8=")</f>
        <v>#REF!</v>
      </c>
      <c r="CS380" t="e">
        <f>AND(#REF!,"AAAAAD0qvmA=")</f>
        <v>#REF!</v>
      </c>
      <c r="CT380" t="e">
        <f>AND(#REF!,"AAAAAD0qvmE=")</f>
        <v>#REF!</v>
      </c>
      <c r="CU380" t="e">
        <f>IF(#REF!,"AAAAAD0qvmI=",0)</f>
        <v>#REF!</v>
      </c>
      <c r="CV380" t="e">
        <f>AND(#REF!,"AAAAAD0qvmM=")</f>
        <v>#REF!</v>
      </c>
      <c r="CW380" t="e">
        <f>AND(#REF!,"AAAAAD0qvmQ=")</f>
        <v>#REF!</v>
      </c>
      <c r="CX380" t="e">
        <f>AND(#REF!,"AAAAAD0qvmU=")</f>
        <v>#REF!</v>
      </c>
      <c r="CY380" t="e">
        <f>AND(#REF!,"AAAAAD0qvmY=")</f>
        <v>#REF!</v>
      </c>
      <c r="CZ380" t="e">
        <f>AND(#REF!,"AAAAAD0qvmc=")</f>
        <v>#REF!</v>
      </c>
      <c r="DA380" t="e">
        <f>AND(#REF!,"AAAAAD0qvmg=")</f>
        <v>#REF!</v>
      </c>
      <c r="DB380" t="e">
        <f>AND(#REF!,"AAAAAD0qvmk=")</f>
        <v>#REF!</v>
      </c>
      <c r="DC380" t="e">
        <f>AND(#REF!,"AAAAAD0qvmo=")</f>
        <v>#REF!</v>
      </c>
      <c r="DD380" t="e">
        <f>AND(#REF!,"AAAAAD0qvms=")</f>
        <v>#REF!</v>
      </c>
      <c r="DE380" t="e">
        <f>AND(#REF!,"AAAAAD0qvmw=")</f>
        <v>#REF!</v>
      </c>
      <c r="DF380" t="e">
        <f>IF(#REF!,"AAAAAD0qvm0=",0)</f>
        <v>#REF!</v>
      </c>
      <c r="DG380" t="e">
        <f>AND(#REF!,"AAAAAD0qvm4=")</f>
        <v>#REF!</v>
      </c>
      <c r="DH380" t="e">
        <f>AND(#REF!,"AAAAAD0qvm8=")</f>
        <v>#REF!</v>
      </c>
      <c r="DI380" t="e">
        <f>AND(#REF!,"AAAAAD0qvnA=")</f>
        <v>#REF!</v>
      </c>
      <c r="DJ380" t="e">
        <f>AND(#REF!,"AAAAAD0qvnE=")</f>
        <v>#REF!</v>
      </c>
      <c r="DK380" t="e">
        <f>AND(#REF!,"AAAAAD0qvnI=")</f>
        <v>#REF!</v>
      </c>
      <c r="DL380" t="e">
        <f>AND(#REF!,"AAAAAD0qvnM=")</f>
        <v>#REF!</v>
      </c>
      <c r="DM380" t="e">
        <f>AND(#REF!,"AAAAAD0qvnQ=")</f>
        <v>#REF!</v>
      </c>
      <c r="DN380" t="e">
        <f>AND(#REF!,"AAAAAD0qvnU=")</f>
        <v>#REF!</v>
      </c>
      <c r="DO380" t="e">
        <f>AND(#REF!,"AAAAAD0qvnY=")</f>
        <v>#REF!</v>
      </c>
      <c r="DP380" t="e">
        <f>AND(#REF!,"AAAAAD0qvnc=")</f>
        <v>#REF!</v>
      </c>
      <c r="DQ380" t="e">
        <f>IF(#REF!,"AAAAAD0qvng=",0)</f>
        <v>#REF!</v>
      </c>
      <c r="DR380" t="e">
        <f>AND(#REF!,"AAAAAD0qvnk=")</f>
        <v>#REF!</v>
      </c>
      <c r="DS380" t="e">
        <f>AND(#REF!,"AAAAAD0qvno=")</f>
        <v>#REF!</v>
      </c>
      <c r="DT380" t="e">
        <f>AND(#REF!,"AAAAAD0qvns=")</f>
        <v>#REF!</v>
      </c>
      <c r="DU380" t="e">
        <f>AND(#REF!,"AAAAAD0qvnw=")</f>
        <v>#REF!</v>
      </c>
      <c r="DV380" t="e">
        <f>AND(#REF!,"AAAAAD0qvn0=")</f>
        <v>#REF!</v>
      </c>
      <c r="DW380" t="e">
        <f>AND(#REF!,"AAAAAD0qvn4=")</f>
        <v>#REF!</v>
      </c>
      <c r="DX380" t="e">
        <f>AND(#REF!,"AAAAAD0qvn8=")</f>
        <v>#REF!</v>
      </c>
      <c r="DY380" t="e">
        <f>AND(#REF!,"AAAAAD0qvoA=")</f>
        <v>#REF!</v>
      </c>
      <c r="DZ380" t="e">
        <f>AND(#REF!,"AAAAAD0qvoE=")</f>
        <v>#REF!</v>
      </c>
      <c r="EA380" t="e">
        <f>AND(#REF!,"AAAAAD0qvoI=")</f>
        <v>#REF!</v>
      </c>
      <c r="EB380" t="e">
        <f>IF(#REF!,"AAAAAD0qvoM=",0)</f>
        <v>#REF!</v>
      </c>
      <c r="EC380" t="e">
        <f>AND(#REF!,"AAAAAD0qvoQ=")</f>
        <v>#REF!</v>
      </c>
      <c r="ED380" t="e">
        <f>AND(#REF!,"AAAAAD0qvoU=")</f>
        <v>#REF!</v>
      </c>
      <c r="EE380" t="e">
        <f>AND(#REF!,"AAAAAD0qvoY=")</f>
        <v>#REF!</v>
      </c>
      <c r="EF380" t="e">
        <f>AND(#REF!,"AAAAAD0qvoc=")</f>
        <v>#REF!</v>
      </c>
      <c r="EG380" t="e">
        <f>AND(#REF!,"AAAAAD0qvog=")</f>
        <v>#REF!</v>
      </c>
      <c r="EH380" t="e">
        <f>AND(#REF!,"AAAAAD0qvok=")</f>
        <v>#REF!</v>
      </c>
      <c r="EI380" t="e">
        <f>AND(#REF!,"AAAAAD0qvoo=")</f>
        <v>#REF!</v>
      </c>
      <c r="EJ380" t="e">
        <f>AND(#REF!,"AAAAAD0qvos=")</f>
        <v>#REF!</v>
      </c>
      <c r="EK380" t="e">
        <f>AND(#REF!,"AAAAAD0qvow=")</f>
        <v>#REF!</v>
      </c>
      <c r="EL380" t="e">
        <f>AND(#REF!,"AAAAAD0qvo0=")</f>
        <v>#REF!</v>
      </c>
      <c r="EM380" t="e">
        <f>IF(#REF!,"AAAAAD0qvo4=",0)</f>
        <v>#REF!</v>
      </c>
      <c r="EN380" t="e">
        <f>AND(#REF!,"AAAAAD0qvo8=")</f>
        <v>#REF!</v>
      </c>
      <c r="EO380" t="e">
        <f>AND(#REF!,"AAAAAD0qvpA=")</f>
        <v>#REF!</v>
      </c>
      <c r="EP380" t="e">
        <f>AND(#REF!,"AAAAAD0qvpE=")</f>
        <v>#REF!</v>
      </c>
      <c r="EQ380" t="e">
        <f>AND(#REF!,"AAAAAD0qvpI=")</f>
        <v>#REF!</v>
      </c>
      <c r="ER380" t="e">
        <f>AND(#REF!,"AAAAAD0qvpM=")</f>
        <v>#REF!</v>
      </c>
      <c r="ES380" t="e">
        <f>AND(#REF!,"AAAAAD0qvpQ=")</f>
        <v>#REF!</v>
      </c>
      <c r="ET380" t="e">
        <f>AND(#REF!,"AAAAAD0qvpU=")</f>
        <v>#REF!</v>
      </c>
      <c r="EU380" t="e">
        <f>AND(#REF!,"AAAAAD0qvpY=")</f>
        <v>#REF!</v>
      </c>
      <c r="EV380" t="e">
        <f>AND(#REF!,"AAAAAD0qvpc=")</f>
        <v>#REF!</v>
      </c>
      <c r="EW380" t="e">
        <f>AND(#REF!,"AAAAAD0qvpg=")</f>
        <v>#REF!</v>
      </c>
      <c r="EX380" t="e">
        <f>IF(#REF!,"AAAAAD0qvpk=",0)</f>
        <v>#REF!</v>
      </c>
      <c r="EY380" t="e">
        <f>AND(#REF!,"AAAAAD0qvpo=")</f>
        <v>#REF!</v>
      </c>
      <c r="EZ380" t="e">
        <f>AND(#REF!,"AAAAAD0qvps=")</f>
        <v>#REF!</v>
      </c>
      <c r="FA380" t="e">
        <f>AND(#REF!,"AAAAAD0qvpw=")</f>
        <v>#REF!</v>
      </c>
      <c r="FB380" t="e">
        <f>AND(#REF!,"AAAAAD0qvp0=")</f>
        <v>#REF!</v>
      </c>
      <c r="FC380" t="e">
        <f>AND(#REF!,"AAAAAD0qvp4=")</f>
        <v>#REF!</v>
      </c>
      <c r="FD380" t="e">
        <f>AND(#REF!,"AAAAAD0qvp8=")</f>
        <v>#REF!</v>
      </c>
      <c r="FE380" t="e">
        <f>AND(#REF!,"AAAAAD0qvqA=")</f>
        <v>#REF!</v>
      </c>
      <c r="FF380" t="e">
        <f>AND(#REF!,"AAAAAD0qvqE=")</f>
        <v>#REF!</v>
      </c>
      <c r="FG380" t="e">
        <f>AND(#REF!,"AAAAAD0qvqI=")</f>
        <v>#REF!</v>
      </c>
      <c r="FH380" t="e">
        <f>AND(#REF!,"AAAAAD0qvqM=")</f>
        <v>#REF!</v>
      </c>
      <c r="FI380" t="e">
        <f>IF(#REF!,"AAAAAD0qvqQ=",0)</f>
        <v>#REF!</v>
      </c>
      <c r="FJ380" t="e">
        <f>AND(#REF!,"AAAAAD0qvqU=")</f>
        <v>#REF!</v>
      </c>
      <c r="FK380" t="e">
        <f>AND(#REF!,"AAAAAD0qvqY=")</f>
        <v>#REF!</v>
      </c>
      <c r="FL380" t="e">
        <f>AND(#REF!,"AAAAAD0qvqc=")</f>
        <v>#REF!</v>
      </c>
      <c r="FM380" t="e">
        <f>AND(#REF!,"AAAAAD0qvqg=")</f>
        <v>#REF!</v>
      </c>
      <c r="FN380" t="e">
        <f>AND(#REF!,"AAAAAD0qvqk=")</f>
        <v>#REF!</v>
      </c>
      <c r="FO380" t="e">
        <f>AND(#REF!,"AAAAAD0qvqo=")</f>
        <v>#REF!</v>
      </c>
      <c r="FP380" t="e">
        <f>AND(#REF!,"AAAAAD0qvqs=")</f>
        <v>#REF!</v>
      </c>
      <c r="FQ380" t="e">
        <f>AND(#REF!,"AAAAAD0qvqw=")</f>
        <v>#REF!</v>
      </c>
      <c r="FR380" t="e">
        <f>AND(#REF!,"AAAAAD0qvq0=")</f>
        <v>#REF!</v>
      </c>
      <c r="FS380" t="e">
        <f>AND(#REF!,"AAAAAD0qvq4=")</f>
        <v>#REF!</v>
      </c>
      <c r="FT380" t="e">
        <f>IF(#REF!,"AAAAAD0qvq8=",0)</f>
        <v>#REF!</v>
      </c>
      <c r="FU380" t="e">
        <f>AND(#REF!,"AAAAAD0qvrA=")</f>
        <v>#REF!</v>
      </c>
      <c r="FV380" t="e">
        <f>AND(#REF!,"AAAAAD0qvrE=")</f>
        <v>#REF!</v>
      </c>
      <c r="FW380" t="e">
        <f>AND(#REF!,"AAAAAD0qvrI=")</f>
        <v>#REF!</v>
      </c>
      <c r="FX380" t="e">
        <f>AND(#REF!,"AAAAAD0qvrM=")</f>
        <v>#REF!</v>
      </c>
      <c r="FY380" t="e">
        <f>AND(#REF!,"AAAAAD0qvrQ=")</f>
        <v>#REF!</v>
      </c>
      <c r="FZ380" t="e">
        <f>AND(#REF!,"AAAAAD0qvrU=")</f>
        <v>#REF!</v>
      </c>
      <c r="GA380" t="e">
        <f>AND(#REF!,"AAAAAD0qvrY=")</f>
        <v>#REF!</v>
      </c>
      <c r="GB380" t="e">
        <f>AND(#REF!,"AAAAAD0qvrc=")</f>
        <v>#REF!</v>
      </c>
      <c r="GC380" t="e">
        <f>AND(#REF!,"AAAAAD0qvrg=")</f>
        <v>#REF!</v>
      </c>
      <c r="GD380" t="e">
        <f>AND(#REF!,"AAAAAD0qvrk=")</f>
        <v>#REF!</v>
      </c>
      <c r="GE380" t="e">
        <f>IF(#REF!,"AAAAAD0qvro=",0)</f>
        <v>#REF!</v>
      </c>
      <c r="GF380" t="e">
        <f>AND(#REF!,"AAAAAD0qvrs=")</f>
        <v>#REF!</v>
      </c>
      <c r="GG380" t="e">
        <f>AND(#REF!,"AAAAAD0qvrw=")</f>
        <v>#REF!</v>
      </c>
      <c r="GH380" t="e">
        <f>AND(#REF!,"AAAAAD0qvr0=")</f>
        <v>#REF!</v>
      </c>
      <c r="GI380" t="e">
        <f>AND(#REF!,"AAAAAD0qvr4=")</f>
        <v>#REF!</v>
      </c>
      <c r="GJ380" t="e">
        <f>AND(#REF!,"AAAAAD0qvr8=")</f>
        <v>#REF!</v>
      </c>
      <c r="GK380" t="e">
        <f>AND(#REF!,"AAAAAD0qvsA=")</f>
        <v>#REF!</v>
      </c>
      <c r="GL380" t="e">
        <f>AND(#REF!,"AAAAAD0qvsE=")</f>
        <v>#REF!</v>
      </c>
      <c r="GM380" t="e">
        <f>AND(#REF!,"AAAAAD0qvsI=")</f>
        <v>#REF!</v>
      </c>
      <c r="GN380" t="e">
        <f>AND(#REF!,"AAAAAD0qvsM=")</f>
        <v>#REF!</v>
      </c>
      <c r="GO380" t="e">
        <f>AND(#REF!,"AAAAAD0qvsQ=")</f>
        <v>#REF!</v>
      </c>
      <c r="GP380" t="e">
        <f>IF(#REF!,"AAAAAD0qvsU=",0)</f>
        <v>#REF!</v>
      </c>
      <c r="GQ380" t="e">
        <f>AND(#REF!,"AAAAAD0qvsY=")</f>
        <v>#REF!</v>
      </c>
      <c r="GR380" t="e">
        <f>AND(#REF!,"AAAAAD0qvsc=")</f>
        <v>#REF!</v>
      </c>
      <c r="GS380" t="e">
        <f>AND(#REF!,"AAAAAD0qvsg=")</f>
        <v>#REF!</v>
      </c>
      <c r="GT380" t="e">
        <f>AND(#REF!,"AAAAAD0qvsk=")</f>
        <v>#REF!</v>
      </c>
      <c r="GU380" t="e">
        <f>AND(#REF!,"AAAAAD0qvso=")</f>
        <v>#REF!</v>
      </c>
      <c r="GV380" t="e">
        <f>AND(#REF!,"AAAAAD0qvss=")</f>
        <v>#REF!</v>
      </c>
      <c r="GW380" t="e">
        <f>AND(#REF!,"AAAAAD0qvsw=")</f>
        <v>#REF!</v>
      </c>
      <c r="GX380" t="e">
        <f>AND(#REF!,"AAAAAD0qvs0=")</f>
        <v>#REF!</v>
      </c>
      <c r="GY380" t="e">
        <f>AND(#REF!,"AAAAAD0qvs4=")</f>
        <v>#REF!</v>
      </c>
      <c r="GZ380" t="e">
        <f>AND(#REF!,"AAAAAD0qvs8=")</f>
        <v>#REF!</v>
      </c>
      <c r="HA380" t="e">
        <f>IF(#REF!,"AAAAAD0qvtA=",0)</f>
        <v>#REF!</v>
      </c>
      <c r="HB380" t="e">
        <f>AND(#REF!,"AAAAAD0qvtE=")</f>
        <v>#REF!</v>
      </c>
      <c r="HC380" t="e">
        <f>AND(#REF!,"AAAAAD0qvtI=")</f>
        <v>#REF!</v>
      </c>
      <c r="HD380" t="e">
        <f>AND(#REF!,"AAAAAD0qvtM=")</f>
        <v>#REF!</v>
      </c>
      <c r="HE380" t="e">
        <f>AND(#REF!,"AAAAAD0qvtQ=")</f>
        <v>#REF!</v>
      </c>
      <c r="HF380" t="e">
        <f>AND(#REF!,"AAAAAD0qvtU=")</f>
        <v>#REF!</v>
      </c>
      <c r="HG380" t="e">
        <f>AND(#REF!,"AAAAAD0qvtY=")</f>
        <v>#REF!</v>
      </c>
      <c r="HH380" t="e">
        <f>AND(#REF!,"AAAAAD0qvtc=")</f>
        <v>#REF!</v>
      </c>
      <c r="HI380" t="e">
        <f>AND(#REF!,"AAAAAD0qvtg=")</f>
        <v>#REF!</v>
      </c>
      <c r="HJ380" t="e">
        <f>AND(#REF!,"AAAAAD0qvtk=")</f>
        <v>#REF!</v>
      </c>
      <c r="HK380" t="e">
        <f>AND(#REF!,"AAAAAD0qvto=")</f>
        <v>#REF!</v>
      </c>
      <c r="HL380" t="e">
        <f>IF(#REF!,"AAAAAD0qvts=",0)</f>
        <v>#REF!</v>
      </c>
      <c r="HM380" t="e">
        <f>AND(#REF!,"AAAAAD0qvtw=")</f>
        <v>#REF!</v>
      </c>
      <c r="HN380" t="e">
        <f>AND(#REF!,"AAAAAD0qvt0=")</f>
        <v>#REF!</v>
      </c>
      <c r="HO380" t="e">
        <f>AND(#REF!,"AAAAAD0qvt4=")</f>
        <v>#REF!</v>
      </c>
      <c r="HP380" t="e">
        <f>AND(#REF!,"AAAAAD0qvt8=")</f>
        <v>#REF!</v>
      </c>
      <c r="HQ380" t="e">
        <f>AND(#REF!,"AAAAAD0qvuA=")</f>
        <v>#REF!</v>
      </c>
      <c r="HR380" t="e">
        <f>AND(#REF!,"AAAAAD0qvuE=")</f>
        <v>#REF!</v>
      </c>
      <c r="HS380" t="e">
        <f>AND(#REF!,"AAAAAD0qvuI=")</f>
        <v>#REF!</v>
      </c>
      <c r="HT380" t="e">
        <f>AND(#REF!,"AAAAAD0qvuM=")</f>
        <v>#REF!</v>
      </c>
      <c r="HU380" t="e">
        <f>AND(#REF!,"AAAAAD0qvuQ=")</f>
        <v>#REF!</v>
      </c>
      <c r="HV380" t="e">
        <f>AND(#REF!,"AAAAAD0qvuU=")</f>
        <v>#REF!</v>
      </c>
      <c r="HW380" t="e">
        <f>IF(#REF!,"AAAAAD0qvuY=",0)</f>
        <v>#REF!</v>
      </c>
      <c r="HX380" t="e">
        <f>AND(#REF!,"AAAAAD0qvuc=")</f>
        <v>#REF!</v>
      </c>
      <c r="HY380" t="e">
        <f>AND(#REF!,"AAAAAD0qvug=")</f>
        <v>#REF!</v>
      </c>
      <c r="HZ380" t="e">
        <f>AND(#REF!,"AAAAAD0qvuk=")</f>
        <v>#REF!</v>
      </c>
      <c r="IA380" t="e">
        <f>AND(#REF!,"AAAAAD0qvuo=")</f>
        <v>#REF!</v>
      </c>
      <c r="IB380" t="e">
        <f>AND(#REF!,"AAAAAD0qvus=")</f>
        <v>#REF!</v>
      </c>
      <c r="IC380" t="e">
        <f>AND(#REF!,"AAAAAD0qvuw=")</f>
        <v>#REF!</v>
      </c>
      <c r="ID380" t="e">
        <f>AND(#REF!,"AAAAAD0qvu0=")</f>
        <v>#REF!</v>
      </c>
      <c r="IE380" t="e">
        <f>AND(#REF!,"AAAAAD0qvu4=")</f>
        <v>#REF!</v>
      </c>
      <c r="IF380" t="e">
        <f>AND(#REF!,"AAAAAD0qvu8=")</f>
        <v>#REF!</v>
      </c>
      <c r="IG380" t="e">
        <f>AND(#REF!,"AAAAAD0qvvA=")</f>
        <v>#REF!</v>
      </c>
      <c r="IH380" t="e">
        <f>IF(#REF!,"AAAAAD0qvvE=",0)</f>
        <v>#REF!</v>
      </c>
      <c r="II380" t="e">
        <f>AND(#REF!,"AAAAAD0qvvI=")</f>
        <v>#REF!</v>
      </c>
      <c r="IJ380" t="e">
        <f>AND(#REF!,"AAAAAD0qvvM=")</f>
        <v>#REF!</v>
      </c>
      <c r="IK380" t="e">
        <f>AND(#REF!,"AAAAAD0qvvQ=")</f>
        <v>#REF!</v>
      </c>
      <c r="IL380" t="e">
        <f>AND(#REF!,"AAAAAD0qvvU=")</f>
        <v>#REF!</v>
      </c>
      <c r="IM380" t="e">
        <f>AND(#REF!,"AAAAAD0qvvY=")</f>
        <v>#REF!</v>
      </c>
      <c r="IN380" t="e">
        <f>AND(#REF!,"AAAAAD0qvvc=")</f>
        <v>#REF!</v>
      </c>
      <c r="IO380" t="e">
        <f>AND(#REF!,"AAAAAD0qvvg=")</f>
        <v>#REF!</v>
      </c>
      <c r="IP380" t="e">
        <f>AND(#REF!,"AAAAAD0qvvk=")</f>
        <v>#REF!</v>
      </c>
      <c r="IQ380" t="e">
        <f>AND(#REF!,"AAAAAD0qvvo=")</f>
        <v>#REF!</v>
      </c>
      <c r="IR380" t="e">
        <f>AND(#REF!,"AAAAAD0qvvs=")</f>
        <v>#REF!</v>
      </c>
      <c r="IS380" t="e">
        <f>IF(#REF!,"AAAAAD0qvvw=",0)</f>
        <v>#REF!</v>
      </c>
      <c r="IT380" t="e">
        <f>AND(#REF!,"AAAAAD0qvv0=")</f>
        <v>#REF!</v>
      </c>
      <c r="IU380" t="e">
        <f>AND(#REF!,"AAAAAD0qvv4=")</f>
        <v>#REF!</v>
      </c>
      <c r="IV380" t="e">
        <f>AND(#REF!,"AAAAAD0qvv8=")</f>
        <v>#REF!</v>
      </c>
    </row>
    <row r="381" spans="1:256" x14ac:dyDescent="0.25">
      <c r="A381" t="e">
        <f>AND(#REF!,"AAAAAHv5/gA=")</f>
        <v>#REF!</v>
      </c>
      <c r="B381" t="e">
        <f>AND(#REF!,"AAAAAHv5/gE=")</f>
        <v>#REF!</v>
      </c>
      <c r="C381" t="e">
        <f>AND(#REF!,"AAAAAHv5/gI=")</f>
        <v>#REF!</v>
      </c>
      <c r="D381" t="e">
        <f>AND(#REF!,"AAAAAHv5/gM=")</f>
        <v>#REF!</v>
      </c>
      <c r="E381" t="e">
        <f>AND(#REF!,"AAAAAHv5/gQ=")</f>
        <v>#REF!</v>
      </c>
      <c r="F381" t="e">
        <f>AND(#REF!,"AAAAAHv5/gU=")</f>
        <v>#REF!</v>
      </c>
      <c r="G381" t="e">
        <f>AND(#REF!,"AAAAAHv5/gY=")</f>
        <v>#REF!</v>
      </c>
      <c r="H381" t="e">
        <f>IF(#REF!,"AAAAAHv5/gc=",0)</f>
        <v>#REF!</v>
      </c>
      <c r="I381" t="e">
        <f>AND(#REF!,"AAAAAHv5/gg=")</f>
        <v>#REF!</v>
      </c>
      <c r="J381" t="e">
        <f>AND(#REF!,"AAAAAHv5/gk=")</f>
        <v>#REF!</v>
      </c>
      <c r="K381" t="e">
        <f>AND(#REF!,"AAAAAHv5/go=")</f>
        <v>#REF!</v>
      </c>
      <c r="L381" t="e">
        <f>AND(#REF!,"AAAAAHv5/gs=")</f>
        <v>#REF!</v>
      </c>
      <c r="M381" t="e">
        <f>AND(#REF!,"AAAAAHv5/gw=")</f>
        <v>#REF!</v>
      </c>
      <c r="N381" t="e">
        <f>AND(#REF!,"AAAAAHv5/g0=")</f>
        <v>#REF!</v>
      </c>
      <c r="O381" t="e">
        <f>AND(#REF!,"AAAAAHv5/g4=")</f>
        <v>#REF!</v>
      </c>
      <c r="P381" t="e">
        <f>AND(#REF!,"AAAAAHv5/g8=")</f>
        <v>#REF!</v>
      </c>
      <c r="Q381" t="e">
        <f>AND(#REF!,"AAAAAHv5/hA=")</f>
        <v>#REF!</v>
      </c>
      <c r="R381" t="e">
        <f>AND(#REF!,"AAAAAHv5/hE=")</f>
        <v>#REF!</v>
      </c>
      <c r="S381" t="e">
        <f>IF(#REF!,"AAAAAHv5/hI=",0)</f>
        <v>#REF!</v>
      </c>
      <c r="T381" t="e">
        <f>AND(#REF!,"AAAAAHv5/hM=")</f>
        <v>#REF!</v>
      </c>
      <c r="U381" t="e">
        <f>AND(#REF!,"AAAAAHv5/hQ=")</f>
        <v>#REF!</v>
      </c>
      <c r="V381" t="e">
        <f>AND(#REF!,"AAAAAHv5/hU=")</f>
        <v>#REF!</v>
      </c>
      <c r="W381" t="e">
        <f>AND(#REF!,"AAAAAHv5/hY=")</f>
        <v>#REF!</v>
      </c>
      <c r="X381" t="e">
        <f>AND(#REF!,"AAAAAHv5/hc=")</f>
        <v>#REF!</v>
      </c>
      <c r="Y381" t="e">
        <f>AND(#REF!,"AAAAAHv5/hg=")</f>
        <v>#REF!</v>
      </c>
      <c r="Z381" t="e">
        <f>AND(#REF!,"AAAAAHv5/hk=")</f>
        <v>#REF!</v>
      </c>
      <c r="AA381" t="e">
        <f>AND(#REF!,"AAAAAHv5/ho=")</f>
        <v>#REF!</v>
      </c>
      <c r="AB381" t="e">
        <f>AND(#REF!,"AAAAAHv5/hs=")</f>
        <v>#REF!</v>
      </c>
      <c r="AC381" t="e">
        <f>AND(#REF!,"AAAAAHv5/hw=")</f>
        <v>#REF!</v>
      </c>
      <c r="AD381" t="e">
        <f>IF(#REF!,"AAAAAHv5/h0=",0)</f>
        <v>#REF!</v>
      </c>
      <c r="AE381" t="e">
        <f>AND(#REF!,"AAAAAHv5/h4=")</f>
        <v>#REF!</v>
      </c>
      <c r="AF381" t="e">
        <f>AND(#REF!,"AAAAAHv5/h8=")</f>
        <v>#REF!</v>
      </c>
      <c r="AG381" t="e">
        <f>AND(#REF!,"AAAAAHv5/iA=")</f>
        <v>#REF!</v>
      </c>
      <c r="AH381" t="e">
        <f>AND(#REF!,"AAAAAHv5/iE=")</f>
        <v>#REF!</v>
      </c>
      <c r="AI381" t="e">
        <f>AND(#REF!,"AAAAAHv5/iI=")</f>
        <v>#REF!</v>
      </c>
      <c r="AJ381" t="e">
        <f>AND(#REF!,"AAAAAHv5/iM=")</f>
        <v>#REF!</v>
      </c>
      <c r="AK381" t="e">
        <f>AND(#REF!,"AAAAAHv5/iQ=")</f>
        <v>#REF!</v>
      </c>
      <c r="AL381" t="e">
        <f>AND(#REF!,"AAAAAHv5/iU=")</f>
        <v>#REF!</v>
      </c>
      <c r="AM381" t="e">
        <f>AND(#REF!,"AAAAAHv5/iY=")</f>
        <v>#REF!</v>
      </c>
      <c r="AN381" t="e">
        <f>AND(#REF!,"AAAAAHv5/ic=")</f>
        <v>#REF!</v>
      </c>
      <c r="AO381" t="e">
        <f>IF(#REF!,"AAAAAHv5/ig=",0)</f>
        <v>#REF!</v>
      </c>
      <c r="AP381" t="e">
        <f>AND(#REF!,"AAAAAHv5/ik=")</f>
        <v>#REF!</v>
      </c>
      <c r="AQ381" t="e">
        <f>AND(#REF!,"AAAAAHv5/io=")</f>
        <v>#REF!</v>
      </c>
      <c r="AR381" t="e">
        <f>AND(#REF!,"AAAAAHv5/is=")</f>
        <v>#REF!</v>
      </c>
      <c r="AS381" t="e">
        <f>AND(#REF!,"AAAAAHv5/iw=")</f>
        <v>#REF!</v>
      </c>
      <c r="AT381" t="e">
        <f>AND(#REF!,"AAAAAHv5/i0=")</f>
        <v>#REF!</v>
      </c>
      <c r="AU381" t="e">
        <f>AND(#REF!,"AAAAAHv5/i4=")</f>
        <v>#REF!</v>
      </c>
      <c r="AV381" t="e">
        <f>AND(#REF!,"AAAAAHv5/i8=")</f>
        <v>#REF!</v>
      </c>
      <c r="AW381" t="e">
        <f>AND(#REF!,"AAAAAHv5/jA=")</f>
        <v>#REF!</v>
      </c>
      <c r="AX381" t="e">
        <f>AND(#REF!,"AAAAAHv5/jE=")</f>
        <v>#REF!</v>
      </c>
      <c r="AY381" t="e">
        <f>AND(#REF!,"AAAAAHv5/jI=")</f>
        <v>#REF!</v>
      </c>
      <c r="AZ381" t="e">
        <f>IF(#REF!,"AAAAAHv5/jM=",0)</f>
        <v>#REF!</v>
      </c>
      <c r="BA381" t="e">
        <f>AND(#REF!,"AAAAAHv5/jQ=")</f>
        <v>#REF!</v>
      </c>
      <c r="BB381" t="e">
        <f>AND(#REF!,"AAAAAHv5/jU=")</f>
        <v>#REF!</v>
      </c>
      <c r="BC381" t="e">
        <f>AND(#REF!,"AAAAAHv5/jY=")</f>
        <v>#REF!</v>
      </c>
      <c r="BD381" t="e">
        <f>AND(#REF!,"AAAAAHv5/jc=")</f>
        <v>#REF!</v>
      </c>
      <c r="BE381" t="e">
        <f>AND(#REF!,"AAAAAHv5/jg=")</f>
        <v>#REF!</v>
      </c>
      <c r="BF381" t="e">
        <f>AND(#REF!,"AAAAAHv5/jk=")</f>
        <v>#REF!</v>
      </c>
      <c r="BG381" t="e">
        <f>AND(#REF!,"AAAAAHv5/jo=")</f>
        <v>#REF!</v>
      </c>
      <c r="BH381" t="e">
        <f>AND(#REF!,"AAAAAHv5/js=")</f>
        <v>#REF!</v>
      </c>
      <c r="BI381" t="e">
        <f>AND(#REF!,"AAAAAHv5/jw=")</f>
        <v>#REF!</v>
      </c>
      <c r="BJ381" t="e">
        <f>AND(#REF!,"AAAAAHv5/j0=")</f>
        <v>#REF!</v>
      </c>
      <c r="BK381" t="e">
        <f>IF(#REF!,"AAAAAHv5/j4=",0)</f>
        <v>#REF!</v>
      </c>
      <c r="BL381" t="e">
        <f>AND(#REF!,"AAAAAHv5/j8=")</f>
        <v>#REF!</v>
      </c>
      <c r="BM381" t="e">
        <f>AND(#REF!,"AAAAAHv5/kA=")</f>
        <v>#REF!</v>
      </c>
      <c r="BN381" t="e">
        <f>AND(#REF!,"AAAAAHv5/kE=")</f>
        <v>#REF!</v>
      </c>
      <c r="BO381" t="e">
        <f>AND(#REF!,"AAAAAHv5/kI=")</f>
        <v>#REF!</v>
      </c>
      <c r="BP381" t="e">
        <f>AND(#REF!,"AAAAAHv5/kM=")</f>
        <v>#REF!</v>
      </c>
      <c r="BQ381" t="e">
        <f>AND(#REF!,"AAAAAHv5/kQ=")</f>
        <v>#REF!</v>
      </c>
      <c r="BR381" t="e">
        <f>AND(#REF!,"AAAAAHv5/kU=")</f>
        <v>#REF!</v>
      </c>
      <c r="BS381" t="e">
        <f>AND(#REF!,"AAAAAHv5/kY=")</f>
        <v>#REF!</v>
      </c>
      <c r="BT381" t="e">
        <f>AND(#REF!,"AAAAAHv5/kc=")</f>
        <v>#REF!</v>
      </c>
      <c r="BU381" t="e">
        <f>AND(#REF!,"AAAAAHv5/kg=")</f>
        <v>#REF!</v>
      </c>
      <c r="BV381" t="e">
        <f>IF(#REF!,"AAAAAHv5/kk=",0)</f>
        <v>#REF!</v>
      </c>
      <c r="BW381" t="e">
        <f>AND(#REF!,"AAAAAHv5/ko=")</f>
        <v>#REF!</v>
      </c>
      <c r="BX381" t="e">
        <f>AND(#REF!,"AAAAAHv5/ks=")</f>
        <v>#REF!</v>
      </c>
      <c r="BY381" t="e">
        <f>AND(#REF!,"AAAAAHv5/kw=")</f>
        <v>#REF!</v>
      </c>
      <c r="BZ381" t="e">
        <f>AND(#REF!,"AAAAAHv5/k0=")</f>
        <v>#REF!</v>
      </c>
      <c r="CA381" t="e">
        <f>AND(#REF!,"AAAAAHv5/k4=")</f>
        <v>#REF!</v>
      </c>
      <c r="CB381" t="e">
        <f>AND(#REF!,"AAAAAHv5/k8=")</f>
        <v>#REF!</v>
      </c>
      <c r="CC381" t="e">
        <f>AND(#REF!,"AAAAAHv5/lA=")</f>
        <v>#REF!</v>
      </c>
      <c r="CD381" t="e">
        <f>AND(#REF!,"AAAAAHv5/lE=")</f>
        <v>#REF!</v>
      </c>
      <c r="CE381" t="e">
        <f>AND(#REF!,"AAAAAHv5/lI=")</f>
        <v>#REF!</v>
      </c>
      <c r="CF381" t="e">
        <f>AND(#REF!,"AAAAAHv5/lM=")</f>
        <v>#REF!</v>
      </c>
      <c r="CG381" t="e">
        <f>IF(#REF!,"AAAAAHv5/lQ=",0)</f>
        <v>#REF!</v>
      </c>
      <c r="CH381" t="e">
        <f>AND(#REF!,"AAAAAHv5/lU=")</f>
        <v>#REF!</v>
      </c>
      <c r="CI381" t="e">
        <f>AND(#REF!,"AAAAAHv5/lY=")</f>
        <v>#REF!</v>
      </c>
      <c r="CJ381" t="e">
        <f>AND(#REF!,"AAAAAHv5/lc=")</f>
        <v>#REF!</v>
      </c>
      <c r="CK381" t="e">
        <f>AND(#REF!,"AAAAAHv5/lg=")</f>
        <v>#REF!</v>
      </c>
      <c r="CL381" t="e">
        <f>AND(#REF!,"AAAAAHv5/lk=")</f>
        <v>#REF!</v>
      </c>
      <c r="CM381" t="e">
        <f>AND(#REF!,"AAAAAHv5/lo=")</f>
        <v>#REF!</v>
      </c>
      <c r="CN381" t="e">
        <f>AND(#REF!,"AAAAAHv5/ls=")</f>
        <v>#REF!</v>
      </c>
      <c r="CO381" t="e">
        <f>AND(#REF!,"AAAAAHv5/lw=")</f>
        <v>#REF!</v>
      </c>
      <c r="CP381" t="e">
        <f>AND(#REF!,"AAAAAHv5/l0=")</f>
        <v>#REF!</v>
      </c>
      <c r="CQ381" t="e">
        <f>AND(#REF!,"AAAAAHv5/l4=")</f>
        <v>#REF!</v>
      </c>
      <c r="CR381" t="e">
        <f>IF(#REF!,"AAAAAHv5/l8=",0)</f>
        <v>#REF!</v>
      </c>
      <c r="CS381" t="e">
        <f>AND(#REF!,"AAAAAHv5/mA=")</f>
        <v>#REF!</v>
      </c>
      <c r="CT381" t="e">
        <f>AND(#REF!,"AAAAAHv5/mE=")</f>
        <v>#REF!</v>
      </c>
      <c r="CU381" t="e">
        <f>AND(#REF!,"AAAAAHv5/mI=")</f>
        <v>#REF!</v>
      </c>
      <c r="CV381" t="e">
        <f>AND(#REF!,"AAAAAHv5/mM=")</f>
        <v>#REF!</v>
      </c>
      <c r="CW381" t="e">
        <f>AND(#REF!,"AAAAAHv5/mQ=")</f>
        <v>#REF!</v>
      </c>
      <c r="CX381" t="e">
        <f>AND(#REF!,"AAAAAHv5/mU=")</f>
        <v>#REF!</v>
      </c>
      <c r="CY381" t="e">
        <f>AND(#REF!,"AAAAAHv5/mY=")</f>
        <v>#REF!</v>
      </c>
      <c r="CZ381" t="e">
        <f>AND(#REF!,"AAAAAHv5/mc=")</f>
        <v>#REF!</v>
      </c>
      <c r="DA381" t="e">
        <f>AND(#REF!,"AAAAAHv5/mg=")</f>
        <v>#REF!</v>
      </c>
      <c r="DB381" t="e">
        <f>AND(#REF!,"AAAAAHv5/mk=")</f>
        <v>#REF!</v>
      </c>
      <c r="DC381" t="e">
        <f>IF(#REF!,"AAAAAHv5/mo=",0)</f>
        <v>#REF!</v>
      </c>
      <c r="DD381" t="e">
        <f>AND(#REF!,"AAAAAHv5/ms=")</f>
        <v>#REF!</v>
      </c>
      <c r="DE381" t="e">
        <f>AND(#REF!,"AAAAAHv5/mw=")</f>
        <v>#REF!</v>
      </c>
      <c r="DF381" t="e">
        <f>AND(#REF!,"AAAAAHv5/m0=")</f>
        <v>#REF!</v>
      </c>
      <c r="DG381" t="e">
        <f>AND(#REF!,"AAAAAHv5/m4=")</f>
        <v>#REF!</v>
      </c>
      <c r="DH381" t="e">
        <f>AND(#REF!,"AAAAAHv5/m8=")</f>
        <v>#REF!</v>
      </c>
      <c r="DI381" t="e">
        <f>AND(#REF!,"AAAAAHv5/nA=")</f>
        <v>#REF!</v>
      </c>
      <c r="DJ381" t="e">
        <f>AND(#REF!,"AAAAAHv5/nE=")</f>
        <v>#REF!</v>
      </c>
      <c r="DK381" t="e">
        <f>AND(#REF!,"AAAAAHv5/nI=")</f>
        <v>#REF!</v>
      </c>
      <c r="DL381" t="e">
        <f>AND(#REF!,"AAAAAHv5/nM=")</f>
        <v>#REF!</v>
      </c>
      <c r="DM381" t="e">
        <f>AND(#REF!,"AAAAAHv5/nQ=")</f>
        <v>#REF!</v>
      </c>
      <c r="DN381" t="e">
        <f>IF(#REF!,"AAAAAHv5/nU=",0)</f>
        <v>#REF!</v>
      </c>
      <c r="DO381" t="e">
        <f>AND(#REF!,"AAAAAHv5/nY=")</f>
        <v>#REF!</v>
      </c>
      <c r="DP381" t="e">
        <f>AND(#REF!,"AAAAAHv5/nc=")</f>
        <v>#REF!</v>
      </c>
      <c r="DQ381" t="e">
        <f>AND(#REF!,"AAAAAHv5/ng=")</f>
        <v>#REF!</v>
      </c>
      <c r="DR381" t="e">
        <f>AND(#REF!,"AAAAAHv5/nk=")</f>
        <v>#REF!</v>
      </c>
      <c r="DS381" t="e">
        <f>AND(#REF!,"AAAAAHv5/no=")</f>
        <v>#REF!</v>
      </c>
      <c r="DT381" t="e">
        <f>AND(#REF!,"AAAAAHv5/ns=")</f>
        <v>#REF!</v>
      </c>
      <c r="DU381" t="e">
        <f>AND(#REF!,"AAAAAHv5/nw=")</f>
        <v>#REF!</v>
      </c>
      <c r="DV381" t="e">
        <f>AND(#REF!,"AAAAAHv5/n0=")</f>
        <v>#REF!</v>
      </c>
      <c r="DW381" t="e">
        <f>AND(#REF!,"AAAAAHv5/n4=")</f>
        <v>#REF!</v>
      </c>
      <c r="DX381" t="e">
        <f>AND(#REF!,"AAAAAHv5/n8=")</f>
        <v>#REF!</v>
      </c>
      <c r="DY381" t="e">
        <f>IF(#REF!,"AAAAAHv5/oA=",0)</f>
        <v>#REF!</v>
      </c>
      <c r="DZ381" t="e">
        <f>AND(#REF!,"AAAAAHv5/oE=")</f>
        <v>#REF!</v>
      </c>
      <c r="EA381" t="e">
        <f>AND(#REF!,"AAAAAHv5/oI=")</f>
        <v>#REF!</v>
      </c>
      <c r="EB381" t="e">
        <f>AND(#REF!,"AAAAAHv5/oM=")</f>
        <v>#REF!</v>
      </c>
      <c r="EC381" t="e">
        <f>AND(#REF!,"AAAAAHv5/oQ=")</f>
        <v>#REF!</v>
      </c>
      <c r="ED381" t="e">
        <f>AND(#REF!,"AAAAAHv5/oU=")</f>
        <v>#REF!</v>
      </c>
      <c r="EE381" t="e">
        <f>AND(#REF!,"AAAAAHv5/oY=")</f>
        <v>#REF!</v>
      </c>
      <c r="EF381" t="e">
        <f>AND(#REF!,"AAAAAHv5/oc=")</f>
        <v>#REF!</v>
      </c>
      <c r="EG381" t="e">
        <f>AND(#REF!,"AAAAAHv5/og=")</f>
        <v>#REF!</v>
      </c>
      <c r="EH381" t="e">
        <f>AND(#REF!,"AAAAAHv5/ok=")</f>
        <v>#REF!</v>
      </c>
      <c r="EI381" t="e">
        <f>AND(#REF!,"AAAAAHv5/oo=")</f>
        <v>#REF!</v>
      </c>
      <c r="EJ381" t="e">
        <f>IF(#REF!,"AAAAAHv5/os=",0)</f>
        <v>#REF!</v>
      </c>
      <c r="EK381" t="e">
        <f>AND(#REF!,"AAAAAHv5/ow=")</f>
        <v>#REF!</v>
      </c>
      <c r="EL381" t="e">
        <f>AND(#REF!,"AAAAAHv5/o0=")</f>
        <v>#REF!</v>
      </c>
      <c r="EM381" t="e">
        <f>AND(#REF!,"AAAAAHv5/o4=")</f>
        <v>#REF!</v>
      </c>
      <c r="EN381" t="e">
        <f>AND(#REF!,"AAAAAHv5/o8=")</f>
        <v>#REF!</v>
      </c>
      <c r="EO381" t="e">
        <f>AND(#REF!,"AAAAAHv5/pA=")</f>
        <v>#REF!</v>
      </c>
      <c r="EP381" t="e">
        <f>AND(#REF!,"AAAAAHv5/pE=")</f>
        <v>#REF!</v>
      </c>
      <c r="EQ381" t="e">
        <f>AND(#REF!,"AAAAAHv5/pI=")</f>
        <v>#REF!</v>
      </c>
      <c r="ER381" t="e">
        <f>AND(#REF!,"AAAAAHv5/pM=")</f>
        <v>#REF!</v>
      </c>
      <c r="ES381" t="e">
        <f>AND(#REF!,"AAAAAHv5/pQ=")</f>
        <v>#REF!</v>
      </c>
      <c r="ET381" t="e">
        <f>AND(#REF!,"AAAAAHv5/pU=")</f>
        <v>#REF!</v>
      </c>
      <c r="EU381" t="e">
        <f>IF(#REF!,"AAAAAHv5/pY=",0)</f>
        <v>#REF!</v>
      </c>
      <c r="EV381" t="e">
        <f>AND(#REF!,"AAAAAHv5/pc=")</f>
        <v>#REF!</v>
      </c>
      <c r="EW381" t="e">
        <f>AND(#REF!,"AAAAAHv5/pg=")</f>
        <v>#REF!</v>
      </c>
      <c r="EX381" t="e">
        <f>AND(#REF!,"AAAAAHv5/pk=")</f>
        <v>#REF!</v>
      </c>
      <c r="EY381" t="e">
        <f>AND(#REF!,"AAAAAHv5/po=")</f>
        <v>#REF!</v>
      </c>
      <c r="EZ381" t="e">
        <f>AND(#REF!,"AAAAAHv5/ps=")</f>
        <v>#REF!</v>
      </c>
      <c r="FA381" t="e">
        <f>AND(#REF!,"AAAAAHv5/pw=")</f>
        <v>#REF!</v>
      </c>
      <c r="FB381" t="e">
        <f>AND(#REF!,"AAAAAHv5/p0=")</f>
        <v>#REF!</v>
      </c>
      <c r="FC381" t="e">
        <f>AND(#REF!,"AAAAAHv5/p4=")</f>
        <v>#REF!</v>
      </c>
      <c r="FD381" t="e">
        <f>AND(#REF!,"AAAAAHv5/p8=")</f>
        <v>#REF!</v>
      </c>
      <c r="FE381" t="e">
        <f>AND(#REF!,"AAAAAHv5/qA=")</f>
        <v>#REF!</v>
      </c>
      <c r="FF381" t="e">
        <f>IF(#REF!,"AAAAAHv5/qE=",0)</f>
        <v>#REF!</v>
      </c>
      <c r="FG381" t="e">
        <f>AND(#REF!,"AAAAAHv5/qI=")</f>
        <v>#REF!</v>
      </c>
      <c r="FH381" t="e">
        <f>AND(#REF!,"AAAAAHv5/qM=")</f>
        <v>#REF!</v>
      </c>
      <c r="FI381" t="e">
        <f>AND(#REF!,"AAAAAHv5/qQ=")</f>
        <v>#REF!</v>
      </c>
      <c r="FJ381" t="e">
        <f>AND(#REF!,"AAAAAHv5/qU=")</f>
        <v>#REF!</v>
      </c>
      <c r="FK381" t="e">
        <f>AND(#REF!,"AAAAAHv5/qY=")</f>
        <v>#REF!</v>
      </c>
      <c r="FL381" t="e">
        <f>AND(#REF!,"AAAAAHv5/qc=")</f>
        <v>#REF!</v>
      </c>
      <c r="FM381" t="e">
        <f>AND(#REF!,"AAAAAHv5/qg=")</f>
        <v>#REF!</v>
      </c>
      <c r="FN381" t="e">
        <f>AND(#REF!,"AAAAAHv5/qk=")</f>
        <v>#REF!</v>
      </c>
      <c r="FO381" t="e">
        <f>AND(#REF!,"AAAAAHv5/qo=")</f>
        <v>#REF!</v>
      </c>
      <c r="FP381" t="e">
        <f>AND(#REF!,"AAAAAHv5/qs=")</f>
        <v>#REF!</v>
      </c>
      <c r="FQ381" t="e">
        <f>IF(#REF!,"AAAAAHv5/qw=",0)</f>
        <v>#REF!</v>
      </c>
      <c r="FR381" t="e">
        <f>AND(#REF!,"AAAAAHv5/q0=")</f>
        <v>#REF!</v>
      </c>
      <c r="FS381" t="e">
        <f>AND(#REF!,"AAAAAHv5/q4=")</f>
        <v>#REF!</v>
      </c>
      <c r="FT381" t="e">
        <f>AND(#REF!,"AAAAAHv5/q8=")</f>
        <v>#REF!</v>
      </c>
      <c r="FU381" t="e">
        <f>AND(#REF!,"AAAAAHv5/rA=")</f>
        <v>#REF!</v>
      </c>
      <c r="FV381" t="e">
        <f>AND(#REF!,"AAAAAHv5/rE=")</f>
        <v>#REF!</v>
      </c>
      <c r="FW381" t="e">
        <f>AND(#REF!,"AAAAAHv5/rI=")</f>
        <v>#REF!</v>
      </c>
      <c r="FX381" t="e">
        <f>AND(#REF!,"AAAAAHv5/rM=")</f>
        <v>#REF!</v>
      </c>
      <c r="FY381" t="e">
        <f>AND(#REF!,"AAAAAHv5/rQ=")</f>
        <v>#REF!</v>
      </c>
      <c r="FZ381" t="e">
        <f>AND(#REF!,"AAAAAHv5/rU=")</f>
        <v>#REF!</v>
      </c>
      <c r="GA381" t="e">
        <f>AND(#REF!,"AAAAAHv5/rY=")</f>
        <v>#REF!</v>
      </c>
      <c r="GB381" t="e">
        <f>IF(#REF!,"AAAAAHv5/rc=",0)</f>
        <v>#REF!</v>
      </c>
      <c r="GC381" t="e">
        <f>AND(#REF!,"AAAAAHv5/rg=")</f>
        <v>#REF!</v>
      </c>
      <c r="GD381" t="e">
        <f>AND(#REF!,"AAAAAHv5/rk=")</f>
        <v>#REF!</v>
      </c>
      <c r="GE381" t="e">
        <f>AND(#REF!,"AAAAAHv5/ro=")</f>
        <v>#REF!</v>
      </c>
      <c r="GF381" t="e">
        <f>AND(#REF!,"AAAAAHv5/rs=")</f>
        <v>#REF!</v>
      </c>
      <c r="GG381" t="e">
        <f>AND(#REF!,"AAAAAHv5/rw=")</f>
        <v>#REF!</v>
      </c>
      <c r="GH381" t="e">
        <f>AND(#REF!,"AAAAAHv5/r0=")</f>
        <v>#REF!</v>
      </c>
      <c r="GI381" t="e">
        <f>AND(#REF!,"AAAAAHv5/r4=")</f>
        <v>#REF!</v>
      </c>
      <c r="GJ381" t="e">
        <f>AND(#REF!,"AAAAAHv5/r8=")</f>
        <v>#REF!</v>
      </c>
      <c r="GK381" t="e">
        <f>AND(#REF!,"AAAAAHv5/sA=")</f>
        <v>#REF!</v>
      </c>
      <c r="GL381" t="e">
        <f>AND(#REF!,"AAAAAHv5/sE=")</f>
        <v>#REF!</v>
      </c>
      <c r="GM381" t="e">
        <f>IF(#REF!,"AAAAAHv5/sI=",0)</f>
        <v>#REF!</v>
      </c>
      <c r="GN381" t="e">
        <f>AND(#REF!,"AAAAAHv5/sM=")</f>
        <v>#REF!</v>
      </c>
      <c r="GO381" t="e">
        <f>AND(#REF!,"AAAAAHv5/sQ=")</f>
        <v>#REF!</v>
      </c>
      <c r="GP381" t="e">
        <f>AND(#REF!,"AAAAAHv5/sU=")</f>
        <v>#REF!</v>
      </c>
      <c r="GQ381" t="e">
        <f>AND(#REF!,"AAAAAHv5/sY=")</f>
        <v>#REF!</v>
      </c>
      <c r="GR381" t="e">
        <f>AND(#REF!,"AAAAAHv5/sc=")</f>
        <v>#REF!</v>
      </c>
      <c r="GS381" t="e">
        <f>AND(#REF!,"AAAAAHv5/sg=")</f>
        <v>#REF!</v>
      </c>
      <c r="GT381" t="e">
        <f>AND(#REF!,"AAAAAHv5/sk=")</f>
        <v>#REF!</v>
      </c>
      <c r="GU381" t="e">
        <f>AND(#REF!,"AAAAAHv5/so=")</f>
        <v>#REF!</v>
      </c>
      <c r="GV381" t="e">
        <f>AND(#REF!,"AAAAAHv5/ss=")</f>
        <v>#REF!</v>
      </c>
      <c r="GW381" t="e">
        <f>AND(#REF!,"AAAAAHv5/sw=")</f>
        <v>#REF!</v>
      </c>
      <c r="GX381" t="e">
        <f>IF(#REF!,"AAAAAHv5/s0=",0)</f>
        <v>#REF!</v>
      </c>
      <c r="GY381" t="e">
        <f>AND(#REF!,"AAAAAHv5/s4=")</f>
        <v>#REF!</v>
      </c>
      <c r="GZ381" t="e">
        <f>AND(#REF!,"AAAAAHv5/s8=")</f>
        <v>#REF!</v>
      </c>
      <c r="HA381" t="e">
        <f>AND(#REF!,"AAAAAHv5/tA=")</f>
        <v>#REF!</v>
      </c>
      <c r="HB381" t="e">
        <f>AND(#REF!,"AAAAAHv5/tE=")</f>
        <v>#REF!</v>
      </c>
      <c r="HC381" t="e">
        <f>AND(#REF!,"AAAAAHv5/tI=")</f>
        <v>#REF!</v>
      </c>
      <c r="HD381" t="e">
        <f>AND(#REF!,"AAAAAHv5/tM=")</f>
        <v>#REF!</v>
      </c>
      <c r="HE381" t="e">
        <f>AND(#REF!,"AAAAAHv5/tQ=")</f>
        <v>#REF!</v>
      </c>
      <c r="HF381" t="e">
        <f>AND(#REF!,"AAAAAHv5/tU=")</f>
        <v>#REF!</v>
      </c>
      <c r="HG381" t="e">
        <f>AND(#REF!,"AAAAAHv5/tY=")</f>
        <v>#REF!</v>
      </c>
      <c r="HH381" t="e">
        <f>AND(#REF!,"AAAAAHv5/tc=")</f>
        <v>#REF!</v>
      </c>
      <c r="HI381" t="e">
        <f>IF(#REF!,"AAAAAHv5/tg=",0)</f>
        <v>#REF!</v>
      </c>
      <c r="HJ381" t="e">
        <f>AND(#REF!,"AAAAAHv5/tk=")</f>
        <v>#REF!</v>
      </c>
      <c r="HK381" t="e">
        <f>AND(#REF!,"AAAAAHv5/to=")</f>
        <v>#REF!</v>
      </c>
      <c r="HL381" t="e">
        <f>AND(#REF!,"AAAAAHv5/ts=")</f>
        <v>#REF!</v>
      </c>
      <c r="HM381" t="e">
        <f>AND(#REF!,"AAAAAHv5/tw=")</f>
        <v>#REF!</v>
      </c>
      <c r="HN381" t="e">
        <f>AND(#REF!,"AAAAAHv5/t0=")</f>
        <v>#REF!</v>
      </c>
      <c r="HO381" t="e">
        <f>AND(#REF!,"AAAAAHv5/t4=")</f>
        <v>#REF!</v>
      </c>
      <c r="HP381" t="e">
        <f>AND(#REF!,"AAAAAHv5/t8=")</f>
        <v>#REF!</v>
      </c>
      <c r="HQ381" t="e">
        <f>AND(#REF!,"AAAAAHv5/uA=")</f>
        <v>#REF!</v>
      </c>
      <c r="HR381" t="e">
        <f>AND(#REF!,"AAAAAHv5/uE=")</f>
        <v>#REF!</v>
      </c>
      <c r="HS381" t="e">
        <f>AND(#REF!,"AAAAAHv5/uI=")</f>
        <v>#REF!</v>
      </c>
      <c r="HT381" t="e">
        <f>IF(#REF!,"AAAAAHv5/uM=",0)</f>
        <v>#REF!</v>
      </c>
      <c r="HU381" t="e">
        <f>AND(#REF!,"AAAAAHv5/uQ=")</f>
        <v>#REF!</v>
      </c>
      <c r="HV381" t="e">
        <f>AND(#REF!,"AAAAAHv5/uU=")</f>
        <v>#REF!</v>
      </c>
      <c r="HW381" t="e">
        <f>AND(#REF!,"AAAAAHv5/uY=")</f>
        <v>#REF!</v>
      </c>
      <c r="HX381" t="e">
        <f>AND(#REF!,"AAAAAHv5/uc=")</f>
        <v>#REF!</v>
      </c>
      <c r="HY381" t="e">
        <f>AND(#REF!,"AAAAAHv5/ug=")</f>
        <v>#REF!</v>
      </c>
      <c r="HZ381" t="e">
        <f>AND(#REF!,"AAAAAHv5/uk=")</f>
        <v>#REF!</v>
      </c>
      <c r="IA381" t="e">
        <f>AND(#REF!,"AAAAAHv5/uo=")</f>
        <v>#REF!</v>
      </c>
      <c r="IB381" t="e">
        <f>AND(#REF!,"AAAAAHv5/us=")</f>
        <v>#REF!</v>
      </c>
      <c r="IC381" t="e">
        <f>AND(#REF!,"AAAAAHv5/uw=")</f>
        <v>#REF!</v>
      </c>
      <c r="ID381" t="e">
        <f>AND(#REF!,"AAAAAHv5/u0=")</f>
        <v>#REF!</v>
      </c>
      <c r="IE381" t="e">
        <f>IF(#REF!,"AAAAAHv5/u4=",0)</f>
        <v>#REF!</v>
      </c>
      <c r="IF381" t="e">
        <f>AND(#REF!,"AAAAAHv5/u8=")</f>
        <v>#REF!</v>
      </c>
      <c r="IG381" t="e">
        <f>AND(#REF!,"AAAAAHv5/vA=")</f>
        <v>#REF!</v>
      </c>
      <c r="IH381" t="e">
        <f>AND(#REF!,"AAAAAHv5/vE=")</f>
        <v>#REF!</v>
      </c>
      <c r="II381" t="e">
        <f>AND(#REF!,"AAAAAHv5/vI=")</f>
        <v>#REF!</v>
      </c>
      <c r="IJ381" t="e">
        <f>AND(#REF!,"AAAAAHv5/vM=")</f>
        <v>#REF!</v>
      </c>
      <c r="IK381" t="e">
        <f>AND(#REF!,"AAAAAHv5/vQ=")</f>
        <v>#REF!</v>
      </c>
      <c r="IL381" t="e">
        <f>AND(#REF!,"AAAAAHv5/vU=")</f>
        <v>#REF!</v>
      </c>
      <c r="IM381" t="e">
        <f>AND(#REF!,"AAAAAHv5/vY=")</f>
        <v>#REF!</v>
      </c>
      <c r="IN381" t="e">
        <f>AND(#REF!,"AAAAAHv5/vc=")</f>
        <v>#REF!</v>
      </c>
      <c r="IO381" t="e">
        <f>AND(#REF!,"AAAAAHv5/vg=")</f>
        <v>#REF!</v>
      </c>
      <c r="IP381" t="e">
        <f>IF(#REF!,"AAAAAHv5/vk=",0)</f>
        <v>#REF!</v>
      </c>
      <c r="IQ381" t="e">
        <f>AND(#REF!,"AAAAAHv5/vo=")</f>
        <v>#REF!</v>
      </c>
      <c r="IR381" t="e">
        <f>AND(#REF!,"AAAAAHv5/vs=")</f>
        <v>#REF!</v>
      </c>
      <c r="IS381" t="e">
        <f>AND(#REF!,"AAAAAHv5/vw=")</f>
        <v>#REF!</v>
      </c>
      <c r="IT381" t="e">
        <f>AND(#REF!,"AAAAAHv5/v0=")</f>
        <v>#REF!</v>
      </c>
      <c r="IU381" t="e">
        <f>AND(#REF!,"AAAAAHv5/v4=")</f>
        <v>#REF!</v>
      </c>
      <c r="IV381" t="e">
        <f>AND(#REF!,"AAAAAHv5/v8=")</f>
        <v>#REF!</v>
      </c>
    </row>
    <row r="382" spans="1:256" x14ac:dyDescent="0.25">
      <c r="A382" t="e">
        <f>AND(#REF!,"AAAAAGe93wA=")</f>
        <v>#REF!</v>
      </c>
      <c r="B382" t="e">
        <f>AND(#REF!,"AAAAAGe93wE=")</f>
        <v>#REF!</v>
      </c>
      <c r="C382" t="e">
        <f>AND(#REF!,"AAAAAGe93wI=")</f>
        <v>#REF!</v>
      </c>
      <c r="D382" t="e">
        <f>AND(#REF!,"AAAAAGe93wM=")</f>
        <v>#REF!</v>
      </c>
      <c r="E382" t="e">
        <f>IF(#REF!,"AAAAAGe93wQ=",0)</f>
        <v>#REF!</v>
      </c>
      <c r="F382" t="e">
        <f>AND(#REF!,"AAAAAGe93wU=")</f>
        <v>#REF!</v>
      </c>
      <c r="G382" t="e">
        <f>AND(#REF!,"AAAAAGe93wY=")</f>
        <v>#REF!</v>
      </c>
      <c r="H382" t="e">
        <f>AND(#REF!,"AAAAAGe93wc=")</f>
        <v>#REF!</v>
      </c>
      <c r="I382" t="e">
        <f>AND(#REF!,"AAAAAGe93wg=")</f>
        <v>#REF!</v>
      </c>
      <c r="J382" t="e">
        <f>AND(#REF!,"AAAAAGe93wk=")</f>
        <v>#REF!</v>
      </c>
      <c r="K382" t="e">
        <f>AND(#REF!,"AAAAAGe93wo=")</f>
        <v>#REF!</v>
      </c>
      <c r="L382" t="e">
        <f>AND(#REF!,"AAAAAGe93ws=")</f>
        <v>#REF!</v>
      </c>
      <c r="M382" t="e">
        <f>AND(#REF!,"AAAAAGe93ww=")</f>
        <v>#REF!</v>
      </c>
      <c r="N382" t="e">
        <f>AND(#REF!,"AAAAAGe93w0=")</f>
        <v>#REF!</v>
      </c>
      <c r="O382" t="e">
        <f>AND(#REF!,"AAAAAGe93w4=")</f>
        <v>#REF!</v>
      </c>
      <c r="P382" t="e">
        <f>IF(#REF!,"AAAAAGe93w8=",0)</f>
        <v>#REF!</v>
      </c>
      <c r="Q382" t="e">
        <f>AND(#REF!,"AAAAAGe93xA=")</f>
        <v>#REF!</v>
      </c>
      <c r="R382" t="e">
        <f>AND(#REF!,"AAAAAGe93xE=")</f>
        <v>#REF!</v>
      </c>
      <c r="S382" t="e">
        <f>AND(#REF!,"AAAAAGe93xI=")</f>
        <v>#REF!</v>
      </c>
      <c r="T382" t="e">
        <f>AND(#REF!,"AAAAAGe93xM=")</f>
        <v>#REF!</v>
      </c>
      <c r="U382" t="e">
        <f>AND(#REF!,"AAAAAGe93xQ=")</f>
        <v>#REF!</v>
      </c>
      <c r="V382" t="e">
        <f>AND(#REF!,"AAAAAGe93xU=")</f>
        <v>#REF!</v>
      </c>
      <c r="W382" t="e">
        <f>AND(#REF!,"AAAAAGe93xY=")</f>
        <v>#REF!</v>
      </c>
      <c r="X382" t="e">
        <f>AND(#REF!,"AAAAAGe93xc=")</f>
        <v>#REF!</v>
      </c>
      <c r="Y382" t="e">
        <f>AND(#REF!,"AAAAAGe93xg=")</f>
        <v>#REF!</v>
      </c>
      <c r="Z382" t="e">
        <f>AND(#REF!,"AAAAAGe93xk=")</f>
        <v>#REF!</v>
      </c>
      <c r="AA382" t="e">
        <f>IF(#REF!,"AAAAAGe93xo=",0)</f>
        <v>#REF!</v>
      </c>
      <c r="AB382" t="e">
        <f>AND(#REF!,"AAAAAGe93xs=")</f>
        <v>#REF!</v>
      </c>
      <c r="AC382" t="e">
        <f>AND(#REF!,"AAAAAGe93xw=")</f>
        <v>#REF!</v>
      </c>
      <c r="AD382" t="e">
        <f>AND(#REF!,"AAAAAGe93x0=")</f>
        <v>#REF!</v>
      </c>
      <c r="AE382" t="e">
        <f>AND(#REF!,"AAAAAGe93x4=")</f>
        <v>#REF!</v>
      </c>
      <c r="AF382" t="e">
        <f>AND(#REF!,"AAAAAGe93x8=")</f>
        <v>#REF!</v>
      </c>
      <c r="AG382" t="e">
        <f>AND(#REF!,"AAAAAGe93yA=")</f>
        <v>#REF!</v>
      </c>
      <c r="AH382" t="e">
        <f>AND(#REF!,"AAAAAGe93yE=")</f>
        <v>#REF!</v>
      </c>
      <c r="AI382" t="e">
        <f>AND(#REF!,"AAAAAGe93yI=")</f>
        <v>#REF!</v>
      </c>
      <c r="AJ382" t="e">
        <f>AND(#REF!,"AAAAAGe93yM=")</f>
        <v>#REF!</v>
      </c>
      <c r="AK382" t="e">
        <f>AND(#REF!,"AAAAAGe93yQ=")</f>
        <v>#REF!</v>
      </c>
      <c r="AL382" t="e">
        <f>IF(#REF!,"AAAAAGe93yU=",0)</f>
        <v>#REF!</v>
      </c>
      <c r="AM382" t="e">
        <f>AND(#REF!,"AAAAAGe93yY=")</f>
        <v>#REF!</v>
      </c>
      <c r="AN382" t="e">
        <f>AND(#REF!,"AAAAAGe93yc=")</f>
        <v>#REF!</v>
      </c>
      <c r="AO382" t="e">
        <f>AND(#REF!,"AAAAAGe93yg=")</f>
        <v>#REF!</v>
      </c>
      <c r="AP382" t="e">
        <f>AND(#REF!,"AAAAAGe93yk=")</f>
        <v>#REF!</v>
      </c>
      <c r="AQ382" t="e">
        <f>AND(#REF!,"AAAAAGe93yo=")</f>
        <v>#REF!</v>
      </c>
      <c r="AR382" t="e">
        <f>AND(#REF!,"AAAAAGe93ys=")</f>
        <v>#REF!</v>
      </c>
      <c r="AS382" t="e">
        <f>AND(#REF!,"AAAAAGe93yw=")</f>
        <v>#REF!</v>
      </c>
      <c r="AT382" t="e">
        <f>AND(#REF!,"AAAAAGe93y0=")</f>
        <v>#REF!</v>
      </c>
      <c r="AU382" t="e">
        <f>AND(#REF!,"AAAAAGe93y4=")</f>
        <v>#REF!</v>
      </c>
      <c r="AV382" t="e">
        <f>AND(#REF!,"AAAAAGe93y8=")</f>
        <v>#REF!</v>
      </c>
      <c r="AW382" t="e">
        <f>IF(#REF!,"AAAAAGe93zA=",0)</f>
        <v>#REF!</v>
      </c>
      <c r="AX382" t="e">
        <f>AND(#REF!,"AAAAAGe93zE=")</f>
        <v>#REF!</v>
      </c>
      <c r="AY382" t="e">
        <f>AND(#REF!,"AAAAAGe93zI=")</f>
        <v>#REF!</v>
      </c>
      <c r="AZ382" t="e">
        <f>AND(#REF!,"AAAAAGe93zM=")</f>
        <v>#REF!</v>
      </c>
      <c r="BA382" t="e">
        <f>AND(#REF!,"AAAAAGe93zQ=")</f>
        <v>#REF!</v>
      </c>
      <c r="BB382" t="e">
        <f>AND(#REF!,"AAAAAGe93zU=")</f>
        <v>#REF!</v>
      </c>
      <c r="BC382" t="e">
        <f>AND(#REF!,"AAAAAGe93zY=")</f>
        <v>#REF!</v>
      </c>
      <c r="BD382" t="e">
        <f>AND(#REF!,"AAAAAGe93zc=")</f>
        <v>#REF!</v>
      </c>
      <c r="BE382" t="e">
        <f>AND(#REF!,"AAAAAGe93zg=")</f>
        <v>#REF!</v>
      </c>
      <c r="BF382" t="e">
        <f>AND(#REF!,"AAAAAGe93zk=")</f>
        <v>#REF!</v>
      </c>
      <c r="BG382" t="e">
        <f>AND(#REF!,"AAAAAGe93zo=")</f>
        <v>#REF!</v>
      </c>
      <c r="BH382" t="e">
        <f>IF(#REF!,"AAAAAGe93zs=",0)</f>
        <v>#REF!</v>
      </c>
      <c r="BI382" t="e">
        <f>AND(#REF!,"AAAAAGe93zw=")</f>
        <v>#REF!</v>
      </c>
      <c r="BJ382" t="e">
        <f>AND(#REF!,"AAAAAGe93z0=")</f>
        <v>#REF!</v>
      </c>
      <c r="BK382" t="e">
        <f>AND(#REF!,"AAAAAGe93z4=")</f>
        <v>#REF!</v>
      </c>
      <c r="BL382" t="e">
        <f>AND(#REF!,"AAAAAGe93z8=")</f>
        <v>#REF!</v>
      </c>
      <c r="BM382" t="e">
        <f>AND(#REF!,"AAAAAGe930A=")</f>
        <v>#REF!</v>
      </c>
      <c r="BN382" t="e">
        <f>AND(#REF!,"AAAAAGe930E=")</f>
        <v>#REF!</v>
      </c>
      <c r="BO382" t="e">
        <f>AND(#REF!,"AAAAAGe930I=")</f>
        <v>#REF!</v>
      </c>
      <c r="BP382" t="e">
        <f>AND(#REF!,"AAAAAGe930M=")</f>
        <v>#REF!</v>
      </c>
      <c r="BQ382" t="e">
        <f>AND(#REF!,"AAAAAGe930Q=")</f>
        <v>#REF!</v>
      </c>
      <c r="BR382" t="e">
        <f>AND(#REF!,"AAAAAGe930U=")</f>
        <v>#REF!</v>
      </c>
      <c r="BS382" t="e">
        <f>IF(#REF!,"AAAAAGe930Y=",0)</f>
        <v>#REF!</v>
      </c>
      <c r="BT382" t="e">
        <f>AND(#REF!,"AAAAAGe930c=")</f>
        <v>#REF!</v>
      </c>
      <c r="BU382" t="e">
        <f>AND(#REF!,"AAAAAGe930g=")</f>
        <v>#REF!</v>
      </c>
      <c r="BV382" t="e">
        <f>AND(#REF!,"AAAAAGe930k=")</f>
        <v>#REF!</v>
      </c>
      <c r="BW382" t="e">
        <f>AND(#REF!,"AAAAAGe930o=")</f>
        <v>#REF!</v>
      </c>
      <c r="BX382" t="e">
        <f>AND(#REF!,"AAAAAGe930s=")</f>
        <v>#REF!</v>
      </c>
      <c r="BY382" t="e">
        <f>AND(#REF!,"AAAAAGe930w=")</f>
        <v>#REF!</v>
      </c>
      <c r="BZ382" t="e">
        <f>AND(#REF!,"AAAAAGe9300=")</f>
        <v>#REF!</v>
      </c>
      <c r="CA382" t="e">
        <f>AND(#REF!,"AAAAAGe9304=")</f>
        <v>#REF!</v>
      </c>
      <c r="CB382" t="e">
        <f>AND(#REF!,"AAAAAGe9308=")</f>
        <v>#REF!</v>
      </c>
      <c r="CC382" t="e">
        <f>AND(#REF!,"AAAAAGe931A=")</f>
        <v>#REF!</v>
      </c>
      <c r="CD382" t="e">
        <f>IF(#REF!,"AAAAAGe931E=",0)</f>
        <v>#REF!</v>
      </c>
      <c r="CE382" t="e">
        <f>AND(#REF!,"AAAAAGe931I=")</f>
        <v>#REF!</v>
      </c>
      <c r="CF382" t="e">
        <f>AND(#REF!,"AAAAAGe931M=")</f>
        <v>#REF!</v>
      </c>
      <c r="CG382" t="e">
        <f>AND(#REF!,"AAAAAGe931Q=")</f>
        <v>#REF!</v>
      </c>
      <c r="CH382" t="e">
        <f>AND(#REF!,"AAAAAGe931U=")</f>
        <v>#REF!</v>
      </c>
      <c r="CI382" t="e">
        <f>AND(#REF!,"AAAAAGe931Y=")</f>
        <v>#REF!</v>
      </c>
      <c r="CJ382" t="e">
        <f>AND(#REF!,"AAAAAGe931c=")</f>
        <v>#REF!</v>
      </c>
      <c r="CK382" t="e">
        <f>AND(#REF!,"AAAAAGe931g=")</f>
        <v>#REF!</v>
      </c>
      <c r="CL382" t="e">
        <f>AND(#REF!,"AAAAAGe931k=")</f>
        <v>#REF!</v>
      </c>
      <c r="CM382" t="e">
        <f>AND(#REF!,"AAAAAGe931o=")</f>
        <v>#REF!</v>
      </c>
      <c r="CN382" t="e">
        <f>AND(#REF!,"AAAAAGe931s=")</f>
        <v>#REF!</v>
      </c>
      <c r="CO382" t="e">
        <f>IF(#REF!,"AAAAAGe931w=",0)</f>
        <v>#REF!</v>
      </c>
      <c r="CP382" t="e">
        <f>AND(#REF!,"AAAAAGe9310=")</f>
        <v>#REF!</v>
      </c>
      <c r="CQ382" t="e">
        <f>AND(#REF!,"AAAAAGe9314=")</f>
        <v>#REF!</v>
      </c>
      <c r="CR382" t="e">
        <f>AND(#REF!,"AAAAAGe9318=")</f>
        <v>#REF!</v>
      </c>
      <c r="CS382" t="e">
        <f>AND(#REF!,"AAAAAGe932A=")</f>
        <v>#REF!</v>
      </c>
      <c r="CT382" t="e">
        <f>AND(#REF!,"AAAAAGe932E=")</f>
        <v>#REF!</v>
      </c>
      <c r="CU382" t="e">
        <f>AND(#REF!,"AAAAAGe932I=")</f>
        <v>#REF!</v>
      </c>
      <c r="CV382" t="e">
        <f>AND(#REF!,"AAAAAGe932M=")</f>
        <v>#REF!</v>
      </c>
      <c r="CW382" t="e">
        <f>AND(#REF!,"AAAAAGe932Q=")</f>
        <v>#REF!</v>
      </c>
      <c r="CX382" t="e">
        <f>AND(#REF!,"AAAAAGe932U=")</f>
        <v>#REF!</v>
      </c>
      <c r="CY382" t="e">
        <f>AND(#REF!,"AAAAAGe932Y=")</f>
        <v>#REF!</v>
      </c>
      <c r="CZ382" t="e">
        <f>IF(#REF!,"AAAAAGe932c=",0)</f>
        <v>#REF!</v>
      </c>
      <c r="DA382" t="e">
        <f>AND(#REF!,"AAAAAGe932g=")</f>
        <v>#REF!</v>
      </c>
      <c r="DB382" t="e">
        <f>AND(#REF!,"AAAAAGe932k=")</f>
        <v>#REF!</v>
      </c>
      <c r="DC382" t="e">
        <f>AND(#REF!,"AAAAAGe932o=")</f>
        <v>#REF!</v>
      </c>
      <c r="DD382" t="e">
        <f>AND(#REF!,"AAAAAGe932s=")</f>
        <v>#REF!</v>
      </c>
      <c r="DE382" t="e">
        <f>AND(#REF!,"AAAAAGe932w=")</f>
        <v>#REF!</v>
      </c>
      <c r="DF382" t="e">
        <f>AND(#REF!,"AAAAAGe9320=")</f>
        <v>#REF!</v>
      </c>
      <c r="DG382" t="e">
        <f>AND(#REF!,"AAAAAGe9324=")</f>
        <v>#REF!</v>
      </c>
      <c r="DH382" t="e">
        <f>AND(#REF!,"AAAAAGe9328=")</f>
        <v>#REF!</v>
      </c>
      <c r="DI382" t="e">
        <f>AND(#REF!,"AAAAAGe933A=")</f>
        <v>#REF!</v>
      </c>
      <c r="DJ382" t="e">
        <f>AND(#REF!,"AAAAAGe933E=")</f>
        <v>#REF!</v>
      </c>
      <c r="DK382" t="e">
        <f>IF(#REF!,"AAAAAGe933I=",0)</f>
        <v>#REF!</v>
      </c>
      <c r="DL382" t="e">
        <f>AND(#REF!,"AAAAAGe933M=")</f>
        <v>#REF!</v>
      </c>
      <c r="DM382" t="e">
        <f>AND(#REF!,"AAAAAGe933Q=")</f>
        <v>#REF!</v>
      </c>
      <c r="DN382" t="e">
        <f>AND(#REF!,"AAAAAGe933U=")</f>
        <v>#REF!</v>
      </c>
      <c r="DO382" t="e">
        <f>AND(#REF!,"AAAAAGe933Y=")</f>
        <v>#REF!</v>
      </c>
      <c r="DP382" t="e">
        <f>AND(#REF!,"AAAAAGe933c=")</f>
        <v>#REF!</v>
      </c>
      <c r="DQ382" t="e">
        <f>AND(#REF!,"AAAAAGe933g=")</f>
        <v>#REF!</v>
      </c>
      <c r="DR382" t="e">
        <f>AND(#REF!,"AAAAAGe933k=")</f>
        <v>#REF!</v>
      </c>
      <c r="DS382" t="e">
        <f>AND(#REF!,"AAAAAGe933o=")</f>
        <v>#REF!</v>
      </c>
      <c r="DT382" t="e">
        <f>AND(#REF!,"AAAAAGe933s=")</f>
        <v>#REF!</v>
      </c>
      <c r="DU382" t="e">
        <f>AND(#REF!,"AAAAAGe933w=")</f>
        <v>#REF!</v>
      </c>
      <c r="DV382" t="e">
        <f>IF(#REF!,"AAAAAGe9330=",0)</f>
        <v>#REF!</v>
      </c>
      <c r="DW382" t="e">
        <f>AND(#REF!,"AAAAAGe9334=")</f>
        <v>#REF!</v>
      </c>
      <c r="DX382" t="e">
        <f>AND(#REF!,"AAAAAGe9338=")</f>
        <v>#REF!</v>
      </c>
      <c r="DY382" t="e">
        <f>AND(#REF!,"AAAAAGe934A=")</f>
        <v>#REF!</v>
      </c>
      <c r="DZ382" t="e">
        <f>AND(#REF!,"AAAAAGe934E=")</f>
        <v>#REF!</v>
      </c>
      <c r="EA382" t="e">
        <f>AND(#REF!,"AAAAAGe934I=")</f>
        <v>#REF!</v>
      </c>
      <c r="EB382" t="e">
        <f>AND(#REF!,"AAAAAGe934M=")</f>
        <v>#REF!</v>
      </c>
      <c r="EC382" t="e">
        <f>AND(#REF!,"AAAAAGe934Q=")</f>
        <v>#REF!</v>
      </c>
      <c r="ED382" t="e">
        <f>AND(#REF!,"AAAAAGe934U=")</f>
        <v>#REF!</v>
      </c>
      <c r="EE382" t="e">
        <f>AND(#REF!,"AAAAAGe934Y=")</f>
        <v>#REF!</v>
      </c>
      <c r="EF382" t="e">
        <f>AND(#REF!,"AAAAAGe934c=")</f>
        <v>#REF!</v>
      </c>
      <c r="EG382" t="e">
        <f>IF(#REF!,"AAAAAGe934g=",0)</f>
        <v>#REF!</v>
      </c>
      <c r="EH382" t="e">
        <f>AND(#REF!,"AAAAAGe934k=")</f>
        <v>#REF!</v>
      </c>
      <c r="EI382" t="e">
        <f>AND(#REF!,"AAAAAGe934o=")</f>
        <v>#REF!</v>
      </c>
      <c r="EJ382" t="e">
        <f>AND(#REF!,"AAAAAGe934s=")</f>
        <v>#REF!</v>
      </c>
      <c r="EK382" t="e">
        <f>AND(#REF!,"AAAAAGe934w=")</f>
        <v>#REF!</v>
      </c>
      <c r="EL382" t="e">
        <f>AND(#REF!,"AAAAAGe9340=")</f>
        <v>#REF!</v>
      </c>
      <c r="EM382" t="e">
        <f>AND(#REF!,"AAAAAGe9344=")</f>
        <v>#REF!</v>
      </c>
      <c r="EN382" t="e">
        <f>AND(#REF!,"AAAAAGe9348=")</f>
        <v>#REF!</v>
      </c>
      <c r="EO382" t="e">
        <f>AND(#REF!,"AAAAAGe935A=")</f>
        <v>#REF!</v>
      </c>
      <c r="EP382" t="e">
        <f>AND(#REF!,"AAAAAGe935E=")</f>
        <v>#REF!</v>
      </c>
      <c r="EQ382" t="e">
        <f>AND(#REF!,"AAAAAGe935I=")</f>
        <v>#REF!</v>
      </c>
      <c r="ER382" t="e">
        <f>IF(#REF!,"AAAAAGe935M=",0)</f>
        <v>#REF!</v>
      </c>
      <c r="ES382" t="e">
        <f>AND(#REF!,"AAAAAGe935Q=")</f>
        <v>#REF!</v>
      </c>
      <c r="ET382" t="e">
        <f>AND(#REF!,"AAAAAGe935U=")</f>
        <v>#REF!</v>
      </c>
      <c r="EU382" t="e">
        <f>AND(#REF!,"AAAAAGe935Y=")</f>
        <v>#REF!</v>
      </c>
      <c r="EV382" t="e">
        <f>AND(#REF!,"AAAAAGe935c=")</f>
        <v>#REF!</v>
      </c>
      <c r="EW382" t="e">
        <f>AND(#REF!,"AAAAAGe935g=")</f>
        <v>#REF!</v>
      </c>
      <c r="EX382" t="e">
        <f>AND(#REF!,"AAAAAGe935k=")</f>
        <v>#REF!</v>
      </c>
      <c r="EY382" t="e">
        <f>AND(#REF!,"AAAAAGe935o=")</f>
        <v>#REF!</v>
      </c>
      <c r="EZ382" t="e">
        <f>AND(#REF!,"AAAAAGe935s=")</f>
        <v>#REF!</v>
      </c>
      <c r="FA382" t="e">
        <f>AND(#REF!,"AAAAAGe935w=")</f>
        <v>#REF!</v>
      </c>
      <c r="FB382" t="e">
        <f>AND(#REF!,"AAAAAGe9350=")</f>
        <v>#REF!</v>
      </c>
      <c r="FC382" t="e">
        <f>IF(#REF!,"AAAAAGe9354=",0)</f>
        <v>#REF!</v>
      </c>
      <c r="FD382" t="e">
        <f>AND(#REF!,"AAAAAGe9358=")</f>
        <v>#REF!</v>
      </c>
      <c r="FE382" t="e">
        <f>AND(#REF!,"AAAAAGe936A=")</f>
        <v>#REF!</v>
      </c>
      <c r="FF382" t="e">
        <f>AND(#REF!,"AAAAAGe936E=")</f>
        <v>#REF!</v>
      </c>
      <c r="FG382" t="e">
        <f>AND(#REF!,"AAAAAGe936I=")</f>
        <v>#REF!</v>
      </c>
      <c r="FH382" t="e">
        <f>AND(#REF!,"AAAAAGe936M=")</f>
        <v>#REF!</v>
      </c>
      <c r="FI382" t="e">
        <f>AND(#REF!,"AAAAAGe936Q=")</f>
        <v>#REF!</v>
      </c>
      <c r="FJ382" t="e">
        <f>AND(#REF!,"AAAAAGe936U=")</f>
        <v>#REF!</v>
      </c>
      <c r="FK382" t="e">
        <f>AND(#REF!,"AAAAAGe936Y=")</f>
        <v>#REF!</v>
      </c>
      <c r="FL382" t="e">
        <f>AND(#REF!,"AAAAAGe936c=")</f>
        <v>#REF!</v>
      </c>
      <c r="FM382" t="e">
        <f>AND(#REF!,"AAAAAGe936g=")</f>
        <v>#REF!</v>
      </c>
      <c r="FN382" t="e">
        <f>IF(#REF!,"AAAAAGe936k=",0)</f>
        <v>#REF!</v>
      </c>
      <c r="FO382" t="e">
        <f>AND(#REF!,"AAAAAGe936o=")</f>
        <v>#REF!</v>
      </c>
      <c r="FP382" t="e">
        <f>AND(#REF!,"AAAAAGe936s=")</f>
        <v>#REF!</v>
      </c>
      <c r="FQ382" t="e">
        <f>AND(#REF!,"AAAAAGe936w=")</f>
        <v>#REF!</v>
      </c>
      <c r="FR382" t="e">
        <f>AND(#REF!,"AAAAAGe9360=")</f>
        <v>#REF!</v>
      </c>
      <c r="FS382" t="e">
        <f>AND(#REF!,"AAAAAGe9364=")</f>
        <v>#REF!</v>
      </c>
      <c r="FT382" t="e">
        <f>AND(#REF!,"AAAAAGe9368=")</f>
        <v>#REF!</v>
      </c>
      <c r="FU382" t="e">
        <f>AND(#REF!,"AAAAAGe937A=")</f>
        <v>#REF!</v>
      </c>
      <c r="FV382" t="e">
        <f>AND(#REF!,"AAAAAGe937E=")</f>
        <v>#REF!</v>
      </c>
      <c r="FW382" t="e">
        <f>AND(#REF!,"AAAAAGe937I=")</f>
        <v>#REF!</v>
      </c>
      <c r="FX382" t="e">
        <f>AND(#REF!,"AAAAAGe937M=")</f>
        <v>#REF!</v>
      </c>
      <c r="FY382" t="e">
        <f>IF(#REF!,"AAAAAGe937Q=",0)</f>
        <v>#REF!</v>
      </c>
      <c r="FZ382" t="e">
        <f>AND(#REF!,"AAAAAGe937U=")</f>
        <v>#REF!</v>
      </c>
      <c r="GA382" t="e">
        <f>AND(#REF!,"AAAAAGe937Y=")</f>
        <v>#REF!</v>
      </c>
      <c r="GB382" t="e">
        <f>AND(#REF!,"AAAAAGe937c=")</f>
        <v>#REF!</v>
      </c>
      <c r="GC382" t="e">
        <f>AND(#REF!,"AAAAAGe937g=")</f>
        <v>#REF!</v>
      </c>
      <c r="GD382" t="e">
        <f>AND(#REF!,"AAAAAGe937k=")</f>
        <v>#REF!</v>
      </c>
      <c r="GE382" t="e">
        <f>AND(#REF!,"AAAAAGe937o=")</f>
        <v>#REF!</v>
      </c>
      <c r="GF382" t="e">
        <f>AND(#REF!,"AAAAAGe937s=")</f>
        <v>#REF!</v>
      </c>
      <c r="GG382" t="e">
        <f>AND(#REF!,"AAAAAGe937w=")</f>
        <v>#REF!</v>
      </c>
      <c r="GH382" t="e">
        <f>AND(#REF!,"AAAAAGe9370=")</f>
        <v>#REF!</v>
      </c>
      <c r="GI382" t="e">
        <f>AND(#REF!,"AAAAAGe9374=")</f>
        <v>#REF!</v>
      </c>
      <c r="GJ382" t="e">
        <f>IF(#REF!,"AAAAAGe9378=",0)</f>
        <v>#REF!</v>
      </c>
      <c r="GK382" t="e">
        <f>AND(#REF!,"AAAAAGe938A=")</f>
        <v>#REF!</v>
      </c>
      <c r="GL382" t="e">
        <f>AND(#REF!,"AAAAAGe938E=")</f>
        <v>#REF!</v>
      </c>
      <c r="GM382" t="e">
        <f>AND(#REF!,"AAAAAGe938I=")</f>
        <v>#REF!</v>
      </c>
      <c r="GN382" t="e">
        <f>AND(#REF!,"AAAAAGe938M=")</f>
        <v>#REF!</v>
      </c>
      <c r="GO382" t="e">
        <f>AND(#REF!,"AAAAAGe938Q=")</f>
        <v>#REF!</v>
      </c>
      <c r="GP382" t="e">
        <f>AND(#REF!,"AAAAAGe938U=")</f>
        <v>#REF!</v>
      </c>
      <c r="GQ382" t="e">
        <f>AND(#REF!,"AAAAAGe938Y=")</f>
        <v>#REF!</v>
      </c>
      <c r="GR382" t="e">
        <f>AND(#REF!,"AAAAAGe938c=")</f>
        <v>#REF!</v>
      </c>
      <c r="GS382" t="e">
        <f>AND(#REF!,"AAAAAGe938g=")</f>
        <v>#REF!</v>
      </c>
      <c r="GT382" t="e">
        <f>AND(#REF!,"AAAAAGe938k=")</f>
        <v>#REF!</v>
      </c>
      <c r="GU382" t="e">
        <f>IF(#REF!,"AAAAAGe938o=",0)</f>
        <v>#REF!</v>
      </c>
      <c r="GV382" t="e">
        <f>AND(#REF!,"AAAAAGe938s=")</f>
        <v>#REF!</v>
      </c>
      <c r="GW382" t="e">
        <f>AND(#REF!,"AAAAAGe938w=")</f>
        <v>#REF!</v>
      </c>
      <c r="GX382" t="e">
        <f>AND(#REF!,"AAAAAGe9380=")</f>
        <v>#REF!</v>
      </c>
      <c r="GY382" t="e">
        <f>AND(#REF!,"AAAAAGe9384=")</f>
        <v>#REF!</v>
      </c>
      <c r="GZ382" t="e">
        <f>AND(#REF!,"AAAAAGe9388=")</f>
        <v>#REF!</v>
      </c>
      <c r="HA382" t="e">
        <f>AND(#REF!,"AAAAAGe939A=")</f>
        <v>#REF!</v>
      </c>
      <c r="HB382" t="e">
        <f>AND(#REF!,"AAAAAGe939E=")</f>
        <v>#REF!</v>
      </c>
      <c r="HC382" t="e">
        <f>AND(#REF!,"AAAAAGe939I=")</f>
        <v>#REF!</v>
      </c>
      <c r="HD382" t="e">
        <f>AND(#REF!,"AAAAAGe939M=")</f>
        <v>#REF!</v>
      </c>
      <c r="HE382" t="e">
        <f>AND(#REF!,"AAAAAGe939Q=")</f>
        <v>#REF!</v>
      </c>
      <c r="HF382" t="e">
        <f>IF(#REF!,"AAAAAGe939U=",0)</f>
        <v>#REF!</v>
      </c>
      <c r="HG382" t="e">
        <f>AND(#REF!,"AAAAAGe939Y=")</f>
        <v>#REF!</v>
      </c>
      <c r="HH382" t="e">
        <f>AND(#REF!,"AAAAAGe939c=")</f>
        <v>#REF!</v>
      </c>
      <c r="HI382" t="e">
        <f>AND(#REF!,"AAAAAGe939g=")</f>
        <v>#REF!</v>
      </c>
      <c r="HJ382" t="e">
        <f>AND(#REF!,"AAAAAGe939k=")</f>
        <v>#REF!</v>
      </c>
      <c r="HK382" t="e">
        <f>AND(#REF!,"AAAAAGe939o=")</f>
        <v>#REF!</v>
      </c>
      <c r="HL382" t="e">
        <f>AND(#REF!,"AAAAAGe939s=")</f>
        <v>#REF!</v>
      </c>
      <c r="HM382" t="e">
        <f>AND(#REF!,"AAAAAGe939w=")</f>
        <v>#REF!</v>
      </c>
      <c r="HN382" t="e">
        <f>AND(#REF!,"AAAAAGe9390=")</f>
        <v>#REF!</v>
      </c>
      <c r="HO382" t="e">
        <f>AND(#REF!,"AAAAAGe9394=")</f>
        <v>#REF!</v>
      </c>
      <c r="HP382" t="e">
        <f>AND(#REF!,"AAAAAGe9398=")</f>
        <v>#REF!</v>
      </c>
      <c r="HQ382" t="e">
        <f>IF(#REF!,"AAAAAGe93+A=",0)</f>
        <v>#REF!</v>
      </c>
      <c r="HR382" t="e">
        <f>AND(#REF!,"AAAAAGe93+E=")</f>
        <v>#REF!</v>
      </c>
      <c r="HS382" t="e">
        <f>AND(#REF!,"AAAAAGe93+I=")</f>
        <v>#REF!</v>
      </c>
      <c r="HT382" t="e">
        <f>AND(#REF!,"AAAAAGe93+M=")</f>
        <v>#REF!</v>
      </c>
      <c r="HU382" t="e">
        <f>AND(#REF!,"AAAAAGe93+Q=")</f>
        <v>#REF!</v>
      </c>
      <c r="HV382" t="e">
        <f>AND(#REF!,"AAAAAGe93+U=")</f>
        <v>#REF!</v>
      </c>
      <c r="HW382" t="e">
        <f>AND(#REF!,"AAAAAGe93+Y=")</f>
        <v>#REF!</v>
      </c>
      <c r="HX382" t="e">
        <f>AND(#REF!,"AAAAAGe93+c=")</f>
        <v>#REF!</v>
      </c>
      <c r="HY382" t="e">
        <f>AND(#REF!,"AAAAAGe93+g=")</f>
        <v>#REF!</v>
      </c>
      <c r="HZ382" t="e">
        <f>AND(#REF!,"AAAAAGe93+k=")</f>
        <v>#REF!</v>
      </c>
      <c r="IA382" t="e">
        <f>AND(#REF!,"AAAAAGe93+o=")</f>
        <v>#REF!</v>
      </c>
      <c r="IB382" t="e">
        <f>IF(#REF!,"AAAAAGe93+s=",0)</f>
        <v>#REF!</v>
      </c>
      <c r="IC382" t="e">
        <f>AND(#REF!,"AAAAAGe93+w=")</f>
        <v>#REF!</v>
      </c>
      <c r="ID382" t="e">
        <f>AND(#REF!,"AAAAAGe93+0=")</f>
        <v>#REF!</v>
      </c>
      <c r="IE382" t="e">
        <f>AND(#REF!,"AAAAAGe93+4=")</f>
        <v>#REF!</v>
      </c>
      <c r="IF382" t="e">
        <f>AND(#REF!,"AAAAAGe93+8=")</f>
        <v>#REF!</v>
      </c>
      <c r="IG382" t="e">
        <f>AND(#REF!,"AAAAAGe93/A=")</f>
        <v>#REF!</v>
      </c>
      <c r="IH382" t="e">
        <f>AND(#REF!,"AAAAAGe93/E=")</f>
        <v>#REF!</v>
      </c>
      <c r="II382" t="e">
        <f>AND(#REF!,"AAAAAGe93/I=")</f>
        <v>#REF!</v>
      </c>
      <c r="IJ382" t="e">
        <f>AND(#REF!,"AAAAAGe93/M=")</f>
        <v>#REF!</v>
      </c>
      <c r="IK382" t="e">
        <f>AND(#REF!,"AAAAAGe93/Q=")</f>
        <v>#REF!</v>
      </c>
      <c r="IL382" t="e">
        <f>AND(#REF!,"AAAAAGe93/U=")</f>
        <v>#REF!</v>
      </c>
      <c r="IM382" t="e">
        <f>IF(#REF!,"AAAAAGe93/Y=",0)</f>
        <v>#REF!</v>
      </c>
      <c r="IN382" t="e">
        <f>AND(#REF!,"AAAAAGe93/c=")</f>
        <v>#REF!</v>
      </c>
      <c r="IO382" t="e">
        <f>AND(#REF!,"AAAAAGe93/g=")</f>
        <v>#REF!</v>
      </c>
      <c r="IP382" t="e">
        <f>AND(#REF!,"AAAAAGe93/k=")</f>
        <v>#REF!</v>
      </c>
      <c r="IQ382" t="e">
        <f>AND(#REF!,"AAAAAGe93/o=")</f>
        <v>#REF!</v>
      </c>
      <c r="IR382" t="e">
        <f>AND(#REF!,"AAAAAGe93/s=")</f>
        <v>#REF!</v>
      </c>
      <c r="IS382" t="e">
        <f>AND(#REF!,"AAAAAGe93/w=")</f>
        <v>#REF!</v>
      </c>
      <c r="IT382" t="e">
        <f>AND(#REF!,"AAAAAGe93/0=")</f>
        <v>#REF!</v>
      </c>
      <c r="IU382" t="e">
        <f>AND(#REF!,"AAAAAGe93/4=")</f>
        <v>#REF!</v>
      </c>
      <c r="IV382" t="e">
        <f>AND(#REF!,"AAAAAGe93/8=")</f>
        <v>#REF!</v>
      </c>
    </row>
    <row r="383" spans="1:256" x14ac:dyDescent="0.25">
      <c r="A383" t="e">
        <f>AND(#REF!,"AAAAAH9+6gA=")</f>
        <v>#REF!</v>
      </c>
      <c r="B383" t="e">
        <f>IF(#REF!,"AAAAAH9+6gE=",0)</f>
        <v>#REF!</v>
      </c>
      <c r="C383" t="e">
        <f>AND(#REF!,"AAAAAH9+6gI=")</f>
        <v>#REF!</v>
      </c>
      <c r="D383" t="e">
        <f>AND(#REF!,"AAAAAH9+6gM=")</f>
        <v>#REF!</v>
      </c>
      <c r="E383" t="e">
        <f>AND(#REF!,"AAAAAH9+6gQ=")</f>
        <v>#REF!</v>
      </c>
      <c r="F383" t="e">
        <f>AND(#REF!,"AAAAAH9+6gU=")</f>
        <v>#REF!</v>
      </c>
      <c r="G383" t="e">
        <f>AND(#REF!,"AAAAAH9+6gY=")</f>
        <v>#REF!</v>
      </c>
      <c r="H383" t="e">
        <f>AND(#REF!,"AAAAAH9+6gc=")</f>
        <v>#REF!</v>
      </c>
      <c r="I383" t="e">
        <f>AND(#REF!,"AAAAAH9+6gg=")</f>
        <v>#REF!</v>
      </c>
      <c r="J383" t="e">
        <f>AND(#REF!,"AAAAAH9+6gk=")</f>
        <v>#REF!</v>
      </c>
      <c r="K383" t="e">
        <f>AND(#REF!,"AAAAAH9+6go=")</f>
        <v>#REF!</v>
      </c>
      <c r="L383" t="e">
        <f>AND(#REF!,"AAAAAH9+6gs=")</f>
        <v>#REF!</v>
      </c>
      <c r="M383" t="e">
        <f>IF(#REF!,"AAAAAH9+6gw=",0)</f>
        <v>#REF!</v>
      </c>
      <c r="N383" t="e">
        <f>AND(#REF!,"AAAAAH9+6g0=")</f>
        <v>#REF!</v>
      </c>
      <c r="O383" t="e">
        <f>AND(#REF!,"AAAAAH9+6g4=")</f>
        <v>#REF!</v>
      </c>
      <c r="P383" t="e">
        <f>AND(#REF!,"AAAAAH9+6g8=")</f>
        <v>#REF!</v>
      </c>
      <c r="Q383" t="e">
        <f>AND(#REF!,"AAAAAH9+6hA=")</f>
        <v>#REF!</v>
      </c>
      <c r="R383" t="e">
        <f>AND(#REF!,"AAAAAH9+6hE=")</f>
        <v>#REF!</v>
      </c>
      <c r="S383" t="e">
        <f>AND(#REF!,"AAAAAH9+6hI=")</f>
        <v>#REF!</v>
      </c>
      <c r="T383" t="e">
        <f>AND(#REF!,"AAAAAH9+6hM=")</f>
        <v>#REF!</v>
      </c>
      <c r="U383" t="e">
        <f>AND(#REF!,"AAAAAH9+6hQ=")</f>
        <v>#REF!</v>
      </c>
      <c r="V383" t="e">
        <f>AND(#REF!,"AAAAAH9+6hU=")</f>
        <v>#REF!</v>
      </c>
      <c r="W383" t="e">
        <f>AND(#REF!,"AAAAAH9+6hY=")</f>
        <v>#REF!</v>
      </c>
      <c r="X383" t="e">
        <f>IF(#REF!,"AAAAAH9+6hc=",0)</f>
        <v>#REF!</v>
      </c>
      <c r="Y383" t="e">
        <f>AND(#REF!,"AAAAAH9+6hg=")</f>
        <v>#REF!</v>
      </c>
      <c r="Z383" t="e">
        <f>AND(#REF!,"AAAAAH9+6hk=")</f>
        <v>#REF!</v>
      </c>
      <c r="AA383" t="e">
        <f>AND(#REF!,"AAAAAH9+6ho=")</f>
        <v>#REF!</v>
      </c>
      <c r="AB383" t="e">
        <f>AND(#REF!,"AAAAAH9+6hs=")</f>
        <v>#REF!</v>
      </c>
      <c r="AC383" t="e">
        <f>AND(#REF!,"AAAAAH9+6hw=")</f>
        <v>#REF!</v>
      </c>
      <c r="AD383" t="e">
        <f>AND(#REF!,"AAAAAH9+6h0=")</f>
        <v>#REF!</v>
      </c>
      <c r="AE383" t="e">
        <f>AND(#REF!,"AAAAAH9+6h4=")</f>
        <v>#REF!</v>
      </c>
      <c r="AF383" t="e">
        <f>AND(#REF!,"AAAAAH9+6h8=")</f>
        <v>#REF!</v>
      </c>
      <c r="AG383" t="e">
        <f>AND(#REF!,"AAAAAH9+6iA=")</f>
        <v>#REF!</v>
      </c>
      <c r="AH383" t="e">
        <f>AND(#REF!,"AAAAAH9+6iE=")</f>
        <v>#REF!</v>
      </c>
      <c r="AI383" t="e">
        <f>IF(#REF!,"AAAAAH9+6iI=",0)</f>
        <v>#REF!</v>
      </c>
      <c r="AJ383" t="e">
        <f>AND(#REF!,"AAAAAH9+6iM=")</f>
        <v>#REF!</v>
      </c>
      <c r="AK383" t="e">
        <f>AND(#REF!,"AAAAAH9+6iQ=")</f>
        <v>#REF!</v>
      </c>
      <c r="AL383" t="e">
        <f>AND(#REF!,"AAAAAH9+6iU=")</f>
        <v>#REF!</v>
      </c>
      <c r="AM383" t="e">
        <f>AND(#REF!,"AAAAAH9+6iY=")</f>
        <v>#REF!</v>
      </c>
      <c r="AN383" t="e">
        <f>AND(#REF!,"AAAAAH9+6ic=")</f>
        <v>#REF!</v>
      </c>
      <c r="AO383" t="e">
        <f>AND(#REF!,"AAAAAH9+6ig=")</f>
        <v>#REF!</v>
      </c>
      <c r="AP383" t="e">
        <f>AND(#REF!,"AAAAAH9+6ik=")</f>
        <v>#REF!</v>
      </c>
      <c r="AQ383" t="e">
        <f>AND(#REF!,"AAAAAH9+6io=")</f>
        <v>#REF!</v>
      </c>
      <c r="AR383" t="e">
        <f>AND(#REF!,"AAAAAH9+6is=")</f>
        <v>#REF!</v>
      </c>
      <c r="AS383" t="e">
        <f>AND(#REF!,"AAAAAH9+6iw=")</f>
        <v>#REF!</v>
      </c>
      <c r="AT383" t="e">
        <f>IF(#REF!,"AAAAAH9+6i0=",0)</f>
        <v>#REF!</v>
      </c>
      <c r="AU383" t="e">
        <f>AND(#REF!,"AAAAAH9+6i4=")</f>
        <v>#REF!</v>
      </c>
      <c r="AV383" t="e">
        <f>AND(#REF!,"AAAAAH9+6i8=")</f>
        <v>#REF!</v>
      </c>
      <c r="AW383" t="e">
        <f>AND(#REF!,"AAAAAH9+6jA=")</f>
        <v>#REF!</v>
      </c>
      <c r="AX383" t="e">
        <f>AND(#REF!,"AAAAAH9+6jE=")</f>
        <v>#REF!</v>
      </c>
      <c r="AY383" t="e">
        <f>AND(#REF!,"AAAAAH9+6jI=")</f>
        <v>#REF!</v>
      </c>
      <c r="AZ383" t="e">
        <f>AND(#REF!,"AAAAAH9+6jM=")</f>
        <v>#REF!</v>
      </c>
      <c r="BA383" t="e">
        <f>AND(#REF!,"AAAAAH9+6jQ=")</f>
        <v>#REF!</v>
      </c>
      <c r="BB383" t="e">
        <f>AND(#REF!,"AAAAAH9+6jU=")</f>
        <v>#REF!</v>
      </c>
      <c r="BC383" t="e">
        <f>AND(#REF!,"AAAAAH9+6jY=")</f>
        <v>#REF!</v>
      </c>
      <c r="BD383" t="e">
        <f>AND(#REF!,"AAAAAH9+6jc=")</f>
        <v>#REF!</v>
      </c>
      <c r="BE383" t="e">
        <f>IF(#REF!,"AAAAAH9+6jg=",0)</f>
        <v>#REF!</v>
      </c>
      <c r="BF383" t="e">
        <f>AND(#REF!,"AAAAAH9+6jk=")</f>
        <v>#REF!</v>
      </c>
      <c r="BG383" t="e">
        <f>AND(#REF!,"AAAAAH9+6jo=")</f>
        <v>#REF!</v>
      </c>
      <c r="BH383" t="e">
        <f>AND(#REF!,"AAAAAH9+6js=")</f>
        <v>#REF!</v>
      </c>
      <c r="BI383" t="e">
        <f>AND(#REF!,"AAAAAH9+6jw=")</f>
        <v>#REF!</v>
      </c>
      <c r="BJ383" t="e">
        <f>AND(#REF!,"AAAAAH9+6j0=")</f>
        <v>#REF!</v>
      </c>
      <c r="BK383" t="e">
        <f>AND(#REF!,"AAAAAH9+6j4=")</f>
        <v>#REF!</v>
      </c>
      <c r="BL383" t="e">
        <f>AND(#REF!,"AAAAAH9+6j8=")</f>
        <v>#REF!</v>
      </c>
      <c r="BM383" t="e">
        <f>AND(#REF!,"AAAAAH9+6kA=")</f>
        <v>#REF!</v>
      </c>
      <c r="BN383" t="e">
        <f>AND(#REF!,"AAAAAH9+6kE=")</f>
        <v>#REF!</v>
      </c>
      <c r="BO383" t="e">
        <f>AND(#REF!,"AAAAAH9+6kI=")</f>
        <v>#REF!</v>
      </c>
      <c r="BP383" t="e">
        <f>IF(#REF!,"AAAAAH9+6kM=",0)</f>
        <v>#REF!</v>
      </c>
      <c r="BQ383" t="e">
        <f>AND(#REF!,"AAAAAH9+6kQ=")</f>
        <v>#REF!</v>
      </c>
      <c r="BR383" t="e">
        <f>AND(#REF!,"AAAAAH9+6kU=")</f>
        <v>#REF!</v>
      </c>
      <c r="BS383" t="e">
        <f>AND(#REF!,"AAAAAH9+6kY=")</f>
        <v>#REF!</v>
      </c>
      <c r="BT383" t="e">
        <f>AND(#REF!,"AAAAAH9+6kc=")</f>
        <v>#REF!</v>
      </c>
      <c r="BU383" t="e">
        <f>AND(#REF!,"AAAAAH9+6kg=")</f>
        <v>#REF!</v>
      </c>
      <c r="BV383" t="e">
        <f>AND(#REF!,"AAAAAH9+6kk=")</f>
        <v>#REF!</v>
      </c>
      <c r="BW383" t="e">
        <f>AND(#REF!,"AAAAAH9+6ko=")</f>
        <v>#REF!</v>
      </c>
      <c r="BX383" t="e">
        <f>AND(#REF!,"AAAAAH9+6ks=")</f>
        <v>#REF!</v>
      </c>
      <c r="BY383" t="e">
        <f>AND(#REF!,"AAAAAH9+6kw=")</f>
        <v>#REF!</v>
      </c>
      <c r="BZ383" t="e">
        <f>AND(#REF!,"AAAAAH9+6k0=")</f>
        <v>#REF!</v>
      </c>
      <c r="CA383" t="e">
        <f>IF(#REF!,"AAAAAH9+6k4=",0)</f>
        <v>#REF!</v>
      </c>
      <c r="CB383" t="e">
        <f>AND(#REF!,"AAAAAH9+6k8=")</f>
        <v>#REF!</v>
      </c>
      <c r="CC383" t="e">
        <f>AND(#REF!,"AAAAAH9+6lA=")</f>
        <v>#REF!</v>
      </c>
      <c r="CD383" t="e">
        <f>AND(#REF!,"AAAAAH9+6lE=")</f>
        <v>#REF!</v>
      </c>
      <c r="CE383" t="e">
        <f>AND(#REF!,"AAAAAH9+6lI=")</f>
        <v>#REF!</v>
      </c>
      <c r="CF383" t="e">
        <f>AND(#REF!,"AAAAAH9+6lM=")</f>
        <v>#REF!</v>
      </c>
      <c r="CG383" t="e">
        <f>AND(#REF!,"AAAAAH9+6lQ=")</f>
        <v>#REF!</v>
      </c>
      <c r="CH383" t="e">
        <f>AND(#REF!,"AAAAAH9+6lU=")</f>
        <v>#REF!</v>
      </c>
      <c r="CI383" t="e">
        <f>AND(#REF!,"AAAAAH9+6lY=")</f>
        <v>#REF!</v>
      </c>
      <c r="CJ383" t="e">
        <f>AND(#REF!,"AAAAAH9+6lc=")</f>
        <v>#REF!</v>
      </c>
      <c r="CK383" t="e">
        <f>AND(#REF!,"AAAAAH9+6lg=")</f>
        <v>#REF!</v>
      </c>
      <c r="CL383" t="e">
        <f>IF(#REF!,"AAAAAH9+6lk=",0)</f>
        <v>#REF!</v>
      </c>
      <c r="CM383" t="e">
        <f>AND(#REF!,"AAAAAH9+6lo=")</f>
        <v>#REF!</v>
      </c>
      <c r="CN383" t="e">
        <f>AND(#REF!,"AAAAAH9+6ls=")</f>
        <v>#REF!</v>
      </c>
      <c r="CO383" t="e">
        <f>AND(#REF!,"AAAAAH9+6lw=")</f>
        <v>#REF!</v>
      </c>
      <c r="CP383" t="e">
        <f>AND(#REF!,"AAAAAH9+6l0=")</f>
        <v>#REF!</v>
      </c>
      <c r="CQ383" t="e">
        <f>AND(#REF!,"AAAAAH9+6l4=")</f>
        <v>#REF!</v>
      </c>
      <c r="CR383" t="e">
        <f>AND(#REF!,"AAAAAH9+6l8=")</f>
        <v>#REF!</v>
      </c>
      <c r="CS383" t="e">
        <f>AND(#REF!,"AAAAAH9+6mA=")</f>
        <v>#REF!</v>
      </c>
      <c r="CT383" t="e">
        <f>AND(#REF!,"AAAAAH9+6mE=")</f>
        <v>#REF!</v>
      </c>
      <c r="CU383" t="e">
        <f>AND(#REF!,"AAAAAH9+6mI=")</f>
        <v>#REF!</v>
      </c>
      <c r="CV383" t="e">
        <f>AND(#REF!,"AAAAAH9+6mM=")</f>
        <v>#REF!</v>
      </c>
      <c r="CW383" t="e">
        <f>IF(#REF!,"AAAAAH9+6mQ=",0)</f>
        <v>#REF!</v>
      </c>
      <c r="CX383" t="e">
        <f>AND(#REF!,"AAAAAH9+6mU=")</f>
        <v>#REF!</v>
      </c>
      <c r="CY383" t="e">
        <f>AND(#REF!,"AAAAAH9+6mY=")</f>
        <v>#REF!</v>
      </c>
      <c r="CZ383" t="e">
        <f>AND(#REF!,"AAAAAH9+6mc=")</f>
        <v>#REF!</v>
      </c>
      <c r="DA383" t="e">
        <f>AND(#REF!,"AAAAAH9+6mg=")</f>
        <v>#REF!</v>
      </c>
      <c r="DB383" t="e">
        <f>AND(#REF!,"AAAAAH9+6mk=")</f>
        <v>#REF!</v>
      </c>
      <c r="DC383" t="e">
        <f>AND(#REF!,"AAAAAH9+6mo=")</f>
        <v>#REF!</v>
      </c>
      <c r="DD383" t="e">
        <f>AND(#REF!,"AAAAAH9+6ms=")</f>
        <v>#REF!</v>
      </c>
      <c r="DE383" t="e">
        <f>AND(#REF!,"AAAAAH9+6mw=")</f>
        <v>#REF!</v>
      </c>
      <c r="DF383" t="e">
        <f>AND(#REF!,"AAAAAH9+6m0=")</f>
        <v>#REF!</v>
      </c>
      <c r="DG383" t="e">
        <f>AND(#REF!,"AAAAAH9+6m4=")</f>
        <v>#REF!</v>
      </c>
      <c r="DH383" t="e">
        <f>IF(#REF!,"AAAAAH9+6m8=",0)</f>
        <v>#REF!</v>
      </c>
      <c r="DI383" t="e">
        <f>AND(#REF!,"AAAAAH9+6nA=")</f>
        <v>#REF!</v>
      </c>
      <c r="DJ383" t="e">
        <f>AND(#REF!,"AAAAAH9+6nE=")</f>
        <v>#REF!</v>
      </c>
      <c r="DK383" t="e">
        <f>AND(#REF!,"AAAAAH9+6nI=")</f>
        <v>#REF!</v>
      </c>
      <c r="DL383" t="e">
        <f>AND(#REF!,"AAAAAH9+6nM=")</f>
        <v>#REF!</v>
      </c>
      <c r="DM383" t="e">
        <f>AND(#REF!,"AAAAAH9+6nQ=")</f>
        <v>#REF!</v>
      </c>
      <c r="DN383" t="e">
        <f>AND(#REF!,"AAAAAH9+6nU=")</f>
        <v>#REF!</v>
      </c>
      <c r="DO383" t="e">
        <f>AND(#REF!,"AAAAAH9+6nY=")</f>
        <v>#REF!</v>
      </c>
      <c r="DP383" t="e">
        <f>AND(#REF!,"AAAAAH9+6nc=")</f>
        <v>#REF!</v>
      </c>
      <c r="DQ383" t="e">
        <f>AND(#REF!,"AAAAAH9+6ng=")</f>
        <v>#REF!</v>
      </c>
      <c r="DR383" t="e">
        <f>AND(#REF!,"AAAAAH9+6nk=")</f>
        <v>#REF!</v>
      </c>
      <c r="DS383" t="e">
        <f>IF(#REF!,"AAAAAH9+6no=",0)</f>
        <v>#REF!</v>
      </c>
      <c r="DT383" t="e">
        <f>AND(#REF!,"AAAAAH9+6ns=")</f>
        <v>#REF!</v>
      </c>
      <c r="DU383" t="e">
        <f>AND(#REF!,"AAAAAH9+6nw=")</f>
        <v>#REF!</v>
      </c>
      <c r="DV383" t="e">
        <f>AND(#REF!,"AAAAAH9+6n0=")</f>
        <v>#REF!</v>
      </c>
      <c r="DW383" t="e">
        <f>AND(#REF!,"AAAAAH9+6n4=")</f>
        <v>#REF!</v>
      </c>
      <c r="DX383" t="e">
        <f>AND(#REF!,"AAAAAH9+6n8=")</f>
        <v>#REF!</v>
      </c>
      <c r="DY383" t="e">
        <f>AND(#REF!,"AAAAAH9+6oA=")</f>
        <v>#REF!</v>
      </c>
      <c r="DZ383" t="e">
        <f>AND(#REF!,"AAAAAH9+6oE=")</f>
        <v>#REF!</v>
      </c>
      <c r="EA383" t="e">
        <f>AND(#REF!,"AAAAAH9+6oI=")</f>
        <v>#REF!</v>
      </c>
      <c r="EB383" t="e">
        <f>AND(#REF!,"AAAAAH9+6oM=")</f>
        <v>#REF!</v>
      </c>
      <c r="EC383" t="e">
        <f>AND(#REF!,"AAAAAH9+6oQ=")</f>
        <v>#REF!</v>
      </c>
      <c r="ED383" t="e">
        <f>IF(#REF!,"AAAAAH9+6oU=",0)</f>
        <v>#REF!</v>
      </c>
      <c r="EE383" t="e">
        <f>AND(#REF!,"AAAAAH9+6oY=")</f>
        <v>#REF!</v>
      </c>
      <c r="EF383" t="e">
        <f>AND(#REF!,"AAAAAH9+6oc=")</f>
        <v>#REF!</v>
      </c>
      <c r="EG383" t="e">
        <f>AND(#REF!,"AAAAAH9+6og=")</f>
        <v>#REF!</v>
      </c>
      <c r="EH383" t="e">
        <f>AND(#REF!,"AAAAAH9+6ok=")</f>
        <v>#REF!</v>
      </c>
      <c r="EI383" t="e">
        <f>AND(#REF!,"AAAAAH9+6oo=")</f>
        <v>#REF!</v>
      </c>
      <c r="EJ383" t="e">
        <f>AND(#REF!,"AAAAAH9+6os=")</f>
        <v>#REF!</v>
      </c>
      <c r="EK383" t="e">
        <f>AND(#REF!,"AAAAAH9+6ow=")</f>
        <v>#REF!</v>
      </c>
      <c r="EL383" t="e">
        <f>AND(#REF!,"AAAAAH9+6o0=")</f>
        <v>#REF!</v>
      </c>
      <c r="EM383" t="e">
        <f>AND(#REF!,"AAAAAH9+6o4=")</f>
        <v>#REF!</v>
      </c>
      <c r="EN383" t="e">
        <f>AND(#REF!,"AAAAAH9+6o8=")</f>
        <v>#REF!</v>
      </c>
      <c r="EO383" t="e">
        <f>IF(#REF!,"AAAAAH9+6pA=",0)</f>
        <v>#REF!</v>
      </c>
      <c r="EP383" t="e">
        <f>AND(#REF!,"AAAAAH9+6pE=")</f>
        <v>#REF!</v>
      </c>
      <c r="EQ383" t="e">
        <f>AND(#REF!,"AAAAAH9+6pI=")</f>
        <v>#REF!</v>
      </c>
      <c r="ER383" t="e">
        <f>AND(#REF!,"AAAAAH9+6pM=")</f>
        <v>#REF!</v>
      </c>
      <c r="ES383" t="e">
        <f>AND(#REF!,"AAAAAH9+6pQ=")</f>
        <v>#REF!</v>
      </c>
      <c r="ET383" t="e">
        <f>AND(#REF!,"AAAAAH9+6pU=")</f>
        <v>#REF!</v>
      </c>
      <c r="EU383" t="e">
        <f>AND(#REF!,"AAAAAH9+6pY=")</f>
        <v>#REF!</v>
      </c>
      <c r="EV383" t="e">
        <f>AND(#REF!,"AAAAAH9+6pc=")</f>
        <v>#REF!</v>
      </c>
      <c r="EW383" t="e">
        <f>AND(#REF!,"AAAAAH9+6pg=")</f>
        <v>#REF!</v>
      </c>
      <c r="EX383" t="e">
        <f>AND(#REF!,"AAAAAH9+6pk=")</f>
        <v>#REF!</v>
      </c>
      <c r="EY383" t="e">
        <f>AND(#REF!,"AAAAAH9+6po=")</f>
        <v>#REF!</v>
      </c>
      <c r="EZ383" t="e">
        <f>IF(#REF!,"AAAAAH9+6ps=",0)</f>
        <v>#REF!</v>
      </c>
      <c r="FA383" t="e">
        <f>AND(#REF!,"AAAAAH9+6pw=")</f>
        <v>#REF!</v>
      </c>
      <c r="FB383" t="e">
        <f>AND(#REF!,"AAAAAH9+6p0=")</f>
        <v>#REF!</v>
      </c>
      <c r="FC383" t="e">
        <f>AND(#REF!,"AAAAAH9+6p4=")</f>
        <v>#REF!</v>
      </c>
      <c r="FD383" t="e">
        <f>AND(#REF!,"AAAAAH9+6p8=")</f>
        <v>#REF!</v>
      </c>
      <c r="FE383" t="e">
        <f>AND(#REF!,"AAAAAH9+6qA=")</f>
        <v>#REF!</v>
      </c>
      <c r="FF383" t="e">
        <f>AND(#REF!,"AAAAAH9+6qE=")</f>
        <v>#REF!</v>
      </c>
      <c r="FG383" t="e">
        <f>AND(#REF!,"AAAAAH9+6qI=")</f>
        <v>#REF!</v>
      </c>
      <c r="FH383" t="e">
        <f>AND(#REF!,"AAAAAH9+6qM=")</f>
        <v>#REF!</v>
      </c>
      <c r="FI383" t="e">
        <f>AND(#REF!,"AAAAAH9+6qQ=")</f>
        <v>#REF!</v>
      </c>
      <c r="FJ383" t="e">
        <f>AND(#REF!,"AAAAAH9+6qU=")</f>
        <v>#REF!</v>
      </c>
      <c r="FK383" t="e">
        <f>IF(#REF!,"AAAAAH9+6qY=",0)</f>
        <v>#REF!</v>
      </c>
      <c r="FL383" t="e">
        <f>AND(#REF!,"AAAAAH9+6qc=")</f>
        <v>#REF!</v>
      </c>
      <c r="FM383" t="e">
        <f>AND(#REF!,"AAAAAH9+6qg=")</f>
        <v>#REF!</v>
      </c>
      <c r="FN383" t="e">
        <f>AND(#REF!,"AAAAAH9+6qk=")</f>
        <v>#REF!</v>
      </c>
      <c r="FO383" t="e">
        <f>AND(#REF!,"AAAAAH9+6qo=")</f>
        <v>#REF!</v>
      </c>
      <c r="FP383" t="e">
        <f>AND(#REF!,"AAAAAH9+6qs=")</f>
        <v>#REF!</v>
      </c>
      <c r="FQ383" t="e">
        <f>AND(#REF!,"AAAAAH9+6qw=")</f>
        <v>#REF!</v>
      </c>
      <c r="FR383" t="e">
        <f>AND(#REF!,"AAAAAH9+6q0=")</f>
        <v>#REF!</v>
      </c>
      <c r="FS383" t="e">
        <f>AND(#REF!,"AAAAAH9+6q4=")</f>
        <v>#REF!</v>
      </c>
      <c r="FT383" t="e">
        <f>AND(#REF!,"AAAAAH9+6q8=")</f>
        <v>#REF!</v>
      </c>
      <c r="FU383" t="e">
        <f>AND(#REF!,"AAAAAH9+6rA=")</f>
        <v>#REF!</v>
      </c>
      <c r="FV383" t="e">
        <f>IF(#REF!,"AAAAAH9+6rE=",0)</f>
        <v>#REF!</v>
      </c>
      <c r="FW383" t="e">
        <f>AND(#REF!,"AAAAAH9+6rI=")</f>
        <v>#REF!</v>
      </c>
      <c r="FX383" t="e">
        <f>AND(#REF!,"AAAAAH9+6rM=")</f>
        <v>#REF!</v>
      </c>
      <c r="FY383" t="e">
        <f>AND(#REF!,"AAAAAH9+6rQ=")</f>
        <v>#REF!</v>
      </c>
      <c r="FZ383" t="e">
        <f>AND(#REF!,"AAAAAH9+6rU=")</f>
        <v>#REF!</v>
      </c>
      <c r="GA383" t="e">
        <f>AND(#REF!,"AAAAAH9+6rY=")</f>
        <v>#REF!</v>
      </c>
      <c r="GB383" t="e">
        <f>AND(#REF!,"AAAAAH9+6rc=")</f>
        <v>#REF!</v>
      </c>
      <c r="GC383" t="e">
        <f>AND(#REF!,"AAAAAH9+6rg=")</f>
        <v>#REF!</v>
      </c>
      <c r="GD383" t="e">
        <f>AND(#REF!,"AAAAAH9+6rk=")</f>
        <v>#REF!</v>
      </c>
      <c r="GE383" t="e">
        <f>AND(#REF!,"AAAAAH9+6ro=")</f>
        <v>#REF!</v>
      </c>
      <c r="GF383" t="e">
        <f>AND(#REF!,"AAAAAH9+6rs=")</f>
        <v>#REF!</v>
      </c>
      <c r="GG383" t="e">
        <f>IF(#REF!,"AAAAAH9+6rw=",0)</f>
        <v>#REF!</v>
      </c>
      <c r="GH383" t="e">
        <f>AND(#REF!,"AAAAAH9+6r0=")</f>
        <v>#REF!</v>
      </c>
      <c r="GI383" t="e">
        <f>AND(#REF!,"AAAAAH9+6r4=")</f>
        <v>#REF!</v>
      </c>
      <c r="GJ383" t="e">
        <f>AND(#REF!,"AAAAAH9+6r8=")</f>
        <v>#REF!</v>
      </c>
      <c r="GK383" t="e">
        <f>AND(#REF!,"AAAAAH9+6sA=")</f>
        <v>#REF!</v>
      </c>
      <c r="GL383" t="e">
        <f>AND(#REF!,"AAAAAH9+6sE=")</f>
        <v>#REF!</v>
      </c>
      <c r="GM383" t="e">
        <f>AND(#REF!,"AAAAAH9+6sI=")</f>
        <v>#REF!</v>
      </c>
      <c r="GN383" t="e">
        <f>AND(#REF!,"AAAAAH9+6sM=")</f>
        <v>#REF!</v>
      </c>
      <c r="GO383" t="e">
        <f>AND(#REF!,"AAAAAH9+6sQ=")</f>
        <v>#REF!</v>
      </c>
      <c r="GP383" t="e">
        <f>AND(#REF!,"AAAAAH9+6sU=")</f>
        <v>#REF!</v>
      </c>
      <c r="GQ383" t="e">
        <f>AND(#REF!,"AAAAAH9+6sY=")</f>
        <v>#REF!</v>
      </c>
      <c r="GR383" t="e">
        <f>IF(#REF!,"AAAAAH9+6sc=",0)</f>
        <v>#REF!</v>
      </c>
      <c r="GS383" t="e">
        <f>AND(#REF!,"AAAAAH9+6sg=")</f>
        <v>#REF!</v>
      </c>
      <c r="GT383" t="e">
        <f>AND(#REF!,"AAAAAH9+6sk=")</f>
        <v>#REF!</v>
      </c>
      <c r="GU383" t="e">
        <f>AND(#REF!,"AAAAAH9+6so=")</f>
        <v>#REF!</v>
      </c>
      <c r="GV383" t="e">
        <f>AND(#REF!,"AAAAAH9+6ss=")</f>
        <v>#REF!</v>
      </c>
      <c r="GW383" t="e">
        <f>AND(#REF!,"AAAAAH9+6sw=")</f>
        <v>#REF!</v>
      </c>
      <c r="GX383" t="e">
        <f>AND(#REF!,"AAAAAH9+6s0=")</f>
        <v>#REF!</v>
      </c>
      <c r="GY383" t="e">
        <f>AND(#REF!,"AAAAAH9+6s4=")</f>
        <v>#REF!</v>
      </c>
      <c r="GZ383" t="e">
        <f>AND(#REF!,"AAAAAH9+6s8=")</f>
        <v>#REF!</v>
      </c>
      <c r="HA383" t="e">
        <f>AND(#REF!,"AAAAAH9+6tA=")</f>
        <v>#REF!</v>
      </c>
      <c r="HB383" t="e">
        <f>AND(#REF!,"AAAAAH9+6tE=")</f>
        <v>#REF!</v>
      </c>
      <c r="HC383" t="e">
        <f>IF(#REF!,"AAAAAH9+6tI=",0)</f>
        <v>#REF!</v>
      </c>
      <c r="HD383" t="e">
        <f>AND(#REF!,"AAAAAH9+6tM=")</f>
        <v>#REF!</v>
      </c>
      <c r="HE383" t="e">
        <f>AND(#REF!,"AAAAAH9+6tQ=")</f>
        <v>#REF!</v>
      </c>
      <c r="HF383" t="e">
        <f>AND(#REF!,"AAAAAH9+6tU=")</f>
        <v>#REF!</v>
      </c>
      <c r="HG383" t="e">
        <f>AND(#REF!,"AAAAAH9+6tY=")</f>
        <v>#REF!</v>
      </c>
      <c r="HH383" t="e">
        <f>AND(#REF!,"AAAAAH9+6tc=")</f>
        <v>#REF!</v>
      </c>
      <c r="HI383" t="e">
        <f>AND(#REF!,"AAAAAH9+6tg=")</f>
        <v>#REF!</v>
      </c>
      <c r="HJ383" t="e">
        <f>AND(#REF!,"AAAAAH9+6tk=")</f>
        <v>#REF!</v>
      </c>
      <c r="HK383" t="e">
        <f>AND(#REF!,"AAAAAH9+6to=")</f>
        <v>#REF!</v>
      </c>
      <c r="HL383" t="e">
        <f>AND(#REF!,"AAAAAH9+6ts=")</f>
        <v>#REF!</v>
      </c>
      <c r="HM383" t="e">
        <f>AND(#REF!,"AAAAAH9+6tw=")</f>
        <v>#REF!</v>
      </c>
      <c r="HN383" t="e">
        <f>IF(#REF!,"AAAAAH9+6t0=",0)</f>
        <v>#REF!</v>
      </c>
      <c r="HO383" t="e">
        <f>AND(#REF!,"AAAAAH9+6t4=")</f>
        <v>#REF!</v>
      </c>
      <c r="HP383" t="e">
        <f>AND(#REF!,"AAAAAH9+6t8=")</f>
        <v>#REF!</v>
      </c>
      <c r="HQ383" t="e">
        <f>AND(#REF!,"AAAAAH9+6uA=")</f>
        <v>#REF!</v>
      </c>
      <c r="HR383" t="e">
        <f>AND(#REF!,"AAAAAH9+6uE=")</f>
        <v>#REF!</v>
      </c>
      <c r="HS383" t="e">
        <f>AND(#REF!,"AAAAAH9+6uI=")</f>
        <v>#REF!</v>
      </c>
      <c r="HT383" t="e">
        <f>AND(#REF!,"AAAAAH9+6uM=")</f>
        <v>#REF!</v>
      </c>
      <c r="HU383" t="e">
        <f>AND(#REF!,"AAAAAH9+6uQ=")</f>
        <v>#REF!</v>
      </c>
      <c r="HV383" t="e">
        <f>AND(#REF!,"AAAAAH9+6uU=")</f>
        <v>#REF!</v>
      </c>
      <c r="HW383" t="e">
        <f>AND(#REF!,"AAAAAH9+6uY=")</f>
        <v>#REF!</v>
      </c>
      <c r="HX383" t="e">
        <f>AND(#REF!,"AAAAAH9+6uc=")</f>
        <v>#REF!</v>
      </c>
      <c r="HY383" t="e">
        <f>IF(#REF!,"AAAAAH9+6ug=",0)</f>
        <v>#REF!</v>
      </c>
      <c r="HZ383" t="e">
        <f>AND(#REF!,"AAAAAH9+6uk=")</f>
        <v>#REF!</v>
      </c>
      <c r="IA383" t="e">
        <f>AND(#REF!,"AAAAAH9+6uo=")</f>
        <v>#REF!</v>
      </c>
      <c r="IB383" t="e">
        <f>AND(#REF!,"AAAAAH9+6us=")</f>
        <v>#REF!</v>
      </c>
      <c r="IC383" t="e">
        <f>AND(#REF!,"AAAAAH9+6uw=")</f>
        <v>#REF!</v>
      </c>
      <c r="ID383" t="e">
        <f>AND(#REF!,"AAAAAH9+6u0=")</f>
        <v>#REF!</v>
      </c>
      <c r="IE383" t="e">
        <f>AND(#REF!,"AAAAAH9+6u4=")</f>
        <v>#REF!</v>
      </c>
      <c r="IF383" t="e">
        <f>AND(#REF!,"AAAAAH9+6u8=")</f>
        <v>#REF!</v>
      </c>
      <c r="IG383" t="e">
        <f>AND(#REF!,"AAAAAH9+6vA=")</f>
        <v>#REF!</v>
      </c>
      <c r="IH383" t="e">
        <f>AND(#REF!,"AAAAAH9+6vE=")</f>
        <v>#REF!</v>
      </c>
      <c r="II383" t="e">
        <f>AND(#REF!,"AAAAAH9+6vI=")</f>
        <v>#REF!</v>
      </c>
      <c r="IJ383" t="e">
        <f>IF(#REF!,"AAAAAH9+6vM=",0)</f>
        <v>#REF!</v>
      </c>
      <c r="IK383" t="e">
        <f>AND(#REF!,"AAAAAH9+6vQ=")</f>
        <v>#REF!</v>
      </c>
      <c r="IL383" t="e">
        <f>AND(#REF!,"AAAAAH9+6vU=")</f>
        <v>#REF!</v>
      </c>
      <c r="IM383" t="e">
        <f>AND(#REF!,"AAAAAH9+6vY=")</f>
        <v>#REF!</v>
      </c>
      <c r="IN383" t="e">
        <f>AND(#REF!,"AAAAAH9+6vc=")</f>
        <v>#REF!</v>
      </c>
      <c r="IO383" t="e">
        <f>AND(#REF!,"AAAAAH9+6vg=")</f>
        <v>#REF!</v>
      </c>
      <c r="IP383" t="e">
        <f>AND(#REF!,"AAAAAH9+6vk=")</f>
        <v>#REF!</v>
      </c>
      <c r="IQ383" t="e">
        <f>AND(#REF!,"AAAAAH9+6vo=")</f>
        <v>#REF!</v>
      </c>
      <c r="IR383" t="e">
        <f>AND(#REF!,"AAAAAH9+6vs=")</f>
        <v>#REF!</v>
      </c>
      <c r="IS383" t="e">
        <f>AND(#REF!,"AAAAAH9+6vw=")</f>
        <v>#REF!</v>
      </c>
      <c r="IT383" t="e">
        <f>AND(#REF!,"AAAAAH9+6v0=")</f>
        <v>#REF!</v>
      </c>
      <c r="IU383" t="e">
        <f>IF(#REF!,"AAAAAH9+6v4=",0)</f>
        <v>#REF!</v>
      </c>
      <c r="IV383" t="e">
        <f>AND(#REF!,"AAAAAH9+6v8=")</f>
        <v>#REF!</v>
      </c>
    </row>
    <row r="384" spans="1:256" x14ac:dyDescent="0.25">
      <c r="A384" t="e">
        <f>AND(#REF!,"AAAAAG7/+gA=")</f>
        <v>#REF!</v>
      </c>
      <c r="B384" t="e">
        <f>AND(#REF!,"AAAAAG7/+gE=")</f>
        <v>#REF!</v>
      </c>
      <c r="C384" t="e">
        <f>AND(#REF!,"AAAAAG7/+gI=")</f>
        <v>#REF!</v>
      </c>
      <c r="D384" t="e">
        <f>AND(#REF!,"AAAAAG7/+gM=")</f>
        <v>#REF!</v>
      </c>
      <c r="E384" t="e">
        <f>AND(#REF!,"AAAAAG7/+gQ=")</f>
        <v>#REF!</v>
      </c>
      <c r="F384" t="e">
        <f>AND(#REF!,"AAAAAG7/+gU=")</f>
        <v>#REF!</v>
      </c>
      <c r="G384" t="e">
        <f>AND(#REF!,"AAAAAG7/+gY=")</f>
        <v>#REF!</v>
      </c>
      <c r="H384" t="e">
        <f>AND(#REF!,"AAAAAG7/+gc=")</f>
        <v>#REF!</v>
      </c>
      <c r="I384" t="e">
        <f>AND(#REF!,"AAAAAG7/+gg=")</f>
        <v>#REF!</v>
      </c>
      <c r="J384" t="e">
        <f>IF(#REF!,"AAAAAG7/+gk=",0)</f>
        <v>#REF!</v>
      </c>
      <c r="K384" t="e">
        <f>AND(#REF!,"AAAAAG7/+go=")</f>
        <v>#REF!</v>
      </c>
      <c r="L384" t="e">
        <f>AND(#REF!,"AAAAAG7/+gs=")</f>
        <v>#REF!</v>
      </c>
      <c r="M384" t="e">
        <f>AND(#REF!,"AAAAAG7/+gw=")</f>
        <v>#REF!</v>
      </c>
      <c r="N384" t="e">
        <f>AND(#REF!,"AAAAAG7/+g0=")</f>
        <v>#REF!</v>
      </c>
      <c r="O384" t="e">
        <f>AND(#REF!,"AAAAAG7/+g4=")</f>
        <v>#REF!</v>
      </c>
      <c r="P384" t="e">
        <f>AND(#REF!,"AAAAAG7/+g8=")</f>
        <v>#REF!</v>
      </c>
      <c r="Q384" t="e">
        <f>AND(#REF!,"AAAAAG7/+hA=")</f>
        <v>#REF!</v>
      </c>
      <c r="R384" t="e">
        <f>AND(#REF!,"AAAAAG7/+hE=")</f>
        <v>#REF!</v>
      </c>
      <c r="S384" t="e">
        <f>AND(#REF!,"AAAAAG7/+hI=")</f>
        <v>#REF!</v>
      </c>
      <c r="T384" t="e">
        <f>AND(#REF!,"AAAAAG7/+hM=")</f>
        <v>#REF!</v>
      </c>
      <c r="U384" t="e">
        <f>IF(#REF!,"AAAAAG7/+hQ=",0)</f>
        <v>#REF!</v>
      </c>
      <c r="V384" t="e">
        <f>AND(#REF!,"AAAAAG7/+hU=")</f>
        <v>#REF!</v>
      </c>
      <c r="W384" t="e">
        <f>AND(#REF!,"AAAAAG7/+hY=")</f>
        <v>#REF!</v>
      </c>
      <c r="X384" t="e">
        <f>AND(#REF!,"AAAAAG7/+hc=")</f>
        <v>#REF!</v>
      </c>
      <c r="Y384" t="e">
        <f>AND(#REF!,"AAAAAG7/+hg=")</f>
        <v>#REF!</v>
      </c>
      <c r="Z384" t="e">
        <f>AND(#REF!,"AAAAAG7/+hk=")</f>
        <v>#REF!</v>
      </c>
      <c r="AA384" t="e">
        <f>AND(#REF!,"AAAAAG7/+ho=")</f>
        <v>#REF!</v>
      </c>
      <c r="AB384" t="e">
        <f>AND(#REF!,"AAAAAG7/+hs=")</f>
        <v>#REF!</v>
      </c>
      <c r="AC384" t="e">
        <f>AND(#REF!,"AAAAAG7/+hw=")</f>
        <v>#REF!</v>
      </c>
      <c r="AD384" t="e">
        <f>AND(#REF!,"AAAAAG7/+h0=")</f>
        <v>#REF!</v>
      </c>
      <c r="AE384" t="e">
        <f>AND(#REF!,"AAAAAG7/+h4=")</f>
        <v>#REF!</v>
      </c>
      <c r="AF384" t="e">
        <f>IF(#REF!,"AAAAAG7/+h8=",0)</f>
        <v>#REF!</v>
      </c>
      <c r="AG384" t="e">
        <f>AND(#REF!,"AAAAAG7/+iA=")</f>
        <v>#REF!</v>
      </c>
      <c r="AH384" t="e">
        <f>AND(#REF!,"AAAAAG7/+iE=")</f>
        <v>#REF!</v>
      </c>
      <c r="AI384" t="e">
        <f>AND(#REF!,"AAAAAG7/+iI=")</f>
        <v>#REF!</v>
      </c>
      <c r="AJ384" t="e">
        <f>AND(#REF!,"AAAAAG7/+iM=")</f>
        <v>#REF!</v>
      </c>
      <c r="AK384" t="e">
        <f>AND(#REF!,"AAAAAG7/+iQ=")</f>
        <v>#REF!</v>
      </c>
      <c r="AL384" t="e">
        <f>AND(#REF!,"AAAAAG7/+iU=")</f>
        <v>#REF!</v>
      </c>
      <c r="AM384" t="e">
        <f>AND(#REF!,"AAAAAG7/+iY=")</f>
        <v>#REF!</v>
      </c>
      <c r="AN384" t="e">
        <f>AND(#REF!,"AAAAAG7/+ic=")</f>
        <v>#REF!</v>
      </c>
      <c r="AO384" t="e">
        <f>AND(#REF!,"AAAAAG7/+ig=")</f>
        <v>#REF!</v>
      </c>
      <c r="AP384" t="e">
        <f>AND(#REF!,"AAAAAG7/+ik=")</f>
        <v>#REF!</v>
      </c>
      <c r="AQ384" t="e">
        <f>IF(#REF!,"AAAAAG7/+io=",0)</f>
        <v>#REF!</v>
      </c>
      <c r="AR384" t="e">
        <f>AND(#REF!,"AAAAAG7/+is=")</f>
        <v>#REF!</v>
      </c>
      <c r="AS384" t="e">
        <f>AND(#REF!,"AAAAAG7/+iw=")</f>
        <v>#REF!</v>
      </c>
      <c r="AT384" t="e">
        <f>AND(#REF!,"AAAAAG7/+i0=")</f>
        <v>#REF!</v>
      </c>
      <c r="AU384" t="e">
        <f>AND(#REF!,"AAAAAG7/+i4=")</f>
        <v>#REF!</v>
      </c>
      <c r="AV384" t="e">
        <f>AND(#REF!,"AAAAAG7/+i8=")</f>
        <v>#REF!</v>
      </c>
      <c r="AW384" t="e">
        <f>AND(#REF!,"AAAAAG7/+jA=")</f>
        <v>#REF!</v>
      </c>
      <c r="AX384" t="e">
        <f>AND(#REF!,"AAAAAG7/+jE=")</f>
        <v>#REF!</v>
      </c>
      <c r="AY384" t="e">
        <f>AND(#REF!,"AAAAAG7/+jI=")</f>
        <v>#REF!</v>
      </c>
      <c r="AZ384" t="e">
        <f>AND(#REF!,"AAAAAG7/+jM=")</f>
        <v>#REF!</v>
      </c>
      <c r="BA384" t="e">
        <f>AND(#REF!,"AAAAAG7/+jQ=")</f>
        <v>#REF!</v>
      </c>
      <c r="BB384" t="e">
        <f>IF(#REF!,"AAAAAG7/+jU=",0)</f>
        <v>#REF!</v>
      </c>
      <c r="BC384" t="e">
        <f>AND(#REF!,"AAAAAG7/+jY=")</f>
        <v>#REF!</v>
      </c>
      <c r="BD384" t="e">
        <f>AND(#REF!,"AAAAAG7/+jc=")</f>
        <v>#REF!</v>
      </c>
      <c r="BE384" t="e">
        <f>AND(#REF!,"AAAAAG7/+jg=")</f>
        <v>#REF!</v>
      </c>
      <c r="BF384" t="e">
        <f>AND(#REF!,"AAAAAG7/+jk=")</f>
        <v>#REF!</v>
      </c>
      <c r="BG384" t="e">
        <f>AND(#REF!,"AAAAAG7/+jo=")</f>
        <v>#REF!</v>
      </c>
      <c r="BH384" t="e">
        <f>AND(#REF!,"AAAAAG7/+js=")</f>
        <v>#REF!</v>
      </c>
      <c r="BI384" t="e">
        <f>AND(#REF!,"AAAAAG7/+jw=")</f>
        <v>#REF!</v>
      </c>
      <c r="BJ384" t="e">
        <f>AND(#REF!,"AAAAAG7/+j0=")</f>
        <v>#REF!</v>
      </c>
      <c r="BK384" t="e">
        <f>AND(#REF!,"AAAAAG7/+j4=")</f>
        <v>#REF!</v>
      </c>
      <c r="BL384" t="e">
        <f>AND(#REF!,"AAAAAG7/+j8=")</f>
        <v>#REF!</v>
      </c>
      <c r="BM384" t="e">
        <f>IF(#REF!,"AAAAAG7/+kA=",0)</f>
        <v>#REF!</v>
      </c>
      <c r="BN384" t="e">
        <f>AND(#REF!,"AAAAAG7/+kE=")</f>
        <v>#REF!</v>
      </c>
      <c r="BO384" t="e">
        <f>AND(#REF!,"AAAAAG7/+kI=")</f>
        <v>#REF!</v>
      </c>
      <c r="BP384" t="e">
        <f>AND(#REF!,"AAAAAG7/+kM=")</f>
        <v>#REF!</v>
      </c>
      <c r="BQ384" t="e">
        <f>AND(#REF!,"AAAAAG7/+kQ=")</f>
        <v>#REF!</v>
      </c>
      <c r="BR384" t="e">
        <f>AND(#REF!,"AAAAAG7/+kU=")</f>
        <v>#REF!</v>
      </c>
      <c r="BS384" t="e">
        <f>AND(#REF!,"AAAAAG7/+kY=")</f>
        <v>#REF!</v>
      </c>
      <c r="BT384" t="e">
        <f>AND(#REF!,"AAAAAG7/+kc=")</f>
        <v>#REF!</v>
      </c>
      <c r="BU384" t="e">
        <f>AND(#REF!,"AAAAAG7/+kg=")</f>
        <v>#REF!</v>
      </c>
      <c r="BV384" t="e">
        <f>AND(#REF!,"AAAAAG7/+kk=")</f>
        <v>#REF!</v>
      </c>
      <c r="BW384" t="e">
        <f>AND(#REF!,"AAAAAG7/+ko=")</f>
        <v>#REF!</v>
      </c>
      <c r="BX384" t="e">
        <f>IF(#REF!,"AAAAAG7/+ks=",0)</f>
        <v>#REF!</v>
      </c>
      <c r="BY384" t="e">
        <f>AND(#REF!,"AAAAAG7/+kw=")</f>
        <v>#REF!</v>
      </c>
      <c r="BZ384" t="e">
        <f>AND(#REF!,"AAAAAG7/+k0=")</f>
        <v>#REF!</v>
      </c>
      <c r="CA384" t="e">
        <f>AND(#REF!,"AAAAAG7/+k4=")</f>
        <v>#REF!</v>
      </c>
      <c r="CB384" t="e">
        <f>AND(#REF!,"AAAAAG7/+k8=")</f>
        <v>#REF!</v>
      </c>
      <c r="CC384" t="e">
        <f>AND(#REF!,"AAAAAG7/+lA=")</f>
        <v>#REF!</v>
      </c>
      <c r="CD384" t="e">
        <f>AND(#REF!,"AAAAAG7/+lE=")</f>
        <v>#REF!</v>
      </c>
      <c r="CE384" t="e">
        <f>AND(#REF!,"AAAAAG7/+lI=")</f>
        <v>#REF!</v>
      </c>
      <c r="CF384" t="e">
        <f>AND(#REF!,"AAAAAG7/+lM=")</f>
        <v>#REF!</v>
      </c>
      <c r="CG384" t="e">
        <f>AND(#REF!,"AAAAAG7/+lQ=")</f>
        <v>#REF!</v>
      </c>
      <c r="CH384" t="e">
        <f>AND(#REF!,"AAAAAG7/+lU=")</f>
        <v>#REF!</v>
      </c>
      <c r="CI384" t="e">
        <f>IF(#REF!,"AAAAAG7/+lY=",0)</f>
        <v>#REF!</v>
      </c>
      <c r="CJ384" t="e">
        <f>AND(#REF!,"AAAAAG7/+lc=")</f>
        <v>#REF!</v>
      </c>
      <c r="CK384" t="e">
        <f>AND(#REF!,"AAAAAG7/+lg=")</f>
        <v>#REF!</v>
      </c>
      <c r="CL384" t="e">
        <f>AND(#REF!,"AAAAAG7/+lk=")</f>
        <v>#REF!</v>
      </c>
      <c r="CM384" t="e">
        <f>AND(#REF!,"AAAAAG7/+lo=")</f>
        <v>#REF!</v>
      </c>
      <c r="CN384" t="e">
        <f>AND(#REF!,"AAAAAG7/+ls=")</f>
        <v>#REF!</v>
      </c>
      <c r="CO384" t="e">
        <f>AND(#REF!,"AAAAAG7/+lw=")</f>
        <v>#REF!</v>
      </c>
      <c r="CP384" t="e">
        <f>AND(#REF!,"AAAAAG7/+l0=")</f>
        <v>#REF!</v>
      </c>
      <c r="CQ384" t="e">
        <f>AND(#REF!,"AAAAAG7/+l4=")</f>
        <v>#REF!</v>
      </c>
      <c r="CR384" t="e">
        <f>AND(#REF!,"AAAAAG7/+l8=")</f>
        <v>#REF!</v>
      </c>
      <c r="CS384" t="e">
        <f>AND(#REF!,"AAAAAG7/+mA=")</f>
        <v>#REF!</v>
      </c>
      <c r="CT384" t="e">
        <f>IF(#REF!,"AAAAAG7/+mE=",0)</f>
        <v>#REF!</v>
      </c>
      <c r="CU384" t="e">
        <f>AND(#REF!,"AAAAAG7/+mI=")</f>
        <v>#REF!</v>
      </c>
      <c r="CV384" t="e">
        <f>AND(#REF!,"AAAAAG7/+mM=")</f>
        <v>#REF!</v>
      </c>
      <c r="CW384" t="e">
        <f>AND(#REF!,"AAAAAG7/+mQ=")</f>
        <v>#REF!</v>
      </c>
      <c r="CX384" t="e">
        <f>AND(#REF!,"AAAAAG7/+mU=")</f>
        <v>#REF!</v>
      </c>
      <c r="CY384" t="e">
        <f>AND(#REF!,"AAAAAG7/+mY=")</f>
        <v>#REF!</v>
      </c>
      <c r="CZ384" t="e">
        <f>AND(#REF!,"AAAAAG7/+mc=")</f>
        <v>#REF!</v>
      </c>
      <c r="DA384" t="e">
        <f>AND(#REF!,"AAAAAG7/+mg=")</f>
        <v>#REF!</v>
      </c>
      <c r="DB384" t="e">
        <f>AND(#REF!,"AAAAAG7/+mk=")</f>
        <v>#REF!</v>
      </c>
      <c r="DC384" t="e">
        <f>AND(#REF!,"AAAAAG7/+mo=")</f>
        <v>#REF!</v>
      </c>
      <c r="DD384" t="e">
        <f>AND(#REF!,"AAAAAG7/+ms=")</f>
        <v>#REF!</v>
      </c>
      <c r="DE384" t="e">
        <f>IF(#REF!,"AAAAAG7/+mw=",0)</f>
        <v>#REF!</v>
      </c>
      <c r="DF384" t="e">
        <f>AND(#REF!,"AAAAAG7/+m0=")</f>
        <v>#REF!</v>
      </c>
      <c r="DG384" t="e">
        <f>AND(#REF!,"AAAAAG7/+m4=")</f>
        <v>#REF!</v>
      </c>
      <c r="DH384" t="e">
        <f>AND(#REF!,"AAAAAG7/+m8=")</f>
        <v>#REF!</v>
      </c>
      <c r="DI384" t="e">
        <f>AND(#REF!,"AAAAAG7/+nA=")</f>
        <v>#REF!</v>
      </c>
      <c r="DJ384" t="e">
        <f>AND(#REF!,"AAAAAG7/+nE=")</f>
        <v>#REF!</v>
      </c>
      <c r="DK384" t="e">
        <f>AND(#REF!,"AAAAAG7/+nI=")</f>
        <v>#REF!</v>
      </c>
      <c r="DL384" t="e">
        <f>AND(#REF!,"AAAAAG7/+nM=")</f>
        <v>#REF!</v>
      </c>
      <c r="DM384" t="e">
        <f>AND(#REF!,"AAAAAG7/+nQ=")</f>
        <v>#REF!</v>
      </c>
      <c r="DN384" t="e">
        <f>AND(#REF!,"AAAAAG7/+nU=")</f>
        <v>#REF!</v>
      </c>
      <c r="DO384" t="e">
        <f>AND(#REF!,"AAAAAG7/+nY=")</f>
        <v>#REF!</v>
      </c>
      <c r="DP384" t="e">
        <f>IF(#REF!,"AAAAAG7/+nc=",0)</f>
        <v>#REF!</v>
      </c>
      <c r="DQ384" t="e">
        <f>AND(#REF!,"AAAAAG7/+ng=")</f>
        <v>#REF!</v>
      </c>
      <c r="DR384" t="e">
        <f>AND(#REF!,"AAAAAG7/+nk=")</f>
        <v>#REF!</v>
      </c>
      <c r="DS384" t="e">
        <f>AND(#REF!,"AAAAAG7/+no=")</f>
        <v>#REF!</v>
      </c>
      <c r="DT384" t="e">
        <f>AND(#REF!,"AAAAAG7/+ns=")</f>
        <v>#REF!</v>
      </c>
      <c r="DU384" t="e">
        <f>AND(#REF!,"AAAAAG7/+nw=")</f>
        <v>#REF!</v>
      </c>
      <c r="DV384" t="e">
        <f>AND(#REF!,"AAAAAG7/+n0=")</f>
        <v>#REF!</v>
      </c>
      <c r="DW384" t="e">
        <f>AND(#REF!,"AAAAAG7/+n4=")</f>
        <v>#REF!</v>
      </c>
      <c r="DX384" t="e">
        <f>AND(#REF!,"AAAAAG7/+n8=")</f>
        <v>#REF!</v>
      </c>
      <c r="DY384" t="e">
        <f>AND(#REF!,"AAAAAG7/+oA=")</f>
        <v>#REF!</v>
      </c>
      <c r="DZ384" t="e">
        <f>AND(#REF!,"AAAAAG7/+oE=")</f>
        <v>#REF!</v>
      </c>
      <c r="EA384" t="e">
        <f>IF(#REF!,"AAAAAG7/+oI=",0)</f>
        <v>#REF!</v>
      </c>
      <c r="EB384" t="e">
        <f>AND(#REF!,"AAAAAG7/+oM=")</f>
        <v>#REF!</v>
      </c>
      <c r="EC384" t="e">
        <f>AND(#REF!,"AAAAAG7/+oQ=")</f>
        <v>#REF!</v>
      </c>
      <c r="ED384" t="e">
        <f>AND(#REF!,"AAAAAG7/+oU=")</f>
        <v>#REF!</v>
      </c>
      <c r="EE384" t="e">
        <f>AND(#REF!,"AAAAAG7/+oY=")</f>
        <v>#REF!</v>
      </c>
      <c r="EF384" t="e">
        <f>AND(#REF!,"AAAAAG7/+oc=")</f>
        <v>#REF!</v>
      </c>
      <c r="EG384" t="e">
        <f>AND(#REF!,"AAAAAG7/+og=")</f>
        <v>#REF!</v>
      </c>
      <c r="EH384" t="e">
        <f>AND(#REF!,"AAAAAG7/+ok=")</f>
        <v>#REF!</v>
      </c>
      <c r="EI384" t="e">
        <f>AND(#REF!,"AAAAAG7/+oo=")</f>
        <v>#REF!</v>
      </c>
      <c r="EJ384" t="e">
        <f>AND(#REF!,"AAAAAG7/+os=")</f>
        <v>#REF!</v>
      </c>
      <c r="EK384" t="e">
        <f>AND(#REF!,"AAAAAG7/+ow=")</f>
        <v>#REF!</v>
      </c>
      <c r="EL384" t="e">
        <f>IF(#REF!,"AAAAAG7/+o0=",0)</f>
        <v>#REF!</v>
      </c>
      <c r="EM384" t="e">
        <f>AND(#REF!,"AAAAAG7/+o4=")</f>
        <v>#REF!</v>
      </c>
      <c r="EN384" t="e">
        <f>AND(#REF!,"AAAAAG7/+o8=")</f>
        <v>#REF!</v>
      </c>
      <c r="EO384" t="e">
        <f>AND(#REF!,"AAAAAG7/+pA=")</f>
        <v>#REF!</v>
      </c>
      <c r="EP384" t="e">
        <f>AND(#REF!,"AAAAAG7/+pE=")</f>
        <v>#REF!</v>
      </c>
      <c r="EQ384" t="e">
        <f>AND(#REF!,"AAAAAG7/+pI=")</f>
        <v>#REF!</v>
      </c>
      <c r="ER384" t="e">
        <f>AND(#REF!,"AAAAAG7/+pM=")</f>
        <v>#REF!</v>
      </c>
      <c r="ES384" t="e">
        <f>AND(#REF!,"AAAAAG7/+pQ=")</f>
        <v>#REF!</v>
      </c>
      <c r="ET384" t="e">
        <f>AND(#REF!,"AAAAAG7/+pU=")</f>
        <v>#REF!</v>
      </c>
      <c r="EU384" t="e">
        <f>AND(#REF!,"AAAAAG7/+pY=")</f>
        <v>#REF!</v>
      </c>
      <c r="EV384" t="e">
        <f>AND(#REF!,"AAAAAG7/+pc=")</f>
        <v>#REF!</v>
      </c>
      <c r="EW384" t="e">
        <f>IF(#REF!,"AAAAAG7/+pg=",0)</f>
        <v>#REF!</v>
      </c>
      <c r="EX384" t="e">
        <f>AND(#REF!,"AAAAAG7/+pk=")</f>
        <v>#REF!</v>
      </c>
      <c r="EY384" t="e">
        <f>AND(#REF!,"AAAAAG7/+po=")</f>
        <v>#REF!</v>
      </c>
      <c r="EZ384" t="e">
        <f>AND(#REF!,"AAAAAG7/+ps=")</f>
        <v>#REF!</v>
      </c>
      <c r="FA384" t="e">
        <f>AND(#REF!,"AAAAAG7/+pw=")</f>
        <v>#REF!</v>
      </c>
      <c r="FB384" t="e">
        <f>AND(#REF!,"AAAAAG7/+p0=")</f>
        <v>#REF!</v>
      </c>
      <c r="FC384" t="e">
        <f>AND(#REF!,"AAAAAG7/+p4=")</f>
        <v>#REF!</v>
      </c>
      <c r="FD384" t="e">
        <f>AND(#REF!,"AAAAAG7/+p8=")</f>
        <v>#REF!</v>
      </c>
      <c r="FE384" t="e">
        <f>AND(#REF!,"AAAAAG7/+qA=")</f>
        <v>#REF!</v>
      </c>
      <c r="FF384" t="e">
        <f>AND(#REF!,"AAAAAG7/+qE=")</f>
        <v>#REF!</v>
      </c>
      <c r="FG384" t="e">
        <f>AND(#REF!,"AAAAAG7/+qI=")</f>
        <v>#REF!</v>
      </c>
      <c r="FH384" t="e">
        <f>IF(#REF!,"AAAAAG7/+qM=",0)</f>
        <v>#REF!</v>
      </c>
      <c r="FI384" t="e">
        <f>AND(#REF!,"AAAAAG7/+qQ=")</f>
        <v>#REF!</v>
      </c>
      <c r="FJ384" t="e">
        <f>AND(#REF!,"AAAAAG7/+qU=")</f>
        <v>#REF!</v>
      </c>
      <c r="FK384" t="e">
        <f>AND(#REF!,"AAAAAG7/+qY=")</f>
        <v>#REF!</v>
      </c>
      <c r="FL384" t="e">
        <f>AND(#REF!,"AAAAAG7/+qc=")</f>
        <v>#REF!</v>
      </c>
      <c r="FM384" t="e">
        <f>AND(#REF!,"AAAAAG7/+qg=")</f>
        <v>#REF!</v>
      </c>
      <c r="FN384" t="e">
        <f>AND(#REF!,"AAAAAG7/+qk=")</f>
        <v>#REF!</v>
      </c>
      <c r="FO384" t="e">
        <f>AND(#REF!,"AAAAAG7/+qo=")</f>
        <v>#REF!</v>
      </c>
      <c r="FP384" t="e">
        <f>AND(#REF!,"AAAAAG7/+qs=")</f>
        <v>#REF!</v>
      </c>
      <c r="FQ384" t="e">
        <f>AND(#REF!,"AAAAAG7/+qw=")</f>
        <v>#REF!</v>
      </c>
      <c r="FR384" t="e">
        <f>AND(#REF!,"AAAAAG7/+q0=")</f>
        <v>#REF!</v>
      </c>
      <c r="FS384" t="e">
        <f>IF(#REF!,"AAAAAG7/+q4=",0)</f>
        <v>#REF!</v>
      </c>
      <c r="FT384" t="e">
        <f>AND(#REF!,"AAAAAG7/+q8=")</f>
        <v>#REF!</v>
      </c>
      <c r="FU384" t="e">
        <f>AND(#REF!,"AAAAAG7/+rA=")</f>
        <v>#REF!</v>
      </c>
      <c r="FV384" t="e">
        <f>AND(#REF!,"AAAAAG7/+rE=")</f>
        <v>#REF!</v>
      </c>
      <c r="FW384" t="e">
        <f>AND(#REF!,"AAAAAG7/+rI=")</f>
        <v>#REF!</v>
      </c>
      <c r="FX384" t="e">
        <f>AND(#REF!,"AAAAAG7/+rM=")</f>
        <v>#REF!</v>
      </c>
      <c r="FY384" t="e">
        <f>AND(#REF!,"AAAAAG7/+rQ=")</f>
        <v>#REF!</v>
      </c>
      <c r="FZ384" t="e">
        <f>AND(#REF!,"AAAAAG7/+rU=")</f>
        <v>#REF!</v>
      </c>
      <c r="GA384" t="e">
        <f>AND(#REF!,"AAAAAG7/+rY=")</f>
        <v>#REF!</v>
      </c>
      <c r="GB384" t="e">
        <f>AND(#REF!,"AAAAAG7/+rc=")</f>
        <v>#REF!</v>
      </c>
      <c r="GC384" t="e">
        <f>AND(#REF!,"AAAAAG7/+rg=")</f>
        <v>#REF!</v>
      </c>
      <c r="GD384" t="e">
        <f>IF(#REF!,"AAAAAG7/+rk=",0)</f>
        <v>#REF!</v>
      </c>
      <c r="GE384" t="e">
        <f>AND(#REF!,"AAAAAG7/+ro=")</f>
        <v>#REF!</v>
      </c>
      <c r="GF384" t="e">
        <f>AND(#REF!,"AAAAAG7/+rs=")</f>
        <v>#REF!</v>
      </c>
      <c r="GG384" t="e">
        <f>AND(#REF!,"AAAAAG7/+rw=")</f>
        <v>#REF!</v>
      </c>
      <c r="GH384" t="e">
        <f>AND(#REF!,"AAAAAG7/+r0=")</f>
        <v>#REF!</v>
      </c>
      <c r="GI384" t="e">
        <f>AND(#REF!,"AAAAAG7/+r4=")</f>
        <v>#REF!</v>
      </c>
      <c r="GJ384" t="e">
        <f>AND(#REF!,"AAAAAG7/+r8=")</f>
        <v>#REF!</v>
      </c>
      <c r="GK384" t="e">
        <f>AND(#REF!,"AAAAAG7/+sA=")</f>
        <v>#REF!</v>
      </c>
      <c r="GL384" t="e">
        <f>AND(#REF!,"AAAAAG7/+sE=")</f>
        <v>#REF!</v>
      </c>
      <c r="GM384" t="e">
        <f>AND(#REF!,"AAAAAG7/+sI=")</f>
        <v>#REF!</v>
      </c>
      <c r="GN384" t="e">
        <f>AND(#REF!,"AAAAAG7/+sM=")</f>
        <v>#REF!</v>
      </c>
      <c r="GO384" t="e">
        <f>IF(#REF!,"AAAAAG7/+sQ=",0)</f>
        <v>#REF!</v>
      </c>
      <c r="GP384" t="e">
        <f>AND(#REF!,"AAAAAG7/+sU=")</f>
        <v>#REF!</v>
      </c>
      <c r="GQ384" t="e">
        <f>AND(#REF!,"AAAAAG7/+sY=")</f>
        <v>#REF!</v>
      </c>
      <c r="GR384" t="e">
        <f>AND(#REF!,"AAAAAG7/+sc=")</f>
        <v>#REF!</v>
      </c>
      <c r="GS384" t="e">
        <f>AND(#REF!,"AAAAAG7/+sg=")</f>
        <v>#REF!</v>
      </c>
      <c r="GT384" t="e">
        <f>AND(#REF!,"AAAAAG7/+sk=")</f>
        <v>#REF!</v>
      </c>
      <c r="GU384" t="e">
        <f>AND(#REF!,"AAAAAG7/+so=")</f>
        <v>#REF!</v>
      </c>
      <c r="GV384" t="e">
        <f>AND(#REF!,"AAAAAG7/+ss=")</f>
        <v>#REF!</v>
      </c>
      <c r="GW384" t="e">
        <f>AND(#REF!,"AAAAAG7/+sw=")</f>
        <v>#REF!</v>
      </c>
      <c r="GX384" t="e">
        <f>AND(#REF!,"AAAAAG7/+s0=")</f>
        <v>#REF!</v>
      </c>
      <c r="GY384" t="e">
        <f>AND(#REF!,"AAAAAG7/+s4=")</f>
        <v>#REF!</v>
      </c>
      <c r="GZ384" t="e">
        <f>IF(#REF!,"AAAAAG7/+s8=",0)</f>
        <v>#REF!</v>
      </c>
      <c r="HA384" t="e">
        <f>AND(#REF!,"AAAAAG7/+tA=")</f>
        <v>#REF!</v>
      </c>
      <c r="HB384" t="e">
        <f>AND(#REF!,"AAAAAG7/+tE=")</f>
        <v>#REF!</v>
      </c>
      <c r="HC384" t="e">
        <f>AND(#REF!,"AAAAAG7/+tI=")</f>
        <v>#REF!</v>
      </c>
      <c r="HD384" t="e">
        <f>AND(#REF!,"AAAAAG7/+tM=")</f>
        <v>#REF!</v>
      </c>
      <c r="HE384" t="e">
        <f>AND(#REF!,"AAAAAG7/+tQ=")</f>
        <v>#REF!</v>
      </c>
      <c r="HF384" t="e">
        <f>AND(#REF!,"AAAAAG7/+tU=")</f>
        <v>#REF!</v>
      </c>
      <c r="HG384" t="e">
        <f>AND(#REF!,"AAAAAG7/+tY=")</f>
        <v>#REF!</v>
      </c>
      <c r="HH384" t="e">
        <f>AND(#REF!,"AAAAAG7/+tc=")</f>
        <v>#REF!</v>
      </c>
      <c r="HI384" t="e">
        <f>AND(#REF!,"AAAAAG7/+tg=")</f>
        <v>#REF!</v>
      </c>
      <c r="HJ384" t="e">
        <f>AND(#REF!,"AAAAAG7/+tk=")</f>
        <v>#REF!</v>
      </c>
      <c r="HK384" t="e">
        <f>IF(#REF!,"AAAAAG7/+to=",0)</f>
        <v>#REF!</v>
      </c>
      <c r="HL384" t="e">
        <f>AND(#REF!,"AAAAAG7/+ts=")</f>
        <v>#REF!</v>
      </c>
      <c r="HM384" t="e">
        <f>AND(#REF!,"AAAAAG7/+tw=")</f>
        <v>#REF!</v>
      </c>
      <c r="HN384" t="e">
        <f>AND(#REF!,"AAAAAG7/+t0=")</f>
        <v>#REF!</v>
      </c>
      <c r="HO384" t="e">
        <f>AND(#REF!,"AAAAAG7/+t4=")</f>
        <v>#REF!</v>
      </c>
      <c r="HP384" t="e">
        <f>AND(#REF!,"AAAAAG7/+t8=")</f>
        <v>#REF!</v>
      </c>
      <c r="HQ384" t="e">
        <f>AND(#REF!,"AAAAAG7/+uA=")</f>
        <v>#REF!</v>
      </c>
      <c r="HR384" t="e">
        <f>AND(#REF!,"AAAAAG7/+uE=")</f>
        <v>#REF!</v>
      </c>
      <c r="HS384" t="e">
        <f>AND(#REF!,"AAAAAG7/+uI=")</f>
        <v>#REF!</v>
      </c>
      <c r="HT384" t="e">
        <f>AND(#REF!,"AAAAAG7/+uM=")</f>
        <v>#REF!</v>
      </c>
      <c r="HU384" t="e">
        <f>AND(#REF!,"AAAAAG7/+uQ=")</f>
        <v>#REF!</v>
      </c>
      <c r="HV384" t="e">
        <f>IF(#REF!,"AAAAAG7/+uU=",0)</f>
        <v>#REF!</v>
      </c>
      <c r="HW384" t="e">
        <f>AND(#REF!,"AAAAAG7/+uY=")</f>
        <v>#REF!</v>
      </c>
      <c r="HX384" t="e">
        <f>AND(#REF!,"AAAAAG7/+uc=")</f>
        <v>#REF!</v>
      </c>
      <c r="HY384" t="e">
        <f>AND(#REF!,"AAAAAG7/+ug=")</f>
        <v>#REF!</v>
      </c>
      <c r="HZ384" t="e">
        <f>AND(#REF!,"AAAAAG7/+uk=")</f>
        <v>#REF!</v>
      </c>
      <c r="IA384" t="e">
        <f>AND(#REF!,"AAAAAG7/+uo=")</f>
        <v>#REF!</v>
      </c>
      <c r="IB384" t="e">
        <f>AND(#REF!,"AAAAAG7/+us=")</f>
        <v>#REF!</v>
      </c>
      <c r="IC384" t="e">
        <f>AND(#REF!,"AAAAAG7/+uw=")</f>
        <v>#REF!</v>
      </c>
      <c r="ID384" t="e">
        <f>AND(#REF!,"AAAAAG7/+u0=")</f>
        <v>#REF!</v>
      </c>
      <c r="IE384" t="e">
        <f>AND(#REF!,"AAAAAG7/+u4=")</f>
        <v>#REF!</v>
      </c>
      <c r="IF384" t="e">
        <f>AND(#REF!,"AAAAAG7/+u8=")</f>
        <v>#REF!</v>
      </c>
      <c r="IG384" t="e">
        <f>IF(#REF!,"AAAAAG7/+vA=",0)</f>
        <v>#REF!</v>
      </c>
      <c r="IH384" t="e">
        <f>AND(#REF!,"AAAAAG7/+vE=")</f>
        <v>#REF!</v>
      </c>
      <c r="II384" t="e">
        <f>AND(#REF!,"AAAAAG7/+vI=")</f>
        <v>#REF!</v>
      </c>
      <c r="IJ384" t="e">
        <f>AND(#REF!,"AAAAAG7/+vM=")</f>
        <v>#REF!</v>
      </c>
      <c r="IK384" t="e">
        <f>AND(#REF!,"AAAAAG7/+vQ=")</f>
        <v>#REF!</v>
      </c>
      <c r="IL384" t="e">
        <f>AND(#REF!,"AAAAAG7/+vU=")</f>
        <v>#REF!</v>
      </c>
      <c r="IM384" t="e">
        <f>AND(#REF!,"AAAAAG7/+vY=")</f>
        <v>#REF!</v>
      </c>
      <c r="IN384" t="e">
        <f>AND(#REF!,"AAAAAG7/+vc=")</f>
        <v>#REF!</v>
      </c>
      <c r="IO384" t="e">
        <f>AND(#REF!,"AAAAAG7/+vg=")</f>
        <v>#REF!</v>
      </c>
      <c r="IP384" t="e">
        <f>AND(#REF!,"AAAAAG7/+vk=")</f>
        <v>#REF!</v>
      </c>
      <c r="IQ384" t="e">
        <f>AND(#REF!,"AAAAAG7/+vo=")</f>
        <v>#REF!</v>
      </c>
      <c r="IR384" t="e">
        <f>IF(#REF!,"AAAAAG7/+vs=",0)</f>
        <v>#REF!</v>
      </c>
      <c r="IS384" t="e">
        <f>AND(#REF!,"AAAAAG7/+vw=")</f>
        <v>#REF!</v>
      </c>
      <c r="IT384" t="e">
        <f>AND(#REF!,"AAAAAG7/+v0=")</f>
        <v>#REF!</v>
      </c>
      <c r="IU384" t="e">
        <f>AND(#REF!,"AAAAAG7/+v4=")</f>
        <v>#REF!</v>
      </c>
      <c r="IV384" t="e">
        <f>AND(#REF!,"AAAAAG7/+v8=")</f>
        <v>#REF!</v>
      </c>
    </row>
    <row r="385" spans="1:256" x14ac:dyDescent="0.25">
      <c r="A385" t="e">
        <f>AND(#REF!,"AAAAAHb81gA=")</f>
        <v>#REF!</v>
      </c>
      <c r="B385" t="e">
        <f>AND(#REF!,"AAAAAHb81gE=")</f>
        <v>#REF!</v>
      </c>
      <c r="C385" t="e">
        <f>AND(#REF!,"AAAAAHb81gI=")</f>
        <v>#REF!</v>
      </c>
      <c r="D385" t="e">
        <f>AND(#REF!,"AAAAAHb81gM=")</f>
        <v>#REF!</v>
      </c>
      <c r="E385" t="e">
        <f>AND(#REF!,"AAAAAHb81gQ=")</f>
        <v>#REF!</v>
      </c>
      <c r="F385" t="e">
        <f>AND(#REF!,"AAAAAHb81gU=")</f>
        <v>#REF!</v>
      </c>
      <c r="G385" t="e">
        <f>IF(#REF!,"AAAAAHb81gY=",0)</f>
        <v>#REF!</v>
      </c>
      <c r="H385" t="e">
        <f>AND(#REF!,"AAAAAHb81gc=")</f>
        <v>#REF!</v>
      </c>
      <c r="I385" t="e">
        <f>AND(#REF!,"AAAAAHb81gg=")</f>
        <v>#REF!</v>
      </c>
      <c r="J385" t="e">
        <f>AND(#REF!,"AAAAAHb81gk=")</f>
        <v>#REF!</v>
      </c>
      <c r="K385" t="e">
        <f>AND(#REF!,"AAAAAHb81go=")</f>
        <v>#REF!</v>
      </c>
      <c r="L385" t="e">
        <f>AND(#REF!,"AAAAAHb81gs=")</f>
        <v>#REF!</v>
      </c>
      <c r="M385" t="e">
        <f>AND(#REF!,"AAAAAHb81gw=")</f>
        <v>#REF!</v>
      </c>
      <c r="N385" t="e">
        <f>AND(#REF!,"AAAAAHb81g0=")</f>
        <v>#REF!</v>
      </c>
      <c r="O385" t="e">
        <f>AND(#REF!,"AAAAAHb81g4=")</f>
        <v>#REF!</v>
      </c>
      <c r="P385" t="e">
        <f>AND(#REF!,"AAAAAHb81g8=")</f>
        <v>#REF!</v>
      </c>
      <c r="Q385" t="e">
        <f>AND(#REF!,"AAAAAHb81hA=")</f>
        <v>#REF!</v>
      </c>
      <c r="R385" t="e">
        <f>IF(#REF!,"AAAAAHb81hE=",0)</f>
        <v>#REF!</v>
      </c>
      <c r="S385" t="e">
        <f>AND(#REF!,"AAAAAHb81hI=")</f>
        <v>#REF!</v>
      </c>
      <c r="T385" t="e">
        <f>AND(#REF!,"AAAAAHb81hM=")</f>
        <v>#REF!</v>
      </c>
      <c r="U385" t="e">
        <f>AND(#REF!,"AAAAAHb81hQ=")</f>
        <v>#REF!</v>
      </c>
      <c r="V385" t="e">
        <f>AND(#REF!,"AAAAAHb81hU=")</f>
        <v>#REF!</v>
      </c>
      <c r="W385" t="e">
        <f>AND(#REF!,"AAAAAHb81hY=")</f>
        <v>#REF!</v>
      </c>
      <c r="X385" t="e">
        <f>AND(#REF!,"AAAAAHb81hc=")</f>
        <v>#REF!</v>
      </c>
      <c r="Y385" t="e">
        <f>AND(#REF!,"AAAAAHb81hg=")</f>
        <v>#REF!</v>
      </c>
      <c r="Z385" t="e">
        <f>AND(#REF!,"AAAAAHb81hk=")</f>
        <v>#REF!</v>
      </c>
      <c r="AA385" t="e">
        <f>AND(#REF!,"AAAAAHb81ho=")</f>
        <v>#REF!</v>
      </c>
      <c r="AB385" t="e">
        <f>AND(#REF!,"AAAAAHb81hs=")</f>
        <v>#REF!</v>
      </c>
      <c r="AC385" t="e">
        <f>IF(#REF!,"AAAAAHb81hw=",0)</f>
        <v>#REF!</v>
      </c>
      <c r="AD385" t="e">
        <f>AND(#REF!,"AAAAAHb81h0=")</f>
        <v>#REF!</v>
      </c>
      <c r="AE385" t="e">
        <f>AND(#REF!,"AAAAAHb81h4=")</f>
        <v>#REF!</v>
      </c>
      <c r="AF385" t="e">
        <f>AND(#REF!,"AAAAAHb81h8=")</f>
        <v>#REF!</v>
      </c>
      <c r="AG385" t="e">
        <f>AND(#REF!,"AAAAAHb81iA=")</f>
        <v>#REF!</v>
      </c>
      <c r="AH385" t="e">
        <f>AND(#REF!,"AAAAAHb81iE=")</f>
        <v>#REF!</v>
      </c>
      <c r="AI385" t="e">
        <f>AND(#REF!,"AAAAAHb81iI=")</f>
        <v>#REF!</v>
      </c>
      <c r="AJ385" t="e">
        <f>AND(#REF!,"AAAAAHb81iM=")</f>
        <v>#REF!</v>
      </c>
      <c r="AK385" t="e">
        <f>AND(#REF!,"AAAAAHb81iQ=")</f>
        <v>#REF!</v>
      </c>
      <c r="AL385" t="e">
        <f>AND(#REF!,"AAAAAHb81iU=")</f>
        <v>#REF!</v>
      </c>
      <c r="AM385" t="e">
        <f>AND(#REF!,"AAAAAHb81iY=")</f>
        <v>#REF!</v>
      </c>
      <c r="AN385" t="e">
        <f>IF(#REF!,"AAAAAHb81ic=",0)</f>
        <v>#REF!</v>
      </c>
      <c r="AO385" t="e">
        <f>AND(#REF!,"AAAAAHb81ig=")</f>
        <v>#REF!</v>
      </c>
      <c r="AP385" t="e">
        <f>AND(#REF!,"AAAAAHb81ik=")</f>
        <v>#REF!</v>
      </c>
      <c r="AQ385" t="e">
        <f>AND(#REF!,"AAAAAHb81io=")</f>
        <v>#REF!</v>
      </c>
      <c r="AR385" t="e">
        <f>AND(#REF!,"AAAAAHb81is=")</f>
        <v>#REF!</v>
      </c>
      <c r="AS385" t="e">
        <f>AND(#REF!,"AAAAAHb81iw=")</f>
        <v>#REF!</v>
      </c>
      <c r="AT385" t="e">
        <f>AND(#REF!,"AAAAAHb81i0=")</f>
        <v>#REF!</v>
      </c>
      <c r="AU385" t="e">
        <f>AND(#REF!,"AAAAAHb81i4=")</f>
        <v>#REF!</v>
      </c>
      <c r="AV385" t="e">
        <f>AND(#REF!,"AAAAAHb81i8=")</f>
        <v>#REF!</v>
      </c>
      <c r="AW385" t="e">
        <f>AND(#REF!,"AAAAAHb81jA=")</f>
        <v>#REF!</v>
      </c>
      <c r="AX385" t="e">
        <f>AND(#REF!,"AAAAAHb81jE=")</f>
        <v>#REF!</v>
      </c>
      <c r="AY385" t="e">
        <f>IF(#REF!,"AAAAAHb81jI=",0)</f>
        <v>#REF!</v>
      </c>
      <c r="AZ385" t="e">
        <f>AND(#REF!,"AAAAAHb81jM=")</f>
        <v>#REF!</v>
      </c>
      <c r="BA385" t="e">
        <f>AND(#REF!,"AAAAAHb81jQ=")</f>
        <v>#REF!</v>
      </c>
      <c r="BB385" t="e">
        <f>AND(#REF!,"AAAAAHb81jU=")</f>
        <v>#REF!</v>
      </c>
      <c r="BC385" t="e">
        <f>AND(#REF!,"AAAAAHb81jY=")</f>
        <v>#REF!</v>
      </c>
      <c r="BD385" t="e">
        <f>AND(#REF!,"AAAAAHb81jc=")</f>
        <v>#REF!</v>
      </c>
      <c r="BE385" t="e">
        <f>AND(#REF!,"AAAAAHb81jg=")</f>
        <v>#REF!</v>
      </c>
      <c r="BF385" t="e">
        <f>AND(#REF!,"AAAAAHb81jk=")</f>
        <v>#REF!</v>
      </c>
      <c r="BG385" t="e">
        <f>AND(#REF!,"AAAAAHb81jo=")</f>
        <v>#REF!</v>
      </c>
      <c r="BH385" t="e">
        <f>AND(#REF!,"AAAAAHb81js=")</f>
        <v>#REF!</v>
      </c>
      <c r="BI385" t="e">
        <f>AND(#REF!,"AAAAAHb81jw=")</f>
        <v>#REF!</v>
      </c>
      <c r="BJ385" t="e">
        <f>IF(#REF!,"AAAAAHb81j0=",0)</f>
        <v>#REF!</v>
      </c>
      <c r="BK385" t="e">
        <f>AND(#REF!,"AAAAAHb81j4=")</f>
        <v>#REF!</v>
      </c>
      <c r="BL385" t="e">
        <f>AND(#REF!,"AAAAAHb81j8=")</f>
        <v>#REF!</v>
      </c>
      <c r="BM385" t="e">
        <f>AND(#REF!,"AAAAAHb81kA=")</f>
        <v>#REF!</v>
      </c>
      <c r="BN385" t="e">
        <f>AND(#REF!,"AAAAAHb81kE=")</f>
        <v>#REF!</v>
      </c>
      <c r="BO385" t="e">
        <f>AND(#REF!,"AAAAAHb81kI=")</f>
        <v>#REF!</v>
      </c>
      <c r="BP385" t="e">
        <f>AND(#REF!,"AAAAAHb81kM=")</f>
        <v>#REF!</v>
      </c>
      <c r="BQ385" t="e">
        <f>AND(#REF!,"AAAAAHb81kQ=")</f>
        <v>#REF!</v>
      </c>
      <c r="BR385" t="e">
        <f>AND(#REF!,"AAAAAHb81kU=")</f>
        <v>#REF!</v>
      </c>
      <c r="BS385" t="e">
        <f>AND(#REF!,"AAAAAHb81kY=")</f>
        <v>#REF!</v>
      </c>
      <c r="BT385" t="e">
        <f>AND(#REF!,"AAAAAHb81kc=")</f>
        <v>#REF!</v>
      </c>
      <c r="BU385" t="e">
        <f>IF(#REF!,"AAAAAHb81kg=",0)</f>
        <v>#REF!</v>
      </c>
      <c r="BV385" t="e">
        <f>AND(#REF!,"AAAAAHb81kk=")</f>
        <v>#REF!</v>
      </c>
      <c r="BW385" t="e">
        <f>AND(#REF!,"AAAAAHb81ko=")</f>
        <v>#REF!</v>
      </c>
      <c r="BX385" t="e">
        <f>AND(#REF!,"AAAAAHb81ks=")</f>
        <v>#REF!</v>
      </c>
      <c r="BY385" t="e">
        <f>AND(#REF!,"AAAAAHb81kw=")</f>
        <v>#REF!</v>
      </c>
      <c r="BZ385" t="e">
        <f>AND(#REF!,"AAAAAHb81k0=")</f>
        <v>#REF!</v>
      </c>
      <c r="CA385" t="e">
        <f>AND(#REF!,"AAAAAHb81k4=")</f>
        <v>#REF!</v>
      </c>
      <c r="CB385" t="e">
        <f>AND(#REF!,"AAAAAHb81k8=")</f>
        <v>#REF!</v>
      </c>
      <c r="CC385" t="e">
        <f>AND(#REF!,"AAAAAHb81lA=")</f>
        <v>#REF!</v>
      </c>
      <c r="CD385" t="e">
        <f>AND(#REF!,"AAAAAHb81lE=")</f>
        <v>#REF!</v>
      </c>
      <c r="CE385" t="e">
        <f>AND(#REF!,"AAAAAHb81lI=")</f>
        <v>#REF!</v>
      </c>
      <c r="CF385" t="e">
        <f>IF(#REF!,"AAAAAHb81lM=",0)</f>
        <v>#REF!</v>
      </c>
      <c r="CG385" t="e">
        <f>AND(#REF!,"AAAAAHb81lQ=")</f>
        <v>#REF!</v>
      </c>
      <c r="CH385" t="e">
        <f>AND(#REF!,"AAAAAHb81lU=")</f>
        <v>#REF!</v>
      </c>
      <c r="CI385" t="e">
        <f>AND(#REF!,"AAAAAHb81lY=")</f>
        <v>#REF!</v>
      </c>
      <c r="CJ385" t="e">
        <f>AND(#REF!,"AAAAAHb81lc=")</f>
        <v>#REF!</v>
      </c>
      <c r="CK385" t="e">
        <f>AND(#REF!,"AAAAAHb81lg=")</f>
        <v>#REF!</v>
      </c>
      <c r="CL385" t="e">
        <f>AND(#REF!,"AAAAAHb81lk=")</f>
        <v>#REF!</v>
      </c>
      <c r="CM385" t="e">
        <f>AND(#REF!,"AAAAAHb81lo=")</f>
        <v>#REF!</v>
      </c>
      <c r="CN385" t="e">
        <f>AND(#REF!,"AAAAAHb81ls=")</f>
        <v>#REF!</v>
      </c>
      <c r="CO385" t="e">
        <f>AND(#REF!,"AAAAAHb81lw=")</f>
        <v>#REF!</v>
      </c>
      <c r="CP385" t="e">
        <f>AND(#REF!,"AAAAAHb81l0=")</f>
        <v>#REF!</v>
      </c>
      <c r="CQ385" t="e">
        <f>IF(#REF!,"AAAAAHb81l4=",0)</f>
        <v>#REF!</v>
      </c>
      <c r="CR385" t="e">
        <f>AND(#REF!,"AAAAAHb81l8=")</f>
        <v>#REF!</v>
      </c>
      <c r="CS385" t="e">
        <f>AND(#REF!,"AAAAAHb81mA=")</f>
        <v>#REF!</v>
      </c>
      <c r="CT385" t="e">
        <f>AND(#REF!,"AAAAAHb81mE=")</f>
        <v>#REF!</v>
      </c>
      <c r="CU385" t="e">
        <f>AND(#REF!,"AAAAAHb81mI=")</f>
        <v>#REF!</v>
      </c>
      <c r="CV385" t="e">
        <f>AND(#REF!,"AAAAAHb81mM=")</f>
        <v>#REF!</v>
      </c>
      <c r="CW385" t="e">
        <f>AND(#REF!,"AAAAAHb81mQ=")</f>
        <v>#REF!</v>
      </c>
      <c r="CX385" t="e">
        <f>AND(#REF!,"AAAAAHb81mU=")</f>
        <v>#REF!</v>
      </c>
      <c r="CY385" t="e">
        <f>AND(#REF!,"AAAAAHb81mY=")</f>
        <v>#REF!</v>
      </c>
      <c r="CZ385" t="e">
        <f>AND(#REF!,"AAAAAHb81mc=")</f>
        <v>#REF!</v>
      </c>
      <c r="DA385" t="e">
        <f>AND(#REF!,"AAAAAHb81mg=")</f>
        <v>#REF!</v>
      </c>
      <c r="DB385" t="e">
        <f>IF(#REF!,"AAAAAHb81mk=",0)</f>
        <v>#REF!</v>
      </c>
      <c r="DC385" t="e">
        <f>AND(#REF!,"AAAAAHb81mo=")</f>
        <v>#REF!</v>
      </c>
      <c r="DD385" t="e">
        <f>AND(#REF!,"AAAAAHb81ms=")</f>
        <v>#REF!</v>
      </c>
      <c r="DE385" t="e">
        <f>AND(#REF!,"AAAAAHb81mw=")</f>
        <v>#REF!</v>
      </c>
      <c r="DF385" t="e">
        <f>AND(#REF!,"AAAAAHb81m0=")</f>
        <v>#REF!</v>
      </c>
      <c r="DG385" t="e">
        <f>AND(#REF!,"AAAAAHb81m4=")</f>
        <v>#REF!</v>
      </c>
      <c r="DH385" t="e">
        <f>AND(#REF!,"AAAAAHb81m8=")</f>
        <v>#REF!</v>
      </c>
      <c r="DI385" t="e">
        <f>AND(#REF!,"AAAAAHb81nA=")</f>
        <v>#REF!</v>
      </c>
      <c r="DJ385" t="e">
        <f>AND(#REF!,"AAAAAHb81nE=")</f>
        <v>#REF!</v>
      </c>
      <c r="DK385" t="e">
        <f>AND(#REF!,"AAAAAHb81nI=")</f>
        <v>#REF!</v>
      </c>
      <c r="DL385" t="e">
        <f>AND(#REF!,"AAAAAHb81nM=")</f>
        <v>#REF!</v>
      </c>
      <c r="DM385" t="e">
        <f>IF(#REF!,"AAAAAHb81nQ=",0)</f>
        <v>#REF!</v>
      </c>
      <c r="DN385" t="e">
        <f>AND(#REF!,"AAAAAHb81nU=")</f>
        <v>#REF!</v>
      </c>
      <c r="DO385" t="e">
        <f>AND(#REF!,"AAAAAHb81nY=")</f>
        <v>#REF!</v>
      </c>
      <c r="DP385" t="e">
        <f>AND(#REF!,"AAAAAHb81nc=")</f>
        <v>#REF!</v>
      </c>
      <c r="DQ385" t="e">
        <f>AND(#REF!,"AAAAAHb81ng=")</f>
        <v>#REF!</v>
      </c>
      <c r="DR385" t="e">
        <f>AND(#REF!,"AAAAAHb81nk=")</f>
        <v>#REF!</v>
      </c>
      <c r="DS385" t="e">
        <f>AND(#REF!,"AAAAAHb81no=")</f>
        <v>#REF!</v>
      </c>
      <c r="DT385" t="e">
        <f>AND(#REF!,"AAAAAHb81ns=")</f>
        <v>#REF!</v>
      </c>
      <c r="DU385" t="e">
        <f>AND(#REF!,"AAAAAHb81nw=")</f>
        <v>#REF!</v>
      </c>
      <c r="DV385" t="e">
        <f>AND(#REF!,"AAAAAHb81n0=")</f>
        <v>#REF!</v>
      </c>
      <c r="DW385" t="e">
        <f>AND(#REF!,"AAAAAHb81n4=")</f>
        <v>#REF!</v>
      </c>
      <c r="DX385" t="e">
        <f>IF(#REF!,"AAAAAHb81n8=",0)</f>
        <v>#REF!</v>
      </c>
      <c r="DY385" t="e">
        <f>AND(#REF!,"AAAAAHb81oA=")</f>
        <v>#REF!</v>
      </c>
      <c r="DZ385" t="e">
        <f>AND(#REF!,"AAAAAHb81oE=")</f>
        <v>#REF!</v>
      </c>
      <c r="EA385" t="e">
        <f>AND(#REF!,"AAAAAHb81oI=")</f>
        <v>#REF!</v>
      </c>
      <c r="EB385" t="e">
        <f>AND(#REF!,"AAAAAHb81oM=")</f>
        <v>#REF!</v>
      </c>
      <c r="EC385" t="e">
        <f>AND(#REF!,"AAAAAHb81oQ=")</f>
        <v>#REF!</v>
      </c>
      <c r="ED385" t="e">
        <f>AND(#REF!,"AAAAAHb81oU=")</f>
        <v>#REF!</v>
      </c>
      <c r="EE385" t="e">
        <f>AND(#REF!,"AAAAAHb81oY=")</f>
        <v>#REF!</v>
      </c>
      <c r="EF385" t="e">
        <f>AND(#REF!,"AAAAAHb81oc=")</f>
        <v>#REF!</v>
      </c>
      <c r="EG385" t="e">
        <f>AND(#REF!,"AAAAAHb81og=")</f>
        <v>#REF!</v>
      </c>
      <c r="EH385" t="e">
        <f>AND(#REF!,"AAAAAHb81ok=")</f>
        <v>#REF!</v>
      </c>
      <c r="EI385" t="e">
        <f>IF(#REF!,"AAAAAHb81oo=",0)</f>
        <v>#REF!</v>
      </c>
      <c r="EJ385" t="e">
        <f>AND(#REF!,"AAAAAHb81os=")</f>
        <v>#REF!</v>
      </c>
      <c r="EK385" t="e">
        <f>AND(#REF!,"AAAAAHb81ow=")</f>
        <v>#REF!</v>
      </c>
      <c r="EL385" t="e">
        <f>AND(#REF!,"AAAAAHb81o0=")</f>
        <v>#REF!</v>
      </c>
      <c r="EM385" t="e">
        <f>AND(#REF!,"AAAAAHb81o4=")</f>
        <v>#REF!</v>
      </c>
      <c r="EN385" t="e">
        <f>AND(#REF!,"AAAAAHb81o8=")</f>
        <v>#REF!</v>
      </c>
      <c r="EO385" t="e">
        <f>AND(#REF!,"AAAAAHb81pA=")</f>
        <v>#REF!</v>
      </c>
      <c r="EP385" t="e">
        <f>AND(#REF!,"AAAAAHb81pE=")</f>
        <v>#REF!</v>
      </c>
      <c r="EQ385" t="e">
        <f>AND(#REF!,"AAAAAHb81pI=")</f>
        <v>#REF!</v>
      </c>
      <c r="ER385" t="e">
        <f>AND(#REF!,"AAAAAHb81pM=")</f>
        <v>#REF!</v>
      </c>
      <c r="ES385" t="e">
        <f>AND(#REF!,"AAAAAHb81pQ=")</f>
        <v>#REF!</v>
      </c>
      <c r="ET385" t="e">
        <f>IF(#REF!,"AAAAAHb81pU=",0)</f>
        <v>#REF!</v>
      </c>
      <c r="EU385" t="e">
        <f>AND(#REF!,"AAAAAHb81pY=")</f>
        <v>#REF!</v>
      </c>
      <c r="EV385" t="e">
        <f>AND(#REF!,"AAAAAHb81pc=")</f>
        <v>#REF!</v>
      </c>
      <c r="EW385" t="e">
        <f>AND(#REF!,"AAAAAHb81pg=")</f>
        <v>#REF!</v>
      </c>
      <c r="EX385" t="e">
        <f>AND(#REF!,"AAAAAHb81pk=")</f>
        <v>#REF!</v>
      </c>
      <c r="EY385" t="e">
        <f>AND(#REF!,"AAAAAHb81po=")</f>
        <v>#REF!</v>
      </c>
      <c r="EZ385" t="e">
        <f>AND(#REF!,"AAAAAHb81ps=")</f>
        <v>#REF!</v>
      </c>
      <c r="FA385" t="e">
        <f>AND(#REF!,"AAAAAHb81pw=")</f>
        <v>#REF!</v>
      </c>
      <c r="FB385" t="e">
        <f>AND(#REF!,"AAAAAHb81p0=")</f>
        <v>#REF!</v>
      </c>
      <c r="FC385" t="e">
        <f>AND(#REF!,"AAAAAHb81p4=")</f>
        <v>#REF!</v>
      </c>
      <c r="FD385" t="e">
        <f>AND(#REF!,"AAAAAHb81p8=")</f>
        <v>#REF!</v>
      </c>
      <c r="FE385" t="e">
        <f>IF(#REF!,"AAAAAHb81qA=",0)</f>
        <v>#REF!</v>
      </c>
      <c r="FF385" t="e">
        <f>AND(#REF!,"AAAAAHb81qE=")</f>
        <v>#REF!</v>
      </c>
      <c r="FG385" t="e">
        <f>AND(#REF!,"AAAAAHb81qI=")</f>
        <v>#REF!</v>
      </c>
      <c r="FH385" t="e">
        <f>AND(#REF!,"AAAAAHb81qM=")</f>
        <v>#REF!</v>
      </c>
      <c r="FI385" t="e">
        <f>AND(#REF!,"AAAAAHb81qQ=")</f>
        <v>#REF!</v>
      </c>
      <c r="FJ385" t="e">
        <f>AND(#REF!,"AAAAAHb81qU=")</f>
        <v>#REF!</v>
      </c>
      <c r="FK385" t="e">
        <f>AND(#REF!,"AAAAAHb81qY=")</f>
        <v>#REF!</v>
      </c>
      <c r="FL385" t="e">
        <f>AND(#REF!,"AAAAAHb81qc=")</f>
        <v>#REF!</v>
      </c>
      <c r="FM385" t="e">
        <f>AND(#REF!,"AAAAAHb81qg=")</f>
        <v>#REF!</v>
      </c>
      <c r="FN385" t="e">
        <f>AND(#REF!,"AAAAAHb81qk=")</f>
        <v>#REF!</v>
      </c>
      <c r="FO385" t="e">
        <f>AND(#REF!,"AAAAAHb81qo=")</f>
        <v>#REF!</v>
      </c>
      <c r="FP385" t="e">
        <f>IF(#REF!,"AAAAAHb81qs=",0)</f>
        <v>#REF!</v>
      </c>
      <c r="FQ385" t="e">
        <f>AND(#REF!,"AAAAAHb81qw=")</f>
        <v>#REF!</v>
      </c>
      <c r="FR385" t="e">
        <f>AND(#REF!,"AAAAAHb81q0=")</f>
        <v>#REF!</v>
      </c>
      <c r="FS385" t="e">
        <f>AND(#REF!,"AAAAAHb81q4=")</f>
        <v>#REF!</v>
      </c>
      <c r="FT385" t="e">
        <f>AND(#REF!,"AAAAAHb81q8=")</f>
        <v>#REF!</v>
      </c>
      <c r="FU385" t="e">
        <f>AND(#REF!,"AAAAAHb81rA=")</f>
        <v>#REF!</v>
      </c>
      <c r="FV385" t="e">
        <f>AND(#REF!,"AAAAAHb81rE=")</f>
        <v>#REF!</v>
      </c>
      <c r="FW385" t="e">
        <f>AND(#REF!,"AAAAAHb81rI=")</f>
        <v>#REF!</v>
      </c>
      <c r="FX385" t="e">
        <f>AND(#REF!,"AAAAAHb81rM=")</f>
        <v>#REF!</v>
      </c>
      <c r="FY385" t="e">
        <f>AND(#REF!,"AAAAAHb81rQ=")</f>
        <v>#REF!</v>
      </c>
      <c r="FZ385" t="e">
        <f>AND(#REF!,"AAAAAHb81rU=")</f>
        <v>#REF!</v>
      </c>
      <c r="GA385" t="e">
        <f>IF(#REF!,"AAAAAHb81rY=",0)</f>
        <v>#REF!</v>
      </c>
      <c r="GB385" t="e">
        <f>AND(#REF!,"AAAAAHb81rc=")</f>
        <v>#REF!</v>
      </c>
      <c r="GC385" t="e">
        <f>AND(#REF!,"AAAAAHb81rg=")</f>
        <v>#REF!</v>
      </c>
      <c r="GD385" t="e">
        <f>AND(#REF!,"AAAAAHb81rk=")</f>
        <v>#REF!</v>
      </c>
      <c r="GE385" t="e">
        <f>AND(#REF!,"AAAAAHb81ro=")</f>
        <v>#REF!</v>
      </c>
      <c r="GF385" t="e">
        <f>AND(#REF!,"AAAAAHb81rs=")</f>
        <v>#REF!</v>
      </c>
      <c r="GG385" t="e">
        <f>AND(#REF!,"AAAAAHb81rw=")</f>
        <v>#REF!</v>
      </c>
      <c r="GH385" t="e">
        <f>AND(#REF!,"AAAAAHb81r0=")</f>
        <v>#REF!</v>
      </c>
      <c r="GI385" t="e">
        <f>AND(#REF!,"AAAAAHb81r4=")</f>
        <v>#REF!</v>
      </c>
      <c r="GJ385" t="e">
        <f>AND(#REF!,"AAAAAHb81r8=")</f>
        <v>#REF!</v>
      </c>
      <c r="GK385" t="e">
        <f>AND(#REF!,"AAAAAHb81sA=")</f>
        <v>#REF!</v>
      </c>
      <c r="GL385" t="e">
        <f>IF(#REF!,"AAAAAHb81sE=",0)</f>
        <v>#REF!</v>
      </c>
      <c r="GM385" t="e">
        <f>AND(#REF!,"AAAAAHb81sI=")</f>
        <v>#REF!</v>
      </c>
      <c r="GN385" t="e">
        <f>AND(#REF!,"AAAAAHb81sM=")</f>
        <v>#REF!</v>
      </c>
      <c r="GO385" t="e">
        <f>AND(#REF!,"AAAAAHb81sQ=")</f>
        <v>#REF!</v>
      </c>
      <c r="GP385" t="e">
        <f>AND(#REF!,"AAAAAHb81sU=")</f>
        <v>#REF!</v>
      </c>
      <c r="GQ385" t="e">
        <f>AND(#REF!,"AAAAAHb81sY=")</f>
        <v>#REF!</v>
      </c>
      <c r="GR385" t="e">
        <f>AND(#REF!,"AAAAAHb81sc=")</f>
        <v>#REF!</v>
      </c>
      <c r="GS385" t="e">
        <f>AND(#REF!,"AAAAAHb81sg=")</f>
        <v>#REF!</v>
      </c>
      <c r="GT385" t="e">
        <f>AND(#REF!,"AAAAAHb81sk=")</f>
        <v>#REF!</v>
      </c>
      <c r="GU385" t="e">
        <f>AND(#REF!,"AAAAAHb81so=")</f>
        <v>#REF!</v>
      </c>
      <c r="GV385" t="e">
        <f>AND(#REF!,"AAAAAHb81ss=")</f>
        <v>#REF!</v>
      </c>
      <c r="GW385" t="e">
        <f>IF(#REF!,"AAAAAHb81sw=",0)</f>
        <v>#REF!</v>
      </c>
      <c r="GX385" t="e">
        <f>AND(#REF!,"AAAAAHb81s0=")</f>
        <v>#REF!</v>
      </c>
      <c r="GY385" t="e">
        <f>AND(#REF!,"AAAAAHb81s4=")</f>
        <v>#REF!</v>
      </c>
      <c r="GZ385" t="e">
        <f>AND(#REF!,"AAAAAHb81s8=")</f>
        <v>#REF!</v>
      </c>
      <c r="HA385" t="e">
        <f>AND(#REF!,"AAAAAHb81tA=")</f>
        <v>#REF!</v>
      </c>
      <c r="HB385" t="e">
        <f>AND(#REF!,"AAAAAHb81tE=")</f>
        <v>#REF!</v>
      </c>
      <c r="HC385" t="e">
        <f>AND(#REF!,"AAAAAHb81tI=")</f>
        <v>#REF!</v>
      </c>
      <c r="HD385" t="e">
        <f>AND(#REF!,"AAAAAHb81tM=")</f>
        <v>#REF!</v>
      </c>
      <c r="HE385" t="e">
        <f>AND(#REF!,"AAAAAHb81tQ=")</f>
        <v>#REF!</v>
      </c>
      <c r="HF385" t="e">
        <f>AND(#REF!,"AAAAAHb81tU=")</f>
        <v>#REF!</v>
      </c>
      <c r="HG385" t="e">
        <f>AND(#REF!,"AAAAAHb81tY=")</f>
        <v>#REF!</v>
      </c>
      <c r="HH385" t="e">
        <f>IF(#REF!,"AAAAAHb81tc=",0)</f>
        <v>#REF!</v>
      </c>
      <c r="HI385" t="e">
        <f>AND(#REF!,"AAAAAHb81tg=")</f>
        <v>#REF!</v>
      </c>
      <c r="HJ385" t="e">
        <f>AND(#REF!,"AAAAAHb81tk=")</f>
        <v>#REF!</v>
      </c>
      <c r="HK385" t="e">
        <f>AND(#REF!,"AAAAAHb81to=")</f>
        <v>#REF!</v>
      </c>
      <c r="HL385" t="e">
        <f>AND(#REF!,"AAAAAHb81ts=")</f>
        <v>#REF!</v>
      </c>
      <c r="HM385" t="e">
        <f>AND(#REF!,"AAAAAHb81tw=")</f>
        <v>#REF!</v>
      </c>
      <c r="HN385" t="e">
        <f>AND(#REF!,"AAAAAHb81t0=")</f>
        <v>#REF!</v>
      </c>
      <c r="HO385" t="e">
        <f>AND(#REF!,"AAAAAHb81t4=")</f>
        <v>#REF!</v>
      </c>
      <c r="HP385" t="e">
        <f>AND(#REF!,"AAAAAHb81t8=")</f>
        <v>#REF!</v>
      </c>
      <c r="HQ385" t="e">
        <f>AND(#REF!,"AAAAAHb81uA=")</f>
        <v>#REF!</v>
      </c>
      <c r="HR385" t="e">
        <f>AND(#REF!,"AAAAAHb81uE=")</f>
        <v>#REF!</v>
      </c>
      <c r="HS385" t="e">
        <f>IF(#REF!,"AAAAAHb81uI=",0)</f>
        <v>#REF!</v>
      </c>
      <c r="HT385" t="e">
        <f>AND(#REF!,"AAAAAHb81uM=")</f>
        <v>#REF!</v>
      </c>
      <c r="HU385" t="e">
        <f>AND(#REF!,"AAAAAHb81uQ=")</f>
        <v>#REF!</v>
      </c>
      <c r="HV385" t="e">
        <f>AND(#REF!,"AAAAAHb81uU=")</f>
        <v>#REF!</v>
      </c>
      <c r="HW385" t="e">
        <f>AND(#REF!,"AAAAAHb81uY=")</f>
        <v>#REF!</v>
      </c>
      <c r="HX385" t="e">
        <f>AND(#REF!,"AAAAAHb81uc=")</f>
        <v>#REF!</v>
      </c>
      <c r="HY385" t="e">
        <f>AND(#REF!,"AAAAAHb81ug=")</f>
        <v>#REF!</v>
      </c>
      <c r="HZ385" t="e">
        <f>AND(#REF!,"AAAAAHb81uk=")</f>
        <v>#REF!</v>
      </c>
      <c r="IA385" t="e">
        <f>AND(#REF!,"AAAAAHb81uo=")</f>
        <v>#REF!</v>
      </c>
      <c r="IB385" t="e">
        <f>AND(#REF!,"AAAAAHb81us=")</f>
        <v>#REF!</v>
      </c>
      <c r="IC385" t="e">
        <f>AND(#REF!,"AAAAAHb81uw=")</f>
        <v>#REF!</v>
      </c>
      <c r="ID385" t="e">
        <f>IF(#REF!,"AAAAAHb81u0=",0)</f>
        <v>#REF!</v>
      </c>
      <c r="IE385" t="e">
        <f>AND(#REF!,"AAAAAHb81u4=")</f>
        <v>#REF!</v>
      </c>
      <c r="IF385" t="e">
        <f>AND(#REF!,"AAAAAHb81u8=")</f>
        <v>#REF!</v>
      </c>
      <c r="IG385" t="e">
        <f>AND(#REF!,"AAAAAHb81vA=")</f>
        <v>#REF!</v>
      </c>
      <c r="IH385" t="e">
        <f>AND(#REF!,"AAAAAHb81vE=")</f>
        <v>#REF!</v>
      </c>
      <c r="II385" t="e">
        <f>AND(#REF!,"AAAAAHb81vI=")</f>
        <v>#REF!</v>
      </c>
      <c r="IJ385" t="e">
        <f>AND(#REF!,"AAAAAHb81vM=")</f>
        <v>#REF!</v>
      </c>
      <c r="IK385" t="e">
        <f>AND(#REF!,"AAAAAHb81vQ=")</f>
        <v>#REF!</v>
      </c>
      <c r="IL385" t="e">
        <f>AND(#REF!,"AAAAAHb81vU=")</f>
        <v>#REF!</v>
      </c>
      <c r="IM385" t="e">
        <f>AND(#REF!,"AAAAAHb81vY=")</f>
        <v>#REF!</v>
      </c>
      <c r="IN385" t="e">
        <f>AND(#REF!,"AAAAAHb81vc=")</f>
        <v>#REF!</v>
      </c>
      <c r="IO385" t="e">
        <f>IF(#REF!,"AAAAAHb81vg=",0)</f>
        <v>#REF!</v>
      </c>
      <c r="IP385" t="e">
        <f>AND(#REF!,"AAAAAHb81vk=")</f>
        <v>#REF!</v>
      </c>
      <c r="IQ385" t="e">
        <f>AND(#REF!,"AAAAAHb81vo=")</f>
        <v>#REF!</v>
      </c>
      <c r="IR385" t="e">
        <f>AND(#REF!,"AAAAAHb81vs=")</f>
        <v>#REF!</v>
      </c>
      <c r="IS385" t="e">
        <f>AND(#REF!,"AAAAAHb81vw=")</f>
        <v>#REF!</v>
      </c>
      <c r="IT385" t="e">
        <f>AND(#REF!,"AAAAAHb81v0=")</f>
        <v>#REF!</v>
      </c>
      <c r="IU385" t="e">
        <f>AND(#REF!,"AAAAAHb81v4=")</f>
        <v>#REF!</v>
      </c>
      <c r="IV385" t="e">
        <f>AND(#REF!,"AAAAAHb81v8=")</f>
        <v>#REF!</v>
      </c>
    </row>
    <row r="386" spans="1:256" x14ac:dyDescent="0.25">
      <c r="A386" t="e">
        <f>AND(#REF!,"AAAAAGfbngA=")</f>
        <v>#REF!</v>
      </c>
      <c r="B386" t="e">
        <f>AND(#REF!,"AAAAAGfbngE=")</f>
        <v>#REF!</v>
      </c>
      <c r="C386" t="e">
        <f>AND(#REF!,"AAAAAGfbngI=")</f>
        <v>#REF!</v>
      </c>
      <c r="D386" t="e">
        <f>IF(#REF!,"AAAAAGfbngM=",0)</f>
        <v>#REF!</v>
      </c>
      <c r="E386" t="e">
        <f>AND(#REF!,"AAAAAGfbngQ=")</f>
        <v>#REF!</v>
      </c>
      <c r="F386" t="e">
        <f>AND(#REF!,"AAAAAGfbngU=")</f>
        <v>#REF!</v>
      </c>
      <c r="G386" t="e">
        <f>AND(#REF!,"AAAAAGfbngY=")</f>
        <v>#REF!</v>
      </c>
      <c r="H386" t="e">
        <f>AND(#REF!,"AAAAAGfbngc=")</f>
        <v>#REF!</v>
      </c>
      <c r="I386" t="e">
        <f>AND(#REF!,"AAAAAGfbngg=")</f>
        <v>#REF!</v>
      </c>
      <c r="J386" t="e">
        <f>AND(#REF!,"AAAAAGfbngk=")</f>
        <v>#REF!</v>
      </c>
      <c r="K386" t="e">
        <f>AND(#REF!,"AAAAAGfbngo=")</f>
        <v>#REF!</v>
      </c>
      <c r="L386" t="e">
        <f>AND(#REF!,"AAAAAGfbngs=")</f>
        <v>#REF!</v>
      </c>
      <c r="M386" t="e">
        <f>AND(#REF!,"AAAAAGfbngw=")</f>
        <v>#REF!</v>
      </c>
      <c r="N386" t="e">
        <f>AND(#REF!,"AAAAAGfbng0=")</f>
        <v>#REF!</v>
      </c>
      <c r="O386" t="e">
        <f>IF(#REF!,"AAAAAGfbng4=",0)</f>
        <v>#REF!</v>
      </c>
      <c r="P386" t="e">
        <f>AND(#REF!,"AAAAAGfbng8=")</f>
        <v>#REF!</v>
      </c>
      <c r="Q386" t="e">
        <f>AND(#REF!,"AAAAAGfbnhA=")</f>
        <v>#REF!</v>
      </c>
      <c r="R386" t="e">
        <f>AND(#REF!,"AAAAAGfbnhE=")</f>
        <v>#REF!</v>
      </c>
      <c r="S386" t="e">
        <f>AND(#REF!,"AAAAAGfbnhI=")</f>
        <v>#REF!</v>
      </c>
      <c r="T386" t="e">
        <f>AND(#REF!,"AAAAAGfbnhM=")</f>
        <v>#REF!</v>
      </c>
      <c r="U386" t="e">
        <f>AND(#REF!,"AAAAAGfbnhQ=")</f>
        <v>#REF!</v>
      </c>
      <c r="V386" t="e">
        <f>AND(#REF!,"AAAAAGfbnhU=")</f>
        <v>#REF!</v>
      </c>
      <c r="W386" t="e">
        <f>AND(#REF!,"AAAAAGfbnhY=")</f>
        <v>#REF!</v>
      </c>
      <c r="X386" t="e">
        <f>AND(#REF!,"AAAAAGfbnhc=")</f>
        <v>#REF!</v>
      </c>
      <c r="Y386" t="e">
        <f>AND(#REF!,"AAAAAGfbnhg=")</f>
        <v>#REF!</v>
      </c>
      <c r="Z386" t="e">
        <f>IF(#REF!,"AAAAAGfbnhk=",0)</f>
        <v>#REF!</v>
      </c>
      <c r="AA386" t="e">
        <f>AND(#REF!,"AAAAAGfbnho=")</f>
        <v>#REF!</v>
      </c>
      <c r="AB386" t="e">
        <f>AND(#REF!,"AAAAAGfbnhs=")</f>
        <v>#REF!</v>
      </c>
      <c r="AC386" t="e">
        <f>AND(#REF!,"AAAAAGfbnhw=")</f>
        <v>#REF!</v>
      </c>
      <c r="AD386" t="e">
        <f>AND(#REF!,"AAAAAGfbnh0=")</f>
        <v>#REF!</v>
      </c>
      <c r="AE386" t="e">
        <f>AND(#REF!,"AAAAAGfbnh4=")</f>
        <v>#REF!</v>
      </c>
      <c r="AF386" t="e">
        <f>AND(#REF!,"AAAAAGfbnh8=")</f>
        <v>#REF!</v>
      </c>
      <c r="AG386" t="e">
        <f>AND(#REF!,"AAAAAGfbniA=")</f>
        <v>#REF!</v>
      </c>
      <c r="AH386" t="e">
        <f>AND(#REF!,"AAAAAGfbniE=")</f>
        <v>#REF!</v>
      </c>
      <c r="AI386" t="e">
        <f>AND(#REF!,"AAAAAGfbniI=")</f>
        <v>#REF!</v>
      </c>
      <c r="AJ386" t="e">
        <f>AND(#REF!,"AAAAAGfbniM=")</f>
        <v>#REF!</v>
      </c>
      <c r="AK386" t="e">
        <f>IF(#REF!,"AAAAAGfbniQ=",0)</f>
        <v>#REF!</v>
      </c>
      <c r="AL386" t="e">
        <f>AND(#REF!,"AAAAAGfbniU=")</f>
        <v>#REF!</v>
      </c>
      <c r="AM386" t="e">
        <f>AND(#REF!,"AAAAAGfbniY=")</f>
        <v>#REF!</v>
      </c>
      <c r="AN386" t="e">
        <f>AND(#REF!,"AAAAAGfbnic=")</f>
        <v>#REF!</v>
      </c>
      <c r="AO386" t="e">
        <f>AND(#REF!,"AAAAAGfbnig=")</f>
        <v>#REF!</v>
      </c>
      <c r="AP386" t="e">
        <f>AND(#REF!,"AAAAAGfbnik=")</f>
        <v>#REF!</v>
      </c>
      <c r="AQ386" t="e">
        <f>AND(#REF!,"AAAAAGfbnio=")</f>
        <v>#REF!</v>
      </c>
      <c r="AR386" t="e">
        <f>AND(#REF!,"AAAAAGfbnis=")</f>
        <v>#REF!</v>
      </c>
      <c r="AS386" t="e">
        <f>AND(#REF!,"AAAAAGfbniw=")</f>
        <v>#REF!</v>
      </c>
      <c r="AT386" t="e">
        <f>AND(#REF!,"AAAAAGfbni0=")</f>
        <v>#REF!</v>
      </c>
      <c r="AU386" t="e">
        <f>AND(#REF!,"AAAAAGfbni4=")</f>
        <v>#REF!</v>
      </c>
      <c r="AV386" t="e">
        <f>IF(#REF!,"AAAAAGfbni8=",0)</f>
        <v>#REF!</v>
      </c>
      <c r="AW386" t="e">
        <f>AND(#REF!,"AAAAAGfbnjA=")</f>
        <v>#REF!</v>
      </c>
      <c r="AX386" t="e">
        <f>AND(#REF!,"AAAAAGfbnjE=")</f>
        <v>#REF!</v>
      </c>
      <c r="AY386" t="e">
        <f>AND(#REF!,"AAAAAGfbnjI=")</f>
        <v>#REF!</v>
      </c>
      <c r="AZ386" t="e">
        <f>AND(#REF!,"AAAAAGfbnjM=")</f>
        <v>#REF!</v>
      </c>
      <c r="BA386" t="e">
        <f>AND(#REF!,"AAAAAGfbnjQ=")</f>
        <v>#REF!</v>
      </c>
      <c r="BB386" t="e">
        <f>AND(#REF!,"AAAAAGfbnjU=")</f>
        <v>#REF!</v>
      </c>
      <c r="BC386" t="e">
        <f>AND(#REF!,"AAAAAGfbnjY=")</f>
        <v>#REF!</v>
      </c>
      <c r="BD386" t="e">
        <f>AND(#REF!,"AAAAAGfbnjc=")</f>
        <v>#REF!</v>
      </c>
      <c r="BE386" t="e">
        <f>AND(#REF!,"AAAAAGfbnjg=")</f>
        <v>#REF!</v>
      </c>
      <c r="BF386" t="e">
        <f>AND(#REF!,"AAAAAGfbnjk=")</f>
        <v>#REF!</v>
      </c>
      <c r="BG386" t="e">
        <f>IF(#REF!,"AAAAAGfbnjo=",0)</f>
        <v>#REF!</v>
      </c>
      <c r="BH386" t="e">
        <f>AND(#REF!,"AAAAAGfbnjs=")</f>
        <v>#REF!</v>
      </c>
      <c r="BI386" t="e">
        <f>AND(#REF!,"AAAAAGfbnjw=")</f>
        <v>#REF!</v>
      </c>
      <c r="BJ386" t="e">
        <f>AND(#REF!,"AAAAAGfbnj0=")</f>
        <v>#REF!</v>
      </c>
      <c r="BK386" t="e">
        <f>AND(#REF!,"AAAAAGfbnj4=")</f>
        <v>#REF!</v>
      </c>
      <c r="BL386" t="e">
        <f>AND(#REF!,"AAAAAGfbnj8=")</f>
        <v>#REF!</v>
      </c>
      <c r="BM386" t="e">
        <f>AND(#REF!,"AAAAAGfbnkA=")</f>
        <v>#REF!</v>
      </c>
      <c r="BN386" t="e">
        <f>AND(#REF!,"AAAAAGfbnkE=")</f>
        <v>#REF!</v>
      </c>
      <c r="BO386" t="e">
        <f>AND(#REF!,"AAAAAGfbnkI=")</f>
        <v>#REF!</v>
      </c>
      <c r="BP386" t="e">
        <f>AND(#REF!,"AAAAAGfbnkM=")</f>
        <v>#REF!</v>
      </c>
      <c r="BQ386" t="e">
        <f>AND(#REF!,"AAAAAGfbnkQ=")</f>
        <v>#REF!</v>
      </c>
      <c r="BR386" t="e">
        <f>IF(#REF!,"AAAAAGfbnkU=",0)</f>
        <v>#REF!</v>
      </c>
      <c r="BS386" t="e">
        <f>AND(#REF!,"AAAAAGfbnkY=")</f>
        <v>#REF!</v>
      </c>
      <c r="BT386" t="e">
        <f>AND(#REF!,"AAAAAGfbnkc=")</f>
        <v>#REF!</v>
      </c>
      <c r="BU386" t="e">
        <f>AND(#REF!,"AAAAAGfbnkg=")</f>
        <v>#REF!</v>
      </c>
      <c r="BV386" t="e">
        <f>AND(#REF!,"AAAAAGfbnkk=")</f>
        <v>#REF!</v>
      </c>
      <c r="BW386" t="e">
        <f>AND(#REF!,"AAAAAGfbnko=")</f>
        <v>#REF!</v>
      </c>
      <c r="BX386" t="e">
        <f>AND(#REF!,"AAAAAGfbnks=")</f>
        <v>#REF!</v>
      </c>
      <c r="BY386" t="e">
        <f>AND(#REF!,"AAAAAGfbnkw=")</f>
        <v>#REF!</v>
      </c>
      <c r="BZ386" t="e">
        <f>AND(#REF!,"AAAAAGfbnk0=")</f>
        <v>#REF!</v>
      </c>
      <c r="CA386" t="e">
        <f>AND(#REF!,"AAAAAGfbnk4=")</f>
        <v>#REF!</v>
      </c>
      <c r="CB386" t="e">
        <f>AND(#REF!,"AAAAAGfbnk8=")</f>
        <v>#REF!</v>
      </c>
      <c r="CC386" t="e">
        <f>IF(#REF!,"AAAAAGfbnlA=",0)</f>
        <v>#REF!</v>
      </c>
      <c r="CD386" t="e">
        <f>AND(#REF!,"AAAAAGfbnlE=")</f>
        <v>#REF!</v>
      </c>
      <c r="CE386" t="e">
        <f>AND(#REF!,"AAAAAGfbnlI=")</f>
        <v>#REF!</v>
      </c>
      <c r="CF386" t="e">
        <f>AND(#REF!,"AAAAAGfbnlM=")</f>
        <v>#REF!</v>
      </c>
      <c r="CG386" t="e">
        <f>AND(#REF!,"AAAAAGfbnlQ=")</f>
        <v>#REF!</v>
      </c>
      <c r="CH386" t="e">
        <f>AND(#REF!,"AAAAAGfbnlU=")</f>
        <v>#REF!</v>
      </c>
      <c r="CI386" t="e">
        <f>AND(#REF!,"AAAAAGfbnlY=")</f>
        <v>#REF!</v>
      </c>
      <c r="CJ386" t="e">
        <f>AND(#REF!,"AAAAAGfbnlc=")</f>
        <v>#REF!</v>
      </c>
      <c r="CK386" t="e">
        <f>AND(#REF!,"AAAAAGfbnlg=")</f>
        <v>#REF!</v>
      </c>
      <c r="CL386" t="e">
        <f>AND(#REF!,"AAAAAGfbnlk=")</f>
        <v>#REF!</v>
      </c>
      <c r="CM386" t="e">
        <f>AND(#REF!,"AAAAAGfbnlo=")</f>
        <v>#REF!</v>
      </c>
      <c r="CN386" t="e">
        <f>IF(#REF!,"AAAAAGfbnls=",0)</f>
        <v>#REF!</v>
      </c>
      <c r="CO386" t="e">
        <f>AND(#REF!,"AAAAAGfbnlw=")</f>
        <v>#REF!</v>
      </c>
      <c r="CP386" t="e">
        <f>AND(#REF!,"AAAAAGfbnl0=")</f>
        <v>#REF!</v>
      </c>
      <c r="CQ386" t="e">
        <f>AND(#REF!,"AAAAAGfbnl4=")</f>
        <v>#REF!</v>
      </c>
      <c r="CR386" t="e">
        <f>AND(#REF!,"AAAAAGfbnl8=")</f>
        <v>#REF!</v>
      </c>
      <c r="CS386" t="e">
        <f>AND(#REF!,"AAAAAGfbnmA=")</f>
        <v>#REF!</v>
      </c>
      <c r="CT386" t="e">
        <f>AND(#REF!,"AAAAAGfbnmE=")</f>
        <v>#REF!</v>
      </c>
      <c r="CU386" t="e">
        <f>AND(#REF!,"AAAAAGfbnmI=")</f>
        <v>#REF!</v>
      </c>
      <c r="CV386" t="e">
        <f>AND(#REF!,"AAAAAGfbnmM=")</f>
        <v>#REF!</v>
      </c>
      <c r="CW386" t="e">
        <f>AND(#REF!,"AAAAAGfbnmQ=")</f>
        <v>#REF!</v>
      </c>
      <c r="CX386" t="e">
        <f>AND(#REF!,"AAAAAGfbnmU=")</f>
        <v>#REF!</v>
      </c>
      <c r="CY386" t="e">
        <f>IF(#REF!,"AAAAAGfbnmY=",0)</f>
        <v>#REF!</v>
      </c>
      <c r="CZ386" t="e">
        <f>AND(#REF!,"AAAAAGfbnmc=")</f>
        <v>#REF!</v>
      </c>
      <c r="DA386" t="e">
        <f>AND(#REF!,"AAAAAGfbnmg=")</f>
        <v>#REF!</v>
      </c>
      <c r="DB386" t="e">
        <f>AND(#REF!,"AAAAAGfbnmk=")</f>
        <v>#REF!</v>
      </c>
      <c r="DC386" t="e">
        <f>AND(#REF!,"AAAAAGfbnmo=")</f>
        <v>#REF!</v>
      </c>
      <c r="DD386" t="e">
        <f>AND(#REF!,"AAAAAGfbnms=")</f>
        <v>#REF!</v>
      </c>
      <c r="DE386" t="e">
        <f>AND(#REF!,"AAAAAGfbnmw=")</f>
        <v>#REF!</v>
      </c>
      <c r="DF386" t="e">
        <f>AND(#REF!,"AAAAAGfbnm0=")</f>
        <v>#REF!</v>
      </c>
      <c r="DG386" t="e">
        <f>AND(#REF!,"AAAAAGfbnm4=")</f>
        <v>#REF!</v>
      </c>
      <c r="DH386" t="e">
        <f>AND(#REF!,"AAAAAGfbnm8=")</f>
        <v>#REF!</v>
      </c>
      <c r="DI386" t="e">
        <f>AND(#REF!,"AAAAAGfbnnA=")</f>
        <v>#REF!</v>
      </c>
      <c r="DJ386" t="e">
        <f>IF(#REF!,"AAAAAGfbnnE=",0)</f>
        <v>#REF!</v>
      </c>
      <c r="DK386" t="e">
        <f>AND(#REF!,"AAAAAGfbnnI=")</f>
        <v>#REF!</v>
      </c>
      <c r="DL386" t="e">
        <f>AND(#REF!,"AAAAAGfbnnM=")</f>
        <v>#REF!</v>
      </c>
      <c r="DM386" t="e">
        <f>AND(#REF!,"AAAAAGfbnnQ=")</f>
        <v>#REF!</v>
      </c>
      <c r="DN386" t="e">
        <f>AND(#REF!,"AAAAAGfbnnU=")</f>
        <v>#REF!</v>
      </c>
      <c r="DO386" t="e">
        <f>AND(#REF!,"AAAAAGfbnnY=")</f>
        <v>#REF!</v>
      </c>
      <c r="DP386" t="e">
        <f>AND(#REF!,"AAAAAGfbnnc=")</f>
        <v>#REF!</v>
      </c>
      <c r="DQ386" t="e">
        <f>AND(#REF!,"AAAAAGfbnng=")</f>
        <v>#REF!</v>
      </c>
      <c r="DR386" t="e">
        <f>AND(#REF!,"AAAAAGfbnnk=")</f>
        <v>#REF!</v>
      </c>
      <c r="DS386" t="e">
        <f>AND(#REF!,"AAAAAGfbnno=")</f>
        <v>#REF!</v>
      </c>
      <c r="DT386" t="e">
        <f>AND(#REF!,"AAAAAGfbnns=")</f>
        <v>#REF!</v>
      </c>
      <c r="DU386" t="e">
        <f>IF(#REF!,"AAAAAGfbnnw=",0)</f>
        <v>#REF!</v>
      </c>
      <c r="DV386" t="e">
        <f>AND(#REF!,"AAAAAGfbnn0=")</f>
        <v>#REF!</v>
      </c>
      <c r="DW386" t="e">
        <f>AND(#REF!,"AAAAAGfbnn4=")</f>
        <v>#REF!</v>
      </c>
      <c r="DX386" t="e">
        <f>AND(#REF!,"AAAAAGfbnn8=")</f>
        <v>#REF!</v>
      </c>
      <c r="DY386" t="e">
        <f>AND(#REF!,"AAAAAGfbnoA=")</f>
        <v>#REF!</v>
      </c>
      <c r="DZ386" t="e">
        <f>AND(#REF!,"AAAAAGfbnoE=")</f>
        <v>#REF!</v>
      </c>
      <c r="EA386" t="e">
        <f>AND(#REF!,"AAAAAGfbnoI=")</f>
        <v>#REF!</v>
      </c>
      <c r="EB386" t="e">
        <f>AND(#REF!,"AAAAAGfbnoM=")</f>
        <v>#REF!</v>
      </c>
      <c r="EC386" t="e">
        <f>AND(#REF!,"AAAAAGfbnoQ=")</f>
        <v>#REF!</v>
      </c>
      <c r="ED386" t="e">
        <f>AND(#REF!,"AAAAAGfbnoU=")</f>
        <v>#REF!</v>
      </c>
      <c r="EE386" t="e">
        <f>AND(#REF!,"AAAAAGfbnoY=")</f>
        <v>#REF!</v>
      </c>
      <c r="EF386" t="e">
        <f>IF(#REF!,"AAAAAGfbnoc=",0)</f>
        <v>#REF!</v>
      </c>
      <c r="EG386" t="e">
        <f>AND(#REF!,"AAAAAGfbnog=")</f>
        <v>#REF!</v>
      </c>
      <c r="EH386" t="e">
        <f>AND(#REF!,"AAAAAGfbnok=")</f>
        <v>#REF!</v>
      </c>
      <c r="EI386" t="e">
        <f>AND(#REF!,"AAAAAGfbnoo=")</f>
        <v>#REF!</v>
      </c>
      <c r="EJ386" t="e">
        <f>AND(#REF!,"AAAAAGfbnos=")</f>
        <v>#REF!</v>
      </c>
      <c r="EK386" t="e">
        <f>AND(#REF!,"AAAAAGfbnow=")</f>
        <v>#REF!</v>
      </c>
      <c r="EL386" t="e">
        <f>AND(#REF!,"AAAAAGfbno0=")</f>
        <v>#REF!</v>
      </c>
      <c r="EM386" t="e">
        <f>AND(#REF!,"AAAAAGfbno4=")</f>
        <v>#REF!</v>
      </c>
      <c r="EN386" t="e">
        <f>AND(#REF!,"AAAAAGfbno8=")</f>
        <v>#REF!</v>
      </c>
      <c r="EO386" t="e">
        <f>AND(#REF!,"AAAAAGfbnpA=")</f>
        <v>#REF!</v>
      </c>
      <c r="EP386" t="e">
        <f>AND(#REF!,"AAAAAGfbnpE=")</f>
        <v>#REF!</v>
      </c>
      <c r="EQ386" t="e">
        <f>IF(#REF!,"AAAAAGfbnpI=",0)</f>
        <v>#REF!</v>
      </c>
      <c r="ER386" t="e">
        <f>AND(#REF!,"AAAAAGfbnpM=")</f>
        <v>#REF!</v>
      </c>
      <c r="ES386" t="e">
        <f>AND(#REF!,"AAAAAGfbnpQ=")</f>
        <v>#REF!</v>
      </c>
      <c r="ET386" t="e">
        <f>AND(#REF!,"AAAAAGfbnpU=")</f>
        <v>#REF!</v>
      </c>
      <c r="EU386" t="e">
        <f>AND(#REF!,"AAAAAGfbnpY=")</f>
        <v>#REF!</v>
      </c>
      <c r="EV386" t="e">
        <f>AND(#REF!,"AAAAAGfbnpc=")</f>
        <v>#REF!</v>
      </c>
      <c r="EW386" t="e">
        <f>AND(#REF!,"AAAAAGfbnpg=")</f>
        <v>#REF!</v>
      </c>
      <c r="EX386" t="e">
        <f>AND(#REF!,"AAAAAGfbnpk=")</f>
        <v>#REF!</v>
      </c>
      <c r="EY386" t="e">
        <f>AND(#REF!,"AAAAAGfbnpo=")</f>
        <v>#REF!</v>
      </c>
      <c r="EZ386" t="e">
        <f>AND(#REF!,"AAAAAGfbnps=")</f>
        <v>#REF!</v>
      </c>
      <c r="FA386" t="e">
        <f>AND(#REF!,"AAAAAGfbnpw=")</f>
        <v>#REF!</v>
      </c>
      <c r="FB386" t="e">
        <f>IF(#REF!,"AAAAAGfbnp0=",0)</f>
        <v>#REF!</v>
      </c>
      <c r="FC386" t="e">
        <f>AND(#REF!,"AAAAAGfbnp4=")</f>
        <v>#REF!</v>
      </c>
      <c r="FD386" t="e">
        <f>AND(#REF!,"AAAAAGfbnp8=")</f>
        <v>#REF!</v>
      </c>
      <c r="FE386" t="e">
        <f>AND(#REF!,"AAAAAGfbnqA=")</f>
        <v>#REF!</v>
      </c>
      <c r="FF386" t="e">
        <f>AND(#REF!,"AAAAAGfbnqE=")</f>
        <v>#REF!</v>
      </c>
      <c r="FG386" t="e">
        <f>AND(#REF!,"AAAAAGfbnqI=")</f>
        <v>#REF!</v>
      </c>
      <c r="FH386" t="e">
        <f>AND(#REF!,"AAAAAGfbnqM=")</f>
        <v>#REF!</v>
      </c>
      <c r="FI386" t="e">
        <f>AND(#REF!,"AAAAAGfbnqQ=")</f>
        <v>#REF!</v>
      </c>
      <c r="FJ386" t="e">
        <f>AND(#REF!,"AAAAAGfbnqU=")</f>
        <v>#REF!</v>
      </c>
      <c r="FK386" t="e">
        <f>AND(#REF!,"AAAAAGfbnqY=")</f>
        <v>#REF!</v>
      </c>
      <c r="FL386" t="e">
        <f>AND(#REF!,"AAAAAGfbnqc=")</f>
        <v>#REF!</v>
      </c>
      <c r="FM386" t="e">
        <f>IF(#REF!,"AAAAAGfbnqg=",0)</f>
        <v>#REF!</v>
      </c>
      <c r="FN386" t="e">
        <f>AND(#REF!,"AAAAAGfbnqk=")</f>
        <v>#REF!</v>
      </c>
      <c r="FO386" t="e">
        <f>AND(#REF!,"AAAAAGfbnqo=")</f>
        <v>#REF!</v>
      </c>
      <c r="FP386" t="e">
        <f>AND(#REF!,"AAAAAGfbnqs=")</f>
        <v>#REF!</v>
      </c>
      <c r="FQ386" t="e">
        <f>AND(#REF!,"AAAAAGfbnqw=")</f>
        <v>#REF!</v>
      </c>
      <c r="FR386" t="e">
        <f>AND(#REF!,"AAAAAGfbnq0=")</f>
        <v>#REF!</v>
      </c>
      <c r="FS386" t="e">
        <f>AND(#REF!,"AAAAAGfbnq4=")</f>
        <v>#REF!</v>
      </c>
      <c r="FT386" t="e">
        <f>AND(#REF!,"AAAAAGfbnq8=")</f>
        <v>#REF!</v>
      </c>
      <c r="FU386" t="e">
        <f>AND(#REF!,"AAAAAGfbnrA=")</f>
        <v>#REF!</v>
      </c>
      <c r="FV386" t="e">
        <f>AND(#REF!,"AAAAAGfbnrE=")</f>
        <v>#REF!</v>
      </c>
      <c r="FW386" t="e">
        <f>AND(#REF!,"AAAAAGfbnrI=")</f>
        <v>#REF!</v>
      </c>
      <c r="FX386" t="e">
        <f>IF(#REF!,"AAAAAGfbnrM=",0)</f>
        <v>#REF!</v>
      </c>
      <c r="FY386" t="e">
        <f>AND(#REF!,"AAAAAGfbnrQ=")</f>
        <v>#REF!</v>
      </c>
      <c r="FZ386" t="e">
        <f>AND(#REF!,"AAAAAGfbnrU=")</f>
        <v>#REF!</v>
      </c>
      <c r="GA386" t="e">
        <f>AND(#REF!,"AAAAAGfbnrY=")</f>
        <v>#REF!</v>
      </c>
      <c r="GB386" t="e">
        <f>AND(#REF!,"AAAAAGfbnrc=")</f>
        <v>#REF!</v>
      </c>
      <c r="GC386" t="e">
        <f>AND(#REF!,"AAAAAGfbnrg=")</f>
        <v>#REF!</v>
      </c>
      <c r="GD386" t="e">
        <f>AND(#REF!,"AAAAAGfbnrk=")</f>
        <v>#REF!</v>
      </c>
      <c r="GE386" t="e">
        <f>AND(#REF!,"AAAAAGfbnro=")</f>
        <v>#REF!</v>
      </c>
      <c r="GF386" t="e">
        <f>AND(#REF!,"AAAAAGfbnrs=")</f>
        <v>#REF!</v>
      </c>
      <c r="GG386" t="e">
        <f>AND(#REF!,"AAAAAGfbnrw=")</f>
        <v>#REF!</v>
      </c>
      <c r="GH386" t="e">
        <f>AND(#REF!,"AAAAAGfbnr0=")</f>
        <v>#REF!</v>
      </c>
      <c r="GI386" t="e">
        <f>IF(#REF!,"AAAAAGfbnr4=",0)</f>
        <v>#REF!</v>
      </c>
      <c r="GJ386" t="e">
        <f>AND(#REF!,"AAAAAGfbnr8=")</f>
        <v>#REF!</v>
      </c>
      <c r="GK386" t="e">
        <f>AND(#REF!,"AAAAAGfbnsA=")</f>
        <v>#REF!</v>
      </c>
      <c r="GL386" t="e">
        <f>AND(#REF!,"AAAAAGfbnsE=")</f>
        <v>#REF!</v>
      </c>
      <c r="GM386" t="e">
        <f>AND(#REF!,"AAAAAGfbnsI=")</f>
        <v>#REF!</v>
      </c>
      <c r="GN386" t="e">
        <f>AND(#REF!,"AAAAAGfbnsM=")</f>
        <v>#REF!</v>
      </c>
      <c r="GO386" t="e">
        <f>AND(#REF!,"AAAAAGfbnsQ=")</f>
        <v>#REF!</v>
      </c>
      <c r="GP386" t="e">
        <f>AND(#REF!,"AAAAAGfbnsU=")</f>
        <v>#REF!</v>
      </c>
      <c r="GQ386" t="e">
        <f>AND(#REF!,"AAAAAGfbnsY=")</f>
        <v>#REF!</v>
      </c>
      <c r="GR386" t="e">
        <f>AND(#REF!,"AAAAAGfbnsc=")</f>
        <v>#REF!</v>
      </c>
      <c r="GS386" t="e">
        <f>AND(#REF!,"AAAAAGfbnsg=")</f>
        <v>#REF!</v>
      </c>
      <c r="GT386" t="e">
        <f>IF(#REF!,"AAAAAGfbnsk=",0)</f>
        <v>#REF!</v>
      </c>
      <c r="GU386" t="e">
        <f>AND(#REF!,"AAAAAGfbnso=")</f>
        <v>#REF!</v>
      </c>
      <c r="GV386" t="e">
        <f>AND(#REF!,"AAAAAGfbnss=")</f>
        <v>#REF!</v>
      </c>
      <c r="GW386" t="e">
        <f>AND(#REF!,"AAAAAGfbnsw=")</f>
        <v>#REF!</v>
      </c>
      <c r="GX386" t="e">
        <f>AND(#REF!,"AAAAAGfbns0=")</f>
        <v>#REF!</v>
      </c>
      <c r="GY386" t="e">
        <f>AND(#REF!,"AAAAAGfbns4=")</f>
        <v>#REF!</v>
      </c>
      <c r="GZ386" t="e">
        <f>AND(#REF!,"AAAAAGfbns8=")</f>
        <v>#REF!</v>
      </c>
      <c r="HA386" t="e">
        <f>AND(#REF!,"AAAAAGfbntA=")</f>
        <v>#REF!</v>
      </c>
      <c r="HB386" t="e">
        <f>AND(#REF!,"AAAAAGfbntE=")</f>
        <v>#REF!</v>
      </c>
      <c r="HC386" t="e">
        <f>AND(#REF!,"AAAAAGfbntI=")</f>
        <v>#REF!</v>
      </c>
      <c r="HD386" t="e">
        <f>AND(#REF!,"AAAAAGfbntM=")</f>
        <v>#REF!</v>
      </c>
      <c r="HE386" t="e">
        <f>IF(#REF!,"AAAAAGfbntQ=",0)</f>
        <v>#REF!</v>
      </c>
      <c r="HF386" t="e">
        <f>AND(#REF!,"AAAAAGfbntU=")</f>
        <v>#REF!</v>
      </c>
      <c r="HG386" t="e">
        <f>AND(#REF!,"AAAAAGfbntY=")</f>
        <v>#REF!</v>
      </c>
      <c r="HH386" t="e">
        <f>AND(#REF!,"AAAAAGfbntc=")</f>
        <v>#REF!</v>
      </c>
      <c r="HI386" t="e">
        <f>AND(#REF!,"AAAAAGfbntg=")</f>
        <v>#REF!</v>
      </c>
      <c r="HJ386" t="e">
        <f>AND(#REF!,"AAAAAGfbntk=")</f>
        <v>#REF!</v>
      </c>
      <c r="HK386" t="e">
        <f>AND(#REF!,"AAAAAGfbnto=")</f>
        <v>#REF!</v>
      </c>
      <c r="HL386" t="e">
        <f>AND(#REF!,"AAAAAGfbnts=")</f>
        <v>#REF!</v>
      </c>
      <c r="HM386" t="e">
        <f>AND(#REF!,"AAAAAGfbntw=")</f>
        <v>#REF!</v>
      </c>
      <c r="HN386" t="e">
        <f>AND(#REF!,"AAAAAGfbnt0=")</f>
        <v>#REF!</v>
      </c>
      <c r="HO386" t="e">
        <f>AND(#REF!,"AAAAAGfbnt4=")</f>
        <v>#REF!</v>
      </c>
      <c r="HP386" t="e">
        <f>IF(#REF!,"AAAAAGfbnt8=",0)</f>
        <v>#REF!</v>
      </c>
      <c r="HQ386" t="e">
        <f>AND(#REF!,"AAAAAGfbnuA=")</f>
        <v>#REF!</v>
      </c>
      <c r="HR386" t="e">
        <f>AND(#REF!,"AAAAAGfbnuE=")</f>
        <v>#REF!</v>
      </c>
      <c r="HS386" t="e">
        <f>AND(#REF!,"AAAAAGfbnuI=")</f>
        <v>#REF!</v>
      </c>
      <c r="HT386" t="e">
        <f>AND(#REF!,"AAAAAGfbnuM=")</f>
        <v>#REF!</v>
      </c>
      <c r="HU386" t="e">
        <f>AND(#REF!,"AAAAAGfbnuQ=")</f>
        <v>#REF!</v>
      </c>
      <c r="HV386" t="e">
        <f>AND(#REF!,"AAAAAGfbnuU=")</f>
        <v>#REF!</v>
      </c>
      <c r="HW386" t="e">
        <f>AND(#REF!,"AAAAAGfbnuY=")</f>
        <v>#REF!</v>
      </c>
      <c r="HX386" t="e">
        <f>AND(#REF!,"AAAAAGfbnuc=")</f>
        <v>#REF!</v>
      </c>
      <c r="HY386" t="e">
        <f>AND(#REF!,"AAAAAGfbnug=")</f>
        <v>#REF!</v>
      </c>
      <c r="HZ386" t="e">
        <f>AND(#REF!,"AAAAAGfbnuk=")</f>
        <v>#REF!</v>
      </c>
      <c r="IA386" t="e">
        <f>IF(#REF!,"AAAAAGfbnuo=",0)</f>
        <v>#REF!</v>
      </c>
      <c r="IB386" t="e">
        <f>AND(#REF!,"AAAAAGfbnus=")</f>
        <v>#REF!</v>
      </c>
      <c r="IC386" t="e">
        <f>AND(#REF!,"AAAAAGfbnuw=")</f>
        <v>#REF!</v>
      </c>
      <c r="ID386" t="e">
        <f>AND(#REF!,"AAAAAGfbnu0=")</f>
        <v>#REF!</v>
      </c>
      <c r="IE386" t="e">
        <f>AND(#REF!,"AAAAAGfbnu4=")</f>
        <v>#REF!</v>
      </c>
      <c r="IF386" t="e">
        <f>AND(#REF!,"AAAAAGfbnu8=")</f>
        <v>#REF!</v>
      </c>
      <c r="IG386" t="e">
        <f>AND(#REF!,"AAAAAGfbnvA=")</f>
        <v>#REF!</v>
      </c>
      <c r="IH386" t="e">
        <f>AND(#REF!,"AAAAAGfbnvE=")</f>
        <v>#REF!</v>
      </c>
      <c r="II386" t="e">
        <f>AND(#REF!,"AAAAAGfbnvI=")</f>
        <v>#REF!</v>
      </c>
      <c r="IJ386" t="e">
        <f>AND(#REF!,"AAAAAGfbnvM=")</f>
        <v>#REF!</v>
      </c>
      <c r="IK386" t="e">
        <f>AND(#REF!,"AAAAAGfbnvQ=")</f>
        <v>#REF!</v>
      </c>
      <c r="IL386" t="e">
        <f>IF(#REF!,"AAAAAGfbnvU=",0)</f>
        <v>#REF!</v>
      </c>
      <c r="IM386" t="e">
        <f>AND(#REF!,"AAAAAGfbnvY=")</f>
        <v>#REF!</v>
      </c>
      <c r="IN386" t="e">
        <f>AND(#REF!,"AAAAAGfbnvc=")</f>
        <v>#REF!</v>
      </c>
      <c r="IO386" t="e">
        <f>AND(#REF!,"AAAAAGfbnvg=")</f>
        <v>#REF!</v>
      </c>
      <c r="IP386" t="e">
        <f>AND(#REF!,"AAAAAGfbnvk=")</f>
        <v>#REF!</v>
      </c>
      <c r="IQ386" t="e">
        <f>AND(#REF!,"AAAAAGfbnvo=")</f>
        <v>#REF!</v>
      </c>
      <c r="IR386" t="e">
        <f>AND(#REF!,"AAAAAGfbnvs=")</f>
        <v>#REF!</v>
      </c>
      <c r="IS386" t="e">
        <f>AND(#REF!,"AAAAAGfbnvw=")</f>
        <v>#REF!</v>
      </c>
      <c r="IT386" t="e">
        <f>AND(#REF!,"AAAAAGfbnv0=")</f>
        <v>#REF!</v>
      </c>
      <c r="IU386" t="e">
        <f>AND(#REF!,"AAAAAGfbnv4=")</f>
        <v>#REF!</v>
      </c>
      <c r="IV386" t="e">
        <f>AND(#REF!,"AAAAAGfbnv8=")</f>
        <v>#REF!</v>
      </c>
    </row>
    <row r="387" spans="1:256" x14ac:dyDescent="0.25">
      <c r="A387" t="e">
        <f>IF(#REF!,"AAAAAC/+6gA=",0)</f>
        <v>#REF!</v>
      </c>
      <c r="B387" t="e">
        <f>AND(#REF!,"AAAAAC/+6gE=")</f>
        <v>#REF!</v>
      </c>
      <c r="C387" t="e">
        <f>AND(#REF!,"AAAAAC/+6gI=")</f>
        <v>#REF!</v>
      </c>
      <c r="D387" t="e">
        <f>AND(#REF!,"AAAAAC/+6gM=")</f>
        <v>#REF!</v>
      </c>
      <c r="E387" t="e">
        <f>AND(#REF!,"AAAAAC/+6gQ=")</f>
        <v>#REF!</v>
      </c>
      <c r="F387" t="e">
        <f>AND(#REF!,"AAAAAC/+6gU=")</f>
        <v>#REF!</v>
      </c>
      <c r="G387" t="e">
        <f>AND(#REF!,"AAAAAC/+6gY=")</f>
        <v>#REF!</v>
      </c>
      <c r="H387" t="e">
        <f>AND(#REF!,"AAAAAC/+6gc=")</f>
        <v>#REF!</v>
      </c>
      <c r="I387" t="e">
        <f>AND(#REF!,"AAAAAC/+6gg=")</f>
        <v>#REF!</v>
      </c>
      <c r="J387" t="e">
        <f>AND(#REF!,"AAAAAC/+6gk=")</f>
        <v>#REF!</v>
      </c>
      <c r="K387" t="e">
        <f>AND(#REF!,"AAAAAC/+6go=")</f>
        <v>#REF!</v>
      </c>
      <c r="L387" t="e">
        <f>IF(#REF!,"AAAAAC/+6gs=",0)</f>
        <v>#REF!</v>
      </c>
      <c r="M387" t="e">
        <f>AND(#REF!,"AAAAAC/+6gw=")</f>
        <v>#REF!</v>
      </c>
      <c r="N387" t="e">
        <f>AND(#REF!,"AAAAAC/+6g0=")</f>
        <v>#REF!</v>
      </c>
      <c r="O387" t="e">
        <f>AND(#REF!,"AAAAAC/+6g4=")</f>
        <v>#REF!</v>
      </c>
      <c r="P387" t="e">
        <f>AND(#REF!,"AAAAAC/+6g8=")</f>
        <v>#REF!</v>
      </c>
      <c r="Q387" t="e">
        <f>AND(#REF!,"AAAAAC/+6hA=")</f>
        <v>#REF!</v>
      </c>
      <c r="R387" t="e">
        <f>AND(#REF!,"AAAAAC/+6hE=")</f>
        <v>#REF!</v>
      </c>
      <c r="S387" t="e">
        <f>AND(#REF!,"AAAAAC/+6hI=")</f>
        <v>#REF!</v>
      </c>
      <c r="T387" t="e">
        <f>AND(#REF!,"AAAAAC/+6hM=")</f>
        <v>#REF!</v>
      </c>
      <c r="U387" t="e">
        <f>AND(#REF!,"AAAAAC/+6hQ=")</f>
        <v>#REF!</v>
      </c>
      <c r="V387" t="e">
        <f>AND(#REF!,"AAAAAC/+6hU=")</f>
        <v>#REF!</v>
      </c>
      <c r="W387" t="e">
        <f>IF(#REF!,"AAAAAC/+6hY=",0)</f>
        <v>#REF!</v>
      </c>
      <c r="X387" t="e">
        <f>AND(#REF!,"AAAAAC/+6hc=")</f>
        <v>#REF!</v>
      </c>
      <c r="Y387" t="e">
        <f>AND(#REF!,"AAAAAC/+6hg=")</f>
        <v>#REF!</v>
      </c>
      <c r="Z387" t="e">
        <f>AND(#REF!,"AAAAAC/+6hk=")</f>
        <v>#REF!</v>
      </c>
      <c r="AA387" t="e">
        <f>AND(#REF!,"AAAAAC/+6ho=")</f>
        <v>#REF!</v>
      </c>
      <c r="AB387" t="e">
        <f>AND(#REF!,"AAAAAC/+6hs=")</f>
        <v>#REF!</v>
      </c>
      <c r="AC387" t="e">
        <f>AND(#REF!,"AAAAAC/+6hw=")</f>
        <v>#REF!</v>
      </c>
      <c r="AD387" t="e">
        <f>AND(#REF!,"AAAAAC/+6h0=")</f>
        <v>#REF!</v>
      </c>
      <c r="AE387" t="e">
        <f>AND(#REF!,"AAAAAC/+6h4=")</f>
        <v>#REF!</v>
      </c>
      <c r="AF387" t="e">
        <f>AND(#REF!,"AAAAAC/+6h8=")</f>
        <v>#REF!</v>
      </c>
      <c r="AG387" t="e">
        <f>AND(#REF!,"AAAAAC/+6iA=")</f>
        <v>#REF!</v>
      </c>
      <c r="AH387" t="e">
        <f>IF(#REF!,"AAAAAC/+6iE=",0)</f>
        <v>#REF!</v>
      </c>
      <c r="AI387" t="e">
        <f>AND(#REF!,"AAAAAC/+6iI=")</f>
        <v>#REF!</v>
      </c>
      <c r="AJ387" t="e">
        <f>AND(#REF!,"AAAAAC/+6iM=")</f>
        <v>#REF!</v>
      </c>
      <c r="AK387" t="e">
        <f>AND(#REF!,"AAAAAC/+6iQ=")</f>
        <v>#REF!</v>
      </c>
      <c r="AL387" t="e">
        <f>AND(#REF!,"AAAAAC/+6iU=")</f>
        <v>#REF!</v>
      </c>
      <c r="AM387" t="e">
        <f>AND(#REF!,"AAAAAC/+6iY=")</f>
        <v>#REF!</v>
      </c>
      <c r="AN387" t="e">
        <f>AND(#REF!,"AAAAAC/+6ic=")</f>
        <v>#REF!</v>
      </c>
      <c r="AO387" t="e">
        <f>AND(#REF!,"AAAAAC/+6ig=")</f>
        <v>#REF!</v>
      </c>
      <c r="AP387" t="e">
        <f>AND(#REF!,"AAAAAC/+6ik=")</f>
        <v>#REF!</v>
      </c>
      <c r="AQ387" t="e">
        <f>AND(#REF!,"AAAAAC/+6io=")</f>
        <v>#REF!</v>
      </c>
      <c r="AR387" t="e">
        <f>AND(#REF!,"AAAAAC/+6is=")</f>
        <v>#REF!</v>
      </c>
      <c r="AS387" t="e">
        <f>IF(#REF!,"AAAAAC/+6iw=",0)</f>
        <v>#REF!</v>
      </c>
      <c r="AT387" t="e">
        <f>AND(#REF!,"AAAAAC/+6i0=")</f>
        <v>#REF!</v>
      </c>
      <c r="AU387" t="e">
        <f>AND(#REF!,"AAAAAC/+6i4=")</f>
        <v>#REF!</v>
      </c>
      <c r="AV387" t="e">
        <f>AND(#REF!,"AAAAAC/+6i8=")</f>
        <v>#REF!</v>
      </c>
      <c r="AW387" t="e">
        <f>AND(#REF!,"AAAAAC/+6jA=")</f>
        <v>#REF!</v>
      </c>
      <c r="AX387" t="e">
        <f>AND(#REF!,"AAAAAC/+6jE=")</f>
        <v>#REF!</v>
      </c>
      <c r="AY387" t="e">
        <f>AND(#REF!,"AAAAAC/+6jI=")</f>
        <v>#REF!</v>
      </c>
      <c r="AZ387" t="e">
        <f>AND(#REF!,"AAAAAC/+6jM=")</f>
        <v>#REF!</v>
      </c>
      <c r="BA387" t="e">
        <f>AND(#REF!,"AAAAAC/+6jQ=")</f>
        <v>#REF!</v>
      </c>
      <c r="BB387" t="e">
        <f>AND(#REF!,"AAAAAC/+6jU=")</f>
        <v>#REF!</v>
      </c>
      <c r="BC387" t="e">
        <f>AND(#REF!,"AAAAAC/+6jY=")</f>
        <v>#REF!</v>
      </c>
      <c r="BD387" t="e">
        <f>IF(#REF!,"AAAAAC/+6jc=",0)</f>
        <v>#REF!</v>
      </c>
      <c r="BE387" t="e">
        <f>AND(#REF!,"AAAAAC/+6jg=")</f>
        <v>#REF!</v>
      </c>
      <c r="BF387" t="e">
        <f>AND(#REF!,"AAAAAC/+6jk=")</f>
        <v>#REF!</v>
      </c>
      <c r="BG387" t="e">
        <f>AND(#REF!,"AAAAAC/+6jo=")</f>
        <v>#REF!</v>
      </c>
      <c r="BH387" t="e">
        <f>AND(#REF!,"AAAAAC/+6js=")</f>
        <v>#REF!</v>
      </c>
      <c r="BI387" t="e">
        <f>AND(#REF!,"AAAAAC/+6jw=")</f>
        <v>#REF!</v>
      </c>
      <c r="BJ387" t="e">
        <f>AND(#REF!,"AAAAAC/+6j0=")</f>
        <v>#REF!</v>
      </c>
      <c r="BK387" t="e">
        <f>AND(#REF!,"AAAAAC/+6j4=")</f>
        <v>#REF!</v>
      </c>
      <c r="BL387" t="e">
        <f>AND(#REF!,"AAAAAC/+6j8=")</f>
        <v>#REF!</v>
      </c>
      <c r="BM387" t="e">
        <f>AND(#REF!,"AAAAAC/+6kA=")</f>
        <v>#REF!</v>
      </c>
      <c r="BN387" t="e">
        <f>AND(#REF!,"AAAAAC/+6kE=")</f>
        <v>#REF!</v>
      </c>
      <c r="BO387" t="e">
        <f>IF(#REF!,"AAAAAC/+6kI=",0)</f>
        <v>#REF!</v>
      </c>
      <c r="BP387" t="e">
        <f>AND(#REF!,"AAAAAC/+6kM=")</f>
        <v>#REF!</v>
      </c>
      <c r="BQ387" t="e">
        <f>AND(#REF!,"AAAAAC/+6kQ=")</f>
        <v>#REF!</v>
      </c>
      <c r="BR387" t="e">
        <f>AND(#REF!,"AAAAAC/+6kU=")</f>
        <v>#REF!</v>
      </c>
      <c r="BS387" t="e">
        <f>AND(#REF!,"AAAAAC/+6kY=")</f>
        <v>#REF!</v>
      </c>
      <c r="BT387" t="e">
        <f>AND(#REF!,"AAAAAC/+6kc=")</f>
        <v>#REF!</v>
      </c>
      <c r="BU387" t="e">
        <f>AND(#REF!,"AAAAAC/+6kg=")</f>
        <v>#REF!</v>
      </c>
      <c r="BV387" t="e">
        <f>AND(#REF!,"AAAAAC/+6kk=")</f>
        <v>#REF!</v>
      </c>
      <c r="BW387" t="e">
        <f>AND(#REF!,"AAAAAC/+6ko=")</f>
        <v>#REF!</v>
      </c>
      <c r="BX387" t="e">
        <f>AND(#REF!,"AAAAAC/+6ks=")</f>
        <v>#REF!</v>
      </c>
      <c r="BY387" t="e">
        <f>AND(#REF!,"AAAAAC/+6kw=")</f>
        <v>#REF!</v>
      </c>
      <c r="BZ387" t="e">
        <f>IF(#REF!,"AAAAAC/+6k0=",0)</f>
        <v>#REF!</v>
      </c>
      <c r="CA387" t="e">
        <f>AND(#REF!,"AAAAAC/+6k4=")</f>
        <v>#REF!</v>
      </c>
      <c r="CB387" t="e">
        <f>AND(#REF!,"AAAAAC/+6k8=")</f>
        <v>#REF!</v>
      </c>
      <c r="CC387" t="e">
        <f>AND(#REF!,"AAAAAC/+6lA=")</f>
        <v>#REF!</v>
      </c>
      <c r="CD387" t="e">
        <f>AND(#REF!,"AAAAAC/+6lE=")</f>
        <v>#REF!</v>
      </c>
      <c r="CE387" t="e">
        <f>AND(#REF!,"AAAAAC/+6lI=")</f>
        <v>#REF!</v>
      </c>
      <c r="CF387" t="e">
        <f>AND(#REF!,"AAAAAC/+6lM=")</f>
        <v>#REF!</v>
      </c>
      <c r="CG387" t="e">
        <f>AND(#REF!,"AAAAAC/+6lQ=")</f>
        <v>#REF!</v>
      </c>
      <c r="CH387" t="e">
        <f>AND(#REF!,"AAAAAC/+6lU=")</f>
        <v>#REF!</v>
      </c>
      <c r="CI387" t="e">
        <f>AND(#REF!,"AAAAAC/+6lY=")</f>
        <v>#REF!</v>
      </c>
      <c r="CJ387" t="e">
        <f>AND(#REF!,"AAAAAC/+6lc=")</f>
        <v>#REF!</v>
      </c>
      <c r="CK387" t="e">
        <f>IF(#REF!,"AAAAAC/+6lg=",0)</f>
        <v>#REF!</v>
      </c>
      <c r="CL387" t="e">
        <f>AND(#REF!,"AAAAAC/+6lk=")</f>
        <v>#REF!</v>
      </c>
      <c r="CM387" t="e">
        <f>AND(#REF!,"AAAAAC/+6lo=")</f>
        <v>#REF!</v>
      </c>
      <c r="CN387" t="e">
        <f>AND(#REF!,"AAAAAC/+6ls=")</f>
        <v>#REF!</v>
      </c>
      <c r="CO387" t="e">
        <f>AND(#REF!,"AAAAAC/+6lw=")</f>
        <v>#REF!</v>
      </c>
      <c r="CP387" t="e">
        <f>AND(#REF!,"AAAAAC/+6l0=")</f>
        <v>#REF!</v>
      </c>
      <c r="CQ387" t="e">
        <f>AND(#REF!,"AAAAAC/+6l4=")</f>
        <v>#REF!</v>
      </c>
      <c r="CR387" t="e">
        <f>AND(#REF!,"AAAAAC/+6l8=")</f>
        <v>#REF!</v>
      </c>
      <c r="CS387" t="e">
        <f>AND(#REF!,"AAAAAC/+6mA=")</f>
        <v>#REF!</v>
      </c>
      <c r="CT387" t="e">
        <f>AND(#REF!,"AAAAAC/+6mE=")</f>
        <v>#REF!</v>
      </c>
      <c r="CU387" t="e">
        <f>AND(#REF!,"AAAAAC/+6mI=")</f>
        <v>#REF!</v>
      </c>
      <c r="CV387" t="e">
        <f>IF(#REF!,"AAAAAC/+6mM=",0)</f>
        <v>#REF!</v>
      </c>
      <c r="CW387" t="e">
        <f>AND(#REF!,"AAAAAC/+6mQ=")</f>
        <v>#REF!</v>
      </c>
      <c r="CX387" t="e">
        <f>AND(#REF!,"AAAAAC/+6mU=")</f>
        <v>#REF!</v>
      </c>
      <c r="CY387" t="e">
        <f>AND(#REF!,"AAAAAC/+6mY=")</f>
        <v>#REF!</v>
      </c>
      <c r="CZ387" t="e">
        <f>AND(#REF!,"AAAAAC/+6mc=")</f>
        <v>#REF!</v>
      </c>
      <c r="DA387" t="e">
        <f>AND(#REF!,"AAAAAC/+6mg=")</f>
        <v>#REF!</v>
      </c>
      <c r="DB387" t="e">
        <f>AND(#REF!,"AAAAAC/+6mk=")</f>
        <v>#REF!</v>
      </c>
      <c r="DC387" t="e">
        <f>AND(#REF!,"AAAAAC/+6mo=")</f>
        <v>#REF!</v>
      </c>
      <c r="DD387" t="e">
        <f>AND(#REF!,"AAAAAC/+6ms=")</f>
        <v>#REF!</v>
      </c>
      <c r="DE387" t="e">
        <f>AND(#REF!,"AAAAAC/+6mw=")</f>
        <v>#REF!</v>
      </c>
      <c r="DF387" t="e">
        <f>AND(#REF!,"AAAAAC/+6m0=")</f>
        <v>#REF!</v>
      </c>
      <c r="DG387" t="e">
        <f>IF(#REF!,"AAAAAC/+6m4=",0)</f>
        <v>#REF!</v>
      </c>
      <c r="DH387" t="e">
        <f>AND(#REF!,"AAAAAC/+6m8=")</f>
        <v>#REF!</v>
      </c>
      <c r="DI387" t="e">
        <f>AND(#REF!,"AAAAAC/+6nA=")</f>
        <v>#REF!</v>
      </c>
      <c r="DJ387" t="e">
        <f>AND(#REF!,"AAAAAC/+6nE=")</f>
        <v>#REF!</v>
      </c>
      <c r="DK387" t="e">
        <f>AND(#REF!,"AAAAAC/+6nI=")</f>
        <v>#REF!</v>
      </c>
      <c r="DL387" t="e">
        <f>AND(#REF!,"AAAAAC/+6nM=")</f>
        <v>#REF!</v>
      </c>
      <c r="DM387" t="e">
        <f>AND(#REF!,"AAAAAC/+6nQ=")</f>
        <v>#REF!</v>
      </c>
      <c r="DN387" t="e">
        <f>AND(#REF!,"AAAAAC/+6nU=")</f>
        <v>#REF!</v>
      </c>
      <c r="DO387" t="e">
        <f>AND(#REF!,"AAAAAC/+6nY=")</f>
        <v>#REF!</v>
      </c>
      <c r="DP387" t="e">
        <f>AND(#REF!,"AAAAAC/+6nc=")</f>
        <v>#REF!</v>
      </c>
      <c r="DQ387" t="e">
        <f>AND(#REF!,"AAAAAC/+6ng=")</f>
        <v>#REF!</v>
      </c>
      <c r="DR387" t="e">
        <f>IF(#REF!,"AAAAAC/+6nk=",0)</f>
        <v>#REF!</v>
      </c>
      <c r="DS387" t="e">
        <f>AND(#REF!,"AAAAAC/+6no=")</f>
        <v>#REF!</v>
      </c>
      <c r="DT387" t="e">
        <f>AND(#REF!,"AAAAAC/+6ns=")</f>
        <v>#REF!</v>
      </c>
      <c r="DU387" t="e">
        <f>AND(#REF!,"AAAAAC/+6nw=")</f>
        <v>#REF!</v>
      </c>
      <c r="DV387" t="e">
        <f>AND(#REF!,"AAAAAC/+6n0=")</f>
        <v>#REF!</v>
      </c>
      <c r="DW387" t="e">
        <f>AND(#REF!,"AAAAAC/+6n4=")</f>
        <v>#REF!</v>
      </c>
      <c r="DX387" t="e">
        <f>AND(#REF!,"AAAAAC/+6n8=")</f>
        <v>#REF!</v>
      </c>
      <c r="DY387" t="e">
        <f>AND(#REF!,"AAAAAC/+6oA=")</f>
        <v>#REF!</v>
      </c>
      <c r="DZ387" t="e">
        <f>AND(#REF!,"AAAAAC/+6oE=")</f>
        <v>#REF!</v>
      </c>
      <c r="EA387" t="e">
        <f>AND(#REF!,"AAAAAC/+6oI=")</f>
        <v>#REF!</v>
      </c>
      <c r="EB387" t="e">
        <f>AND(#REF!,"AAAAAC/+6oM=")</f>
        <v>#REF!</v>
      </c>
      <c r="EC387" t="e">
        <f>IF(#REF!,"AAAAAC/+6oQ=",0)</f>
        <v>#REF!</v>
      </c>
      <c r="ED387" t="e">
        <f>AND(#REF!,"AAAAAC/+6oU=")</f>
        <v>#REF!</v>
      </c>
      <c r="EE387" t="e">
        <f>AND(#REF!,"AAAAAC/+6oY=")</f>
        <v>#REF!</v>
      </c>
      <c r="EF387" t="e">
        <f>AND(#REF!,"AAAAAC/+6oc=")</f>
        <v>#REF!</v>
      </c>
      <c r="EG387" t="e">
        <f>AND(#REF!,"AAAAAC/+6og=")</f>
        <v>#REF!</v>
      </c>
      <c r="EH387" t="e">
        <f>AND(#REF!,"AAAAAC/+6ok=")</f>
        <v>#REF!</v>
      </c>
      <c r="EI387" t="e">
        <f>AND(#REF!,"AAAAAC/+6oo=")</f>
        <v>#REF!</v>
      </c>
      <c r="EJ387" t="e">
        <f>AND(#REF!,"AAAAAC/+6os=")</f>
        <v>#REF!</v>
      </c>
      <c r="EK387" t="e">
        <f>AND(#REF!,"AAAAAC/+6ow=")</f>
        <v>#REF!</v>
      </c>
      <c r="EL387" t="e">
        <f>AND(#REF!,"AAAAAC/+6o0=")</f>
        <v>#REF!</v>
      </c>
      <c r="EM387" t="e">
        <f>AND(#REF!,"AAAAAC/+6o4=")</f>
        <v>#REF!</v>
      </c>
      <c r="EN387" t="e">
        <f>IF(#REF!,"AAAAAC/+6o8=",0)</f>
        <v>#REF!</v>
      </c>
      <c r="EO387" t="e">
        <f>AND(#REF!,"AAAAAC/+6pA=")</f>
        <v>#REF!</v>
      </c>
      <c r="EP387" t="e">
        <f>AND(#REF!,"AAAAAC/+6pE=")</f>
        <v>#REF!</v>
      </c>
      <c r="EQ387" t="e">
        <f>AND(#REF!,"AAAAAC/+6pI=")</f>
        <v>#REF!</v>
      </c>
      <c r="ER387" t="e">
        <f>AND(#REF!,"AAAAAC/+6pM=")</f>
        <v>#REF!</v>
      </c>
      <c r="ES387" t="e">
        <f>AND(#REF!,"AAAAAC/+6pQ=")</f>
        <v>#REF!</v>
      </c>
      <c r="ET387" t="e">
        <f>AND(#REF!,"AAAAAC/+6pU=")</f>
        <v>#REF!</v>
      </c>
      <c r="EU387" t="e">
        <f>AND(#REF!,"AAAAAC/+6pY=")</f>
        <v>#REF!</v>
      </c>
      <c r="EV387" t="e">
        <f>AND(#REF!,"AAAAAC/+6pc=")</f>
        <v>#REF!</v>
      </c>
      <c r="EW387" t="e">
        <f>AND(#REF!,"AAAAAC/+6pg=")</f>
        <v>#REF!</v>
      </c>
      <c r="EX387" t="e">
        <f>AND(#REF!,"AAAAAC/+6pk=")</f>
        <v>#REF!</v>
      </c>
      <c r="EY387" t="e">
        <f>IF(#REF!,"AAAAAC/+6po=",0)</f>
        <v>#REF!</v>
      </c>
      <c r="EZ387" t="e">
        <f>AND(#REF!,"AAAAAC/+6ps=")</f>
        <v>#REF!</v>
      </c>
      <c r="FA387" t="e">
        <f>AND(#REF!,"AAAAAC/+6pw=")</f>
        <v>#REF!</v>
      </c>
      <c r="FB387" t="e">
        <f>AND(#REF!,"AAAAAC/+6p0=")</f>
        <v>#REF!</v>
      </c>
      <c r="FC387" t="e">
        <f>AND(#REF!,"AAAAAC/+6p4=")</f>
        <v>#REF!</v>
      </c>
      <c r="FD387" t="e">
        <f>AND(#REF!,"AAAAAC/+6p8=")</f>
        <v>#REF!</v>
      </c>
      <c r="FE387" t="e">
        <f>AND(#REF!,"AAAAAC/+6qA=")</f>
        <v>#REF!</v>
      </c>
      <c r="FF387" t="e">
        <f>AND(#REF!,"AAAAAC/+6qE=")</f>
        <v>#REF!</v>
      </c>
      <c r="FG387" t="e">
        <f>AND(#REF!,"AAAAAC/+6qI=")</f>
        <v>#REF!</v>
      </c>
      <c r="FH387" t="e">
        <f>AND(#REF!,"AAAAAC/+6qM=")</f>
        <v>#REF!</v>
      </c>
      <c r="FI387" t="e">
        <f>AND(#REF!,"AAAAAC/+6qQ=")</f>
        <v>#REF!</v>
      </c>
      <c r="FJ387" t="e">
        <f>IF(#REF!,"AAAAAC/+6qU=",0)</f>
        <v>#REF!</v>
      </c>
      <c r="FK387" t="e">
        <f>AND(#REF!,"AAAAAC/+6qY=")</f>
        <v>#REF!</v>
      </c>
      <c r="FL387" t="e">
        <f>AND(#REF!,"AAAAAC/+6qc=")</f>
        <v>#REF!</v>
      </c>
      <c r="FM387" t="e">
        <f>AND(#REF!,"AAAAAC/+6qg=")</f>
        <v>#REF!</v>
      </c>
      <c r="FN387" t="e">
        <f>AND(#REF!,"AAAAAC/+6qk=")</f>
        <v>#REF!</v>
      </c>
      <c r="FO387" t="e">
        <f>AND(#REF!,"AAAAAC/+6qo=")</f>
        <v>#REF!</v>
      </c>
      <c r="FP387" t="e">
        <f>AND(#REF!,"AAAAAC/+6qs=")</f>
        <v>#REF!</v>
      </c>
      <c r="FQ387" t="e">
        <f>AND(#REF!,"AAAAAC/+6qw=")</f>
        <v>#REF!</v>
      </c>
      <c r="FR387" t="e">
        <f>AND(#REF!,"AAAAAC/+6q0=")</f>
        <v>#REF!</v>
      </c>
      <c r="FS387" t="e">
        <f>AND(#REF!,"AAAAAC/+6q4=")</f>
        <v>#REF!</v>
      </c>
      <c r="FT387" t="e">
        <f>AND(#REF!,"AAAAAC/+6q8=")</f>
        <v>#REF!</v>
      </c>
      <c r="FU387" t="e">
        <f>IF(#REF!,"AAAAAC/+6rA=",0)</f>
        <v>#REF!</v>
      </c>
      <c r="FV387" t="e">
        <f>AND(#REF!,"AAAAAC/+6rE=")</f>
        <v>#REF!</v>
      </c>
      <c r="FW387" t="e">
        <f>AND(#REF!,"AAAAAC/+6rI=")</f>
        <v>#REF!</v>
      </c>
      <c r="FX387" t="e">
        <f>AND(#REF!,"AAAAAC/+6rM=")</f>
        <v>#REF!</v>
      </c>
      <c r="FY387" t="e">
        <f>AND(#REF!,"AAAAAC/+6rQ=")</f>
        <v>#REF!</v>
      </c>
      <c r="FZ387" t="e">
        <f>AND(#REF!,"AAAAAC/+6rU=")</f>
        <v>#REF!</v>
      </c>
      <c r="GA387" t="e">
        <f>AND(#REF!,"AAAAAC/+6rY=")</f>
        <v>#REF!</v>
      </c>
      <c r="GB387" t="e">
        <f>AND(#REF!,"AAAAAC/+6rc=")</f>
        <v>#REF!</v>
      </c>
      <c r="GC387" t="e">
        <f>AND(#REF!,"AAAAAC/+6rg=")</f>
        <v>#REF!</v>
      </c>
      <c r="GD387" t="e">
        <f>AND(#REF!,"AAAAAC/+6rk=")</f>
        <v>#REF!</v>
      </c>
      <c r="GE387" t="e">
        <f>AND(#REF!,"AAAAAC/+6ro=")</f>
        <v>#REF!</v>
      </c>
      <c r="GF387" t="e">
        <f>IF(#REF!,"AAAAAC/+6rs=",0)</f>
        <v>#REF!</v>
      </c>
      <c r="GG387" t="e">
        <f>AND(#REF!,"AAAAAC/+6rw=")</f>
        <v>#REF!</v>
      </c>
      <c r="GH387" t="e">
        <f>AND(#REF!,"AAAAAC/+6r0=")</f>
        <v>#REF!</v>
      </c>
      <c r="GI387" t="e">
        <f>AND(#REF!,"AAAAAC/+6r4=")</f>
        <v>#REF!</v>
      </c>
      <c r="GJ387" t="e">
        <f>AND(#REF!,"AAAAAC/+6r8=")</f>
        <v>#REF!</v>
      </c>
      <c r="GK387" t="e">
        <f>AND(#REF!,"AAAAAC/+6sA=")</f>
        <v>#REF!</v>
      </c>
      <c r="GL387" t="e">
        <f>AND(#REF!,"AAAAAC/+6sE=")</f>
        <v>#REF!</v>
      </c>
      <c r="GM387" t="e">
        <f>AND(#REF!,"AAAAAC/+6sI=")</f>
        <v>#REF!</v>
      </c>
      <c r="GN387" t="e">
        <f>AND(#REF!,"AAAAAC/+6sM=")</f>
        <v>#REF!</v>
      </c>
      <c r="GO387" t="e">
        <f>AND(#REF!,"AAAAAC/+6sQ=")</f>
        <v>#REF!</v>
      </c>
      <c r="GP387" t="e">
        <f>AND(#REF!,"AAAAAC/+6sU=")</f>
        <v>#REF!</v>
      </c>
      <c r="GQ387" t="e">
        <f>IF(#REF!,"AAAAAC/+6sY=",0)</f>
        <v>#REF!</v>
      </c>
      <c r="GR387" t="e">
        <f>AND(#REF!,"AAAAAC/+6sc=")</f>
        <v>#REF!</v>
      </c>
      <c r="GS387" t="e">
        <f>AND(#REF!,"AAAAAC/+6sg=")</f>
        <v>#REF!</v>
      </c>
      <c r="GT387" t="e">
        <f>AND(#REF!,"AAAAAC/+6sk=")</f>
        <v>#REF!</v>
      </c>
      <c r="GU387" t="e">
        <f>AND(#REF!,"AAAAAC/+6so=")</f>
        <v>#REF!</v>
      </c>
      <c r="GV387" t="e">
        <f>AND(#REF!,"AAAAAC/+6ss=")</f>
        <v>#REF!</v>
      </c>
      <c r="GW387" t="e">
        <f>AND(#REF!,"AAAAAC/+6sw=")</f>
        <v>#REF!</v>
      </c>
      <c r="GX387" t="e">
        <f>AND(#REF!,"AAAAAC/+6s0=")</f>
        <v>#REF!</v>
      </c>
      <c r="GY387" t="e">
        <f>AND(#REF!,"AAAAAC/+6s4=")</f>
        <v>#REF!</v>
      </c>
      <c r="GZ387" t="e">
        <f>AND(#REF!,"AAAAAC/+6s8=")</f>
        <v>#REF!</v>
      </c>
      <c r="HA387" t="e">
        <f>AND(#REF!,"AAAAAC/+6tA=")</f>
        <v>#REF!</v>
      </c>
      <c r="HB387" t="e">
        <f>IF(#REF!,"AAAAAC/+6tE=",0)</f>
        <v>#REF!</v>
      </c>
      <c r="HC387" t="e">
        <f>AND(#REF!,"AAAAAC/+6tI=")</f>
        <v>#REF!</v>
      </c>
      <c r="HD387" t="e">
        <f>AND(#REF!,"AAAAAC/+6tM=")</f>
        <v>#REF!</v>
      </c>
      <c r="HE387" t="e">
        <f>AND(#REF!,"AAAAAC/+6tQ=")</f>
        <v>#REF!</v>
      </c>
      <c r="HF387" t="e">
        <f>AND(#REF!,"AAAAAC/+6tU=")</f>
        <v>#REF!</v>
      </c>
      <c r="HG387" t="e">
        <f>AND(#REF!,"AAAAAC/+6tY=")</f>
        <v>#REF!</v>
      </c>
      <c r="HH387" t="e">
        <f>AND(#REF!,"AAAAAC/+6tc=")</f>
        <v>#REF!</v>
      </c>
      <c r="HI387" t="e">
        <f>AND(#REF!,"AAAAAC/+6tg=")</f>
        <v>#REF!</v>
      </c>
      <c r="HJ387" t="e">
        <f>AND(#REF!,"AAAAAC/+6tk=")</f>
        <v>#REF!</v>
      </c>
      <c r="HK387" t="e">
        <f>AND(#REF!,"AAAAAC/+6to=")</f>
        <v>#REF!</v>
      </c>
      <c r="HL387" t="e">
        <f>AND(#REF!,"AAAAAC/+6ts=")</f>
        <v>#REF!</v>
      </c>
      <c r="HM387" t="e">
        <f>IF(#REF!,"AAAAAC/+6tw=",0)</f>
        <v>#REF!</v>
      </c>
      <c r="HN387" t="e">
        <f>AND(#REF!,"AAAAAC/+6t0=")</f>
        <v>#REF!</v>
      </c>
      <c r="HO387" t="e">
        <f>AND(#REF!,"AAAAAC/+6t4=")</f>
        <v>#REF!</v>
      </c>
      <c r="HP387" t="e">
        <f>AND(#REF!,"AAAAAC/+6t8=")</f>
        <v>#REF!</v>
      </c>
      <c r="HQ387" t="e">
        <f>AND(#REF!,"AAAAAC/+6uA=")</f>
        <v>#REF!</v>
      </c>
      <c r="HR387" t="e">
        <f>AND(#REF!,"AAAAAC/+6uE=")</f>
        <v>#REF!</v>
      </c>
      <c r="HS387" t="e">
        <f>AND(#REF!,"AAAAAC/+6uI=")</f>
        <v>#REF!</v>
      </c>
      <c r="HT387" t="e">
        <f>AND(#REF!,"AAAAAC/+6uM=")</f>
        <v>#REF!</v>
      </c>
      <c r="HU387" t="e">
        <f>AND(#REF!,"AAAAAC/+6uQ=")</f>
        <v>#REF!</v>
      </c>
      <c r="HV387" t="e">
        <f>AND(#REF!,"AAAAAC/+6uU=")</f>
        <v>#REF!</v>
      </c>
      <c r="HW387" t="e">
        <f>AND(#REF!,"AAAAAC/+6uY=")</f>
        <v>#REF!</v>
      </c>
      <c r="HX387" t="e">
        <f>IF(#REF!,"AAAAAC/+6uc=",0)</f>
        <v>#REF!</v>
      </c>
      <c r="HY387" t="e">
        <f>AND(#REF!,"AAAAAC/+6ug=")</f>
        <v>#REF!</v>
      </c>
      <c r="HZ387" t="e">
        <f>AND(#REF!,"AAAAAC/+6uk=")</f>
        <v>#REF!</v>
      </c>
      <c r="IA387" t="e">
        <f>AND(#REF!,"AAAAAC/+6uo=")</f>
        <v>#REF!</v>
      </c>
      <c r="IB387" t="e">
        <f>AND(#REF!,"AAAAAC/+6us=")</f>
        <v>#REF!</v>
      </c>
      <c r="IC387" t="e">
        <f>AND(#REF!,"AAAAAC/+6uw=")</f>
        <v>#REF!</v>
      </c>
      <c r="ID387" t="e">
        <f>AND(#REF!,"AAAAAC/+6u0=")</f>
        <v>#REF!</v>
      </c>
      <c r="IE387" t="e">
        <f>AND(#REF!,"AAAAAC/+6u4=")</f>
        <v>#REF!</v>
      </c>
      <c r="IF387" t="e">
        <f>AND(#REF!,"AAAAAC/+6u8=")</f>
        <v>#REF!</v>
      </c>
      <c r="IG387" t="e">
        <f>AND(#REF!,"AAAAAC/+6vA=")</f>
        <v>#REF!</v>
      </c>
      <c r="IH387" t="e">
        <f>AND(#REF!,"AAAAAC/+6vE=")</f>
        <v>#REF!</v>
      </c>
      <c r="II387" t="e">
        <f>IF(#REF!,"AAAAAC/+6vI=",0)</f>
        <v>#REF!</v>
      </c>
      <c r="IJ387" t="e">
        <f>AND(#REF!,"AAAAAC/+6vM=")</f>
        <v>#REF!</v>
      </c>
      <c r="IK387" t="e">
        <f>AND(#REF!,"AAAAAC/+6vQ=")</f>
        <v>#REF!</v>
      </c>
      <c r="IL387" t="e">
        <f>AND(#REF!,"AAAAAC/+6vU=")</f>
        <v>#REF!</v>
      </c>
      <c r="IM387" t="e">
        <f>AND(#REF!,"AAAAAC/+6vY=")</f>
        <v>#REF!</v>
      </c>
      <c r="IN387" t="e">
        <f>AND(#REF!,"AAAAAC/+6vc=")</f>
        <v>#REF!</v>
      </c>
      <c r="IO387" t="e">
        <f>AND(#REF!,"AAAAAC/+6vg=")</f>
        <v>#REF!</v>
      </c>
      <c r="IP387" t="e">
        <f>AND(#REF!,"AAAAAC/+6vk=")</f>
        <v>#REF!</v>
      </c>
      <c r="IQ387" t="e">
        <f>AND(#REF!,"AAAAAC/+6vo=")</f>
        <v>#REF!</v>
      </c>
      <c r="IR387" t="e">
        <f>AND(#REF!,"AAAAAC/+6vs=")</f>
        <v>#REF!</v>
      </c>
      <c r="IS387" t="e">
        <f>AND(#REF!,"AAAAAC/+6vw=")</f>
        <v>#REF!</v>
      </c>
      <c r="IT387" t="e">
        <f>IF(#REF!,"AAAAAC/+6v0=",0)</f>
        <v>#REF!</v>
      </c>
      <c r="IU387" t="e">
        <f>AND(#REF!,"AAAAAC/+6v4=")</f>
        <v>#REF!</v>
      </c>
      <c r="IV387" t="e">
        <f>AND(#REF!,"AAAAAC/+6v8=")</f>
        <v>#REF!</v>
      </c>
    </row>
    <row r="388" spans="1:256" x14ac:dyDescent="0.25">
      <c r="A388" t="e">
        <f>AND(#REF!,"AAAAAG/M/wA=")</f>
        <v>#REF!</v>
      </c>
      <c r="B388" t="e">
        <f>AND(#REF!,"AAAAAG/M/wE=")</f>
        <v>#REF!</v>
      </c>
      <c r="C388" t="e">
        <f>AND(#REF!,"AAAAAG/M/wI=")</f>
        <v>#REF!</v>
      </c>
      <c r="D388" t="e">
        <f>AND(#REF!,"AAAAAG/M/wM=")</f>
        <v>#REF!</v>
      </c>
      <c r="E388" t="e">
        <f>AND(#REF!,"AAAAAG/M/wQ=")</f>
        <v>#REF!</v>
      </c>
      <c r="F388" t="e">
        <f>AND(#REF!,"AAAAAG/M/wU=")</f>
        <v>#REF!</v>
      </c>
      <c r="G388" t="e">
        <f>AND(#REF!,"AAAAAG/M/wY=")</f>
        <v>#REF!</v>
      </c>
      <c r="H388" t="e">
        <f>AND(#REF!,"AAAAAG/M/wc=")</f>
        <v>#REF!</v>
      </c>
      <c r="I388" t="e">
        <f>IF(#REF!,"AAAAAG/M/wg=",0)</f>
        <v>#REF!</v>
      </c>
      <c r="J388" t="e">
        <f>AND(#REF!,"AAAAAG/M/wk=")</f>
        <v>#REF!</v>
      </c>
      <c r="K388" t="e">
        <f>AND(#REF!,"AAAAAG/M/wo=")</f>
        <v>#REF!</v>
      </c>
      <c r="L388" t="e">
        <f>AND(#REF!,"AAAAAG/M/ws=")</f>
        <v>#REF!</v>
      </c>
      <c r="M388" t="e">
        <f>AND(#REF!,"AAAAAG/M/ww=")</f>
        <v>#REF!</v>
      </c>
      <c r="N388" t="e">
        <f>AND(#REF!,"AAAAAG/M/w0=")</f>
        <v>#REF!</v>
      </c>
      <c r="O388" t="e">
        <f>AND(#REF!,"AAAAAG/M/w4=")</f>
        <v>#REF!</v>
      </c>
      <c r="P388" t="e">
        <f>AND(#REF!,"AAAAAG/M/w8=")</f>
        <v>#REF!</v>
      </c>
      <c r="Q388" t="e">
        <f>AND(#REF!,"AAAAAG/M/xA=")</f>
        <v>#REF!</v>
      </c>
      <c r="R388" t="e">
        <f>AND(#REF!,"AAAAAG/M/xE=")</f>
        <v>#REF!</v>
      </c>
      <c r="S388" t="e">
        <f>AND(#REF!,"AAAAAG/M/xI=")</f>
        <v>#REF!</v>
      </c>
      <c r="T388" t="e">
        <f>IF(#REF!,"AAAAAG/M/xM=",0)</f>
        <v>#REF!</v>
      </c>
      <c r="U388" t="e">
        <f>AND(#REF!,"AAAAAG/M/xQ=")</f>
        <v>#REF!</v>
      </c>
      <c r="V388" t="e">
        <f>AND(#REF!,"AAAAAG/M/xU=")</f>
        <v>#REF!</v>
      </c>
      <c r="W388" t="e">
        <f>AND(#REF!,"AAAAAG/M/xY=")</f>
        <v>#REF!</v>
      </c>
      <c r="X388" t="e">
        <f>AND(#REF!,"AAAAAG/M/xc=")</f>
        <v>#REF!</v>
      </c>
      <c r="Y388" t="e">
        <f>AND(#REF!,"AAAAAG/M/xg=")</f>
        <v>#REF!</v>
      </c>
      <c r="Z388" t="e">
        <f>AND(#REF!,"AAAAAG/M/xk=")</f>
        <v>#REF!</v>
      </c>
      <c r="AA388" t="e">
        <f>AND(#REF!,"AAAAAG/M/xo=")</f>
        <v>#REF!</v>
      </c>
      <c r="AB388" t="e">
        <f>AND(#REF!,"AAAAAG/M/xs=")</f>
        <v>#REF!</v>
      </c>
      <c r="AC388" t="e">
        <f>AND(#REF!,"AAAAAG/M/xw=")</f>
        <v>#REF!</v>
      </c>
      <c r="AD388" t="e">
        <f>AND(#REF!,"AAAAAG/M/x0=")</f>
        <v>#REF!</v>
      </c>
      <c r="AE388" t="e">
        <f>IF(#REF!,"AAAAAG/M/x4=",0)</f>
        <v>#REF!</v>
      </c>
      <c r="AF388" t="e">
        <f>AND(#REF!,"AAAAAG/M/x8=")</f>
        <v>#REF!</v>
      </c>
      <c r="AG388" t="e">
        <f>AND(#REF!,"AAAAAG/M/yA=")</f>
        <v>#REF!</v>
      </c>
      <c r="AH388" t="e">
        <f>AND(#REF!,"AAAAAG/M/yE=")</f>
        <v>#REF!</v>
      </c>
      <c r="AI388" t="e">
        <f>AND(#REF!,"AAAAAG/M/yI=")</f>
        <v>#REF!</v>
      </c>
      <c r="AJ388" t="e">
        <f>AND(#REF!,"AAAAAG/M/yM=")</f>
        <v>#REF!</v>
      </c>
      <c r="AK388" t="e">
        <f>AND(#REF!,"AAAAAG/M/yQ=")</f>
        <v>#REF!</v>
      </c>
      <c r="AL388" t="e">
        <f>AND(#REF!,"AAAAAG/M/yU=")</f>
        <v>#REF!</v>
      </c>
      <c r="AM388" t="e">
        <f>AND(#REF!,"AAAAAG/M/yY=")</f>
        <v>#REF!</v>
      </c>
      <c r="AN388" t="e">
        <f>AND(#REF!,"AAAAAG/M/yc=")</f>
        <v>#REF!</v>
      </c>
      <c r="AO388" t="e">
        <f>AND(#REF!,"AAAAAG/M/yg=")</f>
        <v>#REF!</v>
      </c>
      <c r="AP388" t="e">
        <f>IF(#REF!,"AAAAAG/M/yk=",0)</f>
        <v>#REF!</v>
      </c>
      <c r="AQ388" t="e">
        <f>AND(#REF!,"AAAAAG/M/yo=")</f>
        <v>#REF!</v>
      </c>
      <c r="AR388" t="e">
        <f>AND(#REF!,"AAAAAG/M/ys=")</f>
        <v>#REF!</v>
      </c>
      <c r="AS388" t="e">
        <f>AND(#REF!,"AAAAAG/M/yw=")</f>
        <v>#REF!</v>
      </c>
      <c r="AT388" t="e">
        <f>AND(#REF!,"AAAAAG/M/y0=")</f>
        <v>#REF!</v>
      </c>
      <c r="AU388" t="e">
        <f>AND(#REF!,"AAAAAG/M/y4=")</f>
        <v>#REF!</v>
      </c>
      <c r="AV388" t="e">
        <f>AND(#REF!,"AAAAAG/M/y8=")</f>
        <v>#REF!</v>
      </c>
      <c r="AW388" t="e">
        <f>AND(#REF!,"AAAAAG/M/zA=")</f>
        <v>#REF!</v>
      </c>
      <c r="AX388" t="e">
        <f>AND(#REF!,"AAAAAG/M/zE=")</f>
        <v>#REF!</v>
      </c>
      <c r="AY388" t="e">
        <f>AND(#REF!,"AAAAAG/M/zI=")</f>
        <v>#REF!</v>
      </c>
      <c r="AZ388" t="e">
        <f>AND(#REF!,"AAAAAG/M/zM=")</f>
        <v>#REF!</v>
      </c>
      <c r="BA388" t="e">
        <f>IF(#REF!,"AAAAAG/M/zQ=",0)</f>
        <v>#REF!</v>
      </c>
      <c r="BB388" t="e">
        <f>AND(#REF!,"AAAAAG/M/zU=")</f>
        <v>#REF!</v>
      </c>
      <c r="BC388" t="e">
        <f>AND(#REF!,"AAAAAG/M/zY=")</f>
        <v>#REF!</v>
      </c>
      <c r="BD388" t="e">
        <f>AND(#REF!,"AAAAAG/M/zc=")</f>
        <v>#REF!</v>
      </c>
      <c r="BE388" t="e">
        <f>AND(#REF!,"AAAAAG/M/zg=")</f>
        <v>#REF!</v>
      </c>
      <c r="BF388" t="e">
        <f>AND(#REF!,"AAAAAG/M/zk=")</f>
        <v>#REF!</v>
      </c>
      <c r="BG388" t="e">
        <f>AND(#REF!,"AAAAAG/M/zo=")</f>
        <v>#REF!</v>
      </c>
      <c r="BH388" t="e">
        <f>AND(#REF!,"AAAAAG/M/zs=")</f>
        <v>#REF!</v>
      </c>
      <c r="BI388" t="e">
        <f>AND(#REF!,"AAAAAG/M/zw=")</f>
        <v>#REF!</v>
      </c>
      <c r="BJ388" t="e">
        <f>AND(#REF!,"AAAAAG/M/z0=")</f>
        <v>#REF!</v>
      </c>
      <c r="BK388" t="e">
        <f>AND(#REF!,"AAAAAG/M/z4=")</f>
        <v>#REF!</v>
      </c>
      <c r="BL388" t="e">
        <f>IF(#REF!,"AAAAAG/M/z8=",0)</f>
        <v>#REF!</v>
      </c>
      <c r="BM388" t="e">
        <f>AND(#REF!,"AAAAAG/M/0A=")</f>
        <v>#REF!</v>
      </c>
      <c r="BN388" t="e">
        <f>AND(#REF!,"AAAAAG/M/0E=")</f>
        <v>#REF!</v>
      </c>
      <c r="BO388" t="e">
        <f>AND(#REF!,"AAAAAG/M/0I=")</f>
        <v>#REF!</v>
      </c>
      <c r="BP388" t="e">
        <f>AND(#REF!,"AAAAAG/M/0M=")</f>
        <v>#REF!</v>
      </c>
      <c r="BQ388" t="e">
        <f>AND(#REF!,"AAAAAG/M/0Q=")</f>
        <v>#REF!</v>
      </c>
      <c r="BR388" t="e">
        <f>AND(#REF!,"AAAAAG/M/0U=")</f>
        <v>#REF!</v>
      </c>
      <c r="BS388" t="e">
        <f>AND(#REF!,"AAAAAG/M/0Y=")</f>
        <v>#REF!</v>
      </c>
      <c r="BT388" t="e">
        <f>AND(#REF!,"AAAAAG/M/0c=")</f>
        <v>#REF!</v>
      </c>
      <c r="BU388" t="e">
        <f>AND(#REF!,"AAAAAG/M/0g=")</f>
        <v>#REF!</v>
      </c>
      <c r="BV388" t="e">
        <f>AND(#REF!,"AAAAAG/M/0k=")</f>
        <v>#REF!</v>
      </c>
      <c r="BW388" t="e">
        <f>IF(#REF!,"AAAAAG/M/0o=",0)</f>
        <v>#REF!</v>
      </c>
      <c r="BX388" t="e">
        <f>AND(#REF!,"AAAAAG/M/0s=")</f>
        <v>#REF!</v>
      </c>
      <c r="BY388" t="e">
        <f>AND(#REF!,"AAAAAG/M/0w=")</f>
        <v>#REF!</v>
      </c>
      <c r="BZ388" t="e">
        <f>AND(#REF!,"AAAAAG/M/00=")</f>
        <v>#REF!</v>
      </c>
      <c r="CA388" t="e">
        <f>AND(#REF!,"AAAAAG/M/04=")</f>
        <v>#REF!</v>
      </c>
      <c r="CB388" t="e">
        <f>AND(#REF!,"AAAAAG/M/08=")</f>
        <v>#REF!</v>
      </c>
      <c r="CC388" t="e">
        <f>AND(#REF!,"AAAAAG/M/1A=")</f>
        <v>#REF!</v>
      </c>
      <c r="CD388" t="e">
        <f>AND(#REF!,"AAAAAG/M/1E=")</f>
        <v>#REF!</v>
      </c>
      <c r="CE388" t="e">
        <f>AND(#REF!,"AAAAAG/M/1I=")</f>
        <v>#REF!</v>
      </c>
      <c r="CF388" t="e">
        <f>AND(#REF!,"AAAAAG/M/1M=")</f>
        <v>#REF!</v>
      </c>
      <c r="CG388" t="e">
        <f>AND(#REF!,"AAAAAG/M/1Q=")</f>
        <v>#REF!</v>
      </c>
      <c r="CH388" t="e">
        <f>IF(#REF!,"AAAAAG/M/1U=",0)</f>
        <v>#REF!</v>
      </c>
      <c r="CI388" t="e">
        <f>AND(#REF!,"AAAAAG/M/1Y=")</f>
        <v>#REF!</v>
      </c>
      <c r="CJ388" t="e">
        <f>AND(#REF!,"AAAAAG/M/1c=")</f>
        <v>#REF!</v>
      </c>
      <c r="CK388" t="e">
        <f>AND(#REF!,"AAAAAG/M/1g=")</f>
        <v>#REF!</v>
      </c>
      <c r="CL388" t="e">
        <f>AND(#REF!,"AAAAAG/M/1k=")</f>
        <v>#REF!</v>
      </c>
      <c r="CM388" t="e">
        <f>AND(#REF!,"AAAAAG/M/1o=")</f>
        <v>#REF!</v>
      </c>
      <c r="CN388" t="e">
        <f>AND(#REF!,"AAAAAG/M/1s=")</f>
        <v>#REF!</v>
      </c>
      <c r="CO388" t="e">
        <f>AND(#REF!,"AAAAAG/M/1w=")</f>
        <v>#REF!</v>
      </c>
      <c r="CP388" t="e">
        <f>AND(#REF!,"AAAAAG/M/10=")</f>
        <v>#REF!</v>
      </c>
      <c r="CQ388" t="e">
        <f>AND(#REF!,"AAAAAG/M/14=")</f>
        <v>#REF!</v>
      </c>
      <c r="CR388" t="e">
        <f>AND(#REF!,"AAAAAG/M/18=")</f>
        <v>#REF!</v>
      </c>
      <c r="CS388" t="e">
        <f>IF(#REF!,"AAAAAG/M/2A=",0)</f>
        <v>#REF!</v>
      </c>
      <c r="CT388" t="e">
        <f>AND(#REF!,"AAAAAG/M/2E=")</f>
        <v>#REF!</v>
      </c>
      <c r="CU388" t="e">
        <f>AND(#REF!,"AAAAAG/M/2I=")</f>
        <v>#REF!</v>
      </c>
      <c r="CV388" t="e">
        <f>AND(#REF!,"AAAAAG/M/2M=")</f>
        <v>#REF!</v>
      </c>
      <c r="CW388" t="e">
        <f>AND(#REF!,"AAAAAG/M/2Q=")</f>
        <v>#REF!</v>
      </c>
      <c r="CX388" t="e">
        <f>AND(#REF!,"AAAAAG/M/2U=")</f>
        <v>#REF!</v>
      </c>
      <c r="CY388" t="e">
        <f>AND(#REF!,"AAAAAG/M/2Y=")</f>
        <v>#REF!</v>
      </c>
      <c r="CZ388" t="e">
        <f>AND(#REF!,"AAAAAG/M/2c=")</f>
        <v>#REF!</v>
      </c>
      <c r="DA388" t="e">
        <f>AND(#REF!,"AAAAAG/M/2g=")</f>
        <v>#REF!</v>
      </c>
      <c r="DB388" t="e">
        <f>AND(#REF!,"AAAAAG/M/2k=")</f>
        <v>#REF!</v>
      </c>
      <c r="DC388" t="e">
        <f>AND(#REF!,"AAAAAG/M/2o=")</f>
        <v>#REF!</v>
      </c>
      <c r="DD388" t="e">
        <f>IF(#REF!,"AAAAAG/M/2s=",0)</f>
        <v>#REF!</v>
      </c>
      <c r="DE388" t="e">
        <f>AND(#REF!,"AAAAAG/M/2w=")</f>
        <v>#REF!</v>
      </c>
      <c r="DF388" t="e">
        <f>AND(#REF!,"AAAAAG/M/20=")</f>
        <v>#REF!</v>
      </c>
      <c r="DG388" t="e">
        <f>AND(#REF!,"AAAAAG/M/24=")</f>
        <v>#REF!</v>
      </c>
      <c r="DH388" t="e">
        <f>AND(#REF!,"AAAAAG/M/28=")</f>
        <v>#REF!</v>
      </c>
      <c r="DI388" t="e">
        <f>AND(#REF!,"AAAAAG/M/3A=")</f>
        <v>#REF!</v>
      </c>
      <c r="DJ388" t="e">
        <f>AND(#REF!,"AAAAAG/M/3E=")</f>
        <v>#REF!</v>
      </c>
      <c r="DK388" t="e">
        <f>AND(#REF!,"AAAAAG/M/3I=")</f>
        <v>#REF!</v>
      </c>
      <c r="DL388" t="e">
        <f>AND(#REF!,"AAAAAG/M/3M=")</f>
        <v>#REF!</v>
      </c>
      <c r="DM388" t="e">
        <f>AND(#REF!,"AAAAAG/M/3Q=")</f>
        <v>#REF!</v>
      </c>
      <c r="DN388" t="e">
        <f>AND(#REF!,"AAAAAG/M/3U=")</f>
        <v>#REF!</v>
      </c>
      <c r="DO388" t="e">
        <f>IF(#REF!,"AAAAAG/M/3Y=",0)</f>
        <v>#REF!</v>
      </c>
      <c r="DP388" t="e">
        <f>AND(#REF!,"AAAAAG/M/3c=")</f>
        <v>#REF!</v>
      </c>
      <c r="DQ388" t="e">
        <f>AND(#REF!,"AAAAAG/M/3g=")</f>
        <v>#REF!</v>
      </c>
      <c r="DR388" t="e">
        <f>AND(#REF!,"AAAAAG/M/3k=")</f>
        <v>#REF!</v>
      </c>
      <c r="DS388" t="e">
        <f>AND(#REF!,"AAAAAG/M/3o=")</f>
        <v>#REF!</v>
      </c>
      <c r="DT388" t="e">
        <f>AND(#REF!,"AAAAAG/M/3s=")</f>
        <v>#REF!</v>
      </c>
      <c r="DU388" t="e">
        <f>AND(#REF!,"AAAAAG/M/3w=")</f>
        <v>#REF!</v>
      </c>
      <c r="DV388" t="e">
        <f>AND(#REF!,"AAAAAG/M/30=")</f>
        <v>#REF!</v>
      </c>
      <c r="DW388" t="e">
        <f>AND(#REF!,"AAAAAG/M/34=")</f>
        <v>#REF!</v>
      </c>
      <c r="DX388" t="e">
        <f>AND(#REF!,"AAAAAG/M/38=")</f>
        <v>#REF!</v>
      </c>
      <c r="DY388" t="e">
        <f>AND(#REF!,"AAAAAG/M/4A=")</f>
        <v>#REF!</v>
      </c>
      <c r="DZ388" t="e">
        <f>IF(#REF!,"AAAAAG/M/4E=",0)</f>
        <v>#REF!</v>
      </c>
      <c r="EA388" t="e">
        <f>AND(#REF!,"AAAAAG/M/4I=")</f>
        <v>#REF!</v>
      </c>
      <c r="EB388" t="e">
        <f>AND(#REF!,"AAAAAG/M/4M=")</f>
        <v>#REF!</v>
      </c>
      <c r="EC388" t="e">
        <f>AND(#REF!,"AAAAAG/M/4Q=")</f>
        <v>#REF!</v>
      </c>
      <c r="ED388" t="e">
        <f>AND(#REF!,"AAAAAG/M/4U=")</f>
        <v>#REF!</v>
      </c>
      <c r="EE388" t="e">
        <f>AND(#REF!,"AAAAAG/M/4Y=")</f>
        <v>#REF!</v>
      </c>
      <c r="EF388" t="e">
        <f>AND(#REF!,"AAAAAG/M/4c=")</f>
        <v>#REF!</v>
      </c>
      <c r="EG388" t="e">
        <f>AND(#REF!,"AAAAAG/M/4g=")</f>
        <v>#REF!</v>
      </c>
      <c r="EH388" t="e">
        <f>AND(#REF!,"AAAAAG/M/4k=")</f>
        <v>#REF!</v>
      </c>
      <c r="EI388" t="e">
        <f>AND(#REF!,"AAAAAG/M/4o=")</f>
        <v>#REF!</v>
      </c>
      <c r="EJ388" t="e">
        <f>AND(#REF!,"AAAAAG/M/4s=")</f>
        <v>#REF!</v>
      </c>
      <c r="EK388" t="e">
        <f>IF(#REF!,"AAAAAG/M/4w=",0)</f>
        <v>#REF!</v>
      </c>
      <c r="EL388" t="e">
        <f>AND(#REF!,"AAAAAG/M/40=")</f>
        <v>#REF!</v>
      </c>
      <c r="EM388" t="e">
        <f>AND(#REF!,"AAAAAG/M/44=")</f>
        <v>#REF!</v>
      </c>
      <c r="EN388" t="e">
        <f>AND(#REF!,"AAAAAG/M/48=")</f>
        <v>#REF!</v>
      </c>
      <c r="EO388" t="e">
        <f>AND(#REF!,"AAAAAG/M/5A=")</f>
        <v>#REF!</v>
      </c>
      <c r="EP388" t="e">
        <f>AND(#REF!,"AAAAAG/M/5E=")</f>
        <v>#REF!</v>
      </c>
      <c r="EQ388" t="e">
        <f>AND(#REF!,"AAAAAG/M/5I=")</f>
        <v>#REF!</v>
      </c>
      <c r="ER388" t="e">
        <f>AND(#REF!,"AAAAAG/M/5M=")</f>
        <v>#REF!</v>
      </c>
      <c r="ES388" t="e">
        <f>AND(#REF!,"AAAAAG/M/5Q=")</f>
        <v>#REF!</v>
      </c>
      <c r="ET388" t="e">
        <f>AND(#REF!,"AAAAAG/M/5U=")</f>
        <v>#REF!</v>
      </c>
      <c r="EU388" t="e">
        <f>AND(#REF!,"AAAAAG/M/5Y=")</f>
        <v>#REF!</v>
      </c>
      <c r="EV388" t="e">
        <f>IF(#REF!,"AAAAAG/M/5c=",0)</f>
        <v>#REF!</v>
      </c>
      <c r="EW388" t="e">
        <f>AND(#REF!,"AAAAAG/M/5g=")</f>
        <v>#REF!</v>
      </c>
      <c r="EX388" t="e">
        <f>AND(#REF!,"AAAAAG/M/5k=")</f>
        <v>#REF!</v>
      </c>
      <c r="EY388" t="e">
        <f>AND(#REF!,"AAAAAG/M/5o=")</f>
        <v>#REF!</v>
      </c>
      <c r="EZ388" t="e">
        <f>AND(#REF!,"AAAAAG/M/5s=")</f>
        <v>#REF!</v>
      </c>
      <c r="FA388" t="e">
        <f>AND(#REF!,"AAAAAG/M/5w=")</f>
        <v>#REF!</v>
      </c>
      <c r="FB388" t="e">
        <f>AND(#REF!,"AAAAAG/M/50=")</f>
        <v>#REF!</v>
      </c>
      <c r="FC388" t="e">
        <f>AND(#REF!,"AAAAAG/M/54=")</f>
        <v>#REF!</v>
      </c>
      <c r="FD388" t="e">
        <f>AND(#REF!,"AAAAAG/M/58=")</f>
        <v>#REF!</v>
      </c>
      <c r="FE388" t="e">
        <f>AND(#REF!,"AAAAAG/M/6A=")</f>
        <v>#REF!</v>
      </c>
      <c r="FF388" t="e">
        <f>AND(#REF!,"AAAAAG/M/6E=")</f>
        <v>#REF!</v>
      </c>
      <c r="FG388" t="e">
        <f>IF(#REF!,"AAAAAG/M/6I=",0)</f>
        <v>#REF!</v>
      </c>
      <c r="FH388" t="e">
        <f>AND(#REF!,"AAAAAG/M/6M=")</f>
        <v>#REF!</v>
      </c>
      <c r="FI388" t="e">
        <f>AND(#REF!,"AAAAAG/M/6Q=")</f>
        <v>#REF!</v>
      </c>
      <c r="FJ388" t="e">
        <f>AND(#REF!,"AAAAAG/M/6U=")</f>
        <v>#REF!</v>
      </c>
      <c r="FK388" t="e">
        <f>AND(#REF!,"AAAAAG/M/6Y=")</f>
        <v>#REF!</v>
      </c>
      <c r="FL388" t="e">
        <f>AND(#REF!,"AAAAAG/M/6c=")</f>
        <v>#REF!</v>
      </c>
      <c r="FM388" t="e">
        <f>AND(#REF!,"AAAAAG/M/6g=")</f>
        <v>#REF!</v>
      </c>
      <c r="FN388" t="e">
        <f>AND(#REF!,"AAAAAG/M/6k=")</f>
        <v>#REF!</v>
      </c>
      <c r="FO388" t="e">
        <f>AND(#REF!,"AAAAAG/M/6o=")</f>
        <v>#REF!</v>
      </c>
      <c r="FP388" t="e">
        <f>AND(#REF!,"AAAAAG/M/6s=")</f>
        <v>#REF!</v>
      </c>
      <c r="FQ388" t="e">
        <f>AND(#REF!,"AAAAAG/M/6w=")</f>
        <v>#REF!</v>
      </c>
      <c r="FR388" t="e">
        <f>IF(#REF!,"AAAAAG/M/60=",0)</f>
        <v>#REF!</v>
      </c>
      <c r="FS388" t="e">
        <f>AND(#REF!,"AAAAAG/M/64=")</f>
        <v>#REF!</v>
      </c>
      <c r="FT388" t="e">
        <f>AND(#REF!,"AAAAAG/M/68=")</f>
        <v>#REF!</v>
      </c>
      <c r="FU388" t="e">
        <f>AND(#REF!,"AAAAAG/M/7A=")</f>
        <v>#REF!</v>
      </c>
      <c r="FV388" t="e">
        <f>AND(#REF!,"AAAAAG/M/7E=")</f>
        <v>#REF!</v>
      </c>
      <c r="FW388" t="e">
        <f>AND(#REF!,"AAAAAG/M/7I=")</f>
        <v>#REF!</v>
      </c>
      <c r="FX388" t="e">
        <f>AND(#REF!,"AAAAAG/M/7M=")</f>
        <v>#REF!</v>
      </c>
      <c r="FY388" t="e">
        <f>AND(#REF!,"AAAAAG/M/7Q=")</f>
        <v>#REF!</v>
      </c>
      <c r="FZ388" t="e">
        <f>AND(#REF!,"AAAAAG/M/7U=")</f>
        <v>#REF!</v>
      </c>
      <c r="GA388" t="e">
        <f>AND(#REF!,"AAAAAG/M/7Y=")</f>
        <v>#REF!</v>
      </c>
      <c r="GB388" t="e">
        <f>AND(#REF!,"AAAAAG/M/7c=")</f>
        <v>#REF!</v>
      </c>
      <c r="GC388" t="e">
        <f>IF(#REF!,"AAAAAG/M/7g=",0)</f>
        <v>#REF!</v>
      </c>
      <c r="GD388" t="e">
        <f>AND(#REF!,"AAAAAG/M/7k=")</f>
        <v>#REF!</v>
      </c>
      <c r="GE388" t="e">
        <f>AND(#REF!,"AAAAAG/M/7o=")</f>
        <v>#REF!</v>
      </c>
      <c r="GF388" t="e">
        <f>AND(#REF!,"AAAAAG/M/7s=")</f>
        <v>#REF!</v>
      </c>
      <c r="GG388" t="e">
        <f>AND(#REF!,"AAAAAG/M/7w=")</f>
        <v>#REF!</v>
      </c>
      <c r="GH388" t="e">
        <f>AND(#REF!,"AAAAAG/M/70=")</f>
        <v>#REF!</v>
      </c>
      <c r="GI388" t="e">
        <f>AND(#REF!,"AAAAAG/M/74=")</f>
        <v>#REF!</v>
      </c>
      <c r="GJ388" t="e">
        <f>AND(#REF!,"AAAAAG/M/78=")</f>
        <v>#REF!</v>
      </c>
      <c r="GK388" t="e">
        <f>AND(#REF!,"AAAAAG/M/8A=")</f>
        <v>#REF!</v>
      </c>
      <c r="GL388" t="e">
        <f>AND(#REF!,"AAAAAG/M/8E=")</f>
        <v>#REF!</v>
      </c>
      <c r="GM388" t="e">
        <f>AND(#REF!,"AAAAAG/M/8I=")</f>
        <v>#REF!</v>
      </c>
      <c r="GN388" t="e">
        <f>IF(#REF!,"AAAAAG/M/8M=",0)</f>
        <v>#REF!</v>
      </c>
      <c r="GO388" t="e">
        <f>AND(#REF!,"AAAAAG/M/8Q=")</f>
        <v>#REF!</v>
      </c>
      <c r="GP388" t="e">
        <f>AND(#REF!,"AAAAAG/M/8U=")</f>
        <v>#REF!</v>
      </c>
      <c r="GQ388" t="e">
        <f>AND(#REF!,"AAAAAG/M/8Y=")</f>
        <v>#REF!</v>
      </c>
      <c r="GR388" t="e">
        <f>AND(#REF!,"AAAAAG/M/8c=")</f>
        <v>#REF!</v>
      </c>
      <c r="GS388" t="e">
        <f>AND(#REF!,"AAAAAG/M/8g=")</f>
        <v>#REF!</v>
      </c>
      <c r="GT388" t="e">
        <f>AND(#REF!,"AAAAAG/M/8k=")</f>
        <v>#REF!</v>
      </c>
      <c r="GU388" t="e">
        <f>AND(#REF!,"AAAAAG/M/8o=")</f>
        <v>#REF!</v>
      </c>
      <c r="GV388" t="e">
        <f>AND(#REF!,"AAAAAG/M/8s=")</f>
        <v>#REF!</v>
      </c>
      <c r="GW388" t="e">
        <f>AND(#REF!,"AAAAAG/M/8w=")</f>
        <v>#REF!</v>
      </c>
      <c r="GX388" t="e">
        <f>AND(#REF!,"AAAAAG/M/80=")</f>
        <v>#REF!</v>
      </c>
      <c r="GY388" t="e">
        <f>IF(#REF!,"AAAAAG/M/84=",0)</f>
        <v>#REF!</v>
      </c>
      <c r="GZ388" t="e">
        <f>AND(#REF!,"AAAAAG/M/88=")</f>
        <v>#REF!</v>
      </c>
      <c r="HA388" t="e">
        <f>AND(#REF!,"AAAAAG/M/9A=")</f>
        <v>#REF!</v>
      </c>
      <c r="HB388" t="e">
        <f>AND(#REF!,"AAAAAG/M/9E=")</f>
        <v>#REF!</v>
      </c>
      <c r="HC388" t="e">
        <f>AND(#REF!,"AAAAAG/M/9I=")</f>
        <v>#REF!</v>
      </c>
      <c r="HD388" t="e">
        <f>AND(#REF!,"AAAAAG/M/9M=")</f>
        <v>#REF!</v>
      </c>
      <c r="HE388" t="e">
        <f>AND(#REF!,"AAAAAG/M/9Q=")</f>
        <v>#REF!</v>
      </c>
      <c r="HF388" t="e">
        <f>AND(#REF!,"AAAAAG/M/9U=")</f>
        <v>#REF!</v>
      </c>
      <c r="HG388" t="e">
        <f>AND(#REF!,"AAAAAG/M/9Y=")</f>
        <v>#REF!</v>
      </c>
      <c r="HH388" t="e">
        <f>AND(#REF!,"AAAAAG/M/9c=")</f>
        <v>#REF!</v>
      </c>
      <c r="HI388" t="e">
        <f>AND(#REF!,"AAAAAG/M/9g=")</f>
        <v>#REF!</v>
      </c>
      <c r="HJ388" t="e">
        <f>IF(#REF!,"AAAAAG/M/9k=",0)</f>
        <v>#REF!</v>
      </c>
      <c r="HK388" t="e">
        <f>AND(#REF!,"AAAAAG/M/9o=")</f>
        <v>#REF!</v>
      </c>
      <c r="HL388" t="e">
        <f>AND(#REF!,"AAAAAG/M/9s=")</f>
        <v>#REF!</v>
      </c>
      <c r="HM388" t="e">
        <f>AND(#REF!,"AAAAAG/M/9w=")</f>
        <v>#REF!</v>
      </c>
      <c r="HN388" t="e">
        <f>AND(#REF!,"AAAAAG/M/90=")</f>
        <v>#REF!</v>
      </c>
      <c r="HO388" t="e">
        <f>AND(#REF!,"AAAAAG/M/94=")</f>
        <v>#REF!</v>
      </c>
      <c r="HP388" t="e">
        <f>AND(#REF!,"AAAAAG/M/98=")</f>
        <v>#REF!</v>
      </c>
      <c r="HQ388" t="e">
        <f>AND(#REF!,"AAAAAG/M/+A=")</f>
        <v>#REF!</v>
      </c>
      <c r="HR388" t="e">
        <f>AND(#REF!,"AAAAAG/M/+E=")</f>
        <v>#REF!</v>
      </c>
      <c r="HS388" t="e">
        <f>AND(#REF!,"AAAAAG/M/+I=")</f>
        <v>#REF!</v>
      </c>
      <c r="HT388" t="e">
        <f>AND(#REF!,"AAAAAG/M/+M=")</f>
        <v>#REF!</v>
      </c>
      <c r="HU388" t="e">
        <f>IF(#REF!,"AAAAAG/M/+Q=",0)</f>
        <v>#REF!</v>
      </c>
      <c r="HV388" t="e">
        <f>AND(#REF!,"AAAAAG/M/+U=")</f>
        <v>#REF!</v>
      </c>
      <c r="HW388" t="e">
        <f>AND(#REF!,"AAAAAG/M/+Y=")</f>
        <v>#REF!</v>
      </c>
      <c r="HX388" t="e">
        <f>AND(#REF!,"AAAAAG/M/+c=")</f>
        <v>#REF!</v>
      </c>
      <c r="HY388" t="e">
        <f>AND(#REF!,"AAAAAG/M/+g=")</f>
        <v>#REF!</v>
      </c>
      <c r="HZ388" t="e">
        <f>AND(#REF!,"AAAAAG/M/+k=")</f>
        <v>#REF!</v>
      </c>
      <c r="IA388" t="e">
        <f>AND(#REF!,"AAAAAG/M/+o=")</f>
        <v>#REF!</v>
      </c>
      <c r="IB388" t="e">
        <f>AND(#REF!,"AAAAAG/M/+s=")</f>
        <v>#REF!</v>
      </c>
      <c r="IC388" t="e">
        <f>AND(#REF!,"AAAAAG/M/+w=")</f>
        <v>#REF!</v>
      </c>
      <c r="ID388" t="e">
        <f>AND(#REF!,"AAAAAG/M/+0=")</f>
        <v>#REF!</v>
      </c>
      <c r="IE388" t="e">
        <f>AND(#REF!,"AAAAAG/M/+4=")</f>
        <v>#REF!</v>
      </c>
      <c r="IF388" t="e">
        <f>IF(#REF!,"AAAAAG/M/+8=",0)</f>
        <v>#REF!</v>
      </c>
      <c r="IG388" t="e">
        <f>AND(#REF!,"AAAAAG/M//A=")</f>
        <v>#REF!</v>
      </c>
      <c r="IH388" t="e">
        <f>AND(#REF!,"AAAAAG/M//E=")</f>
        <v>#REF!</v>
      </c>
      <c r="II388" t="e">
        <f>AND(#REF!,"AAAAAG/M//I=")</f>
        <v>#REF!</v>
      </c>
      <c r="IJ388" t="e">
        <f>AND(#REF!,"AAAAAG/M//M=")</f>
        <v>#REF!</v>
      </c>
      <c r="IK388" t="e">
        <f>AND(#REF!,"AAAAAG/M//Q=")</f>
        <v>#REF!</v>
      </c>
      <c r="IL388" t="e">
        <f>AND(#REF!,"AAAAAG/M//U=")</f>
        <v>#REF!</v>
      </c>
      <c r="IM388" t="e">
        <f>AND(#REF!,"AAAAAG/M//Y=")</f>
        <v>#REF!</v>
      </c>
      <c r="IN388" t="e">
        <f>AND(#REF!,"AAAAAG/M//c=")</f>
        <v>#REF!</v>
      </c>
      <c r="IO388" t="e">
        <f>AND(#REF!,"AAAAAG/M//g=")</f>
        <v>#REF!</v>
      </c>
      <c r="IP388" t="e">
        <f>AND(#REF!,"AAAAAG/M//k=")</f>
        <v>#REF!</v>
      </c>
      <c r="IQ388" t="e">
        <f>IF(#REF!,"AAAAAG/M//o=",0)</f>
        <v>#REF!</v>
      </c>
      <c r="IR388" t="e">
        <f>AND(#REF!,"AAAAAG/M//s=")</f>
        <v>#REF!</v>
      </c>
      <c r="IS388" t="e">
        <f>AND(#REF!,"AAAAAG/M//w=")</f>
        <v>#REF!</v>
      </c>
      <c r="IT388" t="e">
        <f>AND(#REF!,"AAAAAG/M//0=")</f>
        <v>#REF!</v>
      </c>
      <c r="IU388" t="e">
        <f>AND(#REF!,"AAAAAG/M//4=")</f>
        <v>#REF!</v>
      </c>
      <c r="IV388" t="e">
        <f>AND(#REF!,"AAAAAG/M//8=")</f>
        <v>#REF!</v>
      </c>
    </row>
    <row r="389" spans="1:256" x14ac:dyDescent="0.25">
      <c r="A389" t="e">
        <f>AND(#REF!,"AAAAAH9rvQA=")</f>
        <v>#REF!</v>
      </c>
      <c r="B389" t="e">
        <f>AND(#REF!,"AAAAAH9rvQE=")</f>
        <v>#REF!</v>
      </c>
      <c r="C389" t="e">
        <f>AND(#REF!,"AAAAAH9rvQI=")</f>
        <v>#REF!</v>
      </c>
      <c r="D389" t="e">
        <f>AND(#REF!,"AAAAAH9rvQM=")</f>
        <v>#REF!</v>
      </c>
      <c r="E389" t="e">
        <f>AND(#REF!,"AAAAAH9rvQQ=")</f>
        <v>#REF!</v>
      </c>
      <c r="F389" t="e">
        <f>IF(#REF!,"AAAAAH9rvQU=",0)</f>
        <v>#REF!</v>
      </c>
      <c r="G389" t="e">
        <f>AND(#REF!,"AAAAAH9rvQY=")</f>
        <v>#REF!</v>
      </c>
      <c r="H389" t="e">
        <f>AND(#REF!,"AAAAAH9rvQc=")</f>
        <v>#REF!</v>
      </c>
      <c r="I389" t="e">
        <f>AND(#REF!,"AAAAAH9rvQg=")</f>
        <v>#REF!</v>
      </c>
      <c r="J389" t="e">
        <f>AND(#REF!,"AAAAAH9rvQk=")</f>
        <v>#REF!</v>
      </c>
      <c r="K389" t="e">
        <f>AND(#REF!,"AAAAAH9rvQo=")</f>
        <v>#REF!</v>
      </c>
      <c r="L389" t="e">
        <f>AND(#REF!,"AAAAAH9rvQs=")</f>
        <v>#REF!</v>
      </c>
      <c r="M389" t="e">
        <f>AND(#REF!,"AAAAAH9rvQw=")</f>
        <v>#REF!</v>
      </c>
      <c r="N389" t="e">
        <f>AND(#REF!,"AAAAAH9rvQ0=")</f>
        <v>#REF!</v>
      </c>
      <c r="O389" t="e">
        <f>AND(#REF!,"AAAAAH9rvQ4=")</f>
        <v>#REF!</v>
      </c>
      <c r="P389" t="e">
        <f>AND(#REF!,"AAAAAH9rvQ8=")</f>
        <v>#REF!</v>
      </c>
      <c r="Q389" t="e">
        <f>IF(#REF!,"AAAAAH9rvRA=",0)</f>
        <v>#REF!</v>
      </c>
      <c r="R389" t="e">
        <f>AND(#REF!,"AAAAAH9rvRE=")</f>
        <v>#REF!</v>
      </c>
      <c r="S389" t="e">
        <f>AND(#REF!,"AAAAAH9rvRI=")</f>
        <v>#REF!</v>
      </c>
      <c r="T389" t="e">
        <f>AND(#REF!,"AAAAAH9rvRM=")</f>
        <v>#REF!</v>
      </c>
      <c r="U389" t="e">
        <f>AND(#REF!,"AAAAAH9rvRQ=")</f>
        <v>#REF!</v>
      </c>
      <c r="V389" t="e">
        <f>AND(#REF!,"AAAAAH9rvRU=")</f>
        <v>#REF!</v>
      </c>
      <c r="W389" t="e">
        <f>AND(#REF!,"AAAAAH9rvRY=")</f>
        <v>#REF!</v>
      </c>
      <c r="X389" t="e">
        <f>AND(#REF!,"AAAAAH9rvRc=")</f>
        <v>#REF!</v>
      </c>
      <c r="Y389" t="e">
        <f>AND(#REF!,"AAAAAH9rvRg=")</f>
        <v>#REF!</v>
      </c>
      <c r="Z389" t="e">
        <f>AND(#REF!,"AAAAAH9rvRk=")</f>
        <v>#REF!</v>
      </c>
      <c r="AA389" t="e">
        <f>AND(#REF!,"AAAAAH9rvRo=")</f>
        <v>#REF!</v>
      </c>
      <c r="AB389" t="e">
        <f>IF(#REF!,"AAAAAH9rvRs=",0)</f>
        <v>#REF!</v>
      </c>
      <c r="AC389" t="e">
        <f>AND(#REF!,"AAAAAH9rvRw=")</f>
        <v>#REF!</v>
      </c>
      <c r="AD389" t="e">
        <f>AND(#REF!,"AAAAAH9rvR0=")</f>
        <v>#REF!</v>
      </c>
      <c r="AE389" t="e">
        <f>AND(#REF!,"AAAAAH9rvR4=")</f>
        <v>#REF!</v>
      </c>
      <c r="AF389" t="e">
        <f>AND(#REF!,"AAAAAH9rvR8=")</f>
        <v>#REF!</v>
      </c>
      <c r="AG389" t="e">
        <f>AND(#REF!,"AAAAAH9rvSA=")</f>
        <v>#REF!</v>
      </c>
      <c r="AH389" t="e">
        <f>AND(#REF!,"AAAAAH9rvSE=")</f>
        <v>#REF!</v>
      </c>
      <c r="AI389" t="e">
        <f>AND(#REF!,"AAAAAH9rvSI=")</f>
        <v>#REF!</v>
      </c>
      <c r="AJ389" t="e">
        <f>AND(#REF!,"AAAAAH9rvSM=")</f>
        <v>#REF!</v>
      </c>
      <c r="AK389" t="e">
        <f>AND(#REF!,"AAAAAH9rvSQ=")</f>
        <v>#REF!</v>
      </c>
      <c r="AL389" t="e">
        <f>AND(#REF!,"AAAAAH9rvSU=")</f>
        <v>#REF!</v>
      </c>
      <c r="AM389" t="e">
        <f>IF(#REF!,"AAAAAH9rvSY=",0)</f>
        <v>#REF!</v>
      </c>
      <c r="AN389" t="e">
        <f>AND(#REF!,"AAAAAH9rvSc=")</f>
        <v>#REF!</v>
      </c>
      <c r="AO389" t="e">
        <f>AND(#REF!,"AAAAAH9rvSg=")</f>
        <v>#REF!</v>
      </c>
      <c r="AP389" t="e">
        <f>AND(#REF!,"AAAAAH9rvSk=")</f>
        <v>#REF!</v>
      </c>
      <c r="AQ389" t="e">
        <f>AND(#REF!,"AAAAAH9rvSo=")</f>
        <v>#REF!</v>
      </c>
      <c r="AR389" t="e">
        <f>AND(#REF!,"AAAAAH9rvSs=")</f>
        <v>#REF!</v>
      </c>
      <c r="AS389" t="e">
        <f>AND(#REF!,"AAAAAH9rvSw=")</f>
        <v>#REF!</v>
      </c>
      <c r="AT389" t="e">
        <f>AND(#REF!,"AAAAAH9rvS0=")</f>
        <v>#REF!</v>
      </c>
      <c r="AU389" t="e">
        <f>AND(#REF!,"AAAAAH9rvS4=")</f>
        <v>#REF!</v>
      </c>
      <c r="AV389" t="e">
        <f>AND(#REF!,"AAAAAH9rvS8=")</f>
        <v>#REF!</v>
      </c>
      <c r="AW389" t="e">
        <f>AND(#REF!,"AAAAAH9rvTA=")</f>
        <v>#REF!</v>
      </c>
      <c r="AX389" t="e">
        <f>IF(#REF!,"AAAAAH9rvTE=",0)</f>
        <v>#REF!</v>
      </c>
      <c r="AY389" t="e">
        <f>AND(#REF!,"AAAAAH9rvTI=")</f>
        <v>#REF!</v>
      </c>
      <c r="AZ389" t="e">
        <f>AND(#REF!,"AAAAAH9rvTM=")</f>
        <v>#REF!</v>
      </c>
      <c r="BA389" t="e">
        <f>AND(#REF!,"AAAAAH9rvTQ=")</f>
        <v>#REF!</v>
      </c>
      <c r="BB389" t="e">
        <f>AND(#REF!,"AAAAAH9rvTU=")</f>
        <v>#REF!</v>
      </c>
      <c r="BC389" t="e">
        <f>AND(#REF!,"AAAAAH9rvTY=")</f>
        <v>#REF!</v>
      </c>
      <c r="BD389" t="e">
        <f>AND(#REF!,"AAAAAH9rvTc=")</f>
        <v>#REF!</v>
      </c>
      <c r="BE389" t="e">
        <f>AND(#REF!,"AAAAAH9rvTg=")</f>
        <v>#REF!</v>
      </c>
      <c r="BF389" t="e">
        <f>AND(#REF!,"AAAAAH9rvTk=")</f>
        <v>#REF!</v>
      </c>
      <c r="BG389" t="e">
        <f>AND(#REF!,"AAAAAH9rvTo=")</f>
        <v>#REF!</v>
      </c>
      <c r="BH389" t="e">
        <f>AND(#REF!,"AAAAAH9rvTs=")</f>
        <v>#REF!</v>
      </c>
      <c r="BI389" t="e">
        <f>IF(#REF!,"AAAAAH9rvTw=",0)</f>
        <v>#REF!</v>
      </c>
      <c r="BJ389" t="e">
        <f>AND(#REF!,"AAAAAH9rvT0=")</f>
        <v>#REF!</v>
      </c>
      <c r="BK389" t="e">
        <f>AND(#REF!,"AAAAAH9rvT4=")</f>
        <v>#REF!</v>
      </c>
      <c r="BL389" t="e">
        <f>AND(#REF!,"AAAAAH9rvT8=")</f>
        <v>#REF!</v>
      </c>
      <c r="BM389" t="e">
        <f>AND(#REF!,"AAAAAH9rvUA=")</f>
        <v>#REF!</v>
      </c>
      <c r="BN389" t="e">
        <f>AND(#REF!,"AAAAAH9rvUE=")</f>
        <v>#REF!</v>
      </c>
      <c r="BO389" t="e">
        <f>AND(#REF!,"AAAAAH9rvUI=")</f>
        <v>#REF!</v>
      </c>
      <c r="BP389" t="e">
        <f>AND(#REF!,"AAAAAH9rvUM=")</f>
        <v>#REF!</v>
      </c>
      <c r="BQ389" t="e">
        <f>AND(#REF!,"AAAAAH9rvUQ=")</f>
        <v>#REF!</v>
      </c>
      <c r="BR389" t="e">
        <f>AND(#REF!,"AAAAAH9rvUU=")</f>
        <v>#REF!</v>
      </c>
      <c r="BS389" t="e">
        <f>AND(#REF!,"AAAAAH9rvUY=")</f>
        <v>#REF!</v>
      </c>
      <c r="BT389" t="e">
        <f>IF(#REF!,"AAAAAH9rvUc=",0)</f>
        <v>#REF!</v>
      </c>
      <c r="BU389" t="e">
        <f>AND(#REF!,"AAAAAH9rvUg=")</f>
        <v>#REF!</v>
      </c>
      <c r="BV389" t="e">
        <f>AND(#REF!,"AAAAAH9rvUk=")</f>
        <v>#REF!</v>
      </c>
      <c r="BW389" t="e">
        <f>AND(#REF!,"AAAAAH9rvUo=")</f>
        <v>#REF!</v>
      </c>
      <c r="BX389" t="e">
        <f>AND(#REF!,"AAAAAH9rvUs=")</f>
        <v>#REF!</v>
      </c>
      <c r="BY389" t="e">
        <f>AND(#REF!,"AAAAAH9rvUw=")</f>
        <v>#REF!</v>
      </c>
      <c r="BZ389" t="e">
        <f>AND(#REF!,"AAAAAH9rvU0=")</f>
        <v>#REF!</v>
      </c>
      <c r="CA389" t="e">
        <f>AND(#REF!,"AAAAAH9rvU4=")</f>
        <v>#REF!</v>
      </c>
      <c r="CB389" t="e">
        <f>AND(#REF!,"AAAAAH9rvU8=")</f>
        <v>#REF!</v>
      </c>
      <c r="CC389" t="e">
        <f>AND(#REF!,"AAAAAH9rvVA=")</f>
        <v>#REF!</v>
      </c>
      <c r="CD389" t="e">
        <f>AND(#REF!,"AAAAAH9rvVE=")</f>
        <v>#REF!</v>
      </c>
      <c r="CE389" t="e">
        <f>IF(#REF!,"AAAAAH9rvVI=",0)</f>
        <v>#REF!</v>
      </c>
      <c r="CF389" t="e">
        <f>AND(#REF!,"AAAAAH9rvVM=")</f>
        <v>#REF!</v>
      </c>
      <c r="CG389" t="e">
        <f>AND(#REF!,"AAAAAH9rvVQ=")</f>
        <v>#REF!</v>
      </c>
      <c r="CH389" t="e">
        <f>AND(#REF!,"AAAAAH9rvVU=")</f>
        <v>#REF!</v>
      </c>
      <c r="CI389" t="e">
        <f>AND(#REF!,"AAAAAH9rvVY=")</f>
        <v>#REF!</v>
      </c>
      <c r="CJ389" t="e">
        <f>AND(#REF!,"AAAAAH9rvVc=")</f>
        <v>#REF!</v>
      </c>
      <c r="CK389" t="e">
        <f>AND(#REF!,"AAAAAH9rvVg=")</f>
        <v>#REF!</v>
      </c>
      <c r="CL389" t="e">
        <f>AND(#REF!,"AAAAAH9rvVk=")</f>
        <v>#REF!</v>
      </c>
      <c r="CM389" t="e">
        <f>AND(#REF!,"AAAAAH9rvVo=")</f>
        <v>#REF!</v>
      </c>
      <c r="CN389" t="e">
        <f>AND(#REF!,"AAAAAH9rvVs=")</f>
        <v>#REF!</v>
      </c>
      <c r="CO389" t="e">
        <f>AND(#REF!,"AAAAAH9rvVw=")</f>
        <v>#REF!</v>
      </c>
      <c r="CP389" t="e">
        <f>IF(#REF!,"AAAAAH9rvV0=",0)</f>
        <v>#REF!</v>
      </c>
      <c r="CQ389" t="e">
        <f>AND(#REF!,"AAAAAH9rvV4=")</f>
        <v>#REF!</v>
      </c>
      <c r="CR389" t="e">
        <f>AND(#REF!,"AAAAAH9rvV8=")</f>
        <v>#REF!</v>
      </c>
      <c r="CS389" t="e">
        <f>AND(#REF!,"AAAAAH9rvWA=")</f>
        <v>#REF!</v>
      </c>
      <c r="CT389" t="e">
        <f>AND(#REF!,"AAAAAH9rvWE=")</f>
        <v>#REF!</v>
      </c>
      <c r="CU389" t="e">
        <f>AND(#REF!,"AAAAAH9rvWI=")</f>
        <v>#REF!</v>
      </c>
      <c r="CV389" t="e">
        <f>AND(#REF!,"AAAAAH9rvWM=")</f>
        <v>#REF!</v>
      </c>
      <c r="CW389" t="e">
        <f>AND(#REF!,"AAAAAH9rvWQ=")</f>
        <v>#REF!</v>
      </c>
      <c r="CX389" t="e">
        <f>AND(#REF!,"AAAAAH9rvWU=")</f>
        <v>#REF!</v>
      </c>
      <c r="CY389" t="e">
        <f>AND(#REF!,"AAAAAH9rvWY=")</f>
        <v>#REF!</v>
      </c>
      <c r="CZ389" t="e">
        <f>AND(#REF!,"AAAAAH9rvWc=")</f>
        <v>#REF!</v>
      </c>
      <c r="DA389" t="e">
        <f>IF(#REF!,"AAAAAH9rvWg=",0)</f>
        <v>#REF!</v>
      </c>
      <c r="DB389" t="e">
        <f>AND(#REF!,"AAAAAH9rvWk=")</f>
        <v>#REF!</v>
      </c>
      <c r="DC389" t="e">
        <f>AND(#REF!,"AAAAAH9rvWo=")</f>
        <v>#REF!</v>
      </c>
      <c r="DD389" t="e">
        <f>AND(#REF!,"AAAAAH9rvWs=")</f>
        <v>#REF!</v>
      </c>
      <c r="DE389" t="e">
        <f>AND(#REF!,"AAAAAH9rvWw=")</f>
        <v>#REF!</v>
      </c>
      <c r="DF389" t="e">
        <f>AND(#REF!,"AAAAAH9rvW0=")</f>
        <v>#REF!</v>
      </c>
      <c r="DG389" t="e">
        <f>AND(#REF!,"AAAAAH9rvW4=")</f>
        <v>#REF!</v>
      </c>
      <c r="DH389" t="e">
        <f>AND(#REF!,"AAAAAH9rvW8=")</f>
        <v>#REF!</v>
      </c>
      <c r="DI389" t="e">
        <f>AND(#REF!,"AAAAAH9rvXA=")</f>
        <v>#REF!</v>
      </c>
      <c r="DJ389" t="e">
        <f>AND(#REF!,"AAAAAH9rvXE=")</f>
        <v>#REF!</v>
      </c>
      <c r="DK389" t="e">
        <f>AND(#REF!,"AAAAAH9rvXI=")</f>
        <v>#REF!</v>
      </c>
      <c r="DL389" t="e">
        <f>IF(#REF!,"AAAAAH9rvXM=",0)</f>
        <v>#REF!</v>
      </c>
      <c r="DM389" t="e">
        <f>AND(#REF!,"AAAAAH9rvXQ=")</f>
        <v>#REF!</v>
      </c>
      <c r="DN389" t="e">
        <f>AND(#REF!,"AAAAAH9rvXU=")</f>
        <v>#REF!</v>
      </c>
      <c r="DO389" t="e">
        <f>AND(#REF!,"AAAAAH9rvXY=")</f>
        <v>#REF!</v>
      </c>
      <c r="DP389" t="e">
        <f>AND(#REF!,"AAAAAH9rvXc=")</f>
        <v>#REF!</v>
      </c>
      <c r="DQ389" t="e">
        <f>AND(#REF!,"AAAAAH9rvXg=")</f>
        <v>#REF!</v>
      </c>
      <c r="DR389" t="e">
        <f>AND(#REF!,"AAAAAH9rvXk=")</f>
        <v>#REF!</v>
      </c>
      <c r="DS389" t="e">
        <f>AND(#REF!,"AAAAAH9rvXo=")</f>
        <v>#REF!</v>
      </c>
      <c r="DT389" t="e">
        <f>AND(#REF!,"AAAAAH9rvXs=")</f>
        <v>#REF!</v>
      </c>
      <c r="DU389" t="e">
        <f>AND(#REF!,"AAAAAH9rvXw=")</f>
        <v>#REF!</v>
      </c>
      <c r="DV389" t="e">
        <f>AND(#REF!,"AAAAAH9rvX0=")</f>
        <v>#REF!</v>
      </c>
      <c r="DW389" t="e">
        <f>IF(#REF!,"AAAAAH9rvX4=",0)</f>
        <v>#REF!</v>
      </c>
      <c r="DX389" t="e">
        <f>AND(#REF!,"AAAAAH9rvX8=")</f>
        <v>#REF!</v>
      </c>
      <c r="DY389" t="e">
        <f>AND(#REF!,"AAAAAH9rvYA=")</f>
        <v>#REF!</v>
      </c>
      <c r="DZ389" t="e">
        <f>AND(#REF!,"AAAAAH9rvYE=")</f>
        <v>#REF!</v>
      </c>
      <c r="EA389" t="e">
        <f>AND(#REF!,"AAAAAH9rvYI=")</f>
        <v>#REF!</v>
      </c>
      <c r="EB389" t="e">
        <f>AND(#REF!,"AAAAAH9rvYM=")</f>
        <v>#REF!</v>
      </c>
      <c r="EC389" t="e">
        <f>AND(#REF!,"AAAAAH9rvYQ=")</f>
        <v>#REF!</v>
      </c>
      <c r="ED389" t="e">
        <f>AND(#REF!,"AAAAAH9rvYU=")</f>
        <v>#REF!</v>
      </c>
      <c r="EE389" t="e">
        <f>AND(#REF!,"AAAAAH9rvYY=")</f>
        <v>#REF!</v>
      </c>
      <c r="EF389" t="e">
        <f>AND(#REF!,"AAAAAH9rvYc=")</f>
        <v>#REF!</v>
      </c>
      <c r="EG389" t="e">
        <f>AND(#REF!,"AAAAAH9rvYg=")</f>
        <v>#REF!</v>
      </c>
      <c r="EH389" t="e">
        <f>IF(#REF!,"AAAAAH9rvYk=",0)</f>
        <v>#REF!</v>
      </c>
      <c r="EI389" t="e">
        <f>AND(#REF!,"AAAAAH9rvYo=")</f>
        <v>#REF!</v>
      </c>
      <c r="EJ389" t="e">
        <f>AND(#REF!,"AAAAAH9rvYs=")</f>
        <v>#REF!</v>
      </c>
      <c r="EK389" t="e">
        <f>AND(#REF!,"AAAAAH9rvYw=")</f>
        <v>#REF!</v>
      </c>
      <c r="EL389" t="e">
        <f>AND(#REF!,"AAAAAH9rvY0=")</f>
        <v>#REF!</v>
      </c>
      <c r="EM389" t="e">
        <f>AND(#REF!,"AAAAAH9rvY4=")</f>
        <v>#REF!</v>
      </c>
      <c r="EN389" t="e">
        <f>AND(#REF!,"AAAAAH9rvY8=")</f>
        <v>#REF!</v>
      </c>
      <c r="EO389" t="e">
        <f>AND(#REF!,"AAAAAH9rvZA=")</f>
        <v>#REF!</v>
      </c>
      <c r="EP389" t="e">
        <f>AND(#REF!,"AAAAAH9rvZE=")</f>
        <v>#REF!</v>
      </c>
      <c r="EQ389" t="e">
        <f>AND(#REF!,"AAAAAH9rvZI=")</f>
        <v>#REF!</v>
      </c>
      <c r="ER389" t="e">
        <f>AND(#REF!,"AAAAAH9rvZM=")</f>
        <v>#REF!</v>
      </c>
      <c r="ES389" t="e">
        <f>IF(#REF!,"AAAAAH9rvZQ=",0)</f>
        <v>#REF!</v>
      </c>
      <c r="ET389" t="e">
        <f>AND(#REF!,"AAAAAH9rvZU=")</f>
        <v>#REF!</v>
      </c>
      <c r="EU389" t="e">
        <f>AND(#REF!,"AAAAAH9rvZY=")</f>
        <v>#REF!</v>
      </c>
      <c r="EV389" t="e">
        <f>AND(#REF!,"AAAAAH9rvZc=")</f>
        <v>#REF!</v>
      </c>
      <c r="EW389" t="e">
        <f>AND(#REF!,"AAAAAH9rvZg=")</f>
        <v>#REF!</v>
      </c>
      <c r="EX389" t="e">
        <f>AND(#REF!,"AAAAAH9rvZk=")</f>
        <v>#REF!</v>
      </c>
      <c r="EY389" t="e">
        <f>AND(#REF!,"AAAAAH9rvZo=")</f>
        <v>#REF!</v>
      </c>
      <c r="EZ389" t="e">
        <f>AND(#REF!,"AAAAAH9rvZs=")</f>
        <v>#REF!</v>
      </c>
      <c r="FA389" t="e">
        <f>AND(#REF!,"AAAAAH9rvZw=")</f>
        <v>#REF!</v>
      </c>
      <c r="FB389" t="e">
        <f>AND(#REF!,"AAAAAH9rvZ0=")</f>
        <v>#REF!</v>
      </c>
      <c r="FC389" t="e">
        <f>AND(#REF!,"AAAAAH9rvZ4=")</f>
        <v>#REF!</v>
      </c>
      <c r="FD389" t="e">
        <f>IF(#REF!,"AAAAAH9rvZ8=",0)</f>
        <v>#REF!</v>
      </c>
      <c r="FE389" t="e">
        <f>AND(#REF!,"AAAAAH9rvaA=")</f>
        <v>#REF!</v>
      </c>
      <c r="FF389" t="e">
        <f>AND(#REF!,"AAAAAH9rvaE=")</f>
        <v>#REF!</v>
      </c>
      <c r="FG389" t="e">
        <f>AND(#REF!,"AAAAAH9rvaI=")</f>
        <v>#REF!</v>
      </c>
      <c r="FH389" t="e">
        <f>AND(#REF!,"AAAAAH9rvaM=")</f>
        <v>#REF!</v>
      </c>
      <c r="FI389" t="e">
        <f>AND(#REF!,"AAAAAH9rvaQ=")</f>
        <v>#REF!</v>
      </c>
      <c r="FJ389" t="e">
        <f>AND(#REF!,"AAAAAH9rvaU=")</f>
        <v>#REF!</v>
      </c>
      <c r="FK389" t="e">
        <f>AND(#REF!,"AAAAAH9rvaY=")</f>
        <v>#REF!</v>
      </c>
      <c r="FL389" t="e">
        <f>AND(#REF!,"AAAAAH9rvac=")</f>
        <v>#REF!</v>
      </c>
      <c r="FM389" t="e">
        <f>AND(#REF!,"AAAAAH9rvag=")</f>
        <v>#REF!</v>
      </c>
      <c r="FN389" t="e">
        <f>AND(#REF!,"AAAAAH9rvak=")</f>
        <v>#REF!</v>
      </c>
      <c r="FO389" t="e">
        <f>IF(#REF!,"AAAAAH9rvao=",0)</f>
        <v>#REF!</v>
      </c>
      <c r="FP389" t="e">
        <f>AND(#REF!,"AAAAAH9rvas=")</f>
        <v>#REF!</v>
      </c>
      <c r="FQ389" t="e">
        <f>AND(#REF!,"AAAAAH9rvaw=")</f>
        <v>#REF!</v>
      </c>
      <c r="FR389" t="e">
        <f>AND(#REF!,"AAAAAH9rva0=")</f>
        <v>#REF!</v>
      </c>
      <c r="FS389" t="e">
        <f>AND(#REF!,"AAAAAH9rva4=")</f>
        <v>#REF!</v>
      </c>
      <c r="FT389" t="e">
        <f>AND(#REF!,"AAAAAH9rva8=")</f>
        <v>#REF!</v>
      </c>
      <c r="FU389" t="e">
        <f>AND(#REF!,"AAAAAH9rvbA=")</f>
        <v>#REF!</v>
      </c>
      <c r="FV389" t="e">
        <f>AND(#REF!,"AAAAAH9rvbE=")</f>
        <v>#REF!</v>
      </c>
      <c r="FW389" t="e">
        <f>AND(#REF!,"AAAAAH9rvbI=")</f>
        <v>#REF!</v>
      </c>
      <c r="FX389" t="e">
        <f>AND(#REF!,"AAAAAH9rvbM=")</f>
        <v>#REF!</v>
      </c>
      <c r="FY389" t="e">
        <f>AND(#REF!,"AAAAAH9rvbQ=")</f>
        <v>#REF!</v>
      </c>
      <c r="FZ389" t="e">
        <f>IF(#REF!,"AAAAAH9rvbU=",0)</f>
        <v>#REF!</v>
      </c>
      <c r="GA389" t="e">
        <f>AND(#REF!,"AAAAAH9rvbY=")</f>
        <v>#REF!</v>
      </c>
      <c r="GB389" t="e">
        <f>AND(#REF!,"AAAAAH9rvbc=")</f>
        <v>#REF!</v>
      </c>
      <c r="GC389" t="e">
        <f>AND(#REF!,"AAAAAH9rvbg=")</f>
        <v>#REF!</v>
      </c>
      <c r="GD389" t="e">
        <f>AND(#REF!,"AAAAAH9rvbk=")</f>
        <v>#REF!</v>
      </c>
      <c r="GE389" t="e">
        <f>AND(#REF!,"AAAAAH9rvbo=")</f>
        <v>#REF!</v>
      </c>
      <c r="GF389" t="e">
        <f>AND(#REF!,"AAAAAH9rvbs=")</f>
        <v>#REF!</v>
      </c>
      <c r="GG389" t="e">
        <f>AND(#REF!,"AAAAAH9rvbw=")</f>
        <v>#REF!</v>
      </c>
      <c r="GH389" t="e">
        <f>AND(#REF!,"AAAAAH9rvb0=")</f>
        <v>#REF!</v>
      </c>
      <c r="GI389" t="e">
        <f>AND(#REF!,"AAAAAH9rvb4=")</f>
        <v>#REF!</v>
      </c>
      <c r="GJ389" t="e">
        <f>AND(#REF!,"AAAAAH9rvb8=")</f>
        <v>#REF!</v>
      </c>
      <c r="GK389" t="e">
        <f>IF(#REF!,"AAAAAH9rvcA=",0)</f>
        <v>#REF!</v>
      </c>
      <c r="GL389" t="e">
        <f>AND(#REF!,"AAAAAH9rvcE=")</f>
        <v>#REF!</v>
      </c>
      <c r="GM389" t="e">
        <f>AND(#REF!,"AAAAAH9rvcI=")</f>
        <v>#REF!</v>
      </c>
      <c r="GN389" t="e">
        <f>AND(#REF!,"AAAAAH9rvcM=")</f>
        <v>#REF!</v>
      </c>
      <c r="GO389" t="e">
        <f>AND(#REF!,"AAAAAH9rvcQ=")</f>
        <v>#REF!</v>
      </c>
      <c r="GP389" t="e">
        <f>AND(#REF!,"AAAAAH9rvcU=")</f>
        <v>#REF!</v>
      </c>
      <c r="GQ389" t="e">
        <f>AND(#REF!,"AAAAAH9rvcY=")</f>
        <v>#REF!</v>
      </c>
      <c r="GR389" t="e">
        <f>AND(#REF!,"AAAAAH9rvcc=")</f>
        <v>#REF!</v>
      </c>
      <c r="GS389" t="e">
        <f>AND(#REF!,"AAAAAH9rvcg=")</f>
        <v>#REF!</v>
      </c>
      <c r="GT389" t="e">
        <f>AND(#REF!,"AAAAAH9rvck=")</f>
        <v>#REF!</v>
      </c>
      <c r="GU389" t="e">
        <f>AND(#REF!,"AAAAAH9rvco=")</f>
        <v>#REF!</v>
      </c>
      <c r="GV389" t="e">
        <f>IF(#REF!,"AAAAAH9rvcs=",0)</f>
        <v>#REF!</v>
      </c>
      <c r="GW389" t="e">
        <f>AND(#REF!,"AAAAAH9rvcw=")</f>
        <v>#REF!</v>
      </c>
      <c r="GX389" t="e">
        <f>AND(#REF!,"AAAAAH9rvc0=")</f>
        <v>#REF!</v>
      </c>
      <c r="GY389" t="e">
        <f>AND(#REF!,"AAAAAH9rvc4=")</f>
        <v>#REF!</v>
      </c>
      <c r="GZ389" t="e">
        <f>AND(#REF!,"AAAAAH9rvc8=")</f>
        <v>#REF!</v>
      </c>
      <c r="HA389" t="e">
        <f>AND(#REF!,"AAAAAH9rvdA=")</f>
        <v>#REF!</v>
      </c>
      <c r="HB389" t="e">
        <f>AND(#REF!,"AAAAAH9rvdE=")</f>
        <v>#REF!</v>
      </c>
      <c r="HC389" t="e">
        <f>AND(#REF!,"AAAAAH9rvdI=")</f>
        <v>#REF!</v>
      </c>
      <c r="HD389" t="e">
        <f>AND(#REF!,"AAAAAH9rvdM=")</f>
        <v>#REF!</v>
      </c>
      <c r="HE389" t="e">
        <f>AND(#REF!,"AAAAAH9rvdQ=")</f>
        <v>#REF!</v>
      </c>
      <c r="HF389" t="e">
        <f>AND(#REF!,"AAAAAH9rvdU=")</f>
        <v>#REF!</v>
      </c>
      <c r="HG389" t="e">
        <f>IF(#REF!,"AAAAAH9rvdY=",0)</f>
        <v>#REF!</v>
      </c>
      <c r="HH389" t="e">
        <f>AND(#REF!,"AAAAAH9rvdc=")</f>
        <v>#REF!</v>
      </c>
      <c r="HI389" t="e">
        <f>AND(#REF!,"AAAAAH9rvdg=")</f>
        <v>#REF!</v>
      </c>
      <c r="HJ389" t="e">
        <f>AND(#REF!,"AAAAAH9rvdk=")</f>
        <v>#REF!</v>
      </c>
      <c r="HK389" t="e">
        <f>AND(#REF!,"AAAAAH9rvdo=")</f>
        <v>#REF!</v>
      </c>
      <c r="HL389" t="e">
        <f>AND(#REF!,"AAAAAH9rvds=")</f>
        <v>#REF!</v>
      </c>
      <c r="HM389" t="e">
        <f>AND(#REF!,"AAAAAH9rvdw=")</f>
        <v>#REF!</v>
      </c>
      <c r="HN389" t="e">
        <f>AND(#REF!,"AAAAAH9rvd0=")</f>
        <v>#REF!</v>
      </c>
      <c r="HO389" t="e">
        <f>AND(#REF!,"AAAAAH9rvd4=")</f>
        <v>#REF!</v>
      </c>
      <c r="HP389" t="e">
        <f>AND(#REF!,"AAAAAH9rvd8=")</f>
        <v>#REF!</v>
      </c>
      <c r="HQ389" t="e">
        <f>AND(#REF!,"AAAAAH9rveA=")</f>
        <v>#REF!</v>
      </c>
      <c r="HR389" t="e">
        <f>IF(#REF!,"AAAAAH9rveE=",0)</f>
        <v>#REF!</v>
      </c>
      <c r="HS389" t="e">
        <f>AND(#REF!,"AAAAAH9rveI=")</f>
        <v>#REF!</v>
      </c>
      <c r="HT389" t="e">
        <f>AND(#REF!,"AAAAAH9rveM=")</f>
        <v>#REF!</v>
      </c>
      <c r="HU389" t="e">
        <f>AND(#REF!,"AAAAAH9rveQ=")</f>
        <v>#REF!</v>
      </c>
      <c r="HV389" t="e">
        <f>AND(#REF!,"AAAAAH9rveU=")</f>
        <v>#REF!</v>
      </c>
      <c r="HW389" t="e">
        <f>AND(#REF!,"AAAAAH9rveY=")</f>
        <v>#REF!</v>
      </c>
      <c r="HX389" t="e">
        <f>AND(#REF!,"AAAAAH9rvec=")</f>
        <v>#REF!</v>
      </c>
      <c r="HY389" t="e">
        <f>AND(#REF!,"AAAAAH9rveg=")</f>
        <v>#REF!</v>
      </c>
      <c r="HZ389" t="e">
        <f>AND(#REF!,"AAAAAH9rvek=")</f>
        <v>#REF!</v>
      </c>
      <c r="IA389" t="e">
        <f>AND(#REF!,"AAAAAH9rveo=")</f>
        <v>#REF!</v>
      </c>
      <c r="IB389" t="e">
        <f>AND(#REF!,"AAAAAH9rves=")</f>
        <v>#REF!</v>
      </c>
      <c r="IC389" t="e">
        <f>IF(#REF!,"AAAAAH9rvew=",0)</f>
        <v>#REF!</v>
      </c>
      <c r="ID389" t="e">
        <f>AND(#REF!,"AAAAAH9rve0=")</f>
        <v>#REF!</v>
      </c>
      <c r="IE389" t="e">
        <f>AND(#REF!,"AAAAAH9rve4=")</f>
        <v>#REF!</v>
      </c>
      <c r="IF389" t="e">
        <f>AND(#REF!,"AAAAAH9rve8=")</f>
        <v>#REF!</v>
      </c>
      <c r="IG389" t="e">
        <f>AND(#REF!,"AAAAAH9rvfA=")</f>
        <v>#REF!</v>
      </c>
      <c r="IH389" t="e">
        <f>AND(#REF!,"AAAAAH9rvfE=")</f>
        <v>#REF!</v>
      </c>
      <c r="II389" t="e">
        <f>AND(#REF!,"AAAAAH9rvfI=")</f>
        <v>#REF!</v>
      </c>
      <c r="IJ389" t="e">
        <f>AND(#REF!,"AAAAAH9rvfM=")</f>
        <v>#REF!</v>
      </c>
      <c r="IK389" t="e">
        <f>AND(#REF!,"AAAAAH9rvfQ=")</f>
        <v>#REF!</v>
      </c>
      <c r="IL389" t="e">
        <f>AND(#REF!,"AAAAAH9rvfU=")</f>
        <v>#REF!</v>
      </c>
      <c r="IM389" t="e">
        <f>AND(#REF!,"AAAAAH9rvfY=")</f>
        <v>#REF!</v>
      </c>
      <c r="IN389" t="e">
        <f>IF(#REF!,"AAAAAH9rvfc=",0)</f>
        <v>#REF!</v>
      </c>
      <c r="IO389" t="e">
        <f>AND(#REF!,"AAAAAH9rvfg=")</f>
        <v>#REF!</v>
      </c>
      <c r="IP389" t="e">
        <f>AND(#REF!,"AAAAAH9rvfk=")</f>
        <v>#REF!</v>
      </c>
      <c r="IQ389" t="e">
        <f>AND(#REF!,"AAAAAH9rvfo=")</f>
        <v>#REF!</v>
      </c>
      <c r="IR389" t="e">
        <f>AND(#REF!,"AAAAAH9rvfs=")</f>
        <v>#REF!</v>
      </c>
      <c r="IS389" t="e">
        <f>AND(#REF!,"AAAAAH9rvfw=")</f>
        <v>#REF!</v>
      </c>
      <c r="IT389" t="e">
        <f>AND(#REF!,"AAAAAH9rvf0=")</f>
        <v>#REF!</v>
      </c>
      <c r="IU389" t="e">
        <f>AND(#REF!,"AAAAAH9rvf4=")</f>
        <v>#REF!</v>
      </c>
      <c r="IV389" t="e">
        <f>AND(#REF!,"AAAAAH9rvf8=")</f>
        <v>#REF!</v>
      </c>
    </row>
    <row r="390" spans="1:256" x14ac:dyDescent="0.25">
      <c r="A390" t="e">
        <f>AND(#REF!,"AAAAAB9Y/wA=")</f>
        <v>#REF!</v>
      </c>
      <c r="B390" t="e">
        <f>AND(#REF!,"AAAAAB9Y/wE=")</f>
        <v>#REF!</v>
      </c>
      <c r="C390" t="e">
        <f>IF(#REF!,"AAAAAB9Y/wI=",0)</f>
        <v>#REF!</v>
      </c>
      <c r="D390" t="e">
        <f>AND(#REF!,"AAAAAB9Y/wM=")</f>
        <v>#REF!</v>
      </c>
      <c r="E390" t="e">
        <f>AND(#REF!,"AAAAAB9Y/wQ=")</f>
        <v>#REF!</v>
      </c>
      <c r="F390" t="e">
        <f>AND(#REF!,"AAAAAB9Y/wU=")</f>
        <v>#REF!</v>
      </c>
      <c r="G390" t="e">
        <f>AND(#REF!,"AAAAAB9Y/wY=")</f>
        <v>#REF!</v>
      </c>
      <c r="H390" t="e">
        <f>AND(#REF!,"AAAAAB9Y/wc=")</f>
        <v>#REF!</v>
      </c>
      <c r="I390" t="e">
        <f>AND(#REF!,"AAAAAB9Y/wg=")</f>
        <v>#REF!</v>
      </c>
      <c r="J390" t="e">
        <f>AND(#REF!,"AAAAAB9Y/wk=")</f>
        <v>#REF!</v>
      </c>
      <c r="K390" t="e">
        <f>AND(#REF!,"AAAAAB9Y/wo=")</f>
        <v>#REF!</v>
      </c>
      <c r="L390" t="e">
        <f>AND(#REF!,"AAAAAB9Y/ws=")</f>
        <v>#REF!</v>
      </c>
      <c r="M390" t="e">
        <f>AND(#REF!,"AAAAAB9Y/ww=")</f>
        <v>#REF!</v>
      </c>
      <c r="N390" t="e">
        <f>IF(#REF!,"AAAAAB9Y/w0=",0)</f>
        <v>#REF!</v>
      </c>
      <c r="O390" t="e">
        <f>AND(#REF!,"AAAAAB9Y/w4=")</f>
        <v>#REF!</v>
      </c>
      <c r="P390" t="e">
        <f>AND(#REF!,"AAAAAB9Y/w8=")</f>
        <v>#REF!</v>
      </c>
      <c r="Q390" t="e">
        <f>AND(#REF!,"AAAAAB9Y/xA=")</f>
        <v>#REF!</v>
      </c>
      <c r="R390" t="e">
        <f>AND(#REF!,"AAAAAB9Y/xE=")</f>
        <v>#REF!</v>
      </c>
      <c r="S390" t="e">
        <f>AND(#REF!,"AAAAAB9Y/xI=")</f>
        <v>#REF!</v>
      </c>
      <c r="T390" t="e">
        <f>AND(#REF!,"AAAAAB9Y/xM=")</f>
        <v>#REF!</v>
      </c>
      <c r="U390" t="e">
        <f>AND(#REF!,"AAAAAB9Y/xQ=")</f>
        <v>#REF!</v>
      </c>
      <c r="V390" t="e">
        <f>AND(#REF!,"AAAAAB9Y/xU=")</f>
        <v>#REF!</v>
      </c>
      <c r="W390" t="e">
        <f>AND(#REF!,"AAAAAB9Y/xY=")</f>
        <v>#REF!</v>
      </c>
      <c r="X390" t="e">
        <f>AND(#REF!,"AAAAAB9Y/xc=")</f>
        <v>#REF!</v>
      </c>
      <c r="Y390" t="e">
        <f>IF(#REF!,"AAAAAB9Y/xg=",0)</f>
        <v>#REF!</v>
      </c>
      <c r="Z390" t="e">
        <f>AND(#REF!,"AAAAAB9Y/xk=")</f>
        <v>#REF!</v>
      </c>
      <c r="AA390" t="e">
        <f>AND(#REF!,"AAAAAB9Y/xo=")</f>
        <v>#REF!</v>
      </c>
      <c r="AB390" t="e">
        <f>AND(#REF!,"AAAAAB9Y/xs=")</f>
        <v>#REF!</v>
      </c>
      <c r="AC390" t="e">
        <f>AND(#REF!,"AAAAAB9Y/xw=")</f>
        <v>#REF!</v>
      </c>
      <c r="AD390" t="e">
        <f>AND(#REF!,"AAAAAB9Y/x0=")</f>
        <v>#REF!</v>
      </c>
      <c r="AE390" t="e">
        <f>AND(#REF!,"AAAAAB9Y/x4=")</f>
        <v>#REF!</v>
      </c>
      <c r="AF390" t="e">
        <f>AND(#REF!,"AAAAAB9Y/x8=")</f>
        <v>#REF!</v>
      </c>
      <c r="AG390" t="e">
        <f>AND(#REF!,"AAAAAB9Y/yA=")</f>
        <v>#REF!</v>
      </c>
      <c r="AH390" t="e">
        <f>AND(#REF!,"AAAAAB9Y/yE=")</f>
        <v>#REF!</v>
      </c>
      <c r="AI390" t="e">
        <f>AND(#REF!,"AAAAAB9Y/yI=")</f>
        <v>#REF!</v>
      </c>
      <c r="AJ390" t="e">
        <f>IF(#REF!,"AAAAAB9Y/yM=",0)</f>
        <v>#REF!</v>
      </c>
      <c r="AK390" t="e">
        <f>AND(#REF!,"AAAAAB9Y/yQ=")</f>
        <v>#REF!</v>
      </c>
      <c r="AL390" t="e">
        <f>AND(#REF!,"AAAAAB9Y/yU=")</f>
        <v>#REF!</v>
      </c>
      <c r="AM390" t="e">
        <f>AND(#REF!,"AAAAAB9Y/yY=")</f>
        <v>#REF!</v>
      </c>
      <c r="AN390" t="e">
        <f>AND(#REF!,"AAAAAB9Y/yc=")</f>
        <v>#REF!</v>
      </c>
      <c r="AO390" t="e">
        <f>AND(#REF!,"AAAAAB9Y/yg=")</f>
        <v>#REF!</v>
      </c>
      <c r="AP390" t="e">
        <f>AND(#REF!,"AAAAAB9Y/yk=")</f>
        <v>#REF!</v>
      </c>
      <c r="AQ390" t="e">
        <f>AND(#REF!,"AAAAAB9Y/yo=")</f>
        <v>#REF!</v>
      </c>
      <c r="AR390" t="e">
        <f>AND(#REF!,"AAAAAB9Y/ys=")</f>
        <v>#REF!</v>
      </c>
      <c r="AS390" t="e">
        <f>AND(#REF!,"AAAAAB9Y/yw=")</f>
        <v>#REF!</v>
      </c>
      <c r="AT390" t="e">
        <f>AND(#REF!,"AAAAAB9Y/y0=")</f>
        <v>#REF!</v>
      </c>
      <c r="AU390" t="e">
        <f>IF(#REF!,"AAAAAB9Y/y4=",0)</f>
        <v>#REF!</v>
      </c>
      <c r="AV390" t="e">
        <f>AND(#REF!,"AAAAAB9Y/y8=")</f>
        <v>#REF!</v>
      </c>
      <c r="AW390" t="e">
        <f>AND(#REF!,"AAAAAB9Y/zA=")</f>
        <v>#REF!</v>
      </c>
      <c r="AX390" t="e">
        <f>AND(#REF!,"AAAAAB9Y/zE=")</f>
        <v>#REF!</v>
      </c>
      <c r="AY390" t="e">
        <f>AND(#REF!,"AAAAAB9Y/zI=")</f>
        <v>#REF!</v>
      </c>
      <c r="AZ390" t="e">
        <f>AND(#REF!,"AAAAAB9Y/zM=")</f>
        <v>#REF!</v>
      </c>
      <c r="BA390" t="e">
        <f>AND(#REF!,"AAAAAB9Y/zQ=")</f>
        <v>#REF!</v>
      </c>
      <c r="BB390" t="e">
        <f>AND(#REF!,"AAAAAB9Y/zU=")</f>
        <v>#REF!</v>
      </c>
      <c r="BC390" t="e">
        <f>AND(#REF!,"AAAAAB9Y/zY=")</f>
        <v>#REF!</v>
      </c>
      <c r="BD390" t="e">
        <f>AND(#REF!,"AAAAAB9Y/zc=")</f>
        <v>#REF!</v>
      </c>
      <c r="BE390" t="e">
        <f>AND(#REF!,"AAAAAB9Y/zg=")</f>
        <v>#REF!</v>
      </c>
      <c r="BF390" t="e">
        <f>IF(#REF!,"AAAAAB9Y/zk=",0)</f>
        <v>#REF!</v>
      </c>
      <c r="BG390" t="e">
        <f>AND(#REF!,"AAAAAB9Y/zo=")</f>
        <v>#REF!</v>
      </c>
      <c r="BH390" t="e">
        <f>AND(#REF!,"AAAAAB9Y/zs=")</f>
        <v>#REF!</v>
      </c>
      <c r="BI390" t="e">
        <f>AND(#REF!,"AAAAAB9Y/zw=")</f>
        <v>#REF!</v>
      </c>
      <c r="BJ390" t="e">
        <f>AND(#REF!,"AAAAAB9Y/z0=")</f>
        <v>#REF!</v>
      </c>
      <c r="BK390" t="e">
        <f>AND(#REF!,"AAAAAB9Y/z4=")</f>
        <v>#REF!</v>
      </c>
      <c r="BL390" t="e">
        <f>AND(#REF!,"AAAAAB9Y/z8=")</f>
        <v>#REF!</v>
      </c>
      <c r="BM390" t="e">
        <f>AND(#REF!,"AAAAAB9Y/0A=")</f>
        <v>#REF!</v>
      </c>
      <c r="BN390" t="e">
        <f>AND(#REF!,"AAAAAB9Y/0E=")</f>
        <v>#REF!</v>
      </c>
      <c r="BO390" t="e">
        <f>AND(#REF!,"AAAAAB9Y/0I=")</f>
        <v>#REF!</v>
      </c>
      <c r="BP390" t="e">
        <f>AND(#REF!,"AAAAAB9Y/0M=")</f>
        <v>#REF!</v>
      </c>
      <c r="BQ390" t="e">
        <f>IF(#REF!,"AAAAAB9Y/0Q=",0)</f>
        <v>#REF!</v>
      </c>
      <c r="BR390" t="e">
        <f>AND(#REF!,"AAAAAB9Y/0U=")</f>
        <v>#REF!</v>
      </c>
      <c r="BS390" t="e">
        <f>AND(#REF!,"AAAAAB9Y/0Y=")</f>
        <v>#REF!</v>
      </c>
      <c r="BT390" t="e">
        <f>AND(#REF!,"AAAAAB9Y/0c=")</f>
        <v>#REF!</v>
      </c>
      <c r="BU390" t="e">
        <f>AND(#REF!,"AAAAAB9Y/0g=")</f>
        <v>#REF!</v>
      </c>
      <c r="BV390" t="e">
        <f>AND(#REF!,"AAAAAB9Y/0k=")</f>
        <v>#REF!</v>
      </c>
      <c r="BW390" t="e">
        <f>AND(#REF!,"AAAAAB9Y/0o=")</f>
        <v>#REF!</v>
      </c>
      <c r="BX390" t="e">
        <f>AND(#REF!,"AAAAAB9Y/0s=")</f>
        <v>#REF!</v>
      </c>
      <c r="BY390" t="e">
        <f>AND(#REF!,"AAAAAB9Y/0w=")</f>
        <v>#REF!</v>
      </c>
      <c r="BZ390" t="e">
        <f>AND(#REF!,"AAAAAB9Y/00=")</f>
        <v>#REF!</v>
      </c>
      <c r="CA390" t="e">
        <f>AND(#REF!,"AAAAAB9Y/04=")</f>
        <v>#REF!</v>
      </c>
      <c r="CB390" t="e">
        <f>IF(#REF!,"AAAAAB9Y/08=",0)</f>
        <v>#REF!</v>
      </c>
      <c r="CC390" t="e">
        <f>AND(#REF!,"AAAAAB9Y/1A=")</f>
        <v>#REF!</v>
      </c>
      <c r="CD390" t="e">
        <f>AND(#REF!,"AAAAAB9Y/1E=")</f>
        <v>#REF!</v>
      </c>
      <c r="CE390" t="e">
        <f>AND(#REF!,"AAAAAB9Y/1I=")</f>
        <v>#REF!</v>
      </c>
      <c r="CF390" t="e">
        <f>AND(#REF!,"AAAAAB9Y/1M=")</f>
        <v>#REF!</v>
      </c>
      <c r="CG390" t="e">
        <f>AND(#REF!,"AAAAAB9Y/1Q=")</f>
        <v>#REF!</v>
      </c>
      <c r="CH390" t="e">
        <f>AND(#REF!,"AAAAAB9Y/1U=")</f>
        <v>#REF!</v>
      </c>
      <c r="CI390" t="e">
        <f>AND(#REF!,"AAAAAB9Y/1Y=")</f>
        <v>#REF!</v>
      </c>
      <c r="CJ390" t="e">
        <f>AND(#REF!,"AAAAAB9Y/1c=")</f>
        <v>#REF!</v>
      </c>
      <c r="CK390" t="e">
        <f>AND(#REF!,"AAAAAB9Y/1g=")</f>
        <v>#REF!</v>
      </c>
      <c r="CL390" t="e">
        <f>AND(#REF!,"AAAAAB9Y/1k=")</f>
        <v>#REF!</v>
      </c>
      <c r="CM390" t="e">
        <f>IF(#REF!,"AAAAAB9Y/1o=",0)</f>
        <v>#REF!</v>
      </c>
      <c r="CN390" t="e">
        <f>AND(#REF!,"AAAAAB9Y/1s=")</f>
        <v>#REF!</v>
      </c>
      <c r="CO390" t="e">
        <f>AND(#REF!,"AAAAAB9Y/1w=")</f>
        <v>#REF!</v>
      </c>
      <c r="CP390" t="e">
        <f>AND(#REF!,"AAAAAB9Y/10=")</f>
        <v>#REF!</v>
      </c>
      <c r="CQ390" t="e">
        <f>AND(#REF!,"AAAAAB9Y/14=")</f>
        <v>#REF!</v>
      </c>
      <c r="CR390" t="e">
        <f>AND(#REF!,"AAAAAB9Y/18=")</f>
        <v>#REF!</v>
      </c>
      <c r="CS390" t="e">
        <f>AND(#REF!,"AAAAAB9Y/2A=")</f>
        <v>#REF!</v>
      </c>
      <c r="CT390" t="e">
        <f>AND(#REF!,"AAAAAB9Y/2E=")</f>
        <v>#REF!</v>
      </c>
      <c r="CU390" t="e">
        <f>AND(#REF!,"AAAAAB9Y/2I=")</f>
        <v>#REF!</v>
      </c>
      <c r="CV390" t="e">
        <f>AND(#REF!,"AAAAAB9Y/2M=")</f>
        <v>#REF!</v>
      </c>
      <c r="CW390" t="e">
        <f>AND(#REF!,"AAAAAB9Y/2Q=")</f>
        <v>#REF!</v>
      </c>
      <c r="CX390" t="e">
        <f>IF(#REF!,"AAAAAB9Y/2U=",0)</f>
        <v>#REF!</v>
      </c>
      <c r="CY390" t="e">
        <f>AND(#REF!,"AAAAAB9Y/2Y=")</f>
        <v>#REF!</v>
      </c>
      <c r="CZ390" t="e">
        <f>AND(#REF!,"AAAAAB9Y/2c=")</f>
        <v>#REF!</v>
      </c>
      <c r="DA390" t="e">
        <f>AND(#REF!,"AAAAAB9Y/2g=")</f>
        <v>#REF!</v>
      </c>
      <c r="DB390" t="e">
        <f>AND(#REF!,"AAAAAB9Y/2k=")</f>
        <v>#REF!</v>
      </c>
      <c r="DC390" t="e">
        <f>AND(#REF!,"AAAAAB9Y/2o=")</f>
        <v>#REF!</v>
      </c>
      <c r="DD390" t="e">
        <f>AND(#REF!,"AAAAAB9Y/2s=")</f>
        <v>#REF!</v>
      </c>
      <c r="DE390" t="e">
        <f>AND(#REF!,"AAAAAB9Y/2w=")</f>
        <v>#REF!</v>
      </c>
      <c r="DF390" t="e">
        <f>AND(#REF!,"AAAAAB9Y/20=")</f>
        <v>#REF!</v>
      </c>
      <c r="DG390" t="e">
        <f>AND(#REF!,"AAAAAB9Y/24=")</f>
        <v>#REF!</v>
      </c>
      <c r="DH390" t="e">
        <f>AND(#REF!,"AAAAAB9Y/28=")</f>
        <v>#REF!</v>
      </c>
      <c r="DI390" t="e">
        <f>IF(#REF!,"AAAAAB9Y/3A=",0)</f>
        <v>#REF!</v>
      </c>
      <c r="DJ390" t="e">
        <f>AND(#REF!,"AAAAAB9Y/3E=")</f>
        <v>#REF!</v>
      </c>
      <c r="DK390" t="e">
        <f>AND(#REF!,"AAAAAB9Y/3I=")</f>
        <v>#REF!</v>
      </c>
      <c r="DL390" t="e">
        <f>AND(#REF!,"AAAAAB9Y/3M=")</f>
        <v>#REF!</v>
      </c>
      <c r="DM390" t="e">
        <f>AND(#REF!,"AAAAAB9Y/3Q=")</f>
        <v>#REF!</v>
      </c>
      <c r="DN390" t="e">
        <f>AND(#REF!,"AAAAAB9Y/3U=")</f>
        <v>#REF!</v>
      </c>
      <c r="DO390" t="e">
        <f>AND(#REF!,"AAAAAB9Y/3Y=")</f>
        <v>#REF!</v>
      </c>
      <c r="DP390" t="e">
        <f>AND(#REF!,"AAAAAB9Y/3c=")</f>
        <v>#REF!</v>
      </c>
      <c r="DQ390" t="e">
        <f>AND(#REF!,"AAAAAB9Y/3g=")</f>
        <v>#REF!</v>
      </c>
      <c r="DR390" t="e">
        <f>AND(#REF!,"AAAAAB9Y/3k=")</f>
        <v>#REF!</v>
      </c>
      <c r="DS390" t="e">
        <f>AND(#REF!,"AAAAAB9Y/3o=")</f>
        <v>#REF!</v>
      </c>
      <c r="DT390" t="e">
        <f>IF(#REF!,"AAAAAB9Y/3s=",0)</f>
        <v>#REF!</v>
      </c>
      <c r="DU390" t="e">
        <f>AND(#REF!,"AAAAAB9Y/3w=")</f>
        <v>#REF!</v>
      </c>
      <c r="DV390" t="e">
        <f>AND(#REF!,"AAAAAB9Y/30=")</f>
        <v>#REF!</v>
      </c>
      <c r="DW390" t="e">
        <f>AND(#REF!,"AAAAAB9Y/34=")</f>
        <v>#REF!</v>
      </c>
      <c r="DX390" t="e">
        <f>AND(#REF!,"AAAAAB9Y/38=")</f>
        <v>#REF!</v>
      </c>
      <c r="DY390" t="e">
        <f>AND(#REF!,"AAAAAB9Y/4A=")</f>
        <v>#REF!</v>
      </c>
      <c r="DZ390" t="e">
        <f>AND(#REF!,"AAAAAB9Y/4E=")</f>
        <v>#REF!</v>
      </c>
      <c r="EA390" t="e">
        <f>AND(#REF!,"AAAAAB9Y/4I=")</f>
        <v>#REF!</v>
      </c>
      <c r="EB390" t="e">
        <f>AND(#REF!,"AAAAAB9Y/4M=")</f>
        <v>#REF!</v>
      </c>
      <c r="EC390" t="e">
        <f>AND(#REF!,"AAAAAB9Y/4Q=")</f>
        <v>#REF!</v>
      </c>
      <c r="ED390" t="e">
        <f>AND(#REF!,"AAAAAB9Y/4U=")</f>
        <v>#REF!</v>
      </c>
      <c r="EE390" t="e">
        <f>IF(#REF!,"AAAAAB9Y/4Y=",0)</f>
        <v>#REF!</v>
      </c>
      <c r="EF390" t="e">
        <f>AND(#REF!,"AAAAAB9Y/4c=")</f>
        <v>#REF!</v>
      </c>
      <c r="EG390" t="e">
        <f>AND(#REF!,"AAAAAB9Y/4g=")</f>
        <v>#REF!</v>
      </c>
      <c r="EH390" t="e">
        <f>AND(#REF!,"AAAAAB9Y/4k=")</f>
        <v>#REF!</v>
      </c>
      <c r="EI390" t="e">
        <f>AND(#REF!,"AAAAAB9Y/4o=")</f>
        <v>#REF!</v>
      </c>
      <c r="EJ390" t="e">
        <f>AND(#REF!,"AAAAAB9Y/4s=")</f>
        <v>#REF!</v>
      </c>
      <c r="EK390" t="e">
        <f>AND(#REF!,"AAAAAB9Y/4w=")</f>
        <v>#REF!</v>
      </c>
      <c r="EL390" t="e">
        <f>AND(#REF!,"AAAAAB9Y/40=")</f>
        <v>#REF!</v>
      </c>
      <c r="EM390" t="e">
        <f>AND(#REF!,"AAAAAB9Y/44=")</f>
        <v>#REF!</v>
      </c>
      <c r="EN390" t="e">
        <f>AND(#REF!,"AAAAAB9Y/48=")</f>
        <v>#REF!</v>
      </c>
      <c r="EO390" t="e">
        <f>AND(#REF!,"AAAAAB9Y/5A=")</f>
        <v>#REF!</v>
      </c>
      <c r="EP390" t="e">
        <f>IF(#REF!,"AAAAAB9Y/5E=",0)</f>
        <v>#REF!</v>
      </c>
      <c r="EQ390" t="e">
        <f>AND(#REF!,"AAAAAB9Y/5I=")</f>
        <v>#REF!</v>
      </c>
      <c r="ER390" t="e">
        <f>AND(#REF!,"AAAAAB9Y/5M=")</f>
        <v>#REF!</v>
      </c>
      <c r="ES390" t="e">
        <f>AND(#REF!,"AAAAAB9Y/5Q=")</f>
        <v>#REF!</v>
      </c>
      <c r="ET390" t="e">
        <f>AND(#REF!,"AAAAAB9Y/5U=")</f>
        <v>#REF!</v>
      </c>
      <c r="EU390" t="e">
        <f>AND(#REF!,"AAAAAB9Y/5Y=")</f>
        <v>#REF!</v>
      </c>
      <c r="EV390" t="e">
        <f>AND(#REF!,"AAAAAB9Y/5c=")</f>
        <v>#REF!</v>
      </c>
      <c r="EW390" t="e">
        <f>AND(#REF!,"AAAAAB9Y/5g=")</f>
        <v>#REF!</v>
      </c>
      <c r="EX390" t="e">
        <f>AND(#REF!,"AAAAAB9Y/5k=")</f>
        <v>#REF!</v>
      </c>
      <c r="EY390" t="e">
        <f>AND(#REF!,"AAAAAB9Y/5o=")</f>
        <v>#REF!</v>
      </c>
      <c r="EZ390" t="e">
        <f>AND(#REF!,"AAAAAB9Y/5s=")</f>
        <v>#REF!</v>
      </c>
      <c r="FA390" t="e">
        <f>IF(#REF!,"AAAAAB9Y/5w=",0)</f>
        <v>#REF!</v>
      </c>
      <c r="FB390" t="e">
        <f>AND(#REF!,"AAAAAB9Y/50=")</f>
        <v>#REF!</v>
      </c>
      <c r="FC390" t="e">
        <f>AND(#REF!,"AAAAAB9Y/54=")</f>
        <v>#REF!</v>
      </c>
      <c r="FD390" t="e">
        <f>AND(#REF!,"AAAAAB9Y/58=")</f>
        <v>#REF!</v>
      </c>
      <c r="FE390" t="e">
        <f>AND(#REF!,"AAAAAB9Y/6A=")</f>
        <v>#REF!</v>
      </c>
      <c r="FF390" t="e">
        <f>AND(#REF!,"AAAAAB9Y/6E=")</f>
        <v>#REF!</v>
      </c>
      <c r="FG390" t="e">
        <f>AND(#REF!,"AAAAAB9Y/6I=")</f>
        <v>#REF!</v>
      </c>
      <c r="FH390" t="e">
        <f>AND(#REF!,"AAAAAB9Y/6M=")</f>
        <v>#REF!</v>
      </c>
      <c r="FI390" t="e">
        <f>AND(#REF!,"AAAAAB9Y/6Q=")</f>
        <v>#REF!</v>
      </c>
      <c r="FJ390" t="e">
        <f>AND(#REF!,"AAAAAB9Y/6U=")</f>
        <v>#REF!</v>
      </c>
      <c r="FK390" t="e">
        <f>AND(#REF!,"AAAAAB9Y/6Y=")</f>
        <v>#REF!</v>
      </c>
      <c r="FL390" t="e">
        <f>IF(#REF!,"AAAAAB9Y/6c=",0)</f>
        <v>#REF!</v>
      </c>
      <c r="FM390" t="e">
        <f>AND(#REF!,"AAAAAB9Y/6g=")</f>
        <v>#REF!</v>
      </c>
      <c r="FN390" t="e">
        <f>AND(#REF!,"AAAAAB9Y/6k=")</f>
        <v>#REF!</v>
      </c>
      <c r="FO390" t="e">
        <f>AND(#REF!,"AAAAAB9Y/6o=")</f>
        <v>#REF!</v>
      </c>
      <c r="FP390" t="e">
        <f>AND(#REF!,"AAAAAB9Y/6s=")</f>
        <v>#REF!</v>
      </c>
      <c r="FQ390" t="e">
        <f>AND(#REF!,"AAAAAB9Y/6w=")</f>
        <v>#REF!</v>
      </c>
      <c r="FR390" t="e">
        <f>AND(#REF!,"AAAAAB9Y/60=")</f>
        <v>#REF!</v>
      </c>
      <c r="FS390" t="e">
        <f>AND(#REF!,"AAAAAB9Y/64=")</f>
        <v>#REF!</v>
      </c>
      <c r="FT390" t="e">
        <f>AND(#REF!,"AAAAAB9Y/68=")</f>
        <v>#REF!</v>
      </c>
      <c r="FU390" t="e">
        <f>AND(#REF!,"AAAAAB9Y/7A=")</f>
        <v>#REF!</v>
      </c>
      <c r="FV390" t="e">
        <f>AND(#REF!,"AAAAAB9Y/7E=")</f>
        <v>#REF!</v>
      </c>
      <c r="FW390" t="e">
        <f>IF(#REF!,"AAAAAB9Y/7I=",0)</f>
        <v>#REF!</v>
      </c>
      <c r="FX390" t="e">
        <f>AND(#REF!,"AAAAAB9Y/7M=")</f>
        <v>#REF!</v>
      </c>
      <c r="FY390" t="e">
        <f>AND(#REF!,"AAAAAB9Y/7Q=")</f>
        <v>#REF!</v>
      </c>
      <c r="FZ390" t="e">
        <f>AND(#REF!,"AAAAAB9Y/7U=")</f>
        <v>#REF!</v>
      </c>
      <c r="GA390" t="e">
        <f>AND(#REF!,"AAAAAB9Y/7Y=")</f>
        <v>#REF!</v>
      </c>
      <c r="GB390" t="e">
        <f>AND(#REF!,"AAAAAB9Y/7c=")</f>
        <v>#REF!</v>
      </c>
      <c r="GC390" t="e">
        <f>AND(#REF!,"AAAAAB9Y/7g=")</f>
        <v>#REF!</v>
      </c>
      <c r="GD390" t="e">
        <f>AND(#REF!,"AAAAAB9Y/7k=")</f>
        <v>#REF!</v>
      </c>
      <c r="GE390" t="e">
        <f>AND(#REF!,"AAAAAB9Y/7o=")</f>
        <v>#REF!</v>
      </c>
      <c r="GF390" t="e">
        <f>AND(#REF!,"AAAAAB9Y/7s=")</f>
        <v>#REF!</v>
      </c>
      <c r="GG390" t="e">
        <f>AND(#REF!,"AAAAAB9Y/7w=")</f>
        <v>#REF!</v>
      </c>
      <c r="GH390" t="e">
        <f>IF(#REF!,"AAAAAB9Y/70=",0)</f>
        <v>#REF!</v>
      </c>
      <c r="GI390" t="e">
        <f>AND(#REF!,"AAAAAB9Y/74=")</f>
        <v>#REF!</v>
      </c>
      <c r="GJ390" t="e">
        <f>AND(#REF!,"AAAAAB9Y/78=")</f>
        <v>#REF!</v>
      </c>
      <c r="GK390" t="e">
        <f>AND(#REF!,"AAAAAB9Y/8A=")</f>
        <v>#REF!</v>
      </c>
      <c r="GL390" t="e">
        <f>AND(#REF!,"AAAAAB9Y/8E=")</f>
        <v>#REF!</v>
      </c>
      <c r="GM390" t="e">
        <f>AND(#REF!,"AAAAAB9Y/8I=")</f>
        <v>#REF!</v>
      </c>
      <c r="GN390" t="e">
        <f>AND(#REF!,"AAAAAB9Y/8M=")</f>
        <v>#REF!</v>
      </c>
      <c r="GO390" t="e">
        <f>AND(#REF!,"AAAAAB9Y/8Q=")</f>
        <v>#REF!</v>
      </c>
      <c r="GP390" t="e">
        <f>AND(#REF!,"AAAAAB9Y/8U=")</f>
        <v>#REF!</v>
      </c>
      <c r="GQ390" t="e">
        <f>AND(#REF!,"AAAAAB9Y/8Y=")</f>
        <v>#REF!</v>
      </c>
      <c r="GR390" t="e">
        <f>AND(#REF!,"AAAAAB9Y/8c=")</f>
        <v>#REF!</v>
      </c>
      <c r="GS390" t="e">
        <f>IF(#REF!,"AAAAAB9Y/8g=",0)</f>
        <v>#REF!</v>
      </c>
      <c r="GT390" t="e">
        <f>AND(#REF!,"AAAAAB9Y/8k=")</f>
        <v>#REF!</v>
      </c>
      <c r="GU390" t="e">
        <f>AND(#REF!,"AAAAAB9Y/8o=")</f>
        <v>#REF!</v>
      </c>
      <c r="GV390" t="e">
        <f>AND(#REF!,"AAAAAB9Y/8s=")</f>
        <v>#REF!</v>
      </c>
      <c r="GW390" t="e">
        <f>AND(#REF!,"AAAAAB9Y/8w=")</f>
        <v>#REF!</v>
      </c>
      <c r="GX390" t="e">
        <f>AND(#REF!,"AAAAAB9Y/80=")</f>
        <v>#REF!</v>
      </c>
      <c r="GY390" t="e">
        <f>AND(#REF!,"AAAAAB9Y/84=")</f>
        <v>#REF!</v>
      </c>
      <c r="GZ390" t="e">
        <f>AND(#REF!,"AAAAAB9Y/88=")</f>
        <v>#REF!</v>
      </c>
      <c r="HA390" t="e">
        <f>AND(#REF!,"AAAAAB9Y/9A=")</f>
        <v>#REF!</v>
      </c>
      <c r="HB390" t="e">
        <f>AND(#REF!,"AAAAAB9Y/9E=")</f>
        <v>#REF!</v>
      </c>
      <c r="HC390" t="e">
        <f>AND(#REF!,"AAAAAB9Y/9I=")</f>
        <v>#REF!</v>
      </c>
      <c r="HD390" t="e">
        <f>IF(#REF!,"AAAAAB9Y/9M=",0)</f>
        <v>#REF!</v>
      </c>
      <c r="HE390" t="e">
        <f>AND(#REF!,"AAAAAB9Y/9Q=")</f>
        <v>#REF!</v>
      </c>
      <c r="HF390" t="e">
        <f>AND(#REF!,"AAAAAB9Y/9U=")</f>
        <v>#REF!</v>
      </c>
      <c r="HG390" t="e">
        <f>AND(#REF!,"AAAAAB9Y/9Y=")</f>
        <v>#REF!</v>
      </c>
      <c r="HH390" t="e">
        <f>AND(#REF!,"AAAAAB9Y/9c=")</f>
        <v>#REF!</v>
      </c>
      <c r="HI390" t="e">
        <f>AND(#REF!,"AAAAAB9Y/9g=")</f>
        <v>#REF!</v>
      </c>
      <c r="HJ390" t="e">
        <f>AND(#REF!,"AAAAAB9Y/9k=")</f>
        <v>#REF!</v>
      </c>
      <c r="HK390" t="e">
        <f>AND(#REF!,"AAAAAB9Y/9o=")</f>
        <v>#REF!</v>
      </c>
      <c r="HL390" t="e">
        <f>AND(#REF!,"AAAAAB9Y/9s=")</f>
        <v>#REF!</v>
      </c>
      <c r="HM390" t="e">
        <f>AND(#REF!,"AAAAAB9Y/9w=")</f>
        <v>#REF!</v>
      </c>
      <c r="HN390" t="e">
        <f>AND(#REF!,"AAAAAB9Y/90=")</f>
        <v>#REF!</v>
      </c>
      <c r="HO390" t="e">
        <f>IF(#REF!,"AAAAAB9Y/94=",0)</f>
        <v>#REF!</v>
      </c>
      <c r="HP390" t="e">
        <f>AND(#REF!,"AAAAAB9Y/98=")</f>
        <v>#REF!</v>
      </c>
      <c r="HQ390" t="e">
        <f>AND(#REF!,"AAAAAB9Y/+A=")</f>
        <v>#REF!</v>
      </c>
      <c r="HR390" t="e">
        <f>AND(#REF!,"AAAAAB9Y/+E=")</f>
        <v>#REF!</v>
      </c>
      <c r="HS390" t="e">
        <f>AND(#REF!,"AAAAAB9Y/+I=")</f>
        <v>#REF!</v>
      </c>
      <c r="HT390" t="e">
        <f>AND(#REF!,"AAAAAB9Y/+M=")</f>
        <v>#REF!</v>
      </c>
      <c r="HU390" t="e">
        <f>AND(#REF!,"AAAAAB9Y/+Q=")</f>
        <v>#REF!</v>
      </c>
      <c r="HV390" t="e">
        <f>AND(#REF!,"AAAAAB9Y/+U=")</f>
        <v>#REF!</v>
      </c>
      <c r="HW390" t="e">
        <f>AND(#REF!,"AAAAAB9Y/+Y=")</f>
        <v>#REF!</v>
      </c>
      <c r="HX390" t="e">
        <f>AND(#REF!,"AAAAAB9Y/+c=")</f>
        <v>#REF!</v>
      </c>
      <c r="HY390" t="e">
        <f>AND(#REF!,"AAAAAB9Y/+g=")</f>
        <v>#REF!</v>
      </c>
      <c r="HZ390" t="e">
        <f>IF(#REF!,"AAAAAB9Y/+k=",0)</f>
        <v>#REF!</v>
      </c>
      <c r="IA390" t="e">
        <f>AND(#REF!,"AAAAAB9Y/+o=")</f>
        <v>#REF!</v>
      </c>
      <c r="IB390" t="e">
        <f>AND(#REF!,"AAAAAB9Y/+s=")</f>
        <v>#REF!</v>
      </c>
      <c r="IC390" t="e">
        <f>AND(#REF!,"AAAAAB9Y/+w=")</f>
        <v>#REF!</v>
      </c>
      <c r="ID390" t="e">
        <f>AND(#REF!,"AAAAAB9Y/+0=")</f>
        <v>#REF!</v>
      </c>
      <c r="IE390" t="e">
        <f>AND(#REF!,"AAAAAB9Y/+4=")</f>
        <v>#REF!</v>
      </c>
      <c r="IF390" t="e">
        <f>AND(#REF!,"AAAAAB9Y/+8=")</f>
        <v>#REF!</v>
      </c>
      <c r="IG390" t="e">
        <f>AND(#REF!,"AAAAAB9Y//A=")</f>
        <v>#REF!</v>
      </c>
      <c r="IH390" t="e">
        <f>AND(#REF!,"AAAAAB9Y//E=")</f>
        <v>#REF!</v>
      </c>
      <c r="II390" t="e">
        <f>AND(#REF!,"AAAAAB9Y//I=")</f>
        <v>#REF!</v>
      </c>
      <c r="IJ390" t="e">
        <f>AND(#REF!,"AAAAAB9Y//M=")</f>
        <v>#REF!</v>
      </c>
      <c r="IK390" t="e">
        <f>IF(#REF!,"AAAAAB9Y//Q=",0)</f>
        <v>#REF!</v>
      </c>
      <c r="IL390" t="e">
        <f>AND(#REF!,"AAAAAB9Y//U=")</f>
        <v>#REF!</v>
      </c>
      <c r="IM390" t="e">
        <f>AND(#REF!,"AAAAAB9Y//Y=")</f>
        <v>#REF!</v>
      </c>
      <c r="IN390" t="e">
        <f>AND(#REF!,"AAAAAB9Y//c=")</f>
        <v>#REF!</v>
      </c>
      <c r="IO390" t="e">
        <f>AND(#REF!,"AAAAAB9Y//g=")</f>
        <v>#REF!</v>
      </c>
      <c r="IP390" t="e">
        <f>AND(#REF!,"AAAAAB9Y//k=")</f>
        <v>#REF!</v>
      </c>
      <c r="IQ390" t="e">
        <f>AND(#REF!,"AAAAAB9Y//o=")</f>
        <v>#REF!</v>
      </c>
      <c r="IR390" t="e">
        <f>AND(#REF!,"AAAAAB9Y//s=")</f>
        <v>#REF!</v>
      </c>
      <c r="IS390" t="e">
        <f>AND(#REF!,"AAAAAB9Y//w=")</f>
        <v>#REF!</v>
      </c>
      <c r="IT390" t="e">
        <f>AND(#REF!,"AAAAAB9Y//0=")</f>
        <v>#REF!</v>
      </c>
      <c r="IU390" t="e">
        <f>AND(#REF!,"AAAAAB9Y//4=")</f>
        <v>#REF!</v>
      </c>
      <c r="IV390" t="e">
        <f>IF(#REF!,"AAAAAB9Y//8=",0)</f>
        <v>#REF!</v>
      </c>
    </row>
    <row r="391" spans="1:256" x14ac:dyDescent="0.25">
      <c r="A391" t="e">
        <f>AND(#REF!,"AAAAAC//dgA=")</f>
        <v>#REF!</v>
      </c>
      <c r="B391" t="e">
        <f>AND(#REF!,"AAAAAC//dgE=")</f>
        <v>#REF!</v>
      </c>
      <c r="C391" t="e">
        <f>AND(#REF!,"AAAAAC//dgI=")</f>
        <v>#REF!</v>
      </c>
      <c r="D391" t="e">
        <f>AND(#REF!,"AAAAAC//dgM=")</f>
        <v>#REF!</v>
      </c>
      <c r="E391" t="e">
        <f>AND(#REF!,"AAAAAC//dgQ=")</f>
        <v>#REF!</v>
      </c>
      <c r="F391" t="e">
        <f>AND(#REF!,"AAAAAC//dgU=")</f>
        <v>#REF!</v>
      </c>
      <c r="G391" t="e">
        <f>AND(#REF!,"AAAAAC//dgY=")</f>
        <v>#REF!</v>
      </c>
      <c r="H391" t="e">
        <f>AND(#REF!,"AAAAAC//dgc=")</f>
        <v>#REF!</v>
      </c>
      <c r="I391" t="e">
        <f>AND(#REF!,"AAAAAC//dgg=")</f>
        <v>#REF!</v>
      </c>
      <c r="J391" t="e">
        <f>AND(#REF!,"AAAAAC//dgk=")</f>
        <v>#REF!</v>
      </c>
      <c r="K391" t="e">
        <f>IF(#REF!,"AAAAAC//dgo=",0)</f>
        <v>#REF!</v>
      </c>
      <c r="L391" t="e">
        <f>AND(#REF!,"AAAAAC//dgs=")</f>
        <v>#REF!</v>
      </c>
      <c r="M391" t="e">
        <f>AND(#REF!,"AAAAAC//dgw=")</f>
        <v>#REF!</v>
      </c>
      <c r="N391" t="e">
        <f>AND(#REF!,"AAAAAC//dg0=")</f>
        <v>#REF!</v>
      </c>
      <c r="O391" t="e">
        <f>AND(#REF!,"AAAAAC//dg4=")</f>
        <v>#REF!</v>
      </c>
      <c r="P391" t="e">
        <f>AND(#REF!,"AAAAAC//dg8=")</f>
        <v>#REF!</v>
      </c>
      <c r="Q391" t="e">
        <f>AND(#REF!,"AAAAAC//dhA=")</f>
        <v>#REF!</v>
      </c>
      <c r="R391" t="e">
        <f>AND(#REF!,"AAAAAC//dhE=")</f>
        <v>#REF!</v>
      </c>
      <c r="S391" t="e">
        <f>AND(#REF!,"AAAAAC//dhI=")</f>
        <v>#REF!</v>
      </c>
      <c r="T391" t="e">
        <f>AND(#REF!,"AAAAAC//dhM=")</f>
        <v>#REF!</v>
      </c>
      <c r="U391" t="e">
        <f>AND(#REF!,"AAAAAC//dhQ=")</f>
        <v>#REF!</v>
      </c>
      <c r="V391" t="e">
        <f>IF(#REF!,"AAAAAC//dhU=",0)</f>
        <v>#REF!</v>
      </c>
      <c r="W391" t="e">
        <f>AND(#REF!,"AAAAAC//dhY=")</f>
        <v>#REF!</v>
      </c>
      <c r="X391" t="e">
        <f>AND(#REF!,"AAAAAC//dhc=")</f>
        <v>#REF!</v>
      </c>
      <c r="Y391" t="e">
        <f>AND(#REF!,"AAAAAC//dhg=")</f>
        <v>#REF!</v>
      </c>
      <c r="Z391" t="e">
        <f>AND(#REF!,"AAAAAC//dhk=")</f>
        <v>#REF!</v>
      </c>
      <c r="AA391" t="e">
        <f>AND(#REF!,"AAAAAC//dho=")</f>
        <v>#REF!</v>
      </c>
      <c r="AB391" t="e">
        <f>AND(#REF!,"AAAAAC//dhs=")</f>
        <v>#REF!</v>
      </c>
      <c r="AC391" t="e">
        <f>AND(#REF!,"AAAAAC//dhw=")</f>
        <v>#REF!</v>
      </c>
      <c r="AD391" t="e">
        <f>AND(#REF!,"AAAAAC//dh0=")</f>
        <v>#REF!</v>
      </c>
      <c r="AE391" t="e">
        <f>AND(#REF!,"AAAAAC//dh4=")</f>
        <v>#REF!</v>
      </c>
      <c r="AF391" t="e">
        <f>AND(#REF!,"AAAAAC//dh8=")</f>
        <v>#REF!</v>
      </c>
      <c r="AG391" t="e">
        <f>IF(#REF!,"AAAAAC//diA=",0)</f>
        <v>#REF!</v>
      </c>
      <c r="AH391" t="e">
        <f>AND(#REF!,"AAAAAC//diE=")</f>
        <v>#REF!</v>
      </c>
      <c r="AI391" t="e">
        <f>AND(#REF!,"AAAAAC//diI=")</f>
        <v>#REF!</v>
      </c>
      <c r="AJ391" t="e">
        <f>AND(#REF!,"AAAAAC//diM=")</f>
        <v>#REF!</v>
      </c>
      <c r="AK391" t="e">
        <f>AND(#REF!,"AAAAAC//diQ=")</f>
        <v>#REF!</v>
      </c>
      <c r="AL391" t="e">
        <f>AND(#REF!,"AAAAAC//diU=")</f>
        <v>#REF!</v>
      </c>
      <c r="AM391" t="e">
        <f>AND(#REF!,"AAAAAC//diY=")</f>
        <v>#REF!</v>
      </c>
      <c r="AN391" t="e">
        <f>AND(#REF!,"AAAAAC//dic=")</f>
        <v>#REF!</v>
      </c>
      <c r="AO391" t="e">
        <f>AND(#REF!,"AAAAAC//dig=")</f>
        <v>#REF!</v>
      </c>
      <c r="AP391" t="e">
        <f>AND(#REF!,"AAAAAC//dik=")</f>
        <v>#REF!</v>
      </c>
      <c r="AQ391" t="e">
        <f>AND(#REF!,"AAAAAC//dio=")</f>
        <v>#REF!</v>
      </c>
      <c r="AR391" t="e">
        <f>IF(#REF!,"AAAAAC//dis=",0)</f>
        <v>#REF!</v>
      </c>
      <c r="AS391" t="e">
        <f>AND(#REF!,"AAAAAC//diw=")</f>
        <v>#REF!</v>
      </c>
      <c r="AT391" t="e">
        <f>AND(#REF!,"AAAAAC//di0=")</f>
        <v>#REF!</v>
      </c>
      <c r="AU391" t="e">
        <f>AND(#REF!,"AAAAAC//di4=")</f>
        <v>#REF!</v>
      </c>
      <c r="AV391" t="e">
        <f>AND(#REF!,"AAAAAC//di8=")</f>
        <v>#REF!</v>
      </c>
      <c r="AW391" t="e">
        <f>AND(#REF!,"AAAAAC//djA=")</f>
        <v>#REF!</v>
      </c>
      <c r="AX391" t="e">
        <f>AND(#REF!,"AAAAAC//djE=")</f>
        <v>#REF!</v>
      </c>
      <c r="AY391" t="e">
        <f>AND(#REF!,"AAAAAC//djI=")</f>
        <v>#REF!</v>
      </c>
      <c r="AZ391" t="e">
        <f>AND(#REF!,"AAAAAC//djM=")</f>
        <v>#REF!</v>
      </c>
      <c r="BA391" t="e">
        <f>AND(#REF!,"AAAAAC//djQ=")</f>
        <v>#REF!</v>
      </c>
      <c r="BB391" t="e">
        <f>AND(#REF!,"AAAAAC//djU=")</f>
        <v>#REF!</v>
      </c>
      <c r="BC391" t="e">
        <f>IF(#REF!,"AAAAAC//djY=",0)</f>
        <v>#REF!</v>
      </c>
      <c r="BD391" t="e">
        <f>AND(#REF!,"AAAAAC//djc=")</f>
        <v>#REF!</v>
      </c>
      <c r="BE391" t="e">
        <f>AND(#REF!,"AAAAAC//djg=")</f>
        <v>#REF!</v>
      </c>
      <c r="BF391" t="e">
        <f>AND(#REF!,"AAAAAC//djk=")</f>
        <v>#REF!</v>
      </c>
      <c r="BG391" t="e">
        <f>AND(#REF!,"AAAAAC//djo=")</f>
        <v>#REF!</v>
      </c>
      <c r="BH391" t="e">
        <f>AND(#REF!,"AAAAAC//djs=")</f>
        <v>#REF!</v>
      </c>
      <c r="BI391" t="e">
        <f>AND(#REF!,"AAAAAC//djw=")</f>
        <v>#REF!</v>
      </c>
      <c r="BJ391" t="e">
        <f>AND(#REF!,"AAAAAC//dj0=")</f>
        <v>#REF!</v>
      </c>
      <c r="BK391" t="e">
        <f>AND(#REF!,"AAAAAC//dj4=")</f>
        <v>#REF!</v>
      </c>
      <c r="BL391" t="e">
        <f>AND(#REF!,"AAAAAC//dj8=")</f>
        <v>#REF!</v>
      </c>
      <c r="BM391" t="e">
        <f>AND(#REF!,"AAAAAC//dkA=")</f>
        <v>#REF!</v>
      </c>
      <c r="BN391" t="e">
        <f>IF(#REF!,"AAAAAC//dkE=",0)</f>
        <v>#REF!</v>
      </c>
      <c r="BO391" t="e">
        <f>AND(#REF!,"AAAAAC//dkI=")</f>
        <v>#REF!</v>
      </c>
      <c r="BP391" t="e">
        <f>AND(#REF!,"AAAAAC//dkM=")</f>
        <v>#REF!</v>
      </c>
      <c r="BQ391" t="e">
        <f>AND(#REF!,"AAAAAC//dkQ=")</f>
        <v>#REF!</v>
      </c>
      <c r="BR391" t="e">
        <f>AND(#REF!,"AAAAAC//dkU=")</f>
        <v>#REF!</v>
      </c>
      <c r="BS391" t="e">
        <f>AND(#REF!,"AAAAAC//dkY=")</f>
        <v>#REF!</v>
      </c>
      <c r="BT391" t="e">
        <f>AND(#REF!,"AAAAAC//dkc=")</f>
        <v>#REF!</v>
      </c>
      <c r="BU391" t="e">
        <f>AND(#REF!,"AAAAAC//dkg=")</f>
        <v>#REF!</v>
      </c>
      <c r="BV391" t="e">
        <f>AND(#REF!,"AAAAAC//dkk=")</f>
        <v>#REF!</v>
      </c>
      <c r="BW391" t="e">
        <f>AND(#REF!,"AAAAAC//dko=")</f>
        <v>#REF!</v>
      </c>
      <c r="BX391" t="e">
        <f>AND(#REF!,"AAAAAC//dks=")</f>
        <v>#REF!</v>
      </c>
      <c r="BY391" t="e">
        <f>IF(#REF!,"AAAAAC//dkw=",0)</f>
        <v>#REF!</v>
      </c>
      <c r="BZ391" t="e">
        <f>AND(#REF!,"AAAAAC//dk0=")</f>
        <v>#REF!</v>
      </c>
      <c r="CA391" t="e">
        <f>AND(#REF!,"AAAAAC//dk4=")</f>
        <v>#REF!</v>
      </c>
      <c r="CB391" t="e">
        <f>AND(#REF!,"AAAAAC//dk8=")</f>
        <v>#REF!</v>
      </c>
      <c r="CC391" t="e">
        <f>AND(#REF!,"AAAAAC//dlA=")</f>
        <v>#REF!</v>
      </c>
      <c r="CD391" t="e">
        <f>AND(#REF!,"AAAAAC//dlE=")</f>
        <v>#REF!</v>
      </c>
      <c r="CE391" t="e">
        <f>AND(#REF!,"AAAAAC//dlI=")</f>
        <v>#REF!</v>
      </c>
      <c r="CF391" t="e">
        <f>AND(#REF!,"AAAAAC//dlM=")</f>
        <v>#REF!</v>
      </c>
      <c r="CG391" t="e">
        <f>AND(#REF!,"AAAAAC//dlQ=")</f>
        <v>#REF!</v>
      </c>
      <c r="CH391" t="e">
        <f>AND(#REF!,"AAAAAC//dlU=")</f>
        <v>#REF!</v>
      </c>
      <c r="CI391" t="e">
        <f>AND(#REF!,"AAAAAC//dlY=")</f>
        <v>#REF!</v>
      </c>
      <c r="CJ391" t="e">
        <f>IF(#REF!,"AAAAAC//dlc=",0)</f>
        <v>#REF!</v>
      </c>
      <c r="CK391" t="e">
        <f>AND(#REF!,"AAAAAC//dlg=")</f>
        <v>#REF!</v>
      </c>
      <c r="CL391" t="e">
        <f>AND(#REF!,"AAAAAC//dlk=")</f>
        <v>#REF!</v>
      </c>
      <c r="CM391" t="e">
        <f>AND(#REF!,"AAAAAC//dlo=")</f>
        <v>#REF!</v>
      </c>
      <c r="CN391" t="e">
        <f>AND(#REF!,"AAAAAC//dls=")</f>
        <v>#REF!</v>
      </c>
      <c r="CO391" t="e">
        <f>AND(#REF!,"AAAAAC//dlw=")</f>
        <v>#REF!</v>
      </c>
      <c r="CP391" t="e">
        <f>AND(#REF!,"AAAAAC//dl0=")</f>
        <v>#REF!</v>
      </c>
      <c r="CQ391" t="e">
        <f>AND(#REF!,"AAAAAC//dl4=")</f>
        <v>#REF!</v>
      </c>
      <c r="CR391" t="e">
        <f>AND(#REF!,"AAAAAC//dl8=")</f>
        <v>#REF!</v>
      </c>
      <c r="CS391" t="e">
        <f>AND(#REF!,"AAAAAC//dmA=")</f>
        <v>#REF!</v>
      </c>
      <c r="CT391" t="e">
        <f>AND(#REF!,"AAAAAC//dmE=")</f>
        <v>#REF!</v>
      </c>
      <c r="CU391" t="e">
        <f>IF(#REF!,"AAAAAC//dmI=",0)</f>
        <v>#REF!</v>
      </c>
      <c r="CV391" t="e">
        <f>AND(#REF!,"AAAAAC//dmM=")</f>
        <v>#REF!</v>
      </c>
      <c r="CW391" t="e">
        <f>AND(#REF!,"AAAAAC//dmQ=")</f>
        <v>#REF!</v>
      </c>
      <c r="CX391" t="e">
        <f>AND(#REF!,"AAAAAC//dmU=")</f>
        <v>#REF!</v>
      </c>
      <c r="CY391" t="e">
        <f>AND(#REF!,"AAAAAC//dmY=")</f>
        <v>#REF!</v>
      </c>
      <c r="CZ391" t="e">
        <f>AND(#REF!,"AAAAAC//dmc=")</f>
        <v>#REF!</v>
      </c>
      <c r="DA391" t="e">
        <f>AND(#REF!,"AAAAAC//dmg=")</f>
        <v>#REF!</v>
      </c>
      <c r="DB391" t="e">
        <f>AND(#REF!,"AAAAAC//dmk=")</f>
        <v>#REF!</v>
      </c>
      <c r="DC391" t="e">
        <f>AND(#REF!,"AAAAAC//dmo=")</f>
        <v>#REF!</v>
      </c>
      <c r="DD391" t="e">
        <f>AND(#REF!,"AAAAAC//dms=")</f>
        <v>#REF!</v>
      </c>
      <c r="DE391" t="e">
        <f>AND(#REF!,"AAAAAC//dmw=")</f>
        <v>#REF!</v>
      </c>
      <c r="DF391" t="e">
        <f>IF(#REF!,"AAAAAC//dm0=",0)</f>
        <v>#REF!</v>
      </c>
      <c r="DG391" t="e">
        <f>AND(#REF!,"AAAAAC//dm4=")</f>
        <v>#REF!</v>
      </c>
      <c r="DH391" t="e">
        <f>AND(#REF!,"AAAAAC//dm8=")</f>
        <v>#REF!</v>
      </c>
      <c r="DI391" t="e">
        <f>AND(#REF!,"AAAAAC//dnA=")</f>
        <v>#REF!</v>
      </c>
      <c r="DJ391" t="e">
        <f>AND(#REF!,"AAAAAC//dnE=")</f>
        <v>#REF!</v>
      </c>
      <c r="DK391" t="e">
        <f>AND(#REF!,"AAAAAC//dnI=")</f>
        <v>#REF!</v>
      </c>
      <c r="DL391" t="e">
        <f>AND(#REF!,"AAAAAC//dnM=")</f>
        <v>#REF!</v>
      </c>
      <c r="DM391" t="e">
        <f>AND(#REF!,"AAAAAC//dnQ=")</f>
        <v>#REF!</v>
      </c>
      <c r="DN391" t="e">
        <f>AND(#REF!,"AAAAAC//dnU=")</f>
        <v>#REF!</v>
      </c>
      <c r="DO391" t="e">
        <f>AND(#REF!,"AAAAAC//dnY=")</f>
        <v>#REF!</v>
      </c>
      <c r="DP391" t="e">
        <f>AND(#REF!,"AAAAAC//dnc=")</f>
        <v>#REF!</v>
      </c>
      <c r="DQ391" t="e">
        <f>IF(#REF!,"AAAAAC//dng=",0)</f>
        <v>#REF!</v>
      </c>
      <c r="DR391" t="e">
        <f>AND(#REF!,"AAAAAC//dnk=")</f>
        <v>#REF!</v>
      </c>
      <c r="DS391" t="e">
        <f>AND(#REF!,"AAAAAC//dno=")</f>
        <v>#REF!</v>
      </c>
      <c r="DT391" t="e">
        <f>AND(#REF!,"AAAAAC//dns=")</f>
        <v>#REF!</v>
      </c>
      <c r="DU391" t="e">
        <f>AND(#REF!,"AAAAAC//dnw=")</f>
        <v>#REF!</v>
      </c>
      <c r="DV391" t="e">
        <f>AND(#REF!,"AAAAAC//dn0=")</f>
        <v>#REF!</v>
      </c>
      <c r="DW391" t="e">
        <f>AND(#REF!,"AAAAAC//dn4=")</f>
        <v>#REF!</v>
      </c>
      <c r="DX391" t="e">
        <f>AND(#REF!,"AAAAAC//dn8=")</f>
        <v>#REF!</v>
      </c>
      <c r="DY391" t="e">
        <f>AND(#REF!,"AAAAAC//doA=")</f>
        <v>#REF!</v>
      </c>
      <c r="DZ391" t="e">
        <f>AND(#REF!,"AAAAAC//doE=")</f>
        <v>#REF!</v>
      </c>
      <c r="EA391" t="e">
        <f>AND(#REF!,"AAAAAC//doI=")</f>
        <v>#REF!</v>
      </c>
      <c r="EB391" t="e">
        <f>IF(#REF!,"AAAAAC//doM=",0)</f>
        <v>#REF!</v>
      </c>
      <c r="EC391" t="e">
        <f>AND(#REF!,"AAAAAC//doQ=")</f>
        <v>#REF!</v>
      </c>
      <c r="ED391" t="e">
        <f>AND(#REF!,"AAAAAC//doU=")</f>
        <v>#REF!</v>
      </c>
      <c r="EE391" t="e">
        <f>AND(#REF!,"AAAAAC//doY=")</f>
        <v>#REF!</v>
      </c>
      <c r="EF391" t="e">
        <f>AND(#REF!,"AAAAAC//doc=")</f>
        <v>#REF!</v>
      </c>
      <c r="EG391" t="e">
        <f>AND(#REF!,"AAAAAC//dog=")</f>
        <v>#REF!</v>
      </c>
      <c r="EH391" t="e">
        <f>AND(#REF!,"AAAAAC//dok=")</f>
        <v>#REF!</v>
      </c>
      <c r="EI391" t="e">
        <f>AND(#REF!,"AAAAAC//doo=")</f>
        <v>#REF!</v>
      </c>
      <c r="EJ391" t="e">
        <f>AND(#REF!,"AAAAAC//dos=")</f>
        <v>#REF!</v>
      </c>
      <c r="EK391" t="e">
        <f>AND(#REF!,"AAAAAC//dow=")</f>
        <v>#REF!</v>
      </c>
      <c r="EL391" t="e">
        <f>AND(#REF!,"AAAAAC//do0=")</f>
        <v>#REF!</v>
      </c>
      <c r="EM391" t="e">
        <f>IF(#REF!,"AAAAAC//do4=",0)</f>
        <v>#REF!</v>
      </c>
      <c r="EN391" t="e">
        <f>AND(#REF!,"AAAAAC//do8=")</f>
        <v>#REF!</v>
      </c>
      <c r="EO391" t="e">
        <f>AND(#REF!,"AAAAAC//dpA=")</f>
        <v>#REF!</v>
      </c>
      <c r="EP391" t="e">
        <f>AND(#REF!,"AAAAAC//dpE=")</f>
        <v>#REF!</v>
      </c>
      <c r="EQ391" t="e">
        <f>AND(#REF!,"AAAAAC//dpI=")</f>
        <v>#REF!</v>
      </c>
      <c r="ER391" t="e">
        <f>AND(#REF!,"AAAAAC//dpM=")</f>
        <v>#REF!</v>
      </c>
      <c r="ES391" t="e">
        <f>AND(#REF!,"AAAAAC//dpQ=")</f>
        <v>#REF!</v>
      </c>
      <c r="ET391" t="e">
        <f>AND(#REF!,"AAAAAC//dpU=")</f>
        <v>#REF!</v>
      </c>
      <c r="EU391" t="e">
        <f>AND(#REF!,"AAAAAC//dpY=")</f>
        <v>#REF!</v>
      </c>
      <c r="EV391" t="e">
        <f>AND(#REF!,"AAAAAC//dpc=")</f>
        <v>#REF!</v>
      </c>
      <c r="EW391" t="e">
        <f>AND(#REF!,"AAAAAC//dpg=")</f>
        <v>#REF!</v>
      </c>
      <c r="EX391" t="e">
        <f>IF(#REF!,"AAAAAC//dpk=",0)</f>
        <v>#REF!</v>
      </c>
      <c r="EY391" t="e">
        <f>AND(#REF!,"AAAAAC//dpo=")</f>
        <v>#REF!</v>
      </c>
      <c r="EZ391" t="e">
        <f>AND(#REF!,"AAAAAC//dps=")</f>
        <v>#REF!</v>
      </c>
      <c r="FA391" t="e">
        <f>AND(#REF!,"AAAAAC//dpw=")</f>
        <v>#REF!</v>
      </c>
      <c r="FB391" t="e">
        <f>AND(#REF!,"AAAAAC//dp0=")</f>
        <v>#REF!</v>
      </c>
      <c r="FC391" t="e">
        <f>AND(#REF!,"AAAAAC//dp4=")</f>
        <v>#REF!</v>
      </c>
      <c r="FD391" t="e">
        <f>AND(#REF!,"AAAAAC//dp8=")</f>
        <v>#REF!</v>
      </c>
      <c r="FE391" t="e">
        <f>AND(#REF!,"AAAAAC//dqA=")</f>
        <v>#REF!</v>
      </c>
      <c r="FF391" t="e">
        <f>AND(#REF!,"AAAAAC//dqE=")</f>
        <v>#REF!</v>
      </c>
      <c r="FG391" t="e">
        <f>AND(#REF!,"AAAAAC//dqI=")</f>
        <v>#REF!</v>
      </c>
      <c r="FH391" t="e">
        <f>AND(#REF!,"AAAAAC//dqM=")</f>
        <v>#REF!</v>
      </c>
      <c r="FI391" t="e">
        <f>IF(#REF!,"AAAAAC//dqQ=",0)</f>
        <v>#REF!</v>
      </c>
      <c r="FJ391" t="e">
        <f>AND(#REF!,"AAAAAC//dqU=")</f>
        <v>#REF!</v>
      </c>
      <c r="FK391" t="e">
        <f>AND(#REF!,"AAAAAC//dqY=")</f>
        <v>#REF!</v>
      </c>
      <c r="FL391" t="e">
        <f>AND(#REF!,"AAAAAC//dqc=")</f>
        <v>#REF!</v>
      </c>
      <c r="FM391" t="e">
        <f>AND(#REF!,"AAAAAC//dqg=")</f>
        <v>#REF!</v>
      </c>
      <c r="FN391" t="e">
        <f>AND(#REF!,"AAAAAC//dqk=")</f>
        <v>#REF!</v>
      </c>
      <c r="FO391" t="e">
        <f>AND(#REF!,"AAAAAC//dqo=")</f>
        <v>#REF!</v>
      </c>
      <c r="FP391" t="e">
        <f>AND(#REF!,"AAAAAC//dqs=")</f>
        <v>#REF!</v>
      </c>
      <c r="FQ391" t="e">
        <f>AND(#REF!,"AAAAAC//dqw=")</f>
        <v>#REF!</v>
      </c>
      <c r="FR391" t="e">
        <f>AND(#REF!,"AAAAAC//dq0=")</f>
        <v>#REF!</v>
      </c>
      <c r="FS391" t="e">
        <f>AND(#REF!,"AAAAAC//dq4=")</f>
        <v>#REF!</v>
      </c>
      <c r="FT391" t="e">
        <f>IF(#REF!,"AAAAAC//dq8=",0)</f>
        <v>#REF!</v>
      </c>
      <c r="FU391" t="e">
        <f>AND(#REF!,"AAAAAC//drA=")</f>
        <v>#REF!</v>
      </c>
      <c r="FV391" t="e">
        <f>AND(#REF!,"AAAAAC//drE=")</f>
        <v>#REF!</v>
      </c>
      <c r="FW391" t="e">
        <f>AND(#REF!,"AAAAAC//drI=")</f>
        <v>#REF!</v>
      </c>
      <c r="FX391" t="e">
        <f>AND(#REF!,"AAAAAC//drM=")</f>
        <v>#REF!</v>
      </c>
      <c r="FY391" t="e">
        <f>AND(#REF!,"AAAAAC//drQ=")</f>
        <v>#REF!</v>
      </c>
      <c r="FZ391" t="e">
        <f>AND(#REF!,"AAAAAC//drU=")</f>
        <v>#REF!</v>
      </c>
      <c r="GA391" t="e">
        <f>AND(#REF!,"AAAAAC//drY=")</f>
        <v>#REF!</v>
      </c>
      <c r="GB391" t="e">
        <f>AND(#REF!,"AAAAAC//drc=")</f>
        <v>#REF!</v>
      </c>
      <c r="GC391" t="e">
        <f>AND(#REF!,"AAAAAC//drg=")</f>
        <v>#REF!</v>
      </c>
      <c r="GD391" t="e">
        <f>AND(#REF!,"AAAAAC//drk=")</f>
        <v>#REF!</v>
      </c>
      <c r="GE391" t="e">
        <f>IF(#REF!,"AAAAAC//dro=",0)</f>
        <v>#REF!</v>
      </c>
      <c r="GF391" t="e">
        <f>AND(#REF!,"AAAAAC//drs=")</f>
        <v>#REF!</v>
      </c>
      <c r="GG391" t="e">
        <f>AND(#REF!,"AAAAAC//drw=")</f>
        <v>#REF!</v>
      </c>
      <c r="GH391" t="e">
        <f>AND(#REF!,"AAAAAC//dr0=")</f>
        <v>#REF!</v>
      </c>
      <c r="GI391" t="e">
        <f>AND(#REF!,"AAAAAC//dr4=")</f>
        <v>#REF!</v>
      </c>
      <c r="GJ391" t="e">
        <f>AND(#REF!,"AAAAAC//dr8=")</f>
        <v>#REF!</v>
      </c>
      <c r="GK391" t="e">
        <f>AND(#REF!,"AAAAAC//dsA=")</f>
        <v>#REF!</v>
      </c>
      <c r="GL391" t="e">
        <f>AND(#REF!,"AAAAAC//dsE=")</f>
        <v>#REF!</v>
      </c>
      <c r="GM391" t="e">
        <f>AND(#REF!,"AAAAAC//dsI=")</f>
        <v>#REF!</v>
      </c>
      <c r="GN391" t="e">
        <f>AND(#REF!,"AAAAAC//dsM=")</f>
        <v>#REF!</v>
      </c>
      <c r="GO391" t="e">
        <f>AND(#REF!,"AAAAAC//dsQ=")</f>
        <v>#REF!</v>
      </c>
      <c r="GP391" t="e">
        <f>IF(#REF!,"AAAAAC//dsU=",0)</f>
        <v>#REF!</v>
      </c>
      <c r="GQ391" t="e">
        <f>AND(#REF!,"AAAAAC//dsY=")</f>
        <v>#REF!</v>
      </c>
      <c r="GR391" t="e">
        <f>AND(#REF!,"AAAAAC//dsc=")</f>
        <v>#REF!</v>
      </c>
      <c r="GS391" t="e">
        <f>AND(#REF!,"AAAAAC//dsg=")</f>
        <v>#REF!</v>
      </c>
      <c r="GT391" t="e">
        <f>AND(#REF!,"AAAAAC//dsk=")</f>
        <v>#REF!</v>
      </c>
      <c r="GU391" t="e">
        <f>AND(#REF!,"AAAAAC//dso=")</f>
        <v>#REF!</v>
      </c>
      <c r="GV391" t="e">
        <f>AND(#REF!,"AAAAAC//dss=")</f>
        <v>#REF!</v>
      </c>
      <c r="GW391" t="e">
        <f>AND(#REF!,"AAAAAC//dsw=")</f>
        <v>#REF!</v>
      </c>
      <c r="GX391" t="e">
        <f>AND(#REF!,"AAAAAC//ds0=")</f>
        <v>#REF!</v>
      </c>
      <c r="GY391" t="e">
        <f>AND(#REF!,"AAAAAC//ds4=")</f>
        <v>#REF!</v>
      </c>
      <c r="GZ391" t="e">
        <f>AND(#REF!,"AAAAAC//ds8=")</f>
        <v>#REF!</v>
      </c>
      <c r="HA391" t="e">
        <f>IF(#REF!,"AAAAAC//dtA=",0)</f>
        <v>#REF!</v>
      </c>
      <c r="HB391" t="e">
        <f>AND(#REF!,"AAAAAC//dtE=")</f>
        <v>#REF!</v>
      </c>
      <c r="HC391" t="e">
        <f>AND(#REF!,"AAAAAC//dtI=")</f>
        <v>#REF!</v>
      </c>
      <c r="HD391" t="e">
        <f>AND(#REF!,"AAAAAC//dtM=")</f>
        <v>#REF!</v>
      </c>
      <c r="HE391" t="e">
        <f>AND(#REF!,"AAAAAC//dtQ=")</f>
        <v>#REF!</v>
      </c>
      <c r="HF391" t="e">
        <f>AND(#REF!,"AAAAAC//dtU=")</f>
        <v>#REF!</v>
      </c>
      <c r="HG391" t="e">
        <f>AND(#REF!,"AAAAAC//dtY=")</f>
        <v>#REF!</v>
      </c>
      <c r="HH391" t="e">
        <f>AND(#REF!,"AAAAAC//dtc=")</f>
        <v>#REF!</v>
      </c>
      <c r="HI391" t="e">
        <f>AND(#REF!,"AAAAAC//dtg=")</f>
        <v>#REF!</v>
      </c>
      <c r="HJ391" t="e">
        <f>AND(#REF!,"AAAAAC//dtk=")</f>
        <v>#REF!</v>
      </c>
      <c r="HK391" t="e">
        <f>AND(#REF!,"AAAAAC//dto=")</f>
        <v>#REF!</v>
      </c>
      <c r="HL391" t="e">
        <f>IF(#REF!,"AAAAAC//dts=",0)</f>
        <v>#REF!</v>
      </c>
      <c r="HM391" t="e">
        <f>AND(#REF!,"AAAAAC//dtw=")</f>
        <v>#REF!</v>
      </c>
      <c r="HN391" t="e">
        <f>AND(#REF!,"AAAAAC//dt0=")</f>
        <v>#REF!</v>
      </c>
      <c r="HO391" t="e">
        <f>AND(#REF!,"AAAAAC//dt4=")</f>
        <v>#REF!</v>
      </c>
      <c r="HP391" t="e">
        <f>AND(#REF!,"AAAAAC//dt8=")</f>
        <v>#REF!</v>
      </c>
      <c r="HQ391" t="e">
        <f>AND(#REF!,"AAAAAC//duA=")</f>
        <v>#REF!</v>
      </c>
      <c r="HR391" t="e">
        <f>AND(#REF!,"AAAAAC//duE=")</f>
        <v>#REF!</v>
      </c>
      <c r="HS391" t="e">
        <f>AND(#REF!,"AAAAAC//duI=")</f>
        <v>#REF!</v>
      </c>
      <c r="HT391" t="e">
        <f>AND(#REF!,"AAAAAC//duM=")</f>
        <v>#REF!</v>
      </c>
      <c r="HU391" t="e">
        <f>AND(#REF!,"AAAAAC//duQ=")</f>
        <v>#REF!</v>
      </c>
      <c r="HV391" t="e">
        <f>AND(#REF!,"AAAAAC//duU=")</f>
        <v>#REF!</v>
      </c>
      <c r="HW391" t="e">
        <f>IF(#REF!,"AAAAAC//duY=",0)</f>
        <v>#REF!</v>
      </c>
      <c r="HX391" t="e">
        <f>AND(#REF!,"AAAAAC//duc=")</f>
        <v>#REF!</v>
      </c>
      <c r="HY391" t="e">
        <f>AND(#REF!,"AAAAAC//dug=")</f>
        <v>#REF!</v>
      </c>
      <c r="HZ391" t="e">
        <f>AND(#REF!,"AAAAAC//duk=")</f>
        <v>#REF!</v>
      </c>
      <c r="IA391" t="e">
        <f>AND(#REF!,"AAAAAC//duo=")</f>
        <v>#REF!</v>
      </c>
      <c r="IB391" t="e">
        <f>AND(#REF!,"AAAAAC//dus=")</f>
        <v>#REF!</v>
      </c>
      <c r="IC391" t="e">
        <f>AND(#REF!,"AAAAAC//duw=")</f>
        <v>#REF!</v>
      </c>
      <c r="ID391" t="e">
        <f>AND(#REF!,"AAAAAC//du0=")</f>
        <v>#REF!</v>
      </c>
      <c r="IE391" t="e">
        <f>AND(#REF!,"AAAAAC//du4=")</f>
        <v>#REF!</v>
      </c>
      <c r="IF391" t="e">
        <f>AND(#REF!,"AAAAAC//du8=")</f>
        <v>#REF!</v>
      </c>
      <c r="IG391" t="e">
        <f>AND(#REF!,"AAAAAC//dvA=")</f>
        <v>#REF!</v>
      </c>
      <c r="IH391" t="e">
        <f>IF(#REF!,"AAAAAC//dvE=",0)</f>
        <v>#REF!</v>
      </c>
      <c r="II391" t="e">
        <f>AND(#REF!,"AAAAAC//dvI=")</f>
        <v>#REF!</v>
      </c>
      <c r="IJ391" t="e">
        <f>AND(#REF!,"AAAAAC//dvM=")</f>
        <v>#REF!</v>
      </c>
      <c r="IK391" t="e">
        <f>AND(#REF!,"AAAAAC//dvQ=")</f>
        <v>#REF!</v>
      </c>
      <c r="IL391" t="e">
        <f>AND(#REF!,"AAAAAC//dvU=")</f>
        <v>#REF!</v>
      </c>
      <c r="IM391" t="e">
        <f>AND(#REF!,"AAAAAC//dvY=")</f>
        <v>#REF!</v>
      </c>
      <c r="IN391" t="e">
        <f>AND(#REF!,"AAAAAC//dvc=")</f>
        <v>#REF!</v>
      </c>
      <c r="IO391" t="e">
        <f>AND(#REF!,"AAAAAC//dvg=")</f>
        <v>#REF!</v>
      </c>
      <c r="IP391" t="e">
        <f>AND(#REF!,"AAAAAC//dvk=")</f>
        <v>#REF!</v>
      </c>
      <c r="IQ391" t="e">
        <f>AND(#REF!,"AAAAAC//dvo=")</f>
        <v>#REF!</v>
      </c>
      <c r="IR391" t="e">
        <f>AND(#REF!,"AAAAAC//dvs=")</f>
        <v>#REF!</v>
      </c>
      <c r="IS391" t="e">
        <f>IF(#REF!,"AAAAAC//dvw=",0)</f>
        <v>#REF!</v>
      </c>
      <c r="IT391" t="e">
        <f>AND(#REF!,"AAAAAC//dv0=")</f>
        <v>#REF!</v>
      </c>
      <c r="IU391" t="e">
        <f>AND(#REF!,"AAAAAC//dv4=")</f>
        <v>#REF!</v>
      </c>
      <c r="IV391" t="e">
        <f>AND(#REF!,"AAAAAC//dv8=")</f>
        <v>#REF!</v>
      </c>
    </row>
    <row r="392" spans="1:256" x14ac:dyDescent="0.25">
      <c r="A392" t="e">
        <f>AND(#REF!,"AAAAADO7dwA=")</f>
        <v>#REF!</v>
      </c>
      <c r="B392" t="e">
        <f>AND(#REF!,"AAAAADO7dwE=")</f>
        <v>#REF!</v>
      </c>
      <c r="C392" t="e">
        <f>AND(#REF!,"AAAAADO7dwI=")</f>
        <v>#REF!</v>
      </c>
      <c r="D392" t="e">
        <f>AND(#REF!,"AAAAADO7dwM=")</f>
        <v>#REF!</v>
      </c>
      <c r="E392" t="e">
        <f>AND(#REF!,"AAAAADO7dwQ=")</f>
        <v>#REF!</v>
      </c>
      <c r="F392" t="e">
        <f>AND(#REF!,"AAAAADO7dwU=")</f>
        <v>#REF!</v>
      </c>
      <c r="G392" t="e">
        <f>AND(#REF!,"AAAAADO7dwY=")</f>
        <v>#REF!</v>
      </c>
      <c r="H392" t="e">
        <f>IF(#REF!,"AAAAADO7dwc=",0)</f>
        <v>#REF!</v>
      </c>
      <c r="I392" t="e">
        <f>AND(#REF!,"AAAAADO7dwg=")</f>
        <v>#REF!</v>
      </c>
      <c r="J392" t="e">
        <f>AND(#REF!,"AAAAADO7dwk=")</f>
        <v>#REF!</v>
      </c>
      <c r="K392" t="e">
        <f>AND(#REF!,"AAAAADO7dwo=")</f>
        <v>#REF!</v>
      </c>
      <c r="L392" t="e">
        <f>AND(#REF!,"AAAAADO7dws=")</f>
        <v>#REF!</v>
      </c>
      <c r="M392" t="e">
        <f>AND(#REF!,"AAAAADO7dww=")</f>
        <v>#REF!</v>
      </c>
      <c r="N392" t="e">
        <f>AND(#REF!,"AAAAADO7dw0=")</f>
        <v>#REF!</v>
      </c>
      <c r="O392" t="e">
        <f>AND(#REF!,"AAAAADO7dw4=")</f>
        <v>#REF!</v>
      </c>
      <c r="P392" t="e">
        <f>AND(#REF!,"AAAAADO7dw8=")</f>
        <v>#REF!</v>
      </c>
      <c r="Q392" t="e">
        <f>AND(#REF!,"AAAAADO7dxA=")</f>
        <v>#REF!</v>
      </c>
      <c r="R392" t="e">
        <f>AND(#REF!,"AAAAADO7dxE=")</f>
        <v>#REF!</v>
      </c>
      <c r="S392" t="e">
        <f>IF(#REF!,"AAAAADO7dxI=",0)</f>
        <v>#REF!</v>
      </c>
      <c r="T392" t="e">
        <f>AND(#REF!,"AAAAADO7dxM=")</f>
        <v>#REF!</v>
      </c>
      <c r="U392" t="e">
        <f>AND(#REF!,"AAAAADO7dxQ=")</f>
        <v>#REF!</v>
      </c>
      <c r="V392" t="e">
        <f>AND(#REF!,"AAAAADO7dxU=")</f>
        <v>#REF!</v>
      </c>
      <c r="W392" t="e">
        <f>AND(#REF!,"AAAAADO7dxY=")</f>
        <v>#REF!</v>
      </c>
      <c r="X392" t="e">
        <f>AND(#REF!,"AAAAADO7dxc=")</f>
        <v>#REF!</v>
      </c>
      <c r="Y392" t="e">
        <f>AND(#REF!,"AAAAADO7dxg=")</f>
        <v>#REF!</v>
      </c>
      <c r="Z392" t="e">
        <f>AND(#REF!,"AAAAADO7dxk=")</f>
        <v>#REF!</v>
      </c>
      <c r="AA392" t="e">
        <f>AND(#REF!,"AAAAADO7dxo=")</f>
        <v>#REF!</v>
      </c>
      <c r="AB392" t="e">
        <f>AND(#REF!,"AAAAADO7dxs=")</f>
        <v>#REF!</v>
      </c>
      <c r="AC392" t="e">
        <f>AND(#REF!,"AAAAADO7dxw=")</f>
        <v>#REF!</v>
      </c>
      <c r="AD392" t="e">
        <f>IF(#REF!,"AAAAADO7dx0=",0)</f>
        <v>#REF!</v>
      </c>
      <c r="AE392" t="e">
        <f>AND(#REF!,"AAAAADO7dx4=")</f>
        <v>#REF!</v>
      </c>
      <c r="AF392" t="e">
        <f>AND(#REF!,"AAAAADO7dx8=")</f>
        <v>#REF!</v>
      </c>
      <c r="AG392" t="e">
        <f>AND(#REF!,"AAAAADO7dyA=")</f>
        <v>#REF!</v>
      </c>
      <c r="AH392" t="e">
        <f>AND(#REF!,"AAAAADO7dyE=")</f>
        <v>#REF!</v>
      </c>
      <c r="AI392" t="e">
        <f>AND(#REF!,"AAAAADO7dyI=")</f>
        <v>#REF!</v>
      </c>
      <c r="AJ392" t="e">
        <f>AND(#REF!,"AAAAADO7dyM=")</f>
        <v>#REF!</v>
      </c>
      <c r="AK392" t="e">
        <f>AND(#REF!,"AAAAADO7dyQ=")</f>
        <v>#REF!</v>
      </c>
      <c r="AL392" t="e">
        <f>AND(#REF!,"AAAAADO7dyU=")</f>
        <v>#REF!</v>
      </c>
      <c r="AM392" t="e">
        <f>AND(#REF!,"AAAAADO7dyY=")</f>
        <v>#REF!</v>
      </c>
      <c r="AN392" t="e">
        <f>AND(#REF!,"AAAAADO7dyc=")</f>
        <v>#REF!</v>
      </c>
      <c r="AO392" t="e">
        <f>IF(#REF!,"AAAAADO7dyg=",0)</f>
        <v>#REF!</v>
      </c>
      <c r="AP392" t="e">
        <f>AND(#REF!,"AAAAADO7dyk=")</f>
        <v>#REF!</v>
      </c>
      <c r="AQ392" t="e">
        <f>AND(#REF!,"AAAAADO7dyo=")</f>
        <v>#REF!</v>
      </c>
      <c r="AR392" t="e">
        <f>AND(#REF!,"AAAAADO7dys=")</f>
        <v>#REF!</v>
      </c>
      <c r="AS392" t="e">
        <f>AND(#REF!,"AAAAADO7dyw=")</f>
        <v>#REF!</v>
      </c>
      <c r="AT392" t="e">
        <f>AND(#REF!,"AAAAADO7dy0=")</f>
        <v>#REF!</v>
      </c>
      <c r="AU392" t="e">
        <f>AND(#REF!,"AAAAADO7dy4=")</f>
        <v>#REF!</v>
      </c>
      <c r="AV392" t="e">
        <f>AND(#REF!,"AAAAADO7dy8=")</f>
        <v>#REF!</v>
      </c>
      <c r="AW392" t="e">
        <f>AND(#REF!,"AAAAADO7dzA=")</f>
        <v>#REF!</v>
      </c>
      <c r="AX392" t="e">
        <f>AND(#REF!,"AAAAADO7dzE=")</f>
        <v>#REF!</v>
      </c>
      <c r="AY392" t="e">
        <f>AND(#REF!,"AAAAADO7dzI=")</f>
        <v>#REF!</v>
      </c>
      <c r="AZ392" t="e">
        <f>IF(#REF!,"AAAAADO7dzM=",0)</f>
        <v>#REF!</v>
      </c>
      <c r="BA392" t="e">
        <f>AND(#REF!,"AAAAADO7dzQ=")</f>
        <v>#REF!</v>
      </c>
      <c r="BB392" t="e">
        <f>AND(#REF!,"AAAAADO7dzU=")</f>
        <v>#REF!</v>
      </c>
      <c r="BC392" t="e">
        <f>AND(#REF!,"AAAAADO7dzY=")</f>
        <v>#REF!</v>
      </c>
      <c r="BD392" t="e">
        <f>AND(#REF!,"AAAAADO7dzc=")</f>
        <v>#REF!</v>
      </c>
      <c r="BE392" t="e">
        <f>AND(#REF!,"AAAAADO7dzg=")</f>
        <v>#REF!</v>
      </c>
      <c r="BF392" t="e">
        <f>AND(#REF!,"AAAAADO7dzk=")</f>
        <v>#REF!</v>
      </c>
      <c r="BG392" t="e">
        <f>AND(#REF!,"AAAAADO7dzo=")</f>
        <v>#REF!</v>
      </c>
      <c r="BH392" t="e">
        <f>AND(#REF!,"AAAAADO7dzs=")</f>
        <v>#REF!</v>
      </c>
      <c r="BI392" t="e">
        <f>AND(#REF!,"AAAAADO7dzw=")</f>
        <v>#REF!</v>
      </c>
      <c r="BJ392" t="e">
        <f>AND(#REF!,"AAAAADO7dz0=")</f>
        <v>#REF!</v>
      </c>
      <c r="BK392" t="e">
        <f>IF(#REF!,"AAAAADO7dz4=",0)</f>
        <v>#REF!</v>
      </c>
      <c r="BL392" t="e">
        <f>AND(#REF!,"AAAAADO7dz8=")</f>
        <v>#REF!</v>
      </c>
      <c r="BM392" t="e">
        <f>AND(#REF!,"AAAAADO7d0A=")</f>
        <v>#REF!</v>
      </c>
      <c r="BN392" t="e">
        <f>AND(#REF!,"AAAAADO7d0E=")</f>
        <v>#REF!</v>
      </c>
      <c r="BO392" t="e">
        <f>AND(#REF!,"AAAAADO7d0I=")</f>
        <v>#REF!</v>
      </c>
      <c r="BP392" t="e">
        <f>AND(#REF!,"AAAAADO7d0M=")</f>
        <v>#REF!</v>
      </c>
      <c r="BQ392" t="e">
        <f>AND(#REF!,"AAAAADO7d0Q=")</f>
        <v>#REF!</v>
      </c>
      <c r="BR392" t="e">
        <f>AND(#REF!,"AAAAADO7d0U=")</f>
        <v>#REF!</v>
      </c>
      <c r="BS392" t="e">
        <f>AND(#REF!,"AAAAADO7d0Y=")</f>
        <v>#REF!</v>
      </c>
      <c r="BT392" t="e">
        <f>AND(#REF!,"AAAAADO7d0c=")</f>
        <v>#REF!</v>
      </c>
      <c r="BU392" t="e">
        <f>AND(#REF!,"AAAAADO7d0g=")</f>
        <v>#REF!</v>
      </c>
      <c r="BV392" t="e">
        <f>IF(#REF!,"AAAAADO7d0k=",0)</f>
        <v>#REF!</v>
      </c>
      <c r="BW392" t="e">
        <f>AND(#REF!,"AAAAADO7d0o=")</f>
        <v>#REF!</v>
      </c>
      <c r="BX392" t="e">
        <f>AND(#REF!,"AAAAADO7d0s=")</f>
        <v>#REF!</v>
      </c>
      <c r="BY392" t="e">
        <f>AND(#REF!,"AAAAADO7d0w=")</f>
        <v>#REF!</v>
      </c>
      <c r="BZ392" t="e">
        <f>AND(#REF!,"AAAAADO7d00=")</f>
        <v>#REF!</v>
      </c>
      <c r="CA392" t="e">
        <f>AND(#REF!,"AAAAADO7d04=")</f>
        <v>#REF!</v>
      </c>
      <c r="CB392" t="e">
        <f>AND(#REF!,"AAAAADO7d08=")</f>
        <v>#REF!</v>
      </c>
      <c r="CC392" t="e">
        <f>AND(#REF!,"AAAAADO7d1A=")</f>
        <v>#REF!</v>
      </c>
      <c r="CD392" t="e">
        <f>AND(#REF!,"AAAAADO7d1E=")</f>
        <v>#REF!</v>
      </c>
      <c r="CE392" t="e">
        <f>AND(#REF!,"AAAAADO7d1I=")</f>
        <v>#REF!</v>
      </c>
      <c r="CF392" t="e">
        <f>AND(#REF!,"AAAAADO7d1M=")</f>
        <v>#REF!</v>
      </c>
      <c r="CG392" t="e">
        <f>IF(#REF!,"AAAAADO7d1Q=",0)</f>
        <v>#REF!</v>
      </c>
      <c r="CH392" t="e">
        <f>AND(#REF!,"AAAAADO7d1U=")</f>
        <v>#REF!</v>
      </c>
      <c r="CI392" t="e">
        <f>AND(#REF!,"AAAAADO7d1Y=")</f>
        <v>#REF!</v>
      </c>
      <c r="CJ392" t="e">
        <f>AND(#REF!,"AAAAADO7d1c=")</f>
        <v>#REF!</v>
      </c>
      <c r="CK392" t="e">
        <f>AND(#REF!,"AAAAADO7d1g=")</f>
        <v>#REF!</v>
      </c>
      <c r="CL392" t="e">
        <f>AND(#REF!,"AAAAADO7d1k=")</f>
        <v>#REF!</v>
      </c>
      <c r="CM392" t="e">
        <f>AND(#REF!,"AAAAADO7d1o=")</f>
        <v>#REF!</v>
      </c>
      <c r="CN392" t="e">
        <f>AND(#REF!,"AAAAADO7d1s=")</f>
        <v>#REF!</v>
      </c>
      <c r="CO392" t="e">
        <f>AND(#REF!,"AAAAADO7d1w=")</f>
        <v>#REF!</v>
      </c>
      <c r="CP392" t="e">
        <f>AND(#REF!,"AAAAADO7d10=")</f>
        <v>#REF!</v>
      </c>
      <c r="CQ392" t="e">
        <f>AND(#REF!,"AAAAADO7d14=")</f>
        <v>#REF!</v>
      </c>
      <c r="CR392" t="e">
        <f>IF(#REF!,"AAAAADO7d18=",0)</f>
        <v>#REF!</v>
      </c>
      <c r="CS392" t="e">
        <f>AND(#REF!,"AAAAADO7d2A=")</f>
        <v>#REF!</v>
      </c>
      <c r="CT392" t="e">
        <f>AND(#REF!,"AAAAADO7d2E=")</f>
        <v>#REF!</v>
      </c>
      <c r="CU392" t="e">
        <f>AND(#REF!,"AAAAADO7d2I=")</f>
        <v>#REF!</v>
      </c>
      <c r="CV392" t="e">
        <f>AND(#REF!,"AAAAADO7d2M=")</f>
        <v>#REF!</v>
      </c>
      <c r="CW392" t="e">
        <f>AND(#REF!,"AAAAADO7d2Q=")</f>
        <v>#REF!</v>
      </c>
      <c r="CX392" t="e">
        <f>AND(#REF!,"AAAAADO7d2U=")</f>
        <v>#REF!</v>
      </c>
      <c r="CY392" t="e">
        <f>AND(#REF!,"AAAAADO7d2Y=")</f>
        <v>#REF!</v>
      </c>
      <c r="CZ392" t="e">
        <f>AND(#REF!,"AAAAADO7d2c=")</f>
        <v>#REF!</v>
      </c>
      <c r="DA392" t="e">
        <f>AND(#REF!,"AAAAADO7d2g=")</f>
        <v>#REF!</v>
      </c>
      <c r="DB392" t="e">
        <f>AND(#REF!,"AAAAADO7d2k=")</f>
        <v>#REF!</v>
      </c>
      <c r="DC392" t="e">
        <f>IF(#REF!,"AAAAADO7d2o=",0)</f>
        <v>#REF!</v>
      </c>
      <c r="DD392" t="e">
        <f>AND(#REF!,"AAAAADO7d2s=")</f>
        <v>#REF!</v>
      </c>
      <c r="DE392" t="e">
        <f>AND(#REF!,"AAAAADO7d2w=")</f>
        <v>#REF!</v>
      </c>
      <c r="DF392" t="e">
        <f>AND(#REF!,"AAAAADO7d20=")</f>
        <v>#REF!</v>
      </c>
      <c r="DG392" t="e">
        <f>AND(#REF!,"AAAAADO7d24=")</f>
        <v>#REF!</v>
      </c>
      <c r="DH392" t="e">
        <f>AND(#REF!,"AAAAADO7d28=")</f>
        <v>#REF!</v>
      </c>
      <c r="DI392" t="e">
        <f>AND(#REF!,"AAAAADO7d3A=")</f>
        <v>#REF!</v>
      </c>
      <c r="DJ392" t="e">
        <f>AND(#REF!,"AAAAADO7d3E=")</f>
        <v>#REF!</v>
      </c>
      <c r="DK392" t="e">
        <f>AND(#REF!,"AAAAADO7d3I=")</f>
        <v>#REF!</v>
      </c>
      <c r="DL392" t="e">
        <f>AND(#REF!,"AAAAADO7d3M=")</f>
        <v>#REF!</v>
      </c>
      <c r="DM392" t="e">
        <f>AND(#REF!,"AAAAADO7d3Q=")</f>
        <v>#REF!</v>
      </c>
      <c r="DN392" t="e">
        <f>IF(#REF!,"AAAAADO7d3U=",0)</f>
        <v>#REF!</v>
      </c>
      <c r="DO392" t="e">
        <f>AND(#REF!,"AAAAADO7d3Y=")</f>
        <v>#REF!</v>
      </c>
      <c r="DP392" t="e">
        <f>AND(#REF!,"AAAAADO7d3c=")</f>
        <v>#REF!</v>
      </c>
      <c r="DQ392" t="e">
        <f>AND(#REF!,"AAAAADO7d3g=")</f>
        <v>#REF!</v>
      </c>
      <c r="DR392" t="e">
        <f>AND(#REF!,"AAAAADO7d3k=")</f>
        <v>#REF!</v>
      </c>
      <c r="DS392" t="e">
        <f>AND(#REF!,"AAAAADO7d3o=")</f>
        <v>#REF!</v>
      </c>
      <c r="DT392" t="e">
        <f>AND(#REF!,"AAAAADO7d3s=")</f>
        <v>#REF!</v>
      </c>
      <c r="DU392" t="e">
        <f>AND(#REF!,"AAAAADO7d3w=")</f>
        <v>#REF!</v>
      </c>
      <c r="DV392" t="e">
        <f>AND(#REF!,"AAAAADO7d30=")</f>
        <v>#REF!</v>
      </c>
      <c r="DW392" t="e">
        <f>AND(#REF!,"AAAAADO7d34=")</f>
        <v>#REF!</v>
      </c>
      <c r="DX392" t="e">
        <f>AND(#REF!,"AAAAADO7d38=")</f>
        <v>#REF!</v>
      </c>
      <c r="DY392" t="e">
        <f>IF(#REF!,"AAAAADO7d4A=",0)</f>
        <v>#REF!</v>
      </c>
      <c r="DZ392" t="e">
        <f>AND(#REF!,"AAAAADO7d4E=")</f>
        <v>#REF!</v>
      </c>
      <c r="EA392" t="e">
        <f>AND(#REF!,"AAAAADO7d4I=")</f>
        <v>#REF!</v>
      </c>
      <c r="EB392" t="e">
        <f>AND(#REF!,"AAAAADO7d4M=")</f>
        <v>#REF!</v>
      </c>
      <c r="EC392" t="e">
        <f>AND(#REF!,"AAAAADO7d4Q=")</f>
        <v>#REF!</v>
      </c>
      <c r="ED392" t="e">
        <f>AND(#REF!,"AAAAADO7d4U=")</f>
        <v>#REF!</v>
      </c>
      <c r="EE392" t="e">
        <f>AND(#REF!,"AAAAADO7d4Y=")</f>
        <v>#REF!</v>
      </c>
      <c r="EF392" t="e">
        <f>AND(#REF!,"AAAAADO7d4c=")</f>
        <v>#REF!</v>
      </c>
      <c r="EG392" t="e">
        <f>AND(#REF!,"AAAAADO7d4g=")</f>
        <v>#REF!</v>
      </c>
      <c r="EH392" t="e">
        <f>AND(#REF!,"AAAAADO7d4k=")</f>
        <v>#REF!</v>
      </c>
      <c r="EI392" t="e">
        <f>AND(#REF!,"AAAAADO7d4o=")</f>
        <v>#REF!</v>
      </c>
      <c r="EJ392" t="e">
        <f>IF(#REF!,"AAAAADO7d4s=",0)</f>
        <v>#REF!</v>
      </c>
      <c r="EK392" t="e">
        <f>AND(#REF!,"AAAAADO7d4w=")</f>
        <v>#REF!</v>
      </c>
      <c r="EL392" t="e">
        <f>AND(#REF!,"AAAAADO7d40=")</f>
        <v>#REF!</v>
      </c>
      <c r="EM392" t="e">
        <f>AND(#REF!,"AAAAADO7d44=")</f>
        <v>#REF!</v>
      </c>
      <c r="EN392" t="e">
        <f>AND(#REF!,"AAAAADO7d48=")</f>
        <v>#REF!</v>
      </c>
      <c r="EO392" t="e">
        <f>AND(#REF!,"AAAAADO7d5A=")</f>
        <v>#REF!</v>
      </c>
      <c r="EP392" t="e">
        <f>AND(#REF!,"AAAAADO7d5E=")</f>
        <v>#REF!</v>
      </c>
      <c r="EQ392" t="e">
        <f>AND(#REF!,"AAAAADO7d5I=")</f>
        <v>#REF!</v>
      </c>
      <c r="ER392" t="e">
        <f>AND(#REF!,"AAAAADO7d5M=")</f>
        <v>#REF!</v>
      </c>
      <c r="ES392" t="e">
        <f>AND(#REF!,"AAAAADO7d5Q=")</f>
        <v>#REF!</v>
      </c>
      <c r="ET392" t="e">
        <f>AND(#REF!,"AAAAADO7d5U=")</f>
        <v>#REF!</v>
      </c>
      <c r="EU392" t="e">
        <f>IF(#REF!,"AAAAADO7d5Y=",0)</f>
        <v>#REF!</v>
      </c>
      <c r="EV392" t="e">
        <f>AND(#REF!,"AAAAADO7d5c=")</f>
        <v>#REF!</v>
      </c>
      <c r="EW392" t="e">
        <f>AND(#REF!,"AAAAADO7d5g=")</f>
        <v>#REF!</v>
      </c>
      <c r="EX392" t="e">
        <f>AND(#REF!,"AAAAADO7d5k=")</f>
        <v>#REF!</v>
      </c>
      <c r="EY392" t="e">
        <f>AND(#REF!,"AAAAADO7d5o=")</f>
        <v>#REF!</v>
      </c>
      <c r="EZ392" t="e">
        <f>AND(#REF!,"AAAAADO7d5s=")</f>
        <v>#REF!</v>
      </c>
      <c r="FA392" t="e">
        <f>AND(#REF!,"AAAAADO7d5w=")</f>
        <v>#REF!</v>
      </c>
      <c r="FB392" t="e">
        <f>AND(#REF!,"AAAAADO7d50=")</f>
        <v>#REF!</v>
      </c>
      <c r="FC392" t="e">
        <f>AND(#REF!,"AAAAADO7d54=")</f>
        <v>#REF!</v>
      </c>
      <c r="FD392" t="e">
        <f>AND(#REF!,"AAAAADO7d58=")</f>
        <v>#REF!</v>
      </c>
      <c r="FE392" t="e">
        <f>AND(#REF!,"AAAAADO7d6A=")</f>
        <v>#REF!</v>
      </c>
      <c r="FF392" t="e">
        <f>IF(#REF!,"AAAAADO7d6E=",0)</f>
        <v>#REF!</v>
      </c>
      <c r="FG392" t="e">
        <f>AND(#REF!,"AAAAADO7d6I=")</f>
        <v>#REF!</v>
      </c>
      <c r="FH392" t="e">
        <f>AND(#REF!,"AAAAADO7d6M=")</f>
        <v>#REF!</v>
      </c>
      <c r="FI392" t="e">
        <f>AND(#REF!,"AAAAADO7d6Q=")</f>
        <v>#REF!</v>
      </c>
      <c r="FJ392" t="e">
        <f>AND(#REF!,"AAAAADO7d6U=")</f>
        <v>#REF!</v>
      </c>
      <c r="FK392" t="e">
        <f>AND(#REF!,"AAAAADO7d6Y=")</f>
        <v>#REF!</v>
      </c>
      <c r="FL392" t="e">
        <f>AND(#REF!,"AAAAADO7d6c=")</f>
        <v>#REF!</v>
      </c>
      <c r="FM392" t="e">
        <f>AND(#REF!,"AAAAADO7d6g=")</f>
        <v>#REF!</v>
      </c>
      <c r="FN392" t="e">
        <f>AND(#REF!,"AAAAADO7d6k=")</f>
        <v>#REF!</v>
      </c>
      <c r="FO392" t="e">
        <f>AND(#REF!,"AAAAADO7d6o=")</f>
        <v>#REF!</v>
      </c>
      <c r="FP392" t="e">
        <f>AND(#REF!,"AAAAADO7d6s=")</f>
        <v>#REF!</v>
      </c>
      <c r="FQ392" t="e">
        <f>IF(#REF!,"AAAAADO7d6w=",0)</f>
        <v>#REF!</v>
      </c>
      <c r="FR392" t="e">
        <f>AND(#REF!,"AAAAADO7d60=")</f>
        <v>#REF!</v>
      </c>
      <c r="FS392" t="e">
        <f>AND(#REF!,"AAAAADO7d64=")</f>
        <v>#REF!</v>
      </c>
      <c r="FT392" t="e">
        <f>AND(#REF!,"AAAAADO7d68=")</f>
        <v>#REF!</v>
      </c>
      <c r="FU392" t="e">
        <f>AND(#REF!,"AAAAADO7d7A=")</f>
        <v>#REF!</v>
      </c>
      <c r="FV392" t="e">
        <f>AND(#REF!,"AAAAADO7d7E=")</f>
        <v>#REF!</v>
      </c>
      <c r="FW392" t="e">
        <f>AND(#REF!,"AAAAADO7d7I=")</f>
        <v>#REF!</v>
      </c>
      <c r="FX392" t="e">
        <f>AND(#REF!,"AAAAADO7d7M=")</f>
        <v>#REF!</v>
      </c>
      <c r="FY392" t="e">
        <f>AND(#REF!,"AAAAADO7d7Q=")</f>
        <v>#REF!</v>
      </c>
      <c r="FZ392" t="e">
        <f>AND(#REF!,"AAAAADO7d7U=")</f>
        <v>#REF!</v>
      </c>
      <c r="GA392" t="e">
        <f>AND(#REF!,"AAAAADO7d7Y=")</f>
        <v>#REF!</v>
      </c>
      <c r="GB392" t="e">
        <f>IF(#REF!,"AAAAADO7d7c=",0)</f>
        <v>#REF!</v>
      </c>
      <c r="GC392" t="e">
        <f>AND(#REF!,"AAAAADO7d7g=")</f>
        <v>#REF!</v>
      </c>
      <c r="GD392" t="e">
        <f>AND(#REF!,"AAAAADO7d7k=")</f>
        <v>#REF!</v>
      </c>
      <c r="GE392" t="e">
        <f>AND(#REF!,"AAAAADO7d7o=")</f>
        <v>#REF!</v>
      </c>
      <c r="GF392" t="e">
        <f>AND(#REF!,"AAAAADO7d7s=")</f>
        <v>#REF!</v>
      </c>
      <c r="GG392" t="e">
        <f>AND(#REF!,"AAAAADO7d7w=")</f>
        <v>#REF!</v>
      </c>
      <c r="GH392" t="e">
        <f>AND(#REF!,"AAAAADO7d70=")</f>
        <v>#REF!</v>
      </c>
      <c r="GI392" t="e">
        <f>AND(#REF!,"AAAAADO7d74=")</f>
        <v>#REF!</v>
      </c>
      <c r="GJ392" t="e">
        <f>AND(#REF!,"AAAAADO7d78=")</f>
        <v>#REF!</v>
      </c>
      <c r="GK392" t="e">
        <f>AND(#REF!,"AAAAADO7d8A=")</f>
        <v>#REF!</v>
      </c>
      <c r="GL392" t="e">
        <f>AND(#REF!,"AAAAADO7d8E=")</f>
        <v>#REF!</v>
      </c>
      <c r="GM392" t="e">
        <f>IF(#REF!,"AAAAADO7d8I=",0)</f>
        <v>#REF!</v>
      </c>
      <c r="GN392" t="e">
        <f>AND(#REF!,"AAAAADO7d8M=")</f>
        <v>#REF!</v>
      </c>
      <c r="GO392" t="e">
        <f>AND(#REF!,"AAAAADO7d8Q=")</f>
        <v>#REF!</v>
      </c>
      <c r="GP392" t="e">
        <f>AND(#REF!,"AAAAADO7d8U=")</f>
        <v>#REF!</v>
      </c>
      <c r="GQ392" t="e">
        <f>AND(#REF!,"AAAAADO7d8Y=")</f>
        <v>#REF!</v>
      </c>
      <c r="GR392" t="e">
        <f>AND(#REF!,"AAAAADO7d8c=")</f>
        <v>#REF!</v>
      </c>
      <c r="GS392" t="e">
        <f>AND(#REF!,"AAAAADO7d8g=")</f>
        <v>#REF!</v>
      </c>
      <c r="GT392" t="e">
        <f>AND(#REF!,"AAAAADO7d8k=")</f>
        <v>#REF!</v>
      </c>
      <c r="GU392" t="e">
        <f>AND(#REF!,"AAAAADO7d8o=")</f>
        <v>#REF!</v>
      </c>
      <c r="GV392" t="e">
        <f>AND(#REF!,"AAAAADO7d8s=")</f>
        <v>#REF!</v>
      </c>
      <c r="GW392" t="e">
        <f>AND(#REF!,"AAAAADO7d8w=")</f>
        <v>#REF!</v>
      </c>
      <c r="GX392" t="e">
        <f>IF(#REF!,"AAAAADO7d80=",0)</f>
        <v>#REF!</v>
      </c>
      <c r="GY392" t="e">
        <f>AND(#REF!,"AAAAADO7d84=")</f>
        <v>#REF!</v>
      </c>
      <c r="GZ392" t="e">
        <f>AND(#REF!,"AAAAADO7d88=")</f>
        <v>#REF!</v>
      </c>
      <c r="HA392" t="e">
        <f>AND(#REF!,"AAAAADO7d9A=")</f>
        <v>#REF!</v>
      </c>
      <c r="HB392" t="e">
        <f>AND(#REF!,"AAAAADO7d9E=")</f>
        <v>#REF!</v>
      </c>
      <c r="HC392" t="e">
        <f>AND(#REF!,"AAAAADO7d9I=")</f>
        <v>#REF!</v>
      </c>
      <c r="HD392" t="e">
        <f>AND(#REF!,"AAAAADO7d9M=")</f>
        <v>#REF!</v>
      </c>
      <c r="HE392" t="e">
        <f>AND(#REF!,"AAAAADO7d9Q=")</f>
        <v>#REF!</v>
      </c>
      <c r="HF392" t="e">
        <f>AND(#REF!,"AAAAADO7d9U=")</f>
        <v>#REF!</v>
      </c>
      <c r="HG392" t="e">
        <f>AND(#REF!,"AAAAADO7d9Y=")</f>
        <v>#REF!</v>
      </c>
      <c r="HH392" t="e">
        <f>AND(#REF!,"AAAAADO7d9c=")</f>
        <v>#REF!</v>
      </c>
      <c r="HI392" t="e">
        <f>IF(#REF!,"AAAAADO7d9g=",0)</f>
        <v>#REF!</v>
      </c>
      <c r="HJ392" t="e">
        <f>AND(#REF!,"AAAAADO7d9k=")</f>
        <v>#REF!</v>
      </c>
      <c r="HK392" t="e">
        <f>AND(#REF!,"AAAAADO7d9o=")</f>
        <v>#REF!</v>
      </c>
      <c r="HL392" t="e">
        <f>AND(#REF!,"AAAAADO7d9s=")</f>
        <v>#REF!</v>
      </c>
      <c r="HM392" t="e">
        <f>AND(#REF!,"AAAAADO7d9w=")</f>
        <v>#REF!</v>
      </c>
      <c r="HN392" t="e">
        <f>AND(#REF!,"AAAAADO7d90=")</f>
        <v>#REF!</v>
      </c>
      <c r="HO392" t="e">
        <f>AND(#REF!,"AAAAADO7d94=")</f>
        <v>#REF!</v>
      </c>
      <c r="HP392" t="e">
        <f>AND(#REF!,"AAAAADO7d98=")</f>
        <v>#REF!</v>
      </c>
      <c r="HQ392" t="e">
        <f>AND(#REF!,"AAAAADO7d+A=")</f>
        <v>#REF!</v>
      </c>
      <c r="HR392" t="e">
        <f>AND(#REF!,"AAAAADO7d+E=")</f>
        <v>#REF!</v>
      </c>
      <c r="HS392" t="e">
        <f>AND(#REF!,"AAAAADO7d+I=")</f>
        <v>#REF!</v>
      </c>
      <c r="HT392" t="e">
        <f>IF(#REF!,"AAAAADO7d+M=",0)</f>
        <v>#REF!</v>
      </c>
      <c r="HU392" t="e">
        <f>AND(#REF!,"AAAAADO7d+Q=")</f>
        <v>#REF!</v>
      </c>
      <c r="HV392" t="e">
        <f>AND(#REF!,"AAAAADO7d+U=")</f>
        <v>#REF!</v>
      </c>
      <c r="HW392" t="e">
        <f>AND(#REF!,"AAAAADO7d+Y=")</f>
        <v>#REF!</v>
      </c>
      <c r="HX392" t="e">
        <f>AND(#REF!,"AAAAADO7d+c=")</f>
        <v>#REF!</v>
      </c>
      <c r="HY392" t="e">
        <f>AND(#REF!,"AAAAADO7d+g=")</f>
        <v>#REF!</v>
      </c>
      <c r="HZ392" t="e">
        <f>AND(#REF!,"AAAAADO7d+k=")</f>
        <v>#REF!</v>
      </c>
      <c r="IA392" t="e">
        <f>AND(#REF!,"AAAAADO7d+o=")</f>
        <v>#REF!</v>
      </c>
      <c r="IB392" t="e">
        <f>AND(#REF!,"AAAAADO7d+s=")</f>
        <v>#REF!</v>
      </c>
      <c r="IC392" t="e">
        <f>AND(#REF!,"AAAAADO7d+w=")</f>
        <v>#REF!</v>
      </c>
      <c r="ID392" t="e">
        <f>AND(#REF!,"AAAAADO7d+0=")</f>
        <v>#REF!</v>
      </c>
      <c r="IE392" t="e">
        <f>IF(#REF!,"AAAAADO7d+4=",0)</f>
        <v>#REF!</v>
      </c>
      <c r="IF392" t="e">
        <f>AND(#REF!,"AAAAADO7d+8=")</f>
        <v>#REF!</v>
      </c>
      <c r="IG392" t="e">
        <f>AND(#REF!,"AAAAADO7d/A=")</f>
        <v>#REF!</v>
      </c>
      <c r="IH392" t="e">
        <f>AND(#REF!,"AAAAADO7d/E=")</f>
        <v>#REF!</v>
      </c>
      <c r="II392" t="e">
        <f>AND(#REF!,"AAAAADO7d/I=")</f>
        <v>#REF!</v>
      </c>
      <c r="IJ392" t="e">
        <f>AND(#REF!,"AAAAADO7d/M=")</f>
        <v>#REF!</v>
      </c>
      <c r="IK392" t="e">
        <f>AND(#REF!,"AAAAADO7d/Q=")</f>
        <v>#REF!</v>
      </c>
      <c r="IL392" t="e">
        <f>AND(#REF!,"AAAAADO7d/U=")</f>
        <v>#REF!</v>
      </c>
      <c r="IM392" t="e">
        <f>AND(#REF!,"AAAAADO7d/Y=")</f>
        <v>#REF!</v>
      </c>
      <c r="IN392" t="e">
        <f>AND(#REF!,"AAAAADO7d/c=")</f>
        <v>#REF!</v>
      </c>
      <c r="IO392" t="e">
        <f>AND(#REF!,"AAAAADO7d/g=")</f>
        <v>#REF!</v>
      </c>
      <c r="IP392" t="e">
        <f>IF(#REF!,"AAAAADO7d/k=",0)</f>
        <v>#REF!</v>
      </c>
      <c r="IQ392" t="e">
        <f>AND(#REF!,"AAAAADO7d/o=")</f>
        <v>#REF!</v>
      </c>
      <c r="IR392" t="e">
        <f>AND(#REF!,"AAAAADO7d/s=")</f>
        <v>#REF!</v>
      </c>
      <c r="IS392" t="e">
        <f>AND(#REF!,"AAAAADO7d/w=")</f>
        <v>#REF!</v>
      </c>
      <c r="IT392" t="e">
        <f>AND(#REF!,"AAAAADO7d/0=")</f>
        <v>#REF!</v>
      </c>
      <c r="IU392" t="e">
        <f>AND(#REF!,"AAAAADO7d/4=")</f>
        <v>#REF!</v>
      </c>
      <c r="IV392" t="e">
        <f>AND(#REF!,"AAAAADO7d/8=")</f>
        <v>#REF!</v>
      </c>
    </row>
    <row r="393" spans="1:256" x14ac:dyDescent="0.25">
      <c r="A393" t="e">
        <f>AND(#REF!,"AAAAAG12+QA=")</f>
        <v>#REF!</v>
      </c>
      <c r="B393" t="e">
        <f>AND(#REF!,"AAAAAG12+QE=")</f>
        <v>#REF!</v>
      </c>
      <c r="C393" t="e">
        <f>AND(#REF!,"AAAAAG12+QI=")</f>
        <v>#REF!</v>
      </c>
      <c r="D393" t="e">
        <f>AND(#REF!,"AAAAAG12+QM=")</f>
        <v>#REF!</v>
      </c>
      <c r="E393" t="e">
        <f>IF(#REF!,"AAAAAG12+QQ=",0)</f>
        <v>#REF!</v>
      </c>
      <c r="F393" t="e">
        <f>AND(#REF!,"AAAAAG12+QU=")</f>
        <v>#REF!</v>
      </c>
      <c r="G393" t="e">
        <f>AND(#REF!,"AAAAAG12+QY=")</f>
        <v>#REF!</v>
      </c>
      <c r="H393" t="e">
        <f>AND(#REF!,"AAAAAG12+Qc=")</f>
        <v>#REF!</v>
      </c>
      <c r="I393" t="e">
        <f>AND(#REF!,"AAAAAG12+Qg=")</f>
        <v>#REF!</v>
      </c>
      <c r="J393" t="e">
        <f>AND(#REF!,"AAAAAG12+Qk=")</f>
        <v>#REF!</v>
      </c>
      <c r="K393" t="e">
        <f>AND(#REF!,"AAAAAG12+Qo=")</f>
        <v>#REF!</v>
      </c>
      <c r="L393" t="e">
        <f>AND(#REF!,"AAAAAG12+Qs=")</f>
        <v>#REF!</v>
      </c>
      <c r="M393" t="e">
        <f>AND(#REF!,"AAAAAG12+Qw=")</f>
        <v>#REF!</v>
      </c>
      <c r="N393" t="e">
        <f>AND(#REF!,"AAAAAG12+Q0=")</f>
        <v>#REF!</v>
      </c>
      <c r="O393" t="e">
        <f>AND(#REF!,"AAAAAG12+Q4=")</f>
        <v>#REF!</v>
      </c>
      <c r="P393" t="e">
        <f>IF(#REF!,"AAAAAG12+Q8=",0)</f>
        <v>#REF!</v>
      </c>
      <c r="Q393" t="e">
        <f>AND(#REF!,"AAAAAG12+RA=")</f>
        <v>#REF!</v>
      </c>
      <c r="R393" t="e">
        <f>AND(#REF!,"AAAAAG12+RE=")</f>
        <v>#REF!</v>
      </c>
      <c r="S393" t="e">
        <f>AND(#REF!,"AAAAAG12+RI=")</f>
        <v>#REF!</v>
      </c>
      <c r="T393" t="e">
        <f>AND(#REF!,"AAAAAG12+RM=")</f>
        <v>#REF!</v>
      </c>
      <c r="U393" t="e">
        <f>AND(#REF!,"AAAAAG12+RQ=")</f>
        <v>#REF!</v>
      </c>
      <c r="V393" t="e">
        <f>AND(#REF!,"AAAAAG12+RU=")</f>
        <v>#REF!</v>
      </c>
      <c r="W393" t="e">
        <f>AND(#REF!,"AAAAAG12+RY=")</f>
        <v>#REF!</v>
      </c>
      <c r="X393" t="e">
        <f>AND(#REF!,"AAAAAG12+Rc=")</f>
        <v>#REF!</v>
      </c>
      <c r="Y393" t="e">
        <f>AND(#REF!,"AAAAAG12+Rg=")</f>
        <v>#REF!</v>
      </c>
      <c r="Z393" t="e">
        <f>AND(#REF!,"AAAAAG12+Rk=")</f>
        <v>#REF!</v>
      </c>
      <c r="AA393" t="e">
        <f>IF(#REF!,"AAAAAG12+Ro=",0)</f>
        <v>#REF!</v>
      </c>
      <c r="AB393" t="e">
        <f>AND(#REF!,"AAAAAG12+Rs=")</f>
        <v>#REF!</v>
      </c>
      <c r="AC393" t="e">
        <f>AND(#REF!,"AAAAAG12+Rw=")</f>
        <v>#REF!</v>
      </c>
      <c r="AD393" t="e">
        <f>AND(#REF!,"AAAAAG12+R0=")</f>
        <v>#REF!</v>
      </c>
      <c r="AE393" t="e">
        <f>AND(#REF!,"AAAAAG12+R4=")</f>
        <v>#REF!</v>
      </c>
      <c r="AF393" t="e">
        <f>AND(#REF!,"AAAAAG12+R8=")</f>
        <v>#REF!</v>
      </c>
      <c r="AG393" t="e">
        <f>AND(#REF!,"AAAAAG12+SA=")</f>
        <v>#REF!</v>
      </c>
      <c r="AH393" t="e">
        <f>AND(#REF!,"AAAAAG12+SE=")</f>
        <v>#REF!</v>
      </c>
      <c r="AI393" t="e">
        <f>AND(#REF!,"AAAAAG12+SI=")</f>
        <v>#REF!</v>
      </c>
      <c r="AJ393" t="e">
        <f>AND(#REF!,"AAAAAG12+SM=")</f>
        <v>#REF!</v>
      </c>
      <c r="AK393" t="e">
        <f>AND(#REF!,"AAAAAG12+SQ=")</f>
        <v>#REF!</v>
      </c>
      <c r="AL393" t="e">
        <f>IF(#REF!,"AAAAAG12+SU=",0)</f>
        <v>#REF!</v>
      </c>
      <c r="AM393" t="e">
        <f>AND(#REF!,"AAAAAG12+SY=")</f>
        <v>#REF!</v>
      </c>
      <c r="AN393" t="e">
        <f>AND(#REF!,"AAAAAG12+Sc=")</f>
        <v>#REF!</v>
      </c>
      <c r="AO393" t="e">
        <f>AND(#REF!,"AAAAAG12+Sg=")</f>
        <v>#REF!</v>
      </c>
      <c r="AP393" t="e">
        <f>AND(#REF!,"AAAAAG12+Sk=")</f>
        <v>#REF!</v>
      </c>
      <c r="AQ393" t="e">
        <f>AND(#REF!,"AAAAAG12+So=")</f>
        <v>#REF!</v>
      </c>
      <c r="AR393" t="e">
        <f>AND(#REF!,"AAAAAG12+Ss=")</f>
        <v>#REF!</v>
      </c>
      <c r="AS393" t="e">
        <f>AND(#REF!,"AAAAAG12+Sw=")</f>
        <v>#REF!</v>
      </c>
      <c r="AT393" t="e">
        <f>AND(#REF!,"AAAAAG12+S0=")</f>
        <v>#REF!</v>
      </c>
      <c r="AU393" t="e">
        <f>AND(#REF!,"AAAAAG12+S4=")</f>
        <v>#REF!</v>
      </c>
      <c r="AV393" t="e">
        <f>AND(#REF!,"AAAAAG12+S8=")</f>
        <v>#REF!</v>
      </c>
      <c r="AW393" t="e">
        <f>IF(#REF!,"AAAAAG12+TA=",0)</f>
        <v>#REF!</v>
      </c>
      <c r="AX393" t="e">
        <f>AND(#REF!,"AAAAAG12+TE=")</f>
        <v>#REF!</v>
      </c>
      <c r="AY393" t="e">
        <f>AND(#REF!,"AAAAAG12+TI=")</f>
        <v>#REF!</v>
      </c>
      <c r="AZ393" t="e">
        <f>AND(#REF!,"AAAAAG12+TM=")</f>
        <v>#REF!</v>
      </c>
      <c r="BA393" t="e">
        <f>AND(#REF!,"AAAAAG12+TQ=")</f>
        <v>#REF!</v>
      </c>
      <c r="BB393" t="e">
        <f>AND(#REF!,"AAAAAG12+TU=")</f>
        <v>#REF!</v>
      </c>
      <c r="BC393" t="e">
        <f>AND(#REF!,"AAAAAG12+TY=")</f>
        <v>#REF!</v>
      </c>
      <c r="BD393" t="e">
        <f>AND(#REF!,"AAAAAG12+Tc=")</f>
        <v>#REF!</v>
      </c>
      <c r="BE393" t="e">
        <f>AND(#REF!,"AAAAAG12+Tg=")</f>
        <v>#REF!</v>
      </c>
      <c r="BF393" t="e">
        <f>AND(#REF!,"AAAAAG12+Tk=")</f>
        <v>#REF!</v>
      </c>
      <c r="BG393" t="e">
        <f>AND(#REF!,"AAAAAG12+To=")</f>
        <v>#REF!</v>
      </c>
      <c r="BH393" t="e">
        <f>IF(#REF!,"AAAAAG12+Ts=",0)</f>
        <v>#REF!</v>
      </c>
      <c r="BI393" t="e">
        <f>AND(#REF!,"AAAAAG12+Tw=")</f>
        <v>#REF!</v>
      </c>
      <c r="BJ393" t="e">
        <f>AND(#REF!,"AAAAAG12+T0=")</f>
        <v>#REF!</v>
      </c>
      <c r="BK393" t="e">
        <f>AND(#REF!,"AAAAAG12+T4=")</f>
        <v>#REF!</v>
      </c>
      <c r="BL393" t="e">
        <f>AND(#REF!,"AAAAAG12+T8=")</f>
        <v>#REF!</v>
      </c>
      <c r="BM393" t="e">
        <f>AND(#REF!,"AAAAAG12+UA=")</f>
        <v>#REF!</v>
      </c>
      <c r="BN393" t="e">
        <f>AND(#REF!,"AAAAAG12+UE=")</f>
        <v>#REF!</v>
      </c>
      <c r="BO393" t="e">
        <f>AND(#REF!,"AAAAAG12+UI=")</f>
        <v>#REF!</v>
      </c>
      <c r="BP393" t="e">
        <f>AND(#REF!,"AAAAAG12+UM=")</f>
        <v>#REF!</v>
      </c>
      <c r="BQ393" t="e">
        <f>AND(#REF!,"AAAAAG12+UQ=")</f>
        <v>#REF!</v>
      </c>
      <c r="BR393" t="e">
        <f>AND(#REF!,"AAAAAG12+UU=")</f>
        <v>#REF!</v>
      </c>
      <c r="BS393" t="e">
        <f>IF(#REF!,"AAAAAG12+UY=",0)</f>
        <v>#REF!</v>
      </c>
      <c r="BT393" t="e">
        <f>AND(#REF!,"AAAAAG12+Uc=")</f>
        <v>#REF!</v>
      </c>
      <c r="BU393" t="e">
        <f>AND(#REF!,"AAAAAG12+Ug=")</f>
        <v>#REF!</v>
      </c>
      <c r="BV393" t="e">
        <f>AND(#REF!,"AAAAAG12+Uk=")</f>
        <v>#REF!</v>
      </c>
      <c r="BW393" t="e">
        <f>AND(#REF!,"AAAAAG12+Uo=")</f>
        <v>#REF!</v>
      </c>
      <c r="BX393" t="e">
        <f>AND(#REF!,"AAAAAG12+Us=")</f>
        <v>#REF!</v>
      </c>
      <c r="BY393" t="e">
        <f>AND(#REF!,"AAAAAG12+Uw=")</f>
        <v>#REF!</v>
      </c>
      <c r="BZ393" t="e">
        <f>AND(#REF!,"AAAAAG12+U0=")</f>
        <v>#REF!</v>
      </c>
      <c r="CA393" t="e">
        <f>AND(#REF!,"AAAAAG12+U4=")</f>
        <v>#REF!</v>
      </c>
      <c r="CB393" t="e">
        <f>AND(#REF!,"AAAAAG12+U8=")</f>
        <v>#REF!</v>
      </c>
      <c r="CC393" t="e">
        <f>AND(#REF!,"AAAAAG12+VA=")</f>
        <v>#REF!</v>
      </c>
      <c r="CD393" t="e">
        <f>IF(#REF!,"AAAAAG12+VE=",0)</f>
        <v>#REF!</v>
      </c>
      <c r="CE393" t="e">
        <f>AND(#REF!,"AAAAAG12+VI=")</f>
        <v>#REF!</v>
      </c>
      <c r="CF393" t="e">
        <f>AND(#REF!,"AAAAAG12+VM=")</f>
        <v>#REF!</v>
      </c>
      <c r="CG393" t="e">
        <f>AND(#REF!,"AAAAAG12+VQ=")</f>
        <v>#REF!</v>
      </c>
      <c r="CH393" t="e">
        <f>AND(#REF!,"AAAAAG12+VU=")</f>
        <v>#REF!</v>
      </c>
      <c r="CI393" t="e">
        <f>AND(#REF!,"AAAAAG12+VY=")</f>
        <v>#REF!</v>
      </c>
      <c r="CJ393" t="e">
        <f>AND(#REF!,"AAAAAG12+Vc=")</f>
        <v>#REF!</v>
      </c>
      <c r="CK393" t="e">
        <f>AND(#REF!,"AAAAAG12+Vg=")</f>
        <v>#REF!</v>
      </c>
      <c r="CL393" t="e">
        <f>AND(#REF!,"AAAAAG12+Vk=")</f>
        <v>#REF!</v>
      </c>
      <c r="CM393" t="e">
        <f>AND(#REF!,"AAAAAG12+Vo=")</f>
        <v>#REF!</v>
      </c>
      <c r="CN393" t="e">
        <f>AND(#REF!,"AAAAAG12+Vs=")</f>
        <v>#REF!</v>
      </c>
      <c r="CO393" t="e">
        <f>IF(#REF!,"AAAAAG12+Vw=",0)</f>
        <v>#REF!</v>
      </c>
      <c r="CP393" t="e">
        <f>AND(#REF!,"AAAAAG12+V0=")</f>
        <v>#REF!</v>
      </c>
      <c r="CQ393" t="e">
        <f>AND(#REF!,"AAAAAG12+V4=")</f>
        <v>#REF!</v>
      </c>
      <c r="CR393" t="e">
        <f>AND(#REF!,"AAAAAG12+V8=")</f>
        <v>#REF!</v>
      </c>
      <c r="CS393" t="e">
        <f>AND(#REF!,"AAAAAG12+WA=")</f>
        <v>#REF!</v>
      </c>
      <c r="CT393" t="e">
        <f>AND(#REF!,"AAAAAG12+WE=")</f>
        <v>#REF!</v>
      </c>
      <c r="CU393" t="e">
        <f>AND(#REF!,"AAAAAG12+WI=")</f>
        <v>#REF!</v>
      </c>
      <c r="CV393" t="e">
        <f>AND(#REF!,"AAAAAG12+WM=")</f>
        <v>#REF!</v>
      </c>
      <c r="CW393" t="e">
        <f>AND(#REF!,"AAAAAG12+WQ=")</f>
        <v>#REF!</v>
      </c>
      <c r="CX393" t="e">
        <f>AND(#REF!,"AAAAAG12+WU=")</f>
        <v>#REF!</v>
      </c>
      <c r="CY393" t="e">
        <f>AND(#REF!,"AAAAAG12+WY=")</f>
        <v>#REF!</v>
      </c>
      <c r="CZ393" t="e">
        <f>IF(#REF!,"AAAAAG12+Wc=",0)</f>
        <v>#REF!</v>
      </c>
      <c r="DA393" t="e">
        <f>AND(#REF!,"AAAAAG12+Wg=")</f>
        <v>#REF!</v>
      </c>
      <c r="DB393" t="e">
        <f>AND(#REF!,"AAAAAG12+Wk=")</f>
        <v>#REF!</v>
      </c>
      <c r="DC393" t="e">
        <f>AND(#REF!,"AAAAAG12+Wo=")</f>
        <v>#REF!</v>
      </c>
      <c r="DD393" t="e">
        <f>AND(#REF!,"AAAAAG12+Ws=")</f>
        <v>#REF!</v>
      </c>
      <c r="DE393" t="e">
        <f>AND(#REF!,"AAAAAG12+Ww=")</f>
        <v>#REF!</v>
      </c>
      <c r="DF393" t="e">
        <f>AND(#REF!,"AAAAAG12+W0=")</f>
        <v>#REF!</v>
      </c>
      <c r="DG393" t="e">
        <f>AND(#REF!,"AAAAAG12+W4=")</f>
        <v>#REF!</v>
      </c>
      <c r="DH393" t="e">
        <f>AND(#REF!,"AAAAAG12+W8=")</f>
        <v>#REF!</v>
      </c>
      <c r="DI393" t="e">
        <f>AND(#REF!,"AAAAAG12+XA=")</f>
        <v>#REF!</v>
      </c>
      <c r="DJ393" t="e">
        <f>AND(#REF!,"AAAAAG12+XE=")</f>
        <v>#REF!</v>
      </c>
      <c r="DK393" t="e">
        <f>IF(#REF!,"AAAAAG12+XI=",0)</f>
        <v>#REF!</v>
      </c>
      <c r="DL393" t="e">
        <f>AND(#REF!,"AAAAAG12+XM=")</f>
        <v>#REF!</v>
      </c>
      <c r="DM393" t="e">
        <f>AND(#REF!,"AAAAAG12+XQ=")</f>
        <v>#REF!</v>
      </c>
      <c r="DN393" t="e">
        <f>AND(#REF!,"AAAAAG12+XU=")</f>
        <v>#REF!</v>
      </c>
      <c r="DO393" t="e">
        <f>AND(#REF!,"AAAAAG12+XY=")</f>
        <v>#REF!</v>
      </c>
      <c r="DP393" t="e">
        <f>AND(#REF!,"AAAAAG12+Xc=")</f>
        <v>#REF!</v>
      </c>
      <c r="DQ393" t="e">
        <f>AND(#REF!,"AAAAAG12+Xg=")</f>
        <v>#REF!</v>
      </c>
      <c r="DR393" t="e">
        <f>AND(#REF!,"AAAAAG12+Xk=")</f>
        <v>#REF!</v>
      </c>
      <c r="DS393" t="e">
        <f>AND(#REF!,"AAAAAG12+Xo=")</f>
        <v>#REF!</v>
      </c>
      <c r="DT393" t="e">
        <f>AND(#REF!,"AAAAAG12+Xs=")</f>
        <v>#REF!</v>
      </c>
      <c r="DU393" t="e">
        <f>AND(#REF!,"AAAAAG12+Xw=")</f>
        <v>#REF!</v>
      </c>
      <c r="DV393" t="e">
        <f>IF(#REF!,"AAAAAG12+X0=",0)</f>
        <v>#REF!</v>
      </c>
      <c r="DW393" t="e">
        <f>AND(#REF!,"AAAAAG12+X4=")</f>
        <v>#REF!</v>
      </c>
      <c r="DX393" t="e">
        <f>AND(#REF!,"AAAAAG12+X8=")</f>
        <v>#REF!</v>
      </c>
      <c r="DY393" t="e">
        <f>AND(#REF!,"AAAAAG12+YA=")</f>
        <v>#REF!</v>
      </c>
      <c r="DZ393" t="e">
        <f>AND(#REF!,"AAAAAG12+YE=")</f>
        <v>#REF!</v>
      </c>
      <c r="EA393" t="e">
        <f>AND(#REF!,"AAAAAG12+YI=")</f>
        <v>#REF!</v>
      </c>
      <c r="EB393" t="e">
        <f>AND(#REF!,"AAAAAG12+YM=")</f>
        <v>#REF!</v>
      </c>
      <c r="EC393" t="e">
        <f>AND(#REF!,"AAAAAG12+YQ=")</f>
        <v>#REF!</v>
      </c>
      <c r="ED393" t="e">
        <f>AND(#REF!,"AAAAAG12+YU=")</f>
        <v>#REF!</v>
      </c>
      <c r="EE393" t="e">
        <f>AND(#REF!,"AAAAAG12+YY=")</f>
        <v>#REF!</v>
      </c>
      <c r="EF393" t="e">
        <f>AND(#REF!,"AAAAAG12+Yc=")</f>
        <v>#REF!</v>
      </c>
      <c r="EG393" t="e">
        <f>IF(#REF!,"AAAAAG12+Yg=",0)</f>
        <v>#REF!</v>
      </c>
      <c r="EH393" t="e">
        <f>AND(#REF!,"AAAAAG12+Yk=")</f>
        <v>#REF!</v>
      </c>
      <c r="EI393" t="e">
        <f>AND(#REF!,"AAAAAG12+Yo=")</f>
        <v>#REF!</v>
      </c>
      <c r="EJ393" t="e">
        <f>AND(#REF!,"AAAAAG12+Ys=")</f>
        <v>#REF!</v>
      </c>
      <c r="EK393" t="e">
        <f>AND(#REF!,"AAAAAG12+Yw=")</f>
        <v>#REF!</v>
      </c>
      <c r="EL393" t="e">
        <f>AND(#REF!,"AAAAAG12+Y0=")</f>
        <v>#REF!</v>
      </c>
      <c r="EM393" t="e">
        <f>AND(#REF!,"AAAAAG12+Y4=")</f>
        <v>#REF!</v>
      </c>
      <c r="EN393" t="e">
        <f>AND(#REF!,"AAAAAG12+Y8=")</f>
        <v>#REF!</v>
      </c>
      <c r="EO393" t="e">
        <f>AND(#REF!,"AAAAAG12+ZA=")</f>
        <v>#REF!</v>
      </c>
      <c r="EP393" t="e">
        <f>AND(#REF!,"AAAAAG12+ZE=")</f>
        <v>#REF!</v>
      </c>
      <c r="EQ393" t="e">
        <f>AND(#REF!,"AAAAAG12+ZI=")</f>
        <v>#REF!</v>
      </c>
      <c r="ER393" t="e">
        <f>IF(#REF!,"AAAAAG12+ZM=",0)</f>
        <v>#REF!</v>
      </c>
      <c r="ES393" t="e">
        <f>AND(#REF!,"AAAAAG12+ZQ=")</f>
        <v>#REF!</v>
      </c>
      <c r="ET393" t="e">
        <f>AND(#REF!,"AAAAAG12+ZU=")</f>
        <v>#REF!</v>
      </c>
      <c r="EU393" t="e">
        <f>AND(#REF!,"AAAAAG12+ZY=")</f>
        <v>#REF!</v>
      </c>
      <c r="EV393" t="e">
        <f>AND(#REF!,"AAAAAG12+Zc=")</f>
        <v>#REF!</v>
      </c>
      <c r="EW393" t="e">
        <f>AND(#REF!,"AAAAAG12+Zg=")</f>
        <v>#REF!</v>
      </c>
      <c r="EX393" t="e">
        <f>AND(#REF!,"AAAAAG12+Zk=")</f>
        <v>#REF!</v>
      </c>
      <c r="EY393" t="e">
        <f>AND(#REF!,"AAAAAG12+Zo=")</f>
        <v>#REF!</v>
      </c>
      <c r="EZ393" t="e">
        <f>AND(#REF!,"AAAAAG12+Zs=")</f>
        <v>#REF!</v>
      </c>
      <c r="FA393" t="e">
        <f>AND(#REF!,"AAAAAG12+Zw=")</f>
        <v>#REF!</v>
      </c>
      <c r="FB393" t="e">
        <f>AND(#REF!,"AAAAAG12+Z0=")</f>
        <v>#REF!</v>
      </c>
      <c r="FC393" t="e">
        <f>IF(#REF!,"AAAAAG12+Z4=",0)</f>
        <v>#REF!</v>
      </c>
      <c r="FD393" t="e">
        <f>AND(#REF!,"AAAAAG12+Z8=")</f>
        <v>#REF!</v>
      </c>
      <c r="FE393" t="e">
        <f>AND(#REF!,"AAAAAG12+aA=")</f>
        <v>#REF!</v>
      </c>
      <c r="FF393" t="e">
        <f>AND(#REF!,"AAAAAG12+aE=")</f>
        <v>#REF!</v>
      </c>
      <c r="FG393" t="e">
        <f>AND(#REF!,"AAAAAG12+aI=")</f>
        <v>#REF!</v>
      </c>
      <c r="FH393" t="e">
        <f>AND(#REF!,"AAAAAG12+aM=")</f>
        <v>#REF!</v>
      </c>
      <c r="FI393" t="e">
        <f>AND(#REF!,"AAAAAG12+aQ=")</f>
        <v>#REF!</v>
      </c>
      <c r="FJ393" t="e">
        <f>AND(#REF!,"AAAAAG12+aU=")</f>
        <v>#REF!</v>
      </c>
      <c r="FK393" t="e">
        <f>AND(#REF!,"AAAAAG12+aY=")</f>
        <v>#REF!</v>
      </c>
      <c r="FL393" t="e">
        <f>AND(#REF!,"AAAAAG12+ac=")</f>
        <v>#REF!</v>
      </c>
      <c r="FM393" t="e">
        <f>AND(#REF!,"AAAAAG12+ag=")</f>
        <v>#REF!</v>
      </c>
      <c r="FN393" t="e">
        <f>IF(#REF!,"AAAAAG12+ak=",0)</f>
        <v>#REF!</v>
      </c>
      <c r="FO393" t="e">
        <f>AND(#REF!,"AAAAAG12+ao=")</f>
        <v>#REF!</v>
      </c>
      <c r="FP393" t="e">
        <f>AND(#REF!,"AAAAAG12+as=")</f>
        <v>#REF!</v>
      </c>
      <c r="FQ393" t="e">
        <f>AND(#REF!,"AAAAAG12+aw=")</f>
        <v>#REF!</v>
      </c>
      <c r="FR393" t="e">
        <f>AND(#REF!,"AAAAAG12+a0=")</f>
        <v>#REF!</v>
      </c>
      <c r="FS393" t="e">
        <f>AND(#REF!,"AAAAAG12+a4=")</f>
        <v>#REF!</v>
      </c>
      <c r="FT393" t="e">
        <f>AND(#REF!,"AAAAAG12+a8=")</f>
        <v>#REF!</v>
      </c>
      <c r="FU393" t="e">
        <f>AND(#REF!,"AAAAAG12+bA=")</f>
        <v>#REF!</v>
      </c>
      <c r="FV393" t="e">
        <f>AND(#REF!,"AAAAAG12+bE=")</f>
        <v>#REF!</v>
      </c>
      <c r="FW393" t="e">
        <f>AND(#REF!,"AAAAAG12+bI=")</f>
        <v>#REF!</v>
      </c>
      <c r="FX393" t="e">
        <f>AND(#REF!,"AAAAAG12+bM=")</f>
        <v>#REF!</v>
      </c>
      <c r="FY393" t="e">
        <f>IF(#REF!,"AAAAAG12+bQ=",0)</f>
        <v>#REF!</v>
      </c>
      <c r="FZ393" t="e">
        <f>AND(#REF!,"AAAAAG12+bU=")</f>
        <v>#REF!</v>
      </c>
      <c r="GA393" t="e">
        <f>AND(#REF!,"AAAAAG12+bY=")</f>
        <v>#REF!</v>
      </c>
      <c r="GB393" t="e">
        <f>AND(#REF!,"AAAAAG12+bc=")</f>
        <v>#REF!</v>
      </c>
      <c r="GC393" t="e">
        <f>AND(#REF!,"AAAAAG12+bg=")</f>
        <v>#REF!</v>
      </c>
      <c r="GD393" t="e">
        <f>AND(#REF!,"AAAAAG12+bk=")</f>
        <v>#REF!</v>
      </c>
      <c r="GE393" t="e">
        <f>AND(#REF!,"AAAAAG12+bo=")</f>
        <v>#REF!</v>
      </c>
      <c r="GF393" t="e">
        <f>AND(#REF!,"AAAAAG12+bs=")</f>
        <v>#REF!</v>
      </c>
      <c r="GG393" t="e">
        <f>AND(#REF!,"AAAAAG12+bw=")</f>
        <v>#REF!</v>
      </c>
      <c r="GH393" t="e">
        <f>AND(#REF!,"AAAAAG12+b0=")</f>
        <v>#REF!</v>
      </c>
      <c r="GI393" t="e">
        <f>AND(#REF!,"AAAAAG12+b4=")</f>
        <v>#REF!</v>
      </c>
      <c r="GJ393" t="e">
        <f>IF(#REF!,"AAAAAG12+b8=",0)</f>
        <v>#REF!</v>
      </c>
      <c r="GK393" t="e">
        <f>AND(#REF!,"AAAAAG12+cA=")</f>
        <v>#REF!</v>
      </c>
      <c r="GL393" t="e">
        <f>AND(#REF!,"AAAAAG12+cE=")</f>
        <v>#REF!</v>
      </c>
      <c r="GM393" t="e">
        <f>AND(#REF!,"AAAAAG12+cI=")</f>
        <v>#REF!</v>
      </c>
      <c r="GN393" t="e">
        <f>AND(#REF!,"AAAAAG12+cM=")</f>
        <v>#REF!</v>
      </c>
      <c r="GO393" t="e">
        <f>AND(#REF!,"AAAAAG12+cQ=")</f>
        <v>#REF!</v>
      </c>
      <c r="GP393" t="e">
        <f>AND(#REF!,"AAAAAG12+cU=")</f>
        <v>#REF!</v>
      </c>
      <c r="GQ393" t="e">
        <f>AND(#REF!,"AAAAAG12+cY=")</f>
        <v>#REF!</v>
      </c>
      <c r="GR393" t="e">
        <f>AND(#REF!,"AAAAAG12+cc=")</f>
        <v>#REF!</v>
      </c>
      <c r="GS393" t="e">
        <f>AND(#REF!,"AAAAAG12+cg=")</f>
        <v>#REF!</v>
      </c>
      <c r="GT393" t="e">
        <f>AND(#REF!,"AAAAAG12+ck=")</f>
        <v>#REF!</v>
      </c>
      <c r="GU393" t="e">
        <f>IF(#REF!,"AAAAAG12+co=",0)</f>
        <v>#REF!</v>
      </c>
      <c r="GV393" t="e">
        <f>AND(#REF!,"AAAAAG12+cs=")</f>
        <v>#REF!</v>
      </c>
      <c r="GW393" t="e">
        <f>AND(#REF!,"AAAAAG12+cw=")</f>
        <v>#REF!</v>
      </c>
      <c r="GX393" t="e">
        <f>AND(#REF!,"AAAAAG12+c0=")</f>
        <v>#REF!</v>
      </c>
      <c r="GY393" t="e">
        <f>AND(#REF!,"AAAAAG12+c4=")</f>
        <v>#REF!</v>
      </c>
      <c r="GZ393" t="e">
        <f>AND(#REF!,"AAAAAG12+c8=")</f>
        <v>#REF!</v>
      </c>
      <c r="HA393" t="e">
        <f>AND(#REF!,"AAAAAG12+dA=")</f>
        <v>#REF!</v>
      </c>
      <c r="HB393" t="e">
        <f>AND(#REF!,"AAAAAG12+dE=")</f>
        <v>#REF!</v>
      </c>
      <c r="HC393" t="e">
        <f>AND(#REF!,"AAAAAG12+dI=")</f>
        <v>#REF!</v>
      </c>
      <c r="HD393" t="e">
        <f>AND(#REF!,"AAAAAG12+dM=")</f>
        <v>#REF!</v>
      </c>
      <c r="HE393" t="e">
        <f>AND(#REF!,"AAAAAG12+dQ=")</f>
        <v>#REF!</v>
      </c>
      <c r="HF393" t="e">
        <f>IF(#REF!,"AAAAAG12+dU=",0)</f>
        <v>#REF!</v>
      </c>
      <c r="HG393" t="e">
        <f>AND(#REF!,"AAAAAG12+dY=")</f>
        <v>#REF!</v>
      </c>
      <c r="HH393" t="e">
        <f>AND(#REF!,"AAAAAG12+dc=")</f>
        <v>#REF!</v>
      </c>
      <c r="HI393" t="e">
        <f>AND(#REF!,"AAAAAG12+dg=")</f>
        <v>#REF!</v>
      </c>
      <c r="HJ393" t="e">
        <f>AND(#REF!,"AAAAAG12+dk=")</f>
        <v>#REF!</v>
      </c>
      <c r="HK393" t="e">
        <f>AND(#REF!,"AAAAAG12+do=")</f>
        <v>#REF!</v>
      </c>
      <c r="HL393" t="e">
        <f>AND(#REF!,"AAAAAG12+ds=")</f>
        <v>#REF!</v>
      </c>
      <c r="HM393" t="e">
        <f>AND(#REF!,"AAAAAG12+dw=")</f>
        <v>#REF!</v>
      </c>
      <c r="HN393" t="e">
        <f>AND(#REF!,"AAAAAG12+d0=")</f>
        <v>#REF!</v>
      </c>
      <c r="HO393" t="e">
        <f>AND(#REF!,"AAAAAG12+d4=")</f>
        <v>#REF!</v>
      </c>
      <c r="HP393" t="e">
        <f>AND(#REF!,"AAAAAG12+d8=")</f>
        <v>#REF!</v>
      </c>
      <c r="HQ393" t="e">
        <f>IF(#REF!,"AAAAAG12+eA=",0)</f>
        <v>#REF!</v>
      </c>
      <c r="HR393" t="e">
        <f>AND(#REF!,"AAAAAG12+eE=")</f>
        <v>#REF!</v>
      </c>
      <c r="HS393" t="e">
        <f>AND(#REF!,"AAAAAG12+eI=")</f>
        <v>#REF!</v>
      </c>
      <c r="HT393" t="e">
        <f>AND(#REF!,"AAAAAG12+eM=")</f>
        <v>#REF!</v>
      </c>
      <c r="HU393" t="e">
        <f>AND(#REF!,"AAAAAG12+eQ=")</f>
        <v>#REF!</v>
      </c>
      <c r="HV393" t="e">
        <f>AND(#REF!,"AAAAAG12+eU=")</f>
        <v>#REF!</v>
      </c>
      <c r="HW393" t="e">
        <f>AND(#REF!,"AAAAAG12+eY=")</f>
        <v>#REF!</v>
      </c>
      <c r="HX393" t="e">
        <f>AND(#REF!,"AAAAAG12+ec=")</f>
        <v>#REF!</v>
      </c>
      <c r="HY393" t="e">
        <f>AND(#REF!,"AAAAAG12+eg=")</f>
        <v>#REF!</v>
      </c>
      <c r="HZ393" t="e">
        <f>AND(#REF!,"AAAAAG12+ek=")</f>
        <v>#REF!</v>
      </c>
      <c r="IA393" t="e">
        <f>AND(#REF!,"AAAAAG12+eo=")</f>
        <v>#REF!</v>
      </c>
      <c r="IB393" t="e">
        <f>IF(#REF!,"AAAAAG12+es=",0)</f>
        <v>#REF!</v>
      </c>
      <c r="IC393" t="e">
        <f>AND(#REF!,"AAAAAG12+ew=")</f>
        <v>#REF!</v>
      </c>
      <c r="ID393" t="e">
        <f>AND(#REF!,"AAAAAG12+e0=")</f>
        <v>#REF!</v>
      </c>
      <c r="IE393" t="e">
        <f>AND(#REF!,"AAAAAG12+e4=")</f>
        <v>#REF!</v>
      </c>
      <c r="IF393" t="e">
        <f>AND(#REF!,"AAAAAG12+e8=")</f>
        <v>#REF!</v>
      </c>
      <c r="IG393" t="e">
        <f>AND(#REF!,"AAAAAG12+fA=")</f>
        <v>#REF!</v>
      </c>
      <c r="IH393" t="e">
        <f>AND(#REF!,"AAAAAG12+fE=")</f>
        <v>#REF!</v>
      </c>
      <c r="II393" t="e">
        <f>AND(#REF!,"AAAAAG12+fI=")</f>
        <v>#REF!</v>
      </c>
      <c r="IJ393" t="e">
        <f>AND(#REF!,"AAAAAG12+fM=")</f>
        <v>#REF!</v>
      </c>
      <c r="IK393" t="e">
        <f>AND(#REF!,"AAAAAG12+fQ=")</f>
        <v>#REF!</v>
      </c>
      <c r="IL393" t="e">
        <f>AND(#REF!,"AAAAAG12+fU=")</f>
        <v>#REF!</v>
      </c>
      <c r="IM393" t="e">
        <f>IF(#REF!,"AAAAAG12+fY=",0)</f>
        <v>#REF!</v>
      </c>
      <c r="IN393" t="e">
        <f>AND(#REF!,"AAAAAG12+fc=")</f>
        <v>#REF!</v>
      </c>
      <c r="IO393" t="e">
        <f>AND(#REF!,"AAAAAG12+fg=")</f>
        <v>#REF!</v>
      </c>
      <c r="IP393" t="e">
        <f>AND(#REF!,"AAAAAG12+fk=")</f>
        <v>#REF!</v>
      </c>
      <c r="IQ393" t="e">
        <f>AND(#REF!,"AAAAAG12+fo=")</f>
        <v>#REF!</v>
      </c>
      <c r="IR393" t="e">
        <f>AND(#REF!,"AAAAAG12+fs=")</f>
        <v>#REF!</v>
      </c>
      <c r="IS393" t="e">
        <f>AND(#REF!,"AAAAAG12+fw=")</f>
        <v>#REF!</v>
      </c>
      <c r="IT393" t="e">
        <f>AND(#REF!,"AAAAAG12+f0=")</f>
        <v>#REF!</v>
      </c>
      <c r="IU393" t="e">
        <f>AND(#REF!,"AAAAAG12+f4=")</f>
        <v>#REF!</v>
      </c>
      <c r="IV393" t="e">
        <f>AND(#REF!,"AAAAAG12+f8=")</f>
        <v>#REF!</v>
      </c>
    </row>
    <row r="394" spans="1:256" x14ac:dyDescent="0.25">
      <c r="A394" t="e">
        <f>AND(#REF!,"AAAAAH7++wA=")</f>
        <v>#REF!</v>
      </c>
      <c r="B394" t="e">
        <f>IF(#REF!,"AAAAAH7++wE=",0)</f>
        <v>#REF!</v>
      </c>
      <c r="C394" t="e">
        <f>AND(#REF!,"AAAAAH7++wI=")</f>
        <v>#REF!</v>
      </c>
      <c r="D394" t="e">
        <f>AND(#REF!,"AAAAAH7++wM=")</f>
        <v>#REF!</v>
      </c>
      <c r="E394" t="e">
        <f>AND(#REF!,"AAAAAH7++wQ=")</f>
        <v>#REF!</v>
      </c>
      <c r="F394" t="e">
        <f>AND(#REF!,"AAAAAH7++wU=")</f>
        <v>#REF!</v>
      </c>
      <c r="G394" t="e">
        <f>AND(#REF!,"AAAAAH7++wY=")</f>
        <v>#REF!</v>
      </c>
      <c r="H394" t="e">
        <f>AND(#REF!,"AAAAAH7++wc=")</f>
        <v>#REF!</v>
      </c>
      <c r="I394" t="e">
        <f>AND(#REF!,"AAAAAH7++wg=")</f>
        <v>#REF!</v>
      </c>
      <c r="J394" t="e">
        <f>AND(#REF!,"AAAAAH7++wk=")</f>
        <v>#REF!</v>
      </c>
      <c r="K394" t="e">
        <f>AND(#REF!,"AAAAAH7++wo=")</f>
        <v>#REF!</v>
      </c>
      <c r="L394" t="e">
        <f>AND(#REF!,"AAAAAH7++ws=")</f>
        <v>#REF!</v>
      </c>
      <c r="M394" t="e">
        <f>IF(#REF!,"AAAAAH7++ww=",0)</f>
        <v>#REF!</v>
      </c>
      <c r="N394" t="e">
        <f>AND(#REF!,"AAAAAH7++w0=")</f>
        <v>#REF!</v>
      </c>
      <c r="O394" t="e">
        <f>AND(#REF!,"AAAAAH7++w4=")</f>
        <v>#REF!</v>
      </c>
      <c r="P394" t="e">
        <f>AND(#REF!,"AAAAAH7++w8=")</f>
        <v>#REF!</v>
      </c>
      <c r="Q394" t="e">
        <f>AND(#REF!,"AAAAAH7++xA=")</f>
        <v>#REF!</v>
      </c>
      <c r="R394" t="e">
        <f>AND(#REF!,"AAAAAH7++xE=")</f>
        <v>#REF!</v>
      </c>
      <c r="S394" t="e">
        <f>AND(#REF!,"AAAAAH7++xI=")</f>
        <v>#REF!</v>
      </c>
      <c r="T394" t="e">
        <f>AND(#REF!,"AAAAAH7++xM=")</f>
        <v>#REF!</v>
      </c>
      <c r="U394" t="e">
        <f>AND(#REF!,"AAAAAH7++xQ=")</f>
        <v>#REF!</v>
      </c>
      <c r="V394" t="e">
        <f>AND(#REF!,"AAAAAH7++xU=")</f>
        <v>#REF!</v>
      </c>
      <c r="W394" t="e">
        <f>AND(#REF!,"AAAAAH7++xY=")</f>
        <v>#REF!</v>
      </c>
      <c r="X394" t="e">
        <f>IF(#REF!,"AAAAAH7++xc=",0)</f>
        <v>#REF!</v>
      </c>
      <c r="Y394" t="e">
        <f>AND(#REF!,"AAAAAH7++xg=")</f>
        <v>#REF!</v>
      </c>
      <c r="Z394" t="e">
        <f>AND(#REF!,"AAAAAH7++xk=")</f>
        <v>#REF!</v>
      </c>
      <c r="AA394" t="e">
        <f>AND(#REF!,"AAAAAH7++xo=")</f>
        <v>#REF!</v>
      </c>
      <c r="AB394" t="e">
        <f>AND(#REF!,"AAAAAH7++xs=")</f>
        <v>#REF!</v>
      </c>
      <c r="AC394" t="e">
        <f>AND(#REF!,"AAAAAH7++xw=")</f>
        <v>#REF!</v>
      </c>
      <c r="AD394" t="e">
        <f>AND(#REF!,"AAAAAH7++x0=")</f>
        <v>#REF!</v>
      </c>
      <c r="AE394" t="e">
        <f>AND(#REF!,"AAAAAH7++x4=")</f>
        <v>#REF!</v>
      </c>
      <c r="AF394" t="e">
        <f>AND(#REF!,"AAAAAH7++x8=")</f>
        <v>#REF!</v>
      </c>
      <c r="AG394" t="e">
        <f>AND(#REF!,"AAAAAH7++yA=")</f>
        <v>#REF!</v>
      </c>
      <c r="AH394" t="e">
        <f>AND(#REF!,"AAAAAH7++yE=")</f>
        <v>#REF!</v>
      </c>
      <c r="AI394" t="e">
        <f>IF(#REF!,"AAAAAH7++yI=",0)</f>
        <v>#REF!</v>
      </c>
      <c r="AJ394" t="e">
        <f>AND(#REF!,"AAAAAH7++yM=")</f>
        <v>#REF!</v>
      </c>
      <c r="AK394" t="e">
        <f>AND(#REF!,"AAAAAH7++yQ=")</f>
        <v>#REF!</v>
      </c>
      <c r="AL394" t="e">
        <f>AND(#REF!,"AAAAAH7++yU=")</f>
        <v>#REF!</v>
      </c>
      <c r="AM394" t="e">
        <f>AND(#REF!,"AAAAAH7++yY=")</f>
        <v>#REF!</v>
      </c>
      <c r="AN394" t="e">
        <f>AND(#REF!,"AAAAAH7++yc=")</f>
        <v>#REF!</v>
      </c>
      <c r="AO394" t="e">
        <f>AND(#REF!,"AAAAAH7++yg=")</f>
        <v>#REF!</v>
      </c>
      <c r="AP394" t="e">
        <f>AND(#REF!,"AAAAAH7++yk=")</f>
        <v>#REF!</v>
      </c>
      <c r="AQ394" t="e">
        <f>AND(#REF!,"AAAAAH7++yo=")</f>
        <v>#REF!</v>
      </c>
      <c r="AR394" t="e">
        <f>AND(#REF!,"AAAAAH7++ys=")</f>
        <v>#REF!</v>
      </c>
      <c r="AS394" t="e">
        <f>AND(#REF!,"AAAAAH7++yw=")</f>
        <v>#REF!</v>
      </c>
      <c r="AT394" t="e">
        <f>IF(#REF!,"AAAAAH7++y0=",0)</f>
        <v>#REF!</v>
      </c>
      <c r="AU394" t="e">
        <f>AND(#REF!,"AAAAAH7++y4=")</f>
        <v>#REF!</v>
      </c>
      <c r="AV394" t="e">
        <f>AND(#REF!,"AAAAAH7++y8=")</f>
        <v>#REF!</v>
      </c>
      <c r="AW394" t="e">
        <f>AND(#REF!,"AAAAAH7++zA=")</f>
        <v>#REF!</v>
      </c>
      <c r="AX394" t="e">
        <f>AND(#REF!,"AAAAAH7++zE=")</f>
        <v>#REF!</v>
      </c>
      <c r="AY394" t="e">
        <f>AND(#REF!,"AAAAAH7++zI=")</f>
        <v>#REF!</v>
      </c>
      <c r="AZ394" t="e">
        <f>AND(#REF!,"AAAAAH7++zM=")</f>
        <v>#REF!</v>
      </c>
      <c r="BA394" t="e">
        <f>AND(#REF!,"AAAAAH7++zQ=")</f>
        <v>#REF!</v>
      </c>
      <c r="BB394" t="e">
        <f>AND(#REF!,"AAAAAH7++zU=")</f>
        <v>#REF!</v>
      </c>
      <c r="BC394" t="e">
        <f>AND(#REF!,"AAAAAH7++zY=")</f>
        <v>#REF!</v>
      </c>
      <c r="BD394" t="e">
        <f>AND(#REF!,"AAAAAH7++zc=")</f>
        <v>#REF!</v>
      </c>
      <c r="BE394" t="e">
        <f>IF(#REF!,"AAAAAH7++zg=",0)</f>
        <v>#REF!</v>
      </c>
      <c r="BF394" t="e">
        <f>AND(#REF!,"AAAAAH7++zk=")</f>
        <v>#REF!</v>
      </c>
      <c r="BG394" t="e">
        <f>AND(#REF!,"AAAAAH7++zo=")</f>
        <v>#REF!</v>
      </c>
      <c r="BH394" t="e">
        <f>AND(#REF!,"AAAAAH7++zs=")</f>
        <v>#REF!</v>
      </c>
      <c r="BI394" t="e">
        <f>AND(#REF!,"AAAAAH7++zw=")</f>
        <v>#REF!</v>
      </c>
      <c r="BJ394" t="e">
        <f>AND(#REF!,"AAAAAH7++z0=")</f>
        <v>#REF!</v>
      </c>
      <c r="BK394" t="e">
        <f>AND(#REF!,"AAAAAH7++z4=")</f>
        <v>#REF!</v>
      </c>
      <c r="BL394" t="e">
        <f>AND(#REF!,"AAAAAH7++z8=")</f>
        <v>#REF!</v>
      </c>
      <c r="BM394" t="e">
        <f>AND(#REF!,"AAAAAH7++0A=")</f>
        <v>#REF!</v>
      </c>
      <c r="BN394" t="e">
        <f>AND(#REF!,"AAAAAH7++0E=")</f>
        <v>#REF!</v>
      </c>
      <c r="BO394" t="e">
        <f>AND(#REF!,"AAAAAH7++0I=")</f>
        <v>#REF!</v>
      </c>
      <c r="BP394" t="e">
        <f>IF(#REF!,"AAAAAH7++0M=",0)</f>
        <v>#REF!</v>
      </c>
      <c r="BQ394" t="e">
        <f>AND(#REF!,"AAAAAH7++0Q=")</f>
        <v>#REF!</v>
      </c>
      <c r="BR394" t="e">
        <f>AND(#REF!,"AAAAAH7++0U=")</f>
        <v>#REF!</v>
      </c>
      <c r="BS394" t="e">
        <f>AND(#REF!,"AAAAAH7++0Y=")</f>
        <v>#REF!</v>
      </c>
      <c r="BT394" t="e">
        <f>AND(#REF!,"AAAAAH7++0c=")</f>
        <v>#REF!</v>
      </c>
      <c r="BU394" t="e">
        <f>AND(#REF!,"AAAAAH7++0g=")</f>
        <v>#REF!</v>
      </c>
      <c r="BV394" t="e">
        <f>AND(#REF!,"AAAAAH7++0k=")</f>
        <v>#REF!</v>
      </c>
      <c r="BW394" t="e">
        <f>AND(#REF!,"AAAAAH7++0o=")</f>
        <v>#REF!</v>
      </c>
      <c r="BX394" t="e">
        <f>AND(#REF!,"AAAAAH7++0s=")</f>
        <v>#REF!</v>
      </c>
      <c r="BY394" t="e">
        <f>AND(#REF!,"AAAAAH7++0w=")</f>
        <v>#REF!</v>
      </c>
      <c r="BZ394" t="e">
        <f>AND(#REF!,"AAAAAH7++00=")</f>
        <v>#REF!</v>
      </c>
      <c r="CA394" t="e">
        <f>IF(#REF!,"AAAAAH7++04=",0)</f>
        <v>#REF!</v>
      </c>
      <c r="CB394" t="e">
        <f>AND(#REF!,"AAAAAH7++08=")</f>
        <v>#REF!</v>
      </c>
      <c r="CC394" t="e">
        <f>AND(#REF!,"AAAAAH7++1A=")</f>
        <v>#REF!</v>
      </c>
      <c r="CD394" t="e">
        <f>AND(#REF!,"AAAAAH7++1E=")</f>
        <v>#REF!</v>
      </c>
      <c r="CE394" t="e">
        <f>AND(#REF!,"AAAAAH7++1I=")</f>
        <v>#REF!</v>
      </c>
      <c r="CF394" t="e">
        <f>AND(#REF!,"AAAAAH7++1M=")</f>
        <v>#REF!</v>
      </c>
      <c r="CG394" t="e">
        <f>AND(#REF!,"AAAAAH7++1Q=")</f>
        <v>#REF!</v>
      </c>
      <c r="CH394" t="e">
        <f>AND(#REF!,"AAAAAH7++1U=")</f>
        <v>#REF!</v>
      </c>
      <c r="CI394" t="e">
        <f>AND(#REF!,"AAAAAH7++1Y=")</f>
        <v>#REF!</v>
      </c>
      <c r="CJ394" t="e">
        <f>AND(#REF!,"AAAAAH7++1c=")</f>
        <v>#REF!</v>
      </c>
      <c r="CK394" t="e">
        <f>AND(#REF!,"AAAAAH7++1g=")</f>
        <v>#REF!</v>
      </c>
      <c r="CL394" t="e">
        <f>IF(#REF!,"AAAAAH7++1k=",0)</f>
        <v>#REF!</v>
      </c>
      <c r="CM394" t="e">
        <f>AND(#REF!,"AAAAAH7++1o=")</f>
        <v>#REF!</v>
      </c>
      <c r="CN394" t="e">
        <f>AND(#REF!,"AAAAAH7++1s=")</f>
        <v>#REF!</v>
      </c>
      <c r="CO394" t="e">
        <f>AND(#REF!,"AAAAAH7++1w=")</f>
        <v>#REF!</v>
      </c>
      <c r="CP394" t="e">
        <f>AND(#REF!,"AAAAAH7++10=")</f>
        <v>#REF!</v>
      </c>
      <c r="CQ394" t="e">
        <f>AND(#REF!,"AAAAAH7++14=")</f>
        <v>#REF!</v>
      </c>
      <c r="CR394" t="e">
        <f>AND(#REF!,"AAAAAH7++18=")</f>
        <v>#REF!</v>
      </c>
      <c r="CS394" t="e">
        <f>AND(#REF!,"AAAAAH7++2A=")</f>
        <v>#REF!</v>
      </c>
      <c r="CT394" t="e">
        <f>AND(#REF!,"AAAAAH7++2E=")</f>
        <v>#REF!</v>
      </c>
      <c r="CU394" t="e">
        <f>AND(#REF!,"AAAAAH7++2I=")</f>
        <v>#REF!</v>
      </c>
      <c r="CV394" t="e">
        <f>AND(#REF!,"AAAAAH7++2M=")</f>
        <v>#REF!</v>
      </c>
      <c r="CW394" t="e">
        <f>IF(#REF!,"AAAAAH7++2Q=",0)</f>
        <v>#REF!</v>
      </c>
      <c r="CX394" t="e">
        <f>AND(#REF!,"AAAAAH7++2U=")</f>
        <v>#REF!</v>
      </c>
      <c r="CY394" t="e">
        <f>AND(#REF!,"AAAAAH7++2Y=")</f>
        <v>#REF!</v>
      </c>
      <c r="CZ394" t="e">
        <f>AND(#REF!,"AAAAAH7++2c=")</f>
        <v>#REF!</v>
      </c>
      <c r="DA394" t="e">
        <f>AND(#REF!,"AAAAAH7++2g=")</f>
        <v>#REF!</v>
      </c>
      <c r="DB394" t="e">
        <f>AND(#REF!,"AAAAAH7++2k=")</f>
        <v>#REF!</v>
      </c>
      <c r="DC394" t="e">
        <f>AND(#REF!,"AAAAAH7++2o=")</f>
        <v>#REF!</v>
      </c>
      <c r="DD394" t="e">
        <f>AND(#REF!,"AAAAAH7++2s=")</f>
        <v>#REF!</v>
      </c>
      <c r="DE394" t="e">
        <f>AND(#REF!,"AAAAAH7++2w=")</f>
        <v>#REF!</v>
      </c>
      <c r="DF394" t="e">
        <f>AND(#REF!,"AAAAAH7++20=")</f>
        <v>#REF!</v>
      </c>
      <c r="DG394" t="e">
        <f>AND(#REF!,"AAAAAH7++24=")</f>
        <v>#REF!</v>
      </c>
      <c r="DH394" t="e">
        <f>IF(#REF!,"AAAAAH7++28=",0)</f>
        <v>#REF!</v>
      </c>
      <c r="DI394" t="e">
        <f>AND(#REF!,"AAAAAH7++3A=")</f>
        <v>#REF!</v>
      </c>
      <c r="DJ394" t="e">
        <f>AND(#REF!,"AAAAAH7++3E=")</f>
        <v>#REF!</v>
      </c>
      <c r="DK394" t="e">
        <f>AND(#REF!,"AAAAAH7++3I=")</f>
        <v>#REF!</v>
      </c>
      <c r="DL394" t="e">
        <f>AND(#REF!,"AAAAAH7++3M=")</f>
        <v>#REF!</v>
      </c>
      <c r="DM394" t="e">
        <f>AND(#REF!,"AAAAAH7++3Q=")</f>
        <v>#REF!</v>
      </c>
      <c r="DN394" t="e">
        <f>AND(#REF!,"AAAAAH7++3U=")</f>
        <v>#REF!</v>
      </c>
      <c r="DO394" t="e">
        <f>AND(#REF!,"AAAAAH7++3Y=")</f>
        <v>#REF!</v>
      </c>
      <c r="DP394" t="e">
        <f>AND(#REF!,"AAAAAH7++3c=")</f>
        <v>#REF!</v>
      </c>
      <c r="DQ394" t="e">
        <f>AND(#REF!,"AAAAAH7++3g=")</f>
        <v>#REF!</v>
      </c>
      <c r="DR394" t="e">
        <f>AND(#REF!,"AAAAAH7++3k=")</f>
        <v>#REF!</v>
      </c>
      <c r="DS394" t="e">
        <f>IF(#REF!,"AAAAAH7++3o=",0)</f>
        <v>#REF!</v>
      </c>
      <c r="DT394" t="e">
        <f>AND(#REF!,"AAAAAH7++3s=")</f>
        <v>#REF!</v>
      </c>
      <c r="DU394" t="e">
        <f>AND(#REF!,"AAAAAH7++3w=")</f>
        <v>#REF!</v>
      </c>
      <c r="DV394" t="e">
        <f>AND(#REF!,"AAAAAH7++30=")</f>
        <v>#REF!</v>
      </c>
      <c r="DW394" t="e">
        <f>AND(#REF!,"AAAAAH7++34=")</f>
        <v>#REF!</v>
      </c>
      <c r="DX394" t="e">
        <f>AND(#REF!,"AAAAAH7++38=")</f>
        <v>#REF!</v>
      </c>
      <c r="DY394" t="e">
        <f>AND(#REF!,"AAAAAH7++4A=")</f>
        <v>#REF!</v>
      </c>
      <c r="DZ394" t="e">
        <f>AND(#REF!,"AAAAAH7++4E=")</f>
        <v>#REF!</v>
      </c>
      <c r="EA394" t="e">
        <f>AND(#REF!,"AAAAAH7++4I=")</f>
        <v>#REF!</v>
      </c>
      <c r="EB394" t="e">
        <f>AND(#REF!,"AAAAAH7++4M=")</f>
        <v>#REF!</v>
      </c>
      <c r="EC394" t="e">
        <f>AND(#REF!,"AAAAAH7++4Q=")</f>
        <v>#REF!</v>
      </c>
      <c r="ED394" t="e">
        <f>IF(#REF!,"AAAAAH7++4U=",0)</f>
        <v>#REF!</v>
      </c>
      <c r="EE394" t="e">
        <f>AND(#REF!,"AAAAAH7++4Y=")</f>
        <v>#REF!</v>
      </c>
      <c r="EF394" t="e">
        <f>AND(#REF!,"AAAAAH7++4c=")</f>
        <v>#REF!</v>
      </c>
      <c r="EG394" t="e">
        <f>AND(#REF!,"AAAAAH7++4g=")</f>
        <v>#REF!</v>
      </c>
      <c r="EH394" t="e">
        <f>AND(#REF!,"AAAAAH7++4k=")</f>
        <v>#REF!</v>
      </c>
      <c r="EI394" t="e">
        <f>AND(#REF!,"AAAAAH7++4o=")</f>
        <v>#REF!</v>
      </c>
      <c r="EJ394" t="e">
        <f>AND(#REF!,"AAAAAH7++4s=")</f>
        <v>#REF!</v>
      </c>
      <c r="EK394" t="e">
        <f>AND(#REF!,"AAAAAH7++4w=")</f>
        <v>#REF!</v>
      </c>
      <c r="EL394" t="e">
        <f>AND(#REF!,"AAAAAH7++40=")</f>
        <v>#REF!</v>
      </c>
      <c r="EM394" t="e">
        <f>AND(#REF!,"AAAAAH7++44=")</f>
        <v>#REF!</v>
      </c>
      <c r="EN394" t="e">
        <f>AND(#REF!,"AAAAAH7++48=")</f>
        <v>#REF!</v>
      </c>
      <c r="EO394" t="e">
        <f>IF(#REF!,"AAAAAH7++5A=",0)</f>
        <v>#REF!</v>
      </c>
      <c r="EP394" t="e">
        <f>AND(#REF!,"AAAAAH7++5E=")</f>
        <v>#REF!</v>
      </c>
      <c r="EQ394" t="e">
        <f>AND(#REF!,"AAAAAH7++5I=")</f>
        <v>#REF!</v>
      </c>
      <c r="ER394" t="e">
        <f>AND(#REF!,"AAAAAH7++5M=")</f>
        <v>#REF!</v>
      </c>
      <c r="ES394" t="e">
        <f>AND(#REF!,"AAAAAH7++5Q=")</f>
        <v>#REF!</v>
      </c>
      <c r="ET394" t="e">
        <f>AND(#REF!,"AAAAAH7++5U=")</f>
        <v>#REF!</v>
      </c>
      <c r="EU394" t="e">
        <f>AND(#REF!,"AAAAAH7++5Y=")</f>
        <v>#REF!</v>
      </c>
      <c r="EV394" t="e">
        <f>AND(#REF!,"AAAAAH7++5c=")</f>
        <v>#REF!</v>
      </c>
      <c r="EW394" t="e">
        <f>AND(#REF!,"AAAAAH7++5g=")</f>
        <v>#REF!</v>
      </c>
      <c r="EX394" t="e">
        <f>AND(#REF!,"AAAAAH7++5k=")</f>
        <v>#REF!</v>
      </c>
      <c r="EY394" t="e">
        <f>AND(#REF!,"AAAAAH7++5o=")</f>
        <v>#REF!</v>
      </c>
      <c r="EZ394" t="e">
        <f>IF(#REF!,"AAAAAH7++5s=",0)</f>
        <v>#REF!</v>
      </c>
      <c r="FA394" t="e">
        <f>AND(#REF!,"AAAAAH7++5w=")</f>
        <v>#REF!</v>
      </c>
      <c r="FB394" t="e">
        <f>AND(#REF!,"AAAAAH7++50=")</f>
        <v>#REF!</v>
      </c>
      <c r="FC394" t="e">
        <f>AND(#REF!,"AAAAAH7++54=")</f>
        <v>#REF!</v>
      </c>
      <c r="FD394" t="e">
        <f>AND(#REF!,"AAAAAH7++58=")</f>
        <v>#REF!</v>
      </c>
      <c r="FE394" t="e">
        <f>AND(#REF!,"AAAAAH7++6A=")</f>
        <v>#REF!</v>
      </c>
      <c r="FF394" t="e">
        <f>AND(#REF!,"AAAAAH7++6E=")</f>
        <v>#REF!</v>
      </c>
      <c r="FG394" t="e">
        <f>AND(#REF!,"AAAAAH7++6I=")</f>
        <v>#REF!</v>
      </c>
      <c r="FH394" t="e">
        <f>AND(#REF!,"AAAAAH7++6M=")</f>
        <v>#REF!</v>
      </c>
      <c r="FI394" t="e">
        <f>AND(#REF!,"AAAAAH7++6Q=")</f>
        <v>#REF!</v>
      </c>
      <c r="FJ394" t="e">
        <f>AND(#REF!,"AAAAAH7++6U=")</f>
        <v>#REF!</v>
      </c>
      <c r="FK394" t="e">
        <f>IF(#REF!,"AAAAAH7++6Y=",0)</f>
        <v>#REF!</v>
      </c>
      <c r="FL394" t="e">
        <f>AND(#REF!,"AAAAAH7++6c=")</f>
        <v>#REF!</v>
      </c>
      <c r="FM394" t="e">
        <f>AND(#REF!,"AAAAAH7++6g=")</f>
        <v>#REF!</v>
      </c>
      <c r="FN394" t="e">
        <f>AND(#REF!,"AAAAAH7++6k=")</f>
        <v>#REF!</v>
      </c>
      <c r="FO394" t="e">
        <f>AND(#REF!,"AAAAAH7++6o=")</f>
        <v>#REF!</v>
      </c>
      <c r="FP394" t="e">
        <f>AND(#REF!,"AAAAAH7++6s=")</f>
        <v>#REF!</v>
      </c>
      <c r="FQ394" t="e">
        <f>AND(#REF!,"AAAAAH7++6w=")</f>
        <v>#REF!</v>
      </c>
      <c r="FR394" t="e">
        <f>AND(#REF!,"AAAAAH7++60=")</f>
        <v>#REF!</v>
      </c>
      <c r="FS394" t="e">
        <f>AND(#REF!,"AAAAAH7++64=")</f>
        <v>#REF!</v>
      </c>
      <c r="FT394" t="e">
        <f>AND(#REF!,"AAAAAH7++68=")</f>
        <v>#REF!</v>
      </c>
      <c r="FU394" t="e">
        <f>AND(#REF!,"AAAAAH7++7A=")</f>
        <v>#REF!</v>
      </c>
      <c r="FV394" t="e">
        <f>IF(#REF!,"AAAAAH7++7E=",0)</f>
        <v>#REF!</v>
      </c>
      <c r="FW394" t="e">
        <f>AND(#REF!,"AAAAAH7++7I=")</f>
        <v>#REF!</v>
      </c>
      <c r="FX394" t="e">
        <f>AND(#REF!,"AAAAAH7++7M=")</f>
        <v>#REF!</v>
      </c>
      <c r="FY394" t="e">
        <f>AND(#REF!,"AAAAAH7++7Q=")</f>
        <v>#REF!</v>
      </c>
      <c r="FZ394" t="e">
        <f>AND(#REF!,"AAAAAH7++7U=")</f>
        <v>#REF!</v>
      </c>
      <c r="GA394" t="e">
        <f>AND(#REF!,"AAAAAH7++7Y=")</f>
        <v>#REF!</v>
      </c>
      <c r="GB394" t="e">
        <f>AND(#REF!,"AAAAAH7++7c=")</f>
        <v>#REF!</v>
      </c>
      <c r="GC394" t="e">
        <f>AND(#REF!,"AAAAAH7++7g=")</f>
        <v>#REF!</v>
      </c>
      <c r="GD394" t="e">
        <f>AND(#REF!,"AAAAAH7++7k=")</f>
        <v>#REF!</v>
      </c>
      <c r="GE394" t="e">
        <f>AND(#REF!,"AAAAAH7++7o=")</f>
        <v>#REF!</v>
      </c>
      <c r="GF394" t="e">
        <f>AND(#REF!,"AAAAAH7++7s=")</f>
        <v>#REF!</v>
      </c>
      <c r="GG394" t="e">
        <f>IF(#REF!,"AAAAAH7++7w=",0)</f>
        <v>#REF!</v>
      </c>
      <c r="GH394" t="e">
        <f>AND(#REF!,"AAAAAH7++70=")</f>
        <v>#REF!</v>
      </c>
      <c r="GI394" t="e">
        <f>AND(#REF!,"AAAAAH7++74=")</f>
        <v>#REF!</v>
      </c>
      <c r="GJ394" t="e">
        <f>AND(#REF!,"AAAAAH7++78=")</f>
        <v>#REF!</v>
      </c>
      <c r="GK394" t="e">
        <f>AND(#REF!,"AAAAAH7++8A=")</f>
        <v>#REF!</v>
      </c>
      <c r="GL394" t="e">
        <f>AND(#REF!,"AAAAAH7++8E=")</f>
        <v>#REF!</v>
      </c>
      <c r="GM394" t="e">
        <f>AND(#REF!,"AAAAAH7++8I=")</f>
        <v>#REF!</v>
      </c>
      <c r="GN394" t="e">
        <f>AND(#REF!,"AAAAAH7++8M=")</f>
        <v>#REF!</v>
      </c>
      <c r="GO394" t="e">
        <f>AND(#REF!,"AAAAAH7++8Q=")</f>
        <v>#REF!</v>
      </c>
      <c r="GP394" t="e">
        <f>AND(#REF!,"AAAAAH7++8U=")</f>
        <v>#REF!</v>
      </c>
      <c r="GQ394" t="e">
        <f>AND(#REF!,"AAAAAH7++8Y=")</f>
        <v>#REF!</v>
      </c>
      <c r="GR394" t="e">
        <f>IF(#REF!,"AAAAAH7++8c=",0)</f>
        <v>#REF!</v>
      </c>
      <c r="GS394" t="e">
        <f>AND(#REF!,"AAAAAH7++8g=")</f>
        <v>#REF!</v>
      </c>
      <c r="GT394" t="e">
        <f>AND(#REF!,"AAAAAH7++8k=")</f>
        <v>#REF!</v>
      </c>
      <c r="GU394" t="e">
        <f>AND(#REF!,"AAAAAH7++8o=")</f>
        <v>#REF!</v>
      </c>
      <c r="GV394" t="e">
        <f>AND(#REF!,"AAAAAH7++8s=")</f>
        <v>#REF!</v>
      </c>
      <c r="GW394" t="e">
        <f>AND(#REF!,"AAAAAH7++8w=")</f>
        <v>#REF!</v>
      </c>
      <c r="GX394" t="e">
        <f>AND(#REF!,"AAAAAH7++80=")</f>
        <v>#REF!</v>
      </c>
      <c r="GY394" t="e">
        <f>AND(#REF!,"AAAAAH7++84=")</f>
        <v>#REF!</v>
      </c>
      <c r="GZ394" t="e">
        <f>AND(#REF!,"AAAAAH7++88=")</f>
        <v>#REF!</v>
      </c>
      <c r="HA394" t="e">
        <f>AND(#REF!,"AAAAAH7++9A=")</f>
        <v>#REF!</v>
      </c>
      <c r="HB394" t="e">
        <f>AND(#REF!,"AAAAAH7++9E=")</f>
        <v>#REF!</v>
      </c>
      <c r="HC394" t="e">
        <f>IF(#REF!,"AAAAAH7++9I=",0)</f>
        <v>#REF!</v>
      </c>
      <c r="HD394" t="e">
        <f>AND(#REF!,"AAAAAH7++9M=")</f>
        <v>#REF!</v>
      </c>
      <c r="HE394" t="e">
        <f>AND(#REF!,"AAAAAH7++9Q=")</f>
        <v>#REF!</v>
      </c>
      <c r="HF394" t="e">
        <f>AND(#REF!,"AAAAAH7++9U=")</f>
        <v>#REF!</v>
      </c>
      <c r="HG394" t="e">
        <f>AND(#REF!,"AAAAAH7++9Y=")</f>
        <v>#REF!</v>
      </c>
      <c r="HH394" t="e">
        <f>AND(#REF!,"AAAAAH7++9c=")</f>
        <v>#REF!</v>
      </c>
      <c r="HI394" t="e">
        <f>AND(#REF!,"AAAAAH7++9g=")</f>
        <v>#REF!</v>
      </c>
      <c r="HJ394" t="e">
        <f>AND(#REF!,"AAAAAH7++9k=")</f>
        <v>#REF!</v>
      </c>
      <c r="HK394" t="e">
        <f>AND(#REF!,"AAAAAH7++9o=")</f>
        <v>#REF!</v>
      </c>
      <c r="HL394" t="e">
        <f>AND(#REF!,"AAAAAH7++9s=")</f>
        <v>#REF!</v>
      </c>
      <c r="HM394" t="e">
        <f>AND(#REF!,"AAAAAH7++9w=")</f>
        <v>#REF!</v>
      </c>
      <c r="HN394" t="e">
        <f>IF(#REF!,"AAAAAH7++90=",0)</f>
        <v>#REF!</v>
      </c>
      <c r="HO394" t="e">
        <f>AND(#REF!,"AAAAAH7++94=")</f>
        <v>#REF!</v>
      </c>
      <c r="HP394" t="e">
        <f>AND(#REF!,"AAAAAH7++98=")</f>
        <v>#REF!</v>
      </c>
      <c r="HQ394" t="e">
        <f>AND(#REF!,"AAAAAH7+++A=")</f>
        <v>#REF!</v>
      </c>
      <c r="HR394" t="e">
        <f>AND(#REF!,"AAAAAH7+++E=")</f>
        <v>#REF!</v>
      </c>
      <c r="HS394" t="e">
        <f>AND(#REF!,"AAAAAH7+++I=")</f>
        <v>#REF!</v>
      </c>
      <c r="HT394" t="e">
        <f>AND(#REF!,"AAAAAH7+++M=")</f>
        <v>#REF!</v>
      </c>
      <c r="HU394" t="e">
        <f>AND(#REF!,"AAAAAH7+++Q=")</f>
        <v>#REF!</v>
      </c>
      <c r="HV394" t="e">
        <f>AND(#REF!,"AAAAAH7+++U=")</f>
        <v>#REF!</v>
      </c>
      <c r="HW394" t="e">
        <f>AND(#REF!,"AAAAAH7+++Y=")</f>
        <v>#REF!</v>
      </c>
      <c r="HX394" t="e">
        <f>AND(#REF!,"AAAAAH7+++c=")</f>
        <v>#REF!</v>
      </c>
      <c r="HY394" t="e">
        <f>IF(#REF!,"AAAAAH7+++g=",0)</f>
        <v>#REF!</v>
      </c>
      <c r="HZ394" t="e">
        <f>AND(#REF!,"AAAAAH7+++k=")</f>
        <v>#REF!</v>
      </c>
      <c r="IA394" t="e">
        <f>AND(#REF!,"AAAAAH7+++o=")</f>
        <v>#REF!</v>
      </c>
      <c r="IB394" t="e">
        <f>AND(#REF!,"AAAAAH7+++s=")</f>
        <v>#REF!</v>
      </c>
      <c r="IC394" t="e">
        <f>AND(#REF!,"AAAAAH7+++w=")</f>
        <v>#REF!</v>
      </c>
      <c r="ID394" t="e">
        <f>AND(#REF!,"AAAAAH7+++0=")</f>
        <v>#REF!</v>
      </c>
      <c r="IE394" t="e">
        <f>AND(#REF!,"AAAAAH7+++4=")</f>
        <v>#REF!</v>
      </c>
      <c r="IF394" t="e">
        <f>AND(#REF!,"AAAAAH7+++8=")</f>
        <v>#REF!</v>
      </c>
      <c r="IG394" t="e">
        <f>AND(#REF!,"AAAAAH7++/A=")</f>
        <v>#REF!</v>
      </c>
      <c r="IH394" t="e">
        <f>AND(#REF!,"AAAAAH7++/E=")</f>
        <v>#REF!</v>
      </c>
      <c r="II394" t="e">
        <f>AND(#REF!,"AAAAAH7++/I=")</f>
        <v>#REF!</v>
      </c>
      <c r="IJ394" t="e">
        <f>IF(#REF!,"AAAAAH7++/M=",0)</f>
        <v>#REF!</v>
      </c>
      <c r="IK394" t="e">
        <f>AND(#REF!,"AAAAAH7++/Q=")</f>
        <v>#REF!</v>
      </c>
      <c r="IL394" t="e">
        <f>AND(#REF!,"AAAAAH7++/U=")</f>
        <v>#REF!</v>
      </c>
      <c r="IM394" t="e">
        <f>AND(#REF!,"AAAAAH7++/Y=")</f>
        <v>#REF!</v>
      </c>
      <c r="IN394" t="e">
        <f>AND(#REF!,"AAAAAH7++/c=")</f>
        <v>#REF!</v>
      </c>
      <c r="IO394" t="e">
        <f>AND(#REF!,"AAAAAH7++/g=")</f>
        <v>#REF!</v>
      </c>
      <c r="IP394" t="e">
        <f>AND(#REF!,"AAAAAH7++/k=")</f>
        <v>#REF!</v>
      </c>
      <c r="IQ394" t="e">
        <f>AND(#REF!,"AAAAAH7++/o=")</f>
        <v>#REF!</v>
      </c>
      <c r="IR394" t="e">
        <f>AND(#REF!,"AAAAAH7++/s=")</f>
        <v>#REF!</v>
      </c>
      <c r="IS394" t="e">
        <f>AND(#REF!,"AAAAAH7++/w=")</f>
        <v>#REF!</v>
      </c>
      <c r="IT394" t="e">
        <f>AND(#REF!,"AAAAAH7++/0=")</f>
        <v>#REF!</v>
      </c>
      <c r="IU394" t="e">
        <f>IF(#REF!,"AAAAAH7++/4=",0)</f>
        <v>#REF!</v>
      </c>
      <c r="IV394" t="e">
        <f>AND(#REF!,"AAAAAH7++/8=")</f>
        <v>#REF!</v>
      </c>
    </row>
    <row r="395" spans="1:256" x14ac:dyDescent="0.25">
      <c r="A395" t="e">
        <f>AND(#REF!,"AAAAAG+t+wA=")</f>
        <v>#REF!</v>
      </c>
      <c r="B395" t="e">
        <f>AND(#REF!,"AAAAAG+t+wE=")</f>
        <v>#REF!</v>
      </c>
      <c r="C395" t="e">
        <f>AND(#REF!,"AAAAAG+t+wI=")</f>
        <v>#REF!</v>
      </c>
      <c r="D395" t="e">
        <f>AND(#REF!,"AAAAAG+t+wM=")</f>
        <v>#REF!</v>
      </c>
      <c r="E395" t="e">
        <f>AND(#REF!,"AAAAAG+t+wQ=")</f>
        <v>#REF!</v>
      </c>
      <c r="F395" t="e">
        <f>AND(#REF!,"AAAAAG+t+wU=")</f>
        <v>#REF!</v>
      </c>
      <c r="G395" t="e">
        <f>AND(#REF!,"AAAAAG+t+wY=")</f>
        <v>#REF!</v>
      </c>
      <c r="H395" t="e">
        <f>AND(#REF!,"AAAAAG+t+wc=")</f>
        <v>#REF!</v>
      </c>
      <c r="I395" t="e">
        <f>AND(#REF!,"AAAAAG+t+wg=")</f>
        <v>#REF!</v>
      </c>
      <c r="J395" t="e">
        <f>IF(#REF!,"AAAAAG+t+wk=",0)</f>
        <v>#REF!</v>
      </c>
      <c r="K395" t="e">
        <f>AND(#REF!,"AAAAAG+t+wo=")</f>
        <v>#REF!</v>
      </c>
      <c r="L395" t="e">
        <f>AND(#REF!,"AAAAAG+t+ws=")</f>
        <v>#REF!</v>
      </c>
      <c r="M395" t="e">
        <f>AND(#REF!,"AAAAAG+t+ww=")</f>
        <v>#REF!</v>
      </c>
      <c r="N395" t="e">
        <f>AND(#REF!,"AAAAAG+t+w0=")</f>
        <v>#REF!</v>
      </c>
      <c r="O395" t="e">
        <f>AND(#REF!,"AAAAAG+t+w4=")</f>
        <v>#REF!</v>
      </c>
      <c r="P395" t="e">
        <f>AND(#REF!,"AAAAAG+t+w8=")</f>
        <v>#REF!</v>
      </c>
      <c r="Q395" t="e">
        <f>AND(#REF!,"AAAAAG+t+xA=")</f>
        <v>#REF!</v>
      </c>
      <c r="R395" t="e">
        <f>AND(#REF!,"AAAAAG+t+xE=")</f>
        <v>#REF!</v>
      </c>
      <c r="S395" t="e">
        <f>AND(#REF!,"AAAAAG+t+xI=")</f>
        <v>#REF!</v>
      </c>
      <c r="T395" t="e">
        <f>AND(#REF!,"AAAAAG+t+xM=")</f>
        <v>#REF!</v>
      </c>
      <c r="U395" t="e">
        <f>IF(#REF!,"AAAAAG+t+xQ=",0)</f>
        <v>#REF!</v>
      </c>
      <c r="V395" t="e">
        <f>AND(#REF!,"AAAAAG+t+xU=")</f>
        <v>#REF!</v>
      </c>
      <c r="W395" t="e">
        <f>AND(#REF!,"AAAAAG+t+xY=")</f>
        <v>#REF!</v>
      </c>
      <c r="X395" t="e">
        <f>AND(#REF!,"AAAAAG+t+xc=")</f>
        <v>#REF!</v>
      </c>
      <c r="Y395" t="e">
        <f>AND(#REF!,"AAAAAG+t+xg=")</f>
        <v>#REF!</v>
      </c>
      <c r="Z395" t="e">
        <f>AND(#REF!,"AAAAAG+t+xk=")</f>
        <v>#REF!</v>
      </c>
      <c r="AA395" t="e">
        <f>AND(#REF!,"AAAAAG+t+xo=")</f>
        <v>#REF!</v>
      </c>
      <c r="AB395" t="e">
        <f>AND(#REF!,"AAAAAG+t+xs=")</f>
        <v>#REF!</v>
      </c>
      <c r="AC395" t="e">
        <f>AND(#REF!,"AAAAAG+t+xw=")</f>
        <v>#REF!</v>
      </c>
      <c r="AD395" t="e">
        <f>AND(#REF!,"AAAAAG+t+x0=")</f>
        <v>#REF!</v>
      </c>
      <c r="AE395" t="e">
        <f>AND(#REF!,"AAAAAG+t+x4=")</f>
        <v>#REF!</v>
      </c>
      <c r="AF395" t="e">
        <f>IF(#REF!,"AAAAAG+t+x8=",0)</f>
        <v>#REF!</v>
      </c>
      <c r="AG395" t="e">
        <f>AND(#REF!,"AAAAAG+t+yA=")</f>
        <v>#REF!</v>
      </c>
      <c r="AH395" t="e">
        <f>AND(#REF!,"AAAAAG+t+yE=")</f>
        <v>#REF!</v>
      </c>
      <c r="AI395" t="e">
        <f>AND(#REF!,"AAAAAG+t+yI=")</f>
        <v>#REF!</v>
      </c>
      <c r="AJ395" t="e">
        <f>AND(#REF!,"AAAAAG+t+yM=")</f>
        <v>#REF!</v>
      </c>
      <c r="AK395" t="e">
        <f>AND(#REF!,"AAAAAG+t+yQ=")</f>
        <v>#REF!</v>
      </c>
      <c r="AL395" t="e">
        <f>AND(#REF!,"AAAAAG+t+yU=")</f>
        <v>#REF!</v>
      </c>
      <c r="AM395" t="e">
        <f>AND(#REF!,"AAAAAG+t+yY=")</f>
        <v>#REF!</v>
      </c>
      <c r="AN395" t="e">
        <f>AND(#REF!,"AAAAAG+t+yc=")</f>
        <v>#REF!</v>
      </c>
      <c r="AO395" t="e">
        <f>AND(#REF!,"AAAAAG+t+yg=")</f>
        <v>#REF!</v>
      </c>
      <c r="AP395" t="e">
        <f>AND(#REF!,"AAAAAG+t+yk=")</f>
        <v>#REF!</v>
      </c>
      <c r="AQ395" t="e">
        <f>IF(#REF!,"AAAAAG+t+yo=",0)</f>
        <v>#REF!</v>
      </c>
      <c r="AR395" t="e">
        <f>AND(#REF!,"AAAAAG+t+ys=")</f>
        <v>#REF!</v>
      </c>
      <c r="AS395" t="e">
        <f>AND(#REF!,"AAAAAG+t+yw=")</f>
        <v>#REF!</v>
      </c>
      <c r="AT395" t="e">
        <f>AND(#REF!,"AAAAAG+t+y0=")</f>
        <v>#REF!</v>
      </c>
      <c r="AU395" t="e">
        <f>AND(#REF!,"AAAAAG+t+y4=")</f>
        <v>#REF!</v>
      </c>
      <c r="AV395" t="e">
        <f>AND(#REF!,"AAAAAG+t+y8=")</f>
        <v>#REF!</v>
      </c>
      <c r="AW395" t="e">
        <f>AND(#REF!,"AAAAAG+t+zA=")</f>
        <v>#REF!</v>
      </c>
      <c r="AX395" t="e">
        <f>AND(#REF!,"AAAAAG+t+zE=")</f>
        <v>#REF!</v>
      </c>
      <c r="AY395" t="e">
        <f>AND(#REF!,"AAAAAG+t+zI=")</f>
        <v>#REF!</v>
      </c>
      <c r="AZ395" t="e">
        <f>AND(#REF!,"AAAAAG+t+zM=")</f>
        <v>#REF!</v>
      </c>
      <c r="BA395" t="e">
        <f>AND(#REF!,"AAAAAG+t+zQ=")</f>
        <v>#REF!</v>
      </c>
      <c r="BB395" t="e">
        <f>IF(#REF!,"AAAAAG+t+zU=",0)</f>
        <v>#REF!</v>
      </c>
      <c r="BC395" t="e">
        <f>AND(#REF!,"AAAAAG+t+zY=")</f>
        <v>#REF!</v>
      </c>
      <c r="BD395" t="e">
        <f>AND(#REF!,"AAAAAG+t+zc=")</f>
        <v>#REF!</v>
      </c>
      <c r="BE395" t="e">
        <f>AND(#REF!,"AAAAAG+t+zg=")</f>
        <v>#REF!</v>
      </c>
      <c r="BF395" t="e">
        <f>AND(#REF!,"AAAAAG+t+zk=")</f>
        <v>#REF!</v>
      </c>
      <c r="BG395" t="e">
        <f>AND(#REF!,"AAAAAG+t+zo=")</f>
        <v>#REF!</v>
      </c>
      <c r="BH395" t="e">
        <f>AND(#REF!,"AAAAAG+t+zs=")</f>
        <v>#REF!</v>
      </c>
      <c r="BI395" t="e">
        <f>AND(#REF!,"AAAAAG+t+zw=")</f>
        <v>#REF!</v>
      </c>
      <c r="BJ395" t="e">
        <f>AND(#REF!,"AAAAAG+t+z0=")</f>
        <v>#REF!</v>
      </c>
      <c r="BK395" t="e">
        <f>AND(#REF!,"AAAAAG+t+z4=")</f>
        <v>#REF!</v>
      </c>
      <c r="BL395" t="e">
        <f>AND(#REF!,"AAAAAG+t+z8=")</f>
        <v>#REF!</v>
      </c>
      <c r="BM395" t="e">
        <f>IF(#REF!,"AAAAAG+t+0A=",0)</f>
        <v>#REF!</v>
      </c>
      <c r="BN395" t="e">
        <f>AND(#REF!,"AAAAAG+t+0E=")</f>
        <v>#REF!</v>
      </c>
      <c r="BO395" t="e">
        <f>AND(#REF!,"AAAAAG+t+0I=")</f>
        <v>#REF!</v>
      </c>
      <c r="BP395" t="e">
        <f>AND(#REF!,"AAAAAG+t+0M=")</f>
        <v>#REF!</v>
      </c>
      <c r="BQ395" t="e">
        <f>AND(#REF!,"AAAAAG+t+0Q=")</f>
        <v>#REF!</v>
      </c>
      <c r="BR395" t="e">
        <f>AND(#REF!,"AAAAAG+t+0U=")</f>
        <v>#REF!</v>
      </c>
      <c r="BS395" t="e">
        <f>AND(#REF!,"AAAAAG+t+0Y=")</f>
        <v>#REF!</v>
      </c>
      <c r="BT395" t="e">
        <f>AND(#REF!,"AAAAAG+t+0c=")</f>
        <v>#REF!</v>
      </c>
      <c r="BU395" t="e">
        <f>AND(#REF!,"AAAAAG+t+0g=")</f>
        <v>#REF!</v>
      </c>
      <c r="BV395" t="e">
        <f>AND(#REF!,"AAAAAG+t+0k=")</f>
        <v>#REF!</v>
      </c>
      <c r="BW395" t="e">
        <f>AND(#REF!,"AAAAAG+t+0o=")</f>
        <v>#REF!</v>
      </c>
      <c r="BX395" t="e">
        <f>IF(#REF!,"AAAAAG+t+0s=",0)</f>
        <v>#REF!</v>
      </c>
      <c r="BY395" t="e">
        <f>AND(#REF!,"AAAAAG+t+0w=")</f>
        <v>#REF!</v>
      </c>
      <c r="BZ395" t="e">
        <f>AND(#REF!,"AAAAAG+t+00=")</f>
        <v>#REF!</v>
      </c>
      <c r="CA395" t="e">
        <f>AND(#REF!,"AAAAAG+t+04=")</f>
        <v>#REF!</v>
      </c>
      <c r="CB395" t="e">
        <f>AND(#REF!,"AAAAAG+t+08=")</f>
        <v>#REF!</v>
      </c>
      <c r="CC395" t="e">
        <f>AND(#REF!,"AAAAAG+t+1A=")</f>
        <v>#REF!</v>
      </c>
      <c r="CD395" t="e">
        <f>AND(#REF!,"AAAAAG+t+1E=")</f>
        <v>#REF!</v>
      </c>
      <c r="CE395" t="e">
        <f>AND(#REF!,"AAAAAG+t+1I=")</f>
        <v>#REF!</v>
      </c>
      <c r="CF395" t="e">
        <f>AND(#REF!,"AAAAAG+t+1M=")</f>
        <v>#REF!</v>
      </c>
      <c r="CG395" t="e">
        <f>AND(#REF!,"AAAAAG+t+1Q=")</f>
        <v>#REF!</v>
      </c>
      <c r="CH395" t="e">
        <f>AND(#REF!,"AAAAAG+t+1U=")</f>
        <v>#REF!</v>
      </c>
      <c r="CI395" t="e">
        <f>IF(#REF!,"AAAAAG+t+1Y=",0)</f>
        <v>#REF!</v>
      </c>
      <c r="CJ395" t="e">
        <f>AND(#REF!,"AAAAAG+t+1c=")</f>
        <v>#REF!</v>
      </c>
      <c r="CK395" t="e">
        <f>AND(#REF!,"AAAAAG+t+1g=")</f>
        <v>#REF!</v>
      </c>
      <c r="CL395" t="e">
        <f>AND(#REF!,"AAAAAG+t+1k=")</f>
        <v>#REF!</v>
      </c>
      <c r="CM395" t="e">
        <f>AND(#REF!,"AAAAAG+t+1o=")</f>
        <v>#REF!</v>
      </c>
      <c r="CN395" t="e">
        <f>AND(#REF!,"AAAAAG+t+1s=")</f>
        <v>#REF!</v>
      </c>
      <c r="CO395" t="e">
        <f>AND(#REF!,"AAAAAG+t+1w=")</f>
        <v>#REF!</v>
      </c>
      <c r="CP395" t="e">
        <f>AND(#REF!,"AAAAAG+t+10=")</f>
        <v>#REF!</v>
      </c>
      <c r="CQ395" t="e">
        <f>AND(#REF!,"AAAAAG+t+14=")</f>
        <v>#REF!</v>
      </c>
      <c r="CR395" t="e">
        <f>AND(#REF!,"AAAAAG+t+18=")</f>
        <v>#REF!</v>
      </c>
      <c r="CS395" t="e">
        <f>AND(#REF!,"AAAAAG+t+2A=")</f>
        <v>#REF!</v>
      </c>
      <c r="CT395" t="e">
        <f>IF(#REF!,"AAAAAG+t+2E=",0)</f>
        <v>#REF!</v>
      </c>
      <c r="CU395" t="e">
        <f>AND(#REF!,"AAAAAG+t+2I=")</f>
        <v>#REF!</v>
      </c>
      <c r="CV395" t="e">
        <f>AND(#REF!,"AAAAAG+t+2M=")</f>
        <v>#REF!</v>
      </c>
      <c r="CW395" t="e">
        <f>AND(#REF!,"AAAAAG+t+2Q=")</f>
        <v>#REF!</v>
      </c>
      <c r="CX395" t="e">
        <f>AND(#REF!,"AAAAAG+t+2U=")</f>
        <v>#REF!</v>
      </c>
      <c r="CY395" t="e">
        <f>AND(#REF!,"AAAAAG+t+2Y=")</f>
        <v>#REF!</v>
      </c>
      <c r="CZ395" t="e">
        <f>AND(#REF!,"AAAAAG+t+2c=")</f>
        <v>#REF!</v>
      </c>
      <c r="DA395" t="e">
        <f>AND(#REF!,"AAAAAG+t+2g=")</f>
        <v>#REF!</v>
      </c>
      <c r="DB395" t="e">
        <f>AND(#REF!,"AAAAAG+t+2k=")</f>
        <v>#REF!</v>
      </c>
      <c r="DC395" t="e">
        <f>AND(#REF!,"AAAAAG+t+2o=")</f>
        <v>#REF!</v>
      </c>
      <c r="DD395" t="e">
        <f>AND(#REF!,"AAAAAG+t+2s=")</f>
        <v>#REF!</v>
      </c>
      <c r="DE395" t="e">
        <f>IF(#REF!,"AAAAAG+t+2w=",0)</f>
        <v>#REF!</v>
      </c>
      <c r="DF395" t="e">
        <f>AND(#REF!,"AAAAAG+t+20=")</f>
        <v>#REF!</v>
      </c>
      <c r="DG395" t="e">
        <f>AND(#REF!,"AAAAAG+t+24=")</f>
        <v>#REF!</v>
      </c>
      <c r="DH395" t="e">
        <f>AND(#REF!,"AAAAAG+t+28=")</f>
        <v>#REF!</v>
      </c>
      <c r="DI395" t="e">
        <f>AND(#REF!,"AAAAAG+t+3A=")</f>
        <v>#REF!</v>
      </c>
      <c r="DJ395" t="e">
        <f>AND(#REF!,"AAAAAG+t+3E=")</f>
        <v>#REF!</v>
      </c>
      <c r="DK395" t="e">
        <f>AND(#REF!,"AAAAAG+t+3I=")</f>
        <v>#REF!</v>
      </c>
      <c r="DL395" t="e">
        <f>AND(#REF!,"AAAAAG+t+3M=")</f>
        <v>#REF!</v>
      </c>
      <c r="DM395" t="e">
        <f>AND(#REF!,"AAAAAG+t+3Q=")</f>
        <v>#REF!</v>
      </c>
      <c r="DN395" t="e">
        <f>AND(#REF!,"AAAAAG+t+3U=")</f>
        <v>#REF!</v>
      </c>
      <c r="DO395" t="e">
        <f>AND(#REF!,"AAAAAG+t+3Y=")</f>
        <v>#REF!</v>
      </c>
      <c r="DP395" t="e">
        <f>IF(#REF!,"AAAAAG+t+3c=",0)</f>
        <v>#REF!</v>
      </c>
      <c r="DQ395" t="e">
        <f>AND(#REF!,"AAAAAG+t+3g=")</f>
        <v>#REF!</v>
      </c>
      <c r="DR395" t="e">
        <f>AND(#REF!,"AAAAAG+t+3k=")</f>
        <v>#REF!</v>
      </c>
      <c r="DS395" t="e">
        <f>AND(#REF!,"AAAAAG+t+3o=")</f>
        <v>#REF!</v>
      </c>
      <c r="DT395" t="e">
        <f>AND(#REF!,"AAAAAG+t+3s=")</f>
        <v>#REF!</v>
      </c>
      <c r="DU395" t="e">
        <f>AND(#REF!,"AAAAAG+t+3w=")</f>
        <v>#REF!</v>
      </c>
      <c r="DV395" t="e">
        <f>AND(#REF!,"AAAAAG+t+30=")</f>
        <v>#REF!</v>
      </c>
      <c r="DW395" t="e">
        <f>AND(#REF!,"AAAAAG+t+34=")</f>
        <v>#REF!</v>
      </c>
      <c r="DX395" t="e">
        <f>AND(#REF!,"AAAAAG+t+38=")</f>
        <v>#REF!</v>
      </c>
      <c r="DY395" t="e">
        <f>AND(#REF!,"AAAAAG+t+4A=")</f>
        <v>#REF!</v>
      </c>
      <c r="DZ395" t="e">
        <f>AND(#REF!,"AAAAAG+t+4E=")</f>
        <v>#REF!</v>
      </c>
      <c r="EA395" t="e">
        <f>IF(#REF!,"AAAAAG+t+4I=",0)</f>
        <v>#REF!</v>
      </c>
      <c r="EB395" t="e">
        <f>AND(#REF!,"AAAAAG+t+4M=")</f>
        <v>#REF!</v>
      </c>
      <c r="EC395" t="e">
        <f>AND(#REF!,"AAAAAG+t+4Q=")</f>
        <v>#REF!</v>
      </c>
      <c r="ED395" t="e">
        <f>AND(#REF!,"AAAAAG+t+4U=")</f>
        <v>#REF!</v>
      </c>
      <c r="EE395" t="e">
        <f>AND(#REF!,"AAAAAG+t+4Y=")</f>
        <v>#REF!</v>
      </c>
      <c r="EF395" t="e">
        <f>AND(#REF!,"AAAAAG+t+4c=")</f>
        <v>#REF!</v>
      </c>
      <c r="EG395" t="e">
        <f>AND(#REF!,"AAAAAG+t+4g=")</f>
        <v>#REF!</v>
      </c>
      <c r="EH395" t="e">
        <f>AND(#REF!,"AAAAAG+t+4k=")</f>
        <v>#REF!</v>
      </c>
      <c r="EI395" t="e">
        <f>AND(#REF!,"AAAAAG+t+4o=")</f>
        <v>#REF!</v>
      </c>
      <c r="EJ395" t="e">
        <f>AND(#REF!,"AAAAAG+t+4s=")</f>
        <v>#REF!</v>
      </c>
      <c r="EK395" t="e">
        <f>AND(#REF!,"AAAAAG+t+4w=")</f>
        <v>#REF!</v>
      </c>
      <c r="EL395" t="e">
        <f>IF(#REF!,"AAAAAG+t+40=",0)</f>
        <v>#REF!</v>
      </c>
      <c r="EM395" t="e">
        <f>AND(#REF!,"AAAAAG+t+44=")</f>
        <v>#REF!</v>
      </c>
      <c r="EN395" t="e">
        <f>AND(#REF!,"AAAAAG+t+48=")</f>
        <v>#REF!</v>
      </c>
      <c r="EO395" t="e">
        <f>AND(#REF!,"AAAAAG+t+5A=")</f>
        <v>#REF!</v>
      </c>
      <c r="EP395" t="e">
        <f>AND(#REF!,"AAAAAG+t+5E=")</f>
        <v>#REF!</v>
      </c>
      <c r="EQ395" t="e">
        <f>AND(#REF!,"AAAAAG+t+5I=")</f>
        <v>#REF!</v>
      </c>
      <c r="ER395" t="e">
        <f>AND(#REF!,"AAAAAG+t+5M=")</f>
        <v>#REF!</v>
      </c>
      <c r="ES395" t="e">
        <f>AND(#REF!,"AAAAAG+t+5Q=")</f>
        <v>#REF!</v>
      </c>
      <c r="ET395" t="e">
        <f>AND(#REF!,"AAAAAG+t+5U=")</f>
        <v>#REF!</v>
      </c>
      <c r="EU395" t="e">
        <f>AND(#REF!,"AAAAAG+t+5Y=")</f>
        <v>#REF!</v>
      </c>
      <c r="EV395" t="e">
        <f>AND(#REF!,"AAAAAG+t+5c=")</f>
        <v>#REF!</v>
      </c>
      <c r="EW395" t="e">
        <f>IF(#REF!,"AAAAAG+t+5g=",0)</f>
        <v>#REF!</v>
      </c>
      <c r="EX395" t="e">
        <f>AND(#REF!,"AAAAAG+t+5k=")</f>
        <v>#REF!</v>
      </c>
      <c r="EY395" t="e">
        <f>AND(#REF!,"AAAAAG+t+5o=")</f>
        <v>#REF!</v>
      </c>
      <c r="EZ395" t="e">
        <f>AND(#REF!,"AAAAAG+t+5s=")</f>
        <v>#REF!</v>
      </c>
      <c r="FA395" t="e">
        <f>AND(#REF!,"AAAAAG+t+5w=")</f>
        <v>#REF!</v>
      </c>
      <c r="FB395" t="e">
        <f>AND(#REF!,"AAAAAG+t+50=")</f>
        <v>#REF!</v>
      </c>
      <c r="FC395" t="e">
        <f>AND(#REF!,"AAAAAG+t+54=")</f>
        <v>#REF!</v>
      </c>
      <c r="FD395" t="e">
        <f>AND(#REF!,"AAAAAG+t+58=")</f>
        <v>#REF!</v>
      </c>
      <c r="FE395" t="e">
        <f>AND(#REF!,"AAAAAG+t+6A=")</f>
        <v>#REF!</v>
      </c>
      <c r="FF395" t="e">
        <f>AND(#REF!,"AAAAAG+t+6E=")</f>
        <v>#REF!</v>
      </c>
      <c r="FG395" t="e">
        <f>AND(#REF!,"AAAAAG+t+6I=")</f>
        <v>#REF!</v>
      </c>
      <c r="FH395" t="e">
        <f>IF(#REF!,"AAAAAG+t+6M=",0)</f>
        <v>#REF!</v>
      </c>
      <c r="FI395" t="e">
        <f>AND(#REF!,"AAAAAG+t+6Q=")</f>
        <v>#REF!</v>
      </c>
      <c r="FJ395" t="e">
        <f>AND(#REF!,"AAAAAG+t+6U=")</f>
        <v>#REF!</v>
      </c>
      <c r="FK395" t="e">
        <f>AND(#REF!,"AAAAAG+t+6Y=")</f>
        <v>#REF!</v>
      </c>
      <c r="FL395" t="e">
        <f>AND(#REF!,"AAAAAG+t+6c=")</f>
        <v>#REF!</v>
      </c>
      <c r="FM395" t="e">
        <f>AND(#REF!,"AAAAAG+t+6g=")</f>
        <v>#REF!</v>
      </c>
      <c r="FN395" t="e">
        <f>AND(#REF!,"AAAAAG+t+6k=")</f>
        <v>#REF!</v>
      </c>
      <c r="FO395" t="e">
        <f>AND(#REF!,"AAAAAG+t+6o=")</f>
        <v>#REF!</v>
      </c>
      <c r="FP395" t="e">
        <f>AND(#REF!,"AAAAAG+t+6s=")</f>
        <v>#REF!</v>
      </c>
      <c r="FQ395" t="e">
        <f>AND(#REF!,"AAAAAG+t+6w=")</f>
        <v>#REF!</v>
      </c>
      <c r="FR395" t="e">
        <f>AND(#REF!,"AAAAAG+t+60=")</f>
        <v>#REF!</v>
      </c>
      <c r="FS395" t="e">
        <f>IF(#REF!,"AAAAAG+t+64=",0)</f>
        <v>#REF!</v>
      </c>
      <c r="FT395" t="e">
        <f>AND(#REF!,"AAAAAG+t+68=")</f>
        <v>#REF!</v>
      </c>
      <c r="FU395" t="e">
        <f>AND(#REF!,"AAAAAG+t+7A=")</f>
        <v>#REF!</v>
      </c>
      <c r="FV395" t="e">
        <f>AND(#REF!,"AAAAAG+t+7E=")</f>
        <v>#REF!</v>
      </c>
      <c r="FW395" t="e">
        <f>AND(#REF!,"AAAAAG+t+7I=")</f>
        <v>#REF!</v>
      </c>
      <c r="FX395" t="e">
        <f>AND(#REF!,"AAAAAG+t+7M=")</f>
        <v>#REF!</v>
      </c>
      <c r="FY395" t="e">
        <f>AND(#REF!,"AAAAAG+t+7Q=")</f>
        <v>#REF!</v>
      </c>
      <c r="FZ395" t="e">
        <f>AND(#REF!,"AAAAAG+t+7U=")</f>
        <v>#REF!</v>
      </c>
      <c r="GA395" t="e">
        <f>AND(#REF!,"AAAAAG+t+7Y=")</f>
        <v>#REF!</v>
      </c>
      <c r="GB395" t="e">
        <f>AND(#REF!,"AAAAAG+t+7c=")</f>
        <v>#REF!</v>
      </c>
      <c r="GC395" t="e">
        <f>AND(#REF!,"AAAAAG+t+7g=")</f>
        <v>#REF!</v>
      </c>
      <c r="GD395" t="e">
        <f>IF(#REF!,"AAAAAG+t+7k=",0)</f>
        <v>#REF!</v>
      </c>
      <c r="GE395" t="e">
        <f>AND(#REF!,"AAAAAG+t+7o=")</f>
        <v>#REF!</v>
      </c>
      <c r="GF395" t="e">
        <f>AND(#REF!,"AAAAAG+t+7s=")</f>
        <v>#REF!</v>
      </c>
      <c r="GG395" t="e">
        <f>AND(#REF!,"AAAAAG+t+7w=")</f>
        <v>#REF!</v>
      </c>
      <c r="GH395" t="e">
        <f>AND(#REF!,"AAAAAG+t+70=")</f>
        <v>#REF!</v>
      </c>
      <c r="GI395" t="e">
        <f>AND(#REF!,"AAAAAG+t+74=")</f>
        <v>#REF!</v>
      </c>
      <c r="GJ395" t="e">
        <f>AND(#REF!,"AAAAAG+t+78=")</f>
        <v>#REF!</v>
      </c>
      <c r="GK395" t="e">
        <f>AND(#REF!,"AAAAAG+t+8A=")</f>
        <v>#REF!</v>
      </c>
      <c r="GL395" t="e">
        <f>AND(#REF!,"AAAAAG+t+8E=")</f>
        <v>#REF!</v>
      </c>
      <c r="GM395" t="e">
        <f>AND(#REF!,"AAAAAG+t+8I=")</f>
        <v>#REF!</v>
      </c>
      <c r="GN395" t="e">
        <f>AND(#REF!,"AAAAAG+t+8M=")</f>
        <v>#REF!</v>
      </c>
      <c r="GO395" t="e">
        <f>IF(#REF!,"AAAAAG+t+8Q=",0)</f>
        <v>#REF!</v>
      </c>
      <c r="GP395" t="e">
        <f>AND(#REF!,"AAAAAG+t+8U=")</f>
        <v>#REF!</v>
      </c>
      <c r="GQ395" t="e">
        <f>AND(#REF!,"AAAAAG+t+8Y=")</f>
        <v>#REF!</v>
      </c>
      <c r="GR395" t="e">
        <f>AND(#REF!,"AAAAAG+t+8c=")</f>
        <v>#REF!</v>
      </c>
      <c r="GS395" t="e">
        <f>AND(#REF!,"AAAAAG+t+8g=")</f>
        <v>#REF!</v>
      </c>
      <c r="GT395" t="e">
        <f>AND(#REF!,"AAAAAG+t+8k=")</f>
        <v>#REF!</v>
      </c>
      <c r="GU395" t="e">
        <f>AND(#REF!,"AAAAAG+t+8o=")</f>
        <v>#REF!</v>
      </c>
      <c r="GV395" t="e">
        <f>AND(#REF!,"AAAAAG+t+8s=")</f>
        <v>#REF!</v>
      </c>
      <c r="GW395" t="e">
        <f>AND(#REF!,"AAAAAG+t+8w=")</f>
        <v>#REF!</v>
      </c>
      <c r="GX395" t="e">
        <f>AND(#REF!,"AAAAAG+t+80=")</f>
        <v>#REF!</v>
      </c>
      <c r="GY395" t="e">
        <f>AND(#REF!,"AAAAAG+t+84=")</f>
        <v>#REF!</v>
      </c>
      <c r="GZ395" t="e">
        <f>IF(#REF!,"AAAAAG+t+88=",0)</f>
        <v>#REF!</v>
      </c>
      <c r="HA395" t="e">
        <f>AND(#REF!,"AAAAAG+t+9A=")</f>
        <v>#REF!</v>
      </c>
      <c r="HB395" t="e">
        <f>AND(#REF!,"AAAAAG+t+9E=")</f>
        <v>#REF!</v>
      </c>
      <c r="HC395" t="e">
        <f>AND(#REF!,"AAAAAG+t+9I=")</f>
        <v>#REF!</v>
      </c>
      <c r="HD395" t="e">
        <f>AND(#REF!,"AAAAAG+t+9M=")</f>
        <v>#REF!</v>
      </c>
      <c r="HE395" t="e">
        <f>AND(#REF!,"AAAAAG+t+9Q=")</f>
        <v>#REF!</v>
      </c>
      <c r="HF395" t="e">
        <f>AND(#REF!,"AAAAAG+t+9U=")</f>
        <v>#REF!</v>
      </c>
      <c r="HG395" t="e">
        <f>AND(#REF!,"AAAAAG+t+9Y=")</f>
        <v>#REF!</v>
      </c>
      <c r="HH395" t="e">
        <f>AND(#REF!,"AAAAAG+t+9c=")</f>
        <v>#REF!</v>
      </c>
      <c r="HI395" t="e">
        <f>AND(#REF!,"AAAAAG+t+9g=")</f>
        <v>#REF!</v>
      </c>
      <c r="HJ395" t="e">
        <f>AND(#REF!,"AAAAAG+t+9k=")</f>
        <v>#REF!</v>
      </c>
      <c r="HK395" t="e">
        <f>IF(#REF!,"AAAAAG+t+9o=",0)</f>
        <v>#REF!</v>
      </c>
      <c r="HL395" t="e">
        <f>AND(#REF!,"AAAAAG+t+9s=")</f>
        <v>#REF!</v>
      </c>
      <c r="HM395" t="e">
        <f>AND(#REF!,"AAAAAG+t+9w=")</f>
        <v>#REF!</v>
      </c>
      <c r="HN395" t="e">
        <f>AND(#REF!,"AAAAAG+t+90=")</f>
        <v>#REF!</v>
      </c>
      <c r="HO395" t="e">
        <f>AND(#REF!,"AAAAAG+t+94=")</f>
        <v>#REF!</v>
      </c>
      <c r="HP395" t="e">
        <f>AND(#REF!,"AAAAAG+t+98=")</f>
        <v>#REF!</v>
      </c>
      <c r="HQ395" t="e">
        <f>AND(#REF!,"AAAAAG+t++A=")</f>
        <v>#REF!</v>
      </c>
      <c r="HR395" t="e">
        <f>AND(#REF!,"AAAAAG+t++E=")</f>
        <v>#REF!</v>
      </c>
      <c r="HS395" t="e">
        <f>AND(#REF!,"AAAAAG+t++I=")</f>
        <v>#REF!</v>
      </c>
      <c r="HT395" t="e">
        <f>AND(#REF!,"AAAAAG+t++M=")</f>
        <v>#REF!</v>
      </c>
      <c r="HU395" t="e">
        <f>AND(#REF!,"AAAAAG+t++Q=")</f>
        <v>#REF!</v>
      </c>
      <c r="HV395" t="e">
        <f>IF(#REF!,"AAAAAG+t++U=",0)</f>
        <v>#REF!</v>
      </c>
      <c r="HW395" t="e">
        <f>AND(#REF!,"AAAAAG+t++Y=")</f>
        <v>#REF!</v>
      </c>
      <c r="HX395" t="e">
        <f>AND(#REF!,"AAAAAG+t++c=")</f>
        <v>#REF!</v>
      </c>
      <c r="HY395" t="e">
        <f>AND(#REF!,"AAAAAG+t++g=")</f>
        <v>#REF!</v>
      </c>
      <c r="HZ395" t="e">
        <f>AND(#REF!,"AAAAAG+t++k=")</f>
        <v>#REF!</v>
      </c>
      <c r="IA395" t="e">
        <f>AND(#REF!,"AAAAAG+t++o=")</f>
        <v>#REF!</v>
      </c>
      <c r="IB395" t="e">
        <f>AND(#REF!,"AAAAAG+t++s=")</f>
        <v>#REF!</v>
      </c>
      <c r="IC395" t="e">
        <f>AND(#REF!,"AAAAAG+t++w=")</f>
        <v>#REF!</v>
      </c>
      <c r="ID395" t="e">
        <f>AND(#REF!,"AAAAAG+t++0=")</f>
        <v>#REF!</v>
      </c>
      <c r="IE395" t="e">
        <f>AND(#REF!,"AAAAAG+t++4=")</f>
        <v>#REF!</v>
      </c>
      <c r="IF395" t="e">
        <f>AND(#REF!,"AAAAAG+t++8=")</f>
        <v>#REF!</v>
      </c>
      <c r="IG395" t="e">
        <f>IF(#REF!,"AAAAAG+t+/A=",0)</f>
        <v>#REF!</v>
      </c>
      <c r="IH395" t="e">
        <f>AND(#REF!,"AAAAAG+t+/E=")</f>
        <v>#REF!</v>
      </c>
      <c r="II395" t="e">
        <f>AND(#REF!,"AAAAAG+t+/I=")</f>
        <v>#REF!</v>
      </c>
      <c r="IJ395" t="e">
        <f>AND(#REF!,"AAAAAG+t+/M=")</f>
        <v>#REF!</v>
      </c>
      <c r="IK395" t="e">
        <f>AND(#REF!,"AAAAAG+t+/Q=")</f>
        <v>#REF!</v>
      </c>
      <c r="IL395" t="e">
        <f>AND(#REF!,"AAAAAG+t+/U=")</f>
        <v>#REF!</v>
      </c>
      <c r="IM395" t="e">
        <f>AND(#REF!,"AAAAAG+t+/Y=")</f>
        <v>#REF!</v>
      </c>
      <c r="IN395" t="e">
        <f>AND(#REF!,"AAAAAG+t+/c=")</f>
        <v>#REF!</v>
      </c>
      <c r="IO395" t="e">
        <f>AND(#REF!,"AAAAAG+t+/g=")</f>
        <v>#REF!</v>
      </c>
      <c r="IP395" t="e">
        <f>AND(#REF!,"AAAAAG+t+/k=")</f>
        <v>#REF!</v>
      </c>
      <c r="IQ395" t="e">
        <f>AND(#REF!,"AAAAAG+t+/o=")</f>
        <v>#REF!</v>
      </c>
      <c r="IR395" t="e">
        <f>IF(#REF!,"AAAAAG+t+/s=",0)</f>
        <v>#REF!</v>
      </c>
      <c r="IS395" t="e">
        <f>AND(#REF!,"AAAAAG+t+/w=")</f>
        <v>#REF!</v>
      </c>
      <c r="IT395" t="e">
        <f>AND(#REF!,"AAAAAG+t+/0=")</f>
        <v>#REF!</v>
      </c>
      <c r="IU395" t="e">
        <f>AND(#REF!,"AAAAAG+t+/4=")</f>
        <v>#REF!</v>
      </c>
      <c r="IV395" t="e">
        <f>AND(#REF!,"AAAAAG+t+/8=")</f>
        <v>#REF!</v>
      </c>
    </row>
    <row r="396" spans="1:256" x14ac:dyDescent="0.25">
      <c r="A396" t="e">
        <f>AND(#REF!,"AAAAADbvWgA=")</f>
        <v>#REF!</v>
      </c>
      <c r="B396" t="e">
        <f>AND(#REF!,"AAAAADbvWgE=")</f>
        <v>#REF!</v>
      </c>
      <c r="C396" t="e">
        <f>AND(#REF!,"AAAAADbvWgI=")</f>
        <v>#REF!</v>
      </c>
      <c r="D396" t="e">
        <f>AND(#REF!,"AAAAADbvWgM=")</f>
        <v>#REF!</v>
      </c>
      <c r="E396" t="e">
        <f>AND(#REF!,"AAAAADbvWgQ=")</f>
        <v>#REF!</v>
      </c>
      <c r="F396" t="e">
        <f>AND(#REF!,"AAAAADbvWgU=")</f>
        <v>#REF!</v>
      </c>
      <c r="G396" t="e">
        <f>IF(#REF!,"AAAAADbvWgY=",0)</f>
        <v>#REF!</v>
      </c>
      <c r="H396" t="e">
        <f>AND(#REF!,"AAAAADbvWgc=")</f>
        <v>#REF!</v>
      </c>
      <c r="I396" t="e">
        <f>AND(#REF!,"AAAAADbvWgg=")</f>
        <v>#REF!</v>
      </c>
      <c r="J396" t="e">
        <f>AND(#REF!,"AAAAADbvWgk=")</f>
        <v>#REF!</v>
      </c>
      <c r="K396" t="e">
        <f>AND(#REF!,"AAAAADbvWgo=")</f>
        <v>#REF!</v>
      </c>
      <c r="L396" t="e">
        <f>AND(#REF!,"AAAAADbvWgs=")</f>
        <v>#REF!</v>
      </c>
      <c r="M396" t="e">
        <f>AND(#REF!,"AAAAADbvWgw=")</f>
        <v>#REF!</v>
      </c>
      <c r="N396" t="e">
        <f>AND(#REF!,"AAAAADbvWg0=")</f>
        <v>#REF!</v>
      </c>
      <c r="O396" t="e">
        <f>AND(#REF!,"AAAAADbvWg4=")</f>
        <v>#REF!</v>
      </c>
      <c r="P396" t="e">
        <f>AND(#REF!,"AAAAADbvWg8=")</f>
        <v>#REF!</v>
      </c>
      <c r="Q396" t="e">
        <f>AND(#REF!,"AAAAADbvWhA=")</f>
        <v>#REF!</v>
      </c>
      <c r="R396" t="e">
        <f>IF(#REF!,"AAAAADbvWhE=",0)</f>
        <v>#REF!</v>
      </c>
      <c r="S396" t="e">
        <f>AND(#REF!,"AAAAADbvWhI=")</f>
        <v>#REF!</v>
      </c>
      <c r="T396" t="e">
        <f>AND(#REF!,"AAAAADbvWhM=")</f>
        <v>#REF!</v>
      </c>
      <c r="U396" t="e">
        <f>AND(#REF!,"AAAAADbvWhQ=")</f>
        <v>#REF!</v>
      </c>
      <c r="V396" t="e">
        <f>AND(#REF!,"AAAAADbvWhU=")</f>
        <v>#REF!</v>
      </c>
      <c r="W396" t="e">
        <f>AND(#REF!,"AAAAADbvWhY=")</f>
        <v>#REF!</v>
      </c>
      <c r="X396" t="e">
        <f>AND(#REF!,"AAAAADbvWhc=")</f>
        <v>#REF!</v>
      </c>
      <c r="Y396" t="e">
        <f>AND(#REF!,"AAAAADbvWhg=")</f>
        <v>#REF!</v>
      </c>
      <c r="Z396" t="e">
        <f>AND(#REF!,"AAAAADbvWhk=")</f>
        <v>#REF!</v>
      </c>
      <c r="AA396" t="e">
        <f>AND(#REF!,"AAAAADbvWho=")</f>
        <v>#REF!</v>
      </c>
      <c r="AB396" t="e">
        <f>AND(#REF!,"AAAAADbvWhs=")</f>
        <v>#REF!</v>
      </c>
      <c r="AC396" t="e">
        <f>IF(#REF!,"AAAAADbvWhw=",0)</f>
        <v>#REF!</v>
      </c>
      <c r="AD396" t="e">
        <f>AND(#REF!,"AAAAADbvWh0=")</f>
        <v>#REF!</v>
      </c>
      <c r="AE396" t="e">
        <f>AND(#REF!,"AAAAADbvWh4=")</f>
        <v>#REF!</v>
      </c>
      <c r="AF396" t="e">
        <f>AND(#REF!,"AAAAADbvWh8=")</f>
        <v>#REF!</v>
      </c>
      <c r="AG396" t="e">
        <f>AND(#REF!,"AAAAADbvWiA=")</f>
        <v>#REF!</v>
      </c>
      <c r="AH396" t="e">
        <f>AND(#REF!,"AAAAADbvWiE=")</f>
        <v>#REF!</v>
      </c>
      <c r="AI396" t="e">
        <f>AND(#REF!,"AAAAADbvWiI=")</f>
        <v>#REF!</v>
      </c>
      <c r="AJ396" t="e">
        <f>AND(#REF!,"AAAAADbvWiM=")</f>
        <v>#REF!</v>
      </c>
      <c r="AK396" t="e">
        <f>AND(#REF!,"AAAAADbvWiQ=")</f>
        <v>#REF!</v>
      </c>
      <c r="AL396" t="e">
        <f>AND(#REF!,"AAAAADbvWiU=")</f>
        <v>#REF!</v>
      </c>
      <c r="AM396" t="e">
        <f>AND(#REF!,"AAAAADbvWiY=")</f>
        <v>#REF!</v>
      </c>
      <c r="AN396" t="e">
        <f>IF(#REF!,"AAAAADbvWic=",0)</f>
        <v>#REF!</v>
      </c>
      <c r="AO396" t="e">
        <f>AND(#REF!,"AAAAADbvWig=")</f>
        <v>#REF!</v>
      </c>
      <c r="AP396" t="e">
        <f>AND(#REF!,"AAAAADbvWik=")</f>
        <v>#REF!</v>
      </c>
      <c r="AQ396" t="e">
        <f>AND(#REF!,"AAAAADbvWio=")</f>
        <v>#REF!</v>
      </c>
      <c r="AR396" t="e">
        <f>AND(#REF!,"AAAAADbvWis=")</f>
        <v>#REF!</v>
      </c>
      <c r="AS396" t="e">
        <f>AND(#REF!,"AAAAADbvWiw=")</f>
        <v>#REF!</v>
      </c>
      <c r="AT396" t="e">
        <f>AND(#REF!,"AAAAADbvWi0=")</f>
        <v>#REF!</v>
      </c>
      <c r="AU396" t="e">
        <f>AND(#REF!,"AAAAADbvWi4=")</f>
        <v>#REF!</v>
      </c>
      <c r="AV396" t="e">
        <f>AND(#REF!,"AAAAADbvWi8=")</f>
        <v>#REF!</v>
      </c>
      <c r="AW396" t="e">
        <f>AND(#REF!,"AAAAADbvWjA=")</f>
        <v>#REF!</v>
      </c>
      <c r="AX396" t="e">
        <f>AND(#REF!,"AAAAADbvWjE=")</f>
        <v>#REF!</v>
      </c>
      <c r="AY396" t="e">
        <f>IF(#REF!,"AAAAADbvWjI=",0)</f>
        <v>#REF!</v>
      </c>
      <c r="AZ396" t="e">
        <f>AND(#REF!,"AAAAADbvWjM=")</f>
        <v>#REF!</v>
      </c>
      <c r="BA396" t="e">
        <f>AND(#REF!,"AAAAADbvWjQ=")</f>
        <v>#REF!</v>
      </c>
      <c r="BB396" t="e">
        <f>AND(#REF!,"AAAAADbvWjU=")</f>
        <v>#REF!</v>
      </c>
      <c r="BC396" t="e">
        <f>AND(#REF!,"AAAAADbvWjY=")</f>
        <v>#REF!</v>
      </c>
      <c r="BD396" t="e">
        <f>AND(#REF!,"AAAAADbvWjc=")</f>
        <v>#REF!</v>
      </c>
      <c r="BE396" t="e">
        <f>AND(#REF!,"AAAAADbvWjg=")</f>
        <v>#REF!</v>
      </c>
      <c r="BF396" t="e">
        <f>AND(#REF!,"AAAAADbvWjk=")</f>
        <v>#REF!</v>
      </c>
      <c r="BG396" t="e">
        <f>AND(#REF!,"AAAAADbvWjo=")</f>
        <v>#REF!</v>
      </c>
      <c r="BH396" t="e">
        <f>AND(#REF!,"AAAAADbvWjs=")</f>
        <v>#REF!</v>
      </c>
      <c r="BI396" t="e">
        <f>AND(#REF!,"AAAAADbvWjw=")</f>
        <v>#REF!</v>
      </c>
      <c r="BJ396" t="e">
        <f>IF(#REF!,"AAAAADbvWj0=",0)</f>
        <v>#REF!</v>
      </c>
      <c r="BK396" t="e">
        <f>AND(#REF!,"AAAAADbvWj4=")</f>
        <v>#REF!</v>
      </c>
      <c r="BL396" t="e">
        <f>AND(#REF!,"AAAAADbvWj8=")</f>
        <v>#REF!</v>
      </c>
      <c r="BM396" t="e">
        <f>AND(#REF!,"AAAAADbvWkA=")</f>
        <v>#REF!</v>
      </c>
      <c r="BN396" t="e">
        <f>AND(#REF!,"AAAAADbvWkE=")</f>
        <v>#REF!</v>
      </c>
      <c r="BO396" t="e">
        <f>AND(#REF!,"AAAAADbvWkI=")</f>
        <v>#REF!</v>
      </c>
      <c r="BP396" t="e">
        <f>AND(#REF!,"AAAAADbvWkM=")</f>
        <v>#REF!</v>
      </c>
      <c r="BQ396" t="e">
        <f>AND(#REF!,"AAAAADbvWkQ=")</f>
        <v>#REF!</v>
      </c>
      <c r="BR396" t="e">
        <f>AND(#REF!,"AAAAADbvWkU=")</f>
        <v>#REF!</v>
      </c>
      <c r="BS396" t="e">
        <f>AND(#REF!,"AAAAADbvWkY=")</f>
        <v>#REF!</v>
      </c>
      <c r="BT396" t="e">
        <f>AND(#REF!,"AAAAADbvWkc=")</f>
        <v>#REF!</v>
      </c>
      <c r="BU396" t="e">
        <f>IF(#REF!,"AAAAADbvWkg=",0)</f>
        <v>#REF!</v>
      </c>
      <c r="BV396" t="e">
        <f>AND(#REF!,"AAAAADbvWkk=")</f>
        <v>#REF!</v>
      </c>
      <c r="BW396" t="e">
        <f>AND(#REF!,"AAAAADbvWko=")</f>
        <v>#REF!</v>
      </c>
      <c r="BX396" t="e">
        <f>AND(#REF!,"AAAAADbvWks=")</f>
        <v>#REF!</v>
      </c>
      <c r="BY396" t="e">
        <f>AND(#REF!,"AAAAADbvWkw=")</f>
        <v>#REF!</v>
      </c>
      <c r="BZ396" t="e">
        <f>AND(#REF!,"AAAAADbvWk0=")</f>
        <v>#REF!</v>
      </c>
      <c r="CA396" t="e">
        <f>AND(#REF!,"AAAAADbvWk4=")</f>
        <v>#REF!</v>
      </c>
      <c r="CB396" t="e">
        <f>AND(#REF!,"AAAAADbvWk8=")</f>
        <v>#REF!</v>
      </c>
      <c r="CC396" t="e">
        <f>AND(#REF!,"AAAAADbvWlA=")</f>
        <v>#REF!</v>
      </c>
      <c r="CD396" t="e">
        <f>AND(#REF!,"AAAAADbvWlE=")</f>
        <v>#REF!</v>
      </c>
      <c r="CE396" t="e">
        <f>AND(#REF!,"AAAAADbvWlI=")</f>
        <v>#REF!</v>
      </c>
      <c r="CF396" t="e">
        <f>IF(#REF!,"AAAAADbvWlM=",0)</f>
        <v>#REF!</v>
      </c>
      <c r="CG396" t="e">
        <f>AND(#REF!,"AAAAADbvWlQ=")</f>
        <v>#REF!</v>
      </c>
      <c r="CH396" t="e">
        <f>AND(#REF!,"AAAAADbvWlU=")</f>
        <v>#REF!</v>
      </c>
      <c r="CI396" t="e">
        <f>AND(#REF!,"AAAAADbvWlY=")</f>
        <v>#REF!</v>
      </c>
      <c r="CJ396" t="e">
        <f>AND(#REF!,"AAAAADbvWlc=")</f>
        <v>#REF!</v>
      </c>
      <c r="CK396" t="e">
        <f>AND(#REF!,"AAAAADbvWlg=")</f>
        <v>#REF!</v>
      </c>
      <c r="CL396" t="e">
        <f>AND(#REF!,"AAAAADbvWlk=")</f>
        <v>#REF!</v>
      </c>
      <c r="CM396" t="e">
        <f>AND(#REF!,"AAAAADbvWlo=")</f>
        <v>#REF!</v>
      </c>
      <c r="CN396" t="e">
        <f>AND(#REF!,"AAAAADbvWls=")</f>
        <v>#REF!</v>
      </c>
      <c r="CO396" t="e">
        <f>AND(#REF!,"AAAAADbvWlw=")</f>
        <v>#REF!</v>
      </c>
      <c r="CP396" t="e">
        <f>AND(#REF!,"AAAAADbvWl0=")</f>
        <v>#REF!</v>
      </c>
      <c r="CQ396" t="e">
        <f>IF(#REF!,"AAAAADbvWl4=",0)</f>
        <v>#REF!</v>
      </c>
      <c r="CR396" t="e">
        <f>AND(#REF!,"AAAAADbvWl8=")</f>
        <v>#REF!</v>
      </c>
      <c r="CS396" t="e">
        <f>AND(#REF!,"AAAAADbvWmA=")</f>
        <v>#REF!</v>
      </c>
      <c r="CT396" t="e">
        <f>AND(#REF!,"AAAAADbvWmE=")</f>
        <v>#REF!</v>
      </c>
      <c r="CU396" t="e">
        <f>AND(#REF!,"AAAAADbvWmI=")</f>
        <v>#REF!</v>
      </c>
      <c r="CV396" t="e">
        <f>AND(#REF!,"AAAAADbvWmM=")</f>
        <v>#REF!</v>
      </c>
      <c r="CW396" t="e">
        <f>AND(#REF!,"AAAAADbvWmQ=")</f>
        <v>#REF!</v>
      </c>
      <c r="CX396" t="e">
        <f>AND(#REF!,"AAAAADbvWmU=")</f>
        <v>#REF!</v>
      </c>
      <c r="CY396" t="e">
        <f>AND(#REF!,"AAAAADbvWmY=")</f>
        <v>#REF!</v>
      </c>
      <c r="CZ396" t="e">
        <f>AND(#REF!,"AAAAADbvWmc=")</f>
        <v>#REF!</v>
      </c>
      <c r="DA396" t="e">
        <f>AND(#REF!,"AAAAADbvWmg=")</f>
        <v>#REF!</v>
      </c>
      <c r="DB396" t="e">
        <f>IF(#REF!,"AAAAADbvWmk=",0)</f>
        <v>#REF!</v>
      </c>
      <c r="DC396" t="e">
        <f>AND(#REF!,"AAAAADbvWmo=")</f>
        <v>#REF!</v>
      </c>
      <c r="DD396" t="e">
        <f>AND(#REF!,"AAAAADbvWms=")</f>
        <v>#REF!</v>
      </c>
      <c r="DE396" t="e">
        <f>AND(#REF!,"AAAAADbvWmw=")</f>
        <v>#REF!</v>
      </c>
      <c r="DF396" t="e">
        <f>AND(#REF!,"AAAAADbvWm0=")</f>
        <v>#REF!</v>
      </c>
      <c r="DG396" t="e">
        <f>AND(#REF!,"AAAAADbvWm4=")</f>
        <v>#REF!</v>
      </c>
      <c r="DH396" t="e">
        <f>AND(#REF!,"AAAAADbvWm8=")</f>
        <v>#REF!</v>
      </c>
      <c r="DI396" t="e">
        <f>AND(#REF!,"AAAAADbvWnA=")</f>
        <v>#REF!</v>
      </c>
      <c r="DJ396" t="e">
        <f>AND(#REF!,"AAAAADbvWnE=")</f>
        <v>#REF!</v>
      </c>
      <c r="DK396" t="e">
        <f>AND(#REF!,"AAAAADbvWnI=")</f>
        <v>#REF!</v>
      </c>
      <c r="DL396" t="e">
        <f>AND(#REF!,"AAAAADbvWnM=")</f>
        <v>#REF!</v>
      </c>
      <c r="DM396" t="e">
        <f>IF(#REF!,"AAAAADbvWnQ=",0)</f>
        <v>#REF!</v>
      </c>
      <c r="DN396" t="e">
        <f>AND(#REF!,"AAAAADbvWnU=")</f>
        <v>#REF!</v>
      </c>
      <c r="DO396" t="e">
        <f>AND(#REF!,"AAAAADbvWnY=")</f>
        <v>#REF!</v>
      </c>
      <c r="DP396" t="e">
        <f>AND(#REF!,"AAAAADbvWnc=")</f>
        <v>#REF!</v>
      </c>
      <c r="DQ396" t="e">
        <f>AND(#REF!,"AAAAADbvWng=")</f>
        <v>#REF!</v>
      </c>
      <c r="DR396" t="e">
        <f>AND(#REF!,"AAAAADbvWnk=")</f>
        <v>#REF!</v>
      </c>
      <c r="DS396" t="e">
        <f>AND(#REF!,"AAAAADbvWno=")</f>
        <v>#REF!</v>
      </c>
      <c r="DT396" t="e">
        <f>AND(#REF!,"AAAAADbvWns=")</f>
        <v>#REF!</v>
      </c>
      <c r="DU396" t="e">
        <f>AND(#REF!,"AAAAADbvWnw=")</f>
        <v>#REF!</v>
      </c>
      <c r="DV396" t="e">
        <f>AND(#REF!,"AAAAADbvWn0=")</f>
        <v>#REF!</v>
      </c>
      <c r="DW396" t="e">
        <f>AND(#REF!,"AAAAADbvWn4=")</f>
        <v>#REF!</v>
      </c>
      <c r="DX396" t="e">
        <f>IF(#REF!,"AAAAADbvWn8=",0)</f>
        <v>#REF!</v>
      </c>
      <c r="DY396" t="e">
        <f>AND(#REF!,"AAAAADbvWoA=")</f>
        <v>#REF!</v>
      </c>
      <c r="DZ396" t="e">
        <f>AND(#REF!,"AAAAADbvWoE=")</f>
        <v>#REF!</v>
      </c>
      <c r="EA396" t="e">
        <f>AND(#REF!,"AAAAADbvWoI=")</f>
        <v>#REF!</v>
      </c>
      <c r="EB396" t="e">
        <f>AND(#REF!,"AAAAADbvWoM=")</f>
        <v>#REF!</v>
      </c>
      <c r="EC396" t="e">
        <f>AND(#REF!,"AAAAADbvWoQ=")</f>
        <v>#REF!</v>
      </c>
      <c r="ED396" t="e">
        <f>AND(#REF!,"AAAAADbvWoU=")</f>
        <v>#REF!</v>
      </c>
      <c r="EE396" t="e">
        <f>AND(#REF!,"AAAAADbvWoY=")</f>
        <v>#REF!</v>
      </c>
      <c r="EF396" t="e">
        <f>AND(#REF!,"AAAAADbvWoc=")</f>
        <v>#REF!</v>
      </c>
      <c r="EG396" t="e">
        <f>AND(#REF!,"AAAAADbvWog=")</f>
        <v>#REF!</v>
      </c>
      <c r="EH396" t="e">
        <f>AND(#REF!,"AAAAADbvWok=")</f>
        <v>#REF!</v>
      </c>
      <c r="EI396" t="e">
        <f>IF(#REF!,"AAAAADbvWoo=",0)</f>
        <v>#REF!</v>
      </c>
      <c r="EJ396" t="e">
        <f>AND(#REF!,"AAAAADbvWos=")</f>
        <v>#REF!</v>
      </c>
      <c r="EK396" t="e">
        <f>AND(#REF!,"AAAAADbvWow=")</f>
        <v>#REF!</v>
      </c>
      <c r="EL396" t="e">
        <f>AND(#REF!,"AAAAADbvWo0=")</f>
        <v>#REF!</v>
      </c>
      <c r="EM396" t="e">
        <f>AND(#REF!,"AAAAADbvWo4=")</f>
        <v>#REF!</v>
      </c>
      <c r="EN396" t="e">
        <f>AND(#REF!,"AAAAADbvWo8=")</f>
        <v>#REF!</v>
      </c>
      <c r="EO396" t="e">
        <f>AND(#REF!,"AAAAADbvWpA=")</f>
        <v>#REF!</v>
      </c>
      <c r="EP396" t="e">
        <f>AND(#REF!,"AAAAADbvWpE=")</f>
        <v>#REF!</v>
      </c>
      <c r="EQ396" t="e">
        <f>AND(#REF!,"AAAAADbvWpI=")</f>
        <v>#REF!</v>
      </c>
      <c r="ER396" t="e">
        <f>AND(#REF!,"AAAAADbvWpM=")</f>
        <v>#REF!</v>
      </c>
      <c r="ES396" t="e">
        <f>AND(#REF!,"AAAAADbvWpQ=")</f>
        <v>#REF!</v>
      </c>
      <c r="ET396" t="e">
        <f>IF(#REF!,"AAAAADbvWpU=",0)</f>
        <v>#REF!</v>
      </c>
      <c r="EU396" t="e">
        <f>AND(#REF!,"AAAAADbvWpY=")</f>
        <v>#REF!</v>
      </c>
      <c r="EV396" t="e">
        <f>AND(#REF!,"AAAAADbvWpc=")</f>
        <v>#REF!</v>
      </c>
      <c r="EW396" t="e">
        <f>AND(#REF!,"AAAAADbvWpg=")</f>
        <v>#REF!</v>
      </c>
      <c r="EX396" t="e">
        <f>AND(#REF!,"AAAAADbvWpk=")</f>
        <v>#REF!</v>
      </c>
      <c r="EY396" t="e">
        <f>AND(#REF!,"AAAAADbvWpo=")</f>
        <v>#REF!</v>
      </c>
      <c r="EZ396" t="e">
        <f>AND(#REF!,"AAAAADbvWps=")</f>
        <v>#REF!</v>
      </c>
      <c r="FA396" t="e">
        <f>AND(#REF!,"AAAAADbvWpw=")</f>
        <v>#REF!</v>
      </c>
      <c r="FB396" t="e">
        <f>AND(#REF!,"AAAAADbvWp0=")</f>
        <v>#REF!</v>
      </c>
      <c r="FC396" t="e">
        <f>AND(#REF!,"AAAAADbvWp4=")</f>
        <v>#REF!</v>
      </c>
      <c r="FD396" t="e">
        <f>AND(#REF!,"AAAAADbvWp8=")</f>
        <v>#REF!</v>
      </c>
      <c r="FE396" t="e">
        <f>IF(#REF!,"AAAAADbvWqA=",0)</f>
        <v>#REF!</v>
      </c>
      <c r="FF396" t="e">
        <f>AND(#REF!,"AAAAADbvWqE=")</f>
        <v>#REF!</v>
      </c>
      <c r="FG396" t="e">
        <f>AND(#REF!,"AAAAADbvWqI=")</f>
        <v>#REF!</v>
      </c>
      <c r="FH396" t="e">
        <f>AND(#REF!,"AAAAADbvWqM=")</f>
        <v>#REF!</v>
      </c>
      <c r="FI396" t="e">
        <f>AND(#REF!,"AAAAADbvWqQ=")</f>
        <v>#REF!</v>
      </c>
      <c r="FJ396" t="e">
        <f>AND(#REF!,"AAAAADbvWqU=")</f>
        <v>#REF!</v>
      </c>
      <c r="FK396" t="e">
        <f>AND(#REF!,"AAAAADbvWqY=")</f>
        <v>#REF!</v>
      </c>
      <c r="FL396" t="e">
        <f>AND(#REF!,"AAAAADbvWqc=")</f>
        <v>#REF!</v>
      </c>
      <c r="FM396" t="e">
        <f>AND(#REF!,"AAAAADbvWqg=")</f>
        <v>#REF!</v>
      </c>
      <c r="FN396" t="e">
        <f>AND(#REF!,"AAAAADbvWqk=")</f>
        <v>#REF!</v>
      </c>
      <c r="FO396" t="e">
        <f>AND(#REF!,"AAAAADbvWqo=")</f>
        <v>#REF!</v>
      </c>
      <c r="FP396" t="e">
        <f>IF(#REF!,"AAAAADbvWqs=",0)</f>
        <v>#REF!</v>
      </c>
      <c r="FQ396" t="e">
        <f>AND(#REF!,"AAAAADbvWqw=")</f>
        <v>#REF!</v>
      </c>
      <c r="FR396" t="e">
        <f>AND(#REF!,"AAAAADbvWq0=")</f>
        <v>#REF!</v>
      </c>
      <c r="FS396" t="e">
        <f>AND(#REF!,"AAAAADbvWq4=")</f>
        <v>#REF!</v>
      </c>
      <c r="FT396" t="e">
        <f>AND(#REF!,"AAAAADbvWq8=")</f>
        <v>#REF!</v>
      </c>
      <c r="FU396" t="e">
        <f>AND(#REF!,"AAAAADbvWrA=")</f>
        <v>#REF!</v>
      </c>
      <c r="FV396" t="e">
        <f>AND(#REF!,"AAAAADbvWrE=")</f>
        <v>#REF!</v>
      </c>
      <c r="FW396" t="e">
        <f>AND(#REF!,"AAAAADbvWrI=")</f>
        <v>#REF!</v>
      </c>
      <c r="FX396" t="e">
        <f>AND(#REF!,"AAAAADbvWrM=")</f>
        <v>#REF!</v>
      </c>
      <c r="FY396" t="e">
        <f>AND(#REF!,"AAAAADbvWrQ=")</f>
        <v>#REF!</v>
      </c>
      <c r="FZ396" t="e">
        <f>AND(#REF!,"AAAAADbvWrU=")</f>
        <v>#REF!</v>
      </c>
      <c r="GA396" t="e">
        <f>IF(#REF!,"AAAAADbvWrY=",0)</f>
        <v>#REF!</v>
      </c>
      <c r="GB396" t="e">
        <f>AND(#REF!,"AAAAADbvWrc=")</f>
        <v>#REF!</v>
      </c>
      <c r="GC396" t="e">
        <f>AND(#REF!,"AAAAADbvWrg=")</f>
        <v>#REF!</v>
      </c>
      <c r="GD396" t="e">
        <f>AND(#REF!,"AAAAADbvWrk=")</f>
        <v>#REF!</v>
      </c>
      <c r="GE396" t="e">
        <f>AND(#REF!,"AAAAADbvWro=")</f>
        <v>#REF!</v>
      </c>
      <c r="GF396" t="e">
        <f>AND(#REF!,"AAAAADbvWrs=")</f>
        <v>#REF!</v>
      </c>
      <c r="GG396" t="e">
        <f>AND(#REF!,"AAAAADbvWrw=")</f>
        <v>#REF!</v>
      </c>
      <c r="GH396" t="e">
        <f>AND(#REF!,"AAAAADbvWr0=")</f>
        <v>#REF!</v>
      </c>
      <c r="GI396" t="e">
        <f>AND(#REF!,"AAAAADbvWr4=")</f>
        <v>#REF!</v>
      </c>
      <c r="GJ396" t="e">
        <f>AND(#REF!,"AAAAADbvWr8=")</f>
        <v>#REF!</v>
      </c>
      <c r="GK396" t="e">
        <f>AND(#REF!,"AAAAADbvWsA=")</f>
        <v>#REF!</v>
      </c>
      <c r="GL396" t="e">
        <f>IF(#REF!,"AAAAADbvWsE=",0)</f>
        <v>#REF!</v>
      </c>
      <c r="GM396" t="e">
        <f>AND(#REF!,"AAAAADbvWsI=")</f>
        <v>#REF!</v>
      </c>
      <c r="GN396" t="e">
        <f>AND(#REF!,"AAAAADbvWsM=")</f>
        <v>#REF!</v>
      </c>
      <c r="GO396" t="e">
        <f>AND(#REF!,"AAAAADbvWsQ=")</f>
        <v>#REF!</v>
      </c>
      <c r="GP396" t="e">
        <f>AND(#REF!,"AAAAADbvWsU=")</f>
        <v>#REF!</v>
      </c>
      <c r="GQ396" t="e">
        <f>AND(#REF!,"AAAAADbvWsY=")</f>
        <v>#REF!</v>
      </c>
      <c r="GR396" t="e">
        <f>AND(#REF!,"AAAAADbvWsc=")</f>
        <v>#REF!</v>
      </c>
      <c r="GS396" t="e">
        <f>AND(#REF!,"AAAAADbvWsg=")</f>
        <v>#REF!</v>
      </c>
      <c r="GT396" t="e">
        <f>AND(#REF!,"AAAAADbvWsk=")</f>
        <v>#REF!</v>
      </c>
      <c r="GU396" t="e">
        <f>AND(#REF!,"AAAAADbvWso=")</f>
        <v>#REF!</v>
      </c>
      <c r="GV396" t="e">
        <f>AND(#REF!,"AAAAADbvWss=")</f>
        <v>#REF!</v>
      </c>
      <c r="GW396" t="e">
        <f>IF(#REF!,"AAAAADbvWsw=",0)</f>
        <v>#REF!</v>
      </c>
      <c r="GX396" t="e">
        <f>AND(#REF!,"AAAAADbvWs0=")</f>
        <v>#REF!</v>
      </c>
      <c r="GY396" t="e">
        <f>AND(#REF!,"AAAAADbvWs4=")</f>
        <v>#REF!</v>
      </c>
      <c r="GZ396" t="e">
        <f>AND(#REF!,"AAAAADbvWs8=")</f>
        <v>#REF!</v>
      </c>
      <c r="HA396" t="e">
        <f>AND(#REF!,"AAAAADbvWtA=")</f>
        <v>#REF!</v>
      </c>
      <c r="HB396" t="e">
        <f>AND(#REF!,"AAAAADbvWtE=")</f>
        <v>#REF!</v>
      </c>
      <c r="HC396" t="e">
        <f>AND(#REF!,"AAAAADbvWtI=")</f>
        <v>#REF!</v>
      </c>
      <c r="HD396" t="e">
        <f>AND(#REF!,"AAAAADbvWtM=")</f>
        <v>#REF!</v>
      </c>
      <c r="HE396" t="e">
        <f>AND(#REF!,"AAAAADbvWtQ=")</f>
        <v>#REF!</v>
      </c>
      <c r="HF396" t="e">
        <f>AND(#REF!,"AAAAADbvWtU=")</f>
        <v>#REF!</v>
      </c>
      <c r="HG396" t="e">
        <f>AND(#REF!,"AAAAADbvWtY=")</f>
        <v>#REF!</v>
      </c>
      <c r="HH396" t="e">
        <f>IF(#REF!,"AAAAADbvWtc=",0)</f>
        <v>#REF!</v>
      </c>
      <c r="HI396" t="e">
        <f>AND(#REF!,"AAAAADbvWtg=")</f>
        <v>#REF!</v>
      </c>
      <c r="HJ396" t="e">
        <f>AND(#REF!,"AAAAADbvWtk=")</f>
        <v>#REF!</v>
      </c>
      <c r="HK396" t="e">
        <f>AND(#REF!,"AAAAADbvWto=")</f>
        <v>#REF!</v>
      </c>
      <c r="HL396" t="e">
        <f>AND(#REF!,"AAAAADbvWts=")</f>
        <v>#REF!</v>
      </c>
      <c r="HM396" t="e">
        <f>AND(#REF!,"AAAAADbvWtw=")</f>
        <v>#REF!</v>
      </c>
      <c r="HN396" t="e">
        <f>AND(#REF!,"AAAAADbvWt0=")</f>
        <v>#REF!</v>
      </c>
      <c r="HO396" t="e">
        <f>AND(#REF!,"AAAAADbvWt4=")</f>
        <v>#REF!</v>
      </c>
      <c r="HP396" t="e">
        <f>AND(#REF!,"AAAAADbvWt8=")</f>
        <v>#REF!</v>
      </c>
      <c r="HQ396" t="e">
        <f>AND(#REF!,"AAAAADbvWuA=")</f>
        <v>#REF!</v>
      </c>
      <c r="HR396" t="e">
        <f>AND(#REF!,"AAAAADbvWuE=")</f>
        <v>#REF!</v>
      </c>
      <c r="HS396" t="e">
        <f>IF(#REF!,"AAAAADbvWuI=",0)</f>
        <v>#REF!</v>
      </c>
      <c r="HT396" t="e">
        <f>AND(#REF!,"AAAAADbvWuM=")</f>
        <v>#REF!</v>
      </c>
      <c r="HU396" t="e">
        <f>AND(#REF!,"AAAAADbvWuQ=")</f>
        <v>#REF!</v>
      </c>
      <c r="HV396" t="e">
        <f>AND(#REF!,"AAAAADbvWuU=")</f>
        <v>#REF!</v>
      </c>
      <c r="HW396" t="e">
        <f>AND(#REF!,"AAAAADbvWuY=")</f>
        <v>#REF!</v>
      </c>
      <c r="HX396" t="e">
        <f>AND(#REF!,"AAAAADbvWuc=")</f>
        <v>#REF!</v>
      </c>
      <c r="HY396" t="e">
        <f>AND(#REF!,"AAAAADbvWug=")</f>
        <v>#REF!</v>
      </c>
      <c r="HZ396" t="e">
        <f>AND(#REF!,"AAAAADbvWuk=")</f>
        <v>#REF!</v>
      </c>
      <c r="IA396" t="e">
        <f>AND(#REF!,"AAAAADbvWuo=")</f>
        <v>#REF!</v>
      </c>
      <c r="IB396" t="e">
        <f>AND(#REF!,"AAAAADbvWus=")</f>
        <v>#REF!</v>
      </c>
      <c r="IC396" t="e">
        <f>AND(#REF!,"AAAAADbvWuw=")</f>
        <v>#REF!</v>
      </c>
      <c r="ID396" t="e">
        <f>IF(#REF!,"AAAAADbvWu0=",0)</f>
        <v>#REF!</v>
      </c>
      <c r="IE396" t="e">
        <f>AND(#REF!,"AAAAADbvWu4=")</f>
        <v>#REF!</v>
      </c>
      <c r="IF396" t="e">
        <f>AND(#REF!,"AAAAADbvWu8=")</f>
        <v>#REF!</v>
      </c>
      <c r="IG396" t="e">
        <f>AND(#REF!,"AAAAADbvWvA=")</f>
        <v>#REF!</v>
      </c>
      <c r="IH396" t="e">
        <f>AND(#REF!,"AAAAADbvWvE=")</f>
        <v>#REF!</v>
      </c>
      <c r="II396" t="e">
        <f>AND(#REF!,"AAAAADbvWvI=")</f>
        <v>#REF!</v>
      </c>
      <c r="IJ396" t="e">
        <f>AND(#REF!,"AAAAADbvWvM=")</f>
        <v>#REF!</v>
      </c>
      <c r="IK396" t="e">
        <f>AND(#REF!,"AAAAADbvWvQ=")</f>
        <v>#REF!</v>
      </c>
      <c r="IL396" t="e">
        <f>AND(#REF!,"AAAAADbvWvU=")</f>
        <v>#REF!</v>
      </c>
      <c r="IM396" t="e">
        <f>AND(#REF!,"AAAAADbvWvY=")</f>
        <v>#REF!</v>
      </c>
      <c r="IN396" t="e">
        <f>AND(#REF!,"AAAAADbvWvc=")</f>
        <v>#REF!</v>
      </c>
      <c r="IO396" t="e">
        <f>IF(#REF!,"AAAAADbvWvg=",0)</f>
        <v>#REF!</v>
      </c>
      <c r="IP396" t="e">
        <f>AND(#REF!,"AAAAADbvWvk=")</f>
        <v>#REF!</v>
      </c>
      <c r="IQ396" t="e">
        <f>AND(#REF!,"AAAAADbvWvo=")</f>
        <v>#REF!</v>
      </c>
      <c r="IR396" t="e">
        <f>AND(#REF!,"AAAAADbvWvs=")</f>
        <v>#REF!</v>
      </c>
      <c r="IS396" t="e">
        <f>AND(#REF!,"AAAAADbvWvw=")</f>
        <v>#REF!</v>
      </c>
      <c r="IT396" t="e">
        <f>AND(#REF!,"AAAAADbvWv0=")</f>
        <v>#REF!</v>
      </c>
      <c r="IU396" t="e">
        <f>AND(#REF!,"AAAAADbvWv4=")</f>
        <v>#REF!</v>
      </c>
      <c r="IV396" t="e">
        <f>AND(#REF!,"AAAAADbvWv8=")</f>
        <v>#REF!</v>
      </c>
    </row>
    <row r="397" spans="1:256" x14ac:dyDescent="0.25">
      <c r="A397" t="e">
        <f>AND(#REF!,"AAAAAGTn/QA=")</f>
        <v>#REF!</v>
      </c>
      <c r="B397" t="e">
        <f>AND(#REF!,"AAAAAGTn/QE=")</f>
        <v>#REF!</v>
      </c>
      <c r="C397" t="e">
        <f>AND(#REF!,"AAAAAGTn/QI=")</f>
        <v>#REF!</v>
      </c>
      <c r="D397" t="e">
        <f>IF(#REF!,"AAAAAGTn/QM=",0)</f>
        <v>#REF!</v>
      </c>
      <c r="E397" t="e">
        <f>AND(#REF!,"AAAAAGTn/QQ=")</f>
        <v>#REF!</v>
      </c>
      <c r="F397" t="e">
        <f>AND(#REF!,"AAAAAGTn/QU=")</f>
        <v>#REF!</v>
      </c>
      <c r="G397" t="e">
        <f>AND(#REF!,"AAAAAGTn/QY=")</f>
        <v>#REF!</v>
      </c>
      <c r="H397" t="e">
        <f>AND(#REF!,"AAAAAGTn/Qc=")</f>
        <v>#REF!</v>
      </c>
      <c r="I397" t="e">
        <f>AND(#REF!,"AAAAAGTn/Qg=")</f>
        <v>#REF!</v>
      </c>
      <c r="J397" t="e">
        <f>AND(#REF!,"AAAAAGTn/Qk=")</f>
        <v>#REF!</v>
      </c>
      <c r="K397" t="e">
        <f>AND(#REF!,"AAAAAGTn/Qo=")</f>
        <v>#REF!</v>
      </c>
      <c r="L397" t="e">
        <f>AND(#REF!,"AAAAAGTn/Qs=")</f>
        <v>#REF!</v>
      </c>
      <c r="M397" t="e">
        <f>AND(#REF!,"AAAAAGTn/Qw=")</f>
        <v>#REF!</v>
      </c>
      <c r="N397" t="e">
        <f>AND(#REF!,"AAAAAGTn/Q0=")</f>
        <v>#REF!</v>
      </c>
      <c r="O397" t="e">
        <f>IF(#REF!,"AAAAAGTn/Q4=",0)</f>
        <v>#REF!</v>
      </c>
      <c r="P397" t="e">
        <f>AND(#REF!,"AAAAAGTn/Q8=")</f>
        <v>#REF!</v>
      </c>
      <c r="Q397" t="e">
        <f>AND(#REF!,"AAAAAGTn/RA=")</f>
        <v>#REF!</v>
      </c>
      <c r="R397" t="e">
        <f>AND(#REF!,"AAAAAGTn/RE=")</f>
        <v>#REF!</v>
      </c>
      <c r="S397" t="e">
        <f>AND(#REF!,"AAAAAGTn/RI=")</f>
        <v>#REF!</v>
      </c>
      <c r="T397" t="e">
        <f>AND(#REF!,"AAAAAGTn/RM=")</f>
        <v>#REF!</v>
      </c>
      <c r="U397" t="e">
        <f>AND(#REF!,"AAAAAGTn/RQ=")</f>
        <v>#REF!</v>
      </c>
      <c r="V397" t="e">
        <f>AND(#REF!,"AAAAAGTn/RU=")</f>
        <v>#REF!</v>
      </c>
      <c r="W397" t="e">
        <f>AND(#REF!,"AAAAAGTn/RY=")</f>
        <v>#REF!</v>
      </c>
      <c r="X397" t="e">
        <f>AND(#REF!,"AAAAAGTn/Rc=")</f>
        <v>#REF!</v>
      </c>
      <c r="Y397" t="e">
        <f>AND(#REF!,"AAAAAGTn/Rg=")</f>
        <v>#REF!</v>
      </c>
      <c r="Z397" t="e">
        <f>IF(#REF!,"AAAAAGTn/Rk=",0)</f>
        <v>#REF!</v>
      </c>
      <c r="AA397" t="e">
        <f>AND(#REF!,"AAAAAGTn/Ro=")</f>
        <v>#REF!</v>
      </c>
      <c r="AB397" t="e">
        <f>AND(#REF!,"AAAAAGTn/Rs=")</f>
        <v>#REF!</v>
      </c>
      <c r="AC397" t="e">
        <f>AND(#REF!,"AAAAAGTn/Rw=")</f>
        <v>#REF!</v>
      </c>
      <c r="AD397" t="e">
        <f>AND(#REF!,"AAAAAGTn/R0=")</f>
        <v>#REF!</v>
      </c>
      <c r="AE397" t="e">
        <f>AND(#REF!,"AAAAAGTn/R4=")</f>
        <v>#REF!</v>
      </c>
      <c r="AF397" t="e">
        <f>AND(#REF!,"AAAAAGTn/R8=")</f>
        <v>#REF!</v>
      </c>
      <c r="AG397" t="e">
        <f>AND(#REF!,"AAAAAGTn/SA=")</f>
        <v>#REF!</v>
      </c>
      <c r="AH397" t="e">
        <f>AND(#REF!,"AAAAAGTn/SE=")</f>
        <v>#REF!</v>
      </c>
      <c r="AI397" t="e">
        <f>AND(#REF!,"AAAAAGTn/SI=")</f>
        <v>#REF!</v>
      </c>
      <c r="AJ397" t="e">
        <f>AND(#REF!,"AAAAAGTn/SM=")</f>
        <v>#REF!</v>
      </c>
      <c r="AK397" t="e">
        <f>IF(#REF!,"AAAAAGTn/SQ=",0)</f>
        <v>#REF!</v>
      </c>
      <c r="AL397" t="e">
        <f>AND(#REF!,"AAAAAGTn/SU=")</f>
        <v>#REF!</v>
      </c>
      <c r="AM397" t="e">
        <f>AND(#REF!,"AAAAAGTn/SY=")</f>
        <v>#REF!</v>
      </c>
      <c r="AN397" t="e">
        <f>AND(#REF!,"AAAAAGTn/Sc=")</f>
        <v>#REF!</v>
      </c>
      <c r="AO397" t="e">
        <f>AND(#REF!,"AAAAAGTn/Sg=")</f>
        <v>#REF!</v>
      </c>
      <c r="AP397" t="e">
        <f>AND(#REF!,"AAAAAGTn/Sk=")</f>
        <v>#REF!</v>
      </c>
      <c r="AQ397" t="e">
        <f>AND(#REF!,"AAAAAGTn/So=")</f>
        <v>#REF!</v>
      </c>
      <c r="AR397" t="e">
        <f>AND(#REF!,"AAAAAGTn/Ss=")</f>
        <v>#REF!</v>
      </c>
      <c r="AS397" t="e">
        <f>AND(#REF!,"AAAAAGTn/Sw=")</f>
        <v>#REF!</v>
      </c>
      <c r="AT397" t="e">
        <f>AND(#REF!,"AAAAAGTn/S0=")</f>
        <v>#REF!</v>
      </c>
      <c r="AU397" t="e">
        <f>AND(#REF!,"AAAAAGTn/S4=")</f>
        <v>#REF!</v>
      </c>
      <c r="AV397" t="e">
        <f>IF(#REF!,"AAAAAGTn/S8=",0)</f>
        <v>#REF!</v>
      </c>
      <c r="AW397" t="e">
        <f>AND(#REF!,"AAAAAGTn/TA=")</f>
        <v>#REF!</v>
      </c>
      <c r="AX397" t="e">
        <f>AND(#REF!,"AAAAAGTn/TE=")</f>
        <v>#REF!</v>
      </c>
      <c r="AY397" t="e">
        <f>AND(#REF!,"AAAAAGTn/TI=")</f>
        <v>#REF!</v>
      </c>
      <c r="AZ397" t="e">
        <f>AND(#REF!,"AAAAAGTn/TM=")</f>
        <v>#REF!</v>
      </c>
      <c r="BA397" t="e">
        <f>AND(#REF!,"AAAAAGTn/TQ=")</f>
        <v>#REF!</v>
      </c>
      <c r="BB397" t="e">
        <f>AND(#REF!,"AAAAAGTn/TU=")</f>
        <v>#REF!</v>
      </c>
      <c r="BC397" t="e">
        <f>AND(#REF!,"AAAAAGTn/TY=")</f>
        <v>#REF!</v>
      </c>
      <c r="BD397" t="e">
        <f>AND(#REF!,"AAAAAGTn/Tc=")</f>
        <v>#REF!</v>
      </c>
      <c r="BE397" t="e">
        <f>AND(#REF!,"AAAAAGTn/Tg=")</f>
        <v>#REF!</v>
      </c>
      <c r="BF397" t="e">
        <f>AND(#REF!,"AAAAAGTn/Tk=")</f>
        <v>#REF!</v>
      </c>
      <c r="BG397" t="e">
        <f>IF(#REF!,"AAAAAGTn/To=",0)</f>
        <v>#REF!</v>
      </c>
      <c r="BH397" t="e">
        <f>AND(#REF!,"AAAAAGTn/Ts=")</f>
        <v>#REF!</v>
      </c>
      <c r="BI397" t="e">
        <f>AND(#REF!,"AAAAAGTn/Tw=")</f>
        <v>#REF!</v>
      </c>
      <c r="BJ397" t="e">
        <f>AND(#REF!,"AAAAAGTn/T0=")</f>
        <v>#REF!</v>
      </c>
      <c r="BK397" t="e">
        <f>AND(#REF!,"AAAAAGTn/T4=")</f>
        <v>#REF!</v>
      </c>
      <c r="BL397" t="e">
        <f>AND(#REF!,"AAAAAGTn/T8=")</f>
        <v>#REF!</v>
      </c>
      <c r="BM397" t="e">
        <f>AND(#REF!,"AAAAAGTn/UA=")</f>
        <v>#REF!</v>
      </c>
      <c r="BN397" t="e">
        <f>AND(#REF!,"AAAAAGTn/UE=")</f>
        <v>#REF!</v>
      </c>
      <c r="BO397" t="e">
        <f>AND(#REF!,"AAAAAGTn/UI=")</f>
        <v>#REF!</v>
      </c>
      <c r="BP397" t="e">
        <f>AND(#REF!,"AAAAAGTn/UM=")</f>
        <v>#REF!</v>
      </c>
      <c r="BQ397" t="e">
        <f>AND(#REF!,"AAAAAGTn/UQ=")</f>
        <v>#REF!</v>
      </c>
      <c r="BR397" t="e">
        <f>IF(#REF!,"AAAAAGTn/UU=",0)</f>
        <v>#REF!</v>
      </c>
      <c r="BS397" t="e">
        <f>AND(#REF!,"AAAAAGTn/UY=")</f>
        <v>#REF!</v>
      </c>
      <c r="BT397" t="e">
        <f>AND(#REF!,"AAAAAGTn/Uc=")</f>
        <v>#REF!</v>
      </c>
      <c r="BU397" t="e">
        <f>AND(#REF!,"AAAAAGTn/Ug=")</f>
        <v>#REF!</v>
      </c>
      <c r="BV397" t="e">
        <f>AND(#REF!,"AAAAAGTn/Uk=")</f>
        <v>#REF!</v>
      </c>
      <c r="BW397" t="e">
        <f>AND(#REF!,"AAAAAGTn/Uo=")</f>
        <v>#REF!</v>
      </c>
      <c r="BX397" t="e">
        <f>AND(#REF!,"AAAAAGTn/Us=")</f>
        <v>#REF!</v>
      </c>
      <c r="BY397" t="e">
        <f>AND(#REF!,"AAAAAGTn/Uw=")</f>
        <v>#REF!</v>
      </c>
      <c r="BZ397" t="e">
        <f>AND(#REF!,"AAAAAGTn/U0=")</f>
        <v>#REF!</v>
      </c>
      <c r="CA397" t="e">
        <f>AND(#REF!,"AAAAAGTn/U4=")</f>
        <v>#REF!</v>
      </c>
      <c r="CB397" t="e">
        <f>AND(#REF!,"AAAAAGTn/U8=")</f>
        <v>#REF!</v>
      </c>
      <c r="CC397" t="e">
        <f>IF(#REF!,"AAAAAGTn/VA=",0)</f>
        <v>#REF!</v>
      </c>
      <c r="CD397" t="e">
        <f>AND(#REF!,"AAAAAGTn/VE=")</f>
        <v>#REF!</v>
      </c>
      <c r="CE397" t="e">
        <f>AND(#REF!,"AAAAAGTn/VI=")</f>
        <v>#REF!</v>
      </c>
      <c r="CF397" t="e">
        <f>AND(#REF!,"AAAAAGTn/VM=")</f>
        <v>#REF!</v>
      </c>
      <c r="CG397" t="e">
        <f>AND(#REF!,"AAAAAGTn/VQ=")</f>
        <v>#REF!</v>
      </c>
      <c r="CH397" t="e">
        <f>AND(#REF!,"AAAAAGTn/VU=")</f>
        <v>#REF!</v>
      </c>
      <c r="CI397" t="e">
        <f>AND(#REF!,"AAAAAGTn/VY=")</f>
        <v>#REF!</v>
      </c>
      <c r="CJ397" t="e">
        <f>AND(#REF!,"AAAAAGTn/Vc=")</f>
        <v>#REF!</v>
      </c>
      <c r="CK397" t="e">
        <f>AND(#REF!,"AAAAAGTn/Vg=")</f>
        <v>#REF!</v>
      </c>
      <c r="CL397" t="e">
        <f>AND(#REF!,"AAAAAGTn/Vk=")</f>
        <v>#REF!</v>
      </c>
      <c r="CM397" t="e">
        <f>AND(#REF!,"AAAAAGTn/Vo=")</f>
        <v>#REF!</v>
      </c>
      <c r="CN397" t="e">
        <f>IF(#REF!,"AAAAAGTn/Vs=",0)</f>
        <v>#REF!</v>
      </c>
      <c r="CO397" t="e">
        <f>AND(#REF!,"AAAAAGTn/Vw=")</f>
        <v>#REF!</v>
      </c>
      <c r="CP397" t="e">
        <f>AND(#REF!,"AAAAAGTn/V0=")</f>
        <v>#REF!</v>
      </c>
      <c r="CQ397" t="e">
        <f>AND(#REF!,"AAAAAGTn/V4=")</f>
        <v>#REF!</v>
      </c>
      <c r="CR397" t="e">
        <f>AND(#REF!,"AAAAAGTn/V8=")</f>
        <v>#REF!</v>
      </c>
      <c r="CS397" t="e">
        <f>AND(#REF!,"AAAAAGTn/WA=")</f>
        <v>#REF!</v>
      </c>
      <c r="CT397" t="e">
        <f>AND(#REF!,"AAAAAGTn/WE=")</f>
        <v>#REF!</v>
      </c>
      <c r="CU397" t="e">
        <f>AND(#REF!,"AAAAAGTn/WI=")</f>
        <v>#REF!</v>
      </c>
      <c r="CV397" t="e">
        <f>AND(#REF!,"AAAAAGTn/WM=")</f>
        <v>#REF!</v>
      </c>
      <c r="CW397" t="e">
        <f>AND(#REF!,"AAAAAGTn/WQ=")</f>
        <v>#REF!</v>
      </c>
      <c r="CX397" t="e">
        <f>AND(#REF!,"AAAAAGTn/WU=")</f>
        <v>#REF!</v>
      </c>
      <c r="CY397" t="e">
        <f>IF(#REF!,"AAAAAGTn/WY=",0)</f>
        <v>#REF!</v>
      </c>
      <c r="CZ397" t="e">
        <f>AND(#REF!,"AAAAAGTn/Wc=")</f>
        <v>#REF!</v>
      </c>
      <c r="DA397" t="e">
        <f>AND(#REF!,"AAAAAGTn/Wg=")</f>
        <v>#REF!</v>
      </c>
      <c r="DB397" t="e">
        <f>AND(#REF!,"AAAAAGTn/Wk=")</f>
        <v>#REF!</v>
      </c>
      <c r="DC397" t="e">
        <f>AND(#REF!,"AAAAAGTn/Wo=")</f>
        <v>#REF!</v>
      </c>
      <c r="DD397" t="e">
        <f>AND(#REF!,"AAAAAGTn/Ws=")</f>
        <v>#REF!</v>
      </c>
      <c r="DE397" t="e">
        <f>AND(#REF!,"AAAAAGTn/Ww=")</f>
        <v>#REF!</v>
      </c>
      <c r="DF397" t="e">
        <f>AND(#REF!,"AAAAAGTn/W0=")</f>
        <v>#REF!</v>
      </c>
      <c r="DG397" t="e">
        <f>AND(#REF!,"AAAAAGTn/W4=")</f>
        <v>#REF!</v>
      </c>
      <c r="DH397" t="e">
        <f>AND(#REF!,"AAAAAGTn/W8=")</f>
        <v>#REF!</v>
      </c>
      <c r="DI397" t="e">
        <f>AND(#REF!,"AAAAAGTn/XA=")</f>
        <v>#REF!</v>
      </c>
      <c r="DJ397" t="e">
        <f>IF(#REF!,"AAAAAGTn/XE=",0)</f>
        <v>#REF!</v>
      </c>
      <c r="DK397" t="e">
        <f>AND(#REF!,"AAAAAGTn/XI=")</f>
        <v>#REF!</v>
      </c>
      <c r="DL397" t="e">
        <f>AND(#REF!,"AAAAAGTn/XM=")</f>
        <v>#REF!</v>
      </c>
      <c r="DM397" t="e">
        <f>AND(#REF!,"AAAAAGTn/XQ=")</f>
        <v>#REF!</v>
      </c>
      <c r="DN397" t="e">
        <f>AND(#REF!,"AAAAAGTn/XU=")</f>
        <v>#REF!</v>
      </c>
      <c r="DO397" t="e">
        <f>AND(#REF!,"AAAAAGTn/XY=")</f>
        <v>#REF!</v>
      </c>
      <c r="DP397" t="e">
        <f>AND(#REF!,"AAAAAGTn/Xc=")</f>
        <v>#REF!</v>
      </c>
      <c r="DQ397" t="e">
        <f>AND(#REF!,"AAAAAGTn/Xg=")</f>
        <v>#REF!</v>
      </c>
      <c r="DR397" t="e">
        <f>AND(#REF!,"AAAAAGTn/Xk=")</f>
        <v>#REF!</v>
      </c>
      <c r="DS397" t="e">
        <f>AND(#REF!,"AAAAAGTn/Xo=")</f>
        <v>#REF!</v>
      </c>
      <c r="DT397" t="e">
        <f>AND(#REF!,"AAAAAGTn/Xs=")</f>
        <v>#REF!</v>
      </c>
      <c r="DU397" t="e">
        <f>IF(#REF!,"AAAAAGTn/Xw=",0)</f>
        <v>#REF!</v>
      </c>
      <c r="DV397" t="e">
        <f>AND(#REF!,"AAAAAGTn/X0=")</f>
        <v>#REF!</v>
      </c>
      <c r="DW397" t="e">
        <f>AND(#REF!,"AAAAAGTn/X4=")</f>
        <v>#REF!</v>
      </c>
      <c r="DX397" t="e">
        <f>AND(#REF!,"AAAAAGTn/X8=")</f>
        <v>#REF!</v>
      </c>
      <c r="DY397" t="e">
        <f>AND(#REF!,"AAAAAGTn/YA=")</f>
        <v>#REF!</v>
      </c>
      <c r="DZ397" t="e">
        <f>AND(#REF!,"AAAAAGTn/YE=")</f>
        <v>#REF!</v>
      </c>
      <c r="EA397" t="e">
        <f>AND(#REF!,"AAAAAGTn/YI=")</f>
        <v>#REF!</v>
      </c>
      <c r="EB397" t="e">
        <f>AND(#REF!,"AAAAAGTn/YM=")</f>
        <v>#REF!</v>
      </c>
      <c r="EC397" t="e">
        <f>AND(#REF!,"AAAAAGTn/YQ=")</f>
        <v>#REF!</v>
      </c>
      <c r="ED397" t="e">
        <f>AND(#REF!,"AAAAAGTn/YU=")</f>
        <v>#REF!</v>
      </c>
      <c r="EE397" t="e">
        <f>AND(#REF!,"AAAAAGTn/YY=")</f>
        <v>#REF!</v>
      </c>
      <c r="EF397" t="e">
        <f>IF(#REF!,"AAAAAGTn/Yc=",0)</f>
        <v>#REF!</v>
      </c>
      <c r="EG397" t="e">
        <f>AND(#REF!,"AAAAAGTn/Yg=")</f>
        <v>#REF!</v>
      </c>
      <c r="EH397" t="e">
        <f>AND(#REF!,"AAAAAGTn/Yk=")</f>
        <v>#REF!</v>
      </c>
      <c r="EI397" t="e">
        <f>AND(#REF!,"AAAAAGTn/Yo=")</f>
        <v>#REF!</v>
      </c>
      <c r="EJ397" t="e">
        <f>AND(#REF!,"AAAAAGTn/Ys=")</f>
        <v>#REF!</v>
      </c>
      <c r="EK397" t="e">
        <f>AND(#REF!,"AAAAAGTn/Yw=")</f>
        <v>#REF!</v>
      </c>
      <c r="EL397" t="e">
        <f>AND(#REF!,"AAAAAGTn/Y0=")</f>
        <v>#REF!</v>
      </c>
      <c r="EM397" t="e">
        <f>AND(#REF!,"AAAAAGTn/Y4=")</f>
        <v>#REF!</v>
      </c>
      <c r="EN397" t="e">
        <f>AND(#REF!,"AAAAAGTn/Y8=")</f>
        <v>#REF!</v>
      </c>
      <c r="EO397" t="e">
        <f>AND(#REF!,"AAAAAGTn/ZA=")</f>
        <v>#REF!</v>
      </c>
      <c r="EP397" t="e">
        <f>AND(#REF!,"AAAAAGTn/ZE=")</f>
        <v>#REF!</v>
      </c>
      <c r="EQ397" t="e">
        <f>IF(#REF!,"AAAAAGTn/ZI=",0)</f>
        <v>#REF!</v>
      </c>
      <c r="ER397" t="e">
        <f>AND(#REF!,"AAAAAGTn/ZM=")</f>
        <v>#REF!</v>
      </c>
      <c r="ES397" t="e">
        <f>AND(#REF!,"AAAAAGTn/ZQ=")</f>
        <v>#REF!</v>
      </c>
      <c r="ET397" t="e">
        <f>AND(#REF!,"AAAAAGTn/ZU=")</f>
        <v>#REF!</v>
      </c>
      <c r="EU397" t="e">
        <f>AND(#REF!,"AAAAAGTn/ZY=")</f>
        <v>#REF!</v>
      </c>
      <c r="EV397" t="e">
        <f>AND(#REF!,"AAAAAGTn/Zc=")</f>
        <v>#REF!</v>
      </c>
      <c r="EW397" t="e">
        <f>AND(#REF!,"AAAAAGTn/Zg=")</f>
        <v>#REF!</v>
      </c>
      <c r="EX397" t="e">
        <f>AND(#REF!,"AAAAAGTn/Zk=")</f>
        <v>#REF!</v>
      </c>
      <c r="EY397" t="e">
        <f>AND(#REF!,"AAAAAGTn/Zo=")</f>
        <v>#REF!</v>
      </c>
      <c r="EZ397" t="e">
        <f>AND(#REF!,"AAAAAGTn/Zs=")</f>
        <v>#REF!</v>
      </c>
      <c r="FA397" t="e">
        <f>AND(#REF!,"AAAAAGTn/Zw=")</f>
        <v>#REF!</v>
      </c>
      <c r="FB397" t="e">
        <f>IF(#REF!,"AAAAAGTn/Z0=",0)</f>
        <v>#REF!</v>
      </c>
      <c r="FC397" t="e">
        <f>AND(#REF!,"AAAAAGTn/Z4=")</f>
        <v>#REF!</v>
      </c>
      <c r="FD397" t="e">
        <f>AND(#REF!,"AAAAAGTn/Z8=")</f>
        <v>#REF!</v>
      </c>
      <c r="FE397" t="e">
        <f>AND(#REF!,"AAAAAGTn/aA=")</f>
        <v>#REF!</v>
      </c>
      <c r="FF397" t="e">
        <f>AND(#REF!,"AAAAAGTn/aE=")</f>
        <v>#REF!</v>
      </c>
      <c r="FG397" t="e">
        <f>AND(#REF!,"AAAAAGTn/aI=")</f>
        <v>#REF!</v>
      </c>
      <c r="FH397" t="e">
        <f>AND(#REF!,"AAAAAGTn/aM=")</f>
        <v>#REF!</v>
      </c>
      <c r="FI397" t="e">
        <f>AND(#REF!,"AAAAAGTn/aQ=")</f>
        <v>#REF!</v>
      </c>
      <c r="FJ397" t="e">
        <f>AND(#REF!,"AAAAAGTn/aU=")</f>
        <v>#REF!</v>
      </c>
      <c r="FK397" t="e">
        <f>AND(#REF!,"AAAAAGTn/aY=")</f>
        <v>#REF!</v>
      </c>
      <c r="FL397" t="e">
        <f>AND(#REF!,"AAAAAGTn/ac=")</f>
        <v>#REF!</v>
      </c>
      <c r="FM397" t="e">
        <f>IF(#REF!,"AAAAAGTn/ag=",0)</f>
        <v>#REF!</v>
      </c>
      <c r="FN397" t="e">
        <f>AND(#REF!,"AAAAAGTn/ak=")</f>
        <v>#REF!</v>
      </c>
      <c r="FO397" t="e">
        <f>AND(#REF!,"AAAAAGTn/ao=")</f>
        <v>#REF!</v>
      </c>
      <c r="FP397" t="e">
        <f>AND(#REF!,"AAAAAGTn/as=")</f>
        <v>#REF!</v>
      </c>
      <c r="FQ397" t="e">
        <f>AND(#REF!,"AAAAAGTn/aw=")</f>
        <v>#REF!</v>
      </c>
      <c r="FR397" t="e">
        <f>AND(#REF!,"AAAAAGTn/a0=")</f>
        <v>#REF!</v>
      </c>
      <c r="FS397" t="e">
        <f>AND(#REF!,"AAAAAGTn/a4=")</f>
        <v>#REF!</v>
      </c>
      <c r="FT397" t="e">
        <f>AND(#REF!,"AAAAAGTn/a8=")</f>
        <v>#REF!</v>
      </c>
      <c r="FU397" t="e">
        <f>AND(#REF!,"AAAAAGTn/bA=")</f>
        <v>#REF!</v>
      </c>
      <c r="FV397" t="e">
        <f>AND(#REF!,"AAAAAGTn/bE=")</f>
        <v>#REF!</v>
      </c>
      <c r="FW397" t="e">
        <f>AND(#REF!,"AAAAAGTn/bI=")</f>
        <v>#REF!</v>
      </c>
      <c r="FX397" t="e">
        <f>IF(#REF!,"AAAAAGTn/bM=",0)</f>
        <v>#REF!</v>
      </c>
      <c r="FY397" t="e">
        <f>AND(#REF!,"AAAAAGTn/bQ=")</f>
        <v>#REF!</v>
      </c>
      <c r="FZ397" t="e">
        <f>AND(#REF!,"AAAAAGTn/bU=")</f>
        <v>#REF!</v>
      </c>
      <c r="GA397" t="e">
        <f>AND(#REF!,"AAAAAGTn/bY=")</f>
        <v>#REF!</v>
      </c>
      <c r="GB397" t="e">
        <f>AND(#REF!,"AAAAAGTn/bc=")</f>
        <v>#REF!</v>
      </c>
      <c r="GC397" t="e">
        <f>AND(#REF!,"AAAAAGTn/bg=")</f>
        <v>#REF!</v>
      </c>
      <c r="GD397" t="e">
        <f>AND(#REF!,"AAAAAGTn/bk=")</f>
        <v>#REF!</v>
      </c>
      <c r="GE397" t="e">
        <f>AND(#REF!,"AAAAAGTn/bo=")</f>
        <v>#REF!</v>
      </c>
      <c r="GF397" t="e">
        <f>AND(#REF!,"AAAAAGTn/bs=")</f>
        <v>#REF!</v>
      </c>
      <c r="GG397" t="e">
        <f>AND(#REF!,"AAAAAGTn/bw=")</f>
        <v>#REF!</v>
      </c>
      <c r="GH397" t="e">
        <f>AND(#REF!,"AAAAAGTn/b0=")</f>
        <v>#REF!</v>
      </c>
      <c r="GI397" t="e">
        <f>IF(#REF!,"AAAAAGTn/b4=",0)</f>
        <v>#REF!</v>
      </c>
      <c r="GJ397" t="e">
        <f>AND(#REF!,"AAAAAGTn/b8=")</f>
        <v>#REF!</v>
      </c>
      <c r="GK397" t="e">
        <f>AND(#REF!,"AAAAAGTn/cA=")</f>
        <v>#REF!</v>
      </c>
      <c r="GL397" t="e">
        <f>AND(#REF!,"AAAAAGTn/cE=")</f>
        <v>#REF!</v>
      </c>
      <c r="GM397" t="e">
        <f>AND(#REF!,"AAAAAGTn/cI=")</f>
        <v>#REF!</v>
      </c>
      <c r="GN397" t="e">
        <f>AND(#REF!,"AAAAAGTn/cM=")</f>
        <v>#REF!</v>
      </c>
      <c r="GO397" t="e">
        <f>AND(#REF!,"AAAAAGTn/cQ=")</f>
        <v>#REF!</v>
      </c>
      <c r="GP397" t="e">
        <f>AND(#REF!,"AAAAAGTn/cU=")</f>
        <v>#REF!</v>
      </c>
      <c r="GQ397" t="e">
        <f>AND(#REF!,"AAAAAGTn/cY=")</f>
        <v>#REF!</v>
      </c>
      <c r="GR397" t="e">
        <f>AND(#REF!,"AAAAAGTn/cc=")</f>
        <v>#REF!</v>
      </c>
      <c r="GS397" t="e">
        <f>AND(#REF!,"AAAAAGTn/cg=")</f>
        <v>#REF!</v>
      </c>
      <c r="GT397" t="e">
        <f>IF(#REF!,"AAAAAGTn/ck=",0)</f>
        <v>#REF!</v>
      </c>
      <c r="GU397" t="e">
        <f>AND(#REF!,"AAAAAGTn/co=")</f>
        <v>#REF!</v>
      </c>
      <c r="GV397" t="e">
        <f>AND(#REF!,"AAAAAGTn/cs=")</f>
        <v>#REF!</v>
      </c>
      <c r="GW397" t="e">
        <f>AND(#REF!,"AAAAAGTn/cw=")</f>
        <v>#REF!</v>
      </c>
      <c r="GX397" t="e">
        <f>AND(#REF!,"AAAAAGTn/c0=")</f>
        <v>#REF!</v>
      </c>
      <c r="GY397" t="e">
        <f>AND(#REF!,"AAAAAGTn/c4=")</f>
        <v>#REF!</v>
      </c>
      <c r="GZ397" t="e">
        <f>AND(#REF!,"AAAAAGTn/c8=")</f>
        <v>#REF!</v>
      </c>
      <c r="HA397" t="e">
        <f>AND(#REF!,"AAAAAGTn/dA=")</f>
        <v>#REF!</v>
      </c>
      <c r="HB397" t="e">
        <f>AND(#REF!,"AAAAAGTn/dE=")</f>
        <v>#REF!</v>
      </c>
      <c r="HC397" t="e">
        <f>AND(#REF!,"AAAAAGTn/dI=")</f>
        <v>#REF!</v>
      </c>
      <c r="HD397" t="e">
        <f>AND(#REF!,"AAAAAGTn/dM=")</f>
        <v>#REF!</v>
      </c>
      <c r="HE397" t="e">
        <f>IF(#REF!,"AAAAAGTn/dQ=",0)</f>
        <v>#REF!</v>
      </c>
      <c r="HF397" t="e">
        <f>AND(#REF!,"AAAAAGTn/dU=")</f>
        <v>#REF!</v>
      </c>
      <c r="HG397" t="e">
        <f>AND(#REF!,"AAAAAGTn/dY=")</f>
        <v>#REF!</v>
      </c>
      <c r="HH397" t="e">
        <f>AND(#REF!,"AAAAAGTn/dc=")</f>
        <v>#REF!</v>
      </c>
      <c r="HI397" t="e">
        <f>AND(#REF!,"AAAAAGTn/dg=")</f>
        <v>#REF!</v>
      </c>
      <c r="HJ397" t="e">
        <f>AND(#REF!,"AAAAAGTn/dk=")</f>
        <v>#REF!</v>
      </c>
      <c r="HK397" t="e">
        <f>AND(#REF!,"AAAAAGTn/do=")</f>
        <v>#REF!</v>
      </c>
      <c r="HL397" t="e">
        <f>AND(#REF!,"AAAAAGTn/ds=")</f>
        <v>#REF!</v>
      </c>
      <c r="HM397" t="e">
        <f>AND(#REF!,"AAAAAGTn/dw=")</f>
        <v>#REF!</v>
      </c>
      <c r="HN397" t="e">
        <f>AND(#REF!,"AAAAAGTn/d0=")</f>
        <v>#REF!</v>
      </c>
      <c r="HO397" t="e">
        <f>AND(#REF!,"AAAAAGTn/d4=")</f>
        <v>#REF!</v>
      </c>
      <c r="HP397" t="e">
        <f>IF(#REF!,"AAAAAGTn/d8=",0)</f>
        <v>#REF!</v>
      </c>
      <c r="HQ397" t="e">
        <f>AND(#REF!,"AAAAAGTn/eA=")</f>
        <v>#REF!</v>
      </c>
      <c r="HR397" t="e">
        <f>AND(#REF!,"AAAAAGTn/eE=")</f>
        <v>#REF!</v>
      </c>
      <c r="HS397" t="e">
        <f>AND(#REF!,"AAAAAGTn/eI=")</f>
        <v>#REF!</v>
      </c>
      <c r="HT397" t="e">
        <f>AND(#REF!,"AAAAAGTn/eM=")</f>
        <v>#REF!</v>
      </c>
      <c r="HU397" t="e">
        <f>AND(#REF!,"AAAAAGTn/eQ=")</f>
        <v>#REF!</v>
      </c>
      <c r="HV397" t="e">
        <f>AND(#REF!,"AAAAAGTn/eU=")</f>
        <v>#REF!</v>
      </c>
      <c r="HW397" t="e">
        <f>AND(#REF!,"AAAAAGTn/eY=")</f>
        <v>#REF!</v>
      </c>
      <c r="HX397" t="e">
        <f>AND(#REF!,"AAAAAGTn/ec=")</f>
        <v>#REF!</v>
      </c>
      <c r="HY397" t="e">
        <f>AND(#REF!,"AAAAAGTn/eg=")</f>
        <v>#REF!</v>
      </c>
      <c r="HZ397" t="e">
        <f>AND(#REF!,"AAAAAGTn/ek=")</f>
        <v>#REF!</v>
      </c>
      <c r="IA397" t="e">
        <f>IF(#REF!,"AAAAAGTn/eo=",0)</f>
        <v>#REF!</v>
      </c>
      <c r="IB397" t="e">
        <f>AND(#REF!,"AAAAAGTn/es=")</f>
        <v>#REF!</v>
      </c>
      <c r="IC397" t="e">
        <f>AND(#REF!,"AAAAAGTn/ew=")</f>
        <v>#REF!</v>
      </c>
      <c r="ID397" t="e">
        <f>AND(#REF!,"AAAAAGTn/e0=")</f>
        <v>#REF!</v>
      </c>
      <c r="IE397" t="e">
        <f>AND(#REF!,"AAAAAGTn/e4=")</f>
        <v>#REF!</v>
      </c>
      <c r="IF397" t="e">
        <f>AND(#REF!,"AAAAAGTn/e8=")</f>
        <v>#REF!</v>
      </c>
      <c r="IG397" t="e">
        <f>AND(#REF!,"AAAAAGTn/fA=")</f>
        <v>#REF!</v>
      </c>
      <c r="IH397" t="e">
        <f>AND(#REF!,"AAAAAGTn/fE=")</f>
        <v>#REF!</v>
      </c>
      <c r="II397" t="e">
        <f>AND(#REF!,"AAAAAGTn/fI=")</f>
        <v>#REF!</v>
      </c>
      <c r="IJ397" t="e">
        <f>AND(#REF!,"AAAAAGTn/fM=")</f>
        <v>#REF!</v>
      </c>
      <c r="IK397" t="e">
        <f>AND(#REF!,"AAAAAGTn/fQ=")</f>
        <v>#REF!</v>
      </c>
      <c r="IL397" t="e">
        <f>IF(#REF!,"AAAAAGTn/fU=",0)</f>
        <v>#REF!</v>
      </c>
      <c r="IM397" t="e">
        <f>AND(#REF!,"AAAAAGTn/fY=")</f>
        <v>#REF!</v>
      </c>
      <c r="IN397" t="e">
        <f>AND(#REF!,"AAAAAGTn/fc=")</f>
        <v>#REF!</v>
      </c>
      <c r="IO397" t="e">
        <f>AND(#REF!,"AAAAAGTn/fg=")</f>
        <v>#REF!</v>
      </c>
      <c r="IP397" t="e">
        <f>AND(#REF!,"AAAAAGTn/fk=")</f>
        <v>#REF!</v>
      </c>
      <c r="IQ397" t="e">
        <f>AND(#REF!,"AAAAAGTn/fo=")</f>
        <v>#REF!</v>
      </c>
      <c r="IR397" t="e">
        <f>AND(#REF!,"AAAAAGTn/fs=")</f>
        <v>#REF!</v>
      </c>
      <c r="IS397" t="e">
        <f>AND(#REF!,"AAAAAGTn/fw=")</f>
        <v>#REF!</v>
      </c>
      <c r="IT397" t="e">
        <f>AND(#REF!,"AAAAAGTn/f0=")</f>
        <v>#REF!</v>
      </c>
      <c r="IU397" t="e">
        <f>AND(#REF!,"AAAAAGTn/f4=")</f>
        <v>#REF!</v>
      </c>
      <c r="IV397" t="e">
        <f>AND(#REF!,"AAAAAGTn/f8=")</f>
        <v>#REF!</v>
      </c>
    </row>
    <row r="398" spans="1:256" x14ac:dyDescent="0.25">
      <c r="A398" t="e">
        <f>IF(#REF!,"AAAAAH/7+gA=",0)</f>
        <v>#REF!</v>
      </c>
      <c r="B398" t="e">
        <f>AND(#REF!,"AAAAAH/7+gE=")</f>
        <v>#REF!</v>
      </c>
      <c r="C398" t="e">
        <f>AND(#REF!,"AAAAAH/7+gI=")</f>
        <v>#REF!</v>
      </c>
      <c r="D398" t="e">
        <f>AND(#REF!,"AAAAAH/7+gM=")</f>
        <v>#REF!</v>
      </c>
      <c r="E398" t="e">
        <f>AND(#REF!,"AAAAAH/7+gQ=")</f>
        <v>#REF!</v>
      </c>
      <c r="F398" t="e">
        <f>AND(#REF!,"AAAAAH/7+gU=")</f>
        <v>#REF!</v>
      </c>
      <c r="G398" t="e">
        <f>AND(#REF!,"AAAAAH/7+gY=")</f>
        <v>#REF!</v>
      </c>
      <c r="H398" t="e">
        <f>AND(#REF!,"AAAAAH/7+gc=")</f>
        <v>#REF!</v>
      </c>
      <c r="I398" t="e">
        <f>AND(#REF!,"AAAAAH/7+gg=")</f>
        <v>#REF!</v>
      </c>
      <c r="J398" t="e">
        <f>AND(#REF!,"AAAAAH/7+gk=")</f>
        <v>#REF!</v>
      </c>
      <c r="K398" t="e">
        <f>AND(#REF!,"AAAAAH/7+go=")</f>
        <v>#REF!</v>
      </c>
      <c r="L398" t="e">
        <f>IF(#REF!,"AAAAAH/7+gs=",0)</f>
        <v>#REF!</v>
      </c>
      <c r="M398" t="e">
        <f>AND(#REF!,"AAAAAH/7+gw=")</f>
        <v>#REF!</v>
      </c>
      <c r="N398" t="e">
        <f>AND(#REF!,"AAAAAH/7+g0=")</f>
        <v>#REF!</v>
      </c>
      <c r="O398" t="e">
        <f>AND(#REF!,"AAAAAH/7+g4=")</f>
        <v>#REF!</v>
      </c>
      <c r="P398" t="e">
        <f>AND(#REF!,"AAAAAH/7+g8=")</f>
        <v>#REF!</v>
      </c>
      <c r="Q398" t="e">
        <f>AND(#REF!,"AAAAAH/7+hA=")</f>
        <v>#REF!</v>
      </c>
      <c r="R398" t="e">
        <f>AND(#REF!,"AAAAAH/7+hE=")</f>
        <v>#REF!</v>
      </c>
      <c r="S398" t="e">
        <f>AND(#REF!,"AAAAAH/7+hI=")</f>
        <v>#REF!</v>
      </c>
      <c r="T398" t="e">
        <f>AND(#REF!,"AAAAAH/7+hM=")</f>
        <v>#REF!</v>
      </c>
      <c r="U398" t="e">
        <f>AND(#REF!,"AAAAAH/7+hQ=")</f>
        <v>#REF!</v>
      </c>
      <c r="V398" t="e">
        <f>AND(#REF!,"AAAAAH/7+hU=")</f>
        <v>#REF!</v>
      </c>
      <c r="W398" t="e">
        <f>IF(#REF!,"AAAAAH/7+hY=",0)</f>
        <v>#REF!</v>
      </c>
      <c r="X398" t="e">
        <f>AND(#REF!,"AAAAAH/7+hc=")</f>
        <v>#REF!</v>
      </c>
      <c r="Y398" t="e">
        <f>AND(#REF!,"AAAAAH/7+hg=")</f>
        <v>#REF!</v>
      </c>
      <c r="Z398" t="e">
        <f>AND(#REF!,"AAAAAH/7+hk=")</f>
        <v>#REF!</v>
      </c>
      <c r="AA398" t="e">
        <f>AND(#REF!,"AAAAAH/7+ho=")</f>
        <v>#REF!</v>
      </c>
      <c r="AB398" t="e">
        <f>AND(#REF!,"AAAAAH/7+hs=")</f>
        <v>#REF!</v>
      </c>
      <c r="AC398" t="e">
        <f>AND(#REF!,"AAAAAH/7+hw=")</f>
        <v>#REF!</v>
      </c>
      <c r="AD398" t="e">
        <f>AND(#REF!,"AAAAAH/7+h0=")</f>
        <v>#REF!</v>
      </c>
      <c r="AE398" t="e">
        <f>AND(#REF!,"AAAAAH/7+h4=")</f>
        <v>#REF!</v>
      </c>
      <c r="AF398" t="e">
        <f>AND(#REF!,"AAAAAH/7+h8=")</f>
        <v>#REF!</v>
      </c>
      <c r="AG398" t="e">
        <f>AND(#REF!,"AAAAAH/7+iA=")</f>
        <v>#REF!</v>
      </c>
      <c r="AH398" t="e">
        <f>IF(#REF!,"AAAAAH/7+iE=",0)</f>
        <v>#REF!</v>
      </c>
      <c r="AI398" t="e">
        <f>AND(#REF!,"AAAAAH/7+iI=")</f>
        <v>#REF!</v>
      </c>
      <c r="AJ398" t="e">
        <f>AND(#REF!,"AAAAAH/7+iM=")</f>
        <v>#REF!</v>
      </c>
      <c r="AK398" t="e">
        <f>AND(#REF!,"AAAAAH/7+iQ=")</f>
        <v>#REF!</v>
      </c>
      <c r="AL398" t="e">
        <f>AND(#REF!,"AAAAAH/7+iU=")</f>
        <v>#REF!</v>
      </c>
      <c r="AM398" t="e">
        <f>AND(#REF!,"AAAAAH/7+iY=")</f>
        <v>#REF!</v>
      </c>
      <c r="AN398" t="e">
        <f>AND(#REF!,"AAAAAH/7+ic=")</f>
        <v>#REF!</v>
      </c>
      <c r="AO398" t="e">
        <f>AND(#REF!,"AAAAAH/7+ig=")</f>
        <v>#REF!</v>
      </c>
      <c r="AP398" t="e">
        <f>AND(#REF!,"AAAAAH/7+ik=")</f>
        <v>#REF!</v>
      </c>
      <c r="AQ398" t="e">
        <f>AND(#REF!,"AAAAAH/7+io=")</f>
        <v>#REF!</v>
      </c>
      <c r="AR398" t="e">
        <f>AND(#REF!,"AAAAAH/7+is=")</f>
        <v>#REF!</v>
      </c>
      <c r="AS398" t="e">
        <f>IF(#REF!,"AAAAAH/7+iw=",0)</f>
        <v>#REF!</v>
      </c>
      <c r="AT398" t="e">
        <f>AND(#REF!,"AAAAAH/7+i0=")</f>
        <v>#REF!</v>
      </c>
      <c r="AU398" t="e">
        <f>AND(#REF!,"AAAAAH/7+i4=")</f>
        <v>#REF!</v>
      </c>
      <c r="AV398" t="e">
        <f>AND(#REF!,"AAAAAH/7+i8=")</f>
        <v>#REF!</v>
      </c>
      <c r="AW398" t="e">
        <f>AND(#REF!,"AAAAAH/7+jA=")</f>
        <v>#REF!</v>
      </c>
      <c r="AX398" t="e">
        <f>AND(#REF!,"AAAAAH/7+jE=")</f>
        <v>#REF!</v>
      </c>
      <c r="AY398" t="e">
        <f>AND(#REF!,"AAAAAH/7+jI=")</f>
        <v>#REF!</v>
      </c>
      <c r="AZ398" t="e">
        <f>AND(#REF!,"AAAAAH/7+jM=")</f>
        <v>#REF!</v>
      </c>
      <c r="BA398" t="e">
        <f>AND(#REF!,"AAAAAH/7+jQ=")</f>
        <v>#REF!</v>
      </c>
      <c r="BB398" t="e">
        <f>AND(#REF!,"AAAAAH/7+jU=")</f>
        <v>#REF!</v>
      </c>
      <c r="BC398" t="e">
        <f>AND(#REF!,"AAAAAH/7+jY=")</f>
        <v>#REF!</v>
      </c>
      <c r="BD398" t="e">
        <f>IF(#REF!,"AAAAAH/7+jc=",0)</f>
        <v>#REF!</v>
      </c>
      <c r="BE398" t="e">
        <f>AND(#REF!,"AAAAAH/7+jg=")</f>
        <v>#REF!</v>
      </c>
      <c r="BF398" t="e">
        <f>AND(#REF!,"AAAAAH/7+jk=")</f>
        <v>#REF!</v>
      </c>
      <c r="BG398" t="e">
        <f>AND(#REF!,"AAAAAH/7+jo=")</f>
        <v>#REF!</v>
      </c>
      <c r="BH398" t="e">
        <f>AND(#REF!,"AAAAAH/7+js=")</f>
        <v>#REF!</v>
      </c>
      <c r="BI398" t="e">
        <f>AND(#REF!,"AAAAAH/7+jw=")</f>
        <v>#REF!</v>
      </c>
      <c r="BJ398" t="e">
        <f>AND(#REF!,"AAAAAH/7+j0=")</f>
        <v>#REF!</v>
      </c>
      <c r="BK398" t="e">
        <f>AND(#REF!,"AAAAAH/7+j4=")</f>
        <v>#REF!</v>
      </c>
      <c r="BL398" t="e">
        <f>AND(#REF!,"AAAAAH/7+j8=")</f>
        <v>#REF!</v>
      </c>
      <c r="BM398" t="e">
        <f>AND(#REF!,"AAAAAH/7+kA=")</f>
        <v>#REF!</v>
      </c>
      <c r="BN398" t="e">
        <f>AND(#REF!,"AAAAAH/7+kE=")</f>
        <v>#REF!</v>
      </c>
      <c r="BO398" t="e">
        <f>IF(#REF!,"AAAAAH/7+kI=",0)</f>
        <v>#REF!</v>
      </c>
      <c r="BP398" t="e">
        <f>AND(#REF!,"AAAAAH/7+kM=")</f>
        <v>#REF!</v>
      </c>
      <c r="BQ398" t="e">
        <f>AND(#REF!,"AAAAAH/7+kQ=")</f>
        <v>#REF!</v>
      </c>
      <c r="BR398" t="e">
        <f>AND(#REF!,"AAAAAH/7+kU=")</f>
        <v>#REF!</v>
      </c>
      <c r="BS398" t="e">
        <f>AND(#REF!,"AAAAAH/7+kY=")</f>
        <v>#REF!</v>
      </c>
      <c r="BT398" t="e">
        <f>AND(#REF!,"AAAAAH/7+kc=")</f>
        <v>#REF!</v>
      </c>
      <c r="BU398" t="e">
        <f>AND(#REF!,"AAAAAH/7+kg=")</f>
        <v>#REF!</v>
      </c>
      <c r="BV398" t="e">
        <f>AND(#REF!,"AAAAAH/7+kk=")</f>
        <v>#REF!</v>
      </c>
      <c r="BW398" t="e">
        <f>AND(#REF!,"AAAAAH/7+ko=")</f>
        <v>#REF!</v>
      </c>
      <c r="BX398" t="e">
        <f>AND(#REF!,"AAAAAH/7+ks=")</f>
        <v>#REF!</v>
      </c>
      <c r="BY398" t="e">
        <f>AND(#REF!,"AAAAAH/7+kw=")</f>
        <v>#REF!</v>
      </c>
      <c r="BZ398" t="e">
        <f>IF(#REF!,"AAAAAH/7+k0=",0)</f>
        <v>#REF!</v>
      </c>
      <c r="CA398" t="e">
        <f>AND(#REF!,"AAAAAH/7+k4=")</f>
        <v>#REF!</v>
      </c>
      <c r="CB398" t="e">
        <f>AND(#REF!,"AAAAAH/7+k8=")</f>
        <v>#REF!</v>
      </c>
      <c r="CC398" t="e">
        <f>AND(#REF!,"AAAAAH/7+lA=")</f>
        <v>#REF!</v>
      </c>
      <c r="CD398" t="e">
        <f>AND(#REF!,"AAAAAH/7+lE=")</f>
        <v>#REF!</v>
      </c>
      <c r="CE398" t="e">
        <f>AND(#REF!,"AAAAAH/7+lI=")</f>
        <v>#REF!</v>
      </c>
      <c r="CF398" t="e">
        <f>AND(#REF!,"AAAAAH/7+lM=")</f>
        <v>#REF!</v>
      </c>
      <c r="CG398" t="e">
        <f>AND(#REF!,"AAAAAH/7+lQ=")</f>
        <v>#REF!</v>
      </c>
      <c r="CH398" t="e">
        <f>AND(#REF!,"AAAAAH/7+lU=")</f>
        <v>#REF!</v>
      </c>
      <c r="CI398" t="e">
        <f>AND(#REF!,"AAAAAH/7+lY=")</f>
        <v>#REF!</v>
      </c>
      <c r="CJ398" t="e">
        <f>AND(#REF!,"AAAAAH/7+lc=")</f>
        <v>#REF!</v>
      </c>
      <c r="CK398" t="e">
        <f>IF(#REF!,"AAAAAH/7+lg=",0)</f>
        <v>#REF!</v>
      </c>
      <c r="CL398" t="e">
        <f>AND(#REF!,"AAAAAH/7+lk=")</f>
        <v>#REF!</v>
      </c>
      <c r="CM398" t="e">
        <f>AND(#REF!,"AAAAAH/7+lo=")</f>
        <v>#REF!</v>
      </c>
      <c r="CN398" t="e">
        <f>AND(#REF!,"AAAAAH/7+ls=")</f>
        <v>#REF!</v>
      </c>
      <c r="CO398" t="e">
        <f>AND(#REF!,"AAAAAH/7+lw=")</f>
        <v>#REF!</v>
      </c>
      <c r="CP398" t="e">
        <f>AND(#REF!,"AAAAAH/7+l0=")</f>
        <v>#REF!</v>
      </c>
      <c r="CQ398" t="e">
        <f>AND(#REF!,"AAAAAH/7+l4=")</f>
        <v>#REF!</v>
      </c>
      <c r="CR398" t="e">
        <f>AND(#REF!,"AAAAAH/7+l8=")</f>
        <v>#REF!</v>
      </c>
      <c r="CS398" t="e">
        <f>AND(#REF!,"AAAAAH/7+mA=")</f>
        <v>#REF!</v>
      </c>
      <c r="CT398" t="e">
        <f>AND(#REF!,"AAAAAH/7+mE=")</f>
        <v>#REF!</v>
      </c>
      <c r="CU398" t="e">
        <f>AND(#REF!,"AAAAAH/7+mI=")</f>
        <v>#REF!</v>
      </c>
      <c r="CV398" t="e">
        <f>IF(#REF!,"AAAAAH/7+mM=",0)</f>
        <v>#REF!</v>
      </c>
      <c r="CW398" t="e">
        <f>AND(#REF!,"AAAAAH/7+mQ=")</f>
        <v>#REF!</v>
      </c>
      <c r="CX398" t="e">
        <f>AND(#REF!,"AAAAAH/7+mU=")</f>
        <v>#REF!</v>
      </c>
      <c r="CY398" t="e">
        <f>AND(#REF!,"AAAAAH/7+mY=")</f>
        <v>#REF!</v>
      </c>
      <c r="CZ398" t="e">
        <f>AND(#REF!,"AAAAAH/7+mc=")</f>
        <v>#REF!</v>
      </c>
      <c r="DA398" t="e">
        <f>AND(#REF!,"AAAAAH/7+mg=")</f>
        <v>#REF!</v>
      </c>
      <c r="DB398" t="e">
        <f>AND(#REF!,"AAAAAH/7+mk=")</f>
        <v>#REF!</v>
      </c>
      <c r="DC398" t="e">
        <f>AND(#REF!,"AAAAAH/7+mo=")</f>
        <v>#REF!</v>
      </c>
      <c r="DD398" t="e">
        <f>AND(#REF!,"AAAAAH/7+ms=")</f>
        <v>#REF!</v>
      </c>
      <c r="DE398" t="e">
        <f>AND(#REF!,"AAAAAH/7+mw=")</f>
        <v>#REF!</v>
      </c>
      <c r="DF398" t="e">
        <f>AND(#REF!,"AAAAAH/7+m0=")</f>
        <v>#REF!</v>
      </c>
      <c r="DG398" t="e">
        <f>IF(#REF!,"AAAAAH/7+m4=",0)</f>
        <v>#REF!</v>
      </c>
      <c r="DH398" t="e">
        <f>AND(#REF!,"AAAAAH/7+m8=")</f>
        <v>#REF!</v>
      </c>
      <c r="DI398" t="e">
        <f>AND(#REF!,"AAAAAH/7+nA=")</f>
        <v>#REF!</v>
      </c>
      <c r="DJ398" t="e">
        <f>AND(#REF!,"AAAAAH/7+nE=")</f>
        <v>#REF!</v>
      </c>
      <c r="DK398" t="e">
        <f>AND(#REF!,"AAAAAH/7+nI=")</f>
        <v>#REF!</v>
      </c>
      <c r="DL398" t="e">
        <f>AND(#REF!,"AAAAAH/7+nM=")</f>
        <v>#REF!</v>
      </c>
      <c r="DM398" t="e">
        <f>AND(#REF!,"AAAAAH/7+nQ=")</f>
        <v>#REF!</v>
      </c>
      <c r="DN398" t="e">
        <f>AND(#REF!,"AAAAAH/7+nU=")</f>
        <v>#REF!</v>
      </c>
      <c r="DO398" t="e">
        <f>AND(#REF!,"AAAAAH/7+nY=")</f>
        <v>#REF!</v>
      </c>
      <c r="DP398" t="e">
        <f>AND(#REF!,"AAAAAH/7+nc=")</f>
        <v>#REF!</v>
      </c>
      <c r="DQ398" t="e">
        <f>AND(#REF!,"AAAAAH/7+ng=")</f>
        <v>#REF!</v>
      </c>
      <c r="DR398" t="e">
        <f>IF(#REF!,"AAAAAH/7+nk=",0)</f>
        <v>#REF!</v>
      </c>
      <c r="DS398" t="e">
        <f>AND(#REF!,"AAAAAH/7+no=")</f>
        <v>#REF!</v>
      </c>
      <c r="DT398" t="e">
        <f>AND(#REF!,"AAAAAH/7+ns=")</f>
        <v>#REF!</v>
      </c>
      <c r="DU398" t="e">
        <f>AND(#REF!,"AAAAAH/7+nw=")</f>
        <v>#REF!</v>
      </c>
      <c r="DV398" t="e">
        <f>AND(#REF!,"AAAAAH/7+n0=")</f>
        <v>#REF!</v>
      </c>
      <c r="DW398" t="e">
        <f>AND(#REF!,"AAAAAH/7+n4=")</f>
        <v>#REF!</v>
      </c>
      <c r="DX398" t="e">
        <f>AND(#REF!,"AAAAAH/7+n8=")</f>
        <v>#REF!</v>
      </c>
      <c r="DY398" t="e">
        <f>AND(#REF!,"AAAAAH/7+oA=")</f>
        <v>#REF!</v>
      </c>
      <c r="DZ398" t="e">
        <f>AND(#REF!,"AAAAAH/7+oE=")</f>
        <v>#REF!</v>
      </c>
      <c r="EA398" t="e">
        <f>AND(#REF!,"AAAAAH/7+oI=")</f>
        <v>#REF!</v>
      </c>
      <c r="EB398" t="e">
        <f>AND(#REF!,"AAAAAH/7+oM=")</f>
        <v>#REF!</v>
      </c>
      <c r="EC398" t="e">
        <f>IF(#REF!,"AAAAAH/7+oQ=",0)</f>
        <v>#REF!</v>
      </c>
      <c r="ED398" t="e">
        <f>AND(#REF!,"AAAAAH/7+oU=")</f>
        <v>#REF!</v>
      </c>
      <c r="EE398" t="e">
        <f>AND(#REF!,"AAAAAH/7+oY=")</f>
        <v>#REF!</v>
      </c>
      <c r="EF398" t="e">
        <f>AND(#REF!,"AAAAAH/7+oc=")</f>
        <v>#REF!</v>
      </c>
      <c r="EG398" t="e">
        <f>AND(#REF!,"AAAAAH/7+og=")</f>
        <v>#REF!</v>
      </c>
      <c r="EH398" t="e">
        <f>AND(#REF!,"AAAAAH/7+ok=")</f>
        <v>#REF!</v>
      </c>
      <c r="EI398" t="e">
        <f>AND(#REF!,"AAAAAH/7+oo=")</f>
        <v>#REF!</v>
      </c>
      <c r="EJ398" t="e">
        <f>AND(#REF!,"AAAAAH/7+os=")</f>
        <v>#REF!</v>
      </c>
      <c r="EK398" t="e">
        <f>AND(#REF!,"AAAAAH/7+ow=")</f>
        <v>#REF!</v>
      </c>
      <c r="EL398" t="e">
        <f>AND(#REF!,"AAAAAH/7+o0=")</f>
        <v>#REF!</v>
      </c>
      <c r="EM398" t="e">
        <f>AND(#REF!,"AAAAAH/7+o4=")</f>
        <v>#REF!</v>
      </c>
      <c r="EN398" t="e">
        <f>IF(#REF!,"AAAAAH/7+o8=",0)</f>
        <v>#REF!</v>
      </c>
      <c r="EO398" t="e">
        <f>AND(#REF!,"AAAAAH/7+pA=")</f>
        <v>#REF!</v>
      </c>
      <c r="EP398" t="e">
        <f>AND(#REF!,"AAAAAH/7+pE=")</f>
        <v>#REF!</v>
      </c>
      <c r="EQ398" t="e">
        <f>AND(#REF!,"AAAAAH/7+pI=")</f>
        <v>#REF!</v>
      </c>
      <c r="ER398" t="e">
        <f>AND(#REF!,"AAAAAH/7+pM=")</f>
        <v>#REF!</v>
      </c>
      <c r="ES398" t="e">
        <f>AND(#REF!,"AAAAAH/7+pQ=")</f>
        <v>#REF!</v>
      </c>
      <c r="ET398" t="e">
        <f>AND(#REF!,"AAAAAH/7+pU=")</f>
        <v>#REF!</v>
      </c>
      <c r="EU398" t="e">
        <f>AND(#REF!,"AAAAAH/7+pY=")</f>
        <v>#REF!</v>
      </c>
      <c r="EV398" t="e">
        <f>AND(#REF!,"AAAAAH/7+pc=")</f>
        <v>#REF!</v>
      </c>
      <c r="EW398" t="e">
        <f>AND(#REF!,"AAAAAH/7+pg=")</f>
        <v>#REF!</v>
      </c>
      <c r="EX398" t="e">
        <f>AND(#REF!,"AAAAAH/7+pk=")</f>
        <v>#REF!</v>
      </c>
      <c r="EY398" t="e">
        <f>IF(#REF!,"AAAAAH/7+po=",0)</f>
        <v>#REF!</v>
      </c>
      <c r="EZ398" t="e">
        <f>AND(#REF!,"AAAAAH/7+ps=")</f>
        <v>#REF!</v>
      </c>
      <c r="FA398" t="e">
        <f>AND(#REF!,"AAAAAH/7+pw=")</f>
        <v>#REF!</v>
      </c>
      <c r="FB398" t="e">
        <f>AND(#REF!,"AAAAAH/7+p0=")</f>
        <v>#REF!</v>
      </c>
      <c r="FC398" t="e">
        <f>AND(#REF!,"AAAAAH/7+p4=")</f>
        <v>#REF!</v>
      </c>
      <c r="FD398" t="e">
        <f>AND(#REF!,"AAAAAH/7+p8=")</f>
        <v>#REF!</v>
      </c>
      <c r="FE398" t="e">
        <f>AND(#REF!,"AAAAAH/7+qA=")</f>
        <v>#REF!</v>
      </c>
      <c r="FF398" t="e">
        <f>AND(#REF!,"AAAAAH/7+qE=")</f>
        <v>#REF!</v>
      </c>
      <c r="FG398" t="e">
        <f>AND(#REF!,"AAAAAH/7+qI=")</f>
        <v>#REF!</v>
      </c>
      <c r="FH398" t="e">
        <f>AND(#REF!,"AAAAAH/7+qM=")</f>
        <v>#REF!</v>
      </c>
      <c r="FI398" t="e">
        <f>AND(#REF!,"AAAAAH/7+qQ=")</f>
        <v>#REF!</v>
      </c>
      <c r="FJ398" t="e">
        <f>IF(#REF!,"AAAAAH/7+qU=",0)</f>
        <v>#REF!</v>
      </c>
      <c r="FK398" t="e">
        <f>AND(#REF!,"AAAAAH/7+qY=")</f>
        <v>#REF!</v>
      </c>
      <c r="FL398" t="e">
        <f>AND(#REF!,"AAAAAH/7+qc=")</f>
        <v>#REF!</v>
      </c>
      <c r="FM398" t="e">
        <f>AND(#REF!,"AAAAAH/7+qg=")</f>
        <v>#REF!</v>
      </c>
      <c r="FN398" t="e">
        <f>AND(#REF!,"AAAAAH/7+qk=")</f>
        <v>#REF!</v>
      </c>
      <c r="FO398" t="e">
        <f>AND(#REF!,"AAAAAH/7+qo=")</f>
        <v>#REF!</v>
      </c>
      <c r="FP398" t="e">
        <f>AND(#REF!,"AAAAAH/7+qs=")</f>
        <v>#REF!</v>
      </c>
      <c r="FQ398" t="e">
        <f>AND(#REF!,"AAAAAH/7+qw=")</f>
        <v>#REF!</v>
      </c>
      <c r="FR398" t="e">
        <f>AND(#REF!,"AAAAAH/7+q0=")</f>
        <v>#REF!</v>
      </c>
      <c r="FS398" t="e">
        <f>AND(#REF!,"AAAAAH/7+q4=")</f>
        <v>#REF!</v>
      </c>
      <c r="FT398" t="e">
        <f>AND(#REF!,"AAAAAH/7+q8=")</f>
        <v>#REF!</v>
      </c>
      <c r="FU398" t="e">
        <f>IF(#REF!,"AAAAAH/7+rA=",0)</f>
        <v>#REF!</v>
      </c>
      <c r="FV398" t="e">
        <f>AND(#REF!,"AAAAAH/7+rE=")</f>
        <v>#REF!</v>
      </c>
      <c r="FW398" t="e">
        <f>AND(#REF!,"AAAAAH/7+rI=")</f>
        <v>#REF!</v>
      </c>
      <c r="FX398" t="e">
        <f>AND(#REF!,"AAAAAH/7+rM=")</f>
        <v>#REF!</v>
      </c>
      <c r="FY398" t="e">
        <f>AND(#REF!,"AAAAAH/7+rQ=")</f>
        <v>#REF!</v>
      </c>
      <c r="FZ398" t="e">
        <f>AND(#REF!,"AAAAAH/7+rU=")</f>
        <v>#REF!</v>
      </c>
      <c r="GA398" t="e">
        <f>AND(#REF!,"AAAAAH/7+rY=")</f>
        <v>#REF!</v>
      </c>
      <c r="GB398" t="e">
        <f>AND(#REF!,"AAAAAH/7+rc=")</f>
        <v>#REF!</v>
      </c>
      <c r="GC398" t="e">
        <f>AND(#REF!,"AAAAAH/7+rg=")</f>
        <v>#REF!</v>
      </c>
      <c r="GD398" t="e">
        <f>AND(#REF!,"AAAAAH/7+rk=")</f>
        <v>#REF!</v>
      </c>
      <c r="GE398" t="e">
        <f>AND(#REF!,"AAAAAH/7+ro=")</f>
        <v>#REF!</v>
      </c>
      <c r="GF398" t="e">
        <f>IF(#REF!,"AAAAAH/7+rs=",0)</f>
        <v>#REF!</v>
      </c>
      <c r="GG398" t="e">
        <f>AND(#REF!,"AAAAAH/7+rw=")</f>
        <v>#REF!</v>
      </c>
      <c r="GH398" t="e">
        <f>AND(#REF!,"AAAAAH/7+r0=")</f>
        <v>#REF!</v>
      </c>
      <c r="GI398" t="e">
        <f>AND(#REF!,"AAAAAH/7+r4=")</f>
        <v>#REF!</v>
      </c>
      <c r="GJ398" t="e">
        <f>AND(#REF!,"AAAAAH/7+r8=")</f>
        <v>#REF!</v>
      </c>
      <c r="GK398" t="e">
        <f>AND(#REF!,"AAAAAH/7+sA=")</f>
        <v>#REF!</v>
      </c>
      <c r="GL398" t="e">
        <f>AND(#REF!,"AAAAAH/7+sE=")</f>
        <v>#REF!</v>
      </c>
      <c r="GM398" t="e">
        <f>AND(#REF!,"AAAAAH/7+sI=")</f>
        <v>#REF!</v>
      </c>
      <c r="GN398" t="e">
        <f>AND(#REF!,"AAAAAH/7+sM=")</f>
        <v>#REF!</v>
      </c>
      <c r="GO398" t="e">
        <f>AND(#REF!,"AAAAAH/7+sQ=")</f>
        <v>#REF!</v>
      </c>
      <c r="GP398" t="e">
        <f>AND(#REF!,"AAAAAH/7+sU=")</f>
        <v>#REF!</v>
      </c>
      <c r="GQ398" t="e">
        <f>IF(#REF!,"AAAAAH/7+sY=",0)</f>
        <v>#REF!</v>
      </c>
      <c r="GR398" t="e">
        <f>AND(#REF!,"AAAAAH/7+sc=")</f>
        <v>#REF!</v>
      </c>
      <c r="GS398" t="e">
        <f>AND(#REF!,"AAAAAH/7+sg=")</f>
        <v>#REF!</v>
      </c>
      <c r="GT398" t="e">
        <f>AND(#REF!,"AAAAAH/7+sk=")</f>
        <v>#REF!</v>
      </c>
      <c r="GU398" t="e">
        <f>AND(#REF!,"AAAAAH/7+so=")</f>
        <v>#REF!</v>
      </c>
      <c r="GV398" t="e">
        <f>AND(#REF!,"AAAAAH/7+ss=")</f>
        <v>#REF!</v>
      </c>
      <c r="GW398" t="e">
        <f>AND(#REF!,"AAAAAH/7+sw=")</f>
        <v>#REF!</v>
      </c>
      <c r="GX398" t="e">
        <f>AND(#REF!,"AAAAAH/7+s0=")</f>
        <v>#REF!</v>
      </c>
      <c r="GY398" t="e">
        <f>AND(#REF!,"AAAAAH/7+s4=")</f>
        <v>#REF!</v>
      </c>
      <c r="GZ398" t="e">
        <f>AND(#REF!,"AAAAAH/7+s8=")</f>
        <v>#REF!</v>
      </c>
      <c r="HA398" t="e">
        <f>AND(#REF!,"AAAAAH/7+tA=")</f>
        <v>#REF!</v>
      </c>
      <c r="HB398" t="e">
        <f>IF(#REF!,"AAAAAH/7+tE=",0)</f>
        <v>#REF!</v>
      </c>
      <c r="HC398" t="e">
        <f>AND(#REF!,"AAAAAH/7+tI=")</f>
        <v>#REF!</v>
      </c>
      <c r="HD398" t="e">
        <f>AND(#REF!,"AAAAAH/7+tM=")</f>
        <v>#REF!</v>
      </c>
      <c r="HE398" t="e">
        <f>AND(#REF!,"AAAAAH/7+tQ=")</f>
        <v>#REF!</v>
      </c>
      <c r="HF398" t="e">
        <f>AND(#REF!,"AAAAAH/7+tU=")</f>
        <v>#REF!</v>
      </c>
      <c r="HG398" t="e">
        <f>AND(#REF!,"AAAAAH/7+tY=")</f>
        <v>#REF!</v>
      </c>
      <c r="HH398" t="e">
        <f>AND(#REF!,"AAAAAH/7+tc=")</f>
        <v>#REF!</v>
      </c>
      <c r="HI398" t="e">
        <f>AND(#REF!,"AAAAAH/7+tg=")</f>
        <v>#REF!</v>
      </c>
      <c r="HJ398" t="e">
        <f>AND(#REF!,"AAAAAH/7+tk=")</f>
        <v>#REF!</v>
      </c>
      <c r="HK398" t="e">
        <f>AND(#REF!,"AAAAAH/7+to=")</f>
        <v>#REF!</v>
      </c>
      <c r="HL398" t="e">
        <f>AND(#REF!,"AAAAAH/7+ts=")</f>
        <v>#REF!</v>
      </c>
      <c r="HM398" t="e">
        <f>IF(#REF!,"AAAAAH/7+tw=",0)</f>
        <v>#REF!</v>
      </c>
      <c r="HN398" t="e">
        <f>AND(#REF!,"AAAAAH/7+t0=")</f>
        <v>#REF!</v>
      </c>
      <c r="HO398" t="e">
        <f>AND(#REF!,"AAAAAH/7+t4=")</f>
        <v>#REF!</v>
      </c>
      <c r="HP398" t="e">
        <f>AND(#REF!,"AAAAAH/7+t8=")</f>
        <v>#REF!</v>
      </c>
      <c r="HQ398" t="e">
        <f>AND(#REF!,"AAAAAH/7+uA=")</f>
        <v>#REF!</v>
      </c>
      <c r="HR398" t="e">
        <f>AND(#REF!,"AAAAAH/7+uE=")</f>
        <v>#REF!</v>
      </c>
      <c r="HS398" t="e">
        <f>AND(#REF!,"AAAAAH/7+uI=")</f>
        <v>#REF!</v>
      </c>
      <c r="HT398" t="e">
        <f>AND(#REF!,"AAAAAH/7+uM=")</f>
        <v>#REF!</v>
      </c>
      <c r="HU398" t="e">
        <f>AND(#REF!,"AAAAAH/7+uQ=")</f>
        <v>#REF!</v>
      </c>
      <c r="HV398" t="e">
        <f>AND(#REF!,"AAAAAH/7+uU=")</f>
        <v>#REF!</v>
      </c>
      <c r="HW398" t="e">
        <f>AND(#REF!,"AAAAAH/7+uY=")</f>
        <v>#REF!</v>
      </c>
      <c r="HX398" t="e">
        <f>IF(#REF!,"AAAAAH/7+uc=",0)</f>
        <v>#REF!</v>
      </c>
      <c r="HY398" t="e">
        <f>AND(#REF!,"AAAAAH/7+ug=")</f>
        <v>#REF!</v>
      </c>
      <c r="HZ398" t="e">
        <f>AND(#REF!,"AAAAAH/7+uk=")</f>
        <v>#REF!</v>
      </c>
      <c r="IA398" t="e">
        <f>AND(#REF!,"AAAAAH/7+uo=")</f>
        <v>#REF!</v>
      </c>
      <c r="IB398" t="e">
        <f>AND(#REF!,"AAAAAH/7+us=")</f>
        <v>#REF!</v>
      </c>
      <c r="IC398" t="e">
        <f>AND(#REF!,"AAAAAH/7+uw=")</f>
        <v>#REF!</v>
      </c>
      <c r="ID398" t="e">
        <f>AND(#REF!,"AAAAAH/7+u0=")</f>
        <v>#REF!</v>
      </c>
      <c r="IE398" t="e">
        <f>AND(#REF!,"AAAAAH/7+u4=")</f>
        <v>#REF!</v>
      </c>
      <c r="IF398" t="e">
        <f>AND(#REF!,"AAAAAH/7+u8=")</f>
        <v>#REF!</v>
      </c>
      <c r="IG398" t="e">
        <f>AND(#REF!,"AAAAAH/7+vA=")</f>
        <v>#REF!</v>
      </c>
      <c r="IH398" t="e">
        <f>AND(#REF!,"AAAAAH/7+vE=")</f>
        <v>#REF!</v>
      </c>
      <c r="II398" t="e">
        <f>IF(#REF!,"AAAAAH/7+vI=",0)</f>
        <v>#REF!</v>
      </c>
      <c r="IJ398" t="e">
        <f>AND(#REF!,"AAAAAH/7+vM=")</f>
        <v>#REF!</v>
      </c>
      <c r="IK398" t="e">
        <f>AND(#REF!,"AAAAAH/7+vQ=")</f>
        <v>#REF!</v>
      </c>
      <c r="IL398" t="e">
        <f>AND(#REF!,"AAAAAH/7+vU=")</f>
        <v>#REF!</v>
      </c>
      <c r="IM398" t="e">
        <f>AND(#REF!,"AAAAAH/7+vY=")</f>
        <v>#REF!</v>
      </c>
      <c r="IN398" t="e">
        <f>AND(#REF!,"AAAAAH/7+vc=")</f>
        <v>#REF!</v>
      </c>
      <c r="IO398" t="e">
        <f>AND(#REF!,"AAAAAH/7+vg=")</f>
        <v>#REF!</v>
      </c>
      <c r="IP398" t="e">
        <f>AND(#REF!,"AAAAAH/7+vk=")</f>
        <v>#REF!</v>
      </c>
      <c r="IQ398" t="e">
        <f>AND(#REF!,"AAAAAH/7+vo=")</f>
        <v>#REF!</v>
      </c>
      <c r="IR398" t="e">
        <f>AND(#REF!,"AAAAAH/7+vs=")</f>
        <v>#REF!</v>
      </c>
      <c r="IS398" t="e">
        <f>AND(#REF!,"AAAAAH/7+vw=")</f>
        <v>#REF!</v>
      </c>
      <c r="IT398" t="e">
        <f>IF(#REF!,"AAAAAH/7+v0=",0)</f>
        <v>#REF!</v>
      </c>
      <c r="IU398" t="e">
        <f>AND(#REF!,"AAAAAH/7+v4=")</f>
        <v>#REF!</v>
      </c>
      <c r="IV398" t="e">
        <f>AND(#REF!,"AAAAAH/7+v8=")</f>
        <v>#REF!</v>
      </c>
    </row>
    <row r="399" spans="1:256" x14ac:dyDescent="0.25">
      <c r="A399" t="e">
        <f>AND(#REF!,"AAAAAG+ffwA=")</f>
        <v>#REF!</v>
      </c>
      <c r="B399" t="e">
        <f>AND(#REF!,"AAAAAG+ffwE=")</f>
        <v>#REF!</v>
      </c>
      <c r="C399" t="e">
        <f>AND(#REF!,"AAAAAG+ffwI=")</f>
        <v>#REF!</v>
      </c>
      <c r="D399" t="e">
        <f>AND(#REF!,"AAAAAG+ffwM=")</f>
        <v>#REF!</v>
      </c>
      <c r="E399" t="e">
        <f>AND(#REF!,"AAAAAG+ffwQ=")</f>
        <v>#REF!</v>
      </c>
      <c r="F399" t="e">
        <f>AND(#REF!,"AAAAAG+ffwU=")</f>
        <v>#REF!</v>
      </c>
      <c r="G399" t="e">
        <f>AND(#REF!,"AAAAAG+ffwY=")</f>
        <v>#REF!</v>
      </c>
      <c r="H399" t="e">
        <f>AND(#REF!,"AAAAAG+ffwc=")</f>
        <v>#REF!</v>
      </c>
      <c r="I399" t="e">
        <f>IF(#REF!,"AAAAAG+ffwg=",0)</f>
        <v>#REF!</v>
      </c>
      <c r="J399" t="e">
        <f>AND(#REF!,"AAAAAG+ffwk=")</f>
        <v>#REF!</v>
      </c>
      <c r="K399" t="e">
        <f>AND(#REF!,"AAAAAG+ffwo=")</f>
        <v>#REF!</v>
      </c>
      <c r="L399" t="e">
        <f>AND(#REF!,"AAAAAG+ffws=")</f>
        <v>#REF!</v>
      </c>
      <c r="M399" t="e">
        <f>AND(#REF!,"AAAAAG+ffww=")</f>
        <v>#REF!</v>
      </c>
      <c r="N399" t="e">
        <f>AND(#REF!,"AAAAAG+ffw0=")</f>
        <v>#REF!</v>
      </c>
      <c r="O399" t="e">
        <f>AND(#REF!,"AAAAAG+ffw4=")</f>
        <v>#REF!</v>
      </c>
      <c r="P399" t="e">
        <f>AND(#REF!,"AAAAAG+ffw8=")</f>
        <v>#REF!</v>
      </c>
      <c r="Q399" t="e">
        <f>AND(#REF!,"AAAAAG+ffxA=")</f>
        <v>#REF!</v>
      </c>
      <c r="R399" t="e">
        <f>AND(#REF!,"AAAAAG+ffxE=")</f>
        <v>#REF!</v>
      </c>
      <c r="S399" t="e">
        <f>AND(#REF!,"AAAAAG+ffxI=")</f>
        <v>#REF!</v>
      </c>
      <c r="T399" t="e">
        <f>IF(#REF!,"AAAAAG+ffxM=",0)</f>
        <v>#REF!</v>
      </c>
      <c r="U399" t="e">
        <f>AND(#REF!,"AAAAAG+ffxQ=")</f>
        <v>#REF!</v>
      </c>
      <c r="V399" t="e">
        <f>AND(#REF!,"AAAAAG+ffxU=")</f>
        <v>#REF!</v>
      </c>
      <c r="W399" t="e">
        <f>AND(#REF!,"AAAAAG+ffxY=")</f>
        <v>#REF!</v>
      </c>
      <c r="X399" t="e">
        <f>AND(#REF!,"AAAAAG+ffxc=")</f>
        <v>#REF!</v>
      </c>
      <c r="Y399" t="e">
        <f>AND(#REF!,"AAAAAG+ffxg=")</f>
        <v>#REF!</v>
      </c>
      <c r="Z399" t="e">
        <f>AND(#REF!,"AAAAAG+ffxk=")</f>
        <v>#REF!</v>
      </c>
      <c r="AA399" t="e">
        <f>AND(#REF!,"AAAAAG+ffxo=")</f>
        <v>#REF!</v>
      </c>
      <c r="AB399" t="e">
        <f>AND(#REF!,"AAAAAG+ffxs=")</f>
        <v>#REF!</v>
      </c>
      <c r="AC399" t="e">
        <f>AND(#REF!,"AAAAAG+ffxw=")</f>
        <v>#REF!</v>
      </c>
      <c r="AD399" t="e">
        <f>AND(#REF!,"AAAAAG+ffx0=")</f>
        <v>#REF!</v>
      </c>
      <c r="AE399" t="e">
        <f>IF(#REF!,"AAAAAG+ffx4=",0)</f>
        <v>#REF!</v>
      </c>
      <c r="AF399" t="e">
        <f>AND(#REF!,"AAAAAG+ffx8=")</f>
        <v>#REF!</v>
      </c>
      <c r="AG399" t="e">
        <f>AND(#REF!,"AAAAAG+ffyA=")</f>
        <v>#REF!</v>
      </c>
      <c r="AH399" t="e">
        <f>AND(#REF!,"AAAAAG+ffyE=")</f>
        <v>#REF!</v>
      </c>
      <c r="AI399" t="e">
        <f>AND(#REF!,"AAAAAG+ffyI=")</f>
        <v>#REF!</v>
      </c>
      <c r="AJ399" t="e">
        <f>AND(#REF!,"AAAAAG+ffyM=")</f>
        <v>#REF!</v>
      </c>
      <c r="AK399" t="e">
        <f>AND(#REF!,"AAAAAG+ffyQ=")</f>
        <v>#REF!</v>
      </c>
      <c r="AL399" t="e">
        <f>AND(#REF!,"AAAAAG+ffyU=")</f>
        <v>#REF!</v>
      </c>
      <c r="AM399" t="e">
        <f>AND(#REF!,"AAAAAG+ffyY=")</f>
        <v>#REF!</v>
      </c>
      <c r="AN399" t="e">
        <f>AND(#REF!,"AAAAAG+ffyc=")</f>
        <v>#REF!</v>
      </c>
      <c r="AO399" t="e">
        <f>AND(#REF!,"AAAAAG+ffyg=")</f>
        <v>#REF!</v>
      </c>
      <c r="AP399" t="e">
        <f>IF(#REF!,"AAAAAG+ffyk=",0)</f>
        <v>#REF!</v>
      </c>
      <c r="AQ399" t="e">
        <f>AND(#REF!,"AAAAAG+ffyo=")</f>
        <v>#REF!</v>
      </c>
      <c r="AR399" t="e">
        <f>AND(#REF!,"AAAAAG+ffys=")</f>
        <v>#REF!</v>
      </c>
      <c r="AS399" t="e">
        <f>AND(#REF!,"AAAAAG+ffyw=")</f>
        <v>#REF!</v>
      </c>
      <c r="AT399" t="e">
        <f>AND(#REF!,"AAAAAG+ffy0=")</f>
        <v>#REF!</v>
      </c>
      <c r="AU399" t="e">
        <f>AND(#REF!,"AAAAAG+ffy4=")</f>
        <v>#REF!</v>
      </c>
      <c r="AV399" t="e">
        <f>AND(#REF!,"AAAAAG+ffy8=")</f>
        <v>#REF!</v>
      </c>
      <c r="AW399" t="e">
        <f>AND(#REF!,"AAAAAG+ffzA=")</f>
        <v>#REF!</v>
      </c>
      <c r="AX399" t="e">
        <f>AND(#REF!,"AAAAAG+ffzE=")</f>
        <v>#REF!</v>
      </c>
      <c r="AY399" t="e">
        <f>AND(#REF!,"AAAAAG+ffzI=")</f>
        <v>#REF!</v>
      </c>
      <c r="AZ399" t="e">
        <f>AND(#REF!,"AAAAAG+ffzM=")</f>
        <v>#REF!</v>
      </c>
      <c r="BA399" t="e">
        <f>IF(#REF!,"AAAAAG+ffzQ=",0)</f>
        <v>#REF!</v>
      </c>
      <c r="BB399" t="e">
        <f>AND(#REF!,"AAAAAG+ffzU=")</f>
        <v>#REF!</v>
      </c>
      <c r="BC399" t="e">
        <f>AND(#REF!,"AAAAAG+ffzY=")</f>
        <v>#REF!</v>
      </c>
      <c r="BD399" t="e">
        <f>AND(#REF!,"AAAAAG+ffzc=")</f>
        <v>#REF!</v>
      </c>
      <c r="BE399" t="e">
        <f>AND(#REF!,"AAAAAG+ffzg=")</f>
        <v>#REF!</v>
      </c>
      <c r="BF399" t="e">
        <f>AND(#REF!,"AAAAAG+ffzk=")</f>
        <v>#REF!</v>
      </c>
      <c r="BG399" t="e">
        <f>AND(#REF!,"AAAAAG+ffzo=")</f>
        <v>#REF!</v>
      </c>
      <c r="BH399" t="e">
        <f>AND(#REF!,"AAAAAG+ffzs=")</f>
        <v>#REF!</v>
      </c>
      <c r="BI399" t="e">
        <f>AND(#REF!,"AAAAAG+ffzw=")</f>
        <v>#REF!</v>
      </c>
      <c r="BJ399" t="e">
        <f>AND(#REF!,"AAAAAG+ffz0=")</f>
        <v>#REF!</v>
      </c>
      <c r="BK399" t="e">
        <f>AND(#REF!,"AAAAAG+ffz4=")</f>
        <v>#REF!</v>
      </c>
      <c r="BL399" t="e">
        <f>IF(#REF!,"AAAAAG+ffz8=",0)</f>
        <v>#REF!</v>
      </c>
      <c r="BM399" t="e">
        <f>AND(#REF!,"AAAAAG+ff0A=")</f>
        <v>#REF!</v>
      </c>
      <c r="BN399" t="e">
        <f>AND(#REF!,"AAAAAG+ff0E=")</f>
        <v>#REF!</v>
      </c>
      <c r="BO399" t="e">
        <f>AND(#REF!,"AAAAAG+ff0I=")</f>
        <v>#REF!</v>
      </c>
      <c r="BP399" t="e">
        <f>AND(#REF!,"AAAAAG+ff0M=")</f>
        <v>#REF!</v>
      </c>
      <c r="BQ399" t="e">
        <f>AND(#REF!,"AAAAAG+ff0Q=")</f>
        <v>#REF!</v>
      </c>
      <c r="BR399" t="e">
        <f>AND(#REF!,"AAAAAG+ff0U=")</f>
        <v>#REF!</v>
      </c>
      <c r="BS399" t="e">
        <f>AND(#REF!,"AAAAAG+ff0Y=")</f>
        <v>#REF!</v>
      </c>
      <c r="BT399" t="e">
        <f>AND(#REF!,"AAAAAG+ff0c=")</f>
        <v>#REF!</v>
      </c>
      <c r="BU399" t="e">
        <f>AND(#REF!,"AAAAAG+ff0g=")</f>
        <v>#REF!</v>
      </c>
      <c r="BV399" t="e">
        <f>AND(#REF!,"AAAAAG+ff0k=")</f>
        <v>#REF!</v>
      </c>
      <c r="BW399" t="e">
        <f>IF(#REF!,"AAAAAG+ff0o=",0)</f>
        <v>#REF!</v>
      </c>
      <c r="BX399" t="e">
        <f>AND(#REF!,"AAAAAG+ff0s=")</f>
        <v>#REF!</v>
      </c>
      <c r="BY399" t="e">
        <f>AND(#REF!,"AAAAAG+ff0w=")</f>
        <v>#REF!</v>
      </c>
      <c r="BZ399" t="e">
        <f>AND(#REF!,"AAAAAG+ff00=")</f>
        <v>#REF!</v>
      </c>
      <c r="CA399" t="e">
        <f>AND(#REF!,"AAAAAG+ff04=")</f>
        <v>#REF!</v>
      </c>
      <c r="CB399" t="e">
        <f>AND(#REF!,"AAAAAG+ff08=")</f>
        <v>#REF!</v>
      </c>
      <c r="CC399" t="e">
        <f>AND(#REF!,"AAAAAG+ff1A=")</f>
        <v>#REF!</v>
      </c>
      <c r="CD399" t="e">
        <f>AND(#REF!,"AAAAAG+ff1E=")</f>
        <v>#REF!</v>
      </c>
      <c r="CE399" t="e">
        <f>AND(#REF!,"AAAAAG+ff1I=")</f>
        <v>#REF!</v>
      </c>
      <c r="CF399" t="e">
        <f>AND(#REF!,"AAAAAG+ff1M=")</f>
        <v>#REF!</v>
      </c>
      <c r="CG399" t="e">
        <f>AND(#REF!,"AAAAAG+ff1Q=")</f>
        <v>#REF!</v>
      </c>
      <c r="CH399" t="e">
        <f>IF(#REF!,"AAAAAG+ff1U=",0)</f>
        <v>#REF!</v>
      </c>
      <c r="CI399" t="e">
        <f>AND(#REF!,"AAAAAG+ff1Y=")</f>
        <v>#REF!</v>
      </c>
      <c r="CJ399" t="e">
        <f>AND(#REF!,"AAAAAG+ff1c=")</f>
        <v>#REF!</v>
      </c>
      <c r="CK399" t="e">
        <f>AND(#REF!,"AAAAAG+ff1g=")</f>
        <v>#REF!</v>
      </c>
      <c r="CL399" t="e">
        <f>AND(#REF!,"AAAAAG+ff1k=")</f>
        <v>#REF!</v>
      </c>
      <c r="CM399" t="e">
        <f>AND(#REF!,"AAAAAG+ff1o=")</f>
        <v>#REF!</v>
      </c>
      <c r="CN399" t="e">
        <f>AND(#REF!,"AAAAAG+ff1s=")</f>
        <v>#REF!</v>
      </c>
      <c r="CO399" t="e">
        <f>AND(#REF!,"AAAAAG+ff1w=")</f>
        <v>#REF!</v>
      </c>
      <c r="CP399" t="e">
        <f>AND(#REF!,"AAAAAG+ff10=")</f>
        <v>#REF!</v>
      </c>
      <c r="CQ399" t="e">
        <f>AND(#REF!,"AAAAAG+ff14=")</f>
        <v>#REF!</v>
      </c>
      <c r="CR399" t="e">
        <f>AND(#REF!,"AAAAAG+ff18=")</f>
        <v>#REF!</v>
      </c>
      <c r="CS399" t="e">
        <f>IF(#REF!,"AAAAAG+ff2A=",0)</f>
        <v>#REF!</v>
      </c>
      <c r="CT399" t="e">
        <f>AND(#REF!,"AAAAAG+ff2E=")</f>
        <v>#REF!</v>
      </c>
      <c r="CU399" t="e">
        <f>AND(#REF!,"AAAAAG+ff2I=")</f>
        <v>#REF!</v>
      </c>
      <c r="CV399" t="e">
        <f>AND(#REF!,"AAAAAG+ff2M=")</f>
        <v>#REF!</v>
      </c>
      <c r="CW399" t="e">
        <f>AND(#REF!,"AAAAAG+ff2Q=")</f>
        <v>#REF!</v>
      </c>
      <c r="CX399" t="e">
        <f>AND(#REF!,"AAAAAG+ff2U=")</f>
        <v>#REF!</v>
      </c>
      <c r="CY399" t="e">
        <f>AND(#REF!,"AAAAAG+ff2Y=")</f>
        <v>#REF!</v>
      </c>
      <c r="CZ399" t="e">
        <f>AND(#REF!,"AAAAAG+ff2c=")</f>
        <v>#REF!</v>
      </c>
      <c r="DA399" t="e">
        <f>AND(#REF!,"AAAAAG+ff2g=")</f>
        <v>#REF!</v>
      </c>
      <c r="DB399" t="e">
        <f>AND(#REF!,"AAAAAG+ff2k=")</f>
        <v>#REF!</v>
      </c>
      <c r="DC399" t="e">
        <f>AND(#REF!,"AAAAAG+ff2o=")</f>
        <v>#REF!</v>
      </c>
      <c r="DD399" t="e">
        <f>IF(#REF!,"AAAAAG+ff2s=",0)</f>
        <v>#REF!</v>
      </c>
      <c r="DE399" t="e">
        <f>AND(#REF!,"AAAAAG+ff2w=")</f>
        <v>#REF!</v>
      </c>
      <c r="DF399" t="e">
        <f>AND(#REF!,"AAAAAG+ff20=")</f>
        <v>#REF!</v>
      </c>
      <c r="DG399" t="e">
        <f>AND(#REF!,"AAAAAG+ff24=")</f>
        <v>#REF!</v>
      </c>
      <c r="DH399" t="e">
        <f>AND(#REF!,"AAAAAG+ff28=")</f>
        <v>#REF!</v>
      </c>
      <c r="DI399" t="e">
        <f>AND(#REF!,"AAAAAG+ff3A=")</f>
        <v>#REF!</v>
      </c>
      <c r="DJ399" t="e">
        <f>AND(#REF!,"AAAAAG+ff3E=")</f>
        <v>#REF!</v>
      </c>
      <c r="DK399" t="e">
        <f>AND(#REF!,"AAAAAG+ff3I=")</f>
        <v>#REF!</v>
      </c>
      <c r="DL399" t="e">
        <f>AND(#REF!,"AAAAAG+ff3M=")</f>
        <v>#REF!</v>
      </c>
      <c r="DM399" t="e">
        <f>AND(#REF!,"AAAAAG+ff3Q=")</f>
        <v>#REF!</v>
      </c>
      <c r="DN399" t="e">
        <f>AND(#REF!,"AAAAAG+ff3U=")</f>
        <v>#REF!</v>
      </c>
      <c r="DO399" t="e">
        <f>IF(#REF!,"AAAAAG+ff3Y=",0)</f>
        <v>#REF!</v>
      </c>
      <c r="DP399" t="e">
        <f>AND(#REF!,"AAAAAG+ff3c=")</f>
        <v>#REF!</v>
      </c>
      <c r="DQ399" t="e">
        <f>AND(#REF!,"AAAAAG+ff3g=")</f>
        <v>#REF!</v>
      </c>
      <c r="DR399" t="e">
        <f>AND(#REF!,"AAAAAG+ff3k=")</f>
        <v>#REF!</v>
      </c>
      <c r="DS399" t="e">
        <f>AND(#REF!,"AAAAAG+ff3o=")</f>
        <v>#REF!</v>
      </c>
      <c r="DT399" t="e">
        <f>AND(#REF!,"AAAAAG+ff3s=")</f>
        <v>#REF!</v>
      </c>
      <c r="DU399" t="e">
        <f>AND(#REF!,"AAAAAG+ff3w=")</f>
        <v>#REF!</v>
      </c>
      <c r="DV399" t="e">
        <f>AND(#REF!,"AAAAAG+ff30=")</f>
        <v>#REF!</v>
      </c>
      <c r="DW399" t="e">
        <f>AND(#REF!,"AAAAAG+ff34=")</f>
        <v>#REF!</v>
      </c>
      <c r="DX399" t="e">
        <f>AND(#REF!,"AAAAAG+ff38=")</f>
        <v>#REF!</v>
      </c>
      <c r="DY399" t="e">
        <f>AND(#REF!,"AAAAAG+ff4A=")</f>
        <v>#REF!</v>
      </c>
      <c r="DZ399" t="e">
        <f>IF(#REF!,"AAAAAG+ff4E=",0)</f>
        <v>#REF!</v>
      </c>
      <c r="EA399" t="e">
        <f>AND(#REF!,"AAAAAG+ff4I=")</f>
        <v>#REF!</v>
      </c>
      <c r="EB399" t="e">
        <f>AND(#REF!,"AAAAAG+ff4M=")</f>
        <v>#REF!</v>
      </c>
      <c r="EC399" t="e">
        <f>AND(#REF!,"AAAAAG+ff4Q=")</f>
        <v>#REF!</v>
      </c>
      <c r="ED399" t="e">
        <f>AND(#REF!,"AAAAAG+ff4U=")</f>
        <v>#REF!</v>
      </c>
      <c r="EE399" t="e">
        <f>AND(#REF!,"AAAAAG+ff4Y=")</f>
        <v>#REF!</v>
      </c>
      <c r="EF399" t="e">
        <f>AND(#REF!,"AAAAAG+ff4c=")</f>
        <v>#REF!</v>
      </c>
      <c r="EG399" t="e">
        <f>AND(#REF!,"AAAAAG+ff4g=")</f>
        <v>#REF!</v>
      </c>
      <c r="EH399" t="e">
        <f>AND(#REF!,"AAAAAG+ff4k=")</f>
        <v>#REF!</v>
      </c>
      <c r="EI399" t="e">
        <f>AND(#REF!,"AAAAAG+ff4o=")</f>
        <v>#REF!</v>
      </c>
      <c r="EJ399" t="e">
        <f>AND(#REF!,"AAAAAG+ff4s=")</f>
        <v>#REF!</v>
      </c>
      <c r="EK399" t="e">
        <f>IF(#REF!,"AAAAAG+ff4w=",0)</f>
        <v>#REF!</v>
      </c>
      <c r="EL399" t="e">
        <f>AND(#REF!,"AAAAAG+ff40=")</f>
        <v>#REF!</v>
      </c>
      <c r="EM399" t="e">
        <f>AND(#REF!,"AAAAAG+ff44=")</f>
        <v>#REF!</v>
      </c>
      <c r="EN399" t="e">
        <f>AND(#REF!,"AAAAAG+ff48=")</f>
        <v>#REF!</v>
      </c>
      <c r="EO399" t="e">
        <f>AND(#REF!,"AAAAAG+ff5A=")</f>
        <v>#REF!</v>
      </c>
      <c r="EP399" t="e">
        <f>AND(#REF!,"AAAAAG+ff5E=")</f>
        <v>#REF!</v>
      </c>
      <c r="EQ399" t="e">
        <f>AND(#REF!,"AAAAAG+ff5I=")</f>
        <v>#REF!</v>
      </c>
      <c r="ER399" t="e">
        <f>AND(#REF!,"AAAAAG+ff5M=")</f>
        <v>#REF!</v>
      </c>
      <c r="ES399" t="e">
        <f>AND(#REF!,"AAAAAG+ff5Q=")</f>
        <v>#REF!</v>
      </c>
      <c r="ET399" t="e">
        <f>AND(#REF!,"AAAAAG+ff5U=")</f>
        <v>#REF!</v>
      </c>
      <c r="EU399" t="e">
        <f>AND(#REF!,"AAAAAG+ff5Y=")</f>
        <v>#REF!</v>
      </c>
      <c r="EV399" t="e">
        <f>IF(#REF!,"AAAAAG+ff5c=",0)</f>
        <v>#REF!</v>
      </c>
      <c r="EW399" t="e">
        <f>AND(#REF!,"AAAAAG+ff5g=")</f>
        <v>#REF!</v>
      </c>
      <c r="EX399" t="e">
        <f>AND(#REF!,"AAAAAG+ff5k=")</f>
        <v>#REF!</v>
      </c>
      <c r="EY399" t="e">
        <f>AND(#REF!,"AAAAAG+ff5o=")</f>
        <v>#REF!</v>
      </c>
      <c r="EZ399" t="e">
        <f>AND(#REF!,"AAAAAG+ff5s=")</f>
        <v>#REF!</v>
      </c>
      <c r="FA399" t="e">
        <f>AND(#REF!,"AAAAAG+ff5w=")</f>
        <v>#REF!</v>
      </c>
      <c r="FB399" t="e">
        <f>AND(#REF!,"AAAAAG+ff50=")</f>
        <v>#REF!</v>
      </c>
      <c r="FC399" t="e">
        <f>AND(#REF!,"AAAAAG+ff54=")</f>
        <v>#REF!</v>
      </c>
      <c r="FD399" t="e">
        <f>AND(#REF!,"AAAAAG+ff58=")</f>
        <v>#REF!</v>
      </c>
      <c r="FE399" t="e">
        <f>AND(#REF!,"AAAAAG+ff6A=")</f>
        <v>#REF!</v>
      </c>
      <c r="FF399" t="e">
        <f>AND(#REF!,"AAAAAG+ff6E=")</f>
        <v>#REF!</v>
      </c>
      <c r="FG399" t="e">
        <f>IF(#REF!,"AAAAAG+ff6I=",0)</f>
        <v>#REF!</v>
      </c>
      <c r="FH399" t="e">
        <f>AND(#REF!,"AAAAAG+ff6M=")</f>
        <v>#REF!</v>
      </c>
      <c r="FI399" t="e">
        <f>AND(#REF!,"AAAAAG+ff6Q=")</f>
        <v>#REF!</v>
      </c>
      <c r="FJ399" t="e">
        <f>AND(#REF!,"AAAAAG+ff6U=")</f>
        <v>#REF!</v>
      </c>
      <c r="FK399" t="e">
        <f>AND(#REF!,"AAAAAG+ff6Y=")</f>
        <v>#REF!</v>
      </c>
      <c r="FL399" t="e">
        <f>AND(#REF!,"AAAAAG+ff6c=")</f>
        <v>#REF!</v>
      </c>
      <c r="FM399" t="e">
        <f>AND(#REF!,"AAAAAG+ff6g=")</f>
        <v>#REF!</v>
      </c>
      <c r="FN399" t="e">
        <f>AND(#REF!,"AAAAAG+ff6k=")</f>
        <v>#REF!</v>
      </c>
      <c r="FO399" t="e">
        <f>AND(#REF!,"AAAAAG+ff6o=")</f>
        <v>#REF!</v>
      </c>
      <c r="FP399" t="e">
        <f>AND(#REF!,"AAAAAG+ff6s=")</f>
        <v>#REF!</v>
      </c>
      <c r="FQ399" t="e">
        <f>AND(#REF!,"AAAAAG+ff6w=")</f>
        <v>#REF!</v>
      </c>
      <c r="FR399" t="e">
        <f>IF(#REF!,"AAAAAG+ff60=",0)</f>
        <v>#REF!</v>
      </c>
      <c r="FS399" t="e">
        <f>AND(#REF!,"AAAAAG+ff64=")</f>
        <v>#REF!</v>
      </c>
      <c r="FT399" t="e">
        <f>AND(#REF!,"AAAAAG+ff68=")</f>
        <v>#REF!</v>
      </c>
      <c r="FU399" t="e">
        <f>AND(#REF!,"AAAAAG+ff7A=")</f>
        <v>#REF!</v>
      </c>
      <c r="FV399" t="e">
        <f>AND(#REF!,"AAAAAG+ff7E=")</f>
        <v>#REF!</v>
      </c>
      <c r="FW399" t="e">
        <f>AND(#REF!,"AAAAAG+ff7I=")</f>
        <v>#REF!</v>
      </c>
      <c r="FX399" t="e">
        <f>AND(#REF!,"AAAAAG+ff7M=")</f>
        <v>#REF!</v>
      </c>
      <c r="FY399" t="e">
        <f>AND(#REF!,"AAAAAG+ff7Q=")</f>
        <v>#REF!</v>
      </c>
      <c r="FZ399" t="e">
        <f>AND(#REF!,"AAAAAG+ff7U=")</f>
        <v>#REF!</v>
      </c>
      <c r="GA399" t="e">
        <f>AND(#REF!,"AAAAAG+ff7Y=")</f>
        <v>#REF!</v>
      </c>
      <c r="GB399" t="e">
        <f>AND(#REF!,"AAAAAG+ff7c=")</f>
        <v>#REF!</v>
      </c>
      <c r="GC399" t="e">
        <f>IF(#REF!,"AAAAAG+ff7g=",0)</f>
        <v>#REF!</v>
      </c>
      <c r="GD399" t="e">
        <f>AND(#REF!,"AAAAAG+ff7k=")</f>
        <v>#REF!</v>
      </c>
      <c r="GE399" t="e">
        <f>AND(#REF!,"AAAAAG+ff7o=")</f>
        <v>#REF!</v>
      </c>
      <c r="GF399" t="e">
        <f>AND(#REF!,"AAAAAG+ff7s=")</f>
        <v>#REF!</v>
      </c>
      <c r="GG399" t="e">
        <f>AND(#REF!,"AAAAAG+ff7w=")</f>
        <v>#REF!</v>
      </c>
      <c r="GH399" t="e">
        <f>AND(#REF!,"AAAAAG+ff70=")</f>
        <v>#REF!</v>
      </c>
      <c r="GI399" t="e">
        <f>AND(#REF!,"AAAAAG+ff74=")</f>
        <v>#REF!</v>
      </c>
      <c r="GJ399" t="e">
        <f>AND(#REF!,"AAAAAG+ff78=")</f>
        <v>#REF!</v>
      </c>
      <c r="GK399" t="e">
        <f>AND(#REF!,"AAAAAG+ff8A=")</f>
        <v>#REF!</v>
      </c>
      <c r="GL399" t="e">
        <f>AND(#REF!,"AAAAAG+ff8E=")</f>
        <v>#REF!</v>
      </c>
      <c r="GM399" t="e">
        <f>AND(#REF!,"AAAAAG+ff8I=")</f>
        <v>#REF!</v>
      </c>
      <c r="GN399" t="e">
        <f>IF(#REF!,"AAAAAG+ff8M=",0)</f>
        <v>#REF!</v>
      </c>
      <c r="GO399" t="e">
        <f>AND(#REF!,"AAAAAG+ff8Q=")</f>
        <v>#REF!</v>
      </c>
      <c r="GP399" t="e">
        <f>AND(#REF!,"AAAAAG+ff8U=")</f>
        <v>#REF!</v>
      </c>
      <c r="GQ399" t="e">
        <f>AND(#REF!,"AAAAAG+ff8Y=")</f>
        <v>#REF!</v>
      </c>
      <c r="GR399" t="e">
        <f>AND(#REF!,"AAAAAG+ff8c=")</f>
        <v>#REF!</v>
      </c>
      <c r="GS399" t="e">
        <f>AND(#REF!,"AAAAAG+ff8g=")</f>
        <v>#REF!</v>
      </c>
      <c r="GT399" t="e">
        <f>AND(#REF!,"AAAAAG+ff8k=")</f>
        <v>#REF!</v>
      </c>
      <c r="GU399" t="e">
        <f>AND(#REF!,"AAAAAG+ff8o=")</f>
        <v>#REF!</v>
      </c>
      <c r="GV399" t="e">
        <f>AND(#REF!,"AAAAAG+ff8s=")</f>
        <v>#REF!</v>
      </c>
      <c r="GW399" t="e">
        <f>AND(#REF!,"AAAAAG+ff8w=")</f>
        <v>#REF!</v>
      </c>
      <c r="GX399" t="e">
        <f>AND(#REF!,"AAAAAG+ff80=")</f>
        <v>#REF!</v>
      </c>
      <c r="GY399" t="e">
        <f>IF(#REF!,"AAAAAG+ff84=",0)</f>
        <v>#REF!</v>
      </c>
      <c r="GZ399" t="e">
        <f>AND(#REF!,"AAAAAG+ff88=")</f>
        <v>#REF!</v>
      </c>
      <c r="HA399" t="e">
        <f>AND(#REF!,"AAAAAG+ff9A=")</f>
        <v>#REF!</v>
      </c>
      <c r="HB399" t="e">
        <f>AND(#REF!,"AAAAAG+ff9E=")</f>
        <v>#REF!</v>
      </c>
      <c r="HC399" t="e">
        <f>AND(#REF!,"AAAAAG+ff9I=")</f>
        <v>#REF!</v>
      </c>
      <c r="HD399" t="e">
        <f>AND(#REF!,"AAAAAG+ff9M=")</f>
        <v>#REF!</v>
      </c>
      <c r="HE399" t="e">
        <f>AND(#REF!,"AAAAAG+ff9Q=")</f>
        <v>#REF!</v>
      </c>
      <c r="HF399" t="e">
        <f>AND(#REF!,"AAAAAG+ff9U=")</f>
        <v>#REF!</v>
      </c>
      <c r="HG399" t="e">
        <f>AND(#REF!,"AAAAAG+ff9Y=")</f>
        <v>#REF!</v>
      </c>
      <c r="HH399" t="e">
        <f>AND(#REF!,"AAAAAG+ff9c=")</f>
        <v>#REF!</v>
      </c>
      <c r="HI399" t="e">
        <f>AND(#REF!,"AAAAAG+ff9g=")</f>
        <v>#REF!</v>
      </c>
      <c r="HJ399" t="e">
        <f>IF(#REF!,"AAAAAG+ff9k=",0)</f>
        <v>#REF!</v>
      </c>
      <c r="HK399" t="e">
        <f>AND(#REF!,"AAAAAG+ff9o=")</f>
        <v>#REF!</v>
      </c>
      <c r="HL399" t="e">
        <f>AND(#REF!,"AAAAAG+ff9s=")</f>
        <v>#REF!</v>
      </c>
      <c r="HM399" t="e">
        <f>AND(#REF!,"AAAAAG+ff9w=")</f>
        <v>#REF!</v>
      </c>
      <c r="HN399" t="e">
        <f>AND(#REF!,"AAAAAG+ff90=")</f>
        <v>#REF!</v>
      </c>
      <c r="HO399" t="e">
        <f>AND(#REF!,"AAAAAG+ff94=")</f>
        <v>#REF!</v>
      </c>
      <c r="HP399" t="e">
        <f>AND(#REF!,"AAAAAG+ff98=")</f>
        <v>#REF!</v>
      </c>
      <c r="HQ399" t="e">
        <f>AND(#REF!,"AAAAAG+ff+A=")</f>
        <v>#REF!</v>
      </c>
      <c r="HR399" t="e">
        <f>AND(#REF!,"AAAAAG+ff+E=")</f>
        <v>#REF!</v>
      </c>
      <c r="HS399" t="e">
        <f>AND(#REF!,"AAAAAG+ff+I=")</f>
        <v>#REF!</v>
      </c>
      <c r="HT399" t="e">
        <f>AND(#REF!,"AAAAAG+ff+M=")</f>
        <v>#REF!</v>
      </c>
      <c r="HU399" t="e">
        <f>IF(#REF!,"AAAAAG+ff+Q=",0)</f>
        <v>#REF!</v>
      </c>
      <c r="HV399" t="e">
        <f>AND(#REF!,"AAAAAG+ff+U=")</f>
        <v>#REF!</v>
      </c>
      <c r="HW399" t="e">
        <f>AND(#REF!,"AAAAAG+ff+Y=")</f>
        <v>#REF!</v>
      </c>
      <c r="HX399" t="e">
        <f>AND(#REF!,"AAAAAG+ff+c=")</f>
        <v>#REF!</v>
      </c>
      <c r="HY399" t="e">
        <f>AND(#REF!,"AAAAAG+ff+g=")</f>
        <v>#REF!</v>
      </c>
      <c r="HZ399" t="e">
        <f>AND(#REF!,"AAAAAG+ff+k=")</f>
        <v>#REF!</v>
      </c>
      <c r="IA399" t="e">
        <f>AND(#REF!,"AAAAAG+ff+o=")</f>
        <v>#REF!</v>
      </c>
      <c r="IB399" t="e">
        <f>AND(#REF!,"AAAAAG+ff+s=")</f>
        <v>#REF!</v>
      </c>
      <c r="IC399" t="e">
        <f>AND(#REF!,"AAAAAG+ff+w=")</f>
        <v>#REF!</v>
      </c>
      <c r="ID399" t="e">
        <f>AND(#REF!,"AAAAAG+ff+0=")</f>
        <v>#REF!</v>
      </c>
      <c r="IE399" t="e">
        <f>AND(#REF!,"AAAAAG+ff+4=")</f>
        <v>#REF!</v>
      </c>
      <c r="IF399" t="e">
        <f>IF(#REF!,"AAAAAG+ff+8=",0)</f>
        <v>#REF!</v>
      </c>
      <c r="IG399" t="e">
        <f>AND(#REF!,"AAAAAG+ff/A=")</f>
        <v>#REF!</v>
      </c>
      <c r="IH399" t="e">
        <f>AND(#REF!,"AAAAAG+ff/E=")</f>
        <v>#REF!</v>
      </c>
      <c r="II399" t="e">
        <f>AND(#REF!,"AAAAAG+ff/I=")</f>
        <v>#REF!</v>
      </c>
      <c r="IJ399" t="e">
        <f>AND(#REF!,"AAAAAG+ff/M=")</f>
        <v>#REF!</v>
      </c>
      <c r="IK399" t="e">
        <f>AND(#REF!,"AAAAAG+ff/Q=")</f>
        <v>#REF!</v>
      </c>
      <c r="IL399" t="e">
        <f>AND(#REF!,"AAAAAG+ff/U=")</f>
        <v>#REF!</v>
      </c>
      <c r="IM399" t="e">
        <f>AND(#REF!,"AAAAAG+ff/Y=")</f>
        <v>#REF!</v>
      </c>
      <c r="IN399" t="e">
        <f>AND(#REF!,"AAAAAG+ff/c=")</f>
        <v>#REF!</v>
      </c>
      <c r="IO399" t="e">
        <f>AND(#REF!,"AAAAAG+ff/g=")</f>
        <v>#REF!</v>
      </c>
      <c r="IP399" t="e">
        <f>AND(#REF!,"AAAAAG+ff/k=")</f>
        <v>#REF!</v>
      </c>
      <c r="IQ399" t="e">
        <f>IF(#REF!,"AAAAAG+ff/o=",0)</f>
        <v>#REF!</v>
      </c>
      <c r="IR399" t="e">
        <f>AND(#REF!,"AAAAAG+ff/s=")</f>
        <v>#REF!</v>
      </c>
      <c r="IS399" t="e">
        <f>AND(#REF!,"AAAAAG+ff/w=")</f>
        <v>#REF!</v>
      </c>
      <c r="IT399" t="e">
        <f>AND(#REF!,"AAAAAG+ff/0=")</f>
        <v>#REF!</v>
      </c>
      <c r="IU399" t="e">
        <f>AND(#REF!,"AAAAAG+ff/4=")</f>
        <v>#REF!</v>
      </c>
      <c r="IV399" t="e">
        <f>AND(#REF!,"AAAAAG+ff/8=")</f>
        <v>#REF!</v>
      </c>
    </row>
    <row r="400" spans="1:256" x14ac:dyDescent="0.25">
      <c r="A400" t="e">
        <f>AND(#REF!,"AAAAAH9/vwA=")</f>
        <v>#REF!</v>
      </c>
      <c r="B400" t="e">
        <f>AND(#REF!,"AAAAAH9/vwE=")</f>
        <v>#REF!</v>
      </c>
      <c r="C400" t="e">
        <f>AND(#REF!,"AAAAAH9/vwI=")</f>
        <v>#REF!</v>
      </c>
      <c r="D400" t="e">
        <f>AND(#REF!,"AAAAAH9/vwM=")</f>
        <v>#REF!</v>
      </c>
      <c r="E400" t="e">
        <f>AND(#REF!,"AAAAAH9/vwQ=")</f>
        <v>#REF!</v>
      </c>
      <c r="F400" t="e">
        <f>IF(#REF!,"AAAAAH9/vwU=",0)</f>
        <v>#REF!</v>
      </c>
      <c r="G400" t="e">
        <f>AND(#REF!,"AAAAAH9/vwY=")</f>
        <v>#REF!</v>
      </c>
      <c r="H400" t="e">
        <f>AND(#REF!,"AAAAAH9/vwc=")</f>
        <v>#REF!</v>
      </c>
      <c r="I400" t="e">
        <f>AND(#REF!,"AAAAAH9/vwg=")</f>
        <v>#REF!</v>
      </c>
      <c r="J400" t="e">
        <f>AND(#REF!,"AAAAAH9/vwk=")</f>
        <v>#REF!</v>
      </c>
      <c r="K400" t="e">
        <f>AND(#REF!,"AAAAAH9/vwo=")</f>
        <v>#REF!</v>
      </c>
      <c r="L400" t="e">
        <f>AND(#REF!,"AAAAAH9/vws=")</f>
        <v>#REF!</v>
      </c>
      <c r="M400" t="e">
        <f>AND(#REF!,"AAAAAH9/vww=")</f>
        <v>#REF!</v>
      </c>
      <c r="N400" t="e">
        <f>AND(#REF!,"AAAAAH9/vw0=")</f>
        <v>#REF!</v>
      </c>
      <c r="O400" t="e">
        <f>AND(#REF!,"AAAAAH9/vw4=")</f>
        <v>#REF!</v>
      </c>
      <c r="P400" t="e">
        <f>AND(#REF!,"AAAAAH9/vw8=")</f>
        <v>#REF!</v>
      </c>
      <c r="Q400" t="e">
        <f>IF(#REF!,"AAAAAH9/vxA=",0)</f>
        <v>#REF!</v>
      </c>
      <c r="R400" t="e">
        <f>AND(#REF!,"AAAAAH9/vxE=")</f>
        <v>#REF!</v>
      </c>
      <c r="S400" t="e">
        <f>AND(#REF!,"AAAAAH9/vxI=")</f>
        <v>#REF!</v>
      </c>
      <c r="T400" t="e">
        <f>AND(#REF!,"AAAAAH9/vxM=")</f>
        <v>#REF!</v>
      </c>
      <c r="U400" t="e">
        <f>AND(#REF!,"AAAAAH9/vxQ=")</f>
        <v>#REF!</v>
      </c>
      <c r="V400" t="e">
        <f>AND(#REF!,"AAAAAH9/vxU=")</f>
        <v>#REF!</v>
      </c>
      <c r="W400" t="e">
        <f>AND(#REF!,"AAAAAH9/vxY=")</f>
        <v>#REF!</v>
      </c>
      <c r="X400" t="e">
        <f>AND(#REF!,"AAAAAH9/vxc=")</f>
        <v>#REF!</v>
      </c>
      <c r="Y400" t="e">
        <f>AND(#REF!,"AAAAAH9/vxg=")</f>
        <v>#REF!</v>
      </c>
      <c r="Z400" t="e">
        <f>AND(#REF!,"AAAAAH9/vxk=")</f>
        <v>#REF!</v>
      </c>
      <c r="AA400" t="e">
        <f>AND(#REF!,"AAAAAH9/vxo=")</f>
        <v>#REF!</v>
      </c>
      <c r="AB400" t="e">
        <f>IF(#REF!,"AAAAAH9/vxs=",0)</f>
        <v>#REF!</v>
      </c>
      <c r="AC400" t="e">
        <f>AND(#REF!,"AAAAAH9/vxw=")</f>
        <v>#REF!</v>
      </c>
      <c r="AD400" t="e">
        <f>AND(#REF!,"AAAAAH9/vx0=")</f>
        <v>#REF!</v>
      </c>
      <c r="AE400" t="e">
        <f>AND(#REF!,"AAAAAH9/vx4=")</f>
        <v>#REF!</v>
      </c>
      <c r="AF400" t="e">
        <f>AND(#REF!,"AAAAAH9/vx8=")</f>
        <v>#REF!</v>
      </c>
      <c r="AG400" t="e">
        <f>AND(#REF!,"AAAAAH9/vyA=")</f>
        <v>#REF!</v>
      </c>
      <c r="AH400" t="e">
        <f>AND(#REF!,"AAAAAH9/vyE=")</f>
        <v>#REF!</v>
      </c>
      <c r="AI400" t="e">
        <f>AND(#REF!,"AAAAAH9/vyI=")</f>
        <v>#REF!</v>
      </c>
      <c r="AJ400" t="e">
        <f>AND(#REF!,"AAAAAH9/vyM=")</f>
        <v>#REF!</v>
      </c>
      <c r="AK400" t="e">
        <f>AND(#REF!,"AAAAAH9/vyQ=")</f>
        <v>#REF!</v>
      </c>
      <c r="AL400" t="e">
        <f>AND(#REF!,"AAAAAH9/vyU=")</f>
        <v>#REF!</v>
      </c>
      <c r="AM400" t="e">
        <f>IF(#REF!,"AAAAAH9/vyY=",0)</f>
        <v>#REF!</v>
      </c>
      <c r="AN400" t="e">
        <f>AND(#REF!,"AAAAAH9/vyc=")</f>
        <v>#REF!</v>
      </c>
      <c r="AO400" t="e">
        <f>AND(#REF!,"AAAAAH9/vyg=")</f>
        <v>#REF!</v>
      </c>
      <c r="AP400" t="e">
        <f>AND(#REF!,"AAAAAH9/vyk=")</f>
        <v>#REF!</v>
      </c>
      <c r="AQ400" t="e">
        <f>AND(#REF!,"AAAAAH9/vyo=")</f>
        <v>#REF!</v>
      </c>
      <c r="AR400" t="e">
        <f>AND(#REF!,"AAAAAH9/vys=")</f>
        <v>#REF!</v>
      </c>
      <c r="AS400" t="e">
        <f>AND(#REF!,"AAAAAH9/vyw=")</f>
        <v>#REF!</v>
      </c>
      <c r="AT400" t="e">
        <f>AND(#REF!,"AAAAAH9/vy0=")</f>
        <v>#REF!</v>
      </c>
      <c r="AU400" t="e">
        <f>AND(#REF!,"AAAAAH9/vy4=")</f>
        <v>#REF!</v>
      </c>
      <c r="AV400" t="e">
        <f>AND(#REF!,"AAAAAH9/vy8=")</f>
        <v>#REF!</v>
      </c>
      <c r="AW400" t="e">
        <f>AND(#REF!,"AAAAAH9/vzA=")</f>
        <v>#REF!</v>
      </c>
      <c r="AX400" t="e">
        <f>IF(#REF!,"AAAAAH9/vzE=",0)</f>
        <v>#REF!</v>
      </c>
      <c r="AY400" t="e">
        <f>AND(#REF!,"AAAAAH9/vzI=")</f>
        <v>#REF!</v>
      </c>
      <c r="AZ400" t="e">
        <f>AND(#REF!,"AAAAAH9/vzM=")</f>
        <v>#REF!</v>
      </c>
      <c r="BA400" t="e">
        <f>AND(#REF!,"AAAAAH9/vzQ=")</f>
        <v>#REF!</v>
      </c>
      <c r="BB400" t="e">
        <f>AND(#REF!,"AAAAAH9/vzU=")</f>
        <v>#REF!</v>
      </c>
      <c r="BC400" t="e">
        <f>AND(#REF!,"AAAAAH9/vzY=")</f>
        <v>#REF!</v>
      </c>
      <c r="BD400" t="e">
        <f>AND(#REF!,"AAAAAH9/vzc=")</f>
        <v>#REF!</v>
      </c>
      <c r="BE400" t="e">
        <f>AND(#REF!,"AAAAAH9/vzg=")</f>
        <v>#REF!</v>
      </c>
      <c r="BF400" t="e">
        <f>AND(#REF!,"AAAAAH9/vzk=")</f>
        <v>#REF!</v>
      </c>
      <c r="BG400" t="e">
        <f>AND(#REF!,"AAAAAH9/vzo=")</f>
        <v>#REF!</v>
      </c>
      <c r="BH400" t="e">
        <f>AND(#REF!,"AAAAAH9/vzs=")</f>
        <v>#REF!</v>
      </c>
      <c r="BI400" t="e">
        <f>IF(#REF!,"AAAAAH9/vzw=",0)</f>
        <v>#REF!</v>
      </c>
      <c r="BJ400" t="e">
        <f>AND(#REF!,"AAAAAH9/vz0=")</f>
        <v>#REF!</v>
      </c>
      <c r="BK400" t="e">
        <f>AND(#REF!,"AAAAAH9/vz4=")</f>
        <v>#REF!</v>
      </c>
      <c r="BL400" t="e">
        <f>AND(#REF!,"AAAAAH9/vz8=")</f>
        <v>#REF!</v>
      </c>
      <c r="BM400" t="e">
        <f>AND(#REF!,"AAAAAH9/v0A=")</f>
        <v>#REF!</v>
      </c>
      <c r="BN400" t="e">
        <f>AND(#REF!,"AAAAAH9/v0E=")</f>
        <v>#REF!</v>
      </c>
      <c r="BO400" t="e">
        <f>AND(#REF!,"AAAAAH9/v0I=")</f>
        <v>#REF!</v>
      </c>
      <c r="BP400" t="e">
        <f>AND(#REF!,"AAAAAH9/v0M=")</f>
        <v>#REF!</v>
      </c>
      <c r="BQ400" t="e">
        <f>AND(#REF!,"AAAAAH9/v0Q=")</f>
        <v>#REF!</v>
      </c>
      <c r="BR400" t="e">
        <f>AND(#REF!,"AAAAAH9/v0U=")</f>
        <v>#REF!</v>
      </c>
      <c r="BS400" t="e">
        <f>AND(#REF!,"AAAAAH9/v0Y=")</f>
        <v>#REF!</v>
      </c>
      <c r="BT400" t="e">
        <f>IF(#REF!,"AAAAAH9/v0c=",0)</f>
        <v>#REF!</v>
      </c>
      <c r="BU400" t="e">
        <f>AND(#REF!,"AAAAAH9/v0g=")</f>
        <v>#REF!</v>
      </c>
      <c r="BV400" t="e">
        <f>AND(#REF!,"AAAAAH9/v0k=")</f>
        <v>#REF!</v>
      </c>
      <c r="BW400" t="e">
        <f>AND(#REF!,"AAAAAH9/v0o=")</f>
        <v>#REF!</v>
      </c>
      <c r="BX400" t="e">
        <f>AND(#REF!,"AAAAAH9/v0s=")</f>
        <v>#REF!</v>
      </c>
      <c r="BY400" t="e">
        <f>AND(#REF!,"AAAAAH9/v0w=")</f>
        <v>#REF!</v>
      </c>
      <c r="BZ400" t="e">
        <f>AND(#REF!,"AAAAAH9/v00=")</f>
        <v>#REF!</v>
      </c>
      <c r="CA400" t="e">
        <f>AND(#REF!,"AAAAAH9/v04=")</f>
        <v>#REF!</v>
      </c>
      <c r="CB400" t="e">
        <f>AND(#REF!,"AAAAAH9/v08=")</f>
        <v>#REF!</v>
      </c>
      <c r="CC400" t="e">
        <f>AND(#REF!,"AAAAAH9/v1A=")</f>
        <v>#REF!</v>
      </c>
      <c r="CD400" t="e">
        <f>AND(#REF!,"AAAAAH9/v1E=")</f>
        <v>#REF!</v>
      </c>
      <c r="CE400" t="e">
        <f>IF(#REF!,"AAAAAH9/v1I=",0)</f>
        <v>#REF!</v>
      </c>
      <c r="CF400" t="e">
        <f>AND(#REF!,"AAAAAH9/v1M=")</f>
        <v>#REF!</v>
      </c>
      <c r="CG400" t="e">
        <f>AND(#REF!,"AAAAAH9/v1Q=")</f>
        <v>#REF!</v>
      </c>
      <c r="CH400" t="e">
        <f>AND(#REF!,"AAAAAH9/v1U=")</f>
        <v>#REF!</v>
      </c>
      <c r="CI400" t="e">
        <f>AND(#REF!,"AAAAAH9/v1Y=")</f>
        <v>#REF!</v>
      </c>
      <c r="CJ400" t="e">
        <f>AND(#REF!,"AAAAAH9/v1c=")</f>
        <v>#REF!</v>
      </c>
      <c r="CK400" t="e">
        <f>AND(#REF!,"AAAAAH9/v1g=")</f>
        <v>#REF!</v>
      </c>
      <c r="CL400" t="e">
        <f>AND(#REF!,"AAAAAH9/v1k=")</f>
        <v>#REF!</v>
      </c>
      <c r="CM400" t="e">
        <f>AND(#REF!,"AAAAAH9/v1o=")</f>
        <v>#REF!</v>
      </c>
      <c r="CN400" t="e">
        <f>AND(#REF!,"AAAAAH9/v1s=")</f>
        <v>#REF!</v>
      </c>
      <c r="CO400" t="e">
        <f>AND(#REF!,"AAAAAH9/v1w=")</f>
        <v>#REF!</v>
      </c>
      <c r="CP400" t="e">
        <f>IF(#REF!,"AAAAAH9/v10=",0)</f>
        <v>#REF!</v>
      </c>
      <c r="CQ400" t="e">
        <f>AND(#REF!,"AAAAAH9/v14=")</f>
        <v>#REF!</v>
      </c>
      <c r="CR400" t="e">
        <f>AND(#REF!,"AAAAAH9/v18=")</f>
        <v>#REF!</v>
      </c>
      <c r="CS400" t="e">
        <f>AND(#REF!,"AAAAAH9/v2A=")</f>
        <v>#REF!</v>
      </c>
      <c r="CT400" t="e">
        <f>AND(#REF!,"AAAAAH9/v2E=")</f>
        <v>#REF!</v>
      </c>
      <c r="CU400" t="e">
        <f>AND(#REF!,"AAAAAH9/v2I=")</f>
        <v>#REF!</v>
      </c>
      <c r="CV400" t="e">
        <f>AND(#REF!,"AAAAAH9/v2M=")</f>
        <v>#REF!</v>
      </c>
      <c r="CW400" t="e">
        <f>AND(#REF!,"AAAAAH9/v2Q=")</f>
        <v>#REF!</v>
      </c>
      <c r="CX400" t="e">
        <f>AND(#REF!,"AAAAAH9/v2U=")</f>
        <v>#REF!</v>
      </c>
      <c r="CY400" t="e">
        <f>AND(#REF!,"AAAAAH9/v2Y=")</f>
        <v>#REF!</v>
      </c>
      <c r="CZ400" t="e">
        <f>AND(#REF!,"AAAAAH9/v2c=")</f>
        <v>#REF!</v>
      </c>
      <c r="DA400" t="e">
        <f>IF(#REF!,"AAAAAH9/v2g=",0)</f>
        <v>#REF!</v>
      </c>
      <c r="DB400" t="e">
        <f>AND(#REF!,"AAAAAH9/v2k=")</f>
        <v>#REF!</v>
      </c>
      <c r="DC400" t="e">
        <f>AND(#REF!,"AAAAAH9/v2o=")</f>
        <v>#REF!</v>
      </c>
      <c r="DD400" t="e">
        <f>AND(#REF!,"AAAAAH9/v2s=")</f>
        <v>#REF!</v>
      </c>
      <c r="DE400" t="e">
        <f>AND(#REF!,"AAAAAH9/v2w=")</f>
        <v>#REF!</v>
      </c>
      <c r="DF400" t="e">
        <f>AND(#REF!,"AAAAAH9/v20=")</f>
        <v>#REF!</v>
      </c>
      <c r="DG400" t="e">
        <f>AND(#REF!,"AAAAAH9/v24=")</f>
        <v>#REF!</v>
      </c>
      <c r="DH400" t="e">
        <f>AND(#REF!,"AAAAAH9/v28=")</f>
        <v>#REF!</v>
      </c>
      <c r="DI400" t="e">
        <f>AND(#REF!,"AAAAAH9/v3A=")</f>
        <v>#REF!</v>
      </c>
      <c r="DJ400" t="e">
        <f>AND(#REF!,"AAAAAH9/v3E=")</f>
        <v>#REF!</v>
      </c>
      <c r="DK400" t="e">
        <f>AND(#REF!,"AAAAAH9/v3I=")</f>
        <v>#REF!</v>
      </c>
      <c r="DL400" t="e">
        <f>IF(#REF!,"AAAAAH9/v3M=",0)</f>
        <v>#REF!</v>
      </c>
      <c r="DM400" t="e">
        <f>AND(#REF!,"AAAAAH9/v3Q=")</f>
        <v>#REF!</v>
      </c>
      <c r="DN400" t="e">
        <f>AND(#REF!,"AAAAAH9/v3U=")</f>
        <v>#REF!</v>
      </c>
      <c r="DO400" t="e">
        <f>AND(#REF!,"AAAAAH9/v3Y=")</f>
        <v>#REF!</v>
      </c>
      <c r="DP400" t="e">
        <f>AND(#REF!,"AAAAAH9/v3c=")</f>
        <v>#REF!</v>
      </c>
      <c r="DQ400" t="e">
        <f>AND(#REF!,"AAAAAH9/v3g=")</f>
        <v>#REF!</v>
      </c>
      <c r="DR400" t="e">
        <f>AND(#REF!,"AAAAAH9/v3k=")</f>
        <v>#REF!</v>
      </c>
      <c r="DS400" t="e">
        <f>AND(#REF!,"AAAAAH9/v3o=")</f>
        <v>#REF!</v>
      </c>
      <c r="DT400" t="e">
        <f>AND(#REF!,"AAAAAH9/v3s=")</f>
        <v>#REF!</v>
      </c>
      <c r="DU400" t="e">
        <f>AND(#REF!,"AAAAAH9/v3w=")</f>
        <v>#REF!</v>
      </c>
      <c r="DV400" t="e">
        <f>AND(#REF!,"AAAAAH9/v30=")</f>
        <v>#REF!</v>
      </c>
      <c r="DW400" t="e">
        <f>IF(#REF!,"AAAAAH9/v34=",0)</f>
        <v>#REF!</v>
      </c>
      <c r="DX400" t="e">
        <f>AND(#REF!,"AAAAAH9/v38=")</f>
        <v>#REF!</v>
      </c>
      <c r="DY400" t="e">
        <f>AND(#REF!,"AAAAAH9/v4A=")</f>
        <v>#REF!</v>
      </c>
      <c r="DZ400" t="e">
        <f>AND(#REF!,"AAAAAH9/v4E=")</f>
        <v>#REF!</v>
      </c>
      <c r="EA400" t="e">
        <f>AND(#REF!,"AAAAAH9/v4I=")</f>
        <v>#REF!</v>
      </c>
      <c r="EB400" t="e">
        <f>AND(#REF!,"AAAAAH9/v4M=")</f>
        <v>#REF!</v>
      </c>
      <c r="EC400" t="e">
        <f>AND(#REF!,"AAAAAH9/v4Q=")</f>
        <v>#REF!</v>
      </c>
      <c r="ED400" t="e">
        <f>AND(#REF!,"AAAAAH9/v4U=")</f>
        <v>#REF!</v>
      </c>
      <c r="EE400" t="e">
        <f>AND(#REF!,"AAAAAH9/v4Y=")</f>
        <v>#REF!</v>
      </c>
      <c r="EF400" t="e">
        <f>AND(#REF!,"AAAAAH9/v4c=")</f>
        <v>#REF!</v>
      </c>
      <c r="EG400" t="e">
        <f>AND(#REF!,"AAAAAH9/v4g=")</f>
        <v>#REF!</v>
      </c>
      <c r="EH400" t="e">
        <f>IF(#REF!,"AAAAAH9/v4k=",0)</f>
        <v>#REF!</v>
      </c>
      <c r="EI400" t="e">
        <f>AND(#REF!,"AAAAAH9/v4o=")</f>
        <v>#REF!</v>
      </c>
      <c r="EJ400" t="e">
        <f>AND(#REF!,"AAAAAH9/v4s=")</f>
        <v>#REF!</v>
      </c>
      <c r="EK400" t="e">
        <f>AND(#REF!,"AAAAAH9/v4w=")</f>
        <v>#REF!</v>
      </c>
      <c r="EL400" t="e">
        <f>AND(#REF!,"AAAAAH9/v40=")</f>
        <v>#REF!</v>
      </c>
      <c r="EM400" t="e">
        <f>AND(#REF!,"AAAAAH9/v44=")</f>
        <v>#REF!</v>
      </c>
      <c r="EN400" t="e">
        <f>AND(#REF!,"AAAAAH9/v48=")</f>
        <v>#REF!</v>
      </c>
      <c r="EO400" t="e">
        <f>AND(#REF!,"AAAAAH9/v5A=")</f>
        <v>#REF!</v>
      </c>
      <c r="EP400" t="e">
        <f>AND(#REF!,"AAAAAH9/v5E=")</f>
        <v>#REF!</v>
      </c>
      <c r="EQ400" t="e">
        <f>AND(#REF!,"AAAAAH9/v5I=")</f>
        <v>#REF!</v>
      </c>
      <c r="ER400" t="e">
        <f>AND(#REF!,"AAAAAH9/v5M=")</f>
        <v>#REF!</v>
      </c>
      <c r="ES400" t="e">
        <f>IF(#REF!,"AAAAAH9/v5Q=",0)</f>
        <v>#REF!</v>
      </c>
      <c r="ET400" t="e">
        <f>AND(#REF!,"AAAAAH9/v5U=")</f>
        <v>#REF!</v>
      </c>
      <c r="EU400" t="e">
        <f>AND(#REF!,"AAAAAH9/v5Y=")</f>
        <v>#REF!</v>
      </c>
      <c r="EV400" t="e">
        <f>AND(#REF!,"AAAAAH9/v5c=")</f>
        <v>#REF!</v>
      </c>
      <c r="EW400" t="e">
        <f>AND(#REF!,"AAAAAH9/v5g=")</f>
        <v>#REF!</v>
      </c>
      <c r="EX400" t="e">
        <f>AND(#REF!,"AAAAAH9/v5k=")</f>
        <v>#REF!</v>
      </c>
      <c r="EY400" t="e">
        <f>AND(#REF!,"AAAAAH9/v5o=")</f>
        <v>#REF!</v>
      </c>
      <c r="EZ400" t="e">
        <f>AND(#REF!,"AAAAAH9/v5s=")</f>
        <v>#REF!</v>
      </c>
      <c r="FA400" t="e">
        <f>AND(#REF!,"AAAAAH9/v5w=")</f>
        <v>#REF!</v>
      </c>
      <c r="FB400" t="e">
        <f>AND(#REF!,"AAAAAH9/v50=")</f>
        <v>#REF!</v>
      </c>
      <c r="FC400" t="e">
        <f>AND(#REF!,"AAAAAH9/v54=")</f>
        <v>#REF!</v>
      </c>
      <c r="FD400" t="e">
        <f>IF(#REF!,"AAAAAH9/v58=",0)</f>
        <v>#REF!</v>
      </c>
      <c r="FE400" t="e">
        <f>AND(#REF!,"AAAAAH9/v6A=")</f>
        <v>#REF!</v>
      </c>
      <c r="FF400" t="e">
        <f>AND(#REF!,"AAAAAH9/v6E=")</f>
        <v>#REF!</v>
      </c>
      <c r="FG400" t="e">
        <f>AND(#REF!,"AAAAAH9/v6I=")</f>
        <v>#REF!</v>
      </c>
      <c r="FH400" t="e">
        <f>AND(#REF!,"AAAAAH9/v6M=")</f>
        <v>#REF!</v>
      </c>
      <c r="FI400" t="e">
        <f>AND(#REF!,"AAAAAH9/v6Q=")</f>
        <v>#REF!</v>
      </c>
      <c r="FJ400" t="e">
        <f>AND(#REF!,"AAAAAH9/v6U=")</f>
        <v>#REF!</v>
      </c>
      <c r="FK400" t="e">
        <f>AND(#REF!,"AAAAAH9/v6Y=")</f>
        <v>#REF!</v>
      </c>
      <c r="FL400" t="e">
        <f>AND(#REF!,"AAAAAH9/v6c=")</f>
        <v>#REF!</v>
      </c>
      <c r="FM400" t="e">
        <f>AND(#REF!,"AAAAAH9/v6g=")</f>
        <v>#REF!</v>
      </c>
      <c r="FN400" t="e">
        <f>AND(#REF!,"AAAAAH9/v6k=")</f>
        <v>#REF!</v>
      </c>
      <c r="FO400" t="e">
        <f>IF(#REF!,"AAAAAH9/v6o=",0)</f>
        <v>#REF!</v>
      </c>
      <c r="FP400" t="e">
        <f>AND(#REF!,"AAAAAH9/v6s=")</f>
        <v>#REF!</v>
      </c>
      <c r="FQ400" t="e">
        <f>AND(#REF!,"AAAAAH9/v6w=")</f>
        <v>#REF!</v>
      </c>
      <c r="FR400" t="e">
        <f>AND(#REF!,"AAAAAH9/v60=")</f>
        <v>#REF!</v>
      </c>
      <c r="FS400" t="e">
        <f>AND(#REF!,"AAAAAH9/v64=")</f>
        <v>#REF!</v>
      </c>
      <c r="FT400" t="e">
        <f>AND(#REF!,"AAAAAH9/v68=")</f>
        <v>#REF!</v>
      </c>
      <c r="FU400" t="e">
        <f>AND(#REF!,"AAAAAH9/v7A=")</f>
        <v>#REF!</v>
      </c>
      <c r="FV400" t="e">
        <f>AND(#REF!,"AAAAAH9/v7E=")</f>
        <v>#REF!</v>
      </c>
      <c r="FW400" t="e">
        <f>AND(#REF!,"AAAAAH9/v7I=")</f>
        <v>#REF!</v>
      </c>
      <c r="FX400" t="e">
        <f>AND(#REF!,"AAAAAH9/v7M=")</f>
        <v>#REF!</v>
      </c>
      <c r="FY400" t="e">
        <f>AND(#REF!,"AAAAAH9/v7Q=")</f>
        <v>#REF!</v>
      </c>
      <c r="FZ400" t="e">
        <f>IF(#REF!,"AAAAAH9/v7U=",0)</f>
        <v>#REF!</v>
      </c>
      <c r="GA400" t="e">
        <f>AND(#REF!,"AAAAAH9/v7Y=")</f>
        <v>#REF!</v>
      </c>
      <c r="GB400" t="e">
        <f>AND(#REF!,"AAAAAH9/v7c=")</f>
        <v>#REF!</v>
      </c>
      <c r="GC400" t="e">
        <f>AND(#REF!,"AAAAAH9/v7g=")</f>
        <v>#REF!</v>
      </c>
      <c r="GD400" t="e">
        <f>AND(#REF!,"AAAAAH9/v7k=")</f>
        <v>#REF!</v>
      </c>
      <c r="GE400" t="e">
        <f>AND(#REF!,"AAAAAH9/v7o=")</f>
        <v>#REF!</v>
      </c>
      <c r="GF400" t="e">
        <f>AND(#REF!,"AAAAAH9/v7s=")</f>
        <v>#REF!</v>
      </c>
      <c r="GG400" t="e">
        <f>AND(#REF!,"AAAAAH9/v7w=")</f>
        <v>#REF!</v>
      </c>
      <c r="GH400" t="e">
        <f>AND(#REF!,"AAAAAH9/v70=")</f>
        <v>#REF!</v>
      </c>
      <c r="GI400" t="e">
        <f>AND(#REF!,"AAAAAH9/v74=")</f>
        <v>#REF!</v>
      </c>
      <c r="GJ400" t="e">
        <f>AND(#REF!,"AAAAAH9/v78=")</f>
        <v>#REF!</v>
      </c>
      <c r="GK400" t="e">
        <f>IF(#REF!,"AAAAAH9/v8A=",0)</f>
        <v>#REF!</v>
      </c>
      <c r="GL400" t="e">
        <f>AND(#REF!,"AAAAAH9/v8E=")</f>
        <v>#REF!</v>
      </c>
      <c r="GM400" t="e">
        <f>AND(#REF!,"AAAAAH9/v8I=")</f>
        <v>#REF!</v>
      </c>
      <c r="GN400" t="e">
        <f>AND(#REF!,"AAAAAH9/v8M=")</f>
        <v>#REF!</v>
      </c>
      <c r="GO400" t="e">
        <f>AND(#REF!,"AAAAAH9/v8Q=")</f>
        <v>#REF!</v>
      </c>
      <c r="GP400" t="e">
        <f>AND(#REF!,"AAAAAH9/v8U=")</f>
        <v>#REF!</v>
      </c>
      <c r="GQ400" t="e">
        <f>AND(#REF!,"AAAAAH9/v8Y=")</f>
        <v>#REF!</v>
      </c>
      <c r="GR400" t="e">
        <f>AND(#REF!,"AAAAAH9/v8c=")</f>
        <v>#REF!</v>
      </c>
      <c r="GS400" t="e">
        <f>AND(#REF!,"AAAAAH9/v8g=")</f>
        <v>#REF!</v>
      </c>
      <c r="GT400" t="e">
        <f>AND(#REF!,"AAAAAH9/v8k=")</f>
        <v>#REF!</v>
      </c>
      <c r="GU400" t="e">
        <f>AND(#REF!,"AAAAAH9/v8o=")</f>
        <v>#REF!</v>
      </c>
      <c r="GV400" t="e">
        <f>IF(#REF!,"AAAAAH9/v8s=",0)</f>
        <v>#REF!</v>
      </c>
      <c r="GW400" t="e">
        <f>AND(#REF!,"AAAAAH9/v8w=")</f>
        <v>#REF!</v>
      </c>
      <c r="GX400" t="e">
        <f>AND(#REF!,"AAAAAH9/v80=")</f>
        <v>#REF!</v>
      </c>
      <c r="GY400" t="e">
        <f>AND(#REF!,"AAAAAH9/v84=")</f>
        <v>#REF!</v>
      </c>
      <c r="GZ400" t="e">
        <f>AND(#REF!,"AAAAAH9/v88=")</f>
        <v>#REF!</v>
      </c>
      <c r="HA400" t="e">
        <f>AND(#REF!,"AAAAAH9/v9A=")</f>
        <v>#REF!</v>
      </c>
      <c r="HB400" t="e">
        <f>AND(#REF!,"AAAAAH9/v9E=")</f>
        <v>#REF!</v>
      </c>
      <c r="HC400" t="e">
        <f>AND(#REF!,"AAAAAH9/v9I=")</f>
        <v>#REF!</v>
      </c>
      <c r="HD400" t="e">
        <f>AND(#REF!,"AAAAAH9/v9M=")</f>
        <v>#REF!</v>
      </c>
      <c r="HE400" t="e">
        <f>AND(#REF!,"AAAAAH9/v9Q=")</f>
        <v>#REF!</v>
      </c>
      <c r="HF400" t="e">
        <f>AND(#REF!,"AAAAAH9/v9U=")</f>
        <v>#REF!</v>
      </c>
      <c r="HG400" t="e">
        <f>IF(#REF!,"AAAAAH9/v9Y=",0)</f>
        <v>#REF!</v>
      </c>
      <c r="HH400" t="e">
        <f>AND(#REF!,"AAAAAH9/v9c=")</f>
        <v>#REF!</v>
      </c>
      <c r="HI400" t="e">
        <f>AND(#REF!,"AAAAAH9/v9g=")</f>
        <v>#REF!</v>
      </c>
      <c r="HJ400" t="e">
        <f>AND(#REF!,"AAAAAH9/v9k=")</f>
        <v>#REF!</v>
      </c>
      <c r="HK400" t="e">
        <f>AND(#REF!,"AAAAAH9/v9o=")</f>
        <v>#REF!</v>
      </c>
      <c r="HL400" t="e">
        <f>AND(#REF!,"AAAAAH9/v9s=")</f>
        <v>#REF!</v>
      </c>
      <c r="HM400" t="e">
        <f>AND(#REF!,"AAAAAH9/v9w=")</f>
        <v>#REF!</v>
      </c>
      <c r="HN400" t="e">
        <f>AND(#REF!,"AAAAAH9/v90=")</f>
        <v>#REF!</v>
      </c>
      <c r="HO400" t="e">
        <f>AND(#REF!,"AAAAAH9/v94=")</f>
        <v>#REF!</v>
      </c>
      <c r="HP400" t="e">
        <f>AND(#REF!,"AAAAAH9/v98=")</f>
        <v>#REF!</v>
      </c>
      <c r="HQ400" t="e">
        <f>AND(#REF!,"AAAAAH9/v+A=")</f>
        <v>#REF!</v>
      </c>
      <c r="HR400" t="e">
        <f>IF(#REF!,"AAAAAH9/v+E=",0)</f>
        <v>#REF!</v>
      </c>
      <c r="HS400" t="e">
        <f>AND(#REF!,"AAAAAH9/v+I=")</f>
        <v>#REF!</v>
      </c>
      <c r="HT400" t="e">
        <f>AND(#REF!,"AAAAAH9/v+M=")</f>
        <v>#REF!</v>
      </c>
      <c r="HU400" t="e">
        <f>AND(#REF!,"AAAAAH9/v+Q=")</f>
        <v>#REF!</v>
      </c>
      <c r="HV400" t="e">
        <f>AND(#REF!,"AAAAAH9/v+U=")</f>
        <v>#REF!</v>
      </c>
      <c r="HW400" t="e">
        <f>AND(#REF!,"AAAAAH9/v+Y=")</f>
        <v>#REF!</v>
      </c>
      <c r="HX400" t="e">
        <f>AND(#REF!,"AAAAAH9/v+c=")</f>
        <v>#REF!</v>
      </c>
      <c r="HY400" t="e">
        <f>AND(#REF!,"AAAAAH9/v+g=")</f>
        <v>#REF!</v>
      </c>
      <c r="HZ400" t="e">
        <f>AND(#REF!,"AAAAAH9/v+k=")</f>
        <v>#REF!</v>
      </c>
      <c r="IA400" t="e">
        <f>AND(#REF!,"AAAAAH9/v+o=")</f>
        <v>#REF!</v>
      </c>
      <c r="IB400" t="e">
        <f>AND(#REF!,"AAAAAH9/v+s=")</f>
        <v>#REF!</v>
      </c>
      <c r="IC400" t="e">
        <f>IF(#REF!,"AAAAAH9/v+w=",0)</f>
        <v>#REF!</v>
      </c>
      <c r="ID400" t="e">
        <f>AND(#REF!,"AAAAAH9/v+0=")</f>
        <v>#REF!</v>
      </c>
      <c r="IE400" t="e">
        <f>AND(#REF!,"AAAAAH9/v+4=")</f>
        <v>#REF!</v>
      </c>
      <c r="IF400" t="e">
        <f>AND(#REF!,"AAAAAH9/v+8=")</f>
        <v>#REF!</v>
      </c>
      <c r="IG400" t="e">
        <f>AND(#REF!,"AAAAAH9/v/A=")</f>
        <v>#REF!</v>
      </c>
      <c r="IH400" t="e">
        <f>AND(#REF!,"AAAAAH9/v/E=")</f>
        <v>#REF!</v>
      </c>
      <c r="II400" t="e">
        <f>AND(#REF!,"AAAAAH9/v/I=")</f>
        <v>#REF!</v>
      </c>
      <c r="IJ400" t="e">
        <f>AND(#REF!,"AAAAAH9/v/M=")</f>
        <v>#REF!</v>
      </c>
      <c r="IK400" t="e">
        <f>AND(#REF!,"AAAAAH9/v/Q=")</f>
        <v>#REF!</v>
      </c>
      <c r="IL400" t="e">
        <f>AND(#REF!,"AAAAAH9/v/U=")</f>
        <v>#REF!</v>
      </c>
      <c r="IM400" t="e">
        <f>AND(#REF!,"AAAAAH9/v/Y=")</f>
        <v>#REF!</v>
      </c>
      <c r="IN400" t="e">
        <f>IF(#REF!,"AAAAAH9/v/c=",0)</f>
        <v>#REF!</v>
      </c>
      <c r="IO400" t="e">
        <f>AND(#REF!,"AAAAAH9/v/g=")</f>
        <v>#REF!</v>
      </c>
      <c r="IP400" t="e">
        <f>AND(#REF!,"AAAAAH9/v/k=")</f>
        <v>#REF!</v>
      </c>
      <c r="IQ400" t="e">
        <f>AND(#REF!,"AAAAAH9/v/o=")</f>
        <v>#REF!</v>
      </c>
      <c r="IR400" t="e">
        <f>AND(#REF!,"AAAAAH9/v/s=")</f>
        <v>#REF!</v>
      </c>
      <c r="IS400" t="e">
        <f>AND(#REF!,"AAAAAH9/v/w=")</f>
        <v>#REF!</v>
      </c>
      <c r="IT400" t="e">
        <f>AND(#REF!,"AAAAAH9/v/0=")</f>
        <v>#REF!</v>
      </c>
      <c r="IU400" t="e">
        <f>AND(#REF!,"AAAAAH9/v/4=")</f>
        <v>#REF!</v>
      </c>
      <c r="IV400" t="e">
        <f>AND(#REF!,"AAAAAH9/v/8=")</f>
        <v>#REF!</v>
      </c>
    </row>
    <row r="401" spans="1:256" x14ac:dyDescent="0.25">
      <c r="A401" t="e">
        <f>AND(#REF!,"AAAAAF2R9gA=")</f>
        <v>#REF!</v>
      </c>
      <c r="B401" t="e">
        <f>AND(#REF!,"AAAAAF2R9gE=")</f>
        <v>#REF!</v>
      </c>
      <c r="C401" t="e">
        <f>IF(#REF!,"AAAAAF2R9gI=",0)</f>
        <v>#REF!</v>
      </c>
      <c r="D401" t="e">
        <f>AND(#REF!,"AAAAAF2R9gM=")</f>
        <v>#REF!</v>
      </c>
      <c r="E401" t="e">
        <f>AND(#REF!,"AAAAAF2R9gQ=")</f>
        <v>#REF!</v>
      </c>
      <c r="F401" t="e">
        <f>AND(#REF!,"AAAAAF2R9gU=")</f>
        <v>#REF!</v>
      </c>
      <c r="G401" t="e">
        <f>AND(#REF!,"AAAAAF2R9gY=")</f>
        <v>#REF!</v>
      </c>
      <c r="H401" t="e">
        <f>AND(#REF!,"AAAAAF2R9gc=")</f>
        <v>#REF!</v>
      </c>
      <c r="I401" t="e">
        <f>AND(#REF!,"AAAAAF2R9gg=")</f>
        <v>#REF!</v>
      </c>
      <c r="J401" t="e">
        <f>AND(#REF!,"AAAAAF2R9gk=")</f>
        <v>#REF!</v>
      </c>
      <c r="K401" t="e">
        <f>AND(#REF!,"AAAAAF2R9go=")</f>
        <v>#REF!</v>
      </c>
      <c r="L401" t="e">
        <f>AND(#REF!,"AAAAAF2R9gs=")</f>
        <v>#REF!</v>
      </c>
      <c r="M401" t="e">
        <f>AND(#REF!,"AAAAAF2R9gw=")</f>
        <v>#REF!</v>
      </c>
      <c r="N401" t="e">
        <f>IF(#REF!,"AAAAAF2R9g0=",0)</f>
        <v>#REF!</v>
      </c>
      <c r="O401" t="e">
        <f>AND(#REF!,"AAAAAF2R9g4=")</f>
        <v>#REF!</v>
      </c>
      <c r="P401" t="e">
        <f>AND(#REF!,"AAAAAF2R9g8=")</f>
        <v>#REF!</v>
      </c>
      <c r="Q401" t="e">
        <f>AND(#REF!,"AAAAAF2R9hA=")</f>
        <v>#REF!</v>
      </c>
      <c r="R401" t="e">
        <f>AND(#REF!,"AAAAAF2R9hE=")</f>
        <v>#REF!</v>
      </c>
      <c r="S401" t="e">
        <f>AND(#REF!,"AAAAAF2R9hI=")</f>
        <v>#REF!</v>
      </c>
      <c r="T401" t="e">
        <f>AND(#REF!,"AAAAAF2R9hM=")</f>
        <v>#REF!</v>
      </c>
      <c r="U401" t="e">
        <f>AND(#REF!,"AAAAAF2R9hQ=")</f>
        <v>#REF!</v>
      </c>
      <c r="V401" t="e">
        <f>AND(#REF!,"AAAAAF2R9hU=")</f>
        <v>#REF!</v>
      </c>
      <c r="W401" t="e">
        <f>AND(#REF!,"AAAAAF2R9hY=")</f>
        <v>#REF!</v>
      </c>
      <c r="X401" t="e">
        <f>AND(#REF!,"AAAAAF2R9hc=")</f>
        <v>#REF!</v>
      </c>
      <c r="Y401" t="e">
        <f>IF(#REF!,"AAAAAF2R9hg=",0)</f>
        <v>#REF!</v>
      </c>
      <c r="Z401" t="e">
        <f>AND(#REF!,"AAAAAF2R9hk=")</f>
        <v>#REF!</v>
      </c>
      <c r="AA401" t="e">
        <f>AND(#REF!,"AAAAAF2R9ho=")</f>
        <v>#REF!</v>
      </c>
      <c r="AB401" t="e">
        <f>AND(#REF!,"AAAAAF2R9hs=")</f>
        <v>#REF!</v>
      </c>
      <c r="AC401" t="e">
        <f>AND(#REF!,"AAAAAF2R9hw=")</f>
        <v>#REF!</v>
      </c>
      <c r="AD401" t="e">
        <f>AND(#REF!,"AAAAAF2R9h0=")</f>
        <v>#REF!</v>
      </c>
      <c r="AE401" t="e">
        <f>AND(#REF!,"AAAAAF2R9h4=")</f>
        <v>#REF!</v>
      </c>
      <c r="AF401" t="e">
        <f>AND(#REF!,"AAAAAF2R9h8=")</f>
        <v>#REF!</v>
      </c>
      <c r="AG401" t="e">
        <f>AND(#REF!,"AAAAAF2R9iA=")</f>
        <v>#REF!</v>
      </c>
      <c r="AH401" t="e">
        <f>AND(#REF!,"AAAAAF2R9iE=")</f>
        <v>#REF!</v>
      </c>
      <c r="AI401" t="e">
        <f>AND(#REF!,"AAAAAF2R9iI=")</f>
        <v>#REF!</v>
      </c>
      <c r="AJ401" t="e">
        <f>IF(#REF!,"AAAAAF2R9iM=",0)</f>
        <v>#REF!</v>
      </c>
      <c r="AK401" t="e">
        <f>AND(#REF!,"AAAAAF2R9iQ=")</f>
        <v>#REF!</v>
      </c>
      <c r="AL401" t="e">
        <f>AND(#REF!,"AAAAAF2R9iU=")</f>
        <v>#REF!</v>
      </c>
      <c r="AM401" t="e">
        <f>AND(#REF!,"AAAAAF2R9iY=")</f>
        <v>#REF!</v>
      </c>
      <c r="AN401" t="e">
        <f>AND(#REF!,"AAAAAF2R9ic=")</f>
        <v>#REF!</v>
      </c>
      <c r="AO401" t="e">
        <f>AND(#REF!,"AAAAAF2R9ig=")</f>
        <v>#REF!</v>
      </c>
      <c r="AP401" t="e">
        <f>AND(#REF!,"AAAAAF2R9ik=")</f>
        <v>#REF!</v>
      </c>
      <c r="AQ401" t="e">
        <f>AND(#REF!,"AAAAAF2R9io=")</f>
        <v>#REF!</v>
      </c>
      <c r="AR401" t="e">
        <f>AND(#REF!,"AAAAAF2R9is=")</f>
        <v>#REF!</v>
      </c>
      <c r="AS401" t="e">
        <f>AND(#REF!,"AAAAAF2R9iw=")</f>
        <v>#REF!</v>
      </c>
      <c r="AT401" t="e">
        <f>AND(#REF!,"AAAAAF2R9i0=")</f>
        <v>#REF!</v>
      </c>
      <c r="AU401" t="e">
        <f>IF(#REF!,"AAAAAF2R9i4=",0)</f>
        <v>#REF!</v>
      </c>
      <c r="AV401" t="e">
        <f>AND(#REF!,"AAAAAF2R9i8=")</f>
        <v>#REF!</v>
      </c>
      <c r="AW401" t="e">
        <f>AND(#REF!,"AAAAAF2R9jA=")</f>
        <v>#REF!</v>
      </c>
      <c r="AX401" t="e">
        <f>AND(#REF!,"AAAAAF2R9jE=")</f>
        <v>#REF!</v>
      </c>
      <c r="AY401" t="e">
        <f>AND(#REF!,"AAAAAF2R9jI=")</f>
        <v>#REF!</v>
      </c>
      <c r="AZ401" t="e">
        <f>AND(#REF!,"AAAAAF2R9jM=")</f>
        <v>#REF!</v>
      </c>
      <c r="BA401" t="e">
        <f>AND(#REF!,"AAAAAF2R9jQ=")</f>
        <v>#REF!</v>
      </c>
      <c r="BB401" t="e">
        <f>AND(#REF!,"AAAAAF2R9jU=")</f>
        <v>#REF!</v>
      </c>
      <c r="BC401" t="e">
        <f>AND(#REF!,"AAAAAF2R9jY=")</f>
        <v>#REF!</v>
      </c>
      <c r="BD401" t="e">
        <f>AND(#REF!,"AAAAAF2R9jc=")</f>
        <v>#REF!</v>
      </c>
      <c r="BE401" t="e">
        <f>AND(#REF!,"AAAAAF2R9jg=")</f>
        <v>#REF!</v>
      </c>
      <c r="BF401" t="e">
        <f>IF(#REF!,"AAAAAF2R9jk=",0)</f>
        <v>#REF!</v>
      </c>
      <c r="BG401" t="e">
        <f>AND(#REF!,"AAAAAF2R9jo=")</f>
        <v>#REF!</v>
      </c>
      <c r="BH401" t="e">
        <f>AND(#REF!,"AAAAAF2R9js=")</f>
        <v>#REF!</v>
      </c>
      <c r="BI401" t="e">
        <f>AND(#REF!,"AAAAAF2R9jw=")</f>
        <v>#REF!</v>
      </c>
      <c r="BJ401" t="e">
        <f>AND(#REF!,"AAAAAF2R9j0=")</f>
        <v>#REF!</v>
      </c>
      <c r="BK401" t="e">
        <f>AND(#REF!,"AAAAAF2R9j4=")</f>
        <v>#REF!</v>
      </c>
      <c r="BL401" t="e">
        <f>AND(#REF!,"AAAAAF2R9j8=")</f>
        <v>#REF!</v>
      </c>
      <c r="BM401" t="e">
        <f>AND(#REF!,"AAAAAF2R9kA=")</f>
        <v>#REF!</v>
      </c>
      <c r="BN401" t="e">
        <f>AND(#REF!,"AAAAAF2R9kE=")</f>
        <v>#REF!</v>
      </c>
      <c r="BO401" t="e">
        <f>AND(#REF!,"AAAAAF2R9kI=")</f>
        <v>#REF!</v>
      </c>
      <c r="BP401" t="e">
        <f>AND(#REF!,"AAAAAF2R9kM=")</f>
        <v>#REF!</v>
      </c>
      <c r="BQ401" t="e">
        <f>IF(#REF!,"AAAAAF2R9kQ=",0)</f>
        <v>#REF!</v>
      </c>
      <c r="BR401" t="e">
        <f>AND(#REF!,"AAAAAF2R9kU=")</f>
        <v>#REF!</v>
      </c>
      <c r="BS401" t="e">
        <f>AND(#REF!,"AAAAAF2R9kY=")</f>
        <v>#REF!</v>
      </c>
      <c r="BT401" t="e">
        <f>AND(#REF!,"AAAAAF2R9kc=")</f>
        <v>#REF!</v>
      </c>
      <c r="BU401" t="e">
        <f>AND(#REF!,"AAAAAF2R9kg=")</f>
        <v>#REF!</v>
      </c>
      <c r="BV401" t="e">
        <f>AND(#REF!,"AAAAAF2R9kk=")</f>
        <v>#REF!</v>
      </c>
      <c r="BW401" t="e">
        <f>AND(#REF!,"AAAAAF2R9ko=")</f>
        <v>#REF!</v>
      </c>
      <c r="BX401" t="e">
        <f>AND(#REF!,"AAAAAF2R9ks=")</f>
        <v>#REF!</v>
      </c>
      <c r="BY401" t="e">
        <f>AND(#REF!,"AAAAAF2R9kw=")</f>
        <v>#REF!</v>
      </c>
      <c r="BZ401" t="e">
        <f>AND(#REF!,"AAAAAF2R9k0=")</f>
        <v>#REF!</v>
      </c>
      <c r="CA401" t="e">
        <f>AND(#REF!,"AAAAAF2R9k4=")</f>
        <v>#REF!</v>
      </c>
      <c r="CB401" t="e">
        <f>IF(#REF!,"AAAAAF2R9k8=",0)</f>
        <v>#REF!</v>
      </c>
      <c r="CC401" t="e">
        <f>AND(#REF!,"AAAAAF2R9lA=")</f>
        <v>#REF!</v>
      </c>
      <c r="CD401" t="e">
        <f>AND(#REF!,"AAAAAF2R9lE=")</f>
        <v>#REF!</v>
      </c>
      <c r="CE401" t="e">
        <f>AND(#REF!,"AAAAAF2R9lI=")</f>
        <v>#REF!</v>
      </c>
      <c r="CF401" t="e">
        <f>AND(#REF!,"AAAAAF2R9lM=")</f>
        <v>#REF!</v>
      </c>
      <c r="CG401" t="e">
        <f>AND(#REF!,"AAAAAF2R9lQ=")</f>
        <v>#REF!</v>
      </c>
      <c r="CH401" t="e">
        <f>AND(#REF!,"AAAAAF2R9lU=")</f>
        <v>#REF!</v>
      </c>
      <c r="CI401" t="e">
        <f>AND(#REF!,"AAAAAF2R9lY=")</f>
        <v>#REF!</v>
      </c>
      <c r="CJ401" t="e">
        <f>AND(#REF!,"AAAAAF2R9lc=")</f>
        <v>#REF!</v>
      </c>
      <c r="CK401" t="e">
        <f>AND(#REF!,"AAAAAF2R9lg=")</f>
        <v>#REF!</v>
      </c>
      <c r="CL401" t="e">
        <f>AND(#REF!,"AAAAAF2R9lk=")</f>
        <v>#REF!</v>
      </c>
      <c r="CM401" t="e">
        <f>IF(#REF!,"AAAAAF2R9lo=",0)</f>
        <v>#REF!</v>
      </c>
      <c r="CN401" t="e">
        <f>AND(#REF!,"AAAAAF2R9ls=")</f>
        <v>#REF!</v>
      </c>
      <c r="CO401" t="e">
        <f>AND(#REF!,"AAAAAF2R9lw=")</f>
        <v>#REF!</v>
      </c>
      <c r="CP401" t="e">
        <f>AND(#REF!,"AAAAAF2R9l0=")</f>
        <v>#REF!</v>
      </c>
      <c r="CQ401" t="e">
        <f>AND(#REF!,"AAAAAF2R9l4=")</f>
        <v>#REF!</v>
      </c>
      <c r="CR401" t="e">
        <f>AND(#REF!,"AAAAAF2R9l8=")</f>
        <v>#REF!</v>
      </c>
      <c r="CS401" t="e">
        <f>AND(#REF!,"AAAAAF2R9mA=")</f>
        <v>#REF!</v>
      </c>
      <c r="CT401" t="e">
        <f>AND(#REF!,"AAAAAF2R9mE=")</f>
        <v>#REF!</v>
      </c>
      <c r="CU401" t="e">
        <f>AND(#REF!,"AAAAAF2R9mI=")</f>
        <v>#REF!</v>
      </c>
      <c r="CV401" t="e">
        <f>AND(#REF!,"AAAAAF2R9mM=")</f>
        <v>#REF!</v>
      </c>
      <c r="CW401" t="e">
        <f>AND(#REF!,"AAAAAF2R9mQ=")</f>
        <v>#REF!</v>
      </c>
      <c r="CX401" t="e">
        <f>IF(#REF!,"AAAAAF2R9mU=",0)</f>
        <v>#REF!</v>
      </c>
      <c r="CY401" t="e">
        <f>AND(#REF!,"AAAAAF2R9mY=")</f>
        <v>#REF!</v>
      </c>
      <c r="CZ401" t="e">
        <f>AND(#REF!,"AAAAAF2R9mc=")</f>
        <v>#REF!</v>
      </c>
      <c r="DA401" t="e">
        <f>AND(#REF!,"AAAAAF2R9mg=")</f>
        <v>#REF!</v>
      </c>
      <c r="DB401" t="e">
        <f>AND(#REF!,"AAAAAF2R9mk=")</f>
        <v>#REF!</v>
      </c>
      <c r="DC401" t="e">
        <f>AND(#REF!,"AAAAAF2R9mo=")</f>
        <v>#REF!</v>
      </c>
      <c r="DD401" t="e">
        <f>AND(#REF!,"AAAAAF2R9ms=")</f>
        <v>#REF!</v>
      </c>
      <c r="DE401" t="e">
        <f>AND(#REF!,"AAAAAF2R9mw=")</f>
        <v>#REF!</v>
      </c>
      <c r="DF401" t="e">
        <f>AND(#REF!,"AAAAAF2R9m0=")</f>
        <v>#REF!</v>
      </c>
      <c r="DG401" t="e">
        <f>AND(#REF!,"AAAAAF2R9m4=")</f>
        <v>#REF!</v>
      </c>
      <c r="DH401" t="e">
        <f>AND(#REF!,"AAAAAF2R9m8=")</f>
        <v>#REF!</v>
      </c>
      <c r="DI401" t="e">
        <f>IF(#REF!,"AAAAAF2R9nA=",0)</f>
        <v>#REF!</v>
      </c>
      <c r="DJ401" t="e">
        <f>AND(#REF!,"AAAAAF2R9nE=")</f>
        <v>#REF!</v>
      </c>
      <c r="DK401" t="e">
        <f>AND(#REF!,"AAAAAF2R9nI=")</f>
        <v>#REF!</v>
      </c>
      <c r="DL401" t="e">
        <f>AND(#REF!,"AAAAAF2R9nM=")</f>
        <v>#REF!</v>
      </c>
      <c r="DM401" t="e">
        <f>AND(#REF!,"AAAAAF2R9nQ=")</f>
        <v>#REF!</v>
      </c>
      <c r="DN401" t="e">
        <f>AND(#REF!,"AAAAAF2R9nU=")</f>
        <v>#REF!</v>
      </c>
      <c r="DO401" t="e">
        <f>AND(#REF!,"AAAAAF2R9nY=")</f>
        <v>#REF!</v>
      </c>
      <c r="DP401" t="e">
        <f>AND(#REF!,"AAAAAF2R9nc=")</f>
        <v>#REF!</v>
      </c>
      <c r="DQ401" t="e">
        <f>AND(#REF!,"AAAAAF2R9ng=")</f>
        <v>#REF!</v>
      </c>
      <c r="DR401" t="e">
        <f>AND(#REF!,"AAAAAF2R9nk=")</f>
        <v>#REF!</v>
      </c>
      <c r="DS401" t="e">
        <f>AND(#REF!,"AAAAAF2R9no=")</f>
        <v>#REF!</v>
      </c>
      <c r="DT401" t="e">
        <f>IF(#REF!,"AAAAAF2R9ns=",0)</f>
        <v>#REF!</v>
      </c>
      <c r="DU401" t="e">
        <f>AND(#REF!,"AAAAAF2R9nw=")</f>
        <v>#REF!</v>
      </c>
      <c r="DV401" t="e">
        <f>AND(#REF!,"AAAAAF2R9n0=")</f>
        <v>#REF!</v>
      </c>
      <c r="DW401" t="e">
        <f>AND(#REF!,"AAAAAF2R9n4=")</f>
        <v>#REF!</v>
      </c>
      <c r="DX401" t="e">
        <f>AND(#REF!,"AAAAAF2R9n8=")</f>
        <v>#REF!</v>
      </c>
      <c r="DY401" t="e">
        <f>AND(#REF!,"AAAAAF2R9oA=")</f>
        <v>#REF!</v>
      </c>
      <c r="DZ401" t="e">
        <f>AND(#REF!,"AAAAAF2R9oE=")</f>
        <v>#REF!</v>
      </c>
      <c r="EA401" t="e">
        <f>AND(#REF!,"AAAAAF2R9oI=")</f>
        <v>#REF!</v>
      </c>
      <c r="EB401" t="e">
        <f>AND(#REF!,"AAAAAF2R9oM=")</f>
        <v>#REF!</v>
      </c>
      <c r="EC401" t="e">
        <f>AND(#REF!,"AAAAAF2R9oQ=")</f>
        <v>#REF!</v>
      </c>
      <c r="ED401" t="e">
        <f>AND(#REF!,"AAAAAF2R9oU=")</f>
        <v>#REF!</v>
      </c>
      <c r="EE401" t="e">
        <f>IF(#REF!,"AAAAAF2R9oY=",0)</f>
        <v>#REF!</v>
      </c>
      <c r="EF401" t="e">
        <f>AND(#REF!,"AAAAAF2R9oc=")</f>
        <v>#REF!</v>
      </c>
      <c r="EG401" t="e">
        <f>AND(#REF!,"AAAAAF2R9og=")</f>
        <v>#REF!</v>
      </c>
      <c r="EH401" t="e">
        <f>AND(#REF!,"AAAAAF2R9ok=")</f>
        <v>#REF!</v>
      </c>
      <c r="EI401" t="e">
        <f>AND(#REF!,"AAAAAF2R9oo=")</f>
        <v>#REF!</v>
      </c>
      <c r="EJ401" t="e">
        <f>AND(#REF!,"AAAAAF2R9os=")</f>
        <v>#REF!</v>
      </c>
      <c r="EK401" t="e">
        <f>AND(#REF!,"AAAAAF2R9ow=")</f>
        <v>#REF!</v>
      </c>
      <c r="EL401" t="e">
        <f>AND(#REF!,"AAAAAF2R9o0=")</f>
        <v>#REF!</v>
      </c>
      <c r="EM401" t="e">
        <f>AND(#REF!,"AAAAAF2R9o4=")</f>
        <v>#REF!</v>
      </c>
      <c r="EN401" t="e">
        <f>AND(#REF!,"AAAAAF2R9o8=")</f>
        <v>#REF!</v>
      </c>
      <c r="EO401" t="e">
        <f>AND(#REF!,"AAAAAF2R9pA=")</f>
        <v>#REF!</v>
      </c>
      <c r="EP401" t="e">
        <f>IF(#REF!,"AAAAAF2R9pE=",0)</f>
        <v>#REF!</v>
      </c>
      <c r="EQ401" t="e">
        <f>AND(#REF!,"AAAAAF2R9pI=")</f>
        <v>#REF!</v>
      </c>
      <c r="ER401" t="e">
        <f>AND(#REF!,"AAAAAF2R9pM=")</f>
        <v>#REF!</v>
      </c>
      <c r="ES401" t="e">
        <f>AND(#REF!,"AAAAAF2R9pQ=")</f>
        <v>#REF!</v>
      </c>
      <c r="ET401" t="e">
        <f>AND(#REF!,"AAAAAF2R9pU=")</f>
        <v>#REF!</v>
      </c>
      <c r="EU401" t="e">
        <f>AND(#REF!,"AAAAAF2R9pY=")</f>
        <v>#REF!</v>
      </c>
      <c r="EV401" t="e">
        <f>AND(#REF!,"AAAAAF2R9pc=")</f>
        <v>#REF!</v>
      </c>
      <c r="EW401" t="e">
        <f>AND(#REF!,"AAAAAF2R9pg=")</f>
        <v>#REF!</v>
      </c>
      <c r="EX401" t="e">
        <f>AND(#REF!,"AAAAAF2R9pk=")</f>
        <v>#REF!</v>
      </c>
      <c r="EY401" t="e">
        <f>AND(#REF!,"AAAAAF2R9po=")</f>
        <v>#REF!</v>
      </c>
      <c r="EZ401" t="e">
        <f>AND(#REF!,"AAAAAF2R9ps=")</f>
        <v>#REF!</v>
      </c>
      <c r="FA401" t="e">
        <f>IF(#REF!,"AAAAAF2R9pw=",0)</f>
        <v>#REF!</v>
      </c>
      <c r="FB401" t="e">
        <f>AND(#REF!,"AAAAAF2R9p0=")</f>
        <v>#REF!</v>
      </c>
      <c r="FC401" t="e">
        <f>AND(#REF!,"AAAAAF2R9p4=")</f>
        <v>#REF!</v>
      </c>
      <c r="FD401" t="e">
        <f>AND(#REF!,"AAAAAF2R9p8=")</f>
        <v>#REF!</v>
      </c>
      <c r="FE401" t="e">
        <f>AND(#REF!,"AAAAAF2R9qA=")</f>
        <v>#REF!</v>
      </c>
      <c r="FF401" t="e">
        <f>AND(#REF!,"AAAAAF2R9qE=")</f>
        <v>#REF!</v>
      </c>
      <c r="FG401" t="e">
        <f>AND(#REF!,"AAAAAF2R9qI=")</f>
        <v>#REF!</v>
      </c>
      <c r="FH401" t="e">
        <f>AND(#REF!,"AAAAAF2R9qM=")</f>
        <v>#REF!</v>
      </c>
      <c r="FI401" t="e">
        <f>AND(#REF!,"AAAAAF2R9qQ=")</f>
        <v>#REF!</v>
      </c>
      <c r="FJ401" t="e">
        <f>AND(#REF!,"AAAAAF2R9qU=")</f>
        <v>#REF!</v>
      </c>
      <c r="FK401" t="e">
        <f>AND(#REF!,"AAAAAF2R9qY=")</f>
        <v>#REF!</v>
      </c>
      <c r="FL401" t="e">
        <f>IF(#REF!,"AAAAAF2R9qc=",0)</f>
        <v>#REF!</v>
      </c>
      <c r="FM401" t="e">
        <f>AND(#REF!,"AAAAAF2R9qg=")</f>
        <v>#REF!</v>
      </c>
      <c r="FN401" t="e">
        <f>AND(#REF!,"AAAAAF2R9qk=")</f>
        <v>#REF!</v>
      </c>
      <c r="FO401" t="e">
        <f>AND(#REF!,"AAAAAF2R9qo=")</f>
        <v>#REF!</v>
      </c>
      <c r="FP401" t="e">
        <f>AND(#REF!,"AAAAAF2R9qs=")</f>
        <v>#REF!</v>
      </c>
      <c r="FQ401" t="e">
        <f>AND(#REF!,"AAAAAF2R9qw=")</f>
        <v>#REF!</v>
      </c>
      <c r="FR401" t="e">
        <f>AND(#REF!,"AAAAAF2R9q0=")</f>
        <v>#REF!</v>
      </c>
      <c r="FS401" t="e">
        <f>AND(#REF!,"AAAAAF2R9q4=")</f>
        <v>#REF!</v>
      </c>
      <c r="FT401" t="e">
        <f>AND(#REF!,"AAAAAF2R9q8=")</f>
        <v>#REF!</v>
      </c>
      <c r="FU401" t="e">
        <f>AND(#REF!,"AAAAAF2R9rA=")</f>
        <v>#REF!</v>
      </c>
      <c r="FV401" t="e">
        <f>AND(#REF!,"AAAAAF2R9rE=")</f>
        <v>#REF!</v>
      </c>
      <c r="FW401" t="e">
        <f>IF(#REF!,"AAAAAF2R9rI=",0)</f>
        <v>#REF!</v>
      </c>
      <c r="FX401" t="e">
        <f>AND(#REF!,"AAAAAF2R9rM=")</f>
        <v>#REF!</v>
      </c>
      <c r="FY401" t="e">
        <f>AND(#REF!,"AAAAAF2R9rQ=")</f>
        <v>#REF!</v>
      </c>
      <c r="FZ401" t="e">
        <f>AND(#REF!,"AAAAAF2R9rU=")</f>
        <v>#REF!</v>
      </c>
      <c r="GA401" t="e">
        <f>AND(#REF!,"AAAAAF2R9rY=")</f>
        <v>#REF!</v>
      </c>
      <c r="GB401" t="e">
        <f>AND(#REF!,"AAAAAF2R9rc=")</f>
        <v>#REF!</v>
      </c>
      <c r="GC401" t="e">
        <f>AND(#REF!,"AAAAAF2R9rg=")</f>
        <v>#REF!</v>
      </c>
      <c r="GD401" t="e">
        <f>AND(#REF!,"AAAAAF2R9rk=")</f>
        <v>#REF!</v>
      </c>
      <c r="GE401" t="e">
        <f>AND(#REF!,"AAAAAF2R9ro=")</f>
        <v>#REF!</v>
      </c>
      <c r="GF401" t="e">
        <f>AND(#REF!,"AAAAAF2R9rs=")</f>
        <v>#REF!</v>
      </c>
      <c r="GG401" t="e">
        <f>AND(#REF!,"AAAAAF2R9rw=")</f>
        <v>#REF!</v>
      </c>
      <c r="GH401" t="e">
        <f>IF(#REF!,"AAAAAF2R9r0=",0)</f>
        <v>#REF!</v>
      </c>
      <c r="GI401" t="e">
        <f>AND(#REF!,"AAAAAF2R9r4=")</f>
        <v>#REF!</v>
      </c>
      <c r="GJ401" t="e">
        <f>AND(#REF!,"AAAAAF2R9r8=")</f>
        <v>#REF!</v>
      </c>
      <c r="GK401" t="e">
        <f>AND(#REF!,"AAAAAF2R9sA=")</f>
        <v>#REF!</v>
      </c>
      <c r="GL401" t="e">
        <f>AND(#REF!,"AAAAAF2R9sE=")</f>
        <v>#REF!</v>
      </c>
      <c r="GM401" t="e">
        <f>AND(#REF!,"AAAAAF2R9sI=")</f>
        <v>#REF!</v>
      </c>
      <c r="GN401" t="e">
        <f>AND(#REF!,"AAAAAF2R9sM=")</f>
        <v>#REF!</v>
      </c>
      <c r="GO401" t="e">
        <f>AND(#REF!,"AAAAAF2R9sQ=")</f>
        <v>#REF!</v>
      </c>
      <c r="GP401" t="e">
        <f>AND(#REF!,"AAAAAF2R9sU=")</f>
        <v>#REF!</v>
      </c>
      <c r="GQ401" t="e">
        <f>AND(#REF!,"AAAAAF2R9sY=")</f>
        <v>#REF!</v>
      </c>
      <c r="GR401" t="e">
        <f>AND(#REF!,"AAAAAF2R9sc=")</f>
        <v>#REF!</v>
      </c>
      <c r="GS401" t="e">
        <f>IF(#REF!,"AAAAAF2R9sg=",0)</f>
        <v>#REF!</v>
      </c>
      <c r="GT401" t="e">
        <f>AND(#REF!,"AAAAAF2R9sk=")</f>
        <v>#REF!</v>
      </c>
      <c r="GU401" t="e">
        <f>AND(#REF!,"AAAAAF2R9so=")</f>
        <v>#REF!</v>
      </c>
      <c r="GV401" t="e">
        <f>AND(#REF!,"AAAAAF2R9ss=")</f>
        <v>#REF!</v>
      </c>
      <c r="GW401" t="e">
        <f>AND(#REF!,"AAAAAF2R9sw=")</f>
        <v>#REF!</v>
      </c>
      <c r="GX401" t="e">
        <f>AND(#REF!,"AAAAAF2R9s0=")</f>
        <v>#REF!</v>
      </c>
      <c r="GY401" t="e">
        <f>AND(#REF!,"AAAAAF2R9s4=")</f>
        <v>#REF!</v>
      </c>
      <c r="GZ401" t="e">
        <f>AND(#REF!,"AAAAAF2R9s8=")</f>
        <v>#REF!</v>
      </c>
      <c r="HA401" t="e">
        <f>AND(#REF!,"AAAAAF2R9tA=")</f>
        <v>#REF!</v>
      </c>
      <c r="HB401" t="e">
        <f>AND(#REF!,"AAAAAF2R9tE=")</f>
        <v>#REF!</v>
      </c>
      <c r="HC401" t="e">
        <f>AND(#REF!,"AAAAAF2R9tI=")</f>
        <v>#REF!</v>
      </c>
      <c r="HD401" t="e">
        <f>IF(#REF!,"AAAAAF2R9tM=",0)</f>
        <v>#REF!</v>
      </c>
      <c r="HE401" t="e">
        <f>AND(#REF!,"AAAAAF2R9tQ=")</f>
        <v>#REF!</v>
      </c>
      <c r="HF401" t="e">
        <f>AND(#REF!,"AAAAAF2R9tU=")</f>
        <v>#REF!</v>
      </c>
      <c r="HG401" t="e">
        <f>AND(#REF!,"AAAAAF2R9tY=")</f>
        <v>#REF!</v>
      </c>
      <c r="HH401" t="e">
        <f>AND(#REF!,"AAAAAF2R9tc=")</f>
        <v>#REF!</v>
      </c>
      <c r="HI401" t="e">
        <f>AND(#REF!,"AAAAAF2R9tg=")</f>
        <v>#REF!</v>
      </c>
      <c r="HJ401" t="e">
        <f>AND(#REF!,"AAAAAF2R9tk=")</f>
        <v>#REF!</v>
      </c>
      <c r="HK401" t="e">
        <f>AND(#REF!,"AAAAAF2R9to=")</f>
        <v>#REF!</v>
      </c>
      <c r="HL401" t="e">
        <f>AND(#REF!,"AAAAAF2R9ts=")</f>
        <v>#REF!</v>
      </c>
      <c r="HM401" t="e">
        <f>AND(#REF!,"AAAAAF2R9tw=")</f>
        <v>#REF!</v>
      </c>
      <c r="HN401" t="e">
        <f>AND(#REF!,"AAAAAF2R9t0=")</f>
        <v>#REF!</v>
      </c>
      <c r="HO401" t="e">
        <f>IF(#REF!,"AAAAAF2R9t4=",0)</f>
        <v>#REF!</v>
      </c>
      <c r="HP401" t="e">
        <f>AND(#REF!,"AAAAAF2R9t8=")</f>
        <v>#REF!</v>
      </c>
      <c r="HQ401" t="e">
        <f>AND(#REF!,"AAAAAF2R9uA=")</f>
        <v>#REF!</v>
      </c>
      <c r="HR401" t="e">
        <f>AND(#REF!,"AAAAAF2R9uE=")</f>
        <v>#REF!</v>
      </c>
      <c r="HS401" t="e">
        <f>AND(#REF!,"AAAAAF2R9uI=")</f>
        <v>#REF!</v>
      </c>
      <c r="HT401" t="e">
        <f>AND(#REF!,"AAAAAF2R9uM=")</f>
        <v>#REF!</v>
      </c>
      <c r="HU401" t="e">
        <f>AND(#REF!,"AAAAAF2R9uQ=")</f>
        <v>#REF!</v>
      </c>
      <c r="HV401" t="e">
        <f>AND(#REF!,"AAAAAF2R9uU=")</f>
        <v>#REF!</v>
      </c>
      <c r="HW401" t="e">
        <f>AND(#REF!,"AAAAAF2R9uY=")</f>
        <v>#REF!</v>
      </c>
      <c r="HX401" t="e">
        <f>AND(#REF!,"AAAAAF2R9uc=")</f>
        <v>#REF!</v>
      </c>
      <c r="HY401" t="e">
        <f>AND(#REF!,"AAAAAF2R9ug=")</f>
        <v>#REF!</v>
      </c>
      <c r="HZ401" t="e">
        <f>IF(#REF!,"AAAAAF2R9uk=",0)</f>
        <v>#REF!</v>
      </c>
      <c r="IA401" t="e">
        <f>AND(#REF!,"AAAAAF2R9uo=")</f>
        <v>#REF!</v>
      </c>
      <c r="IB401" t="e">
        <f>AND(#REF!,"AAAAAF2R9us=")</f>
        <v>#REF!</v>
      </c>
      <c r="IC401" t="e">
        <f>AND(#REF!,"AAAAAF2R9uw=")</f>
        <v>#REF!</v>
      </c>
      <c r="ID401" t="e">
        <f>AND(#REF!,"AAAAAF2R9u0=")</f>
        <v>#REF!</v>
      </c>
      <c r="IE401" t="e">
        <f>AND(#REF!,"AAAAAF2R9u4=")</f>
        <v>#REF!</v>
      </c>
      <c r="IF401" t="e">
        <f>AND(#REF!,"AAAAAF2R9u8=")</f>
        <v>#REF!</v>
      </c>
      <c r="IG401" t="e">
        <f>AND(#REF!,"AAAAAF2R9vA=")</f>
        <v>#REF!</v>
      </c>
      <c r="IH401" t="e">
        <f>AND(#REF!,"AAAAAF2R9vE=")</f>
        <v>#REF!</v>
      </c>
      <c r="II401" t="e">
        <f>AND(#REF!,"AAAAAF2R9vI=")</f>
        <v>#REF!</v>
      </c>
      <c r="IJ401" t="e">
        <f>AND(#REF!,"AAAAAF2R9vM=")</f>
        <v>#REF!</v>
      </c>
      <c r="IK401" t="e">
        <f>IF(#REF!,"AAAAAF2R9vQ=",0)</f>
        <v>#REF!</v>
      </c>
      <c r="IL401" t="e">
        <f>AND(#REF!,"AAAAAF2R9vU=")</f>
        <v>#REF!</v>
      </c>
      <c r="IM401" t="e">
        <f>AND(#REF!,"AAAAAF2R9vY=")</f>
        <v>#REF!</v>
      </c>
      <c r="IN401" t="e">
        <f>AND(#REF!,"AAAAAF2R9vc=")</f>
        <v>#REF!</v>
      </c>
      <c r="IO401" t="e">
        <f>AND(#REF!,"AAAAAF2R9vg=")</f>
        <v>#REF!</v>
      </c>
      <c r="IP401" t="e">
        <f>AND(#REF!,"AAAAAF2R9vk=")</f>
        <v>#REF!</v>
      </c>
      <c r="IQ401" t="e">
        <f>AND(#REF!,"AAAAAF2R9vo=")</f>
        <v>#REF!</v>
      </c>
      <c r="IR401" t="e">
        <f>AND(#REF!,"AAAAAF2R9vs=")</f>
        <v>#REF!</v>
      </c>
      <c r="IS401" t="e">
        <f>AND(#REF!,"AAAAAF2R9vw=")</f>
        <v>#REF!</v>
      </c>
      <c r="IT401" t="e">
        <f>AND(#REF!,"AAAAAF2R9v0=")</f>
        <v>#REF!</v>
      </c>
      <c r="IU401" t="e">
        <f>AND(#REF!,"AAAAAF2R9v4=")</f>
        <v>#REF!</v>
      </c>
      <c r="IV401" t="e">
        <f>IF(#REF!,"AAAAAF2R9v8=",0)</f>
        <v>#REF!</v>
      </c>
    </row>
    <row r="402" spans="1:256" x14ac:dyDescent="0.25">
      <c r="A402" t="e">
        <f>AND(#REF!,"AAAAAH7zawA=")</f>
        <v>#REF!</v>
      </c>
      <c r="B402" t="e">
        <f>AND(#REF!,"AAAAAH7zawE=")</f>
        <v>#REF!</v>
      </c>
      <c r="C402" t="e">
        <f>AND(#REF!,"AAAAAH7zawI=")</f>
        <v>#REF!</v>
      </c>
      <c r="D402" t="e">
        <f>AND(#REF!,"AAAAAH7zawM=")</f>
        <v>#REF!</v>
      </c>
      <c r="E402" t="e">
        <f>AND(#REF!,"AAAAAH7zawQ=")</f>
        <v>#REF!</v>
      </c>
      <c r="F402" t="e">
        <f>AND(#REF!,"AAAAAH7zawU=")</f>
        <v>#REF!</v>
      </c>
      <c r="G402" t="e">
        <f>AND(#REF!,"AAAAAH7zawY=")</f>
        <v>#REF!</v>
      </c>
      <c r="H402" t="e">
        <f>AND(#REF!,"AAAAAH7zawc=")</f>
        <v>#REF!</v>
      </c>
      <c r="I402" t="e">
        <f>AND(#REF!,"AAAAAH7zawg=")</f>
        <v>#REF!</v>
      </c>
      <c r="J402" t="e">
        <f>AND(#REF!,"AAAAAH7zawk=")</f>
        <v>#REF!</v>
      </c>
      <c r="K402" t="e">
        <f>IF(#REF!,"AAAAAH7zawo=",0)</f>
        <v>#REF!</v>
      </c>
      <c r="L402" t="e">
        <f>AND(#REF!,"AAAAAH7zaws=")</f>
        <v>#REF!</v>
      </c>
      <c r="M402" t="e">
        <f>AND(#REF!,"AAAAAH7zaww=")</f>
        <v>#REF!</v>
      </c>
      <c r="N402" t="e">
        <f>AND(#REF!,"AAAAAH7zaw0=")</f>
        <v>#REF!</v>
      </c>
      <c r="O402" t="e">
        <f>AND(#REF!,"AAAAAH7zaw4=")</f>
        <v>#REF!</v>
      </c>
      <c r="P402" t="e">
        <f>AND(#REF!,"AAAAAH7zaw8=")</f>
        <v>#REF!</v>
      </c>
      <c r="Q402" t="e">
        <f>AND(#REF!,"AAAAAH7zaxA=")</f>
        <v>#REF!</v>
      </c>
      <c r="R402" t="e">
        <f>AND(#REF!,"AAAAAH7zaxE=")</f>
        <v>#REF!</v>
      </c>
      <c r="S402" t="e">
        <f>AND(#REF!,"AAAAAH7zaxI=")</f>
        <v>#REF!</v>
      </c>
      <c r="T402" t="e">
        <f>AND(#REF!,"AAAAAH7zaxM=")</f>
        <v>#REF!</v>
      </c>
      <c r="U402" t="e">
        <f>AND(#REF!,"AAAAAH7zaxQ=")</f>
        <v>#REF!</v>
      </c>
      <c r="V402" t="e">
        <f>IF(#REF!,"AAAAAH7zaxU=",0)</f>
        <v>#REF!</v>
      </c>
      <c r="W402" t="e">
        <f>AND(#REF!,"AAAAAH7zaxY=")</f>
        <v>#REF!</v>
      </c>
      <c r="X402" t="e">
        <f>AND(#REF!,"AAAAAH7zaxc=")</f>
        <v>#REF!</v>
      </c>
      <c r="Y402" t="e">
        <f>AND(#REF!,"AAAAAH7zaxg=")</f>
        <v>#REF!</v>
      </c>
      <c r="Z402" t="e">
        <f>AND(#REF!,"AAAAAH7zaxk=")</f>
        <v>#REF!</v>
      </c>
      <c r="AA402" t="e">
        <f>AND(#REF!,"AAAAAH7zaxo=")</f>
        <v>#REF!</v>
      </c>
      <c r="AB402" t="e">
        <f>AND(#REF!,"AAAAAH7zaxs=")</f>
        <v>#REF!</v>
      </c>
      <c r="AC402" t="e">
        <f>AND(#REF!,"AAAAAH7zaxw=")</f>
        <v>#REF!</v>
      </c>
      <c r="AD402" t="e">
        <f>AND(#REF!,"AAAAAH7zax0=")</f>
        <v>#REF!</v>
      </c>
      <c r="AE402" t="e">
        <f>AND(#REF!,"AAAAAH7zax4=")</f>
        <v>#REF!</v>
      </c>
      <c r="AF402" t="e">
        <f>AND(#REF!,"AAAAAH7zax8=")</f>
        <v>#REF!</v>
      </c>
      <c r="AG402" t="e">
        <f>IF(#REF!,"AAAAAH7zayA=",0)</f>
        <v>#REF!</v>
      </c>
      <c r="AH402" t="e">
        <f>AND(#REF!,"AAAAAH7zayE=")</f>
        <v>#REF!</v>
      </c>
      <c r="AI402" t="e">
        <f>AND(#REF!,"AAAAAH7zayI=")</f>
        <v>#REF!</v>
      </c>
      <c r="AJ402" t="e">
        <f>AND(#REF!,"AAAAAH7zayM=")</f>
        <v>#REF!</v>
      </c>
      <c r="AK402" t="e">
        <f>AND(#REF!,"AAAAAH7zayQ=")</f>
        <v>#REF!</v>
      </c>
      <c r="AL402" t="e">
        <f>AND(#REF!,"AAAAAH7zayU=")</f>
        <v>#REF!</v>
      </c>
      <c r="AM402" t="e">
        <f>AND(#REF!,"AAAAAH7zayY=")</f>
        <v>#REF!</v>
      </c>
      <c r="AN402" t="e">
        <f>AND(#REF!,"AAAAAH7zayc=")</f>
        <v>#REF!</v>
      </c>
      <c r="AO402" t="e">
        <f>AND(#REF!,"AAAAAH7zayg=")</f>
        <v>#REF!</v>
      </c>
      <c r="AP402" t="e">
        <f>AND(#REF!,"AAAAAH7zayk=")</f>
        <v>#REF!</v>
      </c>
      <c r="AQ402" t="e">
        <f>AND(#REF!,"AAAAAH7zayo=")</f>
        <v>#REF!</v>
      </c>
      <c r="AR402" t="e">
        <f>IF(#REF!,"AAAAAH7zays=",0)</f>
        <v>#REF!</v>
      </c>
      <c r="AS402" t="e">
        <f>AND(#REF!,"AAAAAH7zayw=")</f>
        <v>#REF!</v>
      </c>
      <c r="AT402" t="e">
        <f>AND(#REF!,"AAAAAH7zay0=")</f>
        <v>#REF!</v>
      </c>
      <c r="AU402" t="e">
        <f>AND(#REF!,"AAAAAH7zay4=")</f>
        <v>#REF!</v>
      </c>
      <c r="AV402" t="e">
        <f>AND(#REF!,"AAAAAH7zay8=")</f>
        <v>#REF!</v>
      </c>
      <c r="AW402" t="e">
        <f>AND(#REF!,"AAAAAH7zazA=")</f>
        <v>#REF!</v>
      </c>
      <c r="AX402" t="e">
        <f>AND(#REF!,"AAAAAH7zazE=")</f>
        <v>#REF!</v>
      </c>
      <c r="AY402" t="e">
        <f>AND(#REF!,"AAAAAH7zazI=")</f>
        <v>#REF!</v>
      </c>
      <c r="AZ402" t="e">
        <f>AND(#REF!,"AAAAAH7zazM=")</f>
        <v>#REF!</v>
      </c>
      <c r="BA402" t="e">
        <f>AND(#REF!,"AAAAAH7zazQ=")</f>
        <v>#REF!</v>
      </c>
      <c r="BB402" t="e">
        <f>AND(#REF!,"AAAAAH7zazU=")</f>
        <v>#REF!</v>
      </c>
      <c r="BC402" t="e">
        <f>IF(#REF!,"AAAAAH7zazY=",0)</f>
        <v>#REF!</v>
      </c>
      <c r="BD402" t="e">
        <f>AND(#REF!,"AAAAAH7zazc=")</f>
        <v>#REF!</v>
      </c>
      <c r="BE402" t="e">
        <f>AND(#REF!,"AAAAAH7zazg=")</f>
        <v>#REF!</v>
      </c>
      <c r="BF402" t="e">
        <f>AND(#REF!,"AAAAAH7zazk=")</f>
        <v>#REF!</v>
      </c>
      <c r="BG402" t="e">
        <f>AND(#REF!,"AAAAAH7zazo=")</f>
        <v>#REF!</v>
      </c>
      <c r="BH402" t="e">
        <f>AND(#REF!,"AAAAAH7zazs=")</f>
        <v>#REF!</v>
      </c>
      <c r="BI402" t="e">
        <f>AND(#REF!,"AAAAAH7zazw=")</f>
        <v>#REF!</v>
      </c>
      <c r="BJ402" t="e">
        <f>AND(#REF!,"AAAAAH7zaz0=")</f>
        <v>#REF!</v>
      </c>
      <c r="BK402" t="e">
        <f>AND(#REF!,"AAAAAH7zaz4=")</f>
        <v>#REF!</v>
      </c>
      <c r="BL402" t="e">
        <f>AND(#REF!,"AAAAAH7zaz8=")</f>
        <v>#REF!</v>
      </c>
      <c r="BM402" t="e">
        <f>AND(#REF!,"AAAAAH7za0A=")</f>
        <v>#REF!</v>
      </c>
      <c r="BN402" t="e">
        <f>IF(#REF!,"AAAAAH7za0E=",0)</f>
        <v>#REF!</v>
      </c>
      <c r="BO402" t="e">
        <f>AND(#REF!,"AAAAAH7za0I=")</f>
        <v>#REF!</v>
      </c>
      <c r="BP402" t="e">
        <f>AND(#REF!,"AAAAAH7za0M=")</f>
        <v>#REF!</v>
      </c>
      <c r="BQ402" t="e">
        <f>AND(#REF!,"AAAAAH7za0Q=")</f>
        <v>#REF!</v>
      </c>
      <c r="BR402" t="e">
        <f>AND(#REF!,"AAAAAH7za0U=")</f>
        <v>#REF!</v>
      </c>
      <c r="BS402" t="e">
        <f>AND(#REF!,"AAAAAH7za0Y=")</f>
        <v>#REF!</v>
      </c>
      <c r="BT402" t="e">
        <f>AND(#REF!,"AAAAAH7za0c=")</f>
        <v>#REF!</v>
      </c>
      <c r="BU402" t="e">
        <f>AND(#REF!,"AAAAAH7za0g=")</f>
        <v>#REF!</v>
      </c>
      <c r="BV402" t="e">
        <f>AND(#REF!,"AAAAAH7za0k=")</f>
        <v>#REF!</v>
      </c>
      <c r="BW402" t="e">
        <f>AND(#REF!,"AAAAAH7za0o=")</f>
        <v>#REF!</v>
      </c>
      <c r="BX402" t="e">
        <f>AND(#REF!,"AAAAAH7za0s=")</f>
        <v>#REF!</v>
      </c>
      <c r="BY402" t="e">
        <f>IF(#REF!,"AAAAAH7za0w=",0)</f>
        <v>#REF!</v>
      </c>
      <c r="BZ402" t="e">
        <f>AND(#REF!,"AAAAAH7za00=")</f>
        <v>#REF!</v>
      </c>
      <c r="CA402" t="e">
        <f>AND(#REF!,"AAAAAH7za04=")</f>
        <v>#REF!</v>
      </c>
      <c r="CB402" t="e">
        <f>AND(#REF!,"AAAAAH7za08=")</f>
        <v>#REF!</v>
      </c>
      <c r="CC402" t="e">
        <f>AND(#REF!,"AAAAAH7za1A=")</f>
        <v>#REF!</v>
      </c>
      <c r="CD402" t="e">
        <f>AND(#REF!,"AAAAAH7za1E=")</f>
        <v>#REF!</v>
      </c>
      <c r="CE402" t="e">
        <f>AND(#REF!,"AAAAAH7za1I=")</f>
        <v>#REF!</v>
      </c>
      <c r="CF402" t="e">
        <f>AND(#REF!,"AAAAAH7za1M=")</f>
        <v>#REF!</v>
      </c>
      <c r="CG402" t="e">
        <f>AND(#REF!,"AAAAAH7za1Q=")</f>
        <v>#REF!</v>
      </c>
      <c r="CH402" t="e">
        <f>AND(#REF!,"AAAAAH7za1U=")</f>
        <v>#REF!</v>
      </c>
      <c r="CI402" t="e">
        <f>AND(#REF!,"AAAAAH7za1Y=")</f>
        <v>#REF!</v>
      </c>
      <c r="CJ402" t="e">
        <f>IF(#REF!,"AAAAAH7za1c=",0)</f>
        <v>#REF!</v>
      </c>
      <c r="CK402" t="e">
        <f>AND(#REF!,"AAAAAH7za1g=")</f>
        <v>#REF!</v>
      </c>
      <c r="CL402" t="e">
        <f>AND(#REF!,"AAAAAH7za1k=")</f>
        <v>#REF!</v>
      </c>
      <c r="CM402" t="e">
        <f>AND(#REF!,"AAAAAH7za1o=")</f>
        <v>#REF!</v>
      </c>
      <c r="CN402" t="e">
        <f>AND(#REF!,"AAAAAH7za1s=")</f>
        <v>#REF!</v>
      </c>
      <c r="CO402" t="e">
        <f>AND(#REF!,"AAAAAH7za1w=")</f>
        <v>#REF!</v>
      </c>
      <c r="CP402" t="e">
        <f>AND(#REF!,"AAAAAH7za10=")</f>
        <v>#REF!</v>
      </c>
      <c r="CQ402" t="e">
        <f>AND(#REF!,"AAAAAH7za14=")</f>
        <v>#REF!</v>
      </c>
      <c r="CR402" t="e">
        <f>AND(#REF!,"AAAAAH7za18=")</f>
        <v>#REF!</v>
      </c>
      <c r="CS402" t="e">
        <f>AND(#REF!,"AAAAAH7za2A=")</f>
        <v>#REF!</v>
      </c>
      <c r="CT402" t="e">
        <f>AND(#REF!,"AAAAAH7za2E=")</f>
        <v>#REF!</v>
      </c>
      <c r="CU402" t="e">
        <f>IF(#REF!,"AAAAAH7za2I=",0)</f>
        <v>#REF!</v>
      </c>
      <c r="CV402" t="e">
        <f>AND(#REF!,"AAAAAH7za2M=")</f>
        <v>#REF!</v>
      </c>
      <c r="CW402" t="e">
        <f>AND(#REF!,"AAAAAH7za2Q=")</f>
        <v>#REF!</v>
      </c>
      <c r="CX402" t="e">
        <f>AND(#REF!,"AAAAAH7za2U=")</f>
        <v>#REF!</v>
      </c>
      <c r="CY402" t="e">
        <f>AND(#REF!,"AAAAAH7za2Y=")</f>
        <v>#REF!</v>
      </c>
      <c r="CZ402" t="e">
        <f>AND(#REF!,"AAAAAH7za2c=")</f>
        <v>#REF!</v>
      </c>
      <c r="DA402" t="e">
        <f>AND(#REF!,"AAAAAH7za2g=")</f>
        <v>#REF!</v>
      </c>
      <c r="DB402" t="e">
        <f>AND(#REF!,"AAAAAH7za2k=")</f>
        <v>#REF!</v>
      </c>
      <c r="DC402" t="e">
        <f>AND(#REF!,"AAAAAH7za2o=")</f>
        <v>#REF!</v>
      </c>
      <c r="DD402" t="e">
        <f>AND(#REF!,"AAAAAH7za2s=")</f>
        <v>#REF!</v>
      </c>
      <c r="DE402" t="e">
        <f>AND(#REF!,"AAAAAH7za2w=")</f>
        <v>#REF!</v>
      </c>
      <c r="DF402" t="e">
        <f>IF(#REF!,"AAAAAH7za20=",0)</f>
        <v>#REF!</v>
      </c>
      <c r="DG402" t="e">
        <f>AND(#REF!,"AAAAAH7za24=")</f>
        <v>#REF!</v>
      </c>
      <c r="DH402" t="e">
        <f>AND(#REF!,"AAAAAH7za28=")</f>
        <v>#REF!</v>
      </c>
      <c r="DI402" t="e">
        <f>AND(#REF!,"AAAAAH7za3A=")</f>
        <v>#REF!</v>
      </c>
      <c r="DJ402" t="e">
        <f>AND(#REF!,"AAAAAH7za3E=")</f>
        <v>#REF!</v>
      </c>
      <c r="DK402" t="e">
        <f>AND(#REF!,"AAAAAH7za3I=")</f>
        <v>#REF!</v>
      </c>
      <c r="DL402" t="e">
        <f>AND(#REF!,"AAAAAH7za3M=")</f>
        <v>#REF!</v>
      </c>
      <c r="DM402" t="e">
        <f>AND(#REF!,"AAAAAH7za3Q=")</f>
        <v>#REF!</v>
      </c>
      <c r="DN402" t="e">
        <f>AND(#REF!,"AAAAAH7za3U=")</f>
        <v>#REF!</v>
      </c>
      <c r="DO402" t="e">
        <f>AND(#REF!,"AAAAAH7za3Y=")</f>
        <v>#REF!</v>
      </c>
      <c r="DP402" t="e">
        <f>AND(#REF!,"AAAAAH7za3c=")</f>
        <v>#REF!</v>
      </c>
      <c r="DQ402" t="e">
        <f>IF(#REF!,"AAAAAH7za3g=",0)</f>
        <v>#REF!</v>
      </c>
      <c r="DR402" t="e">
        <f>AND(#REF!,"AAAAAH7za3k=")</f>
        <v>#REF!</v>
      </c>
      <c r="DS402" t="e">
        <f>AND(#REF!,"AAAAAH7za3o=")</f>
        <v>#REF!</v>
      </c>
      <c r="DT402" t="e">
        <f>AND(#REF!,"AAAAAH7za3s=")</f>
        <v>#REF!</v>
      </c>
      <c r="DU402" t="e">
        <f>AND(#REF!,"AAAAAH7za3w=")</f>
        <v>#REF!</v>
      </c>
      <c r="DV402" t="e">
        <f>AND(#REF!,"AAAAAH7za30=")</f>
        <v>#REF!</v>
      </c>
      <c r="DW402" t="e">
        <f>AND(#REF!,"AAAAAH7za34=")</f>
        <v>#REF!</v>
      </c>
      <c r="DX402" t="e">
        <f>AND(#REF!,"AAAAAH7za38=")</f>
        <v>#REF!</v>
      </c>
      <c r="DY402" t="e">
        <f>AND(#REF!,"AAAAAH7za4A=")</f>
        <v>#REF!</v>
      </c>
      <c r="DZ402" t="e">
        <f>AND(#REF!,"AAAAAH7za4E=")</f>
        <v>#REF!</v>
      </c>
      <c r="EA402" t="e">
        <f>AND(#REF!,"AAAAAH7za4I=")</f>
        <v>#REF!</v>
      </c>
      <c r="EB402" t="e">
        <f>IF(#REF!,"AAAAAH7za4M=",0)</f>
        <v>#REF!</v>
      </c>
      <c r="EC402" t="e">
        <f>AND(#REF!,"AAAAAH7za4Q=")</f>
        <v>#REF!</v>
      </c>
      <c r="ED402" t="e">
        <f>AND(#REF!,"AAAAAH7za4U=")</f>
        <v>#REF!</v>
      </c>
      <c r="EE402" t="e">
        <f>AND(#REF!,"AAAAAH7za4Y=")</f>
        <v>#REF!</v>
      </c>
      <c r="EF402" t="e">
        <f>AND(#REF!,"AAAAAH7za4c=")</f>
        <v>#REF!</v>
      </c>
      <c r="EG402" t="e">
        <f>AND(#REF!,"AAAAAH7za4g=")</f>
        <v>#REF!</v>
      </c>
      <c r="EH402" t="e">
        <f>AND(#REF!,"AAAAAH7za4k=")</f>
        <v>#REF!</v>
      </c>
      <c r="EI402" t="e">
        <f>AND(#REF!,"AAAAAH7za4o=")</f>
        <v>#REF!</v>
      </c>
      <c r="EJ402" t="e">
        <f>AND(#REF!,"AAAAAH7za4s=")</f>
        <v>#REF!</v>
      </c>
      <c r="EK402" t="e">
        <f>AND(#REF!,"AAAAAH7za4w=")</f>
        <v>#REF!</v>
      </c>
      <c r="EL402" t="e">
        <f>AND(#REF!,"AAAAAH7za40=")</f>
        <v>#REF!</v>
      </c>
      <c r="EM402" t="e">
        <f>IF(#REF!,"AAAAAH7za44=",0)</f>
        <v>#REF!</v>
      </c>
      <c r="EN402" t="e">
        <f>AND(#REF!,"AAAAAH7za48=")</f>
        <v>#REF!</v>
      </c>
      <c r="EO402" t="e">
        <f>AND(#REF!,"AAAAAH7za5A=")</f>
        <v>#REF!</v>
      </c>
      <c r="EP402" t="e">
        <f>AND(#REF!,"AAAAAH7za5E=")</f>
        <v>#REF!</v>
      </c>
      <c r="EQ402" t="e">
        <f>AND(#REF!,"AAAAAH7za5I=")</f>
        <v>#REF!</v>
      </c>
      <c r="ER402" t="e">
        <f>AND(#REF!,"AAAAAH7za5M=")</f>
        <v>#REF!</v>
      </c>
      <c r="ES402" t="e">
        <f>AND(#REF!,"AAAAAH7za5Q=")</f>
        <v>#REF!</v>
      </c>
      <c r="ET402" t="e">
        <f>AND(#REF!,"AAAAAH7za5U=")</f>
        <v>#REF!</v>
      </c>
      <c r="EU402" t="e">
        <f>AND(#REF!,"AAAAAH7za5Y=")</f>
        <v>#REF!</v>
      </c>
      <c r="EV402" t="e">
        <f>AND(#REF!,"AAAAAH7za5c=")</f>
        <v>#REF!</v>
      </c>
      <c r="EW402" t="e">
        <f>AND(#REF!,"AAAAAH7za5g=")</f>
        <v>#REF!</v>
      </c>
      <c r="EX402" t="e">
        <f>IF(#REF!,"AAAAAH7za5k=",0)</f>
        <v>#REF!</v>
      </c>
      <c r="EY402" t="e">
        <f>AND(#REF!,"AAAAAH7za5o=")</f>
        <v>#REF!</v>
      </c>
      <c r="EZ402" t="e">
        <f>AND(#REF!,"AAAAAH7za5s=")</f>
        <v>#REF!</v>
      </c>
      <c r="FA402" t="e">
        <f>AND(#REF!,"AAAAAH7za5w=")</f>
        <v>#REF!</v>
      </c>
      <c r="FB402" t="e">
        <f>AND(#REF!,"AAAAAH7za50=")</f>
        <v>#REF!</v>
      </c>
      <c r="FC402" t="e">
        <f>AND(#REF!,"AAAAAH7za54=")</f>
        <v>#REF!</v>
      </c>
      <c r="FD402" t="e">
        <f>AND(#REF!,"AAAAAH7za58=")</f>
        <v>#REF!</v>
      </c>
      <c r="FE402" t="e">
        <f>AND(#REF!,"AAAAAH7za6A=")</f>
        <v>#REF!</v>
      </c>
      <c r="FF402" t="e">
        <f>AND(#REF!,"AAAAAH7za6E=")</f>
        <v>#REF!</v>
      </c>
      <c r="FG402" t="e">
        <f>AND(#REF!,"AAAAAH7za6I=")</f>
        <v>#REF!</v>
      </c>
      <c r="FH402" t="e">
        <f>AND(#REF!,"AAAAAH7za6M=")</f>
        <v>#REF!</v>
      </c>
      <c r="FI402" t="e">
        <f>IF(#REF!,"AAAAAH7za6Q=",0)</f>
        <v>#REF!</v>
      </c>
      <c r="FJ402" t="e">
        <f>AND(#REF!,"AAAAAH7za6U=")</f>
        <v>#REF!</v>
      </c>
      <c r="FK402" t="e">
        <f>AND(#REF!,"AAAAAH7za6Y=")</f>
        <v>#REF!</v>
      </c>
      <c r="FL402" t="e">
        <f>AND(#REF!,"AAAAAH7za6c=")</f>
        <v>#REF!</v>
      </c>
      <c r="FM402" t="e">
        <f>AND(#REF!,"AAAAAH7za6g=")</f>
        <v>#REF!</v>
      </c>
      <c r="FN402" t="e">
        <f>AND(#REF!,"AAAAAH7za6k=")</f>
        <v>#REF!</v>
      </c>
      <c r="FO402" t="e">
        <f>AND(#REF!,"AAAAAH7za6o=")</f>
        <v>#REF!</v>
      </c>
      <c r="FP402" t="e">
        <f>AND(#REF!,"AAAAAH7za6s=")</f>
        <v>#REF!</v>
      </c>
      <c r="FQ402" t="e">
        <f>AND(#REF!,"AAAAAH7za6w=")</f>
        <v>#REF!</v>
      </c>
      <c r="FR402" t="e">
        <f>AND(#REF!,"AAAAAH7za60=")</f>
        <v>#REF!</v>
      </c>
      <c r="FS402" t="e">
        <f>AND(#REF!,"AAAAAH7za64=")</f>
        <v>#REF!</v>
      </c>
      <c r="FT402" t="e">
        <f>IF(#REF!,"AAAAAH7za68=",0)</f>
        <v>#REF!</v>
      </c>
      <c r="FU402" t="e">
        <f>AND(#REF!,"AAAAAH7za7A=")</f>
        <v>#REF!</v>
      </c>
      <c r="FV402" t="e">
        <f>AND(#REF!,"AAAAAH7za7E=")</f>
        <v>#REF!</v>
      </c>
      <c r="FW402" t="e">
        <f>AND(#REF!,"AAAAAH7za7I=")</f>
        <v>#REF!</v>
      </c>
      <c r="FX402" t="e">
        <f>AND(#REF!,"AAAAAH7za7M=")</f>
        <v>#REF!</v>
      </c>
      <c r="FY402" t="e">
        <f>AND(#REF!,"AAAAAH7za7Q=")</f>
        <v>#REF!</v>
      </c>
      <c r="FZ402" t="e">
        <f>AND(#REF!,"AAAAAH7za7U=")</f>
        <v>#REF!</v>
      </c>
      <c r="GA402" t="e">
        <f>AND(#REF!,"AAAAAH7za7Y=")</f>
        <v>#REF!</v>
      </c>
      <c r="GB402" t="e">
        <f>AND(#REF!,"AAAAAH7za7c=")</f>
        <v>#REF!</v>
      </c>
      <c r="GC402" t="e">
        <f>AND(#REF!,"AAAAAH7za7g=")</f>
        <v>#REF!</v>
      </c>
      <c r="GD402" t="e">
        <f>AND(#REF!,"AAAAAH7za7k=")</f>
        <v>#REF!</v>
      </c>
      <c r="GE402" t="e">
        <f>IF(#REF!,"AAAAAH7za7o=",0)</f>
        <v>#REF!</v>
      </c>
      <c r="GF402" t="e">
        <f>AND(#REF!,"AAAAAH7za7s=")</f>
        <v>#REF!</v>
      </c>
      <c r="GG402" t="e">
        <f>AND(#REF!,"AAAAAH7za7w=")</f>
        <v>#REF!</v>
      </c>
      <c r="GH402" t="e">
        <f>AND(#REF!,"AAAAAH7za70=")</f>
        <v>#REF!</v>
      </c>
      <c r="GI402" t="e">
        <f>AND(#REF!,"AAAAAH7za74=")</f>
        <v>#REF!</v>
      </c>
      <c r="GJ402" t="e">
        <f>AND(#REF!,"AAAAAH7za78=")</f>
        <v>#REF!</v>
      </c>
      <c r="GK402" t="e">
        <f>AND(#REF!,"AAAAAH7za8A=")</f>
        <v>#REF!</v>
      </c>
      <c r="GL402" t="e">
        <f>AND(#REF!,"AAAAAH7za8E=")</f>
        <v>#REF!</v>
      </c>
      <c r="GM402" t="e">
        <f>AND(#REF!,"AAAAAH7za8I=")</f>
        <v>#REF!</v>
      </c>
      <c r="GN402" t="e">
        <f>AND(#REF!,"AAAAAH7za8M=")</f>
        <v>#REF!</v>
      </c>
      <c r="GO402" t="e">
        <f>AND(#REF!,"AAAAAH7za8Q=")</f>
        <v>#REF!</v>
      </c>
      <c r="GP402" t="e">
        <f>IF(#REF!,"AAAAAH7za8U=",0)</f>
        <v>#REF!</v>
      </c>
      <c r="GQ402" t="e">
        <f>AND(#REF!,"AAAAAH7za8Y=")</f>
        <v>#REF!</v>
      </c>
      <c r="GR402" t="e">
        <f>AND(#REF!,"AAAAAH7za8c=")</f>
        <v>#REF!</v>
      </c>
      <c r="GS402" t="e">
        <f>AND(#REF!,"AAAAAH7za8g=")</f>
        <v>#REF!</v>
      </c>
      <c r="GT402" t="e">
        <f>AND(#REF!,"AAAAAH7za8k=")</f>
        <v>#REF!</v>
      </c>
      <c r="GU402" t="e">
        <f>AND(#REF!,"AAAAAH7za8o=")</f>
        <v>#REF!</v>
      </c>
      <c r="GV402" t="e">
        <f>AND(#REF!,"AAAAAH7za8s=")</f>
        <v>#REF!</v>
      </c>
      <c r="GW402" t="e">
        <f>AND(#REF!,"AAAAAH7za8w=")</f>
        <v>#REF!</v>
      </c>
      <c r="GX402" t="e">
        <f>AND(#REF!,"AAAAAH7za80=")</f>
        <v>#REF!</v>
      </c>
      <c r="GY402" t="e">
        <f>AND(#REF!,"AAAAAH7za84=")</f>
        <v>#REF!</v>
      </c>
      <c r="GZ402" t="e">
        <f>AND(#REF!,"AAAAAH7za88=")</f>
        <v>#REF!</v>
      </c>
      <c r="HA402" t="e">
        <f>IF(#REF!,"AAAAAH7za9A=",0)</f>
        <v>#REF!</v>
      </c>
      <c r="HB402" t="e">
        <f>AND(#REF!,"AAAAAH7za9E=")</f>
        <v>#REF!</v>
      </c>
      <c r="HC402" t="e">
        <f>AND(#REF!,"AAAAAH7za9I=")</f>
        <v>#REF!</v>
      </c>
      <c r="HD402" t="e">
        <f>AND(#REF!,"AAAAAH7za9M=")</f>
        <v>#REF!</v>
      </c>
      <c r="HE402" t="e">
        <f>AND(#REF!,"AAAAAH7za9Q=")</f>
        <v>#REF!</v>
      </c>
      <c r="HF402" t="e">
        <f>AND(#REF!,"AAAAAH7za9U=")</f>
        <v>#REF!</v>
      </c>
      <c r="HG402" t="e">
        <f>AND(#REF!,"AAAAAH7za9Y=")</f>
        <v>#REF!</v>
      </c>
      <c r="HH402" t="e">
        <f>AND(#REF!,"AAAAAH7za9c=")</f>
        <v>#REF!</v>
      </c>
      <c r="HI402" t="e">
        <f>AND(#REF!,"AAAAAH7za9g=")</f>
        <v>#REF!</v>
      </c>
      <c r="HJ402" t="e">
        <f>AND(#REF!,"AAAAAH7za9k=")</f>
        <v>#REF!</v>
      </c>
      <c r="HK402" t="e">
        <f>AND(#REF!,"AAAAAH7za9o=")</f>
        <v>#REF!</v>
      </c>
      <c r="HL402" t="e">
        <f>IF(#REF!,"AAAAAH7za9s=",0)</f>
        <v>#REF!</v>
      </c>
      <c r="HM402" t="e">
        <f>AND(#REF!,"AAAAAH7za9w=")</f>
        <v>#REF!</v>
      </c>
      <c r="HN402" t="e">
        <f>AND(#REF!,"AAAAAH7za90=")</f>
        <v>#REF!</v>
      </c>
      <c r="HO402" t="e">
        <f>AND(#REF!,"AAAAAH7za94=")</f>
        <v>#REF!</v>
      </c>
      <c r="HP402" t="e">
        <f>AND(#REF!,"AAAAAH7za98=")</f>
        <v>#REF!</v>
      </c>
      <c r="HQ402" t="e">
        <f>AND(#REF!,"AAAAAH7za+A=")</f>
        <v>#REF!</v>
      </c>
      <c r="HR402" t="e">
        <f>AND(#REF!,"AAAAAH7za+E=")</f>
        <v>#REF!</v>
      </c>
      <c r="HS402" t="e">
        <f>AND(#REF!,"AAAAAH7za+I=")</f>
        <v>#REF!</v>
      </c>
      <c r="HT402" t="e">
        <f>AND(#REF!,"AAAAAH7za+M=")</f>
        <v>#REF!</v>
      </c>
      <c r="HU402" t="e">
        <f>AND(#REF!,"AAAAAH7za+Q=")</f>
        <v>#REF!</v>
      </c>
      <c r="HV402" t="e">
        <f>AND(#REF!,"AAAAAH7za+U=")</f>
        <v>#REF!</v>
      </c>
      <c r="HW402" t="e">
        <f>IF(#REF!,"AAAAAH7za+Y=",0)</f>
        <v>#REF!</v>
      </c>
      <c r="HX402" t="e">
        <f>AND(#REF!,"AAAAAH7za+c=")</f>
        <v>#REF!</v>
      </c>
      <c r="HY402" t="e">
        <f>AND(#REF!,"AAAAAH7za+g=")</f>
        <v>#REF!</v>
      </c>
      <c r="HZ402" t="e">
        <f>AND(#REF!,"AAAAAH7za+k=")</f>
        <v>#REF!</v>
      </c>
      <c r="IA402" t="e">
        <f>AND(#REF!,"AAAAAH7za+o=")</f>
        <v>#REF!</v>
      </c>
      <c r="IB402" t="e">
        <f>AND(#REF!,"AAAAAH7za+s=")</f>
        <v>#REF!</v>
      </c>
      <c r="IC402" t="e">
        <f>AND(#REF!,"AAAAAH7za+w=")</f>
        <v>#REF!</v>
      </c>
      <c r="ID402" t="e">
        <f>AND(#REF!,"AAAAAH7za+0=")</f>
        <v>#REF!</v>
      </c>
      <c r="IE402" t="e">
        <f>AND(#REF!,"AAAAAH7za+4=")</f>
        <v>#REF!</v>
      </c>
      <c r="IF402" t="e">
        <f>AND(#REF!,"AAAAAH7za+8=")</f>
        <v>#REF!</v>
      </c>
      <c r="IG402" t="e">
        <f>AND(#REF!,"AAAAAH7za/A=")</f>
        <v>#REF!</v>
      </c>
      <c r="IH402" t="e">
        <f>IF(#REF!,"AAAAAH7za/E=",0)</f>
        <v>#REF!</v>
      </c>
      <c r="II402" t="e">
        <f>AND(#REF!,"AAAAAH7za/I=")</f>
        <v>#REF!</v>
      </c>
      <c r="IJ402" t="e">
        <f>AND(#REF!,"AAAAAH7za/M=")</f>
        <v>#REF!</v>
      </c>
      <c r="IK402" t="e">
        <f>AND(#REF!,"AAAAAH7za/Q=")</f>
        <v>#REF!</v>
      </c>
      <c r="IL402" t="e">
        <f>AND(#REF!,"AAAAAH7za/U=")</f>
        <v>#REF!</v>
      </c>
      <c r="IM402" t="e">
        <f>AND(#REF!,"AAAAAH7za/Y=")</f>
        <v>#REF!</v>
      </c>
      <c r="IN402" t="e">
        <f>AND(#REF!,"AAAAAH7za/c=")</f>
        <v>#REF!</v>
      </c>
      <c r="IO402" t="e">
        <f>AND(#REF!,"AAAAAH7za/g=")</f>
        <v>#REF!</v>
      </c>
      <c r="IP402" t="e">
        <f>AND(#REF!,"AAAAAH7za/k=")</f>
        <v>#REF!</v>
      </c>
      <c r="IQ402" t="e">
        <f>AND(#REF!,"AAAAAH7za/o=")</f>
        <v>#REF!</v>
      </c>
      <c r="IR402" t="e">
        <f>AND(#REF!,"AAAAAH7za/s=")</f>
        <v>#REF!</v>
      </c>
      <c r="IS402" t="e">
        <f>IF(#REF!,"AAAAAH7za/w=",0)</f>
        <v>#REF!</v>
      </c>
      <c r="IT402" t="e">
        <f>AND(#REF!,"AAAAAH7za/0=")</f>
        <v>#REF!</v>
      </c>
      <c r="IU402" t="e">
        <f>AND(#REF!,"AAAAAH7za/4=")</f>
        <v>#REF!</v>
      </c>
      <c r="IV402" t="e">
        <f>AND(#REF!,"AAAAAH7za/8=")</f>
        <v>#REF!</v>
      </c>
    </row>
    <row r="403" spans="1:256" x14ac:dyDescent="0.25">
      <c r="A403" t="e">
        <f>AND(#REF!,"AAAAAG5/rwA=")</f>
        <v>#REF!</v>
      </c>
      <c r="B403" t="e">
        <f>AND(#REF!,"AAAAAG5/rwE=")</f>
        <v>#REF!</v>
      </c>
      <c r="C403" t="e">
        <f>AND(#REF!,"AAAAAG5/rwI=")</f>
        <v>#REF!</v>
      </c>
      <c r="D403" t="e">
        <f>AND(#REF!,"AAAAAG5/rwM=")</f>
        <v>#REF!</v>
      </c>
      <c r="E403" t="e">
        <f>AND(#REF!,"AAAAAG5/rwQ=")</f>
        <v>#REF!</v>
      </c>
      <c r="F403" t="e">
        <f>AND(#REF!,"AAAAAG5/rwU=")</f>
        <v>#REF!</v>
      </c>
      <c r="G403" t="e">
        <f>AND(#REF!,"AAAAAG5/rwY=")</f>
        <v>#REF!</v>
      </c>
      <c r="H403" t="e">
        <f>IF(#REF!,"AAAAAG5/rwc=",0)</f>
        <v>#REF!</v>
      </c>
      <c r="I403" t="e">
        <f>AND(#REF!,"AAAAAG5/rwg=")</f>
        <v>#REF!</v>
      </c>
      <c r="J403" t="e">
        <f>AND(#REF!,"AAAAAG5/rwk=")</f>
        <v>#REF!</v>
      </c>
      <c r="K403" t="e">
        <f>AND(#REF!,"AAAAAG5/rwo=")</f>
        <v>#REF!</v>
      </c>
      <c r="L403" t="e">
        <f>AND(#REF!,"AAAAAG5/rws=")</f>
        <v>#REF!</v>
      </c>
      <c r="M403" t="e">
        <f>AND(#REF!,"AAAAAG5/rww=")</f>
        <v>#REF!</v>
      </c>
      <c r="N403" t="e">
        <f>AND(#REF!,"AAAAAG5/rw0=")</f>
        <v>#REF!</v>
      </c>
      <c r="O403" t="e">
        <f>AND(#REF!,"AAAAAG5/rw4=")</f>
        <v>#REF!</v>
      </c>
      <c r="P403" t="e">
        <f>AND(#REF!,"AAAAAG5/rw8=")</f>
        <v>#REF!</v>
      </c>
      <c r="Q403" t="e">
        <f>AND(#REF!,"AAAAAG5/rxA=")</f>
        <v>#REF!</v>
      </c>
      <c r="R403" t="e">
        <f>AND(#REF!,"AAAAAG5/rxE=")</f>
        <v>#REF!</v>
      </c>
      <c r="S403" t="e">
        <f>IF(#REF!,"AAAAAG5/rxI=",0)</f>
        <v>#REF!</v>
      </c>
      <c r="T403" t="e">
        <f>AND(#REF!,"AAAAAG5/rxM=")</f>
        <v>#REF!</v>
      </c>
      <c r="U403" t="e">
        <f>AND(#REF!,"AAAAAG5/rxQ=")</f>
        <v>#REF!</v>
      </c>
      <c r="V403" t="e">
        <f>AND(#REF!,"AAAAAG5/rxU=")</f>
        <v>#REF!</v>
      </c>
      <c r="W403" t="e">
        <f>AND(#REF!,"AAAAAG5/rxY=")</f>
        <v>#REF!</v>
      </c>
      <c r="X403" t="e">
        <f>AND(#REF!,"AAAAAG5/rxc=")</f>
        <v>#REF!</v>
      </c>
      <c r="Y403" t="e">
        <f>AND(#REF!,"AAAAAG5/rxg=")</f>
        <v>#REF!</v>
      </c>
      <c r="Z403" t="e">
        <f>AND(#REF!,"AAAAAG5/rxk=")</f>
        <v>#REF!</v>
      </c>
      <c r="AA403" t="e">
        <f>AND(#REF!,"AAAAAG5/rxo=")</f>
        <v>#REF!</v>
      </c>
      <c r="AB403" t="e">
        <f>AND(#REF!,"AAAAAG5/rxs=")</f>
        <v>#REF!</v>
      </c>
      <c r="AC403" t="e">
        <f>AND(#REF!,"AAAAAG5/rxw=")</f>
        <v>#REF!</v>
      </c>
      <c r="AD403" t="e">
        <f>IF(#REF!,"AAAAAG5/rx0=",0)</f>
        <v>#REF!</v>
      </c>
      <c r="AE403" t="e">
        <f>AND(#REF!,"AAAAAG5/rx4=")</f>
        <v>#REF!</v>
      </c>
      <c r="AF403" t="e">
        <f>AND(#REF!,"AAAAAG5/rx8=")</f>
        <v>#REF!</v>
      </c>
      <c r="AG403" t="e">
        <f>AND(#REF!,"AAAAAG5/ryA=")</f>
        <v>#REF!</v>
      </c>
      <c r="AH403" t="e">
        <f>AND(#REF!,"AAAAAG5/ryE=")</f>
        <v>#REF!</v>
      </c>
      <c r="AI403" t="e">
        <f>AND(#REF!,"AAAAAG5/ryI=")</f>
        <v>#REF!</v>
      </c>
      <c r="AJ403" t="e">
        <f>AND(#REF!,"AAAAAG5/ryM=")</f>
        <v>#REF!</v>
      </c>
      <c r="AK403" t="e">
        <f>AND(#REF!,"AAAAAG5/ryQ=")</f>
        <v>#REF!</v>
      </c>
      <c r="AL403" t="e">
        <f>AND(#REF!,"AAAAAG5/ryU=")</f>
        <v>#REF!</v>
      </c>
      <c r="AM403" t="e">
        <f>AND(#REF!,"AAAAAG5/ryY=")</f>
        <v>#REF!</v>
      </c>
      <c r="AN403" t="e">
        <f>AND(#REF!,"AAAAAG5/ryc=")</f>
        <v>#REF!</v>
      </c>
      <c r="AO403" t="e">
        <f>IF(#REF!,"AAAAAG5/ryg=",0)</f>
        <v>#REF!</v>
      </c>
      <c r="AP403" t="e">
        <f>AND(#REF!,"AAAAAG5/ryk=")</f>
        <v>#REF!</v>
      </c>
      <c r="AQ403" t="e">
        <f>AND(#REF!,"AAAAAG5/ryo=")</f>
        <v>#REF!</v>
      </c>
      <c r="AR403" t="e">
        <f>AND(#REF!,"AAAAAG5/rys=")</f>
        <v>#REF!</v>
      </c>
      <c r="AS403" t="e">
        <f>AND(#REF!,"AAAAAG5/ryw=")</f>
        <v>#REF!</v>
      </c>
      <c r="AT403" t="e">
        <f>AND(#REF!,"AAAAAG5/ry0=")</f>
        <v>#REF!</v>
      </c>
      <c r="AU403" t="e">
        <f>AND(#REF!,"AAAAAG5/ry4=")</f>
        <v>#REF!</v>
      </c>
      <c r="AV403" t="e">
        <f>AND(#REF!,"AAAAAG5/ry8=")</f>
        <v>#REF!</v>
      </c>
      <c r="AW403" t="e">
        <f>AND(#REF!,"AAAAAG5/rzA=")</f>
        <v>#REF!</v>
      </c>
      <c r="AX403" t="e">
        <f>AND(#REF!,"AAAAAG5/rzE=")</f>
        <v>#REF!</v>
      </c>
      <c r="AY403" t="e">
        <f>AND(#REF!,"AAAAAG5/rzI=")</f>
        <v>#REF!</v>
      </c>
      <c r="AZ403" t="e">
        <f>IF(#REF!,"AAAAAG5/rzM=",0)</f>
        <v>#REF!</v>
      </c>
      <c r="BA403" t="e">
        <f>AND(#REF!,"AAAAAG5/rzQ=")</f>
        <v>#REF!</v>
      </c>
      <c r="BB403" t="e">
        <f>AND(#REF!,"AAAAAG5/rzU=")</f>
        <v>#REF!</v>
      </c>
      <c r="BC403" t="e">
        <f>AND(#REF!,"AAAAAG5/rzY=")</f>
        <v>#REF!</v>
      </c>
      <c r="BD403" t="e">
        <f>AND(#REF!,"AAAAAG5/rzc=")</f>
        <v>#REF!</v>
      </c>
      <c r="BE403" t="e">
        <f>AND(#REF!,"AAAAAG5/rzg=")</f>
        <v>#REF!</v>
      </c>
      <c r="BF403" t="e">
        <f>AND(#REF!,"AAAAAG5/rzk=")</f>
        <v>#REF!</v>
      </c>
      <c r="BG403" t="e">
        <f>AND(#REF!,"AAAAAG5/rzo=")</f>
        <v>#REF!</v>
      </c>
      <c r="BH403" t="e">
        <f>AND(#REF!,"AAAAAG5/rzs=")</f>
        <v>#REF!</v>
      </c>
      <c r="BI403" t="e">
        <f>AND(#REF!,"AAAAAG5/rzw=")</f>
        <v>#REF!</v>
      </c>
      <c r="BJ403" t="e">
        <f>AND(#REF!,"AAAAAG5/rz0=")</f>
        <v>#REF!</v>
      </c>
      <c r="BK403" t="e">
        <f>IF(#REF!,"AAAAAG5/rz4=",0)</f>
        <v>#REF!</v>
      </c>
      <c r="BL403" t="e">
        <f>AND(#REF!,"AAAAAG5/rz8=")</f>
        <v>#REF!</v>
      </c>
      <c r="BM403" t="e">
        <f>AND(#REF!,"AAAAAG5/r0A=")</f>
        <v>#REF!</v>
      </c>
      <c r="BN403" t="e">
        <f>AND(#REF!,"AAAAAG5/r0E=")</f>
        <v>#REF!</v>
      </c>
      <c r="BO403" t="e">
        <f>AND(#REF!,"AAAAAG5/r0I=")</f>
        <v>#REF!</v>
      </c>
      <c r="BP403" t="e">
        <f>AND(#REF!,"AAAAAG5/r0M=")</f>
        <v>#REF!</v>
      </c>
      <c r="BQ403" t="e">
        <f>AND(#REF!,"AAAAAG5/r0Q=")</f>
        <v>#REF!</v>
      </c>
      <c r="BR403" t="e">
        <f>AND(#REF!,"AAAAAG5/r0U=")</f>
        <v>#REF!</v>
      </c>
      <c r="BS403" t="e">
        <f>AND(#REF!,"AAAAAG5/r0Y=")</f>
        <v>#REF!</v>
      </c>
      <c r="BT403" t="e">
        <f>AND(#REF!,"AAAAAG5/r0c=")</f>
        <v>#REF!</v>
      </c>
      <c r="BU403" t="e">
        <f>AND(#REF!,"AAAAAG5/r0g=")</f>
        <v>#REF!</v>
      </c>
      <c r="BV403" t="e">
        <f>IF(#REF!,"AAAAAG5/r0k=",0)</f>
        <v>#REF!</v>
      </c>
      <c r="BW403" t="e">
        <f>AND(#REF!,"AAAAAG5/r0o=")</f>
        <v>#REF!</v>
      </c>
      <c r="BX403" t="e">
        <f>AND(#REF!,"AAAAAG5/r0s=")</f>
        <v>#REF!</v>
      </c>
      <c r="BY403" t="e">
        <f>AND(#REF!,"AAAAAG5/r0w=")</f>
        <v>#REF!</v>
      </c>
      <c r="BZ403" t="e">
        <f>AND(#REF!,"AAAAAG5/r00=")</f>
        <v>#REF!</v>
      </c>
      <c r="CA403" t="e">
        <f>AND(#REF!,"AAAAAG5/r04=")</f>
        <v>#REF!</v>
      </c>
      <c r="CB403" t="e">
        <f>AND(#REF!,"AAAAAG5/r08=")</f>
        <v>#REF!</v>
      </c>
      <c r="CC403" t="e">
        <f>AND(#REF!,"AAAAAG5/r1A=")</f>
        <v>#REF!</v>
      </c>
      <c r="CD403" t="e">
        <f>AND(#REF!,"AAAAAG5/r1E=")</f>
        <v>#REF!</v>
      </c>
      <c r="CE403" t="e">
        <f>AND(#REF!,"AAAAAG5/r1I=")</f>
        <v>#REF!</v>
      </c>
      <c r="CF403" t="e">
        <f>AND(#REF!,"AAAAAG5/r1M=")</f>
        <v>#REF!</v>
      </c>
      <c r="CG403" t="e">
        <f>IF(#REF!,"AAAAAG5/r1Q=",0)</f>
        <v>#REF!</v>
      </c>
      <c r="CH403" t="e">
        <f>AND(#REF!,"AAAAAG5/r1U=")</f>
        <v>#REF!</v>
      </c>
      <c r="CI403" t="e">
        <f>AND(#REF!,"AAAAAG5/r1Y=")</f>
        <v>#REF!</v>
      </c>
      <c r="CJ403" t="e">
        <f>AND(#REF!,"AAAAAG5/r1c=")</f>
        <v>#REF!</v>
      </c>
      <c r="CK403" t="e">
        <f>AND(#REF!,"AAAAAG5/r1g=")</f>
        <v>#REF!</v>
      </c>
      <c r="CL403" t="e">
        <f>AND(#REF!,"AAAAAG5/r1k=")</f>
        <v>#REF!</v>
      </c>
      <c r="CM403" t="e">
        <f>AND(#REF!,"AAAAAG5/r1o=")</f>
        <v>#REF!</v>
      </c>
      <c r="CN403" t="e">
        <f>AND(#REF!,"AAAAAG5/r1s=")</f>
        <v>#REF!</v>
      </c>
      <c r="CO403" t="e">
        <f>AND(#REF!,"AAAAAG5/r1w=")</f>
        <v>#REF!</v>
      </c>
      <c r="CP403" t="e">
        <f>AND(#REF!,"AAAAAG5/r10=")</f>
        <v>#REF!</v>
      </c>
      <c r="CQ403" t="e">
        <f>AND(#REF!,"AAAAAG5/r14=")</f>
        <v>#REF!</v>
      </c>
      <c r="CR403" t="e">
        <f>IF(#REF!,"AAAAAG5/r18=",0)</f>
        <v>#REF!</v>
      </c>
      <c r="CS403" t="e">
        <f>AND(#REF!,"AAAAAG5/r2A=")</f>
        <v>#REF!</v>
      </c>
      <c r="CT403" t="e">
        <f>AND(#REF!,"AAAAAG5/r2E=")</f>
        <v>#REF!</v>
      </c>
      <c r="CU403" t="e">
        <f>AND(#REF!,"AAAAAG5/r2I=")</f>
        <v>#REF!</v>
      </c>
      <c r="CV403" t="e">
        <f>AND(#REF!,"AAAAAG5/r2M=")</f>
        <v>#REF!</v>
      </c>
      <c r="CW403" t="e">
        <f>AND(#REF!,"AAAAAG5/r2Q=")</f>
        <v>#REF!</v>
      </c>
      <c r="CX403" t="e">
        <f>AND(#REF!,"AAAAAG5/r2U=")</f>
        <v>#REF!</v>
      </c>
      <c r="CY403" t="e">
        <f>AND(#REF!,"AAAAAG5/r2Y=")</f>
        <v>#REF!</v>
      </c>
      <c r="CZ403" t="e">
        <f>AND(#REF!,"AAAAAG5/r2c=")</f>
        <v>#REF!</v>
      </c>
      <c r="DA403" t="e">
        <f>AND(#REF!,"AAAAAG5/r2g=")</f>
        <v>#REF!</v>
      </c>
      <c r="DB403" t="e">
        <f>AND(#REF!,"AAAAAG5/r2k=")</f>
        <v>#REF!</v>
      </c>
      <c r="DC403" t="e">
        <f>IF(#REF!,"AAAAAG5/r2o=",0)</f>
        <v>#REF!</v>
      </c>
      <c r="DD403" t="e">
        <f>AND(#REF!,"AAAAAG5/r2s=")</f>
        <v>#REF!</v>
      </c>
      <c r="DE403" t="e">
        <f>AND(#REF!,"AAAAAG5/r2w=")</f>
        <v>#REF!</v>
      </c>
      <c r="DF403" t="e">
        <f>AND(#REF!,"AAAAAG5/r20=")</f>
        <v>#REF!</v>
      </c>
      <c r="DG403" t="e">
        <f>AND(#REF!,"AAAAAG5/r24=")</f>
        <v>#REF!</v>
      </c>
      <c r="DH403" t="e">
        <f>AND(#REF!,"AAAAAG5/r28=")</f>
        <v>#REF!</v>
      </c>
      <c r="DI403" t="e">
        <f>AND(#REF!,"AAAAAG5/r3A=")</f>
        <v>#REF!</v>
      </c>
      <c r="DJ403" t="e">
        <f>AND(#REF!,"AAAAAG5/r3E=")</f>
        <v>#REF!</v>
      </c>
      <c r="DK403" t="e">
        <f>AND(#REF!,"AAAAAG5/r3I=")</f>
        <v>#REF!</v>
      </c>
      <c r="DL403" t="e">
        <f>AND(#REF!,"AAAAAG5/r3M=")</f>
        <v>#REF!</v>
      </c>
      <c r="DM403" t="e">
        <f>AND(#REF!,"AAAAAG5/r3Q=")</f>
        <v>#REF!</v>
      </c>
      <c r="DN403" t="e">
        <f>IF(#REF!,"AAAAAG5/r3U=",0)</f>
        <v>#REF!</v>
      </c>
      <c r="DO403" t="e">
        <f>AND(#REF!,"AAAAAG5/r3Y=")</f>
        <v>#REF!</v>
      </c>
      <c r="DP403" t="e">
        <f>AND(#REF!,"AAAAAG5/r3c=")</f>
        <v>#REF!</v>
      </c>
      <c r="DQ403" t="e">
        <f>AND(#REF!,"AAAAAG5/r3g=")</f>
        <v>#REF!</v>
      </c>
      <c r="DR403" t="e">
        <f>AND(#REF!,"AAAAAG5/r3k=")</f>
        <v>#REF!</v>
      </c>
      <c r="DS403" t="e">
        <f>AND(#REF!,"AAAAAG5/r3o=")</f>
        <v>#REF!</v>
      </c>
      <c r="DT403" t="e">
        <f>AND(#REF!,"AAAAAG5/r3s=")</f>
        <v>#REF!</v>
      </c>
      <c r="DU403" t="e">
        <f>AND(#REF!,"AAAAAG5/r3w=")</f>
        <v>#REF!</v>
      </c>
      <c r="DV403" t="e">
        <f>AND(#REF!,"AAAAAG5/r30=")</f>
        <v>#REF!</v>
      </c>
      <c r="DW403" t="e">
        <f>AND(#REF!,"AAAAAG5/r34=")</f>
        <v>#REF!</v>
      </c>
      <c r="DX403" t="e">
        <f>AND(#REF!,"AAAAAG5/r38=")</f>
        <v>#REF!</v>
      </c>
      <c r="DY403" t="e">
        <f>IF(#REF!,"AAAAAG5/r4A=",0)</f>
        <v>#REF!</v>
      </c>
      <c r="DZ403" t="e">
        <f>AND(#REF!,"AAAAAG5/r4E=")</f>
        <v>#REF!</v>
      </c>
      <c r="EA403" t="e">
        <f>AND(#REF!,"AAAAAG5/r4I=")</f>
        <v>#REF!</v>
      </c>
      <c r="EB403" t="e">
        <f>AND(#REF!,"AAAAAG5/r4M=")</f>
        <v>#REF!</v>
      </c>
      <c r="EC403" t="e">
        <f>AND(#REF!,"AAAAAG5/r4Q=")</f>
        <v>#REF!</v>
      </c>
      <c r="ED403" t="e">
        <f>AND(#REF!,"AAAAAG5/r4U=")</f>
        <v>#REF!</v>
      </c>
      <c r="EE403" t="e">
        <f>AND(#REF!,"AAAAAG5/r4Y=")</f>
        <v>#REF!</v>
      </c>
      <c r="EF403" t="e">
        <f>AND(#REF!,"AAAAAG5/r4c=")</f>
        <v>#REF!</v>
      </c>
      <c r="EG403" t="e">
        <f>AND(#REF!,"AAAAAG5/r4g=")</f>
        <v>#REF!</v>
      </c>
      <c r="EH403" t="e">
        <f>AND(#REF!,"AAAAAG5/r4k=")</f>
        <v>#REF!</v>
      </c>
      <c r="EI403" t="e">
        <f>AND(#REF!,"AAAAAG5/r4o=")</f>
        <v>#REF!</v>
      </c>
      <c r="EJ403" t="e">
        <f>IF(#REF!,"AAAAAG5/r4s=",0)</f>
        <v>#REF!</v>
      </c>
      <c r="EK403" t="e">
        <f>AND(#REF!,"AAAAAG5/r4w=")</f>
        <v>#REF!</v>
      </c>
      <c r="EL403" t="e">
        <f>AND(#REF!,"AAAAAG5/r40=")</f>
        <v>#REF!</v>
      </c>
      <c r="EM403" t="e">
        <f>AND(#REF!,"AAAAAG5/r44=")</f>
        <v>#REF!</v>
      </c>
      <c r="EN403" t="e">
        <f>AND(#REF!,"AAAAAG5/r48=")</f>
        <v>#REF!</v>
      </c>
      <c r="EO403" t="e">
        <f>AND(#REF!,"AAAAAG5/r5A=")</f>
        <v>#REF!</v>
      </c>
      <c r="EP403" t="e">
        <f>AND(#REF!,"AAAAAG5/r5E=")</f>
        <v>#REF!</v>
      </c>
      <c r="EQ403" t="e">
        <f>AND(#REF!,"AAAAAG5/r5I=")</f>
        <v>#REF!</v>
      </c>
      <c r="ER403" t="e">
        <f>AND(#REF!,"AAAAAG5/r5M=")</f>
        <v>#REF!</v>
      </c>
      <c r="ES403" t="e">
        <f>AND(#REF!,"AAAAAG5/r5Q=")</f>
        <v>#REF!</v>
      </c>
      <c r="ET403" t="e">
        <f>AND(#REF!,"AAAAAG5/r5U=")</f>
        <v>#REF!</v>
      </c>
      <c r="EU403" t="e">
        <f>IF(#REF!,"AAAAAG5/r5Y=",0)</f>
        <v>#REF!</v>
      </c>
      <c r="EV403" t="e">
        <f>AND(#REF!,"AAAAAG5/r5c=")</f>
        <v>#REF!</v>
      </c>
      <c r="EW403" t="e">
        <f>AND(#REF!,"AAAAAG5/r5g=")</f>
        <v>#REF!</v>
      </c>
      <c r="EX403" t="e">
        <f>AND(#REF!,"AAAAAG5/r5k=")</f>
        <v>#REF!</v>
      </c>
      <c r="EY403" t="e">
        <f>AND(#REF!,"AAAAAG5/r5o=")</f>
        <v>#REF!</v>
      </c>
      <c r="EZ403" t="e">
        <f>AND(#REF!,"AAAAAG5/r5s=")</f>
        <v>#REF!</v>
      </c>
      <c r="FA403" t="e">
        <f>AND(#REF!,"AAAAAG5/r5w=")</f>
        <v>#REF!</v>
      </c>
      <c r="FB403" t="e">
        <f>AND(#REF!,"AAAAAG5/r50=")</f>
        <v>#REF!</v>
      </c>
      <c r="FC403" t="e">
        <f>AND(#REF!,"AAAAAG5/r54=")</f>
        <v>#REF!</v>
      </c>
      <c r="FD403" t="e">
        <f>AND(#REF!,"AAAAAG5/r58=")</f>
        <v>#REF!</v>
      </c>
      <c r="FE403" t="e">
        <f>AND(#REF!,"AAAAAG5/r6A=")</f>
        <v>#REF!</v>
      </c>
      <c r="FF403" t="e">
        <f>IF(#REF!,"AAAAAG5/r6E=",0)</f>
        <v>#REF!</v>
      </c>
      <c r="FG403" t="e">
        <f>AND(#REF!,"AAAAAG5/r6I=")</f>
        <v>#REF!</v>
      </c>
      <c r="FH403" t="e">
        <f>AND(#REF!,"AAAAAG5/r6M=")</f>
        <v>#REF!</v>
      </c>
      <c r="FI403" t="e">
        <f>AND(#REF!,"AAAAAG5/r6Q=")</f>
        <v>#REF!</v>
      </c>
      <c r="FJ403" t="e">
        <f>AND(#REF!,"AAAAAG5/r6U=")</f>
        <v>#REF!</v>
      </c>
      <c r="FK403" t="e">
        <f>AND(#REF!,"AAAAAG5/r6Y=")</f>
        <v>#REF!</v>
      </c>
      <c r="FL403" t="e">
        <f>AND(#REF!,"AAAAAG5/r6c=")</f>
        <v>#REF!</v>
      </c>
      <c r="FM403" t="e">
        <f>AND(#REF!,"AAAAAG5/r6g=")</f>
        <v>#REF!</v>
      </c>
      <c r="FN403" t="e">
        <f>AND(#REF!,"AAAAAG5/r6k=")</f>
        <v>#REF!</v>
      </c>
      <c r="FO403" t="e">
        <f>AND(#REF!,"AAAAAG5/r6o=")</f>
        <v>#REF!</v>
      </c>
      <c r="FP403" t="e">
        <f>AND(#REF!,"AAAAAG5/r6s=")</f>
        <v>#REF!</v>
      </c>
      <c r="FQ403" t="e">
        <f>IF(#REF!,"AAAAAG5/r6w=",0)</f>
        <v>#REF!</v>
      </c>
      <c r="FR403" t="e">
        <f>AND(#REF!,"AAAAAG5/r60=")</f>
        <v>#REF!</v>
      </c>
      <c r="FS403" t="e">
        <f>AND(#REF!,"AAAAAG5/r64=")</f>
        <v>#REF!</v>
      </c>
      <c r="FT403" t="e">
        <f>AND(#REF!,"AAAAAG5/r68=")</f>
        <v>#REF!</v>
      </c>
      <c r="FU403" t="e">
        <f>AND(#REF!,"AAAAAG5/r7A=")</f>
        <v>#REF!</v>
      </c>
      <c r="FV403" t="e">
        <f>AND(#REF!,"AAAAAG5/r7E=")</f>
        <v>#REF!</v>
      </c>
      <c r="FW403" t="e">
        <f>AND(#REF!,"AAAAAG5/r7I=")</f>
        <v>#REF!</v>
      </c>
      <c r="FX403" t="e">
        <f>AND(#REF!,"AAAAAG5/r7M=")</f>
        <v>#REF!</v>
      </c>
      <c r="FY403" t="e">
        <f>AND(#REF!,"AAAAAG5/r7Q=")</f>
        <v>#REF!</v>
      </c>
      <c r="FZ403" t="e">
        <f>AND(#REF!,"AAAAAG5/r7U=")</f>
        <v>#REF!</v>
      </c>
      <c r="GA403" t="e">
        <f>AND(#REF!,"AAAAAG5/r7Y=")</f>
        <v>#REF!</v>
      </c>
      <c r="GB403" t="e">
        <f>IF(#REF!,"AAAAAG5/r7c=",0)</f>
        <v>#REF!</v>
      </c>
      <c r="GC403" t="e">
        <f>AND(#REF!,"AAAAAG5/r7g=")</f>
        <v>#REF!</v>
      </c>
      <c r="GD403" t="e">
        <f>AND(#REF!,"AAAAAG5/r7k=")</f>
        <v>#REF!</v>
      </c>
      <c r="GE403" t="e">
        <f>AND(#REF!,"AAAAAG5/r7o=")</f>
        <v>#REF!</v>
      </c>
      <c r="GF403" t="e">
        <f>AND(#REF!,"AAAAAG5/r7s=")</f>
        <v>#REF!</v>
      </c>
      <c r="GG403" t="e">
        <f>AND(#REF!,"AAAAAG5/r7w=")</f>
        <v>#REF!</v>
      </c>
      <c r="GH403" t="e">
        <f>AND(#REF!,"AAAAAG5/r70=")</f>
        <v>#REF!</v>
      </c>
      <c r="GI403" t="e">
        <f>AND(#REF!,"AAAAAG5/r74=")</f>
        <v>#REF!</v>
      </c>
      <c r="GJ403" t="e">
        <f>AND(#REF!,"AAAAAG5/r78=")</f>
        <v>#REF!</v>
      </c>
      <c r="GK403" t="e">
        <f>AND(#REF!,"AAAAAG5/r8A=")</f>
        <v>#REF!</v>
      </c>
      <c r="GL403" t="e">
        <f>AND(#REF!,"AAAAAG5/r8E=")</f>
        <v>#REF!</v>
      </c>
      <c r="GM403" t="e">
        <f>IF(#REF!,"AAAAAG5/r8I=",0)</f>
        <v>#REF!</v>
      </c>
      <c r="GN403" t="e">
        <f>AND(#REF!,"AAAAAG5/r8M=")</f>
        <v>#REF!</v>
      </c>
      <c r="GO403" t="e">
        <f>AND(#REF!,"AAAAAG5/r8Q=")</f>
        <v>#REF!</v>
      </c>
      <c r="GP403" t="e">
        <f>AND(#REF!,"AAAAAG5/r8U=")</f>
        <v>#REF!</v>
      </c>
      <c r="GQ403" t="e">
        <f>AND(#REF!,"AAAAAG5/r8Y=")</f>
        <v>#REF!</v>
      </c>
      <c r="GR403" t="e">
        <f>AND(#REF!,"AAAAAG5/r8c=")</f>
        <v>#REF!</v>
      </c>
      <c r="GS403" t="e">
        <f>AND(#REF!,"AAAAAG5/r8g=")</f>
        <v>#REF!</v>
      </c>
      <c r="GT403" t="e">
        <f>AND(#REF!,"AAAAAG5/r8k=")</f>
        <v>#REF!</v>
      </c>
      <c r="GU403" t="e">
        <f>AND(#REF!,"AAAAAG5/r8o=")</f>
        <v>#REF!</v>
      </c>
      <c r="GV403" t="e">
        <f>AND(#REF!,"AAAAAG5/r8s=")</f>
        <v>#REF!</v>
      </c>
      <c r="GW403" t="e">
        <f>AND(#REF!,"AAAAAG5/r8w=")</f>
        <v>#REF!</v>
      </c>
      <c r="GX403" t="e">
        <f>IF(#REF!,"AAAAAG5/r80=",0)</f>
        <v>#REF!</v>
      </c>
      <c r="GY403" t="e">
        <f>AND(#REF!,"AAAAAG5/r84=")</f>
        <v>#REF!</v>
      </c>
      <c r="GZ403" t="e">
        <f>AND(#REF!,"AAAAAG5/r88=")</f>
        <v>#REF!</v>
      </c>
      <c r="HA403" t="e">
        <f>AND(#REF!,"AAAAAG5/r9A=")</f>
        <v>#REF!</v>
      </c>
      <c r="HB403" t="e">
        <f>AND(#REF!,"AAAAAG5/r9E=")</f>
        <v>#REF!</v>
      </c>
      <c r="HC403" t="e">
        <f>AND(#REF!,"AAAAAG5/r9I=")</f>
        <v>#REF!</v>
      </c>
      <c r="HD403" t="e">
        <f>AND(#REF!,"AAAAAG5/r9M=")</f>
        <v>#REF!</v>
      </c>
      <c r="HE403" t="e">
        <f>AND(#REF!,"AAAAAG5/r9Q=")</f>
        <v>#REF!</v>
      </c>
      <c r="HF403" t="e">
        <f>AND(#REF!,"AAAAAG5/r9U=")</f>
        <v>#REF!</v>
      </c>
      <c r="HG403" t="e">
        <f>AND(#REF!,"AAAAAG5/r9Y=")</f>
        <v>#REF!</v>
      </c>
      <c r="HH403" t="e">
        <f>AND(#REF!,"AAAAAG5/r9c=")</f>
        <v>#REF!</v>
      </c>
      <c r="HI403" t="e">
        <f>IF(#REF!,"AAAAAG5/r9g=",0)</f>
        <v>#REF!</v>
      </c>
      <c r="HJ403" t="e">
        <f>AND(#REF!,"AAAAAG5/r9k=")</f>
        <v>#REF!</v>
      </c>
      <c r="HK403" t="e">
        <f>AND(#REF!,"AAAAAG5/r9o=")</f>
        <v>#REF!</v>
      </c>
      <c r="HL403" t="e">
        <f>AND(#REF!,"AAAAAG5/r9s=")</f>
        <v>#REF!</v>
      </c>
      <c r="HM403" t="e">
        <f>AND(#REF!,"AAAAAG5/r9w=")</f>
        <v>#REF!</v>
      </c>
      <c r="HN403" t="e">
        <f>AND(#REF!,"AAAAAG5/r90=")</f>
        <v>#REF!</v>
      </c>
      <c r="HO403" t="e">
        <f>AND(#REF!,"AAAAAG5/r94=")</f>
        <v>#REF!</v>
      </c>
      <c r="HP403" t="e">
        <f>AND(#REF!,"AAAAAG5/r98=")</f>
        <v>#REF!</v>
      </c>
      <c r="HQ403" t="e">
        <f>AND(#REF!,"AAAAAG5/r+A=")</f>
        <v>#REF!</v>
      </c>
      <c r="HR403" t="e">
        <f>AND(#REF!,"AAAAAG5/r+E=")</f>
        <v>#REF!</v>
      </c>
      <c r="HS403" t="e">
        <f>AND(#REF!,"AAAAAG5/r+I=")</f>
        <v>#REF!</v>
      </c>
      <c r="HT403" t="e">
        <f>IF(#REF!,"AAAAAG5/r+M=",0)</f>
        <v>#REF!</v>
      </c>
      <c r="HU403" t="e">
        <f>AND(#REF!,"AAAAAG5/r+Q=")</f>
        <v>#REF!</v>
      </c>
      <c r="HV403" t="e">
        <f>AND(#REF!,"AAAAAG5/r+U=")</f>
        <v>#REF!</v>
      </c>
      <c r="HW403" t="e">
        <f>AND(#REF!,"AAAAAG5/r+Y=")</f>
        <v>#REF!</v>
      </c>
      <c r="HX403" t="e">
        <f>AND(#REF!,"AAAAAG5/r+c=")</f>
        <v>#REF!</v>
      </c>
      <c r="HY403" t="e">
        <f>AND(#REF!,"AAAAAG5/r+g=")</f>
        <v>#REF!</v>
      </c>
      <c r="HZ403" t="e">
        <f>AND(#REF!,"AAAAAG5/r+k=")</f>
        <v>#REF!</v>
      </c>
      <c r="IA403" t="e">
        <f>AND(#REF!,"AAAAAG5/r+o=")</f>
        <v>#REF!</v>
      </c>
      <c r="IB403" t="e">
        <f>AND(#REF!,"AAAAAG5/r+s=")</f>
        <v>#REF!</v>
      </c>
      <c r="IC403" t="e">
        <f>AND(#REF!,"AAAAAG5/r+w=")</f>
        <v>#REF!</v>
      </c>
      <c r="ID403" t="e">
        <f>AND(#REF!,"AAAAAG5/r+0=")</f>
        <v>#REF!</v>
      </c>
      <c r="IE403" t="e">
        <f>IF(#REF!,"AAAAAG5/r+4=",0)</f>
        <v>#REF!</v>
      </c>
      <c r="IF403" t="e">
        <f>AND(#REF!,"AAAAAG5/r+8=")</f>
        <v>#REF!</v>
      </c>
      <c r="IG403" t="e">
        <f>AND(#REF!,"AAAAAG5/r/A=")</f>
        <v>#REF!</v>
      </c>
      <c r="IH403" t="e">
        <f>AND(#REF!,"AAAAAG5/r/E=")</f>
        <v>#REF!</v>
      </c>
      <c r="II403" t="e">
        <f>AND(#REF!,"AAAAAG5/r/I=")</f>
        <v>#REF!</v>
      </c>
      <c r="IJ403" t="e">
        <f>AND(#REF!,"AAAAAG5/r/M=")</f>
        <v>#REF!</v>
      </c>
      <c r="IK403" t="e">
        <f>AND(#REF!,"AAAAAG5/r/Q=")</f>
        <v>#REF!</v>
      </c>
      <c r="IL403" t="e">
        <f>AND(#REF!,"AAAAAG5/r/U=")</f>
        <v>#REF!</v>
      </c>
      <c r="IM403" t="e">
        <f>AND(#REF!,"AAAAAG5/r/Y=")</f>
        <v>#REF!</v>
      </c>
      <c r="IN403" t="e">
        <f>AND(#REF!,"AAAAAG5/r/c=")</f>
        <v>#REF!</v>
      </c>
      <c r="IO403" t="e">
        <f>AND(#REF!,"AAAAAG5/r/g=")</f>
        <v>#REF!</v>
      </c>
      <c r="IP403" t="e">
        <f>IF(#REF!,"AAAAAG5/r/k=",0)</f>
        <v>#REF!</v>
      </c>
      <c r="IQ403" t="e">
        <f>AND(#REF!,"AAAAAG5/r/o=")</f>
        <v>#REF!</v>
      </c>
      <c r="IR403" t="e">
        <f>AND(#REF!,"AAAAAG5/r/s=")</f>
        <v>#REF!</v>
      </c>
      <c r="IS403" t="e">
        <f>AND(#REF!,"AAAAAG5/r/w=")</f>
        <v>#REF!</v>
      </c>
      <c r="IT403" t="e">
        <f>AND(#REF!,"AAAAAG5/r/0=")</f>
        <v>#REF!</v>
      </c>
      <c r="IU403" t="e">
        <f>AND(#REF!,"AAAAAG5/r/4=")</f>
        <v>#REF!</v>
      </c>
      <c r="IV403" t="e">
        <f>AND(#REF!,"AAAAAG5/r/8=")</f>
        <v>#REF!</v>
      </c>
    </row>
    <row r="404" spans="1:256" x14ac:dyDescent="0.25">
      <c r="A404" t="e">
        <f>AND(#REF!,"AAAAAAP9zwA=")</f>
        <v>#REF!</v>
      </c>
      <c r="B404" t="e">
        <f>AND(#REF!,"AAAAAAP9zwE=")</f>
        <v>#REF!</v>
      </c>
      <c r="C404" t="e">
        <f>AND(#REF!,"AAAAAAP9zwI=")</f>
        <v>#REF!</v>
      </c>
      <c r="D404" t="e">
        <f>AND(#REF!,"AAAAAAP9zwM=")</f>
        <v>#REF!</v>
      </c>
      <c r="E404" t="e">
        <f>IF(#REF!,"AAAAAAP9zwQ=",0)</f>
        <v>#REF!</v>
      </c>
      <c r="F404" t="e">
        <f>AND(#REF!,"AAAAAAP9zwU=")</f>
        <v>#REF!</v>
      </c>
      <c r="G404" t="e">
        <f>AND(#REF!,"AAAAAAP9zwY=")</f>
        <v>#REF!</v>
      </c>
      <c r="H404" t="e">
        <f>AND(#REF!,"AAAAAAP9zwc=")</f>
        <v>#REF!</v>
      </c>
      <c r="I404" t="e">
        <f>AND(#REF!,"AAAAAAP9zwg=")</f>
        <v>#REF!</v>
      </c>
      <c r="J404" t="e">
        <f>AND(#REF!,"AAAAAAP9zwk=")</f>
        <v>#REF!</v>
      </c>
      <c r="K404" t="e">
        <f>AND(#REF!,"AAAAAAP9zwo=")</f>
        <v>#REF!</v>
      </c>
      <c r="L404" t="e">
        <f>AND(#REF!,"AAAAAAP9zws=")</f>
        <v>#REF!</v>
      </c>
      <c r="M404" t="e">
        <f>AND(#REF!,"AAAAAAP9zww=")</f>
        <v>#REF!</v>
      </c>
      <c r="N404" t="e">
        <f>AND(#REF!,"AAAAAAP9zw0=")</f>
        <v>#REF!</v>
      </c>
      <c r="O404" t="e">
        <f>AND(#REF!,"AAAAAAP9zw4=")</f>
        <v>#REF!</v>
      </c>
      <c r="P404" t="e">
        <f>IF(#REF!,"AAAAAAP9zw8=",0)</f>
        <v>#REF!</v>
      </c>
      <c r="Q404" t="e">
        <f>AND(#REF!,"AAAAAAP9zxA=")</f>
        <v>#REF!</v>
      </c>
      <c r="R404" t="e">
        <f>AND(#REF!,"AAAAAAP9zxE=")</f>
        <v>#REF!</v>
      </c>
      <c r="S404" t="e">
        <f>AND(#REF!,"AAAAAAP9zxI=")</f>
        <v>#REF!</v>
      </c>
      <c r="T404" t="e">
        <f>AND(#REF!,"AAAAAAP9zxM=")</f>
        <v>#REF!</v>
      </c>
      <c r="U404" t="e">
        <f>AND(#REF!,"AAAAAAP9zxQ=")</f>
        <v>#REF!</v>
      </c>
      <c r="V404" t="e">
        <f>AND(#REF!,"AAAAAAP9zxU=")</f>
        <v>#REF!</v>
      </c>
      <c r="W404" t="e">
        <f>AND(#REF!,"AAAAAAP9zxY=")</f>
        <v>#REF!</v>
      </c>
      <c r="X404" t="e">
        <f>AND(#REF!,"AAAAAAP9zxc=")</f>
        <v>#REF!</v>
      </c>
      <c r="Y404" t="e">
        <f>AND(#REF!,"AAAAAAP9zxg=")</f>
        <v>#REF!</v>
      </c>
      <c r="Z404" t="e">
        <f>AND(#REF!,"AAAAAAP9zxk=")</f>
        <v>#REF!</v>
      </c>
      <c r="AA404" t="e">
        <f>IF(#REF!,"AAAAAAP9zxo=",0)</f>
        <v>#REF!</v>
      </c>
      <c r="AB404" t="e">
        <f>AND(#REF!,"AAAAAAP9zxs=")</f>
        <v>#REF!</v>
      </c>
      <c r="AC404" t="e">
        <f>AND(#REF!,"AAAAAAP9zxw=")</f>
        <v>#REF!</v>
      </c>
      <c r="AD404" t="e">
        <f>AND(#REF!,"AAAAAAP9zx0=")</f>
        <v>#REF!</v>
      </c>
      <c r="AE404" t="e">
        <f>AND(#REF!,"AAAAAAP9zx4=")</f>
        <v>#REF!</v>
      </c>
      <c r="AF404" t="e">
        <f>AND(#REF!,"AAAAAAP9zx8=")</f>
        <v>#REF!</v>
      </c>
      <c r="AG404" t="e">
        <f>AND(#REF!,"AAAAAAP9zyA=")</f>
        <v>#REF!</v>
      </c>
      <c r="AH404" t="e">
        <f>AND(#REF!,"AAAAAAP9zyE=")</f>
        <v>#REF!</v>
      </c>
      <c r="AI404" t="e">
        <f>AND(#REF!,"AAAAAAP9zyI=")</f>
        <v>#REF!</v>
      </c>
      <c r="AJ404" t="e">
        <f>AND(#REF!,"AAAAAAP9zyM=")</f>
        <v>#REF!</v>
      </c>
      <c r="AK404" t="e">
        <f>AND(#REF!,"AAAAAAP9zyQ=")</f>
        <v>#REF!</v>
      </c>
      <c r="AL404" t="e">
        <f>IF(#REF!,"AAAAAAP9zyU=",0)</f>
        <v>#REF!</v>
      </c>
      <c r="AM404" t="e">
        <f>AND(#REF!,"AAAAAAP9zyY=")</f>
        <v>#REF!</v>
      </c>
      <c r="AN404" t="e">
        <f>AND(#REF!,"AAAAAAP9zyc=")</f>
        <v>#REF!</v>
      </c>
      <c r="AO404" t="e">
        <f>AND(#REF!,"AAAAAAP9zyg=")</f>
        <v>#REF!</v>
      </c>
      <c r="AP404" t="e">
        <f>AND(#REF!,"AAAAAAP9zyk=")</f>
        <v>#REF!</v>
      </c>
      <c r="AQ404" t="e">
        <f>AND(#REF!,"AAAAAAP9zyo=")</f>
        <v>#REF!</v>
      </c>
      <c r="AR404" t="e">
        <f>AND(#REF!,"AAAAAAP9zys=")</f>
        <v>#REF!</v>
      </c>
      <c r="AS404" t="e">
        <f>AND(#REF!,"AAAAAAP9zyw=")</f>
        <v>#REF!</v>
      </c>
      <c r="AT404" t="e">
        <f>AND(#REF!,"AAAAAAP9zy0=")</f>
        <v>#REF!</v>
      </c>
      <c r="AU404" t="e">
        <f>AND(#REF!,"AAAAAAP9zy4=")</f>
        <v>#REF!</v>
      </c>
      <c r="AV404" t="e">
        <f>AND(#REF!,"AAAAAAP9zy8=")</f>
        <v>#REF!</v>
      </c>
      <c r="AW404" t="e">
        <f>IF(#REF!,"AAAAAAP9zzA=",0)</f>
        <v>#REF!</v>
      </c>
      <c r="AX404" t="e">
        <f>AND(#REF!,"AAAAAAP9zzE=")</f>
        <v>#REF!</v>
      </c>
      <c r="AY404" t="e">
        <f>AND(#REF!,"AAAAAAP9zzI=")</f>
        <v>#REF!</v>
      </c>
      <c r="AZ404" t="e">
        <f>AND(#REF!,"AAAAAAP9zzM=")</f>
        <v>#REF!</v>
      </c>
      <c r="BA404" t="e">
        <f>AND(#REF!,"AAAAAAP9zzQ=")</f>
        <v>#REF!</v>
      </c>
      <c r="BB404" t="e">
        <f>AND(#REF!,"AAAAAAP9zzU=")</f>
        <v>#REF!</v>
      </c>
      <c r="BC404" t="e">
        <f>AND(#REF!,"AAAAAAP9zzY=")</f>
        <v>#REF!</v>
      </c>
      <c r="BD404" t="e">
        <f>AND(#REF!,"AAAAAAP9zzc=")</f>
        <v>#REF!</v>
      </c>
      <c r="BE404" t="e">
        <f>AND(#REF!,"AAAAAAP9zzg=")</f>
        <v>#REF!</v>
      </c>
      <c r="BF404" t="e">
        <f>AND(#REF!,"AAAAAAP9zzk=")</f>
        <v>#REF!</v>
      </c>
      <c r="BG404" t="e">
        <f>AND(#REF!,"AAAAAAP9zzo=")</f>
        <v>#REF!</v>
      </c>
      <c r="BH404" t="e">
        <f>IF(#REF!,"AAAAAAP9zzs=",0)</f>
        <v>#REF!</v>
      </c>
      <c r="BI404" t="e">
        <f>AND(#REF!,"AAAAAAP9zzw=")</f>
        <v>#REF!</v>
      </c>
      <c r="BJ404" t="e">
        <f>AND(#REF!,"AAAAAAP9zz0=")</f>
        <v>#REF!</v>
      </c>
      <c r="BK404" t="e">
        <f>AND(#REF!,"AAAAAAP9zz4=")</f>
        <v>#REF!</v>
      </c>
      <c r="BL404" t="e">
        <f>AND(#REF!,"AAAAAAP9zz8=")</f>
        <v>#REF!</v>
      </c>
      <c r="BM404" t="e">
        <f>AND(#REF!,"AAAAAAP9z0A=")</f>
        <v>#REF!</v>
      </c>
      <c r="BN404" t="e">
        <f>AND(#REF!,"AAAAAAP9z0E=")</f>
        <v>#REF!</v>
      </c>
      <c r="BO404" t="e">
        <f>AND(#REF!,"AAAAAAP9z0I=")</f>
        <v>#REF!</v>
      </c>
      <c r="BP404" t="e">
        <f>AND(#REF!,"AAAAAAP9z0M=")</f>
        <v>#REF!</v>
      </c>
      <c r="BQ404" t="e">
        <f>AND(#REF!,"AAAAAAP9z0Q=")</f>
        <v>#REF!</v>
      </c>
      <c r="BR404" t="e">
        <f>AND(#REF!,"AAAAAAP9z0U=")</f>
        <v>#REF!</v>
      </c>
      <c r="BS404" t="e">
        <f>IF(#REF!,"AAAAAAP9z0Y=",0)</f>
        <v>#REF!</v>
      </c>
      <c r="BT404" t="e">
        <f>AND(#REF!,"AAAAAAP9z0c=")</f>
        <v>#REF!</v>
      </c>
      <c r="BU404" t="e">
        <f>AND(#REF!,"AAAAAAP9z0g=")</f>
        <v>#REF!</v>
      </c>
      <c r="BV404" t="e">
        <f>AND(#REF!,"AAAAAAP9z0k=")</f>
        <v>#REF!</v>
      </c>
      <c r="BW404" t="e">
        <f>AND(#REF!,"AAAAAAP9z0o=")</f>
        <v>#REF!</v>
      </c>
      <c r="BX404" t="e">
        <f>AND(#REF!,"AAAAAAP9z0s=")</f>
        <v>#REF!</v>
      </c>
      <c r="BY404" t="e">
        <f>AND(#REF!,"AAAAAAP9z0w=")</f>
        <v>#REF!</v>
      </c>
      <c r="BZ404" t="e">
        <f>AND(#REF!,"AAAAAAP9z00=")</f>
        <v>#REF!</v>
      </c>
      <c r="CA404" t="e">
        <f>AND(#REF!,"AAAAAAP9z04=")</f>
        <v>#REF!</v>
      </c>
      <c r="CB404" t="e">
        <f>AND(#REF!,"AAAAAAP9z08=")</f>
        <v>#REF!</v>
      </c>
      <c r="CC404" t="e">
        <f>AND(#REF!,"AAAAAAP9z1A=")</f>
        <v>#REF!</v>
      </c>
      <c r="CD404" t="e">
        <f>IF(#REF!,"AAAAAAP9z1E=",0)</f>
        <v>#REF!</v>
      </c>
      <c r="CE404" t="e">
        <f>AND(#REF!,"AAAAAAP9z1I=")</f>
        <v>#REF!</v>
      </c>
      <c r="CF404" t="e">
        <f>AND(#REF!,"AAAAAAP9z1M=")</f>
        <v>#REF!</v>
      </c>
      <c r="CG404" t="e">
        <f>AND(#REF!,"AAAAAAP9z1Q=")</f>
        <v>#REF!</v>
      </c>
      <c r="CH404" t="e">
        <f>AND(#REF!,"AAAAAAP9z1U=")</f>
        <v>#REF!</v>
      </c>
      <c r="CI404" t="e">
        <f>AND(#REF!,"AAAAAAP9z1Y=")</f>
        <v>#REF!</v>
      </c>
      <c r="CJ404" t="e">
        <f>AND(#REF!,"AAAAAAP9z1c=")</f>
        <v>#REF!</v>
      </c>
      <c r="CK404" t="e">
        <f>AND(#REF!,"AAAAAAP9z1g=")</f>
        <v>#REF!</v>
      </c>
      <c r="CL404" t="e">
        <f>AND(#REF!,"AAAAAAP9z1k=")</f>
        <v>#REF!</v>
      </c>
      <c r="CM404" t="e">
        <f>AND(#REF!,"AAAAAAP9z1o=")</f>
        <v>#REF!</v>
      </c>
      <c r="CN404" t="e">
        <f>AND(#REF!,"AAAAAAP9z1s=")</f>
        <v>#REF!</v>
      </c>
      <c r="CO404" t="e">
        <f>IF(#REF!,"AAAAAAP9z1w=",0)</f>
        <v>#REF!</v>
      </c>
      <c r="CP404" t="e">
        <f>AND(#REF!,"AAAAAAP9z10=")</f>
        <v>#REF!</v>
      </c>
      <c r="CQ404" t="e">
        <f>AND(#REF!,"AAAAAAP9z14=")</f>
        <v>#REF!</v>
      </c>
      <c r="CR404" t="e">
        <f>AND(#REF!,"AAAAAAP9z18=")</f>
        <v>#REF!</v>
      </c>
      <c r="CS404" t="e">
        <f>AND(#REF!,"AAAAAAP9z2A=")</f>
        <v>#REF!</v>
      </c>
      <c r="CT404" t="e">
        <f>AND(#REF!,"AAAAAAP9z2E=")</f>
        <v>#REF!</v>
      </c>
      <c r="CU404" t="e">
        <f>AND(#REF!,"AAAAAAP9z2I=")</f>
        <v>#REF!</v>
      </c>
      <c r="CV404" t="e">
        <f>AND(#REF!,"AAAAAAP9z2M=")</f>
        <v>#REF!</v>
      </c>
      <c r="CW404" t="e">
        <f>AND(#REF!,"AAAAAAP9z2Q=")</f>
        <v>#REF!</v>
      </c>
      <c r="CX404" t="e">
        <f>AND(#REF!,"AAAAAAP9z2U=")</f>
        <v>#REF!</v>
      </c>
      <c r="CY404" t="e">
        <f>AND(#REF!,"AAAAAAP9z2Y=")</f>
        <v>#REF!</v>
      </c>
      <c r="CZ404" t="e">
        <f>IF(#REF!,"AAAAAAP9z2c=",0)</f>
        <v>#REF!</v>
      </c>
      <c r="DA404" t="e">
        <f>AND(#REF!,"AAAAAAP9z2g=")</f>
        <v>#REF!</v>
      </c>
      <c r="DB404" t="e">
        <f>AND(#REF!,"AAAAAAP9z2k=")</f>
        <v>#REF!</v>
      </c>
      <c r="DC404" t="e">
        <f>AND(#REF!,"AAAAAAP9z2o=")</f>
        <v>#REF!</v>
      </c>
      <c r="DD404" t="e">
        <f>AND(#REF!,"AAAAAAP9z2s=")</f>
        <v>#REF!</v>
      </c>
      <c r="DE404" t="e">
        <f>AND(#REF!,"AAAAAAP9z2w=")</f>
        <v>#REF!</v>
      </c>
      <c r="DF404" t="e">
        <f>AND(#REF!,"AAAAAAP9z20=")</f>
        <v>#REF!</v>
      </c>
      <c r="DG404" t="e">
        <f>AND(#REF!,"AAAAAAP9z24=")</f>
        <v>#REF!</v>
      </c>
      <c r="DH404" t="e">
        <f>AND(#REF!,"AAAAAAP9z28=")</f>
        <v>#REF!</v>
      </c>
      <c r="DI404" t="e">
        <f>AND(#REF!,"AAAAAAP9z3A=")</f>
        <v>#REF!</v>
      </c>
      <c r="DJ404" t="e">
        <f>AND(#REF!,"AAAAAAP9z3E=")</f>
        <v>#REF!</v>
      </c>
      <c r="DK404" t="e">
        <f>IF(#REF!,"AAAAAAP9z3I=",0)</f>
        <v>#REF!</v>
      </c>
      <c r="DL404" t="e">
        <f>AND(#REF!,"AAAAAAP9z3M=")</f>
        <v>#REF!</v>
      </c>
      <c r="DM404" t="e">
        <f>AND(#REF!,"AAAAAAP9z3Q=")</f>
        <v>#REF!</v>
      </c>
      <c r="DN404" t="e">
        <f>AND(#REF!,"AAAAAAP9z3U=")</f>
        <v>#REF!</v>
      </c>
      <c r="DO404" t="e">
        <f>AND(#REF!,"AAAAAAP9z3Y=")</f>
        <v>#REF!</v>
      </c>
      <c r="DP404" t="e">
        <f>AND(#REF!,"AAAAAAP9z3c=")</f>
        <v>#REF!</v>
      </c>
      <c r="DQ404" t="e">
        <f>AND(#REF!,"AAAAAAP9z3g=")</f>
        <v>#REF!</v>
      </c>
      <c r="DR404" t="e">
        <f>AND(#REF!,"AAAAAAP9z3k=")</f>
        <v>#REF!</v>
      </c>
      <c r="DS404" t="e">
        <f>AND(#REF!,"AAAAAAP9z3o=")</f>
        <v>#REF!</v>
      </c>
      <c r="DT404" t="e">
        <f>AND(#REF!,"AAAAAAP9z3s=")</f>
        <v>#REF!</v>
      </c>
      <c r="DU404" t="e">
        <f>AND(#REF!,"AAAAAAP9z3w=")</f>
        <v>#REF!</v>
      </c>
      <c r="DV404" t="e">
        <f>IF(#REF!,"AAAAAAP9z30=",0)</f>
        <v>#REF!</v>
      </c>
      <c r="DW404" t="e">
        <f>AND(#REF!,"AAAAAAP9z34=")</f>
        <v>#REF!</v>
      </c>
      <c r="DX404" t="e">
        <f>AND(#REF!,"AAAAAAP9z38=")</f>
        <v>#REF!</v>
      </c>
      <c r="DY404" t="e">
        <f>AND(#REF!,"AAAAAAP9z4A=")</f>
        <v>#REF!</v>
      </c>
      <c r="DZ404" t="e">
        <f>AND(#REF!,"AAAAAAP9z4E=")</f>
        <v>#REF!</v>
      </c>
      <c r="EA404" t="e">
        <f>AND(#REF!,"AAAAAAP9z4I=")</f>
        <v>#REF!</v>
      </c>
      <c r="EB404" t="e">
        <f>AND(#REF!,"AAAAAAP9z4M=")</f>
        <v>#REF!</v>
      </c>
      <c r="EC404" t="e">
        <f>AND(#REF!,"AAAAAAP9z4Q=")</f>
        <v>#REF!</v>
      </c>
      <c r="ED404" t="e">
        <f>AND(#REF!,"AAAAAAP9z4U=")</f>
        <v>#REF!</v>
      </c>
      <c r="EE404" t="e">
        <f>AND(#REF!,"AAAAAAP9z4Y=")</f>
        <v>#REF!</v>
      </c>
      <c r="EF404" t="e">
        <f>AND(#REF!,"AAAAAAP9z4c=")</f>
        <v>#REF!</v>
      </c>
      <c r="EG404" t="e">
        <f>IF(#REF!,"AAAAAAP9z4g=",0)</f>
        <v>#REF!</v>
      </c>
      <c r="EH404" t="e">
        <f>AND(#REF!,"AAAAAAP9z4k=")</f>
        <v>#REF!</v>
      </c>
      <c r="EI404" t="e">
        <f>AND(#REF!,"AAAAAAP9z4o=")</f>
        <v>#REF!</v>
      </c>
      <c r="EJ404" t="e">
        <f>AND(#REF!,"AAAAAAP9z4s=")</f>
        <v>#REF!</v>
      </c>
      <c r="EK404" t="e">
        <f>AND(#REF!,"AAAAAAP9z4w=")</f>
        <v>#REF!</v>
      </c>
      <c r="EL404" t="e">
        <f>AND(#REF!,"AAAAAAP9z40=")</f>
        <v>#REF!</v>
      </c>
      <c r="EM404" t="e">
        <f>AND(#REF!,"AAAAAAP9z44=")</f>
        <v>#REF!</v>
      </c>
      <c r="EN404" t="e">
        <f>AND(#REF!,"AAAAAAP9z48=")</f>
        <v>#REF!</v>
      </c>
      <c r="EO404" t="e">
        <f>AND(#REF!,"AAAAAAP9z5A=")</f>
        <v>#REF!</v>
      </c>
      <c r="EP404" t="e">
        <f>AND(#REF!,"AAAAAAP9z5E=")</f>
        <v>#REF!</v>
      </c>
      <c r="EQ404" t="e">
        <f>AND(#REF!,"AAAAAAP9z5I=")</f>
        <v>#REF!</v>
      </c>
      <c r="ER404" t="e">
        <f>IF(#REF!,"AAAAAAP9z5M=",0)</f>
        <v>#REF!</v>
      </c>
      <c r="ES404" t="e">
        <f>AND(#REF!,"AAAAAAP9z5Q=")</f>
        <v>#REF!</v>
      </c>
      <c r="ET404" t="e">
        <f>AND(#REF!,"AAAAAAP9z5U=")</f>
        <v>#REF!</v>
      </c>
      <c r="EU404" t="e">
        <f>AND(#REF!,"AAAAAAP9z5Y=")</f>
        <v>#REF!</v>
      </c>
      <c r="EV404" t="e">
        <f>AND(#REF!,"AAAAAAP9z5c=")</f>
        <v>#REF!</v>
      </c>
      <c r="EW404" t="e">
        <f>AND(#REF!,"AAAAAAP9z5g=")</f>
        <v>#REF!</v>
      </c>
      <c r="EX404" t="e">
        <f>AND(#REF!,"AAAAAAP9z5k=")</f>
        <v>#REF!</v>
      </c>
      <c r="EY404" t="e">
        <f>AND(#REF!,"AAAAAAP9z5o=")</f>
        <v>#REF!</v>
      </c>
      <c r="EZ404" t="e">
        <f>AND(#REF!,"AAAAAAP9z5s=")</f>
        <v>#REF!</v>
      </c>
      <c r="FA404" t="e">
        <f>AND(#REF!,"AAAAAAP9z5w=")</f>
        <v>#REF!</v>
      </c>
      <c r="FB404" t="e">
        <f>AND(#REF!,"AAAAAAP9z50=")</f>
        <v>#REF!</v>
      </c>
      <c r="FC404" t="e">
        <f>IF(#REF!,"AAAAAAP9z54=",0)</f>
        <v>#REF!</v>
      </c>
      <c r="FD404" t="e">
        <f>AND(#REF!,"AAAAAAP9z58=")</f>
        <v>#REF!</v>
      </c>
      <c r="FE404" t="e">
        <f>AND(#REF!,"AAAAAAP9z6A=")</f>
        <v>#REF!</v>
      </c>
      <c r="FF404" t="e">
        <f>AND(#REF!,"AAAAAAP9z6E=")</f>
        <v>#REF!</v>
      </c>
      <c r="FG404" t="e">
        <f>AND(#REF!,"AAAAAAP9z6I=")</f>
        <v>#REF!</v>
      </c>
      <c r="FH404" t="e">
        <f>AND(#REF!,"AAAAAAP9z6M=")</f>
        <v>#REF!</v>
      </c>
      <c r="FI404" t="e">
        <f>AND(#REF!,"AAAAAAP9z6Q=")</f>
        <v>#REF!</v>
      </c>
      <c r="FJ404" t="e">
        <f>AND(#REF!,"AAAAAAP9z6U=")</f>
        <v>#REF!</v>
      </c>
      <c r="FK404" t="e">
        <f>AND(#REF!,"AAAAAAP9z6Y=")</f>
        <v>#REF!</v>
      </c>
      <c r="FL404" t="e">
        <f>AND(#REF!,"AAAAAAP9z6c=")</f>
        <v>#REF!</v>
      </c>
      <c r="FM404" t="e">
        <f>AND(#REF!,"AAAAAAP9z6g=")</f>
        <v>#REF!</v>
      </c>
      <c r="FN404" t="e">
        <f>IF(#REF!,"AAAAAAP9z6k=",0)</f>
        <v>#REF!</v>
      </c>
      <c r="FO404" t="e">
        <f>AND(#REF!,"AAAAAAP9z6o=")</f>
        <v>#REF!</v>
      </c>
      <c r="FP404" t="e">
        <f>AND(#REF!,"AAAAAAP9z6s=")</f>
        <v>#REF!</v>
      </c>
      <c r="FQ404" t="e">
        <f>AND(#REF!,"AAAAAAP9z6w=")</f>
        <v>#REF!</v>
      </c>
      <c r="FR404" t="e">
        <f>AND(#REF!,"AAAAAAP9z60=")</f>
        <v>#REF!</v>
      </c>
      <c r="FS404" t="e">
        <f>AND(#REF!,"AAAAAAP9z64=")</f>
        <v>#REF!</v>
      </c>
      <c r="FT404" t="e">
        <f>AND(#REF!,"AAAAAAP9z68=")</f>
        <v>#REF!</v>
      </c>
      <c r="FU404" t="e">
        <f>AND(#REF!,"AAAAAAP9z7A=")</f>
        <v>#REF!</v>
      </c>
      <c r="FV404" t="e">
        <f>AND(#REF!,"AAAAAAP9z7E=")</f>
        <v>#REF!</v>
      </c>
      <c r="FW404" t="e">
        <f>AND(#REF!,"AAAAAAP9z7I=")</f>
        <v>#REF!</v>
      </c>
      <c r="FX404" t="e">
        <f>AND(#REF!,"AAAAAAP9z7M=")</f>
        <v>#REF!</v>
      </c>
      <c r="FY404" t="e">
        <f>IF(#REF!,"AAAAAAP9z7Q=",0)</f>
        <v>#REF!</v>
      </c>
      <c r="FZ404" t="e">
        <f>AND(#REF!,"AAAAAAP9z7U=")</f>
        <v>#REF!</v>
      </c>
      <c r="GA404" t="e">
        <f>AND(#REF!,"AAAAAAP9z7Y=")</f>
        <v>#REF!</v>
      </c>
      <c r="GB404" t="e">
        <f>AND(#REF!,"AAAAAAP9z7c=")</f>
        <v>#REF!</v>
      </c>
      <c r="GC404" t="e">
        <f>AND(#REF!,"AAAAAAP9z7g=")</f>
        <v>#REF!</v>
      </c>
      <c r="GD404" t="e">
        <f>AND(#REF!,"AAAAAAP9z7k=")</f>
        <v>#REF!</v>
      </c>
      <c r="GE404" t="e">
        <f>AND(#REF!,"AAAAAAP9z7o=")</f>
        <v>#REF!</v>
      </c>
      <c r="GF404" t="e">
        <f>AND(#REF!,"AAAAAAP9z7s=")</f>
        <v>#REF!</v>
      </c>
      <c r="GG404" t="e">
        <f>AND(#REF!,"AAAAAAP9z7w=")</f>
        <v>#REF!</v>
      </c>
      <c r="GH404" t="e">
        <f>AND(#REF!,"AAAAAAP9z70=")</f>
        <v>#REF!</v>
      </c>
      <c r="GI404" t="e">
        <f>AND(#REF!,"AAAAAAP9z74=")</f>
        <v>#REF!</v>
      </c>
      <c r="GJ404" t="e">
        <f>IF(#REF!,"AAAAAAP9z78=",0)</f>
        <v>#REF!</v>
      </c>
      <c r="GK404" t="e">
        <f>AND(#REF!,"AAAAAAP9z8A=")</f>
        <v>#REF!</v>
      </c>
      <c r="GL404" t="e">
        <f>AND(#REF!,"AAAAAAP9z8E=")</f>
        <v>#REF!</v>
      </c>
      <c r="GM404" t="e">
        <f>AND(#REF!,"AAAAAAP9z8I=")</f>
        <v>#REF!</v>
      </c>
      <c r="GN404" t="e">
        <f>AND(#REF!,"AAAAAAP9z8M=")</f>
        <v>#REF!</v>
      </c>
      <c r="GO404" t="e">
        <f>AND(#REF!,"AAAAAAP9z8Q=")</f>
        <v>#REF!</v>
      </c>
      <c r="GP404" t="e">
        <f>AND(#REF!,"AAAAAAP9z8U=")</f>
        <v>#REF!</v>
      </c>
      <c r="GQ404" t="e">
        <f>AND(#REF!,"AAAAAAP9z8Y=")</f>
        <v>#REF!</v>
      </c>
      <c r="GR404" t="e">
        <f>AND(#REF!,"AAAAAAP9z8c=")</f>
        <v>#REF!</v>
      </c>
      <c r="GS404" t="e">
        <f>AND(#REF!,"AAAAAAP9z8g=")</f>
        <v>#REF!</v>
      </c>
      <c r="GT404" t="e">
        <f>AND(#REF!,"AAAAAAP9z8k=")</f>
        <v>#REF!</v>
      </c>
      <c r="GU404" t="e">
        <f>IF(#REF!,"AAAAAAP9z8o=",0)</f>
        <v>#REF!</v>
      </c>
      <c r="GV404" t="e">
        <f>AND(#REF!,"AAAAAAP9z8s=")</f>
        <v>#REF!</v>
      </c>
      <c r="GW404" t="e">
        <f>AND(#REF!,"AAAAAAP9z8w=")</f>
        <v>#REF!</v>
      </c>
      <c r="GX404" t="e">
        <f>AND(#REF!,"AAAAAAP9z80=")</f>
        <v>#REF!</v>
      </c>
      <c r="GY404" t="e">
        <f>AND(#REF!,"AAAAAAP9z84=")</f>
        <v>#REF!</v>
      </c>
      <c r="GZ404" t="e">
        <f>AND(#REF!,"AAAAAAP9z88=")</f>
        <v>#REF!</v>
      </c>
      <c r="HA404" t="e">
        <f>AND(#REF!,"AAAAAAP9z9A=")</f>
        <v>#REF!</v>
      </c>
      <c r="HB404" t="e">
        <f>AND(#REF!,"AAAAAAP9z9E=")</f>
        <v>#REF!</v>
      </c>
      <c r="HC404" t="e">
        <f>AND(#REF!,"AAAAAAP9z9I=")</f>
        <v>#REF!</v>
      </c>
      <c r="HD404" t="e">
        <f>AND(#REF!,"AAAAAAP9z9M=")</f>
        <v>#REF!</v>
      </c>
      <c r="HE404" t="e">
        <f>AND(#REF!,"AAAAAAP9z9Q=")</f>
        <v>#REF!</v>
      </c>
      <c r="HF404" t="e">
        <f>IF(#REF!,"AAAAAAP9z9U=",0)</f>
        <v>#REF!</v>
      </c>
      <c r="HG404" t="e">
        <f>AND(#REF!,"AAAAAAP9z9Y=")</f>
        <v>#REF!</v>
      </c>
      <c r="HH404" t="e">
        <f>AND(#REF!,"AAAAAAP9z9c=")</f>
        <v>#REF!</v>
      </c>
      <c r="HI404" t="e">
        <f>AND(#REF!,"AAAAAAP9z9g=")</f>
        <v>#REF!</v>
      </c>
      <c r="HJ404" t="e">
        <f>AND(#REF!,"AAAAAAP9z9k=")</f>
        <v>#REF!</v>
      </c>
      <c r="HK404" t="e">
        <f>AND(#REF!,"AAAAAAP9z9o=")</f>
        <v>#REF!</v>
      </c>
      <c r="HL404" t="e">
        <f>AND(#REF!,"AAAAAAP9z9s=")</f>
        <v>#REF!</v>
      </c>
      <c r="HM404" t="e">
        <f>AND(#REF!,"AAAAAAP9z9w=")</f>
        <v>#REF!</v>
      </c>
      <c r="HN404" t="e">
        <f>AND(#REF!,"AAAAAAP9z90=")</f>
        <v>#REF!</v>
      </c>
      <c r="HO404" t="e">
        <f>AND(#REF!,"AAAAAAP9z94=")</f>
        <v>#REF!</v>
      </c>
      <c r="HP404" t="e">
        <f>AND(#REF!,"AAAAAAP9z98=")</f>
        <v>#REF!</v>
      </c>
      <c r="HQ404" t="e">
        <f>IF(#REF!,"AAAAAAP9z+A=",0)</f>
        <v>#REF!</v>
      </c>
      <c r="HR404" t="e">
        <f>AND(#REF!,"AAAAAAP9z+E=")</f>
        <v>#REF!</v>
      </c>
      <c r="HS404" t="e">
        <f>AND(#REF!,"AAAAAAP9z+I=")</f>
        <v>#REF!</v>
      </c>
      <c r="HT404" t="e">
        <f>AND(#REF!,"AAAAAAP9z+M=")</f>
        <v>#REF!</v>
      </c>
      <c r="HU404" t="e">
        <f>AND(#REF!,"AAAAAAP9z+Q=")</f>
        <v>#REF!</v>
      </c>
      <c r="HV404" t="e">
        <f>AND(#REF!,"AAAAAAP9z+U=")</f>
        <v>#REF!</v>
      </c>
      <c r="HW404" t="e">
        <f>AND(#REF!,"AAAAAAP9z+Y=")</f>
        <v>#REF!</v>
      </c>
      <c r="HX404" t="e">
        <f>AND(#REF!,"AAAAAAP9z+c=")</f>
        <v>#REF!</v>
      </c>
      <c r="HY404" t="e">
        <f>AND(#REF!,"AAAAAAP9z+g=")</f>
        <v>#REF!</v>
      </c>
      <c r="HZ404" t="e">
        <f>AND(#REF!,"AAAAAAP9z+k=")</f>
        <v>#REF!</v>
      </c>
      <c r="IA404" t="e">
        <f>AND(#REF!,"AAAAAAP9z+o=")</f>
        <v>#REF!</v>
      </c>
      <c r="IB404" t="e">
        <f>IF(#REF!,"AAAAAAP9z+s=",0)</f>
        <v>#REF!</v>
      </c>
      <c r="IC404" t="e">
        <f>AND(#REF!,"AAAAAAP9z+w=")</f>
        <v>#REF!</v>
      </c>
      <c r="ID404" t="e">
        <f>AND(#REF!,"AAAAAAP9z+0=")</f>
        <v>#REF!</v>
      </c>
      <c r="IE404" t="e">
        <f>AND(#REF!,"AAAAAAP9z+4=")</f>
        <v>#REF!</v>
      </c>
      <c r="IF404" t="e">
        <f>AND(#REF!,"AAAAAAP9z+8=")</f>
        <v>#REF!</v>
      </c>
      <c r="IG404" t="e">
        <f>AND(#REF!,"AAAAAAP9z/A=")</f>
        <v>#REF!</v>
      </c>
      <c r="IH404" t="e">
        <f>AND(#REF!,"AAAAAAP9z/E=")</f>
        <v>#REF!</v>
      </c>
      <c r="II404" t="e">
        <f>AND(#REF!,"AAAAAAP9z/I=")</f>
        <v>#REF!</v>
      </c>
      <c r="IJ404" t="e">
        <f>AND(#REF!,"AAAAAAP9z/M=")</f>
        <v>#REF!</v>
      </c>
      <c r="IK404" t="e">
        <f>AND(#REF!,"AAAAAAP9z/Q=")</f>
        <v>#REF!</v>
      </c>
      <c r="IL404" t="e">
        <f>AND(#REF!,"AAAAAAP9z/U=")</f>
        <v>#REF!</v>
      </c>
      <c r="IM404" t="e">
        <f>IF(#REF!,"AAAAAAP9z/Y=",0)</f>
        <v>#REF!</v>
      </c>
      <c r="IN404" t="e">
        <f>AND(#REF!,"AAAAAAP9z/c=")</f>
        <v>#REF!</v>
      </c>
      <c r="IO404" t="e">
        <f>AND(#REF!,"AAAAAAP9z/g=")</f>
        <v>#REF!</v>
      </c>
      <c r="IP404" t="e">
        <f>AND(#REF!,"AAAAAAP9z/k=")</f>
        <v>#REF!</v>
      </c>
      <c r="IQ404" t="e">
        <f>AND(#REF!,"AAAAAAP9z/o=")</f>
        <v>#REF!</v>
      </c>
      <c r="IR404" t="e">
        <f>AND(#REF!,"AAAAAAP9z/s=")</f>
        <v>#REF!</v>
      </c>
      <c r="IS404" t="e">
        <f>AND(#REF!,"AAAAAAP9z/w=")</f>
        <v>#REF!</v>
      </c>
      <c r="IT404" t="e">
        <f>AND(#REF!,"AAAAAAP9z/0=")</f>
        <v>#REF!</v>
      </c>
      <c r="IU404" t="e">
        <f>AND(#REF!,"AAAAAAP9z/4=")</f>
        <v>#REF!</v>
      </c>
      <c r="IV404" t="e">
        <f>AND(#REF!,"AAAAAAP9z/8=")</f>
        <v>#REF!</v>
      </c>
    </row>
    <row r="405" spans="1:256" x14ac:dyDescent="0.25">
      <c r="A405" t="e">
        <f>AND(#REF!,"AAAAAFN67gA=")</f>
        <v>#REF!</v>
      </c>
      <c r="B405" t="e">
        <f>IF(#REF!,"AAAAAFN67gE=",0)</f>
        <v>#REF!</v>
      </c>
      <c r="C405" t="e">
        <f>AND(#REF!,"AAAAAFN67gI=")</f>
        <v>#REF!</v>
      </c>
      <c r="D405" t="e">
        <f>AND(#REF!,"AAAAAFN67gM=")</f>
        <v>#REF!</v>
      </c>
      <c r="E405" t="e">
        <f>AND(#REF!,"AAAAAFN67gQ=")</f>
        <v>#REF!</v>
      </c>
      <c r="F405" t="e">
        <f>AND(#REF!,"AAAAAFN67gU=")</f>
        <v>#REF!</v>
      </c>
      <c r="G405" t="e">
        <f>AND(#REF!,"AAAAAFN67gY=")</f>
        <v>#REF!</v>
      </c>
      <c r="H405" t="e">
        <f>AND(#REF!,"AAAAAFN67gc=")</f>
        <v>#REF!</v>
      </c>
      <c r="I405" t="e">
        <f>AND(#REF!,"AAAAAFN67gg=")</f>
        <v>#REF!</v>
      </c>
      <c r="J405" t="e">
        <f>AND(#REF!,"AAAAAFN67gk=")</f>
        <v>#REF!</v>
      </c>
      <c r="K405" t="e">
        <f>AND(#REF!,"AAAAAFN67go=")</f>
        <v>#REF!</v>
      </c>
      <c r="L405" t="e">
        <f>AND(#REF!,"AAAAAFN67gs=")</f>
        <v>#REF!</v>
      </c>
      <c r="M405" t="e">
        <f>IF(#REF!,"AAAAAFN67gw=",0)</f>
        <v>#REF!</v>
      </c>
      <c r="N405" t="e">
        <f>AND(#REF!,"AAAAAFN67g0=")</f>
        <v>#REF!</v>
      </c>
      <c r="O405" t="e">
        <f>AND(#REF!,"AAAAAFN67g4=")</f>
        <v>#REF!</v>
      </c>
      <c r="P405" t="e">
        <f>AND(#REF!,"AAAAAFN67g8=")</f>
        <v>#REF!</v>
      </c>
      <c r="Q405" t="e">
        <f>AND(#REF!,"AAAAAFN67hA=")</f>
        <v>#REF!</v>
      </c>
      <c r="R405" t="e">
        <f>AND(#REF!,"AAAAAFN67hE=")</f>
        <v>#REF!</v>
      </c>
      <c r="S405" t="e">
        <f>AND(#REF!,"AAAAAFN67hI=")</f>
        <v>#REF!</v>
      </c>
      <c r="T405" t="e">
        <f>AND(#REF!,"AAAAAFN67hM=")</f>
        <v>#REF!</v>
      </c>
      <c r="U405" t="e">
        <f>AND(#REF!,"AAAAAFN67hQ=")</f>
        <v>#REF!</v>
      </c>
      <c r="V405" t="e">
        <f>AND(#REF!,"AAAAAFN67hU=")</f>
        <v>#REF!</v>
      </c>
      <c r="W405" t="e">
        <f>AND(#REF!,"AAAAAFN67hY=")</f>
        <v>#REF!</v>
      </c>
      <c r="X405" t="e">
        <f>IF(#REF!,"AAAAAFN67hc=",0)</f>
        <v>#REF!</v>
      </c>
      <c r="Y405" t="e">
        <f>AND(#REF!,"AAAAAFN67hg=")</f>
        <v>#REF!</v>
      </c>
      <c r="Z405" t="e">
        <f>AND(#REF!,"AAAAAFN67hk=")</f>
        <v>#REF!</v>
      </c>
      <c r="AA405" t="e">
        <f>AND(#REF!,"AAAAAFN67ho=")</f>
        <v>#REF!</v>
      </c>
      <c r="AB405" t="e">
        <f>AND(#REF!,"AAAAAFN67hs=")</f>
        <v>#REF!</v>
      </c>
      <c r="AC405" t="e">
        <f>AND(#REF!,"AAAAAFN67hw=")</f>
        <v>#REF!</v>
      </c>
      <c r="AD405" t="e">
        <f>AND(#REF!,"AAAAAFN67h0=")</f>
        <v>#REF!</v>
      </c>
      <c r="AE405" t="e">
        <f>AND(#REF!,"AAAAAFN67h4=")</f>
        <v>#REF!</v>
      </c>
      <c r="AF405" t="e">
        <f>AND(#REF!,"AAAAAFN67h8=")</f>
        <v>#REF!</v>
      </c>
      <c r="AG405" t="e">
        <f>AND(#REF!,"AAAAAFN67iA=")</f>
        <v>#REF!</v>
      </c>
      <c r="AH405" t="e">
        <f>AND(#REF!,"AAAAAFN67iE=")</f>
        <v>#REF!</v>
      </c>
      <c r="AI405" t="e">
        <f>IF(#REF!,"AAAAAFN67iI=",0)</f>
        <v>#REF!</v>
      </c>
      <c r="AJ405" t="e">
        <f>AND(#REF!,"AAAAAFN67iM=")</f>
        <v>#REF!</v>
      </c>
      <c r="AK405" t="e">
        <f>AND(#REF!,"AAAAAFN67iQ=")</f>
        <v>#REF!</v>
      </c>
      <c r="AL405" t="e">
        <f>AND(#REF!,"AAAAAFN67iU=")</f>
        <v>#REF!</v>
      </c>
      <c r="AM405" t="e">
        <f>AND(#REF!,"AAAAAFN67iY=")</f>
        <v>#REF!</v>
      </c>
      <c r="AN405" t="e">
        <f>AND(#REF!,"AAAAAFN67ic=")</f>
        <v>#REF!</v>
      </c>
      <c r="AO405" t="e">
        <f>AND(#REF!,"AAAAAFN67ig=")</f>
        <v>#REF!</v>
      </c>
      <c r="AP405" t="e">
        <f>AND(#REF!,"AAAAAFN67ik=")</f>
        <v>#REF!</v>
      </c>
      <c r="AQ405" t="e">
        <f>AND(#REF!,"AAAAAFN67io=")</f>
        <v>#REF!</v>
      </c>
      <c r="AR405" t="e">
        <f>AND(#REF!,"AAAAAFN67is=")</f>
        <v>#REF!</v>
      </c>
      <c r="AS405" t="e">
        <f>AND(#REF!,"AAAAAFN67iw=")</f>
        <v>#REF!</v>
      </c>
      <c r="AT405" t="e">
        <f>IF(#REF!,"AAAAAFN67i0=",0)</f>
        <v>#REF!</v>
      </c>
      <c r="AU405" t="e">
        <f>AND(#REF!,"AAAAAFN67i4=")</f>
        <v>#REF!</v>
      </c>
      <c r="AV405" t="e">
        <f>AND(#REF!,"AAAAAFN67i8=")</f>
        <v>#REF!</v>
      </c>
      <c r="AW405" t="e">
        <f>AND(#REF!,"AAAAAFN67jA=")</f>
        <v>#REF!</v>
      </c>
      <c r="AX405" t="e">
        <f>AND(#REF!,"AAAAAFN67jE=")</f>
        <v>#REF!</v>
      </c>
      <c r="AY405" t="e">
        <f>AND(#REF!,"AAAAAFN67jI=")</f>
        <v>#REF!</v>
      </c>
      <c r="AZ405" t="e">
        <f>AND(#REF!,"AAAAAFN67jM=")</f>
        <v>#REF!</v>
      </c>
      <c r="BA405" t="e">
        <f>AND(#REF!,"AAAAAFN67jQ=")</f>
        <v>#REF!</v>
      </c>
      <c r="BB405" t="e">
        <f>AND(#REF!,"AAAAAFN67jU=")</f>
        <v>#REF!</v>
      </c>
      <c r="BC405" t="e">
        <f>AND(#REF!,"AAAAAFN67jY=")</f>
        <v>#REF!</v>
      </c>
      <c r="BD405" t="e">
        <f>AND(#REF!,"AAAAAFN67jc=")</f>
        <v>#REF!</v>
      </c>
      <c r="BE405" t="e">
        <f>IF(#REF!,"AAAAAFN67jg=",0)</f>
        <v>#REF!</v>
      </c>
      <c r="BF405" t="e">
        <f>AND(#REF!,"AAAAAFN67jk=")</f>
        <v>#REF!</v>
      </c>
      <c r="BG405" t="e">
        <f>AND(#REF!,"AAAAAFN67jo=")</f>
        <v>#REF!</v>
      </c>
      <c r="BH405" t="e">
        <f>AND(#REF!,"AAAAAFN67js=")</f>
        <v>#REF!</v>
      </c>
      <c r="BI405" t="e">
        <f>AND(#REF!,"AAAAAFN67jw=")</f>
        <v>#REF!</v>
      </c>
      <c r="BJ405" t="e">
        <f>AND(#REF!,"AAAAAFN67j0=")</f>
        <v>#REF!</v>
      </c>
      <c r="BK405" t="e">
        <f>AND(#REF!,"AAAAAFN67j4=")</f>
        <v>#REF!</v>
      </c>
      <c r="BL405" t="e">
        <f>AND(#REF!,"AAAAAFN67j8=")</f>
        <v>#REF!</v>
      </c>
      <c r="BM405" t="e">
        <f>AND(#REF!,"AAAAAFN67kA=")</f>
        <v>#REF!</v>
      </c>
      <c r="BN405" t="e">
        <f>AND(#REF!,"AAAAAFN67kE=")</f>
        <v>#REF!</v>
      </c>
      <c r="BO405" t="e">
        <f>AND(#REF!,"AAAAAFN67kI=")</f>
        <v>#REF!</v>
      </c>
      <c r="BP405" t="e">
        <f>IF(#REF!,"AAAAAFN67kM=",0)</f>
        <v>#REF!</v>
      </c>
      <c r="BQ405" t="e">
        <f>AND(#REF!,"AAAAAFN67kQ=")</f>
        <v>#REF!</v>
      </c>
      <c r="BR405" t="e">
        <f>AND(#REF!,"AAAAAFN67kU=")</f>
        <v>#REF!</v>
      </c>
      <c r="BS405" t="e">
        <f>AND(#REF!,"AAAAAFN67kY=")</f>
        <v>#REF!</v>
      </c>
      <c r="BT405" t="e">
        <f>AND(#REF!,"AAAAAFN67kc=")</f>
        <v>#REF!</v>
      </c>
      <c r="BU405" t="e">
        <f>AND(#REF!,"AAAAAFN67kg=")</f>
        <v>#REF!</v>
      </c>
      <c r="BV405" t="e">
        <f>AND(#REF!,"AAAAAFN67kk=")</f>
        <v>#REF!</v>
      </c>
      <c r="BW405" t="e">
        <f>AND(#REF!,"AAAAAFN67ko=")</f>
        <v>#REF!</v>
      </c>
      <c r="BX405" t="e">
        <f>AND(#REF!,"AAAAAFN67ks=")</f>
        <v>#REF!</v>
      </c>
      <c r="BY405" t="e">
        <f>AND(#REF!,"AAAAAFN67kw=")</f>
        <v>#REF!</v>
      </c>
      <c r="BZ405" t="e">
        <f>AND(#REF!,"AAAAAFN67k0=")</f>
        <v>#REF!</v>
      </c>
      <c r="CA405" t="e">
        <f>IF(#REF!,"AAAAAFN67k4=",0)</f>
        <v>#REF!</v>
      </c>
      <c r="CB405" t="e">
        <f>AND(#REF!,"AAAAAFN67k8=")</f>
        <v>#REF!</v>
      </c>
      <c r="CC405" t="e">
        <f>AND(#REF!,"AAAAAFN67lA=")</f>
        <v>#REF!</v>
      </c>
      <c r="CD405" t="e">
        <f>AND(#REF!,"AAAAAFN67lE=")</f>
        <v>#REF!</v>
      </c>
      <c r="CE405" t="e">
        <f>AND(#REF!,"AAAAAFN67lI=")</f>
        <v>#REF!</v>
      </c>
      <c r="CF405" t="e">
        <f>AND(#REF!,"AAAAAFN67lM=")</f>
        <v>#REF!</v>
      </c>
      <c r="CG405" t="e">
        <f>AND(#REF!,"AAAAAFN67lQ=")</f>
        <v>#REF!</v>
      </c>
      <c r="CH405" t="e">
        <f>AND(#REF!,"AAAAAFN67lU=")</f>
        <v>#REF!</v>
      </c>
      <c r="CI405" t="e">
        <f>AND(#REF!,"AAAAAFN67lY=")</f>
        <v>#REF!</v>
      </c>
      <c r="CJ405" t="e">
        <f>AND(#REF!,"AAAAAFN67lc=")</f>
        <v>#REF!</v>
      </c>
      <c r="CK405" t="e">
        <f>AND(#REF!,"AAAAAFN67lg=")</f>
        <v>#REF!</v>
      </c>
      <c r="CL405" t="e">
        <f>IF(#REF!,"AAAAAFN67lk=",0)</f>
        <v>#REF!</v>
      </c>
      <c r="CM405" t="e">
        <f>AND(#REF!,"AAAAAFN67lo=")</f>
        <v>#REF!</v>
      </c>
      <c r="CN405" t="e">
        <f>AND(#REF!,"AAAAAFN67ls=")</f>
        <v>#REF!</v>
      </c>
      <c r="CO405" t="e">
        <f>AND(#REF!,"AAAAAFN67lw=")</f>
        <v>#REF!</v>
      </c>
      <c r="CP405" t="e">
        <f>AND(#REF!,"AAAAAFN67l0=")</f>
        <v>#REF!</v>
      </c>
      <c r="CQ405" t="e">
        <f>AND(#REF!,"AAAAAFN67l4=")</f>
        <v>#REF!</v>
      </c>
      <c r="CR405" t="e">
        <f>AND(#REF!,"AAAAAFN67l8=")</f>
        <v>#REF!</v>
      </c>
      <c r="CS405" t="e">
        <f>AND(#REF!,"AAAAAFN67mA=")</f>
        <v>#REF!</v>
      </c>
      <c r="CT405" t="e">
        <f>AND(#REF!,"AAAAAFN67mE=")</f>
        <v>#REF!</v>
      </c>
      <c r="CU405" t="e">
        <f>AND(#REF!,"AAAAAFN67mI=")</f>
        <v>#REF!</v>
      </c>
      <c r="CV405" t="e">
        <f>AND(#REF!,"AAAAAFN67mM=")</f>
        <v>#REF!</v>
      </c>
      <c r="CW405" t="e">
        <f>IF(#REF!,"AAAAAFN67mQ=",0)</f>
        <v>#REF!</v>
      </c>
      <c r="CX405" t="e">
        <f>AND(#REF!,"AAAAAFN67mU=")</f>
        <v>#REF!</v>
      </c>
      <c r="CY405" t="e">
        <f>AND(#REF!,"AAAAAFN67mY=")</f>
        <v>#REF!</v>
      </c>
      <c r="CZ405" t="e">
        <f>AND(#REF!,"AAAAAFN67mc=")</f>
        <v>#REF!</v>
      </c>
      <c r="DA405" t="e">
        <f>AND(#REF!,"AAAAAFN67mg=")</f>
        <v>#REF!</v>
      </c>
      <c r="DB405" t="e">
        <f>AND(#REF!,"AAAAAFN67mk=")</f>
        <v>#REF!</v>
      </c>
      <c r="DC405" t="e">
        <f>AND(#REF!,"AAAAAFN67mo=")</f>
        <v>#REF!</v>
      </c>
      <c r="DD405" t="e">
        <f>AND(#REF!,"AAAAAFN67ms=")</f>
        <v>#REF!</v>
      </c>
      <c r="DE405" t="e">
        <f>AND(#REF!,"AAAAAFN67mw=")</f>
        <v>#REF!</v>
      </c>
      <c r="DF405" t="e">
        <f>AND(#REF!,"AAAAAFN67m0=")</f>
        <v>#REF!</v>
      </c>
      <c r="DG405" t="e">
        <f>AND(#REF!,"AAAAAFN67m4=")</f>
        <v>#REF!</v>
      </c>
      <c r="DH405" t="e">
        <f>IF(#REF!,"AAAAAFN67m8=",0)</f>
        <v>#REF!</v>
      </c>
      <c r="DI405" t="e">
        <f>AND(#REF!,"AAAAAFN67nA=")</f>
        <v>#REF!</v>
      </c>
      <c r="DJ405" t="e">
        <f>AND(#REF!,"AAAAAFN67nE=")</f>
        <v>#REF!</v>
      </c>
      <c r="DK405" t="e">
        <f>AND(#REF!,"AAAAAFN67nI=")</f>
        <v>#REF!</v>
      </c>
      <c r="DL405" t="e">
        <f>AND(#REF!,"AAAAAFN67nM=")</f>
        <v>#REF!</v>
      </c>
      <c r="DM405" t="e">
        <f>AND(#REF!,"AAAAAFN67nQ=")</f>
        <v>#REF!</v>
      </c>
      <c r="DN405" t="e">
        <f>AND(#REF!,"AAAAAFN67nU=")</f>
        <v>#REF!</v>
      </c>
      <c r="DO405" t="e">
        <f>AND(#REF!,"AAAAAFN67nY=")</f>
        <v>#REF!</v>
      </c>
      <c r="DP405" t="e">
        <f>AND(#REF!,"AAAAAFN67nc=")</f>
        <v>#REF!</v>
      </c>
      <c r="DQ405" t="e">
        <f>AND(#REF!,"AAAAAFN67ng=")</f>
        <v>#REF!</v>
      </c>
      <c r="DR405" t="e">
        <f>AND(#REF!,"AAAAAFN67nk=")</f>
        <v>#REF!</v>
      </c>
      <c r="DS405" t="e">
        <f>IF(#REF!,"AAAAAFN67no=",0)</f>
        <v>#REF!</v>
      </c>
      <c r="DT405" t="e">
        <f>AND(#REF!,"AAAAAFN67ns=")</f>
        <v>#REF!</v>
      </c>
      <c r="DU405" t="e">
        <f>AND(#REF!,"AAAAAFN67nw=")</f>
        <v>#REF!</v>
      </c>
      <c r="DV405" t="e">
        <f>AND(#REF!,"AAAAAFN67n0=")</f>
        <v>#REF!</v>
      </c>
      <c r="DW405" t="e">
        <f>AND(#REF!,"AAAAAFN67n4=")</f>
        <v>#REF!</v>
      </c>
      <c r="DX405" t="e">
        <f>AND(#REF!,"AAAAAFN67n8=")</f>
        <v>#REF!</v>
      </c>
      <c r="DY405" t="e">
        <f>AND(#REF!,"AAAAAFN67oA=")</f>
        <v>#REF!</v>
      </c>
      <c r="DZ405" t="e">
        <f>AND(#REF!,"AAAAAFN67oE=")</f>
        <v>#REF!</v>
      </c>
      <c r="EA405" t="e">
        <f>AND(#REF!,"AAAAAFN67oI=")</f>
        <v>#REF!</v>
      </c>
      <c r="EB405" t="e">
        <f>AND(#REF!,"AAAAAFN67oM=")</f>
        <v>#REF!</v>
      </c>
      <c r="EC405" t="e">
        <f>AND(#REF!,"AAAAAFN67oQ=")</f>
        <v>#REF!</v>
      </c>
      <c r="ED405" t="e">
        <f>IF(#REF!,"AAAAAFN67oU=",0)</f>
        <v>#REF!</v>
      </c>
      <c r="EE405" t="e">
        <f>AND(#REF!,"AAAAAFN67oY=")</f>
        <v>#REF!</v>
      </c>
      <c r="EF405" t="e">
        <f>AND(#REF!,"AAAAAFN67oc=")</f>
        <v>#REF!</v>
      </c>
      <c r="EG405" t="e">
        <f>AND(#REF!,"AAAAAFN67og=")</f>
        <v>#REF!</v>
      </c>
      <c r="EH405" t="e">
        <f>AND(#REF!,"AAAAAFN67ok=")</f>
        <v>#REF!</v>
      </c>
      <c r="EI405" t="e">
        <f>AND(#REF!,"AAAAAFN67oo=")</f>
        <v>#REF!</v>
      </c>
      <c r="EJ405" t="e">
        <f>AND(#REF!,"AAAAAFN67os=")</f>
        <v>#REF!</v>
      </c>
      <c r="EK405" t="e">
        <f>AND(#REF!,"AAAAAFN67ow=")</f>
        <v>#REF!</v>
      </c>
      <c r="EL405" t="e">
        <f>AND(#REF!,"AAAAAFN67o0=")</f>
        <v>#REF!</v>
      </c>
      <c r="EM405" t="e">
        <f>AND(#REF!,"AAAAAFN67o4=")</f>
        <v>#REF!</v>
      </c>
      <c r="EN405" t="e">
        <f>AND(#REF!,"AAAAAFN67o8=")</f>
        <v>#REF!</v>
      </c>
      <c r="EO405" t="e">
        <f>IF(#REF!,"AAAAAFN67pA=",0)</f>
        <v>#REF!</v>
      </c>
      <c r="EP405" t="e">
        <f>AND(#REF!,"AAAAAFN67pE=")</f>
        <v>#REF!</v>
      </c>
      <c r="EQ405" t="e">
        <f>AND(#REF!,"AAAAAFN67pI=")</f>
        <v>#REF!</v>
      </c>
      <c r="ER405" t="e">
        <f>AND(#REF!,"AAAAAFN67pM=")</f>
        <v>#REF!</v>
      </c>
      <c r="ES405" t="e">
        <f>AND(#REF!,"AAAAAFN67pQ=")</f>
        <v>#REF!</v>
      </c>
      <c r="ET405" t="e">
        <f>AND(#REF!,"AAAAAFN67pU=")</f>
        <v>#REF!</v>
      </c>
      <c r="EU405" t="e">
        <f>AND(#REF!,"AAAAAFN67pY=")</f>
        <v>#REF!</v>
      </c>
      <c r="EV405" t="e">
        <f>AND(#REF!,"AAAAAFN67pc=")</f>
        <v>#REF!</v>
      </c>
      <c r="EW405" t="e">
        <f>AND(#REF!,"AAAAAFN67pg=")</f>
        <v>#REF!</v>
      </c>
      <c r="EX405" t="e">
        <f>AND(#REF!,"AAAAAFN67pk=")</f>
        <v>#REF!</v>
      </c>
      <c r="EY405" t="e">
        <f>AND(#REF!,"AAAAAFN67po=")</f>
        <v>#REF!</v>
      </c>
      <c r="EZ405" t="e">
        <f>IF(#REF!,"AAAAAFN67ps=",0)</f>
        <v>#REF!</v>
      </c>
      <c r="FA405" t="e">
        <f>AND(#REF!,"AAAAAFN67pw=")</f>
        <v>#REF!</v>
      </c>
      <c r="FB405" t="e">
        <f>AND(#REF!,"AAAAAFN67p0=")</f>
        <v>#REF!</v>
      </c>
      <c r="FC405" t="e">
        <f>AND(#REF!,"AAAAAFN67p4=")</f>
        <v>#REF!</v>
      </c>
      <c r="FD405" t="e">
        <f>AND(#REF!,"AAAAAFN67p8=")</f>
        <v>#REF!</v>
      </c>
      <c r="FE405" t="e">
        <f>AND(#REF!,"AAAAAFN67qA=")</f>
        <v>#REF!</v>
      </c>
      <c r="FF405" t="e">
        <f>AND(#REF!,"AAAAAFN67qE=")</f>
        <v>#REF!</v>
      </c>
      <c r="FG405" t="e">
        <f>AND(#REF!,"AAAAAFN67qI=")</f>
        <v>#REF!</v>
      </c>
      <c r="FH405" t="e">
        <f>AND(#REF!,"AAAAAFN67qM=")</f>
        <v>#REF!</v>
      </c>
      <c r="FI405" t="e">
        <f>AND(#REF!,"AAAAAFN67qQ=")</f>
        <v>#REF!</v>
      </c>
      <c r="FJ405" t="e">
        <f>AND(#REF!,"AAAAAFN67qU=")</f>
        <v>#REF!</v>
      </c>
      <c r="FK405" t="e">
        <f>IF(#REF!,"AAAAAFN67qY=",0)</f>
        <v>#REF!</v>
      </c>
      <c r="FL405" t="e">
        <f>AND(#REF!,"AAAAAFN67qc=")</f>
        <v>#REF!</v>
      </c>
      <c r="FM405" t="e">
        <f>AND(#REF!,"AAAAAFN67qg=")</f>
        <v>#REF!</v>
      </c>
      <c r="FN405" t="e">
        <f>AND(#REF!,"AAAAAFN67qk=")</f>
        <v>#REF!</v>
      </c>
      <c r="FO405" t="e">
        <f>AND(#REF!,"AAAAAFN67qo=")</f>
        <v>#REF!</v>
      </c>
      <c r="FP405" t="e">
        <f>AND(#REF!,"AAAAAFN67qs=")</f>
        <v>#REF!</v>
      </c>
      <c r="FQ405" t="e">
        <f>AND(#REF!,"AAAAAFN67qw=")</f>
        <v>#REF!</v>
      </c>
      <c r="FR405" t="e">
        <f>AND(#REF!,"AAAAAFN67q0=")</f>
        <v>#REF!</v>
      </c>
      <c r="FS405" t="e">
        <f>AND(#REF!,"AAAAAFN67q4=")</f>
        <v>#REF!</v>
      </c>
      <c r="FT405" t="e">
        <f>AND(#REF!,"AAAAAFN67q8=")</f>
        <v>#REF!</v>
      </c>
      <c r="FU405" t="e">
        <f>AND(#REF!,"AAAAAFN67rA=")</f>
        <v>#REF!</v>
      </c>
      <c r="FV405" t="e">
        <f>IF(#REF!,"AAAAAFN67rE=",0)</f>
        <v>#REF!</v>
      </c>
      <c r="FW405" t="e">
        <f>AND(#REF!,"AAAAAFN67rI=")</f>
        <v>#REF!</v>
      </c>
      <c r="FX405" t="e">
        <f>AND(#REF!,"AAAAAFN67rM=")</f>
        <v>#REF!</v>
      </c>
      <c r="FY405" t="e">
        <f>AND(#REF!,"AAAAAFN67rQ=")</f>
        <v>#REF!</v>
      </c>
      <c r="FZ405" t="e">
        <f>AND(#REF!,"AAAAAFN67rU=")</f>
        <v>#REF!</v>
      </c>
      <c r="GA405" t="e">
        <f>AND(#REF!,"AAAAAFN67rY=")</f>
        <v>#REF!</v>
      </c>
      <c r="GB405" t="e">
        <f>AND(#REF!,"AAAAAFN67rc=")</f>
        <v>#REF!</v>
      </c>
      <c r="GC405" t="e">
        <f>AND(#REF!,"AAAAAFN67rg=")</f>
        <v>#REF!</v>
      </c>
      <c r="GD405" t="e">
        <f>AND(#REF!,"AAAAAFN67rk=")</f>
        <v>#REF!</v>
      </c>
      <c r="GE405" t="e">
        <f>AND(#REF!,"AAAAAFN67ro=")</f>
        <v>#REF!</v>
      </c>
      <c r="GF405" t="e">
        <f>AND(#REF!,"AAAAAFN67rs=")</f>
        <v>#REF!</v>
      </c>
      <c r="GG405" t="e">
        <f>IF(#REF!,"AAAAAFN67rw=",0)</f>
        <v>#REF!</v>
      </c>
      <c r="GH405" t="e">
        <f>AND(#REF!,"AAAAAFN67r0=")</f>
        <v>#REF!</v>
      </c>
      <c r="GI405" t="e">
        <f>AND(#REF!,"AAAAAFN67r4=")</f>
        <v>#REF!</v>
      </c>
      <c r="GJ405" t="e">
        <f>AND(#REF!,"AAAAAFN67r8=")</f>
        <v>#REF!</v>
      </c>
      <c r="GK405" t="e">
        <f>AND(#REF!,"AAAAAFN67sA=")</f>
        <v>#REF!</v>
      </c>
      <c r="GL405" t="e">
        <f>AND(#REF!,"AAAAAFN67sE=")</f>
        <v>#REF!</v>
      </c>
      <c r="GM405" t="e">
        <f>AND(#REF!,"AAAAAFN67sI=")</f>
        <v>#REF!</v>
      </c>
      <c r="GN405" t="e">
        <f>AND(#REF!,"AAAAAFN67sM=")</f>
        <v>#REF!</v>
      </c>
      <c r="GO405" t="e">
        <f>AND(#REF!,"AAAAAFN67sQ=")</f>
        <v>#REF!</v>
      </c>
      <c r="GP405" t="e">
        <f>AND(#REF!,"AAAAAFN67sU=")</f>
        <v>#REF!</v>
      </c>
      <c r="GQ405" t="e">
        <f>AND(#REF!,"AAAAAFN67sY=")</f>
        <v>#REF!</v>
      </c>
      <c r="GR405" t="e">
        <f>IF(#REF!,"AAAAAFN67sc=",0)</f>
        <v>#REF!</v>
      </c>
      <c r="GS405" t="e">
        <f>AND(#REF!,"AAAAAFN67sg=")</f>
        <v>#REF!</v>
      </c>
      <c r="GT405" t="e">
        <f>AND(#REF!,"AAAAAFN67sk=")</f>
        <v>#REF!</v>
      </c>
      <c r="GU405" t="e">
        <f>AND(#REF!,"AAAAAFN67so=")</f>
        <v>#REF!</v>
      </c>
      <c r="GV405" t="e">
        <f>AND(#REF!,"AAAAAFN67ss=")</f>
        <v>#REF!</v>
      </c>
      <c r="GW405" t="e">
        <f>AND(#REF!,"AAAAAFN67sw=")</f>
        <v>#REF!</v>
      </c>
      <c r="GX405" t="e">
        <f>AND(#REF!,"AAAAAFN67s0=")</f>
        <v>#REF!</v>
      </c>
      <c r="GY405" t="e">
        <f>AND(#REF!,"AAAAAFN67s4=")</f>
        <v>#REF!</v>
      </c>
      <c r="GZ405" t="e">
        <f>AND(#REF!,"AAAAAFN67s8=")</f>
        <v>#REF!</v>
      </c>
      <c r="HA405" t="e">
        <f>AND(#REF!,"AAAAAFN67tA=")</f>
        <v>#REF!</v>
      </c>
      <c r="HB405" t="e">
        <f>AND(#REF!,"AAAAAFN67tE=")</f>
        <v>#REF!</v>
      </c>
      <c r="HC405" t="e">
        <f>IF(#REF!,"AAAAAFN67tI=",0)</f>
        <v>#REF!</v>
      </c>
      <c r="HD405" t="e">
        <f>AND(#REF!,"AAAAAFN67tM=")</f>
        <v>#REF!</v>
      </c>
      <c r="HE405" t="e">
        <f>AND(#REF!,"AAAAAFN67tQ=")</f>
        <v>#REF!</v>
      </c>
      <c r="HF405" t="e">
        <f>AND(#REF!,"AAAAAFN67tU=")</f>
        <v>#REF!</v>
      </c>
      <c r="HG405" t="e">
        <f>AND(#REF!,"AAAAAFN67tY=")</f>
        <v>#REF!</v>
      </c>
      <c r="HH405" t="e">
        <f>AND(#REF!,"AAAAAFN67tc=")</f>
        <v>#REF!</v>
      </c>
      <c r="HI405" t="e">
        <f>AND(#REF!,"AAAAAFN67tg=")</f>
        <v>#REF!</v>
      </c>
      <c r="HJ405" t="e">
        <f>AND(#REF!,"AAAAAFN67tk=")</f>
        <v>#REF!</v>
      </c>
      <c r="HK405" t="e">
        <f>AND(#REF!,"AAAAAFN67to=")</f>
        <v>#REF!</v>
      </c>
      <c r="HL405" t="e">
        <f>AND(#REF!,"AAAAAFN67ts=")</f>
        <v>#REF!</v>
      </c>
      <c r="HM405" t="e">
        <f>AND(#REF!,"AAAAAFN67tw=")</f>
        <v>#REF!</v>
      </c>
      <c r="HN405" t="e">
        <f>IF(#REF!,"AAAAAFN67t0=",0)</f>
        <v>#REF!</v>
      </c>
      <c r="HO405" t="e">
        <f>AND(#REF!,"AAAAAFN67t4=")</f>
        <v>#REF!</v>
      </c>
      <c r="HP405" t="e">
        <f>AND(#REF!,"AAAAAFN67t8=")</f>
        <v>#REF!</v>
      </c>
      <c r="HQ405" t="e">
        <f>AND(#REF!,"AAAAAFN67uA=")</f>
        <v>#REF!</v>
      </c>
      <c r="HR405" t="e">
        <f>AND(#REF!,"AAAAAFN67uE=")</f>
        <v>#REF!</v>
      </c>
      <c r="HS405" t="e">
        <f>AND(#REF!,"AAAAAFN67uI=")</f>
        <v>#REF!</v>
      </c>
      <c r="HT405" t="e">
        <f>AND(#REF!,"AAAAAFN67uM=")</f>
        <v>#REF!</v>
      </c>
      <c r="HU405" t="e">
        <f>AND(#REF!,"AAAAAFN67uQ=")</f>
        <v>#REF!</v>
      </c>
      <c r="HV405" t="e">
        <f>AND(#REF!,"AAAAAFN67uU=")</f>
        <v>#REF!</v>
      </c>
      <c r="HW405" t="e">
        <f>AND(#REF!,"AAAAAFN67uY=")</f>
        <v>#REF!</v>
      </c>
      <c r="HX405" t="e">
        <f>AND(#REF!,"AAAAAFN67uc=")</f>
        <v>#REF!</v>
      </c>
      <c r="HY405" t="e">
        <f>IF(#REF!,"AAAAAFN67ug=",0)</f>
        <v>#REF!</v>
      </c>
      <c r="HZ405" t="e">
        <f>AND(#REF!,"AAAAAFN67uk=")</f>
        <v>#REF!</v>
      </c>
      <c r="IA405" t="e">
        <f>AND(#REF!,"AAAAAFN67uo=")</f>
        <v>#REF!</v>
      </c>
      <c r="IB405" t="e">
        <f>AND(#REF!,"AAAAAFN67us=")</f>
        <v>#REF!</v>
      </c>
      <c r="IC405" t="e">
        <f>AND(#REF!,"AAAAAFN67uw=")</f>
        <v>#REF!</v>
      </c>
      <c r="ID405" t="e">
        <f>AND(#REF!,"AAAAAFN67u0=")</f>
        <v>#REF!</v>
      </c>
      <c r="IE405" t="e">
        <f>AND(#REF!,"AAAAAFN67u4=")</f>
        <v>#REF!</v>
      </c>
      <c r="IF405" t="e">
        <f>AND(#REF!,"AAAAAFN67u8=")</f>
        <v>#REF!</v>
      </c>
      <c r="IG405" t="e">
        <f>AND(#REF!,"AAAAAFN67vA=")</f>
        <v>#REF!</v>
      </c>
      <c r="IH405" t="e">
        <f>AND(#REF!,"AAAAAFN67vE=")</f>
        <v>#REF!</v>
      </c>
      <c r="II405" t="e">
        <f>AND(#REF!,"AAAAAFN67vI=")</f>
        <v>#REF!</v>
      </c>
      <c r="IJ405" t="e">
        <f>IF(#REF!,"AAAAAFN67vM=",0)</f>
        <v>#REF!</v>
      </c>
      <c r="IK405" t="e">
        <f>AND(#REF!,"AAAAAFN67vQ=")</f>
        <v>#REF!</v>
      </c>
      <c r="IL405" t="e">
        <f>AND(#REF!,"AAAAAFN67vU=")</f>
        <v>#REF!</v>
      </c>
      <c r="IM405" t="e">
        <f>AND(#REF!,"AAAAAFN67vY=")</f>
        <v>#REF!</v>
      </c>
      <c r="IN405" t="e">
        <f>AND(#REF!,"AAAAAFN67vc=")</f>
        <v>#REF!</v>
      </c>
      <c r="IO405" t="e">
        <f>AND(#REF!,"AAAAAFN67vg=")</f>
        <v>#REF!</v>
      </c>
      <c r="IP405" t="e">
        <f>AND(#REF!,"AAAAAFN67vk=")</f>
        <v>#REF!</v>
      </c>
      <c r="IQ405" t="e">
        <f>AND(#REF!,"AAAAAFN67vo=")</f>
        <v>#REF!</v>
      </c>
      <c r="IR405" t="e">
        <f>AND(#REF!,"AAAAAFN67vs=")</f>
        <v>#REF!</v>
      </c>
      <c r="IS405" t="e">
        <f>AND(#REF!,"AAAAAFN67vw=")</f>
        <v>#REF!</v>
      </c>
      <c r="IT405" t="e">
        <f>AND(#REF!,"AAAAAFN67v0=")</f>
        <v>#REF!</v>
      </c>
      <c r="IU405" t="e">
        <f>IF(#REF!,"AAAAAFN67v4=",0)</f>
        <v>#REF!</v>
      </c>
      <c r="IV405" t="e">
        <f>AND(#REF!,"AAAAAFN67v8=")</f>
        <v>#REF!</v>
      </c>
    </row>
    <row r="406" spans="1:256" x14ac:dyDescent="0.25">
      <c r="A406" t="e">
        <f>AND(#REF!,"AAAAAD3l/gA=")</f>
        <v>#REF!</v>
      </c>
      <c r="B406" t="e">
        <f>AND(#REF!,"AAAAAD3l/gE=")</f>
        <v>#REF!</v>
      </c>
      <c r="C406" t="e">
        <f>AND(#REF!,"AAAAAD3l/gI=")</f>
        <v>#REF!</v>
      </c>
      <c r="D406" t="e">
        <f>AND(#REF!,"AAAAAD3l/gM=")</f>
        <v>#REF!</v>
      </c>
      <c r="E406" t="e">
        <f>AND(#REF!,"AAAAAD3l/gQ=")</f>
        <v>#REF!</v>
      </c>
      <c r="F406" t="e">
        <f>AND(#REF!,"AAAAAD3l/gU=")</f>
        <v>#REF!</v>
      </c>
      <c r="G406" t="e">
        <f>AND(#REF!,"AAAAAD3l/gY=")</f>
        <v>#REF!</v>
      </c>
      <c r="H406" t="e">
        <f>AND(#REF!,"AAAAAD3l/gc=")</f>
        <v>#REF!</v>
      </c>
      <c r="I406" t="e">
        <f>AND(#REF!,"AAAAAD3l/gg=")</f>
        <v>#REF!</v>
      </c>
      <c r="J406" t="e">
        <f>IF(#REF!,"AAAAAD3l/gk=",0)</f>
        <v>#REF!</v>
      </c>
      <c r="K406" t="e">
        <f>AND(#REF!,"AAAAAD3l/go=")</f>
        <v>#REF!</v>
      </c>
      <c r="L406" t="e">
        <f>AND(#REF!,"AAAAAD3l/gs=")</f>
        <v>#REF!</v>
      </c>
      <c r="M406" t="e">
        <f>AND(#REF!,"AAAAAD3l/gw=")</f>
        <v>#REF!</v>
      </c>
      <c r="N406" t="e">
        <f>AND(#REF!,"AAAAAD3l/g0=")</f>
        <v>#REF!</v>
      </c>
      <c r="O406" t="e">
        <f>AND(#REF!,"AAAAAD3l/g4=")</f>
        <v>#REF!</v>
      </c>
      <c r="P406" t="e">
        <f>AND(#REF!,"AAAAAD3l/g8=")</f>
        <v>#REF!</v>
      </c>
      <c r="Q406" t="e">
        <f>AND(#REF!,"AAAAAD3l/hA=")</f>
        <v>#REF!</v>
      </c>
      <c r="R406" t="e">
        <f>AND(#REF!,"AAAAAD3l/hE=")</f>
        <v>#REF!</v>
      </c>
      <c r="S406" t="e">
        <f>AND(#REF!,"AAAAAD3l/hI=")</f>
        <v>#REF!</v>
      </c>
      <c r="T406" t="e">
        <f>AND(#REF!,"AAAAAD3l/hM=")</f>
        <v>#REF!</v>
      </c>
      <c r="U406" t="e">
        <f>IF(#REF!,"AAAAAD3l/hQ=",0)</f>
        <v>#REF!</v>
      </c>
      <c r="V406" t="e">
        <f>AND(#REF!,"AAAAAD3l/hU=")</f>
        <v>#REF!</v>
      </c>
      <c r="W406" t="e">
        <f>AND(#REF!,"AAAAAD3l/hY=")</f>
        <v>#REF!</v>
      </c>
      <c r="X406" t="e">
        <f>AND(#REF!,"AAAAAD3l/hc=")</f>
        <v>#REF!</v>
      </c>
      <c r="Y406" t="e">
        <f>AND(#REF!,"AAAAAD3l/hg=")</f>
        <v>#REF!</v>
      </c>
      <c r="Z406" t="e">
        <f>AND(#REF!,"AAAAAD3l/hk=")</f>
        <v>#REF!</v>
      </c>
      <c r="AA406" t="e">
        <f>AND(#REF!,"AAAAAD3l/ho=")</f>
        <v>#REF!</v>
      </c>
      <c r="AB406" t="e">
        <f>AND(#REF!,"AAAAAD3l/hs=")</f>
        <v>#REF!</v>
      </c>
      <c r="AC406" t="e">
        <f>AND(#REF!,"AAAAAD3l/hw=")</f>
        <v>#REF!</v>
      </c>
      <c r="AD406" t="e">
        <f>AND(#REF!,"AAAAAD3l/h0=")</f>
        <v>#REF!</v>
      </c>
      <c r="AE406" t="e">
        <f>AND(#REF!,"AAAAAD3l/h4=")</f>
        <v>#REF!</v>
      </c>
      <c r="AF406" t="e">
        <f>IF(#REF!,"AAAAAD3l/h8=",0)</f>
        <v>#REF!</v>
      </c>
      <c r="AG406" t="e">
        <f>AND(#REF!,"AAAAAD3l/iA=")</f>
        <v>#REF!</v>
      </c>
      <c r="AH406" t="e">
        <f>AND(#REF!,"AAAAAD3l/iE=")</f>
        <v>#REF!</v>
      </c>
      <c r="AI406" t="e">
        <f>AND(#REF!,"AAAAAD3l/iI=")</f>
        <v>#REF!</v>
      </c>
      <c r="AJ406" t="e">
        <f>AND(#REF!,"AAAAAD3l/iM=")</f>
        <v>#REF!</v>
      </c>
      <c r="AK406" t="e">
        <f>AND(#REF!,"AAAAAD3l/iQ=")</f>
        <v>#REF!</v>
      </c>
      <c r="AL406" t="e">
        <f>AND(#REF!,"AAAAAD3l/iU=")</f>
        <v>#REF!</v>
      </c>
      <c r="AM406" t="e">
        <f>AND(#REF!,"AAAAAD3l/iY=")</f>
        <v>#REF!</v>
      </c>
      <c r="AN406" t="e">
        <f>AND(#REF!,"AAAAAD3l/ic=")</f>
        <v>#REF!</v>
      </c>
      <c r="AO406" t="e">
        <f>AND(#REF!,"AAAAAD3l/ig=")</f>
        <v>#REF!</v>
      </c>
      <c r="AP406" t="e">
        <f>AND(#REF!,"AAAAAD3l/ik=")</f>
        <v>#REF!</v>
      </c>
      <c r="AQ406" t="e">
        <f>IF(#REF!,"AAAAAD3l/io=",0)</f>
        <v>#REF!</v>
      </c>
      <c r="AR406" t="e">
        <f>AND(#REF!,"AAAAAD3l/is=")</f>
        <v>#REF!</v>
      </c>
      <c r="AS406" t="e">
        <f>AND(#REF!,"AAAAAD3l/iw=")</f>
        <v>#REF!</v>
      </c>
      <c r="AT406" t="e">
        <f>AND(#REF!,"AAAAAD3l/i0=")</f>
        <v>#REF!</v>
      </c>
      <c r="AU406" t="e">
        <f>AND(#REF!,"AAAAAD3l/i4=")</f>
        <v>#REF!</v>
      </c>
      <c r="AV406" t="e">
        <f>AND(#REF!,"AAAAAD3l/i8=")</f>
        <v>#REF!</v>
      </c>
      <c r="AW406" t="e">
        <f>AND(#REF!,"AAAAAD3l/jA=")</f>
        <v>#REF!</v>
      </c>
      <c r="AX406" t="e">
        <f>AND(#REF!,"AAAAAD3l/jE=")</f>
        <v>#REF!</v>
      </c>
      <c r="AY406" t="e">
        <f>AND(#REF!,"AAAAAD3l/jI=")</f>
        <v>#REF!</v>
      </c>
      <c r="AZ406" t="e">
        <f>AND(#REF!,"AAAAAD3l/jM=")</f>
        <v>#REF!</v>
      </c>
      <c r="BA406" t="e">
        <f>AND(#REF!,"AAAAAD3l/jQ=")</f>
        <v>#REF!</v>
      </c>
      <c r="BB406" t="e">
        <f>IF(#REF!,"AAAAAD3l/jU=",0)</f>
        <v>#REF!</v>
      </c>
      <c r="BC406" t="e">
        <f>AND(#REF!,"AAAAAD3l/jY=")</f>
        <v>#REF!</v>
      </c>
      <c r="BD406" t="e">
        <f>AND(#REF!,"AAAAAD3l/jc=")</f>
        <v>#REF!</v>
      </c>
      <c r="BE406" t="e">
        <f>AND(#REF!,"AAAAAD3l/jg=")</f>
        <v>#REF!</v>
      </c>
      <c r="BF406" t="e">
        <f>AND(#REF!,"AAAAAD3l/jk=")</f>
        <v>#REF!</v>
      </c>
      <c r="BG406" t="e">
        <f>AND(#REF!,"AAAAAD3l/jo=")</f>
        <v>#REF!</v>
      </c>
      <c r="BH406" t="e">
        <f>AND(#REF!,"AAAAAD3l/js=")</f>
        <v>#REF!</v>
      </c>
      <c r="BI406" t="e">
        <f>AND(#REF!,"AAAAAD3l/jw=")</f>
        <v>#REF!</v>
      </c>
      <c r="BJ406" t="e">
        <f>AND(#REF!,"AAAAAD3l/j0=")</f>
        <v>#REF!</v>
      </c>
      <c r="BK406" t="e">
        <f>AND(#REF!,"AAAAAD3l/j4=")</f>
        <v>#REF!</v>
      </c>
      <c r="BL406" t="e">
        <f>AND(#REF!,"AAAAAD3l/j8=")</f>
        <v>#REF!</v>
      </c>
      <c r="BM406" t="e">
        <f>IF(#REF!,"AAAAAD3l/kA=",0)</f>
        <v>#REF!</v>
      </c>
      <c r="BN406" t="e">
        <f>AND(#REF!,"AAAAAD3l/kE=")</f>
        <v>#REF!</v>
      </c>
      <c r="BO406" t="e">
        <f>AND(#REF!,"AAAAAD3l/kI=")</f>
        <v>#REF!</v>
      </c>
      <c r="BP406" t="e">
        <f>AND(#REF!,"AAAAAD3l/kM=")</f>
        <v>#REF!</v>
      </c>
      <c r="BQ406" t="e">
        <f>AND(#REF!,"AAAAAD3l/kQ=")</f>
        <v>#REF!</v>
      </c>
      <c r="BR406" t="e">
        <f>AND(#REF!,"AAAAAD3l/kU=")</f>
        <v>#REF!</v>
      </c>
      <c r="BS406" t="e">
        <f>AND(#REF!,"AAAAAD3l/kY=")</f>
        <v>#REF!</v>
      </c>
      <c r="BT406" t="e">
        <f>AND(#REF!,"AAAAAD3l/kc=")</f>
        <v>#REF!</v>
      </c>
      <c r="BU406" t="e">
        <f>AND(#REF!,"AAAAAD3l/kg=")</f>
        <v>#REF!</v>
      </c>
      <c r="BV406" t="e">
        <f>AND(#REF!,"AAAAAD3l/kk=")</f>
        <v>#REF!</v>
      </c>
      <c r="BW406" t="e">
        <f>AND(#REF!,"AAAAAD3l/ko=")</f>
        <v>#REF!</v>
      </c>
      <c r="BX406" t="e">
        <f>IF(#REF!,"AAAAAD3l/ks=",0)</f>
        <v>#REF!</v>
      </c>
      <c r="BY406" t="e">
        <f>AND(#REF!,"AAAAAD3l/kw=")</f>
        <v>#REF!</v>
      </c>
      <c r="BZ406" t="e">
        <f>AND(#REF!,"AAAAAD3l/k0=")</f>
        <v>#REF!</v>
      </c>
      <c r="CA406" t="e">
        <f>AND(#REF!,"AAAAAD3l/k4=")</f>
        <v>#REF!</v>
      </c>
      <c r="CB406" t="e">
        <f>AND(#REF!,"AAAAAD3l/k8=")</f>
        <v>#REF!</v>
      </c>
      <c r="CC406" t="e">
        <f>AND(#REF!,"AAAAAD3l/lA=")</f>
        <v>#REF!</v>
      </c>
      <c r="CD406" t="e">
        <f>AND(#REF!,"AAAAAD3l/lE=")</f>
        <v>#REF!</v>
      </c>
      <c r="CE406" t="e">
        <f>AND(#REF!,"AAAAAD3l/lI=")</f>
        <v>#REF!</v>
      </c>
      <c r="CF406" t="e">
        <f>AND(#REF!,"AAAAAD3l/lM=")</f>
        <v>#REF!</v>
      </c>
      <c r="CG406" t="e">
        <f>AND(#REF!,"AAAAAD3l/lQ=")</f>
        <v>#REF!</v>
      </c>
      <c r="CH406" t="e">
        <f>AND(#REF!,"AAAAAD3l/lU=")</f>
        <v>#REF!</v>
      </c>
      <c r="CI406" t="e">
        <f>IF(#REF!,"AAAAAD3l/lY=",0)</f>
        <v>#REF!</v>
      </c>
      <c r="CJ406" t="e">
        <f>AND(#REF!,"AAAAAD3l/lc=")</f>
        <v>#REF!</v>
      </c>
      <c r="CK406" t="e">
        <f>AND(#REF!,"AAAAAD3l/lg=")</f>
        <v>#REF!</v>
      </c>
      <c r="CL406" t="e">
        <f>AND(#REF!,"AAAAAD3l/lk=")</f>
        <v>#REF!</v>
      </c>
      <c r="CM406" t="e">
        <f>AND(#REF!,"AAAAAD3l/lo=")</f>
        <v>#REF!</v>
      </c>
      <c r="CN406" t="e">
        <f>AND(#REF!,"AAAAAD3l/ls=")</f>
        <v>#REF!</v>
      </c>
      <c r="CO406" t="e">
        <f>AND(#REF!,"AAAAAD3l/lw=")</f>
        <v>#REF!</v>
      </c>
      <c r="CP406" t="e">
        <f>AND(#REF!,"AAAAAD3l/l0=")</f>
        <v>#REF!</v>
      </c>
      <c r="CQ406" t="e">
        <f>AND(#REF!,"AAAAAD3l/l4=")</f>
        <v>#REF!</v>
      </c>
      <c r="CR406" t="e">
        <f>AND(#REF!,"AAAAAD3l/l8=")</f>
        <v>#REF!</v>
      </c>
      <c r="CS406" t="e">
        <f>AND(#REF!,"AAAAAD3l/mA=")</f>
        <v>#REF!</v>
      </c>
      <c r="CT406" t="e">
        <f>IF(#REF!,"AAAAAD3l/mE=",0)</f>
        <v>#REF!</v>
      </c>
      <c r="CU406" t="e">
        <f>AND(#REF!,"AAAAAD3l/mI=")</f>
        <v>#REF!</v>
      </c>
      <c r="CV406" t="e">
        <f>AND(#REF!,"AAAAAD3l/mM=")</f>
        <v>#REF!</v>
      </c>
      <c r="CW406" t="e">
        <f>AND(#REF!,"AAAAAD3l/mQ=")</f>
        <v>#REF!</v>
      </c>
      <c r="CX406" t="e">
        <f>AND(#REF!,"AAAAAD3l/mU=")</f>
        <v>#REF!</v>
      </c>
      <c r="CY406" t="e">
        <f>AND(#REF!,"AAAAAD3l/mY=")</f>
        <v>#REF!</v>
      </c>
      <c r="CZ406" t="e">
        <f>AND(#REF!,"AAAAAD3l/mc=")</f>
        <v>#REF!</v>
      </c>
      <c r="DA406" t="e">
        <f>AND(#REF!,"AAAAAD3l/mg=")</f>
        <v>#REF!</v>
      </c>
      <c r="DB406" t="e">
        <f>AND(#REF!,"AAAAAD3l/mk=")</f>
        <v>#REF!</v>
      </c>
      <c r="DC406" t="e">
        <f>AND(#REF!,"AAAAAD3l/mo=")</f>
        <v>#REF!</v>
      </c>
      <c r="DD406" t="e">
        <f>AND(#REF!,"AAAAAD3l/ms=")</f>
        <v>#REF!</v>
      </c>
      <c r="DE406" t="e">
        <f>IF(#REF!,"AAAAAD3l/mw=",0)</f>
        <v>#REF!</v>
      </c>
      <c r="DF406" t="e">
        <f>AND(#REF!,"AAAAAD3l/m0=")</f>
        <v>#REF!</v>
      </c>
      <c r="DG406" t="e">
        <f>AND(#REF!,"AAAAAD3l/m4=")</f>
        <v>#REF!</v>
      </c>
      <c r="DH406" t="e">
        <f>AND(#REF!,"AAAAAD3l/m8=")</f>
        <v>#REF!</v>
      </c>
      <c r="DI406" t="e">
        <f>AND(#REF!,"AAAAAD3l/nA=")</f>
        <v>#REF!</v>
      </c>
      <c r="DJ406" t="e">
        <f>AND(#REF!,"AAAAAD3l/nE=")</f>
        <v>#REF!</v>
      </c>
      <c r="DK406" t="e">
        <f>AND(#REF!,"AAAAAD3l/nI=")</f>
        <v>#REF!</v>
      </c>
      <c r="DL406" t="e">
        <f>AND(#REF!,"AAAAAD3l/nM=")</f>
        <v>#REF!</v>
      </c>
      <c r="DM406" t="e">
        <f>AND(#REF!,"AAAAAD3l/nQ=")</f>
        <v>#REF!</v>
      </c>
      <c r="DN406" t="e">
        <f>AND(#REF!,"AAAAAD3l/nU=")</f>
        <v>#REF!</v>
      </c>
      <c r="DO406" t="e">
        <f>AND(#REF!,"AAAAAD3l/nY=")</f>
        <v>#REF!</v>
      </c>
      <c r="DP406" t="e">
        <f>IF(#REF!,"AAAAAD3l/nc=",0)</f>
        <v>#REF!</v>
      </c>
      <c r="DQ406" t="e">
        <f>AND(#REF!,"AAAAAD3l/ng=")</f>
        <v>#REF!</v>
      </c>
      <c r="DR406" t="e">
        <f>AND(#REF!,"AAAAAD3l/nk=")</f>
        <v>#REF!</v>
      </c>
      <c r="DS406" t="e">
        <f>AND(#REF!,"AAAAAD3l/no=")</f>
        <v>#REF!</v>
      </c>
      <c r="DT406" t="e">
        <f>AND(#REF!,"AAAAAD3l/ns=")</f>
        <v>#REF!</v>
      </c>
      <c r="DU406" t="e">
        <f>AND(#REF!,"AAAAAD3l/nw=")</f>
        <v>#REF!</v>
      </c>
      <c r="DV406" t="e">
        <f>AND(#REF!,"AAAAAD3l/n0=")</f>
        <v>#REF!</v>
      </c>
      <c r="DW406" t="e">
        <f>AND(#REF!,"AAAAAD3l/n4=")</f>
        <v>#REF!</v>
      </c>
      <c r="DX406" t="e">
        <f>AND(#REF!,"AAAAAD3l/n8=")</f>
        <v>#REF!</v>
      </c>
      <c r="DY406" t="e">
        <f>AND(#REF!,"AAAAAD3l/oA=")</f>
        <v>#REF!</v>
      </c>
      <c r="DZ406" t="e">
        <f>AND(#REF!,"AAAAAD3l/oE=")</f>
        <v>#REF!</v>
      </c>
      <c r="EA406" t="e">
        <f>IF(#REF!,"AAAAAD3l/oI=",0)</f>
        <v>#REF!</v>
      </c>
      <c r="EB406" t="e">
        <f>AND(#REF!,"AAAAAD3l/oM=")</f>
        <v>#REF!</v>
      </c>
      <c r="EC406" t="e">
        <f>AND(#REF!,"AAAAAD3l/oQ=")</f>
        <v>#REF!</v>
      </c>
      <c r="ED406" t="e">
        <f>AND(#REF!,"AAAAAD3l/oU=")</f>
        <v>#REF!</v>
      </c>
      <c r="EE406" t="e">
        <f>AND(#REF!,"AAAAAD3l/oY=")</f>
        <v>#REF!</v>
      </c>
      <c r="EF406" t="e">
        <f>AND(#REF!,"AAAAAD3l/oc=")</f>
        <v>#REF!</v>
      </c>
      <c r="EG406" t="e">
        <f>AND(#REF!,"AAAAAD3l/og=")</f>
        <v>#REF!</v>
      </c>
      <c r="EH406" t="e">
        <f>AND(#REF!,"AAAAAD3l/ok=")</f>
        <v>#REF!</v>
      </c>
      <c r="EI406" t="e">
        <f>AND(#REF!,"AAAAAD3l/oo=")</f>
        <v>#REF!</v>
      </c>
      <c r="EJ406" t="e">
        <f>AND(#REF!,"AAAAAD3l/os=")</f>
        <v>#REF!</v>
      </c>
      <c r="EK406" t="e">
        <f>AND(#REF!,"AAAAAD3l/ow=")</f>
        <v>#REF!</v>
      </c>
      <c r="EL406" t="e">
        <f>IF(#REF!,"AAAAAD3l/o0=",0)</f>
        <v>#REF!</v>
      </c>
      <c r="EM406" t="e">
        <f>AND(#REF!,"AAAAAD3l/o4=")</f>
        <v>#REF!</v>
      </c>
      <c r="EN406" t="e">
        <f>AND(#REF!,"AAAAAD3l/o8=")</f>
        <v>#REF!</v>
      </c>
      <c r="EO406" t="e">
        <f>AND(#REF!,"AAAAAD3l/pA=")</f>
        <v>#REF!</v>
      </c>
      <c r="EP406" t="e">
        <f>AND(#REF!,"AAAAAD3l/pE=")</f>
        <v>#REF!</v>
      </c>
      <c r="EQ406" t="e">
        <f>AND(#REF!,"AAAAAD3l/pI=")</f>
        <v>#REF!</v>
      </c>
      <c r="ER406" t="e">
        <f>AND(#REF!,"AAAAAD3l/pM=")</f>
        <v>#REF!</v>
      </c>
      <c r="ES406" t="e">
        <f>AND(#REF!,"AAAAAD3l/pQ=")</f>
        <v>#REF!</v>
      </c>
      <c r="ET406" t="e">
        <f>AND(#REF!,"AAAAAD3l/pU=")</f>
        <v>#REF!</v>
      </c>
      <c r="EU406" t="e">
        <f>AND(#REF!,"AAAAAD3l/pY=")</f>
        <v>#REF!</v>
      </c>
      <c r="EV406" t="e">
        <f>AND(#REF!,"AAAAAD3l/pc=")</f>
        <v>#REF!</v>
      </c>
      <c r="EW406" t="e">
        <f>IF(#REF!,"AAAAAD3l/pg=",0)</f>
        <v>#REF!</v>
      </c>
      <c r="EX406" t="e">
        <f>AND(#REF!,"AAAAAD3l/pk=")</f>
        <v>#REF!</v>
      </c>
      <c r="EY406" t="e">
        <f>AND(#REF!,"AAAAAD3l/po=")</f>
        <v>#REF!</v>
      </c>
      <c r="EZ406" t="e">
        <f>AND(#REF!,"AAAAAD3l/ps=")</f>
        <v>#REF!</v>
      </c>
      <c r="FA406" t="e">
        <f>AND(#REF!,"AAAAAD3l/pw=")</f>
        <v>#REF!</v>
      </c>
      <c r="FB406" t="e">
        <f>AND(#REF!,"AAAAAD3l/p0=")</f>
        <v>#REF!</v>
      </c>
      <c r="FC406" t="e">
        <f>AND(#REF!,"AAAAAD3l/p4=")</f>
        <v>#REF!</v>
      </c>
      <c r="FD406" t="e">
        <f>AND(#REF!,"AAAAAD3l/p8=")</f>
        <v>#REF!</v>
      </c>
      <c r="FE406" t="e">
        <f>AND(#REF!,"AAAAAD3l/qA=")</f>
        <v>#REF!</v>
      </c>
      <c r="FF406" t="e">
        <f>AND(#REF!,"AAAAAD3l/qE=")</f>
        <v>#REF!</v>
      </c>
      <c r="FG406" t="e">
        <f>AND(#REF!,"AAAAAD3l/qI=")</f>
        <v>#REF!</v>
      </c>
      <c r="FH406" t="e">
        <f>IF(#REF!,"AAAAAD3l/qM=",0)</f>
        <v>#REF!</v>
      </c>
      <c r="FI406" t="e">
        <f>AND(#REF!,"AAAAAD3l/qQ=")</f>
        <v>#REF!</v>
      </c>
      <c r="FJ406" t="e">
        <f>AND(#REF!,"AAAAAD3l/qU=")</f>
        <v>#REF!</v>
      </c>
      <c r="FK406" t="e">
        <f>AND(#REF!,"AAAAAD3l/qY=")</f>
        <v>#REF!</v>
      </c>
      <c r="FL406" t="e">
        <f>AND(#REF!,"AAAAAD3l/qc=")</f>
        <v>#REF!</v>
      </c>
      <c r="FM406" t="e">
        <f>AND(#REF!,"AAAAAD3l/qg=")</f>
        <v>#REF!</v>
      </c>
      <c r="FN406" t="e">
        <f>AND(#REF!,"AAAAAD3l/qk=")</f>
        <v>#REF!</v>
      </c>
      <c r="FO406" t="e">
        <f>AND(#REF!,"AAAAAD3l/qo=")</f>
        <v>#REF!</v>
      </c>
      <c r="FP406" t="e">
        <f>AND(#REF!,"AAAAAD3l/qs=")</f>
        <v>#REF!</v>
      </c>
      <c r="FQ406" t="e">
        <f>AND(#REF!,"AAAAAD3l/qw=")</f>
        <v>#REF!</v>
      </c>
      <c r="FR406" t="e">
        <f>AND(#REF!,"AAAAAD3l/q0=")</f>
        <v>#REF!</v>
      </c>
      <c r="FS406" t="e">
        <f>IF(#REF!,"AAAAAD3l/q4=",0)</f>
        <v>#REF!</v>
      </c>
      <c r="FT406" t="e">
        <f>AND(#REF!,"AAAAAD3l/q8=")</f>
        <v>#REF!</v>
      </c>
      <c r="FU406" t="e">
        <f>AND(#REF!,"AAAAAD3l/rA=")</f>
        <v>#REF!</v>
      </c>
      <c r="FV406" t="e">
        <f>AND(#REF!,"AAAAAD3l/rE=")</f>
        <v>#REF!</v>
      </c>
      <c r="FW406" t="e">
        <f>AND(#REF!,"AAAAAD3l/rI=")</f>
        <v>#REF!</v>
      </c>
      <c r="FX406" t="e">
        <f>AND(#REF!,"AAAAAD3l/rM=")</f>
        <v>#REF!</v>
      </c>
      <c r="FY406" t="e">
        <f>AND(#REF!,"AAAAAD3l/rQ=")</f>
        <v>#REF!</v>
      </c>
      <c r="FZ406" t="e">
        <f>AND(#REF!,"AAAAAD3l/rU=")</f>
        <v>#REF!</v>
      </c>
      <c r="GA406" t="e">
        <f>AND(#REF!,"AAAAAD3l/rY=")</f>
        <v>#REF!</v>
      </c>
      <c r="GB406" t="e">
        <f>AND(#REF!,"AAAAAD3l/rc=")</f>
        <v>#REF!</v>
      </c>
      <c r="GC406" t="e">
        <f>AND(#REF!,"AAAAAD3l/rg=")</f>
        <v>#REF!</v>
      </c>
      <c r="GD406" t="e">
        <f>IF(#REF!,"AAAAAD3l/rk=",0)</f>
        <v>#REF!</v>
      </c>
      <c r="GE406" t="e">
        <f>AND(#REF!,"AAAAAD3l/ro=")</f>
        <v>#REF!</v>
      </c>
      <c r="GF406" t="e">
        <f>AND(#REF!,"AAAAAD3l/rs=")</f>
        <v>#REF!</v>
      </c>
      <c r="GG406" t="e">
        <f>AND(#REF!,"AAAAAD3l/rw=")</f>
        <v>#REF!</v>
      </c>
      <c r="GH406" t="e">
        <f>AND(#REF!,"AAAAAD3l/r0=")</f>
        <v>#REF!</v>
      </c>
      <c r="GI406" t="e">
        <f>AND(#REF!,"AAAAAD3l/r4=")</f>
        <v>#REF!</v>
      </c>
      <c r="GJ406" t="e">
        <f>AND(#REF!,"AAAAAD3l/r8=")</f>
        <v>#REF!</v>
      </c>
      <c r="GK406" t="e">
        <f>AND(#REF!,"AAAAAD3l/sA=")</f>
        <v>#REF!</v>
      </c>
      <c r="GL406" t="e">
        <f>AND(#REF!,"AAAAAD3l/sE=")</f>
        <v>#REF!</v>
      </c>
      <c r="GM406" t="e">
        <f>AND(#REF!,"AAAAAD3l/sI=")</f>
        <v>#REF!</v>
      </c>
      <c r="GN406" t="e">
        <f>AND(#REF!,"AAAAAD3l/sM=")</f>
        <v>#REF!</v>
      </c>
      <c r="GO406" t="e">
        <f>IF(#REF!,"AAAAAD3l/sQ=",0)</f>
        <v>#REF!</v>
      </c>
      <c r="GP406" t="e">
        <f>AND(#REF!,"AAAAAD3l/sU=")</f>
        <v>#REF!</v>
      </c>
      <c r="GQ406" t="e">
        <f>AND(#REF!,"AAAAAD3l/sY=")</f>
        <v>#REF!</v>
      </c>
      <c r="GR406" t="e">
        <f>AND(#REF!,"AAAAAD3l/sc=")</f>
        <v>#REF!</v>
      </c>
      <c r="GS406" t="e">
        <f>AND(#REF!,"AAAAAD3l/sg=")</f>
        <v>#REF!</v>
      </c>
      <c r="GT406" t="e">
        <f>AND(#REF!,"AAAAAD3l/sk=")</f>
        <v>#REF!</v>
      </c>
      <c r="GU406" t="e">
        <f>AND(#REF!,"AAAAAD3l/so=")</f>
        <v>#REF!</v>
      </c>
      <c r="GV406" t="e">
        <f>AND(#REF!,"AAAAAD3l/ss=")</f>
        <v>#REF!</v>
      </c>
      <c r="GW406" t="e">
        <f>AND(#REF!,"AAAAAD3l/sw=")</f>
        <v>#REF!</v>
      </c>
      <c r="GX406" t="e">
        <f>AND(#REF!,"AAAAAD3l/s0=")</f>
        <v>#REF!</v>
      </c>
      <c r="GY406" t="e">
        <f>AND(#REF!,"AAAAAD3l/s4=")</f>
        <v>#REF!</v>
      </c>
      <c r="GZ406" t="e">
        <f>IF(#REF!,"AAAAAD3l/s8=",0)</f>
        <v>#REF!</v>
      </c>
      <c r="HA406" t="e">
        <f>AND(#REF!,"AAAAAD3l/tA=")</f>
        <v>#REF!</v>
      </c>
      <c r="HB406" t="e">
        <f>AND(#REF!,"AAAAAD3l/tE=")</f>
        <v>#REF!</v>
      </c>
      <c r="HC406" t="e">
        <f>AND(#REF!,"AAAAAD3l/tI=")</f>
        <v>#REF!</v>
      </c>
      <c r="HD406" t="e">
        <f>AND(#REF!,"AAAAAD3l/tM=")</f>
        <v>#REF!</v>
      </c>
      <c r="HE406" t="e">
        <f>AND(#REF!,"AAAAAD3l/tQ=")</f>
        <v>#REF!</v>
      </c>
      <c r="HF406" t="e">
        <f>AND(#REF!,"AAAAAD3l/tU=")</f>
        <v>#REF!</v>
      </c>
      <c r="HG406" t="e">
        <f>AND(#REF!,"AAAAAD3l/tY=")</f>
        <v>#REF!</v>
      </c>
      <c r="HH406" t="e">
        <f>AND(#REF!,"AAAAAD3l/tc=")</f>
        <v>#REF!</v>
      </c>
      <c r="HI406" t="e">
        <f>AND(#REF!,"AAAAAD3l/tg=")</f>
        <v>#REF!</v>
      </c>
      <c r="HJ406" t="e">
        <f>AND(#REF!,"AAAAAD3l/tk=")</f>
        <v>#REF!</v>
      </c>
      <c r="HK406" t="e">
        <f>IF(#REF!,"AAAAAD3l/to=",0)</f>
        <v>#REF!</v>
      </c>
      <c r="HL406" t="e">
        <f>AND(#REF!,"AAAAAD3l/ts=")</f>
        <v>#REF!</v>
      </c>
      <c r="HM406" t="e">
        <f>AND(#REF!,"AAAAAD3l/tw=")</f>
        <v>#REF!</v>
      </c>
      <c r="HN406" t="e">
        <f>AND(#REF!,"AAAAAD3l/t0=")</f>
        <v>#REF!</v>
      </c>
      <c r="HO406" t="e">
        <f>AND(#REF!,"AAAAAD3l/t4=")</f>
        <v>#REF!</v>
      </c>
      <c r="HP406" t="e">
        <f>AND(#REF!,"AAAAAD3l/t8=")</f>
        <v>#REF!</v>
      </c>
      <c r="HQ406" t="e">
        <f>AND(#REF!,"AAAAAD3l/uA=")</f>
        <v>#REF!</v>
      </c>
      <c r="HR406" t="e">
        <f>AND(#REF!,"AAAAAD3l/uE=")</f>
        <v>#REF!</v>
      </c>
      <c r="HS406" t="e">
        <f>AND(#REF!,"AAAAAD3l/uI=")</f>
        <v>#REF!</v>
      </c>
      <c r="HT406" t="e">
        <f>AND(#REF!,"AAAAAD3l/uM=")</f>
        <v>#REF!</v>
      </c>
      <c r="HU406" t="e">
        <f>AND(#REF!,"AAAAAD3l/uQ=")</f>
        <v>#REF!</v>
      </c>
      <c r="HV406" t="e">
        <f>IF(#REF!,"AAAAAD3l/uU=",0)</f>
        <v>#REF!</v>
      </c>
      <c r="HW406" t="e">
        <f>AND(#REF!,"AAAAAD3l/uY=")</f>
        <v>#REF!</v>
      </c>
      <c r="HX406" t="e">
        <f>AND(#REF!,"AAAAAD3l/uc=")</f>
        <v>#REF!</v>
      </c>
      <c r="HY406" t="e">
        <f>AND(#REF!,"AAAAAD3l/ug=")</f>
        <v>#REF!</v>
      </c>
      <c r="HZ406" t="e">
        <f>AND(#REF!,"AAAAAD3l/uk=")</f>
        <v>#REF!</v>
      </c>
      <c r="IA406" t="e">
        <f>AND(#REF!,"AAAAAD3l/uo=")</f>
        <v>#REF!</v>
      </c>
      <c r="IB406" t="e">
        <f>AND(#REF!,"AAAAAD3l/us=")</f>
        <v>#REF!</v>
      </c>
      <c r="IC406" t="e">
        <f>AND(#REF!,"AAAAAD3l/uw=")</f>
        <v>#REF!</v>
      </c>
      <c r="ID406" t="e">
        <f>AND(#REF!,"AAAAAD3l/u0=")</f>
        <v>#REF!</v>
      </c>
      <c r="IE406" t="e">
        <f>AND(#REF!,"AAAAAD3l/u4=")</f>
        <v>#REF!</v>
      </c>
      <c r="IF406" t="e">
        <f>AND(#REF!,"AAAAAD3l/u8=")</f>
        <v>#REF!</v>
      </c>
      <c r="IG406" t="e">
        <f>IF(#REF!,"AAAAAD3l/vA=",0)</f>
        <v>#REF!</v>
      </c>
      <c r="IH406" t="e">
        <f>AND(#REF!,"AAAAAD3l/vE=")</f>
        <v>#REF!</v>
      </c>
      <c r="II406" t="e">
        <f>AND(#REF!,"AAAAAD3l/vI=")</f>
        <v>#REF!</v>
      </c>
      <c r="IJ406" t="e">
        <f>AND(#REF!,"AAAAAD3l/vM=")</f>
        <v>#REF!</v>
      </c>
      <c r="IK406" t="e">
        <f>AND(#REF!,"AAAAAD3l/vQ=")</f>
        <v>#REF!</v>
      </c>
      <c r="IL406" t="e">
        <f>AND(#REF!,"AAAAAD3l/vU=")</f>
        <v>#REF!</v>
      </c>
      <c r="IM406" t="e">
        <f>AND(#REF!,"AAAAAD3l/vY=")</f>
        <v>#REF!</v>
      </c>
      <c r="IN406" t="e">
        <f>AND(#REF!,"AAAAAD3l/vc=")</f>
        <v>#REF!</v>
      </c>
      <c r="IO406" t="e">
        <f>AND(#REF!,"AAAAAD3l/vg=")</f>
        <v>#REF!</v>
      </c>
      <c r="IP406" t="e">
        <f>AND(#REF!,"AAAAAD3l/vk=")</f>
        <v>#REF!</v>
      </c>
      <c r="IQ406" t="e">
        <f>AND(#REF!,"AAAAAD3l/vo=")</f>
        <v>#REF!</v>
      </c>
      <c r="IR406" t="e">
        <f>IF(#REF!,"AAAAAD3l/vs=",0)</f>
        <v>#REF!</v>
      </c>
      <c r="IS406" t="e">
        <f>AND(#REF!,"AAAAAD3l/vw=")</f>
        <v>#REF!</v>
      </c>
      <c r="IT406" t="e">
        <f>AND(#REF!,"AAAAAD3l/v0=")</f>
        <v>#REF!</v>
      </c>
      <c r="IU406" t="e">
        <f>AND(#REF!,"AAAAAD3l/v4=")</f>
        <v>#REF!</v>
      </c>
      <c r="IV406" t="e">
        <f>AND(#REF!,"AAAAAD3l/v8=")</f>
        <v>#REF!</v>
      </c>
    </row>
    <row r="407" spans="1:256" x14ac:dyDescent="0.25">
      <c r="A407" t="e">
        <f>AND(#REF!,"AAAAAB/7PgA=")</f>
        <v>#REF!</v>
      </c>
      <c r="B407" t="e">
        <f>AND(#REF!,"AAAAAB/7PgE=")</f>
        <v>#REF!</v>
      </c>
      <c r="C407" t="e">
        <f>AND(#REF!,"AAAAAB/7PgI=")</f>
        <v>#REF!</v>
      </c>
      <c r="D407" t="e">
        <f>AND(#REF!,"AAAAAB/7PgM=")</f>
        <v>#REF!</v>
      </c>
      <c r="E407" t="e">
        <f>AND(#REF!,"AAAAAB/7PgQ=")</f>
        <v>#REF!</v>
      </c>
      <c r="F407" t="e">
        <f>AND(#REF!,"AAAAAB/7PgU=")</f>
        <v>#REF!</v>
      </c>
      <c r="G407" t="e">
        <f>IF(#REF!,"AAAAAB/7PgY=",0)</f>
        <v>#REF!</v>
      </c>
      <c r="H407" t="e">
        <f>AND(#REF!,"AAAAAB/7Pgc=")</f>
        <v>#REF!</v>
      </c>
      <c r="I407" t="e">
        <f>AND(#REF!,"AAAAAB/7Pgg=")</f>
        <v>#REF!</v>
      </c>
      <c r="J407" t="e">
        <f>AND(#REF!,"AAAAAB/7Pgk=")</f>
        <v>#REF!</v>
      </c>
      <c r="K407" t="e">
        <f>AND(#REF!,"AAAAAB/7Pgo=")</f>
        <v>#REF!</v>
      </c>
      <c r="L407" t="e">
        <f>AND(#REF!,"AAAAAB/7Pgs=")</f>
        <v>#REF!</v>
      </c>
      <c r="M407" t="e">
        <f>AND(#REF!,"AAAAAB/7Pgw=")</f>
        <v>#REF!</v>
      </c>
      <c r="N407" t="e">
        <f>AND(#REF!,"AAAAAB/7Pg0=")</f>
        <v>#REF!</v>
      </c>
      <c r="O407" t="e">
        <f>AND(#REF!,"AAAAAB/7Pg4=")</f>
        <v>#REF!</v>
      </c>
      <c r="P407" t="e">
        <f>AND(#REF!,"AAAAAB/7Pg8=")</f>
        <v>#REF!</v>
      </c>
      <c r="Q407" t="e">
        <f>AND(#REF!,"AAAAAB/7PhA=")</f>
        <v>#REF!</v>
      </c>
      <c r="R407" t="e">
        <f>IF(#REF!,"AAAAAB/7PhE=",0)</f>
        <v>#REF!</v>
      </c>
      <c r="S407" t="e">
        <f>AND(#REF!,"AAAAAB/7PhI=")</f>
        <v>#REF!</v>
      </c>
      <c r="T407" t="e">
        <f>AND(#REF!,"AAAAAB/7PhM=")</f>
        <v>#REF!</v>
      </c>
      <c r="U407" t="e">
        <f>AND(#REF!,"AAAAAB/7PhQ=")</f>
        <v>#REF!</v>
      </c>
      <c r="V407" t="e">
        <f>AND(#REF!,"AAAAAB/7PhU=")</f>
        <v>#REF!</v>
      </c>
      <c r="W407" t="e">
        <f>AND(#REF!,"AAAAAB/7PhY=")</f>
        <v>#REF!</v>
      </c>
      <c r="X407" t="e">
        <f>AND(#REF!,"AAAAAB/7Phc=")</f>
        <v>#REF!</v>
      </c>
      <c r="Y407" t="e">
        <f>AND(#REF!,"AAAAAB/7Phg=")</f>
        <v>#REF!</v>
      </c>
      <c r="Z407" t="e">
        <f>AND(#REF!,"AAAAAB/7Phk=")</f>
        <v>#REF!</v>
      </c>
      <c r="AA407" t="e">
        <f>AND(#REF!,"AAAAAB/7Pho=")</f>
        <v>#REF!</v>
      </c>
      <c r="AB407" t="e">
        <f>AND(#REF!,"AAAAAB/7Phs=")</f>
        <v>#REF!</v>
      </c>
      <c r="AC407" t="e">
        <f>IF(#REF!,"AAAAAB/7Phw=",0)</f>
        <v>#REF!</v>
      </c>
      <c r="AD407" t="e">
        <f>AND(#REF!,"AAAAAB/7Ph0=")</f>
        <v>#REF!</v>
      </c>
      <c r="AE407" t="e">
        <f>AND(#REF!,"AAAAAB/7Ph4=")</f>
        <v>#REF!</v>
      </c>
      <c r="AF407" t="e">
        <f>AND(#REF!,"AAAAAB/7Ph8=")</f>
        <v>#REF!</v>
      </c>
      <c r="AG407" t="e">
        <f>AND(#REF!,"AAAAAB/7PiA=")</f>
        <v>#REF!</v>
      </c>
      <c r="AH407" t="e">
        <f>AND(#REF!,"AAAAAB/7PiE=")</f>
        <v>#REF!</v>
      </c>
      <c r="AI407" t="e">
        <f>AND(#REF!,"AAAAAB/7PiI=")</f>
        <v>#REF!</v>
      </c>
      <c r="AJ407" t="e">
        <f>AND(#REF!,"AAAAAB/7PiM=")</f>
        <v>#REF!</v>
      </c>
      <c r="AK407" t="e">
        <f>AND(#REF!,"AAAAAB/7PiQ=")</f>
        <v>#REF!</v>
      </c>
      <c r="AL407" t="e">
        <f>AND(#REF!,"AAAAAB/7PiU=")</f>
        <v>#REF!</v>
      </c>
      <c r="AM407" t="e">
        <f>AND(#REF!,"AAAAAB/7PiY=")</f>
        <v>#REF!</v>
      </c>
      <c r="AN407" t="e">
        <f>IF(#REF!,"AAAAAB/7Pic=",0)</f>
        <v>#REF!</v>
      </c>
      <c r="AO407" t="e">
        <f>AND(#REF!,"AAAAAB/7Pig=")</f>
        <v>#REF!</v>
      </c>
      <c r="AP407" t="e">
        <f>AND(#REF!,"AAAAAB/7Pik=")</f>
        <v>#REF!</v>
      </c>
      <c r="AQ407" t="e">
        <f>AND(#REF!,"AAAAAB/7Pio=")</f>
        <v>#REF!</v>
      </c>
      <c r="AR407" t="e">
        <f>AND(#REF!,"AAAAAB/7Pis=")</f>
        <v>#REF!</v>
      </c>
      <c r="AS407" t="e">
        <f>AND(#REF!,"AAAAAB/7Piw=")</f>
        <v>#REF!</v>
      </c>
      <c r="AT407" t="e">
        <f>AND(#REF!,"AAAAAB/7Pi0=")</f>
        <v>#REF!</v>
      </c>
      <c r="AU407" t="e">
        <f>AND(#REF!,"AAAAAB/7Pi4=")</f>
        <v>#REF!</v>
      </c>
      <c r="AV407" t="e">
        <f>AND(#REF!,"AAAAAB/7Pi8=")</f>
        <v>#REF!</v>
      </c>
      <c r="AW407" t="e">
        <f>AND(#REF!,"AAAAAB/7PjA=")</f>
        <v>#REF!</v>
      </c>
      <c r="AX407" t="e">
        <f>AND(#REF!,"AAAAAB/7PjE=")</f>
        <v>#REF!</v>
      </c>
      <c r="AY407" t="e">
        <f>IF(#REF!,"AAAAAB/7PjI=",0)</f>
        <v>#REF!</v>
      </c>
      <c r="AZ407" t="e">
        <f>AND(#REF!,"AAAAAB/7PjM=")</f>
        <v>#REF!</v>
      </c>
      <c r="BA407" t="e">
        <f>AND(#REF!,"AAAAAB/7PjQ=")</f>
        <v>#REF!</v>
      </c>
      <c r="BB407" t="e">
        <f>AND(#REF!,"AAAAAB/7PjU=")</f>
        <v>#REF!</v>
      </c>
      <c r="BC407" t="e">
        <f>AND(#REF!,"AAAAAB/7PjY=")</f>
        <v>#REF!</v>
      </c>
      <c r="BD407" t="e">
        <f>AND(#REF!,"AAAAAB/7Pjc=")</f>
        <v>#REF!</v>
      </c>
      <c r="BE407" t="e">
        <f>AND(#REF!,"AAAAAB/7Pjg=")</f>
        <v>#REF!</v>
      </c>
      <c r="BF407" t="e">
        <f>AND(#REF!,"AAAAAB/7Pjk=")</f>
        <v>#REF!</v>
      </c>
      <c r="BG407" t="e">
        <f>AND(#REF!,"AAAAAB/7Pjo=")</f>
        <v>#REF!</v>
      </c>
      <c r="BH407" t="e">
        <f>AND(#REF!,"AAAAAB/7Pjs=")</f>
        <v>#REF!</v>
      </c>
      <c r="BI407" t="e">
        <f>AND(#REF!,"AAAAAB/7Pjw=")</f>
        <v>#REF!</v>
      </c>
      <c r="BJ407" t="e">
        <f>IF(#REF!,"AAAAAB/7Pj0=",0)</f>
        <v>#REF!</v>
      </c>
      <c r="BK407" t="e">
        <f>AND(#REF!,"AAAAAB/7Pj4=")</f>
        <v>#REF!</v>
      </c>
      <c r="BL407" t="e">
        <f>AND(#REF!,"AAAAAB/7Pj8=")</f>
        <v>#REF!</v>
      </c>
      <c r="BM407" t="e">
        <f>AND(#REF!,"AAAAAB/7PkA=")</f>
        <v>#REF!</v>
      </c>
      <c r="BN407" t="e">
        <f>AND(#REF!,"AAAAAB/7PkE=")</f>
        <v>#REF!</v>
      </c>
      <c r="BO407" t="e">
        <f>AND(#REF!,"AAAAAB/7PkI=")</f>
        <v>#REF!</v>
      </c>
      <c r="BP407" t="e">
        <f>AND(#REF!,"AAAAAB/7PkM=")</f>
        <v>#REF!</v>
      </c>
      <c r="BQ407" t="e">
        <f>AND(#REF!,"AAAAAB/7PkQ=")</f>
        <v>#REF!</v>
      </c>
      <c r="BR407" t="e">
        <f>AND(#REF!,"AAAAAB/7PkU=")</f>
        <v>#REF!</v>
      </c>
      <c r="BS407" t="e">
        <f>AND(#REF!,"AAAAAB/7PkY=")</f>
        <v>#REF!</v>
      </c>
      <c r="BT407" t="e">
        <f>AND(#REF!,"AAAAAB/7Pkc=")</f>
        <v>#REF!</v>
      </c>
      <c r="BU407" t="e">
        <f>IF(#REF!,"AAAAAB/7Pkg=",0)</f>
        <v>#REF!</v>
      </c>
      <c r="BV407" t="e">
        <f>AND(#REF!,"AAAAAB/7Pkk=")</f>
        <v>#REF!</v>
      </c>
      <c r="BW407" t="e">
        <f>AND(#REF!,"AAAAAB/7Pko=")</f>
        <v>#REF!</v>
      </c>
      <c r="BX407" t="e">
        <f>AND(#REF!,"AAAAAB/7Pks=")</f>
        <v>#REF!</v>
      </c>
      <c r="BY407" t="e">
        <f>AND(#REF!,"AAAAAB/7Pkw=")</f>
        <v>#REF!</v>
      </c>
      <c r="BZ407" t="e">
        <f>AND(#REF!,"AAAAAB/7Pk0=")</f>
        <v>#REF!</v>
      </c>
      <c r="CA407" t="e">
        <f>AND(#REF!,"AAAAAB/7Pk4=")</f>
        <v>#REF!</v>
      </c>
      <c r="CB407" t="e">
        <f>AND(#REF!,"AAAAAB/7Pk8=")</f>
        <v>#REF!</v>
      </c>
      <c r="CC407" t="e">
        <f>AND(#REF!,"AAAAAB/7PlA=")</f>
        <v>#REF!</v>
      </c>
      <c r="CD407" t="e">
        <f>AND(#REF!,"AAAAAB/7PlE=")</f>
        <v>#REF!</v>
      </c>
      <c r="CE407" t="e">
        <f>AND(#REF!,"AAAAAB/7PlI=")</f>
        <v>#REF!</v>
      </c>
      <c r="CF407" t="e">
        <f>IF(#REF!,"AAAAAB/7PlM=",0)</f>
        <v>#REF!</v>
      </c>
      <c r="CG407" t="e">
        <f>AND(#REF!,"AAAAAB/7PlQ=")</f>
        <v>#REF!</v>
      </c>
      <c r="CH407" t="e">
        <f>AND(#REF!,"AAAAAB/7PlU=")</f>
        <v>#REF!</v>
      </c>
      <c r="CI407" t="e">
        <f>AND(#REF!,"AAAAAB/7PlY=")</f>
        <v>#REF!</v>
      </c>
      <c r="CJ407" t="e">
        <f>AND(#REF!,"AAAAAB/7Plc=")</f>
        <v>#REF!</v>
      </c>
      <c r="CK407" t="e">
        <f>AND(#REF!,"AAAAAB/7Plg=")</f>
        <v>#REF!</v>
      </c>
      <c r="CL407" t="e">
        <f>AND(#REF!,"AAAAAB/7Plk=")</f>
        <v>#REF!</v>
      </c>
      <c r="CM407" t="e">
        <f>AND(#REF!,"AAAAAB/7Plo=")</f>
        <v>#REF!</v>
      </c>
      <c r="CN407" t="e">
        <f>AND(#REF!,"AAAAAB/7Pls=")</f>
        <v>#REF!</v>
      </c>
      <c r="CO407" t="e">
        <f>AND(#REF!,"AAAAAB/7Plw=")</f>
        <v>#REF!</v>
      </c>
      <c r="CP407" t="e">
        <f>AND(#REF!,"AAAAAB/7Pl0=")</f>
        <v>#REF!</v>
      </c>
      <c r="CQ407" t="e">
        <f>IF(#REF!,"AAAAAB/7Pl4=",0)</f>
        <v>#REF!</v>
      </c>
      <c r="CR407" t="e">
        <f>AND(#REF!,"AAAAAB/7Pl8=")</f>
        <v>#REF!</v>
      </c>
      <c r="CS407" t="e">
        <f>AND(#REF!,"AAAAAB/7PmA=")</f>
        <v>#REF!</v>
      </c>
      <c r="CT407" t="e">
        <f>AND(#REF!,"AAAAAB/7PmE=")</f>
        <v>#REF!</v>
      </c>
      <c r="CU407" t="e">
        <f>AND(#REF!,"AAAAAB/7PmI=")</f>
        <v>#REF!</v>
      </c>
      <c r="CV407" t="e">
        <f>AND(#REF!,"AAAAAB/7PmM=")</f>
        <v>#REF!</v>
      </c>
      <c r="CW407" t="e">
        <f>AND(#REF!,"AAAAAB/7PmQ=")</f>
        <v>#REF!</v>
      </c>
      <c r="CX407" t="e">
        <f>AND(#REF!,"AAAAAB/7PmU=")</f>
        <v>#REF!</v>
      </c>
      <c r="CY407" t="e">
        <f>AND(#REF!,"AAAAAB/7PmY=")</f>
        <v>#REF!</v>
      </c>
      <c r="CZ407" t="e">
        <f>AND(#REF!,"AAAAAB/7Pmc=")</f>
        <v>#REF!</v>
      </c>
      <c r="DA407" t="e">
        <f>AND(#REF!,"AAAAAB/7Pmg=")</f>
        <v>#REF!</v>
      </c>
      <c r="DB407" t="e">
        <f>IF(#REF!,"AAAAAB/7Pmk=",0)</f>
        <v>#REF!</v>
      </c>
      <c r="DC407" t="e">
        <f>AND(#REF!,"AAAAAB/7Pmo=")</f>
        <v>#REF!</v>
      </c>
      <c r="DD407" t="e">
        <f>AND(#REF!,"AAAAAB/7Pms=")</f>
        <v>#REF!</v>
      </c>
      <c r="DE407" t="e">
        <f>AND(#REF!,"AAAAAB/7Pmw=")</f>
        <v>#REF!</v>
      </c>
      <c r="DF407" t="e">
        <f>AND(#REF!,"AAAAAB/7Pm0=")</f>
        <v>#REF!</v>
      </c>
      <c r="DG407" t="e">
        <f>AND(#REF!,"AAAAAB/7Pm4=")</f>
        <v>#REF!</v>
      </c>
      <c r="DH407" t="e">
        <f>AND(#REF!,"AAAAAB/7Pm8=")</f>
        <v>#REF!</v>
      </c>
      <c r="DI407" t="e">
        <f>AND(#REF!,"AAAAAB/7PnA=")</f>
        <v>#REF!</v>
      </c>
      <c r="DJ407" t="e">
        <f>AND(#REF!,"AAAAAB/7PnE=")</f>
        <v>#REF!</v>
      </c>
      <c r="DK407" t="e">
        <f>AND(#REF!,"AAAAAB/7PnI=")</f>
        <v>#REF!</v>
      </c>
      <c r="DL407" t="e">
        <f>AND(#REF!,"AAAAAB/7PnM=")</f>
        <v>#REF!</v>
      </c>
      <c r="DM407" t="e">
        <f>IF(#REF!,"AAAAAB/7PnQ=",0)</f>
        <v>#REF!</v>
      </c>
      <c r="DN407" t="e">
        <f>AND(#REF!,"AAAAAB/7PnU=")</f>
        <v>#REF!</v>
      </c>
      <c r="DO407" t="e">
        <f>AND(#REF!,"AAAAAB/7PnY=")</f>
        <v>#REF!</v>
      </c>
      <c r="DP407" t="e">
        <f>AND(#REF!,"AAAAAB/7Pnc=")</f>
        <v>#REF!</v>
      </c>
      <c r="DQ407" t="e">
        <f>AND(#REF!,"AAAAAB/7Png=")</f>
        <v>#REF!</v>
      </c>
      <c r="DR407" t="e">
        <f>AND(#REF!,"AAAAAB/7Pnk=")</f>
        <v>#REF!</v>
      </c>
      <c r="DS407" t="e">
        <f>AND(#REF!,"AAAAAB/7Pno=")</f>
        <v>#REF!</v>
      </c>
      <c r="DT407" t="e">
        <f>AND(#REF!,"AAAAAB/7Pns=")</f>
        <v>#REF!</v>
      </c>
      <c r="DU407" t="e">
        <f>AND(#REF!,"AAAAAB/7Pnw=")</f>
        <v>#REF!</v>
      </c>
      <c r="DV407" t="e">
        <f>AND(#REF!,"AAAAAB/7Pn0=")</f>
        <v>#REF!</v>
      </c>
      <c r="DW407" t="e">
        <f>AND(#REF!,"AAAAAB/7Pn4=")</f>
        <v>#REF!</v>
      </c>
      <c r="DX407" t="e">
        <f>IF(#REF!,"AAAAAB/7Pn8=",0)</f>
        <v>#REF!</v>
      </c>
      <c r="DY407" t="e">
        <f>AND(#REF!,"AAAAAB/7PoA=")</f>
        <v>#REF!</v>
      </c>
      <c r="DZ407" t="e">
        <f>AND(#REF!,"AAAAAB/7PoE=")</f>
        <v>#REF!</v>
      </c>
      <c r="EA407" t="e">
        <f>AND(#REF!,"AAAAAB/7PoI=")</f>
        <v>#REF!</v>
      </c>
      <c r="EB407" t="e">
        <f>AND(#REF!,"AAAAAB/7PoM=")</f>
        <v>#REF!</v>
      </c>
      <c r="EC407" t="e">
        <f>AND(#REF!,"AAAAAB/7PoQ=")</f>
        <v>#REF!</v>
      </c>
      <c r="ED407" t="e">
        <f>AND(#REF!,"AAAAAB/7PoU=")</f>
        <v>#REF!</v>
      </c>
      <c r="EE407" t="e">
        <f>AND(#REF!,"AAAAAB/7PoY=")</f>
        <v>#REF!</v>
      </c>
      <c r="EF407" t="e">
        <f>AND(#REF!,"AAAAAB/7Poc=")</f>
        <v>#REF!</v>
      </c>
      <c r="EG407" t="e">
        <f>AND(#REF!,"AAAAAB/7Pog=")</f>
        <v>#REF!</v>
      </c>
      <c r="EH407" t="e">
        <f>AND(#REF!,"AAAAAB/7Pok=")</f>
        <v>#REF!</v>
      </c>
      <c r="EI407" t="e">
        <f>IF(#REF!,"AAAAAB/7Poo=",0)</f>
        <v>#REF!</v>
      </c>
      <c r="EJ407" t="e">
        <f>AND(#REF!,"AAAAAB/7Pos=")</f>
        <v>#REF!</v>
      </c>
      <c r="EK407" t="e">
        <f>AND(#REF!,"AAAAAB/7Pow=")</f>
        <v>#REF!</v>
      </c>
      <c r="EL407" t="e">
        <f>AND(#REF!,"AAAAAB/7Po0=")</f>
        <v>#REF!</v>
      </c>
      <c r="EM407" t="e">
        <f>AND(#REF!,"AAAAAB/7Po4=")</f>
        <v>#REF!</v>
      </c>
      <c r="EN407" t="e">
        <f>AND(#REF!,"AAAAAB/7Po8=")</f>
        <v>#REF!</v>
      </c>
      <c r="EO407" t="e">
        <f>AND(#REF!,"AAAAAB/7PpA=")</f>
        <v>#REF!</v>
      </c>
      <c r="EP407" t="e">
        <f>AND(#REF!,"AAAAAB/7PpE=")</f>
        <v>#REF!</v>
      </c>
      <c r="EQ407" t="e">
        <f>AND(#REF!,"AAAAAB/7PpI=")</f>
        <v>#REF!</v>
      </c>
      <c r="ER407" t="e">
        <f>AND(#REF!,"AAAAAB/7PpM=")</f>
        <v>#REF!</v>
      </c>
      <c r="ES407" t="e">
        <f>AND(#REF!,"AAAAAB/7PpQ=")</f>
        <v>#REF!</v>
      </c>
      <c r="ET407" t="e">
        <f>IF(#REF!,"AAAAAB/7PpU=",0)</f>
        <v>#REF!</v>
      </c>
      <c r="EU407" t="e">
        <f>AND(#REF!,"AAAAAB/7PpY=")</f>
        <v>#REF!</v>
      </c>
      <c r="EV407" t="e">
        <f>AND(#REF!,"AAAAAB/7Ppc=")</f>
        <v>#REF!</v>
      </c>
      <c r="EW407" t="e">
        <f>AND(#REF!,"AAAAAB/7Ppg=")</f>
        <v>#REF!</v>
      </c>
      <c r="EX407" t="e">
        <f>AND(#REF!,"AAAAAB/7Ppk=")</f>
        <v>#REF!</v>
      </c>
      <c r="EY407" t="e">
        <f>AND(#REF!,"AAAAAB/7Ppo=")</f>
        <v>#REF!</v>
      </c>
      <c r="EZ407" t="e">
        <f>AND(#REF!,"AAAAAB/7Pps=")</f>
        <v>#REF!</v>
      </c>
      <c r="FA407" t="e">
        <f>AND(#REF!,"AAAAAB/7Ppw=")</f>
        <v>#REF!</v>
      </c>
      <c r="FB407" t="e">
        <f>AND(#REF!,"AAAAAB/7Pp0=")</f>
        <v>#REF!</v>
      </c>
      <c r="FC407" t="e">
        <f>AND(#REF!,"AAAAAB/7Pp4=")</f>
        <v>#REF!</v>
      </c>
      <c r="FD407" t="e">
        <f>AND(#REF!,"AAAAAB/7Pp8=")</f>
        <v>#REF!</v>
      </c>
      <c r="FE407" t="e">
        <f>IF(#REF!,"AAAAAB/7PqA=",0)</f>
        <v>#REF!</v>
      </c>
      <c r="FF407" t="e">
        <f>AND(#REF!,"AAAAAB/7PqE=")</f>
        <v>#REF!</v>
      </c>
      <c r="FG407" t="e">
        <f>AND(#REF!,"AAAAAB/7PqI=")</f>
        <v>#REF!</v>
      </c>
      <c r="FH407" t="e">
        <f>AND(#REF!,"AAAAAB/7PqM=")</f>
        <v>#REF!</v>
      </c>
      <c r="FI407" t="e">
        <f>AND(#REF!,"AAAAAB/7PqQ=")</f>
        <v>#REF!</v>
      </c>
      <c r="FJ407" t="e">
        <f>AND(#REF!,"AAAAAB/7PqU=")</f>
        <v>#REF!</v>
      </c>
      <c r="FK407" t="e">
        <f>AND(#REF!,"AAAAAB/7PqY=")</f>
        <v>#REF!</v>
      </c>
      <c r="FL407" t="e">
        <f>AND(#REF!,"AAAAAB/7Pqc=")</f>
        <v>#REF!</v>
      </c>
      <c r="FM407" t="e">
        <f>AND(#REF!,"AAAAAB/7Pqg=")</f>
        <v>#REF!</v>
      </c>
      <c r="FN407" t="e">
        <f>AND(#REF!,"AAAAAB/7Pqk=")</f>
        <v>#REF!</v>
      </c>
      <c r="FO407" t="e">
        <f>AND(#REF!,"AAAAAB/7Pqo=")</f>
        <v>#REF!</v>
      </c>
      <c r="FP407" t="e">
        <f>IF(#REF!,"AAAAAB/7Pqs=",0)</f>
        <v>#REF!</v>
      </c>
      <c r="FQ407" t="e">
        <f>AND(#REF!,"AAAAAB/7Pqw=")</f>
        <v>#REF!</v>
      </c>
      <c r="FR407" t="e">
        <f>AND(#REF!,"AAAAAB/7Pq0=")</f>
        <v>#REF!</v>
      </c>
      <c r="FS407" t="e">
        <f>AND(#REF!,"AAAAAB/7Pq4=")</f>
        <v>#REF!</v>
      </c>
      <c r="FT407" t="e">
        <f>AND(#REF!,"AAAAAB/7Pq8=")</f>
        <v>#REF!</v>
      </c>
      <c r="FU407" t="e">
        <f>AND(#REF!,"AAAAAB/7PrA=")</f>
        <v>#REF!</v>
      </c>
      <c r="FV407" t="e">
        <f>AND(#REF!,"AAAAAB/7PrE=")</f>
        <v>#REF!</v>
      </c>
      <c r="FW407" t="e">
        <f>AND(#REF!,"AAAAAB/7PrI=")</f>
        <v>#REF!</v>
      </c>
      <c r="FX407" t="e">
        <f>AND(#REF!,"AAAAAB/7PrM=")</f>
        <v>#REF!</v>
      </c>
      <c r="FY407" t="e">
        <f>AND(#REF!,"AAAAAB/7PrQ=")</f>
        <v>#REF!</v>
      </c>
      <c r="FZ407" t="e">
        <f>AND(#REF!,"AAAAAB/7PrU=")</f>
        <v>#REF!</v>
      </c>
      <c r="GA407" t="e">
        <f>IF(#REF!,"AAAAAB/7PrY=",0)</f>
        <v>#REF!</v>
      </c>
      <c r="GB407" t="e">
        <f>AND(#REF!,"AAAAAB/7Prc=")</f>
        <v>#REF!</v>
      </c>
      <c r="GC407" t="e">
        <f>AND(#REF!,"AAAAAB/7Prg=")</f>
        <v>#REF!</v>
      </c>
      <c r="GD407" t="e">
        <f>AND(#REF!,"AAAAAB/7Prk=")</f>
        <v>#REF!</v>
      </c>
      <c r="GE407" t="e">
        <f>AND(#REF!,"AAAAAB/7Pro=")</f>
        <v>#REF!</v>
      </c>
      <c r="GF407" t="e">
        <f>AND(#REF!,"AAAAAB/7Prs=")</f>
        <v>#REF!</v>
      </c>
      <c r="GG407" t="e">
        <f>AND(#REF!,"AAAAAB/7Prw=")</f>
        <v>#REF!</v>
      </c>
      <c r="GH407" t="e">
        <f>AND(#REF!,"AAAAAB/7Pr0=")</f>
        <v>#REF!</v>
      </c>
      <c r="GI407" t="e">
        <f>AND(#REF!,"AAAAAB/7Pr4=")</f>
        <v>#REF!</v>
      </c>
      <c r="GJ407" t="e">
        <f>AND(#REF!,"AAAAAB/7Pr8=")</f>
        <v>#REF!</v>
      </c>
      <c r="GK407" t="e">
        <f>AND(#REF!,"AAAAAB/7PsA=")</f>
        <v>#REF!</v>
      </c>
      <c r="GL407" t="e">
        <f>IF(#REF!,"AAAAAB/7PsE=",0)</f>
        <v>#REF!</v>
      </c>
      <c r="GM407" t="e">
        <f>AND(#REF!,"AAAAAB/7PsI=")</f>
        <v>#REF!</v>
      </c>
      <c r="GN407" t="e">
        <f>AND(#REF!,"AAAAAB/7PsM=")</f>
        <v>#REF!</v>
      </c>
      <c r="GO407" t="e">
        <f>AND(#REF!,"AAAAAB/7PsQ=")</f>
        <v>#REF!</v>
      </c>
      <c r="GP407" t="e">
        <f>AND(#REF!,"AAAAAB/7PsU=")</f>
        <v>#REF!</v>
      </c>
      <c r="GQ407" t="e">
        <f>AND(#REF!,"AAAAAB/7PsY=")</f>
        <v>#REF!</v>
      </c>
      <c r="GR407" t="e">
        <f>AND(#REF!,"AAAAAB/7Psc=")</f>
        <v>#REF!</v>
      </c>
      <c r="GS407" t="e">
        <f>AND(#REF!,"AAAAAB/7Psg=")</f>
        <v>#REF!</v>
      </c>
      <c r="GT407" t="e">
        <f>AND(#REF!,"AAAAAB/7Psk=")</f>
        <v>#REF!</v>
      </c>
      <c r="GU407" t="e">
        <f>AND(#REF!,"AAAAAB/7Pso=")</f>
        <v>#REF!</v>
      </c>
      <c r="GV407" t="e">
        <f>AND(#REF!,"AAAAAB/7Pss=")</f>
        <v>#REF!</v>
      </c>
      <c r="GW407" t="e">
        <f>IF(#REF!,"AAAAAB/7Psw=",0)</f>
        <v>#REF!</v>
      </c>
      <c r="GX407" t="e">
        <f>AND(#REF!,"AAAAAB/7Ps0=")</f>
        <v>#REF!</v>
      </c>
      <c r="GY407" t="e">
        <f>AND(#REF!,"AAAAAB/7Ps4=")</f>
        <v>#REF!</v>
      </c>
      <c r="GZ407" t="e">
        <f>AND(#REF!,"AAAAAB/7Ps8=")</f>
        <v>#REF!</v>
      </c>
      <c r="HA407" t="e">
        <f>AND(#REF!,"AAAAAB/7PtA=")</f>
        <v>#REF!</v>
      </c>
      <c r="HB407" t="e">
        <f>AND(#REF!,"AAAAAB/7PtE=")</f>
        <v>#REF!</v>
      </c>
      <c r="HC407" t="e">
        <f>AND(#REF!,"AAAAAB/7PtI=")</f>
        <v>#REF!</v>
      </c>
      <c r="HD407" t="e">
        <f>AND(#REF!,"AAAAAB/7PtM=")</f>
        <v>#REF!</v>
      </c>
      <c r="HE407" t="e">
        <f>AND(#REF!,"AAAAAB/7PtQ=")</f>
        <v>#REF!</v>
      </c>
      <c r="HF407" t="e">
        <f>AND(#REF!,"AAAAAB/7PtU=")</f>
        <v>#REF!</v>
      </c>
      <c r="HG407" t="e">
        <f>AND(#REF!,"AAAAAB/7PtY=")</f>
        <v>#REF!</v>
      </c>
      <c r="HH407" t="e">
        <f>IF(#REF!,"AAAAAB/7Ptc=",0)</f>
        <v>#REF!</v>
      </c>
      <c r="HI407" t="e">
        <f>AND(#REF!,"AAAAAB/7Ptg=")</f>
        <v>#REF!</v>
      </c>
      <c r="HJ407" t="e">
        <f>AND(#REF!,"AAAAAB/7Ptk=")</f>
        <v>#REF!</v>
      </c>
      <c r="HK407" t="e">
        <f>AND(#REF!,"AAAAAB/7Pto=")</f>
        <v>#REF!</v>
      </c>
      <c r="HL407" t="e">
        <f>AND(#REF!,"AAAAAB/7Pts=")</f>
        <v>#REF!</v>
      </c>
      <c r="HM407" t="e">
        <f>AND(#REF!,"AAAAAB/7Ptw=")</f>
        <v>#REF!</v>
      </c>
      <c r="HN407" t="e">
        <f>AND(#REF!,"AAAAAB/7Pt0=")</f>
        <v>#REF!</v>
      </c>
      <c r="HO407" t="e">
        <f>AND(#REF!,"AAAAAB/7Pt4=")</f>
        <v>#REF!</v>
      </c>
      <c r="HP407" t="e">
        <f>AND(#REF!,"AAAAAB/7Pt8=")</f>
        <v>#REF!</v>
      </c>
      <c r="HQ407" t="e">
        <f>AND(#REF!,"AAAAAB/7PuA=")</f>
        <v>#REF!</v>
      </c>
      <c r="HR407" t="e">
        <f>AND(#REF!,"AAAAAB/7PuE=")</f>
        <v>#REF!</v>
      </c>
      <c r="HS407" t="e">
        <f>IF(#REF!,"AAAAAB/7PuI=",0)</f>
        <v>#REF!</v>
      </c>
      <c r="HT407" t="e">
        <f>AND(#REF!,"AAAAAB/7PuM=")</f>
        <v>#REF!</v>
      </c>
      <c r="HU407" t="e">
        <f>AND(#REF!,"AAAAAB/7PuQ=")</f>
        <v>#REF!</v>
      </c>
      <c r="HV407" t="e">
        <f>AND(#REF!,"AAAAAB/7PuU=")</f>
        <v>#REF!</v>
      </c>
      <c r="HW407" t="e">
        <f>AND(#REF!,"AAAAAB/7PuY=")</f>
        <v>#REF!</v>
      </c>
      <c r="HX407" t="e">
        <f>AND(#REF!,"AAAAAB/7Puc=")</f>
        <v>#REF!</v>
      </c>
      <c r="HY407" t="e">
        <f>AND(#REF!,"AAAAAB/7Pug=")</f>
        <v>#REF!</v>
      </c>
      <c r="HZ407" t="e">
        <f>AND(#REF!,"AAAAAB/7Puk=")</f>
        <v>#REF!</v>
      </c>
      <c r="IA407" t="e">
        <f>AND(#REF!,"AAAAAB/7Puo=")</f>
        <v>#REF!</v>
      </c>
      <c r="IB407" t="e">
        <f>AND(#REF!,"AAAAAB/7Pus=")</f>
        <v>#REF!</v>
      </c>
      <c r="IC407" t="e">
        <f>AND(#REF!,"AAAAAB/7Puw=")</f>
        <v>#REF!</v>
      </c>
      <c r="ID407" t="e">
        <f>IF(#REF!,"AAAAAB/7Pu0=",0)</f>
        <v>#REF!</v>
      </c>
      <c r="IE407" t="e">
        <f>AND(#REF!,"AAAAAB/7Pu4=")</f>
        <v>#REF!</v>
      </c>
      <c r="IF407" t="e">
        <f>AND(#REF!,"AAAAAB/7Pu8=")</f>
        <v>#REF!</v>
      </c>
      <c r="IG407" t="e">
        <f>AND(#REF!,"AAAAAB/7PvA=")</f>
        <v>#REF!</v>
      </c>
      <c r="IH407" t="e">
        <f>AND(#REF!,"AAAAAB/7PvE=")</f>
        <v>#REF!</v>
      </c>
      <c r="II407" t="e">
        <f>AND(#REF!,"AAAAAB/7PvI=")</f>
        <v>#REF!</v>
      </c>
      <c r="IJ407" t="e">
        <f>AND(#REF!,"AAAAAB/7PvM=")</f>
        <v>#REF!</v>
      </c>
      <c r="IK407" t="e">
        <f>AND(#REF!,"AAAAAB/7PvQ=")</f>
        <v>#REF!</v>
      </c>
      <c r="IL407" t="e">
        <f>AND(#REF!,"AAAAAB/7PvU=")</f>
        <v>#REF!</v>
      </c>
      <c r="IM407" t="e">
        <f>AND(#REF!,"AAAAAB/7PvY=")</f>
        <v>#REF!</v>
      </c>
      <c r="IN407" t="e">
        <f>AND(#REF!,"AAAAAB/7Pvc=")</f>
        <v>#REF!</v>
      </c>
      <c r="IO407" t="e">
        <f>IF(#REF!,"AAAAAB/7Pvg=",0)</f>
        <v>#REF!</v>
      </c>
      <c r="IP407" t="e">
        <f>AND(#REF!,"AAAAAB/7Pvk=")</f>
        <v>#REF!</v>
      </c>
      <c r="IQ407" t="e">
        <f>AND(#REF!,"AAAAAB/7Pvo=")</f>
        <v>#REF!</v>
      </c>
      <c r="IR407" t="e">
        <f>AND(#REF!,"AAAAAB/7Pvs=")</f>
        <v>#REF!</v>
      </c>
      <c r="IS407" t="e">
        <f>AND(#REF!,"AAAAAB/7Pvw=")</f>
        <v>#REF!</v>
      </c>
      <c r="IT407" t="e">
        <f>AND(#REF!,"AAAAAB/7Pv0=")</f>
        <v>#REF!</v>
      </c>
      <c r="IU407" t="e">
        <f>AND(#REF!,"AAAAAB/7Pv4=")</f>
        <v>#REF!</v>
      </c>
      <c r="IV407" t="e">
        <f>AND(#REF!,"AAAAAB/7Pv8=")</f>
        <v>#REF!</v>
      </c>
    </row>
    <row r="408" spans="1:256" x14ac:dyDescent="0.25">
      <c r="A408" t="e">
        <f>AND(#REF!,"AAAAADvbdwA=")</f>
        <v>#REF!</v>
      </c>
      <c r="B408" t="e">
        <f>AND(#REF!,"AAAAADvbdwE=")</f>
        <v>#REF!</v>
      </c>
      <c r="C408" t="e">
        <f>AND(#REF!,"AAAAADvbdwI=")</f>
        <v>#REF!</v>
      </c>
      <c r="D408" t="e">
        <f>IF(#REF!,"AAAAADvbdwM=",0)</f>
        <v>#REF!</v>
      </c>
      <c r="E408" t="e">
        <f>AND(#REF!,"AAAAADvbdwQ=")</f>
        <v>#REF!</v>
      </c>
      <c r="F408" t="e">
        <f>AND(#REF!,"AAAAADvbdwU=")</f>
        <v>#REF!</v>
      </c>
      <c r="G408" t="e">
        <f>AND(#REF!,"AAAAADvbdwY=")</f>
        <v>#REF!</v>
      </c>
      <c r="H408" t="e">
        <f>AND(#REF!,"AAAAADvbdwc=")</f>
        <v>#REF!</v>
      </c>
      <c r="I408" t="e">
        <f>AND(#REF!,"AAAAADvbdwg=")</f>
        <v>#REF!</v>
      </c>
      <c r="J408" t="e">
        <f>AND(#REF!,"AAAAADvbdwk=")</f>
        <v>#REF!</v>
      </c>
      <c r="K408" t="e">
        <f>AND(#REF!,"AAAAADvbdwo=")</f>
        <v>#REF!</v>
      </c>
      <c r="L408" t="e">
        <f>AND(#REF!,"AAAAADvbdws=")</f>
        <v>#REF!</v>
      </c>
      <c r="M408" t="e">
        <f>AND(#REF!,"AAAAADvbdww=")</f>
        <v>#REF!</v>
      </c>
      <c r="N408" t="e">
        <f>AND(#REF!,"AAAAADvbdw0=")</f>
        <v>#REF!</v>
      </c>
      <c r="O408" t="e">
        <f>IF(#REF!,"AAAAADvbdw4=",0)</f>
        <v>#REF!</v>
      </c>
      <c r="P408" t="e">
        <f>AND(#REF!,"AAAAADvbdw8=")</f>
        <v>#REF!</v>
      </c>
      <c r="Q408" t="e">
        <f>AND(#REF!,"AAAAADvbdxA=")</f>
        <v>#REF!</v>
      </c>
      <c r="R408" t="e">
        <f>AND(#REF!,"AAAAADvbdxE=")</f>
        <v>#REF!</v>
      </c>
      <c r="S408" t="e">
        <f>AND(#REF!,"AAAAADvbdxI=")</f>
        <v>#REF!</v>
      </c>
      <c r="T408" t="e">
        <f>AND(#REF!,"AAAAADvbdxM=")</f>
        <v>#REF!</v>
      </c>
      <c r="U408" t="e">
        <f>AND(#REF!,"AAAAADvbdxQ=")</f>
        <v>#REF!</v>
      </c>
      <c r="V408" t="e">
        <f>AND(#REF!,"AAAAADvbdxU=")</f>
        <v>#REF!</v>
      </c>
      <c r="W408" t="e">
        <f>AND(#REF!,"AAAAADvbdxY=")</f>
        <v>#REF!</v>
      </c>
      <c r="X408" t="e">
        <f>AND(#REF!,"AAAAADvbdxc=")</f>
        <v>#REF!</v>
      </c>
      <c r="Y408" t="e">
        <f>AND(#REF!,"AAAAADvbdxg=")</f>
        <v>#REF!</v>
      </c>
      <c r="Z408" t="e">
        <f>IF(#REF!,"AAAAADvbdxk=",0)</f>
        <v>#REF!</v>
      </c>
      <c r="AA408" t="e">
        <f>AND(#REF!,"AAAAADvbdxo=")</f>
        <v>#REF!</v>
      </c>
      <c r="AB408" t="e">
        <f>AND(#REF!,"AAAAADvbdxs=")</f>
        <v>#REF!</v>
      </c>
      <c r="AC408" t="e">
        <f>AND(#REF!,"AAAAADvbdxw=")</f>
        <v>#REF!</v>
      </c>
      <c r="AD408" t="e">
        <f>AND(#REF!,"AAAAADvbdx0=")</f>
        <v>#REF!</v>
      </c>
      <c r="AE408" t="e">
        <f>AND(#REF!,"AAAAADvbdx4=")</f>
        <v>#REF!</v>
      </c>
      <c r="AF408" t="e">
        <f>AND(#REF!,"AAAAADvbdx8=")</f>
        <v>#REF!</v>
      </c>
      <c r="AG408" t="e">
        <f>AND(#REF!,"AAAAADvbdyA=")</f>
        <v>#REF!</v>
      </c>
      <c r="AH408" t="e">
        <f>AND(#REF!,"AAAAADvbdyE=")</f>
        <v>#REF!</v>
      </c>
      <c r="AI408" t="e">
        <f>AND(#REF!,"AAAAADvbdyI=")</f>
        <v>#REF!</v>
      </c>
      <c r="AJ408" t="e">
        <f>AND(#REF!,"AAAAADvbdyM=")</f>
        <v>#REF!</v>
      </c>
      <c r="AK408" t="e">
        <f>IF(#REF!,"AAAAADvbdyQ=",0)</f>
        <v>#REF!</v>
      </c>
      <c r="AL408" t="e">
        <f>AND(#REF!,"AAAAADvbdyU=")</f>
        <v>#REF!</v>
      </c>
      <c r="AM408" t="e">
        <f>AND(#REF!,"AAAAADvbdyY=")</f>
        <v>#REF!</v>
      </c>
      <c r="AN408" t="e">
        <f>AND(#REF!,"AAAAADvbdyc=")</f>
        <v>#REF!</v>
      </c>
      <c r="AO408" t="e">
        <f>AND(#REF!,"AAAAADvbdyg=")</f>
        <v>#REF!</v>
      </c>
      <c r="AP408" t="e">
        <f>AND(#REF!,"AAAAADvbdyk=")</f>
        <v>#REF!</v>
      </c>
      <c r="AQ408" t="e">
        <f>AND(#REF!,"AAAAADvbdyo=")</f>
        <v>#REF!</v>
      </c>
      <c r="AR408" t="e">
        <f>AND(#REF!,"AAAAADvbdys=")</f>
        <v>#REF!</v>
      </c>
      <c r="AS408" t="e">
        <f>AND(#REF!,"AAAAADvbdyw=")</f>
        <v>#REF!</v>
      </c>
      <c r="AT408" t="e">
        <f>AND(#REF!,"AAAAADvbdy0=")</f>
        <v>#REF!</v>
      </c>
      <c r="AU408" t="e">
        <f>AND(#REF!,"AAAAADvbdy4=")</f>
        <v>#REF!</v>
      </c>
      <c r="AV408" t="e">
        <f>IF(#REF!,"AAAAADvbdy8=",0)</f>
        <v>#REF!</v>
      </c>
      <c r="AW408" t="e">
        <f>AND(#REF!,"AAAAADvbdzA=")</f>
        <v>#REF!</v>
      </c>
      <c r="AX408" t="e">
        <f>AND(#REF!,"AAAAADvbdzE=")</f>
        <v>#REF!</v>
      </c>
      <c r="AY408" t="e">
        <f>AND(#REF!,"AAAAADvbdzI=")</f>
        <v>#REF!</v>
      </c>
      <c r="AZ408" t="e">
        <f>AND(#REF!,"AAAAADvbdzM=")</f>
        <v>#REF!</v>
      </c>
      <c r="BA408" t="e">
        <f>AND(#REF!,"AAAAADvbdzQ=")</f>
        <v>#REF!</v>
      </c>
      <c r="BB408" t="e">
        <f>AND(#REF!,"AAAAADvbdzU=")</f>
        <v>#REF!</v>
      </c>
      <c r="BC408" t="e">
        <f>AND(#REF!,"AAAAADvbdzY=")</f>
        <v>#REF!</v>
      </c>
      <c r="BD408" t="e">
        <f>AND(#REF!,"AAAAADvbdzc=")</f>
        <v>#REF!</v>
      </c>
      <c r="BE408" t="e">
        <f>AND(#REF!,"AAAAADvbdzg=")</f>
        <v>#REF!</v>
      </c>
      <c r="BF408" t="e">
        <f>AND(#REF!,"AAAAADvbdzk=")</f>
        <v>#REF!</v>
      </c>
      <c r="BG408" t="e">
        <f>IF(#REF!,"AAAAADvbdzo=",0)</f>
        <v>#REF!</v>
      </c>
      <c r="BH408" t="e">
        <f>AND(#REF!,"AAAAADvbdzs=")</f>
        <v>#REF!</v>
      </c>
      <c r="BI408" t="e">
        <f>AND(#REF!,"AAAAADvbdzw=")</f>
        <v>#REF!</v>
      </c>
      <c r="BJ408" t="e">
        <f>AND(#REF!,"AAAAADvbdz0=")</f>
        <v>#REF!</v>
      </c>
      <c r="BK408" t="e">
        <f>AND(#REF!,"AAAAADvbdz4=")</f>
        <v>#REF!</v>
      </c>
      <c r="BL408" t="e">
        <f>AND(#REF!,"AAAAADvbdz8=")</f>
        <v>#REF!</v>
      </c>
      <c r="BM408" t="e">
        <f>AND(#REF!,"AAAAADvbd0A=")</f>
        <v>#REF!</v>
      </c>
      <c r="BN408" t="e">
        <f>AND(#REF!,"AAAAADvbd0E=")</f>
        <v>#REF!</v>
      </c>
      <c r="BO408" t="e">
        <f>AND(#REF!,"AAAAADvbd0I=")</f>
        <v>#REF!</v>
      </c>
      <c r="BP408" t="e">
        <f>AND(#REF!,"AAAAADvbd0M=")</f>
        <v>#REF!</v>
      </c>
      <c r="BQ408" t="e">
        <f>AND(#REF!,"AAAAADvbd0Q=")</f>
        <v>#REF!</v>
      </c>
      <c r="BR408" t="e">
        <f>IF(#REF!,"AAAAADvbd0U=",0)</f>
        <v>#REF!</v>
      </c>
      <c r="BS408" t="e">
        <f>AND(#REF!,"AAAAADvbd0Y=")</f>
        <v>#REF!</v>
      </c>
      <c r="BT408" t="e">
        <f>AND(#REF!,"AAAAADvbd0c=")</f>
        <v>#REF!</v>
      </c>
      <c r="BU408" t="e">
        <f>AND(#REF!,"AAAAADvbd0g=")</f>
        <v>#REF!</v>
      </c>
      <c r="BV408" t="e">
        <f>AND(#REF!,"AAAAADvbd0k=")</f>
        <v>#REF!</v>
      </c>
      <c r="BW408" t="e">
        <f>AND(#REF!,"AAAAADvbd0o=")</f>
        <v>#REF!</v>
      </c>
      <c r="BX408" t="e">
        <f>AND(#REF!,"AAAAADvbd0s=")</f>
        <v>#REF!</v>
      </c>
      <c r="BY408" t="e">
        <f>AND(#REF!,"AAAAADvbd0w=")</f>
        <v>#REF!</v>
      </c>
      <c r="BZ408" t="e">
        <f>AND(#REF!,"AAAAADvbd00=")</f>
        <v>#REF!</v>
      </c>
      <c r="CA408" t="e">
        <f>AND(#REF!,"AAAAADvbd04=")</f>
        <v>#REF!</v>
      </c>
      <c r="CB408" t="e">
        <f>AND(#REF!,"AAAAADvbd08=")</f>
        <v>#REF!</v>
      </c>
      <c r="CC408" t="e">
        <f>IF(#REF!,"AAAAADvbd1A=",0)</f>
        <v>#REF!</v>
      </c>
      <c r="CD408" t="e">
        <f>AND(#REF!,"AAAAADvbd1E=")</f>
        <v>#REF!</v>
      </c>
      <c r="CE408" t="e">
        <f>AND(#REF!,"AAAAADvbd1I=")</f>
        <v>#REF!</v>
      </c>
      <c r="CF408" t="e">
        <f>AND(#REF!,"AAAAADvbd1M=")</f>
        <v>#REF!</v>
      </c>
      <c r="CG408" t="e">
        <f>AND(#REF!,"AAAAADvbd1Q=")</f>
        <v>#REF!</v>
      </c>
      <c r="CH408" t="e">
        <f>AND(#REF!,"AAAAADvbd1U=")</f>
        <v>#REF!</v>
      </c>
      <c r="CI408" t="e">
        <f>AND(#REF!,"AAAAADvbd1Y=")</f>
        <v>#REF!</v>
      </c>
      <c r="CJ408" t="e">
        <f>AND(#REF!,"AAAAADvbd1c=")</f>
        <v>#REF!</v>
      </c>
      <c r="CK408" t="e">
        <f>AND(#REF!,"AAAAADvbd1g=")</f>
        <v>#REF!</v>
      </c>
      <c r="CL408" t="e">
        <f>AND(#REF!,"AAAAADvbd1k=")</f>
        <v>#REF!</v>
      </c>
      <c r="CM408" t="e">
        <f>AND(#REF!,"AAAAADvbd1o=")</f>
        <v>#REF!</v>
      </c>
      <c r="CN408" t="e">
        <f>IF(#REF!,"AAAAADvbd1s=",0)</f>
        <v>#REF!</v>
      </c>
      <c r="CO408" t="e">
        <f>AND(#REF!,"AAAAADvbd1w=")</f>
        <v>#REF!</v>
      </c>
      <c r="CP408" t="e">
        <f>AND(#REF!,"AAAAADvbd10=")</f>
        <v>#REF!</v>
      </c>
      <c r="CQ408" t="e">
        <f>AND(#REF!,"AAAAADvbd14=")</f>
        <v>#REF!</v>
      </c>
      <c r="CR408" t="e">
        <f>AND(#REF!,"AAAAADvbd18=")</f>
        <v>#REF!</v>
      </c>
      <c r="CS408" t="e">
        <f>AND(#REF!,"AAAAADvbd2A=")</f>
        <v>#REF!</v>
      </c>
      <c r="CT408" t="e">
        <f>AND(#REF!,"AAAAADvbd2E=")</f>
        <v>#REF!</v>
      </c>
      <c r="CU408" t="e">
        <f>AND(#REF!,"AAAAADvbd2I=")</f>
        <v>#REF!</v>
      </c>
      <c r="CV408" t="e">
        <f>AND(#REF!,"AAAAADvbd2M=")</f>
        <v>#REF!</v>
      </c>
      <c r="CW408" t="e">
        <f>AND(#REF!,"AAAAADvbd2Q=")</f>
        <v>#REF!</v>
      </c>
      <c r="CX408" t="e">
        <f>AND(#REF!,"AAAAADvbd2U=")</f>
        <v>#REF!</v>
      </c>
      <c r="CY408" t="e">
        <f>IF(#REF!,"AAAAADvbd2Y=",0)</f>
        <v>#REF!</v>
      </c>
      <c r="CZ408" t="e">
        <f>AND(#REF!,"AAAAADvbd2c=")</f>
        <v>#REF!</v>
      </c>
      <c r="DA408" t="e">
        <f>AND(#REF!,"AAAAADvbd2g=")</f>
        <v>#REF!</v>
      </c>
      <c r="DB408" t="e">
        <f>AND(#REF!,"AAAAADvbd2k=")</f>
        <v>#REF!</v>
      </c>
      <c r="DC408" t="e">
        <f>AND(#REF!,"AAAAADvbd2o=")</f>
        <v>#REF!</v>
      </c>
      <c r="DD408" t="e">
        <f>AND(#REF!,"AAAAADvbd2s=")</f>
        <v>#REF!</v>
      </c>
      <c r="DE408" t="e">
        <f>AND(#REF!,"AAAAADvbd2w=")</f>
        <v>#REF!</v>
      </c>
      <c r="DF408" t="e">
        <f>AND(#REF!,"AAAAADvbd20=")</f>
        <v>#REF!</v>
      </c>
      <c r="DG408" t="e">
        <f>AND(#REF!,"AAAAADvbd24=")</f>
        <v>#REF!</v>
      </c>
      <c r="DH408" t="e">
        <f>AND(#REF!,"AAAAADvbd28=")</f>
        <v>#REF!</v>
      </c>
      <c r="DI408" t="e">
        <f>AND(#REF!,"AAAAADvbd3A=")</f>
        <v>#REF!</v>
      </c>
      <c r="DJ408" t="e">
        <f>IF(#REF!,"AAAAADvbd3E=",0)</f>
        <v>#REF!</v>
      </c>
      <c r="DK408" t="e">
        <f>AND(#REF!,"AAAAADvbd3I=")</f>
        <v>#REF!</v>
      </c>
      <c r="DL408" t="e">
        <f>AND(#REF!,"AAAAADvbd3M=")</f>
        <v>#REF!</v>
      </c>
      <c r="DM408" t="e">
        <f>AND(#REF!,"AAAAADvbd3Q=")</f>
        <v>#REF!</v>
      </c>
      <c r="DN408" t="e">
        <f>AND(#REF!,"AAAAADvbd3U=")</f>
        <v>#REF!</v>
      </c>
      <c r="DO408" t="e">
        <f>AND(#REF!,"AAAAADvbd3Y=")</f>
        <v>#REF!</v>
      </c>
      <c r="DP408" t="e">
        <f>AND(#REF!,"AAAAADvbd3c=")</f>
        <v>#REF!</v>
      </c>
      <c r="DQ408" t="e">
        <f>AND(#REF!,"AAAAADvbd3g=")</f>
        <v>#REF!</v>
      </c>
      <c r="DR408" t="e">
        <f>AND(#REF!,"AAAAADvbd3k=")</f>
        <v>#REF!</v>
      </c>
      <c r="DS408" t="e">
        <f>AND(#REF!,"AAAAADvbd3o=")</f>
        <v>#REF!</v>
      </c>
      <c r="DT408" t="e">
        <f>AND(#REF!,"AAAAADvbd3s=")</f>
        <v>#REF!</v>
      </c>
      <c r="DU408" t="e">
        <f>IF(#REF!,"AAAAADvbd3w=",0)</f>
        <v>#REF!</v>
      </c>
      <c r="DV408" t="e">
        <f>AND(#REF!,"AAAAADvbd30=")</f>
        <v>#REF!</v>
      </c>
      <c r="DW408" t="e">
        <f>AND(#REF!,"AAAAADvbd34=")</f>
        <v>#REF!</v>
      </c>
      <c r="DX408" t="e">
        <f>AND(#REF!,"AAAAADvbd38=")</f>
        <v>#REF!</v>
      </c>
      <c r="DY408" t="e">
        <f>AND(#REF!,"AAAAADvbd4A=")</f>
        <v>#REF!</v>
      </c>
      <c r="DZ408" t="e">
        <f>AND(#REF!,"AAAAADvbd4E=")</f>
        <v>#REF!</v>
      </c>
      <c r="EA408" t="e">
        <f>AND(#REF!,"AAAAADvbd4I=")</f>
        <v>#REF!</v>
      </c>
      <c r="EB408" t="e">
        <f>AND(#REF!,"AAAAADvbd4M=")</f>
        <v>#REF!</v>
      </c>
      <c r="EC408" t="e">
        <f>AND(#REF!,"AAAAADvbd4Q=")</f>
        <v>#REF!</v>
      </c>
      <c r="ED408" t="e">
        <f>AND(#REF!,"AAAAADvbd4U=")</f>
        <v>#REF!</v>
      </c>
      <c r="EE408" t="e">
        <f>AND(#REF!,"AAAAADvbd4Y=")</f>
        <v>#REF!</v>
      </c>
      <c r="EF408" t="e">
        <f>IF(#REF!,"AAAAADvbd4c=",0)</f>
        <v>#REF!</v>
      </c>
      <c r="EG408" t="e">
        <f>AND(#REF!,"AAAAADvbd4g=")</f>
        <v>#REF!</v>
      </c>
      <c r="EH408" t="e">
        <f>AND(#REF!,"AAAAADvbd4k=")</f>
        <v>#REF!</v>
      </c>
      <c r="EI408" t="e">
        <f>AND(#REF!,"AAAAADvbd4o=")</f>
        <v>#REF!</v>
      </c>
      <c r="EJ408" t="e">
        <f>AND(#REF!,"AAAAADvbd4s=")</f>
        <v>#REF!</v>
      </c>
      <c r="EK408" t="e">
        <f>AND(#REF!,"AAAAADvbd4w=")</f>
        <v>#REF!</v>
      </c>
      <c r="EL408" t="e">
        <f>AND(#REF!,"AAAAADvbd40=")</f>
        <v>#REF!</v>
      </c>
      <c r="EM408" t="e">
        <f>AND(#REF!,"AAAAADvbd44=")</f>
        <v>#REF!</v>
      </c>
      <c r="EN408" t="e">
        <f>AND(#REF!,"AAAAADvbd48=")</f>
        <v>#REF!</v>
      </c>
      <c r="EO408" t="e">
        <f>AND(#REF!,"AAAAADvbd5A=")</f>
        <v>#REF!</v>
      </c>
      <c r="EP408" t="e">
        <f>AND(#REF!,"AAAAADvbd5E=")</f>
        <v>#REF!</v>
      </c>
      <c r="EQ408" t="e">
        <f>IF(#REF!,"AAAAADvbd5I=",0)</f>
        <v>#REF!</v>
      </c>
      <c r="ER408" t="e">
        <f>AND(#REF!,"AAAAADvbd5M=")</f>
        <v>#REF!</v>
      </c>
      <c r="ES408" t="e">
        <f>AND(#REF!,"AAAAADvbd5Q=")</f>
        <v>#REF!</v>
      </c>
      <c r="ET408" t="e">
        <f>AND(#REF!,"AAAAADvbd5U=")</f>
        <v>#REF!</v>
      </c>
      <c r="EU408" t="e">
        <f>AND(#REF!,"AAAAADvbd5Y=")</f>
        <v>#REF!</v>
      </c>
      <c r="EV408" t="e">
        <f>AND(#REF!,"AAAAADvbd5c=")</f>
        <v>#REF!</v>
      </c>
      <c r="EW408" t="e">
        <f>AND(#REF!,"AAAAADvbd5g=")</f>
        <v>#REF!</v>
      </c>
      <c r="EX408" t="e">
        <f>AND(#REF!,"AAAAADvbd5k=")</f>
        <v>#REF!</v>
      </c>
      <c r="EY408" t="e">
        <f>AND(#REF!,"AAAAADvbd5o=")</f>
        <v>#REF!</v>
      </c>
      <c r="EZ408" t="e">
        <f>AND(#REF!,"AAAAADvbd5s=")</f>
        <v>#REF!</v>
      </c>
      <c r="FA408" t="e">
        <f>AND(#REF!,"AAAAADvbd5w=")</f>
        <v>#REF!</v>
      </c>
      <c r="FB408" t="e">
        <f>IF(#REF!,"AAAAADvbd50=",0)</f>
        <v>#REF!</v>
      </c>
      <c r="FC408" t="e">
        <f>AND(#REF!,"AAAAADvbd54=")</f>
        <v>#REF!</v>
      </c>
      <c r="FD408" t="e">
        <f>AND(#REF!,"AAAAADvbd58=")</f>
        <v>#REF!</v>
      </c>
      <c r="FE408" t="e">
        <f>AND(#REF!,"AAAAADvbd6A=")</f>
        <v>#REF!</v>
      </c>
      <c r="FF408" t="e">
        <f>AND(#REF!,"AAAAADvbd6E=")</f>
        <v>#REF!</v>
      </c>
      <c r="FG408" t="e">
        <f>AND(#REF!,"AAAAADvbd6I=")</f>
        <v>#REF!</v>
      </c>
      <c r="FH408" t="e">
        <f>AND(#REF!,"AAAAADvbd6M=")</f>
        <v>#REF!</v>
      </c>
      <c r="FI408" t="e">
        <f>AND(#REF!,"AAAAADvbd6Q=")</f>
        <v>#REF!</v>
      </c>
      <c r="FJ408" t="e">
        <f>AND(#REF!,"AAAAADvbd6U=")</f>
        <v>#REF!</v>
      </c>
      <c r="FK408" t="e">
        <f>AND(#REF!,"AAAAADvbd6Y=")</f>
        <v>#REF!</v>
      </c>
      <c r="FL408" t="e">
        <f>AND(#REF!,"AAAAADvbd6c=")</f>
        <v>#REF!</v>
      </c>
      <c r="FM408" t="e">
        <f>IF(#REF!,"AAAAADvbd6g=",0)</f>
        <v>#REF!</v>
      </c>
      <c r="FN408" t="e">
        <f>AND(#REF!,"AAAAADvbd6k=")</f>
        <v>#REF!</v>
      </c>
      <c r="FO408" t="e">
        <f>AND(#REF!,"AAAAADvbd6o=")</f>
        <v>#REF!</v>
      </c>
      <c r="FP408" t="e">
        <f>AND(#REF!,"AAAAADvbd6s=")</f>
        <v>#REF!</v>
      </c>
      <c r="FQ408" t="e">
        <f>AND(#REF!,"AAAAADvbd6w=")</f>
        <v>#REF!</v>
      </c>
      <c r="FR408" t="e">
        <f>AND(#REF!,"AAAAADvbd60=")</f>
        <v>#REF!</v>
      </c>
      <c r="FS408" t="e">
        <f>AND(#REF!,"AAAAADvbd64=")</f>
        <v>#REF!</v>
      </c>
      <c r="FT408" t="e">
        <f>AND(#REF!,"AAAAADvbd68=")</f>
        <v>#REF!</v>
      </c>
      <c r="FU408" t="e">
        <f>AND(#REF!,"AAAAADvbd7A=")</f>
        <v>#REF!</v>
      </c>
      <c r="FV408" t="e">
        <f>AND(#REF!,"AAAAADvbd7E=")</f>
        <v>#REF!</v>
      </c>
      <c r="FW408" t="e">
        <f>AND(#REF!,"AAAAADvbd7I=")</f>
        <v>#REF!</v>
      </c>
      <c r="FX408" t="e">
        <f>IF(#REF!,"AAAAADvbd7M=",0)</f>
        <v>#REF!</v>
      </c>
      <c r="FY408" t="e">
        <f>AND(#REF!,"AAAAADvbd7Q=")</f>
        <v>#REF!</v>
      </c>
      <c r="FZ408" t="e">
        <f>AND(#REF!,"AAAAADvbd7U=")</f>
        <v>#REF!</v>
      </c>
      <c r="GA408" t="e">
        <f>AND(#REF!,"AAAAADvbd7Y=")</f>
        <v>#REF!</v>
      </c>
      <c r="GB408" t="e">
        <f>AND(#REF!,"AAAAADvbd7c=")</f>
        <v>#REF!</v>
      </c>
      <c r="GC408" t="e">
        <f>AND(#REF!,"AAAAADvbd7g=")</f>
        <v>#REF!</v>
      </c>
      <c r="GD408" t="e">
        <f>AND(#REF!,"AAAAADvbd7k=")</f>
        <v>#REF!</v>
      </c>
      <c r="GE408" t="e">
        <f>AND(#REF!,"AAAAADvbd7o=")</f>
        <v>#REF!</v>
      </c>
      <c r="GF408" t="e">
        <f>AND(#REF!,"AAAAADvbd7s=")</f>
        <v>#REF!</v>
      </c>
      <c r="GG408" t="e">
        <f>AND(#REF!,"AAAAADvbd7w=")</f>
        <v>#REF!</v>
      </c>
      <c r="GH408" t="e">
        <f>AND(#REF!,"AAAAADvbd70=")</f>
        <v>#REF!</v>
      </c>
      <c r="GI408" t="e">
        <f>IF(#REF!,"AAAAADvbd74=",0)</f>
        <v>#REF!</v>
      </c>
      <c r="GJ408" t="e">
        <f>AND(#REF!,"AAAAADvbd78=")</f>
        <v>#REF!</v>
      </c>
      <c r="GK408" t="e">
        <f>AND(#REF!,"AAAAADvbd8A=")</f>
        <v>#REF!</v>
      </c>
      <c r="GL408" t="e">
        <f>AND(#REF!,"AAAAADvbd8E=")</f>
        <v>#REF!</v>
      </c>
      <c r="GM408" t="e">
        <f>AND(#REF!,"AAAAADvbd8I=")</f>
        <v>#REF!</v>
      </c>
      <c r="GN408" t="e">
        <f>AND(#REF!,"AAAAADvbd8M=")</f>
        <v>#REF!</v>
      </c>
      <c r="GO408" t="e">
        <f>AND(#REF!,"AAAAADvbd8Q=")</f>
        <v>#REF!</v>
      </c>
      <c r="GP408" t="e">
        <f>AND(#REF!,"AAAAADvbd8U=")</f>
        <v>#REF!</v>
      </c>
      <c r="GQ408" t="e">
        <f>AND(#REF!,"AAAAADvbd8Y=")</f>
        <v>#REF!</v>
      </c>
      <c r="GR408" t="e">
        <f>AND(#REF!,"AAAAADvbd8c=")</f>
        <v>#REF!</v>
      </c>
      <c r="GS408" t="e">
        <f>AND(#REF!,"AAAAADvbd8g=")</f>
        <v>#REF!</v>
      </c>
      <c r="GT408" t="e">
        <f>IF(#REF!,"AAAAADvbd8k=",0)</f>
        <v>#REF!</v>
      </c>
      <c r="GU408" t="e">
        <f>AND(#REF!,"AAAAADvbd8o=")</f>
        <v>#REF!</v>
      </c>
      <c r="GV408" t="e">
        <f>AND(#REF!,"AAAAADvbd8s=")</f>
        <v>#REF!</v>
      </c>
      <c r="GW408" t="e">
        <f>AND(#REF!,"AAAAADvbd8w=")</f>
        <v>#REF!</v>
      </c>
      <c r="GX408" t="e">
        <f>AND(#REF!,"AAAAADvbd80=")</f>
        <v>#REF!</v>
      </c>
      <c r="GY408" t="e">
        <f>AND(#REF!,"AAAAADvbd84=")</f>
        <v>#REF!</v>
      </c>
      <c r="GZ408" t="e">
        <f>AND(#REF!,"AAAAADvbd88=")</f>
        <v>#REF!</v>
      </c>
      <c r="HA408" t="e">
        <f>AND(#REF!,"AAAAADvbd9A=")</f>
        <v>#REF!</v>
      </c>
      <c r="HB408" t="e">
        <f>AND(#REF!,"AAAAADvbd9E=")</f>
        <v>#REF!</v>
      </c>
      <c r="HC408" t="e">
        <f>AND(#REF!,"AAAAADvbd9I=")</f>
        <v>#REF!</v>
      </c>
      <c r="HD408" t="e">
        <f>AND(#REF!,"AAAAADvbd9M=")</f>
        <v>#REF!</v>
      </c>
      <c r="HE408" t="e">
        <f>IF(#REF!,"AAAAADvbd9Q=",0)</f>
        <v>#REF!</v>
      </c>
      <c r="HF408" t="e">
        <f>AND(#REF!,"AAAAADvbd9U=")</f>
        <v>#REF!</v>
      </c>
      <c r="HG408" t="e">
        <f>AND(#REF!,"AAAAADvbd9Y=")</f>
        <v>#REF!</v>
      </c>
      <c r="HH408" t="e">
        <f>AND(#REF!,"AAAAADvbd9c=")</f>
        <v>#REF!</v>
      </c>
      <c r="HI408" t="e">
        <f>AND(#REF!,"AAAAADvbd9g=")</f>
        <v>#REF!</v>
      </c>
      <c r="HJ408" t="e">
        <f>AND(#REF!,"AAAAADvbd9k=")</f>
        <v>#REF!</v>
      </c>
      <c r="HK408" t="e">
        <f>AND(#REF!,"AAAAADvbd9o=")</f>
        <v>#REF!</v>
      </c>
      <c r="HL408" t="e">
        <f>AND(#REF!,"AAAAADvbd9s=")</f>
        <v>#REF!</v>
      </c>
      <c r="HM408" t="e">
        <f>AND(#REF!,"AAAAADvbd9w=")</f>
        <v>#REF!</v>
      </c>
      <c r="HN408" t="e">
        <f>AND(#REF!,"AAAAADvbd90=")</f>
        <v>#REF!</v>
      </c>
      <c r="HO408" t="e">
        <f>AND(#REF!,"AAAAADvbd94=")</f>
        <v>#REF!</v>
      </c>
      <c r="HP408" t="e">
        <f>IF(#REF!,"AAAAADvbd98=",0)</f>
        <v>#REF!</v>
      </c>
      <c r="HQ408" t="e">
        <f>AND(#REF!,"AAAAADvbd+A=")</f>
        <v>#REF!</v>
      </c>
      <c r="HR408" t="e">
        <f>AND(#REF!,"AAAAADvbd+E=")</f>
        <v>#REF!</v>
      </c>
      <c r="HS408" t="e">
        <f>AND(#REF!,"AAAAADvbd+I=")</f>
        <v>#REF!</v>
      </c>
      <c r="HT408" t="e">
        <f>AND(#REF!,"AAAAADvbd+M=")</f>
        <v>#REF!</v>
      </c>
      <c r="HU408" t="e">
        <f>AND(#REF!,"AAAAADvbd+Q=")</f>
        <v>#REF!</v>
      </c>
      <c r="HV408" t="e">
        <f>AND(#REF!,"AAAAADvbd+U=")</f>
        <v>#REF!</v>
      </c>
      <c r="HW408" t="e">
        <f>AND(#REF!,"AAAAADvbd+Y=")</f>
        <v>#REF!</v>
      </c>
      <c r="HX408" t="e">
        <f>AND(#REF!,"AAAAADvbd+c=")</f>
        <v>#REF!</v>
      </c>
      <c r="HY408" t="e">
        <f>AND(#REF!,"AAAAADvbd+g=")</f>
        <v>#REF!</v>
      </c>
      <c r="HZ408" t="e">
        <f>AND(#REF!,"AAAAADvbd+k=")</f>
        <v>#REF!</v>
      </c>
      <c r="IA408" t="e">
        <f>IF(#REF!,"AAAAADvbd+o=",0)</f>
        <v>#REF!</v>
      </c>
      <c r="IB408" t="e">
        <f>AND(#REF!,"AAAAADvbd+s=")</f>
        <v>#REF!</v>
      </c>
      <c r="IC408" t="e">
        <f>AND(#REF!,"AAAAADvbd+w=")</f>
        <v>#REF!</v>
      </c>
      <c r="ID408" t="e">
        <f>AND(#REF!,"AAAAADvbd+0=")</f>
        <v>#REF!</v>
      </c>
      <c r="IE408" t="e">
        <f>AND(#REF!,"AAAAADvbd+4=")</f>
        <v>#REF!</v>
      </c>
      <c r="IF408" t="e">
        <f>AND(#REF!,"AAAAADvbd+8=")</f>
        <v>#REF!</v>
      </c>
      <c r="IG408" t="e">
        <f>AND(#REF!,"AAAAADvbd/A=")</f>
        <v>#REF!</v>
      </c>
      <c r="IH408" t="e">
        <f>AND(#REF!,"AAAAADvbd/E=")</f>
        <v>#REF!</v>
      </c>
      <c r="II408" t="e">
        <f>AND(#REF!,"AAAAADvbd/I=")</f>
        <v>#REF!</v>
      </c>
      <c r="IJ408" t="e">
        <f>AND(#REF!,"AAAAADvbd/M=")</f>
        <v>#REF!</v>
      </c>
      <c r="IK408" t="e">
        <f>AND(#REF!,"AAAAADvbd/Q=")</f>
        <v>#REF!</v>
      </c>
      <c r="IL408" t="e">
        <f>IF(#REF!,"AAAAADvbd/U=",0)</f>
        <v>#REF!</v>
      </c>
      <c r="IM408" t="e">
        <f>AND(#REF!,"AAAAADvbd/Y=")</f>
        <v>#REF!</v>
      </c>
      <c r="IN408" t="e">
        <f>AND(#REF!,"AAAAADvbd/c=")</f>
        <v>#REF!</v>
      </c>
      <c r="IO408" t="e">
        <f>AND(#REF!,"AAAAADvbd/g=")</f>
        <v>#REF!</v>
      </c>
      <c r="IP408" t="e">
        <f>AND(#REF!,"AAAAADvbd/k=")</f>
        <v>#REF!</v>
      </c>
      <c r="IQ408" t="e">
        <f>AND(#REF!,"AAAAADvbd/o=")</f>
        <v>#REF!</v>
      </c>
      <c r="IR408" t="e">
        <f>AND(#REF!,"AAAAADvbd/s=")</f>
        <v>#REF!</v>
      </c>
      <c r="IS408" t="e">
        <f>AND(#REF!,"AAAAADvbd/w=")</f>
        <v>#REF!</v>
      </c>
      <c r="IT408" t="e">
        <f>AND(#REF!,"AAAAADvbd/0=")</f>
        <v>#REF!</v>
      </c>
      <c r="IU408" t="e">
        <f>AND(#REF!,"AAAAADvbd/4=")</f>
        <v>#REF!</v>
      </c>
      <c r="IV408" t="e">
        <f>AND(#REF!,"AAAAADvbd/8=")</f>
        <v>#REF!</v>
      </c>
    </row>
    <row r="409" spans="1:256" x14ac:dyDescent="0.25">
      <c r="A409" t="e">
        <f>IF(#REF!,"AAAAAD53/AA=",0)</f>
        <v>#REF!</v>
      </c>
      <c r="B409" t="e">
        <f>AND(#REF!,"AAAAAD53/AE=")</f>
        <v>#REF!</v>
      </c>
      <c r="C409" t="e">
        <f>AND(#REF!,"AAAAAD53/AI=")</f>
        <v>#REF!</v>
      </c>
      <c r="D409" t="e">
        <f>AND(#REF!,"AAAAAD53/AM=")</f>
        <v>#REF!</v>
      </c>
      <c r="E409" t="e">
        <f>AND(#REF!,"AAAAAD53/AQ=")</f>
        <v>#REF!</v>
      </c>
      <c r="F409" t="e">
        <f>AND(#REF!,"AAAAAD53/AU=")</f>
        <v>#REF!</v>
      </c>
      <c r="G409" t="e">
        <f>AND(#REF!,"AAAAAD53/AY=")</f>
        <v>#REF!</v>
      </c>
      <c r="H409" t="e">
        <f>AND(#REF!,"AAAAAD53/Ac=")</f>
        <v>#REF!</v>
      </c>
      <c r="I409" t="e">
        <f>AND(#REF!,"AAAAAD53/Ag=")</f>
        <v>#REF!</v>
      </c>
      <c r="J409" t="e">
        <f>AND(#REF!,"AAAAAD53/Ak=")</f>
        <v>#REF!</v>
      </c>
      <c r="K409" t="e">
        <f>AND(#REF!,"AAAAAD53/Ao=")</f>
        <v>#REF!</v>
      </c>
      <c r="L409" t="e">
        <f>IF(#REF!,"AAAAAD53/As=",0)</f>
        <v>#REF!</v>
      </c>
      <c r="M409" t="e">
        <f>AND(#REF!,"AAAAAD53/Aw=")</f>
        <v>#REF!</v>
      </c>
      <c r="N409" t="e">
        <f>AND(#REF!,"AAAAAD53/A0=")</f>
        <v>#REF!</v>
      </c>
      <c r="O409" t="e">
        <f>AND(#REF!,"AAAAAD53/A4=")</f>
        <v>#REF!</v>
      </c>
      <c r="P409" t="e">
        <f>AND(#REF!,"AAAAAD53/A8=")</f>
        <v>#REF!</v>
      </c>
      <c r="Q409" t="e">
        <f>AND(#REF!,"AAAAAD53/BA=")</f>
        <v>#REF!</v>
      </c>
      <c r="R409" t="e">
        <f>AND(#REF!,"AAAAAD53/BE=")</f>
        <v>#REF!</v>
      </c>
      <c r="S409" t="e">
        <f>AND(#REF!,"AAAAAD53/BI=")</f>
        <v>#REF!</v>
      </c>
      <c r="T409" t="e">
        <f>AND(#REF!,"AAAAAD53/BM=")</f>
        <v>#REF!</v>
      </c>
      <c r="U409" t="e">
        <f>AND(#REF!,"AAAAAD53/BQ=")</f>
        <v>#REF!</v>
      </c>
      <c r="V409" t="e">
        <f>AND(#REF!,"AAAAAD53/BU=")</f>
        <v>#REF!</v>
      </c>
      <c r="W409" t="e">
        <f>IF(#REF!,"AAAAAD53/BY=",0)</f>
        <v>#REF!</v>
      </c>
      <c r="X409" t="e">
        <f>AND(#REF!,"AAAAAD53/Bc=")</f>
        <v>#REF!</v>
      </c>
      <c r="Y409" t="e">
        <f>AND(#REF!,"AAAAAD53/Bg=")</f>
        <v>#REF!</v>
      </c>
      <c r="Z409" t="e">
        <f>AND(#REF!,"AAAAAD53/Bk=")</f>
        <v>#REF!</v>
      </c>
      <c r="AA409" t="e">
        <f>AND(#REF!,"AAAAAD53/Bo=")</f>
        <v>#REF!</v>
      </c>
      <c r="AB409" t="e">
        <f>AND(#REF!,"AAAAAD53/Bs=")</f>
        <v>#REF!</v>
      </c>
      <c r="AC409" t="e">
        <f>AND(#REF!,"AAAAAD53/Bw=")</f>
        <v>#REF!</v>
      </c>
      <c r="AD409" t="e">
        <f>AND(#REF!,"AAAAAD53/B0=")</f>
        <v>#REF!</v>
      </c>
      <c r="AE409" t="e">
        <f>AND(#REF!,"AAAAAD53/B4=")</f>
        <v>#REF!</v>
      </c>
      <c r="AF409" t="e">
        <f>AND(#REF!,"AAAAAD53/B8=")</f>
        <v>#REF!</v>
      </c>
      <c r="AG409" t="e">
        <f>AND(#REF!,"AAAAAD53/CA=")</f>
        <v>#REF!</v>
      </c>
      <c r="AH409" t="e">
        <f>IF(#REF!,"AAAAAD53/CE=",0)</f>
        <v>#REF!</v>
      </c>
      <c r="AI409" t="e">
        <f>AND(#REF!,"AAAAAD53/CI=")</f>
        <v>#REF!</v>
      </c>
      <c r="AJ409" t="e">
        <f>AND(#REF!,"AAAAAD53/CM=")</f>
        <v>#REF!</v>
      </c>
      <c r="AK409" t="e">
        <f>AND(#REF!,"AAAAAD53/CQ=")</f>
        <v>#REF!</v>
      </c>
      <c r="AL409" t="e">
        <f>AND(#REF!,"AAAAAD53/CU=")</f>
        <v>#REF!</v>
      </c>
      <c r="AM409" t="e">
        <f>AND(#REF!,"AAAAAD53/CY=")</f>
        <v>#REF!</v>
      </c>
      <c r="AN409" t="e">
        <f>AND(#REF!,"AAAAAD53/Cc=")</f>
        <v>#REF!</v>
      </c>
      <c r="AO409" t="e">
        <f>AND(#REF!,"AAAAAD53/Cg=")</f>
        <v>#REF!</v>
      </c>
      <c r="AP409" t="e">
        <f>AND(#REF!,"AAAAAD53/Ck=")</f>
        <v>#REF!</v>
      </c>
      <c r="AQ409" t="e">
        <f>AND(#REF!,"AAAAAD53/Co=")</f>
        <v>#REF!</v>
      </c>
      <c r="AR409" t="e">
        <f>AND(#REF!,"AAAAAD53/Cs=")</f>
        <v>#REF!</v>
      </c>
      <c r="AS409" t="e">
        <f>IF(#REF!,"AAAAAD53/Cw=",0)</f>
        <v>#REF!</v>
      </c>
      <c r="AT409" t="e">
        <f>AND(#REF!,"AAAAAD53/C0=")</f>
        <v>#REF!</v>
      </c>
      <c r="AU409" t="e">
        <f>AND(#REF!,"AAAAAD53/C4=")</f>
        <v>#REF!</v>
      </c>
      <c r="AV409" t="e">
        <f>AND(#REF!,"AAAAAD53/C8=")</f>
        <v>#REF!</v>
      </c>
      <c r="AW409" t="e">
        <f>AND(#REF!,"AAAAAD53/DA=")</f>
        <v>#REF!</v>
      </c>
      <c r="AX409" t="e">
        <f>AND(#REF!,"AAAAAD53/DE=")</f>
        <v>#REF!</v>
      </c>
      <c r="AY409" t="e">
        <f>AND(#REF!,"AAAAAD53/DI=")</f>
        <v>#REF!</v>
      </c>
      <c r="AZ409" t="e">
        <f>AND(#REF!,"AAAAAD53/DM=")</f>
        <v>#REF!</v>
      </c>
      <c r="BA409" t="e">
        <f>AND(#REF!,"AAAAAD53/DQ=")</f>
        <v>#REF!</v>
      </c>
      <c r="BB409" t="e">
        <f>AND(#REF!,"AAAAAD53/DU=")</f>
        <v>#REF!</v>
      </c>
      <c r="BC409" t="e">
        <f>AND(#REF!,"AAAAAD53/DY=")</f>
        <v>#REF!</v>
      </c>
      <c r="BD409" t="e">
        <f>IF(#REF!,"AAAAAD53/Dc=",0)</f>
        <v>#REF!</v>
      </c>
      <c r="BE409" t="e">
        <f>AND(#REF!,"AAAAAD53/Dg=")</f>
        <v>#REF!</v>
      </c>
      <c r="BF409" t="e">
        <f>AND(#REF!,"AAAAAD53/Dk=")</f>
        <v>#REF!</v>
      </c>
      <c r="BG409" t="e">
        <f>AND(#REF!,"AAAAAD53/Do=")</f>
        <v>#REF!</v>
      </c>
      <c r="BH409" t="e">
        <f>AND(#REF!,"AAAAAD53/Ds=")</f>
        <v>#REF!</v>
      </c>
      <c r="BI409" t="e">
        <f>AND(#REF!,"AAAAAD53/Dw=")</f>
        <v>#REF!</v>
      </c>
      <c r="BJ409" t="e">
        <f>AND(#REF!,"AAAAAD53/D0=")</f>
        <v>#REF!</v>
      </c>
      <c r="BK409" t="e">
        <f>AND(#REF!,"AAAAAD53/D4=")</f>
        <v>#REF!</v>
      </c>
      <c r="BL409" t="e">
        <f>AND(#REF!,"AAAAAD53/D8=")</f>
        <v>#REF!</v>
      </c>
      <c r="BM409" t="e">
        <f>AND(#REF!,"AAAAAD53/EA=")</f>
        <v>#REF!</v>
      </c>
      <c r="BN409" t="e">
        <f>AND(#REF!,"AAAAAD53/EE=")</f>
        <v>#REF!</v>
      </c>
      <c r="BO409" t="e">
        <f>IF(#REF!,"AAAAAD53/EI=",0)</f>
        <v>#REF!</v>
      </c>
      <c r="BP409" t="e">
        <f>AND(#REF!,"AAAAAD53/EM=")</f>
        <v>#REF!</v>
      </c>
      <c r="BQ409" t="e">
        <f>AND(#REF!,"AAAAAD53/EQ=")</f>
        <v>#REF!</v>
      </c>
      <c r="BR409" t="e">
        <f>AND(#REF!,"AAAAAD53/EU=")</f>
        <v>#REF!</v>
      </c>
      <c r="BS409" t="e">
        <f>AND(#REF!,"AAAAAD53/EY=")</f>
        <v>#REF!</v>
      </c>
      <c r="BT409" t="e">
        <f>AND(#REF!,"AAAAAD53/Ec=")</f>
        <v>#REF!</v>
      </c>
      <c r="BU409" t="e">
        <f>AND(#REF!,"AAAAAD53/Eg=")</f>
        <v>#REF!</v>
      </c>
      <c r="BV409" t="e">
        <f>AND(#REF!,"AAAAAD53/Ek=")</f>
        <v>#REF!</v>
      </c>
      <c r="BW409" t="e">
        <f>AND(#REF!,"AAAAAD53/Eo=")</f>
        <v>#REF!</v>
      </c>
      <c r="BX409" t="e">
        <f>AND(#REF!,"AAAAAD53/Es=")</f>
        <v>#REF!</v>
      </c>
      <c r="BY409" t="e">
        <f>AND(#REF!,"AAAAAD53/Ew=")</f>
        <v>#REF!</v>
      </c>
      <c r="BZ409" t="e">
        <f>IF(#REF!,"AAAAAD53/E0=",0)</f>
        <v>#REF!</v>
      </c>
      <c r="CA409" t="e">
        <f>AND(#REF!,"AAAAAD53/E4=")</f>
        <v>#REF!</v>
      </c>
      <c r="CB409" t="e">
        <f>AND(#REF!,"AAAAAD53/E8=")</f>
        <v>#REF!</v>
      </c>
      <c r="CC409" t="e">
        <f>AND(#REF!,"AAAAAD53/FA=")</f>
        <v>#REF!</v>
      </c>
      <c r="CD409" t="e">
        <f>AND(#REF!,"AAAAAD53/FE=")</f>
        <v>#REF!</v>
      </c>
      <c r="CE409" t="e">
        <f>AND(#REF!,"AAAAAD53/FI=")</f>
        <v>#REF!</v>
      </c>
      <c r="CF409" t="e">
        <f>AND(#REF!,"AAAAAD53/FM=")</f>
        <v>#REF!</v>
      </c>
      <c r="CG409" t="e">
        <f>AND(#REF!,"AAAAAD53/FQ=")</f>
        <v>#REF!</v>
      </c>
      <c r="CH409" t="e">
        <f>AND(#REF!,"AAAAAD53/FU=")</f>
        <v>#REF!</v>
      </c>
      <c r="CI409" t="e">
        <f>AND(#REF!,"AAAAAD53/FY=")</f>
        <v>#REF!</v>
      </c>
      <c r="CJ409" t="e">
        <f>AND(#REF!,"AAAAAD53/Fc=")</f>
        <v>#REF!</v>
      </c>
      <c r="CK409" t="e">
        <f>IF(#REF!,"AAAAAD53/Fg=",0)</f>
        <v>#REF!</v>
      </c>
      <c r="CL409" t="e">
        <f>AND(#REF!,"AAAAAD53/Fk=")</f>
        <v>#REF!</v>
      </c>
      <c r="CM409" t="e">
        <f>AND(#REF!,"AAAAAD53/Fo=")</f>
        <v>#REF!</v>
      </c>
      <c r="CN409" t="e">
        <f>AND(#REF!,"AAAAAD53/Fs=")</f>
        <v>#REF!</v>
      </c>
      <c r="CO409" t="e">
        <f>AND(#REF!,"AAAAAD53/Fw=")</f>
        <v>#REF!</v>
      </c>
      <c r="CP409" t="e">
        <f>AND(#REF!,"AAAAAD53/F0=")</f>
        <v>#REF!</v>
      </c>
      <c r="CQ409" t="e">
        <f>AND(#REF!,"AAAAAD53/F4=")</f>
        <v>#REF!</v>
      </c>
      <c r="CR409" t="e">
        <f>AND(#REF!,"AAAAAD53/F8=")</f>
        <v>#REF!</v>
      </c>
      <c r="CS409" t="e">
        <f>AND(#REF!,"AAAAAD53/GA=")</f>
        <v>#REF!</v>
      </c>
      <c r="CT409" t="e">
        <f>AND(#REF!,"AAAAAD53/GE=")</f>
        <v>#REF!</v>
      </c>
      <c r="CU409" t="e">
        <f>AND(#REF!,"AAAAAD53/GI=")</f>
        <v>#REF!</v>
      </c>
      <c r="CV409" t="e">
        <f>IF(#REF!,"AAAAAD53/GM=",0)</f>
        <v>#REF!</v>
      </c>
      <c r="CW409" t="e">
        <f>AND(#REF!,"AAAAAD53/GQ=")</f>
        <v>#REF!</v>
      </c>
      <c r="CX409" t="e">
        <f>AND(#REF!,"AAAAAD53/GU=")</f>
        <v>#REF!</v>
      </c>
      <c r="CY409" t="e">
        <f>AND(#REF!,"AAAAAD53/GY=")</f>
        <v>#REF!</v>
      </c>
      <c r="CZ409" t="e">
        <f>AND(#REF!,"AAAAAD53/Gc=")</f>
        <v>#REF!</v>
      </c>
      <c r="DA409" t="e">
        <f>AND(#REF!,"AAAAAD53/Gg=")</f>
        <v>#REF!</v>
      </c>
      <c r="DB409" t="e">
        <f>AND(#REF!,"AAAAAD53/Gk=")</f>
        <v>#REF!</v>
      </c>
      <c r="DC409" t="e">
        <f>AND(#REF!,"AAAAAD53/Go=")</f>
        <v>#REF!</v>
      </c>
      <c r="DD409" t="e">
        <f>AND(#REF!,"AAAAAD53/Gs=")</f>
        <v>#REF!</v>
      </c>
      <c r="DE409" t="e">
        <f>AND(#REF!,"AAAAAD53/Gw=")</f>
        <v>#REF!</v>
      </c>
      <c r="DF409" t="e">
        <f>AND(#REF!,"AAAAAD53/G0=")</f>
        <v>#REF!</v>
      </c>
      <c r="DG409" t="e">
        <f>IF(#REF!,"AAAAAD53/G4=",0)</f>
        <v>#REF!</v>
      </c>
      <c r="DH409" t="e">
        <f>AND(#REF!,"AAAAAD53/G8=")</f>
        <v>#REF!</v>
      </c>
      <c r="DI409" t="e">
        <f>AND(#REF!,"AAAAAD53/HA=")</f>
        <v>#REF!</v>
      </c>
      <c r="DJ409" t="e">
        <f>AND(#REF!,"AAAAAD53/HE=")</f>
        <v>#REF!</v>
      </c>
      <c r="DK409" t="e">
        <f>AND(#REF!,"AAAAAD53/HI=")</f>
        <v>#REF!</v>
      </c>
      <c r="DL409" t="e">
        <f>AND(#REF!,"AAAAAD53/HM=")</f>
        <v>#REF!</v>
      </c>
      <c r="DM409" t="e">
        <f>AND(#REF!,"AAAAAD53/HQ=")</f>
        <v>#REF!</v>
      </c>
      <c r="DN409" t="e">
        <f>AND(#REF!,"AAAAAD53/HU=")</f>
        <v>#REF!</v>
      </c>
      <c r="DO409" t="e">
        <f>AND(#REF!,"AAAAAD53/HY=")</f>
        <v>#REF!</v>
      </c>
      <c r="DP409" t="e">
        <f>AND(#REF!,"AAAAAD53/Hc=")</f>
        <v>#REF!</v>
      </c>
      <c r="DQ409" t="e">
        <f>AND(#REF!,"AAAAAD53/Hg=")</f>
        <v>#REF!</v>
      </c>
      <c r="DR409" t="e">
        <f>IF(#REF!,"AAAAAD53/Hk=",0)</f>
        <v>#REF!</v>
      </c>
      <c r="DS409" t="e">
        <f>AND(#REF!,"AAAAAD53/Ho=")</f>
        <v>#REF!</v>
      </c>
      <c r="DT409" t="e">
        <f>AND(#REF!,"AAAAAD53/Hs=")</f>
        <v>#REF!</v>
      </c>
      <c r="DU409" t="e">
        <f>AND(#REF!,"AAAAAD53/Hw=")</f>
        <v>#REF!</v>
      </c>
      <c r="DV409" t="e">
        <f>AND(#REF!,"AAAAAD53/H0=")</f>
        <v>#REF!</v>
      </c>
      <c r="DW409" t="e">
        <f>AND(#REF!,"AAAAAD53/H4=")</f>
        <v>#REF!</v>
      </c>
      <c r="DX409" t="e">
        <f>AND(#REF!,"AAAAAD53/H8=")</f>
        <v>#REF!</v>
      </c>
      <c r="DY409" t="e">
        <f>AND(#REF!,"AAAAAD53/IA=")</f>
        <v>#REF!</v>
      </c>
      <c r="DZ409" t="e">
        <f>AND(#REF!,"AAAAAD53/IE=")</f>
        <v>#REF!</v>
      </c>
      <c r="EA409" t="e">
        <f>AND(#REF!,"AAAAAD53/II=")</f>
        <v>#REF!</v>
      </c>
      <c r="EB409" t="e">
        <f>AND(#REF!,"AAAAAD53/IM=")</f>
        <v>#REF!</v>
      </c>
      <c r="EC409" t="e">
        <f>IF(#REF!,"AAAAAD53/IQ=",0)</f>
        <v>#REF!</v>
      </c>
      <c r="ED409" t="e">
        <f>AND(#REF!,"AAAAAD53/IU=")</f>
        <v>#REF!</v>
      </c>
      <c r="EE409" t="e">
        <f>AND(#REF!,"AAAAAD53/IY=")</f>
        <v>#REF!</v>
      </c>
      <c r="EF409" t="e">
        <f>AND(#REF!,"AAAAAD53/Ic=")</f>
        <v>#REF!</v>
      </c>
      <c r="EG409" t="e">
        <f>AND(#REF!,"AAAAAD53/Ig=")</f>
        <v>#REF!</v>
      </c>
      <c r="EH409" t="e">
        <f>AND(#REF!,"AAAAAD53/Ik=")</f>
        <v>#REF!</v>
      </c>
      <c r="EI409" t="e">
        <f>AND(#REF!,"AAAAAD53/Io=")</f>
        <v>#REF!</v>
      </c>
      <c r="EJ409" t="e">
        <f>AND(#REF!,"AAAAAD53/Is=")</f>
        <v>#REF!</v>
      </c>
      <c r="EK409" t="e">
        <f>AND(#REF!,"AAAAAD53/Iw=")</f>
        <v>#REF!</v>
      </c>
      <c r="EL409" t="e">
        <f>AND(#REF!,"AAAAAD53/I0=")</f>
        <v>#REF!</v>
      </c>
      <c r="EM409" t="e">
        <f>AND(#REF!,"AAAAAD53/I4=")</f>
        <v>#REF!</v>
      </c>
      <c r="EN409" t="e">
        <f>IF(#REF!,"AAAAAD53/I8=",0)</f>
        <v>#REF!</v>
      </c>
      <c r="EO409" t="e">
        <f>AND(#REF!,"AAAAAD53/JA=")</f>
        <v>#REF!</v>
      </c>
      <c r="EP409" t="e">
        <f>AND(#REF!,"AAAAAD53/JE=")</f>
        <v>#REF!</v>
      </c>
      <c r="EQ409" t="e">
        <f>AND(#REF!,"AAAAAD53/JI=")</f>
        <v>#REF!</v>
      </c>
      <c r="ER409" t="e">
        <f>AND(#REF!,"AAAAAD53/JM=")</f>
        <v>#REF!</v>
      </c>
      <c r="ES409" t="e">
        <f>AND(#REF!,"AAAAAD53/JQ=")</f>
        <v>#REF!</v>
      </c>
      <c r="ET409" t="e">
        <f>AND(#REF!,"AAAAAD53/JU=")</f>
        <v>#REF!</v>
      </c>
      <c r="EU409" t="e">
        <f>AND(#REF!,"AAAAAD53/JY=")</f>
        <v>#REF!</v>
      </c>
      <c r="EV409" t="e">
        <f>AND(#REF!,"AAAAAD53/Jc=")</f>
        <v>#REF!</v>
      </c>
      <c r="EW409" t="e">
        <f>AND(#REF!,"AAAAAD53/Jg=")</f>
        <v>#REF!</v>
      </c>
      <c r="EX409" t="e">
        <f>AND(#REF!,"AAAAAD53/Jk=")</f>
        <v>#REF!</v>
      </c>
      <c r="EY409" t="e">
        <f>IF(#REF!,"AAAAAD53/Jo=",0)</f>
        <v>#REF!</v>
      </c>
      <c r="EZ409" t="e">
        <f>AND(#REF!,"AAAAAD53/Js=")</f>
        <v>#REF!</v>
      </c>
      <c r="FA409" t="e">
        <f>AND(#REF!,"AAAAAD53/Jw=")</f>
        <v>#REF!</v>
      </c>
      <c r="FB409" t="e">
        <f>AND(#REF!,"AAAAAD53/J0=")</f>
        <v>#REF!</v>
      </c>
      <c r="FC409" t="e">
        <f>AND(#REF!,"AAAAAD53/J4=")</f>
        <v>#REF!</v>
      </c>
      <c r="FD409" t="e">
        <f>AND(#REF!,"AAAAAD53/J8=")</f>
        <v>#REF!</v>
      </c>
      <c r="FE409" t="e">
        <f>AND(#REF!,"AAAAAD53/KA=")</f>
        <v>#REF!</v>
      </c>
      <c r="FF409" t="e">
        <f>AND(#REF!,"AAAAAD53/KE=")</f>
        <v>#REF!</v>
      </c>
      <c r="FG409" t="e">
        <f>AND(#REF!,"AAAAAD53/KI=")</f>
        <v>#REF!</v>
      </c>
      <c r="FH409" t="e">
        <f>AND(#REF!,"AAAAAD53/KM=")</f>
        <v>#REF!</v>
      </c>
      <c r="FI409" t="e">
        <f>AND(#REF!,"AAAAAD53/KQ=")</f>
        <v>#REF!</v>
      </c>
      <c r="FJ409" t="e">
        <f>IF(#REF!,"AAAAAD53/KU=",0)</f>
        <v>#REF!</v>
      </c>
      <c r="FK409" t="e">
        <f>AND(#REF!,"AAAAAD53/KY=")</f>
        <v>#REF!</v>
      </c>
      <c r="FL409" t="e">
        <f>AND(#REF!,"AAAAAD53/Kc=")</f>
        <v>#REF!</v>
      </c>
      <c r="FM409" t="e">
        <f>AND(#REF!,"AAAAAD53/Kg=")</f>
        <v>#REF!</v>
      </c>
      <c r="FN409" t="e">
        <f>AND(#REF!,"AAAAAD53/Kk=")</f>
        <v>#REF!</v>
      </c>
      <c r="FO409" t="e">
        <f>AND(#REF!,"AAAAAD53/Ko=")</f>
        <v>#REF!</v>
      </c>
      <c r="FP409" t="e">
        <f>AND(#REF!,"AAAAAD53/Ks=")</f>
        <v>#REF!</v>
      </c>
      <c r="FQ409" t="e">
        <f>AND(#REF!,"AAAAAD53/Kw=")</f>
        <v>#REF!</v>
      </c>
      <c r="FR409" t="e">
        <f>AND(#REF!,"AAAAAD53/K0=")</f>
        <v>#REF!</v>
      </c>
      <c r="FS409" t="e">
        <f>AND(#REF!,"AAAAAD53/K4=")</f>
        <v>#REF!</v>
      </c>
      <c r="FT409" t="e">
        <f>AND(#REF!,"AAAAAD53/K8=")</f>
        <v>#REF!</v>
      </c>
      <c r="FU409" t="e">
        <f>IF(#REF!,"AAAAAD53/LA=",0)</f>
        <v>#REF!</v>
      </c>
      <c r="FV409" t="e">
        <f>AND(#REF!,"AAAAAD53/LE=")</f>
        <v>#REF!</v>
      </c>
      <c r="FW409" t="e">
        <f>AND(#REF!,"AAAAAD53/LI=")</f>
        <v>#REF!</v>
      </c>
      <c r="FX409" t="e">
        <f>AND(#REF!,"AAAAAD53/LM=")</f>
        <v>#REF!</v>
      </c>
      <c r="FY409" t="e">
        <f>AND(#REF!,"AAAAAD53/LQ=")</f>
        <v>#REF!</v>
      </c>
      <c r="FZ409" t="e">
        <f>AND(#REF!,"AAAAAD53/LU=")</f>
        <v>#REF!</v>
      </c>
      <c r="GA409" t="e">
        <f>AND(#REF!,"AAAAAD53/LY=")</f>
        <v>#REF!</v>
      </c>
      <c r="GB409" t="e">
        <f>AND(#REF!,"AAAAAD53/Lc=")</f>
        <v>#REF!</v>
      </c>
      <c r="GC409" t="e">
        <f>AND(#REF!,"AAAAAD53/Lg=")</f>
        <v>#REF!</v>
      </c>
      <c r="GD409" t="e">
        <f>AND(#REF!,"AAAAAD53/Lk=")</f>
        <v>#REF!</v>
      </c>
      <c r="GE409" t="e">
        <f>AND(#REF!,"AAAAAD53/Lo=")</f>
        <v>#REF!</v>
      </c>
      <c r="GF409" t="e">
        <f>IF(#REF!,"AAAAAD53/Ls=",0)</f>
        <v>#REF!</v>
      </c>
      <c r="GG409" t="e">
        <f>AND(#REF!,"AAAAAD53/Lw=")</f>
        <v>#REF!</v>
      </c>
      <c r="GH409" t="e">
        <f>AND(#REF!,"AAAAAD53/L0=")</f>
        <v>#REF!</v>
      </c>
      <c r="GI409" t="e">
        <f>AND(#REF!,"AAAAAD53/L4=")</f>
        <v>#REF!</v>
      </c>
      <c r="GJ409" t="e">
        <f>AND(#REF!,"AAAAAD53/L8=")</f>
        <v>#REF!</v>
      </c>
      <c r="GK409" t="e">
        <f>AND(#REF!,"AAAAAD53/MA=")</f>
        <v>#REF!</v>
      </c>
      <c r="GL409" t="e">
        <f>AND(#REF!,"AAAAAD53/ME=")</f>
        <v>#REF!</v>
      </c>
      <c r="GM409" t="e">
        <f>AND(#REF!,"AAAAAD53/MI=")</f>
        <v>#REF!</v>
      </c>
      <c r="GN409" t="e">
        <f>AND(#REF!,"AAAAAD53/MM=")</f>
        <v>#REF!</v>
      </c>
      <c r="GO409" t="e">
        <f>AND(#REF!,"AAAAAD53/MQ=")</f>
        <v>#REF!</v>
      </c>
      <c r="GP409" t="e">
        <f>AND(#REF!,"AAAAAD53/MU=")</f>
        <v>#REF!</v>
      </c>
      <c r="GQ409" t="e">
        <f>IF(#REF!,"AAAAAD53/MY=",0)</f>
        <v>#REF!</v>
      </c>
      <c r="GR409" t="e">
        <f>AND(#REF!,"AAAAAD53/Mc=")</f>
        <v>#REF!</v>
      </c>
      <c r="GS409" t="e">
        <f>AND(#REF!,"AAAAAD53/Mg=")</f>
        <v>#REF!</v>
      </c>
      <c r="GT409" t="e">
        <f>AND(#REF!,"AAAAAD53/Mk=")</f>
        <v>#REF!</v>
      </c>
      <c r="GU409" t="e">
        <f>AND(#REF!,"AAAAAD53/Mo=")</f>
        <v>#REF!</v>
      </c>
      <c r="GV409" t="e">
        <f>AND(#REF!,"AAAAAD53/Ms=")</f>
        <v>#REF!</v>
      </c>
      <c r="GW409" t="e">
        <f>AND(#REF!,"AAAAAD53/Mw=")</f>
        <v>#REF!</v>
      </c>
      <c r="GX409" t="e">
        <f>AND(#REF!,"AAAAAD53/M0=")</f>
        <v>#REF!</v>
      </c>
      <c r="GY409" t="e">
        <f>AND(#REF!,"AAAAAD53/M4=")</f>
        <v>#REF!</v>
      </c>
      <c r="GZ409" t="e">
        <f>AND(#REF!,"AAAAAD53/M8=")</f>
        <v>#REF!</v>
      </c>
      <c r="HA409" t="e">
        <f>AND(#REF!,"AAAAAD53/NA=")</f>
        <v>#REF!</v>
      </c>
      <c r="HB409" t="e">
        <f>IF(#REF!,"AAAAAD53/NE=",0)</f>
        <v>#REF!</v>
      </c>
      <c r="HC409" t="e">
        <f>AND(#REF!,"AAAAAD53/NI=")</f>
        <v>#REF!</v>
      </c>
      <c r="HD409" t="e">
        <f>AND(#REF!,"AAAAAD53/NM=")</f>
        <v>#REF!</v>
      </c>
      <c r="HE409" t="e">
        <f>AND(#REF!,"AAAAAD53/NQ=")</f>
        <v>#REF!</v>
      </c>
      <c r="HF409" t="e">
        <f>AND(#REF!,"AAAAAD53/NU=")</f>
        <v>#REF!</v>
      </c>
      <c r="HG409" t="e">
        <f>AND(#REF!,"AAAAAD53/NY=")</f>
        <v>#REF!</v>
      </c>
      <c r="HH409" t="e">
        <f>AND(#REF!,"AAAAAD53/Nc=")</f>
        <v>#REF!</v>
      </c>
      <c r="HI409" t="e">
        <f>AND(#REF!,"AAAAAD53/Ng=")</f>
        <v>#REF!</v>
      </c>
      <c r="HJ409" t="e">
        <f>AND(#REF!,"AAAAAD53/Nk=")</f>
        <v>#REF!</v>
      </c>
      <c r="HK409" t="e">
        <f>AND(#REF!,"AAAAAD53/No=")</f>
        <v>#REF!</v>
      </c>
      <c r="HL409" t="e">
        <f>AND(#REF!,"AAAAAD53/Ns=")</f>
        <v>#REF!</v>
      </c>
      <c r="HM409" t="e">
        <f>IF(#REF!,"AAAAAD53/Nw=",0)</f>
        <v>#REF!</v>
      </c>
      <c r="HN409" t="e">
        <f>AND(#REF!,"AAAAAD53/N0=")</f>
        <v>#REF!</v>
      </c>
      <c r="HO409" t="e">
        <f>AND(#REF!,"AAAAAD53/N4=")</f>
        <v>#REF!</v>
      </c>
      <c r="HP409" t="e">
        <f>AND(#REF!,"AAAAAD53/N8=")</f>
        <v>#REF!</v>
      </c>
      <c r="HQ409" t="e">
        <f>AND(#REF!,"AAAAAD53/OA=")</f>
        <v>#REF!</v>
      </c>
      <c r="HR409" t="e">
        <f>AND(#REF!,"AAAAAD53/OE=")</f>
        <v>#REF!</v>
      </c>
      <c r="HS409" t="e">
        <f>AND(#REF!,"AAAAAD53/OI=")</f>
        <v>#REF!</v>
      </c>
      <c r="HT409" t="e">
        <f>AND(#REF!,"AAAAAD53/OM=")</f>
        <v>#REF!</v>
      </c>
      <c r="HU409" t="e">
        <f>AND(#REF!,"AAAAAD53/OQ=")</f>
        <v>#REF!</v>
      </c>
      <c r="HV409" t="e">
        <f>AND(#REF!,"AAAAAD53/OU=")</f>
        <v>#REF!</v>
      </c>
      <c r="HW409" t="e">
        <f>AND(#REF!,"AAAAAD53/OY=")</f>
        <v>#REF!</v>
      </c>
      <c r="HX409" t="e">
        <f>IF(#REF!,"AAAAAD53/Oc=",0)</f>
        <v>#REF!</v>
      </c>
      <c r="HY409" t="e">
        <f>AND(#REF!,"AAAAAD53/Og=")</f>
        <v>#REF!</v>
      </c>
      <c r="HZ409" t="e">
        <f>AND(#REF!,"AAAAAD53/Ok=")</f>
        <v>#REF!</v>
      </c>
      <c r="IA409" t="e">
        <f>AND(#REF!,"AAAAAD53/Oo=")</f>
        <v>#REF!</v>
      </c>
      <c r="IB409" t="e">
        <f>AND(#REF!,"AAAAAD53/Os=")</f>
        <v>#REF!</v>
      </c>
      <c r="IC409" t="e">
        <f>AND(#REF!,"AAAAAD53/Ow=")</f>
        <v>#REF!</v>
      </c>
      <c r="ID409" t="e">
        <f>AND(#REF!,"AAAAAD53/O0=")</f>
        <v>#REF!</v>
      </c>
      <c r="IE409" t="e">
        <f>AND(#REF!,"AAAAAD53/O4=")</f>
        <v>#REF!</v>
      </c>
      <c r="IF409" t="e">
        <f>AND(#REF!,"AAAAAD53/O8=")</f>
        <v>#REF!</v>
      </c>
      <c r="IG409" t="e">
        <f>AND(#REF!,"AAAAAD53/PA=")</f>
        <v>#REF!</v>
      </c>
      <c r="IH409" t="e">
        <f>AND(#REF!,"AAAAAD53/PE=")</f>
        <v>#REF!</v>
      </c>
      <c r="II409" t="e">
        <f>IF(#REF!,"AAAAAD53/PI=",0)</f>
        <v>#REF!</v>
      </c>
      <c r="IJ409" t="e">
        <f>AND(#REF!,"AAAAAD53/PM=")</f>
        <v>#REF!</v>
      </c>
      <c r="IK409" t="e">
        <f>AND(#REF!,"AAAAAD53/PQ=")</f>
        <v>#REF!</v>
      </c>
      <c r="IL409" t="e">
        <f>AND(#REF!,"AAAAAD53/PU=")</f>
        <v>#REF!</v>
      </c>
      <c r="IM409" t="e">
        <f>AND(#REF!,"AAAAAD53/PY=")</f>
        <v>#REF!</v>
      </c>
      <c r="IN409" t="e">
        <f>AND(#REF!,"AAAAAD53/Pc=")</f>
        <v>#REF!</v>
      </c>
      <c r="IO409" t="e">
        <f>AND(#REF!,"AAAAAD53/Pg=")</f>
        <v>#REF!</v>
      </c>
      <c r="IP409" t="e">
        <f>AND(#REF!,"AAAAAD53/Pk=")</f>
        <v>#REF!</v>
      </c>
      <c r="IQ409" t="e">
        <f>AND(#REF!,"AAAAAD53/Po=")</f>
        <v>#REF!</v>
      </c>
      <c r="IR409" t="e">
        <f>AND(#REF!,"AAAAAD53/Ps=")</f>
        <v>#REF!</v>
      </c>
      <c r="IS409" t="e">
        <f>AND(#REF!,"AAAAAD53/Pw=")</f>
        <v>#REF!</v>
      </c>
      <c r="IT409" t="e">
        <f>IF(#REF!,"AAAAAD53/P0=",0)</f>
        <v>#REF!</v>
      </c>
      <c r="IU409" t="e">
        <f>AND(#REF!,"AAAAAD53/P4=")</f>
        <v>#REF!</v>
      </c>
      <c r="IV409" t="e">
        <f>AND(#REF!,"AAAAAD53/P8=")</f>
        <v>#REF!</v>
      </c>
    </row>
    <row r="410" spans="1:256" x14ac:dyDescent="0.25">
      <c r="A410" t="e">
        <f>AND(#REF!,"AAAAAF//vwA=")</f>
        <v>#REF!</v>
      </c>
      <c r="B410" t="e">
        <f>AND(#REF!,"AAAAAF//vwE=")</f>
        <v>#REF!</v>
      </c>
      <c r="C410" t="e">
        <f>AND(#REF!,"AAAAAF//vwI=")</f>
        <v>#REF!</v>
      </c>
      <c r="D410" t="e">
        <f>AND(#REF!,"AAAAAF//vwM=")</f>
        <v>#REF!</v>
      </c>
      <c r="E410" t="e">
        <f>AND(#REF!,"AAAAAF//vwQ=")</f>
        <v>#REF!</v>
      </c>
      <c r="F410" t="e">
        <f>AND(#REF!,"AAAAAF//vwU=")</f>
        <v>#REF!</v>
      </c>
      <c r="G410" t="e">
        <f>AND(#REF!,"AAAAAF//vwY=")</f>
        <v>#REF!</v>
      </c>
      <c r="H410" t="e">
        <f>AND(#REF!,"AAAAAF//vwc=")</f>
        <v>#REF!</v>
      </c>
      <c r="I410" t="e">
        <f>IF(#REF!,"AAAAAF//vwg=",0)</f>
        <v>#REF!</v>
      </c>
      <c r="J410" t="e">
        <f>AND(#REF!,"AAAAAF//vwk=")</f>
        <v>#REF!</v>
      </c>
      <c r="K410" t="e">
        <f>AND(#REF!,"AAAAAF//vwo=")</f>
        <v>#REF!</v>
      </c>
      <c r="L410" t="e">
        <f>AND(#REF!,"AAAAAF//vws=")</f>
        <v>#REF!</v>
      </c>
      <c r="M410" t="e">
        <f>AND(#REF!,"AAAAAF//vww=")</f>
        <v>#REF!</v>
      </c>
      <c r="N410" t="e">
        <f>AND(#REF!,"AAAAAF//vw0=")</f>
        <v>#REF!</v>
      </c>
      <c r="O410" t="e">
        <f>AND(#REF!,"AAAAAF//vw4=")</f>
        <v>#REF!</v>
      </c>
      <c r="P410" t="e">
        <f>AND(#REF!,"AAAAAF//vw8=")</f>
        <v>#REF!</v>
      </c>
      <c r="Q410" t="e">
        <f>AND(#REF!,"AAAAAF//vxA=")</f>
        <v>#REF!</v>
      </c>
      <c r="R410" t="e">
        <f>AND(#REF!,"AAAAAF//vxE=")</f>
        <v>#REF!</v>
      </c>
      <c r="S410" t="e">
        <f>AND(#REF!,"AAAAAF//vxI=")</f>
        <v>#REF!</v>
      </c>
      <c r="T410" t="e">
        <f>IF(#REF!,"AAAAAF//vxM=",0)</f>
        <v>#REF!</v>
      </c>
      <c r="U410" t="e">
        <f>AND(#REF!,"AAAAAF//vxQ=")</f>
        <v>#REF!</v>
      </c>
      <c r="V410" t="e">
        <f>AND(#REF!,"AAAAAF//vxU=")</f>
        <v>#REF!</v>
      </c>
      <c r="W410" t="e">
        <f>AND(#REF!,"AAAAAF//vxY=")</f>
        <v>#REF!</v>
      </c>
      <c r="X410" t="e">
        <f>AND(#REF!,"AAAAAF//vxc=")</f>
        <v>#REF!</v>
      </c>
      <c r="Y410" t="e">
        <f>AND(#REF!,"AAAAAF//vxg=")</f>
        <v>#REF!</v>
      </c>
      <c r="Z410" t="e">
        <f>AND(#REF!,"AAAAAF//vxk=")</f>
        <v>#REF!</v>
      </c>
      <c r="AA410" t="e">
        <f>AND(#REF!,"AAAAAF//vxo=")</f>
        <v>#REF!</v>
      </c>
      <c r="AB410" t="e">
        <f>AND(#REF!,"AAAAAF//vxs=")</f>
        <v>#REF!</v>
      </c>
      <c r="AC410" t="e">
        <f>AND(#REF!,"AAAAAF//vxw=")</f>
        <v>#REF!</v>
      </c>
      <c r="AD410" t="e">
        <f>AND(#REF!,"AAAAAF//vx0=")</f>
        <v>#REF!</v>
      </c>
      <c r="AE410" t="e">
        <f>IF(#REF!,"AAAAAF//vx4=",0)</f>
        <v>#REF!</v>
      </c>
      <c r="AF410" t="e">
        <f>AND(#REF!,"AAAAAF//vx8=")</f>
        <v>#REF!</v>
      </c>
      <c r="AG410" t="e">
        <f>AND(#REF!,"AAAAAF//vyA=")</f>
        <v>#REF!</v>
      </c>
      <c r="AH410" t="e">
        <f>AND(#REF!,"AAAAAF//vyE=")</f>
        <v>#REF!</v>
      </c>
      <c r="AI410" t="e">
        <f>AND(#REF!,"AAAAAF//vyI=")</f>
        <v>#REF!</v>
      </c>
      <c r="AJ410" t="e">
        <f>AND(#REF!,"AAAAAF//vyM=")</f>
        <v>#REF!</v>
      </c>
      <c r="AK410" t="e">
        <f>AND(#REF!,"AAAAAF//vyQ=")</f>
        <v>#REF!</v>
      </c>
      <c r="AL410" t="e">
        <f>AND(#REF!,"AAAAAF//vyU=")</f>
        <v>#REF!</v>
      </c>
      <c r="AM410" t="e">
        <f>AND(#REF!,"AAAAAF//vyY=")</f>
        <v>#REF!</v>
      </c>
      <c r="AN410" t="e">
        <f>AND(#REF!,"AAAAAF//vyc=")</f>
        <v>#REF!</v>
      </c>
      <c r="AO410" t="e">
        <f>AND(#REF!,"AAAAAF//vyg=")</f>
        <v>#REF!</v>
      </c>
      <c r="AP410" t="e">
        <f>IF(#REF!,"AAAAAF//vyk=",0)</f>
        <v>#REF!</v>
      </c>
      <c r="AQ410" t="e">
        <f>AND(#REF!,"AAAAAF//vyo=")</f>
        <v>#REF!</v>
      </c>
      <c r="AR410" t="e">
        <f>AND(#REF!,"AAAAAF//vys=")</f>
        <v>#REF!</v>
      </c>
      <c r="AS410" t="e">
        <f>AND(#REF!,"AAAAAF//vyw=")</f>
        <v>#REF!</v>
      </c>
      <c r="AT410" t="e">
        <f>AND(#REF!,"AAAAAF//vy0=")</f>
        <v>#REF!</v>
      </c>
      <c r="AU410" t="e">
        <f>AND(#REF!,"AAAAAF//vy4=")</f>
        <v>#REF!</v>
      </c>
      <c r="AV410" t="e">
        <f>AND(#REF!,"AAAAAF//vy8=")</f>
        <v>#REF!</v>
      </c>
      <c r="AW410" t="e">
        <f>AND(#REF!,"AAAAAF//vzA=")</f>
        <v>#REF!</v>
      </c>
      <c r="AX410" t="e">
        <f>AND(#REF!,"AAAAAF//vzE=")</f>
        <v>#REF!</v>
      </c>
      <c r="AY410" t="e">
        <f>AND(#REF!,"AAAAAF//vzI=")</f>
        <v>#REF!</v>
      </c>
      <c r="AZ410" t="e">
        <f>AND(#REF!,"AAAAAF//vzM=")</f>
        <v>#REF!</v>
      </c>
      <c r="BA410" t="e">
        <f>IF(#REF!,"AAAAAF//vzQ=",0)</f>
        <v>#REF!</v>
      </c>
      <c r="BB410" t="e">
        <f>AND(#REF!,"AAAAAF//vzU=")</f>
        <v>#REF!</v>
      </c>
      <c r="BC410" t="e">
        <f>AND(#REF!,"AAAAAF//vzY=")</f>
        <v>#REF!</v>
      </c>
      <c r="BD410" t="e">
        <f>AND(#REF!,"AAAAAF//vzc=")</f>
        <v>#REF!</v>
      </c>
      <c r="BE410" t="e">
        <f>AND(#REF!,"AAAAAF//vzg=")</f>
        <v>#REF!</v>
      </c>
      <c r="BF410" t="e">
        <f>AND(#REF!,"AAAAAF//vzk=")</f>
        <v>#REF!</v>
      </c>
      <c r="BG410" t="e">
        <f>AND(#REF!,"AAAAAF//vzo=")</f>
        <v>#REF!</v>
      </c>
      <c r="BH410" t="e">
        <f>AND(#REF!,"AAAAAF//vzs=")</f>
        <v>#REF!</v>
      </c>
      <c r="BI410" t="e">
        <f>AND(#REF!,"AAAAAF//vzw=")</f>
        <v>#REF!</v>
      </c>
      <c r="BJ410" t="e">
        <f>AND(#REF!,"AAAAAF//vz0=")</f>
        <v>#REF!</v>
      </c>
      <c r="BK410" t="e">
        <f>AND(#REF!,"AAAAAF//vz4=")</f>
        <v>#REF!</v>
      </c>
      <c r="BL410" t="e">
        <f>IF(#REF!,"AAAAAF//vz8=",0)</f>
        <v>#REF!</v>
      </c>
      <c r="BM410" t="e">
        <f>AND(#REF!,"AAAAAF//v0A=")</f>
        <v>#REF!</v>
      </c>
      <c r="BN410" t="e">
        <f>AND(#REF!,"AAAAAF//v0E=")</f>
        <v>#REF!</v>
      </c>
      <c r="BO410" t="e">
        <f>AND(#REF!,"AAAAAF//v0I=")</f>
        <v>#REF!</v>
      </c>
      <c r="BP410" t="e">
        <f>AND(#REF!,"AAAAAF//v0M=")</f>
        <v>#REF!</v>
      </c>
      <c r="BQ410" t="e">
        <f>AND(#REF!,"AAAAAF//v0Q=")</f>
        <v>#REF!</v>
      </c>
      <c r="BR410" t="e">
        <f>AND(#REF!,"AAAAAF//v0U=")</f>
        <v>#REF!</v>
      </c>
      <c r="BS410" t="e">
        <f>AND(#REF!,"AAAAAF//v0Y=")</f>
        <v>#REF!</v>
      </c>
      <c r="BT410" t="e">
        <f>AND(#REF!,"AAAAAF//v0c=")</f>
        <v>#REF!</v>
      </c>
      <c r="BU410" t="e">
        <f>AND(#REF!,"AAAAAF//v0g=")</f>
        <v>#REF!</v>
      </c>
      <c r="BV410" t="e">
        <f>AND(#REF!,"AAAAAF//v0k=")</f>
        <v>#REF!</v>
      </c>
      <c r="BW410" t="e">
        <f>IF(#REF!,"AAAAAF//v0o=",0)</f>
        <v>#REF!</v>
      </c>
      <c r="BX410" t="e">
        <f>AND(#REF!,"AAAAAF//v0s=")</f>
        <v>#REF!</v>
      </c>
      <c r="BY410" t="e">
        <f>AND(#REF!,"AAAAAF//v0w=")</f>
        <v>#REF!</v>
      </c>
      <c r="BZ410" t="e">
        <f>AND(#REF!,"AAAAAF//v00=")</f>
        <v>#REF!</v>
      </c>
      <c r="CA410" t="e">
        <f>AND(#REF!,"AAAAAF//v04=")</f>
        <v>#REF!</v>
      </c>
      <c r="CB410" t="e">
        <f>AND(#REF!,"AAAAAF//v08=")</f>
        <v>#REF!</v>
      </c>
      <c r="CC410" t="e">
        <f>AND(#REF!,"AAAAAF//v1A=")</f>
        <v>#REF!</v>
      </c>
      <c r="CD410" t="e">
        <f>AND(#REF!,"AAAAAF//v1E=")</f>
        <v>#REF!</v>
      </c>
      <c r="CE410" t="e">
        <f>AND(#REF!,"AAAAAF//v1I=")</f>
        <v>#REF!</v>
      </c>
      <c r="CF410" t="e">
        <f>AND(#REF!,"AAAAAF//v1M=")</f>
        <v>#REF!</v>
      </c>
      <c r="CG410" t="e">
        <f>AND(#REF!,"AAAAAF//v1Q=")</f>
        <v>#REF!</v>
      </c>
      <c r="CH410" t="e">
        <f>IF(#REF!,"AAAAAF//v1U=",0)</f>
        <v>#REF!</v>
      </c>
      <c r="CI410" t="e">
        <f>AND(#REF!,"AAAAAF//v1Y=")</f>
        <v>#REF!</v>
      </c>
      <c r="CJ410" t="e">
        <f>AND(#REF!,"AAAAAF//v1c=")</f>
        <v>#REF!</v>
      </c>
      <c r="CK410" t="e">
        <f>AND(#REF!,"AAAAAF//v1g=")</f>
        <v>#REF!</v>
      </c>
      <c r="CL410" t="e">
        <f>AND(#REF!,"AAAAAF//v1k=")</f>
        <v>#REF!</v>
      </c>
      <c r="CM410" t="e">
        <f>AND(#REF!,"AAAAAF//v1o=")</f>
        <v>#REF!</v>
      </c>
      <c r="CN410" t="e">
        <f>AND(#REF!,"AAAAAF//v1s=")</f>
        <v>#REF!</v>
      </c>
      <c r="CO410" t="e">
        <f>AND(#REF!,"AAAAAF//v1w=")</f>
        <v>#REF!</v>
      </c>
      <c r="CP410" t="e">
        <f>AND(#REF!,"AAAAAF//v10=")</f>
        <v>#REF!</v>
      </c>
      <c r="CQ410" t="e">
        <f>AND(#REF!,"AAAAAF//v14=")</f>
        <v>#REF!</v>
      </c>
      <c r="CR410" t="e">
        <f>AND(#REF!,"AAAAAF//v18=")</f>
        <v>#REF!</v>
      </c>
      <c r="CS410" t="e">
        <f>IF(#REF!,"AAAAAF//v2A=",0)</f>
        <v>#REF!</v>
      </c>
      <c r="CT410" t="e">
        <f>AND(#REF!,"AAAAAF//v2E=")</f>
        <v>#REF!</v>
      </c>
      <c r="CU410" t="e">
        <f>AND(#REF!,"AAAAAF//v2I=")</f>
        <v>#REF!</v>
      </c>
      <c r="CV410" t="e">
        <f>AND(#REF!,"AAAAAF//v2M=")</f>
        <v>#REF!</v>
      </c>
      <c r="CW410" t="e">
        <f>AND(#REF!,"AAAAAF//v2Q=")</f>
        <v>#REF!</v>
      </c>
      <c r="CX410" t="e">
        <f>AND(#REF!,"AAAAAF//v2U=")</f>
        <v>#REF!</v>
      </c>
      <c r="CY410" t="e">
        <f>AND(#REF!,"AAAAAF//v2Y=")</f>
        <v>#REF!</v>
      </c>
      <c r="CZ410" t="e">
        <f>AND(#REF!,"AAAAAF//v2c=")</f>
        <v>#REF!</v>
      </c>
      <c r="DA410" t="e">
        <f>AND(#REF!,"AAAAAF//v2g=")</f>
        <v>#REF!</v>
      </c>
      <c r="DB410" t="e">
        <f>AND(#REF!,"AAAAAF//v2k=")</f>
        <v>#REF!</v>
      </c>
      <c r="DC410" t="e">
        <f>AND(#REF!,"AAAAAF//v2o=")</f>
        <v>#REF!</v>
      </c>
      <c r="DD410" t="e">
        <f>IF(#REF!,"AAAAAF//v2s=",0)</f>
        <v>#REF!</v>
      </c>
      <c r="DE410" t="e">
        <f>AND(#REF!,"AAAAAF//v2w=")</f>
        <v>#REF!</v>
      </c>
      <c r="DF410" t="e">
        <f>AND(#REF!,"AAAAAF//v20=")</f>
        <v>#REF!</v>
      </c>
      <c r="DG410" t="e">
        <f>AND(#REF!,"AAAAAF//v24=")</f>
        <v>#REF!</v>
      </c>
      <c r="DH410" t="e">
        <f>AND(#REF!,"AAAAAF//v28=")</f>
        <v>#REF!</v>
      </c>
      <c r="DI410" t="e">
        <f>AND(#REF!,"AAAAAF//v3A=")</f>
        <v>#REF!</v>
      </c>
      <c r="DJ410" t="e">
        <f>AND(#REF!,"AAAAAF//v3E=")</f>
        <v>#REF!</v>
      </c>
      <c r="DK410" t="e">
        <f>AND(#REF!,"AAAAAF//v3I=")</f>
        <v>#REF!</v>
      </c>
      <c r="DL410" t="e">
        <f>AND(#REF!,"AAAAAF//v3M=")</f>
        <v>#REF!</v>
      </c>
      <c r="DM410" t="e">
        <f>AND(#REF!,"AAAAAF//v3Q=")</f>
        <v>#REF!</v>
      </c>
      <c r="DN410" t="e">
        <f>AND(#REF!,"AAAAAF//v3U=")</f>
        <v>#REF!</v>
      </c>
      <c r="DO410" t="e">
        <f>IF(#REF!,"AAAAAF//v3Y=",0)</f>
        <v>#REF!</v>
      </c>
      <c r="DP410" t="e">
        <f>AND(#REF!,"AAAAAF//v3c=")</f>
        <v>#REF!</v>
      </c>
      <c r="DQ410" t="e">
        <f>AND(#REF!,"AAAAAF//v3g=")</f>
        <v>#REF!</v>
      </c>
      <c r="DR410" t="e">
        <f>AND(#REF!,"AAAAAF//v3k=")</f>
        <v>#REF!</v>
      </c>
      <c r="DS410" t="e">
        <f>AND(#REF!,"AAAAAF//v3o=")</f>
        <v>#REF!</v>
      </c>
      <c r="DT410" t="e">
        <f>AND(#REF!,"AAAAAF//v3s=")</f>
        <v>#REF!</v>
      </c>
      <c r="DU410" t="e">
        <f>AND(#REF!,"AAAAAF//v3w=")</f>
        <v>#REF!</v>
      </c>
      <c r="DV410" t="e">
        <f>AND(#REF!,"AAAAAF//v30=")</f>
        <v>#REF!</v>
      </c>
      <c r="DW410" t="e">
        <f>AND(#REF!,"AAAAAF//v34=")</f>
        <v>#REF!</v>
      </c>
      <c r="DX410" t="e">
        <f>AND(#REF!,"AAAAAF//v38=")</f>
        <v>#REF!</v>
      </c>
      <c r="DY410" t="e">
        <f>AND(#REF!,"AAAAAF//v4A=")</f>
        <v>#REF!</v>
      </c>
      <c r="DZ410" t="e">
        <f>IF(#REF!,"AAAAAF//v4E=",0)</f>
        <v>#REF!</v>
      </c>
      <c r="EA410" t="e">
        <f>AND(#REF!,"AAAAAF//v4I=")</f>
        <v>#REF!</v>
      </c>
      <c r="EB410" t="e">
        <f>AND(#REF!,"AAAAAF//v4M=")</f>
        <v>#REF!</v>
      </c>
      <c r="EC410" t="e">
        <f>AND(#REF!,"AAAAAF//v4Q=")</f>
        <v>#REF!</v>
      </c>
      <c r="ED410" t="e">
        <f>AND(#REF!,"AAAAAF//v4U=")</f>
        <v>#REF!</v>
      </c>
      <c r="EE410" t="e">
        <f>AND(#REF!,"AAAAAF//v4Y=")</f>
        <v>#REF!</v>
      </c>
      <c r="EF410" t="e">
        <f>AND(#REF!,"AAAAAF//v4c=")</f>
        <v>#REF!</v>
      </c>
      <c r="EG410" t="e">
        <f>AND(#REF!,"AAAAAF//v4g=")</f>
        <v>#REF!</v>
      </c>
      <c r="EH410" t="e">
        <f>AND(#REF!,"AAAAAF//v4k=")</f>
        <v>#REF!</v>
      </c>
      <c r="EI410" t="e">
        <f>AND(#REF!,"AAAAAF//v4o=")</f>
        <v>#REF!</v>
      </c>
      <c r="EJ410" t="e">
        <f>AND(#REF!,"AAAAAF//v4s=")</f>
        <v>#REF!</v>
      </c>
      <c r="EK410" t="e">
        <f>IF(#REF!,"AAAAAF//v4w=",0)</f>
        <v>#REF!</v>
      </c>
      <c r="EL410" t="e">
        <f>AND(#REF!,"AAAAAF//v40=")</f>
        <v>#REF!</v>
      </c>
      <c r="EM410" t="e">
        <f>AND(#REF!,"AAAAAF//v44=")</f>
        <v>#REF!</v>
      </c>
      <c r="EN410" t="e">
        <f>AND(#REF!,"AAAAAF//v48=")</f>
        <v>#REF!</v>
      </c>
      <c r="EO410" t="e">
        <f>AND(#REF!,"AAAAAF//v5A=")</f>
        <v>#REF!</v>
      </c>
      <c r="EP410" t="e">
        <f>AND(#REF!,"AAAAAF//v5E=")</f>
        <v>#REF!</v>
      </c>
      <c r="EQ410" t="e">
        <f>AND(#REF!,"AAAAAF//v5I=")</f>
        <v>#REF!</v>
      </c>
      <c r="ER410" t="e">
        <f>AND(#REF!,"AAAAAF//v5M=")</f>
        <v>#REF!</v>
      </c>
      <c r="ES410" t="e">
        <f>AND(#REF!,"AAAAAF//v5Q=")</f>
        <v>#REF!</v>
      </c>
      <c r="ET410" t="e">
        <f>AND(#REF!,"AAAAAF//v5U=")</f>
        <v>#REF!</v>
      </c>
      <c r="EU410" t="e">
        <f>AND(#REF!,"AAAAAF//v5Y=")</f>
        <v>#REF!</v>
      </c>
      <c r="EV410" t="e">
        <f>IF(#REF!,"AAAAAF//v5c=",0)</f>
        <v>#REF!</v>
      </c>
      <c r="EW410" t="e">
        <f>AND(#REF!,"AAAAAF//v5g=")</f>
        <v>#REF!</v>
      </c>
      <c r="EX410" t="e">
        <f>AND(#REF!,"AAAAAF//v5k=")</f>
        <v>#REF!</v>
      </c>
      <c r="EY410" t="e">
        <f>AND(#REF!,"AAAAAF//v5o=")</f>
        <v>#REF!</v>
      </c>
      <c r="EZ410" t="e">
        <f>AND(#REF!,"AAAAAF//v5s=")</f>
        <v>#REF!</v>
      </c>
      <c r="FA410" t="e">
        <f>AND(#REF!,"AAAAAF//v5w=")</f>
        <v>#REF!</v>
      </c>
      <c r="FB410" t="e">
        <f>AND(#REF!,"AAAAAF//v50=")</f>
        <v>#REF!</v>
      </c>
      <c r="FC410" t="e">
        <f>AND(#REF!,"AAAAAF//v54=")</f>
        <v>#REF!</v>
      </c>
      <c r="FD410" t="e">
        <f>AND(#REF!,"AAAAAF//v58=")</f>
        <v>#REF!</v>
      </c>
      <c r="FE410" t="e">
        <f>AND(#REF!,"AAAAAF//v6A=")</f>
        <v>#REF!</v>
      </c>
      <c r="FF410" t="e">
        <f>AND(#REF!,"AAAAAF//v6E=")</f>
        <v>#REF!</v>
      </c>
      <c r="FG410" t="e">
        <f>IF(#REF!,"AAAAAF//v6I=",0)</f>
        <v>#REF!</v>
      </c>
      <c r="FH410" t="e">
        <f>AND(#REF!,"AAAAAF//v6M=")</f>
        <v>#REF!</v>
      </c>
      <c r="FI410" t="e">
        <f>AND(#REF!,"AAAAAF//v6Q=")</f>
        <v>#REF!</v>
      </c>
      <c r="FJ410" t="e">
        <f>AND(#REF!,"AAAAAF//v6U=")</f>
        <v>#REF!</v>
      </c>
      <c r="FK410" t="e">
        <f>AND(#REF!,"AAAAAF//v6Y=")</f>
        <v>#REF!</v>
      </c>
      <c r="FL410" t="e">
        <f>AND(#REF!,"AAAAAF//v6c=")</f>
        <v>#REF!</v>
      </c>
      <c r="FM410" t="e">
        <f>AND(#REF!,"AAAAAF//v6g=")</f>
        <v>#REF!</v>
      </c>
      <c r="FN410" t="e">
        <f>AND(#REF!,"AAAAAF//v6k=")</f>
        <v>#REF!</v>
      </c>
      <c r="FO410" t="e">
        <f>AND(#REF!,"AAAAAF//v6o=")</f>
        <v>#REF!</v>
      </c>
      <c r="FP410" t="e">
        <f>AND(#REF!,"AAAAAF//v6s=")</f>
        <v>#REF!</v>
      </c>
      <c r="FQ410" t="e">
        <f>AND(#REF!,"AAAAAF//v6w=")</f>
        <v>#REF!</v>
      </c>
      <c r="FR410" t="e">
        <f>IF(#REF!,"AAAAAF//v60=",0)</f>
        <v>#REF!</v>
      </c>
      <c r="FS410" t="e">
        <f>AND(#REF!,"AAAAAF//v64=")</f>
        <v>#REF!</v>
      </c>
      <c r="FT410" t="e">
        <f>AND(#REF!,"AAAAAF//v68=")</f>
        <v>#REF!</v>
      </c>
      <c r="FU410" t="e">
        <f>AND(#REF!,"AAAAAF//v7A=")</f>
        <v>#REF!</v>
      </c>
      <c r="FV410" t="e">
        <f>AND(#REF!,"AAAAAF//v7E=")</f>
        <v>#REF!</v>
      </c>
      <c r="FW410" t="e">
        <f>AND(#REF!,"AAAAAF//v7I=")</f>
        <v>#REF!</v>
      </c>
      <c r="FX410" t="e">
        <f>AND(#REF!,"AAAAAF//v7M=")</f>
        <v>#REF!</v>
      </c>
      <c r="FY410" t="e">
        <f>AND(#REF!,"AAAAAF//v7Q=")</f>
        <v>#REF!</v>
      </c>
      <c r="FZ410" t="e">
        <f>AND(#REF!,"AAAAAF//v7U=")</f>
        <v>#REF!</v>
      </c>
      <c r="GA410" t="e">
        <f>AND(#REF!,"AAAAAF//v7Y=")</f>
        <v>#REF!</v>
      </c>
      <c r="GB410" t="e">
        <f>AND(#REF!,"AAAAAF//v7c=")</f>
        <v>#REF!</v>
      </c>
      <c r="GC410" t="e">
        <f>IF(#REF!,"AAAAAF//v7g=",0)</f>
        <v>#REF!</v>
      </c>
      <c r="GD410" t="e">
        <f>AND(#REF!,"AAAAAF//v7k=")</f>
        <v>#REF!</v>
      </c>
      <c r="GE410" t="e">
        <f>AND(#REF!,"AAAAAF//v7o=")</f>
        <v>#REF!</v>
      </c>
      <c r="GF410" t="e">
        <f>AND(#REF!,"AAAAAF//v7s=")</f>
        <v>#REF!</v>
      </c>
      <c r="GG410" t="e">
        <f>AND(#REF!,"AAAAAF//v7w=")</f>
        <v>#REF!</v>
      </c>
      <c r="GH410" t="e">
        <f>AND(#REF!,"AAAAAF//v70=")</f>
        <v>#REF!</v>
      </c>
      <c r="GI410" t="e">
        <f>AND(#REF!,"AAAAAF//v74=")</f>
        <v>#REF!</v>
      </c>
      <c r="GJ410" t="e">
        <f>AND(#REF!,"AAAAAF//v78=")</f>
        <v>#REF!</v>
      </c>
      <c r="GK410" t="e">
        <f>AND(#REF!,"AAAAAF//v8A=")</f>
        <v>#REF!</v>
      </c>
      <c r="GL410" t="e">
        <f>AND(#REF!,"AAAAAF//v8E=")</f>
        <v>#REF!</v>
      </c>
      <c r="GM410" t="e">
        <f>AND(#REF!,"AAAAAF//v8I=")</f>
        <v>#REF!</v>
      </c>
      <c r="GN410" t="e">
        <f>IF(#REF!,"AAAAAF//v8M=",0)</f>
        <v>#REF!</v>
      </c>
      <c r="GO410" t="e">
        <f>AND(#REF!,"AAAAAF//v8Q=")</f>
        <v>#REF!</v>
      </c>
      <c r="GP410" t="e">
        <f>AND(#REF!,"AAAAAF//v8U=")</f>
        <v>#REF!</v>
      </c>
      <c r="GQ410" t="e">
        <f>AND(#REF!,"AAAAAF//v8Y=")</f>
        <v>#REF!</v>
      </c>
      <c r="GR410" t="e">
        <f>AND(#REF!,"AAAAAF//v8c=")</f>
        <v>#REF!</v>
      </c>
      <c r="GS410" t="e">
        <f>AND(#REF!,"AAAAAF//v8g=")</f>
        <v>#REF!</v>
      </c>
      <c r="GT410" t="e">
        <f>AND(#REF!,"AAAAAF//v8k=")</f>
        <v>#REF!</v>
      </c>
      <c r="GU410" t="e">
        <f>AND(#REF!,"AAAAAF//v8o=")</f>
        <v>#REF!</v>
      </c>
      <c r="GV410" t="e">
        <f>AND(#REF!,"AAAAAF//v8s=")</f>
        <v>#REF!</v>
      </c>
      <c r="GW410" t="e">
        <f>AND(#REF!,"AAAAAF//v8w=")</f>
        <v>#REF!</v>
      </c>
      <c r="GX410" t="e">
        <f>AND(#REF!,"AAAAAF//v80=")</f>
        <v>#REF!</v>
      </c>
      <c r="GY410" t="e">
        <f>IF(#REF!,"AAAAAF//v84=",0)</f>
        <v>#REF!</v>
      </c>
      <c r="GZ410" t="e">
        <f>AND(#REF!,"AAAAAF//v88=")</f>
        <v>#REF!</v>
      </c>
      <c r="HA410" t="e">
        <f>AND(#REF!,"AAAAAF//v9A=")</f>
        <v>#REF!</v>
      </c>
      <c r="HB410" t="e">
        <f>AND(#REF!,"AAAAAF//v9E=")</f>
        <v>#REF!</v>
      </c>
      <c r="HC410" t="e">
        <f>AND(#REF!,"AAAAAF//v9I=")</f>
        <v>#REF!</v>
      </c>
      <c r="HD410" t="e">
        <f>AND(#REF!,"AAAAAF//v9M=")</f>
        <v>#REF!</v>
      </c>
      <c r="HE410" t="e">
        <f>AND(#REF!,"AAAAAF//v9Q=")</f>
        <v>#REF!</v>
      </c>
      <c r="HF410" t="e">
        <f>AND(#REF!,"AAAAAF//v9U=")</f>
        <v>#REF!</v>
      </c>
      <c r="HG410" t="e">
        <f>AND(#REF!,"AAAAAF//v9Y=")</f>
        <v>#REF!</v>
      </c>
      <c r="HH410" t="e">
        <f>AND(#REF!,"AAAAAF//v9c=")</f>
        <v>#REF!</v>
      </c>
      <c r="HI410" t="e">
        <f>AND(#REF!,"AAAAAF//v9g=")</f>
        <v>#REF!</v>
      </c>
      <c r="HJ410" t="e">
        <f>IF(#REF!,"AAAAAF//v9k=",0)</f>
        <v>#REF!</v>
      </c>
      <c r="HK410" t="e">
        <f>AND(#REF!,"AAAAAF//v9o=")</f>
        <v>#REF!</v>
      </c>
      <c r="HL410" t="e">
        <f>AND(#REF!,"AAAAAF//v9s=")</f>
        <v>#REF!</v>
      </c>
      <c r="HM410" t="e">
        <f>AND(#REF!,"AAAAAF//v9w=")</f>
        <v>#REF!</v>
      </c>
      <c r="HN410" t="e">
        <f>AND(#REF!,"AAAAAF//v90=")</f>
        <v>#REF!</v>
      </c>
      <c r="HO410" t="e">
        <f>AND(#REF!,"AAAAAF//v94=")</f>
        <v>#REF!</v>
      </c>
      <c r="HP410" t="e">
        <f>AND(#REF!,"AAAAAF//v98=")</f>
        <v>#REF!</v>
      </c>
      <c r="HQ410" t="e">
        <f>AND(#REF!,"AAAAAF//v+A=")</f>
        <v>#REF!</v>
      </c>
      <c r="HR410" t="e">
        <f>AND(#REF!,"AAAAAF//v+E=")</f>
        <v>#REF!</v>
      </c>
      <c r="HS410" t="e">
        <f>AND(#REF!,"AAAAAF//v+I=")</f>
        <v>#REF!</v>
      </c>
      <c r="HT410" t="e">
        <f>AND(#REF!,"AAAAAF//v+M=")</f>
        <v>#REF!</v>
      </c>
      <c r="HU410" t="e">
        <f>IF(#REF!,"AAAAAF//v+Q=",0)</f>
        <v>#REF!</v>
      </c>
      <c r="HV410" t="e">
        <f>AND(#REF!,"AAAAAF//v+U=")</f>
        <v>#REF!</v>
      </c>
      <c r="HW410" t="e">
        <f>AND(#REF!,"AAAAAF//v+Y=")</f>
        <v>#REF!</v>
      </c>
      <c r="HX410" t="e">
        <f>AND(#REF!,"AAAAAF//v+c=")</f>
        <v>#REF!</v>
      </c>
      <c r="HY410" t="e">
        <f>AND(#REF!,"AAAAAF//v+g=")</f>
        <v>#REF!</v>
      </c>
      <c r="HZ410" t="e">
        <f>AND(#REF!,"AAAAAF//v+k=")</f>
        <v>#REF!</v>
      </c>
      <c r="IA410" t="e">
        <f>AND(#REF!,"AAAAAF//v+o=")</f>
        <v>#REF!</v>
      </c>
      <c r="IB410" t="e">
        <f>AND(#REF!,"AAAAAF//v+s=")</f>
        <v>#REF!</v>
      </c>
      <c r="IC410" t="e">
        <f>AND(#REF!,"AAAAAF//v+w=")</f>
        <v>#REF!</v>
      </c>
      <c r="ID410" t="e">
        <f>AND(#REF!,"AAAAAF//v+0=")</f>
        <v>#REF!</v>
      </c>
      <c r="IE410" t="e">
        <f>AND(#REF!,"AAAAAF//v+4=")</f>
        <v>#REF!</v>
      </c>
      <c r="IF410" t="e">
        <f>IF(#REF!,"AAAAAF//v+8=",0)</f>
        <v>#REF!</v>
      </c>
      <c r="IG410" t="e">
        <f>AND(#REF!,"AAAAAF//v/A=")</f>
        <v>#REF!</v>
      </c>
      <c r="IH410" t="e">
        <f>AND(#REF!,"AAAAAF//v/E=")</f>
        <v>#REF!</v>
      </c>
      <c r="II410" t="e">
        <f>AND(#REF!,"AAAAAF//v/I=")</f>
        <v>#REF!</v>
      </c>
      <c r="IJ410" t="e">
        <f>AND(#REF!,"AAAAAF//v/M=")</f>
        <v>#REF!</v>
      </c>
      <c r="IK410" t="e">
        <f>AND(#REF!,"AAAAAF//v/Q=")</f>
        <v>#REF!</v>
      </c>
      <c r="IL410" t="e">
        <f>AND(#REF!,"AAAAAF//v/U=")</f>
        <v>#REF!</v>
      </c>
      <c r="IM410" t="e">
        <f>AND(#REF!,"AAAAAF//v/Y=")</f>
        <v>#REF!</v>
      </c>
      <c r="IN410" t="e">
        <f>AND(#REF!,"AAAAAF//v/c=")</f>
        <v>#REF!</v>
      </c>
      <c r="IO410" t="e">
        <f>AND(#REF!,"AAAAAF//v/g=")</f>
        <v>#REF!</v>
      </c>
      <c r="IP410" t="e">
        <f>AND(#REF!,"AAAAAF//v/k=")</f>
        <v>#REF!</v>
      </c>
      <c r="IQ410" t="e">
        <f>IF(#REF!,"AAAAAF//v/o=",0)</f>
        <v>#REF!</v>
      </c>
      <c r="IR410" t="e">
        <f>AND(#REF!,"AAAAAF//v/s=")</f>
        <v>#REF!</v>
      </c>
      <c r="IS410" t="e">
        <f>AND(#REF!,"AAAAAF//v/w=")</f>
        <v>#REF!</v>
      </c>
      <c r="IT410" t="e">
        <f>AND(#REF!,"AAAAAF//v/0=")</f>
        <v>#REF!</v>
      </c>
      <c r="IU410" t="e">
        <f>AND(#REF!,"AAAAAF//v/4=")</f>
        <v>#REF!</v>
      </c>
      <c r="IV410" t="e">
        <f>AND(#REF!,"AAAAAF//v/8=")</f>
        <v>#REF!</v>
      </c>
    </row>
    <row r="411" spans="1:256" x14ac:dyDescent="0.25">
      <c r="A411" t="e">
        <f>AND(#REF!,"AAAAAA+/3wA=")</f>
        <v>#REF!</v>
      </c>
      <c r="B411" t="e">
        <f>AND(#REF!,"AAAAAA+/3wE=")</f>
        <v>#REF!</v>
      </c>
      <c r="C411" t="e">
        <f>AND(#REF!,"AAAAAA+/3wI=")</f>
        <v>#REF!</v>
      </c>
      <c r="D411" t="e">
        <f>AND(#REF!,"AAAAAA+/3wM=")</f>
        <v>#REF!</v>
      </c>
      <c r="E411" t="e">
        <f>AND(#REF!,"AAAAAA+/3wQ=")</f>
        <v>#REF!</v>
      </c>
      <c r="F411" t="e">
        <f>IF(#REF!,"AAAAAA+/3wU=",0)</f>
        <v>#REF!</v>
      </c>
      <c r="G411" t="e">
        <f>AND(#REF!,"AAAAAA+/3wY=")</f>
        <v>#REF!</v>
      </c>
      <c r="H411" t="e">
        <f>AND(#REF!,"AAAAAA+/3wc=")</f>
        <v>#REF!</v>
      </c>
      <c r="I411" t="e">
        <f>AND(#REF!,"AAAAAA+/3wg=")</f>
        <v>#REF!</v>
      </c>
      <c r="J411" t="e">
        <f>AND(#REF!,"AAAAAA+/3wk=")</f>
        <v>#REF!</v>
      </c>
      <c r="K411" t="e">
        <f>AND(#REF!,"AAAAAA+/3wo=")</f>
        <v>#REF!</v>
      </c>
      <c r="L411" t="e">
        <f>AND(#REF!,"AAAAAA+/3ws=")</f>
        <v>#REF!</v>
      </c>
      <c r="M411" t="e">
        <f>AND(#REF!,"AAAAAA+/3ww=")</f>
        <v>#REF!</v>
      </c>
      <c r="N411" t="e">
        <f>AND(#REF!,"AAAAAA+/3w0=")</f>
        <v>#REF!</v>
      </c>
      <c r="O411" t="e">
        <f>AND(#REF!,"AAAAAA+/3w4=")</f>
        <v>#REF!</v>
      </c>
      <c r="P411" t="e">
        <f>AND(#REF!,"AAAAAA+/3w8=")</f>
        <v>#REF!</v>
      </c>
      <c r="Q411" t="e">
        <f>IF(#REF!,"AAAAAA+/3xA=",0)</f>
        <v>#REF!</v>
      </c>
      <c r="R411" t="e">
        <f>AND(#REF!,"AAAAAA+/3xE=")</f>
        <v>#REF!</v>
      </c>
      <c r="S411" t="e">
        <f>AND(#REF!,"AAAAAA+/3xI=")</f>
        <v>#REF!</v>
      </c>
      <c r="T411" t="e">
        <f>AND(#REF!,"AAAAAA+/3xM=")</f>
        <v>#REF!</v>
      </c>
      <c r="U411" t="e">
        <f>AND(#REF!,"AAAAAA+/3xQ=")</f>
        <v>#REF!</v>
      </c>
      <c r="V411" t="e">
        <f>AND(#REF!,"AAAAAA+/3xU=")</f>
        <v>#REF!</v>
      </c>
      <c r="W411" t="e">
        <f>AND(#REF!,"AAAAAA+/3xY=")</f>
        <v>#REF!</v>
      </c>
      <c r="X411" t="e">
        <f>AND(#REF!,"AAAAAA+/3xc=")</f>
        <v>#REF!</v>
      </c>
      <c r="Y411" t="e">
        <f>AND(#REF!,"AAAAAA+/3xg=")</f>
        <v>#REF!</v>
      </c>
      <c r="Z411" t="e">
        <f>AND(#REF!,"AAAAAA+/3xk=")</f>
        <v>#REF!</v>
      </c>
      <c r="AA411" t="e">
        <f>AND(#REF!,"AAAAAA+/3xo=")</f>
        <v>#REF!</v>
      </c>
      <c r="AB411" t="e">
        <f>IF(#REF!,"AAAAAA+/3xs=",0)</f>
        <v>#REF!</v>
      </c>
      <c r="AC411" t="e">
        <f>AND(#REF!,"AAAAAA+/3xw=")</f>
        <v>#REF!</v>
      </c>
      <c r="AD411" t="e">
        <f>AND(#REF!,"AAAAAA+/3x0=")</f>
        <v>#REF!</v>
      </c>
      <c r="AE411" t="e">
        <f>AND(#REF!,"AAAAAA+/3x4=")</f>
        <v>#REF!</v>
      </c>
      <c r="AF411" t="e">
        <f>AND(#REF!,"AAAAAA+/3x8=")</f>
        <v>#REF!</v>
      </c>
      <c r="AG411" t="e">
        <f>AND(#REF!,"AAAAAA+/3yA=")</f>
        <v>#REF!</v>
      </c>
      <c r="AH411" t="e">
        <f>AND(#REF!,"AAAAAA+/3yE=")</f>
        <v>#REF!</v>
      </c>
      <c r="AI411" t="e">
        <f>AND(#REF!,"AAAAAA+/3yI=")</f>
        <v>#REF!</v>
      </c>
      <c r="AJ411" t="e">
        <f>AND(#REF!,"AAAAAA+/3yM=")</f>
        <v>#REF!</v>
      </c>
      <c r="AK411" t="e">
        <f>AND(#REF!,"AAAAAA+/3yQ=")</f>
        <v>#REF!</v>
      </c>
      <c r="AL411" t="e">
        <f>AND(#REF!,"AAAAAA+/3yU=")</f>
        <v>#REF!</v>
      </c>
      <c r="AM411" t="e">
        <f>IF(#REF!,"AAAAAA+/3yY=",0)</f>
        <v>#REF!</v>
      </c>
      <c r="AN411" t="e">
        <f>AND(#REF!,"AAAAAA+/3yc=")</f>
        <v>#REF!</v>
      </c>
      <c r="AO411" t="e">
        <f>AND(#REF!,"AAAAAA+/3yg=")</f>
        <v>#REF!</v>
      </c>
      <c r="AP411" t="e">
        <f>AND(#REF!,"AAAAAA+/3yk=")</f>
        <v>#REF!</v>
      </c>
      <c r="AQ411" t="e">
        <f>AND(#REF!,"AAAAAA+/3yo=")</f>
        <v>#REF!</v>
      </c>
      <c r="AR411" t="e">
        <f>AND(#REF!,"AAAAAA+/3ys=")</f>
        <v>#REF!</v>
      </c>
      <c r="AS411" t="e">
        <f>AND(#REF!,"AAAAAA+/3yw=")</f>
        <v>#REF!</v>
      </c>
      <c r="AT411" t="e">
        <f>AND(#REF!,"AAAAAA+/3y0=")</f>
        <v>#REF!</v>
      </c>
      <c r="AU411" t="e">
        <f>AND(#REF!,"AAAAAA+/3y4=")</f>
        <v>#REF!</v>
      </c>
      <c r="AV411" t="e">
        <f>AND(#REF!,"AAAAAA+/3y8=")</f>
        <v>#REF!</v>
      </c>
      <c r="AW411" t="e">
        <f>AND(#REF!,"AAAAAA+/3zA=")</f>
        <v>#REF!</v>
      </c>
      <c r="AX411" t="e">
        <f>IF(#REF!,"AAAAAA+/3zE=",0)</f>
        <v>#REF!</v>
      </c>
      <c r="AY411" t="e">
        <f>AND(#REF!,"AAAAAA+/3zI=")</f>
        <v>#REF!</v>
      </c>
      <c r="AZ411" t="e">
        <f>AND(#REF!,"AAAAAA+/3zM=")</f>
        <v>#REF!</v>
      </c>
      <c r="BA411" t="e">
        <f>AND(#REF!,"AAAAAA+/3zQ=")</f>
        <v>#REF!</v>
      </c>
      <c r="BB411" t="e">
        <f>AND(#REF!,"AAAAAA+/3zU=")</f>
        <v>#REF!</v>
      </c>
      <c r="BC411" t="e">
        <f>AND(#REF!,"AAAAAA+/3zY=")</f>
        <v>#REF!</v>
      </c>
      <c r="BD411" t="e">
        <f>AND(#REF!,"AAAAAA+/3zc=")</f>
        <v>#REF!</v>
      </c>
      <c r="BE411" t="e">
        <f>AND(#REF!,"AAAAAA+/3zg=")</f>
        <v>#REF!</v>
      </c>
      <c r="BF411" t="e">
        <f>AND(#REF!,"AAAAAA+/3zk=")</f>
        <v>#REF!</v>
      </c>
      <c r="BG411" t="e">
        <f>AND(#REF!,"AAAAAA+/3zo=")</f>
        <v>#REF!</v>
      </c>
      <c r="BH411" t="e">
        <f>AND(#REF!,"AAAAAA+/3zs=")</f>
        <v>#REF!</v>
      </c>
      <c r="BI411" t="e">
        <f>IF(#REF!,"AAAAAA+/3zw=",0)</f>
        <v>#REF!</v>
      </c>
      <c r="BJ411" t="e">
        <f>AND(#REF!,"AAAAAA+/3z0=")</f>
        <v>#REF!</v>
      </c>
      <c r="BK411" t="e">
        <f>AND(#REF!,"AAAAAA+/3z4=")</f>
        <v>#REF!</v>
      </c>
      <c r="BL411" t="e">
        <f>AND(#REF!,"AAAAAA+/3z8=")</f>
        <v>#REF!</v>
      </c>
      <c r="BM411" t="e">
        <f>AND(#REF!,"AAAAAA+/30A=")</f>
        <v>#REF!</v>
      </c>
      <c r="BN411" t="e">
        <f>AND(#REF!,"AAAAAA+/30E=")</f>
        <v>#REF!</v>
      </c>
      <c r="BO411" t="e">
        <f>AND(#REF!,"AAAAAA+/30I=")</f>
        <v>#REF!</v>
      </c>
      <c r="BP411" t="e">
        <f>AND(#REF!,"AAAAAA+/30M=")</f>
        <v>#REF!</v>
      </c>
      <c r="BQ411" t="e">
        <f>AND(#REF!,"AAAAAA+/30Q=")</f>
        <v>#REF!</v>
      </c>
      <c r="BR411" t="e">
        <f>AND(#REF!,"AAAAAA+/30U=")</f>
        <v>#REF!</v>
      </c>
      <c r="BS411" t="e">
        <f>AND(#REF!,"AAAAAA+/30Y=")</f>
        <v>#REF!</v>
      </c>
      <c r="BT411" t="e">
        <f>IF(#REF!,"AAAAAA+/30c=",0)</f>
        <v>#REF!</v>
      </c>
      <c r="BU411" t="e">
        <f>AND(#REF!,"AAAAAA+/30g=")</f>
        <v>#REF!</v>
      </c>
      <c r="BV411" t="e">
        <f>AND(#REF!,"AAAAAA+/30k=")</f>
        <v>#REF!</v>
      </c>
      <c r="BW411" t="e">
        <f>AND(#REF!,"AAAAAA+/30o=")</f>
        <v>#REF!</v>
      </c>
      <c r="BX411" t="e">
        <f>AND(#REF!,"AAAAAA+/30s=")</f>
        <v>#REF!</v>
      </c>
      <c r="BY411" t="e">
        <f>AND(#REF!,"AAAAAA+/30w=")</f>
        <v>#REF!</v>
      </c>
      <c r="BZ411" t="e">
        <f>AND(#REF!,"AAAAAA+/300=")</f>
        <v>#REF!</v>
      </c>
      <c r="CA411" t="e">
        <f>AND(#REF!,"AAAAAA+/304=")</f>
        <v>#REF!</v>
      </c>
      <c r="CB411" t="e">
        <f>AND(#REF!,"AAAAAA+/308=")</f>
        <v>#REF!</v>
      </c>
      <c r="CC411" t="e">
        <f>AND(#REF!,"AAAAAA+/31A=")</f>
        <v>#REF!</v>
      </c>
      <c r="CD411" t="e">
        <f>AND(#REF!,"AAAAAA+/31E=")</f>
        <v>#REF!</v>
      </c>
      <c r="CE411" t="e">
        <f>IF(#REF!,"AAAAAA+/31I=",0)</f>
        <v>#REF!</v>
      </c>
      <c r="CF411" t="e">
        <f>AND(#REF!,"AAAAAA+/31M=")</f>
        <v>#REF!</v>
      </c>
      <c r="CG411" t="e">
        <f>AND(#REF!,"AAAAAA+/31Q=")</f>
        <v>#REF!</v>
      </c>
      <c r="CH411" t="e">
        <f>AND(#REF!,"AAAAAA+/31U=")</f>
        <v>#REF!</v>
      </c>
      <c r="CI411" t="e">
        <f>AND(#REF!,"AAAAAA+/31Y=")</f>
        <v>#REF!</v>
      </c>
      <c r="CJ411" t="e">
        <f>AND(#REF!,"AAAAAA+/31c=")</f>
        <v>#REF!</v>
      </c>
      <c r="CK411" t="e">
        <f>AND(#REF!,"AAAAAA+/31g=")</f>
        <v>#REF!</v>
      </c>
      <c r="CL411" t="e">
        <f>AND(#REF!,"AAAAAA+/31k=")</f>
        <v>#REF!</v>
      </c>
      <c r="CM411" t="e">
        <f>AND(#REF!,"AAAAAA+/31o=")</f>
        <v>#REF!</v>
      </c>
      <c r="CN411" t="e">
        <f>AND(#REF!,"AAAAAA+/31s=")</f>
        <v>#REF!</v>
      </c>
      <c r="CO411" t="e">
        <f>AND(#REF!,"AAAAAA+/31w=")</f>
        <v>#REF!</v>
      </c>
      <c r="CP411" t="e">
        <f>IF(#REF!,"AAAAAA+/310=",0)</f>
        <v>#REF!</v>
      </c>
      <c r="CQ411" t="e">
        <f>AND(#REF!,"AAAAAA+/314=")</f>
        <v>#REF!</v>
      </c>
      <c r="CR411" t="e">
        <f>AND(#REF!,"AAAAAA+/318=")</f>
        <v>#REF!</v>
      </c>
      <c r="CS411" t="e">
        <f>AND(#REF!,"AAAAAA+/32A=")</f>
        <v>#REF!</v>
      </c>
      <c r="CT411" t="e">
        <f>AND(#REF!,"AAAAAA+/32E=")</f>
        <v>#REF!</v>
      </c>
      <c r="CU411" t="e">
        <f>AND(#REF!,"AAAAAA+/32I=")</f>
        <v>#REF!</v>
      </c>
      <c r="CV411" t="e">
        <f>AND(#REF!,"AAAAAA+/32M=")</f>
        <v>#REF!</v>
      </c>
      <c r="CW411" t="e">
        <f>AND(#REF!,"AAAAAA+/32Q=")</f>
        <v>#REF!</v>
      </c>
      <c r="CX411" t="e">
        <f>AND(#REF!,"AAAAAA+/32U=")</f>
        <v>#REF!</v>
      </c>
      <c r="CY411" t="e">
        <f>AND(#REF!,"AAAAAA+/32Y=")</f>
        <v>#REF!</v>
      </c>
      <c r="CZ411" t="e">
        <f>AND(#REF!,"AAAAAA+/32c=")</f>
        <v>#REF!</v>
      </c>
      <c r="DA411" t="e">
        <f>IF(#REF!,"AAAAAA+/32g=",0)</f>
        <v>#REF!</v>
      </c>
      <c r="DB411" t="e">
        <f>AND(#REF!,"AAAAAA+/32k=")</f>
        <v>#REF!</v>
      </c>
      <c r="DC411" t="e">
        <f>AND(#REF!,"AAAAAA+/32o=")</f>
        <v>#REF!</v>
      </c>
      <c r="DD411" t="e">
        <f>AND(#REF!,"AAAAAA+/32s=")</f>
        <v>#REF!</v>
      </c>
      <c r="DE411" t="e">
        <f>AND(#REF!,"AAAAAA+/32w=")</f>
        <v>#REF!</v>
      </c>
      <c r="DF411" t="e">
        <f>AND(#REF!,"AAAAAA+/320=")</f>
        <v>#REF!</v>
      </c>
      <c r="DG411" t="e">
        <f>AND(#REF!,"AAAAAA+/324=")</f>
        <v>#REF!</v>
      </c>
      <c r="DH411" t="e">
        <f>AND(#REF!,"AAAAAA+/328=")</f>
        <v>#REF!</v>
      </c>
      <c r="DI411" t="e">
        <f>AND(#REF!,"AAAAAA+/33A=")</f>
        <v>#REF!</v>
      </c>
      <c r="DJ411" t="e">
        <f>AND(#REF!,"AAAAAA+/33E=")</f>
        <v>#REF!</v>
      </c>
      <c r="DK411" t="e">
        <f>AND(#REF!,"AAAAAA+/33I=")</f>
        <v>#REF!</v>
      </c>
      <c r="DL411" t="e">
        <f>IF(#REF!,"AAAAAA+/33M=",0)</f>
        <v>#REF!</v>
      </c>
      <c r="DM411" t="e">
        <f>AND(#REF!,"AAAAAA+/33Q=")</f>
        <v>#REF!</v>
      </c>
      <c r="DN411" t="e">
        <f>AND(#REF!,"AAAAAA+/33U=")</f>
        <v>#REF!</v>
      </c>
      <c r="DO411" t="e">
        <f>AND(#REF!,"AAAAAA+/33Y=")</f>
        <v>#REF!</v>
      </c>
      <c r="DP411" t="e">
        <f>AND(#REF!,"AAAAAA+/33c=")</f>
        <v>#REF!</v>
      </c>
      <c r="DQ411" t="e">
        <f>AND(#REF!,"AAAAAA+/33g=")</f>
        <v>#REF!</v>
      </c>
      <c r="DR411" t="e">
        <f>AND(#REF!,"AAAAAA+/33k=")</f>
        <v>#REF!</v>
      </c>
      <c r="DS411" t="e">
        <f>AND(#REF!,"AAAAAA+/33o=")</f>
        <v>#REF!</v>
      </c>
      <c r="DT411" t="e">
        <f>AND(#REF!,"AAAAAA+/33s=")</f>
        <v>#REF!</v>
      </c>
      <c r="DU411" t="e">
        <f>AND(#REF!,"AAAAAA+/33w=")</f>
        <v>#REF!</v>
      </c>
      <c r="DV411" t="e">
        <f>AND(#REF!,"AAAAAA+/330=")</f>
        <v>#REF!</v>
      </c>
      <c r="DW411" t="e">
        <f>IF(#REF!,"AAAAAA+/334=",0)</f>
        <v>#REF!</v>
      </c>
      <c r="DX411" t="e">
        <f>AND(#REF!,"AAAAAA+/338=")</f>
        <v>#REF!</v>
      </c>
      <c r="DY411" t="e">
        <f>AND(#REF!,"AAAAAA+/34A=")</f>
        <v>#REF!</v>
      </c>
      <c r="DZ411" t="e">
        <f>AND(#REF!,"AAAAAA+/34E=")</f>
        <v>#REF!</v>
      </c>
      <c r="EA411" t="e">
        <f>AND(#REF!,"AAAAAA+/34I=")</f>
        <v>#REF!</v>
      </c>
      <c r="EB411" t="e">
        <f>AND(#REF!,"AAAAAA+/34M=")</f>
        <v>#REF!</v>
      </c>
      <c r="EC411" t="e">
        <f>AND(#REF!,"AAAAAA+/34Q=")</f>
        <v>#REF!</v>
      </c>
      <c r="ED411" t="e">
        <f>AND(#REF!,"AAAAAA+/34U=")</f>
        <v>#REF!</v>
      </c>
      <c r="EE411" t="e">
        <f>AND(#REF!,"AAAAAA+/34Y=")</f>
        <v>#REF!</v>
      </c>
      <c r="EF411" t="e">
        <f>AND(#REF!,"AAAAAA+/34c=")</f>
        <v>#REF!</v>
      </c>
      <c r="EG411" t="e">
        <f>AND(#REF!,"AAAAAA+/34g=")</f>
        <v>#REF!</v>
      </c>
      <c r="EH411" t="e">
        <f>IF(#REF!,"AAAAAA+/34k=",0)</f>
        <v>#REF!</v>
      </c>
      <c r="EI411" t="e">
        <f>AND(#REF!,"AAAAAA+/34o=")</f>
        <v>#REF!</v>
      </c>
      <c r="EJ411" t="e">
        <f>AND(#REF!,"AAAAAA+/34s=")</f>
        <v>#REF!</v>
      </c>
      <c r="EK411" t="e">
        <f>AND(#REF!,"AAAAAA+/34w=")</f>
        <v>#REF!</v>
      </c>
      <c r="EL411" t="e">
        <f>AND(#REF!,"AAAAAA+/340=")</f>
        <v>#REF!</v>
      </c>
      <c r="EM411" t="e">
        <f>AND(#REF!,"AAAAAA+/344=")</f>
        <v>#REF!</v>
      </c>
      <c r="EN411" t="e">
        <f>AND(#REF!,"AAAAAA+/348=")</f>
        <v>#REF!</v>
      </c>
      <c r="EO411" t="e">
        <f>AND(#REF!,"AAAAAA+/35A=")</f>
        <v>#REF!</v>
      </c>
      <c r="EP411" t="e">
        <f>AND(#REF!,"AAAAAA+/35E=")</f>
        <v>#REF!</v>
      </c>
      <c r="EQ411" t="e">
        <f>AND(#REF!,"AAAAAA+/35I=")</f>
        <v>#REF!</v>
      </c>
      <c r="ER411" t="e">
        <f>AND(#REF!,"AAAAAA+/35M=")</f>
        <v>#REF!</v>
      </c>
      <c r="ES411" t="e">
        <f>IF(#REF!,"AAAAAA+/35Q=",0)</f>
        <v>#REF!</v>
      </c>
      <c r="ET411" t="e">
        <f>AND(#REF!,"AAAAAA+/35U=")</f>
        <v>#REF!</v>
      </c>
      <c r="EU411" t="e">
        <f>AND(#REF!,"AAAAAA+/35Y=")</f>
        <v>#REF!</v>
      </c>
      <c r="EV411" t="e">
        <f>AND(#REF!,"AAAAAA+/35c=")</f>
        <v>#REF!</v>
      </c>
      <c r="EW411" t="e">
        <f>AND(#REF!,"AAAAAA+/35g=")</f>
        <v>#REF!</v>
      </c>
      <c r="EX411" t="e">
        <f>AND(#REF!,"AAAAAA+/35k=")</f>
        <v>#REF!</v>
      </c>
      <c r="EY411" t="e">
        <f>AND(#REF!,"AAAAAA+/35o=")</f>
        <v>#REF!</v>
      </c>
      <c r="EZ411" t="e">
        <f>AND(#REF!,"AAAAAA+/35s=")</f>
        <v>#REF!</v>
      </c>
      <c r="FA411" t="e">
        <f>AND(#REF!,"AAAAAA+/35w=")</f>
        <v>#REF!</v>
      </c>
      <c r="FB411" t="e">
        <f>AND(#REF!,"AAAAAA+/350=")</f>
        <v>#REF!</v>
      </c>
      <c r="FC411" t="e">
        <f>AND(#REF!,"AAAAAA+/354=")</f>
        <v>#REF!</v>
      </c>
      <c r="FD411" t="e">
        <f>IF(#REF!,"AAAAAA+/358=",0)</f>
        <v>#REF!</v>
      </c>
      <c r="FE411" t="e">
        <f>AND(#REF!,"AAAAAA+/36A=")</f>
        <v>#REF!</v>
      </c>
      <c r="FF411" t="e">
        <f>AND(#REF!,"AAAAAA+/36E=")</f>
        <v>#REF!</v>
      </c>
      <c r="FG411" t="e">
        <f>AND(#REF!,"AAAAAA+/36I=")</f>
        <v>#REF!</v>
      </c>
      <c r="FH411" t="e">
        <f>AND(#REF!,"AAAAAA+/36M=")</f>
        <v>#REF!</v>
      </c>
      <c r="FI411" t="e">
        <f>AND(#REF!,"AAAAAA+/36Q=")</f>
        <v>#REF!</v>
      </c>
      <c r="FJ411" t="e">
        <f>AND(#REF!,"AAAAAA+/36U=")</f>
        <v>#REF!</v>
      </c>
      <c r="FK411" t="e">
        <f>AND(#REF!,"AAAAAA+/36Y=")</f>
        <v>#REF!</v>
      </c>
      <c r="FL411" t="e">
        <f>AND(#REF!,"AAAAAA+/36c=")</f>
        <v>#REF!</v>
      </c>
      <c r="FM411" t="e">
        <f>AND(#REF!,"AAAAAA+/36g=")</f>
        <v>#REF!</v>
      </c>
      <c r="FN411" t="e">
        <f>AND(#REF!,"AAAAAA+/36k=")</f>
        <v>#REF!</v>
      </c>
      <c r="FO411" t="e">
        <f>IF(#REF!,"AAAAAA+/36o=",0)</f>
        <v>#REF!</v>
      </c>
      <c r="FP411" t="e">
        <f>AND(#REF!,"AAAAAA+/36s=")</f>
        <v>#REF!</v>
      </c>
      <c r="FQ411" t="e">
        <f>AND(#REF!,"AAAAAA+/36w=")</f>
        <v>#REF!</v>
      </c>
      <c r="FR411" t="e">
        <f>AND(#REF!,"AAAAAA+/360=")</f>
        <v>#REF!</v>
      </c>
      <c r="FS411" t="e">
        <f>AND(#REF!,"AAAAAA+/364=")</f>
        <v>#REF!</v>
      </c>
      <c r="FT411" t="e">
        <f>AND(#REF!,"AAAAAA+/368=")</f>
        <v>#REF!</v>
      </c>
      <c r="FU411" t="e">
        <f>AND(#REF!,"AAAAAA+/37A=")</f>
        <v>#REF!</v>
      </c>
      <c r="FV411" t="e">
        <f>AND(#REF!,"AAAAAA+/37E=")</f>
        <v>#REF!</v>
      </c>
      <c r="FW411" t="e">
        <f>AND(#REF!,"AAAAAA+/37I=")</f>
        <v>#REF!</v>
      </c>
      <c r="FX411" t="e">
        <f>AND(#REF!,"AAAAAA+/37M=")</f>
        <v>#REF!</v>
      </c>
      <c r="FY411" t="e">
        <f>AND(#REF!,"AAAAAA+/37Q=")</f>
        <v>#REF!</v>
      </c>
      <c r="FZ411" t="e">
        <f>IF(#REF!,"AAAAAA+/37U=",0)</f>
        <v>#REF!</v>
      </c>
      <c r="GA411" t="e">
        <f>AND(#REF!,"AAAAAA+/37Y=")</f>
        <v>#REF!</v>
      </c>
      <c r="GB411" t="e">
        <f>AND(#REF!,"AAAAAA+/37c=")</f>
        <v>#REF!</v>
      </c>
      <c r="GC411" t="e">
        <f>AND(#REF!,"AAAAAA+/37g=")</f>
        <v>#REF!</v>
      </c>
      <c r="GD411" t="e">
        <f>AND(#REF!,"AAAAAA+/37k=")</f>
        <v>#REF!</v>
      </c>
      <c r="GE411" t="e">
        <f>AND(#REF!,"AAAAAA+/37o=")</f>
        <v>#REF!</v>
      </c>
      <c r="GF411" t="e">
        <f>AND(#REF!,"AAAAAA+/37s=")</f>
        <v>#REF!</v>
      </c>
      <c r="GG411" t="e">
        <f>AND(#REF!,"AAAAAA+/37w=")</f>
        <v>#REF!</v>
      </c>
      <c r="GH411" t="e">
        <f>AND(#REF!,"AAAAAA+/370=")</f>
        <v>#REF!</v>
      </c>
      <c r="GI411" t="e">
        <f>AND(#REF!,"AAAAAA+/374=")</f>
        <v>#REF!</v>
      </c>
      <c r="GJ411" t="e">
        <f>AND(#REF!,"AAAAAA+/378=")</f>
        <v>#REF!</v>
      </c>
      <c r="GK411" t="e">
        <f>IF(#REF!,"AAAAAA+/38A=",0)</f>
        <v>#REF!</v>
      </c>
      <c r="GL411" t="e">
        <f>AND(#REF!,"AAAAAA+/38E=")</f>
        <v>#REF!</v>
      </c>
      <c r="GM411" t="e">
        <f>AND(#REF!,"AAAAAA+/38I=")</f>
        <v>#REF!</v>
      </c>
      <c r="GN411" t="e">
        <f>AND(#REF!,"AAAAAA+/38M=")</f>
        <v>#REF!</v>
      </c>
      <c r="GO411" t="e">
        <f>AND(#REF!,"AAAAAA+/38Q=")</f>
        <v>#REF!</v>
      </c>
      <c r="GP411" t="e">
        <f>AND(#REF!,"AAAAAA+/38U=")</f>
        <v>#REF!</v>
      </c>
      <c r="GQ411" t="e">
        <f>AND(#REF!,"AAAAAA+/38Y=")</f>
        <v>#REF!</v>
      </c>
      <c r="GR411" t="e">
        <f>AND(#REF!,"AAAAAA+/38c=")</f>
        <v>#REF!</v>
      </c>
      <c r="GS411" t="e">
        <f>AND(#REF!,"AAAAAA+/38g=")</f>
        <v>#REF!</v>
      </c>
      <c r="GT411" t="e">
        <f>AND(#REF!,"AAAAAA+/38k=")</f>
        <v>#REF!</v>
      </c>
      <c r="GU411" t="e">
        <f>AND(#REF!,"AAAAAA+/38o=")</f>
        <v>#REF!</v>
      </c>
      <c r="GV411" t="e">
        <f>IF(#REF!,"AAAAAA+/38s=",0)</f>
        <v>#REF!</v>
      </c>
      <c r="GW411" t="e">
        <f>AND(#REF!,"AAAAAA+/38w=")</f>
        <v>#REF!</v>
      </c>
      <c r="GX411" t="e">
        <f>AND(#REF!,"AAAAAA+/380=")</f>
        <v>#REF!</v>
      </c>
      <c r="GY411" t="e">
        <f>AND(#REF!,"AAAAAA+/384=")</f>
        <v>#REF!</v>
      </c>
      <c r="GZ411" t="e">
        <f>AND(#REF!,"AAAAAA+/388=")</f>
        <v>#REF!</v>
      </c>
      <c r="HA411" t="e">
        <f>AND(#REF!,"AAAAAA+/39A=")</f>
        <v>#REF!</v>
      </c>
      <c r="HB411" t="e">
        <f>AND(#REF!,"AAAAAA+/39E=")</f>
        <v>#REF!</v>
      </c>
      <c r="HC411" t="e">
        <f>AND(#REF!,"AAAAAA+/39I=")</f>
        <v>#REF!</v>
      </c>
      <c r="HD411" t="e">
        <f>AND(#REF!,"AAAAAA+/39M=")</f>
        <v>#REF!</v>
      </c>
      <c r="HE411" t="e">
        <f>AND(#REF!,"AAAAAA+/39Q=")</f>
        <v>#REF!</v>
      </c>
      <c r="HF411" t="e">
        <f>AND(#REF!,"AAAAAA+/39U=")</f>
        <v>#REF!</v>
      </c>
      <c r="HG411" t="e">
        <f>IF(#REF!,"AAAAAA+/39Y=",0)</f>
        <v>#REF!</v>
      </c>
      <c r="HH411" t="e">
        <f>AND(#REF!,"AAAAAA+/39c=")</f>
        <v>#REF!</v>
      </c>
      <c r="HI411" t="e">
        <f>AND(#REF!,"AAAAAA+/39g=")</f>
        <v>#REF!</v>
      </c>
      <c r="HJ411" t="e">
        <f>AND(#REF!,"AAAAAA+/39k=")</f>
        <v>#REF!</v>
      </c>
      <c r="HK411" t="e">
        <f>AND(#REF!,"AAAAAA+/39o=")</f>
        <v>#REF!</v>
      </c>
      <c r="HL411" t="e">
        <f>AND(#REF!,"AAAAAA+/39s=")</f>
        <v>#REF!</v>
      </c>
      <c r="HM411" t="e">
        <f>AND(#REF!,"AAAAAA+/39w=")</f>
        <v>#REF!</v>
      </c>
      <c r="HN411" t="e">
        <f>AND(#REF!,"AAAAAA+/390=")</f>
        <v>#REF!</v>
      </c>
      <c r="HO411" t="e">
        <f>AND(#REF!,"AAAAAA+/394=")</f>
        <v>#REF!</v>
      </c>
      <c r="HP411" t="e">
        <f>AND(#REF!,"AAAAAA+/398=")</f>
        <v>#REF!</v>
      </c>
      <c r="HQ411" t="e">
        <f>AND(#REF!,"AAAAAA+/3+A=")</f>
        <v>#REF!</v>
      </c>
      <c r="HR411" t="e">
        <f>IF(#REF!,"AAAAAA+/3+E=",0)</f>
        <v>#REF!</v>
      </c>
      <c r="HS411" t="e">
        <f>AND(#REF!,"AAAAAA+/3+I=")</f>
        <v>#REF!</v>
      </c>
      <c r="HT411" t="e">
        <f>AND(#REF!,"AAAAAA+/3+M=")</f>
        <v>#REF!</v>
      </c>
      <c r="HU411" t="e">
        <f>AND(#REF!,"AAAAAA+/3+Q=")</f>
        <v>#REF!</v>
      </c>
      <c r="HV411" t="e">
        <f>AND(#REF!,"AAAAAA+/3+U=")</f>
        <v>#REF!</v>
      </c>
      <c r="HW411" t="e">
        <f>AND(#REF!,"AAAAAA+/3+Y=")</f>
        <v>#REF!</v>
      </c>
      <c r="HX411" t="e">
        <f>AND(#REF!,"AAAAAA+/3+c=")</f>
        <v>#REF!</v>
      </c>
      <c r="HY411" t="e">
        <f>AND(#REF!,"AAAAAA+/3+g=")</f>
        <v>#REF!</v>
      </c>
      <c r="HZ411" t="e">
        <f>AND(#REF!,"AAAAAA+/3+k=")</f>
        <v>#REF!</v>
      </c>
      <c r="IA411" t="e">
        <f>AND(#REF!,"AAAAAA+/3+o=")</f>
        <v>#REF!</v>
      </c>
      <c r="IB411" t="e">
        <f>AND(#REF!,"AAAAAA+/3+s=")</f>
        <v>#REF!</v>
      </c>
      <c r="IC411" t="e">
        <f>IF(#REF!,"AAAAAA+/3+w=",0)</f>
        <v>#REF!</v>
      </c>
      <c r="ID411" t="e">
        <f>AND(#REF!,"AAAAAA+/3+0=")</f>
        <v>#REF!</v>
      </c>
      <c r="IE411" t="e">
        <f>AND(#REF!,"AAAAAA+/3+4=")</f>
        <v>#REF!</v>
      </c>
      <c r="IF411" t="e">
        <f>AND(#REF!,"AAAAAA+/3+8=")</f>
        <v>#REF!</v>
      </c>
      <c r="IG411" t="e">
        <f>AND(#REF!,"AAAAAA+/3/A=")</f>
        <v>#REF!</v>
      </c>
      <c r="IH411" t="e">
        <f>AND(#REF!,"AAAAAA+/3/E=")</f>
        <v>#REF!</v>
      </c>
      <c r="II411" t="e">
        <f>AND(#REF!,"AAAAAA+/3/I=")</f>
        <v>#REF!</v>
      </c>
      <c r="IJ411" t="e">
        <f>AND(#REF!,"AAAAAA+/3/M=")</f>
        <v>#REF!</v>
      </c>
      <c r="IK411" t="e">
        <f>AND(#REF!,"AAAAAA+/3/Q=")</f>
        <v>#REF!</v>
      </c>
      <c r="IL411" t="e">
        <f>AND(#REF!,"AAAAAA+/3/U=")</f>
        <v>#REF!</v>
      </c>
      <c r="IM411" t="e">
        <f>AND(#REF!,"AAAAAA+/3/Y=")</f>
        <v>#REF!</v>
      </c>
      <c r="IN411" t="e">
        <f>IF(#REF!,"AAAAAA+/3/c=",0)</f>
        <v>#REF!</v>
      </c>
      <c r="IO411" t="e">
        <f>AND(#REF!,"AAAAAA+/3/g=")</f>
        <v>#REF!</v>
      </c>
      <c r="IP411" t="e">
        <f>AND(#REF!,"AAAAAA+/3/k=")</f>
        <v>#REF!</v>
      </c>
      <c r="IQ411" t="e">
        <f>AND(#REF!,"AAAAAA+/3/o=")</f>
        <v>#REF!</v>
      </c>
      <c r="IR411" t="e">
        <f>AND(#REF!,"AAAAAA+/3/s=")</f>
        <v>#REF!</v>
      </c>
      <c r="IS411" t="e">
        <f>AND(#REF!,"AAAAAA+/3/w=")</f>
        <v>#REF!</v>
      </c>
      <c r="IT411" t="e">
        <f>AND(#REF!,"AAAAAA+/3/0=")</f>
        <v>#REF!</v>
      </c>
      <c r="IU411" t="e">
        <f>AND(#REF!,"AAAAAA+/3/4=")</f>
        <v>#REF!</v>
      </c>
      <c r="IV411" t="e">
        <f>AND(#REF!,"AAAAAA+/3/8=")</f>
        <v>#REF!</v>
      </c>
    </row>
    <row r="412" spans="1:256" x14ac:dyDescent="0.25">
      <c r="A412" t="e">
        <f>AND(#REF!,"AAAAAC3e3wA=")</f>
        <v>#REF!</v>
      </c>
      <c r="B412" t="e">
        <f>AND(#REF!,"AAAAAC3e3wE=")</f>
        <v>#REF!</v>
      </c>
      <c r="C412" t="e">
        <f>IF(#REF!,"AAAAAC3e3wI=",0)</f>
        <v>#REF!</v>
      </c>
      <c r="D412" t="e">
        <f>AND(#REF!,"AAAAAC3e3wM=")</f>
        <v>#REF!</v>
      </c>
      <c r="E412" t="e">
        <f>AND(#REF!,"AAAAAC3e3wQ=")</f>
        <v>#REF!</v>
      </c>
      <c r="F412" t="e">
        <f>AND(#REF!,"AAAAAC3e3wU=")</f>
        <v>#REF!</v>
      </c>
      <c r="G412" t="e">
        <f>AND(#REF!,"AAAAAC3e3wY=")</f>
        <v>#REF!</v>
      </c>
      <c r="H412" t="e">
        <f>AND(#REF!,"AAAAAC3e3wc=")</f>
        <v>#REF!</v>
      </c>
      <c r="I412" t="e">
        <f>AND(#REF!,"AAAAAC3e3wg=")</f>
        <v>#REF!</v>
      </c>
      <c r="J412" t="e">
        <f>AND(#REF!,"AAAAAC3e3wk=")</f>
        <v>#REF!</v>
      </c>
      <c r="K412" t="e">
        <f>AND(#REF!,"AAAAAC3e3wo=")</f>
        <v>#REF!</v>
      </c>
      <c r="L412" t="e">
        <f>AND(#REF!,"AAAAAC3e3ws=")</f>
        <v>#REF!</v>
      </c>
      <c r="M412" t="e">
        <f>AND(#REF!,"AAAAAC3e3ww=")</f>
        <v>#REF!</v>
      </c>
      <c r="N412" t="e">
        <f>IF(#REF!,"AAAAAC3e3w0=",0)</f>
        <v>#REF!</v>
      </c>
      <c r="O412" t="e">
        <f>AND(#REF!,"AAAAAC3e3w4=")</f>
        <v>#REF!</v>
      </c>
      <c r="P412" t="e">
        <f>AND(#REF!,"AAAAAC3e3w8=")</f>
        <v>#REF!</v>
      </c>
      <c r="Q412" t="e">
        <f>AND(#REF!,"AAAAAC3e3xA=")</f>
        <v>#REF!</v>
      </c>
      <c r="R412" t="e">
        <f>AND(#REF!,"AAAAAC3e3xE=")</f>
        <v>#REF!</v>
      </c>
      <c r="S412" t="e">
        <f>AND(#REF!,"AAAAAC3e3xI=")</f>
        <v>#REF!</v>
      </c>
      <c r="T412" t="e">
        <f>AND(#REF!,"AAAAAC3e3xM=")</f>
        <v>#REF!</v>
      </c>
      <c r="U412" t="e">
        <f>AND(#REF!,"AAAAAC3e3xQ=")</f>
        <v>#REF!</v>
      </c>
      <c r="V412" t="e">
        <f>AND(#REF!,"AAAAAC3e3xU=")</f>
        <v>#REF!</v>
      </c>
      <c r="W412" t="e">
        <f>AND(#REF!,"AAAAAC3e3xY=")</f>
        <v>#REF!</v>
      </c>
      <c r="X412" t="e">
        <f>AND(#REF!,"AAAAAC3e3xc=")</f>
        <v>#REF!</v>
      </c>
      <c r="Y412" t="e">
        <f>IF(#REF!,"AAAAAC3e3xg=",0)</f>
        <v>#REF!</v>
      </c>
      <c r="Z412" t="e">
        <f>AND(#REF!,"AAAAAC3e3xk=")</f>
        <v>#REF!</v>
      </c>
      <c r="AA412" t="e">
        <f>AND(#REF!,"AAAAAC3e3xo=")</f>
        <v>#REF!</v>
      </c>
      <c r="AB412" t="e">
        <f>AND(#REF!,"AAAAAC3e3xs=")</f>
        <v>#REF!</v>
      </c>
      <c r="AC412" t="e">
        <f>AND(#REF!,"AAAAAC3e3xw=")</f>
        <v>#REF!</v>
      </c>
      <c r="AD412" t="e">
        <f>AND(#REF!,"AAAAAC3e3x0=")</f>
        <v>#REF!</v>
      </c>
      <c r="AE412" t="e">
        <f>AND(#REF!,"AAAAAC3e3x4=")</f>
        <v>#REF!</v>
      </c>
      <c r="AF412" t="e">
        <f>AND(#REF!,"AAAAAC3e3x8=")</f>
        <v>#REF!</v>
      </c>
      <c r="AG412" t="e">
        <f>AND(#REF!,"AAAAAC3e3yA=")</f>
        <v>#REF!</v>
      </c>
      <c r="AH412" t="e">
        <f>AND(#REF!,"AAAAAC3e3yE=")</f>
        <v>#REF!</v>
      </c>
      <c r="AI412" t="e">
        <f>AND(#REF!,"AAAAAC3e3yI=")</f>
        <v>#REF!</v>
      </c>
      <c r="AJ412" t="e">
        <f>IF(#REF!,"AAAAAC3e3yM=",0)</f>
        <v>#REF!</v>
      </c>
      <c r="AK412" t="e">
        <f>AND(#REF!,"AAAAAC3e3yQ=")</f>
        <v>#REF!</v>
      </c>
      <c r="AL412" t="e">
        <f>AND(#REF!,"AAAAAC3e3yU=")</f>
        <v>#REF!</v>
      </c>
      <c r="AM412" t="e">
        <f>AND(#REF!,"AAAAAC3e3yY=")</f>
        <v>#REF!</v>
      </c>
      <c r="AN412" t="e">
        <f>AND(#REF!,"AAAAAC3e3yc=")</f>
        <v>#REF!</v>
      </c>
      <c r="AO412" t="e">
        <f>AND(#REF!,"AAAAAC3e3yg=")</f>
        <v>#REF!</v>
      </c>
      <c r="AP412" t="e">
        <f>AND(#REF!,"AAAAAC3e3yk=")</f>
        <v>#REF!</v>
      </c>
      <c r="AQ412" t="e">
        <f>AND(#REF!,"AAAAAC3e3yo=")</f>
        <v>#REF!</v>
      </c>
      <c r="AR412" t="e">
        <f>AND(#REF!,"AAAAAC3e3ys=")</f>
        <v>#REF!</v>
      </c>
      <c r="AS412" t="e">
        <f>AND(#REF!,"AAAAAC3e3yw=")</f>
        <v>#REF!</v>
      </c>
      <c r="AT412" t="e">
        <f>AND(#REF!,"AAAAAC3e3y0=")</f>
        <v>#REF!</v>
      </c>
      <c r="AU412" t="e">
        <f>IF(#REF!,"AAAAAC3e3y4=",0)</f>
        <v>#REF!</v>
      </c>
      <c r="AV412" t="e">
        <f>AND(#REF!,"AAAAAC3e3y8=")</f>
        <v>#REF!</v>
      </c>
      <c r="AW412" t="e">
        <f>AND(#REF!,"AAAAAC3e3zA=")</f>
        <v>#REF!</v>
      </c>
      <c r="AX412" t="e">
        <f>AND(#REF!,"AAAAAC3e3zE=")</f>
        <v>#REF!</v>
      </c>
      <c r="AY412" t="e">
        <f>AND(#REF!,"AAAAAC3e3zI=")</f>
        <v>#REF!</v>
      </c>
      <c r="AZ412" t="e">
        <f>AND(#REF!,"AAAAAC3e3zM=")</f>
        <v>#REF!</v>
      </c>
      <c r="BA412" t="e">
        <f>AND(#REF!,"AAAAAC3e3zQ=")</f>
        <v>#REF!</v>
      </c>
      <c r="BB412" t="e">
        <f>AND(#REF!,"AAAAAC3e3zU=")</f>
        <v>#REF!</v>
      </c>
      <c r="BC412" t="e">
        <f>AND(#REF!,"AAAAAC3e3zY=")</f>
        <v>#REF!</v>
      </c>
      <c r="BD412" t="e">
        <f>AND(#REF!,"AAAAAC3e3zc=")</f>
        <v>#REF!</v>
      </c>
      <c r="BE412" t="e">
        <f>AND(#REF!,"AAAAAC3e3zg=")</f>
        <v>#REF!</v>
      </c>
      <c r="BF412" t="e">
        <f>IF(#REF!,"AAAAAC3e3zk=",0)</f>
        <v>#REF!</v>
      </c>
      <c r="BG412" t="e">
        <f>AND(#REF!,"AAAAAC3e3zo=")</f>
        <v>#REF!</v>
      </c>
      <c r="BH412" t="e">
        <f>AND(#REF!,"AAAAAC3e3zs=")</f>
        <v>#REF!</v>
      </c>
      <c r="BI412" t="e">
        <f>AND(#REF!,"AAAAAC3e3zw=")</f>
        <v>#REF!</v>
      </c>
      <c r="BJ412" t="e">
        <f>AND(#REF!,"AAAAAC3e3z0=")</f>
        <v>#REF!</v>
      </c>
      <c r="BK412" t="e">
        <f>AND(#REF!,"AAAAAC3e3z4=")</f>
        <v>#REF!</v>
      </c>
      <c r="BL412" t="e">
        <f>AND(#REF!,"AAAAAC3e3z8=")</f>
        <v>#REF!</v>
      </c>
      <c r="BM412" t="e">
        <f>AND(#REF!,"AAAAAC3e30A=")</f>
        <v>#REF!</v>
      </c>
      <c r="BN412" t="e">
        <f>AND(#REF!,"AAAAAC3e30E=")</f>
        <v>#REF!</v>
      </c>
      <c r="BO412" t="e">
        <f>AND(#REF!,"AAAAAC3e30I=")</f>
        <v>#REF!</v>
      </c>
      <c r="BP412" t="e">
        <f>AND(#REF!,"AAAAAC3e30M=")</f>
        <v>#REF!</v>
      </c>
      <c r="BQ412" t="e">
        <f>IF(#REF!,"AAAAAC3e30Q=",0)</f>
        <v>#REF!</v>
      </c>
      <c r="BR412" t="e">
        <f>AND(#REF!,"AAAAAC3e30U=")</f>
        <v>#REF!</v>
      </c>
      <c r="BS412" t="e">
        <f>AND(#REF!,"AAAAAC3e30Y=")</f>
        <v>#REF!</v>
      </c>
      <c r="BT412" t="e">
        <f>AND(#REF!,"AAAAAC3e30c=")</f>
        <v>#REF!</v>
      </c>
      <c r="BU412" t="e">
        <f>AND(#REF!,"AAAAAC3e30g=")</f>
        <v>#REF!</v>
      </c>
      <c r="BV412" t="e">
        <f>AND(#REF!,"AAAAAC3e30k=")</f>
        <v>#REF!</v>
      </c>
      <c r="BW412" t="e">
        <f>AND(#REF!,"AAAAAC3e30o=")</f>
        <v>#REF!</v>
      </c>
      <c r="BX412" t="e">
        <f>AND(#REF!,"AAAAAC3e30s=")</f>
        <v>#REF!</v>
      </c>
      <c r="BY412" t="e">
        <f>AND(#REF!,"AAAAAC3e30w=")</f>
        <v>#REF!</v>
      </c>
      <c r="BZ412" t="e">
        <f>AND(#REF!,"AAAAAC3e300=")</f>
        <v>#REF!</v>
      </c>
      <c r="CA412" t="e">
        <f>AND(#REF!,"AAAAAC3e304=")</f>
        <v>#REF!</v>
      </c>
      <c r="CB412" t="e">
        <f>IF(#REF!,"AAAAAC3e308=",0)</f>
        <v>#REF!</v>
      </c>
      <c r="CC412" t="e">
        <f>AND(#REF!,"AAAAAC3e31A=")</f>
        <v>#REF!</v>
      </c>
      <c r="CD412" t="e">
        <f>AND(#REF!,"AAAAAC3e31E=")</f>
        <v>#REF!</v>
      </c>
      <c r="CE412" t="e">
        <f>AND(#REF!,"AAAAAC3e31I=")</f>
        <v>#REF!</v>
      </c>
      <c r="CF412" t="e">
        <f>AND(#REF!,"AAAAAC3e31M=")</f>
        <v>#REF!</v>
      </c>
      <c r="CG412" t="e">
        <f>AND(#REF!,"AAAAAC3e31Q=")</f>
        <v>#REF!</v>
      </c>
      <c r="CH412" t="e">
        <f>AND(#REF!,"AAAAAC3e31U=")</f>
        <v>#REF!</v>
      </c>
      <c r="CI412" t="e">
        <f>AND(#REF!,"AAAAAC3e31Y=")</f>
        <v>#REF!</v>
      </c>
      <c r="CJ412" t="e">
        <f>AND(#REF!,"AAAAAC3e31c=")</f>
        <v>#REF!</v>
      </c>
      <c r="CK412" t="e">
        <f>AND(#REF!,"AAAAAC3e31g=")</f>
        <v>#REF!</v>
      </c>
      <c r="CL412" t="e">
        <f>AND(#REF!,"AAAAAC3e31k=")</f>
        <v>#REF!</v>
      </c>
      <c r="CM412" t="e">
        <f>IF(#REF!,"AAAAAC3e31o=",0)</f>
        <v>#REF!</v>
      </c>
      <c r="CN412" t="e">
        <f>AND(#REF!,"AAAAAC3e31s=")</f>
        <v>#REF!</v>
      </c>
      <c r="CO412" t="e">
        <f>AND(#REF!,"AAAAAC3e31w=")</f>
        <v>#REF!</v>
      </c>
      <c r="CP412" t="e">
        <f>AND(#REF!,"AAAAAC3e310=")</f>
        <v>#REF!</v>
      </c>
      <c r="CQ412" t="e">
        <f>AND(#REF!,"AAAAAC3e314=")</f>
        <v>#REF!</v>
      </c>
      <c r="CR412" t="e">
        <f>AND(#REF!,"AAAAAC3e318=")</f>
        <v>#REF!</v>
      </c>
      <c r="CS412" t="e">
        <f>AND(#REF!,"AAAAAC3e32A=")</f>
        <v>#REF!</v>
      </c>
      <c r="CT412" t="e">
        <f>AND(#REF!,"AAAAAC3e32E=")</f>
        <v>#REF!</v>
      </c>
      <c r="CU412" t="e">
        <f>AND(#REF!,"AAAAAC3e32I=")</f>
        <v>#REF!</v>
      </c>
      <c r="CV412" t="e">
        <f>AND(#REF!,"AAAAAC3e32M=")</f>
        <v>#REF!</v>
      </c>
      <c r="CW412" t="e">
        <f>AND(#REF!,"AAAAAC3e32Q=")</f>
        <v>#REF!</v>
      </c>
      <c r="CX412" t="e">
        <f>IF(#REF!,"AAAAAC3e32U=",0)</f>
        <v>#REF!</v>
      </c>
      <c r="CY412" t="e">
        <f>AND(#REF!,"AAAAAC3e32Y=")</f>
        <v>#REF!</v>
      </c>
      <c r="CZ412" t="e">
        <f>AND(#REF!,"AAAAAC3e32c=")</f>
        <v>#REF!</v>
      </c>
      <c r="DA412" t="e">
        <f>AND(#REF!,"AAAAAC3e32g=")</f>
        <v>#REF!</v>
      </c>
      <c r="DB412" t="e">
        <f>AND(#REF!,"AAAAAC3e32k=")</f>
        <v>#REF!</v>
      </c>
      <c r="DC412" t="e">
        <f>AND(#REF!,"AAAAAC3e32o=")</f>
        <v>#REF!</v>
      </c>
      <c r="DD412" t="e">
        <f>AND(#REF!,"AAAAAC3e32s=")</f>
        <v>#REF!</v>
      </c>
      <c r="DE412" t="e">
        <f>AND(#REF!,"AAAAAC3e32w=")</f>
        <v>#REF!</v>
      </c>
      <c r="DF412" t="e">
        <f>AND(#REF!,"AAAAAC3e320=")</f>
        <v>#REF!</v>
      </c>
      <c r="DG412" t="e">
        <f>AND(#REF!,"AAAAAC3e324=")</f>
        <v>#REF!</v>
      </c>
      <c r="DH412" t="e">
        <f>AND(#REF!,"AAAAAC3e328=")</f>
        <v>#REF!</v>
      </c>
      <c r="DI412" t="e">
        <f>IF(#REF!,"AAAAAC3e33A=",0)</f>
        <v>#REF!</v>
      </c>
      <c r="DJ412" t="e">
        <f>AND(#REF!,"AAAAAC3e33E=")</f>
        <v>#REF!</v>
      </c>
      <c r="DK412" t="e">
        <f>AND(#REF!,"AAAAAC3e33I=")</f>
        <v>#REF!</v>
      </c>
      <c r="DL412" t="e">
        <f>AND(#REF!,"AAAAAC3e33M=")</f>
        <v>#REF!</v>
      </c>
      <c r="DM412" t="e">
        <f>AND(#REF!,"AAAAAC3e33Q=")</f>
        <v>#REF!</v>
      </c>
      <c r="DN412" t="e">
        <f>AND(#REF!,"AAAAAC3e33U=")</f>
        <v>#REF!</v>
      </c>
      <c r="DO412" t="e">
        <f>AND(#REF!,"AAAAAC3e33Y=")</f>
        <v>#REF!</v>
      </c>
      <c r="DP412" t="e">
        <f>AND(#REF!,"AAAAAC3e33c=")</f>
        <v>#REF!</v>
      </c>
      <c r="DQ412" t="e">
        <f>AND(#REF!,"AAAAAC3e33g=")</f>
        <v>#REF!</v>
      </c>
      <c r="DR412" t="e">
        <f>AND(#REF!,"AAAAAC3e33k=")</f>
        <v>#REF!</v>
      </c>
      <c r="DS412" t="e">
        <f>AND(#REF!,"AAAAAC3e33o=")</f>
        <v>#REF!</v>
      </c>
      <c r="DT412" t="e">
        <f>IF(#REF!,"AAAAAC3e33s=",0)</f>
        <v>#REF!</v>
      </c>
      <c r="DU412" t="e">
        <f>AND(#REF!,"AAAAAC3e33w=")</f>
        <v>#REF!</v>
      </c>
      <c r="DV412" t="e">
        <f>AND(#REF!,"AAAAAC3e330=")</f>
        <v>#REF!</v>
      </c>
      <c r="DW412" t="e">
        <f>AND(#REF!,"AAAAAC3e334=")</f>
        <v>#REF!</v>
      </c>
      <c r="DX412" t="e">
        <f>AND(#REF!,"AAAAAC3e338=")</f>
        <v>#REF!</v>
      </c>
      <c r="DY412" t="e">
        <f>AND(#REF!,"AAAAAC3e34A=")</f>
        <v>#REF!</v>
      </c>
      <c r="DZ412" t="e">
        <f>AND(#REF!,"AAAAAC3e34E=")</f>
        <v>#REF!</v>
      </c>
      <c r="EA412" t="e">
        <f>AND(#REF!,"AAAAAC3e34I=")</f>
        <v>#REF!</v>
      </c>
      <c r="EB412" t="e">
        <f>AND(#REF!,"AAAAAC3e34M=")</f>
        <v>#REF!</v>
      </c>
      <c r="EC412" t="e">
        <f>AND(#REF!,"AAAAAC3e34Q=")</f>
        <v>#REF!</v>
      </c>
      <c r="ED412" t="e">
        <f>AND(#REF!,"AAAAAC3e34U=")</f>
        <v>#REF!</v>
      </c>
      <c r="EE412" t="e">
        <f>IF(#REF!,"AAAAAC3e34Y=",0)</f>
        <v>#REF!</v>
      </c>
      <c r="EF412" t="e">
        <f>AND(#REF!,"AAAAAC3e34c=")</f>
        <v>#REF!</v>
      </c>
      <c r="EG412" t="e">
        <f>AND(#REF!,"AAAAAC3e34g=")</f>
        <v>#REF!</v>
      </c>
      <c r="EH412" t="e">
        <f>AND(#REF!,"AAAAAC3e34k=")</f>
        <v>#REF!</v>
      </c>
      <c r="EI412" t="e">
        <f>AND(#REF!,"AAAAAC3e34o=")</f>
        <v>#REF!</v>
      </c>
      <c r="EJ412" t="e">
        <f>AND(#REF!,"AAAAAC3e34s=")</f>
        <v>#REF!</v>
      </c>
      <c r="EK412" t="e">
        <f>AND(#REF!,"AAAAAC3e34w=")</f>
        <v>#REF!</v>
      </c>
      <c r="EL412" t="e">
        <f>AND(#REF!,"AAAAAC3e340=")</f>
        <v>#REF!</v>
      </c>
      <c r="EM412" t="e">
        <f>AND(#REF!,"AAAAAC3e344=")</f>
        <v>#REF!</v>
      </c>
      <c r="EN412" t="e">
        <f>AND(#REF!,"AAAAAC3e348=")</f>
        <v>#REF!</v>
      </c>
      <c r="EO412" t="e">
        <f>AND(#REF!,"AAAAAC3e35A=")</f>
        <v>#REF!</v>
      </c>
      <c r="EP412" t="e">
        <f>IF(#REF!,"AAAAAC3e35E=",0)</f>
        <v>#REF!</v>
      </c>
      <c r="EQ412" t="e">
        <f>AND(#REF!,"AAAAAC3e35I=")</f>
        <v>#REF!</v>
      </c>
      <c r="ER412" t="e">
        <f>AND(#REF!,"AAAAAC3e35M=")</f>
        <v>#REF!</v>
      </c>
      <c r="ES412" t="e">
        <f>AND(#REF!,"AAAAAC3e35Q=")</f>
        <v>#REF!</v>
      </c>
      <c r="ET412" t="e">
        <f>AND(#REF!,"AAAAAC3e35U=")</f>
        <v>#REF!</v>
      </c>
      <c r="EU412" t="e">
        <f>AND(#REF!,"AAAAAC3e35Y=")</f>
        <v>#REF!</v>
      </c>
      <c r="EV412" t="e">
        <f>AND(#REF!,"AAAAAC3e35c=")</f>
        <v>#REF!</v>
      </c>
      <c r="EW412" t="e">
        <f>AND(#REF!,"AAAAAC3e35g=")</f>
        <v>#REF!</v>
      </c>
      <c r="EX412" t="e">
        <f>AND(#REF!,"AAAAAC3e35k=")</f>
        <v>#REF!</v>
      </c>
      <c r="EY412" t="e">
        <f>AND(#REF!,"AAAAAC3e35o=")</f>
        <v>#REF!</v>
      </c>
      <c r="EZ412" t="e">
        <f>AND(#REF!,"AAAAAC3e35s=")</f>
        <v>#REF!</v>
      </c>
      <c r="FA412" t="e">
        <f>IF(#REF!,"AAAAAC3e35w=",0)</f>
        <v>#REF!</v>
      </c>
      <c r="FB412" t="e">
        <f>AND(#REF!,"AAAAAC3e350=")</f>
        <v>#REF!</v>
      </c>
      <c r="FC412" t="e">
        <f>AND(#REF!,"AAAAAC3e354=")</f>
        <v>#REF!</v>
      </c>
      <c r="FD412" t="e">
        <f>AND(#REF!,"AAAAAC3e358=")</f>
        <v>#REF!</v>
      </c>
      <c r="FE412" t="e">
        <f>AND(#REF!,"AAAAAC3e36A=")</f>
        <v>#REF!</v>
      </c>
      <c r="FF412" t="e">
        <f>AND(#REF!,"AAAAAC3e36E=")</f>
        <v>#REF!</v>
      </c>
      <c r="FG412" t="e">
        <f>AND(#REF!,"AAAAAC3e36I=")</f>
        <v>#REF!</v>
      </c>
      <c r="FH412" t="e">
        <f>AND(#REF!,"AAAAAC3e36M=")</f>
        <v>#REF!</v>
      </c>
      <c r="FI412" t="e">
        <f>AND(#REF!,"AAAAAC3e36Q=")</f>
        <v>#REF!</v>
      </c>
      <c r="FJ412" t="e">
        <f>AND(#REF!,"AAAAAC3e36U=")</f>
        <v>#REF!</v>
      </c>
      <c r="FK412" t="e">
        <f>AND(#REF!,"AAAAAC3e36Y=")</f>
        <v>#REF!</v>
      </c>
      <c r="FL412" t="e">
        <f>IF(#REF!,"AAAAAC3e36c=",0)</f>
        <v>#REF!</v>
      </c>
      <c r="FM412" t="e">
        <f>AND(#REF!,"AAAAAC3e36g=")</f>
        <v>#REF!</v>
      </c>
      <c r="FN412" t="e">
        <f>AND(#REF!,"AAAAAC3e36k=")</f>
        <v>#REF!</v>
      </c>
      <c r="FO412" t="e">
        <f>AND(#REF!,"AAAAAC3e36o=")</f>
        <v>#REF!</v>
      </c>
      <c r="FP412" t="e">
        <f>AND(#REF!,"AAAAAC3e36s=")</f>
        <v>#REF!</v>
      </c>
      <c r="FQ412" t="e">
        <f>AND(#REF!,"AAAAAC3e36w=")</f>
        <v>#REF!</v>
      </c>
      <c r="FR412" t="e">
        <f>AND(#REF!,"AAAAAC3e360=")</f>
        <v>#REF!</v>
      </c>
      <c r="FS412" t="e">
        <f>AND(#REF!,"AAAAAC3e364=")</f>
        <v>#REF!</v>
      </c>
      <c r="FT412" t="e">
        <f>AND(#REF!,"AAAAAC3e368=")</f>
        <v>#REF!</v>
      </c>
      <c r="FU412" t="e">
        <f>AND(#REF!,"AAAAAC3e37A=")</f>
        <v>#REF!</v>
      </c>
      <c r="FV412" t="e">
        <f>AND(#REF!,"AAAAAC3e37E=")</f>
        <v>#REF!</v>
      </c>
      <c r="FW412" t="e">
        <f>IF(#REF!,"AAAAAC3e37I=",0)</f>
        <v>#REF!</v>
      </c>
      <c r="FX412" t="e">
        <f>AND(#REF!,"AAAAAC3e37M=")</f>
        <v>#REF!</v>
      </c>
      <c r="FY412" t="e">
        <f>AND(#REF!,"AAAAAC3e37Q=")</f>
        <v>#REF!</v>
      </c>
      <c r="FZ412" t="e">
        <f>AND(#REF!,"AAAAAC3e37U=")</f>
        <v>#REF!</v>
      </c>
      <c r="GA412" t="e">
        <f>AND(#REF!,"AAAAAC3e37Y=")</f>
        <v>#REF!</v>
      </c>
      <c r="GB412" t="e">
        <f>AND(#REF!,"AAAAAC3e37c=")</f>
        <v>#REF!</v>
      </c>
      <c r="GC412" t="e">
        <f>AND(#REF!,"AAAAAC3e37g=")</f>
        <v>#REF!</v>
      </c>
      <c r="GD412" t="e">
        <f>AND(#REF!,"AAAAAC3e37k=")</f>
        <v>#REF!</v>
      </c>
      <c r="GE412" t="e">
        <f>AND(#REF!,"AAAAAC3e37o=")</f>
        <v>#REF!</v>
      </c>
      <c r="GF412" t="e">
        <f>AND(#REF!,"AAAAAC3e37s=")</f>
        <v>#REF!</v>
      </c>
      <c r="GG412" t="e">
        <f>AND(#REF!,"AAAAAC3e37w=")</f>
        <v>#REF!</v>
      </c>
      <c r="GH412" t="e">
        <f>IF(#REF!,"AAAAAC3e370=",0)</f>
        <v>#REF!</v>
      </c>
      <c r="GI412" t="e">
        <f>AND(#REF!,"AAAAAC3e374=")</f>
        <v>#REF!</v>
      </c>
      <c r="GJ412" t="e">
        <f>AND(#REF!,"AAAAAC3e378=")</f>
        <v>#REF!</v>
      </c>
      <c r="GK412" t="e">
        <f>AND(#REF!,"AAAAAC3e38A=")</f>
        <v>#REF!</v>
      </c>
      <c r="GL412" t="e">
        <f>AND(#REF!,"AAAAAC3e38E=")</f>
        <v>#REF!</v>
      </c>
      <c r="GM412" t="e">
        <f>AND(#REF!,"AAAAAC3e38I=")</f>
        <v>#REF!</v>
      </c>
      <c r="GN412" t="e">
        <f>AND(#REF!,"AAAAAC3e38M=")</f>
        <v>#REF!</v>
      </c>
      <c r="GO412" t="e">
        <f>AND(#REF!,"AAAAAC3e38Q=")</f>
        <v>#REF!</v>
      </c>
      <c r="GP412" t="e">
        <f>AND(#REF!,"AAAAAC3e38U=")</f>
        <v>#REF!</v>
      </c>
      <c r="GQ412" t="e">
        <f>AND(#REF!,"AAAAAC3e38Y=")</f>
        <v>#REF!</v>
      </c>
      <c r="GR412" t="e">
        <f>AND(#REF!,"AAAAAC3e38c=")</f>
        <v>#REF!</v>
      </c>
      <c r="GS412" t="e">
        <f>IF(#REF!,"AAAAAC3e38g=",0)</f>
        <v>#REF!</v>
      </c>
      <c r="GT412" t="e">
        <f>AND(#REF!,"AAAAAC3e38k=")</f>
        <v>#REF!</v>
      </c>
      <c r="GU412" t="e">
        <f>AND(#REF!,"AAAAAC3e38o=")</f>
        <v>#REF!</v>
      </c>
      <c r="GV412" t="e">
        <f>AND(#REF!,"AAAAAC3e38s=")</f>
        <v>#REF!</v>
      </c>
      <c r="GW412" t="e">
        <f>AND(#REF!,"AAAAAC3e38w=")</f>
        <v>#REF!</v>
      </c>
      <c r="GX412" t="e">
        <f>AND(#REF!,"AAAAAC3e380=")</f>
        <v>#REF!</v>
      </c>
      <c r="GY412" t="e">
        <f>AND(#REF!,"AAAAAC3e384=")</f>
        <v>#REF!</v>
      </c>
      <c r="GZ412" t="e">
        <f>AND(#REF!,"AAAAAC3e388=")</f>
        <v>#REF!</v>
      </c>
      <c r="HA412" t="e">
        <f>AND(#REF!,"AAAAAC3e39A=")</f>
        <v>#REF!</v>
      </c>
      <c r="HB412" t="e">
        <f>AND(#REF!,"AAAAAC3e39E=")</f>
        <v>#REF!</v>
      </c>
      <c r="HC412" t="e">
        <f>AND(#REF!,"AAAAAC3e39I=")</f>
        <v>#REF!</v>
      </c>
      <c r="HD412" t="e">
        <f>IF(#REF!,"AAAAAC3e39M=",0)</f>
        <v>#REF!</v>
      </c>
      <c r="HE412" t="e">
        <f>AND(#REF!,"AAAAAC3e39Q=")</f>
        <v>#REF!</v>
      </c>
      <c r="HF412" t="e">
        <f>AND(#REF!,"AAAAAC3e39U=")</f>
        <v>#REF!</v>
      </c>
      <c r="HG412" t="e">
        <f>AND(#REF!,"AAAAAC3e39Y=")</f>
        <v>#REF!</v>
      </c>
      <c r="HH412" t="e">
        <f>AND(#REF!,"AAAAAC3e39c=")</f>
        <v>#REF!</v>
      </c>
      <c r="HI412" t="e">
        <f>AND(#REF!,"AAAAAC3e39g=")</f>
        <v>#REF!</v>
      </c>
      <c r="HJ412" t="e">
        <f>AND(#REF!,"AAAAAC3e39k=")</f>
        <v>#REF!</v>
      </c>
      <c r="HK412" t="e">
        <f>AND(#REF!,"AAAAAC3e39o=")</f>
        <v>#REF!</v>
      </c>
      <c r="HL412" t="e">
        <f>AND(#REF!,"AAAAAC3e39s=")</f>
        <v>#REF!</v>
      </c>
      <c r="HM412" t="e">
        <f>AND(#REF!,"AAAAAC3e39w=")</f>
        <v>#REF!</v>
      </c>
      <c r="HN412" t="e">
        <f>AND(#REF!,"AAAAAC3e390=")</f>
        <v>#REF!</v>
      </c>
      <c r="HO412" t="e">
        <f>IF(#REF!,"AAAAAC3e394=",0)</f>
        <v>#REF!</v>
      </c>
      <c r="HP412" t="e">
        <f>AND(#REF!,"AAAAAC3e398=")</f>
        <v>#REF!</v>
      </c>
      <c r="HQ412" t="e">
        <f>AND(#REF!,"AAAAAC3e3+A=")</f>
        <v>#REF!</v>
      </c>
      <c r="HR412" t="e">
        <f>AND(#REF!,"AAAAAC3e3+E=")</f>
        <v>#REF!</v>
      </c>
      <c r="HS412" t="e">
        <f>AND(#REF!,"AAAAAC3e3+I=")</f>
        <v>#REF!</v>
      </c>
      <c r="HT412" t="e">
        <f>AND(#REF!,"AAAAAC3e3+M=")</f>
        <v>#REF!</v>
      </c>
      <c r="HU412" t="e">
        <f>AND(#REF!,"AAAAAC3e3+Q=")</f>
        <v>#REF!</v>
      </c>
      <c r="HV412" t="e">
        <f>AND(#REF!,"AAAAAC3e3+U=")</f>
        <v>#REF!</v>
      </c>
      <c r="HW412" t="e">
        <f>AND(#REF!,"AAAAAC3e3+Y=")</f>
        <v>#REF!</v>
      </c>
      <c r="HX412" t="e">
        <f>AND(#REF!,"AAAAAC3e3+c=")</f>
        <v>#REF!</v>
      </c>
      <c r="HY412" t="e">
        <f>AND(#REF!,"AAAAAC3e3+g=")</f>
        <v>#REF!</v>
      </c>
      <c r="HZ412" t="e">
        <f>IF(#REF!,"AAAAAC3e3+k=",0)</f>
        <v>#REF!</v>
      </c>
      <c r="IA412" t="e">
        <f>AND(#REF!,"AAAAAC3e3+o=")</f>
        <v>#REF!</v>
      </c>
      <c r="IB412" t="e">
        <f>AND(#REF!,"AAAAAC3e3+s=")</f>
        <v>#REF!</v>
      </c>
      <c r="IC412" t="e">
        <f>AND(#REF!,"AAAAAC3e3+w=")</f>
        <v>#REF!</v>
      </c>
      <c r="ID412" t="e">
        <f>AND(#REF!,"AAAAAC3e3+0=")</f>
        <v>#REF!</v>
      </c>
      <c r="IE412" t="e">
        <f>AND(#REF!,"AAAAAC3e3+4=")</f>
        <v>#REF!</v>
      </c>
      <c r="IF412" t="e">
        <f>AND(#REF!,"AAAAAC3e3+8=")</f>
        <v>#REF!</v>
      </c>
      <c r="IG412" t="e">
        <f>AND(#REF!,"AAAAAC3e3/A=")</f>
        <v>#REF!</v>
      </c>
      <c r="IH412" t="e">
        <f>AND(#REF!,"AAAAAC3e3/E=")</f>
        <v>#REF!</v>
      </c>
      <c r="II412" t="e">
        <f>AND(#REF!,"AAAAAC3e3/I=")</f>
        <v>#REF!</v>
      </c>
      <c r="IJ412" t="e">
        <f>AND(#REF!,"AAAAAC3e3/M=")</f>
        <v>#REF!</v>
      </c>
      <c r="IK412" t="e">
        <f>IF(#REF!,"AAAAAC3e3/Q=",0)</f>
        <v>#REF!</v>
      </c>
      <c r="IL412" t="e">
        <f>AND(#REF!,"AAAAAC3e3/U=")</f>
        <v>#REF!</v>
      </c>
      <c r="IM412" t="e">
        <f>AND(#REF!,"AAAAAC3e3/Y=")</f>
        <v>#REF!</v>
      </c>
      <c r="IN412" t="e">
        <f>AND(#REF!,"AAAAAC3e3/c=")</f>
        <v>#REF!</v>
      </c>
      <c r="IO412" t="e">
        <f>AND(#REF!,"AAAAAC3e3/g=")</f>
        <v>#REF!</v>
      </c>
      <c r="IP412" t="e">
        <f>AND(#REF!,"AAAAAC3e3/k=")</f>
        <v>#REF!</v>
      </c>
      <c r="IQ412" t="e">
        <f>AND(#REF!,"AAAAAC3e3/o=")</f>
        <v>#REF!</v>
      </c>
      <c r="IR412" t="e">
        <f>AND(#REF!,"AAAAAC3e3/s=")</f>
        <v>#REF!</v>
      </c>
      <c r="IS412" t="e">
        <f>AND(#REF!,"AAAAAC3e3/w=")</f>
        <v>#REF!</v>
      </c>
      <c r="IT412" t="e">
        <f>AND(#REF!,"AAAAAC3e3/0=")</f>
        <v>#REF!</v>
      </c>
      <c r="IU412" t="e">
        <f>AND(#REF!,"AAAAAC3e3/4=")</f>
        <v>#REF!</v>
      </c>
      <c r="IV412" t="e">
        <f>IF(#REF!,"AAAAAC3e3/8=",0)</f>
        <v>#REF!</v>
      </c>
    </row>
    <row r="413" spans="1:256" x14ac:dyDescent="0.25">
      <c r="A413" t="e">
        <f>AND(#REF!,"AAAAAD7s7gA=")</f>
        <v>#REF!</v>
      </c>
      <c r="B413" t="e">
        <f>AND(#REF!,"AAAAAD7s7gE=")</f>
        <v>#REF!</v>
      </c>
      <c r="C413" t="e">
        <f>AND(#REF!,"AAAAAD7s7gI=")</f>
        <v>#REF!</v>
      </c>
      <c r="D413" t="e">
        <f>AND(#REF!,"AAAAAD7s7gM=")</f>
        <v>#REF!</v>
      </c>
      <c r="E413" t="e">
        <f>AND(#REF!,"AAAAAD7s7gQ=")</f>
        <v>#REF!</v>
      </c>
      <c r="F413" t="e">
        <f>AND(#REF!,"AAAAAD7s7gU=")</f>
        <v>#REF!</v>
      </c>
      <c r="G413" t="e">
        <f>AND(#REF!,"AAAAAD7s7gY=")</f>
        <v>#REF!</v>
      </c>
      <c r="H413" t="e">
        <f>AND(#REF!,"AAAAAD7s7gc=")</f>
        <v>#REF!</v>
      </c>
      <c r="I413" t="e">
        <f>AND(#REF!,"AAAAAD7s7gg=")</f>
        <v>#REF!</v>
      </c>
      <c r="J413" t="e">
        <f>AND(#REF!,"AAAAAD7s7gk=")</f>
        <v>#REF!</v>
      </c>
      <c r="K413" t="e">
        <f>IF(#REF!,"AAAAAD7s7go=",0)</f>
        <v>#REF!</v>
      </c>
      <c r="L413" t="e">
        <f>AND(#REF!,"AAAAAD7s7gs=")</f>
        <v>#REF!</v>
      </c>
      <c r="M413" t="e">
        <f>AND(#REF!,"AAAAAD7s7gw=")</f>
        <v>#REF!</v>
      </c>
      <c r="N413" t="e">
        <f>AND(#REF!,"AAAAAD7s7g0=")</f>
        <v>#REF!</v>
      </c>
      <c r="O413" t="e">
        <f>AND(#REF!,"AAAAAD7s7g4=")</f>
        <v>#REF!</v>
      </c>
      <c r="P413" t="e">
        <f>AND(#REF!,"AAAAAD7s7g8=")</f>
        <v>#REF!</v>
      </c>
      <c r="Q413" t="e">
        <f>AND(#REF!,"AAAAAD7s7hA=")</f>
        <v>#REF!</v>
      </c>
      <c r="R413" t="e">
        <f>AND(#REF!,"AAAAAD7s7hE=")</f>
        <v>#REF!</v>
      </c>
      <c r="S413" t="e">
        <f>AND(#REF!,"AAAAAD7s7hI=")</f>
        <v>#REF!</v>
      </c>
      <c r="T413" t="e">
        <f>AND(#REF!,"AAAAAD7s7hM=")</f>
        <v>#REF!</v>
      </c>
      <c r="U413" t="e">
        <f>AND(#REF!,"AAAAAD7s7hQ=")</f>
        <v>#REF!</v>
      </c>
      <c r="V413" t="e">
        <f>IF(#REF!,"AAAAAD7s7hU=",0)</f>
        <v>#REF!</v>
      </c>
      <c r="W413" t="e">
        <f>AND(#REF!,"AAAAAD7s7hY=")</f>
        <v>#REF!</v>
      </c>
      <c r="X413" t="e">
        <f>AND(#REF!,"AAAAAD7s7hc=")</f>
        <v>#REF!</v>
      </c>
      <c r="Y413" t="e">
        <f>AND(#REF!,"AAAAAD7s7hg=")</f>
        <v>#REF!</v>
      </c>
      <c r="Z413" t="e">
        <f>AND(#REF!,"AAAAAD7s7hk=")</f>
        <v>#REF!</v>
      </c>
      <c r="AA413" t="e">
        <f>AND(#REF!,"AAAAAD7s7ho=")</f>
        <v>#REF!</v>
      </c>
      <c r="AB413" t="e">
        <f>AND(#REF!,"AAAAAD7s7hs=")</f>
        <v>#REF!</v>
      </c>
      <c r="AC413" t="e">
        <f>AND(#REF!,"AAAAAD7s7hw=")</f>
        <v>#REF!</v>
      </c>
      <c r="AD413" t="e">
        <f>AND(#REF!,"AAAAAD7s7h0=")</f>
        <v>#REF!</v>
      </c>
      <c r="AE413" t="e">
        <f>AND(#REF!,"AAAAAD7s7h4=")</f>
        <v>#REF!</v>
      </c>
      <c r="AF413" t="e">
        <f>AND(#REF!,"AAAAAD7s7h8=")</f>
        <v>#REF!</v>
      </c>
      <c r="AG413" t="e">
        <f>IF(#REF!,"AAAAAD7s7iA=",0)</f>
        <v>#REF!</v>
      </c>
      <c r="AH413" t="e">
        <f>AND(#REF!,"AAAAAD7s7iE=")</f>
        <v>#REF!</v>
      </c>
      <c r="AI413" t="e">
        <f>AND(#REF!,"AAAAAD7s7iI=")</f>
        <v>#REF!</v>
      </c>
      <c r="AJ413" t="e">
        <f>AND(#REF!,"AAAAAD7s7iM=")</f>
        <v>#REF!</v>
      </c>
      <c r="AK413" t="e">
        <f>AND(#REF!,"AAAAAD7s7iQ=")</f>
        <v>#REF!</v>
      </c>
      <c r="AL413" t="e">
        <f>AND(#REF!,"AAAAAD7s7iU=")</f>
        <v>#REF!</v>
      </c>
      <c r="AM413" t="e">
        <f>AND(#REF!,"AAAAAD7s7iY=")</f>
        <v>#REF!</v>
      </c>
      <c r="AN413" t="e">
        <f>AND(#REF!,"AAAAAD7s7ic=")</f>
        <v>#REF!</v>
      </c>
      <c r="AO413" t="e">
        <f>AND(#REF!,"AAAAAD7s7ig=")</f>
        <v>#REF!</v>
      </c>
      <c r="AP413" t="e">
        <f>AND(#REF!,"AAAAAD7s7ik=")</f>
        <v>#REF!</v>
      </c>
      <c r="AQ413" t="e">
        <f>AND(#REF!,"AAAAAD7s7io=")</f>
        <v>#REF!</v>
      </c>
      <c r="AR413" t="e">
        <f>IF(#REF!,"AAAAAD7s7is=",0)</f>
        <v>#REF!</v>
      </c>
      <c r="AS413" t="e">
        <f>AND(#REF!,"AAAAAD7s7iw=")</f>
        <v>#REF!</v>
      </c>
      <c r="AT413" t="e">
        <f>AND(#REF!,"AAAAAD7s7i0=")</f>
        <v>#REF!</v>
      </c>
      <c r="AU413" t="e">
        <f>AND(#REF!,"AAAAAD7s7i4=")</f>
        <v>#REF!</v>
      </c>
      <c r="AV413" t="e">
        <f>AND(#REF!,"AAAAAD7s7i8=")</f>
        <v>#REF!</v>
      </c>
      <c r="AW413" t="e">
        <f>AND(#REF!,"AAAAAD7s7jA=")</f>
        <v>#REF!</v>
      </c>
      <c r="AX413" t="e">
        <f>AND(#REF!,"AAAAAD7s7jE=")</f>
        <v>#REF!</v>
      </c>
      <c r="AY413" t="e">
        <f>AND(#REF!,"AAAAAD7s7jI=")</f>
        <v>#REF!</v>
      </c>
      <c r="AZ413" t="e">
        <f>AND(#REF!,"AAAAAD7s7jM=")</f>
        <v>#REF!</v>
      </c>
      <c r="BA413" t="e">
        <f>AND(#REF!,"AAAAAD7s7jQ=")</f>
        <v>#REF!</v>
      </c>
      <c r="BB413" t="e">
        <f>AND(#REF!,"AAAAAD7s7jU=")</f>
        <v>#REF!</v>
      </c>
      <c r="BC413" t="e">
        <f>IF(#REF!,"AAAAAD7s7jY=",0)</f>
        <v>#REF!</v>
      </c>
      <c r="BD413" t="e">
        <f>AND(#REF!,"AAAAAD7s7jc=")</f>
        <v>#REF!</v>
      </c>
      <c r="BE413" t="e">
        <f>AND(#REF!,"AAAAAD7s7jg=")</f>
        <v>#REF!</v>
      </c>
      <c r="BF413" t="e">
        <f>AND(#REF!,"AAAAAD7s7jk=")</f>
        <v>#REF!</v>
      </c>
      <c r="BG413" t="e">
        <f>AND(#REF!,"AAAAAD7s7jo=")</f>
        <v>#REF!</v>
      </c>
      <c r="BH413" t="e">
        <f>AND(#REF!,"AAAAAD7s7js=")</f>
        <v>#REF!</v>
      </c>
      <c r="BI413" t="e">
        <f>AND(#REF!,"AAAAAD7s7jw=")</f>
        <v>#REF!</v>
      </c>
      <c r="BJ413" t="e">
        <f>AND(#REF!,"AAAAAD7s7j0=")</f>
        <v>#REF!</v>
      </c>
      <c r="BK413" t="e">
        <f>AND(#REF!,"AAAAAD7s7j4=")</f>
        <v>#REF!</v>
      </c>
      <c r="BL413" t="e">
        <f>AND(#REF!,"AAAAAD7s7j8=")</f>
        <v>#REF!</v>
      </c>
      <c r="BM413" t="e">
        <f>AND(#REF!,"AAAAAD7s7kA=")</f>
        <v>#REF!</v>
      </c>
      <c r="BN413" t="e">
        <f>IF(#REF!,"AAAAAD7s7kE=",0)</f>
        <v>#REF!</v>
      </c>
      <c r="BO413" t="e">
        <f>AND(#REF!,"AAAAAD7s7kI=")</f>
        <v>#REF!</v>
      </c>
      <c r="BP413" t="e">
        <f>AND(#REF!,"AAAAAD7s7kM=")</f>
        <v>#REF!</v>
      </c>
      <c r="BQ413" t="e">
        <f>AND(#REF!,"AAAAAD7s7kQ=")</f>
        <v>#REF!</v>
      </c>
      <c r="BR413" t="e">
        <f>AND(#REF!,"AAAAAD7s7kU=")</f>
        <v>#REF!</v>
      </c>
      <c r="BS413" t="e">
        <f>AND(#REF!,"AAAAAD7s7kY=")</f>
        <v>#REF!</v>
      </c>
      <c r="BT413" t="e">
        <f>AND(#REF!,"AAAAAD7s7kc=")</f>
        <v>#REF!</v>
      </c>
      <c r="BU413" t="e">
        <f>AND(#REF!,"AAAAAD7s7kg=")</f>
        <v>#REF!</v>
      </c>
      <c r="BV413" t="e">
        <f>AND(#REF!,"AAAAAD7s7kk=")</f>
        <v>#REF!</v>
      </c>
      <c r="BW413" t="e">
        <f>AND(#REF!,"AAAAAD7s7ko=")</f>
        <v>#REF!</v>
      </c>
      <c r="BX413" t="e">
        <f>AND(#REF!,"AAAAAD7s7ks=")</f>
        <v>#REF!</v>
      </c>
      <c r="BY413" t="e">
        <f>IF(#REF!,"AAAAAD7s7kw=",0)</f>
        <v>#REF!</v>
      </c>
      <c r="BZ413" t="e">
        <f>AND(#REF!,"AAAAAD7s7k0=")</f>
        <v>#REF!</v>
      </c>
      <c r="CA413" t="e">
        <f>AND(#REF!,"AAAAAD7s7k4=")</f>
        <v>#REF!</v>
      </c>
      <c r="CB413" t="e">
        <f>AND(#REF!,"AAAAAD7s7k8=")</f>
        <v>#REF!</v>
      </c>
      <c r="CC413" t="e">
        <f>AND(#REF!,"AAAAAD7s7lA=")</f>
        <v>#REF!</v>
      </c>
      <c r="CD413" t="e">
        <f>AND(#REF!,"AAAAAD7s7lE=")</f>
        <v>#REF!</v>
      </c>
      <c r="CE413" t="e">
        <f>AND(#REF!,"AAAAAD7s7lI=")</f>
        <v>#REF!</v>
      </c>
      <c r="CF413" t="e">
        <f>AND(#REF!,"AAAAAD7s7lM=")</f>
        <v>#REF!</v>
      </c>
      <c r="CG413" t="e">
        <f>AND(#REF!,"AAAAAD7s7lQ=")</f>
        <v>#REF!</v>
      </c>
      <c r="CH413" t="e">
        <f>AND(#REF!,"AAAAAD7s7lU=")</f>
        <v>#REF!</v>
      </c>
      <c r="CI413" t="e">
        <f>AND(#REF!,"AAAAAD7s7lY=")</f>
        <v>#REF!</v>
      </c>
      <c r="CJ413" t="e">
        <f>IF(#REF!,"AAAAAD7s7lc=",0)</f>
        <v>#REF!</v>
      </c>
      <c r="CK413" t="e">
        <f>AND(#REF!,"AAAAAD7s7lg=")</f>
        <v>#REF!</v>
      </c>
      <c r="CL413" t="e">
        <f>AND(#REF!,"AAAAAD7s7lk=")</f>
        <v>#REF!</v>
      </c>
      <c r="CM413" t="e">
        <f>AND(#REF!,"AAAAAD7s7lo=")</f>
        <v>#REF!</v>
      </c>
      <c r="CN413" t="e">
        <f>AND(#REF!,"AAAAAD7s7ls=")</f>
        <v>#REF!</v>
      </c>
      <c r="CO413" t="e">
        <f>AND(#REF!,"AAAAAD7s7lw=")</f>
        <v>#REF!</v>
      </c>
      <c r="CP413" t="e">
        <f>AND(#REF!,"AAAAAD7s7l0=")</f>
        <v>#REF!</v>
      </c>
      <c r="CQ413" t="e">
        <f>AND(#REF!,"AAAAAD7s7l4=")</f>
        <v>#REF!</v>
      </c>
      <c r="CR413" t="e">
        <f>AND(#REF!,"AAAAAD7s7l8=")</f>
        <v>#REF!</v>
      </c>
      <c r="CS413" t="e">
        <f>AND(#REF!,"AAAAAD7s7mA=")</f>
        <v>#REF!</v>
      </c>
      <c r="CT413" t="e">
        <f>AND(#REF!,"AAAAAD7s7mE=")</f>
        <v>#REF!</v>
      </c>
      <c r="CU413" t="e">
        <f>IF(#REF!,"AAAAAD7s7mI=",0)</f>
        <v>#REF!</v>
      </c>
      <c r="CV413" t="e">
        <f>AND(#REF!,"AAAAAD7s7mM=")</f>
        <v>#REF!</v>
      </c>
      <c r="CW413" t="e">
        <f>AND(#REF!,"AAAAAD7s7mQ=")</f>
        <v>#REF!</v>
      </c>
      <c r="CX413" t="e">
        <f>AND(#REF!,"AAAAAD7s7mU=")</f>
        <v>#REF!</v>
      </c>
      <c r="CY413" t="e">
        <f>AND(#REF!,"AAAAAD7s7mY=")</f>
        <v>#REF!</v>
      </c>
      <c r="CZ413" t="e">
        <f>AND(#REF!,"AAAAAD7s7mc=")</f>
        <v>#REF!</v>
      </c>
      <c r="DA413" t="e">
        <f>AND(#REF!,"AAAAAD7s7mg=")</f>
        <v>#REF!</v>
      </c>
      <c r="DB413" t="e">
        <f>AND(#REF!,"AAAAAD7s7mk=")</f>
        <v>#REF!</v>
      </c>
      <c r="DC413" t="e">
        <f>AND(#REF!,"AAAAAD7s7mo=")</f>
        <v>#REF!</v>
      </c>
      <c r="DD413" t="e">
        <f>AND(#REF!,"AAAAAD7s7ms=")</f>
        <v>#REF!</v>
      </c>
      <c r="DE413" t="e">
        <f>AND(#REF!,"AAAAAD7s7mw=")</f>
        <v>#REF!</v>
      </c>
      <c r="DF413" t="e">
        <f>IF(#REF!,"AAAAAD7s7m0=",0)</f>
        <v>#REF!</v>
      </c>
      <c r="DG413" t="e">
        <f>AND(#REF!,"AAAAAD7s7m4=")</f>
        <v>#REF!</v>
      </c>
      <c r="DH413" t="e">
        <f>AND(#REF!,"AAAAAD7s7m8=")</f>
        <v>#REF!</v>
      </c>
      <c r="DI413" t="e">
        <f>AND(#REF!,"AAAAAD7s7nA=")</f>
        <v>#REF!</v>
      </c>
      <c r="DJ413" t="e">
        <f>AND(#REF!,"AAAAAD7s7nE=")</f>
        <v>#REF!</v>
      </c>
      <c r="DK413" t="e">
        <f>AND(#REF!,"AAAAAD7s7nI=")</f>
        <v>#REF!</v>
      </c>
      <c r="DL413" t="e">
        <f>AND(#REF!,"AAAAAD7s7nM=")</f>
        <v>#REF!</v>
      </c>
      <c r="DM413" t="e">
        <f>AND(#REF!,"AAAAAD7s7nQ=")</f>
        <v>#REF!</v>
      </c>
      <c r="DN413" t="e">
        <f>AND(#REF!,"AAAAAD7s7nU=")</f>
        <v>#REF!</v>
      </c>
      <c r="DO413" t="e">
        <f>AND(#REF!,"AAAAAD7s7nY=")</f>
        <v>#REF!</v>
      </c>
      <c r="DP413" t="e">
        <f>AND(#REF!,"AAAAAD7s7nc=")</f>
        <v>#REF!</v>
      </c>
      <c r="DQ413" t="e">
        <f>IF(#REF!,"AAAAAD7s7ng=",0)</f>
        <v>#REF!</v>
      </c>
      <c r="DR413" t="e">
        <f>AND(#REF!,"AAAAAD7s7nk=")</f>
        <v>#REF!</v>
      </c>
      <c r="DS413" t="e">
        <f>AND(#REF!,"AAAAAD7s7no=")</f>
        <v>#REF!</v>
      </c>
      <c r="DT413" t="e">
        <f>AND(#REF!,"AAAAAD7s7ns=")</f>
        <v>#REF!</v>
      </c>
      <c r="DU413" t="e">
        <f>AND(#REF!,"AAAAAD7s7nw=")</f>
        <v>#REF!</v>
      </c>
      <c r="DV413" t="e">
        <f>AND(#REF!,"AAAAAD7s7n0=")</f>
        <v>#REF!</v>
      </c>
      <c r="DW413" t="e">
        <f>AND(#REF!,"AAAAAD7s7n4=")</f>
        <v>#REF!</v>
      </c>
      <c r="DX413" t="e">
        <f>AND(#REF!,"AAAAAD7s7n8=")</f>
        <v>#REF!</v>
      </c>
      <c r="DY413" t="e">
        <f>AND(#REF!,"AAAAAD7s7oA=")</f>
        <v>#REF!</v>
      </c>
      <c r="DZ413" t="e">
        <f>AND(#REF!,"AAAAAD7s7oE=")</f>
        <v>#REF!</v>
      </c>
      <c r="EA413" t="e">
        <f>AND(#REF!,"AAAAAD7s7oI=")</f>
        <v>#REF!</v>
      </c>
      <c r="EB413" t="e">
        <f>IF(#REF!,"AAAAAD7s7oM=",0)</f>
        <v>#REF!</v>
      </c>
      <c r="EC413" t="e">
        <f>AND(#REF!,"AAAAAD7s7oQ=")</f>
        <v>#REF!</v>
      </c>
      <c r="ED413" t="e">
        <f>AND(#REF!,"AAAAAD7s7oU=")</f>
        <v>#REF!</v>
      </c>
      <c r="EE413" t="e">
        <f>AND(#REF!,"AAAAAD7s7oY=")</f>
        <v>#REF!</v>
      </c>
      <c r="EF413" t="e">
        <f>AND(#REF!,"AAAAAD7s7oc=")</f>
        <v>#REF!</v>
      </c>
      <c r="EG413" t="e">
        <f>AND(#REF!,"AAAAAD7s7og=")</f>
        <v>#REF!</v>
      </c>
      <c r="EH413" t="e">
        <f>AND(#REF!,"AAAAAD7s7ok=")</f>
        <v>#REF!</v>
      </c>
      <c r="EI413" t="e">
        <f>AND(#REF!,"AAAAAD7s7oo=")</f>
        <v>#REF!</v>
      </c>
      <c r="EJ413" t="e">
        <f>AND(#REF!,"AAAAAD7s7os=")</f>
        <v>#REF!</v>
      </c>
      <c r="EK413" t="e">
        <f>AND(#REF!,"AAAAAD7s7ow=")</f>
        <v>#REF!</v>
      </c>
      <c r="EL413" t="e">
        <f>AND(#REF!,"AAAAAD7s7o0=")</f>
        <v>#REF!</v>
      </c>
      <c r="EM413" t="e">
        <f>IF(#REF!,"AAAAAD7s7o4=",0)</f>
        <v>#REF!</v>
      </c>
      <c r="EN413" t="e">
        <f>AND(#REF!,"AAAAAD7s7o8=")</f>
        <v>#REF!</v>
      </c>
      <c r="EO413" t="e">
        <f>AND(#REF!,"AAAAAD7s7pA=")</f>
        <v>#REF!</v>
      </c>
      <c r="EP413" t="e">
        <f>AND(#REF!,"AAAAAD7s7pE=")</f>
        <v>#REF!</v>
      </c>
      <c r="EQ413" t="e">
        <f>AND(#REF!,"AAAAAD7s7pI=")</f>
        <v>#REF!</v>
      </c>
      <c r="ER413" t="e">
        <f>AND(#REF!,"AAAAAD7s7pM=")</f>
        <v>#REF!</v>
      </c>
      <c r="ES413" t="e">
        <f>AND(#REF!,"AAAAAD7s7pQ=")</f>
        <v>#REF!</v>
      </c>
      <c r="ET413" t="e">
        <f>AND(#REF!,"AAAAAD7s7pU=")</f>
        <v>#REF!</v>
      </c>
      <c r="EU413" t="e">
        <f>AND(#REF!,"AAAAAD7s7pY=")</f>
        <v>#REF!</v>
      </c>
      <c r="EV413" t="e">
        <f>AND(#REF!,"AAAAAD7s7pc=")</f>
        <v>#REF!</v>
      </c>
      <c r="EW413" t="e">
        <f>AND(#REF!,"AAAAAD7s7pg=")</f>
        <v>#REF!</v>
      </c>
      <c r="EX413" t="e">
        <f>IF(#REF!,"AAAAAD7s7pk=",0)</f>
        <v>#REF!</v>
      </c>
      <c r="EY413" t="e">
        <f>AND(#REF!,"AAAAAD7s7po=")</f>
        <v>#REF!</v>
      </c>
      <c r="EZ413" t="e">
        <f>AND(#REF!,"AAAAAD7s7ps=")</f>
        <v>#REF!</v>
      </c>
      <c r="FA413" t="e">
        <f>AND(#REF!,"AAAAAD7s7pw=")</f>
        <v>#REF!</v>
      </c>
      <c r="FB413" t="e">
        <f>AND(#REF!,"AAAAAD7s7p0=")</f>
        <v>#REF!</v>
      </c>
      <c r="FC413" t="e">
        <f>AND(#REF!,"AAAAAD7s7p4=")</f>
        <v>#REF!</v>
      </c>
      <c r="FD413" t="e">
        <f>AND(#REF!,"AAAAAD7s7p8=")</f>
        <v>#REF!</v>
      </c>
      <c r="FE413" t="e">
        <f>AND(#REF!,"AAAAAD7s7qA=")</f>
        <v>#REF!</v>
      </c>
      <c r="FF413" t="e">
        <f>AND(#REF!,"AAAAAD7s7qE=")</f>
        <v>#REF!</v>
      </c>
      <c r="FG413" t="e">
        <f>AND(#REF!,"AAAAAD7s7qI=")</f>
        <v>#REF!</v>
      </c>
      <c r="FH413" t="e">
        <f>AND(#REF!,"AAAAAD7s7qM=")</f>
        <v>#REF!</v>
      </c>
      <c r="FI413" t="e">
        <f>IF(#REF!,"AAAAAD7s7qQ=",0)</f>
        <v>#REF!</v>
      </c>
      <c r="FJ413" t="e">
        <f>AND(#REF!,"AAAAAD7s7qU=")</f>
        <v>#REF!</v>
      </c>
      <c r="FK413" t="e">
        <f>AND(#REF!,"AAAAAD7s7qY=")</f>
        <v>#REF!</v>
      </c>
      <c r="FL413" t="e">
        <f>AND(#REF!,"AAAAAD7s7qc=")</f>
        <v>#REF!</v>
      </c>
      <c r="FM413" t="e">
        <f>AND(#REF!,"AAAAAD7s7qg=")</f>
        <v>#REF!</v>
      </c>
      <c r="FN413" t="e">
        <f>AND(#REF!,"AAAAAD7s7qk=")</f>
        <v>#REF!</v>
      </c>
      <c r="FO413" t="e">
        <f>AND(#REF!,"AAAAAD7s7qo=")</f>
        <v>#REF!</v>
      </c>
      <c r="FP413" t="e">
        <f>AND(#REF!,"AAAAAD7s7qs=")</f>
        <v>#REF!</v>
      </c>
      <c r="FQ413" t="e">
        <f>AND(#REF!,"AAAAAD7s7qw=")</f>
        <v>#REF!</v>
      </c>
      <c r="FR413" t="e">
        <f>AND(#REF!,"AAAAAD7s7q0=")</f>
        <v>#REF!</v>
      </c>
      <c r="FS413" t="e">
        <f>AND(#REF!,"AAAAAD7s7q4=")</f>
        <v>#REF!</v>
      </c>
      <c r="FT413" t="e">
        <f>IF(#REF!,"AAAAAD7s7q8=",0)</f>
        <v>#REF!</v>
      </c>
      <c r="FU413" t="e">
        <f>AND(#REF!,"AAAAAD7s7rA=")</f>
        <v>#REF!</v>
      </c>
      <c r="FV413" t="e">
        <f>AND(#REF!,"AAAAAD7s7rE=")</f>
        <v>#REF!</v>
      </c>
      <c r="FW413" t="e">
        <f>AND(#REF!,"AAAAAD7s7rI=")</f>
        <v>#REF!</v>
      </c>
      <c r="FX413" t="e">
        <f>AND(#REF!,"AAAAAD7s7rM=")</f>
        <v>#REF!</v>
      </c>
      <c r="FY413" t="e">
        <f>AND(#REF!,"AAAAAD7s7rQ=")</f>
        <v>#REF!</v>
      </c>
      <c r="FZ413" t="e">
        <f>AND(#REF!,"AAAAAD7s7rU=")</f>
        <v>#REF!</v>
      </c>
      <c r="GA413" t="e">
        <f>AND(#REF!,"AAAAAD7s7rY=")</f>
        <v>#REF!</v>
      </c>
      <c r="GB413" t="e">
        <f>AND(#REF!,"AAAAAD7s7rc=")</f>
        <v>#REF!</v>
      </c>
      <c r="GC413" t="e">
        <f>AND(#REF!,"AAAAAD7s7rg=")</f>
        <v>#REF!</v>
      </c>
      <c r="GD413" t="e">
        <f>AND(#REF!,"AAAAAD7s7rk=")</f>
        <v>#REF!</v>
      </c>
      <c r="GE413" t="e">
        <f>IF(#REF!,"AAAAAD7s7ro=",0)</f>
        <v>#REF!</v>
      </c>
      <c r="GF413" t="e">
        <f>AND(#REF!,"AAAAAD7s7rs=")</f>
        <v>#REF!</v>
      </c>
      <c r="GG413" t="e">
        <f>AND(#REF!,"AAAAAD7s7rw=")</f>
        <v>#REF!</v>
      </c>
      <c r="GH413" t="e">
        <f>AND(#REF!,"AAAAAD7s7r0=")</f>
        <v>#REF!</v>
      </c>
      <c r="GI413" t="e">
        <f>AND(#REF!,"AAAAAD7s7r4=")</f>
        <v>#REF!</v>
      </c>
      <c r="GJ413" t="e">
        <f>AND(#REF!,"AAAAAD7s7r8=")</f>
        <v>#REF!</v>
      </c>
      <c r="GK413" t="e">
        <f>AND(#REF!,"AAAAAD7s7sA=")</f>
        <v>#REF!</v>
      </c>
      <c r="GL413" t="e">
        <f>AND(#REF!,"AAAAAD7s7sE=")</f>
        <v>#REF!</v>
      </c>
      <c r="GM413" t="e">
        <f>AND(#REF!,"AAAAAD7s7sI=")</f>
        <v>#REF!</v>
      </c>
      <c r="GN413" t="e">
        <f>AND(#REF!,"AAAAAD7s7sM=")</f>
        <v>#REF!</v>
      </c>
      <c r="GO413" t="e">
        <f>AND(#REF!,"AAAAAD7s7sQ=")</f>
        <v>#REF!</v>
      </c>
      <c r="GP413" t="e">
        <f>IF(#REF!,"AAAAAD7s7sU=",0)</f>
        <v>#REF!</v>
      </c>
      <c r="GQ413" t="e">
        <f>AND(#REF!,"AAAAAD7s7sY=")</f>
        <v>#REF!</v>
      </c>
      <c r="GR413" t="e">
        <f>AND(#REF!,"AAAAAD7s7sc=")</f>
        <v>#REF!</v>
      </c>
      <c r="GS413" t="e">
        <f>AND(#REF!,"AAAAAD7s7sg=")</f>
        <v>#REF!</v>
      </c>
      <c r="GT413" t="e">
        <f>AND(#REF!,"AAAAAD7s7sk=")</f>
        <v>#REF!</v>
      </c>
      <c r="GU413" t="e">
        <f>AND(#REF!,"AAAAAD7s7so=")</f>
        <v>#REF!</v>
      </c>
      <c r="GV413" t="e">
        <f>AND(#REF!,"AAAAAD7s7ss=")</f>
        <v>#REF!</v>
      </c>
      <c r="GW413" t="e">
        <f>AND(#REF!,"AAAAAD7s7sw=")</f>
        <v>#REF!</v>
      </c>
      <c r="GX413" t="e">
        <f>AND(#REF!,"AAAAAD7s7s0=")</f>
        <v>#REF!</v>
      </c>
      <c r="GY413" t="e">
        <f>AND(#REF!,"AAAAAD7s7s4=")</f>
        <v>#REF!</v>
      </c>
      <c r="GZ413" t="e">
        <f>AND(#REF!,"AAAAAD7s7s8=")</f>
        <v>#REF!</v>
      </c>
      <c r="HA413" t="e">
        <f>IF(#REF!,"AAAAAD7s7tA=",0)</f>
        <v>#REF!</v>
      </c>
      <c r="HB413" t="e">
        <f>AND(#REF!,"AAAAAD7s7tE=")</f>
        <v>#REF!</v>
      </c>
      <c r="HC413" t="e">
        <f>AND(#REF!,"AAAAAD7s7tI=")</f>
        <v>#REF!</v>
      </c>
      <c r="HD413" t="e">
        <f>AND(#REF!,"AAAAAD7s7tM=")</f>
        <v>#REF!</v>
      </c>
      <c r="HE413" t="e">
        <f>AND(#REF!,"AAAAAD7s7tQ=")</f>
        <v>#REF!</v>
      </c>
      <c r="HF413" t="e">
        <f>AND(#REF!,"AAAAAD7s7tU=")</f>
        <v>#REF!</v>
      </c>
      <c r="HG413" t="e">
        <f>AND(#REF!,"AAAAAD7s7tY=")</f>
        <v>#REF!</v>
      </c>
      <c r="HH413" t="e">
        <f>AND(#REF!,"AAAAAD7s7tc=")</f>
        <v>#REF!</v>
      </c>
      <c r="HI413" t="e">
        <f>AND(#REF!,"AAAAAD7s7tg=")</f>
        <v>#REF!</v>
      </c>
      <c r="HJ413" t="e">
        <f>AND(#REF!,"AAAAAD7s7tk=")</f>
        <v>#REF!</v>
      </c>
      <c r="HK413" t="e">
        <f>AND(#REF!,"AAAAAD7s7to=")</f>
        <v>#REF!</v>
      </c>
      <c r="HL413" t="e">
        <f>IF(#REF!,"AAAAAD7s7ts=",0)</f>
        <v>#REF!</v>
      </c>
      <c r="HM413" t="e">
        <f>AND(#REF!,"AAAAAD7s7tw=")</f>
        <v>#REF!</v>
      </c>
      <c r="HN413" t="e">
        <f>AND(#REF!,"AAAAAD7s7t0=")</f>
        <v>#REF!</v>
      </c>
      <c r="HO413" t="e">
        <f>AND(#REF!,"AAAAAD7s7t4=")</f>
        <v>#REF!</v>
      </c>
      <c r="HP413" t="e">
        <f>AND(#REF!,"AAAAAD7s7t8=")</f>
        <v>#REF!</v>
      </c>
      <c r="HQ413" t="e">
        <f>AND(#REF!,"AAAAAD7s7uA=")</f>
        <v>#REF!</v>
      </c>
      <c r="HR413" t="e">
        <f>AND(#REF!,"AAAAAD7s7uE=")</f>
        <v>#REF!</v>
      </c>
      <c r="HS413" t="e">
        <f>AND(#REF!,"AAAAAD7s7uI=")</f>
        <v>#REF!</v>
      </c>
      <c r="HT413" t="e">
        <f>AND(#REF!,"AAAAAD7s7uM=")</f>
        <v>#REF!</v>
      </c>
      <c r="HU413" t="e">
        <f>AND(#REF!,"AAAAAD7s7uQ=")</f>
        <v>#REF!</v>
      </c>
      <c r="HV413" t="e">
        <f>AND(#REF!,"AAAAAD7s7uU=")</f>
        <v>#REF!</v>
      </c>
      <c r="HW413" t="e">
        <f>IF(#REF!,"AAAAAD7s7uY=",0)</f>
        <v>#REF!</v>
      </c>
      <c r="HX413" t="e">
        <f>AND(#REF!,"AAAAAD7s7uc=")</f>
        <v>#REF!</v>
      </c>
      <c r="HY413" t="e">
        <f>AND(#REF!,"AAAAAD7s7ug=")</f>
        <v>#REF!</v>
      </c>
      <c r="HZ413" t="e">
        <f>AND(#REF!,"AAAAAD7s7uk=")</f>
        <v>#REF!</v>
      </c>
      <c r="IA413" t="e">
        <f>AND(#REF!,"AAAAAD7s7uo=")</f>
        <v>#REF!</v>
      </c>
      <c r="IB413" t="e">
        <f>AND(#REF!,"AAAAAD7s7us=")</f>
        <v>#REF!</v>
      </c>
      <c r="IC413" t="e">
        <f>AND(#REF!,"AAAAAD7s7uw=")</f>
        <v>#REF!</v>
      </c>
      <c r="ID413" t="e">
        <f>AND(#REF!,"AAAAAD7s7u0=")</f>
        <v>#REF!</v>
      </c>
      <c r="IE413" t="e">
        <f>AND(#REF!,"AAAAAD7s7u4=")</f>
        <v>#REF!</v>
      </c>
      <c r="IF413" t="e">
        <f>AND(#REF!,"AAAAAD7s7u8=")</f>
        <v>#REF!</v>
      </c>
      <c r="IG413" t="e">
        <f>AND(#REF!,"AAAAAD7s7vA=")</f>
        <v>#REF!</v>
      </c>
      <c r="IH413" t="e">
        <f>IF(#REF!,"AAAAAD7s7vE=",0)</f>
        <v>#REF!</v>
      </c>
      <c r="II413" t="e">
        <f>AND(#REF!,"AAAAAD7s7vI=")</f>
        <v>#REF!</v>
      </c>
      <c r="IJ413" t="e">
        <f>AND(#REF!,"AAAAAD7s7vM=")</f>
        <v>#REF!</v>
      </c>
      <c r="IK413" t="e">
        <f>AND(#REF!,"AAAAAD7s7vQ=")</f>
        <v>#REF!</v>
      </c>
      <c r="IL413" t="e">
        <f>AND(#REF!,"AAAAAD7s7vU=")</f>
        <v>#REF!</v>
      </c>
      <c r="IM413" t="e">
        <f>AND(#REF!,"AAAAAD7s7vY=")</f>
        <v>#REF!</v>
      </c>
      <c r="IN413" t="e">
        <f>AND(#REF!,"AAAAAD7s7vc=")</f>
        <v>#REF!</v>
      </c>
      <c r="IO413" t="e">
        <f>AND(#REF!,"AAAAAD7s7vg=")</f>
        <v>#REF!</v>
      </c>
      <c r="IP413" t="e">
        <f>AND(#REF!,"AAAAAD7s7vk=")</f>
        <v>#REF!</v>
      </c>
      <c r="IQ413" t="e">
        <f>AND(#REF!,"AAAAAD7s7vo=")</f>
        <v>#REF!</v>
      </c>
      <c r="IR413" t="e">
        <f>AND(#REF!,"AAAAAD7s7vs=")</f>
        <v>#REF!</v>
      </c>
      <c r="IS413" t="e">
        <f>IF(#REF!,"AAAAAD7s7vw=",0)</f>
        <v>#REF!</v>
      </c>
      <c r="IT413" t="e">
        <f>AND(#REF!,"AAAAAD7s7v0=")</f>
        <v>#REF!</v>
      </c>
      <c r="IU413" t="e">
        <f>AND(#REF!,"AAAAAD7s7v4=")</f>
        <v>#REF!</v>
      </c>
      <c r="IV413" t="e">
        <f>AND(#REF!,"AAAAAD7s7v8=")</f>
        <v>#REF!</v>
      </c>
    </row>
    <row r="414" spans="1:256" x14ac:dyDescent="0.25">
      <c r="A414" t="e">
        <f>AND(#REF!,"AAAAAEPXtwA=")</f>
        <v>#REF!</v>
      </c>
      <c r="B414" t="e">
        <f>AND(#REF!,"AAAAAEPXtwE=")</f>
        <v>#REF!</v>
      </c>
      <c r="C414" t="e">
        <f>AND(#REF!,"AAAAAEPXtwI=")</f>
        <v>#REF!</v>
      </c>
      <c r="D414" t="e">
        <f>AND(#REF!,"AAAAAEPXtwM=")</f>
        <v>#REF!</v>
      </c>
      <c r="E414" t="e">
        <f>AND(#REF!,"AAAAAEPXtwQ=")</f>
        <v>#REF!</v>
      </c>
      <c r="F414" t="e">
        <f>AND(#REF!,"AAAAAEPXtwU=")</f>
        <v>#REF!</v>
      </c>
      <c r="G414" t="e">
        <f>AND(#REF!,"AAAAAEPXtwY=")</f>
        <v>#REF!</v>
      </c>
      <c r="H414" t="e">
        <f>IF(#REF!,"AAAAAEPXtwc=",0)</f>
        <v>#REF!</v>
      </c>
      <c r="I414" t="e">
        <f>AND(#REF!,"AAAAAEPXtwg=")</f>
        <v>#REF!</v>
      </c>
      <c r="J414" t="e">
        <f>AND(#REF!,"AAAAAEPXtwk=")</f>
        <v>#REF!</v>
      </c>
      <c r="K414" t="e">
        <f>AND(#REF!,"AAAAAEPXtwo=")</f>
        <v>#REF!</v>
      </c>
      <c r="L414" t="e">
        <f>AND(#REF!,"AAAAAEPXtws=")</f>
        <v>#REF!</v>
      </c>
      <c r="M414" t="e">
        <f>AND(#REF!,"AAAAAEPXtww=")</f>
        <v>#REF!</v>
      </c>
      <c r="N414" t="e">
        <f>AND(#REF!,"AAAAAEPXtw0=")</f>
        <v>#REF!</v>
      </c>
      <c r="O414" t="e">
        <f>AND(#REF!,"AAAAAEPXtw4=")</f>
        <v>#REF!</v>
      </c>
      <c r="P414" t="e">
        <f>AND(#REF!,"AAAAAEPXtw8=")</f>
        <v>#REF!</v>
      </c>
      <c r="Q414" t="e">
        <f>AND(#REF!,"AAAAAEPXtxA=")</f>
        <v>#REF!</v>
      </c>
      <c r="R414" t="e">
        <f>AND(#REF!,"AAAAAEPXtxE=")</f>
        <v>#REF!</v>
      </c>
      <c r="S414" t="e">
        <f>IF(#REF!,"AAAAAEPXtxI=",0)</f>
        <v>#REF!</v>
      </c>
      <c r="T414" t="e">
        <f>AND(#REF!,"AAAAAEPXtxM=")</f>
        <v>#REF!</v>
      </c>
      <c r="U414" t="e">
        <f>AND(#REF!,"AAAAAEPXtxQ=")</f>
        <v>#REF!</v>
      </c>
      <c r="V414" t="e">
        <f>AND(#REF!,"AAAAAEPXtxU=")</f>
        <v>#REF!</v>
      </c>
      <c r="W414" t="e">
        <f>AND(#REF!,"AAAAAEPXtxY=")</f>
        <v>#REF!</v>
      </c>
      <c r="X414" t="e">
        <f>AND(#REF!,"AAAAAEPXtxc=")</f>
        <v>#REF!</v>
      </c>
      <c r="Y414" t="e">
        <f>AND(#REF!,"AAAAAEPXtxg=")</f>
        <v>#REF!</v>
      </c>
      <c r="Z414" t="e">
        <f>AND(#REF!,"AAAAAEPXtxk=")</f>
        <v>#REF!</v>
      </c>
      <c r="AA414" t="e">
        <f>AND(#REF!,"AAAAAEPXtxo=")</f>
        <v>#REF!</v>
      </c>
      <c r="AB414" t="e">
        <f>AND(#REF!,"AAAAAEPXtxs=")</f>
        <v>#REF!</v>
      </c>
      <c r="AC414" t="e">
        <f>AND(#REF!,"AAAAAEPXtxw=")</f>
        <v>#REF!</v>
      </c>
      <c r="AD414" t="e">
        <f>IF(#REF!,"AAAAAEPXtx0=",0)</f>
        <v>#REF!</v>
      </c>
      <c r="AE414" t="e">
        <f>AND(#REF!,"AAAAAEPXtx4=")</f>
        <v>#REF!</v>
      </c>
      <c r="AF414" t="e">
        <f>AND(#REF!,"AAAAAEPXtx8=")</f>
        <v>#REF!</v>
      </c>
      <c r="AG414" t="e">
        <f>AND(#REF!,"AAAAAEPXtyA=")</f>
        <v>#REF!</v>
      </c>
      <c r="AH414" t="e">
        <f>AND(#REF!,"AAAAAEPXtyE=")</f>
        <v>#REF!</v>
      </c>
      <c r="AI414" t="e">
        <f>AND(#REF!,"AAAAAEPXtyI=")</f>
        <v>#REF!</v>
      </c>
      <c r="AJ414" t="e">
        <f>AND(#REF!,"AAAAAEPXtyM=")</f>
        <v>#REF!</v>
      </c>
      <c r="AK414" t="e">
        <f>AND(#REF!,"AAAAAEPXtyQ=")</f>
        <v>#REF!</v>
      </c>
      <c r="AL414" t="e">
        <f>AND(#REF!,"AAAAAEPXtyU=")</f>
        <v>#REF!</v>
      </c>
      <c r="AM414" t="e">
        <f>AND(#REF!,"AAAAAEPXtyY=")</f>
        <v>#REF!</v>
      </c>
      <c r="AN414" t="e">
        <f>AND(#REF!,"AAAAAEPXtyc=")</f>
        <v>#REF!</v>
      </c>
      <c r="AO414" t="e">
        <f>IF(#REF!,"AAAAAEPXtyg=",0)</f>
        <v>#REF!</v>
      </c>
      <c r="AP414" t="e">
        <f>AND(#REF!,"AAAAAEPXtyk=")</f>
        <v>#REF!</v>
      </c>
      <c r="AQ414" t="e">
        <f>AND(#REF!,"AAAAAEPXtyo=")</f>
        <v>#REF!</v>
      </c>
      <c r="AR414" t="e">
        <f>AND(#REF!,"AAAAAEPXtys=")</f>
        <v>#REF!</v>
      </c>
      <c r="AS414" t="e">
        <f>AND(#REF!,"AAAAAEPXtyw=")</f>
        <v>#REF!</v>
      </c>
      <c r="AT414" t="e">
        <f>AND(#REF!,"AAAAAEPXty0=")</f>
        <v>#REF!</v>
      </c>
      <c r="AU414" t="e">
        <f>AND(#REF!,"AAAAAEPXty4=")</f>
        <v>#REF!</v>
      </c>
      <c r="AV414" t="e">
        <f>AND(#REF!,"AAAAAEPXty8=")</f>
        <v>#REF!</v>
      </c>
      <c r="AW414" t="e">
        <f>AND(#REF!,"AAAAAEPXtzA=")</f>
        <v>#REF!</v>
      </c>
      <c r="AX414" t="e">
        <f>AND(#REF!,"AAAAAEPXtzE=")</f>
        <v>#REF!</v>
      </c>
      <c r="AY414" t="e">
        <f>AND(#REF!,"AAAAAEPXtzI=")</f>
        <v>#REF!</v>
      </c>
      <c r="AZ414" t="e">
        <f>IF(#REF!,"AAAAAEPXtzM=",0)</f>
        <v>#REF!</v>
      </c>
      <c r="BA414" t="e">
        <f>AND(#REF!,"AAAAAEPXtzQ=")</f>
        <v>#REF!</v>
      </c>
      <c r="BB414" t="e">
        <f>AND(#REF!,"AAAAAEPXtzU=")</f>
        <v>#REF!</v>
      </c>
      <c r="BC414" t="e">
        <f>AND(#REF!,"AAAAAEPXtzY=")</f>
        <v>#REF!</v>
      </c>
      <c r="BD414" t="e">
        <f>AND(#REF!,"AAAAAEPXtzc=")</f>
        <v>#REF!</v>
      </c>
      <c r="BE414" t="e">
        <f>AND(#REF!,"AAAAAEPXtzg=")</f>
        <v>#REF!</v>
      </c>
      <c r="BF414" t="e">
        <f>AND(#REF!,"AAAAAEPXtzk=")</f>
        <v>#REF!</v>
      </c>
      <c r="BG414" t="e">
        <f>AND(#REF!,"AAAAAEPXtzo=")</f>
        <v>#REF!</v>
      </c>
      <c r="BH414" t="e">
        <f>AND(#REF!,"AAAAAEPXtzs=")</f>
        <v>#REF!</v>
      </c>
      <c r="BI414" t="e">
        <f>AND(#REF!,"AAAAAEPXtzw=")</f>
        <v>#REF!</v>
      </c>
      <c r="BJ414" t="e">
        <f>AND(#REF!,"AAAAAEPXtz0=")</f>
        <v>#REF!</v>
      </c>
      <c r="BK414" t="e">
        <f>IF(#REF!,"AAAAAEPXtz4=",0)</f>
        <v>#REF!</v>
      </c>
      <c r="BL414" t="e">
        <f>AND(#REF!,"AAAAAEPXtz8=")</f>
        <v>#REF!</v>
      </c>
      <c r="BM414" t="e">
        <f>AND(#REF!,"AAAAAEPXt0A=")</f>
        <v>#REF!</v>
      </c>
      <c r="BN414" t="e">
        <f>AND(#REF!,"AAAAAEPXt0E=")</f>
        <v>#REF!</v>
      </c>
      <c r="BO414" t="e">
        <f>AND(#REF!,"AAAAAEPXt0I=")</f>
        <v>#REF!</v>
      </c>
      <c r="BP414" t="e">
        <f>AND(#REF!,"AAAAAEPXt0M=")</f>
        <v>#REF!</v>
      </c>
      <c r="BQ414" t="e">
        <f>AND(#REF!,"AAAAAEPXt0Q=")</f>
        <v>#REF!</v>
      </c>
      <c r="BR414" t="e">
        <f>AND(#REF!,"AAAAAEPXt0U=")</f>
        <v>#REF!</v>
      </c>
      <c r="BS414" t="e">
        <f>AND(#REF!,"AAAAAEPXt0Y=")</f>
        <v>#REF!</v>
      </c>
      <c r="BT414" t="e">
        <f>AND(#REF!,"AAAAAEPXt0c=")</f>
        <v>#REF!</v>
      </c>
      <c r="BU414" t="e">
        <f>AND(#REF!,"AAAAAEPXt0g=")</f>
        <v>#REF!</v>
      </c>
      <c r="BV414" t="e">
        <f>IF(#REF!,"AAAAAEPXt0k=",0)</f>
        <v>#REF!</v>
      </c>
      <c r="BW414" t="e">
        <f>AND(#REF!,"AAAAAEPXt0o=")</f>
        <v>#REF!</v>
      </c>
      <c r="BX414" t="e">
        <f>AND(#REF!,"AAAAAEPXt0s=")</f>
        <v>#REF!</v>
      </c>
      <c r="BY414" t="e">
        <f>AND(#REF!,"AAAAAEPXt0w=")</f>
        <v>#REF!</v>
      </c>
      <c r="BZ414" t="e">
        <f>AND(#REF!,"AAAAAEPXt00=")</f>
        <v>#REF!</v>
      </c>
      <c r="CA414" t="e">
        <f>AND(#REF!,"AAAAAEPXt04=")</f>
        <v>#REF!</v>
      </c>
      <c r="CB414" t="e">
        <f>AND(#REF!,"AAAAAEPXt08=")</f>
        <v>#REF!</v>
      </c>
      <c r="CC414" t="e">
        <f>AND(#REF!,"AAAAAEPXt1A=")</f>
        <v>#REF!</v>
      </c>
      <c r="CD414" t="e">
        <f>AND(#REF!,"AAAAAEPXt1E=")</f>
        <v>#REF!</v>
      </c>
      <c r="CE414" t="e">
        <f>AND(#REF!,"AAAAAEPXt1I=")</f>
        <v>#REF!</v>
      </c>
      <c r="CF414" t="e">
        <f>AND(#REF!,"AAAAAEPXt1M=")</f>
        <v>#REF!</v>
      </c>
      <c r="CG414" t="e">
        <f>IF(#REF!,"AAAAAEPXt1Q=",0)</f>
        <v>#REF!</v>
      </c>
      <c r="CH414" t="e">
        <f>AND(#REF!,"AAAAAEPXt1U=")</f>
        <v>#REF!</v>
      </c>
      <c r="CI414" t="e">
        <f>AND(#REF!,"AAAAAEPXt1Y=")</f>
        <v>#REF!</v>
      </c>
      <c r="CJ414" t="e">
        <f>AND(#REF!,"AAAAAEPXt1c=")</f>
        <v>#REF!</v>
      </c>
      <c r="CK414" t="e">
        <f>AND(#REF!,"AAAAAEPXt1g=")</f>
        <v>#REF!</v>
      </c>
      <c r="CL414" t="e">
        <f>AND(#REF!,"AAAAAEPXt1k=")</f>
        <v>#REF!</v>
      </c>
      <c r="CM414" t="e">
        <f>AND(#REF!,"AAAAAEPXt1o=")</f>
        <v>#REF!</v>
      </c>
      <c r="CN414" t="e">
        <f>AND(#REF!,"AAAAAEPXt1s=")</f>
        <v>#REF!</v>
      </c>
      <c r="CO414" t="e">
        <f>AND(#REF!,"AAAAAEPXt1w=")</f>
        <v>#REF!</v>
      </c>
      <c r="CP414" t="e">
        <f>AND(#REF!,"AAAAAEPXt10=")</f>
        <v>#REF!</v>
      </c>
      <c r="CQ414" t="e">
        <f>AND(#REF!,"AAAAAEPXt14=")</f>
        <v>#REF!</v>
      </c>
      <c r="CR414" t="e">
        <f>IF(#REF!,"AAAAAEPXt18=",0)</f>
        <v>#REF!</v>
      </c>
      <c r="CS414" t="e">
        <f>AND(#REF!,"AAAAAEPXt2A=")</f>
        <v>#REF!</v>
      </c>
      <c r="CT414" t="e">
        <f>AND(#REF!,"AAAAAEPXt2E=")</f>
        <v>#REF!</v>
      </c>
      <c r="CU414" t="e">
        <f>AND(#REF!,"AAAAAEPXt2I=")</f>
        <v>#REF!</v>
      </c>
      <c r="CV414" t="e">
        <f>AND(#REF!,"AAAAAEPXt2M=")</f>
        <v>#REF!</v>
      </c>
      <c r="CW414" t="e">
        <f>AND(#REF!,"AAAAAEPXt2Q=")</f>
        <v>#REF!</v>
      </c>
      <c r="CX414" t="e">
        <f>AND(#REF!,"AAAAAEPXt2U=")</f>
        <v>#REF!</v>
      </c>
      <c r="CY414" t="e">
        <f>AND(#REF!,"AAAAAEPXt2Y=")</f>
        <v>#REF!</v>
      </c>
      <c r="CZ414" t="e">
        <f>AND(#REF!,"AAAAAEPXt2c=")</f>
        <v>#REF!</v>
      </c>
      <c r="DA414" t="e">
        <f>AND(#REF!,"AAAAAEPXt2g=")</f>
        <v>#REF!</v>
      </c>
      <c r="DB414" t="e">
        <f>AND(#REF!,"AAAAAEPXt2k=")</f>
        <v>#REF!</v>
      </c>
      <c r="DC414" t="e">
        <f>IF(#REF!,"AAAAAEPXt2o=",0)</f>
        <v>#REF!</v>
      </c>
      <c r="DD414" t="e">
        <f>AND(#REF!,"AAAAAEPXt2s=")</f>
        <v>#REF!</v>
      </c>
      <c r="DE414" t="e">
        <f>AND(#REF!,"AAAAAEPXt2w=")</f>
        <v>#REF!</v>
      </c>
      <c r="DF414" t="e">
        <f>AND(#REF!,"AAAAAEPXt20=")</f>
        <v>#REF!</v>
      </c>
      <c r="DG414" t="e">
        <f>AND(#REF!,"AAAAAEPXt24=")</f>
        <v>#REF!</v>
      </c>
      <c r="DH414" t="e">
        <f>AND(#REF!,"AAAAAEPXt28=")</f>
        <v>#REF!</v>
      </c>
      <c r="DI414" t="e">
        <f>AND(#REF!,"AAAAAEPXt3A=")</f>
        <v>#REF!</v>
      </c>
      <c r="DJ414" t="e">
        <f>AND(#REF!,"AAAAAEPXt3E=")</f>
        <v>#REF!</v>
      </c>
      <c r="DK414" t="e">
        <f>AND(#REF!,"AAAAAEPXt3I=")</f>
        <v>#REF!</v>
      </c>
      <c r="DL414" t="e">
        <f>AND(#REF!,"AAAAAEPXt3M=")</f>
        <v>#REF!</v>
      </c>
      <c r="DM414" t="e">
        <f>AND(#REF!,"AAAAAEPXt3Q=")</f>
        <v>#REF!</v>
      </c>
      <c r="DN414" t="e">
        <f>IF(#REF!,"AAAAAEPXt3U=",0)</f>
        <v>#REF!</v>
      </c>
      <c r="DO414" t="e">
        <f>AND(#REF!,"AAAAAEPXt3Y=")</f>
        <v>#REF!</v>
      </c>
      <c r="DP414" t="e">
        <f>AND(#REF!,"AAAAAEPXt3c=")</f>
        <v>#REF!</v>
      </c>
      <c r="DQ414" t="e">
        <f>AND(#REF!,"AAAAAEPXt3g=")</f>
        <v>#REF!</v>
      </c>
      <c r="DR414" t="e">
        <f>AND(#REF!,"AAAAAEPXt3k=")</f>
        <v>#REF!</v>
      </c>
      <c r="DS414" t="e">
        <f>AND(#REF!,"AAAAAEPXt3o=")</f>
        <v>#REF!</v>
      </c>
      <c r="DT414" t="e">
        <f>AND(#REF!,"AAAAAEPXt3s=")</f>
        <v>#REF!</v>
      </c>
      <c r="DU414" t="e">
        <f>AND(#REF!,"AAAAAEPXt3w=")</f>
        <v>#REF!</v>
      </c>
      <c r="DV414" t="e">
        <f>AND(#REF!,"AAAAAEPXt30=")</f>
        <v>#REF!</v>
      </c>
      <c r="DW414" t="e">
        <f>AND(#REF!,"AAAAAEPXt34=")</f>
        <v>#REF!</v>
      </c>
      <c r="DX414" t="e">
        <f>AND(#REF!,"AAAAAEPXt38=")</f>
        <v>#REF!</v>
      </c>
      <c r="DY414" t="e">
        <f>IF(#REF!,"AAAAAEPXt4A=",0)</f>
        <v>#REF!</v>
      </c>
      <c r="DZ414" t="e">
        <f>AND(#REF!,"AAAAAEPXt4E=")</f>
        <v>#REF!</v>
      </c>
      <c r="EA414" t="e">
        <f>AND(#REF!,"AAAAAEPXt4I=")</f>
        <v>#REF!</v>
      </c>
      <c r="EB414" t="e">
        <f>AND(#REF!,"AAAAAEPXt4M=")</f>
        <v>#REF!</v>
      </c>
      <c r="EC414" t="e">
        <f>AND(#REF!,"AAAAAEPXt4Q=")</f>
        <v>#REF!</v>
      </c>
      <c r="ED414" t="e">
        <f>AND(#REF!,"AAAAAEPXt4U=")</f>
        <v>#REF!</v>
      </c>
      <c r="EE414" t="e">
        <f>AND(#REF!,"AAAAAEPXt4Y=")</f>
        <v>#REF!</v>
      </c>
      <c r="EF414" t="e">
        <f>AND(#REF!,"AAAAAEPXt4c=")</f>
        <v>#REF!</v>
      </c>
      <c r="EG414" t="e">
        <f>AND(#REF!,"AAAAAEPXt4g=")</f>
        <v>#REF!</v>
      </c>
      <c r="EH414" t="e">
        <f>AND(#REF!,"AAAAAEPXt4k=")</f>
        <v>#REF!</v>
      </c>
      <c r="EI414" t="e">
        <f>AND(#REF!,"AAAAAEPXt4o=")</f>
        <v>#REF!</v>
      </c>
      <c r="EJ414" t="e">
        <f>IF(#REF!,"AAAAAEPXt4s=",0)</f>
        <v>#REF!</v>
      </c>
      <c r="EK414" t="e">
        <f>AND(#REF!,"AAAAAEPXt4w=")</f>
        <v>#REF!</v>
      </c>
      <c r="EL414" t="e">
        <f>AND(#REF!,"AAAAAEPXt40=")</f>
        <v>#REF!</v>
      </c>
      <c r="EM414" t="e">
        <f>AND(#REF!,"AAAAAEPXt44=")</f>
        <v>#REF!</v>
      </c>
      <c r="EN414" t="e">
        <f>AND(#REF!,"AAAAAEPXt48=")</f>
        <v>#REF!</v>
      </c>
      <c r="EO414" t="e">
        <f>AND(#REF!,"AAAAAEPXt5A=")</f>
        <v>#REF!</v>
      </c>
      <c r="EP414" t="e">
        <f>AND(#REF!,"AAAAAEPXt5E=")</f>
        <v>#REF!</v>
      </c>
      <c r="EQ414" t="e">
        <f>AND(#REF!,"AAAAAEPXt5I=")</f>
        <v>#REF!</v>
      </c>
      <c r="ER414" t="e">
        <f>AND(#REF!,"AAAAAEPXt5M=")</f>
        <v>#REF!</v>
      </c>
      <c r="ES414" t="e">
        <f>AND(#REF!,"AAAAAEPXt5Q=")</f>
        <v>#REF!</v>
      </c>
      <c r="ET414" t="e">
        <f>AND(#REF!,"AAAAAEPXt5U=")</f>
        <v>#REF!</v>
      </c>
      <c r="EU414" t="e">
        <f>IF(#REF!,"AAAAAEPXt5Y=",0)</f>
        <v>#REF!</v>
      </c>
      <c r="EV414" t="e">
        <f>AND(#REF!,"AAAAAEPXt5c=")</f>
        <v>#REF!</v>
      </c>
      <c r="EW414" t="e">
        <f>AND(#REF!,"AAAAAEPXt5g=")</f>
        <v>#REF!</v>
      </c>
      <c r="EX414" t="e">
        <f>AND(#REF!,"AAAAAEPXt5k=")</f>
        <v>#REF!</v>
      </c>
      <c r="EY414" t="e">
        <f>AND(#REF!,"AAAAAEPXt5o=")</f>
        <v>#REF!</v>
      </c>
      <c r="EZ414" t="e">
        <f>AND(#REF!,"AAAAAEPXt5s=")</f>
        <v>#REF!</v>
      </c>
      <c r="FA414" t="e">
        <f>AND(#REF!,"AAAAAEPXt5w=")</f>
        <v>#REF!</v>
      </c>
      <c r="FB414" t="e">
        <f>AND(#REF!,"AAAAAEPXt50=")</f>
        <v>#REF!</v>
      </c>
      <c r="FC414" t="e">
        <f>AND(#REF!,"AAAAAEPXt54=")</f>
        <v>#REF!</v>
      </c>
      <c r="FD414" t="e">
        <f>AND(#REF!,"AAAAAEPXt58=")</f>
        <v>#REF!</v>
      </c>
      <c r="FE414" t="e">
        <f>AND(#REF!,"AAAAAEPXt6A=")</f>
        <v>#REF!</v>
      </c>
      <c r="FF414" t="e">
        <f>IF(#REF!,"AAAAAEPXt6E=",0)</f>
        <v>#REF!</v>
      </c>
      <c r="FG414" t="e">
        <f>AND(#REF!,"AAAAAEPXt6I=")</f>
        <v>#REF!</v>
      </c>
      <c r="FH414" t="e">
        <f>AND(#REF!,"AAAAAEPXt6M=")</f>
        <v>#REF!</v>
      </c>
      <c r="FI414" t="e">
        <f>AND(#REF!,"AAAAAEPXt6Q=")</f>
        <v>#REF!</v>
      </c>
      <c r="FJ414" t="e">
        <f>AND(#REF!,"AAAAAEPXt6U=")</f>
        <v>#REF!</v>
      </c>
      <c r="FK414" t="e">
        <f>AND(#REF!,"AAAAAEPXt6Y=")</f>
        <v>#REF!</v>
      </c>
      <c r="FL414" t="e">
        <f>AND(#REF!,"AAAAAEPXt6c=")</f>
        <v>#REF!</v>
      </c>
      <c r="FM414" t="e">
        <f>AND(#REF!,"AAAAAEPXt6g=")</f>
        <v>#REF!</v>
      </c>
      <c r="FN414" t="e">
        <f>AND(#REF!,"AAAAAEPXt6k=")</f>
        <v>#REF!</v>
      </c>
      <c r="FO414" t="e">
        <f>AND(#REF!,"AAAAAEPXt6o=")</f>
        <v>#REF!</v>
      </c>
      <c r="FP414" t="e">
        <f>AND(#REF!,"AAAAAEPXt6s=")</f>
        <v>#REF!</v>
      </c>
      <c r="FQ414" t="e">
        <f>IF(#REF!,"AAAAAEPXt6w=",0)</f>
        <v>#REF!</v>
      </c>
      <c r="FR414" t="e">
        <f>AND(#REF!,"AAAAAEPXt60=")</f>
        <v>#REF!</v>
      </c>
      <c r="FS414" t="e">
        <f>AND(#REF!,"AAAAAEPXt64=")</f>
        <v>#REF!</v>
      </c>
      <c r="FT414" t="e">
        <f>AND(#REF!,"AAAAAEPXt68=")</f>
        <v>#REF!</v>
      </c>
      <c r="FU414" t="e">
        <f>AND(#REF!,"AAAAAEPXt7A=")</f>
        <v>#REF!</v>
      </c>
      <c r="FV414" t="e">
        <f>AND(#REF!,"AAAAAEPXt7E=")</f>
        <v>#REF!</v>
      </c>
      <c r="FW414" t="e">
        <f>AND(#REF!,"AAAAAEPXt7I=")</f>
        <v>#REF!</v>
      </c>
      <c r="FX414" t="e">
        <f>AND(#REF!,"AAAAAEPXt7M=")</f>
        <v>#REF!</v>
      </c>
      <c r="FY414" t="e">
        <f>AND(#REF!,"AAAAAEPXt7Q=")</f>
        <v>#REF!</v>
      </c>
      <c r="FZ414" t="e">
        <f>AND(#REF!,"AAAAAEPXt7U=")</f>
        <v>#REF!</v>
      </c>
      <c r="GA414" t="e">
        <f>AND(#REF!,"AAAAAEPXt7Y=")</f>
        <v>#REF!</v>
      </c>
      <c r="GB414" t="e">
        <f>IF(#REF!,"AAAAAEPXt7c=",0)</f>
        <v>#REF!</v>
      </c>
      <c r="GC414" t="e">
        <f>AND(#REF!,"AAAAAEPXt7g=")</f>
        <v>#REF!</v>
      </c>
      <c r="GD414" t="e">
        <f>AND(#REF!,"AAAAAEPXt7k=")</f>
        <v>#REF!</v>
      </c>
      <c r="GE414" t="e">
        <f>AND(#REF!,"AAAAAEPXt7o=")</f>
        <v>#REF!</v>
      </c>
      <c r="GF414" t="e">
        <f>AND(#REF!,"AAAAAEPXt7s=")</f>
        <v>#REF!</v>
      </c>
      <c r="GG414" t="e">
        <f>AND(#REF!,"AAAAAEPXt7w=")</f>
        <v>#REF!</v>
      </c>
      <c r="GH414" t="e">
        <f>AND(#REF!,"AAAAAEPXt70=")</f>
        <v>#REF!</v>
      </c>
      <c r="GI414" t="e">
        <f>AND(#REF!,"AAAAAEPXt74=")</f>
        <v>#REF!</v>
      </c>
      <c r="GJ414" t="e">
        <f>AND(#REF!,"AAAAAEPXt78=")</f>
        <v>#REF!</v>
      </c>
      <c r="GK414" t="e">
        <f>AND(#REF!,"AAAAAEPXt8A=")</f>
        <v>#REF!</v>
      </c>
      <c r="GL414" t="e">
        <f>AND(#REF!,"AAAAAEPXt8E=")</f>
        <v>#REF!</v>
      </c>
      <c r="GM414" t="e">
        <f>IF(#REF!,"AAAAAEPXt8I=",0)</f>
        <v>#REF!</v>
      </c>
      <c r="GN414" t="e">
        <f>AND(#REF!,"AAAAAEPXt8M=")</f>
        <v>#REF!</v>
      </c>
      <c r="GO414" t="e">
        <f>AND(#REF!,"AAAAAEPXt8Q=")</f>
        <v>#REF!</v>
      </c>
      <c r="GP414" t="e">
        <f>AND(#REF!,"AAAAAEPXt8U=")</f>
        <v>#REF!</v>
      </c>
      <c r="GQ414" t="e">
        <f>AND(#REF!,"AAAAAEPXt8Y=")</f>
        <v>#REF!</v>
      </c>
      <c r="GR414" t="e">
        <f>AND(#REF!,"AAAAAEPXt8c=")</f>
        <v>#REF!</v>
      </c>
      <c r="GS414" t="e">
        <f>AND(#REF!,"AAAAAEPXt8g=")</f>
        <v>#REF!</v>
      </c>
      <c r="GT414" t="e">
        <f>AND(#REF!,"AAAAAEPXt8k=")</f>
        <v>#REF!</v>
      </c>
      <c r="GU414" t="e">
        <f>AND(#REF!,"AAAAAEPXt8o=")</f>
        <v>#REF!</v>
      </c>
      <c r="GV414" t="e">
        <f>AND(#REF!,"AAAAAEPXt8s=")</f>
        <v>#REF!</v>
      </c>
      <c r="GW414" t="e">
        <f>AND(#REF!,"AAAAAEPXt8w=")</f>
        <v>#REF!</v>
      </c>
      <c r="GX414" t="e">
        <f>IF(#REF!,"AAAAAEPXt80=",0)</f>
        <v>#REF!</v>
      </c>
      <c r="GY414" t="e">
        <f>AND(#REF!,"AAAAAEPXt84=")</f>
        <v>#REF!</v>
      </c>
      <c r="GZ414" t="e">
        <f>AND(#REF!,"AAAAAEPXt88=")</f>
        <v>#REF!</v>
      </c>
      <c r="HA414" t="e">
        <f>AND(#REF!,"AAAAAEPXt9A=")</f>
        <v>#REF!</v>
      </c>
      <c r="HB414" t="e">
        <f>AND(#REF!,"AAAAAEPXt9E=")</f>
        <v>#REF!</v>
      </c>
      <c r="HC414" t="e">
        <f>AND(#REF!,"AAAAAEPXt9I=")</f>
        <v>#REF!</v>
      </c>
      <c r="HD414" t="e">
        <f>AND(#REF!,"AAAAAEPXt9M=")</f>
        <v>#REF!</v>
      </c>
      <c r="HE414" t="e">
        <f>AND(#REF!,"AAAAAEPXt9Q=")</f>
        <v>#REF!</v>
      </c>
      <c r="HF414" t="e">
        <f>AND(#REF!,"AAAAAEPXt9U=")</f>
        <v>#REF!</v>
      </c>
      <c r="HG414" t="e">
        <f>AND(#REF!,"AAAAAEPXt9Y=")</f>
        <v>#REF!</v>
      </c>
      <c r="HH414" t="e">
        <f>AND(#REF!,"AAAAAEPXt9c=")</f>
        <v>#REF!</v>
      </c>
      <c r="HI414" t="e">
        <f>IF(#REF!,"AAAAAEPXt9g=",0)</f>
        <v>#REF!</v>
      </c>
      <c r="HJ414" t="e">
        <f>AND(#REF!,"AAAAAEPXt9k=")</f>
        <v>#REF!</v>
      </c>
      <c r="HK414" t="e">
        <f>AND(#REF!,"AAAAAEPXt9o=")</f>
        <v>#REF!</v>
      </c>
      <c r="HL414" t="e">
        <f>AND(#REF!,"AAAAAEPXt9s=")</f>
        <v>#REF!</v>
      </c>
      <c r="HM414" t="e">
        <f>AND(#REF!,"AAAAAEPXt9w=")</f>
        <v>#REF!</v>
      </c>
      <c r="HN414" t="e">
        <f>AND(#REF!,"AAAAAEPXt90=")</f>
        <v>#REF!</v>
      </c>
      <c r="HO414" t="e">
        <f>AND(#REF!,"AAAAAEPXt94=")</f>
        <v>#REF!</v>
      </c>
      <c r="HP414" t="e">
        <f>AND(#REF!,"AAAAAEPXt98=")</f>
        <v>#REF!</v>
      </c>
      <c r="HQ414" t="e">
        <f>AND(#REF!,"AAAAAEPXt+A=")</f>
        <v>#REF!</v>
      </c>
      <c r="HR414" t="e">
        <f>AND(#REF!,"AAAAAEPXt+E=")</f>
        <v>#REF!</v>
      </c>
      <c r="HS414" t="e">
        <f>AND(#REF!,"AAAAAEPXt+I=")</f>
        <v>#REF!</v>
      </c>
      <c r="HT414" t="e">
        <f>IF(#REF!,"AAAAAEPXt+M=",0)</f>
        <v>#REF!</v>
      </c>
      <c r="HU414" t="e">
        <f>AND(#REF!,"AAAAAEPXt+Q=")</f>
        <v>#REF!</v>
      </c>
      <c r="HV414" t="e">
        <f>AND(#REF!,"AAAAAEPXt+U=")</f>
        <v>#REF!</v>
      </c>
      <c r="HW414" t="e">
        <f>AND(#REF!,"AAAAAEPXt+Y=")</f>
        <v>#REF!</v>
      </c>
      <c r="HX414" t="e">
        <f>AND(#REF!,"AAAAAEPXt+c=")</f>
        <v>#REF!</v>
      </c>
      <c r="HY414" t="e">
        <f>AND(#REF!,"AAAAAEPXt+g=")</f>
        <v>#REF!</v>
      </c>
      <c r="HZ414" t="e">
        <f>AND(#REF!,"AAAAAEPXt+k=")</f>
        <v>#REF!</v>
      </c>
      <c r="IA414" t="e">
        <f>AND(#REF!,"AAAAAEPXt+o=")</f>
        <v>#REF!</v>
      </c>
      <c r="IB414" t="e">
        <f>AND(#REF!,"AAAAAEPXt+s=")</f>
        <v>#REF!</v>
      </c>
      <c r="IC414" t="e">
        <f>AND(#REF!,"AAAAAEPXt+w=")</f>
        <v>#REF!</v>
      </c>
      <c r="ID414" t="e">
        <f>AND(#REF!,"AAAAAEPXt+0=")</f>
        <v>#REF!</v>
      </c>
      <c r="IE414" t="e">
        <f>IF(#REF!,"AAAAAEPXt+4=",0)</f>
        <v>#REF!</v>
      </c>
      <c r="IF414" t="e">
        <f>AND(#REF!,"AAAAAEPXt+8=")</f>
        <v>#REF!</v>
      </c>
      <c r="IG414" t="e">
        <f>AND(#REF!,"AAAAAEPXt/A=")</f>
        <v>#REF!</v>
      </c>
      <c r="IH414" t="e">
        <f>AND(#REF!,"AAAAAEPXt/E=")</f>
        <v>#REF!</v>
      </c>
      <c r="II414" t="e">
        <f>AND(#REF!,"AAAAAEPXt/I=")</f>
        <v>#REF!</v>
      </c>
      <c r="IJ414" t="e">
        <f>AND(#REF!,"AAAAAEPXt/M=")</f>
        <v>#REF!</v>
      </c>
      <c r="IK414" t="e">
        <f>AND(#REF!,"AAAAAEPXt/Q=")</f>
        <v>#REF!</v>
      </c>
      <c r="IL414" t="e">
        <f>AND(#REF!,"AAAAAEPXt/U=")</f>
        <v>#REF!</v>
      </c>
      <c r="IM414" t="e">
        <f>AND(#REF!,"AAAAAEPXt/Y=")</f>
        <v>#REF!</v>
      </c>
      <c r="IN414" t="e">
        <f>AND(#REF!,"AAAAAEPXt/c=")</f>
        <v>#REF!</v>
      </c>
      <c r="IO414" t="e">
        <f>AND(#REF!,"AAAAAEPXt/g=")</f>
        <v>#REF!</v>
      </c>
      <c r="IP414" t="e">
        <f>IF(#REF!,"AAAAAEPXt/k=",0)</f>
        <v>#REF!</v>
      </c>
      <c r="IQ414" t="e">
        <f>AND(#REF!,"AAAAAEPXt/o=")</f>
        <v>#REF!</v>
      </c>
      <c r="IR414" t="e">
        <f>AND(#REF!,"AAAAAEPXt/s=")</f>
        <v>#REF!</v>
      </c>
      <c r="IS414" t="e">
        <f>AND(#REF!,"AAAAAEPXt/w=")</f>
        <v>#REF!</v>
      </c>
      <c r="IT414" t="e">
        <f>AND(#REF!,"AAAAAEPXt/0=")</f>
        <v>#REF!</v>
      </c>
      <c r="IU414" t="e">
        <f>AND(#REF!,"AAAAAEPXt/4=")</f>
        <v>#REF!</v>
      </c>
      <c r="IV414" t="e">
        <f>AND(#REF!,"AAAAAEPXt/8=")</f>
        <v>#REF!</v>
      </c>
    </row>
    <row r="415" spans="1:256" x14ac:dyDescent="0.25">
      <c r="A415" t="e">
        <f>AND(#REF!,"AAAAAF/3+QA=")</f>
        <v>#REF!</v>
      </c>
      <c r="B415" t="e">
        <f>AND(#REF!,"AAAAAF/3+QE=")</f>
        <v>#REF!</v>
      </c>
      <c r="C415" t="e">
        <f>AND(#REF!,"AAAAAF/3+QI=")</f>
        <v>#REF!</v>
      </c>
      <c r="D415" t="e">
        <f>AND(#REF!,"AAAAAF/3+QM=")</f>
        <v>#REF!</v>
      </c>
      <c r="E415" t="e">
        <f>IF(#REF!,"AAAAAF/3+QQ=",0)</f>
        <v>#REF!</v>
      </c>
      <c r="F415" t="e">
        <f>AND(#REF!,"AAAAAF/3+QU=")</f>
        <v>#REF!</v>
      </c>
      <c r="G415" t="e">
        <f>AND(#REF!,"AAAAAF/3+QY=")</f>
        <v>#REF!</v>
      </c>
      <c r="H415" t="e">
        <f>AND(#REF!,"AAAAAF/3+Qc=")</f>
        <v>#REF!</v>
      </c>
      <c r="I415" t="e">
        <f>AND(#REF!,"AAAAAF/3+Qg=")</f>
        <v>#REF!</v>
      </c>
      <c r="J415" t="e">
        <f>AND(#REF!,"AAAAAF/3+Qk=")</f>
        <v>#REF!</v>
      </c>
      <c r="K415" t="e">
        <f>AND(#REF!,"AAAAAF/3+Qo=")</f>
        <v>#REF!</v>
      </c>
      <c r="L415" t="e">
        <f>AND(#REF!,"AAAAAF/3+Qs=")</f>
        <v>#REF!</v>
      </c>
      <c r="M415" t="e">
        <f>AND(#REF!,"AAAAAF/3+Qw=")</f>
        <v>#REF!</v>
      </c>
      <c r="N415" t="e">
        <f>AND(#REF!,"AAAAAF/3+Q0=")</f>
        <v>#REF!</v>
      </c>
      <c r="O415" t="e">
        <f>AND(#REF!,"AAAAAF/3+Q4=")</f>
        <v>#REF!</v>
      </c>
      <c r="P415" t="e">
        <f>IF(#REF!,"AAAAAF/3+Q8=",0)</f>
        <v>#REF!</v>
      </c>
      <c r="Q415" t="e">
        <f>AND(#REF!,"AAAAAF/3+RA=")</f>
        <v>#REF!</v>
      </c>
      <c r="R415" t="e">
        <f>AND(#REF!,"AAAAAF/3+RE=")</f>
        <v>#REF!</v>
      </c>
      <c r="S415" t="e">
        <f>AND(#REF!,"AAAAAF/3+RI=")</f>
        <v>#REF!</v>
      </c>
      <c r="T415" t="e">
        <f>AND(#REF!,"AAAAAF/3+RM=")</f>
        <v>#REF!</v>
      </c>
      <c r="U415" t="e">
        <f>AND(#REF!,"AAAAAF/3+RQ=")</f>
        <v>#REF!</v>
      </c>
      <c r="V415" t="e">
        <f>AND(#REF!,"AAAAAF/3+RU=")</f>
        <v>#REF!</v>
      </c>
      <c r="W415" t="e">
        <f>AND(#REF!,"AAAAAF/3+RY=")</f>
        <v>#REF!</v>
      </c>
      <c r="X415" t="e">
        <f>AND(#REF!,"AAAAAF/3+Rc=")</f>
        <v>#REF!</v>
      </c>
      <c r="Y415" t="e">
        <f>AND(#REF!,"AAAAAF/3+Rg=")</f>
        <v>#REF!</v>
      </c>
      <c r="Z415" t="e">
        <f>AND(#REF!,"AAAAAF/3+Rk=")</f>
        <v>#REF!</v>
      </c>
      <c r="AA415" t="e">
        <f>IF(#REF!,"AAAAAF/3+Ro=",0)</f>
        <v>#REF!</v>
      </c>
      <c r="AB415" t="e">
        <f>AND(#REF!,"AAAAAF/3+Rs=")</f>
        <v>#REF!</v>
      </c>
      <c r="AC415" t="e">
        <f>AND(#REF!,"AAAAAF/3+Rw=")</f>
        <v>#REF!</v>
      </c>
      <c r="AD415" t="e">
        <f>AND(#REF!,"AAAAAF/3+R0=")</f>
        <v>#REF!</v>
      </c>
      <c r="AE415" t="e">
        <f>AND(#REF!,"AAAAAF/3+R4=")</f>
        <v>#REF!</v>
      </c>
      <c r="AF415" t="e">
        <f>AND(#REF!,"AAAAAF/3+R8=")</f>
        <v>#REF!</v>
      </c>
      <c r="AG415" t="e">
        <f>AND(#REF!,"AAAAAF/3+SA=")</f>
        <v>#REF!</v>
      </c>
      <c r="AH415" t="e">
        <f>AND(#REF!,"AAAAAF/3+SE=")</f>
        <v>#REF!</v>
      </c>
      <c r="AI415" t="e">
        <f>AND(#REF!,"AAAAAF/3+SI=")</f>
        <v>#REF!</v>
      </c>
      <c r="AJ415" t="e">
        <f>AND(#REF!,"AAAAAF/3+SM=")</f>
        <v>#REF!</v>
      </c>
      <c r="AK415" t="e">
        <f>AND(#REF!,"AAAAAF/3+SQ=")</f>
        <v>#REF!</v>
      </c>
      <c r="AL415" t="e">
        <f>IF(#REF!,"AAAAAF/3+SU=",0)</f>
        <v>#REF!</v>
      </c>
      <c r="AM415" t="e">
        <f>AND(#REF!,"AAAAAF/3+SY=")</f>
        <v>#REF!</v>
      </c>
      <c r="AN415" t="e">
        <f>AND(#REF!,"AAAAAF/3+Sc=")</f>
        <v>#REF!</v>
      </c>
      <c r="AO415" t="e">
        <f>AND(#REF!,"AAAAAF/3+Sg=")</f>
        <v>#REF!</v>
      </c>
      <c r="AP415" t="e">
        <f>AND(#REF!,"AAAAAF/3+Sk=")</f>
        <v>#REF!</v>
      </c>
      <c r="AQ415" t="e">
        <f>AND(#REF!,"AAAAAF/3+So=")</f>
        <v>#REF!</v>
      </c>
      <c r="AR415" t="e">
        <f>AND(#REF!,"AAAAAF/3+Ss=")</f>
        <v>#REF!</v>
      </c>
      <c r="AS415" t="e">
        <f>AND(#REF!,"AAAAAF/3+Sw=")</f>
        <v>#REF!</v>
      </c>
      <c r="AT415" t="e">
        <f>AND(#REF!,"AAAAAF/3+S0=")</f>
        <v>#REF!</v>
      </c>
      <c r="AU415" t="e">
        <f>AND(#REF!,"AAAAAF/3+S4=")</f>
        <v>#REF!</v>
      </c>
      <c r="AV415" t="e">
        <f>AND(#REF!,"AAAAAF/3+S8=")</f>
        <v>#REF!</v>
      </c>
      <c r="AW415" t="e">
        <f>IF(#REF!,"AAAAAF/3+TA=",0)</f>
        <v>#REF!</v>
      </c>
      <c r="AX415" t="e">
        <f>AND(#REF!,"AAAAAF/3+TE=")</f>
        <v>#REF!</v>
      </c>
      <c r="AY415" t="e">
        <f>AND(#REF!,"AAAAAF/3+TI=")</f>
        <v>#REF!</v>
      </c>
      <c r="AZ415" t="e">
        <f>AND(#REF!,"AAAAAF/3+TM=")</f>
        <v>#REF!</v>
      </c>
      <c r="BA415" t="e">
        <f>AND(#REF!,"AAAAAF/3+TQ=")</f>
        <v>#REF!</v>
      </c>
      <c r="BB415" t="e">
        <f>AND(#REF!,"AAAAAF/3+TU=")</f>
        <v>#REF!</v>
      </c>
      <c r="BC415" t="e">
        <f>AND(#REF!,"AAAAAF/3+TY=")</f>
        <v>#REF!</v>
      </c>
      <c r="BD415" t="e">
        <f>AND(#REF!,"AAAAAF/3+Tc=")</f>
        <v>#REF!</v>
      </c>
      <c r="BE415" t="e">
        <f>AND(#REF!,"AAAAAF/3+Tg=")</f>
        <v>#REF!</v>
      </c>
      <c r="BF415" t="e">
        <f>AND(#REF!,"AAAAAF/3+Tk=")</f>
        <v>#REF!</v>
      </c>
      <c r="BG415" t="e">
        <f>AND(#REF!,"AAAAAF/3+To=")</f>
        <v>#REF!</v>
      </c>
      <c r="BH415" t="e">
        <f>IF(#REF!,"AAAAAF/3+Ts=",0)</f>
        <v>#REF!</v>
      </c>
      <c r="BI415" t="e">
        <f>AND(#REF!,"AAAAAF/3+Tw=")</f>
        <v>#REF!</v>
      </c>
      <c r="BJ415" t="e">
        <f>AND(#REF!,"AAAAAF/3+T0=")</f>
        <v>#REF!</v>
      </c>
      <c r="BK415" t="e">
        <f>AND(#REF!,"AAAAAF/3+T4=")</f>
        <v>#REF!</v>
      </c>
      <c r="BL415" t="e">
        <f>AND(#REF!,"AAAAAF/3+T8=")</f>
        <v>#REF!</v>
      </c>
      <c r="BM415" t="e">
        <f>AND(#REF!,"AAAAAF/3+UA=")</f>
        <v>#REF!</v>
      </c>
      <c r="BN415" t="e">
        <f>AND(#REF!,"AAAAAF/3+UE=")</f>
        <v>#REF!</v>
      </c>
      <c r="BO415" t="e">
        <f>AND(#REF!,"AAAAAF/3+UI=")</f>
        <v>#REF!</v>
      </c>
      <c r="BP415" t="e">
        <f>AND(#REF!,"AAAAAF/3+UM=")</f>
        <v>#REF!</v>
      </c>
      <c r="BQ415" t="e">
        <f>AND(#REF!,"AAAAAF/3+UQ=")</f>
        <v>#REF!</v>
      </c>
      <c r="BR415" t="e">
        <f>AND(#REF!,"AAAAAF/3+UU=")</f>
        <v>#REF!</v>
      </c>
      <c r="BS415" t="e">
        <f>IF(#REF!,"AAAAAF/3+UY=",0)</f>
        <v>#REF!</v>
      </c>
      <c r="BT415" t="e">
        <f>AND(#REF!,"AAAAAF/3+Uc=")</f>
        <v>#REF!</v>
      </c>
      <c r="BU415" t="e">
        <f>AND(#REF!,"AAAAAF/3+Ug=")</f>
        <v>#REF!</v>
      </c>
      <c r="BV415" t="e">
        <f>AND(#REF!,"AAAAAF/3+Uk=")</f>
        <v>#REF!</v>
      </c>
      <c r="BW415" t="e">
        <f>AND(#REF!,"AAAAAF/3+Uo=")</f>
        <v>#REF!</v>
      </c>
      <c r="BX415" t="e">
        <f>AND(#REF!,"AAAAAF/3+Us=")</f>
        <v>#REF!</v>
      </c>
      <c r="BY415" t="e">
        <f>AND(#REF!,"AAAAAF/3+Uw=")</f>
        <v>#REF!</v>
      </c>
      <c r="BZ415" t="e">
        <f>AND(#REF!,"AAAAAF/3+U0=")</f>
        <v>#REF!</v>
      </c>
      <c r="CA415" t="e">
        <f>AND(#REF!,"AAAAAF/3+U4=")</f>
        <v>#REF!</v>
      </c>
      <c r="CB415" t="e">
        <f>AND(#REF!,"AAAAAF/3+U8=")</f>
        <v>#REF!</v>
      </c>
      <c r="CC415" t="e">
        <f>AND(#REF!,"AAAAAF/3+VA=")</f>
        <v>#REF!</v>
      </c>
      <c r="CD415" t="e">
        <f>IF(#REF!,"AAAAAF/3+VE=",0)</f>
        <v>#REF!</v>
      </c>
      <c r="CE415" t="e">
        <f>AND(#REF!,"AAAAAF/3+VI=")</f>
        <v>#REF!</v>
      </c>
      <c r="CF415" t="e">
        <f>AND(#REF!,"AAAAAF/3+VM=")</f>
        <v>#REF!</v>
      </c>
      <c r="CG415" t="e">
        <f>AND(#REF!,"AAAAAF/3+VQ=")</f>
        <v>#REF!</v>
      </c>
      <c r="CH415" t="e">
        <f>AND(#REF!,"AAAAAF/3+VU=")</f>
        <v>#REF!</v>
      </c>
      <c r="CI415" t="e">
        <f>AND(#REF!,"AAAAAF/3+VY=")</f>
        <v>#REF!</v>
      </c>
      <c r="CJ415" t="e">
        <f>AND(#REF!,"AAAAAF/3+Vc=")</f>
        <v>#REF!</v>
      </c>
      <c r="CK415" t="e">
        <f>AND(#REF!,"AAAAAF/3+Vg=")</f>
        <v>#REF!</v>
      </c>
      <c r="CL415" t="e">
        <f>AND(#REF!,"AAAAAF/3+Vk=")</f>
        <v>#REF!</v>
      </c>
      <c r="CM415" t="e">
        <f>AND(#REF!,"AAAAAF/3+Vo=")</f>
        <v>#REF!</v>
      </c>
      <c r="CN415" t="e">
        <f>AND(#REF!,"AAAAAF/3+Vs=")</f>
        <v>#REF!</v>
      </c>
      <c r="CO415" t="e">
        <f>IF(#REF!,"AAAAAF/3+Vw=",0)</f>
        <v>#REF!</v>
      </c>
      <c r="CP415" t="e">
        <f>AND(#REF!,"AAAAAF/3+V0=")</f>
        <v>#REF!</v>
      </c>
      <c r="CQ415" t="e">
        <f>AND(#REF!,"AAAAAF/3+V4=")</f>
        <v>#REF!</v>
      </c>
      <c r="CR415" t="e">
        <f>AND(#REF!,"AAAAAF/3+V8=")</f>
        <v>#REF!</v>
      </c>
      <c r="CS415" t="e">
        <f>AND(#REF!,"AAAAAF/3+WA=")</f>
        <v>#REF!</v>
      </c>
      <c r="CT415" t="e">
        <f>AND(#REF!,"AAAAAF/3+WE=")</f>
        <v>#REF!</v>
      </c>
      <c r="CU415" t="e">
        <f>AND(#REF!,"AAAAAF/3+WI=")</f>
        <v>#REF!</v>
      </c>
      <c r="CV415" t="e">
        <f>AND(#REF!,"AAAAAF/3+WM=")</f>
        <v>#REF!</v>
      </c>
      <c r="CW415" t="e">
        <f>AND(#REF!,"AAAAAF/3+WQ=")</f>
        <v>#REF!</v>
      </c>
      <c r="CX415" t="e">
        <f>AND(#REF!,"AAAAAF/3+WU=")</f>
        <v>#REF!</v>
      </c>
      <c r="CY415" t="e">
        <f>AND(#REF!,"AAAAAF/3+WY=")</f>
        <v>#REF!</v>
      </c>
      <c r="CZ415" t="e">
        <f>IF(#REF!,"AAAAAF/3+Wc=",0)</f>
        <v>#REF!</v>
      </c>
      <c r="DA415" t="e">
        <f>AND(#REF!,"AAAAAF/3+Wg=")</f>
        <v>#REF!</v>
      </c>
      <c r="DB415" t="e">
        <f>AND(#REF!,"AAAAAF/3+Wk=")</f>
        <v>#REF!</v>
      </c>
      <c r="DC415" t="e">
        <f>AND(#REF!,"AAAAAF/3+Wo=")</f>
        <v>#REF!</v>
      </c>
      <c r="DD415" t="e">
        <f>AND(#REF!,"AAAAAF/3+Ws=")</f>
        <v>#REF!</v>
      </c>
      <c r="DE415" t="e">
        <f>AND(#REF!,"AAAAAF/3+Ww=")</f>
        <v>#REF!</v>
      </c>
      <c r="DF415" t="e">
        <f>AND(#REF!,"AAAAAF/3+W0=")</f>
        <v>#REF!</v>
      </c>
      <c r="DG415" t="e">
        <f>AND(#REF!,"AAAAAF/3+W4=")</f>
        <v>#REF!</v>
      </c>
      <c r="DH415" t="e">
        <f>AND(#REF!,"AAAAAF/3+W8=")</f>
        <v>#REF!</v>
      </c>
      <c r="DI415" t="e">
        <f>AND(#REF!,"AAAAAF/3+XA=")</f>
        <v>#REF!</v>
      </c>
      <c r="DJ415" t="e">
        <f>AND(#REF!,"AAAAAF/3+XE=")</f>
        <v>#REF!</v>
      </c>
      <c r="DK415" t="e">
        <f>IF(#REF!,"AAAAAF/3+XI=",0)</f>
        <v>#REF!</v>
      </c>
      <c r="DL415" t="e">
        <f>AND(#REF!,"AAAAAF/3+XM=")</f>
        <v>#REF!</v>
      </c>
      <c r="DM415" t="e">
        <f>AND(#REF!,"AAAAAF/3+XQ=")</f>
        <v>#REF!</v>
      </c>
      <c r="DN415" t="e">
        <f>AND(#REF!,"AAAAAF/3+XU=")</f>
        <v>#REF!</v>
      </c>
      <c r="DO415" t="e">
        <f>AND(#REF!,"AAAAAF/3+XY=")</f>
        <v>#REF!</v>
      </c>
      <c r="DP415" t="e">
        <f>AND(#REF!,"AAAAAF/3+Xc=")</f>
        <v>#REF!</v>
      </c>
      <c r="DQ415" t="e">
        <f>AND(#REF!,"AAAAAF/3+Xg=")</f>
        <v>#REF!</v>
      </c>
      <c r="DR415" t="e">
        <f>AND(#REF!,"AAAAAF/3+Xk=")</f>
        <v>#REF!</v>
      </c>
      <c r="DS415" t="e">
        <f>AND(#REF!,"AAAAAF/3+Xo=")</f>
        <v>#REF!</v>
      </c>
      <c r="DT415" t="e">
        <f>AND(#REF!,"AAAAAF/3+Xs=")</f>
        <v>#REF!</v>
      </c>
      <c r="DU415" t="e">
        <f>AND(#REF!,"AAAAAF/3+Xw=")</f>
        <v>#REF!</v>
      </c>
      <c r="DV415" t="e">
        <f>IF(#REF!,"AAAAAF/3+X0=",0)</f>
        <v>#REF!</v>
      </c>
      <c r="DW415" t="e">
        <f>AND(#REF!,"AAAAAF/3+X4=")</f>
        <v>#REF!</v>
      </c>
      <c r="DX415" t="e">
        <f>AND(#REF!,"AAAAAF/3+X8=")</f>
        <v>#REF!</v>
      </c>
      <c r="DY415" t="e">
        <f>AND(#REF!,"AAAAAF/3+YA=")</f>
        <v>#REF!</v>
      </c>
      <c r="DZ415" t="e">
        <f>AND(#REF!,"AAAAAF/3+YE=")</f>
        <v>#REF!</v>
      </c>
      <c r="EA415" t="e">
        <f>AND(#REF!,"AAAAAF/3+YI=")</f>
        <v>#REF!</v>
      </c>
      <c r="EB415" t="e">
        <f>AND(#REF!,"AAAAAF/3+YM=")</f>
        <v>#REF!</v>
      </c>
      <c r="EC415" t="e">
        <f>AND(#REF!,"AAAAAF/3+YQ=")</f>
        <v>#REF!</v>
      </c>
      <c r="ED415" t="e">
        <f>AND(#REF!,"AAAAAF/3+YU=")</f>
        <v>#REF!</v>
      </c>
      <c r="EE415" t="e">
        <f>AND(#REF!,"AAAAAF/3+YY=")</f>
        <v>#REF!</v>
      </c>
      <c r="EF415" t="e">
        <f>AND(#REF!,"AAAAAF/3+Yc=")</f>
        <v>#REF!</v>
      </c>
      <c r="EG415" t="e">
        <f>IF(#REF!,"AAAAAF/3+Yg=",0)</f>
        <v>#REF!</v>
      </c>
      <c r="EH415" t="e">
        <f>AND(#REF!,"AAAAAF/3+Yk=")</f>
        <v>#REF!</v>
      </c>
      <c r="EI415" t="e">
        <f>AND(#REF!,"AAAAAF/3+Yo=")</f>
        <v>#REF!</v>
      </c>
      <c r="EJ415" t="e">
        <f>AND(#REF!,"AAAAAF/3+Ys=")</f>
        <v>#REF!</v>
      </c>
      <c r="EK415" t="e">
        <f>AND(#REF!,"AAAAAF/3+Yw=")</f>
        <v>#REF!</v>
      </c>
      <c r="EL415" t="e">
        <f>AND(#REF!,"AAAAAF/3+Y0=")</f>
        <v>#REF!</v>
      </c>
      <c r="EM415" t="e">
        <f>AND(#REF!,"AAAAAF/3+Y4=")</f>
        <v>#REF!</v>
      </c>
      <c r="EN415" t="e">
        <f>AND(#REF!,"AAAAAF/3+Y8=")</f>
        <v>#REF!</v>
      </c>
      <c r="EO415" t="e">
        <f>AND(#REF!,"AAAAAF/3+ZA=")</f>
        <v>#REF!</v>
      </c>
      <c r="EP415" t="e">
        <f>AND(#REF!,"AAAAAF/3+ZE=")</f>
        <v>#REF!</v>
      </c>
      <c r="EQ415" t="e">
        <f>AND(#REF!,"AAAAAF/3+ZI=")</f>
        <v>#REF!</v>
      </c>
      <c r="ER415" t="e">
        <f>IF(#REF!,"AAAAAF/3+ZM=",0)</f>
        <v>#REF!</v>
      </c>
      <c r="ES415" t="e">
        <f>AND(#REF!,"AAAAAF/3+ZQ=")</f>
        <v>#REF!</v>
      </c>
      <c r="ET415" t="e">
        <f>AND(#REF!,"AAAAAF/3+ZU=")</f>
        <v>#REF!</v>
      </c>
      <c r="EU415" t="e">
        <f>AND(#REF!,"AAAAAF/3+ZY=")</f>
        <v>#REF!</v>
      </c>
      <c r="EV415" t="e">
        <f>AND(#REF!,"AAAAAF/3+Zc=")</f>
        <v>#REF!</v>
      </c>
      <c r="EW415" t="e">
        <f>AND(#REF!,"AAAAAF/3+Zg=")</f>
        <v>#REF!</v>
      </c>
      <c r="EX415" t="e">
        <f>AND(#REF!,"AAAAAF/3+Zk=")</f>
        <v>#REF!</v>
      </c>
      <c r="EY415" t="e">
        <f>AND(#REF!,"AAAAAF/3+Zo=")</f>
        <v>#REF!</v>
      </c>
      <c r="EZ415" t="e">
        <f>AND(#REF!,"AAAAAF/3+Zs=")</f>
        <v>#REF!</v>
      </c>
      <c r="FA415" t="e">
        <f>AND(#REF!,"AAAAAF/3+Zw=")</f>
        <v>#REF!</v>
      </c>
      <c r="FB415" t="e">
        <f>AND(#REF!,"AAAAAF/3+Z0=")</f>
        <v>#REF!</v>
      </c>
      <c r="FC415" t="e">
        <f>IF(#REF!,"AAAAAF/3+Z4=",0)</f>
        <v>#REF!</v>
      </c>
      <c r="FD415" t="e">
        <f>AND(#REF!,"AAAAAF/3+Z8=")</f>
        <v>#REF!</v>
      </c>
      <c r="FE415" t="e">
        <f>AND(#REF!,"AAAAAF/3+aA=")</f>
        <v>#REF!</v>
      </c>
      <c r="FF415" t="e">
        <f>AND(#REF!,"AAAAAF/3+aE=")</f>
        <v>#REF!</v>
      </c>
      <c r="FG415" t="e">
        <f>AND(#REF!,"AAAAAF/3+aI=")</f>
        <v>#REF!</v>
      </c>
      <c r="FH415" t="e">
        <f>AND(#REF!,"AAAAAF/3+aM=")</f>
        <v>#REF!</v>
      </c>
      <c r="FI415" t="e">
        <f>AND(#REF!,"AAAAAF/3+aQ=")</f>
        <v>#REF!</v>
      </c>
      <c r="FJ415" t="e">
        <f>AND(#REF!,"AAAAAF/3+aU=")</f>
        <v>#REF!</v>
      </c>
      <c r="FK415" t="e">
        <f>AND(#REF!,"AAAAAF/3+aY=")</f>
        <v>#REF!</v>
      </c>
      <c r="FL415" t="e">
        <f>AND(#REF!,"AAAAAF/3+ac=")</f>
        <v>#REF!</v>
      </c>
      <c r="FM415" t="e">
        <f>AND(#REF!,"AAAAAF/3+ag=")</f>
        <v>#REF!</v>
      </c>
      <c r="FN415" t="e">
        <f>IF(#REF!,"AAAAAF/3+ak=",0)</f>
        <v>#REF!</v>
      </c>
      <c r="FO415" t="e">
        <f>AND(#REF!,"AAAAAF/3+ao=")</f>
        <v>#REF!</v>
      </c>
      <c r="FP415" t="e">
        <f>AND(#REF!,"AAAAAF/3+as=")</f>
        <v>#REF!</v>
      </c>
      <c r="FQ415" t="e">
        <f>AND(#REF!,"AAAAAF/3+aw=")</f>
        <v>#REF!</v>
      </c>
      <c r="FR415" t="e">
        <f>AND(#REF!,"AAAAAF/3+a0=")</f>
        <v>#REF!</v>
      </c>
      <c r="FS415" t="e">
        <f>AND(#REF!,"AAAAAF/3+a4=")</f>
        <v>#REF!</v>
      </c>
      <c r="FT415" t="e">
        <f>AND(#REF!,"AAAAAF/3+a8=")</f>
        <v>#REF!</v>
      </c>
      <c r="FU415" t="e">
        <f>AND(#REF!,"AAAAAF/3+bA=")</f>
        <v>#REF!</v>
      </c>
      <c r="FV415" t="e">
        <f>AND(#REF!,"AAAAAF/3+bE=")</f>
        <v>#REF!</v>
      </c>
      <c r="FW415" t="e">
        <f>AND(#REF!,"AAAAAF/3+bI=")</f>
        <v>#REF!</v>
      </c>
      <c r="FX415" t="e">
        <f>AND(#REF!,"AAAAAF/3+bM=")</f>
        <v>#REF!</v>
      </c>
      <c r="FY415" t="e">
        <f>IF(#REF!,"AAAAAF/3+bQ=",0)</f>
        <v>#REF!</v>
      </c>
      <c r="FZ415" t="e">
        <f>AND(#REF!,"AAAAAF/3+bU=")</f>
        <v>#REF!</v>
      </c>
      <c r="GA415" t="e">
        <f>AND(#REF!,"AAAAAF/3+bY=")</f>
        <v>#REF!</v>
      </c>
      <c r="GB415" t="e">
        <f>AND(#REF!,"AAAAAF/3+bc=")</f>
        <v>#REF!</v>
      </c>
      <c r="GC415" t="e">
        <f>AND(#REF!,"AAAAAF/3+bg=")</f>
        <v>#REF!</v>
      </c>
      <c r="GD415" t="e">
        <f>AND(#REF!,"AAAAAF/3+bk=")</f>
        <v>#REF!</v>
      </c>
      <c r="GE415" t="e">
        <f>AND(#REF!,"AAAAAF/3+bo=")</f>
        <v>#REF!</v>
      </c>
      <c r="GF415" t="e">
        <f>AND(#REF!,"AAAAAF/3+bs=")</f>
        <v>#REF!</v>
      </c>
      <c r="GG415" t="e">
        <f>AND(#REF!,"AAAAAF/3+bw=")</f>
        <v>#REF!</v>
      </c>
      <c r="GH415" t="e">
        <f>AND(#REF!,"AAAAAF/3+b0=")</f>
        <v>#REF!</v>
      </c>
      <c r="GI415" t="e">
        <f>AND(#REF!,"AAAAAF/3+b4=")</f>
        <v>#REF!</v>
      </c>
      <c r="GJ415" t="e">
        <f>IF(#REF!,"AAAAAF/3+b8=",0)</f>
        <v>#REF!</v>
      </c>
      <c r="GK415" t="e">
        <f>AND(#REF!,"AAAAAF/3+cA=")</f>
        <v>#REF!</v>
      </c>
      <c r="GL415" t="e">
        <f>AND(#REF!,"AAAAAF/3+cE=")</f>
        <v>#REF!</v>
      </c>
      <c r="GM415" t="e">
        <f>AND(#REF!,"AAAAAF/3+cI=")</f>
        <v>#REF!</v>
      </c>
      <c r="GN415" t="e">
        <f>AND(#REF!,"AAAAAF/3+cM=")</f>
        <v>#REF!</v>
      </c>
      <c r="GO415" t="e">
        <f>AND(#REF!,"AAAAAF/3+cQ=")</f>
        <v>#REF!</v>
      </c>
      <c r="GP415" t="e">
        <f>AND(#REF!,"AAAAAF/3+cU=")</f>
        <v>#REF!</v>
      </c>
      <c r="GQ415" t="e">
        <f>AND(#REF!,"AAAAAF/3+cY=")</f>
        <v>#REF!</v>
      </c>
      <c r="GR415" t="e">
        <f>AND(#REF!,"AAAAAF/3+cc=")</f>
        <v>#REF!</v>
      </c>
      <c r="GS415" t="e">
        <f>AND(#REF!,"AAAAAF/3+cg=")</f>
        <v>#REF!</v>
      </c>
      <c r="GT415" t="e">
        <f>AND(#REF!,"AAAAAF/3+ck=")</f>
        <v>#REF!</v>
      </c>
      <c r="GU415" t="e">
        <f>IF(#REF!,"AAAAAF/3+co=",0)</f>
        <v>#REF!</v>
      </c>
      <c r="GV415" t="e">
        <f>AND(#REF!,"AAAAAF/3+cs=")</f>
        <v>#REF!</v>
      </c>
      <c r="GW415" t="e">
        <f>AND(#REF!,"AAAAAF/3+cw=")</f>
        <v>#REF!</v>
      </c>
      <c r="GX415" t="e">
        <f>AND(#REF!,"AAAAAF/3+c0=")</f>
        <v>#REF!</v>
      </c>
      <c r="GY415" t="e">
        <f>AND(#REF!,"AAAAAF/3+c4=")</f>
        <v>#REF!</v>
      </c>
      <c r="GZ415" t="e">
        <f>AND(#REF!,"AAAAAF/3+c8=")</f>
        <v>#REF!</v>
      </c>
      <c r="HA415" t="e">
        <f>AND(#REF!,"AAAAAF/3+dA=")</f>
        <v>#REF!</v>
      </c>
      <c r="HB415" t="e">
        <f>AND(#REF!,"AAAAAF/3+dE=")</f>
        <v>#REF!</v>
      </c>
      <c r="HC415" t="e">
        <f>AND(#REF!,"AAAAAF/3+dI=")</f>
        <v>#REF!</v>
      </c>
      <c r="HD415" t="e">
        <f>AND(#REF!,"AAAAAF/3+dM=")</f>
        <v>#REF!</v>
      </c>
      <c r="HE415" t="e">
        <f>AND(#REF!,"AAAAAF/3+dQ=")</f>
        <v>#REF!</v>
      </c>
      <c r="HF415" t="e">
        <f>IF(#REF!,"AAAAAF/3+dU=",0)</f>
        <v>#REF!</v>
      </c>
      <c r="HG415" t="e">
        <f>AND(#REF!,"AAAAAF/3+dY=")</f>
        <v>#REF!</v>
      </c>
      <c r="HH415" t="e">
        <f>AND(#REF!,"AAAAAF/3+dc=")</f>
        <v>#REF!</v>
      </c>
      <c r="HI415" t="e">
        <f>AND(#REF!,"AAAAAF/3+dg=")</f>
        <v>#REF!</v>
      </c>
      <c r="HJ415" t="e">
        <f>AND(#REF!,"AAAAAF/3+dk=")</f>
        <v>#REF!</v>
      </c>
      <c r="HK415" t="e">
        <f>AND(#REF!,"AAAAAF/3+do=")</f>
        <v>#REF!</v>
      </c>
      <c r="HL415" t="e">
        <f>AND(#REF!,"AAAAAF/3+ds=")</f>
        <v>#REF!</v>
      </c>
      <c r="HM415" t="e">
        <f>AND(#REF!,"AAAAAF/3+dw=")</f>
        <v>#REF!</v>
      </c>
      <c r="HN415" t="e">
        <f>AND(#REF!,"AAAAAF/3+d0=")</f>
        <v>#REF!</v>
      </c>
      <c r="HO415" t="e">
        <f>AND(#REF!,"AAAAAF/3+d4=")</f>
        <v>#REF!</v>
      </c>
      <c r="HP415" t="e">
        <f>AND(#REF!,"AAAAAF/3+d8=")</f>
        <v>#REF!</v>
      </c>
      <c r="HQ415" t="e">
        <f>IF(#REF!,"AAAAAF/3+eA=",0)</f>
        <v>#REF!</v>
      </c>
      <c r="HR415" t="e">
        <f>AND(#REF!,"AAAAAF/3+eE=")</f>
        <v>#REF!</v>
      </c>
      <c r="HS415" t="e">
        <f>AND(#REF!,"AAAAAF/3+eI=")</f>
        <v>#REF!</v>
      </c>
      <c r="HT415" t="e">
        <f>AND(#REF!,"AAAAAF/3+eM=")</f>
        <v>#REF!</v>
      </c>
      <c r="HU415" t="e">
        <f>AND(#REF!,"AAAAAF/3+eQ=")</f>
        <v>#REF!</v>
      </c>
      <c r="HV415" t="e">
        <f>AND(#REF!,"AAAAAF/3+eU=")</f>
        <v>#REF!</v>
      </c>
      <c r="HW415" t="e">
        <f>AND(#REF!,"AAAAAF/3+eY=")</f>
        <v>#REF!</v>
      </c>
      <c r="HX415" t="e">
        <f>AND(#REF!,"AAAAAF/3+ec=")</f>
        <v>#REF!</v>
      </c>
      <c r="HY415" t="e">
        <f>AND(#REF!,"AAAAAF/3+eg=")</f>
        <v>#REF!</v>
      </c>
      <c r="HZ415" t="e">
        <f>AND(#REF!,"AAAAAF/3+ek=")</f>
        <v>#REF!</v>
      </c>
      <c r="IA415" t="e">
        <f>AND(#REF!,"AAAAAF/3+eo=")</f>
        <v>#REF!</v>
      </c>
      <c r="IB415" t="e">
        <f>IF(#REF!,"AAAAAF/3+es=",0)</f>
        <v>#REF!</v>
      </c>
      <c r="IC415" t="e">
        <f>AND(#REF!,"AAAAAF/3+ew=")</f>
        <v>#REF!</v>
      </c>
      <c r="ID415" t="e">
        <f>AND(#REF!,"AAAAAF/3+e0=")</f>
        <v>#REF!</v>
      </c>
      <c r="IE415" t="e">
        <f>AND(#REF!,"AAAAAF/3+e4=")</f>
        <v>#REF!</v>
      </c>
      <c r="IF415" t="e">
        <f>AND(#REF!,"AAAAAF/3+e8=")</f>
        <v>#REF!</v>
      </c>
      <c r="IG415" t="e">
        <f>AND(#REF!,"AAAAAF/3+fA=")</f>
        <v>#REF!</v>
      </c>
      <c r="IH415" t="e">
        <f>AND(#REF!,"AAAAAF/3+fE=")</f>
        <v>#REF!</v>
      </c>
      <c r="II415" t="e">
        <f>AND(#REF!,"AAAAAF/3+fI=")</f>
        <v>#REF!</v>
      </c>
      <c r="IJ415" t="e">
        <f>AND(#REF!,"AAAAAF/3+fM=")</f>
        <v>#REF!</v>
      </c>
      <c r="IK415" t="e">
        <f>AND(#REF!,"AAAAAF/3+fQ=")</f>
        <v>#REF!</v>
      </c>
      <c r="IL415" t="e">
        <f>AND(#REF!,"AAAAAF/3+fU=")</f>
        <v>#REF!</v>
      </c>
      <c r="IM415" t="e">
        <f>IF(#REF!,"AAAAAF/3+fY=",0)</f>
        <v>#REF!</v>
      </c>
      <c r="IN415" t="e">
        <f>AND(#REF!,"AAAAAF/3+fc=")</f>
        <v>#REF!</v>
      </c>
      <c r="IO415" t="e">
        <f>AND(#REF!,"AAAAAF/3+fg=")</f>
        <v>#REF!</v>
      </c>
      <c r="IP415" t="e">
        <f>AND(#REF!,"AAAAAF/3+fk=")</f>
        <v>#REF!</v>
      </c>
      <c r="IQ415" t="e">
        <f>AND(#REF!,"AAAAAF/3+fo=")</f>
        <v>#REF!</v>
      </c>
      <c r="IR415" t="e">
        <f>AND(#REF!,"AAAAAF/3+fs=")</f>
        <v>#REF!</v>
      </c>
      <c r="IS415" t="e">
        <f>AND(#REF!,"AAAAAF/3+fw=")</f>
        <v>#REF!</v>
      </c>
      <c r="IT415" t="e">
        <f>AND(#REF!,"AAAAAF/3+f0=")</f>
        <v>#REF!</v>
      </c>
      <c r="IU415" t="e">
        <f>AND(#REF!,"AAAAAF/3+f4=")</f>
        <v>#REF!</v>
      </c>
      <c r="IV415" t="e">
        <f>AND(#REF!,"AAAAAF/3+f8=")</f>
        <v>#REF!</v>
      </c>
    </row>
    <row r="416" spans="1:256" x14ac:dyDescent="0.25">
      <c r="A416" t="e">
        <f>AND(#REF!,"AAAAAD/LfwA=")</f>
        <v>#REF!</v>
      </c>
      <c r="B416" t="e">
        <f>IF(#REF!,"AAAAAD/LfwE=",0)</f>
        <v>#REF!</v>
      </c>
      <c r="C416" t="e">
        <f>AND(#REF!,"AAAAAD/LfwI=")</f>
        <v>#REF!</v>
      </c>
      <c r="D416" t="e">
        <f>AND(#REF!,"AAAAAD/LfwM=")</f>
        <v>#REF!</v>
      </c>
      <c r="E416" t="e">
        <f>AND(#REF!,"AAAAAD/LfwQ=")</f>
        <v>#REF!</v>
      </c>
      <c r="F416" t="e">
        <f>AND(#REF!,"AAAAAD/LfwU=")</f>
        <v>#REF!</v>
      </c>
      <c r="G416" t="e">
        <f>AND(#REF!,"AAAAAD/LfwY=")</f>
        <v>#REF!</v>
      </c>
      <c r="H416" t="e">
        <f>AND(#REF!,"AAAAAD/Lfwc=")</f>
        <v>#REF!</v>
      </c>
      <c r="I416" t="e">
        <f>AND(#REF!,"AAAAAD/Lfwg=")</f>
        <v>#REF!</v>
      </c>
      <c r="J416" t="e">
        <f>AND(#REF!,"AAAAAD/Lfwk=")</f>
        <v>#REF!</v>
      </c>
      <c r="K416" t="e">
        <f>AND(#REF!,"AAAAAD/Lfwo=")</f>
        <v>#REF!</v>
      </c>
      <c r="L416" t="e">
        <f>AND(#REF!,"AAAAAD/Lfws=")</f>
        <v>#REF!</v>
      </c>
      <c r="M416" t="e">
        <f>IF(#REF!,"AAAAAD/Lfww=",0)</f>
        <v>#REF!</v>
      </c>
      <c r="N416" t="e">
        <f>AND(#REF!,"AAAAAD/Lfw0=")</f>
        <v>#REF!</v>
      </c>
      <c r="O416" t="e">
        <f>AND(#REF!,"AAAAAD/Lfw4=")</f>
        <v>#REF!</v>
      </c>
      <c r="P416" t="e">
        <f>AND(#REF!,"AAAAAD/Lfw8=")</f>
        <v>#REF!</v>
      </c>
      <c r="Q416" t="e">
        <f>AND(#REF!,"AAAAAD/LfxA=")</f>
        <v>#REF!</v>
      </c>
      <c r="R416" t="e">
        <f>AND(#REF!,"AAAAAD/LfxE=")</f>
        <v>#REF!</v>
      </c>
      <c r="S416" t="e">
        <f>AND(#REF!,"AAAAAD/LfxI=")</f>
        <v>#REF!</v>
      </c>
      <c r="T416" t="e">
        <f>AND(#REF!,"AAAAAD/LfxM=")</f>
        <v>#REF!</v>
      </c>
      <c r="U416" t="e">
        <f>AND(#REF!,"AAAAAD/LfxQ=")</f>
        <v>#REF!</v>
      </c>
      <c r="V416" t="e">
        <f>AND(#REF!,"AAAAAD/LfxU=")</f>
        <v>#REF!</v>
      </c>
      <c r="W416" t="e">
        <f>AND(#REF!,"AAAAAD/LfxY=")</f>
        <v>#REF!</v>
      </c>
      <c r="X416" t="e">
        <f>IF(#REF!,"AAAAAD/Lfxc=",0)</f>
        <v>#REF!</v>
      </c>
      <c r="Y416" t="e">
        <f>AND(#REF!,"AAAAAD/Lfxg=")</f>
        <v>#REF!</v>
      </c>
      <c r="Z416" t="e">
        <f>AND(#REF!,"AAAAAD/Lfxk=")</f>
        <v>#REF!</v>
      </c>
      <c r="AA416" t="e">
        <f>AND(#REF!,"AAAAAD/Lfxo=")</f>
        <v>#REF!</v>
      </c>
      <c r="AB416" t="e">
        <f>AND(#REF!,"AAAAAD/Lfxs=")</f>
        <v>#REF!</v>
      </c>
      <c r="AC416" t="e">
        <f>AND(#REF!,"AAAAAD/Lfxw=")</f>
        <v>#REF!</v>
      </c>
      <c r="AD416" t="e">
        <f>AND(#REF!,"AAAAAD/Lfx0=")</f>
        <v>#REF!</v>
      </c>
      <c r="AE416" t="e">
        <f>AND(#REF!,"AAAAAD/Lfx4=")</f>
        <v>#REF!</v>
      </c>
      <c r="AF416" t="e">
        <f>AND(#REF!,"AAAAAD/Lfx8=")</f>
        <v>#REF!</v>
      </c>
      <c r="AG416" t="e">
        <f>AND(#REF!,"AAAAAD/LfyA=")</f>
        <v>#REF!</v>
      </c>
      <c r="AH416" t="e">
        <f>AND(#REF!,"AAAAAD/LfyE=")</f>
        <v>#REF!</v>
      </c>
      <c r="AI416" t="e">
        <f>IF(#REF!,"AAAAAD/LfyI=",0)</f>
        <v>#REF!</v>
      </c>
      <c r="AJ416" t="e">
        <f>AND(#REF!,"AAAAAD/LfyM=")</f>
        <v>#REF!</v>
      </c>
      <c r="AK416" t="e">
        <f>AND(#REF!,"AAAAAD/LfyQ=")</f>
        <v>#REF!</v>
      </c>
      <c r="AL416" t="e">
        <f>AND(#REF!,"AAAAAD/LfyU=")</f>
        <v>#REF!</v>
      </c>
      <c r="AM416" t="e">
        <f>AND(#REF!,"AAAAAD/LfyY=")</f>
        <v>#REF!</v>
      </c>
      <c r="AN416" t="e">
        <f>AND(#REF!,"AAAAAD/Lfyc=")</f>
        <v>#REF!</v>
      </c>
      <c r="AO416" t="e">
        <f>AND(#REF!,"AAAAAD/Lfyg=")</f>
        <v>#REF!</v>
      </c>
      <c r="AP416" t="e">
        <f>AND(#REF!,"AAAAAD/Lfyk=")</f>
        <v>#REF!</v>
      </c>
      <c r="AQ416" t="e">
        <f>AND(#REF!,"AAAAAD/Lfyo=")</f>
        <v>#REF!</v>
      </c>
      <c r="AR416" t="e">
        <f>AND(#REF!,"AAAAAD/Lfys=")</f>
        <v>#REF!</v>
      </c>
      <c r="AS416" t="e">
        <f>AND(#REF!,"AAAAAD/Lfyw=")</f>
        <v>#REF!</v>
      </c>
      <c r="AT416" t="e">
        <f>IF(#REF!,"AAAAAD/Lfy0=",0)</f>
        <v>#REF!</v>
      </c>
      <c r="AU416" t="e">
        <f>AND(#REF!,"AAAAAD/Lfy4=")</f>
        <v>#REF!</v>
      </c>
      <c r="AV416" t="e">
        <f>AND(#REF!,"AAAAAD/Lfy8=")</f>
        <v>#REF!</v>
      </c>
      <c r="AW416" t="e">
        <f>AND(#REF!,"AAAAAD/LfzA=")</f>
        <v>#REF!</v>
      </c>
      <c r="AX416" t="e">
        <f>AND(#REF!,"AAAAAD/LfzE=")</f>
        <v>#REF!</v>
      </c>
      <c r="AY416" t="e">
        <f>AND(#REF!,"AAAAAD/LfzI=")</f>
        <v>#REF!</v>
      </c>
      <c r="AZ416" t="e">
        <f>AND(#REF!,"AAAAAD/LfzM=")</f>
        <v>#REF!</v>
      </c>
      <c r="BA416" t="e">
        <f>AND(#REF!,"AAAAAD/LfzQ=")</f>
        <v>#REF!</v>
      </c>
      <c r="BB416" t="e">
        <f>AND(#REF!,"AAAAAD/LfzU=")</f>
        <v>#REF!</v>
      </c>
      <c r="BC416" t="e">
        <f>AND(#REF!,"AAAAAD/LfzY=")</f>
        <v>#REF!</v>
      </c>
      <c r="BD416" t="e">
        <f>AND(#REF!,"AAAAAD/Lfzc=")</f>
        <v>#REF!</v>
      </c>
      <c r="BE416" t="e">
        <f>IF(#REF!,"AAAAAD/Lfzg=",0)</f>
        <v>#REF!</v>
      </c>
      <c r="BF416" t="e">
        <f>AND(#REF!,"AAAAAD/Lfzk=")</f>
        <v>#REF!</v>
      </c>
      <c r="BG416" t="e">
        <f>AND(#REF!,"AAAAAD/Lfzo=")</f>
        <v>#REF!</v>
      </c>
      <c r="BH416" t="e">
        <f>AND(#REF!,"AAAAAD/Lfzs=")</f>
        <v>#REF!</v>
      </c>
      <c r="BI416" t="e">
        <f>AND(#REF!,"AAAAAD/Lfzw=")</f>
        <v>#REF!</v>
      </c>
      <c r="BJ416" t="e">
        <f>AND(#REF!,"AAAAAD/Lfz0=")</f>
        <v>#REF!</v>
      </c>
      <c r="BK416" t="e">
        <f>AND(#REF!,"AAAAAD/Lfz4=")</f>
        <v>#REF!</v>
      </c>
      <c r="BL416" t="e">
        <f>AND(#REF!,"AAAAAD/Lfz8=")</f>
        <v>#REF!</v>
      </c>
      <c r="BM416" t="e">
        <f>AND(#REF!,"AAAAAD/Lf0A=")</f>
        <v>#REF!</v>
      </c>
      <c r="BN416" t="e">
        <f>AND(#REF!,"AAAAAD/Lf0E=")</f>
        <v>#REF!</v>
      </c>
      <c r="BO416" t="e">
        <f>AND(#REF!,"AAAAAD/Lf0I=")</f>
        <v>#REF!</v>
      </c>
      <c r="BP416" t="e">
        <f>IF(#REF!,"AAAAAD/Lf0M=",0)</f>
        <v>#REF!</v>
      </c>
      <c r="BQ416" t="e">
        <f>AND(#REF!,"AAAAAD/Lf0Q=")</f>
        <v>#REF!</v>
      </c>
      <c r="BR416" t="e">
        <f>AND(#REF!,"AAAAAD/Lf0U=")</f>
        <v>#REF!</v>
      </c>
      <c r="BS416" t="e">
        <f>AND(#REF!,"AAAAAD/Lf0Y=")</f>
        <v>#REF!</v>
      </c>
      <c r="BT416" t="e">
        <f>AND(#REF!,"AAAAAD/Lf0c=")</f>
        <v>#REF!</v>
      </c>
      <c r="BU416" t="e">
        <f>AND(#REF!,"AAAAAD/Lf0g=")</f>
        <v>#REF!</v>
      </c>
      <c r="BV416" t="e">
        <f>AND(#REF!,"AAAAAD/Lf0k=")</f>
        <v>#REF!</v>
      </c>
      <c r="BW416" t="e">
        <f>AND(#REF!,"AAAAAD/Lf0o=")</f>
        <v>#REF!</v>
      </c>
      <c r="BX416" t="e">
        <f>AND(#REF!,"AAAAAD/Lf0s=")</f>
        <v>#REF!</v>
      </c>
      <c r="BY416" t="e">
        <f>AND(#REF!,"AAAAAD/Lf0w=")</f>
        <v>#REF!</v>
      </c>
      <c r="BZ416" t="e">
        <f>AND(#REF!,"AAAAAD/Lf00=")</f>
        <v>#REF!</v>
      </c>
      <c r="CA416" t="e">
        <f>IF(#REF!,"AAAAAD/Lf04=",0)</f>
        <v>#REF!</v>
      </c>
      <c r="CB416" t="e">
        <f>AND(#REF!,"AAAAAD/Lf08=")</f>
        <v>#REF!</v>
      </c>
      <c r="CC416" t="e">
        <f>AND(#REF!,"AAAAAD/Lf1A=")</f>
        <v>#REF!</v>
      </c>
      <c r="CD416" t="e">
        <f>AND(#REF!,"AAAAAD/Lf1E=")</f>
        <v>#REF!</v>
      </c>
      <c r="CE416" t="e">
        <f>AND(#REF!,"AAAAAD/Lf1I=")</f>
        <v>#REF!</v>
      </c>
      <c r="CF416" t="e">
        <f>AND(#REF!,"AAAAAD/Lf1M=")</f>
        <v>#REF!</v>
      </c>
      <c r="CG416" t="e">
        <f>AND(#REF!,"AAAAAD/Lf1Q=")</f>
        <v>#REF!</v>
      </c>
      <c r="CH416" t="e">
        <f>AND(#REF!,"AAAAAD/Lf1U=")</f>
        <v>#REF!</v>
      </c>
      <c r="CI416" t="e">
        <f>AND(#REF!,"AAAAAD/Lf1Y=")</f>
        <v>#REF!</v>
      </c>
      <c r="CJ416" t="e">
        <f>AND(#REF!,"AAAAAD/Lf1c=")</f>
        <v>#REF!</v>
      </c>
      <c r="CK416" t="e">
        <f>AND(#REF!,"AAAAAD/Lf1g=")</f>
        <v>#REF!</v>
      </c>
      <c r="CL416" t="e">
        <f>IF(#REF!,"AAAAAD/Lf1k=",0)</f>
        <v>#REF!</v>
      </c>
      <c r="CM416" t="e">
        <f>AND(#REF!,"AAAAAD/Lf1o=")</f>
        <v>#REF!</v>
      </c>
      <c r="CN416" t="e">
        <f>AND(#REF!,"AAAAAD/Lf1s=")</f>
        <v>#REF!</v>
      </c>
      <c r="CO416" t="e">
        <f>AND(#REF!,"AAAAAD/Lf1w=")</f>
        <v>#REF!</v>
      </c>
      <c r="CP416" t="e">
        <f>AND(#REF!,"AAAAAD/Lf10=")</f>
        <v>#REF!</v>
      </c>
      <c r="CQ416" t="e">
        <f>AND(#REF!,"AAAAAD/Lf14=")</f>
        <v>#REF!</v>
      </c>
      <c r="CR416" t="e">
        <f>AND(#REF!,"AAAAAD/Lf18=")</f>
        <v>#REF!</v>
      </c>
      <c r="CS416" t="e">
        <f>AND(#REF!,"AAAAAD/Lf2A=")</f>
        <v>#REF!</v>
      </c>
      <c r="CT416" t="e">
        <f>AND(#REF!,"AAAAAD/Lf2E=")</f>
        <v>#REF!</v>
      </c>
      <c r="CU416" t="e">
        <f>AND(#REF!,"AAAAAD/Lf2I=")</f>
        <v>#REF!</v>
      </c>
      <c r="CV416" t="e">
        <f>AND(#REF!,"AAAAAD/Lf2M=")</f>
        <v>#REF!</v>
      </c>
      <c r="CW416" t="e">
        <f>IF(#REF!,"AAAAAD/Lf2Q=",0)</f>
        <v>#REF!</v>
      </c>
      <c r="CX416" t="e">
        <f>AND(#REF!,"AAAAAD/Lf2U=")</f>
        <v>#REF!</v>
      </c>
      <c r="CY416" t="e">
        <f>AND(#REF!,"AAAAAD/Lf2Y=")</f>
        <v>#REF!</v>
      </c>
      <c r="CZ416" t="e">
        <f>AND(#REF!,"AAAAAD/Lf2c=")</f>
        <v>#REF!</v>
      </c>
      <c r="DA416" t="e">
        <f>AND(#REF!,"AAAAAD/Lf2g=")</f>
        <v>#REF!</v>
      </c>
      <c r="DB416" t="e">
        <f>AND(#REF!,"AAAAAD/Lf2k=")</f>
        <v>#REF!</v>
      </c>
      <c r="DC416" t="e">
        <f>AND(#REF!,"AAAAAD/Lf2o=")</f>
        <v>#REF!</v>
      </c>
      <c r="DD416" t="e">
        <f>AND(#REF!,"AAAAAD/Lf2s=")</f>
        <v>#REF!</v>
      </c>
      <c r="DE416" t="e">
        <f>AND(#REF!,"AAAAAD/Lf2w=")</f>
        <v>#REF!</v>
      </c>
      <c r="DF416" t="e">
        <f>AND(#REF!,"AAAAAD/Lf20=")</f>
        <v>#REF!</v>
      </c>
      <c r="DG416" t="e">
        <f>AND(#REF!,"AAAAAD/Lf24=")</f>
        <v>#REF!</v>
      </c>
      <c r="DH416" t="e">
        <f>IF(#REF!,"AAAAAD/Lf28=",0)</f>
        <v>#REF!</v>
      </c>
      <c r="DI416" t="e">
        <f>AND(#REF!,"AAAAAD/Lf3A=")</f>
        <v>#REF!</v>
      </c>
      <c r="DJ416" t="e">
        <f>AND(#REF!,"AAAAAD/Lf3E=")</f>
        <v>#REF!</v>
      </c>
      <c r="DK416" t="e">
        <f>AND(#REF!,"AAAAAD/Lf3I=")</f>
        <v>#REF!</v>
      </c>
      <c r="DL416" t="e">
        <f>AND(#REF!,"AAAAAD/Lf3M=")</f>
        <v>#REF!</v>
      </c>
      <c r="DM416" t="e">
        <f>AND(#REF!,"AAAAAD/Lf3Q=")</f>
        <v>#REF!</v>
      </c>
      <c r="DN416" t="e">
        <f>AND(#REF!,"AAAAAD/Lf3U=")</f>
        <v>#REF!</v>
      </c>
      <c r="DO416" t="e">
        <f>AND(#REF!,"AAAAAD/Lf3Y=")</f>
        <v>#REF!</v>
      </c>
      <c r="DP416" t="e">
        <f>AND(#REF!,"AAAAAD/Lf3c=")</f>
        <v>#REF!</v>
      </c>
      <c r="DQ416" t="e">
        <f>AND(#REF!,"AAAAAD/Lf3g=")</f>
        <v>#REF!</v>
      </c>
      <c r="DR416" t="e">
        <f>AND(#REF!,"AAAAAD/Lf3k=")</f>
        <v>#REF!</v>
      </c>
      <c r="DS416" t="e">
        <f>IF(#REF!,"AAAAAD/Lf3o=",0)</f>
        <v>#REF!</v>
      </c>
      <c r="DT416" t="e">
        <f>AND(#REF!,"AAAAAD/Lf3s=")</f>
        <v>#REF!</v>
      </c>
      <c r="DU416" t="e">
        <f>AND(#REF!,"AAAAAD/Lf3w=")</f>
        <v>#REF!</v>
      </c>
      <c r="DV416" t="e">
        <f>AND(#REF!,"AAAAAD/Lf30=")</f>
        <v>#REF!</v>
      </c>
      <c r="DW416" t="e">
        <f>AND(#REF!,"AAAAAD/Lf34=")</f>
        <v>#REF!</v>
      </c>
      <c r="DX416" t="e">
        <f>AND(#REF!,"AAAAAD/Lf38=")</f>
        <v>#REF!</v>
      </c>
      <c r="DY416" t="e">
        <f>AND(#REF!,"AAAAAD/Lf4A=")</f>
        <v>#REF!</v>
      </c>
      <c r="DZ416" t="e">
        <f>AND(#REF!,"AAAAAD/Lf4E=")</f>
        <v>#REF!</v>
      </c>
      <c r="EA416" t="e">
        <f>AND(#REF!,"AAAAAD/Lf4I=")</f>
        <v>#REF!</v>
      </c>
      <c r="EB416" t="e">
        <f>AND(#REF!,"AAAAAD/Lf4M=")</f>
        <v>#REF!</v>
      </c>
      <c r="EC416" t="e">
        <f>AND(#REF!,"AAAAAD/Lf4Q=")</f>
        <v>#REF!</v>
      </c>
      <c r="ED416" t="e">
        <f>IF(#REF!,"AAAAAD/Lf4U=",0)</f>
        <v>#REF!</v>
      </c>
      <c r="EE416" t="e">
        <f>AND(#REF!,"AAAAAD/Lf4Y=")</f>
        <v>#REF!</v>
      </c>
      <c r="EF416" t="e">
        <f>AND(#REF!,"AAAAAD/Lf4c=")</f>
        <v>#REF!</v>
      </c>
      <c r="EG416" t="e">
        <f>AND(#REF!,"AAAAAD/Lf4g=")</f>
        <v>#REF!</v>
      </c>
      <c r="EH416" t="e">
        <f>AND(#REF!,"AAAAAD/Lf4k=")</f>
        <v>#REF!</v>
      </c>
      <c r="EI416" t="e">
        <f>AND(#REF!,"AAAAAD/Lf4o=")</f>
        <v>#REF!</v>
      </c>
      <c r="EJ416" t="e">
        <f>AND(#REF!,"AAAAAD/Lf4s=")</f>
        <v>#REF!</v>
      </c>
      <c r="EK416" t="e">
        <f>AND(#REF!,"AAAAAD/Lf4w=")</f>
        <v>#REF!</v>
      </c>
      <c r="EL416" t="e">
        <f>AND(#REF!,"AAAAAD/Lf40=")</f>
        <v>#REF!</v>
      </c>
      <c r="EM416" t="e">
        <f>AND(#REF!,"AAAAAD/Lf44=")</f>
        <v>#REF!</v>
      </c>
      <c r="EN416" t="e">
        <f>AND(#REF!,"AAAAAD/Lf48=")</f>
        <v>#REF!</v>
      </c>
      <c r="EO416" t="e">
        <f>IF(#REF!,"AAAAAD/Lf5A=",0)</f>
        <v>#REF!</v>
      </c>
      <c r="EP416" t="e">
        <f>AND(#REF!,"AAAAAD/Lf5E=")</f>
        <v>#REF!</v>
      </c>
      <c r="EQ416" t="e">
        <f>AND(#REF!,"AAAAAD/Lf5I=")</f>
        <v>#REF!</v>
      </c>
      <c r="ER416" t="e">
        <f>AND(#REF!,"AAAAAD/Lf5M=")</f>
        <v>#REF!</v>
      </c>
      <c r="ES416" t="e">
        <f>AND(#REF!,"AAAAAD/Lf5Q=")</f>
        <v>#REF!</v>
      </c>
      <c r="ET416" t="e">
        <f>AND(#REF!,"AAAAAD/Lf5U=")</f>
        <v>#REF!</v>
      </c>
      <c r="EU416" t="e">
        <f>AND(#REF!,"AAAAAD/Lf5Y=")</f>
        <v>#REF!</v>
      </c>
      <c r="EV416" t="e">
        <f>AND(#REF!,"AAAAAD/Lf5c=")</f>
        <v>#REF!</v>
      </c>
      <c r="EW416" t="e">
        <f>AND(#REF!,"AAAAAD/Lf5g=")</f>
        <v>#REF!</v>
      </c>
      <c r="EX416" t="e">
        <f>AND(#REF!,"AAAAAD/Lf5k=")</f>
        <v>#REF!</v>
      </c>
      <c r="EY416" t="e">
        <f>AND(#REF!,"AAAAAD/Lf5o=")</f>
        <v>#REF!</v>
      </c>
      <c r="EZ416" t="e">
        <f>IF(#REF!,"AAAAAD/Lf5s=",0)</f>
        <v>#REF!</v>
      </c>
      <c r="FA416" t="e">
        <f>AND(#REF!,"AAAAAD/Lf5w=")</f>
        <v>#REF!</v>
      </c>
      <c r="FB416" t="e">
        <f>AND(#REF!,"AAAAAD/Lf50=")</f>
        <v>#REF!</v>
      </c>
      <c r="FC416" t="e">
        <f>AND(#REF!,"AAAAAD/Lf54=")</f>
        <v>#REF!</v>
      </c>
      <c r="FD416" t="e">
        <f>AND(#REF!,"AAAAAD/Lf58=")</f>
        <v>#REF!</v>
      </c>
      <c r="FE416" t="e">
        <f>AND(#REF!,"AAAAAD/Lf6A=")</f>
        <v>#REF!</v>
      </c>
      <c r="FF416" t="e">
        <f>AND(#REF!,"AAAAAD/Lf6E=")</f>
        <v>#REF!</v>
      </c>
      <c r="FG416" t="e">
        <f>AND(#REF!,"AAAAAD/Lf6I=")</f>
        <v>#REF!</v>
      </c>
      <c r="FH416" t="e">
        <f>AND(#REF!,"AAAAAD/Lf6M=")</f>
        <v>#REF!</v>
      </c>
      <c r="FI416" t="e">
        <f>AND(#REF!,"AAAAAD/Lf6Q=")</f>
        <v>#REF!</v>
      </c>
      <c r="FJ416" t="e">
        <f>AND(#REF!,"AAAAAD/Lf6U=")</f>
        <v>#REF!</v>
      </c>
      <c r="FK416" t="e">
        <f>IF(#REF!,"AAAAAD/Lf6Y=",0)</f>
        <v>#REF!</v>
      </c>
      <c r="FL416" t="e">
        <f>AND(#REF!,"AAAAAD/Lf6c=")</f>
        <v>#REF!</v>
      </c>
      <c r="FM416" t="e">
        <f>AND(#REF!,"AAAAAD/Lf6g=")</f>
        <v>#REF!</v>
      </c>
      <c r="FN416" t="e">
        <f>AND(#REF!,"AAAAAD/Lf6k=")</f>
        <v>#REF!</v>
      </c>
      <c r="FO416" t="e">
        <f>AND(#REF!,"AAAAAD/Lf6o=")</f>
        <v>#REF!</v>
      </c>
      <c r="FP416" t="e">
        <f>AND(#REF!,"AAAAAD/Lf6s=")</f>
        <v>#REF!</v>
      </c>
      <c r="FQ416" t="e">
        <f>AND(#REF!,"AAAAAD/Lf6w=")</f>
        <v>#REF!</v>
      </c>
      <c r="FR416" t="e">
        <f>AND(#REF!,"AAAAAD/Lf60=")</f>
        <v>#REF!</v>
      </c>
      <c r="FS416" t="e">
        <f>AND(#REF!,"AAAAAD/Lf64=")</f>
        <v>#REF!</v>
      </c>
      <c r="FT416" t="e">
        <f>AND(#REF!,"AAAAAD/Lf68=")</f>
        <v>#REF!</v>
      </c>
      <c r="FU416" t="e">
        <f>AND(#REF!,"AAAAAD/Lf7A=")</f>
        <v>#REF!</v>
      </c>
      <c r="FV416" t="e">
        <f>IF(#REF!,"AAAAAD/Lf7E=",0)</f>
        <v>#REF!</v>
      </c>
      <c r="FW416" t="e">
        <f>AND(#REF!,"AAAAAD/Lf7I=")</f>
        <v>#REF!</v>
      </c>
      <c r="FX416" t="e">
        <f>AND(#REF!,"AAAAAD/Lf7M=")</f>
        <v>#REF!</v>
      </c>
      <c r="FY416" t="e">
        <f>AND(#REF!,"AAAAAD/Lf7Q=")</f>
        <v>#REF!</v>
      </c>
      <c r="FZ416" t="e">
        <f>AND(#REF!,"AAAAAD/Lf7U=")</f>
        <v>#REF!</v>
      </c>
      <c r="GA416" t="e">
        <f>AND(#REF!,"AAAAAD/Lf7Y=")</f>
        <v>#REF!</v>
      </c>
      <c r="GB416" t="e">
        <f>AND(#REF!,"AAAAAD/Lf7c=")</f>
        <v>#REF!</v>
      </c>
      <c r="GC416" t="e">
        <f>AND(#REF!,"AAAAAD/Lf7g=")</f>
        <v>#REF!</v>
      </c>
      <c r="GD416" t="e">
        <f>AND(#REF!,"AAAAAD/Lf7k=")</f>
        <v>#REF!</v>
      </c>
      <c r="GE416" t="e">
        <f>AND(#REF!,"AAAAAD/Lf7o=")</f>
        <v>#REF!</v>
      </c>
      <c r="GF416" t="e">
        <f>AND(#REF!,"AAAAAD/Lf7s=")</f>
        <v>#REF!</v>
      </c>
      <c r="GG416" t="e">
        <f>IF(#REF!,"AAAAAD/Lf7w=",0)</f>
        <v>#REF!</v>
      </c>
      <c r="GH416" t="e">
        <f>AND(#REF!,"AAAAAD/Lf70=")</f>
        <v>#REF!</v>
      </c>
      <c r="GI416" t="e">
        <f>AND(#REF!,"AAAAAD/Lf74=")</f>
        <v>#REF!</v>
      </c>
      <c r="GJ416" t="e">
        <f>AND(#REF!,"AAAAAD/Lf78=")</f>
        <v>#REF!</v>
      </c>
      <c r="GK416" t="e">
        <f>AND(#REF!,"AAAAAD/Lf8A=")</f>
        <v>#REF!</v>
      </c>
      <c r="GL416" t="e">
        <f>AND(#REF!,"AAAAAD/Lf8E=")</f>
        <v>#REF!</v>
      </c>
      <c r="GM416" t="e">
        <f>AND(#REF!,"AAAAAD/Lf8I=")</f>
        <v>#REF!</v>
      </c>
      <c r="GN416" t="e">
        <f>AND(#REF!,"AAAAAD/Lf8M=")</f>
        <v>#REF!</v>
      </c>
      <c r="GO416" t="e">
        <f>AND(#REF!,"AAAAAD/Lf8Q=")</f>
        <v>#REF!</v>
      </c>
      <c r="GP416" t="e">
        <f>AND(#REF!,"AAAAAD/Lf8U=")</f>
        <v>#REF!</v>
      </c>
      <c r="GQ416" t="e">
        <f>AND(#REF!,"AAAAAD/Lf8Y=")</f>
        <v>#REF!</v>
      </c>
      <c r="GR416" t="e">
        <f>IF(#REF!,"AAAAAD/Lf8c=",0)</f>
        <v>#REF!</v>
      </c>
      <c r="GS416" t="e">
        <f>AND(#REF!,"AAAAAD/Lf8g=")</f>
        <v>#REF!</v>
      </c>
      <c r="GT416" t="e">
        <f>AND(#REF!,"AAAAAD/Lf8k=")</f>
        <v>#REF!</v>
      </c>
      <c r="GU416" t="e">
        <f>AND(#REF!,"AAAAAD/Lf8o=")</f>
        <v>#REF!</v>
      </c>
      <c r="GV416" t="e">
        <f>AND(#REF!,"AAAAAD/Lf8s=")</f>
        <v>#REF!</v>
      </c>
      <c r="GW416" t="e">
        <f>AND(#REF!,"AAAAAD/Lf8w=")</f>
        <v>#REF!</v>
      </c>
      <c r="GX416" t="e">
        <f>AND(#REF!,"AAAAAD/Lf80=")</f>
        <v>#REF!</v>
      </c>
      <c r="GY416" t="e">
        <f>AND(#REF!,"AAAAAD/Lf84=")</f>
        <v>#REF!</v>
      </c>
      <c r="GZ416" t="e">
        <f>AND(#REF!,"AAAAAD/Lf88=")</f>
        <v>#REF!</v>
      </c>
      <c r="HA416" t="e">
        <f>AND(#REF!,"AAAAAD/Lf9A=")</f>
        <v>#REF!</v>
      </c>
      <c r="HB416" t="e">
        <f>AND(#REF!,"AAAAAD/Lf9E=")</f>
        <v>#REF!</v>
      </c>
      <c r="HC416" t="e">
        <f>IF(#REF!,"AAAAAD/Lf9I=",0)</f>
        <v>#REF!</v>
      </c>
      <c r="HD416" t="e">
        <f>AND(#REF!,"AAAAAD/Lf9M=")</f>
        <v>#REF!</v>
      </c>
      <c r="HE416" t="e">
        <f>AND(#REF!,"AAAAAD/Lf9Q=")</f>
        <v>#REF!</v>
      </c>
      <c r="HF416" t="e">
        <f>AND(#REF!,"AAAAAD/Lf9U=")</f>
        <v>#REF!</v>
      </c>
      <c r="HG416" t="e">
        <f>AND(#REF!,"AAAAAD/Lf9Y=")</f>
        <v>#REF!</v>
      </c>
      <c r="HH416" t="e">
        <f>AND(#REF!,"AAAAAD/Lf9c=")</f>
        <v>#REF!</v>
      </c>
      <c r="HI416" t="e">
        <f>AND(#REF!,"AAAAAD/Lf9g=")</f>
        <v>#REF!</v>
      </c>
      <c r="HJ416" t="e">
        <f>AND(#REF!,"AAAAAD/Lf9k=")</f>
        <v>#REF!</v>
      </c>
      <c r="HK416" t="e">
        <f>AND(#REF!,"AAAAAD/Lf9o=")</f>
        <v>#REF!</v>
      </c>
      <c r="HL416" t="e">
        <f>AND(#REF!,"AAAAAD/Lf9s=")</f>
        <v>#REF!</v>
      </c>
      <c r="HM416" t="e">
        <f>AND(#REF!,"AAAAAD/Lf9w=")</f>
        <v>#REF!</v>
      </c>
      <c r="HN416" t="e">
        <f>IF(#REF!,"AAAAAD/Lf90=",0)</f>
        <v>#REF!</v>
      </c>
      <c r="HO416" t="e">
        <f>AND(#REF!,"AAAAAD/Lf94=")</f>
        <v>#REF!</v>
      </c>
      <c r="HP416" t="e">
        <f>AND(#REF!,"AAAAAD/Lf98=")</f>
        <v>#REF!</v>
      </c>
      <c r="HQ416" t="e">
        <f>AND(#REF!,"AAAAAD/Lf+A=")</f>
        <v>#REF!</v>
      </c>
      <c r="HR416" t="e">
        <f>AND(#REF!,"AAAAAD/Lf+E=")</f>
        <v>#REF!</v>
      </c>
      <c r="HS416" t="e">
        <f>AND(#REF!,"AAAAAD/Lf+I=")</f>
        <v>#REF!</v>
      </c>
      <c r="HT416" t="e">
        <f>AND(#REF!,"AAAAAD/Lf+M=")</f>
        <v>#REF!</v>
      </c>
      <c r="HU416" t="e">
        <f>AND(#REF!,"AAAAAD/Lf+Q=")</f>
        <v>#REF!</v>
      </c>
      <c r="HV416" t="e">
        <f>AND(#REF!,"AAAAAD/Lf+U=")</f>
        <v>#REF!</v>
      </c>
      <c r="HW416" t="e">
        <f>AND(#REF!,"AAAAAD/Lf+Y=")</f>
        <v>#REF!</v>
      </c>
      <c r="HX416" t="e">
        <f>AND(#REF!,"AAAAAD/Lf+c=")</f>
        <v>#REF!</v>
      </c>
      <c r="HY416" t="e">
        <f>IF(#REF!,"AAAAAD/Lf+g=",0)</f>
        <v>#REF!</v>
      </c>
      <c r="HZ416" t="e">
        <f>AND(#REF!,"AAAAAD/Lf+k=")</f>
        <v>#REF!</v>
      </c>
      <c r="IA416" t="e">
        <f>AND(#REF!,"AAAAAD/Lf+o=")</f>
        <v>#REF!</v>
      </c>
      <c r="IB416" t="e">
        <f>AND(#REF!,"AAAAAD/Lf+s=")</f>
        <v>#REF!</v>
      </c>
      <c r="IC416" t="e">
        <f>AND(#REF!,"AAAAAD/Lf+w=")</f>
        <v>#REF!</v>
      </c>
      <c r="ID416" t="e">
        <f>AND(#REF!,"AAAAAD/Lf+0=")</f>
        <v>#REF!</v>
      </c>
      <c r="IE416" t="e">
        <f>AND(#REF!,"AAAAAD/Lf+4=")</f>
        <v>#REF!</v>
      </c>
      <c r="IF416" t="e">
        <f>AND(#REF!,"AAAAAD/Lf+8=")</f>
        <v>#REF!</v>
      </c>
      <c r="IG416" t="e">
        <f>AND(#REF!,"AAAAAD/Lf/A=")</f>
        <v>#REF!</v>
      </c>
      <c r="IH416" t="e">
        <f>AND(#REF!,"AAAAAD/Lf/E=")</f>
        <v>#REF!</v>
      </c>
      <c r="II416" t="e">
        <f>AND(#REF!,"AAAAAD/Lf/I=")</f>
        <v>#REF!</v>
      </c>
      <c r="IJ416" t="e">
        <f>IF(#REF!,"AAAAAD/Lf/M=",0)</f>
        <v>#REF!</v>
      </c>
      <c r="IK416" t="e">
        <f>AND(#REF!,"AAAAAD/Lf/Q=")</f>
        <v>#REF!</v>
      </c>
      <c r="IL416" t="e">
        <f>AND(#REF!,"AAAAAD/Lf/U=")</f>
        <v>#REF!</v>
      </c>
      <c r="IM416" t="e">
        <f>AND(#REF!,"AAAAAD/Lf/Y=")</f>
        <v>#REF!</v>
      </c>
      <c r="IN416" t="e">
        <f>AND(#REF!,"AAAAAD/Lf/c=")</f>
        <v>#REF!</v>
      </c>
      <c r="IO416" t="e">
        <f>AND(#REF!,"AAAAAD/Lf/g=")</f>
        <v>#REF!</v>
      </c>
      <c r="IP416" t="e">
        <f>AND(#REF!,"AAAAAD/Lf/k=")</f>
        <v>#REF!</v>
      </c>
      <c r="IQ416" t="e">
        <f>AND(#REF!,"AAAAAD/Lf/o=")</f>
        <v>#REF!</v>
      </c>
      <c r="IR416" t="e">
        <f>AND(#REF!,"AAAAAD/Lf/s=")</f>
        <v>#REF!</v>
      </c>
      <c r="IS416" t="e">
        <f>AND(#REF!,"AAAAAD/Lf/w=")</f>
        <v>#REF!</v>
      </c>
      <c r="IT416" t="e">
        <f>AND(#REF!,"AAAAAD/Lf/0=")</f>
        <v>#REF!</v>
      </c>
      <c r="IU416" t="e">
        <f>IF(#REF!,"AAAAAD/Lf/4=",0)</f>
        <v>#REF!</v>
      </c>
      <c r="IV416" t="e">
        <f>AND(#REF!,"AAAAAD/Lf/8=")</f>
        <v>#REF!</v>
      </c>
    </row>
    <row r="417" spans="1:256" x14ac:dyDescent="0.25">
      <c r="A417" t="e">
        <f>AND(#REF!,"AAAAAGm1/wA=")</f>
        <v>#REF!</v>
      </c>
      <c r="B417" t="e">
        <f>AND(#REF!,"AAAAAGm1/wE=")</f>
        <v>#REF!</v>
      </c>
      <c r="C417" t="e">
        <f>AND(#REF!,"AAAAAGm1/wI=")</f>
        <v>#REF!</v>
      </c>
      <c r="D417" t="e">
        <f>AND(#REF!,"AAAAAGm1/wM=")</f>
        <v>#REF!</v>
      </c>
      <c r="E417" t="e">
        <f>AND(#REF!,"AAAAAGm1/wQ=")</f>
        <v>#REF!</v>
      </c>
      <c r="F417" t="e">
        <f>AND(#REF!,"AAAAAGm1/wU=")</f>
        <v>#REF!</v>
      </c>
      <c r="G417" t="e">
        <f>AND(#REF!,"AAAAAGm1/wY=")</f>
        <v>#REF!</v>
      </c>
      <c r="H417" t="e">
        <f>AND(#REF!,"AAAAAGm1/wc=")</f>
        <v>#REF!</v>
      </c>
      <c r="I417" t="e">
        <f>AND(#REF!,"AAAAAGm1/wg=")</f>
        <v>#REF!</v>
      </c>
      <c r="J417" t="e">
        <f>IF(#REF!,"AAAAAGm1/wk=",0)</f>
        <v>#REF!</v>
      </c>
      <c r="K417" t="e">
        <f>AND(#REF!,"AAAAAGm1/wo=")</f>
        <v>#REF!</v>
      </c>
      <c r="L417" t="e">
        <f>AND(#REF!,"AAAAAGm1/ws=")</f>
        <v>#REF!</v>
      </c>
      <c r="M417" t="e">
        <f>AND(#REF!,"AAAAAGm1/ww=")</f>
        <v>#REF!</v>
      </c>
      <c r="N417" t="e">
        <f>AND(#REF!,"AAAAAGm1/w0=")</f>
        <v>#REF!</v>
      </c>
      <c r="O417" t="e">
        <f>AND(#REF!,"AAAAAGm1/w4=")</f>
        <v>#REF!</v>
      </c>
      <c r="P417" t="e">
        <f>AND(#REF!,"AAAAAGm1/w8=")</f>
        <v>#REF!</v>
      </c>
      <c r="Q417" t="e">
        <f>AND(#REF!,"AAAAAGm1/xA=")</f>
        <v>#REF!</v>
      </c>
      <c r="R417" t="e">
        <f>AND(#REF!,"AAAAAGm1/xE=")</f>
        <v>#REF!</v>
      </c>
      <c r="S417" t="e">
        <f>AND(#REF!,"AAAAAGm1/xI=")</f>
        <v>#REF!</v>
      </c>
      <c r="T417" t="e">
        <f>AND(#REF!,"AAAAAGm1/xM=")</f>
        <v>#REF!</v>
      </c>
      <c r="U417" t="e">
        <f>IF(#REF!,"AAAAAGm1/xQ=",0)</f>
        <v>#REF!</v>
      </c>
      <c r="V417" t="e">
        <f>AND(#REF!,"AAAAAGm1/xU=")</f>
        <v>#REF!</v>
      </c>
      <c r="W417" t="e">
        <f>AND(#REF!,"AAAAAGm1/xY=")</f>
        <v>#REF!</v>
      </c>
      <c r="X417" t="e">
        <f>AND(#REF!,"AAAAAGm1/xc=")</f>
        <v>#REF!</v>
      </c>
      <c r="Y417" t="e">
        <f>AND(#REF!,"AAAAAGm1/xg=")</f>
        <v>#REF!</v>
      </c>
      <c r="Z417" t="e">
        <f>AND(#REF!,"AAAAAGm1/xk=")</f>
        <v>#REF!</v>
      </c>
      <c r="AA417" t="e">
        <f>AND(#REF!,"AAAAAGm1/xo=")</f>
        <v>#REF!</v>
      </c>
      <c r="AB417" t="e">
        <f>AND(#REF!,"AAAAAGm1/xs=")</f>
        <v>#REF!</v>
      </c>
      <c r="AC417" t="e">
        <f>AND(#REF!,"AAAAAGm1/xw=")</f>
        <v>#REF!</v>
      </c>
      <c r="AD417" t="e">
        <f>AND(#REF!,"AAAAAGm1/x0=")</f>
        <v>#REF!</v>
      </c>
      <c r="AE417" t="e">
        <f>AND(#REF!,"AAAAAGm1/x4=")</f>
        <v>#REF!</v>
      </c>
      <c r="AF417" t="e">
        <f>IF(#REF!,"AAAAAGm1/x8=",0)</f>
        <v>#REF!</v>
      </c>
      <c r="AG417" t="e">
        <f>AND(#REF!,"AAAAAGm1/yA=")</f>
        <v>#REF!</v>
      </c>
      <c r="AH417" t="e">
        <f>AND(#REF!,"AAAAAGm1/yE=")</f>
        <v>#REF!</v>
      </c>
      <c r="AI417" t="e">
        <f>AND(#REF!,"AAAAAGm1/yI=")</f>
        <v>#REF!</v>
      </c>
      <c r="AJ417" t="e">
        <f>AND(#REF!,"AAAAAGm1/yM=")</f>
        <v>#REF!</v>
      </c>
      <c r="AK417" t="e">
        <f>AND(#REF!,"AAAAAGm1/yQ=")</f>
        <v>#REF!</v>
      </c>
      <c r="AL417" t="e">
        <f>AND(#REF!,"AAAAAGm1/yU=")</f>
        <v>#REF!</v>
      </c>
      <c r="AM417" t="e">
        <f>AND(#REF!,"AAAAAGm1/yY=")</f>
        <v>#REF!</v>
      </c>
      <c r="AN417" t="e">
        <f>AND(#REF!,"AAAAAGm1/yc=")</f>
        <v>#REF!</v>
      </c>
      <c r="AO417" t="e">
        <f>AND(#REF!,"AAAAAGm1/yg=")</f>
        <v>#REF!</v>
      </c>
      <c r="AP417" t="e">
        <f>AND(#REF!,"AAAAAGm1/yk=")</f>
        <v>#REF!</v>
      </c>
      <c r="AQ417" t="e">
        <f>IF(#REF!,"AAAAAGm1/yo=",0)</f>
        <v>#REF!</v>
      </c>
      <c r="AR417" t="e">
        <f>AND(#REF!,"AAAAAGm1/ys=")</f>
        <v>#REF!</v>
      </c>
      <c r="AS417" t="e">
        <f>AND(#REF!,"AAAAAGm1/yw=")</f>
        <v>#REF!</v>
      </c>
      <c r="AT417" t="e">
        <f>AND(#REF!,"AAAAAGm1/y0=")</f>
        <v>#REF!</v>
      </c>
      <c r="AU417" t="e">
        <f>AND(#REF!,"AAAAAGm1/y4=")</f>
        <v>#REF!</v>
      </c>
      <c r="AV417" t="e">
        <f>AND(#REF!,"AAAAAGm1/y8=")</f>
        <v>#REF!</v>
      </c>
      <c r="AW417" t="e">
        <f>AND(#REF!,"AAAAAGm1/zA=")</f>
        <v>#REF!</v>
      </c>
      <c r="AX417" t="e">
        <f>AND(#REF!,"AAAAAGm1/zE=")</f>
        <v>#REF!</v>
      </c>
      <c r="AY417" t="e">
        <f>AND(#REF!,"AAAAAGm1/zI=")</f>
        <v>#REF!</v>
      </c>
      <c r="AZ417" t="e">
        <f>AND(#REF!,"AAAAAGm1/zM=")</f>
        <v>#REF!</v>
      </c>
      <c r="BA417" t="e">
        <f>AND(#REF!,"AAAAAGm1/zQ=")</f>
        <v>#REF!</v>
      </c>
      <c r="BB417" t="e">
        <f>IF(#REF!,"AAAAAGm1/zU=",0)</f>
        <v>#REF!</v>
      </c>
      <c r="BC417" t="e">
        <f>AND(#REF!,"AAAAAGm1/zY=")</f>
        <v>#REF!</v>
      </c>
      <c r="BD417" t="e">
        <f>AND(#REF!,"AAAAAGm1/zc=")</f>
        <v>#REF!</v>
      </c>
      <c r="BE417" t="e">
        <f>AND(#REF!,"AAAAAGm1/zg=")</f>
        <v>#REF!</v>
      </c>
      <c r="BF417" t="e">
        <f>AND(#REF!,"AAAAAGm1/zk=")</f>
        <v>#REF!</v>
      </c>
      <c r="BG417" t="e">
        <f>AND(#REF!,"AAAAAGm1/zo=")</f>
        <v>#REF!</v>
      </c>
      <c r="BH417" t="e">
        <f>AND(#REF!,"AAAAAGm1/zs=")</f>
        <v>#REF!</v>
      </c>
      <c r="BI417" t="e">
        <f>AND(#REF!,"AAAAAGm1/zw=")</f>
        <v>#REF!</v>
      </c>
      <c r="BJ417" t="e">
        <f>AND(#REF!,"AAAAAGm1/z0=")</f>
        <v>#REF!</v>
      </c>
      <c r="BK417" t="e">
        <f>AND(#REF!,"AAAAAGm1/z4=")</f>
        <v>#REF!</v>
      </c>
      <c r="BL417" t="e">
        <f>AND(#REF!,"AAAAAGm1/z8=")</f>
        <v>#REF!</v>
      </c>
      <c r="BM417" t="e">
        <f>IF(#REF!,"AAAAAGm1/0A=",0)</f>
        <v>#REF!</v>
      </c>
      <c r="BN417" t="e">
        <f>AND(#REF!,"AAAAAGm1/0E=")</f>
        <v>#REF!</v>
      </c>
      <c r="BO417" t="e">
        <f>AND(#REF!,"AAAAAGm1/0I=")</f>
        <v>#REF!</v>
      </c>
      <c r="BP417" t="e">
        <f>AND(#REF!,"AAAAAGm1/0M=")</f>
        <v>#REF!</v>
      </c>
      <c r="BQ417" t="e">
        <f>AND(#REF!,"AAAAAGm1/0Q=")</f>
        <v>#REF!</v>
      </c>
      <c r="BR417" t="e">
        <f>AND(#REF!,"AAAAAGm1/0U=")</f>
        <v>#REF!</v>
      </c>
      <c r="BS417" t="e">
        <f>AND(#REF!,"AAAAAGm1/0Y=")</f>
        <v>#REF!</v>
      </c>
      <c r="BT417" t="e">
        <f>AND(#REF!,"AAAAAGm1/0c=")</f>
        <v>#REF!</v>
      </c>
      <c r="BU417" t="e">
        <f>AND(#REF!,"AAAAAGm1/0g=")</f>
        <v>#REF!</v>
      </c>
      <c r="BV417" t="e">
        <f>AND(#REF!,"AAAAAGm1/0k=")</f>
        <v>#REF!</v>
      </c>
      <c r="BW417" t="e">
        <f>AND(#REF!,"AAAAAGm1/0o=")</f>
        <v>#REF!</v>
      </c>
      <c r="BX417" t="e">
        <f>IF(#REF!,"AAAAAGm1/0s=",0)</f>
        <v>#REF!</v>
      </c>
      <c r="BY417" t="e">
        <f>AND(#REF!,"AAAAAGm1/0w=")</f>
        <v>#REF!</v>
      </c>
      <c r="BZ417" t="e">
        <f>AND(#REF!,"AAAAAGm1/00=")</f>
        <v>#REF!</v>
      </c>
      <c r="CA417" t="e">
        <f>AND(#REF!,"AAAAAGm1/04=")</f>
        <v>#REF!</v>
      </c>
      <c r="CB417" t="e">
        <f>AND(#REF!,"AAAAAGm1/08=")</f>
        <v>#REF!</v>
      </c>
      <c r="CC417" t="e">
        <f>AND(#REF!,"AAAAAGm1/1A=")</f>
        <v>#REF!</v>
      </c>
      <c r="CD417" t="e">
        <f>AND(#REF!,"AAAAAGm1/1E=")</f>
        <v>#REF!</v>
      </c>
      <c r="CE417" t="e">
        <f>AND(#REF!,"AAAAAGm1/1I=")</f>
        <v>#REF!</v>
      </c>
      <c r="CF417" t="e">
        <f>AND(#REF!,"AAAAAGm1/1M=")</f>
        <v>#REF!</v>
      </c>
      <c r="CG417" t="e">
        <f>AND(#REF!,"AAAAAGm1/1Q=")</f>
        <v>#REF!</v>
      </c>
      <c r="CH417" t="e">
        <f>AND(#REF!,"AAAAAGm1/1U=")</f>
        <v>#REF!</v>
      </c>
      <c r="CI417" t="e">
        <f>IF(#REF!,"AAAAAGm1/1Y=",0)</f>
        <v>#REF!</v>
      </c>
      <c r="CJ417" t="e">
        <f>AND(#REF!,"AAAAAGm1/1c=")</f>
        <v>#REF!</v>
      </c>
      <c r="CK417" t="e">
        <f>AND(#REF!,"AAAAAGm1/1g=")</f>
        <v>#REF!</v>
      </c>
      <c r="CL417" t="e">
        <f>AND(#REF!,"AAAAAGm1/1k=")</f>
        <v>#REF!</v>
      </c>
      <c r="CM417" t="e">
        <f>AND(#REF!,"AAAAAGm1/1o=")</f>
        <v>#REF!</v>
      </c>
      <c r="CN417" t="e">
        <f>AND(#REF!,"AAAAAGm1/1s=")</f>
        <v>#REF!</v>
      </c>
      <c r="CO417" t="e">
        <f>AND(#REF!,"AAAAAGm1/1w=")</f>
        <v>#REF!</v>
      </c>
      <c r="CP417" t="e">
        <f>AND(#REF!,"AAAAAGm1/10=")</f>
        <v>#REF!</v>
      </c>
      <c r="CQ417" t="e">
        <f>AND(#REF!,"AAAAAGm1/14=")</f>
        <v>#REF!</v>
      </c>
      <c r="CR417" t="e">
        <f>AND(#REF!,"AAAAAGm1/18=")</f>
        <v>#REF!</v>
      </c>
      <c r="CS417" t="e">
        <f>AND(#REF!,"AAAAAGm1/2A=")</f>
        <v>#REF!</v>
      </c>
      <c r="CT417" t="e">
        <f>IF(#REF!,"AAAAAGm1/2E=",0)</f>
        <v>#REF!</v>
      </c>
      <c r="CU417" t="e">
        <f>AND(#REF!,"AAAAAGm1/2I=")</f>
        <v>#REF!</v>
      </c>
      <c r="CV417" t="e">
        <f>AND(#REF!,"AAAAAGm1/2M=")</f>
        <v>#REF!</v>
      </c>
      <c r="CW417" t="e">
        <f>AND(#REF!,"AAAAAGm1/2Q=")</f>
        <v>#REF!</v>
      </c>
      <c r="CX417" t="e">
        <f>AND(#REF!,"AAAAAGm1/2U=")</f>
        <v>#REF!</v>
      </c>
      <c r="CY417" t="e">
        <f>AND(#REF!,"AAAAAGm1/2Y=")</f>
        <v>#REF!</v>
      </c>
      <c r="CZ417" t="e">
        <f>AND(#REF!,"AAAAAGm1/2c=")</f>
        <v>#REF!</v>
      </c>
      <c r="DA417" t="e">
        <f>AND(#REF!,"AAAAAGm1/2g=")</f>
        <v>#REF!</v>
      </c>
      <c r="DB417" t="e">
        <f>AND(#REF!,"AAAAAGm1/2k=")</f>
        <v>#REF!</v>
      </c>
      <c r="DC417" t="e">
        <f>AND(#REF!,"AAAAAGm1/2o=")</f>
        <v>#REF!</v>
      </c>
      <c r="DD417" t="e">
        <f>AND(#REF!,"AAAAAGm1/2s=")</f>
        <v>#REF!</v>
      </c>
      <c r="DE417" t="e">
        <f>IF(#REF!,"AAAAAGm1/2w=",0)</f>
        <v>#REF!</v>
      </c>
      <c r="DF417" t="e">
        <f>AND(#REF!,"AAAAAGm1/20=")</f>
        <v>#REF!</v>
      </c>
      <c r="DG417" t="e">
        <f>AND(#REF!,"AAAAAGm1/24=")</f>
        <v>#REF!</v>
      </c>
      <c r="DH417" t="e">
        <f>AND(#REF!,"AAAAAGm1/28=")</f>
        <v>#REF!</v>
      </c>
      <c r="DI417" t="e">
        <f>AND(#REF!,"AAAAAGm1/3A=")</f>
        <v>#REF!</v>
      </c>
      <c r="DJ417" t="e">
        <f>AND(#REF!,"AAAAAGm1/3E=")</f>
        <v>#REF!</v>
      </c>
      <c r="DK417" t="e">
        <f>AND(#REF!,"AAAAAGm1/3I=")</f>
        <v>#REF!</v>
      </c>
      <c r="DL417" t="e">
        <f>AND(#REF!,"AAAAAGm1/3M=")</f>
        <v>#REF!</v>
      </c>
      <c r="DM417" t="e">
        <f>AND(#REF!,"AAAAAGm1/3Q=")</f>
        <v>#REF!</v>
      </c>
      <c r="DN417" t="e">
        <f>AND(#REF!,"AAAAAGm1/3U=")</f>
        <v>#REF!</v>
      </c>
      <c r="DO417" t="e">
        <f>AND(#REF!,"AAAAAGm1/3Y=")</f>
        <v>#REF!</v>
      </c>
      <c r="DP417" t="e">
        <f>IF(#REF!,"AAAAAGm1/3c=",0)</f>
        <v>#REF!</v>
      </c>
      <c r="DQ417" t="e">
        <f>AND(#REF!,"AAAAAGm1/3g=")</f>
        <v>#REF!</v>
      </c>
      <c r="DR417" t="e">
        <f>AND(#REF!,"AAAAAGm1/3k=")</f>
        <v>#REF!</v>
      </c>
      <c r="DS417" t="e">
        <f>AND(#REF!,"AAAAAGm1/3o=")</f>
        <v>#REF!</v>
      </c>
      <c r="DT417" t="e">
        <f>AND(#REF!,"AAAAAGm1/3s=")</f>
        <v>#REF!</v>
      </c>
      <c r="DU417" t="e">
        <f>AND(#REF!,"AAAAAGm1/3w=")</f>
        <v>#REF!</v>
      </c>
      <c r="DV417" t="e">
        <f>AND(#REF!,"AAAAAGm1/30=")</f>
        <v>#REF!</v>
      </c>
      <c r="DW417" t="e">
        <f>AND(#REF!,"AAAAAGm1/34=")</f>
        <v>#REF!</v>
      </c>
      <c r="DX417" t="e">
        <f>AND(#REF!,"AAAAAGm1/38=")</f>
        <v>#REF!</v>
      </c>
      <c r="DY417" t="e">
        <f>AND(#REF!,"AAAAAGm1/4A=")</f>
        <v>#REF!</v>
      </c>
      <c r="DZ417" t="e">
        <f>AND(#REF!,"AAAAAGm1/4E=")</f>
        <v>#REF!</v>
      </c>
      <c r="EA417" t="e">
        <f>IF(#REF!,"AAAAAGm1/4I=",0)</f>
        <v>#REF!</v>
      </c>
      <c r="EB417" t="e">
        <f>AND(#REF!,"AAAAAGm1/4M=")</f>
        <v>#REF!</v>
      </c>
      <c r="EC417" t="e">
        <f>AND(#REF!,"AAAAAGm1/4Q=")</f>
        <v>#REF!</v>
      </c>
      <c r="ED417" t="e">
        <f>AND(#REF!,"AAAAAGm1/4U=")</f>
        <v>#REF!</v>
      </c>
      <c r="EE417" t="e">
        <f>AND(#REF!,"AAAAAGm1/4Y=")</f>
        <v>#REF!</v>
      </c>
      <c r="EF417" t="e">
        <f>AND(#REF!,"AAAAAGm1/4c=")</f>
        <v>#REF!</v>
      </c>
      <c r="EG417" t="e">
        <f>AND(#REF!,"AAAAAGm1/4g=")</f>
        <v>#REF!</v>
      </c>
      <c r="EH417" t="e">
        <f>AND(#REF!,"AAAAAGm1/4k=")</f>
        <v>#REF!</v>
      </c>
      <c r="EI417" t="e">
        <f>AND(#REF!,"AAAAAGm1/4o=")</f>
        <v>#REF!</v>
      </c>
      <c r="EJ417" t="e">
        <f>AND(#REF!,"AAAAAGm1/4s=")</f>
        <v>#REF!</v>
      </c>
      <c r="EK417" t="e">
        <f>AND(#REF!,"AAAAAGm1/4w=")</f>
        <v>#REF!</v>
      </c>
      <c r="EL417" t="e">
        <f>IF(#REF!,"AAAAAGm1/40=",0)</f>
        <v>#REF!</v>
      </c>
      <c r="EM417" t="e">
        <f>AND(#REF!,"AAAAAGm1/44=")</f>
        <v>#REF!</v>
      </c>
      <c r="EN417" t="e">
        <f>AND(#REF!,"AAAAAGm1/48=")</f>
        <v>#REF!</v>
      </c>
      <c r="EO417" t="e">
        <f>AND(#REF!,"AAAAAGm1/5A=")</f>
        <v>#REF!</v>
      </c>
      <c r="EP417" t="e">
        <f>AND(#REF!,"AAAAAGm1/5E=")</f>
        <v>#REF!</v>
      </c>
      <c r="EQ417" t="e">
        <f>AND(#REF!,"AAAAAGm1/5I=")</f>
        <v>#REF!</v>
      </c>
      <c r="ER417" t="e">
        <f>AND(#REF!,"AAAAAGm1/5M=")</f>
        <v>#REF!</v>
      </c>
      <c r="ES417" t="e">
        <f>AND(#REF!,"AAAAAGm1/5Q=")</f>
        <v>#REF!</v>
      </c>
      <c r="ET417" t="e">
        <f>AND(#REF!,"AAAAAGm1/5U=")</f>
        <v>#REF!</v>
      </c>
      <c r="EU417" t="e">
        <f>AND(#REF!,"AAAAAGm1/5Y=")</f>
        <v>#REF!</v>
      </c>
      <c r="EV417" t="e">
        <f>AND(#REF!,"AAAAAGm1/5c=")</f>
        <v>#REF!</v>
      </c>
      <c r="EW417" t="e">
        <f>IF(#REF!,"AAAAAGm1/5g=",0)</f>
        <v>#REF!</v>
      </c>
      <c r="EX417" t="e">
        <f>AND(#REF!,"AAAAAGm1/5k=")</f>
        <v>#REF!</v>
      </c>
      <c r="EY417" t="e">
        <f>AND(#REF!,"AAAAAGm1/5o=")</f>
        <v>#REF!</v>
      </c>
      <c r="EZ417" t="e">
        <f>AND(#REF!,"AAAAAGm1/5s=")</f>
        <v>#REF!</v>
      </c>
      <c r="FA417" t="e">
        <f>AND(#REF!,"AAAAAGm1/5w=")</f>
        <v>#REF!</v>
      </c>
      <c r="FB417" t="e">
        <f>AND(#REF!,"AAAAAGm1/50=")</f>
        <v>#REF!</v>
      </c>
      <c r="FC417" t="e">
        <f>AND(#REF!,"AAAAAGm1/54=")</f>
        <v>#REF!</v>
      </c>
      <c r="FD417" t="e">
        <f>AND(#REF!,"AAAAAGm1/58=")</f>
        <v>#REF!</v>
      </c>
      <c r="FE417" t="e">
        <f>AND(#REF!,"AAAAAGm1/6A=")</f>
        <v>#REF!</v>
      </c>
      <c r="FF417" t="e">
        <f>AND(#REF!,"AAAAAGm1/6E=")</f>
        <v>#REF!</v>
      </c>
      <c r="FG417" t="e">
        <f>AND(#REF!,"AAAAAGm1/6I=")</f>
        <v>#REF!</v>
      </c>
      <c r="FH417" t="e">
        <f>IF(#REF!,"AAAAAGm1/6M=",0)</f>
        <v>#REF!</v>
      </c>
      <c r="FI417" t="e">
        <f>AND(#REF!,"AAAAAGm1/6Q=")</f>
        <v>#REF!</v>
      </c>
      <c r="FJ417" t="e">
        <f>AND(#REF!,"AAAAAGm1/6U=")</f>
        <v>#REF!</v>
      </c>
      <c r="FK417" t="e">
        <f>AND(#REF!,"AAAAAGm1/6Y=")</f>
        <v>#REF!</v>
      </c>
      <c r="FL417" t="e">
        <f>AND(#REF!,"AAAAAGm1/6c=")</f>
        <v>#REF!</v>
      </c>
      <c r="FM417" t="e">
        <f>AND(#REF!,"AAAAAGm1/6g=")</f>
        <v>#REF!</v>
      </c>
      <c r="FN417" t="e">
        <f>AND(#REF!,"AAAAAGm1/6k=")</f>
        <v>#REF!</v>
      </c>
      <c r="FO417" t="e">
        <f>AND(#REF!,"AAAAAGm1/6o=")</f>
        <v>#REF!</v>
      </c>
      <c r="FP417" t="e">
        <f>AND(#REF!,"AAAAAGm1/6s=")</f>
        <v>#REF!</v>
      </c>
      <c r="FQ417" t="e">
        <f>AND(#REF!,"AAAAAGm1/6w=")</f>
        <v>#REF!</v>
      </c>
      <c r="FR417" t="e">
        <f>AND(#REF!,"AAAAAGm1/60=")</f>
        <v>#REF!</v>
      </c>
      <c r="FS417" t="e">
        <f>IF(#REF!,"AAAAAGm1/64=",0)</f>
        <v>#REF!</v>
      </c>
      <c r="FT417" t="e">
        <f>AND(#REF!,"AAAAAGm1/68=")</f>
        <v>#REF!</v>
      </c>
      <c r="FU417" t="e">
        <f>AND(#REF!,"AAAAAGm1/7A=")</f>
        <v>#REF!</v>
      </c>
      <c r="FV417" t="e">
        <f>AND(#REF!,"AAAAAGm1/7E=")</f>
        <v>#REF!</v>
      </c>
      <c r="FW417" t="e">
        <f>AND(#REF!,"AAAAAGm1/7I=")</f>
        <v>#REF!</v>
      </c>
      <c r="FX417" t="e">
        <f>AND(#REF!,"AAAAAGm1/7M=")</f>
        <v>#REF!</v>
      </c>
      <c r="FY417" t="e">
        <f>AND(#REF!,"AAAAAGm1/7Q=")</f>
        <v>#REF!</v>
      </c>
      <c r="FZ417" t="e">
        <f>AND(#REF!,"AAAAAGm1/7U=")</f>
        <v>#REF!</v>
      </c>
      <c r="GA417" t="e">
        <f>AND(#REF!,"AAAAAGm1/7Y=")</f>
        <v>#REF!</v>
      </c>
      <c r="GB417" t="e">
        <f>AND(#REF!,"AAAAAGm1/7c=")</f>
        <v>#REF!</v>
      </c>
      <c r="GC417" t="e">
        <f>AND(#REF!,"AAAAAGm1/7g=")</f>
        <v>#REF!</v>
      </c>
      <c r="GD417" t="e">
        <f>IF(#REF!,"AAAAAGm1/7k=",0)</f>
        <v>#REF!</v>
      </c>
      <c r="GE417" t="e">
        <f>AND(#REF!,"AAAAAGm1/7o=")</f>
        <v>#REF!</v>
      </c>
      <c r="GF417" t="e">
        <f>AND(#REF!,"AAAAAGm1/7s=")</f>
        <v>#REF!</v>
      </c>
      <c r="GG417" t="e">
        <f>AND(#REF!,"AAAAAGm1/7w=")</f>
        <v>#REF!</v>
      </c>
      <c r="GH417" t="e">
        <f>AND(#REF!,"AAAAAGm1/70=")</f>
        <v>#REF!</v>
      </c>
      <c r="GI417" t="e">
        <f>AND(#REF!,"AAAAAGm1/74=")</f>
        <v>#REF!</v>
      </c>
      <c r="GJ417" t="e">
        <f>AND(#REF!,"AAAAAGm1/78=")</f>
        <v>#REF!</v>
      </c>
      <c r="GK417" t="e">
        <f>AND(#REF!,"AAAAAGm1/8A=")</f>
        <v>#REF!</v>
      </c>
      <c r="GL417" t="e">
        <f>AND(#REF!,"AAAAAGm1/8E=")</f>
        <v>#REF!</v>
      </c>
      <c r="GM417" t="e">
        <f>AND(#REF!,"AAAAAGm1/8I=")</f>
        <v>#REF!</v>
      </c>
      <c r="GN417" t="e">
        <f>AND(#REF!,"AAAAAGm1/8M=")</f>
        <v>#REF!</v>
      </c>
      <c r="GO417" t="e">
        <f>IF(#REF!,"AAAAAGm1/8Q=",0)</f>
        <v>#REF!</v>
      </c>
      <c r="GP417" t="e">
        <f>AND(#REF!,"AAAAAGm1/8U=")</f>
        <v>#REF!</v>
      </c>
      <c r="GQ417" t="e">
        <f>AND(#REF!,"AAAAAGm1/8Y=")</f>
        <v>#REF!</v>
      </c>
      <c r="GR417" t="e">
        <f>AND(#REF!,"AAAAAGm1/8c=")</f>
        <v>#REF!</v>
      </c>
      <c r="GS417" t="e">
        <f>AND(#REF!,"AAAAAGm1/8g=")</f>
        <v>#REF!</v>
      </c>
      <c r="GT417" t="e">
        <f>AND(#REF!,"AAAAAGm1/8k=")</f>
        <v>#REF!</v>
      </c>
      <c r="GU417" t="e">
        <f>AND(#REF!,"AAAAAGm1/8o=")</f>
        <v>#REF!</v>
      </c>
      <c r="GV417" t="e">
        <f>AND(#REF!,"AAAAAGm1/8s=")</f>
        <v>#REF!</v>
      </c>
      <c r="GW417" t="e">
        <f>AND(#REF!,"AAAAAGm1/8w=")</f>
        <v>#REF!</v>
      </c>
      <c r="GX417" t="e">
        <f>AND(#REF!,"AAAAAGm1/80=")</f>
        <v>#REF!</v>
      </c>
      <c r="GY417" t="e">
        <f>AND(#REF!,"AAAAAGm1/84=")</f>
        <v>#REF!</v>
      </c>
      <c r="GZ417" t="e">
        <f>IF(#REF!,"AAAAAGm1/88=",0)</f>
        <v>#REF!</v>
      </c>
      <c r="HA417" t="e">
        <f>AND(#REF!,"AAAAAGm1/9A=")</f>
        <v>#REF!</v>
      </c>
      <c r="HB417" t="e">
        <f>AND(#REF!,"AAAAAGm1/9E=")</f>
        <v>#REF!</v>
      </c>
      <c r="HC417" t="e">
        <f>AND(#REF!,"AAAAAGm1/9I=")</f>
        <v>#REF!</v>
      </c>
      <c r="HD417" t="e">
        <f>AND(#REF!,"AAAAAGm1/9M=")</f>
        <v>#REF!</v>
      </c>
      <c r="HE417" t="e">
        <f>AND(#REF!,"AAAAAGm1/9Q=")</f>
        <v>#REF!</v>
      </c>
      <c r="HF417" t="e">
        <f>AND(#REF!,"AAAAAGm1/9U=")</f>
        <v>#REF!</v>
      </c>
      <c r="HG417" t="e">
        <f>AND(#REF!,"AAAAAGm1/9Y=")</f>
        <v>#REF!</v>
      </c>
      <c r="HH417" t="e">
        <f>AND(#REF!,"AAAAAGm1/9c=")</f>
        <v>#REF!</v>
      </c>
      <c r="HI417" t="e">
        <f>AND(#REF!,"AAAAAGm1/9g=")</f>
        <v>#REF!</v>
      </c>
      <c r="HJ417" t="e">
        <f>AND(#REF!,"AAAAAGm1/9k=")</f>
        <v>#REF!</v>
      </c>
      <c r="HK417" t="e">
        <f>IF(#REF!,"AAAAAGm1/9o=",0)</f>
        <v>#REF!</v>
      </c>
      <c r="HL417" t="e">
        <f>AND(#REF!,"AAAAAGm1/9s=")</f>
        <v>#REF!</v>
      </c>
      <c r="HM417" t="e">
        <f>AND(#REF!,"AAAAAGm1/9w=")</f>
        <v>#REF!</v>
      </c>
      <c r="HN417" t="e">
        <f>AND(#REF!,"AAAAAGm1/90=")</f>
        <v>#REF!</v>
      </c>
      <c r="HO417" t="e">
        <f>AND(#REF!,"AAAAAGm1/94=")</f>
        <v>#REF!</v>
      </c>
      <c r="HP417" t="e">
        <f>AND(#REF!,"AAAAAGm1/98=")</f>
        <v>#REF!</v>
      </c>
      <c r="HQ417" t="e">
        <f>AND(#REF!,"AAAAAGm1/+A=")</f>
        <v>#REF!</v>
      </c>
      <c r="HR417" t="e">
        <f>AND(#REF!,"AAAAAGm1/+E=")</f>
        <v>#REF!</v>
      </c>
      <c r="HS417" t="e">
        <f>AND(#REF!,"AAAAAGm1/+I=")</f>
        <v>#REF!</v>
      </c>
      <c r="HT417" t="e">
        <f>AND(#REF!,"AAAAAGm1/+M=")</f>
        <v>#REF!</v>
      </c>
      <c r="HU417" t="e">
        <f>AND(#REF!,"AAAAAGm1/+Q=")</f>
        <v>#REF!</v>
      </c>
      <c r="HV417" t="e">
        <f>IF(#REF!,"AAAAAGm1/+U=",0)</f>
        <v>#REF!</v>
      </c>
      <c r="HW417" t="e">
        <f>AND(#REF!,"AAAAAGm1/+Y=")</f>
        <v>#REF!</v>
      </c>
      <c r="HX417" t="e">
        <f>AND(#REF!,"AAAAAGm1/+c=")</f>
        <v>#REF!</v>
      </c>
      <c r="HY417" t="e">
        <f>AND(#REF!,"AAAAAGm1/+g=")</f>
        <v>#REF!</v>
      </c>
      <c r="HZ417" t="e">
        <f>AND(#REF!,"AAAAAGm1/+k=")</f>
        <v>#REF!</v>
      </c>
      <c r="IA417" t="e">
        <f>AND(#REF!,"AAAAAGm1/+o=")</f>
        <v>#REF!</v>
      </c>
      <c r="IB417" t="e">
        <f>AND(#REF!,"AAAAAGm1/+s=")</f>
        <v>#REF!</v>
      </c>
      <c r="IC417" t="e">
        <f>AND(#REF!,"AAAAAGm1/+w=")</f>
        <v>#REF!</v>
      </c>
      <c r="ID417" t="e">
        <f>AND(#REF!,"AAAAAGm1/+0=")</f>
        <v>#REF!</v>
      </c>
      <c r="IE417" t="e">
        <f>AND(#REF!,"AAAAAGm1/+4=")</f>
        <v>#REF!</v>
      </c>
      <c r="IF417" t="e">
        <f>AND(#REF!,"AAAAAGm1/+8=")</f>
        <v>#REF!</v>
      </c>
      <c r="IG417" t="e">
        <f>IF(#REF!,"AAAAAGm1//A=",0)</f>
        <v>#REF!</v>
      </c>
      <c r="IH417" t="e">
        <f>AND(#REF!,"AAAAAGm1//E=")</f>
        <v>#REF!</v>
      </c>
      <c r="II417" t="e">
        <f>AND(#REF!,"AAAAAGm1//I=")</f>
        <v>#REF!</v>
      </c>
      <c r="IJ417" t="e">
        <f>AND(#REF!,"AAAAAGm1//M=")</f>
        <v>#REF!</v>
      </c>
      <c r="IK417" t="e">
        <f>AND(#REF!,"AAAAAGm1//Q=")</f>
        <v>#REF!</v>
      </c>
      <c r="IL417" t="e">
        <f>AND(#REF!,"AAAAAGm1//U=")</f>
        <v>#REF!</v>
      </c>
      <c r="IM417" t="e">
        <f>AND(#REF!,"AAAAAGm1//Y=")</f>
        <v>#REF!</v>
      </c>
      <c r="IN417" t="e">
        <f>AND(#REF!,"AAAAAGm1//c=")</f>
        <v>#REF!</v>
      </c>
      <c r="IO417" t="e">
        <f>AND(#REF!,"AAAAAGm1//g=")</f>
        <v>#REF!</v>
      </c>
      <c r="IP417" t="e">
        <f>AND(#REF!,"AAAAAGm1//k=")</f>
        <v>#REF!</v>
      </c>
      <c r="IQ417" t="e">
        <f>AND(#REF!,"AAAAAGm1//o=")</f>
        <v>#REF!</v>
      </c>
      <c r="IR417" t="e">
        <f>IF(#REF!,"AAAAAGm1//s=",0)</f>
        <v>#REF!</v>
      </c>
      <c r="IS417" t="e">
        <f>AND(#REF!,"AAAAAGm1//w=")</f>
        <v>#REF!</v>
      </c>
      <c r="IT417" t="e">
        <f>AND(#REF!,"AAAAAGm1//0=")</f>
        <v>#REF!</v>
      </c>
      <c r="IU417" t="e">
        <f>AND(#REF!,"AAAAAGm1//4=")</f>
        <v>#REF!</v>
      </c>
      <c r="IV417" t="e">
        <f>AND(#REF!,"AAAAAGm1//8=")</f>
        <v>#REF!</v>
      </c>
    </row>
    <row r="418" spans="1:256" x14ac:dyDescent="0.25">
      <c r="A418" t="e">
        <f>AND(#REF!,"AAAAAH///gA=")</f>
        <v>#REF!</v>
      </c>
      <c r="B418" t="e">
        <f>AND(#REF!,"AAAAAH///gE=")</f>
        <v>#REF!</v>
      </c>
      <c r="C418" t="e">
        <f>AND(#REF!,"AAAAAH///gI=")</f>
        <v>#REF!</v>
      </c>
      <c r="D418" t="e">
        <f>AND(#REF!,"AAAAAH///gM=")</f>
        <v>#REF!</v>
      </c>
      <c r="E418" t="e">
        <f>AND(#REF!,"AAAAAH///gQ=")</f>
        <v>#REF!</v>
      </c>
      <c r="F418" t="e">
        <f>AND(#REF!,"AAAAAH///gU=")</f>
        <v>#REF!</v>
      </c>
      <c r="G418" t="e">
        <f>IF(#REF!,"AAAAAH///gY=",0)</f>
        <v>#REF!</v>
      </c>
      <c r="H418" t="e">
        <f>AND(#REF!,"AAAAAH///gc=")</f>
        <v>#REF!</v>
      </c>
      <c r="I418" t="e">
        <f>AND(#REF!,"AAAAAH///gg=")</f>
        <v>#REF!</v>
      </c>
      <c r="J418" t="e">
        <f>AND(#REF!,"AAAAAH///gk=")</f>
        <v>#REF!</v>
      </c>
      <c r="K418" t="e">
        <f>AND(#REF!,"AAAAAH///go=")</f>
        <v>#REF!</v>
      </c>
      <c r="L418" t="e">
        <f>AND(#REF!,"AAAAAH///gs=")</f>
        <v>#REF!</v>
      </c>
      <c r="M418" t="e">
        <f>AND(#REF!,"AAAAAH///gw=")</f>
        <v>#REF!</v>
      </c>
      <c r="N418" t="e">
        <f>AND(#REF!,"AAAAAH///g0=")</f>
        <v>#REF!</v>
      </c>
      <c r="O418" t="e">
        <f>AND(#REF!,"AAAAAH///g4=")</f>
        <v>#REF!</v>
      </c>
      <c r="P418" t="e">
        <f>AND(#REF!,"AAAAAH///g8=")</f>
        <v>#REF!</v>
      </c>
      <c r="Q418" t="e">
        <f>AND(#REF!,"AAAAAH///hA=")</f>
        <v>#REF!</v>
      </c>
      <c r="R418" t="e">
        <f>IF(#REF!,"AAAAAH///hE=",0)</f>
        <v>#REF!</v>
      </c>
      <c r="S418" t="e">
        <f>AND(#REF!,"AAAAAH///hI=")</f>
        <v>#REF!</v>
      </c>
      <c r="T418" t="e">
        <f>AND(#REF!,"AAAAAH///hM=")</f>
        <v>#REF!</v>
      </c>
      <c r="U418" t="e">
        <f>AND(#REF!,"AAAAAH///hQ=")</f>
        <v>#REF!</v>
      </c>
      <c r="V418" t="e">
        <f>AND(#REF!,"AAAAAH///hU=")</f>
        <v>#REF!</v>
      </c>
      <c r="W418" t="e">
        <f>AND(#REF!,"AAAAAH///hY=")</f>
        <v>#REF!</v>
      </c>
      <c r="X418" t="e">
        <f>AND(#REF!,"AAAAAH///hc=")</f>
        <v>#REF!</v>
      </c>
      <c r="Y418" t="e">
        <f>AND(#REF!,"AAAAAH///hg=")</f>
        <v>#REF!</v>
      </c>
      <c r="Z418" t="e">
        <f>AND(#REF!,"AAAAAH///hk=")</f>
        <v>#REF!</v>
      </c>
      <c r="AA418" t="e">
        <f>AND(#REF!,"AAAAAH///ho=")</f>
        <v>#REF!</v>
      </c>
      <c r="AB418" t="e">
        <f>AND(#REF!,"AAAAAH///hs=")</f>
        <v>#REF!</v>
      </c>
      <c r="AC418" t="e">
        <f>IF(#REF!,"AAAAAH///hw=",0)</f>
        <v>#REF!</v>
      </c>
      <c r="AD418" t="e">
        <f>AND(#REF!,"AAAAAH///h0=")</f>
        <v>#REF!</v>
      </c>
      <c r="AE418" t="e">
        <f>AND(#REF!,"AAAAAH///h4=")</f>
        <v>#REF!</v>
      </c>
      <c r="AF418" t="e">
        <f>AND(#REF!,"AAAAAH///h8=")</f>
        <v>#REF!</v>
      </c>
      <c r="AG418" t="e">
        <f>AND(#REF!,"AAAAAH///iA=")</f>
        <v>#REF!</v>
      </c>
      <c r="AH418" t="e">
        <f>AND(#REF!,"AAAAAH///iE=")</f>
        <v>#REF!</v>
      </c>
      <c r="AI418" t="e">
        <f>AND(#REF!,"AAAAAH///iI=")</f>
        <v>#REF!</v>
      </c>
      <c r="AJ418" t="e">
        <f>AND(#REF!,"AAAAAH///iM=")</f>
        <v>#REF!</v>
      </c>
      <c r="AK418" t="e">
        <f>AND(#REF!,"AAAAAH///iQ=")</f>
        <v>#REF!</v>
      </c>
      <c r="AL418" t="e">
        <f>AND(#REF!,"AAAAAH///iU=")</f>
        <v>#REF!</v>
      </c>
      <c r="AM418" t="e">
        <f>AND(#REF!,"AAAAAH///iY=")</f>
        <v>#REF!</v>
      </c>
      <c r="AN418" t="e">
        <f>IF(#REF!,"AAAAAH///ic=",0)</f>
        <v>#REF!</v>
      </c>
      <c r="AO418" t="e">
        <f>AND(#REF!,"AAAAAH///ig=")</f>
        <v>#REF!</v>
      </c>
      <c r="AP418" t="e">
        <f>AND(#REF!,"AAAAAH///ik=")</f>
        <v>#REF!</v>
      </c>
      <c r="AQ418" t="e">
        <f>AND(#REF!,"AAAAAH///io=")</f>
        <v>#REF!</v>
      </c>
      <c r="AR418" t="e">
        <f>AND(#REF!,"AAAAAH///is=")</f>
        <v>#REF!</v>
      </c>
      <c r="AS418" t="e">
        <f>AND(#REF!,"AAAAAH///iw=")</f>
        <v>#REF!</v>
      </c>
      <c r="AT418" t="e">
        <f>AND(#REF!,"AAAAAH///i0=")</f>
        <v>#REF!</v>
      </c>
      <c r="AU418" t="e">
        <f>AND(#REF!,"AAAAAH///i4=")</f>
        <v>#REF!</v>
      </c>
      <c r="AV418" t="e">
        <f>AND(#REF!,"AAAAAH///i8=")</f>
        <v>#REF!</v>
      </c>
      <c r="AW418" t="e">
        <f>AND(#REF!,"AAAAAH///jA=")</f>
        <v>#REF!</v>
      </c>
      <c r="AX418" t="e">
        <f>AND(#REF!,"AAAAAH///jE=")</f>
        <v>#REF!</v>
      </c>
      <c r="AY418" t="e">
        <f>IF(#REF!,"AAAAAH///jI=",0)</f>
        <v>#REF!</v>
      </c>
      <c r="AZ418" t="e">
        <f>AND(#REF!,"AAAAAH///jM=")</f>
        <v>#REF!</v>
      </c>
      <c r="BA418" t="e">
        <f>AND(#REF!,"AAAAAH///jQ=")</f>
        <v>#REF!</v>
      </c>
      <c r="BB418" t="e">
        <f>AND(#REF!,"AAAAAH///jU=")</f>
        <v>#REF!</v>
      </c>
      <c r="BC418" t="e">
        <f>AND(#REF!,"AAAAAH///jY=")</f>
        <v>#REF!</v>
      </c>
      <c r="BD418" t="e">
        <f>AND(#REF!,"AAAAAH///jc=")</f>
        <v>#REF!</v>
      </c>
      <c r="BE418" t="e">
        <f>AND(#REF!,"AAAAAH///jg=")</f>
        <v>#REF!</v>
      </c>
      <c r="BF418" t="e">
        <f>AND(#REF!,"AAAAAH///jk=")</f>
        <v>#REF!</v>
      </c>
      <c r="BG418" t="e">
        <f>AND(#REF!,"AAAAAH///jo=")</f>
        <v>#REF!</v>
      </c>
      <c r="BH418" t="e">
        <f>AND(#REF!,"AAAAAH///js=")</f>
        <v>#REF!</v>
      </c>
      <c r="BI418" t="e">
        <f>AND(#REF!,"AAAAAH///jw=")</f>
        <v>#REF!</v>
      </c>
      <c r="BJ418" t="e">
        <f>IF(#REF!,"AAAAAH///j0=",0)</f>
        <v>#REF!</v>
      </c>
      <c r="BK418" t="e">
        <f>AND(#REF!,"AAAAAH///j4=")</f>
        <v>#REF!</v>
      </c>
      <c r="BL418" t="e">
        <f>AND(#REF!,"AAAAAH///j8=")</f>
        <v>#REF!</v>
      </c>
      <c r="BM418" t="e">
        <f>AND(#REF!,"AAAAAH///kA=")</f>
        <v>#REF!</v>
      </c>
      <c r="BN418" t="e">
        <f>AND(#REF!,"AAAAAH///kE=")</f>
        <v>#REF!</v>
      </c>
      <c r="BO418" t="e">
        <f>AND(#REF!,"AAAAAH///kI=")</f>
        <v>#REF!</v>
      </c>
      <c r="BP418" t="e">
        <f>AND(#REF!,"AAAAAH///kM=")</f>
        <v>#REF!</v>
      </c>
      <c r="BQ418" t="e">
        <f>AND(#REF!,"AAAAAH///kQ=")</f>
        <v>#REF!</v>
      </c>
      <c r="BR418" t="e">
        <f>AND(#REF!,"AAAAAH///kU=")</f>
        <v>#REF!</v>
      </c>
      <c r="BS418" t="e">
        <f>AND(#REF!,"AAAAAH///kY=")</f>
        <v>#REF!</v>
      </c>
      <c r="BT418" t="e">
        <f>AND(#REF!,"AAAAAH///kc=")</f>
        <v>#REF!</v>
      </c>
      <c r="BU418" t="e">
        <f>IF(#REF!,"AAAAAH///kg=",0)</f>
        <v>#REF!</v>
      </c>
      <c r="BV418" t="e">
        <f>AND(#REF!,"AAAAAH///kk=")</f>
        <v>#REF!</v>
      </c>
      <c r="BW418" t="e">
        <f>AND(#REF!,"AAAAAH///ko=")</f>
        <v>#REF!</v>
      </c>
      <c r="BX418" t="e">
        <f>AND(#REF!,"AAAAAH///ks=")</f>
        <v>#REF!</v>
      </c>
      <c r="BY418" t="e">
        <f>AND(#REF!,"AAAAAH///kw=")</f>
        <v>#REF!</v>
      </c>
      <c r="BZ418" t="e">
        <f>AND(#REF!,"AAAAAH///k0=")</f>
        <v>#REF!</v>
      </c>
      <c r="CA418" t="e">
        <f>AND(#REF!,"AAAAAH///k4=")</f>
        <v>#REF!</v>
      </c>
      <c r="CB418" t="e">
        <f>AND(#REF!,"AAAAAH///k8=")</f>
        <v>#REF!</v>
      </c>
      <c r="CC418" t="e">
        <f>AND(#REF!,"AAAAAH///lA=")</f>
        <v>#REF!</v>
      </c>
      <c r="CD418" t="e">
        <f>AND(#REF!,"AAAAAH///lE=")</f>
        <v>#REF!</v>
      </c>
      <c r="CE418" t="e">
        <f>AND(#REF!,"AAAAAH///lI=")</f>
        <v>#REF!</v>
      </c>
      <c r="CF418" t="e">
        <f>IF(#REF!,"AAAAAH///lM=",0)</f>
        <v>#REF!</v>
      </c>
      <c r="CG418" t="e">
        <f>AND(#REF!,"AAAAAH///lQ=")</f>
        <v>#REF!</v>
      </c>
      <c r="CH418" t="e">
        <f>AND(#REF!,"AAAAAH///lU=")</f>
        <v>#REF!</v>
      </c>
      <c r="CI418" t="e">
        <f>AND(#REF!,"AAAAAH///lY=")</f>
        <v>#REF!</v>
      </c>
      <c r="CJ418" t="e">
        <f>AND(#REF!,"AAAAAH///lc=")</f>
        <v>#REF!</v>
      </c>
      <c r="CK418" t="e">
        <f>AND(#REF!,"AAAAAH///lg=")</f>
        <v>#REF!</v>
      </c>
      <c r="CL418" t="e">
        <f>AND(#REF!,"AAAAAH///lk=")</f>
        <v>#REF!</v>
      </c>
      <c r="CM418" t="e">
        <f>AND(#REF!,"AAAAAH///lo=")</f>
        <v>#REF!</v>
      </c>
      <c r="CN418" t="e">
        <f>AND(#REF!,"AAAAAH///ls=")</f>
        <v>#REF!</v>
      </c>
      <c r="CO418" t="e">
        <f>AND(#REF!,"AAAAAH///lw=")</f>
        <v>#REF!</v>
      </c>
      <c r="CP418" t="e">
        <f>AND(#REF!,"AAAAAH///l0=")</f>
        <v>#REF!</v>
      </c>
      <c r="CQ418" t="e">
        <f>IF(#REF!,"AAAAAH///l4=",0)</f>
        <v>#REF!</v>
      </c>
      <c r="CR418" t="e">
        <f>AND(#REF!,"AAAAAH///l8=")</f>
        <v>#REF!</v>
      </c>
      <c r="CS418" t="e">
        <f>AND(#REF!,"AAAAAH///mA=")</f>
        <v>#REF!</v>
      </c>
      <c r="CT418" t="e">
        <f>AND(#REF!,"AAAAAH///mE=")</f>
        <v>#REF!</v>
      </c>
      <c r="CU418" t="e">
        <f>AND(#REF!,"AAAAAH///mI=")</f>
        <v>#REF!</v>
      </c>
      <c r="CV418" t="e">
        <f>AND(#REF!,"AAAAAH///mM=")</f>
        <v>#REF!</v>
      </c>
      <c r="CW418" t="e">
        <f>AND(#REF!,"AAAAAH///mQ=")</f>
        <v>#REF!</v>
      </c>
      <c r="CX418" t="e">
        <f>AND(#REF!,"AAAAAH///mU=")</f>
        <v>#REF!</v>
      </c>
      <c r="CY418" t="e">
        <f>AND(#REF!,"AAAAAH///mY=")</f>
        <v>#REF!</v>
      </c>
      <c r="CZ418" t="e">
        <f>AND(#REF!,"AAAAAH///mc=")</f>
        <v>#REF!</v>
      </c>
      <c r="DA418" t="e">
        <f>AND(#REF!,"AAAAAH///mg=")</f>
        <v>#REF!</v>
      </c>
      <c r="DB418" t="e">
        <f>IF(#REF!,"AAAAAH///mk=",0)</f>
        <v>#REF!</v>
      </c>
      <c r="DC418" t="e">
        <f>AND(#REF!,"AAAAAH///mo=")</f>
        <v>#REF!</v>
      </c>
      <c r="DD418" t="e">
        <f>AND(#REF!,"AAAAAH///ms=")</f>
        <v>#REF!</v>
      </c>
      <c r="DE418" t="e">
        <f>AND(#REF!,"AAAAAH///mw=")</f>
        <v>#REF!</v>
      </c>
      <c r="DF418" t="e">
        <f>AND(#REF!,"AAAAAH///m0=")</f>
        <v>#REF!</v>
      </c>
      <c r="DG418" t="e">
        <f>AND(#REF!,"AAAAAH///m4=")</f>
        <v>#REF!</v>
      </c>
      <c r="DH418" t="e">
        <f>AND(#REF!,"AAAAAH///m8=")</f>
        <v>#REF!</v>
      </c>
      <c r="DI418" t="e">
        <f>AND(#REF!,"AAAAAH///nA=")</f>
        <v>#REF!</v>
      </c>
      <c r="DJ418" t="e">
        <f>AND(#REF!,"AAAAAH///nE=")</f>
        <v>#REF!</v>
      </c>
      <c r="DK418" t="e">
        <f>AND(#REF!,"AAAAAH///nI=")</f>
        <v>#REF!</v>
      </c>
      <c r="DL418" t="e">
        <f>AND(#REF!,"AAAAAH///nM=")</f>
        <v>#REF!</v>
      </c>
      <c r="DM418" t="e">
        <f>IF(#REF!,"AAAAAH///nQ=",0)</f>
        <v>#REF!</v>
      </c>
      <c r="DN418" t="e">
        <f>AND(#REF!,"AAAAAH///nU=")</f>
        <v>#REF!</v>
      </c>
      <c r="DO418" t="e">
        <f>AND(#REF!,"AAAAAH///nY=")</f>
        <v>#REF!</v>
      </c>
      <c r="DP418" t="e">
        <f>AND(#REF!,"AAAAAH///nc=")</f>
        <v>#REF!</v>
      </c>
      <c r="DQ418" t="e">
        <f>AND(#REF!,"AAAAAH///ng=")</f>
        <v>#REF!</v>
      </c>
      <c r="DR418" t="e">
        <f>AND(#REF!,"AAAAAH///nk=")</f>
        <v>#REF!</v>
      </c>
      <c r="DS418" t="e">
        <f>AND(#REF!,"AAAAAH///no=")</f>
        <v>#REF!</v>
      </c>
      <c r="DT418" t="e">
        <f>AND(#REF!,"AAAAAH///ns=")</f>
        <v>#REF!</v>
      </c>
      <c r="DU418" t="e">
        <f>AND(#REF!,"AAAAAH///nw=")</f>
        <v>#REF!</v>
      </c>
      <c r="DV418" t="e">
        <f>AND(#REF!,"AAAAAH///n0=")</f>
        <v>#REF!</v>
      </c>
      <c r="DW418" t="e">
        <f>AND(#REF!,"AAAAAH///n4=")</f>
        <v>#REF!</v>
      </c>
      <c r="DX418" t="e">
        <f>IF(#REF!,"AAAAAH///n8=",0)</f>
        <v>#REF!</v>
      </c>
      <c r="DY418" t="e">
        <f>AND(#REF!,"AAAAAH///oA=")</f>
        <v>#REF!</v>
      </c>
      <c r="DZ418" t="e">
        <f>AND(#REF!,"AAAAAH///oE=")</f>
        <v>#REF!</v>
      </c>
      <c r="EA418" t="e">
        <f>AND(#REF!,"AAAAAH///oI=")</f>
        <v>#REF!</v>
      </c>
      <c r="EB418" t="e">
        <f>AND(#REF!,"AAAAAH///oM=")</f>
        <v>#REF!</v>
      </c>
      <c r="EC418" t="e">
        <f>AND(#REF!,"AAAAAH///oQ=")</f>
        <v>#REF!</v>
      </c>
      <c r="ED418" t="e">
        <f>AND(#REF!,"AAAAAH///oU=")</f>
        <v>#REF!</v>
      </c>
      <c r="EE418" t="e">
        <f>AND(#REF!,"AAAAAH///oY=")</f>
        <v>#REF!</v>
      </c>
      <c r="EF418" t="e">
        <f>AND(#REF!,"AAAAAH///oc=")</f>
        <v>#REF!</v>
      </c>
      <c r="EG418" t="e">
        <f>AND(#REF!,"AAAAAH///og=")</f>
        <v>#REF!</v>
      </c>
      <c r="EH418" t="e">
        <f>AND(#REF!,"AAAAAH///ok=")</f>
        <v>#REF!</v>
      </c>
      <c r="EI418" t="e">
        <f>IF(#REF!,"AAAAAH///oo=",0)</f>
        <v>#REF!</v>
      </c>
      <c r="EJ418" t="e">
        <f>AND(#REF!,"AAAAAH///os=")</f>
        <v>#REF!</v>
      </c>
      <c r="EK418" t="e">
        <f>AND(#REF!,"AAAAAH///ow=")</f>
        <v>#REF!</v>
      </c>
      <c r="EL418" t="e">
        <f>AND(#REF!,"AAAAAH///o0=")</f>
        <v>#REF!</v>
      </c>
      <c r="EM418" t="e">
        <f>AND(#REF!,"AAAAAH///o4=")</f>
        <v>#REF!</v>
      </c>
      <c r="EN418" t="e">
        <f>AND(#REF!,"AAAAAH///o8=")</f>
        <v>#REF!</v>
      </c>
      <c r="EO418" t="e">
        <f>AND(#REF!,"AAAAAH///pA=")</f>
        <v>#REF!</v>
      </c>
      <c r="EP418" t="e">
        <f>AND(#REF!,"AAAAAH///pE=")</f>
        <v>#REF!</v>
      </c>
      <c r="EQ418" t="e">
        <f>AND(#REF!,"AAAAAH///pI=")</f>
        <v>#REF!</v>
      </c>
      <c r="ER418" t="e">
        <f>AND(#REF!,"AAAAAH///pM=")</f>
        <v>#REF!</v>
      </c>
      <c r="ES418" t="e">
        <f>AND(#REF!,"AAAAAH///pQ=")</f>
        <v>#REF!</v>
      </c>
      <c r="ET418" t="e">
        <f>IF(#REF!,"AAAAAH///pU=",0)</f>
        <v>#REF!</v>
      </c>
      <c r="EU418" t="e">
        <f>AND(#REF!,"AAAAAH///pY=")</f>
        <v>#REF!</v>
      </c>
      <c r="EV418" t="e">
        <f>AND(#REF!,"AAAAAH///pc=")</f>
        <v>#REF!</v>
      </c>
      <c r="EW418" t="e">
        <f>AND(#REF!,"AAAAAH///pg=")</f>
        <v>#REF!</v>
      </c>
      <c r="EX418" t="e">
        <f>AND(#REF!,"AAAAAH///pk=")</f>
        <v>#REF!</v>
      </c>
      <c r="EY418" t="e">
        <f>AND(#REF!,"AAAAAH///po=")</f>
        <v>#REF!</v>
      </c>
      <c r="EZ418" t="e">
        <f>AND(#REF!,"AAAAAH///ps=")</f>
        <v>#REF!</v>
      </c>
      <c r="FA418" t="e">
        <f>AND(#REF!,"AAAAAH///pw=")</f>
        <v>#REF!</v>
      </c>
      <c r="FB418" t="e">
        <f>AND(#REF!,"AAAAAH///p0=")</f>
        <v>#REF!</v>
      </c>
      <c r="FC418" t="e">
        <f>AND(#REF!,"AAAAAH///p4=")</f>
        <v>#REF!</v>
      </c>
      <c r="FD418" t="e">
        <f>AND(#REF!,"AAAAAH///p8=")</f>
        <v>#REF!</v>
      </c>
      <c r="FE418" t="e">
        <f>IF(#REF!,"AAAAAH///qA=",0)</f>
        <v>#REF!</v>
      </c>
      <c r="FF418" t="e">
        <f>AND(#REF!,"AAAAAH///qE=")</f>
        <v>#REF!</v>
      </c>
      <c r="FG418" t="e">
        <f>AND(#REF!,"AAAAAH///qI=")</f>
        <v>#REF!</v>
      </c>
      <c r="FH418" t="e">
        <f>AND(#REF!,"AAAAAH///qM=")</f>
        <v>#REF!</v>
      </c>
      <c r="FI418" t="e">
        <f>AND(#REF!,"AAAAAH///qQ=")</f>
        <v>#REF!</v>
      </c>
      <c r="FJ418" t="e">
        <f>AND(#REF!,"AAAAAH///qU=")</f>
        <v>#REF!</v>
      </c>
      <c r="FK418" t="e">
        <f>AND(#REF!,"AAAAAH///qY=")</f>
        <v>#REF!</v>
      </c>
      <c r="FL418" t="e">
        <f>AND(#REF!,"AAAAAH///qc=")</f>
        <v>#REF!</v>
      </c>
      <c r="FM418" t="e">
        <f>AND(#REF!,"AAAAAH///qg=")</f>
        <v>#REF!</v>
      </c>
      <c r="FN418" t="e">
        <f>AND(#REF!,"AAAAAH///qk=")</f>
        <v>#REF!</v>
      </c>
      <c r="FO418" t="e">
        <f>AND(#REF!,"AAAAAH///qo=")</f>
        <v>#REF!</v>
      </c>
      <c r="FP418" t="e">
        <f>IF(#REF!,"AAAAAH///qs=",0)</f>
        <v>#REF!</v>
      </c>
      <c r="FQ418" t="e">
        <f>AND(#REF!,"AAAAAH///qw=")</f>
        <v>#REF!</v>
      </c>
      <c r="FR418" t="e">
        <f>AND(#REF!,"AAAAAH///q0=")</f>
        <v>#REF!</v>
      </c>
      <c r="FS418" t="e">
        <f>AND(#REF!,"AAAAAH///q4=")</f>
        <v>#REF!</v>
      </c>
      <c r="FT418" t="e">
        <f>AND(#REF!,"AAAAAH///q8=")</f>
        <v>#REF!</v>
      </c>
      <c r="FU418" t="e">
        <f>AND(#REF!,"AAAAAH///rA=")</f>
        <v>#REF!</v>
      </c>
      <c r="FV418" t="e">
        <f>AND(#REF!,"AAAAAH///rE=")</f>
        <v>#REF!</v>
      </c>
      <c r="FW418" t="e">
        <f>AND(#REF!,"AAAAAH///rI=")</f>
        <v>#REF!</v>
      </c>
      <c r="FX418" t="e">
        <f>AND(#REF!,"AAAAAH///rM=")</f>
        <v>#REF!</v>
      </c>
      <c r="FY418" t="e">
        <f>AND(#REF!,"AAAAAH///rQ=")</f>
        <v>#REF!</v>
      </c>
      <c r="FZ418" t="e">
        <f>AND(#REF!,"AAAAAH///rU=")</f>
        <v>#REF!</v>
      </c>
      <c r="GA418" t="e">
        <f>IF(#REF!,"AAAAAH///rY=",0)</f>
        <v>#REF!</v>
      </c>
      <c r="GB418" t="e">
        <f>AND(#REF!,"AAAAAH///rc=")</f>
        <v>#REF!</v>
      </c>
      <c r="GC418" t="e">
        <f>AND(#REF!,"AAAAAH///rg=")</f>
        <v>#REF!</v>
      </c>
      <c r="GD418" t="e">
        <f>AND(#REF!,"AAAAAH///rk=")</f>
        <v>#REF!</v>
      </c>
      <c r="GE418" t="e">
        <f>AND(#REF!,"AAAAAH///ro=")</f>
        <v>#REF!</v>
      </c>
      <c r="GF418" t="e">
        <f>AND(#REF!,"AAAAAH///rs=")</f>
        <v>#REF!</v>
      </c>
      <c r="GG418" t="e">
        <f>AND(#REF!,"AAAAAH///rw=")</f>
        <v>#REF!</v>
      </c>
      <c r="GH418" t="e">
        <f>AND(#REF!,"AAAAAH///r0=")</f>
        <v>#REF!</v>
      </c>
      <c r="GI418" t="e">
        <f>AND(#REF!,"AAAAAH///r4=")</f>
        <v>#REF!</v>
      </c>
      <c r="GJ418" t="e">
        <f>AND(#REF!,"AAAAAH///r8=")</f>
        <v>#REF!</v>
      </c>
      <c r="GK418" t="e">
        <f>AND(#REF!,"AAAAAH///sA=")</f>
        <v>#REF!</v>
      </c>
      <c r="GL418" t="e">
        <f>IF(#REF!,"AAAAAH///sE=",0)</f>
        <v>#REF!</v>
      </c>
      <c r="GM418" t="e">
        <f>AND(#REF!,"AAAAAH///sI=")</f>
        <v>#REF!</v>
      </c>
      <c r="GN418" t="e">
        <f>AND(#REF!,"AAAAAH///sM=")</f>
        <v>#REF!</v>
      </c>
      <c r="GO418" t="e">
        <f>AND(#REF!,"AAAAAH///sQ=")</f>
        <v>#REF!</v>
      </c>
      <c r="GP418" t="e">
        <f>AND(#REF!,"AAAAAH///sU=")</f>
        <v>#REF!</v>
      </c>
      <c r="GQ418" t="e">
        <f>AND(#REF!,"AAAAAH///sY=")</f>
        <v>#REF!</v>
      </c>
      <c r="GR418" t="e">
        <f>AND(#REF!,"AAAAAH///sc=")</f>
        <v>#REF!</v>
      </c>
      <c r="GS418" t="e">
        <f>AND(#REF!,"AAAAAH///sg=")</f>
        <v>#REF!</v>
      </c>
      <c r="GT418" t="e">
        <f>AND(#REF!,"AAAAAH///sk=")</f>
        <v>#REF!</v>
      </c>
      <c r="GU418" t="e">
        <f>AND(#REF!,"AAAAAH///so=")</f>
        <v>#REF!</v>
      </c>
      <c r="GV418" t="e">
        <f>AND(#REF!,"AAAAAH///ss=")</f>
        <v>#REF!</v>
      </c>
      <c r="GW418" t="e">
        <f>IF(#REF!,"AAAAAH///sw=",0)</f>
        <v>#REF!</v>
      </c>
      <c r="GX418" t="e">
        <f>AND(#REF!,"AAAAAH///s0=")</f>
        <v>#REF!</v>
      </c>
      <c r="GY418" t="e">
        <f>AND(#REF!,"AAAAAH///s4=")</f>
        <v>#REF!</v>
      </c>
      <c r="GZ418" t="e">
        <f>AND(#REF!,"AAAAAH///s8=")</f>
        <v>#REF!</v>
      </c>
      <c r="HA418" t="e">
        <f>AND(#REF!,"AAAAAH///tA=")</f>
        <v>#REF!</v>
      </c>
      <c r="HB418" t="e">
        <f>AND(#REF!,"AAAAAH///tE=")</f>
        <v>#REF!</v>
      </c>
      <c r="HC418" t="e">
        <f>AND(#REF!,"AAAAAH///tI=")</f>
        <v>#REF!</v>
      </c>
      <c r="HD418" t="e">
        <f>AND(#REF!,"AAAAAH///tM=")</f>
        <v>#REF!</v>
      </c>
      <c r="HE418" t="e">
        <f>AND(#REF!,"AAAAAH///tQ=")</f>
        <v>#REF!</v>
      </c>
      <c r="HF418" t="e">
        <f>AND(#REF!,"AAAAAH///tU=")</f>
        <v>#REF!</v>
      </c>
      <c r="HG418" t="e">
        <f>AND(#REF!,"AAAAAH///tY=")</f>
        <v>#REF!</v>
      </c>
      <c r="HH418" t="e">
        <f>IF(#REF!,"AAAAAH///tc=",0)</f>
        <v>#REF!</v>
      </c>
      <c r="HI418" t="e">
        <f>AND(#REF!,"AAAAAH///tg=")</f>
        <v>#REF!</v>
      </c>
      <c r="HJ418" t="e">
        <f>AND(#REF!,"AAAAAH///tk=")</f>
        <v>#REF!</v>
      </c>
      <c r="HK418" t="e">
        <f>AND(#REF!,"AAAAAH///to=")</f>
        <v>#REF!</v>
      </c>
      <c r="HL418" t="e">
        <f>AND(#REF!,"AAAAAH///ts=")</f>
        <v>#REF!</v>
      </c>
      <c r="HM418" t="e">
        <f>AND(#REF!,"AAAAAH///tw=")</f>
        <v>#REF!</v>
      </c>
      <c r="HN418" t="e">
        <f>AND(#REF!,"AAAAAH///t0=")</f>
        <v>#REF!</v>
      </c>
      <c r="HO418" t="e">
        <f>AND(#REF!,"AAAAAH///t4=")</f>
        <v>#REF!</v>
      </c>
      <c r="HP418" t="e">
        <f>AND(#REF!,"AAAAAH///t8=")</f>
        <v>#REF!</v>
      </c>
      <c r="HQ418" t="e">
        <f>AND(#REF!,"AAAAAH///uA=")</f>
        <v>#REF!</v>
      </c>
      <c r="HR418" t="e">
        <f>AND(#REF!,"AAAAAH///uE=")</f>
        <v>#REF!</v>
      </c>
      <c r="HS418" t="e">
        <f>IF(#REF!,"AAAAAH///uI=",0)</f>
        <v>#REF!</v>
      </c>
      <c r="HT418" t="e">
        <f>AND(#REF!,"AAAAAH///uM=")</f>
        <v>#REF!</v>
      </c>
      <c r="HU418" t="e">
        <f>AND(#REF!,"AAAAAH///uQ=")</f>
        <v>#REF!</v>
      </c>
      <c r="HV418" t="e">
        <f>AND(#REF!,"AAAAAH///uU=")</f>
        <v>#REF!</v>
      </c>
      <c r="HW418" t="e">
        <f>AND(#REF!,"AAAAAH///uY=")</f>
        <v>#REF!</v>
      </c>
      <c r="HX418" t="e">
        <f>AND(#REF!,"AAAAAH///uc=")</f>
        <v>#REF!</v>
      </c>
      <c r="HY418" t="e">
        <f>AND(#REF!,"AAAAAH///ug=")</f>
        <v>#REF!</v>
      </c>
      <c r="HZ418" t="e">
        <f>AND(#REF!,"AAAAAH///uk=")</f>
        <v>#REF!</v>
      </c>
      <c r="IA418" t="e">
        <f>AND(#REF!,"AAAAAH///uo=")</f>
        <v>#REF!</v>
      </c>
      <c r="IB418" t="e">
        <f>AND(#REF!,"AAAAAH///us=")</f>
        <v>#REF!</v>
      </c>
      <c r="IC418" t="e">
        <f>AND(#REF!,"AAAAAH///uw=")</f>
        <v>#REF!</v>
      </c>
      <c r="ID418" t="e">
        <f>IF(#REF!,"AAAAAH///u0=",0)</f>
        <v>#REF!</v>
      </c>
      <c r="IE418" t="e">
        <f>AND(#REF!,"AAAAAH///u4=")</f>
        <v>#REF!</v>
      </c>
      <c r="IF418" t="e">
        <f>AND(#REF!,"AAAAAH///u8=")</f>
        <v>#REF!</v>
      </c>
      <c r="IG418" t="e">
        <f>AND(#REF!,"AAAAAH///vA=")</f>
        <v>#REF!</v>
      </c>
      <c r="IH418" t="e">
        <f>AND(#REF!,"AAAAAH///vE=")</f>
        <v>#REF!</v>
      </c>
      <c r="II418" t="e">
        <f>AND(#REF!,"AAAAAH///vI=")</f>
        <v>#REF!</v>
      </c>
      <c r="IJ418" t="e">
        <f>AND(#REF!,"AAAAAH///vM=")</f>
        <v>#REF!</v>
      </c>
      <c r="IK418" t="e">
        <f>AND(#REF!,"AAAAAH///vQ=")</f>
        <v>#REF!</v>
      </c>
      <c r="IL418" t="e">
        <f>AND(#REF!,"AAAAAH///vU=")</f>
        <v>#REF!</v>
      </c>
      <c r="IM418" t="e">
        <f>AND(#REF!,"AAAAAH///vY=")</f>
        <v>#REF!</v>
      </c>
      <c r="IN418" t="e">
        <f>AND(#REF!,"AAAAAH///vc=")</f>
        <v>#REF!</v>
      </c>
      <c r="IO418" t="e">
        <f>IF(#REF!,"AAAAAH///vg=",0)</f>
        <v>#REF!</v>
      </c>
      <c r="IP418" t="e">
        <f>AND(#REF!,"AAAAAH///vk=")</f>
        <v>#REF!</v>
      </c>
      <c r="IQ418" t="e">
        <f>AND(#REF!,"AAAAAH///vo=")</f>
        <v>#REF!</v>
      </c>
      <c r="IR418" t="e">
        <f>AND(#REF!,"AAAAAH///vs=")</f>
        <v>#REF!</v>
      </c>
      <c r="IS418" t="e">
        <f>AND(#REF!,"AAAAAH///vw=")</f>
        <v>#REF!</v>
      </c>
      <c r="IT418" t="e">
        <f>AND(#REF!,"AAAAAH///v0=")</f>
        <v>#REF!</v>
      </c>
      <c r="IU418" t="e">
        <f>AND(#REF!,"AAAAAH///v4=")</f>
        <v>#REF!</v>
      </c>
      <c r="IV418" t="e">
        <f>AND(#REF!,"AAAAAH///v8=")</f>
        <v>#REF!</v>
      </c>
    </row>
    <row r="419" spans="1:256" x14ac:dyDescent="0.25">
      <c r="A419" t="e">
        <f>AND(#REF!,"AAAAAH8yXwA=")</f>
        <v>#REF!</v>
      </c>
      <c r="B419" t="e">
        <f>AND(#REF!,"AAAAAH8yXwE=")</f>
        <v>#REF!</v>
      </c>
      <c r="C419" t="e">
        <f>AND(#REF!,"AAAAAH8yXwI=")</f>
        <v>#REF!</v>
      </c>
      <c r="D419" t="e">
        <f>IF(#REF!,"AAAAAH8yXwM=",0)</f>
        <v>#REF!</v>
      </c>
      <c r="E419" t="e">
        <f>AND(#REF!,"AAAAAH8yXwQ=")</f>
        <v>#REF!</v>
      </c>
      <c r="F419" t="e">
        <f>AND(#REF!,"AAAAAH8yXwU=")</f>
        <v>#REF!</v>
      </c>
      <c r="G419" t="e">
        <f>AND(#REF!,"AAAAAH8yXwY=")</f>
        <v>#REF!</v>
      </c>
      <c r="H419" t="e">
        <f>AND(#REF!,"AAAAAH8yXwc=")</f>
        <v>#REF!</v>
      </c>
      <c r="I419" t="e">
        <f>AND(#REF!,"AAAAAH8yXwg=")</f>
        <v>#REF!</v>
      </c>
      <c r="J419" t="e">
        <f>AND(#REF!,"AAAAAH8yXwk=")</f>
        <v>#REF!</v>
      </c>
      <c r="K419" t="e">
        <f>AND(#REF!,"AAAAAH8yXwo=")</f>
        <v>#REF!</v>
      </c>
      <c r="L419" t="e">
        <f>AND(#REF!,"AAAAAH8yXws=")</f>
        <v>#REF!</v>
      </c>
      <c r="M419" t="e">
        <f>AND(#REF!,"AAAAAH8yXww=")</f>
        <v>#REF!</v>
      </c>
      <c r="N419" t="e">
        <f>AND(#REF!,"AAAAAH8yXw0=")</f>
        <v>#REF!</v>
      </c>
      <c r="O419" t="e">
        <f>IF(#REF!,"AAAAAH8yXw4=",0)</f>
        <v>#REF!</v>
      </c>
      <c r="P419" t="e">
        <f>AND(#REF!,"AAAAAH8yXw8=")</f>
        <v>#REF!</v>
      </c>
      <c r="Q419" t="e">
        <f>AND(#REF!,"AAAAAH8yXxA=")</f>
        <v>#REF!</v>
      </c>
      <c r="R419" t="e">
        <f>AND(#REF!,"AAAAAH8yXxE=")</f>
        <v>#REF!</v>
      </c>
      <c r="S419" t="e">
        <f>AND(#REF!,"AAAAAH8yXxI=")</f>
        <v>#REF!</v>
      </c>
      <c r="T419" t="e">
        <f>AND(#REF!,"AAAAAH8yXxM=")</f>
        <v>#REF!</v>
      </c>
      <c r="U419" t="e">
        <f>AND(#REF!,"AAAAAH8yXxQ=")</f>
        <v>#REF!</v>
      </c>
      <c r="V419" t="e">
        <f>AND(#REF!,"AAAAAH8yXxU=")</f>
        <v>#REF!</v>
      </c>
      <c r="W419" t="e">
        <f>AND(#REF!,"AAAAAH8yXxY=")</f>
        <v>#REF!</v>
      </c>
      <c r="X419" t="e">
        <f>AND(#REF!,"AAAAAH8yXxc=")</f>
        <v>#REF!</v>
      </c>
      <c r="Y419" t="e">
        <f>AND(#REF!,"AAAAAH8yXxg=")</f>
        <v>#REF!</v>
      </c>
      <c r="Z419" t="e">
        <f>IF(#REF!,"AAAAAH8yXxk=",0)</f>
        <v>#REF!</v>
      </c>
      <c r="AA419" t="e">
        <f>AND(#REF!,"AAAAAH8yXxo=")</f>
        <v>#REF!</v>
      </c>
      <c r="AB419" t="e">
        <f>AND(#REF!,"AAAAAH8yXxs=")</f>
        <v>#REF!</v>
      </c>
      <c r="AC419" t="e">
        <f>AND(#REF!,"AAAAAH8yXxw=")</f>
        <v>#REF!</v>
      </c>
      <c r="AD419" t="e">
        <f>AND(#REF!,"AAAAAH8yXx0=")</f>
        <v>#REF!</v>
      </c>
      <c r="AE419" t="e">
        <f>AND(#REF!,"AAAAAH8yXx4=")</f>
        <v>#REF!</v>
      </c>
      <c r="AF419" t="e">
        <f>AND(#REF!,"AAAAAH8yXx8=")</f>
        <v>#REF!</v>
      </c>
      <c r="AG419" t="e">
        <f>AND(#REF!,"AAAAAH8yXyA=")</f>
        <v>#REF!</v>
      </c>
      <c r="AH419" t="e">
        <f>AND(#REF!,"AAAAAH8yXyE=")</f>
        <v>#REF!</v>
      </c>
      <c r="AI419" t="e">
        <f>AND(#REF!,"AAAAAH8yXyI=")</f>
        <v>#REF!</v>
      </c>
      <c r="AJ419" t="e">
        <f>AND(#REF!,"AAAAAH8yXyM=")</f>
        <v>#REF!</v>
      </c>
      <c r="AK419" t="e">
        <f>IF(#REF!,"AAAAAH8yXyQ=",0)</f>
        <v>#REF!</v>
      </c>
      <c r="AL419" t="e">
        <f>AND(#REF!,"AAAAAH8yXyU=")</f>
        <v>#REF!</v>
      </c>
      <c r="AM419" t="e">
        <f>AND(#REF!,"AAAAAH8yXyY=")</f>
        <v>#REF!</v>
      </c>
      <c r="AN419" t="e">
        <f>AND(#REF!,"AAAAAH8yXyc=")</f>
        <v>#REF!</v>
      </c>
      <c r="AO419" t="e">
        <f>AND(#REF!,"AAAAAH8yXyg=")</f>
        <v>#REF!</v>
      </c>
      <c r="AP419" t="e">
        <f>AND(#REF!,"AAAAAH8yXyk=")</f>
        <v>#REF!</v>
      </c>
      <c r="AQ419" t="e">
        <f>AND(#REF!,"AAAAAH8yXyo=")</f>
        <v>#REF!</v>
      </c>
      <c r="AR419" t="e">
        <f>AND(#REF!,"AAAAAH8yXys=")</f>
        <v>#REF!</v>
      </c>
      <c r="AS419" t="e">
        <f>AND(#REF!,"AAAAAH8yXyw=")</f>
        <v>#REF!</v>
      </c>
      <c r="AT419" t="e">
        <f>AND(#REF!,"AAAAAH8yXy0=")</f>
        <v>#REF!</v>
      </c>
      <c r="AU419" t="e">
        <f>AND(#REF!,"AAAAAH8yXy4=")</f>
        <v>#REF!</v>
      </c>
      <c r="AV419" t="e">
        <f>IF(#REF!,"AAAAAH8yXy8=",0)</f>
        <v>#REF!</v>
      </c>
      <c r="AW419" t="e">
        <f>AND(#REF!,"AAAAAH8yXzA=")</f>
        <v>#REF!</v>
      </c>
      <c r="AX419" t="e">
        <f>AND(#REF!,"AAAAAH8yXzE=")</f>
        <v>#REF!</v>
      </c>
      <c r="AY419" t="e">
        <f>AND(#REF!,"AAAAAH8yXzI=")</f>
        <v>#REF!</v>
      </c>
      <c r="AZ419" t="e">
        <f>AND(#REF!,"AAAAAH8yXzM=")</f>
        <v>#REF!</v>
      </c>
      <c r="BA419" t="e">
        <f>AND(#REF!,"AAAAAH8yXzQ=")</f>
        <v>#REF!</v>
      </c>
      <c r="BB419" t="e">
        <f>AND(#REF!,"AAAAAH8yXzU=")</f>
        <v>#REF!</v>
      </c>
      <c r="BC419" t="e">
        <f>AND(#REF!,"AAAAAH8yXzY=")</f>
        <v>#REF!</v>
      </c>
      <c r="BD419" t="e">
        <f>AND(#REF!,"AAAAAH8yXzc=")</f>
        <v>#REF!</v>
      </c>
      <c r="BE419" t="e">
        <f>AND(#REF!,"AAAAAH8yXzg=")</f>
        <v>#REF!</v>
      </c>
      <c r="BF419" t="e">
        <f>AND(#REF!,"AAAAAH8yXzk=")</f>
        <v>#REF!</v>
      </c>
      <c r="BG419" t="e">
        <f>IF(#REF!,"AAAAAH8yXzo=",0)</f>
        <v>#REF!</v>
      </c>
      <c r="BH419" t="e">
        <f>AND(#REF!,"AAAAAH8yXzs=")</f>
        <v>#REF!</v>
      </c>
      <c r="BI419" t="e">
        <f>AND(#REF!,"AAAAAH8yXzw=")</f>
        <v>#REF!</v>
      </c>
      <c r="BJ419" t="e">
        <f>AND(#REF!,"AAAAAH8yXz0=")</f>
        <v>#REF!</v>
      </c>
      <c r="BK419" t="e">
        <f>AND(#REF!,"AAAAAH8yXz4=")</f>
        <v>#REF!</v>
      </c>
      <c r="BL419" t="e">
        <f>AND(#REF!,"AAAAAH8yXz8=")</f>
        <v>#REF!</v>
      </c>
      <c r="BM419" t="e">
        <f>AND(#REF!,"AAAAAH8yX0A=")</f>
        <v>#REF!</v>
      </c>
      <c r="BN419" t="e">
        <f>AND(#REF!,"AAAAAH8yX0E=")</f>
        <v>#REF!</v>
      </c>
      <c r="BO419" t="e">
        <f>AND(#REF!,"AAAAAH8yX0I=")</f>
        <v>#REF!</v>
      </c>
      <c r="BP419" t="e">
        <f>AND(#REF!,"AAAAAH8yX0M=")</f>
        <v>#REF!</v>
      </c>
      <c r="BQ419" t="e">
        <f>AND(#REF!,"AAAAAH8yX0Q=")</f>
        <v>#REF!</v>
      </c>
      <c r="BR419" t="e">
        <f>IF(#REF!,"AAAAAH8yX0U=",0)</f>
        <v>#REF!</v>
      </c>
      <c r="BS419" t="e">
        <f>AND(#REF!,"AAAAAH8yX0Y=")</f>
        <v>#REF!</v>
      </c>
      <c r="BT419" t="e">
        <f>AND(#REF!,"AAAAAH8yX0c=")</f>
        <v>#REF!</v>
      </c>
      <c r="BU419" t="e">
        <f>AND(#REF!,"AAAAAH8yX0g=")</f>
        <v>#REF!</v>
      </c>
      <c r="BV419" t="e">
        <f>AND(#REF!,"AAAAAH8yX0k=")</f>
        <v>#REF!</v>
      </c>
      <c r="BW419" t="e">
        <f>AND(#REF!,"AAAAAH8yX0o=")</f>
        <v>#REF!</v>
      </c>
      <c r="BX419" t="e">
        <f>AND(#REF!,"AAAAAH8yX0s=")</f>
        <v>#REF!</v>
      </c>
      <c r="BY419" t="e">
        <f>AND(#REF!,"AAAAAH8yX0w=")</f>
        <v>#REF!</v>
      </c>
      <c r="BZ419" t="e">
        <f>AND(#REF!,"AAAAAH8yX00=")</f>
        <v>#REF!</v>
      </c>
      <c r="CA419" t="e">
        <f>AND(#REF!,"AAAAAH8yX04=")</f>
        <v>#REF!</v>
      </c>
      <c r="CB419" t="e">
        <f>AND(#REF!,"AAAAAH8yX08=")</f>
        <v>#REF!</v>
      </c>
      <c r="CC419" t="e">
        <f>IF(#REF!,"AAAAAH8yX1A=",0)</f>
        <v>#REF!</v>
      </c>
      <c r="CD419" t="e">
        <f>AND(#REF!,"AAAAAH8yX1E=")</f>
        <v>#REF!</v>
      </c>
      <c r="CE419" t="e">
        <f>AND(#REF!,"AAAAAH8yX1I=")</f>
        <v>#REF!</v>
      </c>
      <c r="CF419" t="e">
        <f>AND(#REF!,"AAAAAH8yX1M=")</f>
        <v>#REF!</v>
      </c>
      <c r="CG419" t="e">
        <f>AND(#REF!,"AAAAAH8yX1Q=")</f>
        <v>#REF!</v>
      </c>
      <c r="CH419" t="e">
        <f>AND(#REF!,"AAAAAH8yX1U=")</f>
        <v>#REF!</v>
      </c>
      <c r="CI419" t="e">
        <f>AND(#REF!,"AAAAAH8yX1Y=")</f>
        <v>#REF!</v>
      </c>
      <c r="CJ419" t="e">
        <f>AND(#REF!,"AAAAAH8yX1c=")</f>
        <v>#REF!</v>
      </c>
      <c r="CK419" t="e">
        <f>AND(#REF!,"AAAAAH8yX1g=")</f>
        <v>#REF!</v>
      </c>
      <c r="CL419" t="e">
        <f>AND(#REF!,"AAAAAH8yX1k=")</f>
        <v>#REF!</v>
      </c>
      <c r="CM419" t="e">
        <f>AND(#REF!,"AAAAAH8yX1o=")</f>
        <v>#REF!</v>
      </c>
      <c r="CN419" t="e">
        <f>IF(#REF!,"AAAAAH8yX1s=",0)</f>
        <v>#REF!</v>
      </c>
      <c r="CO419" t="e">
        <f>AND(#REF!,"AAAAAH8yX1w=")</f>
        <v>#REF!</v>
      </c>
      <c r="CP419" t="e">
        <f>AND(#REF!,"AAAAAH8yX10=")</f>
        <v>#REF!</v>
      </c>
      <c r="CQ419" t="e">
        <f>AND(#REF!,"AAAAAH8yX14=")</f>
        <v>#REF!</v>
      </c>
      <c r="CR419" t="e">
        <f>AND(#REF!,"AAAAAH8yX18=")</f>
        <v>#REF!</v>
      </c>
      <c r="CS419" t="e">
        <f>AND(#REF!,"AAAAAH8yX2A=")</f>
        <v>#REF!</v>
      </c>
      <c r="CT419" t="e">
        <f>AND(#REF!,"AAAAAH8yX2E=")</f>
        <v>#REF!</v>
      </c>
      <c r="CU419" t="e">
        <f>AND(#REF!,"AAAAAH8yX2I=")</f>
        <v>#REF!</v>
      </c>
      <c r="CV419" t="e">
        <f>AND(#REF!,"AAAAAH8yX2M=")</f>
        <v>#REF!</v>
      </c>
      <c r="CW419" t="e">
        <f>AND(#REF!,"AAAAAH8yX2Q=")</f>
        <v>#REF!</v>
      </c>
      <c r="CX419" t="e">
        <f>AND(#REF!,"AAAAAH8yX2U=")</f>
        <v>#REF!</v>
      </c>
      <c r="CY419" t="e">
        <f>IF(#REF!,"AAAAAH8yX2Y=",0)</f>
        <v>#REF!</v>
      </c>
      <c r="CZ419" t="e">
        <f>AND(#REF!,"AAAAAH8yX2c=")</f>
        <v>#REF!</v>
      </c>
      <c r="DA419" t="e">
        <f>AND(#REF!,"AAAAAH8yX2g=")</f>
        <v>#REF!</v>
      </c>
      <c r="DB419" t="e">
        <f>AND(#REF!,"AAAAAH8yX2k=")</f>
        <v>#REF!</v>
      </c>
      <c r="DC419" t="e">
        <f>AND(#REF!,"AAAAAH8yX2o=")</f>
        <v>#REF!</v>
      </c>
      <c r="DD419" t="e">
        <f>AND(#REF!,"AAAAAH8yX2s=")</f>
        <v>#REF!</v>
      </c>
      <c r="DE419" t="e">
        <f>AND(#REF!,"AAAAAH8yX2w=")</f>
        <v>#REF!</v>
      </c>
      <c r="DF419" t="e">
        <f>AND(#REF!,"AAAAAH8yX20=")</f>
        <v>#REF!</v>
      </c>
      <c r="DG419" t="e">
        <f>AND(#REF!,"AAAAAH8yX24=")</f>
        <v>#REF!</v>
      </c>
      <c r="DH419" t="e">
        <f>AND(#REF!,"AAAAAH8yX28=")</f>
        <v>#REF!</v>
      </c>
      <c r="DI419" t="e">
        <f>AND(#REF!,"AAAAAH8yX3A=")</f>
        <v>#REF!</v>
      </c>
      <c r="DJ419" t="e">
        <f>IF(#REF!,"AAAAAH8yX3E=",0)</f>
        <v>#REF!</v>
      </c>
      <c r="DK419" t="e">
        <f>AND(#REF!,"AAAAAH8yX3I=")</f>
        <v>#REF!</v>
      </c>
      <c r="DL419" t="e">
        <f>AND(#REF!,"AAAAAH8yX3M=")</f>
        <v>#REF!</v>
      </c>
      <c r="DM419" t="e">
        <f>AND(#REF!,"AAAAAH8yX3Q=")</f>
        <v>#REF!</v>
      </c>
      <c r="DN419" t="e">
        <f>AND(#REF!,"AAAAAH8yX3U=")</f>
        <v>#REF!</v>
      </c>
      <c r="DO419" t="e">
        <f>AND(#REF!,"AAAAAH8yX3Y=")</f>
        <v>#REF!</v>
      </c>
      <c r="DP419" t="e">
        <f>AND(#REF!,"AAAAAH8yX3c=")</f>
        <v>#REF!</v>
      </c>
      <c r="DQ419" t="e">
        <f>AND(#REF!,"AAAAAH8yX3g=")</f>
        <v>#REF!</v>
      </c>
      <c r="DR419" t="e">
        <f>AND(#REF!,"AAAAAH8yX3k=")</f>
        <v>#REF!</v>
      </c>
      <c r="DS419" t="e">
        <f>AND(#REF!,"AAAAAH8yX3o=")</f>
        <v>#REF!</v>
      </c>
      <c r="DT419" t="e">
        <f>AND(#REF!,"AAAAAH8yX3s=")</f>
        <v>#REF!</v>
      </c>
      <c r="DU419" t="e">
        <f>IF(#REF!,"AAAAAH8yX3w=",0)</f>
        <v>#REF!</v>
      </c>
      <c r="DV419" t="e">
        <f>AND(#REF!,"AAAAAH8yX30=")</f>
        <v>#REF!</v>
      </c>
      <c r="DW419" t="e">
        <f>AND(#REF!,"AAAAAH8yX34=")</f>
        <v>#REF!</v>
      </c>
      <c r="DX419" t="e">
        <f>AND(#REF!,"AAAAAH8yX38=")</f>
        <v>#REF!</v>
      </c>
      <c r="DY419" t="e">
        <f>AND(#REF!,"AAAAAH8yX4A=")</f>
        <v>#REF!</v>
      </c>
      <c r="DZ419" t="e">
        <f>AND(#REF!,"AAAAAH8yX4E=")</f>
        <v>#REF!</v>
      </c>
      <c r="EA419" t="e">
        <f>AND(#REF!,"AAAAAH8yX4I=")</f>
        <v>#REF!</v>
      </c>
      <c r="EB419" t="e">
        <f>AND(#REF!,"AAAAAH8yX4M=")</f>
        <v>#REF!</v>
      </c>
      <c r="EC419" t="e">
        <f>AND(#REF!,"AAAAAH8yX4Q=")</f>
        <v>#REF!</v>
      </c>
      <c r="ED419" t="e">
        <f>AND(#REF!,"AAAAAH8yX4U=")</f>
        <v>#REF!</v>
      </c>
      <c r="EE419" t="e">
        <f>AND(#REF!,"AAAAAH8yX4Y=")</f>
        <v>#REF!</v>
      </c>
      <c r="EF419" t="e">
        <f>IF(#REF!,"AAAAAH8yX4c=",0)</f>
        <v>#REF!</v>
      </c>
      <c r="EG419" t="e">
        <f>AND(#REF!,"AAAAAH8yX4g=")</f>
        <v>#REF!</v>
      </c>
      <c r="EH419" t="e">
        <f>AND(#REF!,"AAAAAH8yX4k=")</f>
        <v>#REF!</v>
      </c>
      <c r="EI419" t="e">
        <f>AND(#REF!,"AAAAAH8yX4o=")</f>
        <v>#REF!</v>
      </c>
      <c r="EJ419" t="e">
        <f>AND(#REF!,"AAAAAH8yX4s=")</f>
        <v>#REF!</v>
      </c>
      <c r="EK419" t="e">
        <f>AND(#REF!,"AAAAAH8yX4w=")</f>
        <v>#REF!</v>
      </c>
      <c r="EL419" t="e">
        <f>AND(#REF!,"AAAAAH8yX40=")</f>
        <v>#REF!</v>
      </c>
      <c r="EM419" t="e">
        <f>AND(#REF!,"AAAAAH8yX44=")</f>
        <v>#REF!</v>
      </c>
      <c r="EN419" t="e">
        <f>AND(#REF!,"AAAAAH8yX48=")</f>
        <v>#REF!</v>
      </c>
      <c r="EO419" t="e">
        <f>AND(#REF!,"AAAAAH8yX5A=")</f>
        <v>#REF!</v>
      </c>
      <c r="EP419" t="e">
        <f>AND(#REF!,"AAAAAH8yX5E=")</f>
        <v>#REF!</v>
      </c>
      <c r="EQ419" t="e">
        <f>IF(#REF!,"AAAAAH8yX5I=",0)</f>
        <v>#REF!</v>
      </c>
      <c r="ER419" t="e">
        <f>AND(#REF!,"AAAAAH8yX5M=")</f>
        <v>#REF!</v>
      </c>
      <c r="ES419" t="e">
        <f>AND(#REF!,"AAAAAH8yX5Q=")</f>
        <v>#REF!</v>
      </c>
      <c r="ET419" t="e">
        <f>AND(#REF!,"AAAAAH8yX5U=")</f>
        <v>#REF!</v>
      </c>
      <c r="EU419" t="e">
        <f>AND(#REF!,"AAAAAH8yX5Y=")</f>
        <v>#REF!</v>
      </c>
      <c r="EV419" t="e">
        <f>AND(#REF!,"AAAAAH8yX5c=")</f>
        <v>#REF!</v>
      </c>
      <c r="EW419" t="e">
        <f>AND(#REF!,"AAAAAH8yX5g=")</f>
        <v>#REF!</v>
      </c>
      <c r="EX419" t="e">
        <f>AND(#REF!,"AAAAAH8yX5k=")</f>
        <v>#REF!</v>
      </c>
      <c r="EY419" t="e">
        <f>AND(#REF!,"AAAAAH8yX5o=")</f>
        <v>#REF!</v>
      </c>
      <c r="EZ419" t="e">
        <f>AND(#REF!,"AAAAAH8yX5s=")</f>
        <v>#REF!</v>
      </c>
      <c r="FA419" t="e">
        <f>AND(#REF!,"AAAAAH8yX5w=")</f>
        <v>#REF!</v>
      </c>
      <c r="FB419" t="e">
        <f>IF(#REF!,"AAAAAH8yX50=",0)</f>
        <v>#REF!</v>
      </c>
      <c r="FC419" t="e">
        <f>AND(#REF!,"AAAAAH8yX54=")</f>
        <v>#REF!</v>
      </c>
      <c r="FD419" t="e">
        <f>AND(#REF!,"AAAAAH8yX58=")</f>
        <v>#REF!</v>
      </c>
      <c r="FE419" t="e">
        <f>AND(#REF!,"AAAAAH8yX6A=")</f>
        <v>#REF!</v>
      </c>
      <c r="FF419" t="e">
        <f>AND(#REF!,"AAAAAH8yX6E=")</f>
        <v>#REF!</v>
      </c>
      <c r="FG419" t="e">
        <f>AND(#REF!,"AAAAAH8yX6I=")</f>
        <v>#REF!</v>
      </c>
      <c r="FH419" t="e">
        <f>AND(#REF!,"AAAAAH8yX6M=")</f>
        <v>#REF!</v>
      </c>
      <c r="FI419" t="e">
        <f>AND(#REF!,"AAAAAH8yX6Q=")</f>
        <v>#REF!</v>
      </c>
      <c r="FJ419" t="e">
        <f>AND(#REF!,"AAAAAH8yX6U=")</f>
        <v>#REF!</v>
      </c>
      <c r="FK419" t="e">
        <f>AND(#REF!,"AAAAAH8yX6Y=")</f>
        <v>#REF!</v>
      </c>
      <c r="FL419" t="e">
        <f>AND(#REF!,"AAAAAH8yX6c=")</f>
        <v>#REF!</v>
      </c>
      <c r="FM419" t="e">
        <f>IF(#REF!,"AAAAAH8yX6g=",0)</f>
        <v>#REF!</v>
      </c>
      <c r="FN419" t="e">
        <f>AND(#REF!,"AAAAAH8yX6k=")</f>
        <v>#REF!</v>
      </c>
      <c r="FO419" t="e">
        <f>AND(#REF!,"AAAAAH8yX6o=")</f>
        <v>#REF!</v>
      </c>
      <c r="FP419" t="e">
        <f>AND(#REF!,"AAAAAH8yX6s=")</f>
        <v>#REF!</v>
      </c>
      <c r="FQ419" t="e">
        <f>AND(#REF!,"AAAAAH8yX6w=")</f>
        <v>#REF!</v>
      </c>
      <c r="FR419" t="e">
        <f>AND(#REF!,"AAAAAH8yX60=")</f>
        <v>#REF!</v>
      </c>
      <c r="FS419" t="e">
        <f>AND(#REF!,"AAAAAH8yX64=")</f>
        <v>#REF!</v>
      </c>
      <c r="FT419" t="e">
        <f>AND(#REF!,"AAAAAH8yX68=")</f>
        <v>#REF!</v>
      </c>
      <c r="FU419" t="e">
        <f>AND(#REF!,"AAAAAH8yX7A=")</f>
        <v>#REF!</v>
      </c>
      <c r="FV419" t="e">
        <f>AND(#REF!,"AAAAAH8yX7E=")</f>
        <v>#REF!</v>
      </c>
      <c r="FW419" t="e">
        <f>AND(#REF!,"AAAAAH8yX7I=")</f>
        <v>#REF!</v>
      </c>
      <c r="FX419" t="e">
        <f>IF(#REF!,"AAAAAH8yX7M=",0)</f>
        <v>#REF!</v>
      </c>
      <c r="FY419" t="e">
        <f>AND(#REF!,"AAAAAH8yX7Q=")</f>
        <v>#REF!</v>
      </c>
      <c r="FZ419" t="e">
        <f>AND(#REF!,"AAAAAH8yX7U=")</f>
        <v>#REF!</v>
      </c>
      <c r="GA419" t="e">
        <f>AND(#REF!,"AAAAAH8yX7Y=")</f>
        <v>#REF!</v>
      </c>
      <c r="GB419" t="e">
        <f>AND(#REF!,"AAAAAH8yX7c=")</f>
        <v>#REF!</v>
      </c>
      <c r="GC419" t="e">
        <f>AND(#REF!,"AAAAAH8yX7g=")</f>
        <v>#REF!</v>
      </c>
      <c r="GD419" t="e">
        <f>AND(#REF!,"AAAAAH8yX7k=")</f>
        <v>#REF!</v>
      </c>
      <c r="GE419" t="e">
        <f>AND(#REF!,"AAAAAH8yX7o=")</f>
        <v>#REF!</v>
      </c>
      <c r="GF419" t="e">
        <f>AND(#REF!,"AAAAAH8yX7s=")</f>
        <v>#REF!</v>
      </c>
      <c r="GG419" t="e">
        <f>AND(#REF!,"AAAAAH8yX7w=")</f>
        <v>#REF!</v>
      </c>
      <c r="GH419" t="e">
        <f>AND(#REF!,"AAAAAH8yX70=")</f>
        <v>#REF!</v>
      </c>
      <c r="GI419" t="e">
        <f>IF(#REF!,"AAAAAH8yX74=",0)</f>
        <v>#REF!</v>
      </c>
      <c r="GJ419" t="e">
        <f>AND(#REF!,"AAAAAH8yX78=")</f>
        <v>#REF!</v>
      </c>
      <c r="GK419" t="e">
        <f>AND(#REF!,"AAAAAH8yX8A=")</f>
        <v>#REF!</v>
      </c>
      <c r="GL419" t="e">
        <f>AND(#REF!,"AAAAAH8yX8E=")</f>
        <v>#REF!</v>
      </c>
      <c r="GM419" t="e">
        <f>AND(#REF!,"AAAAAH8yX8I=")</f>
        <v>#REF!</v>
      </c>
      <c r="GN419" t="e">
        <f>AND(#REF!,"AAAAAH8yX8M=")</f>
        <v>#REF!</v>
      </c>
      <c r="GO419" t="e">
        <f>AND(#REF!,"AAAAAH8yX8Q=")</f>
        <v>#REF!</v>
      </c>
      <c r="GP419" t="e">
        <f>AND(#REF!,"AAAAAH8yX8U=")</f>
        <v>#REF!</v>
      </c>
      <c r="GQ419" t="e">
        <f>AND(#REF!,"AAAAAH8yX8Y=")</f>
        <v>#REF!</v>
      </c>
      <c r="GR419" t="e">
        <f>AND(#REF!,"AAAAAH8yX8c=")</f>
        <v>#REF!</v>
      </c>
      <c r="GS419" t="e">
        <f>AND(#REF!,"AAAAAH8yX8g=")</f>
        <v>#REF!</v>
      </c>
      <c r="GT419" t="e">
        <f>IF(#REF!,"AAAAAH8yX8k=",0)</f>
        <v>#REF!</v>
      </c>
      <c r="GU419" t="e">
        <f>AND(#REF!,"AAAAAH8yX8o=")</f>
        <v>#REF!</v>
      </c>
      <c r="GV419" t="e">
        <f>AND(#REF!,"AAAAAH8yX8s=")</f>
        <v>#REF!</v>
      </c>
      <c r="GW419" t="e">
        <f>AND(#REF!,"AAAAAH8yX8w=")</f>
        <v>#REF!</v>
      </c>
      <c r="GX419" t="e">
        <f>AND(#REF!,"AAAAAH8yX80=")</f>
        <v>#REF!</v>
      </c>
      <c r="GY419" t="e">
        <f>AND(#REF!,"AAAAAH8yX84=")</f>
        <v>#REF!</v>
      </c>
      <c r="GZ419" t="e">
        <f>AND(#REF!,"AAAAAH8yX88=")</f>
        <v>#REF!</v>
      </c>
      <c r="HA419" t="e">
        <f>AND(#REF!,"AAAAAH8yX9A=")</f>
        <v>#REF!</v>
      </c>
      <c r="HB419" t="e">
        <f>AND(#REF!,"AAAAAH8yX9E=")</f>
        <v>#REF!</v>
      </c>
      <c r="HC419" t="e">
        <f>AND(#REF!,"AAAAAH8yX9I=")</f>
        <v>#REF!</v>
      </c>
      <c r="HD419" t="e">
        <f>AND(#REF!,"AAAAAH8yX9M=")</f>
        <v>#REF!</v>
      </c>
      <c r="HE419" t="e">
        <f>IF(#REF!,"AAAAAH8yX9Q=",0)</f>
        <v>#REF!</v>
      </c>
      <c r="HF419" t="e">
        <f>AND(#REF!,"AAAAAH8yX9U=")</f>
        <v>#REF!</v>
      </c>
      <c r="HG419" t="e">
        <f>AND(#REF!,"AAAAAH8yX9Y=")</f>
        <v>#REF!</v>
      </c>
      <c r="HH419" t="e">
        <f>AND(#REF!,"AAAAAH8yX9c=")</f>
        <v>#REF!</v>
      </c>
      <c r="HI419" t="e">
        <f>AND(#REF!,"AAAAAH8yX9g=")</f>
        <v>#REF!</v>
      </c>
      <c r="HJ419" t="e">
        <f>AND(#REF!,"AAAAAH8yX9k=")</f>
        <v>#REF!</v>
      </c>
      <c r="HK419" t="e">
        <f>AND(#REF!,"AAAAAH8yX9o=")</f>
        <v>#REF!</v>
      </c>
      <c r="HL419" t="e">
        <f>AND(#REF!,"AAAAAH8yX9s=")</f>
        <v>#REF!</v>
      </c>
      <c r="HM419" t="e">
        <f>AND(#REF!,"AAAAAH8yX9w=")</f>
        <v>#REF!</v>
      </c>
      <c r="HN419" t="e">
        <f>AND(#REF!,"AAAAAH8yX90=")</f>
        <v>#REF!</v>
      </c>
      <c r="HO419" t="e">
        <f>AND(#REF!,"AAAAAH8yX94=")</f>
        <v>#REF!</v>
      </c>
      <c r="HP419" t="e">
        <f>IF(#REF!,"AAAAAH8yX98=",0)</f>
        <v>#REF!</v>
      </c>
      <c r="HQ419" t="e">
        <f>AND(#REF!,"AAAAAH8yX+A=")</f>
        <v>#REF!</v>
      </c>
      <c r="HR419" t="e">
        <f>AND(#REF!,"AAAAAH8yX+E=")</f>
        <v>#REF!</v>
      </c>
      <c r="HS419" t="e">
        <f>AND(#REF!,"AAAAAH8yX+I=")</f>
        <v>#REF!</v>
      </c>
      <c r="HT419" t="e">
        <f>AND(#REF!,"AAAAAH8yX+M=")</f>
        <v>#REF!</v>
      </c>
      <c r="HU419" t="e">
        <f>AND(#REF!,"AAAAAH8yX+Q=")</f>
        <v>#REF!</v>
      </c>
      <c r="HV419" t="e">
        <f>AND(#REF!,"AAAAAH8yX+U=")</f>
        <v>#REF!</v>
      </c>
      <c r="HW419" t="e">
        <f>AND(#REF!,"AAAAAH8yX+Y=")</f>
        <v>#REF!</v>
      </c>
      <c r="HX419" t="e">
        <f>AND(#REF!,"AAAAAH8yX+c=")</f>
        <v>#REF!</v>
      </c>
      <c r="HY419" t="e">
        <f>AND(#REF!,"AAAAAH8yX+g=")</f>
        <v>#REF!</v>
      </c>
      <c r="HZ419" t="e">
        <f>AND(#REF!,"AAAAAH8yX+k=")</f>
        <v>#REF!</v>
      </c>
      <c r="IA419" t="e">
        <f>IF(#REF!,"AAAAAH8yX+o=",0)</f>
        <v>#REF!</v>
      </c>
      <c r="IB419" t="e">
        <f>AND(#REF!,"AAAAAH8yX+s=")</f>
        <v>#REF!</v>
      </c>
      <c r="IC419" t="e">
        <f>AND(#REF!,"AAAAAH8yX+w=")</f>
        <v>#REF!</v>
      </c>
      <c r="ID419" t="e">
        <f>AND(#REF!,"AAAAAH8yX+0=")</f>
        <v>#REF!</v>
      </c>
      <c r="IE419" t="e">
        <f>AND(#REF!,"AAAAAH8yX+4=")</f>
        <v>#REF!</v>
      </c>
      <c r="IF419" t="e">
        <f>AND(#REF!,"AAAAAH8yX+8=")</f>
        <v>#REF!</v>
      </c>
      <c r="IG419" t="e">
        <f>AND(#REF!,"AAAAAH8yX/A=")</f>
        <v>#REF!</v>
      </c>
      <c r="IH419" t="e">
        <f>AND(#REF!,"AAAAAH8yX/E=")</f>
        <v>#REF!</v>
      </c>
      <c r="II419" t="e">
        <f>AND(#REF!,"AAAAAH8yX/I=")</f>
        <v>#REF!</v>
      </c>
      <c r="IJ419" t="e">
        <f>AND(#REF!,"AAAAAH8yX/M=")</f>
        <v>#REF!</v>
      </c>
      <c r="IK419" t="e">
        <f>AND(#REF!,"AAAAAH8yX/Q=")</f>
        <v>#REF!</v>
      </c>
      <c r="IL419" t="e">
        <f>IF(#REF!,"AAAAAH8yX/U=",0)</f>
        <v>#REF!</v>
      </c>
      <c r="IM419" t="e">
        <f>AND(#REF!,"AAAAAH8yX/Y=")</f>
        <v>#REF!</v>
      </c>
      <c r="IN419" t="e">
        <f>AND(#REF!,"AAAAAH8yX/c=")</f>
        <v>#REF!</v>
      </c>
      <c r="IO419" t="e">
        <f>AND(#REF!,"AAAAAH8yX/g=")</f>
        <v>#REF!</v>
      </c>
      <c r="IP419" t="e">
        <f>AND(#REF!,"AAAAAH8yX/k=")</f>
        <v>#REF!</v>
      </c>
      <c r="IQ419" t="e">
        <f>AND(#REF!,"AAAAAH8yX/o=")</f>
        <v>#REF!</v>
      </c>
      <c r="IR419" t="e">
        <f>AND(#REF!,"AAAAAH8yX/s=")</f>
        <v>#REF!</v>
      </c>
      <c r="IS419" t="e">
        <f>AND(#REF!,"AAAAAH8yX/w=")</f>
        <v>#REF!</v>
      </c>
      <c r="IT419" t="e">
        <f>AND(#REF!,"AAAAAH8yX/0=")</f>
        <v>#REF!</v>
      </c>
      <c r="IU419" t="e">
        <f>AND(#REF!,"AAAAAH8yX/4=")</f>
        <v>#REF!</v>
      </c>
      <c r="IV419" t="e">
        <f>AND(#REF!,"AAAAAH8yX/8=")</f>
        <v>#REF!</v>
      </c>
    </row>
    <row r="420" spans="1:256" x14ac:dyDescent="0.25">
      <c r="A420" t="e">
        <f>IF(#REF!,"AAAAAH/cawA=",0)</f>
        <v>#REF!</v>
      </c>
      <c r="B420" t="e">
        <f>AND(#REF!,"AAAAAH/cawE=")</f>
        <v>#REF!</v>
      </c>
      <c r="C420" t="e">
        <f>AND(#REF!,"AAAAAH/cawI=")</f>
        <v>#REF!</v>
      </c>
      <c r="D420" t="e">
        <f>AND(#REF!,"AAAAAH/cawM=")</f>
        <v>#REF!</v>
      </c>
      <c r="E420" t="e">
        <f>AND(#REF!,"AAAAAH/cawQ=")</f>
        <v>#REF!</v>
      </c>
      <c r="F420" t="e">
        <f>AND(#REF!,"AAAAAH/cawU=")</f>
        <v>#REF!</v>
      </c>
      <c r="G420" t="e">
        <f>AND(#REF!,"AAAAAH/cawY=")</f>
        <v>#REF!</v>
      </c>
      <c r="H420" t="e">
        <f>AND(#REF!,"AAAAAH/cawc=")</f>
        <v>#REF!</v>
      </c>
      <c r="I420" t="e">
        <f>AND(#REF!,"AAAAAH/cawg=")</f>
        <v>#REF!</v>
      </c>
      <c r="J420" t="e">
        <f>AND(#REF!,"AAAAAH/cawk=")</f>
        <v>#REF!</v>
      </c>
      <c r="K420" t="e">
        <f>AND(#REF!,"AAAAAH/cawo=")</f>
        <v>#REF!</v>
      </c>
      <c r="L420" t="e">
        <f>IF(#REF!,"AAAAAH/caws=",0)</f>
        <v>#REF!</v>
      </c>
      <c r="M420" t="e">
        <f>AND(#REF!,"AAAAAH/caww=")</f>
        <v>#REF!</v>
      </c>
      <c r="N420" t="e">
        <f>AND(#REF!,"AAAAAH/caw0=")</f>
        <v>#REF!</v>
      </c>
      <c r="O420" t="e">
        <f>AND(#REF!,"AAAAAH/caw4=")</f>
        <v>#REF!</v>
      </c>
      <c r="P420" t="e">
        <f>AND(#REF!,"AAAAAH/caw8=")</f>
        <v>#REF!</v>
      </c>
      <c r="Q420" t="e">
        <f>AND(#REF!,"AAAAAH/caxA=")</f>
        <v>#REF!</v>
      </c>
      <c r="R420" t="e">
        <f>AND(#REF!,"AAAAAH/caxE=")</f>
        <v>#REF!</v>
      </c>
      <c r="S420" t="e">
        <f>AND(#REF!,"AAAAAH/caxI=")</f>
        <v>#REF!</v>
      </c>
      <c r="T420" t="e">
        <f>AND(#REF!,"AAAAAH/caxM=")</f>
        <v>#REF!</v>
      </c>
      <c r="U420" t="e">
        <f>AND(#REF!,"AAAAAH/caxQ=")</f>
        <v>#REF!</v>
      </c>
      <c r="V420" t="e">
        <f>AND(#REF!,"AAAAAH/caxU=")</f>
        <v>#REF!</v>
      </c>
      <c r="W420" t="e">
        <f>IF(#REF!,"AAAAAH/caxY=",0)</f>
        <v>#REF!</v>
      </c>
      <c r="X420" t="e">
        <f>AND(#REF!,"AAAAAH/caxc=")</f>
        <v>#REF!</v>
      </c>
      <c r="Y420" t="e">
        <f>AND(#REF!,"AAAAAH/caxg=")</f>
        <v>#REF!</v>
      </c>
      <c r="Z420" t="e">
        <f>AND(#REF!,"AAAAAH/caxk=")</f>
        <v>#REF!</v>
      </c>
      <c r="AA420" t="e">
        <f>AND(#REF!,"AAAAAH/caxo=")</f>
        <v>#REF!</v>
      </c>
      <c r="AB420" t="e">
        <f>AND(#REF!,"AAAAAH/caxs=")</f>
        <v>#REF!</v>
      </c>
      <c r="AC420" t="e">
        <f>AND(#REF!,"AAAAAH/caxw=")</f>
        <v>#REF!</v>
      </c>
      <c r="AD420" t="e">
        <f>AND(#REF!,"AAAAAH/cax0=")</f>
        <v>#REF!</v>
      </c>
      <c r="AE420" t="e">
        <f>AND(#REF!,"AAAAAH/cax4=")</f>
        <v>#REF!</v>
      </c>
      <c r="AF420" t="e">
        <f>AND(#REF!,"AAAAAH/cax8=")</f>
        <v>#REF!</v>
      </c>
      <c r="AG420" t="e">
        <f>AND(#REF!,"AAAAAH/cayA=")</f>
        <v>#REF!</v>
      </c>
      <c r="AH420" t="e">
        <f>IF(#REF!,"AAAAAH/cayE=",0)</f>
        <v>#REF!</v>
      </c>
      <c r="AI420" t="e">
        <f>AND(#REF!,"AAAAAH/cayI=")</f>
        <v>#REF!</v>
      </c>
      <c r="AJ420" t="e">
        <f>AND(#REF!,"AAAAAH/cayM=")</f>
        <v>#REF!</v>
      </c>
      <c r="AK420" t="e">
        <f>AND(#REF!,"AAAAAH/cayQ=")</f>
        <v>#REF!</v>
      </c>
      <c r="AL420" t="e">
        <f>AND(#REF!,"AAAAAH/cayU=")</f>
        <v>#REF!</v>
      </c>
      <c r="AM420" t="e">
        <f>AND(#REF!,"AAAAAH/cayY=")</f>
        <v>#REF!</v>
      </c>
      <c r="AN420" t="e">
        <f>AND(#REF!,"AAAAAH/cayc=")</f>
        <v>#REF!</v>
      </c>
      <c r="AO420" t="e">
        <f>AND(#REF!,"AAAAAH/cayg=")</f>
        <v>#REF!</v>
      </c>
      <c r="AP420" t="e">
        <f>AND(#REF!,"AAAAAH/cayk=")</f>
        <v>#REF!</v>
      </c>
      <c r="AQ420" t="e">
        <f>AND(#REF!,"AAAAAH/cayo=")</f>
        <v>#REF!</v>
      </c>
      <c r="AR420" t="e">
        <f>AND(#REF!,"AAAAAH/cays=")</f>
        <v>#REF!</v>
      </c>
      <c r="AS420" t="e">
        <f>IF(#REF!,"AAAAAH/cayw=",0)</f>
        <v>#REF!</v>
      </c>
      <c r="AT420" t="e">
        <f>AND(#REF!,"AAAAAH/cay0=")</f>
        <v>#REF!</v>
      </c>
      <c r="AU420" t="e">
        <f>AND(#REF!,"AAAAAH/cay4=")</f>
        <v>#REF!</v>
      </c>
      <c r="AV420" t="e">
        <f>AND(#REF!,"AAAAAH/cay8=")</f>
        <v>#REF!</v>
      </c>
      <c r="AW420" t="e">
        <f>AND(#REF!,"AAAAAH/cazA=")</f>
        <v>#REF!</v>
      </c>
      <c r="AX420" t="e">
        <f>AND(#REF!,"AAAAAH/cazE=")</f>
        <v>#REF!</v>
      </c>
      <c r="AY420" t="e">
        <f>AND(#REF!,"AAAAAH/cazI=")</f>
        <v>#REF!</v>
      </c>
      <c r="AZ420" t="e">
        <f>AND(#REF!,"AAAAAH/cazM=")</f>
        <v>#REF!</v>
      </c>
      <c r="BA420" t="e">
        <f>AND(#REF!,"AAAAAH/cazQ=")</f>
        <v>#REF!</v>
      </c>
      <c r="BB420" t="e">
        <f>AND(#REF!,"AAAAAH/cazU=")</f>
        <v>#REF!</v>
      </c>
      <c r="BC420" t="e">
        <f>AND(#REF!,"AAAAAH/cazY=")</f>
        <v>#REF!</v>
      </c>
      <c r="BD420" t="e">
        <f>IF(#REF!,"AAAAAH/cazc=",0)</f>
        <v>#REF!</v>
      </c>
      <c r="BE420" t="e">
        <f>AND(#REF!,"AAAAAH/cazg=")</f>
        <v>#REF!</v>
      </c>
      <c r="BF420" t="e">
        <f>AND(#REF!,"AAAAAH/cazk=")</f>
        <v>#REF!</v>
      </c>
      <c r="BG420" t="e">
        <f>AND(#REF!,"AAAAAH/cazo=")</f>
        <v>#REF!</v>
      </c>
      <c r="BH420" t="e">
        <f>AND(#REF!,"AAAAAH/cazs=")</f>
        <v>#REF!</v>
      </c>
      <c r="BI420" t="e">
        <f>AND(#REF!,"AAAAAH/cazw=")</f>
        <v>#REF!</v>
      </c>
      <c r="BJ420" t="e">
        <f>AND(#REF!,"AAAAAH/caz0=")</f>
        <v>#REF!</v>
      </c>
      <c r="BK420" t="e">
        <f>AND(#REF!,"AAAAAH/caz4=")</f>
        <v>#REF!</v>
      </c>
      <c r="BL420" t="e">
        <f>AND(#REF!,"AAAAAH/caz8=")</f>
        <v>#REF!</v>
      </c>
      <c r="BM420" t="e">
        <f>AND(#REF!,"AAAAAH/ca0A=")</f>
        <v>#REF!</v>
      </c>
      <c r="BN420" t="e">
        <f>AND(#REF!,"AAAAAH/ca0E=")</f>
        <v>#REF!</v>
      </c>
      <c r="BO420" t="e">
        <f>IF(#REF!,"AAAAAH/ca0I=",0)</f>
        <v>#REF!</v>
      </c>
      <c r="BP420" t="e">
        <f>AND(#REF!,"AAAAAH/ca0M=")</f>
        <v>#REF!</v>
      </c>
      <c r="BQ420" t="e">
        <f>AND(#REF!,"AAAAAH/ca0Q=")</f>
        <v>#REF!</v>
      </c>
      <c r="BR420" t="e">
        <f>AND(#REF!,"AAAAAH/ca0U=")</f>
        <v>#REF!</v>
      </c>
      <c r="BS420" t="e">
        <f>AND(#REF!,"AAAAAH/ca0Y=")</f>
        <v>#REF!</v>
      </c>
      <c r="BT420" t="e">
        <f>AND(#REF!,"AAAAAH/ca0c=")</f>
        <v>#REF!</v>
      </c>
      <c r="BU420" t="e">
        <f>AND(#REF!,"AAAAAH/ca0g=")</f>
        <v>#REF!</v>
      </c>
      <c r="BV420" t="e">
        <f>AND(#REF!,"AAAAAH/ca0k=")</f>
        <v>#REF!</v>
      </c>
      <c r="BW420" t="e">
        <f>AND(#REF!,"AAAAAH/ca0o=")</f>
        <v>#REF!</v>
      </c>
      <c r="BX420" t="e">
        <f>AND(#REF!,"AAAAAH/ca0s=")</f>
        <v>#REF!</v>
      </c>
      <c r="BY420" t="e">
        <f>AND(#REF!,"AAAAAH/ca0w=")</f>
        <v>#REF!</v>
      </c>
      <c r="BZ420" t="e">
        <f>IF(#REF!,"AAAAAH/ca00=",0)</f>
        <v>#REF!</v>
      </c>
      <c r="CA420" t="e">
        <f>AND(#REF!,"AAAAAH/ca04=")</f>
        <v>#REF!</v>
      </c>
      <c r="CB420" t="e">
        <f>AND(#REF!,"AAAAAH/ca08=")</f>
        <v>#REF!</v>
      </c>
      <c r="CC420" t="e">
        <f>AND(#REF!,"AAAAAH/ca1A=")</f>
        <v>#REF!</v>
      </c>
      <c r="CD420" t="e">
        <f>AND(#REF!,"AAAAAH/ca1E=")</f>
        <v>#REF!</v>
      </c>
      <c r="CE420" t="e">
        <f>AND(#REF!,"AAAAAH/ca1I=")</f>
        <v>#REF!</v>
      </c>
      <c r="CF420" t="e">
        <f>AND(#REF!,"AAAAAH/ca1M=")</f>
        <v>#REF!</v>
      </c>
      <c r="CG420" t="e">
        <f>AND(#REF!,"AAAAAH/ca1Q=")</f>
        <v>#REF!</v>
      </c>
      <c r="CH420" t="e">
        <f>AND(#REF!,"AAAAAH/ca1U=")</f>
        <v>#REF!</v>
      </c>
      <c r="CI420" t="e">
        <f>AND(#REF!,"AAAAAH/ca1Y=")</f>
        <v>#REF!</v>
      </c>
      <c r="CJ420" t="e">
        <f>AND(#REF!,"AAAAAH/ca1c=")</f>
        <v>#REF!</v>
      </c>
      <c r="CK420" t="e">
        <f>IF(#REF!,"AAAAAH/ca1g=",0)</f>
        <v>#REF!</v>
      </c>
      <c r="CL420" t="e">
        <f>AND(#REF!,"AAAAAH/ca1k=")</f>
        <v>#REF!</v>
      </c>
      <c r="CM420" t="e">
        <f>AND(#REF!,"AAAAAH/ca1o=")</f>
        <v>#REF!</v>
      </c>
      <c r="CN420" t="e">
        <f>AND(#REF!,"AAAAAH/ca1s=")</f>
        <v>#REF!</v>
      </c>
      <c r="CO420" t="e">
        <f>AND(#REF!,"AAAAAH/ca1w=")</f>
        <v>#REF!</v>
      </c>
      <c r="CP420" t="e">
        <f>AND(#REF!,"AAAAAH/ca10=")</f>
        <v>#REF!</v>
      </c>
      <c r="CQ420" t="e">
        <f>AND(#REF!,"AAAAAH/ca14=")</f>
        <v>#REF!</v>
      </c>
      <c r="CR420" t="e">
        <f>AND(#REF!,"AAAAAH/ca18=")</f>
        <v>#REF!</v>
      </c>
      <c r="CS420" t="e">
        <f>AND(#REF!,"AAAAAH/ca2A=")</f>
        <v>#REF!</v>
      </c>
      <c r="CT420" t="e">
        <f>AND(#REF!,"AAAAAH/ca2E=")</f>
        <v>#REF!</v>
      </c>
      <c r="CU420" t="e">
        <f>AND(#REF!,"AAAAAH/ca2I=")</f>
        <v>#REF!</v>
      </c>
      <c r="CV420" t="e">
        <f>IF(#REF!,"AAAAAH/ca2M=",0)</f>
        <v>#REF!</v>
      </c>
      <c r="CW420" t="e">
        <f>AND(#REF!,"AAAAAH/ca2Q=")</f>
        <v>#REF!</v>
      </c>
      <c r="CX420" t="e">
        <f>AND(#REF!,"AAAAAH/ca2U=")</f>
        <v>#REF!</v>
      </c>
      <c r="CY420" t="e">
        <f>AND(#REF!,"AAAAAH/ca2Y=")</f>
        <v>#REF!</v>
      </c>
      <c r="CZ420" t="e">
        <f>AND(#REF!,"AAAAAH/ca2c=")</f>
        <v>#REF!</v>
      </c>
      <c r="DA420" t="e">
        <f>AND(#REF!,"AAAAAH/ca2g=")</f>
        <v>#REF!</v>
      </c>
      <c r="DB420" t="e">
        <f>AND(#REF!,"AAAAAH/ca2k=")</f>
        <v>#REF!</v>
      </c>
      <c r="DC420" t="e">
        <f>AND(#REF!,"AAAAAH/ca2o=")</f>
        <v>#REF!</v>
      </c>
      <c r="DD420" t="e">
        <f>AND(#REF!,"AAAAAH/ca2s=")</f>
        <v>#REF!</v>
      </c>
      <c r="DE420" t="e">
        <f>AND(#REF!,"AAAAAH/ca2w=")</f>
        <v>#REF!</v>
      </c>
      <c r="DF420" t="e">
        <f>AND(#REF!,"AAAAAH/ca20=")</f>
        <v>#REF!</v>
      </c>
      <c r="DG420" t="e">
        <f>IF(#REF!,"AAAAAH/ca24=",0)</f>
        <v>#REF!</v>
      </c>
      <c r="DH420" t="e">
        <f>AND(#REF!,"AAAAAH/ca28=")</f>
        <v>#REF!</v>
      </c>
      <c r="DI420" t="e">
        <f>AND(#REF!,"AAAAAH/ca3A=")</f>
        <v>#REF!</v>
      </c>
      <c r="DJ420" t="e">
        <f>AND(#REF!,"AAAAAH/ca3E=")</f>
        <v>#REF!</v>
      </c>
      <c r="DK420" t="e">
        <f>AND(#REF!,"AAAAAH/ca3I=")</f>
        <v>#REF!</v>
      </c>
      <c r="DL420" t="e">
        <f>AND(#REF!,"AAAAAH/ca3M=")</f>
        <v>#REF!</v>
      </c>
      <c r="DM420" t="e">
        <f>AND(#REF!,"AAAAAH/ca3Q=")</f>
        <v>#REF!</v>
      </c>
      <c r="DN420" t="e">
        <f>AND(#REF!,"AAAAAH/ca3U=")</f>
        <v>#REF!</v>
      </c>
      <c r="DO420" t="e">
        <f>AND(#REF!,"AAAAAH/ca3Y=")</f>
        <v>#REF!</v>
      </c>
      <c r="DP420" t="e">
        <f>AND(#REF!,"AAAAAH/ca3c=")</f>
        <v>#REF!</v>
      </c>
      <c r="DQ420" t="e">
        <f>AND(#REF!,"AAAAAH/ca3g=")</f>
        <v>#REF!</v>
      </c>
      <c r="DR420" t="e">
        <f>IF(#REF!,"AAAAAH/ca3k=",0)</f>
        <v>#REF!</v>
      </c>
      <c r="DS420" t="e">
        <f>AND(#REF!,"AAAAAH/ca3o=")</f>
        <v>#REF!</v>
      </c>
      <c r="DT420" t="e">
        <f>AND(#REF!,"AAAAAH/ca3s=")</f>
        <v>#REF!</v>
      </c>
      <c r="DU420" t="e">
        <f>AND(#REF!,"AAAAAH/ca3w=")</f>
        <v>#REF!</v>
      </c>
      <c r="DV420" t="e">
        <f>AND(#REF!,"AAAAAH/ca30=")</f>
        <v>#REF!</v>
      </c>
      <c r="DW420" t="e">
        <f>AND(#REF!,"AAAAAH/ca34=")</f>
        <v>#REF!</v>
      </c>
      <c r="DX420" t="e">
        <f>AND(#REF!,"AAAAAH/ca38=")</f>
        <v>#REF!</v>
      </c>
      <c r="DY420" t="e">
        <f>AND(#REF!,"AAAAAH/ca4A=")</f>
        <v>#REF!</v>
      </c>
      <c r="DZ420" t="e">
        <f>AND(#REF!,"AAAAAH/ca4E=")</f>
        <v>#REF!</v>
      </c>
      <c r="EA420" t="e">
        <f>AND(#REF!,"AAAAAH/ca4I=")</f>
        <v>#REF!</v>
      </c>
      <c r="EB420" t="e">
        <f>AND(#REF!,"AAAAAH/ca4M=")</f>
        <v>#REF!</v>
      </c>
      <c r="EC420" t="e">
        <f>IF(#REF!,"AAAAAH/ca4Q=",0)</f>
        <v>#REF!</v>
      </c>
      <c r="ED420" t="e">
        <f>AND(#REF!,"AAAAAH/ca4U=")</f>
        <v>#REF!</v>
      </c>
      <c r="EE420" t="e">
        <f>AND(#REF!,"AAAAAH/ca4Y=")</f>
        <v>#REF!</v>
      </c>
      <c r="EF420" t="e">
        <f>AND(#REF!,"AAAAAH/ca4c=")</f>
        <v>#REF!</v>
      </c>
      <c r="EG420" t="e">
        <f>AND(#REF!,"AAAAAH/ca4g=")</f>
        <v>#REF!</v>
      </c>
      <c r="EH420" t="e">
        <f>AND(#REF!,"AAAAAH/ca4k=")</f>
        <v>#REF!</v>
      </c>
      <c r="EI420" t="e">
        <f>AND(#REF!,"AAAAAH/ca4o=")</f>
        <v>#REF!</v>
      </c>
      <c r="EJ420" t="e">
        <f>AND(#REF!,"AAAAAH/ca4s=")</f>
        <v>#REF!</v>
      </c>
      <c r="EK420" t="e">
        <f>AND(#REF!,"AAAAAH/ca4w=")</f>
        <v>#REF!</v>
      </c>
      <c r="EL420" t="e">
        <f>AND(#REF!,"AAAAAH/ca40=")</f>
        <v>#REF!</v>
      </c>
      <c r="EM420" t="e">
        <f>AND(#REF!,"AAAAAH/ca44=")</f>
        <v>#REF!</v>
      </c>
      <c r="EN420" t="e">
        <f>IF(#REF!,"AAAAAH/ca48=",0)</f>
        <v>#REF!</v>
      </c>
      <c r="EO420" t="e">
        <f>AND(#REF!,"AAAAAH/ca5A=")</f>
        <v>#REF!</v>
      </c>
      <c r="EP420" t="e">
        <f>AND(#REF!,"AAAAAH/ca5E=")</f>
        <v>#REF!</v>
      </c>
      <c r="EQ420" t="e">
        <f>AND(#REF!,"AAAAAH/ca5I=")</f>
        <v>#REF!</v>
      </c>
      <c r="ER420" t="e">
        <f>AND(#REF!,"AAAAAH/ca5M=")</f>
        <v>#REF!</v>
      </c>
      <c r="ES420" t="e">
        <f>AND(#REF!,"AAAAAH/ca5Q=")</f>
        <v>#REF!</v>
      </c>
      <c r="ET420" t="e">
        <f>AND(#REF!,"AAAAAH/ca5U=")</f>
        <v>#REF!</v>
      </c>
      <c r="EU420" t="e">
        <f>AND(#REF!,"AAAAAH/ca5Y=")</f>
        <v>#REF!</v>
      </c>
      <c r="EV420" t="e">
        <f>AND(#REF!,"AAAAAH/ca5c=")</f>
        <v>#REF!</v>
      </c>
      <c r="EW420" t="e">
        <f>AND(#REF!,"AAAAAH/ca5g=")</f>
        <v>#REF!</v>
      </c>
      <c r="EX420" t="e">
        <f>AND(#REF!,"AAAAAH/ca5k=")</f>
        <v>#REF!</v>
      </c>
      <c r="EY420" t="e">
        <f>IF(#REF!,"AAAAAH/ca5o=",0)</f>
        <v>#REF!</v>
      </c>
      <c r="EZ420" t="e">
        <f>AND(#REF!,"AAAAAH/ca5s=")</f>
        <v>#REF!</v>
      </c>
      <c r="FA420" t="e">
        <f>AND(#REF!,"AAAAAH/ca5w=")</f>
        <v>#REF!</v>
      </c>
      <c r="FB420" t="e">
        <f>AND(#REF!,"AAAAAH/ca50=")</f>
        <v>#REF!</v>
      </c>
      <c r="FC420" t="e">
        <f>AND(#REF!,"AAAAAH/ca54=")</f>
        <v>#REF!</v>
      </c>
      <c r="FD420" t="e">
        <f>AND(#REF!,"AAAAAH/ca58=")</f>
        <v>#REF!</v>
      </c>
      <c r="FE420" t="e">
        <f>AND(#REF!,"AAAAAH/ca6A=")</f>
        <v>#REF!</v>
      </c>
      <c r="FF420" t="e">
        <f>AND(#REF!,"AAAAAH/ca6E=")</f>
        <v>#REF!</v>
      </c>
      <c r="FG420" t="e">
        <f>AND(#REF!,"AAAAAH/ca6I=")</f>
        <v>#REF!</v>
      </c>
      <c r="FH420" t="e">
        <f>AND(#REF!,"AAAAAH/ca6M=")</f>
        <v>#REF!</v>
      </c>
      <c r="FI420" t="e">
        <f>AND(#REF!,"AAAAAH/ca6Q=")</f>
        <v>#REF!</v>
      </c>
      <c r="FJ420" t="e">
        <f>IF(#REF!,"AAAAAH/ca6U=",0)</f>
        <v>#REF!</v>
      </c>
      <c r="FK420" t="e">
        <f>AND(#REF!,"AAAAAH/ca6Y=")</f>
        <v>#REF!</v>
      </c>
      <c r="FL420" t="e">
        <f>AND(#REF!,"AAAAAH/ca6c=")</f>
        <v>#REF!</v>
      </c>
      <c r="FM420" t="e">
        <f>AND(#REF!,"AAAAAH/ca6g=")</f>
        <v>#REF!</v>
      </c>
      <c r="FN420" t="e">
        <f>AND(#REF!,"AAAAAH/ca6k=")</f>
        <v>#REF!</v>
      </c>
      <c r="FO420" t="e">
        <f>AND(#REF!,"AAAAAH/ca6o=")</f>
        <v>#REF!</v>
      </c>
      <c r="FP420" t="e">
        <f>AND(#REF!,"AAAAAH/ca6s=")</f>
        <v>#REF!</v>
      </c>
      <c r="FQ420" t="e">
        <f>AND(#REF!,"AAAAAH/ca6w=")</f>
        <v>#REF!</v>
      </c>
      <c r="FR420" t="e">
        <f>AND(#REF!,"AAAAAH/ca60=")</f>
        <v>#REF!</v>
      </c>
      <c r="FS420" t="e">
        <f>AND(#REF!,"AAAAAH/ca64=")</f>
        <v>#REF!</v>
      </c>
      <c r="FT420" t="e">
        <f>AND(#REF!,"AAAAAH/ca68=")</f>
        <v>#REF!</v>
      </c>
      <c r="FU420" t="e">
        <f>IF(#REF!,"AAAAAH/ca7A=",0)</f>
        <v>#REF!</v>
      </c>
      <c r="FV420" t="e">
        <f>AND(#REF!,"AAAAAH/ca7E=")</f>
        <v>#REF!</v>
      </c>
      <c r="FW420" t="e">
        <f>AND(#REF!,"AAAAAH/ca7I=")</f>
        <v>#REF!</v>
      </c>
      <c r="FX420" t="e">
        <f>AND(#REF!,"AAAAAH/ca7M=")</f>
        <v>#REF!</v>
      </c>
      <c r="FY420" t="e">
        <f>AND(#REF!,"AAAAAH/ca7Q=")</f>
        <v>#REF!</v>
      </c>
      <c r="FZ420" t="e">
        <f>AND(#REF!,"AAAAAH/ca7U=")</f>
        <v>#REF!</v>
      </c>
      <c r="GA420" t="e">
        <f>AND(#REF!,"AAAAAH/ca7Y=")</f>
        <v>#REF!</v>
      </c>
      <c r="GB420" t="e">
        <f>AND(#REF!,"AAAAAH/ca7c=")</f>
        <v>#REF!</v>
      </c>
      <c r="GC420" t="e">
        <f>AND(#REF!,"AAAAAH/ca7g=")</f>
        <v>#REF!</v>
      </c>
      <c r="GD420" t="e">
        <f>AND(#REF!,"AAAAAH/ca7k=")</f>
        <v>#REF!</v>
      </c>
      <c r="GE420" t="e">
        <f>AND(#REF!,"AAAAAH/ca7o=")</f>
        <v>#REF!</v>
      </c>
      <c r="GF420" t="e">
        <f>IF(#REF!,"AAAAAH/ca7s=",0)</f>
        <v>#REF!</v>
      </c>
      <c r="GG420" t="e">
        <f>AND(#REF!,"AAAAAH/ca7w=")</f>
        <v>#REF!</v>
      </c>
      <c r="GH420" t="e">
        <f>AND(#REF!,"AAAAAH/ca70=")</f>
        <v>#REF!</v>
      </c>
      <c r="GI420" t="e">
        <f>AND(#REF!,"AAAAAH/ca74=")</f>
        <v>#REF!</v>
      </c>
      <c r="GJ420" t="e">
        <f>AND(#REF!,"AAAAAH/ca78=")</f>
        <v>#REF!</v>
      </c>
      <c r="GK420" t="e">
        <f>AND(#REF!,"AAAAAH/ca8A=")</f>
        <v>#REF!</v>
      </c>
      <c r="GL420" t="e">
        <f>AND(#REF!,"AAAAAH/ca8E=")</f>
        <v>#REF!</v>
      </c>
      <c r="GM420" t="e">
        <f>AND(#REF!,"AAAAAH/ca8I=")</f>
        <v>#REF!</v>
      </c>
      <c r="GN420" t="e">
        <f>AND(#REF!,"AAAAAH/ca8M=")</f>
        <v>#REF!</v>
      </c>
      <c r="GO420" t="e">
        <f>AND(#REF!,"AAAAAH/ca8Q=")</f>
        <v>#REF!</v>
      </c>
      <c r="GP420" t="e">
        <f>AND(#REF!,"AAAAAH/ca8U=")</f>
        <v>#REF!</v>
      </c>
      <c r="GQ420" t="e">
        <f>IF(#REF!,"AAAAAH/ca8Y=",0)</f>
        <v>#REF!</v>
      </c>
      <c r="GR420" t="e">
        <f>AND(#REF!,"AAAAAH/ca8c=")</f>
        <v>#REF!</v>
      </c>
      <c r="GS420" t="e">
        <f>AND(#REF!,"AAAAAH/ca8g=")</f>
        <v>#REF!</v>
      </c>
      <c r="GT420" t="e">
        <f>AND(#REF!,"AAAAAH/ca8k=")</f>
        <v>#REF!</v>
      </c>
      <c r="GU420" t="e">
        <f>AND(#REF!,"AAAAAH/ca8o=")</f>
        <v>#REF!</v>
      </c>
      <c r="GV420" t="e">
        <f>AND(#REF!,"AAAAAH/ca8s=")</f>
        <v>#REF!</v>
      </c>
      <c r="GW420" t="e">
        <f>AND(#REF!,"AAAAAH/ca8w=")</f>
        <v>#REF!</v>
      </c>
      <c r="GX420" t="e">
        <f>AND(#REF!,"AAAAAH/ca80=")</f>
        <v>#REF!</v>
      </c>
      <c r="GY420" t="e">
        <f>AND(#REF!,"AAAAAH/ca84=")</f>
        <v>#REF!</v>
      </c>
      <c r="GZ420" t="e">
        <f>AND(#REF!,"AAAAAH/ca88=")</f>
        <v>#REF!</v>
      </c>
      <c r="HA420" t="e">
        <f>AND(#REF!,"AAAAAH/ca9A=")</f>
        <v>#REF!</v>
      </c>
      <c r="HB420" t="e">
        <f>IF(#REF!,"AAAAAH/ca9E=",0)</f>
        <v>#REF!</v>
      </c>
      <c r="HC420" t="e">
        <f>AND(#REF!,"AAAAAH/ca9I=")</f>
        <v>#REF!</v>
      </c>
      <c r="HD420" t="e">
        <f>AND(#REF!,"AAAAAH/ca9M=")</f>
        <v>#REF!</v>
      </c>
      <c r="HE420" t="e">
        <f>AND(#REF!,"AAAAAH/ca9Q=")</f>
        <v>#REF!</v>
      </c>
      <c r="HF420" t="e">
        <f>AND(#REF!,"AAAAAH/ca9U=")</f>
        <v>#REF!</v>
      </c>
      <c r="HG420" t="e">
        <f>AND(#REF!,"AAAAAH/ca9Y=")</f>
        <v>#REF!</v>
      </c>
      <c r="HH420" t="e">
        <f>AND(#REF!,"AAAAAH/ca9c=")</f>
        <v>#REF!</v>
      </c>
      <c r="HI420" t="e">
        <f>AND(#REF!,"AAAAAH/ca9g=")</f>
        <v>#REF!</v>
      </c>
      <c r="HJ420" t="e">
        <f>AND(#REF!,"AAAAAH/ca9k=")</f>
        <v>#REF!</v>
      </c>
      <c r="HK420" t="e">
        <f>AND(#REF!,"AAAAAH/ca9o=")</f>
        <v>#REF!</v>
      </c>
      <c r="HL420" t="e">
        <f>AND(#REF!,"AAAAAH/ca9s=")</f>
        <v>#REF!</v>
      </c>
      <c r="HM420" t="e">
        <f>IF(#REF!,"AAAAAH/ca9w=",0)</f>
        <v>#REF!</v>
      </c>
      <c r="HN420" t="e">
        <f>AND(#REF!,"AAAAAH/ca90=")</f>
        <v>#REF!</v>
      </c>
      <c r="HO420" t="e">
        <f>AND(#REF!,"AAAAAH/ca94=")</f>
        <v>#REF!</v>
      </c>
      <c r="HP420" t="e">
        <f>AND(#REF!,"AAAAAH/ca98=")</f>
        <v>#REF!</v>
      </c>
      <c r="HQ420" t="e">
        <f>AND(#REF!,"AAAAAH/ca+A=")</f>
        <v>#REF!</v>
      </c>
      <c r="HR420" t="e">
        <f>AND(#REF!,"AAAAAH/ca+E=")</f>
        <v>#REF!</v>
      </c>
      <c r="HS420" t="e">
        <f>AND(#REF!,"AAAAAH/ca+I=")</f>
        <v>#REF!</v>
      </c>
      <c r="HT420" t="e">
        <f>AND(#REF!,"AAAAAH/ca+M=")</f>
        <v>#REF!</v>
      </c>
      <c r="HU420" t="e">
        <f>AND(#REF!,"AAAAAH/ca+Q=")</f>
        <v>#REF!</v>
      </c>
      <c r="HV420" t="e">
        <f>AND(#REF!,"AAAAAH/ca+U=")</f>
        <v>#REF!</v>
      </c>
      <c r="HW420" t="e">
        <f>AND(#REF!,"AAAAAH/ca+Y=")</f>
        <v>#REF!</v>
      </c>
      <c r="HX420" t="e">
        <f>IF(#REF!,"AAAAAH/ca+c=",0)</f>
        <v>#REF!</v>
      </c>
      <c r="HY420" t="e">
        <f>AND(#REF!,"AAAAAH/ca+g=")</f>
        <v>#REF!</v>
      </c>
      <c r="HZ420" t="e">
        <f>AND(#REF!,"AAAAAH/ca+k=")</f>
        <v>#REF!</v>
      </c>
      <c r="IA420" t="e">
        <f>AND(#REF!,"AAAAAH/ca+o=")</f>
        <v>#REF!</v>
      </c>
      <c r="IB420" t="e">
        <f>AND(#REF!,"AAAAAH/ca+s=")</f>
        <v>#REF!</v>
      </c>
      <c r="IC420" t="e">
        <f>AND(#REF!,"AAAAAH/ca+w=")</f>
        <v>#REF!</v>
      </c>
      <c r="ID420" t="e">
        <f>AND(#REF!,"AAAAAH/ca+0=")</f>
        <v>#REF!</v>
      </c>
      <c r="IE420" t="e">
        <f>AND(#REF!,"AAAAAH/ca+4=")</f>
        <v>#REF!</v>
      </c>
      <c r="IF420" t="e">
        <f>AND(#REF!,"AAAAAH/ca+8=")</f>
        <v>#REF!</v>
      </c>
      <c r="IG420" t="e">
        <f>AND(#REF!,"AAAAAH/ca/A=")</f>
        <v>#REF!</v>
      </c>
      <c r="IH420" t="e">
        <f>AND(#REF!,"AAAAAH/ca/E=")</f>
        <v>#REF!</v>
      </c>
      <c r="II420" t="e">
        <f>IF(#REF!,"AAAAAH/ca/I=",0)</f>
        <v>#REF!</v>
      </c>
      <c r="IJ420" t="e">
        <f>AND(#REF!,"AAAAAH/ca/M=")</f>
        <v>#REF!</v>
      </c>
      <c r="IK420" t="e">
        <f>AND(#REF!,"AAAAAH/ca/Q=")</f>
        <v>#REF!</v>
      </c>
      <c r="IL420" t="e">
        <f>AND(#REF!,"AAAAAH/ca/U=")</f>
        <v>#REF!</v>
      </c>
      <c r="IM420" t="e">
        <f>AND(#REF!,"AAAAAH/ca/Y=")</f>
        <v>#REF!</v>
      </c>
      <c r="IN420" t="e">
        <f>AND(#REF!,"AAAAAH/ca/c=")</f>
        <v>#REF!</v>
      </c>
      <c r="IO420" t="e">
        <f>AND(#REF!,"AAAAAH/ca/g=")</f>
        <v>#REF!</v>
      </c>
      <c r="IP420" t="e">
        <f>AND(#REF!,"AAAAAH/ca/k=")</f>
        <v>#REF!</v>
      </c>
      <c r="IQ420" t="e">
        <f>AND(#REF!,"AAAAAH/ca/o=")</f>
        <v>#REF!</v>
      </c>
      <c r="IR420" t="e">
        <f>AND(#REF!,"AAAAAH/ca/s=")</f>
        <v>#REF!</v>
      </c>
      <c r="IS420" t="e">
        <f>AND(#REF!,"AAAAAH/ca/w=")</f>
        <v>#REF!</v>
      </c>
      <c r="IT420" t="e">
        <f>IF(#REF!,"AAAAAH/ca/0=",0)</f>
        <v>#REF!</v>
      </c>
      <c r="IU420" t="e">
        <f>AND(#REF!,"AAAAAH/ca/4=")</f>
        <v>#REF!</v>
      </c>
      <c r="IV420" t="e">
        <f>AND(#REF!,"AAAAAH/ca/8=")</f>
        <v>#REF!</v>
      </c>
    </row>
    <row r="421" spans="1:256" x14ac:dyDescent="0.25">
      <c r="A421" t="e">
        <f>AND(#REF!,"AAAAAG9NfAA=")</f>
        <v>#REF!</v>
      </c>
      <c r="B421" t="e">
        <f>AND(#REF!,"AAAAAG9NfAE=")</f>
        <v>#REF!</v>
      </c>
      <c r="C421" t="e">
        <f>AND(#REF!,"AAAAAG9NfAI=")</f>
        <v>#REF!</v>
      </c>
      <c r="D421" t="e">
        <f>AND(#REF!,"AAAAAG9NfAM=")</f>
        <v>#REF!</v>
      </c>
      <c r="E421" t="e">
        <f>AND(#REF!,"AAAAAG9NfAQ=")</f>
        <v>#REF!</v>
      </c>
      <c r="F421" t="e">
        <f>AND(#REF!,"AAAAAG9NfAU=")</f>
        <v>#REF!</v>
      </c>
      <c r="G421" t="e">
        <f>AND(#REF!,"AAAAAG9NfAY=")</f>
        <v>#REF!</v>
      </c>
      <c r="H421" t="e">
        <f>AND(#REF!,"AAAAAG9NfAc=")</f>
        <v>#REF!</v>
      </c>
      <c r="I421" t="e">
        <f>IF(#REF!,"AAAAAG9NfAg=",0)</f>
        <v>#REF!</v>
      </c>
      <c r="J421" t="e">
        <f>AND(#REF!,"AAAAAG9NfAk=")</f>
        <v>#REF!</v>
      </c>
      <c r="K421" t="e">
        <f>AND(#REF!,"AAAAAG9NfAo=")</f>
        <v>#REF!</v>
      </c>
      <c r="L421" t="e">
        <f>AND(#REF!,"AAAAAG9NfAs=")</f>
        <v>#REF!</v>
      </c>
      <c r="M421" t="e">
        <f>AND(#REF!,"AAAAAG9NfAw=")</f>
        <v>#REF!</v>
      </c>
      <c r="N421" t="e">
        <f>AND(#REF!,"AAAAAG9NfA0=")</f>
        <v>#REF!</v>
      </c>
      <c r="O421" t="e">
        <f>AND(#REF!,"AAAAAG9NfA4=")</f>
        <v>#REF!</v>
      </c>
      <c r="P421" t="e">
        <f>AND(#REF!,"AAAAAG9NfA8=")</f>
        <v>#REF!</v>
      </c>
      <c r="Q421" t="e">
        <f>AND(#REF!,"AAAAAG9NfBA=")</f>
        <v>#REF!</v>
      </c>
      <c r="R421" t="e">
        <f>AND(#REF!,"AAAAAG9NfBE=")</f>
        <v>#REF!</v>
      </c>
      <c r="S421" t="e">
        <f>AND(#REF!,"AAAAAG9NfBI=")</f>
        <v>#REF!</v>
      </c>
      <c r="T421" t="e">
        <f>IF(#REF!,"AAAAAG9NfBM=",0)</f>
        <v>#REF!</v>
      </c>
      <c r="U421" t="e">
        <f>AND(#REF!,"AAAAAG9NfBQ=")</f>
        <v>#REF!</v>
      </c>
      <c r="V421" t="e">
        <f>AND(#REF!,"AAAAAG9NfBU=")</f>
        <v>#REF!</v>
      </c>
      <c r="W421" t="e">
        <f>AND(#REF!,"AAAAAG9NfBY=")</f>
        <v>#REF!</v>
      </c>
      <c r="X421" t="e">
        <f>AND(#REF!,"AAAAAG9NfBc=")</f>
        <v>#REF!</v>
      </c>
      <c r="Y421" t="e">
        <f>AND(#REF!,"AAAAAG9NfBg=")</f>
        <v>#REF!</v>
      </c>
      <c r="Z421" t="e">
        <f>AND(#REF!,"AAAAAG9NfBk=")</f>
        <v>#REF!</v>
      </c>
      <c r="AA421" t="e">
        <f>AND(#REF!,"AAAAAG9NfBo=")</f>
        <v>#REF!</v>
      </c>
      <c r="AB421" t="e">
        <f>AND(#REF!,"AAAAAG9NfBs=")</f>
        <v>#REF!</v>
      </c>
      <c r="AC421" t="e">
        <f>AND(#REF!,"AAAAAG9NfBw=")</f>
        <v>#REF!</v>
      </c>
      <c r="AD421" t="e">
        <f>AND(#REF!,"AAAAAG9NfB0=")</f>
        <v>#REF!</v>
      </c>
      <c r="AE421" t="e">
        <f>IF(#REF!,"AAAAAG9NfB4=",0)</f>
        <v>#REF!</v>
      </c>
      <c r="AF421" t="e">
        <f>AND(#REF!,"AAAAAG9NfB8=")</f>
        <v>#REF!</v>
      </c>
      <c r="AG421" t="e">
        <f>AND(#REF!,"AAAAAG9NfCA=")</f>
        <v>#REF!</v>
      </c>
      <c r="AH421" t="e">
        <f>AND(#REF!,"AAAAAG9NfCE=")</f>
        <v>#REF!</v>
      </c>
      <c r="AI421" t="e">
        <f>AND(#REF!,"AAAAAG9NfCI=")</f>
        <v>#REF!</v>
      </c>
      <c r="AJ421" t="e">
        <f>AND(#REF!,"AAAAAG9NfCM=")</f>
        <v>#REF!</v>
      </c>
      <c r="AK421" t="e">
        <f>AND(#REF!,"AAAAAG9NfCQ=")</f>
        <v>#REF!</v>
      </c>
      <c r="AL421" t="e">
        <f>AND(#REF!,"AAAAAG9NfCU=")</f>
        <v>#REF!</v>
      </c>
      <c r="AM421" t="e">
        <f>AND(#REF!,"AAAAAG9NfCY=")</f>
        <v>#REF!</v>
      </c>
      <c r="AN421" t="e">
        <f>AND(#REF!,"AAAAAG9NfCc=")</f>
        <v>#REF!</v>
      </c>
      <c r="AO421" t="e">
        <f>AND(#REF!,"AAAAAG9NfCg=")</f>
        <v>#REF!</v>
      </c>
      <c r="AP421" t="e">
        <f>IF(#REF!,"AAAAAG9NfCk=",0)</f>
        <v>#REF!</v>
      </c>
      <c r="AQ421" t="e">
        <f>AND(#REF!,"AAAAAG9NfCo=")</f>
        <v>#REF!</v>
      </c>
      <c r="AR421" t="e">
        <f>AND(#REF!,"AAAAAG9NfCs=")</f>
        <v>#REF!</v>
      </c>
      <c r="AS421" t="e">
        <f>AND(#REF!,"AAAAAG9NfCw=")</f>
        <v>#REF!</v>
      </c>
      <c r="AT421" t="e">
        <f>AND(#REF!,"AAAAAG9NfC0=")</f>
        <v>#REF!</v>
      </c>
      <c r="AU421" t="e">
        <f>AND(#REF!,"AAAAAG9NfC4=")</f>
        <v>#REF!</v>
      </c>
      <c r="AV421" t="e">
        <f>AND(#REF!,"AAAAAG9NfC8=")</f>
        <v>#REF!</v>
      </c>
      <c r="AW421" t="e">
        <f>AND(#REF!,"AAAAAG9NfDA=")</f>
        <v>#REF!</v>
      </c>
      <c r="AX421" t="e">
        <f>AND(#REF!,"AAAAAG9NfDE=")</f>
        <v>#REF!</v>
      </c>
      <c r="AY421" t="e">
        <f>AND(#REF!,"AAAAAG9NfDI=")</f>
        <v>#REF!</v>
      </c>
      <c r="AZ421" t="e">
        <f>AND(#REF!,"AAAAAG9NfDM=")</f>
        <v>#REF!</v>
      </c>
      <c r="BA421" t="e">
        <f>IF(#REF!,"AAAAAG9NfDQ=",0)</f>
        <v>#REF!</v>
      </c>
      <c r="BB421" t="e">
        <f>AND(#REF!,"AAAAAG9NfDU=")</f>
        <v>#REF!</v>
      </c>
      <c r="BC421" t="e">
        <f>AND(#REF!,"AAAAAG9NfDY=")</f>
        <v>#REF!</v>
      </c>
      <c r="BD421" t="e">
        <f>AND(#REF!,"AAAAAG9NfDc=")</f>
        <v>#REF!</v>
      </c>
      <c r="BE421" t="e">
        <f>AND(#REF!,"AAAAAG9NfDg=")</f>
        <v>#REF!</v>
      </c>
      <c r="BF421" t="e">
        <f>AND(#REF!,"AAAAAG9NfDk=")</f>
        <v>#REF!</v>
      </c>
      <c r="BG421" t="e">
        <f>AND(#REF!,"AAAAAG9NfDo=")</f>
        <v>#REF!</v>
      </c>
      <c r="BH421" t="e">
        <f>AND(#REF!,"AAAAAG9NfDs=")</f>
        <v>#REF!</v>
      </c>
      <c r="BI421" t="e">
        <f>AND(#REF!,"AAAAAG9NfDw=")</f>
        <v>#REF!</v>
      </c>
      <c r="BJ421" t="e">
        <f>AND(#REF!,"AAAAAG9NfD0=")</f>
        <v>#REF!</v>
      </c>
      <c r="BK421" t="e">
        <f>AND(#REF!,"AAAAAG9NfD4=")</f>
        <v>#REF!</v>
      </c>
      <c r="BL421" t="e">
        <f>IF(#REF!,"AAAAAG9NfD8=",0)</f>
        <v>#REF!</v>
      </c>
      <c r="BM421" t="e">
        <f>AND(#REF!,"AAAAAG9NfEA=")</f>
        <v>#REF!</v>
      </c>
      <c r="BN421" t="e">
        <f>AND(#REF!,"AAAAAG9NfEE=")</f>
        <v>#REF!</v>
      </c>
      <c r="BO421" t="e">
        <f>AND(#REF!,"AAAAAG9NfEI=")</f>
        <v>#REF!</v>
      </c>
      <c r="BP421" t="e">
        <f>AND(#REF!,"AAAAAG9NfEM=")</f>
        <v>#REF!</v>
      </c>
      <c r="BQ421" t="e">
        <f>AND(#REF!,"AAAAAG9NfEQ=")</f>
        <v>#REF!</v>
      </c>
      <c r="BR421" t="e">
        <f>AND(#REF!,"AAAAAG9NfEU=")</f>
        <v>#REF!</v>
      </c>
      <c r="BS421" t="e">
        <f>AND(#REF!,"AAAAAG9NfEY=")</f>
        <v>#REF!</v>
      </c>
      <c r="BT421" t="e">
        <f>AND(#REF!,"AAAAAG9NfEc=")</f>
        <v>#REF!</v>
      </c>
      <c r="BU421" t="e">
        <f>AND(#REF!,"AAAAAG9NfEg=")</f>
        <v>#REF!</v>
      </c>
      <c r="BV421" t="e">
        <f>AND(#REF!,"AAAAAG9NfEk=")</f>
        <v>#REF!</v>
      </c>
      <c r="BW421" t="e">
        <f>IF(#REF!,"AAAAAG9NfEo=",0)</f>
        <v>#REF!</v>
      </c>
      <c r="BX421" t="e">
        <f>AND(#REF!,"AAAAAG9NfEs=")</f>
        <v>#REF!</v>
      </c>
      <c r="BY421" t="e">
        <f>AND(#REF!,"AAAAAG9NfEw=")</f>
        <v>#REF!</v>
      </c>
      <c r="BZ421" t="e">
        <f>AND(#REF!,"AAAAAG9NfE0=")</f>
        <v>#REF!</v>
      </c>
      <c r="CA421" t="e">
        <f>AND(#REF!,"AAAAAG9NfE4=")</f>
        <v>#REF!</v>
      </c>
      <c r="CB421" t="e">
        <f>AND(#REF!,"AAAAAG9NfE8=")</f>
        <v>#REF!</v>
      </c>
      <c r="CC421" t="e">
        <f>AND(#REF!,"AAAAAG9NfFA=")</f>
        <v>#REF!</v>
      </c>
      <c r="CD421" t="e">
        <f>AND(#REF!,"AAAAAG9NfFE=")</f>
        <v>#REF!</v>
      </c>
      <c r="CE421" t="e">
        <f>AND(#REF!,"AAAAAG9NfFI=")</f>
        <v>#REF!</v>
      </c>
      <c r="CF421" t="e">
        <f>AND(#REF!,"AAAAAG9NfFM=")</f>
        <v>#REF!</v>
      </c>
      <c r="CG421" t="e">
        <f>AND(#REF!,"AAAAAG9NfFQ=")</f>
        <v>#REF!</v>
      </c>
      <c r="CH421" t="e">
        <f>IF(#REF!,"AAAAAG9NfFU=",0)</f>
        <v>#REF!</v>
      </c>
      <c r="CI421" t="e">
        <f>AND(#REF!,"AAAAAG9NfFY=")</f>
        <v>#REF!</v>
      </c>
      <c r="CJ421" t="e">
        <f>AND(#REF!,"AAAAAG9NfFc=")</f>
        <v>#REF!</v>
      </c>
      <c r="CK421" t="e">
        <f>AND(#REF!,"AAAAAG9NfFg=")</f>
        <v>#REF!</v>
      </c>
      <c r="CL421" t="e">
        <f>AND(#REF!,"AAAAAG9NfFk=")</f>
        <v>#REF!</v>
      </c>
      <c r="CM421" t="e">
        <f>AND(#REF!,"AAAAAG9NfFo=")</f>
        <v>#REF!</v>
      </c>
      <c r="CN421" t="e">
        <f>AND(#REF!,"AAAAAG9NfFs=")</f>
        <v>#REF!</v>
      </c>
      <c r="CO421" t="e">
        <f>AND(#REF!,"AAAAAG9NfFw=")</f>
        <v>#REF!</v>
      </c>
      <c r="CP421" t="e">
        <f>AND(#REF!,"AAAAAG9NfF0=")</f>
        <v>#REF!</v>
      </c>
      <c r="CQ421" t="e">
        <f>AND(#REF!,"AAAAAG9NfF4=")</f>
        <v>#REF!</v>
      </c>
      <c r="CR421" t="e">
        <f>AND(#REF!,"AAAAAG9NfF8=")</f>
        <v>#REF!</v>
      </c>
      <c r="CS421" t="e">
        <f>IF(#REF!,"AAAAAG9NfGA=",0)</f>
        <v>#REF!</v>
      </c>
      <c r="CT421" t="e">
        <f>AND(#REF!,"AAAAAG9NfGE=")</f>
        <v>#REF!</v>
      </c>
      <c r="CU421" t="e">
        <f>AND(#REF!,"AAAAAG9NfGI=")</f>
        <v>#REF!</v>
      </c>
      <c r="CV421" t="e">
        <f>AND(#REF!,"AAAAAG9NfGM=")</f>
        <v>#REF!</v>
      </c>
      <c r="CW421" t="e">
        <f>AND(#REF!,"AAAAAG9NfGQ=")</f>
        <v>#REF!</v>
      </c>
      <c r="CX421" t="e">
        <f>AND(#REF!,"AAAAAG9NfGU=")</f>
        <v>#REF!</v>
      </c>
      <c r="CY421" t="e">
        <f>AND(#REF!,"AAAAAG9NfGY=")</f>
        <v>#REF!</v>
      </c>
      <c r="CZ421" t="e">
        <f>AND(#REF!,"AAAAAG9NfGc=")</f>
        <v>#REF!</v>
      </c>
      <c r="DA421" t="e">
        <f>AND(#REF!,"AAAAAG9NfGg=")</f>
        <v>#REF!</v>
      </c>
      <c r="DB421" t="e">
        <f>AND(#REF!,"AAAAAG9NfGk=")</f>
        <v>#REF!</v>
      </c>
      <c r="DC421" t="e">
        <f>AND(#REF!,"AAAAAG9NfGo=")</f>
        <v>#REF!</v>
      </c>
      <c r="DD421" t="e">
        <f>IF(#REF!,"AAAAAG9NfGs=",0)</f>
        <v>#REF!</v>
      </c>
      <c r="DE421" t="e">
        <f>AND(#REF!,"AAAAAG9NfGw=")</f>
        <v>#REF!</v>
      </c>
      <c r="DF421" t="e">
        <f>AND(#REF!,"AAAAAG9NfG0=")</f>
        <v>#REF!</v>
      </c>
      <c r="DG421" t="e">
        <f>AND(#REF!,"AAAAAG9NfG4=")</f>
        <v>#REF!</v>
      </c>
      <c r="DH421" t="e">
        <f>AND(#REF!,"AAAAAG9NfG8=")</f>
        <v>#REF!</v>
      </c>
      <c r="DI421" t="e">
        <f>AND(#REF!,"AAAAAG9NfHA=")</f>
        <v>#REF!</v>
      </c>
      <c r="DJ421" t="e">
        <f>AND(#REF!,"AAAAAG9NfHE=")</f>
        <v>#REF!</v>
      </c>
      <c r="DK421" t="e">
        <f>AND(#REF!,"AAAAAG9NfHI=")</f>
        <v>#REF!</v>
      </c>
      <c r="DL421" t="e">
        <f>AND(#REF!,"AAAAAG9NfHM=")</f>
        <v>#REF!</v>
      </c>
      <c r="DM421" t="e">
        <f>AND(#REF!,"AAAAAG9NfHQ=")</f>
        <v>#REF!</v>
      </c>
      <c r="DN421" t="e">
        <f>AND(#REF!,"AAAAAG9NfHU=")</f>
        <v>#REF!</v>
      </c>
      <c r="DO421" t="e">
        <f>IF(#REF!,"AAAAAG9NfHY=",0)</f>
        <v>#REF!</v>
      </c>
      <c r="DP421" t="e">
        <f>AND(#REF!,"AAAAAG9NfHc=")</f>
        <v>#REF!</v>
      </c>
      <c r="DQ421" t="e">
        <f>AND(#REF!,"AAAAAG9NfHg=")</f>
        <v>#REF!</v>
      </c>
      <c r="DR421" t="e">
        <f>AND(#REF!,"AAAAAG9NfHk=")</f>
        <v>#REF!</v>
      </c>
      <c r="DS421" t="e">
        <f>AND(#REF!,"AAAAAG9NfHo=")</f>
        <v>#REF!</v>
      </c>
      <c r="DT421" t="e">
        <f>AND(#REF!,"AAAAAG9NfHs=")</f>
        <v>#REF!</v>
      </c>
      <c r="DU421" t="e">
        <f>AND(#REF!,"AAAAAG9NfHw=")</f>
        <v>#REF!</v>
      </c>
      <c r="DV421" t="e">
        <f>AND(#REF!,"AAAAAG9NfH0=")</f>
        <v>#REF!</v>
      </c>
      <c r="DW421" t="e">
        <f>AND(#REF!,"AAAAAG9NfH4=")</f>
        <v>#REF!</v>
      </c>
      <c r="DX421" t="e">
        <f>AND(#REF!,"AAAAAG9NfH8=")</f>
        <v>#REF!</v>
      </c>
      <c r="DY421" t="e">
        <f>AND(#REF!,"AAAAAG9NfIA=")</f>
        <v>#REF!</v>
      </c>
      <c r="DZ421" t="e">
        <f>IF(#REF!,"AAAAAG9NfIE=",0)</f>
        <v>#REF!</v>
      </c>
      <c r="EA421" t="e">
        <f>AND(#REF!,"AAAAAG9NfII=")</f>
        <v>#REF!</v>
      </c>
      <c r="EB421" t="e">
        <f>AND(#REF!,"AAAAAG9NfIM=")</f>
        <v>#REF!</v>
      </c>
      <c r="EC421" t="e">
        <f>AND(#REF!,"AAAAAG9NfIQ=")</f>
        <v>#REF!</v>
      </c>
      <c r="ED421" t="e">
        <f>AND(#REF!,"AAAAAG9NfIU=")</f>
        <v>#REF!</v>
      </c>
      <c r="EE421" t="e">
        <f>AND(#REF!,"AAAAAG9NfIY=")</f>
        <v>#REF!</v>
      </c>
      <c r="EF421" t="e">
        <f>AND(#REF!,"AAAAAG9NfIc=")</f>
        <v>#REF!</v>
      </c>
      <c r="EG421" t="e">
        <f>AND(#REF!,"AAAAAG9NfIg=")</f>
        <v>#REF!</v>
      </c>
      <c r="EH421" t="e">
        <f>AND(#REF!,"AAAAAG9NfIk=")</f>
        <v>#REF!</v>
      </c>
      <c r="EI421" t="e">
        <f>AND(#REF!,"AAAAAG9NfIo=")</f>
        <v>#REF!</v>
      </c>
      <c r="EJ421" t="e">
        <f>AND(#REF!,"AAAAAG9NfIs=")</f>
        <v>#REF!</v>
      </c>
      <c r="EK421" t="e">
        <f>IF(#REF!,"AAAAAG9NfIw=",0)</f>
        <v>#REF!</v>
      </c>
      <c r="EL421" t="e">
        <f>AND(#REF!,"AAAAAG9NfI0=")</f>
        <v>#REF!</v>
      </c>
      <c r="EM421" t="e">
        <f>AND(#REF!,"AAAAAG9NfI4=")</f>
        <v>#REF!</v>
      </c>
      <c r="EN421" t="e">
        <f>AND(#REF!,"AAAAAG9NfI8=")</f>
        <v>#REF!</v>
      </c>
      <c r="EO421" t="e">
        <f>AND(#REF!,"AAAAAG9NfJA=")</f>
        <v>#REF!</v>
      </c>
      <c r="EP421" t="e">
        <f>AND(#REF!,"AAAAAG9NfJE=")</f>
        <v>#REF!</v>
      </c>
      <c r="EQ421" t="e">
        <f>AND(#REF!,"AAAAAG9NfJI=")</f>
        <v>#REF!</v>
      </c>
      <c r="ER421" t="e">
        <f>AND(#REF!,"AAAAAG9NfJM=")</f>
        <v>#REF!</v>
      </c>
      <c r="ES421" t="e">
        <f>AND(#REF!,"AAAAAG9NfJQ=")</f>
        <v>#REF!</v>
      </c>
      <c r="ET421" t="e">
        <f>AND(#REF!,"AAAAAG9NfJU=")</f>
        <v>#REF!</v>
      </c>
      <c r="EU421" t="e">
        <f>AND(#REF!,"AAAAAG9NfJY=")</f>
        <v>#REF!</v>
      </c>
      <c r="EV421" t="e">
        <f>IF(#REF!,"AAAAAG9NfJc=",0)</f>
        <v>#REF!</v>
      </c>
      <c r="EW421" t="e">
        <f>AND(#REF!,"AAAAAG9NfJg=")</f>
        <v>#REF!</v>
      </c>
      <c r="EX421" t="e">
        <f>AND(#REF!,"AAAAAG9NfJk=")</f>
        <v>#REF!</v>
      </c>
      <c r="EY421" t="e">
        <f>AND(#REF!,"AAAAAG9NfJo=")</f>
        <v>#REF!</v>
      </c>
      <c r="EZ421" t="e">
        <f>AND(#REF!,"AAAAAG9NfJs=")</f>
        <v>#REF!</v>
      </c>
      <c r="FA421" t="e">
        <f>AND(#REF!,"AAAAAG9NfJw=")</f>
        <v>#REF!</v>
      </c>
      <c r="FB421" t="e">
        <f>AND(#REF!,"AAAAAG9NfJ0=")</f>
        <v>#REF!</v>
      </c>
      <c r="FC421" t="e">
        <f>AND(#REF!,"AAAAAG9NfJ4=")</f>
        <v>#REF!</v>
      </c>
      <c r="FD421" t="e">
        <f>AND(#REF!,"AAAAAG9NfJ8=")</f>
        <v>#REF!</v>
      </c>
      <c r="FE421" t="e">
        <f>AND(#REF!,"AAAAAG9NfKA=")</f>
        <v>#REF!</v>
      </c>
      <c r="FF421" t="e">
        <f>AND(#REF!,"AAAAAG9NfKE=")</f>
        <v>#REF!</v>
      </c>
      <c r="FG421" t="e">
        <f>IF(#REF!,"AAAAAG9NfKI=",0)</f>
        <v>#REF!</v>
      </c>
      <c r="FH421" t="e">
        <f>AND(#REF!,"AAAAAG9NfKM=")</f>
        <v>#REF!</v>
      </c>
      <c r="FI421" t="e">
        <f>AND(#REF!,"AAAAAG9NfKQ=")</f>
        <v>#REF!</v>
      </c>
      <c r="FJ421" t="e">
        <f>AND(#REF!,"AAAAAG9NfKU=")</f>
        <v>#REF!</v>
      </c>
      <c r="FK421" t="e">
        <f>AND(#REF!,"AAAAAG9NfKY=")</f>
        <v>#REF!</v>
      </c>
      <c r="FL421" t="e">
        <f>AND(#REF!,"AAAAAG9NfKc=")</f>
        <v>#REF!</v>
      </c>
      <c r="FM421" t="e">
        <f>AND(#REF!,"AAAAAG9NfKg=")</f>
        <v>#REF!</v>
      </c>
      <c r="FN421" t="e">
        <f>AND(#REF!,"AAAAAG9NfKk=")</f>
        <v>#REF!</v>
      </c>
      <c r="FO421" t="e">
        <f>AND(#REF!,"AAAAAG9NfKo=")</f>
        <v>#REF!</v>
      </c>
      <c r="FP421" t="e">
        <f>AND(#REF!,"AAAAAG9NfKs=")</f>
        <v>#REF!</v>
      </c>
      <c r="FQ421" t="e">
        <f>AND(#REF!,"AAAAAG9NfKw=")</f>
        <v>#REF!</v>
      </c>
      <c r="FR421" t="e">
        <f>IF(#REF!,"AAAAAG9NfK0=",0)</f>
        <v>#REF!</v>
      </c>
      <c r="FS421" t="e">
        <f>AND(#REF!,"AAAAAG9NfK4=")</f>
        <v>#REF!</v>
      </c>
      <c r="FT421" t="e">
        <f>AND(#REF!,"AAAAAG9NfK8=")</f>
        <v>#REF!</v>
      </c>
      <c r="FU421" t="e">
        <f>AND(#REF!,"AAAAAG9NfLA=")</f>
        <v>#REF!</v>
      </c>
      <c r="FV421" t="e">
        <f>AND(#REF!,"AAAAAG9NfLE=")</f>
        <v>#REF!</v>
      </c>
      <c r="FW421" t="e">
        <f>AND(#REF!,"AAAAAG9NfLI=")</f>
        <v>#REF!</v>
      </c>
      <c r="FX421" t="e">
        <f>AND(#REF!,"AAAAAG9NfLM=")</f>
        <v>#REF!</v>
      </c>
      <c r="FY421" t="e">
        <f>AND(#REF!,"AAAAAG9NfLQ=")</f>
        <v>#REF!</v>
      </c>
      <c r="FZ421" t="e">
        <f>AND(#REF!,"AAAAAG9NfLU=")</f>
        <v>#REF!</v>
      </c>
      <c r="GA421" t="e">
        <f>AND(#REF!,"AAAAAG9NfLY=")</f>
        <v>#REF!</v>
      </c>
      <c r="GB421" t="e">
        <f>AND(#REF!,"AAAAAG9NfLc=")</f>
        <v>#REF!</v>
      </c>
      <c r="GC421" t="e">
        <f>IF(#REF!,"AAAAAG9NfLg=",0)</f>
        <v>#REF!</v>
      </c>
      <c r="GD421" t="e">
        <f>AND(#REF!,"AAAAAG9NfLk=")</f>
        <v>#REF!</v>
      </c>
      <c r="GE421" t="e">
        <f>AND(#REF!,"AAAAAG9NfLo=")</f>
        <v>#REF!</v>
      </c>
      <c r="GF421" t="e">
        <f>AND(#REF!,"AAAAAG9NfLs=")</f>
        <v>#REF!</v>
      </c>
      <c r="GG421" t="e">
        <f>AND(#REF!,"AAAAAG9NfLw=")</f>
        <v>#REF!</v>
      </c>
      <c r="GH421" t="e">
        <f>AND(#REF!,"AAAAAG9NfL0=")</f>
        <v>#REF!</v>
      </c>
      <c r="GI421" t="e">
        <f>AND(#REF!,"AAAAAG9NfL4=")</f>
        <v>#REF!</v>
      </c>
      <c r="GJ421" t="e">
        <f>AND(#REF!,"AAAAAG9NfL8=")</f>
        <v>#REF!</v>
      </c>
      <c r="GK421" t="e">
        <f>AND(#REF!,"AAAAAG9NfMA=")</f>
        <v>#REF!</v>
      </c>
      <c r="GL421" t="e">
        <f>AND(#REF!,"AAAAAG9NfME=")</f>
        <v>#REF!</v>
      </c>
      <c r="GM421" t="e">
        <f>AND(#REF!,"AAAAAG9NfMI=")</f>
        <v>#REF!</v>
      </c>
      <c r="GN421" t="e">
        <f>IF(#REF!,"AAAAAG9NfMM=",0)</f>
        <v>#REF!</v>
      </c>
      <c r="GO421" t="e">
        <f>AND(#REF!,"AAAAAG9NfMQ=")</f>
        <v>#REF!</v>
      </c>
      <c r="GP421" t="e">
        <f>AND(#REF!,"AAAAAG9NfMU=")</f>
        <v>#REF!</v>
      </c>
      <c r="GQ421" t="e">
        <f>AND(#REF!,"AAAAAG9NfMY=")</f>
        <v>#REF!</v>
      </c>
      <c r="GR421" t="e">
        <f>AND(#REF!,"AAAAAG9NfMc=")</f>
        <v>#REF!</v>
      </c>
      <c r="GS421" t="e">
        <f>AND(#REF!,"AAAAAG9NfMg=")</f>
        <v>#REF!</v>
      </c>
      <c r="GT421" t="e">
        <f>AND(#REF!,"AAAAAG9NfMk=")</f>
        <v>#REF!</v>
      </c>
      <c r="GU421" t="e">
        <f>AND(#REF!,"AAAAAG9NfMo=")</f>
        <v>#REF!</v>
      </c>
      <c r="GV421" t="e">
        <f>AND(#REF!,"AAAAAG9NfMs=")</f>
        <v>#REF!</v>
      </c>
      <c r="GW421" t="e">
        <f>AND(#REF!,"AAAAAG9NfMw=")</f>
        <v>#REF!</v>
      </c>
      <c r="GX421" t="e">
        <f>AND(#REF!,"AAAAAG9NfM0=")</f>
        <v>#REF!</v>
      </c>
      <c r="GY421" t="e">
        <f>IF(#REF!,"AAAAAG9NfM4=",0)</f>
        <v>#REF!</v>
      </c>
      <c r="GZ421" t="e">
        <f>AND(#REF!,"AAAAAG9NfM8=")</f>
        <v>#REF!</v>
      </c>
      <c r="HA421" t="e">
        <f>AND(#REF!,"AAAAAG9NfNA=")</f>
        <v>#REF!</v>
      </c>
      <c r="HB421" t="e">
        <f>AND(#REF!,"AAAAAG9NfNE=")</f>
        <v>#REF!</v>
      </c>
      <c r="HC421" t="e">
        <f>AND(#REF!,"AAAAAG9NfNI=")</f>
        <v>#REF!</v>
      </c>
      <c r="HD421" t="e">
        <f>AND(#REF!,"AAAAAG9NfNM=")</f>
        <v>#REF!</v>
      </c>
      <c r="HE421" t="e">
        <f>AND(#REF!,"AAAAAG9NfNQ=")</f>
        <v>#REF!</v>
      </c>
      <c r="HF421" t="e">
        <f>AND(#REF!,"AAAAAG9NfNU=")</f>
        <v>#REF!</v>
      </c>
      <c r="HG421" t="e">
        <f>AND(#REF!,"AAAAAG9NfNY=")</f>
        <v>#REF!</v>
      </c>
      <c r="HH421" t="e">
        <f>AND(#REF!,"AAAAAG9NfNc=")</f>
        <v>#REF!</v>
      </c>
      <c r="HI421" t="e">
        <f>AND(#REF!,"AAAAAG9NfNg=")</f>
        <v>#REF!</v>
      </c>
      <c r="HJ421" t="e">
        <f>IF(#REF!,"AAAAAG9NfNk=",0)</f>
        <v>#REF!</v>
      </c>
      <c r="HK421" t="e">
        <f>AND(#REF!,"AAAAAG9NfNo=")</f>
        <v>#REF!</v>
      </c>
      <c r="HL421" t="e">
        <f>AND(#REF!,"AAAAAG9NfNs=")</f>
        <v>#REF!</v>
      </c>
      <c r="HM421" t="e">
        <f>AND(#REF!,"AAAAAG9NfNw=")</f>
        <v>#REF!</v>
      </c>
      <c r="HN421" t="e">
        <f>AND(#REF!,"AAAAAG9NfN0=")</f>
        <v>#REF!</v>
      </c>
      <c r="HO421" t="e">
        <f>AND(#REF!,"AAAAAG9NfN4=")</f>
        <v>#REF!</v>
      </c>
      <c r="HP421" t="e">
        <f>AND(#REF!,"AAAAAG9NfN8=")</f>
        <v>#REF!</v>
      </c>
      <c r="HQ421" t="e">
        <f>AND(#REF!,"AAAAAG9NfOA=")</f>
        <v>#REF!</v>
      </c>
      <c r="HR421" t="e">
        <f>AND(#REF!,"AAAAAG9NfOE=")</f>
        <v>#REF!</v>
      </c>
      <c r="HS421" t="e">
        <f>AND(#REF!,"AAAAAG9NfOI=")</f>
        <v>#REF!</v>
      </c>
      <c r="HT421" t="e">
        <f>AND(#REF!,"AAAAAG9NfOM=")</f>
        <v>#REF!</v>
      </c>
      <c r="HU421" t="e">
        <f>IF(#REF!,"AAAAAG9NfOQ=",0)</f>
        <v>#REF!</v>
      </c>
      <c r="HV421" t="e">
        <f>AND(#REF!,"AAAAAG9NfOU=")</f>
        <v>#REF!</v>
      </c>
      <c r="HW421" t="e">
        <f>AND(#REF!,"AAAAAG9NfOY=")</f>
        <v>#REF!</v>
      </c>
      <c r="HX421" t="e">
        <f>AND(#REF!,"AAAAAG9NfOc=")</f>
        <v>#REF!</v>
      </c>
      <c r="HY421" t="e">
        <f>AND(#REF!,"AAAAAG9NfOg=")</f>
        <v>#REF!</v>
      </c>
      <c r="HZ421" t="e">
        <f>AND(#REF!,"AAAAAG9NfOk=")</f>
        <v>#REF!</v>
      </c>
      <c r="IA421" t="e">
        <f>AND(#REF!,"AAAAAG9NfOo=")</f>
        <v>#REF!</v>
      </c>
      <c r="IB421" t="e">
        <f>AND(#REF!,"AAAAAG9NfOs=")</f>
        <v>#REF!</v>
      </c>
      <c r="IC421" t="e">
        <f>AND(#REF!,"AAAAAG9NfOw=")</f>
        <v>#REF!</v>
      </c>
      <c r="ID421" t="e">
        <f>AND(#REF!,"AAAAAG9NfO0=")</f>
        <v>#REF!</v>
      </c>
      <c r="IE421" t="e">
        <f>AND(#REF!,"AAAAAG9NfO4=")</f>
        <v>#REF!</v>
      </c>
      <c r="IF421" t="e">
        <f>IF(#REF!,"AAAAAG9NfO8=",0)</f>
        <v>#REF!</v>
      </c>
      <c r="IG421" t="e">
        <f>AND(#REF!,"AAAAAG9NfPA=")</f>
        <v>#REF!</v>
      </c>
      <c r="IH421" t="e">
        <f>AND(#REF!,"AAAAAG9NfPE=")</f>
        <v>#REF!</v>
      </c>
      <c r="II421" t="e">
        <f>AND(#REF!,"AAAAAG9NfPI=")</f>
        <v>#REF!</v>
      </c>
      <c r="IJ421" t="e">
        <f>AND(#REF!,"AAAAAG9NfPM=")</f>
        <v>#REF!</v>
      </c>
      <c r="IK421" t="e">
        <f>AND(#REF!,"AAAAAG9NfPQ=")</f>
        <v>#REF!</v>
      </c>
      <c r="IL421" t="e">
        <f>AND(#REF!,"AAAAAG9NfPU=")</f>
        <v>#REF!</v>
      </c>
      <c r="IM421" t="e">
        <f>AND(#REF!,"AAAAAG9NfPY=")</f>
        <v>#REF!</v>
      </c>
      <c r="IN421" t="e">
        <f>AND(#REF!,"AAAAAG9NfPc=")</f>
        <v>#REF!</v>
      </c>
      <c r="IO421" t="e">
        <f>AND(#REF!,"AAAAAG9NfPg=")</f>
        <v>#REF!</v>
      </c>
      <c r="IP421" t="e">
        <f>AND(#REF!,"AAAAAG9NfPk=")</f>
        <v>#REF!</v>
      </c>
      <c r="IQ421" t="e">
        <f>IF(#REF!,"AAAAAG9NfPo=",0)</f>
        <v>#REF!</v>
      </c>
      <c r="IR421" t="e">
        <f>AND(#REF!,"AAAAAG9NfPs=")</f>
        <v>#REF!</v>
      </c>
      <c r="IS421" t="e">
        <f>AND(#REF!,"AAAAAG9NfPw=")</f>
        <v>#REF!</v>
      </c>
      <c r="IT421" t="e">
        <f>AND(#REF!,"AAAAAG9NfP0=")</f>
        <v>#REF!</v>
      </c>
      <c r="IU421" t="e">
        <f>AND(#REF!,"AAAAAG9NfP4=")</f>
        <v>#REF!</v>
      </c>
      <c r="IV421" t="e">
        <f>AND(#REF!,"AAAAAG9NfP8=")</f>
        <v>#REF!</v>
      </c>
    </row>
    <row r="422" spans="1:256" x14ac:dyDescent="0.25">
      <c r="A422" t="e">
        <f>AND(#REF!,"AAAAAH3jvwA=")</f>
        <v>#REF!</v>
      </c>
      <c r="B422" t="e">
        <f>AND(#REF!,"AAAAAH3jvwE=")</f>
        <v>#REF!</v>
      </c>
      <c r="C422" t="e">
        <f>AND(#REF!,"AAAAAH3jvwI=")</f>
        <v>#REF!</v>
      </c>
      <c r="D422" t="e">
        <f>AND(#REF!,"AAAAAH3jvwM=")</f>
        <v>#REF!</v>
      </c>
      <c r="E422" t="e">
        <f>AND(#REF!,"AAAAAH3jvwQ=")</f>
        <v>#REF!</v>
      </c>
      <c r="F422" t="e">
        <f>IF(#REF!,"AAAAAH3jvwU=",0)</f>
        <v>#REF!</v>
      </c>
      <c r="G422" t="e">
        <f>AND(#REF!,"AAAAAH3jvwY=")</f>
        <v>#REF!</v>
      </c>
      <c r="H422" t="e">
        <f>AND(#REF!,"AAAAAH3jvwc=")</f>
        <v>#REF!</v>
      </c>
      <c r="I422" t="e">
        <f>AND(#REF!,"AAAAAH3jvwg=")</f>
        <v>#REF!</v>
      </c>
      <c r="J422" t="e">
        <f>AND(#REF!,"AAAAAH3jvwk=")</f>
        <v>#REF!</v>
      </c>
      <c r="K422" t="e">
        <f>AND(#REF!,"AAAAAH3jvwo=")</f>
        <v>#REF!</v>
      </c>
      <c r="L422" t="e">
        <f>AND(#REF!,"AAAAAH3jvws=")</f>
        <v>#REF!</v>
      </c>
      <c r="M422" t="e">
        <f>AND(#REF!,"AAAAAH3jvww=")</f>
        <v>#REF!</v>
      </c>
      <c r="N422" t="e">
        <f>AND(#REF!,"AAAAAH3jvw0=")</f>
        <v>#REF!</v>
      </c>
      <c r="O422" t="e">
        <f>AND(#REF!,"AAAAAH3jvw4=")</f>
        <v>#REF!</v>
      </c>
      <c r="P422" t="e">
        <f>AND(#REF!,"AAAAAH3jvw8=")</f>
        <v>#REF!</v>
      </c>
      <c r="Q422" t="e">
        <f>IF(#REF!,"AAAAAH3jvxA=",0)</f>
        <v>#REF!</v>
      </c>
      <c r="R422" t="e">
        <f>AND(#REF!,"AAAAAH3jvxE=")</f>
        <v>#REF!</v>
      </c>
      <c r="S422" t="e">
        <f>AND(#REF!,"AAAAAH3jvxI=")</f>
        <v>#REF!</v>
      </c>
      <c r="T422" t="e">
        <f>AND(#REF!,"AAAAAH3jvxM=")</f>
        <v>#REF!</v>
      </c>
      <c r="U422" t="e">
        <f>AND(#REF!,"AAAAAH3jvxQ=")</f>
        <v>#REF!</v>
      </c>
      <c r="V422" t="e">
        <f>AND(#REF!,"AAAAAH3jvxU=")</f>
        <v>#REF!</v>
      </c>
      <c r="W422" t="e">
        <f>AND(#REF!,"AAAAAH3jvxY=")</f>
        <v>#REF!</v>
      </c>
      <c r="X422" t="e">
        <f>AND(#REF!,"AAAAAH3jvxc=")</f>
        <v>#REF!</v>
      </c>
      <c r="Y422" t="e">
        <f>AND(#REF!,"AAAAAH3jvxg=")</f>
        <v>#REF!</v>
      </c>
      <c r="Z422" t="e">
        <f>AND(#REF!,"AAAAAH3jvxk=")</f>
        <v>#REF!</v>
      </c>
      <c r="AA422" t="e">
        <f>AND(#REF!,"AAAAAH3jvxo=")</f>
        <v>#REF!</v>
      </c>
      <c r="AB422" t="e">
        <f>IF(#REF!,"AAAAAH3jvxs=",0)</f>
        <v>#REF!</v>
      </c>
      <c r="AC422" t="e">
        <f>AND(#REF!,"AAAAAH3jvxw=")</f>
        <v>#REF!</v>
      </c>
      <c r="AD422" t="e">
        <f>AND(#REF!,"AAAAAH3jvx0=")</f>
        <v>#REF!</v>
      </c>
      <c r="AE422" t="e">
        <f>AND(#REF!,"AAAAAH3jvx4=")</f>
        <v>#REF!</v>
      </c>
      <c r="AF422" t="e">
        <f>AND(#REF!,"AAAAAH3jvx8=")</f>
        <v>#REF!</v>
      </c>
      <c r="AG422" t="e">
        <f>AND(#REF!,"AAAAAH3jvyA=")</f>
        <v>#REF!</v>
      </c>
      <c r="AH422" t="e">
        <f>AND(#REF!,"AAAAAH3jvyE=")</f>
        <v>#REF!</v>
      </c>
      <c r="AI422" t="e">
        <f>AND(#REF!,"AAAAAH3jvyI=")</f>
        <v>#REF!</v>
      </c>
      <c r="AJ422" t="e">
        <f>AND(#REF!,"AAAAAH3jvyM=")</f>
        <v>#REF!</v>
      </c>
      <c r="AK422" t="e">
        <f>AND(#REF!,"AAAAAH3jvyQ=")</f>
        <v>#REF!</v>
      </c>
      <c r="AL422" t="e">
        <f>AND(#REF!,"AAAAAH3jvyU=")</f>
        <v>#REF!</v>
      </c>
      <c r="AM422" t="e">
        <f>IF(#REF!,"AAAAAH3jvyY=",0)</f>
        <v>#REF!</v>
      </c>
      <c r="AN422" t="e">
        <f>AND(#REF!,"AAAAAH3jvyc=")</f>
        <v>#REF!</v>
      </c>
      <c r="AO422" t="e">
        <f>AND(#REF!,"AAAAAH3jvyg=")</f>
        <v>#REF!</v>
      </c>
      <c r="AP422" t="e">
        <f>AND(#REF!,"AAAAAH3jvyk=")</f>
        <v>#REF!</v>
      </c>
      <c r="AQ422" t="e">
        <f>AND(#REF!,"AAAAAH3jvyo=")</f>
        <v>#REF!</v>
      </c>
      <c r="AR422" t="e">
        <f>AND(#REF!,"AAAAAH3jvys=")</f>
        <v>#REF!</v>
      </c>
      <c r="AS422" t="e">
        <f>AND(#REF!,"AAAAAH3jvyw=")</f>
        <v>#REF!</v>
      </c>
      <c r="AT422" t="e">
        <f>AND(#REF!,"AAAAAH3jvy0=")</f>
        <v>#REF!</v>
      </c>
      <c r="AU422" t="e">
        <f>AND(#REF!,"AAAAAH3jvy4=")</f>
        <v>#REF!</v>
      </c>
      <c r="AV422" t="e">
        <f>AND(#REF!,"AAAAAH3jvy8=")</f>
        <v>#REF!</v>
      </c>
      <c r="AW422" t="e">
        <f>AND(#REF!,"AAAAAH3jvzA=")</f>
        <v>#REF!</v>
      </c>
      <c r="AX422" t="e">
        <f>IF(#REF!,"AAAAAH3jvzE=",0)</f>
        <v>#REF!</v>
      </c>
      <c r="AY422" t="e">
        <f>AND(#REF!,"AAAAAH3jvzI=")</f>
        <v>#REF!</v>
      </c>
      <c r="AZ422" t="e">
        <f>AND(#REF!,"AAAAAH3jvzM=")</f>
        <v>#REF!</v>
      </c>
      <c r="BA422" t="e">
        <f>AND(#REF!,"AAAAAH3jvzQ=")</f>
        <v>#REF!</v>
      </c>
      <c r="BB422" t="e">
        <f>AND(#REF!,"AAAAAH3jvzU=")</f>
        <v>#REF!</v>
      </c>
      <c r="BC422" t="e">
        <f>AND(#REF!,"AAAAAH3jvzY=")</f>
        <v>#REF!</v>
      </c>
      <c r="BD422" t="e">
        <f>AND(#REF!,"AAAAAH3jvzc=")</f>
        <v>#REF!</v>
      </c>
      <c r="BE422" t="e">
        <f>AND(#REF!,"AAAAAH3jvzg=")</f>
        <v>#REF!</v>
      </c>
      <c r="BF422" t="e">
        <f>AND(#REF!,"AAAAAH3jvzk=")</f>
        <v>#REF!</v>
      </c>
      <c r="BG422" t="e">
        <f>AND(#REF!,"AAAAAH3jvzo=")</f>
        <v>#REF!</v>
      </c>
      <c r="BH422" t="e">
        <f>AND(#REF!,"AAAAAH3jvzs=")</f>
        <v>#REF!</v>
      </c>
      <c r="BI422" t="e">
        <f>IF(#REF!,"AAAAAH3jvzw=",0)</f>
        <v>#REF!</v>
      </c>
      <c r="BJ422" t="e">
        <f>AND(#REF!,"AAAAAH3jvz0=")</f>
        <v>#REF!</v>
      </c>
      <c r="BK422" t="e">
        <f>AND(#REF!,"AAAAAH3jvz4=")</f>
        <v>#REF!</v>
      </c>
      <c r="BL422" t="e">
        <f>AND(#REF!,"AAAAAH3jvz8=")</f>
        <v>#REF!</v>
      </c>
      <c r="BM422" t="e">
        <f>AND(#REF!,"AAAAAH3jv0A=")</f>
        <v>#REF!</v>
      </c>
      <c r="BN422" t="e">
        <f>AND(#REF!,"AAAAAH3jv0E=")</f>
        <v>#REF!</v>
      </c>
      <c r="BO422" t="e">
        <f>AND(#REF!,"AAAAAH3jv0I=")</f>
        <v>#REF!</v>
      </c>
      <c r="BP422" t="e">
        <f>AND(#REF!,"AAAAAH3jv0M=")</f>
        <v>#REF!</v>
      </c>
      <c r="BQ422" t="e">
        <f>AND(#REF!,"AAAAAH3jv0Q=")</f>
        <v>#REF!</v>
      </c>
      <c r="BR422" t="e">
        <f>AND(#REF!,"AAAAAH3jv0U=")</f>
        <v>#REF!</v>
      </c>
      <c r="BS422" t="e">
        <f>AND(#REF!,"AAAAAH3jv0Y=")</f>
        <v>#REF!</v>
      </c>
      <c r="BT422" t="e">
        <f>IF(#REF!,"AAAAAH3jv0c=",0)</f>
        <v>#REF!</v>
      </c>
      <c r="BU422" t="e">
        <f>AND(#REF!,"AAAAAH3jv0g=")</f>
        <v>#REF!</v>
      </c>
      <c r="BV422" t="e">
        <f>AND(#REF!,"AAAAAH3jv0k=")</f>
        <v>#REF!</v>
      </c>
      <c r="BW422" t="e">
        <f>AND(#REF!,"AAAAAH3jv0o=")</f>
        <v>#REF!</v>
      </c>
      <c r="BX422" t="e">
        <f>AND(#REF!,"AAAAAH3jv0s=")</f>
        <v>#REF!</v>
      </c>
      <c r="BY422" t="e">
        <f>AND(#REF!,"AAAAAH3jv0w=")</f>
        <v>#REF!</v>
      </c>
      <c r="BZ422" t="e">
        <f>AND(#REF!,"AAAAAH3jv00=")</f>
        <v>#REF!</v>
      </c>
      <c r="CA422" t="e">
        <f>AND(#REF!,"AAAAAH3jv04=")</f>
        <v>#REF!</v>
      </c>
      <c r="CB422" t="e">
        <f>AND(#REF!,"AAAAAH3jv08=")</f>
        <v>#REF!</v>
      </c>
      <c r="CC422" t="e">
        <f>AND(#REF!,"AAAAAH3jv1A=")</f>
        <v>#REF!</v>
      </c>
      <c r="CD422" t="e">
        <f>AND(#REF!,"AAAAAH3jv1E=")</f>
        <v>#REF!</v>
      </c>
      <c r="CE422" t="e">
        <f>IF(#REF!,"AAAAAH3jv1I=",0)</f>
        <v>#REF!</v>
      </c>
      <c r="CF422" t="e">
        <f>AND(#REF!,"AAAAAH3jv1M=")</f>
        <v>#REF!</v>
      </c>
      <c r="CG422" t="e">
        <f>AND(#REF!,"AAAAAH3jv1Q=")</f>
        <v>#REF!</v>
      </c>
      <c r="CH422" t="e">
        <f>AND(#REF!,"AAAAAH3jv1U=")</f>
        <v>#REF!</v>
      </c>
      <c r="CI422" t="e">
        <f>AND(#REF!,"AAAAAH3jv1Y=")</f>
        <v>#REF!</v>
      </c>
      <c r="CJ422" t="e">
        <f>AND(#REF!,"AAAAAH3jv1c=")</f>
        <v>#REF!</v>
      </c>
      <c r="CK422" t="e">
        <f>AND(#REF!,"AAAAAH3jv1g=")</f>
        <v>#REF!</v>
      </c>
      <c r="CL422" t="e">
        <f>AND(#REF!,"AAAAAH3jv1k=")</f>
        <v>#REF!</v>
      </c>
      <c r="CM422" t="e">
        <f>AND(#REF!,"AAAAAH3jv1o=")</f>
        <v>#REF!</v>
      </c>
      <c r="CN422" t="e">
        <f>AND(#REF!,"AAAAAH3jv1s=")</f>
        <v>#REF!</v>
      </c>
      <c r="CO422" t="e">
        <f>AND(#REF!,"AAAAAH3jv1w=")</f>
        <v>#REF!</v>
      </c>
      <c r="CP422" t="e">
        <f>IF(#REF!,"AAAAAH3jv10=",0)</f>
        <v>#REF!</v>
      </c>
      <c r="CQ422" t="e">
        <f>AND(#REF!,"AAAAAH3jv14=")</f>
        <v>#REF!</v>
      </c>
      <c r="CR422" t="e">
        <f>AND(#REF!,"AAAAAH3jv18=")</f>
        <v>#REF!</v>
      </c>
      <c r="CS422" t="e">
        <f>AND(#REF!,"AAAAAH3jv2A=")</f>
        <v>#REF!</v>
      </c>
      <c r="CT422" t="e">
        <f>AND(#REF!,"AAAAAH3jv2E=")</f>
        <v>#REF!</v>
      </c>
      <c r="CU422" t="e">
        <f>AND(#REF!,"AAAAAH3jv2I=")</f>
        <v>#REF!</v>
      </c>
      <c r="CV422" t="e">
        <f>AND(#REF!,"AAAAAH3jv2M=")</f>
        <v>#REF!</v>
      </c>
      <c r="CW422" t="e">
        <f>AND(#REF!,"AAAAAH3jv2Q=")</f>
        <v>#REF!</v>
      </c>
      <c r="CX422" t="e">
        <f>AND(#REF!,"AAAAAH3jv2U=")</f>
        <v>#REF!</v>
      </c>
      <c r="CY422" t="e">
        <f>AND(#REF!,"AAAAAH3jv2Y=")</f>
        <v>#REF!</v>
      </c>
      <c r="CZ422" t="e">
        <f>AND(#REF!,"AAAAAH3jv2c=")</f>
        <v>#REF!</v>
      </c>
      <c r="DA422" t="e">
        <f>IF(#REF!,"AAAAAH3jv2g=",0)</f>
        <v>#REF!</v>
      </c>
      <c r="DB422" t="e">
        <f>AND(#REF!,"AAAAAH3jv2k=")</f>
        <v>#REF!</v>
      </c>
      <c r="DC422" t="e">
        <f>AND(#REF!,"AAAAAH3jv2o=")</f>
        <v>#REF!</v>
      </c>
      <c r="DD422" t="e">
        <f>AND(#REF!,"AAAAAH3jv2s=")</f>
        <v>#REF!</v>
      </c>
      <c r="DE422" t="e">
        <f>AND(#REF!,"AAAAAH3jv2w=")</f>
        <v>#REF!</v>
      </c>
      <c r="DF422" t="e">
        <f>AND(#REF!,"AAAAAH3jv20=")</f>
        <v>#REF!</v>
      </c>
      <c r="DG422" t="e">
        <f>AND(#REF!,"AAAAAH3jv24=")</f>
        <v>#REF!</v>
      </c>
      <c r="DH422" t="e">
        <f>AND(#REF!,"AAAAAH3jv28=")</f>
        <v>#REF!</v>
      </c>
      <c r="DI422" t="e">
        <f>AND(#REF!,"AAAAAH3jv3A=")</f>
        <v>#REF!</v>
      </c>
      <c r="DJ422" t="e">
        <f>AND(#REF!,"AAAAAH3jv3E=")</f>
        <v>#REF!</v>
      </c>
      <c r="DK422" t="e">
        <f>AND(#REF!,"AAAAAH3jv3I=")</f>
        <v>#REF!</v>
      </c>
      <c r="DL422" t="e">
        <f>IF(#REF!,"AAAAAH3jv3M=",0)</f>
        <v>#REF!</v>
      </c>
      <c r="DM422" t="e">
        <f>AND(#REF!,"AAAAAH3jv3Q=")</f>
        <v>#REF!</v>
      </c>
      <c r="DN422" t="e">
        <f>AND(#REF!,"AAAAAH3jv3U=")</f>
        <v>#REF!</v>
      </c>
      <c r="DO422" t="e">
        <f>AND(#REF!,"AAAAAH3jv3Y=")</f>
        <v>#REF!</v>
      </c>
      <c r="DP422" t="e">
        <f>AND(#REF!,"AAAAAH3jv3c=")</f>
        <v>#REF!</v>
      </c>
      <c r="DQ422" t="e">
        <f>AND(#REF!,"AAAAAH3jv3g=")</f>
        <v>#REF!</v>
      </c>
      <c r="DR422" t="e">
        <f>AND(#REF!,"AAAAAH3jv3k=")</f>
        <v>#REF!</v>
      </c>
      <c r="DS422" t="e">
        <f>AND(#REF!,"AAAAAH3jv3o=")</f>
        <v>#REF!</v>
      </c>
      <c r="DT422" t="e">
        <f>AND(#REF!,"AAAAAH3jv3s=")</f>
        <v>#REF!</v>
      </c>
      <c r="DU422" t="e">
        <f>AND(#REF!,"AAAAAH3jv3w=")</f>
        <v>#REF!</v>
      </c>
      <c r="DV422" t="e">
        <f>AND(#REF!,"AAAAAH3jv30=")</f>
        <v>#REF!</v>
      </c>
      <c r="DW422" t="e">
        <f>IF(#REF!,"AAAAAH3jv34=",0)</f>
        <v>#REF!</v>
      </c>
      <c r="DX422" t="e">
        <f>AND(#REF!,"AAAAAH3jv38=")</f>
        <v>#REF!</v>
      </c>
      <c r="DY422" t="e">
        <f>AND(#REF!,"AAAAAH3jv4A=")</f>
        <v>#REF!</v>
      </c>
      <c r="DZ422" t="e">
        <f>AND(#REF!,"AAAAAH3jv4E=")</f>
        <v>#REF!</v>
      </c>
      <c r="EA422" t="e">
        <f>AND(#REF!,"AAAAAH3jv4I=")</f>
        <v>#REF!</v>
      </c>
      <c r="EB422" t="e">
        <f>AND(#REF!,"AAAAAH3jv4M=")</f>
        <v>#REF!</v>
      </c>
      <c r="EC422" t="e">
        <f>AND(#REF!,"AAAAAH3jv4Q=")</f>
        <v>#REF!</v>
      </c>
      <c r="ED422" t="e">
        <f>AND(#REF!,"AAAAAH3jv4U=")</f>
        <v>#REF!</v>
      </c>
      <c r="EE422" t="e">
        <f>AND(#REF!,"AAAAAH3jv4Y=")</f>
        <v>#REF!</v>
      </c>
      <c r="EF422" t="e">
        <f>AND(#REF!,"AAAAAH3jv4c=")</f>
        <v>#REF!</v>
      </c>
      <c r="EG422" t="e">
        <f>AND(#REF!,"AAAAAH3jv4g=")</f>
        <v>#REF!</v>
      </c>
      <c r="EH422" t="e">
        <f>IF(#REF!,"AAAAAH3jv4k=",0)</f>
        <v>#REF!</v>
      </c>
      <c r="EI422" t="e">
        <f>AND(#REF!,"AAAAAH3jv4o=")</f>
        <v>#REF!</v>
      </c>
      <c r="EJ422" t="e">
        <f>AND(#REF!,"AAAAAH3jv4s=")</f>
        <v>#REF!</v>
      </c>
      <c r="EK422" t="e">
        <f>AND(#REF!,"AAAAAH3jv4w=")</f>
        <v>#REF!</v>
      </c>
      <c r="EL422" t="e">
        <f>AND(#REF!,"AAAAAH3jv40=")</f>
        <v>#REF!</v>
      </c>
      <c r="EM422" t="e">
        <f>AND(#REF!,"AAAAAH3jv44=")</f>
        <v>#REF!</v>
      </c>
      <c r="EN422" t="e">
        <f>AND(#REF!,"AAAAAH3jv48=")</f>
        <v>#REF!</v>
      </c>
      <c r="EO422" t="e">
        <f>AND(#REF!,"AAAAAH3jv5A=")</f>
        <v>#REF!</v>
      </c>
      <c r="EP422" t="e">
        <f>AND(#REF!,"AAAAAH3jv5E=")</f>
        <v>#REF!</v>
      </c>
      <c r="EQ422" t="e">
        <f>AND(#REF!,"AAAAAH3jv5I=")</f>
        <v>#REF!</v>
      </c>
      <c r="ER422" t="e">
        <f>AND(#REF!,"AAAAAH3jv5M=")</f>
        <v>#REF!</v>
      </c>
      <c r="ES422" t="e">
        <f>IF(#REF!,"AAAAAH3jv5Q=",0)</f>
        <v>#REF!</v>
      </c>
      <c r="ET422" t="e">
        <f>AND(#REF!,"AAAAAH3jv5U=")</f>
        <v>#REF!</v>
      </c>
      <c r="EU422" t="e">
        <f>AND(#REF!,"AAAAAH3jv5Y=")</f>
        <v>#REF!</v>
      </c>
      <c r="EV422" t="e">
        <f>AND(#REF!,"AAAAAH3jv5c=")</f>
        <v>#REF!</v>
      </c>
      <c r="EW422" t="e">
        <f>AND(#REF!,"AAAAAH3jv5g=")</f>
        <v>#REF!</v>
      </c>
      <c r="EX422" t="e">
        <f>AND(#REF!,"AAAAAH3jv5k=")</f>
        <v>#REF!</v>
      </c>
      <c r="EY422" t="e">
        <f>AND(#REF!,"AAAAAH3jv5o=")</f>
        <v>#REF!</v>
      </c>
      <c r="EZ422" t="e">
        <f>AND(#REF!,"AAAAAH3jv5s=")</f>
        <v>#REF!</v>
      </c>
      <c r="FA422" t="e">
        <f>AND(#REF!,"AAAAAH3jv5w=")</f>
        <v>#REF!</v>
      </c>
      <c r="FB422" t="e">
        <f>AND(#REF!,"AAAAAH3jv50=")</f>
        <v>#REF!</v>
      </c>
      <c r="FC422" t="e">
        <f>AND(#REF!,"AAAAAH3jv54=")</f>
        <v>#REF!</v>
      </c>
      <c r="FD422" t="e">
        <f>IF(#REF!,"AAAAAH3jv58=",0)</f>
        <v>#REF!</v>
      </c>
      <c r="FE422" t="e">
        <f>AND(#REF!,"AAAAAH3jv6A=")</f>
        <v>#REF!</v>
      </c>
      <c r="FF422" t="e">
        <f>AND(#REF!,"AAAAAH3jv6E=")</f>
        <v>#REF!</v>
      </c>
      <c r="FG422" t="e">
        <f>AND(#REF!,"AAAAAH3jv6I=")</f>
        <v>#REF!</v>
      </c>
      <c r="FH422" t="e">
        <f>AND(#REF!,"AAAAAH3jv6M=")</f>
        <v>#REF!</v>
      </c>
      <c r="FI422" t="e">
        <f>AND(#REF!,"AAAAAH3jv6Q=")</f>
        <v>#REF!</v>
      </c>
      <c r="FJ422" t="e">
        <f>AND(#REF!,"AAAAAH3jv6U=")</f>
        <v>#REF!</v>
      </c>
      <c r="FK422" t="e">
        <f>AND(#REF!,"AAAAAH3jv6Y=")</f>
        <v>#REF!</v>
      </c>
      <c r="FL422" t="e">
        <f>AND(#REF!,"AAAAAH3jv6c=")</f>
        <v>#REF!</v>
      </c>
      <c r="FM422" t="e">
        <f>AND(#REF!,"AAAAAH3jv6g=")</f>
        <v>#REF!</v>
      </c>
      <c r="FN422" t="e">
        <f>AND(#REF!,"AAAAAH3jv6k=")</f>
        <v>#REF!</v>
      </c>
      <c r="FO422" t="e">
        <f>IF(#REF!,"AAAAAH3jv6o=",0)</f>
        <v>#REF!</v>
      </c>
      <c r="FP422" t="e">
        <f>AND(#REF!,"AAAAAH3jv6s=")</f>
        <v>#REF!</v>
      </c>
      <c r="FQ422" t="e">
        <f>AND(#REF!,"AAAAAH3jv6w=")</f>
        <v>#REF!</v>
      </c>
      <c r="FR422" t="e">
        <f>AND(#REF!,"AAAAAH3jv60=")</f>
        <v>#REF!</v>
      </c>
      <c r="FS422" t="e">
        <f>AND(#REF!,"AAAAAH3jv64=")</f>
        <v>#REF!</v>
      </c>
      <c r="FT422" t="e">
        <f>AND(#REF!,"AAAAAH3jv68=")</f>
        <v>#REF!</v>
      </c>
      <c r="FU422" t="e">
        <f>AND(#REF!,"AAAAAH3jv7A=")</f>
        <v>#REF!</v>
      </c>
      <c r="FV422" t="e">
        <f>AND(#REF!,"AAAAAH3jv7E=")</f>
        <v>#REF!</v>
      </c>
      <c r="FW422" t="e">
        <f>AND(#REF!,"AAAAAH3jv7I=")</f>
        <v>#REF!</v>
      </c>
      <c r="FX422" t="e">
        <f>AND(#REF!,"AAAAAH3jv7M=")</f>
        <v>#REF!</v>
      </c>
      <c r="FY422" t="e">
        <f>AND(#REF!,"AAAAAH3jv7Q=")</f>
        <v>#REF!</v>
      </c>
      <c r="FZ422" t="e">
        <f>IF(#REF!,"AAAAAH3jv7U=",0)</f>
        <v>#REF!</v>
      </c>
      <c r="GA422" t="e">
        <f>AND(#REF!,"AAAAAH3jv7Y=")</f>
        <v>#REF!</v>
      </c>
      <c r="GB422" t="e">
        <f>AND(#REF!,"AAAAAH3jv7c=")</f>
        <v>#REF!</v>
      </c>
      <c r="GC422" t="e">
        <f>AND(#REF!,"AAAAAH3jv7g=")</f>
        <v>#REF!</v>
      </c>
      <c r="GD422" t="e">
        <f>AND(#REF!,"AAAAAH3jv7k=")</f>
        <v>#REF!</v>
      </c>
      <c r="GE422" t="e">
        <f>AND(#REF!,"AAAAAH3jv7o=")</f>
        <v>#REF!</v>
      </c>
      <c r="GF422" t="e">
        <f>AND(#REF!,"AAAAAH3jv7s=")</f>
        <v>#REF!</v>
      </c>
      <c r="GG422" t="e">
        <f>AND(#REF!,"AAAAAH3jv7w=")</f>
        <v>#REF!</v>
      </c>
      <c r="GH422" t="e">
        <f>AND(#REF!,"AAAAAH3jv70=")</f>
        <v>#REF!</v>
      </c>
      <c r="GI422" t="e">
        <f>AND(#REF!,"AAAAAH3jv74=")</f>
        <v>#REF!</v>
      </c>
      <c r="GJ422" t="e">
        <f>AND(#REF!,"AAAAAH3jv78=")</f>
        <v>#REF!</v>
      </c>
      <c r="GK422" t="e">
        <f>IF(#REF!,"AAAAAH3jv8A=",0)</f>
        <v>#REF!</v>
      </c>
      <c r="GL422" t="e">
        <f>AND(#REF!,"AAAAAH3jv8E=")</f>
        <v>#REF!</v>
      </c>
      <c r="GM422" t="e">
        <f>AND(#REF!,"AAAAAH3jv8I=")</f>
        <v>#REF!</v>
      </c>
      <c r="GN422" t="e">
        <f>AND(#REF!,"AAAAAH3jv8M=")</f>
        <v>#REF!</v>
      </c>
      <c r="GO422" t="e">
        <f>AND(#REF!,"AAAAAH3jv8Q=")</f>
        <v>#REF!</v>
      </c>
      <c r="GP422" t="e">
        <f>AND(#REF!,"AAAAAH3jv8U=")</f>
        <v>#REF!</v>
      </c>
      <c r="GQ422" t="e">
        <f>AND(#REF!,"AAAAAH3jv8Y=")</f>
        <v>#REF!</v>
      </c>
      <c r="GR422" t="e">
        <f>AND(#REF!,"AAAAAH3jv8c=")</f>
        <v>#REF!</v>
      </c>
      <c r="GS422" t="e">
        <f>AND(#REF!,"AAAAAH3jv8g=")</f>
        <v>#REF!</v>
      </c>
      <c r="GT422" t="e">
        <f>AND(#REF!,"AAAAAH3jv8k=")</f>
        <v>#REF!</v>
      </c>
      <c r="GU422" t="e">
        <f>AND(#REF!,"AAAAAH3jv8o=")</f>
        <v>#REF!</v>
      </c>
      <c r="GV422" t="e">
        <f>IF(#REF!,"AAAAAH3jv8s=",0)</f>
        <v>#REF!</v>
      </c>
      <c r="GW422" t="e">
        <f>AND(#REF!,"AAAAAH3jv8w=")</f>
        <v>#REF!</v>
      </c>
      <c r="GX422" t="e">
        <f>AND(#REF!,"AAAAAH3jv80=")</f>
        <v>#REF!</v>
      </c>
      <c r="GY422" t="e">
        <f>AND(#REF!,"AAAAAH3jv84=")</f>
        <v>#REF!</v>
      </c>
      <c r="GZ422" t="e">
        <f>AND(#REF!,"AAAAAH3jv88=")</f>
        <v>#REF!</v>
      </c>
      <c r="HA422" t="e">
        <f>AND(#REF!,"AAAAAH3jv9A=")</f>
        <v>#REF!</v>
      </c>
      <c r="HB422" t="e">
        <f>AND(#REF!,"AAAAAH3jv9E=")</f>
        <v>#REF!</v>
      </c>
      <c r="HC422" t="e">
        <f>AND(#REF!,"AAAAAH3jv9I=")</f>
        <v>#REF!</v>
      </c>
      <c r="HD422" t="e">
        <f>AND(#REF!,"AAAAAH3jv9M=")</f>
        <v>#REF!</v>
      </c>
      <c r="HE422" t="e">
        <f>AND(#REF!,"AAAAAH3jv9Q=")</f>
        <v>#REF!</v>
      </c>
      <c r="HF422" t="e">
        <f>AND(#REF!,"AAAAAH3jv9U=")</f>
        <v>#REF!</v>
      </c>
      <c r="HG422" t="e">
        <f>IF(#REF!,"AAAAAH3jv9Y=",0)</f>
        <v>#REF!</v>
      </c>
      <c r="HH422" t="e">
        <f>AND(#REF!,"AAAAAH3jv9c=")</f>
        <v>#REF!</v>
      </c>
      <c r="HI422" t="e">
        <f>AND(#REF!,"AAAAAH3jv9g=")</f>
        <v>#REF!</v>
      </c>
      <c r="HJ422" t="e">
        <f>AND(#REF!,"AAAAAH3jv9k=")</f>
        <v>#REF!</v>
      </c>
      <c r="HK422" t="e">
        <f>AND(#REF!,"AAAAAH3jv9o=")</f>
        <v>#REF!</v>
      </c>
      <c r="HL422" t="e">
        <f>AND(#REF!,"AAAAAH3jv9s=")</f>
        <v>#REF!</v>
      </c>
      <c r="HM422" t="e">
        <f>AND(#REF!,"AAAAAH3jv9w=")</f>
        <v>#REF!</v>
      </c>
      <c r="HN422" t="e">
        <f>AND(#REF!,"AAAAAH3jv90=")</f>
        <v>#REF!</v>
      </c>
      <c r="HO422" t="e">
        <f>AND(#REF!,"AAAAAH3jv94=")</f>
        <v>#REF!</v>
      </c>
      <c r="HP422" t="e">
        <f>AND(#REF!,"AAAAAH3jv98=")</f>
        <v>#REF!</v>
      </c>
      <c r="HQ422" t="e">
        <f>AND(#REF!,"AAAAAH3jv+A=")</f>
        <v>#REF!</v>
      </c>
      <c r="HR422" t="e">
        <f>IF(#REF!,"AAAAAH3jv+E=",0)</f>
        <v>#REF!</v>
      </c>
      <c r="HS422" t="e">
        <f>AND(#REF!,"AAAAAH3jv+I=")</f>
        <v>#REF!</v>
      </c>
      <c r="HT422" t="e">
        <f>AND(#REF!,"AAAAAH3jv+M=")</f>
        <v>#REF!</v>
      </c>
      <c r="HU422" t="e">
        <f>AND(#REF!,"AAAAAH3jv+Q=")</f>
        <v>#REF!</v>
      </c>
      <c r="HV422" t="e">
        <f>AND(#REF!,"AAAAAH3jv+U=")</f>
        <v>#REF!</v>
      </c>
      <c r="HW422" t="e">
        <f>AND(#REF!,"AAAAAH3jv+Y=")</f>
        <v>#REF!</v>
      </c>
      <c r="HX422" t="e">
        <f>AND(#REF!,"AAAAAH3jv+c=")</f>
        <v>#REF!</v>
      </c>
      <c r="HY422" t="e">
        <f>AND(#REF!,"AAAAAH3jv+g=")</f>
        <v>#REF!</v>
      </c>
      <c r="HZ422" t="e">
        <f>AND(#REF!,"AAAAAH3jv+k=")</f>
        <v>#REF!</v>
      </c>
      <c r="IA422" t="e">
        <f>AND(#REF!,"AAAAAH3jv+o=")</f>
        <v>#REF!</v>
      </c>
      <c r="IB422" t="e">
        <f>AND(#REF!,"AAAAAH3jv+s=")</f>
        <v>#REF!</v>
      </c>
      <c r="IC422" t="e">
        <f>IF(#REF!,"AAAAAH3jv+w=",0)</f>
        <v>#REF!</v>
      </c>
      <c r="ID422" t="e">
        <f>AND(#REF!,"AAAAAH3jv+0=")</f>
        <v>#REF!</v>
      </c>
      <c r="IE422" t="e">
        <f>AND(#REF!,"AAAAAH3jv+4=")</f>
        <v>#REF!</v>
      </c>
      <c r="IF422" t="e">
        <f>AND(#REF!,"AAAAAH3jv+8=")</f>
        <v>#REF!</v>
      </c>
      <c r="IG422" t="e">
        <f>AND(#REF!,"AAAAAH3jv/A=")</f>
        <v>#REF!</v>
      </c>
      <c r="IH422" t="e">
        <f>AND(#REF!,"AAAAAH3jv/E=")</f>
        <v>#REF!</v>
      </c>
      <c r="II422" t="e">
        <f>AND(#REF!,"AAAAAH3jv/I=")</f>
        <v>#REF!</v>
      </c>
      <c r="IJ422" t="e">
        <f>AND(#REF!,"AAAAAH3jv/M=")</f>
        <v>#REF!</v>
      </c>
      <c r="IK422" t="e">
        <f>AND(#REF!,"AAAAAH3jv/Q=")</f>
        <v>#REF!</v>
      </c>
      <c r="IL422" t="e">
        <f>AND(#REF!,"AAAAAH3jv/U=")</f>
        <v>#REF!</v>
      </c>
      <c r="IM422" t="e">
        <f>AND(#REF!,"AAAAAH3jv/Y=")</f>
        <v>#REF!</v>
      </c>
      <c r="IN422" t="e">
        <f>IF(#REF!,"AAAAAH3jv/c=",0)</f>
        <v>#REF!</v>
      </c>
      <c r="IO422" t="e">
        <f>AND(#REF!,"AAAAAH3jv/g=")</f>
        <v>#REF!</v>
      </c>
      <c r="IP422" t="e">
        <f>AND(#REF!,"AAAAAH3jv/k=")</f>
        <v>#REF!</v>
      </c>
      <c r="IQ422" t="e">
        <f>AND(#REF!,"AAAAAH3jv/o=")</f>
        <v>#REF!</v>
      </c>
      <c r="IR422" t="e">
        <f>AND(#REF!,"AAAAAH3jv/s=")</f>
        <v>#REF!</v>
      </c>
      <c r="IS422" t="e">
        <f>AND(#REF!,"AAAAAH3jv/w=")</f>
        <v>#REF!</v>
      </c>
      <c r="IT422" t="e">
        <f>AND(#REF!,"AAAAAH3jv/0=")</f>
        <v>#REF!</v>
      </c>
      <c r="IU422" t="e">
        <f>AND(#REF!,"AAAAAH3jv/4=")</f>
        <v>#REF!</v>
      </c>
      <c r="IV422" t="e">
        <f>AND(#REF!,"AAAAAH3jv/8=")</f>
        <v>#REF!</v>
      </c>
    </row>
    <row r="423" spans="1:256" x14ac:dyDescent="0.25">
      <c r="A423" t="e">
        <f>AND(#REF!,"AAAAADvlewA=")</f>
        <v>#REF!</v>
      </c>
      <c r="B423" t="e">
        <f>AND(#REF!,"AAAAADvlewE=")</f>
        <v>#REF!</v>
      </c>
      <c r="C423" t="e">
        <f>IF(#REF!,"AAAAADvlewI=",0)</f>
        <v>#REF!</v>
      </c>
      <c r="D423" t="e">
        <f>AND(#REF!,"AAAAADvlewM=")</f>
        <v>#REF!</v>
      </c>
      <c r="E423" t="e">
        <f>AND(#REF!,"AAAAADvlewQ=")</f>
        <v>#REF!</v>
      </c>
      <c r="F423" t="e">
        <f>AND(#REF!,"AAAAADvlewU=")</f>
        <v>#REF!</v>
      </c>
      <c r="G423" t="e">
        <f>AND(#REF!,"AAAAADvlewY=")</f>
        <v>#REF!</v>
      </c>
      <c r="H423" t="e">
        <f>AND(#REF!,"AAAAADvlewc=")</f>
        <v>#REF!</v>
      </c>
      <c r="I423" t="e">
        <f>AND(#REF!,"AAAAADvlewg=")</f>
        <v>#REF!</v>
      </c>
      <c r="J423" t="e">
        <f>AND(#REF!,"AAAAADvlewk=")</f>
        <v>#REF!</v>
      </c>
      <c r="K423" t="e">
        <f>AND(#REF!,"AAAAADvlewo=")</f>
        <v>#REF!</v>
      </c>
      <c r="L423" t="e">
        <f>AND(#REF!,"AAAAADvlews=")</f>
        <v>#REF!</v>
      </c>
      <c r="M423" t="e">
        <f>AND(#REF!,"AAAAADvleww=")</f>
        <v>#REF!</v>
      </c>
      <c r="N423" t="e">
        <f>IF(#REF!,"AAAAADvlew0=",0)</f>
        <v>#REF!</v>
      </c>
      <c r="O423" t="e">
        <f>AND(#REF!,"AAAAADvlew4=")</f>
        <v>#REF!</v>
      </c>
      <c r="P423" t="e">
        <f>AND(#REF!,"AAAAADvlew8=")</f>
        <v>#REF!</v>
      </c>
      <c r="Q423" t="e">
        <f>AND(#REF!,"AAAAADvlexA=")</f>
        <v>#REF!</v>
      </c>
      <c r="R423" t="e">
        <f>AND(#REF!,"AAAAADvlexE=")</f>
        <v>#REF!</v>
      </c>
      <c r="S423" t="e">
        <f>AND(#REF!,"AAAAADvlexI=")</f>
        <v>#REF!</v>
      </c>
      <c r="T423" t="e">
        <f>AND(#REF!,"AAAAADvlexM=")</f>
        <v>#REF!</v>
      </c>
      <c r="U423" t="e">
        <f>AND(#REF!,"AAAAADvlexQ=")</f>
        <v>#REF!</v>
      </c>
      <c r="V423" t="e">
        <f>AND(#REF!,"AAAAADvlexU=")</f>
        <v>#REF!</v>
      </c>
      <c r="W423" t="e">
        <f>AND(#REF!,"AAAAADvlexY=")</f>
        <v>#REF!</v>
      </c>
      <c r="X423" t="e">
        <f>AND(#REF!,"AAAAADvlexc=")</f>
        <v>#REF!</v>
      </c>
      <c r="Y423" t="e">
        <f>IF(#REF!,"AAAAADvlexg=",0)</f>
        <v>#REF!</v>
      </c>
      <c r="Z423" t="e">
        <f>AND(#REF!,"AAAAADvlexk=")</f>
        <v>#REF!</v>
      </c>
      <c r="AA423" t="e">
        <f>AND(#REF!,"AAAAADvlexo=")</f>
        <v>#REF!</v>
      </c>
      <c r="AB423" t="e">
        <f>AND(#REF!,"AAAAADvlexs=")</f>
        <v>#REF!</v>
      </c>
      <c r="AC423" t="e">
        <f>AND(#REF!,"AAAAADvlexw=")</f>
        <v>#REF!</v>
      </c>
      <c r="AD423" t="e">
        <f>AND(#REF!,"AAAAADvlex0=")</f>
        <v>#REF!</v>
      </c>
      <c r="AE423" t="e">
        <f>AND(#REF!,"AAAAADvlex4=")</f>
        <v>#REF!</v>
      </c>
      <c r="AF423" t="e">
        <f>AND(#REF!,"AAAAADvlex8=")</f>
        <v>#REF!</v>
      </c>
      <c r="AG423" t="e">
        <f>AND(#REF!,"AAAAADvleyA=")</f>
        <v>#REF!</v>
      </c>
      <c r="AH423" t="e">
        <f>AND(#REF!,"AAAAADvleyE=")</f>
        <v>#REF!</v>
      </c>
      <c r="AI423" t="e">
        <f>AND(#REF!,"AAAAADvleyI=")</f>
        <v>#REF!</v>
      </c>
      <c r="AJ423" t="e">
        <f>IF(#REF!,"AAAAADvleyM=",0)</f>
        <v>#REF!</v>
      </c>
      <c r="AK423" t="e">
        <f>AND(#REF!,"AAAAADvleyQ=")</f>
        <v>#REF!</v>
      </c>
      <c r="AL423" t="e">
        <f>AND(#REF!,"AAAAADvleyU=")</f>
        <v>#REF!</v>
      </c>
      <c r="AM423" t="e">
        <f>AND(#REF!,"AAAAADvleyY=")</f>
        <v>#REF!</v>
      </c>
      <c r="AN423" t="e">
        <f>AND(#REF!,"AAAAADvleyc=")</f>
        <v>#REF!</v>
      </c>
      <c r="AO423" t="e">
        <f>AND(#REF!,"AAAAADvleyg=")</f>
        <v>#REF!</v>
      </c>
      <c r="AP423" t="e">
        <f>AND(#REF!,"AAAAADvleyk=")</f>
        <v>#REF!</v>
      </c>
      <c r="AQ423" t="e">
        <f>AND(#REF!,"AAAAADvleyo=")</f>
        <v>#REF!</v>
      </c>
      <c r="AR423" t="e">
        <f>AND(#REF!,"AAAAADvleys=")</f>
        <v>#REF!</v>
      </c>
      <c r="AS423" t="e">
        <f>AND(#REF!,"AAAAADvleyw=")</f>
        <v>#REF!</v>
      </c>
      <c r="AT423" t="e">
        <f>AND(#REF!,"AAAAADvley0=")</f>
        <v>#REF!</v>
      </c>
      <c r="AU423" t="e">
        <f>IF(#REF!,"AAAAADvley4=",0)</f>
        <v>#REF!</v>
      </c>
      <c r="AV423" t="e">
        <f>AND(#REF!,"AAAAADvley8=")</f>
        <v>#REF!</v>
      </c>
      <c r="AW423" t="e">
        <f>AND(#REF!,"AAAAADvlezA=")</f>
        <v>#REF!</v>
      </c>
      <c r="AX423" t="e">
        <f>AND(#REF!,"AAAAADvlezE=")</f>
        <v>#REF!</v>
      </c>
      <c r="AY423" t="e">
        <f>AND(#REF!,"AAAAADvlezI=")</f>
        <v>#REF!</v>
      </c>
      <c r="AZ423" t="e">
        <f>AND(#REF!,"AAAAADvlezM=")</f>
        <v>#REF!</v>
      </c>
      <c r="BA423" t="e">
        <f>AND(#REF!,"AAAAADvlezQ=")</f>
        <v>#REF!</v>
      </c>
      <c r="BB423" t="e">
        <f>AND(#REF!,"AAAAADvlezU=")</f>
        <v>#REF!</v>
      </c>
      <c r="BC423" t="e">
        <f>AND(#REF!,"AAAAADvlezY=")</f>
        <v>#REF!</v>
      </c>
      <c r="BD423" t="e">
        <f>AND(#REF!,"AAAAADvlezc=")</f>
        <v>#REF!</v>
      </c>
      <c r="BE423" t="e">
        <f>AND(#REF!,"AAAAADvlezg=")</f>
        <v>#REF!</v>
      </c>
      <c r="BF423" t="e">
        <f>IF(#REF!,"AAAAADvlezk=",0)</f>
        <v>#REF!</v>
      </c>
      <c r="BG423" t="e">
        <f>AND(#REF!,"AAAAADvlezo=")</f>
        <v>#REF!</v>
      </c>
      <c r="BH423" t="e">
        <f>AND(#REF!,"AAAAADvlezs=")</f>
        <v>#REF!</v>
      </c>
      <c r="BI423" t="e">
        <f>AND(#REF!,"AAAAADvlezw=")</f>
        <v>#REF!</v>
      </c>
      <c r="BJ423" t="e">
        <f>AND(#REF!,"AAAAADvlez0=")</f>
        <v>#REF!</v>
      </c>
      <c r="BK423" t="e">
        <f>AND(#REF!,"AAAAADvlez4=")</f>
        <v>#REF!</v>
      </c>
      <c r="BL423" t="e">
        <f>AND(#REF!,"AAAAADvlez8=")</f>
        <v>#REF!</v>
      </c>
      <c r="BM423" t="e">
        <f>AND(#REF!,"AAAAADvle0A=")</f>
        <v>#REF!</v>
      </c>
      <c r="BN423" t="e">
        <f>AND(#REF!,"AAAAADvle0E=")</f>
        <v>#REF!</v>
      </c>
      <c r="BO423" t="e">
        <f>AND(#REF!,"AAAAADvle0I=")</f>
        <v>#REF!</v>
      </c>
      <c r="BP423" t="e">
        <f>AND(#REF!,"AAAAADvle0M=")</f>
        <v>#REF!</v>
      </c>
      <c r="BQ423" t="e">
        <f>IF(#REF!,"AAAAADvle0Q=",0)</f>
        <v>#REF!</v>
      </c>
      <c r="BR423" t="e">
        <f>AND(#REF!,"AAAAADvle0U=")</f>
        <v>#REF!</v>
      </c>
      <c r="BS423" t="e">
        <f>AND(#REF!,"AAAAADvle0Y=")</f>
        <v>#REF!</v>
      </c>
      <c r="BT423" t="e">
        <f>AND(#REF!,"AAAAADvle0c=")</f>
        <v>#REF!</v>
      </c>
      <c r="BU423" t="e">
        <f>AND(#REF!,"AAAAADvle0g=")</f>
        <v>#REF!</v>
      </c>
      <c r="BV423" t="e">
        <f>AND(#REF!,"AAAAADvle0k=")</f>
        <v>#REF!</v>
      </c>
      <c r="BW423" t="e">
        <f>AND(#REF!,"AAAAADvle0o=")</f>
        <v>#REF!</v>
      </c>
      <c r="BX423" t="e">
        <f>AND(#REF!,"AAAAADvle0s=")</f>
        <v>#REF!</v>
      </c>
      <c r="BY423" t="e">
        <f>AND(#REF!,"AAAAADvle0w=")</f>
        <v>#REF!</v>
      </c>
      <c r="BZ423" t="e">
        <f>AND(#REF!,"AAAAADvle00=")</f>
        <v>#REF!</v>
      </c>
      <c r="CA423" t="e">
        <f>AND(#REF!,"AAAAADvle04=")</f>
        <v>#REF!</v>
      </c>
      <c r="CB423" t="e">
        <f>IF(#REF!,"AAAAADvle08=",0)</f>
        <v>#REF!</v>
      </c>
      <c r="CC423" t="e">
        <f>AND(#REF!,"AAAAADvle1A=")</f>
        <v>#REF!</v>
      </c>
      <c r="CD423" t="e">
        <f>AND(#REF!,"AAAAADvle1E=")</f>
        <v>#REF!</v>
      </c>
      <c r="CE423" t="e">
        <f>AND(#REF!,"AAAAADvle1I=")</f>
        <v>#REF!</v>
      </c>
      <c r="CF423" t="e">
        <f>AND(#REF!,"AAAAADvle1M=")</f>
        <v>#REF!</v>
      </c>
      <c r="CG423" t="e">
        <f>AND(#REF!,"AAAAADvle1Q=")</f>
        <v>#REF!</v>
      </c>
      <c r="CH423" t="e">
        <f>AND(#REF!,"AAAAADvle1U=")</f>
        <v>#REF!</v>
      </c>
      <c r="CI423" t="e">
        <f>AND(#REF!,"AAAAADvle1Y=")</f>
        <v>#REF!</v>
      </c>
      <c r="CJ423" t="e">
        <f>AND(#REF!,"AAAAADvle1c=")</f>
        <v>#REF!</v>
      </c>
      <c r="CK423" t="e">
        <f>AND(#REF!,"AAAAADvle1g=")</f>
        <v>#REF!</v>
      </c>
      <c r="CL423" t="e">
        <f>AND(#REF!,"AAAAADvle1k=")</f>
        <v>#REF!</v>
      </c>
      <c r="CM423" t="e">
        <f>IF(#REF!,"AAAAADvle1o=",0)</f>
        <v>#REF!</v>
      </c>
      <c r="CN423" t="e">
        <f>AND(#REF!,"AAAAADvle1s=")</f>
        <v>#REF!</v>
      </c>
      <c r="CO423" t="e">
        <f>AND(#REF!,"AAAAADvle1w=")</f>
        <v>#REF!</v>
      </c>
      <c r="CP423" t="e">
        <f>AND(#REF!,"AAAAADvle10=")</f>
        <v>#REF!</v>
      </c>
      <c r="CQ423" t="e">
        <f>AND(#REF!,"AAAAADvle14=")</f>
        <v>#REF!</v>
      </c>
      <c r="CR423" t="e">
        <f>AND(#REF!,"AAAAADvle18=")</f>
        <v>#REF!</v>
      </c>
      <c r="CS423" t="e">
        <f>AND(#REF!,"AAAAADvle2A=")</f>
        <v>#REF!</v>
      </c>
      <c r="CT423" t="e">
        <f>AND(#REF!,"AAAAADvle2E=")</f>
        <v>#REF!</v>
      </c>
      <c r="CU423" t="e">
        <f>AND(#REF!,"AAAAADvle2I=")</f>
        <v>#REF!</v>
      </c>
      <c r="CV423" t="e">
        <f>AND(#REF!,"AAAAADvle2M=")</f>
        <v>#REF!</v>
      </c>
      <c r="CW423" t="e">
        <f>AND(#REF!,"AAAAADvle2Q=")</f>
        <v>#REF!</v>
      </c>
      <c r="CX423" t="e">
        <f>IF(#REF!,"AAAAADvle2U=",0)</f>
        <v>#REF!</v>
      </c>
      <c r="CY423" t="e">
        <f>AND(#REF!,"AAAAADvle2Y=")</f>
        <v>#REF!</v>
      </c>
      <c r="CZ423" t="e">
        <f>AND(#REF!,"AAAAADvle2c=")</f>
        <v>#REF!</v>
      </c>
      <c r="DA423" t="e">
        <f>AND(#REF!,"AAAAADvle2g=")</f>
        <v>#REF!</v>
      </c>
      <c r="DB423" t="e">
        <f>AND(#REF!,"AAAAADvle2k=")</f>
        <v>#REF!</v>
      </c>
      <c r="DC423" t="e">
        <f>AND(#REF!,"AAAAADvle2o=")</f>
        <v>#REF!</v>
      </c>
      <c r="DD423" t="e">
        <f>AND(#REF!,"AAAAADvle2s=")</f>
        <v>#REF!</v>
      </c>
      <c r="DE423" t="e">
        <f>AND(#REF!,"AAAAADvle2w=")</f>
        <v>#REF!</v>
      </c>
      <c r="DF423" t="e">
        <f>AND(#REF!,"AAAAADvle20=")</f>
        <v>#REF!</v>
      </c>
      <c r="DG423" t="e">
        <f>AND(#REF!,"AAAAADvle24=")</f>
        <v>#REF!</v>
      </c>
      <c r="DH423" t="e">
        <f>AND(#REF!,"AAAAADvle28=")</f>
        <v>#REF!</v>
      </c>
      <c r="DI423" t="e">
        <f>IF(#REF!,"AAAAADvle3A=",0)</f>
        <v>#REF!</v>
      </c>
      <c r="DJ423" t="e">
        <f>AND(#REF!,"AAAAADvle3E=")</f>
        <v>#REF!</v>
      </c>
      <c r="DK423" t="e">
        <f>AND(#REF!,"AAAAADvle3I=")</f>
        <v>#REF!</v>
      </c>
      <c r="DL423" t="e">
        <f>AND(#REF!,"AAAAADvle3M=")</f>
        <v>#REF!</v>
      </c>
      <c r="DM423" t="e">
        <f>AND(#REF!,"AAAAADvle3Q=")</f>
        <v>#REF!</v>
      </c>
      <c r="DN423" t="e">
        <f>AND(#REF!,"AAAAADvle3U=")</f>
        <v>#REF!</v>
      </c>
      <c r="DO423" t="e">
        <f>AND(#REF!,"AAAAADvle3Y=")</f>
        <v>#REF!</v>
      </c>
      <c r="DP423" t="e">
        <f>AND(#REF!,"AAAAADvle3c=")</f>
        <v>#REF!</v>
      </c>
      <c r="DQ423" t="e">
        <f>AND(#REF!,"AAAAADvle3g=")</f>
        <v>#REF!</v>
      </c>
      <c r="DR423" t="e">
        <f>AND(#REF!,"AAAAADvle3k=")</f>
        <v>#REF!</v>
      </c>
      <c r="DS423" t="e">
        <f>AND(#REF!,"AAAAADvle3o=")</f>
        <v>#REF!</v>
      </c>
      <c r="DT423" t="e">
        <f>IF(#REF!,"AAAAADvle3s=",0)</f>
        <v>#REF!</v>
      </c>
      <c r="DU423" t="e">
        <f>AND(#REF!,"AAAAADvle3w=")</f>
        <v>#REF!</v>
      </c>
      <c r="DV423" t="e">
        <f>AND(#REF!,"AAAAADvle30=")</f>
        <v>#REF!</v>
      </c>
      <c r="DW423" t="e">
        <f>AND(#REF!,"AAAAADvle34=")</f>
        <v>#REF!</v>
      </c>
      <c r="DX423" t="e">
        <f>AND(#REF!,"AAAAADvle38=")</f>
        <v>#REF!</v>
      </c>
      <c r="DY423" t="e">
        <f>AND(#REF!,"AAAAADvle4A=")</f>
        <v>#REF!</v>
      </c>
      <c r="DZ423" t="e">
        <f>AND(#REF!,"AAAAADvle4E=")</f>
        <v>#REF!</v>
      </c>
      <c r="EA423" t="e">
        <f>AND(#REF!,"AAAAADvle4I=")</f>
        <v>#REF!</v>
      </c>
      <c r="EB423" t="e">
        <f>AND(#REF!,"AAAAADvle4M=")</f>
        <v>#REF!</v>
      </c>
      <c r="EC423" t="e">
        <f>AND(#REF!,"AAAAADvle4Q=")</f>
        <v>#REF!</v>
      </c>
      <c r="ED423" t="e">
        <f>AND(#REF!,"AAAAADvle4U=")</f>
        <v>#REF!</v>
      </c>
      <c r="EE423" t="e">
        <f>IF(#REF!,"AAAAADvle4Y=",0)</f>
        <v>#REF!</v>
      </c>
      <c r="EF423" t="e">
        <f>AND(#REF!,"AAAAADvle4c=")</f>
        <v>#REF!</v>
      </c>
      <c r="EG423" t="e">
        <f>AND(#REF!,"AAAAADvle4g=")</f>
        <v>#REF!</v>
      </c>
      <c r="EH423" t="e">
        <f>AND(#REF!,"AAAAADvle4k=")</f>
        <v>#REF!</v>
      </c>
      <c r="EI423" t="e">
        <f>AND(#REF!,"AAAAADvle4o=")</f>
        <v>#REF!</v>
      </c>
      <c r="EJ423" t="e">
        <f>AND(#REF!,"AAAAADvle4s=")</f>
        <v>#REF!</v>
      </c>
      <c r="EK423" t="e">
        <f>AND(#REF!,"AAAAADvle4w=")</f>
        <v>#REF!</v>
      </c>
      <c r="EL423" t="e">
        <f>AND(#REF!,"AAAAADvle40=")</f>
        <v>#REF!</v>
      </c>
      <c r="EM423" t="e">
        <f>AND(#REF!,"AAAAADvle44=")</f>
        <v>#REF!</v>
      </c>
      <c r="EN423" t="e">
        <f>AND(#REF!,"AAAAADvle48=")</f>
        <v>#REF!</v>
      </c>
      <c r="EO423" t="e">
        <f>AND(#REF!,"AAAAADvle5A=")</f>
        <v>#REF!</v>
      </c>
      <c r="EP423" t="e">
        <f>IF(#REF!,"AAAAADvle5E=",0)</f>
        <v>#REF!</v>
      </c>
      <c r="EQ423" t="e">
        <f>AND(#REF!,"AAAAADvle5I=")</f>
        <v>#REF!</v>
      </c>
      <c r="ER423" t="e">
        <f>AND(#REF!,"AAAAADvle5M=")</f>
        <v>#REF!</v>
      </c>
      <c r="ES423" t="e">
        <f>AND(#REF!,"AAAAADvle5Q=")</f>
        <v>#REF!</v>
      </c>
      <c r="ET423" t="e">
        <f>AND(#REF!,"AAAAADvle5U=")</f>
        <v>#REF!</v>
      </c>
      <c r="EU423" t="e">
        <f>AND(#REF!,"AAAAADvle5Y=")</f>
        <v>#REF!</v>
      </c>
      <c r="EV423" t="e">
        <f>AND(#REF!,"AAAAADvle5c=")</f>
        <v>#REF!</v>
      </c>
      <c r="EW423" t="e">
        <f>AND(#REF!,"AAAAADvle5g=")</f>
        <v>#REF!</v>
      </c>
      <c r="EX423" t="e">
        <f>AND(#REF!,"AAAAADvle5k=")</f>
        <v>#REF!</v>
      </c>
      <c r="EY423" t="e">
        <f>AND(#REF!,"AAAAADvle5o=")</f>
        <v>#REF!</v>
      </c>
      <c r="EZ423" t="e">
        <f>AND(#REF!,"AAAAADvle5s=")</f>
        <v>#REF!</v>
      </c>
      <c r="FA423" t="e">
        <f>IF(#REF!,"AAAAADvle5w=",0)</f>
        <v>#REF!</v>
      </c>
      <c r="FB423" t="e">
        <f>AND(#REF!,"AAAAADvle50=")</f>
        <v>#REF!</v>
      </c>
      <c r="FC423" t="e">
        <f>AND(#REF!,"AAAAADvle54=")</f>
        <v>#REF!</v>
      </c>
      <c r="FD423" t="e">
        <f>AND(#REF!,"AAAAADvle58=")</f>
        <v>#REF!</v>
      </c>
      <c r="FE423" t="e">
        <f>AND(#REF!,"AAAAADvle6A=")</f>
        <v>#REF!</v>
      </c>
      <c r="FF423" t="e">
        <f>AND(#REF!,"AAAAADvle6E=")</f>
        <v>#REF!</v>
      </c>
      <c r="FG423" t="e">
        <f>AND(#REF!,"AAAAADvle6I=")</f>
        <v>#REF!</v>
      </c>
      <c r="FH423" t="e">
        <f>AND(#REF!,"AAAAADvle6M=")</f>
        <v>#REF!</v>
      </c>
      <c r="FI423" t="e">
        <f>AND(#REF!,"AAAAADvle6Q=")</f>
        <v>#REF!</v>
      </c>
      <c r="FJ423" t="e">
        <f>AND(#REF!,"AAAAADvle6U=")</f>
        <v>#REF!</v>
      </c>
      <c r="FK423" t="e">
        <f>AND(#REF!,"AAAAADvle6Y=")</f>
        <v>#REF!</v>
      </c>
      <c r="FL423" t="e">
        <f>IF(#REF!,"AAAAADvle6c=",0)</f>
        <v>#REF!</v>
      </c>
      <c r="FM423" t="e">
        <f>AND(#REF!,"AAAAADvle6g=")</f>
        <v>#REF!</v>
      </c>
      <c r="FN423" t="e">
        <f>AND(#REF!,"AAAAADvle6k=")</f>
        <v>#REF!</v>
      </c>
      <c r="FO423" t="e">
        <f>AND(#REF!,"AAAAADvle6o=")</f>
        <v>#REF!</v>
      </c>
      <c r="FP423" t="e">
        <f>AND(#REF!,"AAAAADvle6s=")</f>
        <v>#REF!</v>
      </c>
      <c r="FQ423" t="e">
        <f>AND(#REF!,"AAAAADvle6w=")</f>
        <v>#REF!</v>
      </c>
      <c r="FR423" t="e">
        <f>AND(#REF!,"AAAAADvle60=")</f>
        <v>#REF!</v>
      </c>
      <c r="FS423" t="e">
        <f>AND(#REF!,"AAAAADvle64=")</f>
        <v>#REF!</v>
      </c>
      <c r="FT423" t="e">
        <f>AND(#REF!,"AAAAADvle68=")</f>
        <v>#REF!</v>
      </c>
      <c r="FU423" t="e">
        <f>AND(#REF!,"AAAAADvle7A=")</f>
        <v>#REF!</v>
      </c>
      <c r="FV423" t="e">
        <f>AND(#REF!,"AAAAADvle7E=")</f>
        <v>#REF!</v>
      </c>
      <c r="FW423" t="e">
        <f>IF(#REF!,"AAAAADvle7I=",0)</f>
        <v>#REF!</v>
      </c>
      <c r="FX423" t="e">
        <f>AND(#REF!,"AAAAADvle7M=")</f>
        <v>#REF!</v>
      </c>
      <c r="FY423" t="e">
        <f>AND(#REF!,"AAAAADvle7Q=")</f>
        <v>#REF!</v>
      </c>
      <c r="FZ423" t="e">
        <f>AND(#REF!,"AAAAADvle7U=")</f>
        <v>#REF!</v>
      </c>
      <c r="GA423" t="e">
        <f>AND(#REF!,"AAAAADvle7Y=")</f>
        <v>#REF!</v>
      </c>
      <c r="GB423" t="e">
        <f>AND(#REF!,"AAAAADvle7c=")</f>
        <v>#REF!</v>
      </c>
      <c r="GC423" t="e">
        <f>AND(#REF!,"AAAAADvle7g=")</f>
        <v>#REF!</v>
      </c>
      <c r="GD423" t="e">
        <f>AND(#REF!,"AAAAADvle7k=")</f>
        <v>#REF!</v>
      </c>
      <c r="GE423" t="e">
        <f>AND(#REF!,"AAAAADvle7o=")</f>
        <v>#REF!</v>
      </c>
      <c r="GF423" t="e">
        <f>AND(#REF!,"AAAAADvle7s=")</f>
        <v>#REF!</v>
      </c>
      <c r="GG423" t="e">
        <f>AND(#REF!,"AAAAADvle7w=")</f>
        <v>#REF!</v>
      </c>
      <c r="GH423" t="e">
        <f>IF(#REF!,"AAAAADvle70=",0)</f>
        <v>#REF!</v>
      </c>
      <c r="GI423" t="e">
        <f>AND(#REF!,"AAAAADvle74=")</f>
        <v>#REF!</v>
      </c>
      <c r="GJ423" t="e">
        <f>AND(#REF!,"AAAAADvle78=")</f>
        <v>#REF!</v>
      </c>
      <c r="GK423" t="e">
        <f>AND(#REF!,"AAAAADvle8A=")</f>
        <v>#REF!</v>
      </c>
      <c r="GL423" t="e">
        <f>AND(#REF!,"AAAAADvle8E=")</f>
        <v>#REF!</v>
      </c>
      <c r="GM423" t="e">
        <f>AND(#REF!,"AAAAADvle8I=")</f>
        <v>#REF!</v>
      </c>
      <c r="GN423" t="e">
        <f>AND(#REF!,"AAAAADvle8M=")</f>
        <v>#REF!</v>
      </c>
      <c r="GO423" t="e">
        <f>AND(#REF!,"AAAAADvle8Q=")</f>
        <v>#REF!</v>
      </c>
      <c r="GP423" t="e">
        <f>AND(#REF!,"AAAAADvle8U=")</f>
        <v>#REF!</v>
      </c>
      <c r="GQ423" t="e">
        <f>AND(#REF!,"AAAAADvle8Y=")</f>
        <v>#REF!</v>
      </c>
      <c r="GR423" t="e">
        <f>AND(#REF!,"AAAAADvle8c=")</f>
        <v>#REF!</v>
      </c>
      <c r="GS423" t="e">
        <f>IF(#REF!,"AAAAADvle8g=",0)</f>
        <v>#REF!</v>
      </c>
      <c r="GT423" t="e">
        <f>AND(#REF!,"AAAAADvle8k=")</f>
        <v>#REF!</v>
      </c>
      <c r="GU423" t="e">
        <f>AND(#REF!,"AAAAADvle8o=")</f>
        <v>#REF!</v>
      </c>
      <c r="GV423" t="e">
        <f>AND(#REF!,"AAAAADvle8s=")</f>
        <v>#REF!</v>
      </c>
      <c r="GW423" t="e">
        <f>AND(#REF!,"AAAAADvle8w=")</f>
        <v>#REF!</v>
      </c>
      <c r="GX423" t="e">
        <f>AND(#REF!,"AAAAADvle80=")</f>
        <v>#REF!</v>
      </c>
      <c r="GY423" t="e">
        <f>AND(#REF!,"AAAAADvle84=")</f>
        <v>#REF!</v>
      </c>
      <c r="GZ423" t="e">
        <f>AND(#REF!,"AAAAADvle88=")</f>
        <v>#REF!</v>
      </c>
      <c r="HA423" t="e">
        <f>AND(#REF!,"AAAAADvle9A=")</f>
        <v>#REF!</v>
      </c>
      <c r="HB423" t="e">
        <f>AND(#REF!,"AAAAADvle9E=")</f>
        <v>#REF!</v>
      </c>
      <c r="HC423" t="e">
        <f>AND(#REF!,"AAAAADvle9I=")</f>
        <v>#REF!</v>
      </c>
      <c r="HD423" t="e">
        <f>IF(#REF!,"AAAAADvle9M=",0)</f>
        <v>#REF!</v>
      </c>
      <c r="HE423" t="e">
        <f>AND(#REF!,"AAAAADvle9Q=")</f>
        <v>#REF!</v>
      </c>
      <c r="HF423" t="e">
        <f>AND(#REF!,"AAAAADvle9U=")</f>
        <v>#REF!</v>
      </c>
      <c r="HG423" t="e">
        <f>AND(#REF!,"AAAAADvle9Y=")</f>
        <v>#REF!</v>
      </c>
      <c r="HH423" t="e">
        <f>AND(#REF!,"AAAAADvle9c=")</f>
        <v>#REF!</v>
      </c>
      <c r="HI423" t="e">
        <f>AND(#REF!,"AAAAADvle9g=")</f>
        <v>#REF!</v>
      </c>
      <c r="HJ423" t="e">
        <f>AND(#REF!,"AAAAADvle9k=")</f>
        <v>#REF!</v>
      </c>
      <c r="HK423" t="e">
        <f>AND(#REF!,"AAAAADvle9o=")</f>
        <v>#REF!</v>
      </c>
      <c r="HL423" t="e">
        <f>AND(#REF!,"AAAAADvle9s=")</f>
        <v>#REF!</v>
      </c>
      <c r="HM423" t="e">
        <f>AND(#REF!,"AAAAADvle9w=")</f>
        <v>#REF!</v>
      </c>
      <c r="HN423" t="e">
        <f>AND(#REF!,"AAAAADvle90=")</f>
        <v>#REF!</v>
      </c>
      <c r="HO423" t="e">
        <f>IF(#REF!,"AAAAADvle94=",0)</f>
        <v>#REF!</v>
      </c>
      <c r="HP423" t="e">
        <f>AND(#REF!,"AAAAADvle98=")</f>
        <v>#REF!</v>
      </c>
      <c r="HQ423" t="e">
        <f>AND(#REF!,"AAAAADvle+A=")</f>
        <v>#REF!</v>
      </c>
      <c r="HR423" t="e">
        <f>AND(#REF!,"AAAAADvle+E=")</f>
        <v>#REF!</v>
      </c>
      <c r="HS423" t="e">
        <f>AND(#REF!,"AAAAADvle+I=")</f>
        <v>#REF!</v>
      </c>
      <c r="HT423" t="e">
        <f>AND(#REF!,"AAAAADvle+M=")</f>
        <v>#REF!</v>
      </c>
      <c r="HU423" t="e">
        <f>AND(#REF!,"AAAAADvle+Q=")</f>
        <v>#REF!</v>
      </c>
      <c r="HV423" t="e">
        <f>AND(#REF!,"AAAAADvle+U=")</f>
        <v>#REF!</v>
      </c>
      <c r="HW423" t="e">
        <f>AND(#REF!,"AAAAADvle+Y=")</f>
        <v>#REF!</v>
      </c>
      <c r="HX423" t="e">
        <f>AND(#REF!,"AAAAADvle+c=")</f>
        <v>#REF!</v>
      </c>
      <c r="HY423" t="e">
        <f>AND(#REF!,"AAAAADvle+g=")</f>
        <v>#REF!</v>
      </c>
      <c r="HZ423" t="e">
        <f>IF(#REF!,"AAAAADvle+k=",0)</f>
        <v>#REF!</v>
      </c>
      <c r="IA423" t="e">
        <f>AND(#REF!,"AAAAADvle+o=")</f>
        <v>#REF!</v>
      </c>
      <c r="IB423" t="e">
        <f>AND(#REF!,"AAAAADvle+s=")</f>
        <v>#REF!</v>
      </c>
      <c r="IC423" t="e">
        <f>AND(#REF!,"AAAAADvle+w=")</f>
        <v>#REF!</v>
      </c>
      <c r="ID423" t="e">
        <f>AND(#REF!,"AAAAADvle+0=")</f>
        <v>#REF!</v>
      </c>
      <c r="IE423" t="e">
        <f>AND(#REF!,"AAAAADvle+4=")</f>
        <v>#REF!</v>
      </c>
      <c r="IF423" t="e">
        <f>AND(#REF!,"AAAAADvle+8=")</f>
        <v>#REF!</v>
      </c>
      <c r="IG423" t="e">
        <f>AND(#REF!,"AAAAADvle/A=")</f>
        <v>#REF!</v>
      </c>
      <c r="IH423" t="e">
        <f>AND(#REF!,"AAAAADvle/E=")</f>
        <v>#REF!</v>
      </c>
      <c r="II423" t="e">
        <f>AND(#REF!,"AAAAADvle/I=")</f>
        <v>#REF!</v>
      </c>
      <c r="IJ423" t="e">
        <f>AND(#REF!,"AAAAADvle/M=")</f>
        <v>#REF!</v>
      </c>
      <c r="IK423" t="e">
        <f>IF(#REF!,"AAAAADvle/Q=",0)</f>
        <v>#REF!</v>
      </c>
      <c r="IL423" t="e">
        <f>AND(#REF!,"AAAAADvle/U=")</f>
        <v>#REF!</v>
      </c>
      <c r="IM423" t="e">
        <f>AND(#REF!,"AAAAADvle/Y=")</f>
        <v>#REF!</v>
      </c>
      <c r="IN423" t="e">
        <f>AND(#REF!,"AAAAADvle/c=")</f>
        <v>#REF!</v>
      </c>
      <c r="IO423" t="e">
        <f>AND(#REF!,"AAAAADvle/g=")</f>
        <v>#REF!</v>
      </c>
      <c r="IP423" t="e">
        <f>AND(#REF!,"AAAAADvle/k=")</f>
        <v>#REF!</v>
      </c>
      <c r="IQ423" t="e">
        <f>AND(#REF!,"AAAAADvle/o=")</f>
        <v>#REF!</v>
      </c>
      <c r="IR423" t="e">
        <f>AND(#REF!,"AAAAADvle/s=")</f>
        <v>#REF!</v>
      </c>
      <c r="IS423" t="e">
        <f>AND(#REF!,"AAAAADvle/w=")</f>
        <v>#REF!</v>
      </c>
      <c r="IT423" t="e">
        <f>AND(#REF!,"AAAAADvle/0=")</f>
        <v>#REF!</v>
      </c>
      <c r="IU423" t="e">
        <f>AND(#REF!,"AAAAADvle/4=")</f>
        <v>#REF!</v>
      </c>
      <c r="IV423" t="e">
        <f>IF(#REF!,"AAAAADvle/8=",0)</f>
        <v>#REF!</v>
      </c>
    </row>
    <row r="424" spans="1:256" x14ac:dyDescent="0.25">
      <c r="A424" t="e">
        <f>AND(#REF!,"AAAAAD3+/wA=")</f>
        <v>#REF!</v>
      </c>
      <c r="B424" t="e">
        <f>AND(#REF!,"AAAAAD3+/wE=")</f>
        <v>#REF!</v>
      </c>
      <c r="C424" t="e">
        <f>AND(#REF!,"AAAAAD3+/wI=")</f>
        <v>#REF!</v>
      </c>
      <c r="D424" t="e">
        <f>AND(#REF!,"AAAAAD3+/wM=")</f>
        <v>#REF!</v>
      </c>
      <c r="E424" t="e">
        <f>AND(#REF!,"AAAAAD3+/wQ=")</f>
        <v>#REF!</v>
      </c>
      <c r="F424" t="e">
        <f>AND(#REF!,"AAAAAD3+/wU=")</f>
        <v>#REF!</v>
      </c>
      <c r="G424" t="e">
        <f>AND(#REF!,"AAAAAD3+/wY=")</f>
        <v>#REF!</v>
      </c>
      <c r="H424" t="e">
        <f>AND(#REF!,"AAAAAD3+/wc=")</f>
        <v>#REF!</v>
      </c>
      <c r="I424" t="e">
        <f>AND(#REF!,"AAAAAD3+/wg=")</f>
        <v>#REF!</v>
      </c>
      <c r="J424" t="e">
        <f>AND(#REF!,"AAAAAD3+/wk=")</f>
        <v>#REF!</v>
      </c>
      <c r="K424" t="e">
        <f>IF(#REF!,"AAAAAD3+/wo=",0)</f>
        <v>#REF!</v>
      </c>
      <c r="L424" t="e">
        <f>AND(#REF!,"AAAAAD3+/ws=")</f>
        <v>#REF!</v>
      </c>
      <c r="M424" t="e">
        <f>AND(#REF!,"AAAAAD3+/ww=")</f>
        <v>#REF!</v>
      </c>
      <c r="N424" t="e">
        <f>AND(#REF!,"AAAAAD3+/w0=")</f>
        <v>#REF!</v>
      </c>
      <c r="O424" t="e">
        <f>AND(#REF!,"AAAAAD3+/w4=")</f>
        <v>#REF!</v>
      </c>
      <c r="P424" t="e">
        <f>AND(#REF!,"AAAAAD3+/w8=")</f>
        <v>#REF!</v>
      </c>
      <c r="Q424" t="e">
        <f>AND(#REF!,"AAAAAD3+/xA=")</f>
        <v>#REF!</v>
      </c>
      <c r="R424" t="e">
        <f>AND(#REF!,"AAAAAD3+/xE=")</f>
        <v>#REF!</v>
      </c>
      <c r="S424" t="e">
        <f>AND(#REF!,"AAAAAD3+/xI=")</f>
        <v>#REF!</v>
      </c>
      <c r="T424" t="e">
        <f>AND(#REF!,"AAAAAD3+/xM=")</f>
        <v>#REF!</v>
      </c>
      <c r="U424" t="e">
        <f>AND(#REF!,"AAAAAD3+/xQ=")</f>
        <v>#REF!</v>
      </c>
      <c r="V424" t="e">
        <f>IF(#REF!,"AAAAAD3+/xU=",0)</f>
        <v>#REF!</v>
      </c>
      <c r="W424" t="e">
        <f>AND(#REF!,"AAAAAD3+/xY=")</f>
        <v>#REF!</v>
      </c>
      <c r="X424" t="e">
        <f>AND(#REF!,"AAAAAD3+/xc=")</f>
        <v>#REF!</v>
      </c>
      <c r="Y424" t="e">
        <f>AND(#REF!,"AAAAAD3+/xg=")</f>
        <v>#REF!</v>
      </c>
      <c r="Z424" t="e">
        <f>AND(#REF!,"AAAAAD3+/xk=")</f>
        <v>#REF!</v>
      </c>
      <c r="AA424" t="e">
        <f>AND(#REF!,"AAAAAD3+/xo=")</f>
        <v>#REF!</v>
      </c>
      <c r="AB424" t="e">
        <f>AND(#REF!,"AAAAAD3+/xs=")</f>
        <v>#REF!</v>
      </c>
      <c r="AC424" t="e">
        <f>AND(#REF!,"AAAAAD3+/xw=")</f>
        <v>#REF!</v>
      </c>
      <c r="AD424" t="e">
        <f>AND(#REF!,"AAAAAD3+/x0=")</f>
        <v>#REF!</v>
      </c>
      <c r="AE424" t="e">
        <f>AND(#REF!,"AAAAAD3+/x4=")</f>
        <v>#REF!</v>
      </c>
      <c r="AF424" t="e">
        <f>AND(#REF!,"AAAAAD3+/x8=")</f>
        <v>#REF!</v>
      </c>
      <c r="AG424" t="e">
        <f>IF(#REF!,"AAAAAD3+/yA=",0)</f>
        <v>#REF!</v>
      </c>
      <c r="AH424" t="e">
        <f>AND(#REF!,"AAAAAD3+/yE=")</f>
        <v>#REF!</v>
      </c>
      <c r="AI424" t="e">
        <f>AND(#REF!,"AAAAAD3+/yI=")</f>
        <v>#REF!</v>
      </c>
      <c r="AJ424" t="e">
        <f>AND(#REF!,"AAAAAD3+/yM=")</f>
        <v>#REF!</v>
      </c>
      <c r="AK424" t="e">
        <f>AND(#REF!,"AAAAAD3+/yQ=")</f>
        <v>#REF!</v>
      </c>
      <c r="AL424" t="e">
        <f>AND(#REF!,"AAAAAD3+/yU=")</f>
        <v>#REF!</v>
      </c>
      <c r="AM424" t="e">
        <f>AND(#REF!,"AAAAAD3+/yY=")</f>
        <v>#REF!</v>
      </c>
      <c r="AN424" t="e">
        <f>AND(#REF!,"AAAAAD3+/yc=")</f>
        <v>#REF!</v>
      </c>
      <c r="AO424" t="e">
        <f>AND(#REF!,"AAAAAD3+/yg=")</f>
        <v>#REF!</v>
      </c>
      <c r="AP424" t="e">
        <f>AND(#REF!,"AAAAAD3+/yk=")</f>
        <v>#REF!</v>
      </c>
      <c r="AQ424" t="e">
        <f>AND(#REF!,"AAAAAD3+/yo=")</f>
        <v>#REF!</v>
      </c>
      <c r="AR424" t="e">
        <f>IF(#REF!,"AAAAAD3+/ys=",0)</f>
        <v>#REF!</v>
      </c>
      <c r="AS424" t="e">
        <f>AND(#REF!,"AAAAAD3+/yw=")</f>
        <v>#REF!</v>
      </c>
      <c r="AT424" t="e">
        <f>AND(#REF!,"AAAAAD3+/y0=")</f>
        <v>#REF!</v>
      </c>
      <c r="AU424" t="e">
        <f>AND(#REF!,"AAAAAD3+/y4=")</f>
        <v>#REF!</v>
      </c>
      <c r="AV424" t="e">
        <f>AND(#REF!,"AAAAAD3+/y8=")</f>
        <v>#REF!</v>
      </c>
      <c r="AW424" t="e">
        <f>AND(#REF!,"AAAAAD3+/zA=")</f>
        <v>#REF!</v>
      </c>
      <c r="AX424" t="e">
        <f>AND(#REF!,"AAAAAD3+/zE=")</f>
        <v>#REF!</v>
      </c>
      <c r="AY424" t="e">
        <f>AND(#REF!,"AAAAAD3+/zI=")</f>
        <v>#REF!</v>
      </c>
      <c r="AZ424" t="e">
        <f>AND(#REF!,"AAAAAD3+/zM=")</f>
        <v>#REF!</v>
      </c>
      <c r="BA424" t="e">
        <f>AND(#REF!,"AAAAAD3+/zQ=")</f>
        <v>#REF!</v>
      </c>
      <c r="BB424" t="e">
        <f>AND(#REF!,"AAAAAD3+/zU=")</f>
        <v>#REF!</v>
      </c>
      <c r="BC424" t="e">
        <f>IF(#REF!,"AAAAAD3+/zY=",0)</f>
        <v>#REF!</v>
      </c>
      <c r="BD424" t="e">
        <f>AND(#REF!,"AAAAAD3+/zc=")</f>
        <v>#REF!</v>
      </c>
      <c r="BE424" t="e">
        <f>AND(#REF!,"AAAAAD3+/zg=")</f>
        <v>#REF!</v>
      </c>
      <c r="BF424" t="e">
        <f>AND(#REF!,"AAAAAD3+/zk=")</f>
        <v>#REF!</v>
      </c>
      <c r="BG424" t="e">
        <f>AND(#REF!,"AAAAAD3+/zo=")</f>
        <v>#REF!</v>
      </c>
      <c r="BH424" t="e">
        <f>AND(#REF!,"AAAAAD3+/zs=")</f>
        <v>#REF!</v>
      </c>
      <c r="BI424" t="e">
        <f>AND(#REF!,"AAAAAD3+/zw=")</f>
        <v>#REF!</v>
      </c>
      <c r="BJ424" t="e">
        <f>AND(#REF!,"AAAAAD3+/z0=")</f>
        <v>#REF!</v>
      </c>
      <c r="BK424" t="e">
        <f>AND(#REF!,"AAAAAD3+/z4=")</f>
        <v>#REF!</v>
      </c>
      <c r="BL424" t="e">
        <f>AND(#REF!,"AAAAAD3+/z8=")</f>
        <v>#REF!</v>
      </c>
      <c r="BM424" t="e">
        <f>AND(#REF!,"AAAAAD3+/0A=")</f>
        <v>#REF!</v>
      </c>
      <c r="BN424" t="e">
        <f>IF(#REF!,"AAAAAD3+/0E=",0)</f>
        <v>#REF!</v>
      </c>
      <c r="BO424" t="e">
        <f>AND(#REF!,"AAAAAD3+/0I=")</f>
        <v>#REF!</v>
      </c>
      <c r="BP424" t="e">
        <f>AND(#REF!,"AAAAAD3+/0M=")</f>
        <v>#REF!</v>
      </c>
      <c r="BQ424" t="e">
        <f>AND(#REF!,"AAAAAD3+/0Q=")</f>
        <v>#REF!</v>
      </c>
      <c r="BR424" t="e">
        <f>AND(#REF!,"AAAAAD3+/0U=")</f>
        <v>#REF!</v>
      </c>
      <c r="BS424" t="e">
        <f>AND(#REF!,"AAAAAD3+/0Y=")</f>
        <v>#REF!</v>
      </c>
      <c r="BT424" t="e">
        <f>AND(#REF!,"AAAAAD3+/0c=")</f>
        <v>#REF!</v>
      </c>
      <c r="BU424" t="e">
        <f>AND(#REF!,"AAAAAD3+/0g=")</f>
        <v>#REF!</v>
      </c>
      <c r="BV424" t="e">
        <f>AND(#REF!,"AAAAAD3+/0k=")</f>
        <v>#REF!</v>
      </c>
      <c r="BW424" t="e">
        <f>AND(#REF!,"AAAAAD3+/0o=")</f>
        <v>#REF!</v>
      </c>
      <c r="BX424" t="e">
        <f>AND(#REF!,"AAAAAD3+/0s=")</f>
        <v>#REF!</v>
      </c>
      <c r="BY424" t="e">
        <f>IF(#REF!,"AAAAAD3+/0w=",0)</f>
        <v>#REF!</v>
      </c>
      <c r="BZ424" t="e">
        <f>AND(#REF!,"AAAAAD3+/00=")</f>
        <v>#REF!</v>
      </c>
      <c r="CA424" t="e">
        <f>AND(#REF!,"AAAAAD3+/04=")</f>
        <v>#REF!</v>
      </c>
      <c r="CB424" t="e">
        <f>AND(#REF!,"AAAAAD3+/08=")</f>
        <v>#REF!</v>
      </c>
      <c r="CC424" t="e">
        <f>AND(#REF!,"AAAAAD3+/1A=")</f>
        <v>#REF!</v>
      </c>
      <c r="CD424" t="e">
        <f>AND(#REF!,"AAAAAD3+/1E=")</f>
        <v>#REF!</v>
      </c>
      <c r="CE424" t="e">
        <f>AND(#REF!,"AAAAAD3+/1I=")</f>
        <v>#REF!</v>
      </c>
      <c r="CF424" t="e">
        <f>AND(#REF!,"AAAAAD3+/1M=")</f>
        <v>#REF!</v>
      </c>
      <c r="CG424" t="e">
        <f>AND(#REF!,"AAAAAD3+/1Q=")</f>
        <v>#REF!</v>
      </c>
      <c r="CH424" t="e">
        <f>AND(#REF!,"AAAAAD3+/1U=")</f>
        <v>#REF!</v>
      </c>
      <c r="CI424" t="e">
        <f>AND(#REF!,"AAAAAD3+/1Y=")</f>
        <v>#REF!</v>
      </c>
      <c r="CJ424" t="e">
        <f>IF(#REF!,"AAAAAD3+/1c=",0)</f>
        <v>#REF!</v>
      </c>
      <c r="CK424" t="e">
        <f>AND(#REF!,"AAAAAD3+/1g=")</f>
        <v>#REF!</v>
      </c>
      <c r="CL424" t="e">
        <f>AND(#REF!,"AAAAAD3+/1k=")</f>
        <v>#REF!</v>
      </c>
      <c r="CM424" t="e">
        <f>AND(#REF!,"AAAAAD3+/1o=")</f>
        <v>#REF!</v>
      </c>
      <c r="CN424" t="e">
        <f>AND(#REF!,"AAAAAD3+/1s=")</f>
        <v>#REF!</v>
      </c>
      <c r="CO424" t="e">
        <f>AND(#REF!,"AAAAAD3+/1w=")</f>
        <v>#REF!</v>
      </c>
      <c r="CP424" t="e">
        <f>AND(#REF!,"AAAAAD3+/10=")</f>
        <v>#REF!</v>
      </c>
      <c r="CQ424" t="e">
        <f>AND(#REF!,"AAAAAD3+/14=")</f>
        <v>#REF!</v>
      </c>
      <c r="CR424" t="e">
        <f>AND(#REF!,"AAAAAD3+/18=")</f>
        <v>#REF!</v>
      </c>
      <c r="CS424" t="e">
        <f>AND(#REF!,"AAAAAD3+/2A=")</f>
        <v>#REF!</v>
      </c>
      <c r="CT424" t="e">
        <f>AND(#REF!,"AAAAAD3+/2E=")</f>
        <v>#REF!</v>
      </c>
      <c r="CU424" t="e">
        <f>IF(#REF!,"AAAAAD3+/2I=",0)</f>
        <v>#REF!</v>
      </c>
      <c r="CV424" t="e">
        <f>AND(#REF!,"AAAAAD3+/2M=")</f>
        <v>#REF!</v>
      </c>
      <c r="CW424" t="e">
        <f>AND(#REF!,"AAAAAD3+/2Q=")</f>
        <v>#REF!</v>
      </c>
      <c r="CX424" t="e">
        <f>AND(#REF!,"AAAAAD3+/2U=")</f>
        <v>#REF!</v>
      </c>
      <c r="CY424" t="e">
        <f>AND(#REF!,"AAAAAD3+/2Y=")</f>
        <v>#REF!</v>
      </c>
      <c r="CZ424" t="e">
        <f>AND(#REF!,"AAAAAD3+/2c=")</f>
        <v>#REF!</v>
      </c>
      <c r="DA424" t="e">
        <f>AND(#REF!,"AAAAAD3+/2g=")</f>
        <v>#REF!</v>
      </c>
      <c r="DB424" t="e">
        <f>AND(#REF!,"AAAAAD3+/2k=")</f>
        <v>#REF!</v>
      </c>
      <c r="DC424" t="e">
        <f>AND(#REF!,"AAAAAD3+/2o=")</f>
        <v>#REF!</v>
      </c>
      <c r="DD424" t="e">
        <f>AND(#REF!,"AAAAAD3+/2s=")</f>
        <v>#REF!</v>
      </c>
      <c r="DE424" t="e">
        <f>AND(#REF!,"AAAAAD3+/2w=")</f>
        <v>#REF!</v>
      </c>
      <c r="DF424" t="e">
        <f>IF(#REF!,"AAAAAD3+/20=",0)</f>
        <v>#REF!</v>
      </c>
      <c r="DG424" t="e">
        <f>AND(#REF!,"AAAAAD3+/24=")</f>
        <v>#REF!</v>
      </c>
      <c r="DH424" t="e">
        <f>AND(#REF!,"AAAAAD3+/28=")</f>
        <v>#REF!</v>
      </c>
      <c r="DI424" t="e">
        <f>AND(#REF!,"AAAAAD3+/3A=")</f>
        <v>#REF!</v>
      </c>
      <c r="DJ424" t="e">
        <f>AND(#REF!,"AAAAAD3+/3E=")</f>
        <v>#REF!</v>
      </c>
      <c r="DK424" t="e">
        <f>AND(#REF!,"AAAAAD3+/3I=")</f>
        <v>#REF!</v>
      </c>
      <c r="DL424" t="e">
        <f>AND(#REF!,"AAAAAD3+/3M=")</f>
        <v>#REF!</v>
      </c>
      <c r="DM424" t="e">
        <f>AND(#REF!,"AAAAAD3+/3Q=")</f>
        <v>#REF!</v>
      </c>
      <c r="DN424" t="e">
        <f>AND(#REF!,"AAAAAD3+/3U=")</f>
        <v>#REF!</v>
      </c>
      <c r="DO424" t="e">
        <f>AND(#REF!,"AAAAAD3+/3Y=")</f>
        <v>#REF!</v>
      </c>
      <c r="DP424" t="e">
        <f>AND(#REF!,"AAAAAD3+/3c=")</f>
        <v>#REF!</v>
      </c>
      <c r="DQ424" t="e">
        <f>IF(#REF!,"AAAAAD3+/3g=",0)</f>
        <v>#REF!</v>
      </c>
      <c r="DR424" t="e">
        <f>AND(#REF!,"AAAAAD3+/3k=")</f>
        <v>#REF!</v>
      </c>
      <c r="DS424" t="e">
        <f>AND(#REF!,"AAAAAD3+/3o=")</f>
        <v>#REF!</v>
      </c>
      <c r="DT424" t="e">
        <f>AND(#REF!,"AAAAAD3+/3s=")</f>
        <v>#REF!</v>
      </c>
      <c r="DU424" t="e">
        <f>AND(#REF!,"AAAAAD3+/3w=")</f>
        <v>#REF!</v>
      </c>
      <c r="DV424" t="e">
        <f>AND(#REF!,"AAAAAD3+/30=")</f>
        <v>#REF!</v>
      </c>
      <c r="DW424" t="e">
        <f>AND(#REF!,"AAAAAD3+/34=")</f>
        <v>#REF!</v>
      </c>
      <c r="DX424" t="e">
        <f>AND(#REF!,"AAAAAD3+/38=")</f>
        <v>#REF!</v>
      </c>
      <c r="DY424" t="e">
        <f>AND(#REF!,"AAAAAD3+/4A=")</f>
        <v>#REF!</v>
      </c>
      <c r="DZ424" t="e">
        <f>AND(#REF!,"AAAAAD3+/4E=")</f>
        <v>#REF!</v>
      </c>
      <c r="EA424" t="e">
        <f>AND(#REF!,"AAAAAD3+/4I=")</f>
        <v>#REF!</v>
      </c>
      <c r="EB424" t="e">
        <f>IF(#REF!,"AAAAAD3+/4M=",0)</f>
        <v>#REF!</v>
      </c>
      <c r="EC424" t="e">
        <f>AND(#REF!,"AAAAAD3+/4Q=")</f>
        <v>#REF!</v>
      </c>
      <c r="ED424" t="e">
        <f>AND(#REF!,"AAAAAD3+/4U=")</f>
        <v>#REF!</v>
      </c>
      <c r="EE424" t="e">
        <f>AND(#REF!,"AAAAAD3+/4Y=")</f>
        <v>#REF!</v>
      </c>
      <c r="EF424" t="e">
        <f>AND(#REF!,"AAAAAD3+/4c=")</f>
        <v>#REF!</v>
      </c>
      <c r="EG424" t="e">
        <f>AND(#REF!,"AAAAAD3+/4g=")</f>
        <v>#REF!</v>
      </c>
      <c r="EH424" t="e">
        <f>AND(#REF!,"AAAAAD3+/4k=")</f>
        <v>#REF!</v>
      </c>
      <c r="EI424" t="e">
        <f>AND(#REF!,"AAAAAD3+/4o=")</f>
        <v>#REF!</v>
      </c>
      <c r="EJ424" t="e">
        <f>AND(#REF!,"AAAAAD3+/4s=")</f>
        <v>#REF!</v>
      </c>
      <c r="EK424" t="e">
        <f>AND(#REF!,"AAAAAD3+/4w=")</f>
        <v>#REF!</v>
      </c>
      <c r="EL424" t="e">
        <f>AND(#REF!,"AAAAAD3+/40=")</f>
        <v>#REF!</v>
      </c>
      <c r="EM424" t="e">
        <f>IF(#REF!,"AAAAAD3+/44=",0)</f>
        <v>#REF!</v>
      </c>
      <c r="EN424" t="e">
        <f>AND(#REF!,"AAAAAD3+/48=")</f>
        <v>#REF!</v>
      </c>
      <c r="EO424" t="e">
        <f>AND(#REF!,"AAAAAD3+/5A=")</f>
        <v>#REF!</v>
      </c>
      <c r="EP424" t="e">
        <f>AND(#REF!,"AAAAAD3+/5E=")</f>
        <v>#REF!</v>
      </c>
      <c r="EQ424" t="e">
        <f>AND(#REF!,"AAAAAD3+/5I=")</f>
        <v>#REF!</v>
      </c>
      <c r="ER424" t="e">
        <f>AND(#REF!,"AAAAAD3+/5M=")</f>
        <v>#REF!</v>
      </c>
      <c r="ES424" t="e">
        <f>AND(#REF!,"AAAAAD3+/5Q=")</f>
        <v>#REF!</v>
      </c>
      <c r="ET424" t="e">
        <f>AND(#REF!,"AAAAAD3+/5U=")</f>
        <v>#REF!</v>
      </c>
      <c r="EU424" t="e">
        <f>AND(#REF!,"AAAAAD3+/5Y=")</f>
        <v>#REF!</v>
      </c>
      <c r="EV424" t="e">
        <f>AND(#REF!,"AAAAAD3+/5c=")</f>
        <v>#REF!</v>
      </c>
      <c r="EW424" t="e">
        <f>AND(#REF!,"AAAAAD3+/5g=")</f>
        <v>#REF!</v>
      </c>
      <c r="EX424" t="e">
        <f>IF(#REF!,"AAAAAD3+/5k=",0)</f>
        <v>#REF!</v>
      </c>
      <c r="EY424" t="e">
        <f>AND(#REF!,"AAAAAD3+/5o=")</f>
        <v>#REF!</v>
      </c>
      <c r="EZ424" t="e">
        <f>AND(#REF!,"AAAAAD3+/5s=")</f>
        <v>#REF!</v>
      </c>
      <c r="FA424" t="e">
        <f>AND(#REF!,"AAAAAD3+/5w=")</f>
        <v>#REF!</v>
      </c>
      <c r="FB424" t="e">
        <f>AND(#REF!,"AAAAAD3+/50=")</f>
        <v>#REF!</v>
      </c>
      <c r="FC424" t="e">
        <f>AND(#REF!,"AAAAAD3+/54=")</f>
        <v>#REF!</v>
      </c>
      <c r="FD424" t="e">
        <f>AND(#REF!,"AAAAAD3+/58=")</f>
        <v>#REF!</v>
      </c>
      <c r="FE424" t="e">
        <f>AND(#REF!,"AAAAAD3+/6A=")</f>
        <v>#REF!</v>
      </c>
      <c r="FF424" t="e">
        <f>AND(#REF!,"AAAAAD3+/6E=")</f>
        <v>#REF!</v>
      </c>
      <c r="FG424" t="e">
        <f>AND(#REF!,"AAAAAD3+/6I=")</f>
        <v>#REF!</v>
      </c>
      <c r="FH424" t="e">
        <f>AND(#REF!,"AAAAAD3+/6M=")</f>
        <v>#REF!</v>
      </c>
      <c r="FI424" t="e">
        <f>IF(#REF!,"AAAAAD3+/6Q=",0)</f>
        <v>#REF!</v>
      </c>
      <c r="FJ424" t="e">
        <f>AND(#REF!,"AAAAAD3+/6U=")</f>
        <v>#REF!</v>
      </c>
      <c r="FK424" t="e">
        <f>AND(#REF!,"AAAAAD3+/6Y=")</f>
        <v>#REF!</v>
      </c>
      <c r="FL424" t="e">
        <f>AND(#REF!,"AAAAAD3+/6c=")</f>
        <v>#REF!</v>
      </c>
      <c r="FM424" t="e">
        <f>AND(#REF!,"AAAAAD3+/6g=")</f>
        <v>#REF!</v>
      </c>
      <c r="FN424" t="e">
        <f>AND(#REF!,"AAAAAD3+/6k=")</f>
        <v>#REF!</v>
      </c>
      <c r="FO424" t="e">
        <f>AND(#REF!,"AAAAAD3+/6o=")</f>
        <v>#REF!</v>
      </c>
      <c r="FP424" t="e">
        <f>AND(#REF!,"AAAAAD3+/6s=")</f>
        <v>#REF!</v>
      </c>
      <c r="FQ424" t="e">
        <f>AND(#REF!,"AAAAAD3+/6w=")</f>
        <v>#REF!</v>
      </c>
      <c r="FR424" t="e">
        <f>AND(#REF!,"AAAAAD3+/60=")</f>
        <v>#REF!</v>
      </c>
      <c r="FS424" t="e">
        <f>AND(#REF!,"AAAAAD3+/64=")</f>
        <v>#REF!</v>
      </c>
      <c r="FT424" t="e">
        <f>IF(#REF!,"AAAAAD3+/68=",0)</f>
        <v>#REF!</v>
      </c>
      <c r="FU424" t="e">
        <f>AND(#REF!,"AAAAAD3+/7A=")</f>
        <v>#REF!</v>
      </c>
      <c r="FV424" t="e">
        <f>AND(#REF!,"AAAAAD3+/7E=")</f>
        <v>#REF!</v>
      </c>
      <c r="FW424" t="e">
        <f>AND(#REF!,"AAAAAD3+/7I=")</f>
        <v>#REF!</v>
      </c>
      <c r="FX424" t="e">
        <f>AND(#REF!,"AAAAAD3+/7M=")</f>
        <v>#REF!</v>
      </c>
      <c r="FY424" t="e">
        <f>AND(#REF!,"AAAAAD3+/7Q=")</f>
        <v>#REF!</v>
      </c>
      <c r="FZ424" t="e">
        <f>AND(#REF!,"AAAAAD3+/7U=")</f>
        <v>#REF!</v>
      </c>
      <c r="GA424" t="e">
        <f>AND(#REF!,"AAAAAD3+/7Y=")</f>
        <v>#REF!</v>
      </c>
      <c r="GB424" t="e">
        <f>AND(#REF!,"AAAAAD3+/7c=")</f>
        <v>#REF!</v>
      </c>
      <c r="GC424" t="e">
        <f>AND(#REF!,"AAAAAD3+/7g=")</f>
        <v>#REF!</v>
      </c>
      <c r="GD424" t="e">
        <f>AND(#REF!,"AAAAAD3+/7k=")</f>
        <v>#REF!</v>
      </c>
      <c r="GE424" t="e">
        <f>IF(#REF!,"AAAAAD3+/7o=",0)</f>
        <v>#REF!</v>
      </c>
      <c r="GF424" t="e">
        <f>AND(#REF!,"AAAAAD3+/7s=")</f>
        <v>#REF!</v>
      </c>
      <c r="GG424" t="e">
        <f>AND(#REF!,"AAAAAD3+/7w=")</f>
        <v>#REF!</v>
      </c>
      <c r="GH424" t="e">
        <f>AND(#REF!,"AAAAAD3+/70=")</f>
        <v>#REF!</v>
      </c>
      <c r="GI424" t="e">
        <f>AND(#REF!,"AAAAAD3+/74=")</f>
        <v>#REF!</v>
      </c>
      <c r="GJ424" t="e">
        <f>AND(#REF!,"AAAAAD3+/78=")</f>
        <v>#REF!</v>
      </c>
      <c r="GK424" t="e">
        <f>AND(#REF!,"AAAAAD3+/8A=")</f>
        <v>#REF!</v>
      </c>
      <c r="GL424" t="e">
        <f>AND(#REF!,"AAAAAD3+/8E=")</f>
        <v>#REF!</v>
      </c>
      <c r="GM424" t="e">
        <f>AND(#REF!,"AAAAAD3+/8I=")</f>
        <v>#REF!</v>
      </c>
      <c r="GN424" t="e">
        <f>AND(#REF!,"AAAAAD3+/8M=")</f>
        <v>#REF!</v>
      </c>
      <c r="GO424" t="e">
        <f>AND(#REF!,"AAAAAD3+/8Q=")</f>
        <v>#REF!</v>
      </c>
      <c r="GP424" t="e">
        <f>IF(#REF!,"AAAAAD3+/8U=",0)</f>
        <v>#REF!</v>
      </c>
      <c r="GQ424" t="e">
        <f>AND(#REF!,"AAAAAD3+/8Y=")</f>
        <v>#REF!</v>
      </c>
      <c r="GR424" t="e">
        <f>AND(#REF!,"AAAAAD3+/8c=")</f>
        <v>#REF!</v>
      </c>
      <c r="GS424" t="e">
        <f>AND(#REF!,"AAAAAD3+/8g=")</f>
        <v>#REF!</v>
      </c>
      <c r="GT424" t="e">
        <f>AND(#REF!,"AAAAAD3+/8k=")</f>
        <v>#REF!</v>
      </c>
      <c r="GU424" t="e">
        <f>AND(#REF!,"AAAAAD3+/8o=")</f>
        <v>#REF!</v>
      </c>
      <c r="GV424" t="e">
        <f>AND(#REF!,"AAAAAD3+/8s=")</f>
        <v>#REF!</v>
      </c>
      <c r="GW424" t="e">
        <f>AND(#REF!,"AAAAAD3+/8w=")</f>
        <v>#REF!</v>
      </c>
      <c r="GX424" t="e">
        <f>AND(#REF!,"AAAAAD3+/80=")</f>
        <v>#REF!</v>
      </c>
      <c r="GY424" t="e">
        <f>AND(#REF!,"AAAAAD3+/84=")</f>
        <v>#REF!</v>
      </c>
      <c r="GZ424" t="e">
        <f>AND(#REF!,"AAAAAD3+/88=")</f>
        <v>#REF!</v>
      </c>
      <c r="HA424" t="e">
        <f>IF(#REF!,"AAAAAD3+/9A=",0)</f>
        <v>#REF!</v>
      </c>
      <c r="HB424" t="e">
        <f>AND(#REF!,"AAAAAD3+/9E=")</f>
        <v>#REF!</v>
      </c>
      <c r="HC424" t="e">
        <f>AND(#REF!,"AAAAAD3+/9I=")</f>
        <v>#REF!</v>
      </c>
      <c r="HD424" t="e">
        <f>AND(#REF!,"AAAAAD3+/9M=")</f>
        <v>#REF!</v>
      </c>
      <c r="HE424" t="e">
        <f>AND(#REF!,"AAAAAD3+/9Q=")</f>
        <v>#REF!</v>
      </c>
      <c r="HF424" t="e">
        <f>AND(#REF!,"AAAAAD3+/9U=")</f>
        <v>#REF!</v>
      </c>
      <c r="HG424" t="e">
        <f>AND(#REF!,"AAAAAD3+/9Y=")</f>
        <v>#REF!</v>
      </c>
      <c r="HH424" t="e">
        <f>AND(#REF!,"AAAAAD3+/9c=")</f>
        <v>#REF!</v>
      </c>
      <c r="HI424" t="e">
        <f>AND(#REF!,"AAAAAD3+/9g=")</f>
        <v>#REF!</v>
      </c>
      <c r="HJ424" t="e">
        <f>AND(#REF!,"AAAAAD3+/9k=")</f>
        <v>#REF!</v>
      </c>
      <c r="HK424" t="e">
        <f>AND(#REF!,"AAAAAD3+/9o=")</f>
        <v>#REF!</v>
      </c>
      <c r="HL424" t="e">
        <f>IF(#REF!,"AAAAAD3+/9s=",0)</f>
        <v>#REF!</v>
      </c>
      <c r="HM424" t="e">
        <f>AND(#REF!,"AAAAAD3+/9w=")</f>
        <v>#REF!</v>
      </c>
      <c r="HN424" t="e">
        <f>AND(#REF!,"AAAAAD3+/90=")</f>
        <v>#REF!</v>
      </c>
      <c r="HO424" t="e">
        <f>AND(#REF!,"AAAAAD3+/94=")</f>
        <v>#REF!</v>
      </c>
      <c r="HP424" t="e">
        <f>AND(#REF!,"AAAAAD3+/98=")</f>
        <v>#REF!</v>
      </c>
      <c r="HQ424" t="e">
        <f>AND(#REF!,"AAAAAD3+/+A=")</f>
        <v>#REF!</v>
      </c>
      <c r="HR424" t="e">
        <f>AND(#REF!,"AAAAAD3+/+E=")</f>
        <v>#REF!</v>
      </c>
      <c r="HS424" t="e">
        <f>AND(#REF!,"AAAAAD3+/+I=")</f>
        <v>#REF!</v>
      </c>
      <c r="HT424" t="e">
        <f>AND(#REF!,"AAAAAD3+/+M=")</f>
        <v>#REF!</v>
      </c>
      <c r="HU424" t="e">
        <f>AND(#REF!,"AAAAAD3+/+Q=")</f>
        <v>#REF!</v>
      </c>
      <c r="HV424" t="e">
        <f>AND(#REF!,"AAAAAD3+/+U=")</f>
        <v>#REF!</v>
      </c>
      <c r="HW424" t="e">
        <f>IF(#REF!,"AAAAAD3+/+Y=",0)</f>
        <v>#REF!</v>
      </c>
      <c r="HX424" t="e">
        <f>AND(#REF!,"AAAAAD3+/+c=")</f>
        <v>#REF!</v>
      </c>
      <c r="HY424" t="e">
        <f>AND(#REF!,"AAAAAD3+/+g=")</f>
        <v>#REF!</v>
      </c>
      <c r="HZ424" t="e">
        <f>AND(#REF!,"AAAAAD3+/+k=")</f>
        <v>#REF!</v>
      </c>
      <c r="IA424" t="e">
        <f>AND(#REF!,"AAAAAD3+/+o=")</f>
        <v>#REF!</v>
      </c>
      <c r="IB424" t="e">
        <f>AND(#REF!,"AAAAAD3+/+s=")</f>
        <v>#REF!</v>
      </c>
      <c r="IC424" t="e">
        <f>AND(#REF!,"AAAAAD3+/+w=")</f>
        <v>#REF!</v>
      </c>
      <c r="ID424" t="e">
        <f>AND(#REF!,"AAAAAD3+/+0=")</f>
        <v>#REF!</v>
      </c>
      <c r="IE424" t="e">
        <f>AND(#REF!,"AAAAAD3+/+4=")</f>
        <v>#REF!</v>
      </c>
      <c r="IF424" t="e">
        <f>AND(#REF!,"AAAAAD3+/+8=")</f>
        <v>#REF!</v>
      </c>
      <c r="IG424" t="e">
        <f>AND(#REF!,"AAAAAD3+//A=")</f>
        <v>#REF!</v>
      </c>
      <c r="IH424" t="e">
        <f>IF(#REF!,"AAAAAD3+//E=",0)</f>
        <v>#REF!</v>
      </c>
      <c r="II424" t="e">
        <f>AND(#REF!,"AAAAAD3+//I=")</f>
        <v>#REF!</v>
      </c>
      <c r="IJ424" t="e">
        <f>AND(#REF!,"AAAAAD3+//M=")</f>
        <v>#REF!</v>
      </c>
      <c r="IK424" t="e">
        <f>AND(#REF!,"AAAAAD3+//Q=")</f>
        <v>#REF!</v>
      </c>
      <c r="IL424" t="e">
        <f>AND(#REF!,"AAAAAD3+//U=")</f>
        <v>#REF!</v>
      </c>
      <c r="IM424" t="e">
        <f>AND(#REF!,"AAAAAD3+//Y=")</f>
        <v>#REF!</v>
      </c>
      <c r="IN424" t="e">
        <f>AND(#REF!,"AAAAAD3+//c=")</f>
        <v>#REF!</v>
      </c>
      <c r="IO424" t="e">
        <f>AND(#REF!,"AAAAAD3+//g=")</f>
        <v>#REF!</v>
      </c>
      <c r="IP424" t="e">
        <f>AND(#REF!,"AAAAAD3+//k=")</f>
        <v>#REF!</v>
      </c>
      <c r="IQ424" t="e">
        <f>AND(#REF!,"AAAAAD3+//o=")</f>
        <v>#REF!</v>
      </c>
      <c r="IR424" t="e">
        <f>AND(#REF!,"AAAAAD3+//s=")</f>
        <v>#REF!</v>
      </c>
      <c r="IS424" t="e">
        <f>IF(#REF!,"AAAAAD3+//w=",0)</f>
        <v>#REF!</v>
      </c>
      <c r="IT424" t="e">
        <f>AND(#REF!,"AAAAAD3+//0=")</f>
        <v>#REF!</v>
      </c>
      <c r="IU424" t="e">
        <f>AND(#REF!,"AAAAAD3+//4=")</f>
        <v>#REF!</v>
      </c>
      <c r="IV424" t="e">
        <f>AND(#REF!,"AAAAAD3+//8=")</f>
        <v>#REF!</v>
      </c>
    </row>
    <row r="425" spans="1:256" x14ac:dyDescent="0.25">
      <c r="A425" t="e">
        <f>AND(#REF!,"AAAAAHO55QA=")</f>
        <v>#REF!</v>
      </c>
      <c r="B425" t="e">
        <f>AND(#REF!,"AAAAAHO55QE=")</f>
        <v>#REF!</v>
      </c>
      <c r="C425" t="e">
        <f>AND(#REF!,"AAAAAHO55QI=")</f>
        <v>#REF!</v>
      </c>
      <c r="D425" t="e">
        <f>AND(#REF!,"AAAAAHO55QM=")</f>
        <v>#REF!</v>
      </c>
      <c r="E425" t="e">
        <f>AND(#REF!,"AAAAAHO55QQ=")</f>
        <v>#REF!</v>
      </c>
      <c r="F425" t="e">
        <f>AND(#REF!,"AAAAAHO55QU=")</f>
        <v>#REF!</v>
      </c>
      <c r="G425" t="e">
        <f>AND(#REF!,"AAAAAHO55QY=")</f>
        <v>#REF!</v>
      </c>
      <c r="H425" t="e">
        <f>IF(#REF!,"AAAAAHO55Qc=",0)</f>
        <v>#REF!</v>
      </c>
      <c r="I425" t="e">
        <f>AND(#REF!,"AAAAAHO55Qg=")</f>
        <v>#REF!</v>
      </c>
      <c r="J425" t="e">
        <f>AND(#REF!,"AAAAAHO55Qk=")</f>
        <v>#REF!</v>
      </c>
      <c r="K425" t="e">
        <f>AND(#REF!,"AAAAAHO55Qo=")</f>
        <v>#REF!</v>
      </c>
      <c r="L425" t="e">
        <f>AND(#REF!,"AAAAAHO55Qs=")</f>
        <v>#REF!</v>
      </c>
      <c r="M425" t="e">
        <f>AND(#REF!,"AAAAAHO55Qw=")</f>
        <v>#REF!</v>
      </c>
      <c r="N425" t="e">
        <f>AND(#REF!,"AAAAAHO55Q0=")</f>
        <v>#REF!</v>
      </c>
      <c r="O425" t="e">
        <f>AND(#REF!,"AAAAAHO55Q4=")</f>
        <v>#REF!</v>
      </c>
      <c r="P425" t="e">
        <f>AND(#REF!,"AAAAAHO55Q8=")</f>
        <v>#REF!</v>
      </c>
      <c r="Q425" t="e">
        <f>AND(#REF!,"AAAAAHO55RA=")</f>
        <v>#REF!</v>
      </c>
      <c r="R425" t="e">
        <f>AND(#REF!,"AAAAAHO55RE=")</f>
        <v>#REF!</v>
      </c>
      <c r="S425" t="e">
        <f>IF(#REF!,"AAAAAHO55RI=",0)</f>
        <v>#REF!</v>
      </c>
      <c r="T425" t="e">
        <f>AND(#REF!,"AAAAAHO55RM=")</f>
        <v>#REF!</v>
      </c>
      <c r="U425" t="e">
        <f>AND(#REF!,"AAAAAHO55RQ=")</f>
        <v>#REF!</v>
      </c>
      <c r="V425" t="e">
        <f>AND(#REF!,"AAAAAHO55RU=")</f>
        <v>#REF!</v>
      </c>
      <c r="W425" t="e">
        <f>AND(#REF!,"AAAAAHO55RY=")</f>
        <v>#REF!</v>
      </c>
      <c r="X425" t="e">
        <f>AND(#REF!,"AAAAAHO55Rc=")</f>
        <v>#REF!</v>
      </c>
      <c r="Y425" t="e">
        <f>AND(#REF!,"AAAAAHO55Rg=")</f>
        <v>#REF!</v>
      </c>
      <c r="Z425" t="e">
        <f>AND(#REF!,"AAAAAHO55Rk=")</f>
        <v>#REF!</v>
      </c>
      <c r="AA425" t="e">
        <f>AND(#REF!,"AAAAAHO55Ro=")</f>
        <v>#REF!</v>
      </c>
      <c r="AB425" t="e">
        <f>AND(#REF!,"AAAAAHO55Rs=")</f>
        <v>#REF!</v>
      </c>
      <c r="AC425" t="e">
        <f>AND(#REF!,"AAAAAHO55Rw=")</f>
        <v>#REF!</v>
      </c>
      <c r="AD425" t="e">
        <f>IF(#REF!,"AAAAAHO55R0=",0)</f>
        <v>#REF!</v>
      </c>
      <c r="AE425" t="e">
        <f>AND(#REF!,"AAAAAHO55R4=")</f>
        <v>#REF!</v>
      </c>
      <c r="AF425" t="e">
        <f>AND(#REF!,"AAAAAHO55R8=")</f>
        <v>#REF!</v>
      </c>
      <c r="AG425" t="e">
        <f>AND(#REF!,"AAAAAHO55SA=")</f>
        <v>#REF!</v>
      </c>
      <c r="AH425" t="e">
        <f>AND(#REF!,"AAAAAHO55SE=")</f>
        <v>#REF!</v>
      </c>
      <c r="AI425" t="e">
        <f>AND(#REF!,"AAAAAHO55SI=")</f>
        <v>#REF!</v>
      </c>
      <c r="AJ425" t="e">
        <f>AND(#REF!,"AAAAAHO55SM=")</f>
        <v>#REF!</v>
      </c>
      <c r="AK425" t="e">
        <f>AND(#REF!,"AAAAAHO55SQ=")</f>
        <v>#REF!</v>
      </c>
      <c r="AL425" t="e">
        <f>AND(#REF!,"AAAAAHO55SU=")</f>
        <v>#REF!</v>
      </c>
      <c r="AM425" t="e">
        <f>AND(#REF!,"AAAAAHO55SY=")</f>
        <v>#REF!</v>
      </c>
      <c r="AN425" t="e">
        <f>AND(#REF!,"AAAAAHO55Sc=")</f>
        <v>#REF!</v>
      </c>
      <c r="AO425" t="e">
        <f>IF(#REF!,"AAAAAHO55Sg=",0)</f>
        <v>#REF!</v>
      </c>
      <c r="AP425" t="e">
        <f>AND(#REF!,"AAAAAHO55Sk=")</f>
        <v>#REF!</v>
      </c>
      <c r="AQ425" t="e">
        <f>AND(#REF!,"AAAAAHO55So=")</f>
        <v>#REF!</v>
      </c>
      <c r="AR425" t="e">
        <f>AND(#REF!,"AAAAAHO55Ss=")</f>
        <v>#REF!</v>
      </c>
      <c r="AS425" t="e">
        <f>AND(#REF!,"AAAAAHO55Sw=")</f>
        <v>#REF!</v>
      </c>
      <c r="AT425" t="e">
        <f>AND(#REF!,"AAAAAHO55S0=")</f>
        <v>#REF!</v>
      </c>
      <c r="AU425" t="e">
        <f>AND(#REF!,"AAAAAHO55S4=")</f>
        <v>#REF!</v>
      </c>
      <c r="AV425" t="e">
        <f>AND(#REF!,"AAAAAHO55S8=")</f>
        <v>#REF!</v>
      </c>
      <c r="AW425" t="e">
        <f>AND(#REF!,"AAAAAHO55TA=")</f>
        <v>#REF!</v>
      </c>
      <c r="AX425" t="e">
        <f>AND(#REF!,"AAAAAHO55TE=")</f>
        <v>#REF!</v>
      </c>
      <c r="AY425" t="e">
        <f>AND(#REF!,"AAAAAHO55TI=")</f>
        <v>#REF!</v>
      </c>
      <c r="AZ425" t="e">
        <f>IF(#REF!,"AAAAAHO55TM=",0)</f>
        <v>#REF!</v>
      </c>
      <c r="BA425" t="e">
        <f>AND(#REF!,"AAAAAHO55TQ=")</f>
        <v>#REF!</v>
      </c>
      <c r="BB425" t="e">
        <f>AND(#REF!,"AAAAAHO55TU=")</f>
        <v>#REF!</v>
      </c>
      <c r="BC425" t="e">
        <f>AND(#REF!,"AAAAAHO55TY=")</f>
        <v>#REF!</v>
      </c>
      <c r="BD425" t="e">
        <f>AND(#REF!,"AAAAAHO55Tc=")</f>
        <v>#REF!</v>
      </c>
      <c r="BE425" t="e">
        <f>AND(#REF!,"AAAAAHO55Tg=")</f>
        <v>#REF!</v>
      </c>
      <c r="BF425" t="e">
        <f>AND(#REF!,"AAAAAHO55Tk=")</f>
        <v>#REF!</v>
      </c>
      <c r="BG425" t="e">
        <f>AND(#REF!,"AAAAAHO55To=")</f>
        <v>#REF!</v>
      </c>
      <c r="BH425" t="e">
        <f>AND(#REF!,"AAAAAHO55Ts=")</f>
        <v>#REF!</v>
      </c>
      <c r="BI425" t="e">
        <f>AND(#REF!,"AAAAAHO55Tw=")</f>
        <v>#REF!</v>
      </c>
      <c r="BJ425" t="e">
        <f>AND(#REF!,"AAAAAHO55T0=")</f>
        <v>#REF!</v>
      </c>
      <c r="BK425" t="e">
        <f>IF(#REF!,"AAAAAHO55T4=",0)</f>
        <v>#REF!</v>
      </c>
      <c r="BL425" t="e">
        <f>AND(#REF!,"AAAAAHO55T8=")</f>
        <v>#REF!</v>
      </c>
      <c r="BM425" t="e">
        <f>AND(#REF!,"AAAAAHO55UA=")</f>
        <v>#REF!</v>
      </c>
      <c r="BN425" t="e">
        <f>AND(#REF!,"AAAAAHO55UE=")</f>
        <v>#REF!</v>
      </c>
      <c r="BO425" t="e">
        <f>AND(#REF!,"AAAAAHO55UI=")</f>
        <v>#REF!</v>
      </c>
      <c r="BP425" t="e">
        <f>AND(#REF!,"AAAAAHO55UM=")</f>
        <v>#REF!</v>
      </c>
      <c r="BQ425" t="e">
        <f>AND(#REF!,"AAAAAHO55UQ=")</f>
        <v>#REF!</v>
      </c>
      <c r="BR425" t="e">
        <f>AND(#REF!,"AAAAAHO55UU=")</f>
        <v>#REF!</v>
      </c>
      <c r="BS425" t="e">
        <f>AND(#REF!,"AAAAAHO55UY=")</f>
        <v>#REF!</v>
      </c>
      <c r="BT425" t="e">
        <f>AND(#REF!,"AAAAAHO55Uc=")</f>
        <v>#REF!</v>
      </c>
      <c r="BU425" t="e">
        <f>AND(#REF!,"AAAAAHO55Ug=")</f>
        <v>#REF!</v>
      </c>
      <c r="BV425" t="e">
        <f>IF(#REF!,"AAAAAHO55Uk=",0)</f>
        <v>#REF!</v>
      </c>
      <c r="BW425" t="e">
        <f>AND(#REF!,"AAAAAHO55Uo=")</f>
        <v>#REF!</v>
      </c>
      <c r="BX425" t="e">
        <f>AND(#REF!,"AAAAAHO55Us=")</f>
        <v>#REF!</v>
      </c>
      <c r="BY425" t="e">
        <f>AND(#REF!,"AAAAAHO55Uw=")</f>
        <v>#REF!</v>
      </c>
      <c r="BZ425" t="e">
        <f>AND(#REF!,"AAAAAHO55U0=")</f>
        <v>#REF!</v>
      </c>
      <c r="CA425" t="e">
        <f>AND(#REF!,"AAAAAHO55U4=")</f>
        <v>#REF!</v>
      </c>
      <c r="CB425" t="e">
        <f>AND(#REF!,"AAAAAHO55U8=")</f>
        <v>#REF!</v>
      </c>
      <c r="CC425" t="e">
        <f>AND(#REF!,"AAAAAHO55VA=")</f>
        <v>#REF!</v>
      </c>
      <c r="CD425" t="e">
        <f>AND(#REF!,"AAAAAHO55VE=")</f>
        <v>#REF!</v>
      </c>
      <c r="CE425" t="e">
        <f>AND(#REF!,"AAAAAHO55VI=")</f>
        <v>#REF!</v>
      </c>
      <c r="CF425" t="e">
        <f>AND(#REF!,"AAAAAHO55VM=")</f>
        <v>#REF!</v>
      </c>
      <c r="CG425" t="e">
        <f>IF(#REF!,"AAAAAHO55VQ=",0)</f>
        <v>#REF!</v>
      </c>
      <c r="CH425" t="e">
        <f>AND(#REF!,"AAAAAHO55VU=")</f>
        <v>#REF!</v>
      </c>
      <c r="CI425" t="e">
        <f>AND(#REF!,"AAAAAHO55VY=")</f>
        <v>#REF!</v>
      </c>
      <c r="CJ425" t="e">
        <f>AND(#REF!,"AAAAAHO55Vc=")</f>
        <v>#REF!</v>
      </c>
      <c r="CK425" t="e">
        <f>AND(#REF!,"AAAAAHO55Vg=")</f>
        <v>#REF!</v>
      </c>
      <c r="CL425" t="e">
        <f>AND(#REF!,"AAAAAHO55Vk=")</f>
        <v>#REF!</v>
      </c>
      <c r="CM425" t="e">
        <f>AND(#REF!,"AAAAAHO55Vo=")</f>
        <v>#REF!</v>
      </c>
      <c r="CN425" t="e">
        <f>AND(#REF!,"AAAAAHO55Vs=")</f>
        <v>#REF!</v>
      </c>
      <c r="CO425" t="e">
        <f>AND(#REF!,"AAAAAHO55Vw=")</f>
        <v>#REF!</v>
      </c>
      <c r="CP425" t="e">
        <f>AND(#REF!,"AAAAAHO55V0=")</f>
        <v>#REF!</v>
      </c>
      <c r="CQ425" t="e">
        <f>AND(#REF!,"AAAAAHO55V4=")</f>
        <v>#REF!</v>
      </c>
      <c r="CR425" t="e">
        <f>IF(#REF!,"AAAAAHO55V8=",0)</f>
        <v>#REF!</v>
      </c>
      <c r="CS425" t="e">
        <f>AND(#REF!,"AAAAAHO55WA=")</f>
        <v>#REF!</v>
      </c>
      <c r="CT425" t="e">
        <f>AND(#REF!,"AAAAAHO55WE=")</f>
        <v>#REF!</v>
      </c>
      <c r="CU425" t="e">
        <f>AND(#REF!,"AAAAAHO55WI=")</f>
        <v>#REF!</v>
      </c>
      <c r="CV425" t="e">
        <f>AND(#REF!,"AAAAAHO55WM=")</f>
        <v>#REF!</v>
      </c>
      <c r="CW425" t="e">
        <f>AND(#REF!,"AAAAAHO55WQ=")</f>
        <v>#REF!</v>
      </c>
      <c r="CX425" t="e">
        <f>AND(#REF!,"AAAAAHO55WU=")</f>
        <v>#REF!</v>
      </c>
      <c r="CY425" t="e">
        <f>AND(#REF!,"AAAAAHO55WY=")</f>
        <v>#REF!</v>
      </c>
      <c r="CZ425" t="e">
        <f>AND(#REF!,"AAAAAHO55Wc=")</f>
        <v>#REF!</v>
      </c>
      <c r="DA425" t="e">
        <f>AND(#REF!,"AAAAAHO55Wg=")</f>
        <v>#REF!</v>
      </c>
      <c r="DB425" t="e">
        <f>AND(#REF!,"AAAAAHO55Wk=")</f>
        <v>#REF!</v>
      </c>
      <c r="DC425" t="e">
        <f>IF(#REF!,"AAAAAHO55Wo=",0)</f>
        <v>#REF!</v>
      </c>
      <c r="DD425" t="e">
        <f>AND(#REF!,"AAAAAHO55Ws=")</f>
        <v>#REF!</v>
      </c>
      <c r="DE425" t="e">
        <f>AND(#REF!,"AAAAAHO55Ww=")</f>
        <v>#REF!</v>
      </c>
      <c r="DF425" t="e">
        <f>AND(#REF!,"AAAAAHO55W0=")</f>
        <v>#REF!</v>
      </c>
      <c r="DG425" t="e">
        <f>AND(#REF!,"AAAAAHO55W4=")</f>
        <v>#REF!</v>
      </c>
      <c r="DH425" t="e">
        <f>AND(#REF!,"AAAAAHO55W8=")</f>
        <v>#REF!</v>
      </c>
      <c r="DI425" t="e">
        <f>AND(#REF!,"AAAAAHO55XA=")</f>
        <v>#REF!</v>
      </c>
      <c r="DJ425" t="e">
        <f>AND(#REF!,"AAAAAHO55XE=")</f>
        <v>#REF!</v>
      </c>
      <c r="DK425" t="e">
        <f>AND(#REF!,"AAAAAHO55XI=")</f>
        <v>#REF!</v>
      </c>
      <c r="DL425" t="e">
        <f>AND(#REF!,"AAAAAHO55XM=")</f>
        <v>#REF!</v>
      </c>
      <c r="DM425" t="e">
        <f>AND(#REF!,"AAAAAHO55XQ=")</f>
        <v>#REF!</v>
      </c>
      <c r="DN425" t="e">
        <f>IF(#REF!,"AAAAAHO55XU=",0)</f>
        <v>#REF!</v>
      </c>
      <c r="DO425" t="e">
        <f>AND(#REF!,"AAAAAHO55XY=")</f>
        <v>#REF!</v>
      </c>
      <c r="DP425" t="e">
        <f>AND(#REF!,"AAAAAHO55Xc=")</f>
        <v>#REF!</v>
      </c>
      <c r="DQ425" t="e">
        <f>AND(#REF!,"AAAAAHO55Xg=")</f>
        <v>#REF!</v>
      </c>
      <c r="DR425" t="e">
        <f>AND(#REF!,"AAAAAHO55Xk=")</f>
        <v>#REF!</v>
      </c>
      <c r="DS425" t="e">
        <f>AND(#REF!,"AAAAAHO55Xo=")</f>
        <v>#REF!</v>
      </c>
      <c r="DT425" t="e">
        <f>AND(#REF!,"AAAAAHO55Xs=")</f>
        <v>#REF!</v>
      </c>
      <c r="DU425" t="e">
        <f>AND(#REF!,"AAAAAHO55Xw=")</f>
        <v>#REF!</v>
      </c>
      <c r="DV425" t="e">
        <f>AND(#REF!,"AAAAAHO55X0=")</f>
        <v>#REF!</v>
      </c>
      <c r="DW425" t="e">
        <f>AND(#REF!,"AAAAAHO55X4=")</f>
        <v>#REF!</v>
      </c>
      <c r="DX425" t="e">
        <f>AND(#REF!,"AAAAAHO55X8=")</f>
        <v>#REF!</v>
      </c>
      <c r="DY425" t="e">
        <f>IF(#REF!,"AAAAAHO55YA=",0)</f>
        <v>#REF!</v>
      </c>
      <c r="DZ425" t="e">
        <f>AND(#REF!,"AAAAAHO55YE=")</f>
        <v>#REF!</v>
      </c>
      <c r="EA425" t="e">
        <f>AND(#REF!,"AAAAAHO55YI=")</f>
        <v>#REF!</v>
      </c>
      <c r="EB425" t="e">
        <f>AND(#REF!,"AAAAAHO55YM=")</f>
        <v>#REF!</v>
      </c>
      <c r="EC425" t="e">
        <f>AND(#REF!,"AAAAAHO55YQ=")</f>
        <v>#REF!</v>
      </c>
      <c r="ED425" t="e">
        <f>AND(#REF!,"AAAAAHO55YU=")</f>
        <v>#REF!</v>
      </c>
      <c r="EE425" t="e">
        <f>AND(#REF!,"AAAAAHO55YY=")</f>
        <v>#REF!</v>
      </c>
      <c r="EF425" t="e">
        <f>AND(#REF!,"AAAAAHO55Yc=")</f>
        <v>#REF!</v>
      </c>
      <c r="EG425" t="e">
        <f>AND(#REF!,"AAAAAHO55Yg=")</f>
        <v>#REF!</v>
      </c>
      <c r="EH425" t="e">
        <f>AND(#REF!,"AAAAAHO55Yk=")</f>
        <v>#REF!</v>
      </c>
      <c r="EI425" t="e">
        <f>AND(#REF!,"AAAAAHO55Yo=")</f>
        <v>#REF!</v>
      </c>
      <c r="EJ425" t="e">
        <f>IF(#REF!,"AAAAAHO55Ys=",0)</f>
        <v>#REF!</v>
      </c>
      <c r="EK425" t="e">
        <f>AND(#REF!,"AAAAAHO55Yw=")</f>
        <v>#REF!</v>
      </c>
      <c r="EL425" t="e">
        <f>AND(#REF!,"AAAAAHO55Y0=")</f>
        <v>#REF!</v>
      </c>
      <c r="EM425" t="e">
        <f>AND(#REF!,"AAAAAHO55Y4=")</f>
        <v>#REF!</v>
      </c>
      <c r="EN425" t="e">
        <f>AND(#REF!,"AAAAAHO55Y8=")</f>
        <v>#REF!</v>
      </c>
      <c r="EO425" t="e">
        <f>AND(#REF!,"AAAAAHO55ZA=")</f>
        <v>#REF!</v>
      </c>
      <c r="EP425" t="e">
        <f>AND(#REF!,"AAAAAHO55ZE=")</f>
        <v>#REF!</v>
      </c>
      <c r="EQ425" t="e">
        <f>AND(#REF!,"AAAAAHO55ZI=")</f>
        <v>#REF!</v>
      </c>
      <c r="ER425" t="e">
        <f>AND(#REF!,"AAAAAHO55ZM=")</f>
        <v>#REF!</v>
      </c>
      <c r="ES425" t="e">
        <f>AND(#REF!,"AAAAAHO55ZQ=")</f>
        <v>#REF!</v>
      </c>
      <c r="ET425" t="e">
        <f>AND(#REF!,"AAAAAHO55ZU=")</f>
        <v>#REF!</v>
      </c>
      <c r="EU425" t="e">
        <f>IF(#REF!,"AAAAAHO55ZY=",0)</f>
        <v>#REF!</v>
      </c>
      <c r="EV425" t="e">
        <f>AND(#REF!,"AAAAAHO55Zc=")</f>
        <v>#REF!</v>
      </c>
      <c r="EW425" t="e">
        <f>AND(#REF!,"AAAAAHO55Zg=")</f>
        <v>#REF!</v>
      </c>
      <c r="EX425" t="e">
        <f>AND(#REF!,"AAAAAHO55Zk=")</f>
        <v>#REF!</v>
      </c>
      <c r="EY425" t="e">
        <f>AND(#REF!,"AAAAAHO55Zo=")</f>
        <v>#REF!</v>
      </c>
      <c r="EZ425" t="e">
        <f>AND(#REF!,"AAAAAHO55Zs=")</f>
        <v>#REF!</v>
      </c>
      <c r="FA425" t="e">
        <f>AND(#REF!,"AAAAAHO55Zw=")</f>
        <v>#REF!</v>
      </c>
      <c r="FB425" t="e">
        <f>AND(#REF!,"AAAAAHO55Z0=")</f>
        <v>#REF!</v>
      </c>
      <c r="FC425" t="e">
        <f>AND(#REF!,"AAAAAHO55Z4=")</f>
        <v>#REF!</v>
      </c>
      <c r="FD425" t="e">
        <f>AND(#REF!,"AAAAAHO55Z8=")</f>
        <v>#REF!</v>
      </c>
      <c r="FE425" t="e">
        <f>AND(#REF!,"AAAAAHO55aA=")</f>
        <v>#REF!</v>
      </c>
      <c r="FF425" t="e">
        <f>IF(#REF!,"AAAAAHO55aE=",0)</f>
        <v>#REF!</v>
      </c>
      <c r="FG425" t="e">
        <f>AND(#REF!,"AAAAAHO55aI=")</f>
        <v>#REF!</v>
      </c>
      <c r="FH425" t="e">
        <f>AND(#REF!,"AAAAAHO55aM=")</f>
        <v>#REF!</v>
      </c>
      <c r="FI425" t="e">
        <f>AND(#REF!,"AAAAAHO55aQ=")</f>
        <v>#REF!</v>
      </c>
      <c r="FJ425" t="e">
        <f>AND(#REF!,"AAAAAHO55aU=")</f>
        <v>#REF!</v>
      </c>
      <c r="FK425" t="e">
        <f>AND(#REF!,"AAAAAHO55aY=")</f>
        <v>#REF!</v>
      </c>
      <c r="FL425" t="e">
        <f>AND(#REF!,"AAAAAHO55ac=")</f>
        <v>#REF!</v>
      </c>
      <c r="FM425" t="e">
        <f>AND(#REF!,"AAAAAHO55ag=")</f>
        <v>#REF!</v>
      </c>
      <c r="FN425" t="e">
        <f>AND(#REF!,"AAAAAHO55ak=")</f>
        <v>#REF!</v>
      </c>
      <c r="FO425" t="e">
        <f>AND(#REF!,"AAAAAHO55ao=")</f>
        <v>#REF!</v>
      </c>
      <c r="FP425" t="e">
        <f>AND(#REF!,"AAAAAHO55as=")</f>
        <v>#REF!</v>
      </c>
      <c r="FQ425" t="e">
        <f>IF(#REF!,"AAAAAHO55aw=",0)</f>
        <v>#REF!</v>
      </c>
      <c r="FR425" t="e">
        <f>AND(#REF!,"AAAAAHO55a0=")</f>
        <v>#REF!</v>
      </c>
      <c r="FS425" t="e">
        <f>AND(#REF!,"AAAAAHO55a4=")</f>
        <v>#REF!</v>
      </c>
      <c r="FT425" t="e">
        <f>AND(#REF!,"AAAAAHO55a8=")</f>
        <v>#REF!</v>
      </c>
      <c r="FU425" t="e">
        <f>AND(#REF!,"AAAAAHO55bA=")</f>
        <v>#REF!</v>
      </c>
      <c r="FV425" t="e">
        <f>AND(#REF!,"AAAAAHO55bE=")</f>
        <v>#REF!</v>
      </c>
      <c r="FW425" t="e">
        <f>AND(#REF!,"AAAAAHO55bI=")</f>
        <v>#REF!</v>
      </c>
      <c r="FX425" t="e">
        <f>AND(#REF!,"AAAAAHO55bM=")</f>
        <v>#REF!</v>
      </c>
      <c r="FY425" t="e">
        <f>AND(#REF!,"AAAAAHO55bQ=")</f>
        <v>#REF!</v>
      </c>
      <c r="FZ425" t="e">
        <f>AND(#REF!,"AAAAAHO55bU=")</f>
        <v>#REF!</v>
      </c>
      <c r="GA425" t="e">
        <f>AND(#REF!,"AAAAAHO55bY=")</f>
        <v>#REF!</v>
      </c>
      <c r="GB425" t="e">
        <f>IF(#REF!,"AAAAAHO55bc=",0)</f>
        <v>#REF!</v>
      </c>
      <c r="GC425" t="e">
        <f>AND(#REF!,"AAAAAHO55bg=")</f>
        <v>#REF!</v>
      </c>
      <c r="GD425" t="e">
        <f>AND(#REF!,"AAAAAHO55bk=")</f>
        <v>#REF!</v>
      </c>
      <c r="GE425" t="e">
        <f>AND(#REF!,"AAAAAHO55bo=")</f>
        <v>#REF!</v>
      </c>
      <c r="GF425" t="e">
        <f>AND(#REF!,"AAAAAHO55bs=")</f>
        <v>#REF!</v>
      </c>
      <c r="GG425" t="e">
        <f>AND(#REF!,"AAAAAHO55bw=")</f>
        <v>#REF!</v>
      </c>
      <c r="GH425" t="e">
        <f>AND(#REF!,"AAAAAHO55b0=")</f>
        <v>#REF!</v>
      </c>
      <c r="GI425" t="e">
        <f>AND(#REF!,"AAAAAHO55b4=")</f>
        <v>#REF!</v>
      </c>
      <c r="GJ425" t="e">
        <f>AND(#REF!,"AAAAAHO55b8=")</f>
        <v>#REF!</v>
      </c>
      <c r="GK425" t="e">
        <f>AND(#REF!,"AAAAAHO55cA=")</f>
        <v>#REF!</v>
      </c>
      <c r="GL425" t="e">
        <f>AND(#REF!,"AAAAAHO55cE=")</f>
        <v>#REF!</v>
      </c>
      <c r="GM425" t="e">
        <f>IF(#REF!,"AAAAAHO55cI=",0)</f>
        <v>#REF!</v>
      </c>
      <c r="GN425" t="e">
        <f>AND(#REF!,"AAAAAHO55cM=")</f>
        <v>#REF!</v>
      </c>
      <c r="GO425" t="e">
        <f>AND(#REF!,"AAAAAHO55cQ=")</f>
        <v>#REF!</v>
      </c>
      <c r="GP425" t="e">
        <f>AND(#REF!,"AAAAAHO55cU=")</f>
        <v>#REF!</v>
      </c>
      <c r="GQ425" t="e">
        <f>AND(#REF!,"AAAAAHO55cY=")</f>
        <v>#REF!</v>
      </c>
      <c r="GR425" t="e">
        <f>AND(#REF!,"AAAAAHO55cc=")</f>
        <v>#REF!</v>
      </c>
      <c r="GS425" t="e">
        <f>AND(#REF!,"AAAAAHO55cg=")</f>
        <v>#REF!</v>
      </c>
      <c r="GT425" t="e">
        <f>AND(#REF!,"AAAAAHO55ck=")</f>
        <v>#REF!</v>
      </c>
      <c r="GU425" t="e">
        <f>AND(#REF!,"AAAAAHO55co=")</f>
        <v>#REF!</v>
      </c>
      <c r="GV425" t="e">
        <f>AND(#REF!,"AAAAAHO55cs=")</f>
        <v>#REF!</v>
      </c>
      <c r="GW425" t="e">
        <f>AND(#REF!,"AAAAAHO55cw=")</f>
        <v>#REF!</v>
      </c>
      <c r="GX425" t="e">
        <f>IF(#REF!,"AAAAAHO55c0=",0)</f>
        <v>#REF!</v>
      </c>
      <c r="GY425" t="e">
        <f>AND(#REF!,"AAAAAHO55c4=")</f>
        <v>#REF!</v>
      </c>
      <c r="GZ425" t="e">
        <f>AND(#REF!,"AAAAAHO55c8=")</f>
        <v>#REF!</v>
      </c>
      <c r="HA425" t="e">
        <f>AND(#REF!,"AAAAAHO55dA=")</f>
        <v>#REF!</v>
      </c>
      <c r="HB425" t="e">
        <f>AND(#REF!,"AAAAAHO55dE=")</f>
        <v>#REF!</v>
      </c>
      <c r="HC425" t="e">
        <f>AND(#REF!,"AAAAAHO55dI=")</f>
        <v>#REF!</v>
      </c>
      <c r="HD425" t="e">
        <f>AND(#REF!,"AAAAAHO55dM=")</f>
        <v>#REF!</v>
      </c>
      <c r="HE425" t="e">
        <f>AND(#REF!,"AAAAAHO55dQ=")</f>
        <v>#REF!</v>
      </c>
      <c r="HF425" t="e">
        <f>AND(#REF!,"AAAAAHO55dU=")</f>
        <v>#REF!</v>
      </c>
      <c r="HG425" t="e">
        <f>AND(#REF!,"AAAAAHO55dY=")</f>
        <v>#REF!</v>
      </c>
      <c r="HH425" t="e">
        <f>AND(#REF!,"AAAAAHO55dc=")</f>
        <v>#REF!</v>
      </c>
      <c r="HI425" t="e">
        <f>IF(#REF!,"AAAAAHO55dg=",0)</f>
        <v>#REF!</v>
      </c>
      <c r="HJ425" t="e">
        <f>AND(#REF!,"AAAAAHO55dk=")</f>
        <v>#REF!</v>
      </c>
      <c r="HK425" t="e">
        <f>AND(#REF!,"AAAAAHO55do=")</f>
        <v>#REF!</v>
      </c>
      <c r="HL425" t="e">
        <f>AND(#REF!,"AAAAAHO55ds=")</f>
        <v>#REF!</v>
      </c>
      <c r="HM425" t="e">
        <f>AND(#REF!,"AAAAAHO55dw=")</f>
        <v>#REF!</v>
      </c>
      <c r="HN425" t="e">
        <f>AND(#REF!,"AAAAAHO55d0=")</f>
        <v>#REF!</v>
      </c>
      <c r="HO425" t="e">
        <f>AND(#REF!,"AAAAAHO55d4=")</f>
        <v>#REF!</v>
      </c>
      <c r="HP425" t="e">
        <f>AND(#REF!,"AAAAAHO55d8=")</f>
        <v>#REF!</v>
      </c>
      <c r="HQ425" t="e">
        <f>AND(#REF!,"AAAAAHO55eA=")</f>
        <v>#REF!</v>
      </c>
      <c r="HR425" t="e">
        <f>AND(#REF!,"AAAAAHO55eE=")</f>
        <v>#REF!</v>
      </c>
      <c r="HS425" t="e">
        <f>AND(#REF!,"AAAAAHO55eI=")</f>
        <v>#REF!</v>
      </c>
      <c r="HT425" t="e">
        <f>IF(#REF!,"AAAAAHO55eM=",0)</f>
        <v>#REF!</v>
      </c>
      <c r="HU425" t="e">
        <f>AND(#REF!,"AAAAAHO55eQ=")</f>
        <v>#REF!</v>
      </c>
      <c r="HV425" t="e">
        <f>AND(#REF!,"AAAAAHO55eU=")</f>
        <v>#REF!</v>
      </c>
      <c r="HW425" t="e">
        <f>AND(#REF!,"AAAAAHO55eY=")</f>
        <v>#REF!</v>
      </c>
      <c r="HX425" t="e">
        <f>AND(#REF!,"AAAAAHO55ec=")</f>
        <v>#REF!</v>
      </c>
      <c r="HY425" t="e">
        <f>AND(#REF!,"AAAAAHO55eg=")</f>
        <v>#REF!</v>
      </c>
      <c r="HZ425" t="e">
        <f>AND(#REF!,"AAAAAHO55ek=")</f>
        <v>#REF!</v>
      </c>
      <c r="IA425" t="e">
        <f>AND(#REF!,"AAAAAHO55eo=")</f>
        <v>#REF!</v>
      </c>
      <c r="IB425" t="e">
        <f>AND(#REF!,"AAAAAHO55es=")</f>
        <v>#REF!</v>
      </c>
      <c r="IC425" t="e">
        <f>AND(#REF!,"AAAAAHO55ew=")</f>
        <v>#REF!</v>
      </c>
      <c r="ID425" t="e">
        <f>AND(#REF!,"AAAAAHO55e0=")</f>
        <v>#REF!</v>
      </c>
      <c r="IE425" t="e">
        <f>IF(#REF!,"AAAAAHO55e4=",0)</f>
        <v>#REF!</v>
      </c>
      <c r="IF425" t="e">
        <f>AND(#REF!,"AAAAAHO55e8=")</f>
        <v>#REF!</v>
      </c>
      <c r="IG425" t="e">
        <f>AND(#REF!,"AAAAAHO55fA=")</f>
        <v>#REF!</v>
      </c>
      <c r="IH425" t="e">
        <f>AND(#REF!,"AAAAAHO55fE=")</f>
        <v>#REF!</v>
      </c>
      <c r="II425" t="e">
        <f>AND(#REF!,"AAAAAHO55fI=")</f>
        <v>#REF!</v>
      </c>
      <c r="IJ425" t="e">
        <f>AND(#REF!,"AAAAAHO55fM=")</f>
        <v>#REF!</v>
      </c>
      <c r="IK425" t="e">
        <f>AND(#REF!,"AAAAAHO55fQ=")</f>
        <v>#REF!</v>
      </c>
      <c r="IL425" t="e">
        <f>AND(#REF!,"AAAAAHO55fU=")</f>
        <v>#REF!</v>
      </c>
      <c r="IM425" t="e">
        <f>AND(#REF!,"AAAAAHO55fY=")</f>
        <v>#REF!</v>
      </c>
      <c r="IN425" t="e">
        <f>AND(#REF!,"AAAAAHO55fc=")</f>
        <v>#REF!</v>
      </c>
      <c r="IO425" t="e">
        <f>AND(#REF!,"AAAAAHO55fg=")</f>
        <v>#REF!</v>
      </c>
      <c r="IP425" t="e">
        <f>IF(#REF!,"AAAAAHO55fk=",0)</f>
        <v>#REF!</v>
      </c>
      <c r="IQ425" t="e">
        <f>AND(#REF!,"AAAAAHO55fo=")</f>
        <v>#REF!</v>
      </c>
      <c r="IR425" t="e">
        <f>AND(#REF!,"AAAAAHO55fs=")</f>
        <v>#REF!</v>
      </c>
      <c r="IS425" t="e">
        <f>AND(#REF!,"AAAAAHO55fw=")</f>
        <v>#REF!</v>
      </c>
      <c r="IT425" t="e">
        <f>AND(#REF!,"AAAAAHO55f0=")</f>
        <v>#REF!</v>
      </c>
      <c r="IU425" t="e">
        <f>AND(#REF!,"AAAAAHO55f4=")</f>
        <v>#REF!</v>
      </c>
      <c r="IV425" t="e">
        <f>AND(#REF!,"AAAAAHO55f8=")</f>
        <v>#REF!</v>
      </c>
    </row>
    <row r="426" spans="1:256" x14ac:dyDescent="0.25">
      <c r="A426" t="e">
        <f>AND(#REF!,"AAAAAHu/dQA=")</f>
        <v>#REF!</v>
      </c>
      <c r="B426" t="e">
        <f>AND(#REF!,"AAAAAHu/dQE=")</f>
        <v>#REF!</v>
      </c>
      <c r="C426" t="e">
        <f>AND(#REF!,"AAAAAHu/dQI=")</f>
        <v>#REF!</v>
      </c>
      <c r="D426" t="e">
        <f>AND(#REF!,"AAAAAHu/dQM=")</f>
        <v>#REF!</v>
      </c>
      <c r="E426" t="e">
        <f>IF(#REF!,"AAAAAHu/dQQ=",0)</f>
        <v>#REF!</v>
      </c>
      <c r="F426" t="e">
        <f>AND(#REF!,"AAAAAHu/dQU=")</f>
        <v>#REF!</v>
      </c>
      <c r="G426" t="e">
        <f>AND(#REF!,"AAAAAHu/dQY=")</f>
        <v>#REF!</v>
      </c>
      <c r="H426" t="e">
        <f>AND(#REF!,"AAAAAHu/dQc=")</f>
        <v>#REF!</v>
      </c>
      <c r="I426" t="e">
        <f>AND(#REF!,"AAAAAHu/dQg=")</f>
        <v>#REF!</v>
      </c>
      <c r="J426" t="e">
        <f>AND(#REF!,"AAAAAHu/dQk=")</f>
        <v>#REF!</v>
      </c>
      <c r="K426" t="e">
        <f>AND(#REF!,"AAAAAHu/dQo=")</f>
        <v>#REF!</v>
      </c>
      <c r="L426" t="e">
        <f>AND(#REF!,"AAAAAHu/dQs=")</f>
        <v>#REF!</v>
      </c>
      <c r="M426" t="e">
        <f>AND(#REF!,"AAAAAHu/dQw=")</f>
        <v>#REF!</v>
      </c>
      <c r="N426" t="e">
        <f>AND(#REF!,"AAAAAHu/dQ0=")</f>
        <v>#REF!</v>
      </c>
      <c r="O426" t="e">
        <f>AND(#REF!,"AAAAAHu/dQ4=")</f>
        <v>#REF!</v>
      </c>
      <c r="P426" t="e">
        <f>IF(#REF!,"AAAAAHu/dQ8=",0)</f>
        <v>#REF!</v>
      </c>
      <c r="Q426" t="e">
        <f>AND(#REF!,"AAAAAHu/dRA=")</f>
        <v>#REF!</v>
      </c>
      <c r="R426" t="e">
        <f>AND(#REF!,"AAAAAHu/dRE=")</f>
        <v>#REF!</v>
      </c>
      <c r="S426" t="e">
        <f>AND(#REF!,"AAAAAHu/dRI=")</f>
        <v>#REF!</v>
      </c>
      <c r="T426" t="e">
        <f>AND(#REF!,"AAAAAHu/dRM=")</f>
        <v>#REF!</v>
      </c>
      <c r="U426" t="e">
        <f>AND(#REF!,"AAAAAHu/dRQ=")</f>
        <v>#REF!</v>
      </c>
      <c r="V426" t="e">
        <f>AND(#REF!,"AAAAAHu/dRU=")</f>
        <v>#REF!</v>
      </c>
      <c r="W426" t="e">
        <f>AND(#REF!,"AAAAAHu/dRY=")</f>
        <v>#REF!</v>
      </c>
      <c r="X426" t="e">
        <f>AND(#REF!,"AAAAAHu/dRc=")</f>
        <v>#REF!</v>
      </c>
      <c r="Y426" t="e">
        <f>AND(#REF!,"AAAAAHu/dRg=")</f>
        <v>#REF!</v>
      </c>
      <c r="Z426" t="e">
        <f>AND(#REF!,"AAAAAHu/dRk=")</f>
        <v>#REF!</v>
      </c>
      <c r="AA426" t="e">
        <f>IF(#REF!,"AAAAAHu/dRo=",0)</f>
        <v>#REF!</v>
      </c>
      <c r="AB426" t="e">
        <f>AND(#REF!,"AAAAAHu/dRs=")</f>
        <v>#REF!</v>
      </c>
      <c r="AC426" t="e">
        <f>AND(#REF!,"AAAAAHu/dRw=")</f>
        <v>#REF!</v>
      </c>
      <c r="AD426" t="e">
        <f>AND(#REF!,"AAAAAHu/dR0=")</f>
        <v>#REF!</v>
      </c>
      <c r="AE426" t="e">
        <f>AND(#REF!,"AAAAAHu/dR4=")</f>
        <v>#REF!</v>
      </c>
      <c r="AF426" t="e">
        <f>AND(#REF!,"AAAAAHu/dR8=")</f>
        <v>#REF!</v>
      </c>
      <c r="AG426" t="e">
        <f>AND(#REF!,"AAAAAHu/dSA=")</f>
        <v>#REF!</v>
      </c>
      <c r="AH426" t="e">
        <f>AND(#REF!,"AAAAAHu/dSE=")</f>
        <v>#REF!</v>
      </c>
      <c r="AI426" t="e">
        <f>AND(#REF!,"AAAAAHu/dSI=")</f>
        <v>#REF!</v>
      </c>
      <c r="AJ426" t="e">
        <f>AND(#REF!,"AAAAAHu/dSM=")</f>
        <v>#REF!</v>
      </c>
      <c r="AK426" t="e">
        <f>AND(#REF!,"AAAAAHu/dSQ=")</f>
        <v>#REF!</v>
      </c>
      <c r="AL426" t="e">
        <f>IF(#REF!,"AAAAAHu/dSU=",0)</f>
        <v>#REF!</v>
      </c>
      <c r="AM426" t="e">
        <f>AND(#REF!,"AAAAAHu/dSY=")</f>
        <v>#REF!</v>
      </c>
      <c r="AN426" t="e">
        <f>AND(#REF!,"AAAAAHu/dSc=")</f>
        <v>#REF!</v>
      </c>
      <c r="AO426" t="e">
        <f>AND(#REF!,"AAAAAHu/dSg=")</f>
        <v>#REF!</v>
      </c>
      <c r="AP426" t="e">
        <f>AND(#REF!,"AAAAAHu/dSk=")</f>
        <v>#REF!</v>
      </c>
      <c r="AQ426" t="e">
        <f>AND(#REF!,"AAAAAHu/dSo=")</f>
        <v>#REF!</v>
      </c>
      <c r="AR426" t="e">
        <f>AND(#REF!,"AAAAAHu/dSs=")</f>
        <v>#REF!</v>
      </c>
      <c r="AS426" t="e">
        <f>AND(#REF!,"AAAAAHu/dSw=")</f>
        <v>#REF!</v>
      </c>
      <c r="AT426" t="e">
        <f>AND(#REF!,"AAAAAHu/dS0=")</f>
        <v>#REF!</v>
      </c>
      <c r="AU426" t="e">
        <f>AND(#REF!,"AAAAAHu/dS4=")</f>
        <v>#REF!</v>
      </c>
      <c r="AV426" t="e">
        <f>AND(#REF!,"AAAAAHu/dS8=")</f>
        <v>#REF!</v>
      </c>
      <c r="AW426" t="e">
        <f>IF(#REF!,"AAAAAHu/dTA=",0)</f>
        <v>#REF!</v>
      </c>
      <c r="AX426" t="e">
        <f>AND(#REF!,"AAAAAHu/dTE=")</f>
        <v>#REF!</v>
      </c>
      <c r="AY426" t="e">
        <f>AND(#REF!,"AAAAAHu/dTI=")</f>
        <v>#REF!</v>
      </c>
      <c r="AZ426" t="e">
        <f>AND(#REF!,"AAAAAHu/dTM=")</f>
        <v>#REF!</v>
      </c>
      <c r="BA426" t="e">
        <f>AND(#REF!,"AAAAAHu/dTQ=")</f>
        <v>#REF!</v>
      </c>
      <c r="BB426" t="e">
        <f>AND(#REF!,"AAAAAHu/dTU=")</f>
        <v>#REF!</v>
      </c>
      <c r="BC426" t="e">
        <f>AND(#REF!,"AAAAAHu/dTY=")</f>
        <v>#REF!</v>
      </c>
      <c r="BD426" t="e">
        <f>AND(#REF!,"AAAAAHu/dTc=")</f>
        <v>#REF!</v>
      </c>
      <c r="BE426" t="e">
        <f>AND(#REF!,"AAAAAHu/dTg=")</f>
        <v>#REF!</v>
      </c>
      <c r="BF426" t="e">
        <f>AND(#REF!,"AAAAAHu/dTk=")</f>
        <v>#REF!</v>
      </c>
      <c r="BG426" t="e">
        <f>AND(#REF!,"AAAAAHu/dTo=")</f>
        <v>#REF!</v>
      </c>
      <c r="BH426" t="e">
        <f>IF(#REF!,"AAAAAHu/dTs=",0)</f>
        <v>#REF!</v>
      </c>
      <c r="BI426" t="e">
        <f>AND(#REF!,"AAAAAHu/dTw=")</f>
        <v>#REF!</v>
      </c>
      <c r="BJ426" t="e">
        <f>AND(#REF!,"AAAAAHu/dT0=")</f>
        <v>#REF!</v>
      </c>
      <c r="BK426" t="e">
        <f>AND(#REF!,"AAAAAHu/dT4=")</f>
        <v>#REF!</v>
      </c>
      <c r="BL426" t="e">
        <f>AND(#REF!,"AAAAAHu/dT8=")</f>
        <v>#REF!</v>
      </c>
      <c r="BM426" t="e">
        <f>AND(#REF!,"AAAAAHu/dUA=")</f>
        <v>#REF!</v>
      </c>
      <c r="BN426" t="e">
        <f>AND(#REF!,"AAAAAHu/dUE=")</f>
        <v>#REF!</v>
      </c>
      <c r="BO426" t="e">
        <f>AND(#REF!,"AAAAAHu/dUI=")</f>
        <v>#REF!</v>
      </c>
      <c r="BP426" t="e">
        <f>AND(#REF!,"AAAAAHu/dUM=")</f>
        <v>#REF!</v>
      </c>
      <c r="BQ426" t="e">
        <f>AND(#REF!,"AAAAAHu/dUQ=")</f>
        <v>#REF!</v>
      </c>
      <c r="BR426" t="e">
        <f>AND(#REF!,"AAAAAHu/dUU=")</f>
        <v>#REF!</v>
      </c>
      <c r="BS426" t="e">
        <f>IF(#REF!,"AAAAAHu/dUY=",0)</f>
        <v>#REF!</v>
      </c>
      <c r="BT426" t="e">
        <f>AND(#REF!,"AAAAAHu/dUc=")</f>
        <v>#REF!</v>
      </c>
      <c r="BU426" t="e">
        <f>AND(#REF!,"AAAAAHu/dUg=")</f>
        <v>#REF!</v>
      </c>
      <c r="BV426" t="e">
        <f>AND(#REF!,"AAAAAHu/dUk=")</f>
        <v>#REF!</v>
      </c>
      <c r="BW426" t="e">
        <f>AND(#REF!,"AAAAAHu/dUo=")</f>
        <v>#REF!</v>
      </c>
      <c r="BX426" t="e">
        <f>AND(#REF!,"AAAAAHu/dUs=")</f>
        <v>#REF!</v>
      </c>
      <c r="BY426" t="e">
        <f>AND(#REF!,"AAAAAHu/dUw=")</f>
        <v>#REF!</v>
      </c>
      <c r="BZ426" t="e">
        <f>AND(#REF!,"AAAAAHu/dU0=")</f>
        <v>#REF!</v>
      </c>
      <c r="CA426" t="e">
        <f>AND(#REF!,"AAAAAHu/dU4=")</f>
        <v>#REF!</v>
      </c>
      <c r="CB426" t="e">
        <f>AND(#REF!,"AAAAAHu/dU8=")</f>
        <v>#REF!</v>
      </c>
      <c r="CC426" t="e">
        <f>AND(#REF!,"AAAAAHu/dVA=")</f>
        <v>#REF!</v>
      </c>
      <c r="CD426" t="e">
        <f>IF(#REF!,"AAAAAHu/dVE=",0)</f>
        <v>#REF!</v>
      </c>
      <c r="CE426" t="e">
        <f>AND(#REF!,"AAAAAHu/dVI=")</f>
        <v>#REF!</v>
      </c>
      <c r="CF426" t="e">
        <f>AND(#REF!,"AAAAAHu/dVM=")</f>
        <v>#REF!</v>
      </c>
      <c r="CG426" t="e">
        <f>AND(#REF!,"AAAAAHu/dVQ=")</f>
        <v>#REF!</v>
      </c>
      <c r="CH426" t="e">
        <f>AND(#REF!,"AAAAAHu/dVU=")</f>
        <v>#REF!</v>
      </c>
      <c r="CI426" t="e">
        <f>AND(#REF!,"AAAAAHu/dVY=")</f>
        <v>#REF!</v>
      </c>
      <c r="CJ426" t="e">
        <f>AND(#REF!,"AAAAAHu/dVc=")</f>
        <v>#REF!</v>
      </c>
      <c r="CK426" t="e">
        <f>AND(#REF!,"AAAAAHu/dVg=")</f>
        <v>#REF!</v>
      </c>
      <c r="CL426" t="e">
        <f>AND(#REF!,"AAAAAHu/dVk=")</f>
        <v>#REF!</v>
      </c>
      <c r="CM426" t="e">
        <f>AND(#REF!,"AAAAAHu/dVo=")</f>
        <v>#REF!</v>
      </c>
      <c r="CN426" t="e">
        <f>AND(#REF!,"AAAAAHu/dVs=")</f>
        <v>#REF!</v>
      </c>
      <c r="CO426" t="e">
        <f>IF(#REF!,"AAAAAHu/dVw=",0)</f>
        <v>#REF!</v>
      </c>
      <c r="CP426" t="e">
        <f>AND(#REF!,"AAAAAHu/dV0=")</f>
        <v>#REF!</v>
      </c>
      <c r="CQ426" t="e">
        <f>AND(#REF!,"AAAAAHu/dV4=")</f>
        <v>#REF!</v>
      </c>
      <c r="CR426" t="e">
        <f>AND(#REF!,"AAAAAHu/dV8=")</f>
        <v>#REF!</v>
      </c>
      <c r="CS426" t="e">
        <f>AND(#REF!,"AAAAAHu/dWA=")</f>
        <v>#REF!</v>
      </c>
      <c r="CT426" t="e">
        <f>AND(#REF!,"AAAAAHu/dWE=")</f>
        <v>#REF!</v>
      </c>
      <c r="CU426" t="e">
        <f>AND(#REF!,"AAAAAHu/dWI=")</f>
        <v>#REF!</v>
      </c>
      <c r="CV426" t="e">
        <f>AND(#REF!,"AAAAAHu/dWM=")</f>
        <v>#REF!</v>
      </c>
      <c r="CW426" t="e">
        <f>AND(#REF!,"AAAAAHu/dWQ=")</f>
        <v>#REF!</v>
      </c>
      <c r="CX426" t="e">
        <f>AND(#REF!,"AAAAAHu/dWU=")</f>
        <v>#REF!</v>
      </c>
      <c r="CY426" t="e">
        <f>AND(#REF!,"AAAAAHu/dWY=")</f>
        <v>#REF!</v>
      </c>
      <c r="CZ426" t="e">
        <f>IF(#REF!,"AAAAAHu/dWc=",0)</f>
        <v>#REF!</v>
      </c>
      <c r="DA426" t="e">
        <f>AND(#REF!,"AAAAAHu/dWg=")</f>
        <v>#REF!</v>
      </c>
      <c r="DB426" t="e">
        <f>AND(#REF!,"AAAAAHu/dWk=")</f>
        <v>#REF!</v>
      </c>
      <c r="DC426" t="e">
        <f>AND(#REF!,"AAAAAHu/dWo=")</f>
        <v>#REF!</v>
      </c>
      <c r="DD426" t="e">
        <f>AND(#REF!,"AAAAAHu/dWs=")</f>
        <v>#REF!</v>
      </c>
      <c r="DE426" t="e">
        <f>AND(#REF!,"AAAAAHu/dWw=")</f>
        <v>#REF!</v>
      </c>
      <c r="DF426" t="e">
        <f>AND(#REF!,"AAAAAHu/dW0=")</f>
        <v>#REF!</v>
      </c>
      <c r="DG426" t="e">
        <f>AND(#REF!,"AAAAAHu/dW4=")</f>
        <v>#REF!</v>
      </c>
      <c r="DH426" t="e">
        <f>AND(#REF!,"AAAAAHu/dW8=")</f>
        <v>#REF!</v>
      </c>
      <c r="DI426" t="e">
        <f>AND(#REF!,"AAAAAHu/dXA=")</f>
        <v>#REF!</v>
      </c>
      <c r="DJ426" t="e">
        <f>AND(#REF!,"AAAAAHu/dXE=")</f>
        <v>#REF!</v>
      </c>
      <c r="DK426" t="e">
        <f>IF(#REF!,"AAAAAHu/dXI=",0)</f>
        <v>#REF!</v>
      </c>
      <c r="DL426" t="e">
        <f>AND(#REF!,"AAAAAHu/dXM=")</f>
        <v>#REF!</v>
      </c>
      <c r="DM426" t="e">
        <f>AND(#REF!,"AAAAAHu/dXQ=")</f>
        <v>#REF!</v>
      </c>
      <c r="DN426" t="e">
        <f>AND(#REF!,"AAAAAHu/dXU=")</f>
        <v>#REF!</v>
      </c>
      <c r="DO426" t="e">
        <f>AND(#REF!,"AAAAAHu/dXY=")</f>
        <v>#REF!</v>
      </c>
      <c r="DP426" t="e">
        <f>AND(#REF!,"AAAAAHu/dXc=")</f>
        <v>#REF!</v>
      </c>
      <c r="DQ426" t="e">
        <f>AND(#REF!,"AAAAAHu/dXg=")</f>
        <v>#REF!</v>
      </c>
      <c r="DR426" t="e">
        <f>AND(#REF!,"AAAAAHu/dXk=")</f>
        <v>#REF!</v>
      </c>
      <c r="DS426" t="e">
        <f>AND(#REF!,"AAAAAHu/dXo=")</f>
        <v>#REF!</v>
      </c>
      <c r="DT426" t="e">
        <f>AND(#REF!,"AAAAAHu/dXs=")</f>
        <v>#REF!</v>
      </c>
      <c r="DU426" t="e">
        <f>AND(#REF!,"AAAAAHu/dXw=")</f>
        <v>#REF!</v>
      </c>
      <c r="DV426" t="e">
        <f>IF(#REF!,"AAAAAHu/dX0=",0)</f>
        <v>#REF!</v>
      </c>
      <c r="DW426" t="e">
        <f>AND(#REF!,"AAAAAHu/dX4=")</f>
        <v>#REF!</v>
      </c>
      <c r="DX426" t="e">
        <f>AND(#REF!,"AAAAAHu/dX8=")</f>
        <v>#REF!</v>
      </c>
      <c r="DY426" t="e">
        <f>AND(#REF!,"AAAAAHu/dYA=")</f>
        <v>#REF!</v>
      </c>
      <c r="DZ426" t="e">
        <f>AND(#REF!,"AAAAAHu/dYE=")</f>
        <v>#REF!</v>
      </c>
      <c r="EA426" t="e">
        <f>AND(#REF!,"AAAAAHu/dYI=")</f>
        <v>#REF!</v>
      </c>
      <c r="EB426" t="e">
        <f>AND(#REF!,"AAAAAHu/dYM=")</f>
        <v>#REF!</v>
      </c>
      <c r="EC426" t="e">
        <f>AND(#REF!,"AAAAAHu/dYQ=")</f>
        <v>#REF!</v>
      </c>
      <c r="ED426" t="e">
        <f>AND(#REF!,"AAAAAHu/dYU=")</f>
        <v>#REF!</v>
      </c>
      <c r="EE426" t="e">
        <f>AND(#REF!,"AAAAAHu/dYY=")</f>
        <v>#REF!</v>
      </c>
      <c r="EF426" t="e">
        <f>AND(#REF!,"AAAAAHu/dYc=")</f>
        <v>#REF!</v>
      </c>
      <c r="EG426" t="e">
        <f>IF(#REF!,"AAAAAHu/dYg=",0)</f>
        <v>#REF!</v>
      </c>
      <c r="EH426" t="e">
        <f>AND(#REF!,"AAAAAHu/dYk=")</f>
        <v>#REF!</v>
      </c>
      <c r="EI426" t="e">
        <f>AND(#REF!,"AAAAAHu/dYo=")</f>
        <v>#REF!</v>
      </c>
      <c r="EJ426" t="e">
        <f>AND(#REF!,"AAAAAHu/dYs=")</f>
        <v>#REF!</v>
      </c>
      <c r="EK426" t="e">
        <f>AND(#REF!,"AAAAAHu/dYw=")</f>
        <v>#REF!</v>
      </c>
      <c r="EL426" t="e">
        <f>AND(#REF!,"AAAAAHu/dY0=")</f>
        <v>#REF!</v>
      </c>
      <c r="EM426" t="e">
        <f>AND(#REF!,"AAAAAHu/dY4=")</f>
        <v>#REF!</v>
      </c>
      <c r="EN426" t="e">
        <f>AND(#REF!,"AAAAAHu/dY8=")</f>
        <v>#REF!</v>
      </c>
      <c r="EO426" t="e">
        <f>AND(#REF!,"AAAAAHu/dZA=")</f>
        <v>#REF!</v>
      </c>
      <c r="EP426" t="e">
        <f>AND(#REF!,"AAAAAHu/dZE=")</f>
        <v>#REF!</v>
      </c>
      <c r="EQ426" t="e">
        <f>AND(#REF!,"AAAAAHu/dZI=")</f>
        <v>#REF!</v>
      </c>
      <c r="ER426" t="e">
        <f>IF(#REF!,"AAAAAHu/dZM=",0)</f>
        <v>#REF!</v>
      </c>
      <c r="ES426" t="e">
        <f>AND(#REF!,"AAAAAHu/dZQ=")</f>
        <v>#REF!</v>
      </c>
      <c r="ET426" t="e">
        <f>AND(#REF!,"AAAAAHu/dZU=")</f>
        <v>#REF!</v>
      </c>
      <c r="EU426" t="e">
        <f>AND(#REF!,"AAAAAHu/dZY=")</f>
        <v>#REF!</v>
      </c>
      <c r="EV426" t="e">
        <f>AND(#REF!,"AAAAAHu/dZc=")</f>
        <v>#REF!</v>
      </c>
      <c r="EW426" t="e">
        <f>AND(#REF!,"AAAAAHu/dZg=")</f>
        <v>#REF!</v>
      </c>
      <c r="EX426" t="e">
        <f>AND(#REF!,"AAAAAHu/dZk=")</f>
        <v>#REF!</v>
      </c>
      <c r="EY426" t="e">
        <f>AND(#REF!,"AAAAAHu/dZo=")</f>
        <v>#REF!</v>
      </c>
      <c r="EZ426" t="e">
        <f>AND(#REF!,"AAAAAHu/dZs=")</f>
        <v>#REF!</v>
      </c>
      <c r="FA426" t="e">
        <f>AND(#REF!,"AAAAAHu/dZw=")</f>
        <v>#REF!</v>
      </c>
      <c r="FB426" t="e">
        <f>AND(#REF!,"AAAAAHu/dZ0=")</f>
        <v>#REF!</v>
      </c>
      <c r="FC426" t="e">
        <f>IF(#REF!,"AAAAAHu/dZ4=",0)</f>
        <v>#REF!</v>
      </c>
      <c r="FD426" t="e">
        <f>AND(#REF!,"AAAAAHu/dZ8=")</f>
        <v>#REF!</v>
      </c>
      <c r="FE426" t="e">
        <f>AND(#REF!,"AAAAAHu/daA=")</f>
        <v>#REF!</v>
      </c>
      <c r="FF426" t="e">
        <f>AND(#REF!,"AAAAAHu/daE=")</f>
        <v>#REF!</v>
      </c>
      <c r="FG426" t="e">
        <f>AND(#REF!,"AAAAAHu/daI=")</f>
        <v>#REF!</v>
      </c>
      <c r="FH426" t="e">
        <f>AND(#REF!,"AAAAAHu/daM=")</f>
        <v>#REF!</v>
      </c>
      <c r="FI426" t="e">
        <f>AND(#REF!,"AAAAAHu/daQ=")</f>
        <v>#REF!</v>
      </c>
      <c r="FJ426" t="e">
        <f>AND(#REF!,"AAAAAHu/daU=")</f>
        <v>#REF!</v>
      </c>
      <c r="FK426" t="e">
        <f>AND(#REF!,"AAAAAHu/daY=")</f>
        <v>#REF!</v>
      </c>
      <c r="FL426" t="e">
        <f>AND(#REF!,"AAAAAHu/dac=")</f>
        <v>#REF!</v>
      </c>
      <c r="FM426" t="e">
        <f>AND(#REF!,"AAAAAHu/dag=")</f>
        <v>#REF!</v>
      </c>
      <c r="FN426" t="e">
        <f>IF(#REF!,"AAAAAHu/dak=",0)</f>
        <v>#REF!</v>
      </c>
      <c r="FO426" t="e">
        <f>AND(#REF!,"AAAAAHu/dao=")</f>
        <v>#REF!</v>
      </c>
      <c r="FP426" t="e">
        <f>AND(#REF!,"AAAAAHu/das=")</f>
        <v>#REF!</v>
      </c>
      <c r="FQ426" t="e">
        <f>AND(#REF!,"AAAAAHu/daw=")</f>
        <v>#REF!</v>
      </c>
      <c r="FR426" t="e">
        <f>AND(#REF!,"AAAAAHu/da0=")</f>
        <v>#REF!</v>
      </c>
      <c r="FS426" t="e">
        <f>AND(#REF!,"AAAAAHu/da4=")</f>
        <v>#REF!</v>
      </c>
      <c r="FT426" t="e">
        <f>AND(#REF!,"AAAAAHu/da8=")</f>
        <v>#REF!</v>
      </c>
      <c r="FU426" t="e">
        <f>AND(#REF!,"AAAAAHu/dbA=")</f>
        <v>#REF!</v>
      </c>
      <c r="FV426" t="e">
        <f>AND(#REF!,"AAAAAHu/dbE=")</f>
        <v>#REF!</v>
      </c>
      <c r="FW426" t="e">
        <f>AND(#REF!,"AAAAAHu/dbI=")</f>
        <v>#REF!</v>
      </c>
      <c r="FX426" t="e">
        <f>AND(#REF!,"AAAAAHu/dbM=")</f>
        <v>#REF!</v>
      </c>
      <c r="FY426" t="e">
        <f>IF(#REF!,"AAAAAHu/dbQ=",0)</f>
        <v>#REF!</v>
      </c>
      <c r="FZ426" t="e">
        <f>AND(#REF!,"AAAAAHu/dbU=")</f>
        <v>#REF!</v>
      </c>
      <c r="GA426" t="e">
        <f>AND(#REF!,"AAAAAHu/dbY=")</f>
        <v>#REF!</v>
      </c>
      <c r="GB426" t="e">
        <f>AND(#REF!,"AAAAAHu/dbc=")</f>
        <v>#REF!</v>
      </c>
      <c r="GC426" t="e">
        <f>AND(#REF!,"AAAAAHu/dbg=")</f>
        <v>#REF!</v>
      </c>
      <c r="GD426" t="e">
        <f>AND(#REF!,"AAAAAHu/dbk=")</f>
        <v>#REF!</v>
      </c>
      <c r="GE426" t="e">
        <f>AND(#REF!,"AAAAAHu/dbo=")</f>
        <v>#REF!</v>
      </c>
      <c r="GF426" t="e">
        <f>AND(#REF!,"AAAAAHu/dbs=")</f>
        <v>#REF!</v>
      </c>
      <c r="GG426" t="e">
        <f>AND(#REF!,"AAAAAHu/dbw=")</f>
        <v>#REF!</v>
      </c>
      <c r="GH426" t="e">
        <f>AND(#REF!,"AAAAAHu/db0=")</f>
        <v>#REF!</v>
      </c>
      <c r="GI426" t="e">
        <f>AND(#REF!,"AAAAAHu/db4=")</f>
        <v>#REF!</v>
      </c>
      <c r="GJ426" t="e">
        <f>IF(#REF!,"AAAAAHu/db8=",0)</f>
        <v>#REF!</v>
      </c>
      <c r="GK426" t="e">
        <f>AND(#REF!,"AAAAAHu/dcA=")</f>
        <v>#REF!</v>
      </c>
      <c r="GL426" t="e">
        <f>AND(#REF!,"AAAAAHu/dcE=")</f>
        <v>#REF!</v>
      </c>
      <c r="GM426" t="e">
        <f>AND(#REF!,"AAAAAHu/dcI=")</f>
        <v>#REF!</v>
      </c>
      <c r="GN426" t="e">
        <f>AND(#REF!,"AAAAAHu/dcM=")</f>
        <v>#REF!</v>
      </c>
      <c r="GO426" t="e">
        <f>AND(#REF!,"AAAAAHu/dcQ=")</f>
        <v>#REF!</v>
      </c>
      <c r="GP426" t="e">
        <f>AND(#REF!,"AAAAAHu/dcU=")</f>
        <v>#REF!</v>
      </c>
      <c r="GQ426" t="e">
        <f>AND(#REF!,"AAAAAHu/dcY=")</f>
        <v>#REF!</v>
      </c>
      <c r="GR426" t="e">
        <f>AND(#REF!,"AAAAAHu/dcc=")</f>
        <v>#REF!</v>
      </c>
      <c r="GS426" t="e">
        <f>AND(#REF!,"AAAAAHu/dcg=")</f>
        <v>#REF!</v>
      </c>
      <c r="GT426" t="e">
        <f>AND(#REF!,"AAAAAHu/dck=")</f>
        <v>#REF!</v>
      </c>
      <c r="GU426" t="e">
        <f>IF(#REF!,"AAAAAHu/dco=",0)</f>
        <v>#REF!</v>
      </c>
      <c r="GV426" t="e">
        <f>AND(#REF!,"AAAAAHu/dcs=")</f>
        <v>#REF!</v>
      </c>
      <c r="GW426" t="e">
        <f>AND(#REF!,"AAAAAHu/dcw=")</f>
        <v>#REF!</v>
      </c>
      <c r="GX426" t="e">
        <f>AND(#REF!,"AAAAAHu/dc0=")</f>
        <v>#REF!</v>
      </c>
      <c r="GY426" t="e">
        <f>AND(#REF!,"AAAAAHu/dc4=")</f>
        <v>#REF!</v>
      </c>
      <c r="GZ426" t="e">
        <f>AND(#REF!,"AAAAAHu/dc8=")</f>
        <v>#REF!</v>
      </c>
      <c r="HA426" t="e">
        <f>AND(#REF!,"AAAAAHu/ddA=")</f>
        <v>#REF!</v>
      </c>
      <c r="HB426" t="e">
        <f>AND(#REF!,"AAAAAHu/ddE=")</f>
        <v>#REF!</v>
      </c>
      <c r="HC426" t="e">
        <f>AND(#REF!,"AAAAAHu/ddI=")</f>
        <v>#REF!</v>
      </c>
      <c r="HD426" t="e">
        <f>AND(#REF!,"AAAAAHu/ddM=")</f>
        <v>#REF!</v>
      </c>
      <c r="HE426" t="e">
        <f>AND(#REF!,"AAAAAHu/ddQ=")</f>
        <v>#REF!</v>
      </c>
      <c r="HF426" t="e">
        <f>IF(#REF!,"AAAAAHu/ddU=",0)</f>
        <v>#REF!</v>
      </c>
      <c r="HG426" t="e">
        <f>AND(#REF!,"AAAAAHu/ddY=")</f>
        <v>#REF!</v>
      </c>
      <c r="HH426" t="e">
        <f>AND(#REF!,"AAAAAHu/ddc=")</f>
        <v>#REF!</v>
      </c>
      <c r="HI426" t="e">
        <f>AND(#REF!,"AAAAAHu/ddg=")</f>
        <v>#REF!</v>
      </c>
      <c r="HJ426" t="e">
        <f>AND(#REF!,"AAAAAHu/ddk=")</f>
        <v>#REF!</v>
      </c>
      <c r="HK426" t="e">
        <f>AND(#REF!,"AAAAAHu/ddo=")</f>
        <v>#REF!</v>
      </c>
      <c r="HL426" t="e">
        <f>AND(#REF!,"AAAAAHu/dds=")</f>
        <v>#REF!</v>
      </c>
      <c r="HM426" t="e">
        <f>AND(#REF!,"AAAAAHu/ddw=")</f>
        <v>#REF!</v>
      </c>
      <c r="HN426" t="e">
        <f>AND(#REF!,"AAAAAHu/dd0=")</f>
        <v>#REF!</v>
      </c>
      <c r="HO426" t="e">
        <f>AND(#REF!,"AAAAAHu/dd4=")</f>
        <v>#REF!</v>
      </c>
      <c r="HP426" t="e">
        <f>AND(#REF!,"AAAAAHu/dd8=")</f>
        <v>#REF!</v>
      </c>
      <c r="HQ426" t="e">
        <f>IF(#REF!,"AAAAAHu/deA=",0)</f>
        <v>#REF!</v>
      </c>
      <c r="HR426" t="e">
        <f>AND(#REF!,"AAAAAHu/deE=")</f>
        <v>#REF!</v>
      </c>
      <c r="HS426" t="e">
        <f>AND(#REF!,"AAAAAHu/deI=")</f>
        <v>#REF!</v>
      </c>
      <c r="HT426" t="e">
        <f>AND(#REF!,"AAAAAHu/deM=")</f>
        <v>#REF!</v>
      </c>
      <c r="HU426" t="e">
        <f>AND(#REF!,"AAAAAHu/deQ=")</f>
        <v>#REF!</v>
      </c>
      <c r="HV426" t="e">
        <f>AND(#REF!,"AAAAAHu/deU=")</f>
        <v>#REF!</v>
      </c>
      <c r="HW426" t="e">
        <f>AND(#REF!,"AAAAAHu/deY=")</f>
        <v>#REF!</v>
      </c>
      <c r="HX426" t="e">
        <f>AND(#REF!,"AAAAAHu/dec=")</f>
        <v>#REF!</v>
      </c>
      <c r="HY426" t="e">
        <f>AND(#REF!,"AAAAAHu/deg=")</f>
        <v>#REF!</v>
      </c>
      <c r="HZ426" t="e">
        <f>AND(#REF!,"AAAAAHu/dek=")</f>
        <v>#REF!</v>
      </c>
      <c r="IA426" t="e">
        <f>AND(#REF!,"AAAAAHu/deo=")</f>
        <v>#REF!</v>
      </c>
      <c r="IB426" t="e">
        <f>IF(#REF!,"AAAAAHu/des=",0)</f>
        <v>#REF!</v>
      </c>
      <c r="IC426" t="e">
        <f>AND(#REF!,"AAAAAHu/dew=")</f>
        <v>#REF!</v>
      </c>
      <c r="ID426" t="e">
        <f>AND(#REF!,"AAAAAHu/de0=")</f>
        <v>#REF!</v>
      </c>
      <c r="IE426" t="e">
        <f>AND(#REF!,"AAAAAHu/de4=")</f>
        <v>#REF!</v>
      </c>
      <c r="IF426" t="e">
        <f>AND(#REF!,"AAAAAHu/de8=")</f>
        <v>#REF!</v>
      </c>
      <c r="IG426" t="e">
        <f>AND(#REF!,"AAAAAHu/dfA=")</f>
        <v>#REF!</v>
      </c>
      <c r="IH426" t="e">
        <f>AND(#REF!,"AAAAAHu/dfE=")</f>
        <v>#REF!</v>
      </c>
      <c r="II426" t="e">
        <f>AND(#REF!,"AAAAAHu/dfI=")</f>
        <v>#REF!</v>
      </c>
      <c r="IJ426" t="e">
        <f>AND(#REF!,"AAAAAHu/dfM=")</f>
        <v>#REF!</v>
      </c>
      <c r="IK426" t="e">
        <f>AND(#REF!,"AAAAAHu/dfQ=")</f>
        <v>#REF!</v>
      </c>
      <c r="IL426" t="e">
        <f>AND(#REF!,"AAAAAHu/dfU=")</f>
        <v>#REF!</v>
      </c>
      <c r="IM426" t="e">
        <f>IF(#REF!,"AAAAAHu/dfY=",0)</f>
        <v>#REF!</v>
      </c>
      <c r="IN426" t="e">
        <f>AND(#REF!,"AAAAAHu/dfc=")</f>
        <v>#REF!</v>
      </c>
      <c r="IO426" t="e">
        <f>AND(#REF!,"AAAAAHu/dfg=")</f>
        <v>#REF!</v>
      </c>
      <c r="IP426" t="e">
        <f>AND(#REF!,"AAAAAHu/dfk=")</f>
        <v>#REF!</v>
      </c>
      <c r="IQ426" t="e">
        <f>AND(#REF!,"AAAAAHu/dfo=")</f>
        <v>#REF!</v>
      </c>
      <c r="IR426" t="e">
        <f>AND(#REF!,"AAAAAHu/dfs=")</f>
        <v>#REF!</v>
      </c>
      <c r="IS426" t="e">
        <f>AND(#REF!,"AAAAAHu/dfw=")</f>
        <v>#REF!</v>
      </c>
      <c r="IT426" t="e">
        <f>AND(#REF!,"AAAAAHu/df0=")</f>
        <v>#REF!</v>
      </c>
      <c r="IU426" t="e">
        <f>AND(#REF!,"AAAAAHu/df4=")</f>
        <v>#REF!</v>
      </c>
      <c r="IV426" t="e">
        <f>AND(#REF!,"AAAAAHu/df8=")</f>
        <v>#REF!</v>
      </c>
    </row>
    <row r="427" spans="1:256" x14ac:dyDescent="0.25">
      <c r="A427" t="e">
        <f>AND(#REF!,"AAAAAF132wA=")</f>
        <v>#REF!</v>
      </c>
      <c r="B427" t="e">
        <f>IF(#REF!,"AAAAAF132wE=",0)</f>
        <v>#REF!</v>
      </c>
      <c r="C427" t="e">
        <f>AND(#REF!,"AAAAAF132wI=")</f>
        <v>#REF!</v>
      </c>
      <c r="D427" t="e">
        <f>AND(#REF!,"AAAAAF132wM=")</f>
        <v>#REF!</v>
      </c>
      <c r="E427" t="e">
        <f>AND(#REF!,"AAAAAF132wQ=")</f>
        <v>#REF!</v>
      </c>
      <c r="F427" t="e">
        <f>AND(#REF!,"AAAAAF132wU=")</f>
        <v>#REF!</v>
      </c>
      <c r="G427" t="e">
        <f>AND(#REF!,"AAAAAF132wY=")</f>
        <v>#REF!</v>
      </c>
      <c r="H427" t="e">
        <f>AND(#REF!,"AAAAAF132wc=")</f>
        <v>#REF!</v>
      </c>
      <c r="I427" t="e">
        <f>AND(#REF!,"AAAAAF132wg=")</f>
        <v>#REF!</v>
      </c>
      <c r="J427" t="e">
        <f>AND(#REF!,"AAAAAF132wk=")</f>
        <v>#REF!</v>
      </c>
      <c r="K427" t="e">
        <f>AND(#REF!,"AAAAAF132wo=")</f>
        <v>#REF!</v>
      </c>
      <c r="L427" t="e">
        <f>AND(#REF!,"AAAAAF132ws=")</f>
        <v>#REF!</v>
      </c>
      <c r="M427" t="e">
        <f>IF(#REF!,"AAAAAF132ww=",0)</f>
        <v>#REF!</v>
      </c>
      <c r="N427" t="e">
        <f>AND(#REF!,"AAAAAF132w0=")</f>
        <v>#REF!</v>
      </c>
      <c r="O427" t="e">
        <f>AND(#REF!,"AAAAAF132w4=")</f>
        <v>#REF!</v>
      </c>
      <c r="P427" t="e">
        <f>AND(#REF!,"AAAAAF132w8=")</f>
        <v>#REF!</v>
      </c>
      <c r="Q427" t="e">
        <f>AND(#REF!,"AAAAAF132xA=")</f>
        <v>#REF!</v>
      </c>
      <c r="R427" t="e">
        <f>AND(#REF!,"AAAAAF132xE=")</f>
        <v>#REF!</v>
      </c>
      <c r="S427" t="e">
        <f>AND(#REF!,"AAAAAF132xI=")</f>
        <v>#REF!</v>
      </c>
      <c r="T427" t="e">
        <f>AND(#REF!,"AAAAAF132xM=")</f>
        <v>#REF!</v>
      </c>
      <c r="U427" t="e">
        <f>AND(#REF!,"AAAAAF132xQ=")</f>
        <v>#REF!</v>
      </c>
      <c r="V427" t="e">
        <f>AND(#REF!,"AAAAAF132xU=")</f>
        <v>#REF!</v>
      </c>
      <c r="W427" t="e">
        <f>AND(#REF!,"AAAAAF132xY=")</f>
        <v>#REF!</v>
      </c>
      <c r="X427" t="e">
        <f>IF(#REF!,"AAAAAF132xc=",0)</f>
        <v>#REF!</v>
      </c>
      <c r="Y427" t="e">
        <f>AND(#REF!,"AAAAAF132xg=")</f>
        <v>#REF!</v>
      </c>
      <c r="Z427" t="e">
        <f>AND(#REF!,"AAAAAF132xk=")</f>
        <v>#REF!</v>
      </c>
      <c r="AA427" t="e">
        <f>AND(#REF!,"AAAAAF132xo=")</f>
        <v>#REF!</v>
      </c>
      <c r="AB427" t="e">
        <f>AND(#REF!,"AAAAAF132xs=")</f>
        <v>#REF!</v>
      </c>
      <c r="AC427" t="e">
        <f>AND(#REF!,"AAAAAF132xw=")</f>
        <v>#REF!</v>
      </c>
      <c r="AD427" t="e">
        <f>AND(#REF!,"AAAAAF132x0=")</f>
        <v>#REF!</v>
      </c>
      <c r="AE427" t="e">
        <f>AND(#REF!,"AAAAAF132x4=")</f>
        <v>#REF!</v>
      </c>
      <c r="AF427" t="e">
        <f>AND(#REF!,"AAAAAF132x8=")</f>
        <v>#REF!</v>
      </c>
      <c r="AG427" t="e">
        <f>AND(#REF!,"AAAAAF132yA=")</f>
        <v>#REF!</v>
      </c>
      <c r="AH427" t="e">
        <f>AND(#REF!,"AAAAAF132yE=")</f>
        <v>#REF!</v>
      </c>
      <c r="AI427" t="e">
        <f>IF(#REF!,"AAAAAF132yI=",0)</f>
        <v>#REF!</v>
      </c>
      <c r="AJ427" t="e">
        <f>AND(#REF!,"AAAAAF132yM=")</f>
        <v>#REF!</v>
      </c>
      <c r="AK427" t="e">
        <f>AND(#REF!,"AAAAAF132yQ=")</f>
        <v>#REF!</v>
      </c>
      <c r="AL427" t="e">
        <f>AND(#REF!,"AAAAAF132yU=")</f>
        <v>#REF!</v>
      </c>
      <c r="AM427" t="e">
        <f>AND(#REF!,"AAAAAF132yY=")</f>
        <v>#REF!</v>
      </c>
      <c r="AN427" t="e">
        <f>AND(#REF!,"AAAAAF132yc=")</f>
        <v>#REF!</v>
      </c>
      <c r="AO427" t="e">
        <f>AND(#REF!,"AAAAAF132yg=")</f>
        <v>#REF!</v>
      </c>
      <c r="AP427" t="e">
        <f>AND(#REF!,"AAAAAF132yk=")</f>
        <v>#REF!</v>
      </c>
      <c r="AQ427" t="e">
        <f>AND(#REF!,"AAAAAF132yo=")</f>
        <v>#REF!</v>
      </c>
      <c r="AR427" t="e">
        <f>AND(#REF!,"AAAAAF132ys=")</f>
        <v>#REF!</v>
      </c>
      <c r="AS427" t="e">
        <f>AND(#REF!,"AAAAAF132yw=")</f>
        <v>#REF!</v>
      </c>
      <c r="AT427" t="e">
        <f>IF(#REF!,"AAAAAF132y0=",0)</f>
        <v>#REF!</v>
      </c>
      <c r="AU427" t="e">
        <f>AND(#REF!,"AAAAAF132y4=")</f>
        <v>#REF!</v>
      </c>
      <c r="AV427" t="e">
        <f>AND(#REF!,"AAAAAF132y8=")</f>
        <v>#REF!</v>
      </c>
      <c r="AW427" t="e">
        <f>AND(#REF!,"AAAAAF132zA=")</f>
        <v>#REF!</v>
      </c>
      <c r="AX427" t="e">
        <f>AND(#REF!,"AAAAAF132zE=")</f>
        <v>#REF!</v>
      </c>
      <c r="AY427" t="e">
        <f>AND(#REF!,"AAAAAF132zI=")</f>
        <v>#REF!</v>
      </c>
      <c r="AZ427" t="e">
        <f>AND(#REF!,"AAAAAF132zM=")</f>
        <v>#REF!</v>
      </c>
      <c r="BA427" t="e">
        <f>AND(#REF!,"AAAAAF132zQ=")</f>
        <v>#REF!</v>
      </c>
      <c r="BB427" t="e">
        <f>AND(#REF!,"AAAAAF132zU=")</f>
        <v>#REF!</v>
      </c>
      <c r="BC427" t="e">
        <f>AND(#REF!,"AAAAAF132zY=")</f>
        <v>#REF!</v>
      </c>
      <c r="BD427" t="e">
        <f>AND(#REF!,"AAAAAF132zc=")</f>
        <v>#REF!</v>
      </c>
      <c r="BE427" t="e">
        <f>IF(#REF!,"AAAAAF132zg=",0)</f>
        <v>#REF!</v>
      </c>
      <c r="BF427" t="e">
        <f>AND(#REF!,"AAAAAF132zk=")</f>
        <v>#REF!</v>
      </c>
      <c r="BG427" t="e">
        <f>AND(#REF!,"AAAAAF132zo=")</f>
        <v>#REF!</v>
      </c>
      <c r="BH427" t="e">
        <f>AND(#REF!,"AAAAAF132zs=")</f>
        <v>#REF!</v>
      </c>
      <c r="BI427" t="e">
        <f>AND(#REF!,"AAAAAF132zw=")</f>
        <v>#REF!</v>
      </c>
      <c r="BJ427" t="e">
        <f>AND(#REF!,"AAAAAF132z0=")</f>
        <v>#REF!</v>
      </c>
      <c r="BK427" t="e">
        <f>AND(#REF!,"AAAAAF132z4=")</f>
        <v>#REF!</v>
      </c>
      <c r="BL427" t="e">
        <f>AND(#REF!,"AAAAAF132z8=")</f>
        <v>#REF!</v>
      </c>
      <c r="BM427" t="e">
        <f>AND(#REF!,"AAAAAF1320A=")</f>
        <v>#REF!</v>
      </c>
      <c r="BN427" t="e">
        <f>AND(#REF!,"AAAAAF1320E=")</f>
        <v>#REF!</v>
      </c>
      <c r="BO427" t="e">
        <f>AND(#REF!,"AAAAAF1320I=")</f>
        <v>#REF!</v>
      </c>
      <c r="BP427" t="e">
        <f>IF(#REF!,"AAAAAF1320M=",0)</f>
        <v>#REF!</v>
      </c>
      <c r="BQ427" t="e">
        <f>AND(#REF!,"AAAAAF1320Q=")</f>
        <v>#REF!</v>
      </c>
      <c r="BR427" t="e">
        <f>AND(#REF!,"AAAAAF1320U=")</f>
        <v>#REF!</v>
      </c>
      <c r="BS427" t="e">
        <f>AND(#REF!,"AAAAAF1320Y=")</f>
        <v>#REF!</v>
      </c>
      <c r="BT427" t="e">
        <f>AND(#REF!,"AAAAAF1320c=")</f>
        <v>#REF!</v>
      </c>
      <c r="BU427" t="e">
        <f>AND(#REF!,"AAAAAF1320g=")</f>
        <v>#REF!</v>
      </c>
      <c r="BV427" t="e">
        <f>AND(#REF!,"AAAAAF1320k=")</f>
        <v>#REF!</v>
      </c>
      <c r="BW427" t="e">
        <f>AND(#REF!,"AAAAAF1320o=")</f>
        <v>#REF!</v>
      </c>
      <c r="BX427" t="e">
        <f>AND(#REF!,"AAAAAF1320s=")</f>
        <v>#REF!</v>
      </c>
      <c r="BY427" t="e">
        <f>AND(#REF!,"AAAAAF1320w=")</f>
        <v>#REF!</v>
      </c>
      <c r="BZ427" t="e">
        <f>AND(#REF!,"AAAAAF13200=")</f>
        <v>#REF!</v>
      </c>
      <c r="CA427" t="e">
        <f>IF(#REF!,"AAAAAF13204=",0)</f>
        <v>#REF!</v>
      </c>
      <c r="CB427" t="e">
        <f>AND(#REF!,"AAAAAF13208=")</f>
        <v>#REF!</v>
      </c>
      <c r="CC427" t="e">
        <f>AND(#REF!,"AAAAAF1321A=")</f>
        <v>#REF!</v>
      </c>
      <c r="CD427" t="e">
        <f>AND(#REF!,"AAAAAF1321E=")</f>
        <v>#REF!</v>
      </c>
      <c r="CE427" t="e">
        <f>AND(#REF!,"AAAAAF1321I=")</f>
        <v>#REF!</v>
      </c>
      <c r="CF427" t="e">
        <f>AND(#REF!,"AAAAAF1321M=")</f>
        <v>#REF!</v>
      </c>
      <c r="CG427" t="e">
        <f>AND(#REF!,"AAAAAF1321Q=")</f>
        <v>#REF!</v>
      </c>
      <c r="CH427" t="e">
        <f>AND(#REF!,"AAAAAF1321U=")</f>
        <v>#REF!</v>
      </c>
      <c r="CI427" t="e">
        <f>AND(#REF!,"AAAAAF1321Y=")</f>
        <v>#REF!</v>
      </c>
      <c r="CJ427" t="e">
        <f>AND(#REF!,"AAAAAF1321c=")</f>
        <v>#REF!</v>
      </c>
      <c r="CK427" t="e">
        <f>AND(#REF!,"AAAAAF1321g=")</f>
        <v>#REF!</v>
      </c>
      <c r="CL427" t="e">
        <f>IF(#REF!,"AAAAAF1321k=",0)</f>
        <v>#REF!</v>
      </c>
      <c r="CM427" t="e">
        <f>AND(#REF!,"AAAAAF1321o=")</f>
        <v>#REF!</v>
      </c>
      <c r="CN427" t="e">
        <f>AND(#REF!,"AAAAAF1321s=")</f>
        <v>#REF!</v>
      </c>
      <c r="CO427" t="e">
        <f>AND(#REF!,"AAAAAF1321w=")</f>
        <v>#REF!</v>
      </c>
      <c r="CP427" t="e">
        <f>AND(#REF!,"AAAAAF13210=")</f>
        <v>#REF!</v>
      </c>
      <c r="CQ427" t="e">
        <f>AND(#REF!,"AAAAAF13214=")</f>
        <v>#REF!</v>
      </c>
      <c r="CR427" t="e">
        <f>AND(#REF!,"AAAAAF13218=")</f>
        <v>#REF!</v>
      </c>
      <c r="CS427" t="e">
        <f>AND(#REF!,"AAAAAF1322A=")</f>
        <v>#REF!</v>
      </c>
      <c r="CT427" t="e">
        <f>AND(#REF!,"AAAAAF1322E=")</f>
        <v>#REF!</v>
      </c>
      <c r="CU427" t="e">
        <f>AND(#REF!,"AAAAAF1322I=")</f>
        <v>#REF!</v>
      </c>
      <c r="CV427" t="e">
        <f>AND(#REF!,"AAAAAF1322M=")</f>
        <v>#REF!</v>
      </c>
      <c r="CW427" t="e">
        <f>IF(#REF!,"AAAAAF1322Q=",0)</f>
        <v>#REF!</v>
      </c>
      <c r="CX427" t="e">
        <f>AND(#REF!,"AAAAAF1322U=")</f>
        <v>#REF!</v>
      </c>
      <c r="CY427" t="e">
        <f>AND(#REF!,"AAAAAF1322Y=")</f>
        <v>#REF!</v>
      </c>
      <c r="CZ427" t="e">
        <f>AND(#REF!,"AAAAAF1322c=")</f>
        <v>#REF!</v>
      </c>
      <c r="DA427" t="e">
        <f>AND(#REF!,"AAAAAF1322g=")</f>
        <v>#REF!</v>
      </c>
      <c r="DB427" t="e">
        <f>AND(#REF!,"AAAAAF1322k=")</f>
        <v>#REF!</v>
      </c>
      <c r="DC427" t="e">
        <f>AND(#REF!,"AAAAAF1322o=")</f>
        <v>#REF!</v>
      </c>
      <c r="DD427" t="e">
        <f>AND(#REF!,"AAAAAF1322s=")</f>
        <v>#REF!</v>
      </c>
      <c r="DE427" t="e">
        <f>AND(#REF!,"AAAAAF1322w=")</f>
        <v>#REF!</v>
      </c>
      <c r="DF427" t="e">
        <f>AND(#REF!,"AAAAAF13220=")</f>
        <v>#REF!</v>
      </c>
      <c r="DG427" t="e">
        <f>AND(#REF!,"AAAAAF13224=")</f>
        <v>#REF!</v>
      </c>
      <c r="DH427" t="e">
        <f>IF(#REF!,"AAAAAF13228=",0)</f>
        <v>#REF!</v>
      </c>
      <c r="DI427" t="e">
        <f>AND(#REF!,"AAAAAF1323A=")</f>
        <v>#REF!</v>
      </c>
      <c r="DJ427" t="e">
        <f>AND(#REF!,"AAAAAF1323E=")</f>
        <v>#REF!</v>
      </c>
      <c r="DK427" t="e">
        <f>AND(#REF!,"AAAAAF1323I=")</f>
        <v>#REF!</v>
      </c>
      <c r="DL427" t="e">
        <f>AND(#REF!,"AAAAAF1323M=")</f>
        <v>#REF!</v>
      </c>
      <c r="DM427" t="e">
        <f>AND(#REF!,"AAAAAF1323Q=")</f>
        <v>#REF!</v>
      </c>
      <c r="DN427" t="e">
        <f>AND(#REF!,"AAAAAF1323U=")</f>
        <v>#REF!</v>
      </c>
      <c r="DO427" t="e">
        <f>AND(#REF!,"AAAAAF1323Y=")</f>
        <v>#REF!</v>
      </c>
      <c r="DP427" t="e">
        <f>AND(#REF!,"AAAAAF1323c=")</f>
        <v>#REF!</v>
      </c>
      <c r="DQ427" t="e">
        <f>AND(#REF!,"AAAAAF1323g=")</f>
        <v>#REF!</v>
      </c>
      <c r="DR427" t="e">
        <f>AND(#REF!,"AAAAAF1323k=")</f>
        <v>#REF!</v>
      </c>
      <c r="DS427" t="e">
        <f>IF(#REF!,"AAAAAF1323o=",0)</f>
        <v>#REF!</v>
      </c>
      <c r="DT427" t="e">
        <f>AND(#REF!,"AAAAAF1323s=")</f>
        <v>#REF!</v>
      </c>
      <c r="DU427" t="e">
        <f>AND(#REF!,"AAAAAF1323w=")</f>
        <v>#REF!</v>
      </c>
      <c r="DV427" t="e">
        <f>AND(#REF!,"AAAAAF13230=")</f>
        <v>#REF!</v>
      </c>
      <c r="DW427" t="e">
        <f>AND(#REF!,"AAAAAF13234=")</f>
        <v>#REF!</v>
      </c>
      <c r="DX427" t="e">
        <f>AND(#REF!,"AAAAAF13238=")</f>
        <v>#REF!</v>
      </c>
      <c r="DY427" t="e">
        <f>AND(#REF!,"AAAAAF1324A=")</f>
        <v>#REF!</v>
      </c>
      <c r="DZ427" t="e">
        <f>AND(#REF!,"AAAAAF1324E=")</f>
        <v>#REF!</v>
      </c>
      <c r="EA427" t="e">
        <f>AND(#REF!,"AAAAAF1324I=")</f>
        <v>#REF!</v>
      </c>
      <c r="EB427" t="e">
        <f>AND(#REF!,"AAAAAF1324M=")</f>
        <v>#REF!</v>
      </c>
      <c r="EC427" t="e">
        <f>AND(#REF!,"AAAAAF1324Q=")</f>
        <v>#REF!</v>
      </c>
      <c r="ED427" t="e">
        <f>IF(#REF!,"AAAAAF1324U=",0)</f>
        <v>#REF!</v>
      </c>
      <c r="EE427" t="e">
        <f>AND(#REF!,"AAAAAF1324Y=")</f>
        <v>#REF!</v>
      </c>
      <c r="EF427" t="e">
        <f>AND(#REF!,"AAAAAF1324c=")</f>
        <v>#REF!</v>
      </c>
      <c r="EG427" t="e">
        <f>AND(#REF!,"AAAAAF1324g=")</f>
        <v>#REF!</v>
      </c>
      <c r="EH427" t="e">
        <f>AND(#REF!,"AAAAAF1324k=")</f>
        <v>#REF!</v>
      </c>
      <c r="EI427" t="e">
        <f>AND(#REF!,"AAAAAF1324o=")</f>
        <v>#REF!</v>
      </c>
      <c r="EJ427" t="e">
        <f>AND(#REF!,"AAAAAF1324s=")</f>
        <v>#REF!</v>
      </c>
      <c r="EK427" t="e">
        <f>AND(#REF!,"AAAAAF1324w=")</f>
        <v>#REF!</v>
      </c>
      <c r="EL427" t="e">
        <f>AND(#REF!,"AAAAAF13240=")</f>
        <v>#REF!</v>
      </c>
      <c r="EM427" t="e">
        <f>AND(#REF!,"AAAAAF13244=")</f>
        <v>#REF!</v>
      </c>
      <c r="EN427" t="e">
        <f>AND(#REF!,"AAAAAF13248=")</f>
        <v>#REF!</v>
      </c>
      <c r="EO427" t="e">
        <f>IF(#REF!,"AAAAAF1325A=",0)</f>
        <v>#REF!</v>
      </c>
      <c r="EP427" t="e">
        <f>AND(#REF!,"AAAAAF1325E=")</f>
        <v>#REF!</v>
      </c>
      <c r="EQ427" t="e">
        <f>AND(#REF!,"AAAAAF1325I=")</f>
        <v>#REF!</v>
      </c>
      <c r="ER427" t="e">
        <f>AND(#REF!,"AAAAAF1325M=")</f>
        <v>#REF!</v>
      </c>
      <c r="ES427" t="e">
        <f>AND(#REF!,"AAAAAF1325Q=")</f>
        <v>#REF!</v>
      </c>
      <c r="ET427" t="e">
        <f>AND(#REF!,"AAAAAF1325U=")</f>
        <v>#REF!</v>
      </c>
      <c r="EU427" t="e">
        <f>AND(#REF!,"AAAAAF1325Y=")</f>
        <v>#REF!</v>
      </c>
      <c r="EV427" t="e">
        <f>AND(#REF!,"AAAAAF1325c=")</f>
        <v>#REF!</v>
      </c>
      <c r="EW427" t="e">
        <f>AND(#REF!,"AAAAAF1325g=")</f>
        <v>#REF!</v>
      </c>
      <c r="EX427" t="e">
        <f>AND(#REF!,"AAAAAF1325k=")</f>
        <v>#REF!</v>
      </c>
      <c r="EY427" t="e">
        <f>AND(#REF!,"AAAAAF1325o=")</f>
        <v>#REF!</v>
      </c>
      <c r="EZ427" t="e">
        <f>IF(#REF!,"AAAAAF1325s=",0)</f>
        <v>#REF!</v>
      </c>
      <c r="FA427" t="e">
        <f>AND(#REF!,"AAAAAF1325w=")</f>
        <v>#REF!</v>
      </c>
      <c r="FB427" t="e">
        <f>AND(#REF!,"AAAAAF13250=")</f>
        <v>#REF!</v>
      </c>
      <c r="FC427" t="e">
        <f>AND(#REF!,"AAAAAF13254=")</f>
        <v>#REF!</v>
      </c>
      <c r="FD427" t="e">
        <f>AND(#REF!,"AAAAAF13258=")</f>
        <v>#REF!</v>
      </c>
      <c r="FE427" t="e">
        <f>AND(#REF!,"AAAAAF1326A=")</f>
        <v>#REF!</v>
      </c>
      <c r="FF427" t="e">
        <f>AND(#REF!,"AAAAAF1326E=")</f>
        <v>#REF!</v>
      </c>
      <c r="FG427" t="e">
        <f>AND(#REF!,"AAAAAF1326I=")</f>
        <v>#REF!</v>
      </c>
      <c r="FH427" t="e">
        <f>AND(#REF!,"AAAAAF1326M=")</f>
        <v>#REF!</v>
      </c>
      <c r="FI427" t="e">
        <f>AND(#REF!,"AAAAAF1326Q=")</f>
        <v>#REF!</v>
      </c>
      <c r="FJ427" t="e">
        <f>AND(#REF!,"AAAAAF1326U=")</f>
        <v>#REF!</v>
      </c>
      <c r="FK427" t="e">
        <f>IF(#REF!,"AAAAAF1326Y=",0)</f>
        <v>#REF!</v>
      </c>
      <c r="FL427" t="e">
        <f>AND(#REF!,"AAAAAF1326c=")</f>
        <v>#REF!</v>
      </c>
      <c r="FM427" t="e">
        <f>AND(#REF!,"AAAAAF1326g=")</f>
        <v>#REF!</v>
      </c>
      <c r="FN427" t="e">
        <f>AND(#REF!,"AAAAAF1326k=")</f>
        <v>#REF!</v>
      </c>
      <c r="FO427" t="e">
        <f>AND(#REF!,"AAAAAF1326o=")</f>
        <v>#REF!</v>
      </c>
      <c r="FP427" t="e">
        <f>AND(#REF!,"AAAAAF1326s=")</f>
        <v>#REF!</v>
      </c>
      <c r="FQ427" t="e">
        <f>AND(#REF!,"AAAAAF1326w=")</f>
        <v>#REF!</v>
      </c>
      <c r="FR427" t="e">
        <f>AND(#REF!,"AAAAAF13260=")</f>
        <v>#REF!</v>
      </c>
      <c r="FS427" t="e">
        <f>AND(#REF!,"AAAAAF13264=")</f>
        <v>#REF!</v>
      </c>
      <c r="FT427" t="e">
        <f>AND(#REF!,"AAAAAF13268=")</f>
        <v>#REF!</v>
      </c>
      <c r="FU427" t="e">
        <f>AND(#REF!,"AAAAAF1327A=")</f>
        <v>#REF!</v>
      </c>
      <c r="FV427" t="e">
        <f>IF(#REF!,"AAAAAF1327E=",0)</f>
        <v>#REF!</v>
      </c>
      <c r="FW427" t="e">
        <f>AND(#REF!,"AAAAAF1327I=")</f>
        <v>#REF!</v>
      </c>
      <c r="FX427" t="e">
        <f>AND(#REF!,"AAAAAF1327M=")</f>
        <v>#REF!</v>
      </c>
      <c r="FY427" t="e">
        <f>AND(#REF!,"AAAAAF1327Q=")</f>
        <v>#REF!</v>
      </c>
      <c r="FZ427" t="e">
        <f>AND(#REF!,"AAAAAF1327U=")</f>
        <v>#REF!</v>
      </c>
      <c r="GA427" t="e">
        <f>AND(#REF!,"AAAAAF1327Y=")</f>
        <v>#REF!</v>
      </c>
      <c r="GB427" t="e">
        <f>AND(#REF!,"AAAAAF1327c=")</f>
        <v>#REF!</v>
      </c>
      <c r="GC427" t="e">
        <f>AND(#REF!,"AAAAAF1327g=")</f>
        <v>#REF!</v>
      </c>
      <c r="GD427" t="e">
        <f>AND(#REF!,"AAAAAF1327k=")</f>
        <v>#REF!</v>
      </c>
      <c r="GE427" t="e">
        <f>AND(#REF!,"AAAAAF1327o=")</f>
        <v>#REF!</v>
      </c>
      <c r="GF427" t="e">
        <f>AND(#REF!,"AAAAAF1327s=")</f>
        <v>#REF!</v>
      </c>
      <c r="GG427" t="e">
        <f>IF(#REF!,"AAAAAF1327w=",0)</f>
        <v>#REF!</v>
      </c>
      <c r="GH427" t="e">
        <f>AND(#REF!,"AAAAAF13270=")</f>
        <v>#REF!</v>
      </c>
      <c r="GI427" t="e">
        <f>AND(#REF!,"AAAAAF13274=")</f>
        <v>#REF!</v>
      </c>
      <c r="GJ427" t="e">
        <f>AND(#REF!,"AAAAAF13278=")</f>
        <v>#REF!</v>
      </c>
      <c r="GK427" t="e">
        <f>AND(#REF!,"AAAAAF1328A=")</f>
        <v>#REF!</v>
      </c>
      <c r="GL427" t="e">
        <f>AND(#REF!,"AAAAAF1328E=")</f>
        <v>#REF!</v>
      </c>
      <c r="GM427" t="e">
        <f>AND(#REF!,"AAAAAF1328I=")</f>
        <v>#REF!</v>
      </c>
      <c r="GN427" t="e">
        <f>AND(#REF!,"AAAAAF1328M=")</f>
        <v>#REF!</v>
      </c>
      <c r="GO427" t="e">
        <f>AND(#REF!,"AAAAAF1328Q=")</f>
        <v>#REF!</v>
      </c>
      <c r="GP427" t="e">
        <f>AND(#REF!,"AAAAAF1328U=")</f>
        <v>#REF!</v>
      </c>
      <c r="GQ427" t="e">
        <f>AND(#REF!,"AAAAAF1328Y=")</f>
        <v>#REF!</v>
      </c>
      <c r="GR427" t="e">
        <f>IF(#REF!,"AAAAAF1328c=",0)</f>
        <v>#REF!</v>
      </c>
      <c r="GS427" t="e">
        <f>AND(#REF!,"AAAAAF1328g=")</f>
        <v>#REF!</v>
      </c>
      <c r="GT427" t="e">
        <f>AND(#REF!,"AAAAAF1328k=")</f>
        <v>#REF!</v>
      </c>
      <c r="GU427" t="e">
        <f>AND(#REF!,"AAAAAF1328o=")</f>
        <v>#REF!</v>
      </c>
      <c r="GV427" t="e">
        <f>AND(#REF!,"AAAAAF1328s=")</f>
        <v>#REF!</v>
      </c>
      <c r="GW427" t="e">
        <f>AND(#REF!,"AAAAAF1328w=")</f>
        <v>#REF!</v>
      </c>
      <c r="GX427" t="e">
        <f>AND(#REF!,"AAAAAF13280=")</f>
        <v>#REF!</v>
      </c>
      <c r="GY427" t="e">
        <f>AND(#REF!,"AAAAAF13284=")</f>
        <v>#REF!</v>
      </c>
      <c r="GZ427" t="e">
        <f>AND(#REF!,"AAAAAF13288=")</f>
        <v>#REF!</v>
      </c>
      <c r="HA427" t="e">
        <f>AND(#REF!,"AAAAAF1329A=")</f>
        <v>#REF!</v>
      </c>
      <c r="HB427" t="e">
        <f>AND(#REF!,"AAAAAF1329E=")</f>
        <v>#REF!</v>
      </c>
      <c r="HC427" t="e">
        <f>IF(#REF!,"AAAAAF1329I=",0)</f>
        <v>#REF!</v>
      </c>
      <c r="HD427" t="e">
        <f>AND(#REF!,"AAAAAF1329M=")</f>
        <v>#REF!</v>
      </c>
      <c r="HE427" t="e">
        <f>AND(#REF!,"AAAAAF1329Q=")</f>
        <v>#REF!</v>
      </c>
      <c r="HF427" t="e">
        <f>AND(#REF!,"AAAAAF1329U=")</f>
        <v>#REF!</v>
      </c>
      <c r="HG427" t="e">
        <f>AND(#REF!,"AAAAAF1329Y=")</f>
        <v>#REF!</v>
      </c>
      <c r="HH427" t="e">
        <f>AND(#REF!,"AAAAAF1329c=")</f>
        <v>#REF!</v>
      </c>
      <c r="HI427" t="e">
        <f>AND(#REF!,"AAAAAF1329g=")</f>
        <v>#REF!</v>
      </c>
      <c r="HJ427" t="e">
        <f>AND(#REF!,"AAAAAF1329k=")</f>
        <v>#REF!</v>
      </c>
      <c r="HK427" t="e">
        <f>AND(#REF!,"AAAAAF1329o=")</f>
        <v>#REF!</v>
      </c>
      <c r="HL427" t="e">
        <f>AND(#REF!,"AAAAAF1329s=")</f>
        <v>#REF!</v>
      </c>
      <c r="HM427" t="e">
        <f>AND(#REF!,"AAAAAF1329w=")</f>
        <v>#REF!</v>
      </c>
      <c r="HN427" t="e">
        <f>IF(#REF!,"AAAAAF13290=",0)</f>
        <v>#REF!</v>
      </c>
      <c r="HO427" t="e">
        <f>AND(#REF!,"AAAAAF13294=")</f>
        <v>#REF!</v>
      </c>
      <c r="HP427" t="e">
        <f>AND(#REF!,"AAAAAF13298=")</f>
        <v>#REF!</v>
      </c>
      <c r="HQ427" t="e">
        <f>AND(#REF!,"AAAAAF132+A=")</f>
        <v>#REF!</v>
      </c>
      <c r="HR427" t="e">
        <f>AND(#REF!,"AAAAAF132+E=")</f>
        <v>#REF!</v>
      </c>
      <c r="HS427" t="e">
        <f>AND(#REF!,"AAAAAF132+I=")</f>
        <v>#REF!</v>
      </c>
      <c r="HT427" t="e">
        <f>AND(#REF!,"AAAAAF132+M=")</f>
        <v>#REF!</v>
      </c>
      <c r="HU427" t="e">
        <f>AND(#REF!,"AAAAAF132+Q=")</f>
        <v>#REF!</v>
      </c>
      <c r="HV427" t="e">
        <f>AND(#REF!,"AAAAAF132+U=")</f>
        <v>#REF!</v>
      </c>
      <c r="HW427" t="e">
        <f>AND(#REF!,"AAAAAF132+Y=")</f>
        <v>#REF!</v>
      </c>
      <c r="HX427" t="e">
        <f>AND(#REF!,"AAAAAF132+c=")</f>
        <v>#REF!</v>
      </c>
      <c r="HY427" t="e">
        <f>IF(#REF!,"AAAAAF132+g=",0)</f>
        <v>#REF!</v>
      </c>
      <c r="HZ427" t="e">
        <f>AND(#REF!,"AAAAAF132+k=")</f>
        <v>#REF!</v>
      </c>
      <c r="IA427" t="e">
        <f>AND(#REF!,"AAAAAF132+o=")</f>
        <v>#REF!</v>
      </c>
      <c r="IB427" t="e">
        <f>AND(#REF!,"AAAAAF132+s=")</f>
        <v>#REF!</v>
      </c>
      <c r="IC427" t="e">
        <f>AND(#REF!,"AAAAAF132+w=")</f>
        <v>#REF!</v>
      </c>
      <c r="ID427" t="e">
        <f>AND(#REF!,"AAAAAF132+0=")</f>
        <v>#REF!</v>
      </c>
      <c r="IE427" t="e">
        <f>AND(#REF!,"AAAAAF132+4=")</f>
        <v>#REF!</v>
      </c>
      <c r="IF427" t="e">
        <f>AND(#REF!,"AAAAAF132+8=")</f>
        <v>#REF!</v>
      </c>
      <c r="IG427" t="e">
        <f>AND(#REF!,"AAAAAF132/A=")</f>
        <v>#REF!</v>
      </c>
      <c r="IH427" t="e">
        <f>AND(#REF!,"AAAAAF132/E=")</f>
        <v>#REF!</v>
      </c>
      <c r="II427" t="e">
        <f>AND(#REF!,"AAAAAF132/I=")</f>
        <v>#REF!</v>
      </c>
      <c r="IJ427" t="e">
        <f>IF(#REF!,"AAAAAF132/M=",0)</f>
        <v>#REF!</v>
      </c>
      <c r="IK427" t="e">
        <f>AND(#REF!,"AAAAAF132/Q=")</f>
        <v>#REF!</v>
      </c>
      <c r="IL427" t="e">
        <f>AND(#REF!,"AAAAAF132/U=")</f>
        <v>#REF!</v>
      </c>
      <c r="IM427" t="e">
        <f>AND(#REF!,"AAAAAF132/Y=")</f>
        <v>#REF!</v>
      </c>
      <c r="IN427" t="e">
        <f>AND(#REF!,"AAAAAF132/c=")</f>
        <v>#REF!</v>
      </c>
      <c r="IO427" t="e">
        <f>AND(#REF!,"AAAAAF132/g=")</f>
        <v>#REF!</v>
      </c>
      <c r="IP427" t="e">
        <f>AND(#REF!,"AAAAAF132/k=")</f>
        <v>#REF!</v>
      </c>
      <c r="IQ427" t="e">
        <f>AND(#REF!,"AAAAAF132/o=")</f>
        <v>#REF!</v>
      </c>
      <c r="IR427" t="e">
        <f>AND(#REF!,"AAAAAF132/s=")</f>
        <v>#REF!</v>
      </c>
      <c r="IS427" t="e">
        <f>AND(#REF!,"AAAAAF132/w=")</f>
        <v>#REF!</v>
      </c>
      <c r="IT427" t="e">
        <f>AND(#REF!,"AAAAAF132/0=")</f>
        <v>#REF!</v>
      </c>
      <c r="IU427" t="e">
        <f>IF(#REF!,"AAAAAF132/4=",0)</f>
        <v>#REF!</v>
      </c>
      <c r="IV427" t="e">
        <f>AND(#REF!,"AAAAAF132/8=")</f>
        <v>#REF!</v>
      </c>
    </row>
    <row r="428" spans="1:256" x14ac:dyDescent="0.25">
      <c r="A428" t="e">
        <f>AND(#REF!,"AAAAAFnfjgA=")</f>
        <v>#REF!</v>
      </c>
      <c r="B428" t="e">
        <f>AND(#REF!,"AAAAAFnfjgE=")</f>
        <v>#REF!</v>
      </c>
      <c r="C428" t="e">
        <f>AND(#REF!,"AAAAAFnfjgI=")</f>
        <v>#REF!</v>
      </c>
      <c r="D428" t="e">
        <f>AND(#REF!,"AAAAAFnfjgM=")</f>
        <v>#REF!</v>
      </c>
      <c r="E428" t="e">
        <f>AND(#REF!,"AAAAAFnfjgQ=")</f>
        <v>#REF!</v>
      </c>
      <c r="F428" t="e">
        <f>AND(#REF!,"AAAAAFnfjgU=")</f>
        <v>#REF!</v>
      </c>
      <c r="G428" t="e">
        <f>AND(#REF!,"AAAAAFnfjgY=")</f>
        <v>#REF!</v>
      </c>
      <c r="H428" t="e">
        <f>AND(#REF!,"AAAAAFnfjgc=")</f>
        <v>#REF!</v>
      </c>
      <c r="I428" t="e">
        <f>AND(#REF!,"AAAAAFnfjgg=")</f>
        <v>#REF!</v>
      </c>
      <c r="J428" t="e">
        <f>IF(#REF!,"AAAAAFnfjgk=",0)</f>
        <v>#REF!</v>
      </c>
      <c r="K428" t="e">
        <f>AND(#REF!,"AAAAAFnfjgo=")</f>
        <v>#REF!</v>
      </c>
      <c r="L428" t="e">
        <f>AND(#REF!,"AAAAAFnfjgs=")</f>
        <v>#REF!</v>
      </c>
      <c r="M428" t="e">
        <f>AND(#REF!,"AAAAAFnfjgw=")</f>
        <v>#REF!</v>
      </c>
      <c r="N428" t="e">
        <f>AND(#REF!,"AAAAAFnfjg0=")</f>
        <v>#REF!</v>
      </c>
      <c r="O428" t="e">
        <f>AND(#REF!,"AAAAAFnfjg4=")</f>
        <v>#REF!</v>
      </c>
      <c r="P428" t="e">
        <f>AND(#REF!,"AAAAAFnfjg8=")</f>
        <v>#REF!</v>
      </c>
      <c r="Q428" t="e">
        <f>AND(#REF!,"AAAAAFnfjhA=")</f>
        <v>#REF!</v>
      </c>
      <c r="R428" t="e">
        <f>AND(#REF!,"AAAAAFnfjhE=")</f>
        <v>#REF!</v>
      </c>
      <c r="S428" t="e">
        <f>AND(#REF!,"AAAAAFnfjhI=")</f>
        <v>#REF!</v>
      </c>
      <c r="T428" t="e">
        <f>AND(#REF!,"AAAAAFnfjhM=")</f>
        <v>#REF!</v>
      </c>
      <c r="U428" t="e">
        <f>IF(#REF!,"AAAAAFnfjhQ=",0)</f>
        <v>#REF!</v>
      </c>
      <c r="V428" t="e">
        <f>AND(#REF!,"AAAAAFnfjhU=")</f>
        <v>#REF!</v>
      </c>
      <c r="W428" t="e">
        <f>AND(#REF!,"AAAAAFnfjhY=")</f>
        <v>#REF!</v>
      </c>
      <c r="X428" t="e">
        <f>AND(#REF!,"AAAAAFnfjhc=")</f>
        <v>#REF!</v>
      </c>
      <c r="Y428" t="e">
        <f>AND(#REF!,"AAAAAFnfjhg=")</f>
        <v>#REF!</v>
      </c>
      <c r="Z428" t="e">
        <f>AND(#REF!,"AAAAAFnfjhk=")</f>
        <v>#REF!</v>
      </c>
      <c r="AA428" t="e">
        <f>AND(#REF!,"AAAAAFnfjho=")</f>
        <v>#REF!</v>
      </c>
      <c r="AB428" t="e">
        <f>AND(#REF!,"AAAAAFnfjhs=")</f>
        <v>#REF!</v>
      </c>
      <c r="AC428" t="e">
        <f>AND(#REF!,"AAAAAFnfjhw=")</f>
        <v>#REF!</v>
      </c>
      <c r="AD428" t="e">
        <f>AND(#REF!,"AAAAAFnfjh0=")</f>
        <v>#REF!</v>
      </c>
      <c r="AE428" t="e">
        <f>AND(#REF!,"AAAAAFnfjh4=")</f>
        <v>#REF!</v>
      </c>
      <c r="AF428" t="e">
        <f>IF(#REF!,"AAAAAFnfjh8=",0)</f>
        <v>#REF!</v>
      </c>
      <c r="AG428" t="e">
        <f>AND(#REF!,"AAAAAFnfjiA=")</f>
        <v>#REF!</v>
      </c>
      <c r="AH428" t="e">
        <f>AND(#REF!,"AAAAAFnfjiE=")</f>
        <v>#REF!</v>
      </c>
      <c r="AI428" t="e">
        <f>AND(#REF!,"AAAAAFnfjiI=")</f>
        <v>#REF!</v>
      </c>
      <c r="AJ428" t="e">
        <f>AND(#REF!,"AAAAAFnfjiM=")</f>
        <v>#REF!</v>
      </c>
      <c r="AK428" t="e">
        <f>AND(#REF!,"AAAAAFnfjiQ=")</f>
        <v>#REF!</v>
      </c>
      <c r="AL428" t="e">
        <f>AND(#REF!,"AAAAAFnfjiU=")</f>
        <v>#REF!</v>
      </c>
      <c r="AM428" t="e">
        <f>AND(#REF!,"AAAAAFnfjiY=")</f>
        <v>#REF!</v>
      </c>
      <c r="AN428" t="e">
        <f>AND(#REF!,"AAAAAFnfjic=")</f>
        <v>#REF!</v>
      </c>
      <c r="AO428" t="e">
        <f>AND(#REF!,"AAAAAFnfjig=")</f>
        <v>#REF!</v>
      </c>
      <c r="AP428" t="e">
        <f>AND(#REF!,"AAAAAFnfjik=")</f>
        <v>#REF!</v>
      </c>
      <c r="AQ428" t="e">
        <f>IF(#REF!,"AAAAAFnfjio=",0)</f>
        <v>#REF!</v>
      </c>
      <c r="AR428" t="e">
        <f>AND(#REF!,"AAAAAFnfjis=")</f>
        <v>#REF!</v>
      </c>
      <c r="AS428" t="e">
        <f>AND(#REF!,"AAAAAFnfjiw=")</f>
        <v>#REF!</v>
      </c>
      <c r="AT428" t="e">
        <f>AND(#REF!,"AAAAAFnfji0=")</f>
        <v>#REF!</v>
      </c>
      <c r="AU428" t="e">
        <f>AND(#REF!,"AAAAAFnfji4=")</f>
        <v>#REF!</v>
      </c>
      <c r="AV428" t="e">
        <f>AND(#REF!,"AAAAAFnfji8=")</f>
        <v>#REF!</v>
      </c>
      <c r="AW428" t="e">
        <f>AND(#REF!,"AAAAAFnfjjA=")</f>
        <v>#REF!</v>
      </c>
      <c r="AX428" t="e">
        <f>AND(#REF!,"AAAAAFnfjjE=")</f>
        <v>#REF!</v>
      </c>
      <c r="AY428" t="e">
        <f>AND(#REF!,"AAAAAFnfjjI=")</f>
        <v>#REF!</v>
      </c>
      <c r="AZ428" t="e">
        <f>AND(#REF!,"AAAAAFnfjjM=")</f>
        <v>#REF!</v>
      </c>
      <c r="BA428" t="e">
        <f>AND(#REF!,"AAAAAFnfjjQ=")</f>
        <v>#REF!</v>
      </c>
      <c r="BB428" t="e">
        <f>IF(#REF!,"AAAAAFnfjjU=",0)</f>
        <v>#REF!</v>
      </c>
      <c r="BC428" t="e">
        <f>AND(#REF!,"AAAAAFnfjjY=")</f>
        <v>#REF!</v>
      </c>
      <c r="BD428" t="e">
        <f>AND(#REF!,"AAAAAFnfjjc=")</f>
        <v>#REF!</v>
      </c>
      <c r="BE428" t="e">
        <f>AND(#REF!,"AAAAAFnfjjg=")</f>
        <v>#REF!</v>
      </c>
      <c r="BF428" t="e">
        <f>AND(#REF!,"AAAAAFnfjjk=")</f>
        <v>#REF!</v>
      </c>
      <c r="BG428" t="e">
        <f>AND(#REF!,"AAAAAFnfjjo=")</f>
        <v>#REF!</v>
      </c>
      <c r="BH428" t="e">
        <f>AND(#REF!,"AAAAAFnfjjs=")</f>
        <v>#REF!</v>
      </c>
      <c r="BI428" t="e">
        <f>AND(#REF!,"AAAAAFnfjjw=")</f>
        <v>#REF!</v>
      </c>
      <c r="BJ428" t="e">
        <f>AND(#REF!,"AAAAAFnfjj0=")</f>
        <v>#REF!</v>
      </c>
      <c r="BK428" t="e">
        <f>AND(#REF!,"AAAAAFnfjj4=")</f>
        <v>#REF!</v>
      </c>
      <c r="BL428" t="e">
        <f>AND(#REF!,"AAAAAFnfjj8=")</f>
        <v>#REF!</v>
      </c>
      <c r="BM428" t="e">
        <f>IF(#REF!,"AAAAAFnfjkA=",0)</f>
        <v>#REF!</v>
      </c>
      <c r="BN428" t="e">
        <f>AND(#REF!,"AAAAAFnfjkE=")</f>
        <v>#REF!</v>
      </c>
      <c r="BO428" t="e">
        <f>AND(#REF!,"AAAAAFnfjkI=")</f>
        <v>#REF!</v>
      </c>
      <c r="BP428" t="e">
        <f>AND(#REF!,"AAAAAFnfjkM=")</f>
        <v>#REF!</v>
      </c>
      <c r="BQ428" t="e">
        <f>AND(#REF!,"AAAAAFnfjkQ=")</f>
        <v>#REF!</v>
      </c>
      <c r="BR428" t="e">
        <f>AND(#REF!,"AAAAAFnfjkU=")</f>
        <v>#REF!</v>
      </c>
      <c r="BS428" t="e">
        <f>AND(#REF!,"AAAAAFnfjkY=")</f>
        <v>#REF!</v>
      </c>
      <c r="BT428" t="e">
        <f>AND(#REF!,"AAAAAFnfjkc=")</f>
        <v>#REF!</v>
      </c>
      <c r="BU428" t="e">
        <f>AND(#REF!,"AAAAAFnfjkg=")</f>
        <v>#REF!</v>
      </c>
      <c r="BV428" t="e">
        <f>AND(#REF!,"AAAAAFnfjkk=")</f>
        <v>#REF!</v>
      </c>
      <c r="BW428" t="e">
        <f>AND(#REF!,"AAAAAFnfjko=")</f>
        <v>#REF!</v>
      </c>
      <c r="BX428" t="e">
        <f>IF(#REF!,"AAAAAFnfjks=",0)</f>
        <v>#REF!</v>
      </c>
      <c r="BY428" t="e">
        <f>AND(#REF!,"AAAAAFnfjkw=")</f>
        <v>#REF!</v>
      </c>
      <c r="BZ428" t="e">
        <f>AND(#REF!,"AAAAAFnfjk0=")</f>
        <v>#REF!</v>
      </c>
      <c r="CA428" t="e">
        <f>AND(#REF!,"AAAAAFnfjk4=")</f>
        <v>#REF!</v>
      </c>
      <c r="CB428" t="e">
        <f>AND(#REF!,"AAAAAFnfjk8=")</f>
        <v>#REF!</v>
      </c>
      <c r="CC428" t="e">
        <f>AND(#REF!,"AAAAAFnfjlA=")</f>
        <v>#REF!</v>
      </c>
      <c r="CD428" t="e">
        <f>AND(#REF!,"AAAAAFnfjlE=")</f>
        <v>#REF!</v>
      </c>
      <c r="CE428" t="e">
        <f>AND(#REF!,"AAAAAFnfjlI=")</f>
        <v>#REF!</v>
      </c>
      <c r="CF428" t="e">
        <f>AND(#REF!,"AAAAAFnfjlM=")</f>
        <v>#REF!</v>
      </c>
      <c r="CG428" t="e">
        <f>AND(#REF!,"AAAAAFnfjlQ=")</f>
        <v>#REF!</v>
      </c>
      <c r="CH428" t="e">
        <f>AND(#REF!,"AAAAAFnfjlU=")</f>
        <v>#REF!</v>
      </c>
      <c r="CI428" t="e">
        <f>IF(#REF!,"AAAAAFnfjlY=",0)</f>
        <v>#REF!</v>
      </c>
      <c r="CJ428" t="e">
        <f>AND(#REF!,"AAAAAFnfjlc=")</f>
        <v>#REF!</v>
      </c>
      <c r="CK428" t="e">
        <f>AND(#REF!,"AAAAAFnfjlg=")</f>
        <v>#REF!</v>
      </c>
      <c r="CL428" t="e">
        <f>AND(#REF!,"AAAAAFnfjlk=")</f>
        <v>#REF!</v>
      </c>
      <c r="CM428" t="e">
        <f>AND(#REF!,"AAAAAFnfjlo=")</f>
        <v>#REF!</v>
      </c>
      <c r="CN428" t="e">
        <f>AND(#REF!,"AAAAAFnfjls=")</f>
        <v>#REF!</v>
      </c>
      <c r="CO428" t="e">
        <f>AND(#REF!,"AAAAAFnfjlw=")</f>
        <v>#REF!</v>
      </c>
      <c r="CP428" t="e">
        <f>AND(#REF!,"AAAAAFnfjl0=")</f>
        <v>#REF!</v>
      </c>
      <c r="CQ428" t="e">
        <f>AND(#REF!,"AAAAAFnfjl4=")</f>
        <v>#REF!</v>
      </c>
      <c r="CR428" t="e">
        <f>AND(#REF!,"AAAAAFnfjl8=")</f>
        <v>#REF!</v>
      </c>
      <c r="CS428" t="e">
        <f>AND(#REF!,"AAAAAFnfjmA=")</f>
        <v>#REF!</v>
      </c>
      <c r="CT428" t="e">
        <f>IF(#REF!,"AAAAAFnfjmE=",0)</f>
        <v>#REF!</v>
      </c>
      <c r="CU428" t="e">
        <f>AND(#REF!,"AAAAAFnfjmI=")</f>
        <v>#REF!</v>
      </c>
      <c r="CV428" t="e">
        <f>AND(#REF!,"AAAAAFnfjmM=")</f>
        <v>#REF!</v>
      </c>
      <c r="CW428" t="e">
        <f>AND(#REF!,"AAAAAFnfjmQ=")</f>
        <v>#REF!</v>
      </c>
      <c r="CX428" t="e">
        <f>AND(#REF!,"AAAAAFnfjmU=")</f>
        <v>#REF!</v>
      </c>
      <c r="CY428" t="e">
        <f>AND(#REF!,"AAAAAFnfjmY=")</f>
        <v>#REF!</v>
      </c>
      <c r="CZ428" t="e">
        <f>AND(#REF!,"AAAAAFnfjmc=")</f>
        <v>#REF!</v>
      </c>
      <c r="DA428" t="e">
        <f>AND(#REF!,"AAAAAFnfjmg=")</f>
        <v>#REF!</v>
      </c>
      <c r="DB428" t="e">
        <f>AND(#REF!,"AAAAAFnfjmk=")</f>
        <v>#REF!</v>
      </c>
      <c r="DC428" t="e">
        <f>AND(#REF!,"AAAAAFnfjmo=")</f>
        <v>#REF!</v>
      </c>
      <c r="DD428" t="e">
        <f>AND(#REF!,"AAAAAFnfjms=")</f>
        <v>#REF!</v>
      </c>
      <c r="DE428" t="e">
        <f>IF(#REF!,"AAAAAFnfjmw=",0)</f>
        <v>#REF!</v>
      </c>
      <c r="DF428" t="e">
        <f>AND(#REF!,"AAAAAFnfjm0=")</f>
        <v>#REF!</v>
      </c>
      <c r="DG428" t="e">
        <f>AND(#REF!,"AAAAAFnfjm4=")</f>
        <v>#REF!</v>
      </c>
      <c r="DH428" t="e">
        <f>AND(#REF!,"AAAAAFnfjm8=")</f>
        <v>#REF!</v>
      </c>
      <c r="DI428" t="e">
        <f>AND(#REF!,"AAAAAFnfjnA=")</f>
        <v>#REF!</v>
      </c>
      <c r="DJ428" t="e">
        <f>AND(#REF!,"AAAAAFnfjnE=")</f>
        <v>#REF!</v>
      </c>
      <c r="DK428" t="e">
        <f>AND(#REF!,"AAAAAFnfjnI=")</f>
        <v>#REF!</v>
      </c>
      <c r="DL428" t="e">
        <f>AND(#REF!,"AAAAAFnfjnM=")</f>
        <v>#REF!</v>
      </c>
      <c r="DM428" t="e">
        <f>AND(#REF!,"AAAAAFnfjnQ=")</f>
        <v>#REF!</v>
      </c>
      <c r="DN428" t="e">
        <f>AND(#REF!,"AAAAAFnfjnU=")</f>
        <v>#REF!</v>
      </c>
      <c r="DO428" t="e">
        <f>AND(#REF!,"AAAAAFnfjnY=")</f>
        <v>#REF!</v>
      </c>
      <c r="DP428" t="e">
        <f>IF(#REF!,"AAAAAFnfjnc=",0)</f>
        <v>#REF!</v>
      </c>
      <c r="DQ428" t="e">
        <f>AND(#REF!,"AAAAAFnfjng=")</f>
        <v>#REF!</v>
      </c>
      <c r="DR428" t="e">
        <f>AND(#REF!,"AAAAAFnfjnk=")</f>
        <v>#REF!</v>
      </c>
      <c r="DS428" t="e">
        <f>AND(#REF!,"AAAAAFnfjno=")</f>
        <v>#REF!</v>
      </c>
      <c r="DT428" t="e">
        <f>AND(#REF!,"AAAAAFnfjns=")</f>
        <v>#REF!</v>
      </c>
      <c r="DU428" t="e">
        <f>AND(#REF!,"AAAAAFnfjnw=")</f>
        <v>#REF!</v>
      </c>
      <c r="DV428" t="e">
        <f>AND(#REF!,"AAAAAFnfjn0=")</f>
        <v>#REF!</v>
      </c>
      <c r="DW428" t="e">
        <f>AND(#REF!,"AAAAAFnfjn4=")</f>
        <v>#REF!</v>
      </c>
      <c r="DX428" t="e">
        <f>AND(#REF!,"AAAAAFnfjn8=")</f>
        <v>#REF!</v>
      </c>
      <c r="DY428" t="e">
        <f>AND(#REF!,"AAAAAFnfjoA=")</f>
        <v>#REF!</v>
      </c>
      <c r="DZ428" t="e">
        <f>AND(#REF!,"AAAAAFnfjoE=")</f>
        <v>#REF!</v>
      </c>
      <c r="EA428" t="e">
        <f>IF(#REF!,"AAAAAFnfjoI=",0)</f>
        <v>#REF!</v>
      </c>
      <c r="EB428" t="e">
        <f>AND(#REF!,"AAAAAFnfjoM=")</f>
        <v>#REF!</v>
      </c>
      <c r="EC428" t="e">
        <f>AND(#REF!,"AAAAAFnfjoQ=")</f>
        <v>#REF!</v>
      </c>
      <c r="ED428" t="e">
        <f>AND(#REF!,"AAAAAFnfjoU=")</f>
        <v>#REF!</v>
      </c>
      <c r="EE428" t="e">
        <f>AND(#REF!,"AAAAAFnfjoY=")</f>
        <v>#REF!</v>
      </c>
      <c r="EF428" t="e">
        <f>AND(#REF!,"AAAAAFnfjoc=")</f>
        <v>#REF!</v>
      </c>
      <c r="EG428" t="e">
        <f>AND(#REF!,"AAAAAFnfjog=")</f>
        <v>#REF!</v>
      </c>
      <c r="EH428" t="e">
        <f>AND(#REF!,"AAAAAFnfjok=")</f>
        <v>#REF!</v>
      </c>
      <c r="EI428" t="e">
        <f>AND(#REF!,"AAAAAFnfjoo=")</f>
        <v>#REF!</v>
      </c>
      <c r="EJ428" t="e">
        <f>AND(#REF!,"AAAAAFnfjos=")</f>
        <v>#REF!</v>
      </c>
      <c r="EK428" t="e">
        <f>AND(#REF!,"AAAAAFnfjow=")</f>
        <v>#REF!</v>
      </c>
      <c r="EL428" t="e">
        <f>IF(#REF!,"AAAAAFnfjo0=",0)</f>
        <v>#REF!</v>
      </c>
      <c r="EM428" t="e">
        <f>AND(#REF!,"AAAAAFnfjo4=")</f>
        <v>#REF!</v>
      </c>
      <c r="EN428" t="e">
        <f>AND(#REF!,"AAAAAFnfjo8=")</f>
        <v>#REF!</v>
      </c>
      <c r="EO428" t="e">
        <f>AND(#REF!,"AAAAAFnfjpA=")</f>
        <v>#REF!</v>
      </c>
      <c r="EP428" t="e">
        <f>AND(#REF!,"AAAAAFnfjpE=")</f>
        <v>#REF!</v>
      </c>
      <c r="EQ428" t="e">
        <f>AND(#REF!,"AAAAAFnfjpI=")</f>
        <v>#REF!</v>
      </c>
      <c r="ER428" t="e">
        <f>AND(#REF!,"AAAAAFnfjpM=")</f>
        <v>#REF!</v>
      </c>
      <c r="ES428" t="e">
        <f>AND(#REF!,"AAAAAFnfjpQ=")</f>
        <v>#REF!</v>
      </c>
      <c r="ET428" t="e">
        <f>AND(#REF!,"AAAAAFnfjpU=")</f>
        <v>#REF!</v>
      </c>
      <c r="EU428" t="e">
        <f>AND(#REF!,"AAAAAFnfjpY=")</f>
        <v>#REF!</v>
      </c>
      <c r="EV428" t="e">
        <f>AND(#REF!,"AAAAAFnfjpc=")</f>
        <v>#REF!</v>
      </c>
      <c r="EW428" t="e">
        <f>IF(#REF!,"AAAAAFnfjpg=",0)</f>
        <v>#REF!</v>
      </c>
      <c r="EX428" t="e">
        <f>AND(#REF!,"AAAAAFnfjpk=")</f>
        <v>#REF!</v>
      </c>
      <c r="EY428" t="e">
        <f>AND(#REF!,"AAAAAFnfjpo=")</f>
        <v>#REF!</v>
      </c>
      <c r="EZ428" t="e">
        <f>AND(#REF!,"AAAAAFnfjps=")</f>
        <v>#REF!</v>
      </c>
      <c r="FA428" t="e">
        <f>AND(#REF!,"AAAAAFnfjpw=")</f>
        <v>#REF!</v>
      </c>
      <c r="FB428" t="e">
        <f>AND(#REF!,"AAAAAFnfjp0=")</f>
        <v>#REF!</v>
      </c>
      <c r="FC428" t="e">
        <f>AND(#REF!,"AAAAAFnfjp4=")</f>
        <v>#REF!</v>
      </c>
      <c r="FD428" t="e">
        <f>AND(#REF!,"AAAAAFnfjp8=")</f>
        <v>#REF!</v>
      </c>
      <c r="FE428" t="e">
        <f>AND(#REF!,"AAAAAFnfjqA=")</f>
        <v>#REF!</v>
      </c>
      <c r="FF428" t="e">
        <f>AND(#REF!,"AAAAAFnfjqE=")</f>
        <v>#REF!</v>
      </c>
      <c r="FG428" t="e">
        <f>AND(#REF!,"AAAAAFnfjqI=")</f>
        <v>#REF!</v>
      </c>
      <c r="FH428" t="e">
        <f>IF(#REF!,"AAAAAFnfjqM=",0)</f>
        <v>#REF!</v>
      </c>
      <c r="FI428" t="e">
        <f>AND(#REF!,"AAAAAFnfjqQ=")</f>
        <v>#REF!</v>
      </c>
      <c r="FJ428" t="e">
        <f>AND(#REF!,"AAAAAFnfjqU=")</f>
        <v>#REF!</v>
      </c>
      <c r="FK428" t="e">
        <f>AND(#REF!,"AAAAAFnfjqY=")</f>
        <v>#REF!</v>
      </c>
      <c r="FL428" t="e">
        <f>AND(#REF!,"AAAAAFnfjqc=")</f>
        <v>#REF!</v>
      </c>
      <c r="FM428" t="e">
        <f>AND(#REF!,"AAAAAFnfjqg=")</f>
        <v>#REF!</v>
      </c>
      <c r="FN428" t="e">
        <f>AND(#REF!,"AAAAAFnfjqk=")</f>
        <v>#REF!</v>
      </c>
      <c r="FO428" t="e">
        <f>AND(#REF!,"AAAAAFnfjqo=")</f>
        <v>#REF!</v>
      </c>
      <c r="FP428" t="e">
        <f>AND(#REF!,"AAAAAFnfjqs=")</f>
        <v>#REF!</v>
      </c>
      <c r="FQ428" t="e">
        <f>AND(#REF!,"AAAAAFnfjqw=")</f>
        <v>#REF!</v>
      </c>
      <c r="FR428" t="e">
        <f>AND(#REF!,"AAAAAFnfjq0=")</f>
        <v>#REF!</v>
      </c>
      <c r="FS428" t="e">
        <f>IF(#REF!,"AAAAAFnfjq4=",0)</f>
        <v>#REF!</v>
      </c>
      <c r="FT428" t="e">
        <f>AND(#REF!,"AAAAAFnfjq8=")</f>
        <v>#REF!</v>
      </c>
      <c r="FU428" t="e">
        <f>AND(#REF!,"AAAAAFnfjrA=")</f>
        <v>#REF!</v>
      </c>
      <c r="FV428" t="e">
        <f>AND(#REF!,"AAAAAFnfjrE=")</f>
        <v>#REF!</v>
      </c>
      <c r="FW428" t="e">
        <f>AND(#REF!,"AAAAAFnfjrI=")</f>
        <v>#REF!</v>
      </c>
      <c r="FX428" t="e">
        <f>AND(#REF!,"AAAAAFnfjrM=")</f>
        <v>#REF!</v>
      </c>
      <c r="FY428" t="e">
        <f>AND(#REF!,"AAAAAFnfjrQ=")</f>
        <v>#REF!</v>
      </c>
      <c r="FZ428" t="e">
        <f>AND(#REF!,"AAAAAFnfjrU=")</f>
        <v>#REF!</v>
      </c>
      <c r="GA428" t="e">
        <f>AND(#REF!,"AAAAAFnfjrY=")</f>
        <v>#REF!</v>
      </c>
      <c r="GB428" t="e">
        <f>AND(#REF!,"AAAAAFnfjrc=")</f>
        <v>#REF!</v>
      </c>
      <c r="GC428" t="e">
        <f>AND(#REF!,"AAAAAFnfjrg=")</f>
        <v>#REF!</v>
      </c>
      <c r="GD428" t="e">
        <f>IF(#REF!,"AAAAAFnfjrk=",0)</f>
        <v>#REF!</v>
      </c>
      <c r="GE428" t="e">
        <f>AND(#REF!,"AAAAAFnfjro=")</f>
        <v>#REF!</v>
      </c>
      <c r="GF428" t="e">
        <f>AND(#REF!,"AAAAAFnfjrs=")</f>
        <v>#REF!</v>
      </c>
      <c r="GG428" t="e">
        <f>AND(#REF!,"AAAAAFnfjrw=")</f>
        <v>#REF!</v>
      </c>
      <c r="GH428" t="e">
        <f>AND(#REF!,"AAAAAFnfjr0=")</f>
        <v>#REF!</v>
      </c>
      <c r="GI428" t="e">
        <f>AND(#REF!,"AAAAAFnfjr4=")</f>
        <v>#REF!</v>
      </c>
      <c r="GJ428" t="e">
        <f>AND(#REF!,"AAAAAFnfjr8=")</f>
        <v>#REF!</v>
      </c>
      <c r="GK428" t="e">
        <f>AND(#REF!,"AAAAAFnfjsA=")</f>
        <v>#REF!</v>
      </c>
      <c r="GL428" t="e">
        <f>AND(#REF!,"AAAAAFnfjsE=")</f>
        <v>#REF!</v>
      </c>
      <c r="GM428" t="e">
        <f>AND(#REF!,"AAAAAFnfjsI=")</f>
        <v>#REF!</v>
      </c>
      <c r="GN428" t="e">
        <f>AND(#REF!,"AAAAAFnfjsM=")</f>
        <v>#REF!</v>
      </c>
      <c r="GO428" t="e">
        <f>IF(#REF!,"AAAAAFnfjsQ=",0)</f>
        <v>#REF!</v>
      </c>
      <c r="GP428" t="e">
        <f>AND(#REF!,"AAAAAFnfjsU=")</f>
        <v>#REF!</v>
      </c>
      <c r="GQ428" t="e">
        <f>AND(#REF!,"AAAAAFnfjsY=")</f>
        <v>#REF!</v>
      </c>
      <c r="GR428" t="e">
        <f>AND(#REF!,"AAAAAFnfjsc=")</f>
        <v>#REF!</v>
      </c>
      <c r="GS428" t="e">
        <f>AND(#REF!,"AAAAAFnfjsg=")</f>
        <v>#REF!</v>
      </c>
      <c r="GT428" t="e">
        <f>AND(#REF!,"AAAAAFnfjsk=")</f>
        <v>#REF!</v>
      </c>
      <c r="GU428" t="e">
        <f>AND(#REF!,"AAAAAFnfjso=")</f>
        <v>#REF!</v>
      </c>
      <c r="GV428" t="e">
        <f>AND(#REF!,"AAAAAFnfjss=")</f>
        <v>#REF!</v>
      </c>
      <c r="GW428" t="e">
        <f>AND(#REF!,"AAAAAFnfjsw=")</f>
        <v>#REF!</v>
      </c>
      <c r="GX428" t="e">
        <f>AND(#REF!,"AAAAAFnfjs0=")</f>
        <v>#REF!</v>
      </c>
      <c r="GY428" t="e">
        <f>AND(#REF!,"AAAAAFnfjs4=")</f>
        <v>#REF!</v>
      </c>
      <c r="GZ428" t="e">
        <f>IF(#REF!,"AAAAAFnfjs8=",0)</f>
        <v>#REF!</v>
      </c>
      <c r="HA428" t="e">
        <f>AND(#REF!,"AAAAAFnfjtA=")</f>
        <v>#REF!</v>
      </c>
      <c r="HB428" t="e">
        <f>AND(#REF!,"AAAAAFnfjtE=")</f>
        <v>#REF!</v>
      </c>
      <c r="HC428" t="e">
        <f>AND(#REF!,"AAAAAFnfjtI=")</f>
        <v>#REF!</v>
      </c>
      <c r="HD428" t="e">
        <f>AND(#REF!,"AAAAAFnfjtM=")</f>
        <v>#REF!</v>
      </c>
      <c r="HE428" t="e">
        <f>AND(#REF!,"AAAAAFnfjtQ=")</f>
        <v>#REF!</v>
      </c>
      <c r="HF428" t="e">
        <f>AND(#REF!,"AAAAAFnfjtU=")</f>
        <v>#REF!</v>
      </c>
      <c r="HG428" t="e">
        <f>AND(#REF!,"AAAAAFnfjtY=")</f>
        <v>#REF!</v>
      </c>
      <c r="HH428" t="e">
        <f>AND(#REF!,"AAAAAFnfjtc=")</f>
        <v>#REF!</v>
      </c>
      <c r="HI428" t="e">
        <f>AND(#REF!,"AAAAAFnfjtg=")</f>
        <v>#REF!</v>
      </c>
      <c r="HJ428" t="e">
        <f>AND(#REF!,"AAAAAFnfjtk=")</f>
        <v>#REF!</v>
      </c>
      <c r="HK428" t="e">
        <f>IF(#REF!,"AAAAAFnfjto=",0)</f>
        <v>#REF!</v>
      </c>
      <c r="HL428" t="e">
        <f>AND(#REF!,"AAAAAFnfjts=")</f>
        <v>#REF!</v>
      </c>
      <c r="HM428" t="e">
        <f>AND(#REF!,"AAAAAFnfjtw=")</f>
        <v>#REF!</v>
      </c>
      <c r="HN428" t="e">
        <f>AND(#REF!,"AAAAAFnfjt0=")</f>
        <v>#REF!</v>
      </c>
      <c r="HO428" t="e">
        <f>AND(#REF!,"AAAAAFnfjt4=")</f>
        <v>#REF!</v>
      </c>
      <c r="HP428" t="e">
        <f>AND(#REF!,"AAAAAFnfjt8=")</f>
        <v>#REF!</v>
      </c>
      <c r="HQ428" t="e">
        <f>AND(#REF!,"AAAAAFnfjuA=")</f>
        <v>#REF!</v>
      </c>
      <c r="HR428" t="e">
        <f>AND(#REF!,"AAAAAFnfjuE=")</f>
        <v>#REF!</v>
      </c>
      <c r="HS428" t="e">
        <f>AND(#REF!,"AAAAAFnfjuI=")</f>
        <v>#REF!</v>
      </c>
      <c r="HT428" t="e">
        <f>AND(#REF!,"AAAAAFnfjuM=")</f>
        <v>#REF!</v>
      </c>
      <c r="HU428" t="e">
        <f>AND(#REF!,"AAAAAFnfjuQ=")</f>
        <v>#REF!</v>
      </c>
      <c r="HV428" t="e">
        <f>IF(#REF!,"AAAAAFnfjuU=",0)</f>
        <v>#REF!</v>
      </c>
      <c r="HW428" t="e">
        <f>AND(#REF!,"AAAAAFnfjuY=")</f>
        <v>#REF!</v>
      </c>
      <c r="HX428" t="e">
        <f>AND(#REF!,"AAAAAFnfjuc=")</f>
        <v>#REF!</v>
      </c>
      <c r="HY428" t="e">
        <f>AND(#REF!,"AAAAAFnfjug=")</f>
        <v>#REF!</v>
      </c>
      <c r="HZ428" t="e">
        <f>AND(#REF!,"AAAAAFnfjuk=")</f>
        <v>#REF!</v>
      </c>
      <c r="IA428" t="e">
        <f>AND(#REF!,"AAAAAFnfjuo=")</f>
        <v>#REF!</v>
      </c>
      <c r="IB428" t="e">
        <f>AND(#REF!,"AAAAAFnfjus=")</f>
        <v>#REF!</v>
      </c>
      <c r="IC428" t="e">
        <f>AND(#REF!,"AAAAAFnfjuw=")</f>
        <v>#REF!</v>
      </c>
      <c r="ID428" t="e">
        <f>AND(#REF!,"AAAAAFnfju0=")</f>
        <v>#REF!</v>
      </c>
      <c r="IE428" t="e">
        <f>AND(#REF!,"AAAAAFnfju4=")</f>
        <v>#REF!</v>
      </c>
      <c r="IF428" t="e">
        <f>AND(#REF!,"AAAAAFnfju8=")</f>
        <v>#REF!</v>
      </c>
      <c r="IG428" t="e">
        <f>IF(#REF!,"AAAAAFnfjvA=",0)</f>
        <v>#REF!</v>
      </c>
      <c r="IH428" t="e">
        <f>AND(#REF!,"AAAAAFnfjvE=")</f>
        <v>#REF!</v>
      </c>
      <c r="II428" t="e">
        <f>AND(#REF!,"AAAAAFnfjvI=")</f>
        <v>#REF!</v>
      </c>
      <c r="IJ428" t="e">
        <f>AND(#REF!,"AAAAAFnfjvM=")</f>
        <v>#REF!</v>
      </c>
      <c r="IK428" t="e">
        <f>AND(#REF!,"AAAAAFnfjvQ=")</f>
        <v>#REF!</v>
      </c>
      <c r="IL428" t="e">
        <f>AND(#REF!,"AAAAAFnfjvU=")</f>
        <v>#REF!</v>
      </c>
      <c r="IM428" t="e">
        <f>AND(#REF!,"AAAAAFnfjvY=")</f>
        <v>#REF!</v>
      </c>
      <c r="IN428" t="e">
        <f>AND(#REF!,"AAAAAFnfjvc=")</f>
        <v>#REF!</v>
      </c>
      <c r="IO428" t="e">
        <f>AND(#REF!,"AAAAAFnfjvg=")</f>
        <v>#REF!</v>
      </c>
      <c r="IP428" t="e">
        <f>AND(#REF!,"AAAAAFnfjvk=")</f>
        <v>#REF!</v>
      </c>
      <c r="IQ428" t="e">
        <f>AND(#REF!,"AAAAAFnfjvo=")</f>
        <v>#REF!</v>
      </c>
      <c r="IR428" t="e">
        <f>IF(#REF!,"AAAAAFnfjvs=",0)</f>
        <v>#REF!</v>
      </c>
      <c r="IS428" t="e">
        <f>AND(#REF!,"AAAAAFnfjvw=")</f>
        <v>#REF!</v>
      </c>
      <c r="IT428" t="e">
        <f>AND(#REF!,"AAAAAFnfjv0=")</f>
        <v>#REF!</v>
      </c>
      <c r="IU428" t="e">
        <f>AND(#REF!,"AAAAAFnfjv4=")</f>
        <v>#REF!</v>
      </c>
      <c r="IV428" t="e">
        <f>AND(#REF!,"AAAAAFnfjv8=")</f>
        <v>#REF!</v>
      </c>
    </row>
    <row r="429" spans="1:256" x14ac:dyDescent="0.25">
      <c r="A429" t="e">
        <f>AND(#REF!,"AAAAAHv+jwA=")</f>
        <v>#REF!</v>
      </c>
      <c r="B429" t="e">
        <f>AND(#REF!,"AAAAAHv+jwE=")</f>
        <v>#REF!</v>
      </c>
      <c r="C429" t="e">
        <f>AND(#REF!,"AAAAAHv+jwI=")</f>
        <v>#REF!</v>
      </c>
      <c r="D429" t="e">
        <f>AND(#REF!,"AAAAAHv+jwM=")</f>
        <v>#REF!</v>
      </c>
      <c r="E429" t="e">
        <f>AND(#REF!,"AAAAAHv+jwQ=")</f>
        <v>#REF!</v>
      </c>
      <c r="F429" t="e">
        <f>AND(#REF!,"AAAAAHv+jwU=")</f>
        <v>#REF!</v>
      </c>
      <c r="G429" t="e">
        <f>IF(#REF!,"AAAAAHv+jwY=",0)</f>
        <v>#REF!</v>
      </c>
      <c r="H429" t="e">
        <f>AND(#REF!,"AAAAAHv+jwc=")</f>
        <v>#REF!</v>
      </c>
      <c r="I429" t="e">
        <f>AND(#REF!,"AAAAAHv+jwg=")</f>
        <v>#REF!</v>
      </c>
      <c r="J429" t="e">
        <f>AND(#REF!,"AAAAAHv+jwk=")</f>
        <v>#REF!</v>
      </c>
      <c r="K429" t="e">
        <f>AND(#REF!,"AAAAAHv+jwo=")</f>
        <v>#REF!</v>
      </c>
      <c r="L429" t="e">
        <f>AND(#REF!,"AAAAAHv+jws=")</f>
        <v>#REF!</v>
      </c>
      <c r="M429" t="e">
        <f>AND(#REF!,"AAAAAHv+jww=")</f>
        <v>#REF!</v>
      </c>
      <c r="N429" t="e">
        <f>AND(#REF!,"AAAAAHv+jw0=")</f>
        <v>#REF!</v>
      </c>
      <c r="O429" t="e">
        <f>AND(#REF!,"AAAAAHv+jw4=")</f>
        <v>#REF!</v>
      </c>
      <c r="P429" t="e">
        <f>AND(#REF!,"AAAAAHv+jw8=")</f>
        <v>#REF!</v>
      </c>
      <c r="Q429" t="e">
        <f>AND(#REF!,"AAAAAHv+jxA=")</f>
        <v>#REF!</v>
      </c>
      <c r="R429" t="e">
        <f>IF(#REF!,"AAAAAHv+jxE=",0)</f>
        <v>#REF!</v>
      </c>
      <c r="S429" t="e">
        <f>AND(#REF!,"AAAAAHv+jxI=")</f>
        <v>#REF!</v>
      </c>
      <c r="T429" t="e">
        <f>AND(#REF!,"AAAAAHv+jxM=")</f>
        <v>#REF!</v>
      </c>
      <c r="U429" t="e">
        <f>AND(#REF!,"AAAAAHv+jxQ=")</f>
        <v>#REF!</v>
      </c>
      <c r="V429" t="e">
        <f>AND(#REF!,"AAAAAHv+jxU=")</f>
        <v>#REF!</v>
      </c>
      <c r="W429" t="e">
        <f>AND(#REF!,"AAAAAHv+jxY=")</f>
        <v>#REF!</v>
      </c>
      <c r="X429" t="e">
        <f>AND(#REF!,"AAAAAHv+jxc=")</f>
        <v>#REF!</v>
      </c>
      <c r="Y429" t="e">
        <f>AND(#REF!,"AAAAAHv+jxg=")</f>
        <v>#REF!</v>
      </c>
      <c r="Z429" t="e">
        <f>AND(#REF!,"AAAAAHv+jxk=")</f>
        <v>#REF!</v>
      </c>
      <c r="AA429" t="e">
        <f>AND(#REF!,"AAAAAHv+jxo=")</f>
        <v>#REF!</v>
      </c>
      <c r="AB429" t="e">
        <f>AND(#REF!,"AAAAAHv+jxs=")</f>
        <v>#REF!</v>
      </c>
      <c r="AC429" t="e">
        <f>IF(#REF!,"AAAAAHv+jxw=",0)</f>
        <v>#REF!</v>
      </c>
      <c r="AD429" t="e">
        <f>AND(#REF!,"AAAAAHv+jx0=")</f>
        <v>#REF!</v>
      </c>
      <c r="AE429" t="e">
        <f>AND(#REF!,"AAAAAHv+jx4=")</f>
        <v>#REF!</v>
      </c>
      <c r="AF429" t="e">
        <f>AND(#REF!,"AAAAAHv+jx8=")</f>
        <v>#REF!</v>
      </c>
      <c r="AG429" t="e">
        <f>AND(#REF!,"AAAAAHv+jyA=")</f>
        <v>#REF!</v>
      </c>
      <c r="AH429" t="e">
        <f>AND(#REF!,"AAAAAHv+jyE=")</f>
        <v>#REF!</v>
      </c>
      <c r="AI429" t="e">
        <f>AND(#REF!,"AAAAAHv+jyI=")</f>
        <v>#REF!</v>
      </c>
      <c r="AJ429" t="e">
        <f>AND(#REF!,"AAAAAHv+jyM=")</f>
        <v>#REF!</v>
      </c>
      <c r="AK429" t="e">
        <f>AND(#REF!,"AAAAAHv+jyQ=")</f>
        <v>#REF!</v>
      </c>
      <c r="AL429" t="e">
        <f>AND(#REF!,"AAAAAHv+jyU=")</f>
        <v>#REF!</v>
      </c>
      <c r="AM429" t="e">
        <f>AND(#REF!,"AAAAAHv+jyY=")</f>
        <v>#REF!</v>
      </c>
      <c r="AN429" t="e">
        <f>IF(#REF!,"AAAAAHv+jyc=",0)</f>
        <v>#REF!</v>
      </c>
      <c r="AO429" t="e">
        <f>AND(#REF!,"AAAAAHv+jyg=")</f>
        <v>#REF!</v>
      </c>
      <c r="AP429" t="e">
        <f>AND(#REF!,"AAAAAHv+jyk=")</f>
        <v>#REF!</v>
      </c>
      <c r="AQ429" t="e">
        <f>AND(#REF!,"AAAAAHv+jyo=")</f>
        <v>#REF!</v>
      </c>
      <c r="AR429" t="e">
        <f>AND(#REF!,"AAAAAHv+jys=")</f>
        <v>#REF!</v>
      </c>
      <c r="AS429" t="e">
        <f>AND(#REF!,"AAAAAHv+jyw=")</f>
        <v>#REF!</v>
      </c>
      <c r="AT429" t="e">
        <f>AND(#REF!,"AAAAAHv+jy0=")</f>
        <v>#REF!</v>
      </c>
      <c r="AU429" t="e">
        <f>AND(#REF!,"AAAAAHv+jy4=")</f>
        <v>#REF!</v>
      </c>
      <c r="AV429" t="e">
        <f>AND(#REF!,"AAAAAHv+jy8=")</f>
        <v>#REF!</v>
      </c>
      <c r="AW429" t="e">
        <f>AND(#REF!,"AAAAAHv+jzA=")</f>
        <v>#REF!</v>
      </c>
      <c r="AX429" t="e">
        <f>AND(#REF!,"AAAAAHv+jzE=")</f>
        <v>#REF!</v>
      </c>
      <c r="AY429" t="e">
        <f>IF(#REF!,"AAAAAHv+jzI=",0)</f>
        <v>#REF!</v>
      </c>
      <c r="AZ429" t="e">
        <f>AND(#REF!,"AAAAAHv+jzM=")</f>
        <v>#REF!</v>
      </c>
      <c r="BA429" t="e">
        <f>AND(#REF!,"AAAAAHv+jzQ=")</f>
        <v>#REF!</v>
      </c>
      <c r="BB429" t="e">
        <f>AND(#REF!,"AAAAAHv+jzU=")</f>
        <v>#REF!</v>
      </c>
      <c r="BC429" t="e">
        <f>AND(#REF!,"AAAAAHv+jzY=")</f>
        <v>#REF!</v>
      </c>
      <c r="BD429" t="e">
        <f>AND(#REF!,"AAAAAHv+jzc=")</f>
        <v>#REF!</v>
      </c>
      <c r="BE429" t="e">
        <f>AND(#REF!,"AAAAAHv+jzg=")</f>
        <v>#REF!</v>
      </c>
      <c r="BF429" t="e">
        <f>AND(#REF!,"AAAAAHv+jzk=")</f>
        <v>#REF!</v>
      </c>
      <c r="BG429" t="e">
        <f>AND(#REF!,"AAAAAHv+jzo=")</f>
        <v>#REF!</v>
      </c>
      <c r="BH429" t="e">
        <f>AND(#REF!,"AAAAAHv+jzs=")</f>
        <v>#REF!</v>
      </c>
      <c r="BI429" t="e">
        <f>AND(#REF!,"AAAAAHv+jzw=")</f>
        <v>#REF!</v>
      </c>
      <c r="BJ429" t="e">
        <f>IF(#REF!,"AAAAAHv+jz0=",0)</f>
        <v>#REF!</v>
      </c>
      <c r="BK429" t="e">
        <f>AND(#REF!,"AAAAAHv+jz4=")</f>
        <v>#REF!</v>
      </c>
      <c r="BL429" t="e">
        <f>AND(#REF!,"AAAAAHv+jz8=")</f>
        <v>#REF!</v>
      </c>
      <c r="BM429" t="e">
        <f>AND(#REF!,"AAAAAHv+j0A=")</f>
        <v>#REF!</v>
      </c>
      <c r="BN429" t="e">
        <f>AND(#REF!,"AAAAAHv+j0E=")</f>
        <v>#REF!</v>
      </c>
      <c r="BO429" t="e">
        <f>AND(#REF!,"AAAAAHv+j0I=")</f>
        <v>#REF!</v>
      </c>
      <c r="BP429" t="e">
        <f>AND(#REF!,"AAAAAHv+j0M=")</f>
        <v>#REF!</v>
      </c>
      <c r="BQ429" t="e">
        <f>AND(#REF!,"AAAAAHv+j0Q=")</f>
        <v>#REF!</v>
      </c>
      <c r="BR429" t="e">
        <f>AND(#REF!,"AAAAAHv+j0U=")</f>
        <v>#REF!</v>
      </c>
      <c r="BS429" t="e">
        <f>AND(#REF!,"AAAAAHv+j0Y=")</f>
        <v>#REF!</v>
      </c>
      <c r="BT429" t="e">
        <f>AND(#REF!,"AAAAAHv+j0c=")</f>
        <v>#REF!</v>
      </c>
      <c r="BU429" t="e">
        <f>IF(#REF!,"AAAAAHv+j0g=",0)</f>
        <v>#REF!</v>
      </c>
      <c r="BV429" t="e">
        <f>AND(#REF!,"AAAAAHv+j0k=")</f>
        <v>#REF!</v>
      </c>
      <c r="BW429" t="e">
        <f>AND(#REF!,"AAAAAHv+j0o=")</f>
        <v>#REF!</v>
      </c>
      <c r="BX429" t="e">
        <f>AND(#REF!,"AAAAAHv+j0s=")</f>
        <v>#REF!</v>
      </c>
      <c r="BY429" t="e">
        <f>AND(#REF!,"AAAAAHv+j0w=")</f>
        <v>#REF!</v>
      </c>
      <c r="BZ429" t="e">
        <f>AND(#REF!,"AAAAAHv+j00=")</f>
        <v>#REF!</v>
      </c>
      <c r="CA429" t="e">
        <f>AND(#REF!,"AAAAAHv+j04=")</f>
        <v>#REF!</v>
      </c>
      <c r="CB429" t="e">
        <f>AND(#REF!,"AAAAAHv+j08=")</f>
        <v>#REF!</v>
      </c>
      <c r="CC429" t="e">
        <f>AND(#REF!,"AAAAAHv+j1A=")</f>
        <v>#REF!</v>
      </c>
      <c r="CD429" t="e">
        <f>AND(#REF!,"AAAAAHv+j1E=")</f>
        <v>#REF!</v>
      </c>
      <c r="CE429" t="e">
        <f>AND(#REF!,"AAAAAHv+j1I=")</f>
        <v>#REF!</v>
      </c>
      <c r="CF429" t="e">
        <f>IF(#REF!,"AAAAAHv+j1M=",0)</f>
        <v>#REF!</v>
      </c>
      <c r="CG429" t="e">
        <f>AND(#REF!,"AAAAAHv+j1Q=")</f>
        <v>#REF!</v>
      </c>
      <c r="CH429" t="e">
        <f>AND(#REF!,"AAAAAHv+j1U=")</f>
        <v>#REF!</v>
      </c>
      <c r="CI429" t="e">
        <f>AND(#REF!,"AAAAAHv+j1Y=")</f>
        <v>#REF!</v>
      </c>
      <c r="CJ429" t="e">
        <f>AND(#REF!,"AAAAAHv+j1c=")</f>
        <v>#REF!</v>
      </c>
      <c r="CK429" t="e">
        <f>AND(#REF!,"AAAAAHv+j1g=")</f>
        <v>#REF!</v>
      </c>
      <c r="CL429" t="e">
        <f>AND(#REF!,"AAAAAHv+j1k=")</f>
        <v>#REF!</v>
      </c>
      <c r="CM429" t="e">
        <f>AND(#REF!,"AAAAAHv+j1o=")</f>
        <v>#REF!</v>
      </c>
      <c r="CN429" t="e">
        <f>AND(#REF!,"AAAAAHv+j1s=")</f>
        <v>#REF!</v>
      </c>
      <c r="CO429" t="e">
        <f>AND(#REF!,"AAAAAHv+j1w=")</f>
        <v>#REF!</v>
      </c>
      <c r="CP429" t="e">
        <f>AND(#REF!,"AAAAAHv+j10=")</f>
        <v>#REF!</v>
      </c>
      <c r="CQ429" t="e">
        <f>IF(#REF!,"AAAAAHv+j14=",0)</f>
        <v>#REF!</v>
      </c>
      <c r="CR429" t="e">
        <f>AND(#REF!,"AAAAAHv+j18=")</f>
        <v>#REF!</v>
      </c>
      <c r="CS429" t="e">
        <f>AND(#REF!,"AAAAAHv+j2A=")</f>
        <v>#REF!</v>
      </c>
      <c r="CT429" t="e">
        <f>AND(#REF!,"AAAAAHv+j2E=")</f>
        <v>#REF!</v>
      </c>
      <c r="CU429" t="e">
        <f>AND(#REF!,"AAAAAHv+j2I=")</f>
        <v>#REF!</v>
      </c>
      <c r="CV429" t="e">
        <f>AND(#REF!,"AAAAAHv+j2M=")</f>
        <v>#REF!</v>
      </c>
      <c r="CW429" t="e">
        <f>AND(#REF!,"AAAAAHv+j2Q=")</f>
        <v>#REF!</v>
      </c>
      <c r="CX429" t="e">
        <f>AND(#REF!,"AAAAAHv+j2U=")</f>
        <v>#REF!</v>
      </c>
      <c r="CY429" t="e">
        <f>AND(#REF!,"AAAAAHv+j2Y=")</f>
        <v>#REF!</v>
      </c>
      <c r="CZ429" t="e">
        <f>AND(#REF!,"AAAAAHv+j2c=")</f>
        <v>#REF!</v>
      </c>
      <c r="DA429" t="e">
        <f>AND(#REF!,"AAAAAHv+j2g=")</f>
        <v>#REF!</v>
      </c>
      <c r="DB429" t="e">
        <f>IF(#REF!,"AAAAAHv+j2k=",0)</f>
        <v>#REF!</v>
      </c>
      <c r="DC429" t="e">
        <f>AND(#REF!,"AAAAAHv+j2o=")</f>
        <v>#REF!</v>
      </c>
      <c r="DD429" t="e">
        <f>AND(#REF!,"AAAAAHv+j2s=")</f>
        <v>#REF!</v>
      </c>
      <c r="DE429" t="e">
        <f>AND(#REF!,"AAAAAHv+j2w=")</f>
        <v>#REF!</v>
      </c>
      <c r="DF429" t="e">
        <f>AND(#REF!,"AAAAAHv+j20=")</f>
        <v>#REF!</v>
      </c>
      <c r="DG429" t="e">
        <f>AND(#REF!,"AAAAAHv+j24=")</f>
        <v>#REF!</v>
      </c>
      <c r="DH429" t="e">
        <f>AND(#REF!,"AAAAAHv+j28=")</f>
        <v>#REF!</v>
      </c>
      <c r="DI429" t="e">
        <f>AND(#REF!,"AAAAAHv+j3A=")</f>
        <v>#REF!</v>
      </c>
      <c r="DJ429" t="e">
        <f>AND(#REF!,"AAAAAHv+j3E=")</f>
        <v>#REF!</v>
      </c>
      <c r="DK429" t="e">
        <f>AND(#REF!,"AAAAAHv+j3I=")</f>
        <v>#REF!</v>
      </c>
      <c r="DL429" t="e">
        <f>AND(#REF!,"AAAAAHv+j3M=")</f>
        <v>#REF!</v>
      </c>
      <c r="DM429" t="e">
        <f>IF(#REF!,"AAAAAHv+j3Q=",0)</f>
        <v>#REF!</v>
      </c>
      <c r="DN429" t="e">
        <f>AND(#REF!,"AAAAAHv+j3U=")</f>
        <v>#REF!</v>
      </c>
      <c r="DO429" t="e">
        <f>AND(#REF!,"AAAAAHv+j3Y=")</f>
        <v>#REF!</v>
      </c>
      <c r="DP429" t="e">
        <f>AND(#REF!,"AAAAAHv+j3c=")</f>
        <v>#REF!</v>
      </c>
      <c r="DQ429" t="e">
        <f>AND(#REF!,"AAAAAHv+j3g=")</f>
        <v>#REF!</v>
      </c>
      <c r="DR429" t="e">
        <f>AND(#REF!,"AAAAAHv+j3k=")</f>
        <v>#REF!</v>
      </c>
      <c r="DS429" t="e">
        <f>AND(#REF!,"AAAAAHv+j3o=")</f>
        <v>#REF!</v>
      </c>
      <c r="DT429" t="e">
        <f>AND(#REF!,"AAAAAHv+j3s=")</f>
        <v>#REF!</v>
      </c>
      <c r="DU429" t="e">
        <f>AND(#REF!,"AAAAAHv+j3w=")</f>
        <v>#REF!</v>
      </c>
      <c r="DV429" t="e">
        <f>AND(#REF!,"AAAAAHv+j30=")</f>
        <v>#REF!</v>
      </c>
      <c r="DW429" t="e">
        <f>AND(#REF!,"AAAAAHv+j34=")</f>
        <v>#REF!</v>
      </c>
      <c r="DX429" t="e">
        <f>IF(#REF!,"AAAAAHv+j38=",0)</f>
        <v>#REF!</v>
      </c>
      <c r="DY429" t="e">
        <f>AND(#REF!,"AAAAAHv+j4A=")</f>
        <v>#REF!</v>
      </c>
      <c r="DZ429" t="e">
        <f>AND(#REF!,"AAAAAHv+j4E=")</f>
        <v>#REF!</v>
      </c>
      <c r="EA429" t="e">
        <f>AND(#REF!,"AAAAAHv+j4I=")</f>
        <v>#REF!</v>
      </c>
      <c r="EB429" t="e">
        <f>AND(#REF!,"AAAAAHv+j4M=")</f>
        <v>#REF!</v>
      </c>
      <c r="EC429" t="e">
        <f>AND(#REF!,"AAAAAHv+j4Q=")</f>
        <v>#REF!</v>
      </c>
      <c r="ED429" t="e">
        <f>AND(#REF!,"AAAAAHv+j4U=")</f>
        <v>#REF!</v>
      </c>
      <c r="EE429" t="e">
        <f>AND(#REF!,"AAAAAHv+j4Y=")</f>
        <v>#REF!</v>
      </c>
      <c r="EF429" t="e">
        <f>AND(#REF!,"AAAAAHv+j4c=")</f>
        <v>#REF!</v>
      </c>
      <c r="EG429" t="e">
        <f>AND(#REF!,"AAAAAHv+j4g=")</f>
        <v>#REF!</v>
      </c>
      <c r="EH429" t="e">
        <f>AND(#REF!,"AAAAAHv+j4k=")</f>
        <v>#REF!</v>
      </c>
      <c r="EI429" t="e">
        <f>IF(#REF!,"AAAAAHv+j4o=",0)</f>
        <v>#REF!</v>
      </c>
      <c r="EJ429" t="e">
        <f>AND(#REF!,"AAAAAHv+j4s=")</f>
        <v>#REF!</v>
      </c>
      <c r="EK429" t="e">
        <f>AND(#REF!,"AAAAAHv+j4w=")</f>
        <v>#REF!</v>
      </c>
      <c r="EL429" t="e">
        <f>AND(#REF!,"AAAAAHv+j40=")</f>
        <v>#REF!</v>
      </c>
      <c r="EM429" t="e">
        <f>AND(#REF!,"AAAAAHv+j44=")</f>
        <v>#REF!</v>
      </c>
      <c r="EN429" t="e">
        <f>AND(#REF!,"AAAAAHv+j48=")</f>
        <v>#REF!</v>
      </c>
      <c r="EO429" t="e">
        <f>AND(#REF!,"AAAAAHv+j5A=")</f>
        <v>#REF!</v>
      </c>
      <c r="EP429" t="e">
        <f>AND(#REF!,"AAAAAHv+j5E=")</f>
        <v>#REF!</v>
      </c>
      <c r="EQ429" t="e">
        <f>AND(#REF!,"AAAAAHv+j5I=")</f>
        <v>#REF!</v>
      </c>
      <c r="ER429" t="e">
        <f>AND(#REF!,"AAAAAHv+j5M=")</f>
        <v>#REF!</v>
      </c>
      <c r="ES429" t="e">
        <f>AND(#REF!,"AAAAAHv+j5Q=")</f>
        <v>#REF!</v>
      </c>
      <c r="ET429" t="e">
        <f>IF(#REF!,"AAAAAHv+j5U=",0)</f>
        <v>#REF!</v>
      </c>
      <c r="EU429" t="e">
        <f>AND(#REF!,"AAAAAHv+j5Y=")</f>
        <v>#REF!</v>
      </c>
      <c r="EV429" t="e">
        <f>AND(#REF!,"AAAAAHv+j5c=")</f>
        <v>#REF!</v>
      </c>
      <c r="EW429" t="e">
        <f>AND(#REF!,"AAAAAHv+j5g=")</f>
        <v>#REF!</v>
      </c>
      <c r="EX429" t="e">
        <f>AND(#REF!,"AAAAAHv+j5k=")</f>
        <v>#REF!</v>
      </c>
      <c r="EY429" t="e">
        <f>AND(#REF!,"AAAAAHv+j5o=")</f>
        <v>#REF!</v>
      </c>
      <c r="EZ429" t="e">
        <f>AND(#REF!,"AAAAAHv+j5s=")</f>
        <v>#REF!</v>
      </c>
      <c r="FA429" t="e">
        <f>AND(#REF!,"AAAAAHv+j5w=")</f>
        <v>#REF!</v>
      </c>
      <c r="FB429" t="e">
        <f>AND(#REF!,"AAAAAHv+j50=")</f>
        <v>#REF!</v>
      </c>
      <c r="FC429" t="e">
        <f>AND(#REF!,"AAAAAHv+j54=")</f>
        <v>#REF!</v>
      </c>
      <c r="FD429" t="e">
        <f>AND(#REF!,"AAAAAHv+j58=")</f>
        <v>#REF!</v>
      </c>
      <c r="FE429" t="e">
        <f>IF(#REF!,"AAAAAHv+j6A=",0)</f>
        <v>#REF!</v>
      </c>
      <c r="FF429" t="e">
        <f>AND(#REF!,"AAAAAHv+j6E=")</f>
        <v>#REF!</v>
      </c>
      <c r="FG429" t="e">
        <f>AND(#REF!,"AAAAAHv+j6I=")</f>
        <v>#REF!</v>
      </c>
      <c r="FH429" t="e">
        <f>AND(#REF!,"AAAAAHv+j6M=")</f>
        <v>#REF!</v>
      </c>
      <c r="FI429" t="e">
        <f>AND(#REF!,"AAAAAHv+j6Q=")</f>
        <v>#REF!</v>
      </c>
      <c r="FJ429" t="e">
        <f>AND(#REF!,"AAAAAHv+j6U=")</f>
        <v>#REF!</v>
      </c>
      <c r="FK429" t="e">
        <f>AND(#REF!,"AAAAAHv+j6Y=")</f>
        <v>#REF!</v>
      </c>
      <c r="FL429" t="e">
        <f>AND(#REF!,"AAAAAHv+j6c=")</f>
        <v>#REF!</v>
      </c>
      <c r="FM429" t="e">
        <f>AND(#REF!,"AAAAAHv+j6g=")</f>
        <v>#REF!</v>
      </c>
      <c r="FN429" t="e">
        <f>AND(#REF!,"AAAAAHv+j6k=")</f>
        <v>#REF!</v>
      </c>
      <c r="FO429" t="e">
        <f>AND(#REF!,"AAAAAHv+j6o=")</f>
        <v>#REF!</v>
      </c>
      <c r="FP429" t="e">
        <f>IF(#REF!,"AAAAAHv+j6s=",0)</f>
        <v>#REF!</v>
      </c>
      <c r="FQ429" t="e">
        <f>AND(#REF!,"AAAAAHv+j6w=")</f>
        <v>#REF!</v>
      </c>
      <c r="FR429" t="e">
        <f>AND(#REF!,"AAAAAHv+j60=")</f>
        <v>#REF!</v>
      </c>
      <c r="FS429" t="e">
        <f>AND(#REF!,"AAAAAHv+j64=")</f>
        <v>#REF!</v>
      </c>
      <c r="FT429" t="e">
        <f>AND(#REF!,"AAAAAHv+j68=")</f>
        <v>#REF!</v>
      </c>
      <c r="FU429" t="e">
        <f>AND(#REF!,"AAAAAHv+j7A=")</f>
        <v>#REF!</v>
      </c>
      <c r="FV429" t="e">
        <f>AND(#REF!,"AAAAAHv+j7E=")</f>
        <v>#REF!</v>
      </c>
      <c r="FW429" t="e">
        <f>AND(#REF!,"AAAAAHv+j7I=")</f>
        <v>#REF!</v>
      </c>
      <c r="FX429" t="e">
        <f>AND(#REF!,"AAAAAHv+j7M=")</f>
        <v>#REF!</v>
      </c>
      <c r="FY429" t="e">
        <f>AND(#REF!,"AAAAAHv+j7Q=")</f>
        <v>#REF!</v>
      </c>
      <c r="FZ429" t="e">
        <f>AND(#REF!,"AAAAAHv+j7U=")</f>
        <v>#REF!</v>
      </c>
      <c r="GA429" t="e">
        <f>IF(#REF!,"AAAAAHv+j7Y=",0)</f>
        <v>#REF!</v>
      </c>
      <c r="GB429" t="e">
        <f>AND(#REF!,"AAAAAHv+j7c=")</f>
        <v>#REF!</v>
      </c>
      <c r="GC429" t="e">
        <f>AND(#REF!,"AAAAAHv+j7g=")</f>
        <v>#REF!</v>
      </c>
      <c r="GD429" t="e">
        <f>AND(#REF!,"AAAAAHv+j7k=")</f>
        <v>#REF!</v>
      </c>
      <c r="GE429" t="e">
        <f>AND(#REF!,"AAAAAHv+j7o=")</f>
        <v>#REF!</v>
      </c>
      <c r="GF429" t="e">
        <f>AND(#REF!,"AAAAAHv+j7s=")</f>
        <v>#REF!</v>
      </c>
      <c r="GG429" t="e">
        <f>AND(#REF!,"AAAAAHv+j7w=")</f>
        <v>#REF!</v>
      </c>
      <c r="GH429" t="e">
        <f>AND(#REF!,"AAAAAHv+j70=")</f>
        <v>#REF!</v>
      </c>
      <c r="GI429" t="e">
        <f>AND(#REF!,"AAAAAHv+j74=")</f>
        <v>#REF!</v>
      </c>
      <c r="GJ429" t="e">
        <f>AND(#REF!,"AAAAAHv+j78=")</f>
        <v>#REF!</v>
      </c>
      <c r="GK429" t="e">
        <f>AND(#REF!,"AAAAAHv+j8A=")</f>
        <v>#REF!</v>
      </c>
      <c r="GL429" t="e">
        <f>IF(#REF!,"AAAAAHv+j8E=",0)</f>
        <v>#REF!</v>
      </c>
      <c r="GM429" t="e">
        <f>AND(#REF!,"AAAAAHv+j8I=")</f>
        <v>#REF!</v>
      </c>
      <c r="GN429" t="e">
        <f>AND(#REF!,"AAAAAHv+j8M=")</f>
        <v>#REF!</v>
      </c>
      <c r="GO429" t="e">
        <f>AND(#REF!,"AAAAAHv+j8Q=")</f>
        <v>#REF!</v>
      </c>
      <c r="GP429" t="e">
        <f>AND(#REF!,"AAAAAHv+j8U=")</f>
        <v>#REF!</v>
      </c>
      <c r="GQ429" t="e">
        <f>AND(#REF!,"AAAAAHv+j8Y=")</f>
        <v>#REF!</v>
      </c>
      <c r="GR429" t="e">
        <f>AND(#REF!,"AAAAAHv+j8c=")</f>
        <v>#REF!</v>
      </c>
      <c r="GS429" t="e">
        <f>AND(#REF!,"AAAAAHv+j8g=")</f>
        <v>#REF!</v>
      </c>
      <c r="GT429" t="e">
        <f>AND(#REF!,"AAAAAHv+j8k=")</f>
        <v>#REF!</v>
      </c>
      <c r="GU429" t="e">
        <f>AND(#REF!,"AAAAAHv+j8o=")</f>
        <v>#REF!</v>
      </c>
      <c r="GV429" t="e">
        <f>AND(#REF!,"AAAAAHv+j8s=")</f>
        <v>#REF!</v>
      </c>
      <c r="GW429" t="e">
        <f>IF(#REF!,"AAAAAHv+j8w=",0)</f>
        <v>#REF!</v>
      </c>
      <c r="GX429" t="e">
        <f>AND(#REF!,"AAAAAHv+j80=")</f>
        <v>#REF!</v>
      </c>
      <c r="GY429" t="e">
        <f>AND(#REF!,"AAAAAHv+j84=")</f>
        <v>#REF!</v>
      </c>
      <c r="GZ429" t="e">
        <f>AND(#REF!,"AAAAAHv+j88=")</f>
        <v>#REF!</v>
      </c>
      <c r="HA429" t="e">
        <f>AND(#REF!,"AAAAAHv+j9A=")</f>
        <v>#REF!</v>
      </c>
      <c r="HB429" t="e">
        <f>AND(#REF!,"AAAAAHv+j9E=")</f>
        <v>#REF!</v>
      </c>
      <c r="HC429" t="e">
        <f>AND(#REF!,"AAAAAHv+j9I=")</f>
        <v>#REF!</v>
      </c>
      <c r="HD429" t="e">
        <f>AND(#REF!,"AAAAAHv+j9M=")</f>
        <v>#REF!</v>
      </c>
      <c r="HE429" t="e">
        <f>AND(#REF!,"AAAAAHv+j9Q=")</f>
        <v>#REF!</v>
      </c>
      <c r="HF429" t="e">
        <f>AND(#REF!,"AAAAAHv+j9U=")</f>
        <v>#REF!</v>
      </c>
      <c r="HG429" t="e">
        <f>AND(#REF!,"AAAAAHv+j9Y=")</f>
        <v>#REF!</v>
      </c>
      <c r="HH429" t="e">
        <f>IF(#REF!,"AAAAAHv+j9c=",0)</f>
        <v>#REF!</v>
      </c>
      <c r="HI429" t="e">
        <f>AND(#REF!,"AAAAAHv+j9g=")</f>
        <v>#REF!</v>
      </c>
      <c r="HJ429" t="e">
        <f>AND(#REF!,"AAAAAHv+j9k=")</f>
        <v>#REF!</v>
      </c>
      <c r="HK429" t="e">
        <f>AND(#REF!,"AAAAAHv+j9o=")</f>
        <v>#REF!</v>
      </c>
      <c r="HL429" t="e">
        <f>AND(#REF!,"AAAAAHv+j9s=")</f>
        <v>#REF!</v>
      </c>
      <c r="HM429" t="e">
        <f>AND(#REF!,"AAAAAHv+j9w=")</f>
        <v>#REF!</v>
      </c>
      <c r="HN429" t="e">
        <f>AND(#REF!,"AAAAAHv+j90=")</f>
        <v>#REF!</v>
      </c>
      <c r="HO429" t="e">
        <f>AND(#REF!,"AAAAAHv+j94=")</f>
        <v>#REF!</v>
      </c>
      <c r="HP429" t="e">
        <f>AND(#REF!,"AAAAAHv+j98=")</f>
        <v>#REF!</v>
      </c>
      <c r="HQ429" t="e">
        <f>AND(#REF!,"AAAAAHv+j+A=")</f>
        <v>#REF!</v>
      </c>
      <c r="HR429" t="e">
        <f>AND(#REF!,"AAAAAHv+j+E=")</f>
        <v>#REF!</v>
      </c>
      <c r="HS429" t="e">
        <f>IF(#REF!,"AAAAAHv+j+I=",0)</f>
        <v>#REF!</v>
      </c>
      <c r="HT429" t="e">
        <f>AND(#REF!,"AAAAAHv+j+M=")</f>
        <v>#REF!</v>
      </c>
      <c r="HU429" t="e">
        <f>AND(#REF!,"AAAAAHv+j+Q=")</f>
        <v>#REF!</v>
      </c>
      <c r="HV429" t="e">
        <f>AND(#REF!,"AAAAAHv+j+U=")</f>
        <v>#REF!</v>
      </c>
      <c r="HW429" t="e">
        <f>AND(#REF!,"AAAAAHv+j+Y=")</f>
        <v>#REF!</v>
      </c>
      <c r="HX429" t="e">
        <f>AND(#REF!,"AAAAAHv+j+c=")</f>
        <v>#REF!</v>
      </c>
      <c r="HY429" t="e">
        <f>AND(#REF!,"AAAAAHv+j+g=")</f>
        <v>#REF!</v>
      </c>
      <c r="HZ429" t="e">
        <f>AND(#REF!,"AAAAAHv+j+k=")</f>
        <v>#REF!</v>
      </c>
      <c r="IA429" t="e">
        <f>AND(#REF!,"AAAAAHv+j+o=")</f>
        <v>#REF!</v>
      </c>
      <c r="IB429" t="e">
        <f>AND(#REF!,"AAAAAHv+j+s=")</f>
        <v>#REF!</v>
      </c>
      <c r="IC429" t="e">
        <f>AND(#REF!,"AAAAAHv+j+w=")</f>
        <v>#REF!</v>
      </c>
      <c r="ID429" t="e">
        <f>IF(#REF!,"AAAAAHv+j+0=",0)</f>
        <v>#REF!</v>
      </c>
      <c r="IE429" t="e">
        <f>AND(#REF!,"AAAAAHv+j+4=")</f>
        <v>#REF!</v>
      </c>
      <c r="IF429" t="e">
        <f>AND(#REF!,"AAAAAHv+j+8=")</f>
        <v>#REF!</v>
      </c>
      <c r="IG429" t="e">
        <f>AND(#REF!,"AAAAAHv+j/A=")</f>
        <v>#REF!</v>
      </c>
      <c r="IH429" t="e">
        <f>AND(#REF!,"AAAAAHv+j/E=")</f>
        <v>#REF!</v>
      </c>
      <c r="II429" t="e">
        <f>AND(#REF!,"AAAAAHv+j/I=")</f>
        <v>#REF!</v>
      </c>
      <c r="IJ429" t="e">
        <f>AND(#REF!,"AAAAAHv+j/M=")</f>
        <v>#REF!</v>
      </c>
      <c r="IK429" t="e">
        <f>AND(#REF!,"AAAAAHv+j/Q=")</f>
        <v>#REF!</v>
      </c>
      <c r="IL429" t="e">
        <f>AND(#REF!,"AAAAAHv+j/U=")</f>
        <v>#REF!</v>
      </c>
      <c r="IM429" t="e">
        <f>AND(#REF!,"AAAAAHv+j/Y=")</f>
        <v>#REF!</v>
      </c>
      <c r="IN429" t="e">
        <f>AND(#REF!,"AAAAAHv+j/c=")</f>
        <v>#REF!</v>
      </c>
      <c r="IO429" t="e">
        <f>IF(#REF!,"AAAAAHv+j/g=",0)</f>
        <v>#REF!</v>
      </c>
      <c r="IP429" t="e">
        <f>AND(#REF!,"AAAAAHv+j/k=")</f>
        <v>#REF!</v>
      </c>
      <c r="IQ429" t="e">
        <f>AND(#REF!,"AAAAAHv+j/o=")</f>
        <v>#REF!</v>
      </c>
      <c r="IR429" t="e">
        <f>AND(#REF!,"AAAAAHv+j/s=")</f>
        <v>#REF!</v>
      </c>
      <c r="IS429" t="e">
        <f>AND(#REF!,"AAAAAHv+j/w=")</f>
        <v>#REF!</v>
      </c>
      <c r="IT429" t="e">
        <f>AND(#REF!,"AAAAAHv+j/0=")</f>
        <v>#REF!</v>
      </c>
      <c r="IU429" t="e">
        <f>AND(#REF!,"AAAAAHv+j/4=")</f>
        <v>#REF!</v>
      </c>
      <c r="IV429" t="e">
        <f>AND(#REF!,"AAAAAHv+j/8=")</f>
        <v>#REF!</v>
      </c>
    </row>
    <row r="430" spans="1:256" x14ac:dyDescent="0.25">
      <c r="A430" t="e">
        <f>AND(#REF!,"AAAAAB/tvQA=")</f>
        <v>#REF!</v>
      </c>
      <c r="B430" t="e">
        <f>AND(#REF!,"AAAAAB/tvQE=")</f>
        <v>#REF!</v>
      </c>
      <c r="C430" t="e">
        <f>AND(#REF!,"AAAAAB/tvQI=")</f>
        <v>#REF!</v>
      </c>
      <c r="D430" t="e">
        <f>IF(#REF!,"AAAAAB/tvQM=",0)</f>
        <v>#REF!</v>
      </c>
      <c r="E430" t="e">
        <f>AND(#REF!,"AAAAAB/tvQQ=")</f>
        <v>#REF!</v>
      </c>
      <c r="F430" t="e">
        <f>AND(#REF!,"AAAAAB/tvQU=")</f>
        <v>#REF!</v>
      </c>
      <c r="G430" t="e">
        <f>AND(#REF!,"AAAAAB/tvQY=")</f>
        <v>#REF!</v>
      </c>
      <c r="H430" t="e">
        <f>AND(#REF!,"AAAAAB/tvQc=")</f>
        <v>#REF!</v>
      </c>
      <c r="I430" t="e">
        <f>AND(#REF!,"AAAAAB/tvQg=")</f>
        <v>#REF!</v>
      </c>
      <c r="J430" t="e">
        <f>AND(#REF!,"AAAAAB/tvQk=")</f>
        <v>#REF!</v>
      </c>
      <c r="K430" t="e">
        <f>AND(#REF!,"AAAAAB/tvQo=")</f>
        <v>#REF!</v>
      </c>
      <c r="L430" t="e">
        <f>AND(#REF!,"AAAAAB/tvQs=")</f>
        <v>#REF!</v>
      </c>
      <c r="M430" t="e">
        <f>AND(#REF!,"AAAAAB/tvQw=")</f>
        <v>#REF!</v>
      </c>
      <c r="N430" t="e">
        <f>AND(#REF!,"AAAAAB/tvQ0=")</f>
        <v>#REF!</v>
      </c>
      <c r="O430" t="e">
        <f>IF(#REF!,"AAAAAB/tvQ4=",0)</f>
        <v>#REF!</v>
      </c>
      <c r="P430" t="e">
        <f>AND(#REF!,"AAAAAB/tvQ8=")</f>
        <v>#REF!</v>
      </c>
      <c r="Q430" t="e">
        <f>AND(#REF!,"AAAAAB/tvRA=")</f>
        <v>#REF!</v>
      </c>
      <c r="R430" t="e">
        <f>AND(#REF!,"AAAAAB/tvRE=")</f>
        <v>#REF!</v>
      </c>
      <c r="S430" t="e">
        <f>AND(#REF!,"AAAAAB/tvRI=")</f>
        <v>#REF!</v>
      </c>
      <c r="T430" t="e">
        <f>AND(#REF!,"AAAAAB/tvRM=")</f>
        <v>#REF!</v>
      </c>
      <c r="U430" t="e">
        <f>AND(#REF!,"AAAAAB/tvRQ=")</f>
        <v>#REF!</v>
      </c>
      <c r="V430" t="e">
        <f>AND(#REF!,"AAAAAB/tvRU=")</f>
        <v>#REF!</v>
      </c>
      <c r="W430" t="e">
        <f>AND(#REF!,"AAAAAB/tvRY=")</f>
        <v>#REF!</v>
      </c>
      <c r="X430" t="e">
        <f>AND(#REF!,"AAAAAB/tvRc=")</f>
        <v>#REF!</v>
      </c>
      <c r="Y430" t="e">
        <f>AND(#REF!,"AAAAAB/tvRg=")</f>
        <v>#REF!</v>
      </c>
      <c r="Z430" t="e">
        <f>IF(#REF!,"AAAAAB/tvRk=",0)</f>
        <v>#REF!</v>
      </c>
      <c r="AA430" t="e">
        <f>AND(#REF!,"AAAAAB/tvRo=")</f>
        <v>#REF!</v>
      </c>
      <c r="AB430" t="e">
        <f>AND(#REF!,"AAAAAB/tvRs=")</f>
        <v>#REF!</v>
      </c>
      <c r="AC430" t="e">
        <f>AND(#REF!,"AAAAAB/tvRw=")</f>
        <v>#REF!</v>
      </c>
      <c r="AD430" t="e">
        <f>AND(#REF!,"AAAAAB/tvR0=")</f>
        <v>#REF!</v>
      </c>
      <c r="AE430" t="e">
        <f>AND(#REF!,"AAAAAB/tvR4=")</f>
        <v>#REF!</v>
      </c>
      <c r="AF430" t="e">
        <f>AND(#REF!,"AAAAAB/tvR8=")</f>
        <v>#REF!</v>
      </c>
      <c r="AG430" t="e">
        <f>AND(#REF!,"AAAAAB/tvSA=")</f>
        <v>#REF!</v>
      </c>
      <c r="AH430" t="e">
        <f>AND(#REF!,"AAAAAB/tvSE=")</f>
        <v>#REF!</v>
      </c>
      <c r="AI430" t="e">
        <f>AND(#REF!,"AAAAAB/tvSI=")</f>
        <v>#REF!</v>
      </c>
      <c r="AJ430" t="e">
        <f>AND(#REF!,"AAAAAB/tvSM=")</f>
        <v>#REF!</v>
      </c>
      <c r="AK430" t="e">
        <f>IF(#REF!,"AAAAAB/tvSQ=",0)</f>
        <v>#REF!</v>
      </c>
      <c r="AL430" t="e">
        <f>AND(#REF!,"AAAAAB/tvSU=")</f>
        <v>#REF!</v>
      </c>
      <c r="AM430" t="e">
        <f>AND(#REF!,"AAAAAB/tvSY=")</f>
        <v>#REF!</v>
      </c>
      <c r="AN430" t="e">
        <f>AND(#REF!,"AAAAAB/tvSc=")</f>
        <v>#REF!</v>
      </c>
      <c r="AO430" t="e">
        <f>AND(#REF!,"AAAAAB/tvSg=")</f>
        <v>#REF!</v>
      </c>
      <c r="AP430" t="e">
        <f>AND(#REF!,"AAAAAB/tvSk=")</f>
        <v>#REF!</v>
      </c>
      <c r="AQ430" t="e">
        <f>AND(#REF!,"AAAAAB/tvSo=")</f>
        <v>#REF!</v>
      </c>
      <c r="AR430" t="e">
        <f>AND(#REF!,"AAAAAB/tvSs=")</f>
        <v>#REF!</v>
      </c>
      <c r="AS430" t="e">
        <f>AND(#REF!,"AAAAAB/tvSw=")</f>
        <v>#REF!</v>
      </c>
      <c r="AT430" t="e">
        <f>AND(#REF!,"AAAAAB/tvS0=")</f>
        <v>#REF!</v>
      </c>
      <c r="AU430" t="e">
        <f>AND(#REF!,"AAAAAB/tvS4=")</f>
        <v>#REF!</v>
      </c>
      <c r="AV430" t="e">
        <f>IF(#REF!,"AAAAAB/tvS8=",0)</f>
        <v>#REF!</v>
      </c>
      <c r="AW430" t="e">
        <f>AND(#REF!,"AAAAAB/tvTA=")</f>
        <v>#REF!</v>
      </c>
      <c r="AX430" t="e">
        <f>AND(#REF!,"AAAAAB/tvTE=")</f>
        <v>#REF!</v>
      </c>
      <c r="AY430" t="e">
        <f>AND(#REF!,"AAAAAB/tvTI=")</f>
        <v>#REF!</v>
      </c>
      <c r="AZ430" t="e">
        <f>AND(#REF!,"AAAAAB/tvTM=")</f>
        <v>#REF!</v>
      </c>
      <c r="BA430" t="e">
        <f>AND(#REF!,"AAAAAB/tvTQ=")</f>
        <v>#REF!</v>
      </c>
      <c r="BB430" t="e">
        <f>AND(#REF!,"AAAAAB/tvTU=")</f>
        <v>#REF!</v>
      </c>
      <c r="BC430" t="e">
        <f>AND(#REF!,"AAAAAB/tvTY=")</f>
        <v>#REF!</v>
      </c>
      <c r="BD430" t="e">
        <f>AND(#REF!,"AAAAAB/tvTc=")</f>
        <v>#REF!</v>
      </c>
      <c r="BE430" t="e">
        <f>AND(#REF!,"AAAAAB/tvTg=")</f>
        <v>#REF!</v>
      </c>
      <c r="BF430" t="e">
        <f>AND(#REF!,"AAAAAB/tvTk=")</f>
        <v>#REF!</v>
      </c>
      <c r="BG430" t="e">
        <f>IF(#REF!,"AAAAAB/tvTo=",0)</f>
        <v>#REF!</v>
      </c>
      <c r="BH430" t="e">
        <f>AND(#REF!,"AAAAAB/tvTs=")</f>
        <v>#REF!</v>
      </c>
      <c r="BI430" t="e">
        <f>AND(#REF!,"AAAAAB/tvTw=")</f>
        <v>#REF!</v>
      </c>
      <c r="BJ430" t="e">
        <f>AND(#REF!,"AAAAAB/tvT0=")</f>
        <v>#REF!</v>
      </c>
      <c r="BK430" t="e">
        <f>AND(#REF!,"AAAAAB/tvT4=")</f>
        <v>#REF!</v>
      </c>
      <c r="BL430" t="e">
        <f>AND(#REF!,"AAAAAB/tvT8=")</f>
        <v>#REF!</v>
      </c>
      <c r="BM430" t="e">
        <f>AND(#REF!,"AAAAAB/tvUA=")</f>
        <v>#REF!</v>
      </c>
      <c r="BN430" t="e">
        <f>AND(#REF!,"AAAAAB/tvUE=")</f>
        <v>#REF!</v>
      </c>
      <c r="BO430" t="e">
        <f>AND(#REF!,"AAAAAB/tvUI=")</f>
        <v>#REF!</v>
      </c>
      <c r="BP430" t="e">
        <f>AND(#REF!,"AAAAAB/tvUM=")</f>
        <v>#REF!</v>
      </c>
      <c r="BQ430" t="e">
        <f>AND(#REF!,"AAAAAB/tvUQ=")</f>
        <v>#REF!</v>
      </c>
      <c r="BR430" t="e">
        <f>IF(#REF!,"AAAAAB/tvUU=",0)</f>
        <v>#REF!</v>
      </c>
      <c r="BS430" t="e">
        <f>AND(#REF!,"AAAAAB/tvUY=")</f>
        <v>#REF!</v>
      </c>
      <c r="BT430" t="e">
        <f>AND(#REF!,"AAAAAB/tvUc=")</f>
        <v>#REF!</v>
      </c>
      <c r="BU430" t="e">
        <f>AND(#REF!,"AAAAAB/tvUg=")</f>
        <v>#REF!</v>
      </c>
      <c r="BV430" t="e">
        <f>AND(#REF!,"AAAAAB/tvUk=")</f>
        <v>#REF!</v>
      </c>
      <c r="BW430" t="e">
        <f>AND(#REF!,"AAAAAB/tvUo=")</f>
        <v>#REF!</v>
      </c>
      <c r="BX430" t="e">
        <f>AND(#REF!,"AAAAAB/tvUs=")</f>
        <v>#REF!</v>
      </c>
      <c r="BY430" t="e">
        <f>AND(#REF!,"AAAAAB/tvUw=")</f>
        <v>#REF!</v>
      </c>
      <c r="BZ430" t="e">
        <f>AND(#REF!,"AAAAAB/tvU0=")</f>
        <v>#REF!</v>
      </c>
      <c r="CA430" t="e">
        <f>AND(#REF!,"AAAAAB/tvU4=")</f>
        <v>#REF!</v>
      </c>
      <c r="CB430" t="e">
        <f>AND(#REF!,"AAAAAB/tvU8=")</f>
        <v>#REF!</v>
      </c>
      <c r="CC430" t="e">
        <f>IF(#REF!,"AAAAAB/tvVA=",0)</f>
        <v>#REF!</v>
      </c>
      <c r="CD430" t="e">
        <f>AND(#REF!,"AAAAAB/tvVE=")</f>
        <v>#REF!</v>
      </c>
      <c r="CE430" t="e">
        <f>AND(#REF!,"AAAAAB/tvVI=")</f>
        <v>#REF!</v>
      </c>
      <c r="CF430" t="e">
        <f>AND(#REF!,"AAAAAB/tvVM=")</f>
        <v>#REF!</v>
      </c>
      <c r="CG430" t="e">
        <f>AND(#REF!,"AAAAAB/tvVQ=")</f>
        <v>#REF!</v>
      </c>
      <c r="CH430" t="e">
        <f>AND(#REF!,"AAAAAB/tvVU=")</f>
        <v>#REF!</v>
      </c>
      <c r="CI430" t="e">
        <f>AND(#REF!,"AAAAAB/tvVY=")</f>
        <v>#REF!</v>
      </c>
      <c r="CJ430" t="e">
        <f>AND(#REF!,"AAAAAB/tvVc=")</f>
        <v>#REF!</v>
      </c>
      <c r="CK430" t="e">
        <f>AND(#REF!,"AAAAAB/tvVg=")</f>
        <v>#REF!</v>
      </c>
      <c r="CL430" t="e">
        <f>AND(#REF!,"AAAAAB/tvVk=")</f>
        <v>#REF!</v>
      </c>
      <c r="CM430" t="e">
        <f>AND(#REF!,"AAAAAB/tvVo=")</f>
        <v>#REF!</v>
      </c>
      <c r="CN430" t="e">
        <f>IF(#REF!,"AAAAAB/tvVs=",0)</f>
        <v>#REF!</v>
      </c>
      <c r="CO430" t="e">
        <f>AND(#REF!,"AAAAAB/tvVw=")</f>
        <v>#REF!</v>
      </c>
      <c r="CP430" t="e">
        <f>AND(#REF!,"AAAAAB/tvV0=")</f>
        <v>#REF!</v>
      </c>
      <c r="CQ430" t="e">
        <f>AND(#REF!,"AAAAAB/tvV4=")</f>
        <v>#REF!</v>
      </c>
      <c r="CR430" t="e">
        <f>AND(#REF!,"AAAAAB/tvV8=")</f>
        <v>#REF!</v>
      </c>
      <c r="CS430" t="e">
        <f>AND(#REF!,"AAAAAB/tvWA=")</f>
        <v>#REF!</v>
      </c>
      <c r="CT430" t="e">
        <f>AND(#REF!,"AAAAAB/tvWE=")</f>
        <v>#REF!</v>
      </c>
      <c r="CU430" t="e">
        <f>AND(#REF!,"AAAAAB/tvWI=")</f>
        <v>#REF!</v>
      </c>
      <c r="CV430" t="e">
        <f>AND(#REF!,"AAAAAB/tvWM=")</f>
        <v>#REF!</v>
      </c>
      <c r="CW430" t="e">
        <f>AND(#REF!,"AAAAAB/tvWQ=")</f>
        <v>#REF!</v>
      </c>
      <c r="CX430" t="e">
        <f>AND(#REF!,"AAAAAB/tvWU=")</f>
        <v>#REF!</v>
      </c>
      <c r="CY430" t="e">
        <f>IF(#REF!,"AAAAAB/tvWY=",0)</f>
        <v>#REF!</v>
      </c>
      <c r="CZ430" t="e">
        <f>AND(#REF!,"AAAAAB/tvWc=")</f>
        <v>#REF!</v>
      </c>
      <c r="DA430" t="e">
        <f>AND(#REF!,"AAAAAB/tvWg=")</f>
        <v>#REF!</v>
      </c>
      <c r="DB430" t="e">
        <f>AND(#REF!,"AAAAAB/tvWk=")</f>
        <v>#REF!</v>
      </c>
      <c r="DC430" t="e">
        <f>AND(#REF!,"AAAAAB/tvWo=")</f>
        <v>#REF!</v>
      </c>
      <c r="DD430" t="e">
        <f>AND(#REF!,"AAAAAB/tvWs=")</f>
        <v>#REF!</v>
      </c>
      <c r="DE430" t="e">
        <f>AND(#REF!,"AAAAAB/tvWw=")</f>
        <v>#REF!</v>
      </c>
      <c r="DF430" t="e">
        <f>AND(#REF!,"AAAAAB/tvW0=")</f>
        <v>#REF!</v>
      </c>
      <c r="DG430" t="e">
        <f>AND(#REF!,"AAAAAB/tvW4=")</f>
        <v>#REF!</v>
      </c>
      <c r="DH430" t="e">
        <f>AND(#REF!,"AAAAAB/tvW8=")</f>
        <v>#REF!</v>
      </c>
      <c r="DI430" t="e">
        <f>AND(#REF!,"AAAAAB/tvXA=")</f>
        <v>#REF!</v>
      </c>
      <c r="DJ430" t="e">
        <f>IF(#REF!,"AAAAAB/tvXE=",0)</f>
        <v>#REF!</v>
      </c>
      <c r="DK430" t="e">
        <f>AND(#REF!,"AAAAAB/tvXI=")</f>
        <v>#REF!</v>
      </c>
      <c r="DL430" t="e">
        <f>AND(#REF!,"AAAAAB/tvXM=")</f>
        <v>#REF!</v>
      </c>
      <c r="DM430" t="e">
        <f>AND(#REF!,"AAAAAB/tvXQ=")</f>
        <v>#REF!</v>
      </c>
      <c r="DN430" t="e">
        <f>AND(#REF!,"AAAAAB/tvXU=")</f>
        <v>#REF!</v>
      </c>
      <c r="DO430" t="e">
        <f>AND(#REF!,"AAAAAB/tvXY=")</f>
        <v>#REF!</v>
      </c>
      <c r="DP430" t="e">
        <f>AND(#REF!,"AAAAAB/tvXc=")</f>
        <v>#REF!</v>
      </c>
      <c r="DQ430" t="e">
        <f>AND(#REF!,"AAAAAB/tvXg=")</f>
        <v>#REF!</v>
      </c>
      <c r="DR430" t="e">
        <f>AND(#REF!,"AAAAAB/tvXk=")</f>
        <v>#REF!</v>
      </c>
      <c r="DS430" t="e">
        <f>AND(#REF!,"AAAAAB/tvXo=")</f>
        <v>#REF!</v>
      </c>
      <c r="DT430" t="e">
        <f>AND(#REF!,"AAAAAB/tvXs=")</f>
        <v>#REF!</v>
      </c>
      <c r="DU430" t="e">
        <f>IF(#REF!,"AAAAAB/tvXw=",0)</f>
        <v>#REF!</v>
      </c>
      <c r="DV430" t="e">
        <f>AND(#REF!,"AAAAAB/tvX0=")</f>
        <v>#REF!</v>
      </c>
      <c r="DW430" t="e">
        <f>AND(#REF!,"AAAAAB/tvX4=")</f>
        <v>#REF!</v>
      </c>
      <c r="DX430" t="e">
        <f>AND(#REF!,"AAAAAB/tvX8=")</f>
        <v>#REF!</v>
      </c>
      <c r="DY430" t="e">
        <f>AND(#REF!,"AAAAAB/tvYA=")</f>
        <v>#REF!</v>
      </c>
      <c r="DZ430" t="e">
        <f>AND(#REF!,"AAAAAB/tvYE=")</f>
        <v>#REF!</v>
      </c>
      <c r="EA430" t="e">
        <f>AND(#REF!,"AAAAAB/tvYI=")</f>
        <v>#REF!</v>
      </c>
      <c r="EB430" t="e">
        <f>AND(#REF!,"AAAAAB/tvYM=")</f>
        <v>#REF!</v>
      </c>
      <c r="EC430" t="e">
        <f>AND(#REF!,"AAAAAB/tvYQ=")</f>
        <v>#REF!</v>
      </c>
      <c r="ED430" t="e">
        <f>AND(#REF!,"AAAAAB/tvYU=")</f>
        <v>#REF!</v>
      </c>
      <c r="EE430" t="e">
        <f>AND(#REF!,"AAAAAB/tvYY=")</f>
        <v>#REF!</v>
      </c>
      <c r="EF430" t="e">
        <f>IF(#REF!,"AAAAAB/tvYc=",0)</f>
        <v>#REF!</v>
      </c>
      <c r="EG430" t="e">
        <f>AND(#REF!,"AAAAAB/tvYg=")</f>
        <v>#REF!</v>
      </c>
      <c r="EH430" t="e">
        <f>AND(#REF!,"AAAAAB/tvYk=")</f>
        <v>#REF!</v>
      </c>
      <c r="EI430" t="e">
        <f>AND(#REF!,"AAAAAB/tvYo=")</f>
        <v>#REF!</v>
      </c>
      <c r="EJ430" t="e">
        <f>AND(#REF!,"AAAAAB/tvYs=")</f>
        <v>#REF!</v>
      </c>
      <c r="EK430" t="e">
        <f>AND(#REF!,"AAAAAB/tvYw=")</f>
        <v>#REF!</v>
      </c>
      <c r="EL430" t="e">
        <f>AND(#REF!,"AAAAAB/tvY0=")</f>
        <v>#REF!</v>
      </c>
      <c r="EM430" t="e">
        <f>AND(#REF!,"AAAAAB/tvY4=")</f>
        <v>#REF!</v>
      </c>
      <c r="EN430" t="e">
        <f>AND(#REF!,"AAAAAB/tvY8=")</f>
        <v>#REF!</v>
      </c>
      <c r="EO430" t="e">
        <f>AND(#REF!,"AAAAAB/tvZA=")</f>
        <v>#REF!</v>
      </c>
      <c r="EP430" t="e">
        <f>AND(#REF!,"AAAAAB/tvZE=")</f>
        <v>#REF!</v>
      </c>
      <c r="EQ430" t="e">
        <f>IF(#REF!,"AAAAAB/tvZI=",0)</f>
        <v>#REF!</v>
      </c>
      <c r="ER430" t="e">
        <f>AND(#REF!,"AAAAAB/tvZM=")</f>
        <v>#REF!</v>
      </c>
      <c r="ES430" t="e">
        <f>AND(#REF!,"AAAAAB/tvZQ=")</f>
        <v>#REF!</v>
      </c>
      <c r="ET430" t="e">
        <f>AND(#REF!,"AAAAAB/tvZU=")</f>
        <v>#REF!</v>
      </c>
      <c r="EU430" t="e">
        <f>AND(#REF!,"AAAAAB/tvZY=")</f>
        <v>#REF!</v>
      </c>
      <c r="EV430" t="e">
        <f>AND(#REF!,"AAAAAB/tvZc=")</f>
        <v>#REF!</v>
      </c>
      <c r="EW430" t="e">
        <f>AND(#REF!,"AAAAAB/tvZg=")</f>
        <v>#REF!</v>
      </c>
      <c r="EX430" t="e">
        <f>AND(#REF!,"AAAAAB/tvZk=")</f>
        <v>#REF!</v>
      </c>
      <c r="EY430" t="e">
        <f>AND(#REF!,"AAAAAB/tvZo=")</f>
        <v>#REF!</v>
      </c>
      <c r="EZ430" t="e">
        <f>AND(#REF!,"AAAAAB/tvZs=")</f>
        <v>#REF!</v>
      </c>
      <c r="FA430" t="e">
        <f>AND(#REF!,"AAAAAB/tvZw=")</f>
        <v>#REF!</v>
      </c>
      <c r="FB430" t="e">
        <f>IF(#REF!,"AAAAAB/tvZ0=",0)</f>
        <v>#REF!</v>
      </c>
      <c r="FC430" t="e">
        <f>AND(#REF!,"AAAAAB/tvZ4=")</f>
        <v>#REF!</v>
      </c>
      <c r="FD430" t="e">
        <f>AND(#REF!,"AAAAAB/tvZ8=")</f>
        <v>#REF!</v>
      </c>
      <c r="FE430" t="e">
        <f>AND(#REF!,"AAAAAB/tvaA=")</f>
        <v>#REF!</v>
      </c>
      <c r="FF430" t="e">
        <f>AND(#REF!,"AAAAAB/tvaE=")</f>
        <v>#REF!</v>
      </c>
      <c r="FG430" t="e">
        <f>AND(#REF!,"AAAAAB/tvaI=")</f>
        <v>#REF!</v>
      </c>
      <c r="FH430" t="e">
        <f>AND(#REF!,"AAAAAB/tvaM=")</f>
        <v>#REF!</v>
      </c>
      <c r="FI430" t="e">
        <f>AND(#REF!,"AAAAAB/tvaQ=")</f>
        <v>#REF!</v>
      </c>
      <c r="FJ430" t="e">
        <f>AND(#REF!,"AAAAAB/tvaU=")</f>
        <v>#REF!</v>
      </c>
      <c r="FK430" t="e">
        <f>AND(#REF!,"AAAAAB/tvaY=")</f>
        <v>#REF!</v>
      </c>
      <c r="FL430" t="e">
        <f>AND(#REF!,"AAAAAB/tvac=")</f>
        <v>#REF!</v>
      </c>
      <c r="FM430" t="e">
        <f>IF(#REF!,"AAAAAB/tvag=",0)</f>
        <v>#REF!</v>
      </c>
      <c r="FN430" t="e">
        <f>AND(#REF!,"AAAAAB/tvak=")</f>
        <v>#REF!</v>
      </c>
      <c r="FO430" t="e">
        <f>AND(#REF!,"AAAAAB/tvao=")</f>
        <v>#REF!</v>
      </c>
      <c r="FP430" t="e">
        <f>AND(#REF!,"AAAAAB/tvas=")</f>
        <v>#REF!</v>
      </c>
      <c r="FQ430" t="e">
        <f>AND(#REF!,"AAAAAB/tvaw=")</f>
        <v>#REF!</v>
      </c>
      <c r="FR430" t="e">
        <f>AND(#REF!,"AAAAAB/tva0=")</f>
        <v>#REF!</v>
      </c>
      <c r="FS430" t="e">
        <f>AND(#REF!,"AAAAAB/tva4=")</f>
        <v>#REF!</v>
      </c>
      <c r="FT430" t="e">
        <f>AND(#REF!,"AAAAAB/tva8=")</f>
        <v>#REF!</v>
      </c>
      <c r="FU430" t="e">
        <f>AND(#REF!,"AAAAAB/tvbA=")</f>
        <v>#REF!</v>
      </c>
      <c r="FV430" t="e">
        <f>AND(#REF!,"AAAAAB/tvbE=")</f>
        <v>#REF!</v>
      </c>
      <c r="FW430" t="e">
        <f>AND(#REF!,"AAAAAB/tvbI=")</f>
        <v>#REF!</v>
      </c>
      <c r="FX430" t="e">
        <f>IF(#REF!,"AAAAAB/tvbM=",0)</f>
        <v>#REF!</v>
      </c>
      <c r="FY430" t="e">
        <f>AND(#REF!,"AAAAAB/tvbQ=")</f>
        <v>#REF!</v>
      </c>
      <c r="FZ430" t="e">
        <f>AND(#REF!,"AAAAAB/tvbU=")</f>
        <v>#REF!</v>
      </c>
      <c r="GA430" t="e">
        <f>AND(#REF!,"AAAAAB/tvbY=")</f>
        <v>#REF!</v>
      </c>
      <c r="GB430" t="e">
        <f>AND(#REF!,"AAAAAB/tvbc=")</f>
        <v>#REF!</v>
      </c>
      <c r="GC430" t="e">
        <f>AND(#REF!,"AAAAAB/tvbg=")</f>
        <v>#REF!</v>
      </c>
      <c r="GD430" t="e">
        <f>AND(#REF!,"AAAAAB/tvbk=")</f>
        <v>#REF!</v>
      </c>
      <c r="GE430" t="e">
        <f>AND(#REF!,"AAAAAB/tvbo=")</f>
        <v>#REF!</v>
      </c>
      <c r="GF430" t="e">
        <f>AND(#REF!,"AAAAAB/tvbs=")</f>
        <v>#REF!</v>
      </c>
      <c r="GG430" t="e">
        <f>AND(#REF!,"AAAAAB/tvbw=")</f>
        <v>#REF!</v>
      </c>
      <c r="GH430" t="e">
        <f>AND(#REF!,"AAAAAB/tvb0=")</f>
        <v>#REF!</v>
      </c>
      <c r="GI430" t="e">
        <f>IF(#REF!,"AAAAAB/tvb4=",0)</f>
        <v>#REF!</v>
      </c>
      <c r="GJ430" t="e">
        <f>AND(#REF!,"AAAAAB/tvb8=")</f>
        <v>#REF!</v>
      </c>
      <c r="GK430" t="e">
        <f>AND(#REF!,"AAAAAB/tvcA=")</f>
        <v>#REF!</v>
      </c>
      <c r="GL430" t="e">
        <f>AND(#REF!,"AAAAAB/tvcE=")</f>
        <v>#REF!</v>
      </c>
      <c r="GM430" t="e">
        <f>AND(#REF!,"AAAAAB/tvcI=")</f>
        <v>#REF!</v>
      </c>
      <c r="GN430" t="e">
        <f>AND(#REF!,"AAAAAB/tvcM=")</f>
        <v>#REF!</v>
      </c>
      <c r="GO430" t="e">
        <f>AND(#REF!,"AAAAAB/tvcQ=")</f>
        <v>#REF!</v>
      </c>
      <c r="GP430" t="e">
        <f>AND(#REF!,"AAAAAB/tvcU=")</f>
        <v>#REF!</v>
      </c>
      <c r="GQ430" t="e">
        <f>AND(#REF!,"AAAAAB/tvcY=")</f>
        <v>#REF!</v>
      </c>
      <c r="GR430" t="e">
        <f>AND(#REF!,"AAAAAB/tvcc=")</f>
        <v>#REF!</v>
      </c>
      <c r="GS430" t="e">
        <f>AND(#REF!,"AAAAAB/tvcg=")</f>
        <v>#REF!</v>
      </c>
      <c r="GT430" t="e">
        <f>IF(#REF!,"AAAAAB/tvck=",0)</f>
        <v>#REF!</v>
      </c>
      <c r="GU430" t="e">
        <f>AND(#REF!,"AAAAAB/tvco=")</f>
        <v>#REF!</v>
      </c>
      <c r="GV430" t="e">
        <f>AND(#REF!,"AAAAAB/tvcs=")</f>
        <v>#REF!</v>
      </c>
      <c r="GW430" t="e">
        <f>AND(#REF!,"AAAAAB/tvcw=")</f>
        <v>#REF!</v>
      </c>
      <c r="GX430" t="e">
        <f>AND(#REF!,"AAAAAB/tvc0=")</f>
        <v>#REF!</v>
      </c>
      <c r="GY430" t="e">
        <f>AND(#REF!,"AAAAAB/tvc4=")</f>
        <v>#REF!</v>
      </c>
      <c r="GZ430" t="e">
        <f>AND(#REF!,"AAAAAB/tvc8=")</f>
        <v>#REF!</v>
      </c>
      <c r="HA430" t="e">
        <f>AND(#REF!,"AAAAAB/tvdA=")</f>
        <v>#REF!</v>
      </c>
      <c r="HB430" t="e">
        <f>AND(#REF!,"AAAAAB/tvdE=")</f>
        <v>#REF!</v>
      </c>
      <c r="HC430" t="e">
        <f>AND(#REF!,"AAAAAB/tvdI=")</f>
        <v>#REF!</v>
      </c>
      <c r="HD430" t="e">
        <f>AND(#REF!,"AAAAAB/tvdM=")</f>
        <v>#REF!</v>
      </c>
      <c r="HE430" t="e">
        <f>IF(#REF!,"AAAAAB/tvdQ=",0)</f>
        <v>#REF!</v>
      </c>
      <c r="HF430" t="e">
        <f>AND(#REF!,"AAAAAB/tvdU=")</f>
        <v>#REF!</v>
      </c>
      <c r="HG430" t="e">
        <f>AND(#REF!,"AAAAAB/tvdY=")</f>
        <v>#REF!</v>
      </c>
      <c r="HH430" t="e">
        <f>AND(#REF!,"AAAAAB/tvdc=")</f>
        <v>#REF!</v>
      </c>
      <c r="HI430" t="e">
        <f>AND(#REF!,"AAAAAB/tvdg=")</f>
        <v>#REF!</v>
      </c>
      <c r="HJ430" t="e">
        <f>AND(#REF!,"AAAAAB/tvdk=")</f>
        <v>#REF!</v>
      </c>
      <c r="HK430" t="e">
        <f>AND(#REF!,"AAAAAB/tvdo=")</f>
        <v>#REF!</v>
      </c>
      <c r="HL430" t="e">
        <f>AND(#REF!,"AAAAAB/tvds=")</f>
        <v>#REF!</v>
      </c>
      <c r="HM430" t="e">
        <f>AND(#REF!,"AAAAAB/tvdw=")</f>
        <v>#REF!</v>
      </c>
      <c r="HN430" t="e">
        <f>AND(#REF!,"AAAAAB/tvd0=")</f>
        <v>#REF!</v>
      </c>
      <c r="HO430" t="e">
        <f>AND(#REF!,"AAAAAB/tvd4=")</f>
        <v>#REF!</v>
      </c>
      <c r="HP430" t="e">
        <f>IF(#REF!,"AAAAAB/tvd8=",0)</f>
        <v>#REF!</v>
      </c>
      <c r="HQ430" t="e">
        <f>AND(#REF!,"AAAAAB/tveA=")</f>
        <v>#REF!</v>
      </c>
      <c r="HR430" t="e">
        <f>AND(#REF!,"AAAAAB/tveE=")</f>
        <v>#REF!</v>
      </c>
      <c r="HS430" t="e">
        <f>AND(#REF!,"AAAAAB/tveI=")</f>
        <v>#REF!</v>
      </c>
      <c r="HT430" t="e">
        <f>AND(#REF!,"AAAAAB/tveM=")</f>
        <v>#REF!</v>
      </c>
      <c r="HU430" t="e">
        <f>AND(#REF!,"AAAAAB/tveQ=")</f>
        <v>#REF!</v>
      </c>
      <c r="HV430" t="e">
        <f>AND(#REF!,"AAAAAB/tveU=")</f>
        <v>#REF!</v>
      </c>
      <c r="HW430" t="e">
        <f>AND(#REF!,"AAAAAB/tveY=")</f>
        <v>#REF!</v>
      </c>
      <c r="HX430" t="e">
        <f>AND(#REF!,"AAAAAB/tvec=")</f>
        <v>#REF!</v>
      </c>
      <c r="HY430" t="e">
        <f>AND(#REF!,"AAAAAB/tveg=")</f>
        <v>#REF!</v>
      </c>
      <c r="HZ430" t="e">
        <f>AND(#REF!,"AAAAAB/tvek=")</f>
        <v>#REF!</v>
      </c>
      <c r="IA430" t="e">
        <f>IF(#REF!,"AAAAAB/tveo=",0)</f>
        <v>#REF!</v>
      </c>
      <c r="IB430" t="e">
        <f>AND(#REF!,"AAAAAB/tves=")</f>
        <v>#REF!</v>
      </c>
      <c r="IC430" t="e">
        <f>AND(#REF!,"AAAAAB/tvew=")</f>
        <v>#REF!</v>
      </c>
      <c r="ID430" t="e">
        <f>AND(#REF!,"AAAAAB/tve0=")</f>
        <v>#REF!</v>
      </c>
      <c r="IE430" t="e">
        <f>AND(#REF!,"AAAAAB/tve4=")</f>
        <v>#REF!</v>
      </c>
      <c r="IF430" t="e">
        <f>AND(#REF!,"AAAAAB/tve8=")</f>
        <v>#REF!</v>
      </c>
      <c r="IG430" t="e">
        <f>AND(#REF!,"AAAAAB/tvfA=")</f>
        <v>#REF!</v>
      </c>
      <c r="IH430" t="e">
        <f>AND(#REF!,"AAAAAB/tvfE=")</f>
        <v>#REF!</v>
      </c>
      <c r="II430" t="e">
        <f>AND(#REF!,"AAAAAB/tvfI=")</f>
        <v>#REF!</v>
      </c>
      <c r="IJ430" t="e">
        <f>AND(#REF!,"AAAAAB/tvfM=")</f>
        <v>#REF!</v>
      </c>
      <c r="IK430" t="e">
        <f>AND(#REF!,"AAAAAB/tvfQ=")</f>
        <v>#REF!</v>
      </c>
      <c r="IL430" t="e">
        <f>IF(#REF!,"AAAAAB/tvfU=",0)</f>
        <v>#REF!</v>
      </c>
      <c r="IM430" t="e">
        <f>AND(#REF!,"AAAAAB/tvfY=")</f>
        <v>#REF!</v>
      </c>
      <c r="IN430" t="e">
        <f>AND(#REF!,"AAAAAB/tvfc=")</f>
        <v>#REF!</v>
      </c>
      <c r="IO430" t="e">
        <f>AND(#REF!,"AAAAAB/tvfg=")</f>
        <v>#REF!</v>
      </c>
      <c r="IP430" t="e">
        <f>AND(#REF!,"AAAAAB/tvfk=")</f>
        <v>#REF!</v>
      </c>
      <c r="IQ430" t="e">
        <f>AND(#REF!,"AAAAAB/tvfo=")</f>
        <v>#REF!</v>
      </c>
      <c r="IR430" t="e">
        <f>AND(#REF!,"AAAAAB/tvfs=")</f>
        <v>#REF!</v>
      </c>
      <c r="IS430" t="e">
        <f>AND(#REF!,"AAAAAB/tvfw=")</f>
        <v>#REF!</v>
      </c>
      <c r="IT430" t="e">
        <f>AND(#REF!,"AAAAAB/tvf0=")</f>
        <v>#REF!</v>
      </c>
      <c r="IU430" t="e">
        <f>AND(#REF!,"AAAAAB/tvf4=")</f>
        <v>#REF!</v>
      </c>
      <c r="IV430" t="e">
        <f>AND(#REF!,"AAAAAB/tvf8=")</f>
        <v>#REF!</v>
      </c>
    </row>
    <row r="431" spans="1:256" x14ac:dyDescent="0.25">
      <c r="A431" t="e">
        <f>IF(#REF!,"AAAAAD6vtwA=",0)</f>
        <v>#REF!</v>
      </c>
      <c r="B431" t="e">
        <f>AND(#REF!,"AAAAAD6vtwE=")</f>
        <v>#REF!</v>
      </c>
      <c r="C431" t="e">
        <f>AND(#REF!,"AAAAAD6vtwI=")</f>
        <v>#REF!</v>
      </c>
      <c r="D431" t="e">
        <f>AND(#REF!,"AAAAAD6vtwM=")</f>
        <v>#REF!</v>
      </c>
      <c r="E431" t="e">
        <f>AND(#REF!,"AAAAAD6vtwQ=")</f>
        <v>#REF!</v>
      </c>
      <c r="F431" t="e">
        <f>AND(#REF!,"AAAAAD6vtwU=")</f>
        <v>#REF!</v>
      </c>
      <c r="G431" t="e">
        <f>AND(#REF!,"AAAAAD6vtwY=")</f>
        <v>#REF!</v>
      </c>
      <c r="H431" t="e">
        <f>AND(#REF!,"AAAAAD6vtwc=")</f>
        <v>#REF!</v>
      </c>
      <c r="I431" t="e">
        <f>AND(#REF!,"AAAAAD6vtwg=")</f>
        <v>#REF!</v>
      </c>
      <c r="J431" t="e">
        <f>AND(#REF!,"AAAAAD6vtwk=")</f>
        <v>#REF!</v>
      </c>
      <c r="K431" t="e">
        <f>AND(#REF!,"AAAAAD6vtwo=")</f>
        <v>#REF!</v>
      </c>
      <c r="L431" t="e">
        <f>IF(#REF!,"AAAAAD6vtws=",0)</f>
        <v>#REF!</v>
      </c>
      <c r="M431" t="e">
        <f>AND(#REF!,"AAAAAD6vtww=")</f>
        <v>#REF!</v>
      </c>
      <c r="N431" t="e">
        <f>AND(#REF!,"AAAAAD6vtw0=")</f>
        <v>#REF!</v>
      </c>
      <c r="O431" t="e">
        <f>AND(#REF!,"AAAAAD6vtw4=")</f>
        <v>#REF!</v>
      </c>
      <c r="P431" t="e">
        <f>AND(#REF!,"AAAAAD6vtw8=")</f>
        <v>#REF!</v>
      </c>
      <c r="Q431" t="e">
        <f>AND(#REF!,"AAAAAD6vtxA=")</f>
        <v>#REF!</v>
      </c>
      <c r="R431" t="e">
        <f>AND(#REF!,"AAAAAD6vtxE=")</f>
        <v>#REF!</v>
      </c>
      <c r="S431" t="e">
        <f>AND(#REF!,"AAAAAD6vtxI=")</f>
        <v>#REF!</v>
      </c>
      <c r="T431" t="e">
        <f>AND(#REF!,"AAAAAD6vtxM=")</f>
        <v>#REF!</v>
      </c>
      <c r="U431" t="e">
        <f>AND(#REF!,"AAAAAD6vtxQ=")</f>
        <v>#REF!</v>
      </c>
      <c r="V431" t="e">
        <f>AND(#REF!,"AAAAAD6vtxU=")</f>
        <v>#REF!</v>
      </c>
      <c r="W431" t="e">
        <f>IF(#REF!,"AAAAAD6vtxY=",0)</f>
        <v>#REF!</v>
      </c>
      <c r="X431" t="e">
        <f>AND(#REF!,"AAAAAD6vtxc=")</f>
        <v>#REF!</v>
      </c>
      <c r="Y431" t="e">
        <f>AND(#REF!,"AAAAAD6vtxg=")</f>
        <v>#REF!</v>
      </c>
      <c r="Z431" t="e">
        <f>AND(#REF!,"AAAAAD6vtxk=")</f>
        <v>#REF!</v>
      </c>
      <c r="AA431" t="e">
        <f>AND(#REF!,"AAAAAD6vtxo=")</f>
        <v>#REF!</v>
      </c>
      <c r="AB431" t="e">
        <f>AND(#REF!,"AAAAAD6vtxs=")</f>
        <v>#REF!</v>
      </c>
      <c r="AC431" t="e">
        <f>AND(#REF!,"AAAAAD6vtxw=")</f>
        <v>#REF!</v>
      </c>
      <c r="AD431" t="e">
        <f>AND(#REF!,"AAAAAD6vtx0=")</f>
        <v>#REF!</v>
      </c>
      <c r="AE431" t="e">
        <f>AND(#REF!,"AAAAAD6vtx4=")</f>
        <v>#REF!</v>
      </c>
      <c r="AF431" t="e">
        <f>AND(#REF!,"AAAAAD6vtx8=")</f>
        <v>#REF!</v>
      </c>
      <c r="AG431" t="e">
        <f>AND(#REF!,"AAAAAD6vtyA=")</f>
        <v>#REF!</v>
      </c>
      <c r="AH431" t="e">
        <f>IF(#REF!,"AAAAAD6vtyE=",0)</f>
        <v>#REF!</v>
      </c>
      <c r="AI431" t="e">
        <f>AND(#REF!,"AAAAAD6vtyI=")</f>
        <v>#REF!</v>
      </c>
      <c r="AJ431" t="e">
        <f>AND(#REF!,"AAAAAD6vtyM=")</f>
        <v>#REF!</v>
      </c>
      <c r="AK431" t="e">
        <f>AND(#REF!,"AAAAAD6vtyQ=")</f>
        <v>#REF!</v>
      </c>
      <c r="AL431" t="e">
        <f>AND(#REF!,"AAAAAD6vtyU=")</f>
        <v>#REF!</v>
      </c>
      <c r="AM431" t="e">
        <f>AND(#REF!,"AAAAAD6vtyY=")</f>
        <v>#REF!</v>
      </c>
      <c r="AN431" t="e">
        <f>AND(#REF!,"AAAAAD6vtyc=")</f>
        <v>#REF!</v>
      </c>
      <c r="AO431" t="e">
        <f>AND(#REF!,"AAAAAD6vtyg=")</f>
        <v>#REF!</v>
      </c>
      <c r="AP431" t="e">
        <f>AND(#REF!,"AAAAAD6vtyk=")</f>
        <v>#REF!</v>
      </c>
      <c r="AQ431" t="e">
        <f>AND(#REF!,"AAAAAD6vtyo=")</f>
        <v>#REF!</v>
      </c>
      <c r="AR431" t="e">
        <f>AND(#REF!,"AAAAAD6vtys=")</f>
        <v>#REF!</v>
      </c>
      <c r="AS431" t="e">
        <f>IF(#REF!,"AAAAAD6vtyw=",0)</f>
        <v>#REF!</v>
      </c>
      <c r="AT431" t="e">
        <f>AND(#REF!,"AAAAAD6vty0=")</f>
        <v>#REF!</v>
      </c>
      <c r="AU431" t="e">
        <f>AND(#REF!,"AAAAAD6vty4=")</f>
        <v>#REF!</v>
      </c>
      <c r="AV431" t="e">
        <f>AND(#REF!,"AAAAAD6vty8=")</f>
        <v>#REF!</v>
      </c>
      <c r="AW431" t="e">
        <f>AND(#REF!,"AAAAAD6vtzA=")</f>
        <v>#REF!</v>
      </c>
      <c r="AX431" t="e">
        <f>AND(#REF!,"AAAAAD6vtzE=")</f>
        <v>#REF!</v>
      </c>
      <c r="AY431" t="e">
        <f>AND(#REF!,"AAAAAD6vtzI=")</f>
        <v>#REF!</v>
      </c>
      <c r="AZ431" t="e">
        <f>AND(#REF!,"AAAAAD6vtzM=")</f>
        <v>#REF!</v>
      </c>
      <c r="BA431" t="e">
        <f>AND(#REF!,"AAAAAD6vtzQ=")</f>
        <v>#REF!</v>
      </c>
      <c r="BB431" t="e">
        <f>AND(#REF!,"AAAAAD6vtzU=")</f>
        <v>#REF!</v>
      </c>
      <c r="BC431" t="e">
        <f>AND(#REF!,"AAAAAD6vtzY=")</f>
        <v>#REF!</v>
      </c>
      <c r="BD431" t="e">
        <f>IF(#REF!,"AAAAAD6vtzc=",0)</f>
        <v>#REF!</v>
      </c>
      <c r="BE431" t="e">
        <f>AND(#REF!,"AAAAAD6vtzg=")</f>
        <v>#REF!</v>
      </c>
      <c r="BF431" t="e">
        <f>AND(#REF!,"AAAAAD6vtzk=")</f>
        <v>#REF!</v>
      </c>
      <c r="BG431" t="e">
        <f>AND(#REF!,"AAAAAD6vtzo=")</f>
        <v>#REF!</v>
      </c>
      <c r="BH431" t="e">
        <f>AND(#REF!,"AAAAAD6vtzs=")</f>
        <v>#REF!</v>
      </c>
      <c r="BI431" t="e">
        <f>AND(#REF!,"AAAAAD6vtzw=")</f>
        <v>#REF!</v>
      </c>
      <c r="BJ431" t="e">
        <f>AND(#REF!,"AAAAAD6vtz0=")</f>
        <v>#REF!</v>
      </c>
      <c r="BK431" t="e">
        <f>AND(#REF!,"AAAAAD6vtz4=")</f>
        <v>#REF!</v>
      </c>
      <c r="BL431" t="e">
        <f>AND(#REF!,"AAAAAD6vtz8=")</f>
        <v>#REF!</v>
      </c>
      <c r="BM431" t="e">
        <f>AND(#REF!,"AAAAAD6vt0A=")</f>
        <v>#REF!</v>
      </c>
      <c r="BN431" t="e">
        <f>AND(#REF!,"AAAAAD6vt0E=")</f>
        <v>#REF!</v>
      </c>
      <c r="BO431" t="e">
        <f>IF(#REF!,"AAAAAD6vt0I=",0)</f>
        <v>#REF!</v>
      </c>
      <c r="BP431" t="e">
        <f>AND(#REF!,"AAAAAD6vt0M=")</f>
        <v>#REF!</v>
      </c>
      <c r="BQ431" t="e">
        <f>AND(#REF!,"AAAAAD6vt0Q=")</f>
        <v>#REF!</v>
      </c>
      <c r="BR431" t="e">
        <f>AND(#REF!,"AAAAAD6vt0U=")</f>
        <v>#REF!</v>
      </c>
      <c r="BS431" t="e">
        <f>AND(#REF!,"AAAAAD6vt0Y=")</f>
        <v>#REF!</v>
      </c>
      <c r="BT431" t="e">
        <f>AND(#REF!,"AAAAAD6vt0c=")</f>
        <v>#REF!</v>
      </c>
      <c r="BU431" t="e">
        <f>AND(#REF!,"AAAAAD6vt0g=")</f>
        <v>#REF!</v>
      </c>
      <c r="BV431" t="e">
        <f>AND(#REF!,"AAAAAD6vt0k=")</f>
        <v>#REF!</v>
      </c>
      <c r="BW431" t="e">
        <f>AND(#REF!,"AAAAAD6vt0o=")</f>
        <v>#REF!</v>
      </c>
      <c r="BX431" t="e">
        <f>AND(#REF!,"AAAAAD6vt0s=")</f>
        <v>#REF!</v>
      </c>
      <c r="BY431" t="e">
        <f>AND(#REF!,"AAAAAD6vt0w=")</f>
        <v>#REF!</v>
      </c>
      <c r="BZ431" t="e">
        <f>IF(#REF!,"AAAAAD6vt00=",0)</f>
        <v>#REF!</v>
      </c>
      <c r="CA431" t="e">
        <f>AND(#REF!,"AAAAAD6vt04=")</f>
        <v>#REF!</v>
      </c>
      <c r="CB431" t="e">
        <f>AND(#REF!,"AAAAAD6vt08=")</f>
        <v>#REF!</v>
      </c>
      <c r="CC431" t="e">
        <f>AND(#REF!,"AAAAAD6vt1A=")</f>
        <v>#REF!</v>
      </c>
      <c r="CD431" t="e">
        <f>AND(#REF!,"AAAAAD6vt1E=")</f>
        <v>#REF!</v>
      </c>
      <c r="CE431" t="e">
        <f>AND(#REF!,"AAAAAD6vt1I=")</f>
        <v>#REF!</v>
      </c>
      <c r="CF431" t="e">
        <f>AND(#REF!,"AAAAAD6vt1M=")</f>
        <v>#REF!</v>
      </c>
      <c r="CG431" t="e">
        <f>AND(#REF!,"AAAAAD6vt1Q=")</f>
        <v>#REF!</v>
      </c>
      <c r="CH431" t="e">
        <f>AND(#REF!,"AAAAAD6vt1U=")</f>
        <v>#REF!</v>
      </c>
      <c r="CI431" t="e">
        <f>AND(#REF!,"AAAAAD6vt1Y=")</f>
        <v>#REF!</v>
      </c>
      <c r="CJ431" t="e">
        <f>AND(#REF!,"AAAAAD6vt1c=")</f>
        <v>#REF!</v>
      </c>
      <c r="CK431" t="e">
        <f>IF(#REF!,"AAAAAD6vt1g=",0)</f>
        <v>#REF!</v>
      </c>
      <c r="CL431" t="e">
        <f>AND(#REF!,"AAAAAD6vt1k=")</f>
        <v>#REF!</v>
      </c>
      <c r="CM431" t="e">
        <f>AND(#REF!,"AAAAAD6vt1o=")</f>
        <v>#REF!</v>
      </c>
      <c r="CN431" t="e">
        <f>AND(#REF!,"AAAAAD6vt1s=")</f>
        <v>#REF!</v>
      </c>
      <c r="CO431" t="e">
        <f>AND(#REF!,"AAAAAD6vt1w=")</f>
        <v>#REF!</v>
      </c>
      <c r="CP431" t="e">
        <f>AND(#REF!,"AAAAAD6vt10=")</f>
        <v>#REF!</v>
      </c>
      <c r="CQ431" t="e">
        <f>AND(#REF!,"AAAAAD6vt14=")</f>
        <v>#REF!</v>
      </c>
      <c r="CR431" t="e">
        <f>AND(#REF!,"AAAAAD6vt18=")</f>
        <v>#REF!</v>
      </c>
      <c r="CS431" t="e">
        <f>AND(#REF!,"AAAAAD6vt2A=")</f>
        <v>#REF!</v>
      </c>
      <c r="CT431" t="e">
        <f>AND(#REF!,"AAAAAD6vt2E=")</f>
        <v>#REF!</v>
      </c>
      <c r="CU431" t="e">
        <f>AND(#REF!,"AAAAAD6vt2I=")</f>
        <v>#REF!</v>
      </c>
      <c r="CV431" t="e">
        <f>IF(#REF!,"AAAAAD6vt2M=",0)</f>
        <v>#REF!</v>
      </c>
      <c r="CW431" t="e">
        <f>AND(#REF!,"AAAAAD6vt2Q=")</f>
        <v>#REF!</v>
      </c>
      <c r="CX431" t="e">
        <f>AND(#REF!,"AAAAAD6vt2U=")</f>
        <v>#REF!</v>
      </c>
      <c r="CY431" t="e">
        <f>AND(#REF!,"AAAAAD6vt2Y=")</f>
        <v>#REF!</v>
      </c>
      <c r="CZ431" t="e">
        <f>AND(#REF!,"AAAAAD6vt2c=")</f>
        <v>#REF!</v>
      </c>
      <c r="DA431" t="e">
        <f>AND(#REF!,"AAAAAD6vt2g=")</f>
        <v>#REF!</v>
      </c>
      <c r="DB431" t="e">
        <f>AND(#REF!,"AAAAAD6vt2k=")</f>
        <v>#REF!</v>
      </c>
      <c r="DC431" t="e">
        <f>AND(#REF!,"AAAAAD6vt2o=")</f>
        <v>#REF!</v>
      </c>
      <c r="DD431" t="e">
        <f>AND(#REF!,"AAAAAD6vt2s=")</f>
        <v>#REF!</v>
      </c>
      <c r="DE431" t="e">
        <f>AND(#REF!,"AAAAAD6vt2w=")</f>
        <v>#REF!</v>
      </c>
      <c r="DF431" t="e">
        <f>AND(#REF!,"AAAAAD6vt20=")</f>
        <v>#REF!</v>
      </c>
      <c r="DG431" t="e">
        <f>IF(#REF!,"AAAAAD6vt24=",0)</f>
        <v>#REF!</v>
      </c>
      <c r="DH431" t="e">
        <f>AND(#REF!,"AAAAAD6vt28=")</f>
        <v>#REF!</v>
      </c>
      <c r="DI431" t="e">
        <f>AND(#REF!,"AAAAAD6vt3A=")</f>
        <v>#REF!</v>
      </c>
      <c r="DJ431" t="e">
        <f>AND(#REF!,"AAAAAD6vt3E=")</f>
        <v>#REF!</v>
      </c>
      <c r="DK431" t="e">
        <f>AND(#REF!,"AAAAAD6vt3I=")</f>
        <v>#REF!</v>
      </c>
      <c r="DL431" t="e">
        <f>AND(#REF!,"AAAAAD6vt3M=")</f>
        <v>#REF!</v>
      </c>
      <c r="DM431" t="e">
        <f>AND(#REF!,"AAAAAD6vt3Q=")</f>
        <v>#REF!</v>
      </c>
      <c r="DN431" t="e">
        <f>AND(#REF!,"AAAAAD6vt3U=")</f>
        <v>#REF!</v>
      </c>
      <c r="DO431" t="e">
        <f>AND(#REF!,"AAAAAD6vt3Y=")</f>
        <v>#REF!</v>
      </c>
      <c r="DP431" t="e">
        <f>AND(#REF!,"AAAAAD6vt3c=")</f>
        <v>#REF!</v>
      </c>
      <c r="DQ431" t="e">
        <f>AND(#REF!,"AAAAAD6vt3g=")</f>
        <v>#REF!</v>
      </c>
      <c r="DR431" t="e">
        <f>IF(#REF!,"AAAAAD6vt3k=",0)</f>
        <v>#REF!</v>
      </c>
      <c r="DS431" t="e">
        <f>AND(#REF!,"AAAAAD6vt3o=")</f>
        <v>#REF!</v>
      </c>
      <c r="DT431" t="e">
        <f>AND(#REF!,"AAAAAD6vt3s=")</f>
        <v>#REF!</v>
      </c>
      <c r="DU431" t="e">
        <f>AND(#REF!,"AAAAAD6vt3w=")</f>
        <v>#REF!</v>
      </c>
      <c r="DV431" t="e">
        <f>AND(#REF!,"AAAAAD6vt30=")</f>
        <v>#REF!</v>
      </c>
      <c r="DW431" t="e">
        <f>AND(#REF!,"AAAAAD6vt34=")</f>
        <v>#REF!</v>
      </c>
      <c r="DX431" t="e">
        <f>AND(#REF!,"AAAAAD6vt38=")</f>
        <v>#REF!</v>
      </c>
      <c r="DY431" t="e">
        <f>AND(#REF!,"AAAAAD6vt4A=")</f>
        <v>#REF!</v>
      </c>
      <c r="DZ431" t="e">
        <f>AND(#REF!,"AAAAAD6vt4E=")</f>
        <v>#REF!</v>
      </c>
      <c r="EA431" t="e">
        <f>AND(#REF!,"AAAAAD6vt4I=")</f>
        <v>#REF!</v>
      </c>
      <c r="EB431" t="e">
        <f>AND(#REF!,"AAAAAD6vt4M=")</f>
        <v>#REF!</v>
      </c>
      <c r="EC431" t="e">
        <f>IF(#REF!,"AAAAAD6vt4Q=",0)</f>
        <v>#REF!</v>
      </c>
      <c r="ED431" t="e">
        <f>AND(#REF!,"AAAAAD6vt4U=")</f>
        <v>#REF!</v>
      </c>
      <c r="EE431" t="e">
        <f>AND(#REF!,"AAAAAD6vt4Y=")</f>
        <v>#REF!</v>
      </c>
      <c r="EF431" t="e">
        <f>AND(#REF!,"AAAAAD6vt4c=")</f>
        <v>#REF!</v>
      </c>
      <c r="EG431" t="e">
        <f>AND(#REF!,"AAAAAD6vt4g=")</f>
        <v>#REF!</v>
      </c>
      <c r="EH431" t="e">
        <f>AND(#REF!,"AAAAAD6vt4k=")</f>
        <v>#REF!</v>
      </c>
      <c r="EI431" t="e">
        <f>AND(#REF!,"AAAAAD6vt4o=")</f>
        <v>#REF!</v>
      </c>
      <c r="EJ431" t="e">
        <f>AND(#REF!,"AAAAAD6vt4s=")</f>
        <v>#REF!</v>
      </c>
      <c r="EK431" t="e">
        <f>AND(#REF!,"AAAAAD6vt4w=")</f>
        <v>#REF!</v>
      </c>
      <c r="EL431" t="e">
        <f>AND(#REF!,"AAAAAD6vt40=")</f>
        <v>#REF!</v>
      </c>
      <c r="EM431" t="e">
        <f>AND(#REF!,"AAAAAD6vt44=")</f>
        <v>#REF!</v>
      </c>
      <c r="EN431" t="e">
        <f>IF(#REF!,"AAAAAD6vt48=",0)</f>
        <v>#REF!</v>
      </c>
      <c r="EO431" t="e">
        <f>AND(#REF!,"AAAAAD6vt5A=")</f>
        <v>#REF!</v>
      </c>
      <c r="EP431" t="e">
        <f>AND(#REF!,"AAAAAD6vt5E=")</f>
        <v>#REF!</v>
      </c>
      <c r="EQ431" t="e">
        <f>AND(#REF!,"AAAAAD6vt5I=")</f>
        <v>#REF!</v>
      </c>
      <c r="ER431" t="e">
        <f>AND(#REF!,"AAAAAD6vt5M=")</f>
        <v>#REF!</v>
      </c>
      <c r="ES431" t="e">
        <f>AND(#REF!,"AAAAAD6vt5Q=")</f>
        <v>#REF!</v>
      </c>
      <c r="ET431" t="e">
        <f>AND(#REF!,"AAAAAD6vt5U=")</f>
        <v>#REF!</v>
      </c>
      <c r="EU431" t="e">
        <f>AND(#REF!,"AAAAAD6vt5Y=")</f>
        <v>#REF!</v>
      </c>
      <c r="EV431" t="e">
        <f>AND(#REF!,"AAAAAD6vt5c=")</f>
        <v>#REF!</v>
      </c>
      <c r="EW431" t="e">
        <f>AND(#REF!,"AAAAAD6vt5g=")</f>
        <v>#REF!</v>
      </c>
      <c r="EX431" t="e">
        <f>AND(#REF!,"AAAAAD6vt5k=")</f>
        <v>#REF!</v>
      </c>
      <c r="EY431" t="e">
        <f>IF(#REF!,"AAAAAD6vt5o=",0)</f>
        <v>#REF!</v>
      </c>
      <c r="EZ431" t="e">
        <f>AND(#REF!,"AAAAAD6vt5s=")</f>
        <v>#REF!</v>
      </c>
      <c r="FA431" t="e">
        <f>AND(#REF!,"AAAAAD6vt5w=")</f>
        <v>#REF!</v>
      </c>
      <c r="FB431" t="e">
        <f>AND(#REF!,"AAAAAD6vt50=")</f>
        <v>#REF!</v>
      </c>
      <c r="FC431" t="e">
        <f>AND(#REF!,"AAAAAD6vt54=")</f>
        <v>#REF!</v>
      </c>
      <c r="FD431" t="e">
        <f>AND(#REF!,"AAAAAD6vt58=")</f>
        <v>#REF!</v>
      </c>
      <c r="FE431" t="e">
        <f>AND(#REF!,"AAAAAD6vt6A=")</f>
        <v>#REF!</v>
      </c>
      <c r="FF431" t="e">
        <f>AND(#REF!,"AAAAAD6vt6E=")</f>
        <v>#REF!</v>
      </c>
      <c r="FG431" t="e">
        <f>AND(#REF!,"AAAAAD6vt6I=")</f>
        <v>#REF!</v>
      </c>
      <c r="FH431" t="e">
        <f>AND(#REF!,"AAAAAD6vt6M=")</f>
        <v>#REF!</v>
      </c>
      <c r="FI431" t="e">
        <f>AND(#REF!,"AAAAAD6vt6Q=")</f>
        <v>#REF!</v>
      </c>
      <c r="FJ431" t="e">
        <f>IF(#REF!,"AAAAAD6vt6U=",0)</f>
        <v>#REF!</v>
      </c>
      <c r="FK431" t="e">
        <f>AND(#REF!,"AAAAAD6vt6Y=")</f>
        <v>#REF!</v>
      </c>
      <c r="FL431" t="e">
        <f>AND(#REF!,"AAAAAD6vt6c=")</f>
        <v>#REF!</v>
      </c>
      <c r="FM431" t="e">
        <f>AND(#REF!,"AAAAAD6vt6g=")</f>
        <v>#REF!</v>
      </c>
      <c r="FN431" t="e">
        <f>AND(#REF!,"AAAAAD6vt6k=")</f>
        <v>#REF!</v>
      </c>
      <c r="FO431" t="e">
        <f>AND(#REF!,"AAAAAD6vt6o=")</f>
        <v>#REF!</v>
      </c>
      <c r="FP431" t="e">
        <f>AND(#REF!,"AAAAAD6vt6s=")</f>
        <v>#REF!</v>
      </c>
      <c r="FQ431" t="e">
        <f>AND(#REF!,"AAAAAD6vt6w=")</f>
        <v>#REF!</v>
      </c>
      <c r="FR431" t="e">
        <f>AND(#REF!,"AAAAAD6vt60=")</f>
        <v>#REF!</v>
      </c>
      <c r="FS431" t="e">
        <f>AND(#REF!,"AAAAAD6vt64=")</f>
        <v>#REF!</v>
      </c>
      <c r="FT431" t="e">
        <f>AND(#REF!,"AAAAAD6vt68=")</f>
        <v>#REF!</v>
      </c>
      <c r="FU431" t="e">
        <f>IF(#REF!,"AAAAAD6vt7A=",0)</f>
        <v>#REF!</v>
      </c>
      <c r="FV431" t="e">
        <f>AND(#REF!,"AAAAAD6vt7E=")</f>
        <v>#REF!</v>
      </c>
      <c r="FW431" t="e">
        <f>AND(#REF!,"AAAAAD6vt7I=")</f>
        <v>#REF!</v>
      </c>
      <c r="FX431" t="e">
        <f>AND(#REF!,"AAAAAD6vt7M=")</f>
        <v>#REF!</v>
      </c>
      <c r="FY431" t="e">
        <f>AND(#REF!,"AAAAAD6vt7Q=")</f>
        <v>#REF!</v>
      </c>
      <c r="FZ431" t="e">
        <f>AND(#REF!,"AAAAAD6vt7U=")</f>
        <v>#REF!</v>
      </c>
      <c r="GA431" t="e">
        <f>AND(#REF!,"AAAAAD6vt7Y=")</f>
        <v>#REF!</v>
      </c>
      <c r="GB431" t="e">
        <f>AND(#REF!,"AAAAAD6vt7c=")</f>
        <v>#REF!</v>
      </c>
      <c r="GC431" t="e">
        <f>AND(#REF!,"AAAAAD6vt7g=")</f>
        <v>#REF!</v>
      </c>
      <c r="GD431" t="e">
        <f>AND(#REF!,"AAAAAD6vt7k=")</f>
        <v>#REF!</v>
      </c>
      <c r="GE431" t="e">
        <f>AND(#REF!,"AAAAAD6vt7o=")</f>
        <v>#REF!</v>
      </c>
      <c r="GF431" t="e">
        <f>IF(#REF!,"AAAAAD6vt7s=",0)</f>
        <v>#REF!</v>
      </c>
      <c r="GG431" t="e">
        <f>AND(#REF!,"AAAAAD6vt7w=")</f>
        <v>#REF!</v>
      </c>
      <c r="GH431" t="e">
        <f>AND(#REF!,"AAAAAD6vt70=")</f>
        <v>#REF!</v>
      </c>
      <c r="GI431" t="e">
        <f>AND(#REF!,"AAAAAD6vt74=")</f>
        <v>#REF!</v>
      </c>
      <c r="GJ431" t="e">
        <f>AND(#REF!,"AAAAAD6vt78=")</f>
        <v>#REF!</v>
      </c>
      <c r="GK431" t="e">
        <f>AND(#REF!,"AAAAAD6vt8A=")</f>
        <v>#REF!</v>
      </c>
      <c r="GL431" t="e">
        <f>AND(#REF!,"AAAAAD6vt8E=")</f>
        <v>#REF!</v>
      </c>
      <c r="GM431" t="e">
        <f>AND(#REF!,"AAAAAD6vt8I=")</f>
        <v>#REF!</v>
      </c>
      <c r="GN431" t="e">
        <f>AND(#REF!,"AAAAAD6vt8M=")</f>
        <v>#REF!</v>
      </c>
      <c r="GO431" t="e">
        <f>AND(#REF!,"AAAAAD6vt8Q=")</f>
        <v>#REF!</v>
      </c>
      <c r="GP431" t="e">
        <f>AND(#REF!,"AAAAAD6vt8U=")</f>
        <v>#REF!</v>
      </c>
      <c r="GQ431" t="e">
        <f>IF(#REF!,"AAAAAD6vt8Y=",0)</f>
        <v>#REF!</v>
      </c>
      <c r="GR431" t="e">
        <f>AND(#REF!,"AAAAAD6vt8c=")</f>
        <v>#REF!</v>
      </c>
      <c r="GS431" t="e">
        <f>AND(#REF!,"AAAAAD6vt8g=")</f>
        <v>#REF!</v>
      </c>
      <c r="GT431" t="e">
        <f>AND(#REF!,"AAAAAD6vt8k=")</f>
        <v>#REF!</v>
      </c>
      <c r="GU431" t="e">
        <f>AND(#REF!,"AAAAAD6vt8o=")</f>
        <v>#REF!</v>
      </c>
      <c r="GV431" t="e">
        <f>AND(#REF!,"AAAAAD6vt8s=")</f>
        <v>#REF!</v>
      </c>
      <c r="GW431" t="e">
        <f>AND(#REF!,"AAAAAD6vt8w=")</f>
        <v>#REF!</v>
      </c>
      <c r="GX431" t="e">
        <f>AND(#REF!,"AAAAAD6vt80=")</f>
        <v>#REF!</v>
      </c>
      <c r="GY431" t="e">
        <f>AND(#REF!,"AAAAAD6vt84=")</f>
        <v>#REF!</v>
      </c>
      <c r="GZ431" t="e">
        <f>AND(#REF!,"AAAAAD6vt88=")</f>
        <v>#REF!</v>
      </c>
      <c r="HA431" t="e">
        <f>AND(#REF!,"AAAAAD6vt9A=")</f>
        <v>#REF!</v>
      </c>
      <c r="HB431" t="e">
        <f>IF(#REF!,"AAAAAD6vt9E=",0)</f>
        <v>#REF!</v>
      </c>
      <c r="HC431" t="e">
        <f>AND(#REF!,"AAAAAD6vt9I=")</f>
        <v>#REF!</v>
      </c>
      <c r="HD431" t="e">
        <f>AND(#REF!,"AAAAAD6vt9M=")</f>
        <v>#REF!</v>
      </c>
      <c r="HE431" t="e">
        <f>AND(#REF!,"AAAAAD6vt9Q=")</f>
        <v>#REF!</v>
      </c>
      <c r="HF431" t="e">
        <f>AND(#REF!,"AAAAAD6vt9U=")</f>
        <v>#REF!</v>
      </c>
      <c r="HG431" t="e">
        <f>AND(#REF!,"AAAAAD6vt9Y=")</f>
        <v>#REF!</v>
      </c>
      <c r="HH431" t="e">
        <f>AND(#REF!,"AAAAAD6vt9c=")</f>
        <v>#REF!</v>
      </c>
      <c r="HI431" t="e">
        <f>AND(#REF!,"AAAAAD6vt9g=")</f>
        <v>#REF!</v>
      </c>
      <c r="HJ431" t="e">
        <f>AND(#REF!,"AAAAAD6vt9k=")</f>
        <v>#REF!</v>
      </c>
      <c r="HK431" t="e">
        <f>AND(#REF!,"AAAAAD6vt9o=")</f>
        <v>#REF!</v>
      </c>
      <c r="HL431" t="e">
        <f>AND(#REF!,"AAAAAD6vt9s=")</f>
        <v>#REF!</v>
      </c>
      <c r="HM431" t="e">
        <f>IF(#REF!,"AAAAAD6vt9w=",0)</f>
        <v>#REF!</v>
      </c>
      <c r="HN431" t="e">
        <f>AND(#REF!,"AAAAAD6vt90=")</f>
        <v>#REF!</v>
      </c>
      <c r="HO431" t="e">
        <f>AND(#REF!,"AAAAAD6vt94=")</f>
        <v>#REF!</v>
      </c>
      <c r="HP431" t="e">
        <f>AND(#REF!,"AAAAAD6vt98=")</f>
        <v>#REF!</v>
      </c>
      <c r="HQ431" t="e">
        <f>AND(#REF!,"AAAAAD6vt+A=")</f>
        <v>#REF!</v>
      </c>
      <c r="HR431" t="e">
        <f>AND(#REF!,"AAAAAD6vt+E=")</f>
        <v>#REF!</v>
      </c>
      <c r="HS431" t="e">
        <f>AND(#REF!,"AAAAAD6vt+I=")</f>
        <v>#REF!</v>
      </c>
      <c r="HT431" t="e">
        <f>AND(#REF!,"AAAAAD6vt+M=")</f>
        <v>#REF!</v>
      </c>
      <c r="HU431" t="e">
        <f>AND(#REF!,"AAAAAD6vt+Q=")</f>
        <v>#REF!</v>
      </c>
      <c r="HV431" t="e">
        <f>AND(#REF!,"AAAAAD6vt+U=")</f>
        <v>#REF!</v>
      </c>
      <c r="HW431" t="e">
        <f>AND(#REF!,"AAAAAD6vt+Y=")</f>
        <v>#REF!</v>
      </c>
      <c r="HX431" t="e">
        <f>IF(#REF!,"AAAAAD6vt+c=",0)</f>
        <v>#REF!</v>
      </c>
      <c r="HY431" t="e">
        <f>AND(#REF!,"AAAAAD6vt+g=")</f>
        <v>#REF!</v>
      </c>
      <c r="HZ431" t="e">
        <f>AND(#REF!,"AAAAAD6vt+k=")</f>
        <v>#REF!</v>
      </c>
      <c r="IA431" t="e">
        <f>AND(#REF!,"AAAAAD6vt+o=")</f>
        <v>#REF!</v>
      </c>
      <c r="IB431" t="e">
        <f>AND(#REF!,"AAAAAD6vt+s=")</f>
        <v>#REF!</v>
      </c>
      <c r="IC431" t="e">
        <f>AND(#REF!,"AAAAAD6vt+w=")</f>
        <v>#REF!</v>
      </c>
      <c r="ID431" t="e">
        <f>AND(#REF!,"AAAAAD6vt+0=")</f>
        <v>#REF!</v>
      </c>
      <c r="IE431" t="e">
        <f>AND(#REF!,"AAAAAD6vt+4=")</f>
        <v>#REF!</v>
      </c>
      <c r="IF431" t="e">
        <f>AND(#REF!,"AAAAAD6vt+8=")</f>
        <v>#REF!</v>
      </c>
      <c r="IG431" t="e">
        <f>AND(#REF!,"AAAAAD6vt/A=")</f>
        <v>#REF!</v>
      </c>
      <c r="IH431" t="e">
        <f>AND(#REF!,"AAAAAD6vt/E=")</f>
        <v>#REF!</v>
      </c>
      <c r="II431" t="e">
        <f>IF(#REF!,"AAAAAD6vt/I=",0)</f>
        <v>#REF!</v>
      </c>
      <c r="IJ431" t="e">
        <f>AND(#REF!,"AAAAAD6vt/M=")</f>
        <v>#REF!</v>
      </c>
      <c r="IK431" t="e">
        <f>AND(#REF!,"AAAAAD6vt/Q=")</f>
        <v>#REF!</v>
      </c>
      <c r="IL431" t="e">
        <f>AND(#REF!,"AAAAAD6vt/U=")</f>
        <v>#REF!</v>
      </c>
      <c r="IM431" t="e">
        <f>AND(#REF!,"AAAAAD6vt/Y=")</f>
        <v>#REF!</v>
      </c>
      <c r="IN431" t="e">
        <f>AND(#REF!,"AAAAAD6vt/c=")</f>
        <v>#REF!</v>
      </c>
      <c r="IO431" t="e">
        <f>AND(#REF!,"AAAAAD6vt/g=")</f>
        <v>#REF!</v>
      </c>
      <c r="IP431" t="e">
        <f>AND(#REF!,"AAAAAD6vt/k=")</f>
        <v>#REF!</v>
      </c>
      <c r="IQ431" t="e">
        <f>AND(#REF!,"AAAAAD6vt/o=")</f>
        <v>#REF!</v>
      </c>
      <c r="IR431" t="e">
        <f>AND(#REF!,"AAAAAD6vt/s=")</f>
        <v>#REF!</v>
      </c>
      <c r="IS431" t="e">
        <f>AND(#REF!,"AAAAAD6vt/w=")</f>
        <v>#REF!</v>
      </c>
      <c r="IT431" t="e">
        <f>IF(#REF!,"AAAAAD6vt/0=",0)</f>
        <v>#REF!</v>
      </c>
      <c r="IU431" t="e">
        <f>AND(#REF!,"AAAAAD6vt/4=")</f>
        <v>#REF!</v>
      </c>
      <c r="IV431" t="e">
        <f>AND(#REF!,"AAAAAD6vt/8=")</f>
        <v>#REF!</v>
      </c>
    </row>
    <row r="432" spans="1:256" x14ac:dyDescent="0.25">
      <c r="A432" t="e">
        <f>AND(#REF!,"AAAAAH+m9QA=")</f>
        <v>#REF!</v>
      </c>
      <c r="B432" t="e">
        <f>AND(#REF!,"AAAAAH+m9QE=")</f>
        <v>#REF!</v>
      </c>
      <c r="C432" t="e">
        <f>AND(#REF!,"AAAAAH+m9QI=")</f>
        <v>#REF!</v>
      </c>
      <c r="D432" t="e">
        <f>AND(#REF!,"AAAAAH+m9QM=")</f>
        <v>#REF!</v>
      </c>
      <c r="E432" t="e">
        <f>AND(#REF!,"AAAAAH+m9QQ=")</f>
        <v>#REF!</v>
      </c>
      <c r="F432" t="e">
        <f>AND(#REF!,"AAAAAH+m9QU=")</f>
        <v>#REF!</v>
      </c>
      <c r="G432" t="e">
        <f>AND(#REF!,"AAAAAH+m9QY=")</f>
        <v>#REF!</v>
      </c>
      <c r="H432" t="e">
        <f>AND(#REF!,"AAAAAH+m9Qc=")</f>
        <v>#REF!</v>
      </c>
      <c r="I432" t="e">
        <f>IF(#REF!,"AAAAAH+m9Qg=",0)</f>
        <v>#REF!</v>
      </c>
      <c r="J432" t="e">
        <f>AND(#REF!,"AAAAAH+m9Qk=")</f>
        <v>#REF!</v>
      </c>
      <c r="K432" t="e">
        <f>AND(#REF!,"AAAAAH+m9Qo=")</f>
        <v>#REF!</v>
      </c>
      <c r="L432" t="e">
        <f>AND(#REF!,"AAAAAH+m9Qs=")</f>
        <v>#REF!</v>
      </c>
      <c r="M432" t="e">
        <f>AND(#REF!,"AAAAAH+m9Qw=")</f>
        <v>#REF!</v>
      </c>
      <c r="N432" t="e">
        <f>AND(#REF!,"AAAAAH+m9Q0=")</f>
        <v>#REF!</v>
      </c>
      <c r="O432" t="e">
        <f>AND(#REF!,"AAAAAH+m9Q4=")</f>
        <v>#REF!</v>
      </c>
      <c r="P432" t="e">
        <f>AND(#REF!,"AAAAAH+m9Q8=")</f>
        <v>#REF!</v>
      </c>
      <c r="Q432" t="e">
        <f>AND(#REF!,"AAAAAH+m9RA=")</f>
        <v>#REF!</v>
      </c>
      <c r="R432" t="e">
        <f>AND(#REF!,"AAAAAH+m9RE=")</f>
        <v>#REF!</v>
      </c>
      <c r="S432" t="e">
        <f>AND(#REF!,"AAAAAH+m9RI=")</f>
        <v>#REF!</v>
      </c>
      <c r="T432" t="e">
        <f>IF(#REF!,"AAAAAH+m9RM=",0)</f>
        <v>#REF!</v>
      </c>
      <c r="U432" t="e">
        <f>AND(#REF!,"AAAAAH+m9RQ=")</f>
        <v>#REF!</v>
      </c>
      <c r="V432" t="e">
        <f>AND(#REF!,"AAAAAH+m9RU=")</f>
        <v>#REF!</v>
      </c>
      <c r="W432" t="e">
        <f>AND(#REF!,"AAAAAH+m9RY=")</f>
        <v>#REF!</v>
      </c>
      <c r="X432" t="e">
        <f>AND(#REF!,"AAAAAH+m9Rc=")</f>
        <v>#REF!</v>
      </c>
      <c r="Y432" t="e">
        <f>AND(#REF!,"AAAAAH+m9Rg=")</f>
        <v>#REF!</v>
      </c>
      <c r="Z432" t="e">
        <f>AND(#REF!,"AAAAAH+m9Rk=")</f>
        <v>#REF!</v>
      </c>
      <c r="AA432" t="e">
        <f>AND(#REF!,"AAAAAH+m9Ro=")</f>
        <v>#REF!</v>
      </c>
      <c r="AB432" t="e">
        <f>AND(#REF!,"AAAAAH+m9Rs=")</f>
        <v>#REF!</v>
      </c>
      <c r="AC432" t="e">
        <f>AND(#REF!,"AAAAAH+m9Rw=")</f>
        <v>#REF!</v>
      </c>
      <c r="AD432" t="e">
        <f>AND(#REF!,"AAAAAH+m9R0=")</f>
        <v>#REF!</v>
      </c>
      <c r="AE432" t="e">
        <f>IF(#REF!,"AAAAAH+m9R4=",0)</f>
        <v>#REF!</v>
      </c>
      <c r="AF432" t="e">
        <f>AND(#REF!,"AAAAAH+m9R8=")</f>
        <v>#REF!</v>
      </c>
      <c r="AG432" t="e">
        <f>AND(#REF!,"AAAAAH+m9SA=")</f>
        <v>#REF!</v>
      </c>
      <c r="AH432" t="e">
        <f>AND(#REF!,"AAAAAH+m9SE=")</f>
        <v>#REF!</v>
      </c>
      <c r="AI432" t="e">
        <f>AND(#REF!,"AAAAAH+m9SI=")</f>
        <v>#REF!</v>
      </c>
      <c r="AJ432" t="e">
        <f>AND(#REF!,"AAAAAH+m9SM=")</f>
        <v>#REF!</v>
      </c>
      <c r="AK432" t="e">
        <f>AND(#REF!,"AAAAAH+m9SQ=")</f>
        <v>#REF!</v>
      </c>
      <c r="AL432" t="e">
        <f>AND(#REF!,"AAAAAH+m9SU=")</f>
        <v>#REF!</v>
      </c>
      <c r="AM432" t="e">
        <f>AND(#REF!,"AAAAAH+m9SY=")</f>
        <v>#REF!</v>
      </c>
      <c r="AN432" t="e">
        <f>AND(#REF!,"AAAAAH+m9Sc=")</f>
        <v>#REF!</v>
      </c>
      <c r="AO432" t="e">
        <f>AND(#REF!,"AAAAAH+m9Sg=")</f>
        <v>#REF!</v>
      </c>
      <c r="AP432" t="e">
        <f>IF(#REF!,"AAAAAH+m9Sk=",0)</f>
        <v>#REF!</v>
      </c>
      <c r="AQ432" t="e">
        <f>AND(#REF!,"AAAAAH+m9So=")</f>
        <v>#REF!</v>
      </c>
      <c r="AR432" t="e">
        <f>AND(#REF!,"AAAAAH+m9Ss=")</f>
        <v>#REF!</v>
      </c>
      <c r="AS432" t="e">
        <f>AND(#REF!,"AAAAAH+m9Sw=")</f>
        <v>#REF!</v>
      </c>
      <c r="AT432" t="e">
        <f>AND(#REF!,"AAAAAH+m9S0=")</f>
        <v>#REF!</v>
      </c>
      <c r="AU432" t="e">
        <f>AND(#REF!,"AAAAAH+m9S4=")</f>
        <v>#REF!</v>
      </c>
      <c r="AV432" t="e">
        <f>AND(#REF!,"AAAAAH+m9S8=")</f>
        <v>#REF!</v>
      </c>
      <c r="AW432" t="e">
        <f>AND(#REF!,"AAAAAH+m9TA=")</f>
        <v>#REF!</v>
      </c>
      <c r="AX432" t="e">
        <f>AND(#REF!,"AAAAAH+m9TE=")</f>
        <v>#REF!</v>
      </c>
      <c r="AY432" t="e">
        <f>AND(#REF!,"AAAAAH+m9TI=")</f>
        <v>#REF!</v>
      </c>
      <c r="AZ432" t="e">
        <f>AND(#REF!,"AAAAAH+m9TM=")</f>
        <v>#REF!</v>
      </c>
      <c r="BA432" t="e">
        <f>IF(#REF!,"AAAAAH+m9TQ=",0)</f>
        <v>#REF!</v>
      </c>
      <c r="BB432" t="e">
        <f>AND(#REF!,"AAAAAH+m9TU=")</f>
        <v>#REF!</v>
      </c>
      <c r="BC432" t="e">
        <f>AND(#REF!,"AAAAAH+m9TY=")</f>
        <v>#REF!</v>
      </c>
      <c r="BD432" t="e">
        <f>AND(#REF!,"AAAAAH+m9Tc=")</f>
        <v>#REF!</v>
      </c>
      <c r="BE432" t="e">
        <f>AND(#REF!,"AAAAAH+m9Tg=")</f>
        <v>#REF!</v>
      </c>
      <c r="BF432" t="e">
        <f>AND(#REF!,"AAAAAH+m9Tk=")</f>
        <v>#REF!</v>
      </c>
      <c r="BG432" t="e">
        <f>AND(#REF!,"AAAAAH+m9To=")</f>
        <v>#REF!</v>
      </c>
      <c r="BH432" t="e">
        <f>AND(#REF!,"AAAAAH+m9Ts=")</f>
        <v>#REF!</v>
      </c>
      <c r="BI432" t="e">
        <f>AND(#REF!,"AAAAAH+m9Tw=")</f>
        <v>#REF!</v>
      </c>
      <c r="BJ432" t="e">
        <f>AND(#REF!,"AAAAAH+m9T0=")</f>
        <v>#REF!</v>
      </c>
      <c r="BK432" t="e">
        <f>AND(#REF!,"AAAAAH+m9T4=")</f>
        <v>#REF!</v>
      </c>
      <c r="BL432" t="e">
        <f>IF(#REF!,"AAAAAH+m9T8=",0)</f>
        <v>#REF!</v>
      </c>
      <c r="BM432" t="e">
        <f>AND(#REF!,"AAAAAH+m9UA=")</f>
        <v>#REF!</v>
      </c>
      <c r="BN432" t="e">
        <f>AND(#REF!,"AAAAAH+m9UE=")</f>
        <v>#REF!</v>
      </c>
      <c r="BO432" t="e">
        <f>AND(#REF!,"AAAAAH+m9UI=")</f>
        <v>#REF!</v>
      </c>
      <c r="BP432" t="e">
        <f>AND(#REF!,"AAAAAH+m9UM=")</f>
        <v>#REF!</v>
      </c>
      <c r="BQ432" t="e">
        <f>AND(#REF!,"AAAAAH+m9UQ=")</f>
        <v>#REF!</v>
      </c>
      <c r="BR432" t="e">
        <f>AND(#REF!,"AAAAAH+m9UU=")</f>
        <v>#REF!</v>
      </c>
      <c r="BS432" t="e">
        <f>AND(#REF!,"AAAAAH+m9UY=")</f>
        <v>#REF!</v>
      </c>
      <c r="BT432" t="e">
        <f>AND(#REF!,"AAAAAH+m9Uc=")</f>
        <v>#REF!</v>
      </c>
      <c r="BU432" t="e">
        <f>AND(#REF!,"AAAAAH+m9Ug=")</f>
        <v>#REF!</v>
      </c>
      <c r="BV432" t="e">
        <f>AND(#REF!,"AAAAAH+m9Uk=")</f>
        <v>#REF!</v>
      </c>
      <c r="BW432" t="e">
        <f>IF(#REF!,"AAAAAH+m9Uo=",0)</f>
        <v>#REF!</v>
      </c>
      <c r="BX432" t="e">
        <f>AND(#REF!,"AAAAAH+m9Us=")</f>
        <v>#REF!</v>
      </c>
      <c r="BY432" t="e">
        <f>AND(#REF!,"AAAAAH+m9Uw=")</f>
        <v>#REF!</v>
      </c>
      <c r="BZ432" t="e">
        <f>AND(#REF!,"AAAAAH+m9U0=")</f>
        <v>#REF!</v>
      </c>
      <c r="CA432" t="e">
        <f>AND(#REF!,"AAAAAH+m9U4=")</f>
        <v>#REF!</v>
      </c>
      <c r="CB432" t="e">
        <f>AND(#REF!,"AAAAAH+m9U8=")</f>
        <v>#REF!</v>
      </c>
      <c r="CC432" t="e">
        <f>AND(#REF!,"AAAAAH+m9VA=")</f>
        <v>#REF!</v>
      </c>
      <c r="CD432" t="e">
        <f>AND(#REF!,"AAAAAH+m9VE=")</f>
        <v>#REF!</v>
      </c>
      <c r="CE432" t="e">
        <f>AND(#REF!,"AAAAAH+m9VI=")</f>
        <v>#REF!</v>
      </c>
      <c r="CF432" t="e">
        <f>AND(#REF!,"AAAAAH+m9VM=")</f>
        <v>#REF!</v>
      </c>
      <c r="CG432" t="e">
        <f>AND(#REF!,"AAAAAH+m9VQ=")</f>
        <v>#REF!</v>
      </c>
      <c r="CH432" t="e">
        <f>IF(#REF!,"AAAAAH+m9VU=",0)</f>
        <v>#REF!</v>
      </c>
      <c r="CI432" t="e">
        <f>AND(#REF!,"AAAAAH+m9VY=")</f>
        <v>#REF!</v>
      </c>
      <c r="CJ432" t="e">
        <f>AND(#REF!,"AAAAAH+m9Vc=")</f>
        <v>#REF!</v>
      </c>
      <c r="CK432" t="e">
        <f>AND(#REF!,"AAAAAH+m9Vg=")</f>
        <v>#REF!</v>
      </c>
      <c r="CL432" t="e">
        <f>AND(#REF!,"AAAAAH+m9Vk=")</f>
        <v>#REF!</v>
      </c>
      <c r="CM432" t="e">
        <f>AND(#REF!,"AAAAAH+m9Vo=")</f>
        <v>#REF!</v>
      </c>
      <c r="CN432" t="e">
        <f>AND(#REF!,"AAAAAH+m9Vs=")</f>
        <v>#REF!</v>
      </c>
      <c r="CO432" t="e">
        <f>AND(#REF!,"AAAAAH+m9Vw=")</f>
        <v>#REF!</v>
      </c>
      <c r="CP432" t="e">
        <f>AND(#REF!,"AAAAAH+m9V0=")</f>
        <v>#REF!</v>
      </c>
      <c r="CQ432" t="e">
        <f>AND(#REF!,"AAAAAH+m9V4=")</f>
        <v>#REF!</v>
      </c>
      <c r="CR432" t="e">
        <f>AND(#REF!,"AAAAAH+m9V8=")</f>
        <v>#REF!</v>
      </c>
      <c r="CS432" t="e">
        <f>IF(#REF!,"AAAAAH+m9WA=",0)</f>
        <v>#REF!</v>
      </c>
      <c r="CT432" t="e">
        <f>AND(#REF!,"AAAAAH+m9WE=")</f>
        <v>#REF!</v>
      </c>
      <c r="CU432" t="e">
        <f>AND(#REF!,"AAAAAH+m9WI=")</f>
        <v>#REF!</v>
      </c>
      <c r="CV432" t="e">
        <f>AND(#REF!,"AAAAAH+m9WM=")</f>
        <v>#REF!</v>
      </c>
      <c r="CW432" t="e">
        <f>AND(#REF!,"AAAAAH+m9WQ=")</f>
        <v>#REF!</v>
      </c>
      <c r="CX432" t="e">
        <f>AND(#REF!,"AAAAAH+m9WU=")</f>
        <v>#REF!</v>
      </c>
      <c r="CY432" t="e">
        <f>AND(#REF!,"AAAAAH+m9WY=")</f>
        <v>#REF!</v>
      </c>
      <c r="CZ432" t="e">
        <f>AND(#REF!,"AAAAAH+m9Wc=")</f>
        <v>#REF!</v>
      </c>
      <c r="DA432" t="e">
        <f>AND(#REF!,"AAAAAH+m9Wg=")</f>
        <v>#REF!</v>
      </c>
      <c r="DB432" t="e">
        <f>AND(#REF!,"AAAAAH+m9Wk=")</f>
        <v>#REF!</v>
      </c>
      <c r="DC432" t="e">
        <f>AND(#REF!,"AAAAAH+m9Wo=")</f>
        <v>#REF!</v>
      </c>
      <c r="DD432" t="e">
        <f>IF(#REF!,"AAAAAH+m9Ws=",0)</f>
        <v>#REF!</v>
      </c>
      <c r="DE432" t="e">
        <f>AND(#REF!,"AAAAAH+m9Ww=")</f>
        <v>#REF!</v>
      </c>
      <c r="DF432" t="e">
        <f>AND(#REF!,"AAAAAH+m9W0=")</f>
        <v>#REF!</v>
      </c>
      <c r="DG432" t="e">
        <f>AND(#REF!,"AAAAAH+m9W4=")</f>
        <v>#REF!</v>
      </c>
      <c r="DH432" t="e">
        <f>AND(#REF!,"AAAAAH+m9W8=")</f>
        <v>#REF!</v>
      </c>
      <c r="DI432" t="e">
        <f>AND(#REF!,"AAAAAH+m9XA=")</f>
        <v>#REF!</v>
      </c>
      <c r="DJ432" t="e">
        <f>AND(#REF!,"AAAAAH+m9XE=")</f>
        <v>#REF!</v>
      </c>
      <c r="DK432" t="e">
        <f>AND(#REF!,"AAAAAH+m9XI=")</f>
        <v>#REF!</v>
      </c>
      <c r="DL432" t="e">
        <f>AND(#REF!,"AAAAAH+m9XM=")</f>
        <v>#REF!</v>
      </c>
      <c r="DM432" t="e">
        <f>AND(#REF!,"AAAAAH+m9XQ=")</f>
        <v>#REF!</v>
      </c>
      <c r="DN432" t="e">
        <f>AND(#REF!,"AAAAAH+m9XU=")</f>
        <v>#REF!</v>
      </c>
      <c r="DO432" t="e">
        <f>IF(#REF!,"AAAAAH+m9XY=",0)</f>
        <v>#REF!</v>
      </c>
      <c r="DP432" t="e">
        <f>AND(#REF!,"AAAAAH+m9Xc=")</f>
        <v>#REF!</v>
      </c>
      <c r="DQ432" t="e">
        <f>AND(#REF!,"AAAAAH+m9Xg=")</f>
        <v>#REF!</v>
      </c>
      <c r="DR432" t="e">
        <f>AND(#REF!,"AAAAAH+m9Xk=")</f>
        <v>#REF!</v>
      </c>
      <c r="DS432" t="e">
        <f>AND(#REF!,"AAAAAH+m9Xo=")</f>
        <v>#REF!</v>
      </c>
      <c r="DT432" t="e">
        <f>AND(#REF!,"AAAAAH+m9Xs=")</f>
        <v>#REF!</v>
      </c>
      <c r="DU432" t="e">
        <f>AND(#REF!,"AAAAAH+m9Xw=")</f>
        <v>#REF!</v>
      </c>
      <c r="DV432" t="e">
        <f>AND(#REF!,"AAAAAH+m9X0=")</f>
        <v>#REF!</v>
      </c>
      <c r="DW432" t="e">
        <f>AND(#REF!,"AAAAAH+m9X4=")</f>
        <v>#REF!</v>
      </c>
      <c r="DX432" t="e">
        <f>AND(#REF!,"AAAAAH+m9X8=")</f>
        <v>#REF!</v>
      </c>
      <c r="DY432" t="e">
        <f>AND(#REF!,"AAAAAH+m9YA=")</f>
        <v>#REF!</v>
      </c>
      <c r="DZ432" t="e">
        <f>IF(#REF!,"AAAAAH+m9YE=",0)</f>
        <v>#REF!</v>
      </c>
      <c r="EA432" t="e">
        <f>AND(#REF!,"AAAAAH+m9YI=")</f>
        <v>#REF!</v>
      </c>
      <c r="EB432" t="e">
        <f>AND(#REF!,"AAAAAH+m9YM=")</f>
        <v>#REF!</v>
      </c>
      <c r="EC432" t="e">
        <f>AND(#REF!,"AAAAAH+m9YQ=")</f>
        <v>#REF!</v>
      </c>
      <c r="ED432" t="e">
        <f>AND(#REF!,"AAAAAH+m9YU=")</f>
        <v>#REF!</v>
      </c>
      <c r="EE432" t="e">
        <f>AND(#REF!,"AAAAAH+m9YY=")</f>
        <v>#REF!</v>
      </c>
      <c r="EF432" t="e">
        <f>AND(#REF!,"AAAAAH+m9Yc=")</f>
        <v>#REF!</v>
      </c>
      <c r="EG432" t="e">
        <f>AND(#REF!,"AAAAAH+m9Yg=")</f>
        <v>#REF!</v>
      </c>
      <c r="EH432" t="e">
        <f>AND(#REF!,"AAAAAH+m9Yk=")</f>
        <v>#REF!</v>
      </c>
      <c r="EI432" t="e">
        <f>AND(#REF!,"AAAAAH+m9Yo=")</f>
        <v>#REF!</v>
      </c>
      <c r="EJ432" t="e">
        <f>AND(#REF!,"AAAAAH+m9Ys=")</f>
        <v>#REF!</v>
      </c>
      <c r="EK432" t="e">
        <f>IF(#REF!,"AAAAAH+m9Yw=",0)</f>
        <v>#REF!</v>
      </c>
      <c r="EL432" t="e">
        <f>AND(#REF!,"AAAAAH+m9Y0=")</f>
        <v>#REF!</v>
      </c>
      <c r="EM432" t="e">
        <f>AND(#REF!,"AAAAAH+m9Y4=")</f>
        <v>#REF!</v>
      </c>
      <c r="EN432" t="e">
        <f>AND(#REF!,"AAAAAH+m9Y8=")</f>
        <v>#REF!</v>
      </c>
      <c r="EO432" t="e">
        <f>AND(#REF!,"AAAAAH+m9ZA=")</f>
        <v>#REF!</v>
      </c>
      <c r="EP432" t="e">
        <f>AND(#REF!,"AAAAAH+m9ZE=")</f>
        <v>#REF!</v>
      </c>
      <c r="EQ432" t="e">
        <f>AND(#REF!,"AAAAAH+m9ZI=")</f>
        <v>#REF!</v>
      </c>
      <c r="ER432" t="e">
        <f>AND(#REF!,"AAAAAH+m9ZM=")</f>
        <v>#REF!</v>
      </c>
      <c r="ES432" t="e">
        <f>AND(#REF!,"AAAAAH+m9ZQ=")</f>
        <v>#REF!</v>
      </c>
      <c r="ET432" t="e">
        <f>AND(#REF!,"AAAAAH+m9ZU=")</f>
        <v>#REF!</v>
      </c>
      <c r="EU432" t="e">
        <f>AND(#REF!,"AAAAAH+m9ZY=")</f>
        <v>#REF!</v>
      </c>
      <c r="EV432" t="e">
        <f>IF(#REF!,"AAAAAH+m9Zc=",0)</f>
        <v>#REF!</v>
      </c>
      <c r="EW432" t="e">
        <f>AND(#REF!,"AAAAAH+m9Zg=")</f>
        <v>#REF!</v>
      </c>
      <c r="EX432" t="e">
        <f>AND(#REF!,"AAAAAH+m9Zk=")</f>
        <v>#REF!</v>
      </c>
      <c r="EY432" t="e">
        <f>AND(#REF!,"AAAAAH+m9Zo=")</f>
        <v>#REF!</v>
      </c>
      <c r="EZ432" t="e">
        <f>AND(#REF!,"AAAAAH+m9Zs=")</f>
        <v>#REF!</v>
      </c>
      <c r="FA432" t="e">
        <f>AND(#REF!,"AAAAAH+m9Zw=")</f>
        <v>#REF!</v>
      </c>
      <c r="FB432" t="e">
        <f>AND(#REF!,"AAAAAH+m9Z0=")</f>
        <v>#REF!</v>
      </c>
      <c r="FC432" t="e">
        <f>AND(#REF!,"AAAAAH+m9Z4=")</f>
        <v>#REF!</v>
      </c>
      <c r="FD432" t="e">
        <f>AND(#REF!,"AAAAAH+m9Z8=")</f>
        <v>#REF!</v>
      </c>
      <c r="FE432" t="e">
        <f>AND(#REF!,"AAAAAH+m9aA=")</f>
        <v>#REF!</v>
      </c>
      <c r="FF432" t="e">
        <f>AND(#REF!,"AAAAAH+m9aE=")</f>
        <v>#REF!</v>
      </c>
      <c r="FG432" t="e">
        <f>IF(#REF!,"AAAAAH+m9aI=",0)</f>
        <v>#REF!</v>
      </c>
      <c r="FH432" t="e">
        <f>AND(#REF!,"AAAAAH+m9aM=")</f>
        <v>#REF!</v>
      </c>
      <c r="FI432" t="e">
        <f>AND(#REF!,"AAAAAH+m9aQ=")</f>
        <v>#REF!</v>
      </c>
      <c r="FJ432" t="e">
        <f>AND(#REF!,"AAAAAH+m9aU=")</f>
        <v>#REF!</v>
      </c>
      <c r="FK432" t="e">
        <f>AND(#REF!,"AAAAAH+m9aY=")</f>
        <v>#REF!</v>
      </c>
      <c r="FL432" t="e">
        <f>AND(#REF!,"AAAAAH+m9ac=")</f>
        <v>#REF!</v>
      </c>
      <c r="FM432" t="e">
        <f>AND(#REF!,"AAAAAH+m9ag=")</f>
        <v>#REF!</v>
      </c>
      <c r="FN432" t="e">
        <f>AND(#REF!,"AAAAAH+m9ak=")</f>
        <v>#REF!</v>
      </c>
      <c r="FO432" t="e">
        <f>AND(#REF!,"AAAAAH+m9ao=")</f>
        <v>#REF!</v>
      </c>
      <c r="FP432" t="e">
        <f>AND(#REF!,"AAAAAH+m9as=")</f>
        <v>#REF!</v>
      </c>
      <c r="FQ432" t="e">
        <f>AND(#REF!,"AAAAAH+m9aw=")</f>
        <v>#REF!</v>
      </c>
      <c r="FR432" t="e">
        <f>IF(#REF!,"AAAAAH+m9a0=",0)</f>
        <v>#REF!</v>
      </c>
      <c r="FS432" t="e">
        <f>AND(#REF!,"AAAAAH+m9a4=")</f>
        <v>#REF!</v>
      </c>
      <c r="FT432" t="e">
        <f>AND(#REF!,"AAAAAH+m9a8=")</f>
        <v>#REF!</v>
      </c>
      <c r="FU432" t="e">
        <f>AND(#REF!,"AAAAAH+m9bA=")</f>
        <v>#REF!</v>
      </c>
      <c r="FV432" t="e">
        <f>AND(#REF!,"AAAAAH+m9bE=")</f>
        <v>#REF!</v>
      </c>
      <c r="FW432" t="e">
        <f>AND(#REF!,"AAAAAH+m9bI=")</f>
        <v>#REF!</v>
      </c>
      <c r="FX432" t="e">
        <f>AND(#REF!,"AAAAAH+m9bM=")</f>
        <v>#REF!</v>
      </c>
      <c r="FY432" t="e">
        <f>AND(#REF!,"AAAAAH+m9bQ=")</f>
        <v>#REF!</v>
      </c>
      <c r="FZ432" t="e">
        <f>AND(#REF!,"AAAAAH+m9bU=")</f>
        <v>#REF!</v>
      </c>
      <c r="GA432" t="e">
        <f>AND(#REF!,"AAAAAH+m9bY=")</f>
        <v>#REF!</v>
      </c>
      <c r="GB432" t="e">
        <f>AND(#REF!,"AAAAAH+m9bc=")</f>
        <v>#REF!</v>
      </c>
      <c r="GC432" t="e">
        <f>IF(#REF!,"AAAAAH+m9bg=",0)</f>
        <v>#REF!</v>
      </c>
      <c r="GD432" t="e">
        <f>AND(#REF!,"AAAAAH+m9bk=")</f>
        <v>#REF!</v>
      </c>
      <c r="GE432" t="e">
        <f>AND(#REF!,"AAAAAH+m9bo=")</f>
        <v>#REF!</v>
      </c>
      <c r="GF432" t="e">
        <f>AND(#REF!,"AAAAAH+m9bs=")</f>
        <v>#REF!</v>
      </c>
      <c r="GG432" t="e">
        <f>AND(#REF!,"AAAAAH+m9bw=")</f>
        <v>#REF!</v>
      </c>
      <c r="GH432" t="e">
        <f>AND(#REF!,"AAAAAH+m9b0=")</f>
        <v>#REF!</v>
      </c>
      <c r="GI432" t="e">
        <f>AND(#REF!,"AAAAAH+m9b4=")</f>
        <v>#REF!</v>
      </c>
      <c r="GJ432" t="e">
        <f>AND(#REF!,"AAAAAH+m9b8=")</f>
        <v>#REF!</v>
      </c>
      <c r="GK432" t="e">
        <f>AND(#REF!,"AAAAAH+m9cA=")</f>
        <v>#REF!</v>
      </c>
      <c r="GL432" t="e">
        <f>AND(#REF!,"AAAAAH+m9cE=")</f>
        <v>#REF!</v>
      </c>
      <c r="GM432" t="e">
        <f>AND(#REF!,"AAAAAH+m9cI=")</f>
        <v>#REF!</v>
      </c>
      <c r="GN432" t="e">
        <f>IF(#REF!,"AAAAAH+m9cM=",0)</f>
        <v>#REF!</v>
      </c>
      <c r="GO432" t="e">
        <f>AND(#REF!,"AAAAAH+m9cQ=")</f>
        <v>#REF!</v>
      </c>
      <c r="GP432" t="e">
        <f>AND(#REF!,"AAAAAH+m9cU=")</f>
        <v>#REF!</v>
      </c>
      <c r="GQ432" t="e">
        <f>AND(#REF!,"AAAAAH+m9cY=")</f>
        <v>#REF!</v>
      </c>
      <c r="GR432" t="e">
        <f>AND(#REF!,"AAAAAH+m9cc=")</f>
        <v>#REF!</v>
      </c>
      <c r="GS432" t="e">
        <f>AND(#REF!,"AAAAAH+m9cg=")</f>
        <v>#REF!</v>
      </c>
      <c r="GT432" t="e">
        <f>AND(#REF!,"AAAAAH+m9ck=")</f>
        <v>#REF!</v>
      </c>
      <c r="GU432" t="e">
        <f>AND(#REF!,"AAAAAH+m9co=")</f>
        <v>#REF!</v>
      </c>
      <c r="GV432" t="e">
        <f>AND(#REF!,"AAAAAH+m9cs=")</f>
        <v>#REF!</v>
      </c>
      <c r="GW432" t="e">
        <f>AND(#REF!,"AAAAAH+m9cw=")</f>
        <v>#REF!</v>
      </c>
      <c r="GX432" t="e">
        <f>AND(#REF!,"AAAAAH+m9c0=")</f>
        <v>#REF!</v>
      </c>
      <c r="GY432" t="e">
        <f>IF(#REF!,"AAAAAH+m9c4=",0)</f>
        <v>#REF!</v>
      </c>
      <c r="GZ432" t="e">
        <f>AND(#REF!,"AAAAAH+m9c8=")</f>
        <v>#REF!</v>
      </c>
      <c r="HA432" t="e">
        <f>AND(#REF!,"AAAAAH+m9dA=")</f>
        <v>#REF!</v>
      </c>
      <c r="HB432" t="e">
        <f>AND(#REF!,"AAAAAH+m9dE=")</f>
        <v>#REF!</v>
      </c>
      <c r="HC432" t="e">
        <f>AND(#REF!,"AAAAAH+m9dI=")</f>
        <v>#REF!</v>
      </c>
      <c r="HD432" t="e">
        <f>AND(#REF!,"AAAAAH+m9dM=")</f>
        <v>#REF!</v>
      </c>
      <c r="HE432" t="e">
        <f>AND(#REF!,"AAAAAH+m9dQ=")</f>
        <v>#REF!</v>
      </c>
      <c r="HF432" t="e">
        <f>AND(#REF!,"AAAAAH+m9dU=")</f>
        <v>#REF!</v>
      </c>
      <c r="HG432" t="e">
        <f>AND(#REF!,"AAAAAH+m9dY=")</f>
        <v>#REF!</v>
      </c>
      <c r="HH432" t="e">
        <f>AND(#REF!,"AAAAAH+m9dc=")</f>
        <v>#REF!</v>
      </c>
      <c r="HI432" t="e">
        <f>AND(#REF!,"AAAAAH+m9dg=")</f>
        <v>#REF!</v>
      </c>
      <c r="HJ432" t="e">
        <f>IF(#REF!,"AAAAAH+m9dk=",0)</f>
        <v>#REF!</v>
      </c>
      <c r="HK432" t="e">
        <f>AND(#REF!,"AAAAAH+m9do=")</f>
        <v>#REF!</v>
      </c>
      <c r="HL432" t="e">
        <f>AND(#REF!,"AAAAAH+m9ds=")</f>
        <v>#REF!</v>
      </c>
      <c r="HM432" t="e">
        <f>AND(#REF!,"AAAAAH+m9dw=")</f>
        <v>#REF!</v>
      </c>
      <c r="HN432" t="e">
        <f>AND(#REF!,"AAAAAH+m9d0=")</f>
        <v>#REF!</v>
      </c>
      <c r="HO432" t="e">
        <f>AND(#REF!,"AAAAAH+m9d4=")</f>
        <v>#REF!</v>
      </c>
      <c r="HP432" t="e">
        <f>AND(#REF!,"AAAAAH+m9d8=")</f>
        <v>#REF!</v>
      </c>
      <c r="HQ432" t="e">
        <f>AND(#REF!,"AAAAAH+m9eA=")</f>
        <v>#REF!</v>
      </c>
      <c r="HR432" t="e">
        <f>AND(#REF!,"AAAAAH+m9eE=")</f>
        <v>#REF!</v>
      </c>
      <c r="HS432" t="e">
        <f>AND(#REF!,"AAAAAH+m9eI=")</f>
        <v>#REF!</v>
      </c>
      <c r="HT432" t="e">
        <f>AND(#REF!,"AAAAAH+m9eM=")</f>
        <v>#REF!</v>
      </c>
      <c r="HU432" t="e">
        <f>IF(#REF!,"AAAAAH+m9eQ=",0)</f>
        <v>#REF!</v>
      </c>
      <c r="HV432" t="e">
        <f>AND(#REF!,"AAAAAH+m9eU=")</f>
        <v>#REF!</v>
      </c>
      <c r="HW432" t="e">
        <f>AND(#REF!,"AAAAAH+m9eY=")</f>
        <v>#REF!</v>
      </c>
      <c r="HX432" t="e">
        <f>AND(#REF!,"AAAAAH+m9ec=")</f>
        <v>#REF!</v>
      </c>
      <c r="HY432" t="e">
        <f>AND(#REF!,"AAAAAH+m9eg=")</f>
        <v>#REF!</v>
      </c>
      <c r="HZ432" t="e">
        <f>AND(#REF!,"AAAAAH+m9ek=")</f>
        <v>#REF!</v>
      </c>
      <c r="IA432" t="e">
        <f>AND(#REF!,"AAAAAH+m9eo=")</f>
        <v>#REF!</v>
      </c>
      <c r="IB432" t="e">
        <f>AND(#REF!,"AAAAAH+m9es=")</f>
        <v>#REF!</v>
      </c>
      <c r="IC432" t="e">
        <f>AND(#REF!,"AAAAAH+m9ew=")</f>
        <v>#REF!</v>
      </c>
      <c r="ID432" t="e">
        <f>AND(#REF!,"AAAAAH+m9e0=")</f>
        <v>#REF!</v>
      </c>
      <c r="IE432" t="e">
        <f>AND(#REF!,"AAAAAH+m9e4=")</f>
        <v>#REF!</v>
      </c>
      <c r="IF432" t="e">
        <f>IF(#REF!,"AAAAAH+m9e8=",0)</f>
        <v>#REF!</v>
      </c>
      <c r="IG432" t="e">
        <f>AND(#REF!,"AAAAAH+m9fA=")</f>
        <v>#REF!</v>
      </c>
      <c r="IH432" t="e">
        <f>AND(#REF!,"AAAAAH+m9fE=")</f>
        <v>#REF!</v>
      </c>
      <c r="II432" t="e">
        <f>AND(#REF!,"AAAAAH+m9fI=")</f>
        <v>#REF!</v>
      </c>
      <c r="IJ432" t="e">
        <f>AND(#REF!,"AAAAAH+m9fM=")</f>
        <v>#REF!</v>
      </c>
      <c r="IK432" t="e">
        <f>AND(#REF!,"AAAAAH+m9fQ=")</f>
        <v>#REF!</v>
      </c>
      <c r="IL432" t="e">
        <f>AND(#REF!,"AAAAAH+m9fU=")</f>
        <v>#REF!</v>
      </c>
      <c r="IM432" t="e">
        <f>AND(#REF!,"AAAAAH+m9fY=")</f>
        <v>#REF!</v>
      </c>
      <c r="IN432" t="e">
        <f>AND(#REF!,"AAAAAH+m9fc=")</f>
        <v>#REF!</v>
      </c>
      <c r="IO432" t="e">
        <f>AND(#REF!,"AAAAAH+m9fg=")</f>
        <v>#REF!</v>
      </c>
      <c r="IP432" t="e">
        <f>AND(#REF!,"AAAAAH+m9fk=")</f>
        <v>#REF!</v>
      </c>
      <c r="IQ432" t="e">
        <f>IF(#REF!,"AAAAAH+m9fo=",0)</f>
        <v>#REF!</v>
      </c>
      <c r="IR432" t="e">
        <f>AND(#REF!,"AAAAAH+m9fs=")</f>
        <v>#REF!</v>
      </c>
      <c r="IS432" t="e">
        <f>AND(#REF!,"AAAAAH+m9fw=")</f>
        <v>#REF!</v>
      </c>
      <c r="IT432" t="e">
        <f>AND(#REF!,"AAAAAH+m9f0=")</f>
        <v>#REF!</v>
      </c>
      <c r="IU432" t="e">
        <f>AND(#REF!,"AAAAAH+m9f4=")</f>
        <v>#REF!</v>
      </c>
      <c r="IV432" t="e">
        <f>AND(#REF!,"AAAAAH+m9f8=")</f>
        <v>#REF!</v>
      </c>
    </row>
    <row r="433" spans="1:256" x14ac:dyDescent="0.25">
      <c r="A433" t="e">
        <f>AND(#REF!,"AAAAAD9h+wA=")</f>
        <v>#REF!</v>
      </c>
      <c r="B433" t="e">
        <f>AND(#REF!,"AAAAAD9h+wE=")</f>
        <v>#REF!</v>
      </c>
      <c r="C433" t="e">
        <f>AND(#REF!,"AAAAAD9h+wI=")</f>
        <v>#REF!</v>
      </c>
      <c r="D433" t="e">
        <f>AND(#REF!,"AAAAAD9h+wM=")</f>
        <v>#REF!</v>
      </c>
      <c r="E433" t="e">
        <f>AND(#REF!,"AAAAAD9h+wQ=")</f>
        <v>#REF!</v>
      </c>
      <c r="F433" t="e">
        <f>IF(#REF!,"AAAAAD9h+wU=",0)</f>
        <v>#REF!</v>
      </c>
      <c r="G433" t="e">
        <f>AND(#REF!,"AAAAAD9h+wY=")</f>
        <v>#REF!</v>
      </c>
      <c r="H433" t="e">
        <f>AND(#REF!,"AAAAAD9h+wc=")</f>
        <v>#REF!</v>
      </c>
      <c r="I433" t="e">
        <f>AND(#REF!,"AAAAAD9h+wg=")</f>
        <v>#REF!</v>
      </c>
      <c r="J433" t="e">
        <f>AND(#REF!,"AAAAAD9h+wk=")</f>
        <v>#REF!</v>
      </c>
      <c r="K433" t="e">
        <f>AND(#REF!,"AAAAAD9h+wo=")</f>
        <v>#REF!</v>
      </c>
      <c r="L433" t="e">
        <f>AND(#REF!,"AAAAAD9h+ws=")</f>
        <v>#REF!</v>
      </c>
      <c r="M433" t="e">
        <f>AND(#REF!,"AAAAAD9h+ww=")</f>
        <v>#REF!</v>
      </c>
      <c r="N433" t="e">
        <f>AND(#REF!,"AAAAAD9h+w0=")</f>
        <v>#REF!</v>
      </c>
      <c r="O433" t="e">
        <f>AND(#REF!,"AAAAAD9h+w4=")</f>
        <v>#REF!</v>
      </c>
      <c r="P433" t="e">
        <f>AND(#REF!,"AAAAAD9h+w8=")</f>
        <v>#REF!</v>
      </c>
      <c r="Q433" t="e">
        <f>IF(#REF!,"AAAAAD9h+xA=",0)</f>
        <v>#REF!</v>
      </c>
      <c r="R433" t="e">
        <f>AND(#REF!,"AAAAAD9h+xE=")</f>
        <v>#REF!</v>
      </c>
      <c r="S433" t="e">
        <f>AND(#REF!,"AAAAAD9h+xI=")</f>
        <v>#REF!</v>
      </c>
      <c r="T433" t="e">
        <f>AND(#REF!,"AAAAAD9h+xM=")</f>
        <v>#REF!</v>
      </c>
      <c r="U433" t="e">
        <f>AND(#REF!,"AAAAAD9h+xQ=")</f>
        <v>#REF!</v>
      </c>
      <c r="V433" t="e">
        <f>AND(#REF!,"AAAAAD9h+xU=")</f>
        <v>#REF!</v>
      </c>
      <c r="W433" t="e">
        <f>AND(#REF!,"AAAAAD9h+xY=")</f>
        <v>#REF!</v>
      </c>
      <c r="X433" t="e">
        <f>AND(#REF!,"AAAAAD9h+xc=")</f>
        <v>#REF!</v>
      </c>
      <c r="Y433" t="e">
        <f>AND(#REF!,"AAAAAD9h+xg=")</f>
        <v>#REF!</v>
      </c>
      <c r="Z433" t="e">
        <f>AND(#REF!,"AAAAAD9h+xk=")</f>
        <v>#REF!</v>
      </c>
      <c r="AA433" t="e">
        <f>AND(#REF!,"AAAAAD9h+xo=")</f>
        <v>#REF!</v>
      </c>
      <c r="AB433" t="e">
        <f>IF(#REF!,"AAAAAD9h+xs=",0)</f>
        <v>#REF!</v>
      </c>
      <c r="AC433" t="e">
        <f>AND(#REF!,"AAAAAD9h+xw=")</f>
        <v>#REF!</v>
      </c>
      <c r="AD433" t="e">
        <f>AND(#REF!,"AAAAAD9h+x0=")</f>
        <v>#REF!</v>
      </c>
      <c r="AE433" t="e">
        <f>AND(#REF!,"AAAAAD9h+x4=")</f>
        <v>#REF!</v>
      </c>
      <c r="AF433" t="e">
        <f>AND(#REF!,"AAAAAD9h+x8=")</f>
        <v>#REF!</v>
      </c>
      <c r="AG433" t="e">
        <f>AND(#REF!,"AAAAAD9h+yA=")</f>
        <v>#REF!</v>
      </c>
      <c r="AH433" t="e">
        <f>AND(#REF!,"AAAAAD9h+yE=")</f>
        <v>#REF!</v>
      </c>
      <c r="AI433" t="e">
        <f>AND(#REF!,"AAAAAD9h+yI=")</f>
        <v>#REF!</v>
      </c>
      <c r="AJ433" t="e">
        <f>AND(#REF!,"AAAAAD9h+yM=")</f>
        <v>#REF!</v>
      </c>
      <c r="AK433" t="e">
        <f>AND(#REF!,"AAAAAD9h+yQ=")</f>
        <v>#REF!</v>
      </c>
      <c r="AL433" t="e">
        <f>AND(#REF!,"AAAAAD9h+yU=")</f>
        <v>#REF!</v>
      </c>
      <c r="AM433" t="e">
        <f>IF(#REF!,"AAAAAD9h+yY=",0)</f>
        <v>#REF!</v>
      </c>
      <c r="AN433" t="e">
        <f>AND(#REF!,"AAAAAD9h+yc=")</f>
        <v>#REF!</v>
      </c>
      <c r="AO433" t="e">
        <f>AND(#REF!,"AAAAAD9h+yg=")</f>
        <v>#REF!</v>
      </c>
      <c r="AP433" t="e">
        <f>AND(#REF!,"AAAAAD9h+yk=")</f>
        <v>#REF!</v>
      </c>
      <c r="AQ433" t="e">
        <f>AND(#REF!,"AAAAAD9h+yo=")</f>
        <v>#REF!</v>
      </c>
      <c r="AR433" t="e">
        <f>AND(#REF!,"AAAAAD9h+ys=")</f>
        <v>#REF!</v>
      </c>
      <c r="AS433" t="e">
        <f>AND(#REF!,"AAAAAD9h+yw=")</f>
        <v>#REF!</v>
      </c>
      <c r="AT433" t="e">
        <f>AND(#REF!,"AAAAAD9h+y0=")</f>
        <v>#REF!</v>
      </c>
      <c r="AU433" t="e">
        <f>AND(#REF!,"AAAAAD9h+y4=")</f>
        <v>#REF!</v>
      </c>
      <c r="AV433" t="e">
        <f>AND(#REF!,"AAAAAD9h+y8=")</f>
        <v>#REF!</v>
      </c>
      <c r="AW433" t="e">
        <f>AND(#REF!,"AAAAAD9h+zA=")</f>
        <v>#REF!</v>
      </c>
      <c r="AX433" t="e">
        <f>IF(#REF!,"AAAAAD9h+zE=",0)</f>
        <v>#REF!</v>
      </c>
      <c r="AY433" t="e">
        <f>AND(#REF!,"AAAAAD9h+zI=")</f>
        <v>#REF!</v>
      </c>
      <c r="AZ433" t="e">
        <f>AND(#REF!,"AAAAAD9h+zM=")</f>
        <v>#REF!</v>
      </c>
      <c r="BA433" t="e">
        <f>AND(#REF!,"AAAAAD9h+zQ=")</f>
        <v>#REF!</v>
      </c>
      <c r="BB433" t="e">
        <f>AND(#REF!,"AAAAAD9h+zU=")</f>
        <v>#REF!</v>
      </c>
      <c r="BC433" t="e">
        <f>AND(#REF!,"AAAAAD9h+zY=")</f>
        <v>#REF!</v>
      </c>
      <c r="BD433" t="e">
        <f>AND(#REF!,"AAAAAD9h+zc=")</f>
        <v>#REF!</v>
      </c>
      <c r="BE433" t="e">
        <f>AND(#REF!,"AAAAAD9h+zg=")</f>
        <v>#REF!</v>
      </c>
      <c r="BF433" t="e">
        <f>AND(#REF!,"AAAAAD9h+zk=")</f>
        <v>#REF!</v>
      </c>
      <c r="BG433" t="e">
        <f>AND(#REF!,"AAAAAD9h+zo=")</f>
        <v>#REF!</v>
      </c>
      <c r="BH433" t="e">
        <f>AND(#REF!,"AAAAAD9h+zs=")</f>
        <v>#REF!</v>
      </c>
      <c r="BI433" t="e">
        <f>IF(#REF!,"AAAAAD9h+zw=",0)</f>
        <v>#REF!</v>
      </c>
      <c r="BJ433" t="e">
        <f>AND(#REF!,"AAAAAD9h+z0=")</f>
        <v>#REF!</v>
      </c>
      <c r="BK433" t="e">
        <f>AND(#REF!,"AAAAAD9h+z4=")</f>
        <v>#REF!</v>
      </c>
      <c r="BL433" t="e">
        <f>AND(#REF!,"AAAAAD9h+z8=")</f>
        <v>#REF!</v>
      </c>
      <c r="BM433" t="e">
        <f>AND(#REF!,"AAAAAD9h+0A=")</f>
        <v>#REF!</v>
      </c>
      <c r="BN433" t="e">
        <f>AND(#REF!,"AAAAAD9h+0E=")</f>
        <v>#REF!</v>
      </c>
      <c r="BO433" t="e">
        <f>AND(#REF!,"AAAAAD9h+0I=")</f>
        <v>#REF!</v>
      </c>
      <c r="BP433" t="e">
        <f>AND(#REF!,"AAAAAD9h+0M=")</f>
        <v>#REF!</v>
      </c>
      <c r="BQ433" t="e">
        <f>AND(#REF!,"AAAAAD9h+0Q=")</f>
        <v>#REF!</v>
      </c>
      <c r="BR433" t="e">
        <f>AND(#REF!,"AAAAAD9h+0U=")</f>
        <v>#REF!</v>
      </c>
      <c r="BS433" t="e">
        <f>AND(#REF!,"AAAAAD9h+0Y=")</f>
        <v>#REF!</v>
      </c>
      <c r="BT433" t="e">
        <f>IF(#REF!,"AAAAAD9h+0c=",0)</f>
        <v>#REF!</v>
      </c>
      <c r="BU433" t="e">
        <f>AND(#REF!,"AAAAAD9h+0g=")</f>
        <v>#REF!</v>
      </c>
      <c r="BV433" t="e">
        <f>AND(#REF!,"AAAAAD9h+0k=")</f>
        <v>#REF!</v>
      </c>
      <c r="BW433" t="e">
        <f>AND(#REF!,"AAAAAD9h+0o=")</f>
        <v>#REF!</v>
      </c>
      <c r="BX433" t="e">
        <f>AND(#REF!,"AAAAAD9h+0s=")</f>
        <v>#REF!</v>
      </c>
      <c r="BY433" t="e">
        <f>AND(#REF!,"AAAAAD9h+0w=")</f>
        <v>#REF!</v>
      </c>
      <c r="BZ433" t="e">
        <f>AND(#REF!,"AAAAAD9h+00=")</f>
        <v>#REF!</v>
      </c>
      <c r="CA433" t="e">
        <f>AND(#REF!,"AAAAAD9h+04=")</f>
        <v>#REF!</v>
      </c>
      <c r="CB433" t="e">
        <f>AND(#REF!,"AAAAAD9h+08=")</f>
        <v>#REF!</v>
      </c>
      <c r="CC433" t="e">
        <f>AND(#REF!,"AAAAAD9h+1A=")</f>
        <v>#REF!</v>
      </c>
      <c r="CD433" t="e">
        <f>AND(#REF!,"AAAAAD9h+1E=")</f>
        <v>#REF!</v>
      </c>
      <c r="CE433" t="e">
        <f>IF(#REF!,"AAAAAD9h+1I=",0)</f>
        <v>#REF!</v>
      </c>
      <c r="CF433" t="e">
        <f>AND(#REF!,"AAAAAD9h+1M=")</f>
        <v>#REF!</v>
      </c>
      <c r="CG433" t="e">
        <f>AND(#REF!,"AAAAAD9h+1Q=")</f>
        <v>#REF!</v>
      </c>
      <c r="CH433" t="e">
        <f>AND(#REF!,"AAAAAD9h+1U=")</f>
        <v>#REF!</v>
      </c>
      <c r="CI433" t="e">
        <f>AND(#REF!,"AAAAAD9h+1Y=")</f>
        <v>#REF!</v>
      </c>
      <c r="CJ433" t="e">
        <f>AND(#REF!,"AAAAAD9h+1c=")</f>
        <v>#REF!</v>
      </c>
      <c r="CK433" t="e">
        <f>AND(#REF!,"AAAAAD9h+1g=")</f>
        <v>#REF!</v>
      </c>
      <c r="CL433" t="e">
        <f>AND(#REF!,"AAAAAD9h+1k=")</f>
        <v>#REF!</v>
      </c>
      <c r="CM433" t="e">
        <f>AND(#REF!,"AAAAAD9h+1o=")</f>
        <v>#REF!</v>
      </c>
      <c r="CN433" t="e">
        <f>AND(#REF!,"AAAAAD9h+1s=")</f>
        <v>#REF!</v>
      </c>
      <c r="CO433" t="e">
        <f>AND(#REF!,"AAAAAD9h+1w=")</f>
        <v>#REF!</v>
      </c>
      <c r="CP433" t="e">
        <f>IF(#REF!,"AAAAAD9h+10=",0)</f>
        <v>#REF!</v>
      </c>
      <c r="CQ433" t="e">
        <f>AND(#REF!,"AAAAAD9h+14=")</f>
        <v>#REF!</v>
      </c>
      <c r="CR433" t="e">
        <f>AND(#REF!,"AAAAAD9h+18=")</f>
        <v>#REF!</v>
      </c>
      <c r="CS433" t="e">
        <f>AND(#REF!,"AAAAAD9h+2A=")</f>
        <v>#REF!</v>
      </c>
      <c r="CT433" t="e">
        <f>AND(#REF!,"AAAAAD9h+2E=")</f>
        <v>#REF!</v>
      </c>
      <c r="CU433" t="e">
        <f>AND(#REF!,"AAAAAD9h+2I=")</f>
        <v>#REF!</v>
      </c>
      <c r="CV433" t="e">
        <f>AND(#REF!,"AAAAAD9h+2M=")</f>
        <v>#REF!</v>
      </c>
      <c r="CW433" t="e">
        <f>AND(#REF!,"AAAAAD9h+2Q=")</f>
        <v>#REF!</v>
      </c>
      <c r="CX433" t="e">
        <f>AND(#REF!,"AAAAAD9h+2U=")</f>
        <v>#REF!</v>
      </c>
      <c r="CY433" t="e">
        <f>AND(#REF!,"AAAAAD9h+2Y=")</f>
        <v>#REF!</v>
      </c>
      <c r="CZ433" t="e">
        <f>AND(#REF!,"AAAAAD9h+2c=")</f>
        <v>#REF!</v>
      </c>
      <c r="DA433" t="e">
        <f>IF(#REF!,"AAAAAD9h+2g=",0)</f>
        <v>#REF!</v>
      </c>
      <c r="DB433" t="e">
        <f>AND(#REF!,"AAAAAD9h+2k=")</f>
        <v>#REF!</v>
      </c>
      <c r="DC433" t="e">
        <f>AND(#REF!,"AAAAAD9h+2o=")</f>
        <v>#REF!</v>
      </c>
      <c r="DD433" t="e">
        <f>AND(#REF!,"AAAAAD9h+2s=")</f>
        <v>#REF!</v>
      </c>
      <c r="DE433" t="e">
        <f>AND(#REF!,"AAAAAD9h+2w=")</f>
        <v>#REF!</v>
      </c>
      <c r="DF433" t="e">
        <f>AND(#REF!,"AAAAAD9h+20=")</f>
        <v>#REF!</v>
      </c>
      <c r="DG433" t="e">
        <f>AND(#REF!,"AAAAAD9h+24=")</f>
        <v>#REF!</v>
      </c>
      <c r="DH433" t="e">
        <f>AND(#REF!,"AAAAAD9h+28=")</f>
        <v>#REF!</v>
      </c>
      <c r="DI433" t="e">
        <f>AND(#REF!,"AAAAAD9h+3A=")</f>
        <v>#REF!</v>
      </c>
      <c r="DJ433" t="e">
        <f>AND(#REF!,"AAAAAD9h+3E=")</f>
        <v>#REF!</v>
      </c>
      <c r="DK433" t="e">
        <f>AND(#REF!,"AAAAAD9h+3I=")</f>
        <v>#REF!</v>
      </c>
      <c r="DL433" t="e">
        <f>IF(#REF!,"AAAAAD9h+3M=",0)</f>
        <v>#REF!</v>
      </c>
      <c r="DM433" t="e">
        <f>AND(#REF!,"AAAAAD9h+3Q=")</f>
        <v>#REF!</v>
      </c>
      <c r="DN433" t="e">
        <f>AND(#REF!,"AAAAAD9h+3U=")</f>
        <v>#REF!</v>
      </c>
      <c r="DO433" t="e">
        <f>AND(#REF!,"AAAAAD9h+3Y=")</f>
        <v>#REF!</v>
      </c>
      <c r="DP433" t="e">
        <f>AND(#REF!,"AAAAAD9h+3c=")</f>
        <v>#REF!</v>
      </c>
      <c r="DQ433" t="e">
        <f>AND(#REF!,"AAAAAD9h+3g=")</f>
        <v>#REF!</v>
      </c>
      <c r="DR433" t="e">
        <f>AND(#REF!,"AAAAAD9h+3k=")</f>
        <v>#REF!</v>
      </c>
      <c r="DS433" t="e">
        <f>AND(#REF!,"AAAAAD9h+3o=")</f>
        <v>#REF!</v>
      </c>
      <c r="DT433" t="e">
        <f>AND(#REF!,"AAAAAD9h+3s=")</f>
        <v>#REF!</v>
      </c>
      <c r="DU433" t="e">
        <f>AND(#REF!,"AAAAAD9h+3w=")</f>
        <v>#REF!</v>
      </c>
      <c r="DV433" t="e">
        <f>AND(#REF!,"AAAAAD9h+30=")</f>
        <v>#REF!</v>
      </c>
      <c r="DW433" t="e">
        <f>IF(#REF!,"AAAAAD9h+34=",0)</f>
        <v>#REF!</v>
      </c>
      <c r="DX433" t="e">
        <f>AND(#REF!,"AAAAAD9h+38=")</f>
        <v>#REF!</v>
      </c>
      <c r="DY433" t="e">
        <f>AND(#REF!,"AAAAAD9h+4A=")</f>
        <v>#REF!</v>
      </c>
      <c r="DZ433" t="e">
        <f>AND(#REF!,"AAAAAD9h+4E=")</f>
        <v>#REF!</v>
      </c>
      <c r="EA433" t="e">
        <f>AND(#REF!,"AAAAAD9h+4I=")</f>
        <v>#REF!</v>
      </c>
      <c r="EB433" t="e">
        <f>AND(#REF!,"AAAAAD9h+4M=")</f>
        <v>#REF!</v>
      </c>
      <c r="EC433" t="e">
        <f>AND(#REF!,"AAAAAD9h+4Q=")</f>
        <v>#REF!</v>
      </c>
      <c r="ED433" t="e">
        <f>AND(#REF!,"AAAAAD9h+4U=")</f>
        <v>#REF!</v>
      </c>
      <c r="EE433" t="e">
        <f>AND(#REF!,"AAAAAD9h+4Y=")</f>
        <v>#REF!</v>
      </c>
      <c r="EF433" t="e">
        <f>AND(#REF!,"AAAAAD9h+4c=")</f>
        <v>#REF!</v>
      </c>
      <c r="EG433" t="e">
        <f>AND(#REF!,"AAAAAD9h+4g=")</f>
        <v>#REF!</v>
      </c>
      <c r="EH433" t="e">
        <f>IF(#REF!,"AAAAAD9h+4k=",0)</f>
        <v>#REF!</v>
      </c>
      <c r="EI433" t="e">
        <f>AND(#REF!,"AAAAAD9h+4o=")</f>
        <v>#REF!</v>
      </c>
      <c r="EJ433" t="e">
        <f>AND(#REF!,"AAAAAD9h+4s=")</f>
        <v>#REF!</v>
      </c>
      <c r="EK433" t="e">
        <f>AND(#REF!,"AAAAAD9h+4w=")</f>
        <v>#REF!</v>
      </c>
      <c r="EL433" t="e">
        <f>AND(#REF!,"AAAAAD9h+40=")</f>
        <v>#REF!</v>
      </c>
      <c r="EM433" t="e">
        <f>AND(#REF!,"AAAAAD9h+44=")</f>
        <v>#REF!</v>
      </c>
      <c r="EN433" t="e">
        <f>AND(#REF!,"AAAAAD9h+48=")</f>
        <v>#REF!</v>
      </c>
      <c r="EO433" t="e">
        <f>AND(#REF!,"AAAAAD9h+5A=")</f>
        <v>#REF!</v>
      </c>
      <c r="EP433" t="e">
        <f>AND(#REF!,"AAAAAD9h+5E=")</f>
        <v>#REF!</v>
      </c>
      <c r="EQ433" t="e">
        <f>AND(#REF!,"AAAAAD9h+5I=")</f>
        <v>#REF!</v>
      </c>
      <c r="ER433" t="e">
        <f>AND(#REF!,"AAAAAD9h+5M=")</f>
        <v>#REF!</v>
      </c>
      <c r="ES433" t="e">
        <f>IF(#REF!,"AAAAAD9h+5Q=",0)</f>
        <v>#REF!</v>
      </c>
      <c r="ET433" t="e">
        <f>AND(#REF!,"AAAAAD9h+5U=")</f>
        <v>#REF!</v>
      </c>
      <c r="EU433" t="e">
        <f>AND(#REF!,"AAAAAD9h+5Y=")</f>
        <v>#REF!</v>
      </c>
      <c r="EV433" t="e">
        <f>AND(#REF!,"AAAAAD9h+5c=")</f>
        <v>#REF!</v>
      </c>
      <c r="EW433" t="e">
        <f>AND(#REF!,"AAAAAD9h+5g=")</f>
        <v>#REF!</v>
      </c>
      <c r="EX433" t="e">
        <f>AND(#REF!,"AAAAAD9h+5k=")</f>
        <v>#REF!</v>
      </c>
      <c r="EY433" t="e">
        <f>AND(#REF!,"AAAAAD9h+5o=")</f>
        <v>#REF!</v>
      </c>
      <c r="EZ433" t="e">
        <f>AND(#REF!,"AAAAAD9h+5s=")</f>
        <v>#REF!</v>
      </c>
      <c r="FA433" t="e">
        <f>AND(#REF!,"AAAAAD9h+5w=")</f>
        <v>#REF!</v>
      </c>
      <c r="FB433" t="e">
        <f>AND(#REF!,"AAAAAD9h+50=")</f>
        <v>#REF!</v>
      </c>
      <c r="FC433" t="e">
        <f>AND(#REF!,"AAAAAD9h+54=")</f>
        <v>#REF!</v>
      </c>
      <c r="FD433" t="e">
        <f>IF(#REF!,"AAAAAD9h+58=",0)</f>
        <v>#REF!</v>
      </c>
      <c r="FE433" t="e">
        <f>AND(#REF!,"AAAAAD9h+6A=")</f>
        <v>#REF!</v>
      </c>
      <c r="FF433" t="e">
        <f>AND(#REF!,"AAAAAD9h+6E=")</f>
        <v>#REF!</v>
      </c>
      <c r="FG433" t="e">
        <f>AND(#REF!,"AAAAAD9h+6I=")</f>
        <v>#REF!</v>
      </c>
      <c r="FH433" t="e">
        <f>AND(#REF!,"AAAAAD9h+6M=")</f>
        <v>#REF!</v>
      </c>
      <c r="FI433" t="e">
        <f>AND(#REF!,"AAAAAD9h+6Q=")</f>
        <v>#REF!</v>
      </c>
      <c r="FJ433" t="e">
        <f>AND(#REF!,"AAAAAD9h+6U=")</f>
        <v>#REF!</v>
      </c>
      <c r="FK433" t="e">
        <f>AND(#REF!,"AAAAAD9h+6Y=")</f>
        <v>#REF!</v>
      </c>
      <c r="FL433" t="e">
        <f>AND(#REF!,"AAAAAD9h+6c=")</f>
        <v>#REF!</v>
      </c>
      <c r="FM433" t="e">
        <f>AND(#REF!,"AAAAAD9h+6g=")</f>
        <v>#REF!</v>
      </c>
      <c r="FN433" t="e">
        <f>AND(#REF!,"AAAAAD9h+6k=")</f>
        <v>#REF!</v>
      </c>
      <c r="FO433" t="e">
        <f>IF(#REF!,"AAAAAD9h+6o=",0)</f>
        <v>#REF!</v>
      </c>
      <c r="FP433" t="e">
        <f>AND(#REF!,"AAAAAD9h+6s=")</f>
        <v>#REF!</v>
      </c>
      <c r="FQ433" t="e">
        <f>AND(#REF!,"AAAAAD9h+6w=")</f>
        <v>#REF!</v>
      </c>
      <c r="FR433" t="e">
        <f>AND(#REF!,"AAAAAD9h+60=")</f>
        <v>#REF!</v>
      </c>
      <c r="FS433" t="e">
        <f>AND(#REF!,"AAAAAD9h+64=")</f>
        <v>#REF!</v>
      </c>
      <c r="FT433" t="e">
        <f>AND(#REF!,"AAAAAD9h+68=")</f>
        <v>#REF!</v>
      </c>
      <c r="FU433" t="e">
        <f>AND(#REF!,"AAAAAD9h+7A=")</f>
        <v>#REF!</v>
      </c>
      <c r="FV433" t="e">
        <f>AND(#REF!,"AAAAAD9h+7E=")</f>
        <v>#REF!</v>
      </c>
      <c r="FW433" t="e">
        <f>AND(#REF!,"AAAAAD9h+7I=")</f>
        <v>#REF!</v>
      </c>
      <c r="FX433" t="e">
        <f>AND(#REF!,"AAAAAD9h+7M=")</f>
        <v>#REF!</v>
      </c>
      <c r="FY433" t="e">
        <f>AND(#REF!,"AAAAAD9h+7Q=")</f>
        <v>#REF!</v>
      </c>
      <c r="FZ433" t="e">
        <f>IF(#REF!,"AAAAAD9h+7U=",0)</f>
        <v>#REF!</v>
      </c>
      <c r="GA433" t="e">
        <f>AND(#REF!,"AAAAAD9h+7Y=")</f>
        <v>#REF!</v>
      </c>
      <c r="GB433" t="e">
        <f>AND(#REF!,"AAAAAD9h+7c=")</f>
        <v>#REF!</v>
      </c>
      <c r="GC433" t="e">
        <f>AND(#REF!,"AAAAAD9h+7g=")</f>
        <v>#REF!</v>
      </c>
      <c r="GD433" t="e">
        <f>AND(#REF!,"AAAAAD9h+7k=")</f>
        <v>#REF!</v>
      </c>
      <c r="GE433" t="e">
        <f>AND(#REF!,"AAAAAD9h+7o=")</f>
        <v>#REF!</v>
      </c>
      <c r="GF433" t="e">
        <f>AND(#REF!,"AAAAAD9h+7s=")</f>
        <v>#REF!</v>
      </c>
      <c r="GG433" t="e">
        <f>AND(#REF!,"AAAAAD9h+7w=")</f>
        <v>#REF!</v>
      </c>
      <c r="GH433" t="e">
        <f>AND(#REF!,"AAAAAD9h+70=")</f>
        <v>#REF!</v>
      </c>
      <c r="GI433" t="e">
        <f>AND(#REF!,"AAAAAD9h+74=")</f>
        <v>#REF!</v>
      </c>
      <c r="GJ433" t="e">
        <f>AND(#REF!,"AAAAAD9h+78=")</f>
        <v>#REF!</v>
      </c>
      <c r="GK433" t="e">
        <f>IF(#REF!,"AAAAAD9h+8A=",0)</f>
        <v>#REF!</v>
      </c>
      <c r="GL433" t="e">
        <f>AND(#REF!,"AAAAAD9h+8E=")</f>
        <v>#REF!</v>
      </c>
      <c r="GM433" t="e">
        <f>AND(#REF!,"AAAAAD9h+8I=")</f>
        <v>#REF!</v>
      </c>
      <c r="GN433" t="e">
        <f>AND(#REF!,"AAAAAD9h+8M=")</f>
        <v>#REF!</v>
      </c>
      <c r="GO433" t="e">
        <f>AND(#REF!,"AAAAAD9h+8Q=")</f>
        <v>#REF!</v>
      </c>
      <c r="GP433" t="e">
        <f>AND(#REF!,"AAAAAD9h+8U=")</f>
        <v>#REF!</v>
      </c>
      <c r="GQ433" t="e">
        <f>AND(#REF!,"AAAAAD9h+8Y=")</f>
        <v>#REF!</v>
      </c>
      <c r="GR433" t="e">
        <f>AND(#REF!,"AAAAAD9h+8c=")</f>
        <v>#REF!</v>
      </c>
      <c r="GS433" t="e">
        <f>AND(#REF!,"AAAAAD9h+8g=")</f>
        <v>#REF!</v>
      </c>
      <c r="GT433" t="e">
        <f>AND(#REF!,"AAAAAD9h+8k=")</f>
        <v>#REF!</v>
      </c>
      <c r="GU433" t="e">
        <f>AND(#REF!,"AAAAAD9h+8o=")</f>
        <v>#REF!</v>
      </c>
      <c r="GV433" t="e">
        <f>IF(#REF!,"AAAAAD9h+8s=",0)</f>
        <v>#REF!</v>
      </c>
      <c r="GW433" t="e">
        <f>AND(#REF!,"AAAAAD9h+8w=")</f>
        <v>#REF!</v>
      </c>
      <c r="GX433" t="e">
        <f>AND(#REF!,"AAAAAD9h+80=")</f>
        <v>#REF!</v>
      </c>
      <c r="GY433" t="e">
        <f>AND(#REF!,"AAAAAD9h+84=")</f>
        <v>#REF!</v>
      </c>
      <c r="GZ433" t="e">
        <f>AND(#REF!,"AAAAAD9h+88=")</f>
        <v>#REF!</v>
      </c>
      <c r="HA433" t="e">
        <f>AND(#REF!,"AAAAAD9h+9A=")</f>
        <v>#REF!</v>
      </c>
      <c r="HB433" t="e">
        <f>AND(#REF!,"AAAAAD9h+9E=")</f>
        <v>#REF!</v>
      </c>
      <c r="HC433" t="e">
        <f>AND(#REF!,"AAAAAD9h+9I=")</f>
        <v>#REF!</v>
      </c>
      <c r="HD433" t="e">
        <f>AND(#REF!,"AAAAAD9h+9M=")</f>
        <v>#REF!</v>
      </c>
      <c r="HE433" t="e">
        <f>AND(#REF!,"AAAAAD9h+9Q=")</f>
        <v>#REF!</v>
      </c>
      <c r="HF433" t="e">
        <f>AND(#REF!,"AAAAAD9h+9U=")</f>
        <v>#REF!</v>
      </c>
      <c r="HG433" t="e">
        <f>IF(#REF!,"AAAAAD9h+9Y=",0)</f>
        <v>#REF!</v>
      </c>
      <c r="HH433" t="e">
        <f>AND(#REF!,"AAAAAD9h+9c=")</f>
        <v>#REF!</v>
      </c>
      <c r="HI433" t="e">
        <f>AND(#REF!,"AAAAAD9h+9g=")</f>
        <v>#REF!</v>
      </c>
      <c r="HJ433" t="e">
        <f>AND(#REF!,"AAAAAD9h+9k=")</f>
        <v>#REF!</v>
      </c>
      <c r="HK433" t="e">
        <f>AND(#REF!,"AAAAAD9h+9o=")</f>
        <v>#REF!</v>
      </c>
      <c r="HL433" t="e">
        <f>AND(#REF!,"AAAAAD9h+9s=")</f>
        <v>#REF!</v>
      </c>
      <c r="HM433" t="e">
        <f>AND(#REF!,"AAAAAD9h+9w=")</f>
        <v>#REF!</v>
      </c>
      <c r="HN433" t="e">
        <f>AND(#REF!,"AAAAAD9h+90=")</f>
        <v>#REF!</v>
      </c>
      <c r="HO433" t="e">
        <f>AND(#REF!,"AAAAAD9h+94=")</f>
        <v>#REF!</v>
      </c>
      <c r="HP433" t="e">
        <f>AND(#REF!,"AAAAAD9h+98=")</f>
        <v>#REF!</v>
      </c>
      <c r="HQ433" t="e">
        <f>AND(#REF!,"AAAAAD9h++A=")</f>
        <v>#REF!</v>
      </c>
      <c r="HR433" t="e">
        <f>IF(#REF!,"AAAAAD9h++E=",0)</f>
        <v>#REF!</v>
      </c>
      <c r="HS433" t="e">
        <f>AND(#REF!,"AAAAAD9h++I=")</f>
        <v>#REF!</v>
      </c>
      <c r="HT433" t="e">
        <f>AND(#REF!,"AAAAAD9h++M=")</f>
        <v>#REF!</v>
      </c>
      <c r="HU433" t="e">
        <f>AND(#REF!,"AAAAAD9h++Q=")</f>
        <v>#REF!</v>
      </c>
      <c r="HV433" t="e">
        <f>AND(#REF!,"AAAAAD9h++U=")</f>
        <v>#REF!</v>
      </c>
      <c r="HW433" t="e">
        <f>AND(#REF!,"AAAAAD9h++Y=")</f>
        <v>#REF!</v>
      </c>
      <c r="HX433" t="e">
        <f>AND(#REF!,"AAAAAD9h++c=")</f>
        <v>#REF!</v>
      </c>
      <c r="HY433" t="e">
        <f>AND(#REF!,"AAAAAD9h++g=")</f>
        <v>#REF!</v>
      </c>
      <c r="HZ433" t="e">
        <f>AND(#REF!,"AAAAAD9h++k=")</f>
        <v>#REF!</v>
      </c>
      <c r="IA433" t="e">
        <f>AND(#REF!,"AAAAAD9h++o=")</f>
        <v>#REF!</v>
      </c>
      <c r="IB433" t="e">
        <f>AND(#REF!,"AAAAAD9h++s=")</f>
        <v>#REF!</v>
      </c>
      <c r="IC433" t="e">
        <f>IF(#REF!,"AAAAAD9h++w=",0)</f>
        <v>#REF!</v>
      </c>
      <c r="ID433" t="e">
        <f>AND(#REF!,"AAAAAD9h++0=")</f>
        <v>#REF!</v>
      </c>
      <c r="IE433" t="e">
        <f>AND(#REF!,"AAAAAD9h++4=")</f>
        <v>#REF!</v>
      </c>
      <c r="IF433" t="e">
        <f>AND(#REF!,"AAAAAD9h++8=")</f>
        <v>#REF!</v>
      </c>
      <c r="IG433" t="e">
        <f>AND(#REF!,"AAAAAD9h+/A=")</f>
        <v>#REF!</v>
      </c>
      <c r="IH433" t="e">
        <f>AND(#REF!,"AAAAAD9h+/E=")</f>
        <v>#REF!</v>
      </c>
      <c r="II433" t="e">
        <f>AND(#REF!,"AAAAAD9h+/I=")</f>
        <v>#REF!</v>
      </c>
      <c r="IJ433" t="e">
        <f>AND(#REF!,"AAAAAD9h+/M=")</f>
        <v>#REF!</v>
      </c>
      <c r="IK433" t="e">
        <f>AND(#REF!,"AAAAAD9h+/Q=")</f>
        <v>#REF!</v>
      </c>
      <c r="IL433" t="e">
        <f>AND(#REF!,"AAAAAD9h+/U=")</f>
        <v>#REF!</v>
      </c>
      <c r="IM433" t="e">
        <f>AND(#REF!,"AAAAAD9h+/Y=")</f>
        <v>#REF!</v>
      </c>
      <c r="IN433" t="e">
        <f>IF(#REF!,"AAAAAD9h+/c=",0)</f>
        <v>#REF!</v>
      </c>
      <c r="IO433" t="e">
        <f>AND(#REF!,"AAAAAD9h+/g=")</f>
        <v>#REF!</v>
      </c>
      <c r="IP433" t="e">
        <f>AND(#REF!,"AAAAAD9h+/k=")</f>
        <v>#REF!</v>
      </c>
      <c r="IQ433" t="e">
        <f>AND(#REF!,"AAAAAD9h+/o=")</f>
        <v>#REF!</v>
      </c>
      <c r="IR433" t="e">
        <f>AND(#REF!,"AAAAAD9h+/s=")</f>
        <v>#REF!</v>
      </c>
      <c r="IS433" t="e">
        <f>AND(#REF!,"AAAAAD9h+/w=")</f>
        <v>#REF!</v>
      </c>
      <c r="IT433" t="e">
        <f>AND(#REF!,"AAAAAD9h+/0=")</f>
        <v>#REF!</v>
      </c>
      <c r="IU433" t="e">
        <f>AND(#REF!,"AAAAAD9h+/4=")</f>
        <v>#REF!</v>
      </c>
      <c r="IV433" t="e">
        <f>AND(#REF!,"AAAAAD9h+/8=")</f>
        <v>#REF!</v>
      </c>
    </row>
    <row r="434" spans="1:256" x14ac:dyDescent="0.25">
      <c r="A434" t="e">
        <f>AND(#REF!,"AAAAAGQv/wA=")</f>
        <v>#REF!</v>
      </c>
      <c r="B434" t="e">
        <f>AND(#REF!,"AAAAAGQv/wE=")</f>
        <v>#REF!</v>
      </c>
      <c r="C434" t="e">
        <f>IF(#REF!,"AAAAAGQv/wI=",0)</f>
        <v>#REF!</v>
      </c>
      <c r="D434" t="e">
        <f>AND(#REF!,"AAAAAGQv/wM=")</f>
        <v>#REF!</v>
      </c>
      <c r="E434" t="e">
        <f>AND(#REF!,"AAAAAGQv/wQ=")</f>
        <v>#REF!</v>
      </c>
      <c r="F434" t="e">
        <f>AND(#REF!,"AAAAAGQv/wU=")</f>
        <v>#REF!</v>
      </c>
      <c r="G434" t="e">
        <f>AND(#REF!,"AAAAAGQv/wY=")</f>
        <v>#REF!</v>
      </c>
      <c r="H434" t="e">
        <f>AND(#REF!,"AAAAAGQv/wc=")</f>
        <v>#REF!</v>
      </c>
      <c r="I434" t="e">
        <f>AND(#REF!,"AAAAAGQv/wg=")</f>
        <v>#REF!</v>
      </c>
      <c r="J434" t="e">
        <f>AND(#REF!,"AAAAAGQv/wk=")</f>
        <v>#REF!</v>
      </c>
      <c r="K434" t="e">
        <f>AND(#REF!,"AAAAAGQv/wo=")</f>
        <v>#REF!</v>
      </c>
      <c r="L434" t="e">
        <f>AND(#REF!,"AAAAAGQv/ws=")</f>
        <v>#REF!</v>
      </c>
      <c r="M434" t="e">
        <f>AND(#REF!,"AAAAAGQv/ww=")</f>
        <v>#REF!</v>
      </c>
      <c r="N434" t="e">
        <f>IF(#REF!,"AAAAAGQv/w0=",0)</f>
        <v>#REF!</v>
      </c>
      <c r="O434" t="e">
        <f>AND(#REF!,"AAAAAGQv/w4=")</f>
        <v>#REF!</v>
      </c>
      <c r="P434" t="e">
        <f>AND(#REF!,"AAAAAGQv/w8=")</f>
        <v>#REF!</v>
      </c>
      <c r="Q434" t="e">
        <f>AND(#REF!,"AAAAAGQv/xA=")</f>
        <v>#REF!</v>
      </c>
      <c r="R434" t="e">
        <f>AND(#REF!,"AAAAAGQv/xE=")</f>
        <v>#REF!</v>
      </c>
      <c r="S434" t="e">
        <f>AND(#REF!,"AAAAAGQv/xI=")</f>
        <v>#REF!</v>
      </c>
      <c r="T434" t="e">
        <f>AND(#REF!,"AAAAAGQv/xM=")</f>
        <v>#REF!</v>
      </c>
      <c r="U434" t="e">
        <f>AND(#REF!,"AAAAAGQv/xQ=")</f>
        <v>#REF!</v>
      </c>
      <c r="V434" t="e">
        <f>AND(#REF!,"AAAAAGQv/xU=")</f>
        <v>#REF!</v>
      </c>
      <c r="W434" t="e">
        <f>AND(#REF!,"AAAAAGQv/xY=")</f>
        <v>#REF!</v>
      </c>
      <c r="X434" t="e">
        <f>AND(#REF!,"AAAAAGQv/xc=")</f>
        <v>#REF!</v>
      </c>
      <c r="Y434" t="e">
        <f>IF(#REF!,"AAAAAGQv/xg=",0)</f>
        <v>#REF!</v>
      </c>
      <c r="Z434" t="e">
        <f>AND(#REF!,"AAAAAGQv/xk=")</f>
        <v>#REF!</v>
      </c>
      <c r="AA434" t="e">
        <f>AND(#REF!,"AAAAAGQv/xo=")</f>
        <v>#REF!</v>
      </c>
      <c r="AB434" t="e">
        <f>AND(#REF!,"AAAAAGQv/xs=")</f>
        <v>#REF!</v>
      </c>
      <c r="AC434" t="e">
        <f>AND(#REF!,"AAAAAGQv/xw=")</f>
        <v>#REF!</v>
      </c>
      <c r="AD434" t="e">
        <f>AND(#REF!,"AAAAAGQv/x0=")</f>
        <v>#REF!</v>
      </c>
      <c r="AE434" t="e">
        <f>AND(#REF!,"AAAAAGQv/x4=")</f>
        <v>#REF!</v>
      </c>
      <c r="AF434" t="e">
        <f>AND(#REF!,"AAAAAGQv/x8=")</f>
        <v>#REF!</v>
      </c>
      <c r="AG434" t="e">
        <f>AND(#REF!,"AAAAAGQv/yA=")</f>
        <v>#REF!</v>
      </c>
      <c r="AH434" t="e">
        <f>AND(#REF!,"AAAAAGQv/yE=")</f>
        <v>#REF!</v>
      </c>
      <c r="AI434" t="e">
        <f>AND(#REF!,"AAAAAGQv/yI=")</f>
        <v>#REF!</v>
      </c>
      <c r="AJ434" t="e">
        <f>IF(#REF!,"AAAAAGQv/yM=",0)</f>
        <v>#REF!</v>
      </c>
      <c r="AK434" t="e">
        <f>AND(#REF!,"AAAAAGQv/yQ=")</f>
        <v>#REF!</v>
      </c>
      <c r="AL434" t="e">
        <f>AND(#REF!,"AAAAAGQv/yU=")</f>
        <v>#REF!</v>
      </c>
      <c r="AM434" t="e">
        <f>AND(#REF!,"AAAAAGQv/yY=")</f>
        <v>#REF!</v>
      </c>
      <c r="AN434" t="e">
        <f>AND(#REF!,"AAAAAGQv/yc=")</f>
        <v>#REF!</v>
      </c>
      <c r="AO434" t="e">
        <f>AND(#REF!,"AAAAAGQv/yg=")</f>
        <v>#REF!</v>
      </c>
      <c r="AP434" t="e">
        <f>AND(#REF!,"AAAAAGQv/yk=")</f>
        <v>#REF!</v>
      </c>
      <c r="AQ434" t="e">
        <f>AND(#REF!,"AAAAAGQv/yo=")</f>
        <v>#REF!</v>
      </c>
      <c r="AR434" t="e">
        <f>AND(#REF!,"AAAAAGQv/ys=")</f>
        <v>#REF!</v>
      </c>
      <c r="AS434" t="e">
        <f>AND(#REF!,"AAAAAGQv/yw=")</f>
        <v>#REF!</v>
      </c>
      <c r="AT434" t="e">
        <f>AND(#REF!,"AAAAAGQv/y0=")</f>
        <v>#REF!</v>
      </c>
      <c r="AU434" t="e">
        <f>IF(#REF!,"AAAAAGQv/y4=",0)</f>
        <v>#REF!</v>
      </c>
      <c r="AV434" t="e">
        <f>AND(#REF!,"AAAAAGQv/y8=")</f>
        <v>#REF!</v>
      </c>
      <c r="AW434" t="e">
        <f>AND(#REF!,"AAAAAGQv/zA=")</f>
        <v>#REF!</v>
      </c>
      <c r="AX434" t="e">
        <f>AND(#REF!,"AAAAAGQv/zE=")</f>
        <v>#REF!</v>
      </c>
      <c r="AY434" t="e">
        <f>AND(#REF!,"AAAAAGQv/zI=")</f>
        <v>#REF!</v>
      </c>
      <c r="AZ434" t="e">
        <f>AND(#REF!,"AAAAAGQv/zM=")</f>
        <v>#REF!</v>
      </c>
      <c r="BA434" t="e">
        <f>AND(#REF!,"AAAAAGQv/zQ=")</f>
        <v>#REF!</v>
      </c>
      <c r="BB434" t="e">
        <f>AND(#REF!,"AAAAAGQv/zU=")</f>
        <v>#REF!</v>
      </c>
      <c r="BC434" t="e">
        <f>AND(#REF!,"AAAAAGQv/zY=")</f>
        <v>#REF!</v>
      </c>
      <c r="BD434" t="e">
        <f>AND(#REF!,"AAAAAGQv/zc=")</f>
        <v>#REF!</v>
      </c>
      <c r="BE434" t="e">
        <f>AND(#REF!,"AAAAAGQv/zg=")</f>
        <v>#REF!</v>
      </c>
      <c r="BF434" t="e">
        <f>IF(#REF!,"AAAAAGQv/zk=",0)</f>
        <v>#REF!</v>
      </c>
      <c r="BG434" t="e">
        <f>AND(#REF!,"AAAAAGQv/zo=")</f>
        <v>#REF!</v>
      </c>
      <c r="BH434" t="e">
        <f>AND(#REF!,"AAAAAGQv/zs=")</f>
        <v>#REF!</v>
      </c>
      <c r="BI434" t="e">
        <f>AND(#REF!,"AAAAAGQv/zw=")</f>
        <v>#REF!</v>
      </c>
      <c r="BJ434" t="e">
        <f>AND(#REF!,"AAAAAGQv/z0=")</f>
        <v>#REF!</v>
      </c>
      <c r="BK434" t="e">
        <f>AND(#REF!,"AAAAAGQv/z4=")</f>
        <v>#REF!</v>
      </c>
      <c r="BL434" t="e">
        <f>AND(#REF!,"AAAAAGQv/z8=")</f>
        <v>#REF!</v>
      </c>
      <c r="BM434" t="e">
        <f>AND(#REF!,"AAAAAGQv/0A=")</f>
        <v>#REF!</v>
      </c>
      <c r="BN434" t="e">
        <f>AND(#REF!,"AAAAAGQv/0E=")</f>
        <v>#REF!</v>
      </c>
      <c r="BO434" t="e">
        <f>AND(#REF!,"AAAAAGQv/0I=")</f>
        <v>#REF!</v>
      </c>
      <c r="BP434" t="e">
        <f>AND(#REF!,"AAAAAGQv/0M=")</f>
        <v>#REF!</v>
      </c>
      <c r="BQ434" t="e">
        <f>IF(#REF!,"AAAAAGQv/0Q=",0)</f>
        <v>#REF!</v>
      </c>
      <c r="BR434" t="e">
        <f>AND(#REF!,"AAAAAGQv/0U=")</f>
        <v>#REF!</v>
      </c>
      <c r="BS434" t="e">
        <f>AND(#REF!,"AAAAAGQv/0Y=")</f>
        <v>#REF!</v>
      </c>
      <c r="BT434" t="e">
        <f>AND(#REF!,"AAAAAGQv/0c=")</f>
        <v>#REF!</v>
      </c>
      <c r="BU434" t="e">
        <f>AND(#REF!,"AAAAAGQv/0g=")</f>
        <v>#REF!</v>
      </c>
      <c r="BV434" t="e">
        <f>AND(#REF!,"AAAAAGQv/0k=")</f>
        <v>#REF!</v>
      </c>
      <c r="BW434" t="e">
        <f>AND(#REF!,"AAAAAGQv/0o=")</f>
        <v>#REF!</v>
      </c>
      <c r="BX434" t="e">
        <f>AND(#REF!,"AAAAAGQv/0s=")</f>
        <v>#REF!</v>
      </c>
      <c r="BY434" t="e">
        <f>AND(#REF!,"AAAAAGQv/0w=")</f>
        <v>#REF!</v>
      </c>
      <c r="BZ434" t="e">
        <f>AND(#REF!,"AAAAAGQv/00=")</f>
        <v>#REF!</v>
      </c>
      <c r="CA434" t="e">
        <f>AND(#REF!,"AAAAAGQv/04=")</f>
        <v>#REF!</v>
      </c>
      <c r="CB434" t="e">
        <f>IF(#REF!,"AAAAAGQv/08=",0)</f>
        <v>#REF!</v>
      </c>
      <c r="CC434" t="e">
        <f>AND(#REF!,"AAAAAGQv/1A=")</f>
        <v>#REF!</v>
      </c>
      <c r="CD434" t="e">
        <f>AND(#REF!,"AAAAAGQv/1E=")</f>
        <v>#REF!</v>
      </c>
      <c r="CE434" t="e">
        <f>AND(#REF!,"AAAAAGQv/1I=")</f>
        <v>#REF!</v>
      </c>
      <c r="CF434" t="e">
        <f>AND(#REF!,"AAAAAGQv/1M=")</f>
        <v>#REF!</v>
      </c>
      <c r="CG434" t="e">
        <f>AND(#REF!,"AAAAAGQv/1Q=")</f>
        <v>#REF!</v>
      </c>
      <c r="CH434" t="e">
        <f>AND(#REF!,"AAAAAGQv/1U=")</f>
        <v>#REF!</v>
      </c>
      <c r="CI434" t="e">
        <f>AND(#REF!,"AAAAAGQv/1Y=")</f>
        <v>#REF!</v>
      </c>
      <c r="CJ434" t="e">
        <f>AND(#REF!,"AAAAAGQv/1c=")</f>
        <v>#REF!</v>
      </c>
      <c r="CK434" t="e">
        <f>AND(#REF!,"AAAAAGQv/1g=")</f>
        <v>#REF!</v>
      </c>
      <c r="CL434" t="e">
        <f>AND(#REF!,"AAAAAGQv/1k=")</f>
        <v>#REF!</v>
      </c>
      <c r="CM434" t="e">
        <f>IF(#REF!,"AAAAAGQv/1o=",0)</f>
        <v>#REF!</v>
      </c>
      <c r="CN434" t="e">
        <f>AND(#REF!,"AAAAAGQv/1s=")</f>
        <v>#REF!</v>
      </c>
      <c r="CO434" t="e">
        <f>AND(#REF!,"AAAAAGQv/1w=")</f>
        <v>#REF!</v>
      </c>
      <c r="CP434" t="e">
        <f>AND(#REF!,"AAAAAGQv/10=")</f>
        <v>#REF!</v>
      </c>
      <c r="CQ434" t="e">
        <f>AND(#REF!,"AAAAAGQv/14=")</f>
        <v>#REF!</v>
      </c>
      <c r="CR434" t="e">
        <f>AND(#REF!,"AAAAAGQv/18=")</f>
        <v>#REF!</v>
      </c>
      <c r="CS434" t="e">
        <f>AND(#REF!,"AAAAAGQv/2A=")</f>
        <v>#REF!</v>
      </c>
      <c r="CT434" t="e">
        <f>AND(#REF!,"AAAAAGQv/2E=")</f>
        <v>#REF!</v>
      </c>
      <c r="CU434" t="e">
        <f>AND(#REF!,"AAAAAGQv/2I=")</f>
        <v>#REF!</v>
      </c>
      <c r="CV434" t="e">
        <f>AND(#REF!,"AAAAAGQv/2M=")</f>
        <v>#REF!</v>
      </c>
      <c r="CW434" t="e">
        <f>AND(#REF!,"AAAAAGQv/2Q=")</f>
        <v>#REF!</v>
      </c>
      <c r="CX434" t="e">
        <f>IF(#REF!,"AAAAAGQv/2U=",0)</f>
        <v>#REF!</v>
      </c>
      <c r="CY434" t="e">
        <f>AND(#REF!,"AAAAAGQv/2Y=")</f>
        <v>#REF!</v>
      </c>
      <c r="CZ434" t="e">
        <f>AND(#REF!,"AAAAAGQv/2c=")</f>
        <v>#REF!</v>
      </c>
      <c r="DA434" t="e">
        <f>AND(#REF!,"AAAAAGQv/2g=")</f>
        <v>#REF!</v>
      </c>
      <c r="DB434" t="e">
        <f>AND(#REF!,"AAAAAGQv/2k=")</f>
        <v>#REF!</v>
      </c>
      <c r="DC434" t="e">
        <f>AND(#REF!,"AAAAAGQv/2o=")</f>
        <v>#REF!</v>
      </c>
      <c r="DD434" t="e">
        <f>AND(#REF!,"AAAAAGQv/2s=")</f>
        <v>#REF!</v>
      </c>
      <c r="DE434" t="e">
        <f>AND(#REF!,"AAAAAGQv/2w=")</f>
        <v>#REF!</v>
      </c>
      <c r="DF434" t="e">
        <f>AND(#REF!,"AAAAAGQv/20=")</f>
        <v>#REF!</v>
      </c>
      <c r="DG434" t="e">
        <f>AND(#REF!,"AAAAAGQv/24=")</f>
        <v>#REF!</v>
      </c>
      <c r="DH434" t="e">
        <f>AND(#REF!,"AAAAAGQv/28=")</f>
        <v>#REF!</v>
      </c>
      <c r="DI434" t="e">
        <f>IF(#REF!,"AAAAAGQv/3A=",0)</f>
        <v>#REF!</v>
      </c>
      <c r="DJ434" t="e">
        <f>AND(#REF!,"AAAAAGQv/3E=")</f>
        <v>#REF!</v>
      </c>
      <c r="DK434" t="e">
        <f>AND(#REF!,"AAAAAGQv/3I=")</f>
        <v>#REF!</v>
      </c>
      <c r="DL434" t="e">
        <f>AND(#REF!,"AAAAAGQv/3M=")</f>
        <v>#REF!</v>
      </c>
      <c r="DM434" t="e">
        <f>AND(#REF!,"AAAAAGQv/3Q=")</f>
        <v>#REF!</v>
      </c>
      <c r="DN434" t="e">
        <f>AND(#REF!,"AAAAAGQv/3U=")</f>
        <v>#REF!</v>
      </c>
      <c r="DO434" t="e">
        <f>AND(#REF!,"AAAAAGQv/3Y=")</f>
        <v>#REF!</v>
      </c>
      <c r="DP434" t="e">
        <f>AND(#REF!,"AAAAAGQv/3c=")</f>
        <v>#REF!</v>
      </c>
      <c r="DQ434" t="e">
        <f>AND(#REF!,"AAAAAGQv/3g=")</f>
        <v>#REF!</v>
      </c>
      <c r="DR434" t="e">
        <f>AND(#REF!,"AAAAAGQv/3k=")</f>
        <v>#REF!</v>
      </c>
      <c r="DS434" t="e">
        <f>AND(#REF!,"AAAAAGQv/3o=")</f>
        <v>#REF!</v>
      </c>
      <c r="DT434" t="e">
        <f>IF(#REF!,"AAAAAGQv/3s=",0)</f>
        <v>#REF!</v>
      </c>
      <c r="DU434" t="e">
        <f>AND(#REF!,"AAAAAGQv/3w=")</f>
        <v>#REF!</v>
      </c>
      <c r="DV434" t="e">
        <f>AND(#REF!,"AAAAAGQv/30=")</f>
        <v>#REF!</v>
      </c>
      <c r="DW434" t="e">
        <f>AND(#REF!,"AAAAAGQv/34=")</f>
        <v>#REF!</v>
      </c>
      <c r="DX434" t="e">
        <f>AND(#REF!,"AAAAAGQv/38=")</f>
        <v>#REF!</v>
      </c>
      <c r="DY434" t="e">
        <f>AND(#REF!,"AAAAAGQv/4A=")</f>
        <v>#REF!</v>
      </c>
      <c r="DZ434" t="e">
        <f>AND(#REF!,"AAAAAGQv/4E=")</f>
        <v>#REF!</v>
      </c>
      <c r="EA434" t="e">
        <f>AND(#REF!,"AAAAAGQv/4I=")</f>
        <v>#REF!</v>
      </c>
      <c r="EB434" t="e">
        <f>AND(#REF!,"AAAAAGQv/4M=")</f>
        <v>#REF!</v>
      </c>
      <c r="EC434" t="e">
        <f>AND(#REF!,"AAAAAGQv/4Q=")</f>
        <v>#REF!</v>
      </c>
      <c r="ED434" t="e">
        <f>AND(#REF!,"AAAAAGQv/4U=")</f>
        <v>#REF!</v>
      </c>
      <c r="EE434" t="e">
        <f>IF(#REF!,"AAAAAGQv/4Y=",0)</f>
        <v>#REF!</v>
      </c>
      <c r="EF434" t="e">
        <f>AND(#REF!,"AAAAAGQv/4c=")</f>
        <v>#REF!</v>
      </c>
      <c r="EG434" t="e">
        <f>AND(#REF!,"AAAAAGQv/4g=")</f>
        <v>#REF!</v>
      </c>
      <c r="EH434" t="e">
        <f>AND(#REF!,"AAAAAGQv/4k=")</f>
        <v>#REF!</v>
      </c>
      <c r="EI434" t="e">
        <f>AND(#REF!,"AAAAAGQv/4o=")</f>
        <v>#REF!</v>
      </c>
      <c r="EJ434" t="e">
        <f>AND(#REF!,"AAAAAGQv/4s=")</f>
        <v>#REF!</v>
      </c>
      <c r="EK434" t="e">
        <f>AND(#REF!,"AAAAAGQv/4w=")</f>
        <v>#REF!</v>
      </c>
      <c r="EL434" t="e">
        <f>AND(#REF!,"AAAAAGQv/40=")</f>
        <v>#REF!</v>
      </c>
      <c r="EM434" t="e">
        <f>AND(#REF!,"AAAAAGQv/44=")</f>
        <v>#REF!</v>
      </c>
      <c r="EN434" t="e">
        <f>AND(#REF!,"AAAAAGQv/48=")</f>
        <v>#REF!</v>
      </c>
      <c r="EO434" t="e">
        <f>AND(#REF!,"AAAAAGQv/5A=")</f>
        <v>#REF!</v>
      </c>
      <c r="EP434" t="e">
        <f>IF(#REF!,"AAAAAGQv/5E=",0)</f>
        <v>#REF!</v>
      </c>
      <c r="EQ434" t="e">
        <f>AND(#REF!,"AAAAAGQv/5I=")</f>
        <v>#REF!</v>
      </c>
      <c r="ER434" t="e">
        <f>AND(#REF!,"AAAAAGQv/5M=")</f>
        <v>#REF!</v>
      </c>
      <c r="ES434" t="e">
        <f>AND(#REF!,"AAAAAGQv/5Q=")</f>
        <v>#REF!</v>
      </c>
      <c r="ET434" t="e">
        <f>AND(#REF!,"AAAAAGQv/5U=")</f>
        <v>#REF!</v>
      </c>
      <c r="EU434" t="e">
        <f>AND(#REF!,"AAAAAGQv/5Y=")</f>
        <v>#REF!</v>
      </c>
      <c r="EV434" t="e">
        <f>AND(#REF!,"AAAAAGQv/5c=")</f>
        <v>#REF!</v>
      </c>
      <c r="EW434" t="e">
        <f>AND(#REF!,"AAAAAGQv/5g=")</f>
        <v>#REF!</v>
      </c>
      <c r="EX434" t="e">
        <f>AND(#REF!,"AAAAAGQv/5k=")</f>
        <v>#REF!</v>
      </c>
      <c r="EY434" t="e">
        <f>AND(#REF!,"AAAAAGQv/5o=")</f>
        <v>#REF!</v>
      </c>
      <c r="EZ434" t="e">
        <f>AND(#REF!,"AAAAAGQv/5s=")</f>
        <v>#REF!</v>
      </c>
      <c r="FA434" t="e">
        <f>IF(#REF!,"AAAAAGQv/5w=",0)</f>
        <v>#REF!</v>
      </c>
      <c r="FB434" t="e">
        <f>AND(#REF!,"AAAAAGQv/50=")</f>
        <v>#REF!</v>
      </c>
      <c r="FC434" t="e">
        <f>AND(#REF!,"AAAAAGQv/54=")</f>
        <v>#REF!</v>
      </c>
      <c r="FD434" t="e">
        <f>AND(#REF!,"AAAAAGQv/58=")</f>
        <v>#REF!</v>
      </c>
      <c r="FE434" t="e">
        <f>AND(#REF!,"AAAAAGQv/6A=")</f>
        <v>#REF!</v>
      </c>
      <c r="FF434" t="e">
        <f>AND(#REF!,"AAAAAGQv/6E=")</f>
        <v>#REF!</v>
      </c>
      <c r="FG434" t="e">
        <f>AND(#REF!,"AAAAAGQv/6I=")</f>
        <v>#REF!</v>
      </c>
      <c r="FH434" t="e">
        <f>AND(#REF!,"AAAAAGQv/6M=")</f>
        <v>#REF!</v>
      </c>
      <c r="FI434" t="e">
        <f>AND(#REF!,"AAAAAGQv/6Q=")</f>
        <v>#REF!</v>
      </c>
      <c r="FJ434" t="e">
        <f>AND(#REF!,"AAAAAGQv/6U=")</f>
        <v>#REF!</v>
      </c>
      <c r="FK434" t="e">
        <f>AND(#REF!,"AAAAAGQv/6Y=")</f>
        <v>#REF!</v>
      </c>
      <c r="FL434" t="e">
        <f>IF(#REF!,"AAAAAGQv/6c=",0)</f>
        <v>#REF!</v>
      </c>
      <c r="FM434" t="e">
        <f>AND(#REF!,"AAAAAGQv/6g=")</f>
        <v>#REF!</v>
      </c>
      <c r="FN434" t="e">
        <f>AND(#REF!,"AAAAAGQv/6k=")</f>
        <v>#REF!</v>
      </c>
      <c r="FO434" t="e">
        <f>AND(#REF!,"AAAAAGQv/6o=")</f>
        <v>#REF!</v>
      </c>
      <c r="FP434" t="e">
        <f>AND(#REF!,"AAAAAGQv/6s=")</f>
        <v>#REF!</v>
      </c>
      <c r="FQ434" t="e">
        <f>AND(#REF!,"AAAAAGQv/6w=")</f>
        <v>#REF!</v>
      </c>
      <c r="FR434" t="e">
        <f>AND(#REF!,"AAAAAGQv/60=")</f>
        <v>#REF!</v>
      </c>
      <c r="FS434" t="e">
        <f>AND(#REF!,"AAAAAGQv/64=")</f>
        <v>#REF!</v>
      </c>
      <c r="FT434" t="e">
        <f>AND(#REF!,"AAAAAGQv/68=")</f>
        <v>#REF!</v>
      </c>
      <c r="FU434" t="e">
        <f>AND(#REF!,"AAAAAGQv/7A=")</f>
        <v>#REF!</v>
      </c>
      <c r="FV434" t="e">
        <f>AND(#REF!,"AAAAAGQv/7E=")</f>
        <v>#REF!</v>
      </c>
      <c r="FW434" t="e">
        <f>IF(#REF!,"AAAAAGQv/7I=",0)</f>
        <v>#REF!</v>
      </c>
      <c r="FX434" t="e">
        <f>AND(#REF!,"AAAAAGQv/7M=")</f>
        <v>#REF!</v>
      </c>
      <c r="FY434" t="e">
        <f>AND(#REF!,"AAAAAGQv/7Q=")</f>
        <v>#REF!</v>
      </c>
      <c r="FZ434" t="e">
        <f>AND(#REF!,"AAAAAGQv/7U=")</f>
        <v>#REF!</v>
      </c>
      <c r="GA434" t="e">
        <f>AND(#REF!,"AAAAAGQv/7Y=")</f>
        <v>#REF!</v>
      </c>
      <c r="GB434" t="e">
        <f>AND(#REF!,"AAAAAGQv/7c=")</f>
        <v>#REF!</v>
      </c>
      <c r="GC434" t="e">
        <f>AND(#REF!,"AAAAAGQv/7g=")</f>
        <v>#REF!</v>
      </c>
      <c r="GD434" t="e">
        <f>AND(#REF!,"AAAAAGQv/7k=")</f>
        <v>#REF!</v>
      </c>
      <c r="GE434" t="e">
        <f>AND(#REF!,"AAAAAGQv/7o=")</f>
        <v>#REF!</v>
      </c>
      <c r="GF434" t="e">
        <f>AND(#REF!,"AAAAAGQv/7s=")</f>
        <v>#REF!</v>
      </c>
      <c r="GG434" t="e">
        <f>AND(#REF!,"AAAAAGQv/7w=")</f>
        <v>#REF!</v>
      </c>
      <c r="GH434" t="e">
        <f>IF(#REF!,"AAAAAGQv/70=",0)</f>
        <v>#REF!</v>
      </c>
      <c r="GI434" t="e">
        <f>AND(#REF!,"AAAAAGQv/74=")</f>
        <v>#REF!</v>
      </c>
      <c r="GJ434" t="e">
        <f>AND(#REF!,"AAAAAGQv/78=")</f>
        <v>#REF!</v>
      </c>
      <c r="GK434" t="e">
        <f>AND(#REF!,"AAAAAGQv/8A=")</f>
        <v>#REF!</v>
      </c>
      <c r="GL434" t="e">
        <f>AND(#REF!,"AAAAAGQv/8E=")</f>
        <v>#REF!</v>
      </c>
      <c r="GM434" t="e">
        <f>AND(#REF!,"AAAAAGQv/8I=")</f>
        <v>#REF!</v>
      </c>
      <c r="GN434" t="e">
        <f>AND(#REF!,"AAAAAGQv/8M=")</f>
        <v>#REF!</v>
      </c>
      <c r="GO434" t="e">
        <f>AND(#REF!,"AAAAAGQv/8Q=")</f>
        <v>#REF!</v>
      </c>
      <c r="GP434" t="e">
        <f>AND(#REF!,"AAAAAGQv/8U=")</f>
        <v>#REF!</v>
      </c>
      <c r="GQ434" t="e">
        <f>AND(#REF!,"AAAAAGQv/8Y=")</f>
        <v>#REF!</v>
      </c>
      <c r="GR434" t="e">
        <f>AND(#REF!,"AAAAAGQv/8c=")</f>
        <v>#REF!</v>
      </c>
      <c r="GS434" t="e">
        <f>IF(#REF!,"AAAAAGQv/8g=",0)</f>
        <v>#REF!</v>
      </c>
      <c r="GT434" t="e">
        <f>AND(#REF!,"AAAAAGQv/8k=")</f>
        <v>#REF!</v>
      </c>
      <c r="GU434" t="e">
        <f>AND(#REF!,"AAAAAGQv/8o=")</f>
        <v>#REF!</v>
      </c>
      <c r="GV434" t="e">
        <f>AND(#REF!,"AAAAAGQv/8s=")</f>
        <v>#REF!</v>
      </c>
      <c r="GW434" t="e">
        <f>AND(#REF!,"AAAAAGQv/8w=")</f>
        <v>#REF!</v>
      </c>
      <c r="GX434" t="e">
        <f>AND(#REF!,"AAAAAGQv/80=")</f>
        <v>#REF!</v>
      </c>
      <c r="GY434" t="e">
        <f>AND(#REF!,"AAAAAGQv/84=")</f>
        <v>#REF!</v>
      </c>
      <c r="GZ434" t="e">
        <f>AND(#REF!,"AAAAAGQv/88=")</f>
        <v>#REF!</v>
      </c>
      <c r="HA434" t="e">
        <f>AND(#REF!,"AAAAAGQv/9A=")</f>
        <v>#REF!</v>
      </c>
      <c r="HB434" t="e">
        <f>AND(#REF!,"AAAAAGQv/9E=")</f>
        <v>#REF!</v>
      </c>
      <c r="HC434" t="e">
        <f>AND(#REF!,"AAAAAGQv/9I=")</f>
        <v>#REF!</v>
      </c>
      <c r="HD434" t="e">
        <f>IF(#REF!,"AAAAAGQv/9M=",0)</f>
        <v>#REF!</v>
      </c>
      <c r="HE434" t="e">
        <f>AND(#REF!,"AAAAAGQv/9Q=")</f>
        <v>#REF!</v>
      </c>
      <c r="HF434" t="e">
        <f>AND(#REF!,"AAAAAGQv/9U=")</f>
        <v>#REF!</v>
      </c>
      <c r="HG434" t="e">
        <f>AND(#REF!,"AAAAAGQv/9Y=")</f>
        <v>#REF!</v>
      </c>
      <c r="HH434" t="e">
        <f>AND(#REF!,"AAAAAGQv/9c=")</f>
        <v>#REF!</v>
      </c>
      <c r="HI434" t="e">
        <f>AND(#REF!,"AAAAAGQv/9g=")</f>
        <v>#REF!</v>
      </c>
      <c r="HJ434" t="e">
        <f>AND(#REF!,"AAAAAGQv/9k=")</f>
        <v>#REF!</v>
      </c>
      <c r="HK434" t="e">
        <f>AND(#REF!,"AAAAAGQv/9o=")</f>
        <v>#REF!</v>
      </c>
      <c r="HL434" t="e">
        <f>AND(#REF!,"AAAAAGQv/9s=")</f>
        <v>#REF!</v>
      </c>
      <c r="HM434" t="e">
        <f>AND(#REF!,"AAAAAGQv/9w=")</f>
        <v>#REF!</v>
      </c>
      <c r="HN434" t="e">
        <f>AND(#REF!,"AAAAAGQv/90=")</f>
        <v>#REF!</v>
      </c>
      <c r="HO434" t="e">
        <f>IF(#REF!,"AAAAAGQv/94=",0)</f>
        <v>#REF!</v>
      </c>
      <c r="HP434" t="e">
        <f>AND(#REF!,"AAAAAGQv/98=")</f>
        <v>#REF!</v>
      </c>
      <c r="HQ434" t="e">
        <f>AND(#REF!,"AAAAAGQv/+A=")</f>
        <v>#REF!</v>
      </c>
      <c r="HR434" t="e">
        <f>AND(#REF!,"AAAAAGQv/+E=")</f>
        <v>#REF!</v>
      </c>
      <c r="HS434" t="e">
        <f>AND(#REF!,"AAAAAGQv/+I=")</f>
        <v>#REF!</v>
      </c>
      <c r="HT434" t="e">
        <f>AND(#REF!,"AAAAAGQv/+M=")</f>
        <v>#REF!</v>
      </c>
      <c r="HU434" t="e">
        <f>AND(#REF!,"AAAAAGQv/+Q=")</f>
        <v>#REF!</v>
      </c>
      <c r="HV434" t="e">
        <f>AND(#REF!,"AAAAAGQv/+U=")</f>
        <v>#REF!</v>
      </c>
      <c r="HW434" t="e">
        <f>AND(#REF!,"AAAAAGQv/+Y=")</f>
        <v>#REF!</v>
      </c>
      <c r="HX434" t="e">
        <f>AND(#REF!,"AAAAAGQv/+c=")</f>
        <v>#REF!</v>
      </c>
      <c r="HY434" t="e">
        <f>AND(#REF!,"AAAAAGQv/+g=")</f>
        <v>#REF!</v>
      </c>
      <c r="HZ434" t="e">
        <f>IF(#REF!,"AAAAAGQv/+k=",0)</f>
        <v>#REF!</v>
      </c>
      <c r="IA434" t="e">
        <f>AND(#REF!,"AAAAAGQv/+o=")</f>
        <v>#REF!</v>
      </c>
      <c r="IB434" t="e">
        <f>AND(#REF!,"AAAAAGQv/+s=")</f>
        <v>#REF!</v>
      </c>
      <c r="IC434" t="e">
        <f>AND(#REF!,"AAAAAGQv/+w=")</f>
        <v>#REF!</v>
      </c>
      <c r="ID434" t="e">
        <f>AND(#REF!,"AAAAAGQv/+0=")</f>
        <v>#REF!</v>
      </c>
      <c r="IE434" t="e">
        <f>AND(#REF!,"AAAAAGQv/+4=")</f>
        <v>#REF!</v>
      </c>
      <c r="IF434" t="e">
        <f>AND(#REF!,"AAAAAGQv/+8=")</f>
        <v>#REF!</v>
      </c>
      <c r="IG434" t="e">
        <f>AND(#REF!,"AAAAAGQv//A=")</f>
        <v>#REF!</v>
      </c>
      <c r="IH434" t="e">
        <f>AND(#REF!,"AAAAAGQv//E=")</f>
        <v>#REF!</v>
      </c>
      <c r="II434" t="e">
        <f>AND(#REF!,"AAAAAGQv//I=")</f>
        <v>#REF!</v>
      </c>
      <c r="IJ434" t="e">
        <f>AND(#REF!,"AAAAAGQv//M=")</f>
        <v>#REF!</v>
      </c>
      <c r="IK434" t="e">
        <f>IF(#REF!,"AAAAAGQv//Q=",0)</f>
        <v>#REF!</v>
      </c>
      <c r="IL434" t="e">
        <f>AND(#REF!,"AAAAAGQv//U=")</f>
        <v>#REF!</v>
      </c>
      <c r="IM434" t="e">
        <f>AND(#REF!,"AAAAAGQv//Y=")</f>
        <v>#REF!</v>
      </c>
      <c r="IN434" t="e">
        <f>AND(#REF!,"AAAAAGQv//c=")</f>
        <v>#REF!</v>
      </c>
      <c r="IO434" t="e">
        <f>AND(#REF!,"AAAAAGQv//g=")</f>
        <v>#REF!</v>
      </c>
      <c r="IP434" t="e">
        <f>AND(#REF!,"AAAAAGQv//k=")</f>
        <v>#REF!</v>
      </c>
      <c r="IQ434" t="e">
        <f>AND(#REF!,"AAAAAGQv//o=")</f>
        <v>#REF!</v>
      </c>
      <c r="IR434" t="e">
        <f>AND(#REF!,"AAAAAGQv//s=")</f>
        <v>#REF!</v>
      </c>
      <c r="IS434" t="e">
        <f>AND(#REF!,"AAAAAGQv//w=")</f>
        <v>#REF!</v>
      </c>
      <c r="IT434" t="e">
        <f>AND(#REF!,"AAAAAGQv//0=")</f>
        <v>#REF!</v>
      </c>
      <c r="IU434" t="e">
        <f>AND(#REF!,"AAAAAGQv//4=")</f>
        <v>#REF!</v>
      </c>
      <c r="IV434" t="e">
        <f>IF(#REF!,"AAAAAGQv//8=",0)</f>
        <v>#REF!</v>
      </c>
    </row>
    <row r="435" spans="1:256" x14ac:dyDescent="0.25">
      <c r="A435" t="e">
        <f>AND(#REF!,"AAAAAF/d9wA=")</f>
        <v>#REF!</v>
      </c>
      <c r="B435" t="e">
        <f>AND(#REF!,"AAAAAF/d9wE=")</f>
        <v>#REF!</v>
      </c>
      <c r="C435" t="e">
        <f>AND(#REF!,"AAAAAF/d9wI=")</f>
        <v>#REF!</v>
      </c>
      <c r="D435" t="e">
        <f>AND(#REF!,"AAAAAF/d9wM=")</f>
        <v>#REF!</v>
      </c>
      <c r="E435" t="e">
        <f>AND(#REF!,"AAAAAF/d9wQ=")</f>
        <v>#REF!</v>
      </c>
      <c r="F435" t="e">
        <f>AND(#REF!,"AAAAAF/d9wU=")</f>
        <v>#REF!</v>
      </c>
      <c r="G435" t="e">
        <f>AND(#REF!,"AAAAAF/d9wY=")</f>
        <v>#REF!</v>
      </c>
      <c r="H435" t="e">
        <f>AND(#REF!,"AAAAAF/d9wc=")</f>
        <v>#REF!</v>
      </c>
      <c r="I435" t="e">
        <f>AND(#REF!,"AAAAAF/d9wg=")</f>
        <v>#REF!</v>
      </c>
      <c r="J435" t="e">
        <f>AND(#REF!,"AAAAAF/d9wk=")</f>
        <v>#REF!</v>
      </c>
      <c r="K435" t="e">
        <f>IF(#REF!,"AAAAAF/d9wo=",0)</f>
        <v>#REF!</v>
      </c>
      <c r="L435" t="e">
        <f>AND(#REF!,"AAAAAF/d9ws=")</f>
        <v>#REF!</v>
      </c>
      <c r="M435" t="e">
        <f>AND(#REF!,"AAAAAF/d9ww=")</f>
        <v>#REF!</v>
      </c>
      <c r="N435" t="e">
        <f>AND(#REF!,"AAAAAF/d9w0=")</f>
        <v>#REF!</v>
      </c>
      <c r="O435" t="e">
        <f>AND(#REF!,"AAAAAF/d9w4=")</f>
        <v>#REF!</v>
      </c>
      <c r="P435" t="e">
        <f>AND(#REF!,"AAAAAF/d9w8=")</f>
        <v>#REF!</v>
      </c>
      <c r="Q435" t="e">
        <f>AND(#REF!,"AAAAAF/d9xA=")</f>
        <v>#REF!</v>
      </c>
      <c r="R435" t="e">
        <f>AND(#REF!,"AAAAAF/d9xE=")</f>
        <v>#REF!</v>
      </c>
      <c r="S435" t="e">
        <f>AND(#REF!,"AAAAAF/d9xI=")</f>
        <v>#REF!</v>
      </c>
      <c r="T435" t="e">
        <f>AND(#REF!,"AAAAAF/d9xM=")</f>
        <v>#REF!</v>
      </c>
      <c r="U435" t="e">
        <f>AND(#REF!,"AAAAAF/d9xQ=")</f>
        <v>#REF!</v>
      </c>
      <c r="V435" t="e">
        <f>IF(#REF!,"AAAAAF/d9xU=",0)</f>
        <v>#REF!</v>
      </c>
      <c r="W435" t="e">
        <f>AND(#REF!,"AAAAAF/d9xY=")</f>
        <v>#REF!</v>
      </c>
      <c r="X435" t="e">
        <f>AND(#REF!,"AAAAAF/d9xc=")</f>
        <v>#REF!</v>
      </c>
      <c r="Y435" t="e">
        <f>AND(#REF!,"AAAAAF/d9xg=")</f>
        <v>#REF!</v>
      </c>
      <c r="Z435" t="e">
        <f>AND(#REF!,"AAAAAF/d9xk=")</f>
        <v>#REF!</v>
      </c>
      <c r="AA435" t="e">
        <f>AND(#REF!,"AAAAAF/d9xo=")</f>
        <v>#REF!</v>
      </c>
      <c r="AB435" t="e">
        <f>AND(#REF!,"AAAAAF/d9xs=")</f>
        <v>#REF!</v>
      </c>
      <c r="AC435" t="e">
        <f>AND(#REF!,"AAAAAF/d9xw=")</f>
        <v>#REF!</v>
      </c>
      <c r="AD435" t="e">
        <f>AND(#REF!,"AAAAAF/d9x0=")</f>
        <v>#REF!</v>
      </c>
      <c r="AE435" t="e">
        <f>AND(#REF!,"AAAAAF/d9x4=")</f>
        <v>#REF!</v>
      </c>
      <c r="AF435" t="e">
        <f>AND(#REF!,"AAAAAF/d9x8=")</f>
        <v>#REF!</v>
      </c>
      <c r="AG435" t="e">
        <f>IF(#REF!,"AAAAAF/d9yA=",0)</f>
        <v>#REF!</v>
      </c>
      <c r="AH435" t="e">
        <f>AND(#REF!,"AAAAAF/d9yE=")</f>
        <v>#REF!</v>
      </c>
      <c r="AI435" t="e">
        <f>AND(#REF!,"AAAAAF/d9yI=")</f>
        <v>#REF!</v>
      </c>
      <c r="AJ435" t="e">
        <f>AND(#REF!,"AAAAAF/d9yM=")</f>
        <v>#REF!</v>
      </c>
      <c r="AK435" t="e">
        <f>AND(#REF!,"AAAAAF/d9yQ=")</f>
        <v>#REF!</v>
      </c>
      <c r="AL435" t="e">
        <f>AND(#REF!,"AAAAAF/d9yU=")</f>
        <v>#REF!</v>
      </c>
      <c r="AM435" t="e">
        <f>AND(#REF!,"AAAAAF/d9yY=")</f>
        <v>#REF!</v>
      </c>
      <c r="AN435" t="e">
        <f>AND(#REF!,"AAAAAF/d9yc=")</f>
        <v>#REF!</v>
      </c>
      <c r="AO435" t="e">
        <f>AND(#REF!,"AAAAAF/d9yg=")</f>
        <v>#REF!</v>
      </c>
      <c r="AP435" t="e">
        <f>AND(#REF!,"AAAAAF/d9yk=")</f>
        <v>#REF!</v>
      </c>
      <c r="AQ435" t="e">
        <f>AND(#REF!,"AAAAAF/d9yo=")</f>
        <v>#REF!</v>
      </c>
      <c r="AR435" t="e">
        <f>IF(#REF!,"AAAAAF/d9ys=",0)</f>
        <v>#REF!</v>
      </c>
      <c r="AS435" t="e">
        <f>AND(#REF!,"AAAAAF/d9yw=")</f>
        <v>#REF!</v>
      </c>
      <c r="AT435" t="e">
        <f>AND(#REF!,"AAAAAF/d9y0=")</f>
        <v>#REF!</v>
      </c>
      <c r="AU435" t="e">
        <f>AND(#REF!,"AAAAAF/d9y4=")</f>
        <v>#REF!</v>
      </c>
      <c r="AV435" t="e">
        <f>AND(#REF!,"AAAAAF/d9y8=")</f>
        <v>#REF!</v>
      </c>
      <c r="AW435" t="e">
        <f>AND(#REF!,"AAAAAF/d9zA=")</f>
        <v>#REF!</v>
      </c>
      <c r="AX435" t="e">
        <f>AND(#REF!,"AAAAAF/d9zE=")</f>
        <v>#REF!</v>
      </c>
      <c r="AY435" t="e">
        <f>AND(#REF!,"AAAAAF/d9zI=")</f>
        <v>#REF!</v>
      </c>
      <c r="AZ435" t="e">
        <f>AND(#REF!,"AAAAAF/d9zM=")</f>
        <v>#REF!</v>
      </c>
      <c r="BA435" t="e">
        <f>AND(#REF!,"AAAAAF/d9zQ=")</f>
        <v>#REF!</v>
      </c>
      <c r="BB435" t="e">
        <f>AND(#REF!,"AAAAAF/d9zU=")</f>
        <v>#REF!</v>
      </c>
      <c r="BC435" t="e">
        <f>IF(#REF!,"AAAAAF/d9zY=",0)</f>
        <v>#REF!</v>
      </c>
      <c r="BD435" t="e">
        <f>AND(#REF!,"AAAAAF/d9zc=")</f>
        <v>#REF!</v>
      </c>
      <c r="BE435" t="e">
        <f>AND(#REF!,"AAAAAF/d9zg=")</f>
        <v>#REF!</v>
      </c>
      <c r="BF435" t="e">
        <f>AND(#REF!,"AAAAAF/d9zk=")</f>
        <v>#REF!</v>
      </c>
      <c r="BG435" t="e">
        <f>AND(#REF!,"AAAAAF/d9zo=")</f>
        <v>#REF!</v>
      </c>
      <c r="BH435" t="e">
        <f>AND(#REF!,"AAAAAF/d9zs=")</f>
        <v>#REF!</v>
      </c>
      <c r="BI435" t="e">
        <f>AND(#REF!,"AAAAAF/d9zw=")</f>
        <v>#REF!</v>
      </c>
      <c r="BJ435" t="e">
        <f>AND(#REF!,"AAAAAF/d9z0=")</f>
        <v>#REF!</v>
      </c>
      <c r="BK435" t="e">
        <f>AND(#REF!,"AAAAAF/d9z4=")</f>
        <v>#REF!</v>
      </c>
      <c r="BL435" t="e">
        <f>AND(#REF!,"AAAAAF/d9z8=")</f>
        <v>#REF!</v>
      </c>
      <c r="BM435" t="e">
        <f>AND(#REF!,"AAAAAF/d90A=")</f>
        <v>#REF!</v>
      </c>
      <c r="BN435" t="e">
        <f>IF(#REF!,"AAAAAF/d90E=",0)</f>
        <v>#REF!</v>
      </c>
      <c r="BO435" t="e">
        <f>AND(#REF!,"AAAAAF/d90I=")</f>
        <v>#REF!</v>
      </c>
      <c r="BP435" t="e">
        <f>AND(#REF!,"AAAAAF/d90M=")</f>
        <v>#REF!</v>
      </c>
      <c r="BQ435" t="e">
        <f>AND(#REF!,"AAAAAF/d90Q=")</f>
        <v>#REF!</v>
      </c>
      <c r="BR435" t="e">
        <f>AND(#REF!,"AAAAAF/d90U=")</f>
        <v>#REF!</v>
      </c>
      <c r="BS435" t="e">
        <f>AND(#REF!,"AAAAAF/d90Y=")</f>
        <v>#REF!</v>
      </c>
      <c r="BT435" t="e">
        <f>AND(#REF!,"AAAAAF/d90c=")</f>
        <v>#REF!</v>
      </c>
      <c r="BU435" t="e">
        <f>AND(#REF!,"AAAAAF/d90g=")</f>
        <v>#REF!</v>
      </c>
      <c r="BV435" t="e">
        <f>AND(#REF!,"AAAAAF/d90k=")</f>
        <v>#REF!</v>
      </c>
      <c r="BW435" t="e">
        <f>AND(#REF!,"AAAAAF/d90o=")</f>
        <v>#REF!</v>
      </c>
      <c r="BX435" t="e">
        <f>AND(#REF!,"AAAAAF/d90s=")</f>
        <v>#REF!</v>
      </c>
      <c r="BY435" t="e">
        <f>IF(#REF!,"AAAAAF/d90w=",0)</f>
        <v>#REF!</v>
      </c>
      <c r="BZ435" t="e">
        <f>AND(#REF!,"AAAAAF/d900=")</f>
        <v>#REF!</v>
      </c>
      <c r="CA435" t="e">
        <f>AND(#REF!,"AAAAAF/d904=")</f>
        <v>#REF!</v>
      </c>
      <c r="CB435" t="e">
        <f>AND(#REF!,"AAAAAF/d908=")</f>
        <v>#REF!</v>
      </c>
      <c r="CC435" t="e">
        <f>AND(#REF!,"AAAAAF/d91A=")</f>
        <v>#REF!</v>
      </c>
      <c r="CD435" t="e">
        <f>AND(#REF!,"AAAAAF/d91E=")</f>
        <v>#REF!</v>
      </c>
      <c r="CE435" t="e">
        <f>AND(#REF!,"AAAAAF/d91I=")</f>
        <v>#REF!</v>
      </c>
      <c r="CF435" t="e">
        <f>AND(#REF!,"AAAAAF/d91M=")</f>
        <v>#REF!</v>
      </c>
      <c r="CG435" t="e">
        <f>AND(#REF!,"AAAAAF/d91Q=")</f>
        <v>#REF!</v>
      </c>
      <c r="CH435" t="e">
        <f>AND(#REF!,"AAAAAF/d91U=")</f>
        <v>#REF!</v>
      </c>
      <c r="CI435" t="e">
        <f>AND(#REF!,"AAAAAF/d91Y=")</f>
        <v>#REF!</v>
      </c>
      <c r="CJ435" t="e">
        <f>IF(#REF!,"AAAAAF/d91c=",0)</f>
        <v>#REF!</v>
      </c>
      <c r="CK435" t="e">
        <f>AND(#REF!,"AAAAAF/d91g=")</f>
        <v>#REF!</v>
      </c>
      <c r="CL435" t="e">
        <f>AND(#REF!,"AAAAAF/d91k=")</f>
        <v>#REF!</v>
      </c>
      <c r="CM435" t="e">
        <f>AND(#REF!,"AAAAAF/d91o=")</f>
        <v>#REF!</v>
      </c>
      <c r="CN435" t="e">
        <f>AND(#REF!,"AAAAAF/d91s=")</f>
        <v>#REF!</v>
      </c>
      <c r="CO435" t="e">
        <f>AND(#REF!,"AAAAAF/d91w=")</f>
        <v>#REF!</v>
      </c>
      <c r="CP435" t="e">
        <f>AND(#REF!,"AAAAAF/d910=")</f>
        <v>#REF!</v>
      </c>
      <c r="CQ435" t="e">
        <f>AND(#REF!,"AAAAAF/d914=")</f>
        <v>#REF!</v>
      </c>
      <c r="CR435" t="e">
        <f>AND(#REF!,"AAAAAF/d918=")</f>
        <v>#REF!</v>
      </c>
      <c r="CS435" t="e">
        <f>AND(#REF!,"AAAAAF/d92A=")</f>
        <v>#REF!</v>
      </c>
      <c r="CT435" t="e">
        <f>AND(#REF!,"AAAAAF/d92E=")</f>
        <v>#REF!</v>
      </c>
      <c r="CU435" t="e">
        <f>IF(#REF!,"AAAAAF/d92I=",0)</f>
        <v>#REF!</v>
      </c>
      <c r="CV435" t="e">
        <f>AND(#REF!,"AAAAAF/d92M=")</f>
        <v>#REF!</v>
      </c>
      <c r="CW435" t="e">
        <f>AND(#REF!,"AAAAAF/d92Q=")</f>
        <v>#REF!</v>
      </c>
      <c r="CX435" t="e">
        <f>AND(#REF!,"AAAAAF/d92U=")</f>
        <v>#REF!</v>
      </c>
      <c r="CY435" t="e">
        <f>AND(#REF!,"AAAAAF/d92Y=")</f>
        <v>#REF!</v>
      </c>
      <c r="CZ435" t="e">
        <f>AND(#REF!,"AAAAAF/d92c=")</f>
        <v>#REF!</v>
      </c>
      <c r="DA435" t="e">
        <f>AND(#REF!,"AAAAAF/d92g=")</f>
        <v>#REF!</v>
      </c>
      <c r="DB435" t="e">
        <f>AND(#REF!,"AAAAAF/d92k=")</f>
        <v>#REF!</v>
      </c>
      <c r="DC435" t="e">
        <f>AND(#REF!,"AAAAAF/d92o=")</f>
        <v>#REF!</v>
      </c>
      <c r="DD435" t="e">
        <f>AND(#REF!,"AAAAAF/d92s=")</f>
        <v>#REF!</v>
      </c>
      <c r="DE435" t="e">
        <f>AND(#REF!,"AAAAAF/d92w=")</f>
        <v>#REF!</v>
      </c>
      <c r="DF435" t="e">
        <f>IF(#REF!,"AAAAAF/d920=",0)</f>
        <v>#REF!</v>
      </c>
      <c r="DG435" t="e">
        <f>AND(#REF!,"AAAAAF/d924=")</f>
        <v>#REF!</v>
      </c>
      <c r="DH435" t="e">
        <f>AND(#REF!,"AAAAAF/d928=")</f>
        <v>#REF!</v>
      </c>
      <c r="DI435" t="e">
        <f>AND(#REF!,"AAAAAF/d93A=")</f>
        <v>#REF!</v>
      </c>
      <c r="DJ435" t="e">
        <f>AND(#REF!,"AAAAAF/d93E=")</f>
        <v>#REF!</v>
      </c>
      <c r="DK435" t="e">
        <f>AND(#REF!,"AAAAAF/d93I=")</f>
        <v>#REF!</v>
      </c>
      <c r="DL435" t="e">
        <f>AND(#REF!,"AAAAAF/d93M=")</f>
        <v>#REF!</v>
      </c>
      <c r="DM435" t="e">
        <f>AND(#REF!,"AAAAAF/d93Q=")</f>
        <v>#REF!</v>
      </c>
      <c r="DN435" t="e">
        <f>AND(#REF!,"AAAAAF/d93U=")</f>
        <v>#REF!</v>
      </c>
      <c r="DO435" t="e">
        <f>AND(#REF!,"AAAAAF/d93Y=")</f>
        <v>#REF!</v>
      </c>
      <c r="DP435" t="e">
        <f>AND(#REF!,"AAAAAF/d93c=")</f>
        <v>#REF!</v>
      </c>
      <c r="DQ435" t="e">
        <f>IF(#REF!,"AAAAAF/d93g=",0)</f>
        <v>#REF!</v>
      </c>
      <c r="DR435" t="e">
        <f>AND(#REF!,"AAAAAF/d93k=")</f>
        <v>#REF!</v>
      </c>
      <c r="DS435" t="e">
        <f>AND(#REF!,"AAAAAF/d93o=")</f>
        <v>#REF!</v>
      </c>
      <c r="DT435" t="e">
        <f>AND(#REF!,"AAAAAF/d93s=")</f>
        <v>#REF!</v>
      </c>
      <c r="DU435" t="e">
        <f>AND(#REF!,"AAAAAF/d93w=")</f>
        <v>#REF!</v>
      </c>
      <c r="DV435" t="e">
        <f>AND(#REF!,"AAAAAF/d930=")</f>
        <v>#REF!</v>
      </c>
      <c r="DW435" t="e">
        <f>AND(#REF!,"AAAAAF/d934=")</f>
        <v>#REF!</v>
      </c>
      <c r="DX435" t="e">
        <f>AND(#REF!,"AAAAAF/d938=")</f>
        <v>#REF!</v>
      </c>
      <c r="DY435" t="e">
        <f>AND(#REF!,"AAAAAF/d94A=")</f>
        <v>#REF!</v>
      </c>
      <c r="DZ435" t="e">
        <f>AND(#REF!,"AAAAAF/d94E=")</f>
        <v>#REF!</v>
      </c>
      <c r="EA435" t="e">
        <f>AND(#REF!,"AAAAAF/d94I=")</f>
        <v>#REF!</v>
      </c>
      <c r="EB435" t="e">
        <f>IF(#REF!,"AAAAAF/d94M=",0)</f>
        <v>#REF!</v>
      </c>
      <c r="EC435" t="e">
        <f>AND(#REF!,"AAAAAF/d94Q=")</f>
        <v>#REF!</v>
      </c>
      <c r="ED435" t="e">
        <f>AND(#REF!,"AAAAAF/d94U=")</f>
        <v>#REF!</v>
      </c>
      <c r="EE435" t="e">
        <f>AND(#REF!,"AAAAAF/d94Y=")</f>
        <v>#REF!</v>
      </c>
      <c r="EF435" t="e">
        <f>AND(#REF!,"AAAAAF/d94c=")</f>
        <v>#REF!</v>
      </c>
      <c r="EG435" t="e">
        <f>AND(#REF!,"AAAAAF/d94g=")</f>
        <v>#REF!</v>
      </c>
      <c r="EH435" t="e">
        <f>AND(#REF!,"AAAAAF/d94k=")</f>
        <v>#REF!</v>
      </c>
      <c r="EI435" t="e">
        <f>AND(#REF!,"AAAAAF/d94o=")</f>
        <v>#REF!</v>
      </c>
      <c r="EJ435" t="e">
        <f>AND(#REF!,"AAAAAF/d94s=")</f>
        <v>#REF!</v>
      </c>
      <c r="EK435" t="e">
        <f>AND(#REF!,"AAAAAF/d94w=")</f>
        <v>#REF!</v>
      </c>
      <c r="EL435" t="e">
        <f>AND(#REF!,"AAAAAF/d940=")</f>
        <v>#REF!</v>
      </c>
      <c r="EM435" t="e">
        <f>IF(#REF!,"AAAAAF/d944=",0)</f>
        <v>#REF!</v>
      </c>
      <c r="EN435" t="e">
        <f>AND(#REF!,"AAAAAF/d948=")</f>
        <v>#REF!</v>
      </c>
      <c r="EO435" t="e">
        <f>AND(#REF!,"AAAAAF/d95A=")</f>
        <v>#REF!</v>
      </c>
      <c r="EP435" t="e">
        <f>AND(#REF!,"AAAAAF/d95E=")</f>
        <v>#REF!</v>
      </c>
      <c r="EQ435" t="e">
        <f>AND(#REF!,"AAAAAF/d95I=")</f>
        <v>#REF!</v>
      </c>
      <c r="ER435" t="e">
        <f>AND(#REF!,"AAAAAF/d95M=")</f>
        <v>#REF!</v>
      </c>
      <c r="ES435" t="e">
        <f>AND(#REF!,"AAAAAF/d95Q=")</f>
        <v>#REF!</v>
      </c>
      <c r="ET435" t="e">
        <f>AND(#REF!,"AAAAAF/d95U=")</f>
        <v>#REF!</v>
      </c>
      <c r="EU435" t="e">
        <f>AND(#REF!,"AAAAAF/d95Y=")</f>
        <v>#REF!</v>
      </c>
      <c r="EV435" t="e">
        <f>AND(#REF!,"AAAAAF/d95c=")</f>
        <v>#REF!</v>
      </c>
      <c r="EW435" t="e">
        <f>AND(#REF!,"AAAAAF/d95g=")</f>
        <v>#REF!</v>
      </c>
      <c r="EX435" t="e">
        <f>IF(#REF!,"AAAAAF/d95k=",0)</f>
        <v>#REF!</v>
      </c>
      <c r="EY435" t="e">
        <f>AND(#REF!,"AAAAAF/d95o=")</f>
        <v>#REF!</v>
      </c>
      <c r="EZ435" t="e">
        <f>AND(#REF!,"AAAAAF/d95s=")</f>
        <v>#REF!</v>
      </c>
      <c r="FA435" t="e">
        <f>AND(#REF!,"AAAAAF/d95w=")</f>
        <v>#REF!</v>
      </c>
      <c r="FB435" t="e">
        <f>AND(#REF!,"AAAAAF/d950=")</f>
        <v>#REF!</v>
      </c>
      <c r="FC435" t="e">
        <f>AND(#REF!,"AAAAAF/d954=")</f>
        <v>#REF!</v>
      </c>
      <c r="FD435" t="e">
        <f>AND(#REF!,"AAAAAF/d958=")</f>
        <v>#REF!</v>
      </c>
      <c r="FE435" t="e">
        <f>AND(#REF!,"AAAAAF/d96A=")</f>
        <v>#REF!</v>
      </c>
      <c r="FF435" t="e">
        <f>AND(#REF!,"AAAAAF/d96E=")</f>
        <v>#REF!</v>
      </c>
      <c r="FG435" t="e">
        <f>AND(#REF!,"AAAAAF/d96I=")</f>
        <v>#REF!</v>
      </c>
      <c r="FH435" t="e">
        <f>AND(#REF!,"AAAAAF/d96M=")</f>
        <v>#REF!</v>
      </c>
      <c r="FI435" t="e">
        <f>IF(#REF!,"AAAAAF/d96Q=",0)</f>
        <v>#REF!</v>
      </c>
      <c r="FJ435" t="e">
        <f>AND(#REF!,"AAAAAF/d96U=")</f>
        <v>#REF!</v>
      </c>
      <c r="FK435" t="e">
        <f>AND(#REF!,"AAAAAF/d96Y=")</f>
        <v>#REF!</v>
      </c>
      <c r="FL435" t="e">
        <f>AND(#REF!,"AAAAAF/d96c=")</f>
        <v>#REF!</v>
      </c>
      <c r="FM435" t="e">
        <f>AND(#REF!,"AAAAAF/d96g=")</f>
        <v>#REF!</v>
      </c>
      <c r="FN435" t="e">
        <f>AND(#REF!,"AAAAAF/d96k=")</f>
        <v>#REF!</v>
      </c>
      <c r="FO435" t="e">
        <f>AND(#REF!,"AAAAAF/d96o=")</f>
        <v>#REF!</v>
      </c>
      <c r="FP435" t="e">
        <f>AND(#REF!,"AAAAAF/d96s=")</f>
        <v>#REF!</v>
      </c>
      <c r="FQ435" t="e">
        <f>AND(#REF!,"AAAAAF/d96w=")</f>
        <v>#REF!</v>
      </c>
      <c r="FR435" t="e">
        <f>AND(#REF!,"AAAAAF/d960=")</f>
        <v>#REF!</v>
      </c>
      <c r="FS435" t="e">
        <f>AND(#REF!,"AAAAAF/d964=")</f>
        <v>#REF!</v>
      </c>
      <c r="FT435" t="e">
        <f>IF(#REF!,"AAAAAF/d968=",0)</f>
        <v>#REF!</v>
      </c>
      <c r="FU435" t="e">
        <f>AND(#REF!,"AAAAAF/d97A=")</f>
        <v>#REF!</v>
      </c>
      <c r="FV435" t="e">
        <f>AND(#REF!,"AAAAAF/d97E=")</f>
        <v>#REF!</v>
      </c>
      <c r="FW435" t="e">
        <f>AND(#REF!,"AAAAAF/d97I=")</f>
        <v>#REF!</v>
      </c>
      <c r="FX435" t="e">
        <f>AND(#REF!,"AAAAAF/d97M=")</f>
        <v>#REF!</v>
      </c>
      <c r="FY435" t="e">
        <f>AND(#REF!,"AAAAAF/d97Q=")</f>
        <v>#REF!</v>
      </c>
      <c r="FZ435" t="e">
        <f>AND(#REF!,"AAAAAF/d97U=")</f>
        <v>#REF!</v>
      </c>
      <c r="GA435" t="e">
        <f>AND(#REF!,"AAAAAF/d97Y=")</f>
        <v>#REF!</v>
      </c>
      <c r="GB435" t="e">
        <f>AND(#REF!,"AAAAAF/d97c=")</f>
        <v>#REF!</v>
      </c>
      <c r="GC435" t="e">
        <f>AND(#REF!,"AAAAAF/d97g=")</f>
        <v>#REF!</v>
      </c>
      <c r="GD435" t="e">
        <f>AND(#REF!,"AAAAAF/d97k=")</f>
        <v>#REF!</v>
      </c>
      <c r="GE435" t="e">
        <f>IF(#REF!,"AAAAAF/d97o=",0)</f>
        <v>#REF!</v>
      </c>
      <c r="GF435" t="e">
        <f>AND(#REF!,"AAAAAF/d97s=")</f>
        <v>#REF!</v>
      </c>
      <c r="GG435" t="e">
        <f>AND(#REF!,"AAAAAF/d97w=")</f>
        <v>#REF!</v>
      </c>
      <c r="GH435" t="e">
        <f>AND(#REF!,"AAAAAF/d970=")</f>
        <v>#REF!</v>
      </c>
      <c r="GI435" t="e">
        <f>AND(#REF!,"AAAAAF/d974=")</f>
        <v>#REF!</v>
      </c>
      <c r="GJ435" t="e">
        <f>AND(#REF!,"AAAAAF/d978=")</f>
        <v>#REF!</v>
      </c>
      <c r="GK435" t="e">
        <f>AND(#REF!,"AAAAAF/d98A=")</f>
        <v>#REF!</v>
      </c>
      <c r="GL435" t="e">
        <f>AND(#REF!,"AAAAAF/d98E=")</f>
        <v>#REF!</v>
      </c>
      <c r="GM435" t="e">
        <f>AND(#REF!,"AAAAAF/d98I=")</f>
        <v>#REF!</v>
      </c>
      <c r="GN435" t="e">
        <f>AND(#REF!,"AAAAAF/d98M=")</f>
        <v>#REF!</v>
      </c>
      <c r="GO435" t="e">
        <f>AND(#REF!,"AAAAAF/d98Q=")</f>
        <v>#REF!</v>
      </c>
      <c r="GP435" t="e">
        <f>IF(#REF!,"AAAAAF/d98U=",0)</f>
        <v>#REF!</v>
      </c>
      <c r="GQ435" t="e">
        <f>AND(#REF!,"AAAAAF/d98Y=")</f>
        <v>#REF!</v>
      </c>
      <c r="GR435" t="e">
        <f>AND(#REF!,"AAAAAF/d98c=")</f>
        <v>#REF!</v>
      </c>
      <c r="GS435" t="e">
        <f>AND(#REF!,"AAAAAF/d98g=")</f>
        <v>#REF!</v>
      </c>
      <c r="GT435" t="e">
        <f>AND(#REF!,"AAAAAF/d98k=")</f>
        <v>#REF!</v>
      </c>
      <c r="GU435" t="e">
        <f>AND(#REF!,"AAAAAF/d98o=")</f>
        <v>#REF!</v>
      </c>
      <c r="GV435" t="e">
        <f>AND(#REF!,"AAAAAF/d98s=")</f>
        <v>#REF!</v>
      </c>
      <c r="GW435" t="e">
        <f>AND(#REF!,"AAAAAF/d98w=")</f>
        <v>#REF!</v>
      </c>
      <c r="GX435" t="e">
        <f>AND(#REF!,"AAAAAF/d980=")</f>
        <v>#REF!</v>
      </c>
      <c r="GY435" t="e">
        <f>AND(#REF!,"AAAAAF/d984=")</f>
        <v>#REF!</v>
      </c>
      <c r="GZ435" t="e">
        <f>AND(#REF!,"AAAAAF/d988=")</f>
        <v>#REF!</v>
      </c>
      <c r="HA435" t="e">
        <f>IF(#REF!,"AAAAAF/d99A=",0)</f>
        <v>#REF!</v>
      </c>
      <c r="HB435" t="e">
        <f>AND(#REF!,"AAAAAF/d99E=")</f>
        <v>#REF!</v>
      </c>
      <c r="HC435" t="e">
        <f>AND(#REF!,"AAAAAF/d99I=")</f>
        <v>#REF!</v>
      </c>
      <c r="HD435" t="e">
        <f>AND(#REF!,"AAAAAF/d99M=")</f>
        <v>#REF!</v>
      </c>
      <c r="HE435" t="e">
        <f>AND(#REF!,"AAAAAF/d99Q=")</f>
        <v>#REF!</v>
      </c>
      <c r="HF435" t="e">
        <f>AND(#REF!,"AAAAAF/d99U=")</f>
        <v>#REF!</v>
      </c>
      <c r="HG435" t="e">
        <f>AND(#REF!,"AAAAAF/d99Y=")</f>
        <v>#REF!</v>
      </c>
      <c r="HH435" t="e">
        <f>AND(#REF!,"AAAAAF/d99c=")</f>
        <v>#REF!</v>
      </c>
      <c r="HI435" t="e">
        <f>AND(#REF!,"AAAAAF/d99g=")</f>
        <v>#REF!</v>
      </c>
      <c r="HJ435" t="e">
        <f>AND(#REF!,"AAAAAF/d99k=")</f>
        <v>#REF!</v>
      </c>
      <c r="HK435" t="e">
        <f>AND(#REF!,"AAAAAF/d99o=")</f>
        <v>#REF!</v>
      </c>
      <c r="HL435" t="e">
        <f>IF(#REF!,"AAAAAF/d99s=",0)</f>
        <v>#REF!</v>
      </c>
      <c r="HM435" t="e">
        <f>AND(#REF!,"AAAAAF/d99w=")</f>
        <v>#REF!</v>
      </c>
      <c r="HN435" t="e">
        <f>AND(#REF!,"AAAAAF/d990=")</f>
        <v>#REF!</v>
      </c>
      <c r="HO435" t="e">
        <f>AND(#REF!,"AAAAAF/d994=")</f>
        <v>#REF!</v>
      </c>
      <c r="HP435" t="e">
        <f>AND(#REF!,"AAAAAF/d998=")</f>
        <v>#REF!</v>
      </c>
      <c r="HQ435" t="e">
        <f>AND(#REF!,"AAAAAF/d9+A=")</f>
        <v>#REF!</v>
      </c>
      <c r="HR435" t="e">
        <f>AND(#REF!,"AAAAAF/d9+E=")</f>
        <v>#REF!</v>
      </c>
      <c r="HS435" t="e">
        <f>AND(#REF!,"AAAAAF/d9+I=")</f>
        <v>#REF!</v>
      </c>
      <c r="HT435" t="e">
        <f>AND(#REF!,"AAAAAF/d9+M=")</f>
        <v>#REF!</v>
      </c>
      <c r="HU435" t="e">
        <f>AND(#REF!,"AAAAAF/d9+Q=")</f>
        <v>#REF!</v>
      </c>
      <c r="HV435" t="e">
        <f>AND(#REF!,"AAAAAF/d9+U=")</f>
        <v>#REF!</v>
      </c>
      <c r="HW435" t="e">
        <f>IF(#REF!,"AAAAAF/d9+Y=",0)</f>
        <v>#REF!</v>
      </c>
      <c r="HX435" t="e">
        <f>AND(#REF!,"AAAAAF/d9+c=")</f>
        <v>#REF!</v>
      </c>
      <c r="HY435" t="e">
        <f>AND(#REF!,"AAAAAF/d9+g=")</f>
        <v>#REF!</v>
      </c>
      <c r="HZ435" t="e">
        <f>AND(#REF!,"AAAAAF/d9+k=")</f>
        <v>#REF!</v>
      </c>
      <c r="IA435" t="e">
        <f>AND(#REF!,"AAAAAF/d9+o=")</f>
        <v>#REF!</v>
      </c>
      <c r="IB435" t="e">
        <f>AND(#REF!,"AAAAAF/d9+s=")</f>
        <v>#REF!</v>
      </c>
      <c r="IC435" t="e">
        <f>AND(#REF!,"AAAAAF/d9+w=")</f>
        <v>#REF!</v>
      </c>
      <c r="ID435" t="e">
        <f>AND(#REF!,"AAAAAF/d9+0=")</f>
        <v>#REF!</v>
      </c>
      <c r="IE435" t="e">
        <f>AND(#REF!,"AAAAAF/d9+4=")</f>
        <v>#REF!</v>
      </c>
      <c r="IF435" t="e">
        <f>AND(#REF!,"AAAAAF/d9+8=")</f>
        <v>#REF!</v>
      </c>
      <c r="IG435" t="e">
        <f>AND(#REF!,"AAAAAF/d9/A=")</f>
        <v>#REF!</v>
      </c>
      <c r="IH435" t="e">
        <f>IF(#REF!,"AAAAAF/d9/E=",0)</f>
        <v>#REF!</v>
      </c>
      <c r="II435" t="e">
        <f>AND(#REF!,"AAAAAF/d9/I=")</f>
        <v>#REF!</v>
      </c>
      <c r="IJ435" t="e">
        <f>AND(#REF!,"AAAAAF/d9/M=")</f>
        <v>#REF!</v>
      </c>
      <c r="IK435" t="e">
        <f>AND(#REF!,"AAAAAF/d9/Q=")</f>
        <v>#REF!</v>
      </c>
      <c r="IL435" t="e">
        <f>AND(#REF!,"AAAAAF/d9/U=")</f>
        <v>#REF!</v>
      </c>
      <c r="IM435" t="e">
        <f>AND(#REF!,"AAAAAF/d9/Y=")</f>
        <v>#REF!</v>
      </c>
      <c r="IN435" t="e">
        <f>AND(#REF!,"AAAAAF/d9/c=")</f>
        <v>#REF!</v>
      </c>
      <c r="IO435" t="e">
        <f>AND(#REF!,"AAAAAF/d9/g=")</f>
        <v>#REF!</v>
      </c>
      <c r="IP435" t="e">
        <f>AND(#REF!,"AAAAAF/d9/k=")</f>
        <v>#REF!</v>
      </c>
      <c r="IQ435" t="e">
        <f>AND(#REF!,"AAAAAF/d9/o=")</f>
        <v>#REF!</v>
      </c>
      <c r="IR435" t="e">
        <f>AND(#REF!,"AAAAAF/d9/s=")</f>
        <v>#REF!</v>
      </c>
      <c r="IS435" t="e">
        <f>IF(#REF!,"AAAAAF/d9/w=",0)</f>
        <v>#REF!</v>
      </c>
      <c r="IT435" t="e">
        <f>AND(#REF!,"AAAAAF/d9/0=")</f>
        <v>#REF!</v>
      </c>
      <c r="IU435" t="e">
        <f>AND(#REF!,"AAAAAF/d9/4=")</f>
        <v>#REF!</v>
      </c>
      <c r="IV435" t="e">
        <f>AND(#REF!,"AAAAAF/d9/8=")</f>
        <v>#REF!</v>
      </c>
    </row>
    <row r="436" spans="1:256" x14ac:dyDescent="0.25">
      <c r="A436" t="e">
        <f>AND(#REF!,"AAAAAH9XtwA=")</f>
        <v>#REF!</v>
      </c>
      <c r="B436" t="e">
        <f>AND(#REF!,"AAAAAH9XtwE=")</f>
        <v>#REF!</v>
      </c>
      <c r="C436" t="e">
        <f>AND(#REF!,"AAAAAH9XtwI=")</f>
        <v>#REF!</v>
      </c>
      <c r="D436" t="e">
        <f>AND(#REF!,"AAAAAH9XtwM=")</f>
        <v>#REF!</v>
      </c>
      <c r="E436" t="e">
        <f>AND(#REF!,"AAAAAH9XtwQ=")</f>
        <v>#REF!</v>
      </c>
      <c r="F436" t="e">
        <f>AND(#REF!,"AAAAAH9XtwU=")</f>
        <v>#REF!</v>
      </c>
      <c r="G436" t="e">
        <f>AND(#REF!,"AAAAAH9XtwY=")</f>
        <v>#REF!</v>
      </c>
      <c r="H436" t="e">
        <f>IF(#REF!,"AAAAAH9Xtwc=",0)</f>
        <v>#REF!</v>
      </c>
      <c r="I436" t="e">
        <f>AND(#REF!,"AAAAAH9Xtwg=")</f>
        <v>#REF!</v>
      </c>
      <c r="J436" t="e">
        <f>AND(#REF!,"AAAAAH9Xtwk=")</f>
        <v>#REF!</v>
      </c>
      <c r="K436" t="e">
        <f>AND(#REF!,"AAAAAH9Xtwo=")</f>
        <v>#REF!</v>
      </c>
      <c r="L436" t="e">
        <f>AND(#REF!,"AAAAAH9Xtws=")</f>
        <v>#REF!</v>
      </c>
      <c r="M436" t="e">
        <f>AND(#REF!,"AAAAAH9Xtww=")</f>
        <v>#REF!</v>
      </c>
      <c r="N436" t="e">
        <f>AND(#REF!,"AAAAAH9Xtw0=")</f>
        <v>#REF!</v>
      </c>
      <c r="O436" t="e">
        <f>AND(#REF!,"AAAAAH9Xtw4=")</f>
        <v>#REF!</v>
      </c>
      <c r="P436" t="e">
        <f>AND(#REF!,"AAAAAH9Xtw8=")</f>
        <v>#REF!</v>
      </c>
      <c r="Q436" t="e">
        <f>AND(#REF!,"AAAAAH9XtxA=")</f>
        <v>#REF!</v>
      </c>
      <c r="R436" t="e">
        <f>AND(#REF!,"AAAAAH9XtxE=")</f>
        <v>#REF!</v>
      </c>
      <c r="S436" t="e">
        <f>IF(#REF!,"AAAAAH9XtxI=",0)</f>
        <v>#REF!</v>
      </c>
      <c r="T436" t="e">
        <f>AND(#REF!,"AAAAAH9XtxM=")</f>
        <v>#REF!</v>
      </c>
      <c r="U436" t="e">
        <f>AND(#REF!,"AAAAAH9XtxQ=")</f>
        <v>#REF!</v>
      </c>
      <c r="V436" t="e">
        <f>AND(#REF!,"AAAAAH9XtxU=")</f>
        <v>#REF!</v>
      </c>
      <c r="W436" t="e">
        <f>AND(#REF!,"AAAAAH9XtxY=")</f>
        <v>#REF!</v>
      </c>
      <c r="X436" t="e">
        <f>AND(#REF!,"AAAAAH9Xtxc=")</f>
        <v>#REF!</v>
      </c>
      <c r="Y436" t="e">
        <f>AND(#REF!,"AAAAAH9Xtxg=")</f>
        <v>#REF!</v>
      </c>
      <c r="Z436" t="e">
        <f>AND(#REF!,"AAAAAH9Xtxk=")</f>
        <v>#REF!</v>
      </c>
      <c r="AA436" t="e">
        <f>AND(#REF!,"AAAAAH9Xtxo=")</f>
        <v>#REF!</v>
      </c>
      <c r="AB436" t="e">
        <f>AND(#REF!,"AAAAAH9Xtxs=")</f>
        <v>#REF!</v>
      </c>
      <c r="AC436" t="e">
        <f>AND(#REF!,"AAAAAH9Xtxw=")</f>
        <v>#REF!</v>
      </c>
      <c r="AD436" t="e">
        <f>IF(#REF!,"AAAAAH9Xtx0=",0)</f>
        <v>#REF!</v>
      </c>
      <c r="AE436" t="e">
        <f>AND(#REF!,"AAAAAH9Xtx4=")</f>
        <v>#REF!</v>
      </c>
      <c r="AF436" t="e">
        <f>AND(#REF!,"AAAAAH9Xtx8=")</f>
        <v>#REF!</v>
      </c>
      <c r="AG436" t="e">
        <f>AND(#REF!,"AAAAAH9XtyA=")</f>
        <v>#REF!</v>
      </c>
      <c r="AH436" t="e">
        <f>AND(#REF!,"AAAAAH9XtyE=")</f>
        <v>#REF!</v>
      </c>
      <c r="AI436" t="e">
        <f>AND(#REF!,"AAAAAH9XtyI=")</f>
        <v>#REF!</v>
      </c>
      <c r="AJ436" t="e">
        <f>AND(#REF!,"AAAAAH9XtyM=")</f>
        <v>#REF!</v>
      </c>
      <c r="AK436" t="e">
        <f>AND(#REF!,"AAAAAH9XtyQ=")</f>
        <v>#REF!</v>
      </c>
      <c r="AL436" t="e">
        <f>AND(#REF!,"AAAAAH9XtyU=")</f>
        <v>#REF!</v>
      </c>
      <c r="AM436" t="e">
        <f>AND(#REF!,"AAAAAH9XtyY=")</f>
        <v>#REF!</v>
      </c>
      <c r="AN436" t="e">
        <f>AND(#REF!,"AAAAAH9Xtyc=")</f>
        <v>#REF!</v>
      </c>
      <c r="AO436" t="e">
        <f>IF(#REF!,"AAAAAH9Xtyg=",0)</f>
        <v>#REF!</v>
      </c>
      <c r="AP436" t="e">
        <f>AND(#REF!,"AAAAAH9Xtyk=")</f>
        <v>#REF!</v>
      </c>
      <c r="AQ436" t="e">
        <f>AND(#REF!,"AAAAAH9Xtyo=")</f>
        <v>#REF!</v>
      </c>
      <c r="AR436" t="e">
        <f>AND(#REF!,"AAAAAH9Xtys=")</f>
        <v>#REF!</v>
      </c>
      <c r="AS436" t="e">
        <f>AND(#REF!,"AAAAAH9Xtyw=")</f>
        <v>#REF!</v>
      </c>
      <c r="AT436" t="e">
        <f>AND(#REF!,"AAAAAH9Xty0=")</f>
        <v>#REF!</v>
      </c>
      <c r="AU436" t="e">
        <f>AND(#REF!,"AAAAAH9Xty4=")</f>
        <v>#REF!</v>
      </c>
      <c r="AV436" t="e">
        <f>AND(#REF!,"AAAAAH9Xty8=")</f>
        <v>#REF!</v>
      </c>
      <c r="AW436" t="e">
        <f>AND(#REF!,"AAAAAH9XtzA=")</f>
        <v>#REF!</v>
      </c>
      <c r="AX436" t="e">
        <f>AND(#REF!,"AAAAAH9XtzE=")</f>
        <v>#REF!</v>
      </c>
      <c r="AY436" t="e">
        <f>AND(#REF!,"AAAAAH9XtzI=")</f>
        <v>#REF!</v>
      </c>
      <c r="AZ436" t="e">
        <f>IF(#REF!,"AAAAAH9XtzM=",0)</f>
        <v>#REF!</v>
      </c>
      <c r="BA436" t="e">
        <f>AND(#REF!,"AAAAAH9XtzQ=")</f>
        <v>#REF!</v>
      </c>
      <c r="BB436" t="e">
        <f>AND(#REF!,"AAAAAH9XtzU=")</f>
        <v>#REF!</v>
      </c>
      <c r="BC436" t="e">
        <f>AND(#REF!,"AAAAAH9XtzY=")</f>
        <v>#REF!</v>
      </c>
      <c r="BD436" t="e">
        <f>AND(#REF!,"AAAAAH9Xtzc=")</f>
        <v>#REF!</v>
      </c>
      <c r="BE436" t="e">
        <f>AND(#REF!,"AAAAAH9Xtzg=")</f>
        <v>#REF!</v>
      </c>
      <c r="BF436" t="e">
        <f>AND(#REF!,"AAAAAH9Xtzk=")</f>
        <v>#REF!</v>
      </c>
      <c r="BG436" t="e">
        <f>AND(#REF!,"AAAAAH9Xtzo=")</f>
        <v>#REF!</v>
      </c>
      <c r="BH436" t="e">
        <f>AND(#REF!,"AAAAAH9Xtzs=")</f>
        <v>#REF!</v>
      </c>
      <c r="BI436" t="e">
        <f>AND(#REF!,"AAAAAH9Xtzw=")</f>
        <v>#REF!</v>
      </c>
      <c r="BJ436" t="e">
        <f>AND(#REF!,"AAAAAH9Xtz0=")</f>
        <v>#REF!</v>
      </c>
      <c r="BK436" t="e">
        <f>IF(#REF!,"AAAAAH9Xtz4=",0)</f>
        <v>#REF!</v>
      </c>
      <c r="BL436" t="e">
        <f>AND(#REF!,"AAAAAH9Xtz8=")</f>
        <v>#REF!</v>
      </c>
      <c r="BM436" t="e">
        <f>AND(#REF!,"AAAAAH9Xt0A=")</f>
        <v>#REF!</v>
      </c>
      <c r="BN436" t="e">
        <f>AND(#REF!,"AAAAAH9Xt0E=")</f>
        <v>#REF!</v>
      </c>
      <c r="BO436" t="e">
        <f>AND(#REF!,"AAAAAH9Xt0I=")</f>
        <v>#REF!</v>
      </c>
      <c r="BP436" t="e">
        <f>AND(#REF!,"AAAAAH9Xt0M=")</f>
        <v>#REF!</v>
      </c>
      <c r="BQ436" t="e">
        <f>AND(#REF!,"AAAAAH9Xt0Q=")</f>
        <v>#REF!</v>
      </c>
      <c r="BR436" t="e">
        <f>AND(#REF!,"AAAAAH9Xt0U=")</f>
        <v>#REF!</v>
      </c>
      <c r="BS436" t="e">
        <f>AND(#REF!,"AAAAAH9Xt0Y=")</f>
        <v>#REF!</v>
      </c>
      <c r="BT436" t="e">
        <f>AND(#REF!,"AAAAAH9Xt0c=")</f>
        <v>#REF!</v>
      </c>
      <c r="BU436" t="e">
        <f>AND(#REF!,"AAAAAH9Xt0g=")</f>
        <v>#REF!</v>
      </c>
      <c r="BV436" t="e">
        <f>IF(#REF!,"AAAAAH9Xt0k=",0)</f>
        <v>#REF!</v>
      </c>
      <c r="BW436" t="e">
        <f>AND(#REF!,"AAAAAH9Xt0o=")</f>
        <v>#REF!</v>
      </c>
      <c r="BX436" t="e">
        <f>AND(#REF!,"AAAAAH9Xt0s=")</f>
        <v>#REF!</v>
      </c>
      <c r="BY436" t="e">
        <f>AND(#REF!,"AAAAAH9Xt0w=")</f>
        <v>#REF!</v>
      </c>
      <c r="BZ436" t="e">
        <f>AND(#REF!,"AAAAAH9Xt00=")</f>
        <v>#REF!</v>
      </c>
      <c r="CA436" t="e">
        <f>AND(#REF!,"AAAAAH9Xt04=")</f>
        <v>#REF!</v>
      </c>
      <c r="CB436" t="e">
        <f>AND(#REF!,"AAAAAH9Xt08=")</f>
        <v>#REF!</v>
      </c>
      <c r="CC436" t="e">
        <f>AND(#REF!,"AAAAAH9Xt1A=")</f>
        <v>#REF!</v>
      </c>
      <c r="CD436" t="e">
        <f>AND(#REF!,"AAAAAH9Xt1E=")</f>
        <v>#REF!</v>
      </c>
      <c r="CE436" t="e">
        <f>AND(#REF!,"AAAAAH9Xt1I=")</f>
        <v>#REF!</v>
      </c>
      <c r="CF436" t="e">
        <f>AND(#REF!,"AAAAAH9Xt1M=")</f>
        <v>#REF!</v>
      </c>
      <c r="CG436" t="e">
        <f>IF(#REF!,"AAAAAH9Xt1Q=",0)</f>
        <v>#REF!</v>
      </c>
      <c r="CH436" t="e">
        <f>AND(#REF!,"AAAAAH9Xt1U=")</f>
        <v>#REF!</v>
      </c>
      <c r="CI436" t="e">
        <f>AND(#REF!,"AAAAAH9Xt1Y=")</f>
        <v>#REF!</v>
      </c>
      <c r="CJ436" t="e">
        <f>AND(#REF!,"AAAAAH9Xt1c=")</f>
        <v>#REF!</v>
      </c>
      <c r="CK436" t="e">
        <f>AND(#REF!,"AAAAAH9Xt1g=")</f>
        <v>#REF!</v>
      </c>
      <c r="CL436" t="e">
        <f>AND(#REF!,"AAAAAH9Xt1k=")</f>
        <v>#REF!</v>
      </c>
      <c r="CM436" t="e">
        <f>AND(#REF!,"AAAAAH9Xt1o=")</f>
        <v>#REF!</v>
      </c>
      <c r="CN436" t="e">
        <f>AND(#REF!,"AAAAAH9Xt1s=")</f>
        <v>#REF!</v>
      </c>
      <c r="CO436" t="e">
        <f>AND(#REF!,"AAAAAH9Xt1w=")</f>
        <v>#REF!</v>
      </c>
      <c r="CP436" t="e">
        <f>AND(#REF!,"AAAAAH9Xt10=")</f>
        <v>#REF!</v>
      </c>
      <c r="CQ436" t="e">
        <f>AND(#REF!,"AAAAAH9Xt14=")</f>
        <v>#REF!</v>
      </c>
      <c r="CR436" t="e">
        <f>IF(#REF!,"AAAAAH9Xt18=",0)</f>
        <v>#REF!</v>
      </c>
      <c r="CS436" t="e">
        <f>AND(#REF!,"AAAAAH9Xt2A=")</f>
        <v>#REF!</v>
      </c>
      <c r="CT436" t="e">
        <f>AND(#REF!,"AAAAAH9Xt2E=")</f>
        <v>#REF!</v>
      </c>
      <c r="CU436" t="e">
        <f>AND(#REF!,"AAAAAH9Xt2I=")</f>
        <v>#REF!</v>
      </c>
      <c r="CV436" t="e">
        <f>AND(#REF!,"AAAAAH9Xt2M=")</f>
        <v>#REF!</v>
      </c>
      <c r="CW436" t="e">
        <f>AND(#REF!,"AAAAAH9Xt2Q=")</f>
        <v>#REF!</v>
      </c>
      <c r="CX436" t="e">
        <f>AND(#REF!,"AAAAAH9Xt2U=")</f>
        <v>#REF!</v>
      </c>
      <c r="CY436" t="e">
        <f>AND(#REF!,"AAAAAH9Xt2Y=")</f>
        <v>#REF!</v>
      </c>
      <c r="CZ436" t="e">
        <f>AND(#REF!,"AAAAAH9Xt2c=")</f>
        <v>#REF!</v>
      </c>
      <c r="DA436" t="e">
        <f>AND(#REF!,"AAAAAH9Xt2g=")</f>
        <v>#REF!</v>
      </c>
      <c r="DB436" t="e">
        <f>AND(#REF!,"AAAAAH9Xt2k=")</f>
        <v>#REF!</v>
      </c>
      <c r="DC436" t="e">
        <f>IF(#REF!,"AAAAAH9Xt2o=",0)</f>
        <v>#REF!</v>
      </c>
      <c r="DD436" t="e">
        <f>AND(#REF!,"AAAAAH9Xt2s=")</f>
        <v>#REF!</v>
      </c>
      <c r="DE436" t="e">
        <f>AND(#REF!,"AAAAAH9Xt2w=")</f>
        <v>#REF!</v>
      </c>
      <c r="DF436" t="e">
        <f>AND(#REF!,"AAAAAH9Xt20=")</f>
        <v>#REF!</v>
      </c>
      <c r="DG436" t="e">
        <f>AND(#REF!,"AAAAAH9Xt24=")</f>
        <v>#REF!</v>
      </c>
      <c r="DH436" t="e">
        <f>AND(#REF!,"AAAAAH9Xt28=")</f>
        <v>#REF!</v>
      </c>
      <c r="DI436" t="e">
        <f>AND(#REF!,"AAAAAH9Xt3A=")</f>
        <v>#REF!</v>
      </c>
      <c r="DJ436" t="e">
        <f>AND(#REF!,"AAAAAH9Xt3E=")</f>
        <v>#REF!</v>
      </c>
      <c r="DK436" t="e">
        <f>AND(#REF!,"AAAAAH9Xt3I=")</f>
        <v>#REF!</v>
      </c>
      <c r="DL436" t="e">
        <f>AND(#REF!,"AAAAAH9Xt3M=")</f>
        <v>#REF!</v>
      </c>
      <c r="DM436" t="e">
        <f>AND(#REF!,"AAAAAH9Xt3Q=")</f>
        <v>#REF!</v>
      </c>
      <c r="DN436" t="e">
        <f>IF(#REF!,"AAAAAH9Xt3U=",0)</f>
        <v>#REF!</v>
      </c>
      <c r="DO436" t="e">
        <f>AND(#REF!,"AAAAAH9Xt3Y=")</f>
        <v>#REF!</v>
      </c>
      <c r="DP436" t="e">
        <f>AND(#REF!,"AAAAAH9Xt3c=")</f>
        <v>#REF!</v>
      </c>
      <c r="DQ436" t="e">
        <f>AND(#REF!,"AAAAAH9Xt3g=")</f>
        <v>#REF!</v>
      </c>
      <c r="DR436" t="e">
        <f>AND(#REF!,"AAAAAH9Xt3k=")</f>
        <v>#REF!</v>
      </c>
      <c r="DS436" t="e">
        <f>AND(#REF!,"AAAAAH9Xt3o=")</f>
        <v>#REF!</v>
      </c>
      <c r="DT436" t="e">
        <f>AND(#REF!,"AAAAAH9Xt3s=")</f>
        <v>#REF!</v>
      </c>
      <c r="DU436" t="e">
        <f>AND(#REF!,"AAAAAH9Xt3w=")</f>
        <v>#REF!</v>
      </c>
      <c r="DV436" t="e">
        <f>AND(#REF!,"AAAAAH9Xt30=")</f>
        <v>#REF!</v>
      </c>
      <c r="DW436" t="e">
        <f>AND(#REF!,"AAAAAH9Xt34=")</f>
        <v>#REF!</v>
      </c>
      <c r="DX436" t="e">
        <f>AND(#REF!,"AAAAAH9Xt38=")</f>
        <v>#REF!</v>
      </c>
      <c r="DY436" t="e">
        <f>IF(#REF!,"AAAAAH9Xt4A=",0)</f>
        <v>#REF!</v>
      </c>
      <c r="DZ436" t="e">
        <f>AND(#REF!,"AAAAAH9Xt4E=")</f>
        <v>#REF!</v>
      </c>
      <c r="EA436" t="e">
        <f>AND(#REF!,"AAAAAH9Xt4I=")</f>
        <v>#REF!</v>
      </c>
      <c r="EB436" t="e">
        <f>AND(#REF!,"AAAAAH9Xt4M=")</f>
        <v>#REF!</v>
      </c>
      <c r="EC436" t="e">
        <f>AND(#REF!,"AAAAAH9Xt4Q=")</f>
        <v>#REF!</v>
      </c>
      <c r="ED436" t="e">
        <f>AND(#REF!,"AAAAAH9Xt4U=")</f>
        <v>#REF!</v>
      </c>
      <c r="EE436" t="e">
        <f>AND(#REF!,"AAAAAH9Xt4Y=")</f>
        <v>#REF!</v>
      </c>
      <c r="EF436" t="e">
        <f>AND(#REF!,"AAAAAH9Xt4c=")</f>
        <v>#REF!</v>
      </c>
      <c r="EG436" t="e">
        <f>AND(#REF!,"AAAAAH9Xt4g=")</f>
        <v>#REF!</v>
      </c>
      <c r="EH436" t="e">
        <f>AND(#REF!,"AAAAAH9Xt4k=")</f>
        <v>#REF!</v>
      </c>
      <c r="EI436" t="e">
        <f>AND(#REF!,"AAAAAH9Xt4o=")</f>
        <v>#REF!</v>
      </c>
      <c r="EJ436" t="e">
        <f>IF(#REF!,"AAAAAH9Xt4s=",0)</f>
        <v>#REF!</v>
      </c>
      <c r="EK436" t="e">
        <f>AND(#REF!,"AAAAAH9Xt4w=")</f>
        <v>#REF!</v>
      </c>
      <c r="EL436" t="e">
        <f>AND(#REF!,"AAAAAH9Xt40=")</f>
        <v>#REF!</v>
      </c>
      <c r="EM436" t="e">
        <f>AND(#REF!,"AAAAAH9Xt44=")</f>
        <v>#REF!</v>
      </c>
      <c r="EN436" t="e">
        <f>AND(#REF!,"AAAAAH9Xt48=")</f>
        <v>#REF!</v>
      </c>
      <c r="EO436" t="e">
        <f>AND(#REF!,"AAAAAH9Xt5A=")</f>
        <v>#REF!</v>
      </c>
      <c r="EP436" t="e">
        <f>AND(#REF!,"AAAAAH9Xt5E=")</f>
        <v>#REF!</v>
      </c>
      <c r="EQ436" t="e">
        <f>AND(#REF!,"AAAAAH9Xt5I=")</f>
        <v>#REF!</v>
      </c>
      <c r="ER436" t="e">
        <f>AND(#REF!,"AAAAAH9Xt5M=")</f>
        <v>#REF!</v>
      </c>
      <c r="ES436" t="e">
        <f>AND(#REF!,"AAAAAH9Xt5Q=")</f>
        <v>#REF!</v>
      </c>
      <c r="ET436" t="e">
        <f>AND(#REF!,"AAAAAH9Xt5U=")</f>
        <v>#REF!</v>
      </c>
      <c r="EU436" t="e">
        <f>IF(#REF!,"AAAAAH9Xt5Y=",0)</f>
        <v>#REF!</v>
      </c>
      <c r="EV436" t="e">
        <f>AND(#REF!,"AAAAAH9Xt5c=")</f>
        <v>#REF!</v>
      </c>
      <c r="EW436" t="e">
        <f>AND(#REF!,"AAAAAH9Xt5g=")</f>
        <v>#REF!</v>
      </c>
      <c r="EX436" t="e">
        <f>AND(#REF!,"AAAAAH9Xt5k=")</f>
        <v>#REF!</v>
      </c>
      <c r="EY436" t="e">
        <f>AND(#REF!,"AAAAAH9Xt5o=")</f>
        <v>#REF!</v>
      </c>
      <c r="EZ436" t="e">
        <f>AND(#REF!,"AAAAAH9Xt5s=")</f>
        <v>#REF!</v>
      </c>
      <c r="FA436" t="e">
        <f>AND(#REF!,"AAAAAH9Xt5w=")</f>
        <v>#REF!</v>
      </c>
      <c r="FB436" t="e">
        <f>AND(#REF!,"AAAAAH9Xt50=")</f>
        <v>#REF!</v>
      </c>
      <c r="FC436" t="e">
        <f>AND(#REF!,"AAAAAH9Xt54=")</f>
        <v>#REF!</v>
      </c>
      <c r="FD436" t="e">
        <f>AND(#REF!,"AAAAAH9Xt58=")</f>
        <v>#REF!</v>
      </c>
      <c r="FE436" t="e">
        <f>AND(#REF!,"AAAAAH9Xt6A=")</f>
        <v>#REF!</v>
      </c>
      <c r="FF436" t="e">
        <f>IF(#REF!,"AAAAAH9Xt6E=",0)</f>
        <v>#REF!</v>
      </c>
      <c r="FG436" t="e">
        <f>AND(#REF!,"AAAAAH9Xt6I=")</f>
        <v>#REF!</v>
      </c>
      <c r="FH436" t="e">
        <f>AND(#REF!,"AAAAAH9Xt6M=")</f>
        <v>#REF!</v>
      </c>
      <c r="FI436" t="e">
        <f>AND(#REF!,"AAAAAH9Xt6Q=")</f>
        <v>#REF!</v>
      </c>
      <c r="FJ436" t="e">
        <f>AND(#REF!,"AAAAAH9Xt6U=")</f>
        <v>#REF!</v>
      </c>
      <c r="FK436" t="e">
        <f>AND(#REF!,"AAAAAH9Xt6Y=")</f>
        <v>#REF!</v>
      </c>
      <c r="FL436" t="e">
        <f>AND(#REF!,"AAAAAH9Xt6c=")</f>
        <v>#REF!</v>
      </c>
      <c r="FM436" t="e">
        <f>AND(#REF!,"AAAAAH9Xt6g=")</f>
        <v>#REF!</v>
      </c>
      <c r="FN436" t="e">
        <f>AND(#REF!,"AAAAAH9Xt6k=")</f>
        <v>#REF!</v>
      </c>
      <c r="FO436" t="e">
        <f>AND(#REF!,"AAAAAH9Xt6o=")</f>
        <v>#REF!</v>
      </c>
      <c r="FP436" t="e">
        <f>AND(#REF!,"AAAAAH9Xt6s=")</f>
        <v>#REF!</v>
      </c>
      <c r="FQ436" t="e">
        <f>IF(#REF!,"AAAAAH9Xt6w=",0)</f>
        <v>#REF!</v>
      </c>
      <c r="FR436" t="e">
        <f>AND(#REF!,"AAAAAH9Xt60=")</f>
        <v>#REF!</v>
      </c>
      <c r="FS436" t="e">
        <f>AND(#REF!,"AAAAAH9Xt64=")</f>
        <v>#REF!</v>
      </c>
      <c r="FT436" t="e">
        <f>AND(#REF!,"AAAAAH9Xt68=")</f>
        <v>#REF!</v>
      </c>
      <c r="FU436" t="e">
        <f>AND(#REF!,"AAAAAH9Xt7A=")</f>
        <v>#REF!</v>
      </c>
      <c r="FV436" t="e">
        <f>AND(#REF!,"AAAAAH9Xt7E=")</f>
        <v>#REF!</v>
      </c>
      <c r="FW436" t="e">
        <f>AND(#REF!,"AAAAAH9Xt7I=")</f>
        <v>#REF!</v>
      </c>
      <c r="FX436" t="e">
        <f>AND(#REF!,"AAAAAH9Xt7M=")</f>
        <v>#REF!</v>
      </c>
      <c r="FY436" t="e">
        <f>AND(#REF!,"AAAAAH9Xt7Q=")</f>
        <v>#REF!</v>
      </c>
      <c r="FZ436" t="e">
        <f>AND(#REF!,"AAAAAH9Xt7U=")</f>
        <v>#REF!</v>
      </c>
      <c r="GA436" t="e">
        <f>AND(#REF!,"AAAAAH9Xt7Y=")</f>
        <v>#REF!</v>
      </c>
      <c r="GB436" t="e">
        <f>IF(#REF!,"AAAAAH9Xt7c=",0)</f>
        <v>#REF!</v>
      </c>
      <c r="GC436" t="e">
        <f>AND(#REF!,"AAAAAH9Xt7g=")</f>
        <v>#REF!</v>
      </c>
      <c r="GD436" t="e">
        <f>AND(#REF!,"AAAAAH9Xt7k=")</f>
        <v>#REF!</v>
      </c>
      <c r="GE436" t="e">
        <f>AND(#REF!,"AAAAAH9Xt7o=")</f>
        <v>#REF!</v>
      </c>
      <c r="GF436" t="e">
        <f>AND(#REF!,"AAAAAH9Xt7s=")</f>
        <v>#REF!</v>
      </c>
      <c r="GG436" t="e">
        <f>AND(#REF!,"AAAAAH9Xt7w=")</f>
        <v>#REF!</v>
      </c>
      <c r="GH436" t="e">
        <f>AND(#REF!,"AAAAAH9Xt70=")</f>
        <v>#REF!</v>
      </c>
      <c r="GI436" t="e">
        <f>AND(#REF!,"AAAAAH9Xt74=")</f>
        <v>#REF!</v>
      </c>
      <c r="GJ436" t="e">
        <f>AND(#REF!,"AAAAAH9Xt78=")</f>
        <v>#REF!</v>
      </c>
      <c r="GK436" t="e">
        <f>AND(#REF!,"AAAAAH9Xt8A=")</f>
        <v>#REF!</v>
      </c>
      <c r="GL436" t="e">
        <f>AND(#REF!,"AAAAAH9Xt8E=")</f>
        <v>#REF!</v>
      </c>
      <c r="GM436" t="e">
        <f>IF(#REF!,"AAAAAH9Xt8I=",0)</f>
        <v>#REF!</v>
      </c>
      <c r="GN436" t="e">
        <f>AND(#REF!,"AAAAAH9Xt8M=")</f>
        <v>#REF!</v>
      </c>
      <c r="GO436" t="e">
        <f>AND(#REF!,"AAAAAH9Xt8Q=")</f>
        <v>#REF!</v>
      </c>
      <c r="GP436" t="e">
        <f>AND(#REF!,"AAAAAH9Xt8U=")</f>
        <v>#REF!</v>
      </c>
      <c r="GQ436" t="e">
        <f>AND(#REF!,"AAAAAH9Xt8Y=")</f>
        <v>#REF!</v>
      </c>
      <c r="GR436" t="e">
        <f>AND(#REF!,"AAAAAH9Xt8c=")</f>
        <v>#REF!</v>
      </c>
      <c r="GS436" t="e">
        <f>AND(#REF!,"AAAAAH9Xt8g=")</f>
        <v>#REF!</v>
      </c>
      <c r="GT436" t="e">
        <f>AND(#REF!,"AAAAAH9Xt8k=")</f>
        <v>#REF!</v>
      </c>
      <c r="GU436" t="e">
        <f>AND(#REF!,"AAAAAH9Xt8o=")</f>
        <v>#REF!</v>
      </c>
      <c r="GV436" t="e">
        <f>AND(#REF!,"AAAAAH9Xt8s=")</f>
        <v>#REF!</v>
      </c>
      <c r="GW436" t="e">
        <f>AND(#REF!,"AAAAAH9Xt8w=")</f>
        <v>#REF!</v>
      </c>
      <c r="GX436" t="e">
        <f>IF(#REF!,"AAAAAH9Xt80=",0)</f>
        <v>#REF!</v>
      </c>
      <c r="GY436" t="e">
        <f>AND(#REF!,"AAAAAH9Xt84=")</f>
        <v>#REF!</v>
      </c>
      <c r="GZ436" t="e">
        <f>AND(#REF!,"AAAAAH9Xt88=")</f>
        <v>#REF!</v>
      </c>
      <c r="HA436" t="e">
        <f>AND(#REF!,"AAAAAH9Xt9A=")</f>
        <v>#REF!</v>
      </c>
      <c r="HB436" t="e">
        <f>AND(#REF!,"AAAAAH9Xt9E=")</f>
        <v>#REF!</v>
      </c>
      <c r="HC436" t="e">
        <f>AND(#REF!,"AAAAAH9Xt9I=")</f>
        <v>#REF!</v>
      </c>
      <c r="HD436" t="e">
        <f>AND(#REF!,"AAAAAH9Xt9M=")</f>
        <v>#REF!</v>
      </c>
      <c r="HE436" t="e">
        <f>AND(#REF!,"AAAAAH9Xt9Q=")</f>
        <v>#REF!</v>
      </c>
      <c r="HF436" t="e">
        <f>AND(#REF!,"AAAAAH9Xt9U=")</f>
        <v>#REF!</v>
      </c>
      <c r="HG436" t="e">
        <f>AND(#REF!,"AAAAAH9Xt9Y=")</f>
        <v>#REF!</v>
      </c>
      <c r="HH436" t="e">
        <f>AND(#REF!,"AAAAAH9Xt9c=")</f>
        <v>#REF!</v>
      </c>
      <c r="HI436" t="e">
        <f>IF(#REF!,"AAAAAH9Xt9g=",0)</f>
        <v>#REF!</v>
      </c>
      <c r="HJ436" t="e">
        <f>AND(#REF!,"AAAAAH9Xt9k=")</f>
        <v>#REF!</v>
      </c>
      <c r="HK436" t="e">
        <f>AND(#REF!,"AAAAAH9Xt9o=")</f>
        <v>#REF!</v>
      </c>
      <c r="HL436" t="e">
        <f>AND(#REF!,"AAAAAH9Xt9s=")</f>
        <v>#REF!</v>
      </c>
      <c r="HM436" t="e">
        <f>AND(#REF!,"AAAAAH9Xt9w=")</f>
        <v>#REF!</v>
      </c>
      <c r="HN436" t="e">
        <f>AND(#REF!,"AAAAAH9Xt90=")</f>
        <v>#REF!</v>
      </c>
      <c r="HO436" t="e">
        <f>AND(#REF!,"AAAAAH9Xt94=")</f>
        <v>#REF!</v>
      </c>
      <c r="HP436" t="e">
        <f>AND(#REF!,"AAAAAH9Xt98=")</f>
        <v>#REF!</v>
      </c>
      <c r="HQ436" t="e">
        <f>AND(#REF!,"AAAAAH9Xt+A=")</f>
        <v>#REF!</v>
      </c>
      <c r="HR436" t="e">
        <f>AND(#REF!,"AAAAAH9Xt+E=")</f>
        <v>#REF!</v>
      </c>
      <c r="HS436" t="e">
        <f>AND(#REF!,"AAAAAH9Xt+I=")</f>
        <v>#REF!</v>
      </c>
      <c r="HT436" t="e">
        <f>IF(#REF!,"AAAAAH9Xt+M=",0)</f>
        <v>#REF!</v>
      </c>
      <c r="HU436" t="e">
        <f>AND(#REF!,"AAAAAH9Xt+Q=")</f>
        <v>#REF!</v>
      </c>
      <c r="HV436" t="e">
        <f>AND(#REF!,"AAAAAH9Xt+U=")</f>
        <v>#REF!</v>
      </c>
      <c r="HW436" t="e">
        <f>AND(#REF!,"AAAAAH9Xt+Y=")</f>
        <v>#REF!</v>
      </c>
      <c r="HX436" t="e">
        <f>AND(#REF!,"AAAAAH9Xt+c=")</f>
        <v>#REF!</v>
      </c>
      <c r="HY436" t="e">
        <f>AND(#REF!,"AAAAAH9Xt+g=")</f>
        <v>#REF!</v>
      </c>
      <c r="HZ436" t="e">
        <f>AND(#REF!,"AAAAAH9Xt+k=")</f>
        <v>#REF!</v>
      </c>
      <c r="IA436" t="e">
        <f>AND(#REF!,"AAAAAH9Xt+o=")</f>
        <v>#REF!</v>
      </c>
      <c r="IB436" t="e">
        <f>AND(#REF!,"AAAAAH9Xt+s=")</f>
        <v>#REF!</v>
      </c>
      <c r="IC436" t="e">
        <f>AND(#REF!,"AAAAAH9Xt+w=")</f>
        <v>#REF!</v>
      </c>
      <c r="ID436" t="e">
        <f>AND(#REF!,"AAAAAH9Xt+0=")</f>
        <v>#REF!</v>
      </c>
      <c r="IE436" t="e">
        <f>IF(#REF!,"AAAAAH9Xt+4=",0)</f>
        <v>#REF!</v>
      </c>
      <c r="IF436" t="e">
        <f>AND(#REF!,"AAAAAH9Xt+8=")</f>
        <v>#REF!</v>
      </c>
      <c r="IG436" t="e">
        <f>AND(#REF!,"AAAAAH9Xt/A=")</f>
        <v>#REF!</v>
      </c>
      <c r="IH436" t="e">
        <f>AND(#REF!,"AAAAAH9Xt/E=")</f>
        <v>#REF!</v>
      </c>
      <c r="II436" t="e">
        <f>AND(#REF!,"AAAAAH9Xt/I=")</f>
        <v>#REF!</v>
      </c>
      <c r="IJ436" t="e">
        <f>AND(#REF!,"AAAAAH9Xt/M=")</f>
        <v>#REF!</v>
      </c>
      <c r="IK436" t="e">
        <f>AND(#REF!,"AAAAAH9Xt/Q=")</f>
        <v>#REF!</v>
      </c>
      <c r="IL436" t="e">
        <f>AND(#REF!,"AAAAAH9Xt/U=")</f>
        <v>#REF!</v>
      </c>
      <c r="IM436" t="e">
        <f>AND(#REF!,"AAAAAH9Xt/Y=")</f>
        <v>#REF!</v>
      </c>
      <c r="IN436" t="e">
        <f>AND(#REF!,"AAAAAH9Xt/c=")</f>
        <v>#REF!</v>
      </c>
      <c r="IO436" t="e">
        <f>AND(#REF!,"AAAAAH9Xt/g=")</f>
        <v>#REF!</v>
      </c>
      <c r="IP436" t="e">
        <f>IF(#REF!,"AAAAAH9Xt/k=",0)</f>
        <v>#REF!</v>
      </c>
      <c r="IQ436" t="e">
        <f>AND(#REF!,"AAAAAH9Xt/o=")</f>
        <v>#REF!</v>
      </c>
      <c r="IR436" t="e">
        <f>AND(#REF!,"AAAAAH9Xt/s=")</f>
        <v>#REF!</v>
      </c>
      <c r="IS436" t="e">
        <f>AND(#REF!,"AAAAAH9Xt/w=")</f>
        <v>#REF!</v>
      </c>
      <c r="IT436" t="e">
        <f>AND(#REF!,"AAAAAH9Xt/0=")</f>
        <v>#REF!</v>
      </c>
      <c r="IU436" t="e">
        <f>AND(#REF!,"AAAAAH9Xt/4=")</f>
        <v>#REF!</v>
      </c>
      <c r="IV436" t="e">
        <f>AND(#REF!,"AAAAAH9Xt/8=")</f>
        <v>#REF!</v>
      </c>
    </row>
    <row r="437" spans="1:256" x14ac:dyDescent="0.25">
      <c r="A437" t="e">
        <f>AND(#REF!,"AAAAAH/vXwA=")</f>
        <v>#REF!</v>
      </c>
      <c r="B437" t="e">
        <f>AND(#REF!,"AAAAAH/vXwE=")</f>
        <v>#REF!</v>
      </c>
      <c r="C437" t="e">
        <f>AND(#REF!,"AAAAAH/vXwI=")</f>
        <v>#REF!</v>
      </c>
      <c r="D437" t="e">
        <f>AND(#REF!,"AAAAAH/vXwM=")</f>
        <v>#REF!</v>
      </c>
      <c r="E437" t="e">
        <f>IF(#REF!,"AAAAAH/vXwQ=",0)</f>
        <v>#REF!</v>
      </c>
      <c r="F437" t="e">
        <f>AND(#REF!,"AAAAAH/vXwU=")</f>
        <v>#REF!</v>
      </c>
      <c r="G437" t="e">
        <f>AND(#REF!,"AAAAAH/vXwY=")</f>
        <v>#REF!</v>
      </c>
      <c r="H437" t="e">
        <f>AND(#REF!,"AAAAAH/vXwc=")</f>
        <v>#REF!</v>
      </c>
      <c r="I437" t="e">
        <f>AND(#REF!,"AAAAAH/vXwg=")</f>
        <v>#REF!</v>
      </c>
      <c r="J437" t="e">
        <f>AND(#REF!,"AAAAAH/vXwk=")</f>
        <v>#REF!</v>
      </c>
      <c r="K437" t="e">
        <f>AND(#REF!,"AAAAAH/vXwo=")</f>
        <v>#REF!</v>
      </c>
      <c r="L437" t="e">
        <f>AND(#REF!,"AAAAAH/vXws=")</f>
        <v>#REF!</v>
      </c>
      <c r="M437" t="e">
        <f>AND(#REF!,"AAAAAH/vXww=")</f>
        <v>#REF!</v>
      </c>
      <c r="N437" t="e">
        <f>AND(#REF!,"AAAAAH/vXw0=")</f>
        <v>#REF!</v>
      </c>
      <c r="O437" t="e">
        <f>AND(#REF!,"AAAAAH/vXw4=")</f>
        <v>#REF!</v>
      </c>
      <c r="P437" t="e">
        <f>IF(#REF!,"AAAAAH/vXw8=",0)</f>
        <v>#REF!</v>
      </c>
      <c r="Q437" t="e">
        <f>AND(#REF!,"AAAAAH/vXxA=")</f>
        <v>#REF!</v>
      </c>
      <c r="R437" t="e">
        <f>AND(#REF!,"AAAAAH/vXxE=")</f>
        <v>#REF!</v>
      </c>
      <c r="S437" t="e">
        <f>AND(#REF!,"AAAAAH/vXxI=")</f>
        <v>#REF!</v>
      </c>
      <c r="T437" t="e">
        <f>AND(#REF!,"AAAAAH/vXxM=")</f>
        <v>#REF!</v>
      </c>
      <c r="U437" t="e">
        <f>AND(#REF!,"AAAAAH/vXxQ=")</f>
        <v>#REF!</v>
      </c>
      <c r="V437" t="e">
        <f>AND(#REF!,"AAAAAH/vXxU=")</f>
        <v>#REF!</v>
      </c>
      <c r="W437" t="e">
        <f>AND(#REF!,"AAAAAH/vXxY=")</f>
        <v>#REF!</v>
      </c>
      <c r="X437" t="e">
        <f>AND(#REF!,"AAAAAH/vXxc=")</f>
        <v>#REF!</v>
      </c>
      <c r="Y437" t="e">
        <f>AND(#REF!,"AAAAAH/vXxg=")</f>
        <v>#REF!</v>
      </c>
      <c r="Z437" t="e">
        <f>AND(#REF!,"AAAAAH/vXxk=")</f>
        <v>#REF!</v>
      </c>
      <c r="AA437" t="e">
        <f>IF(#REF!,"AAAAAH/vXxo=",0)</f>
        <v>#REF!</v>
      </c>
      <c r="AB437" t="e">
        <f>AND(#REF!,"AAAAAH/vXxs=")</f>
        <v>#REF!</v>
      </c>
      <c r="AC437" t="e">
        <f>AND(#REF!,"AAAAAH/vXxw=")</f>
        <v>#REF!</v>
      </c>
      <c r="AD437" t="e">
        <f>AND(#REF!,"AAAAAH/vXx0=")</f>
        <v>#REF!</v>
      </c>
      <c r="AE437" t="e">
        <f>AND(#REF!,"AAAAAH/vXx4=")</f>
        <v>#REF!</v>
      </c>
      <c r="AF437" t="e">
        <f>AND(#REF!,"AAAAAH/vXx8=")</f>
        <v>#REF!</v>
      </c>
      <c r="AG437" t="e">
        <f>AND(#REF!,"AAAAAH/vXyA=")</f>
        <v>#REF!</v>
      </c>
      <c r="AH437" t="e">
        <f>AND(#REF!,"AAAAAH/vXyE=")</f>
        <v>#REF!</v>
      </c>
      <c r="AI437" t="e">
        <f>AND(#REF!,"AAAAAH/vXyI=")</f>
        <v>#REF!</v>
      </c>
      <c r="AJ437" t="e">
        <f>AND(#REF!,"AAAAAH/vXyM=")</f>
        <v>#REF!</v>
      </c>
      <c r="AK437" t="e">
        <f>AND(#REF!,"AAAAAH/vXyQ=")</f>
        <v>#REF!</v>
      </c>
      <c r="AL437" t="e">
        <f>IF(#REF!,"AAAAAH/vXyU=",0)</f>
        <v>#REF!</v>
      </c>
      <c r="AM437" t="e">
        <f>AND(#REF!,"AAAAAH/vXyY=")</f>
        <v>#REF!</v>
      </c>
      <c r="AN437" t="e">
        <f>AND(#REF!,"AAAAAH/vXyc=")</f>
        <v>#REF!</v>
      </c>
      <c r="AO437" t="e">
        <f>AND(#REF!,"AAAAAH/vXyg=")</f>
        <v>#REF!</v>
      </c>
      <c r="AP437" t="e">
        <f>AND(#REF!,"AAAAAH/vXyk=")</f>
        <v>#REF!</v>
      </c>
      <c r="AQ437" t="e">
        <f>AND(#REF!,"AAAAAH/vXyo=")</f>
        <v>#REF!</v>
      </c>
      <c r="AR437" t="e">
        <f>AND(#REF!,"AAAAAH/vXys=")</f>
        <v>#REF!</v>
      </c>
      <c r="AS437" t="e">
        <f>AND(#REF!,"AAAAAH/vXyw=")</f>
        <v>#REF!</v>
      </c>
      <c r="AT437" t="e">
        <f>AND(#REF!,"AAAAAH/vXy0=")</f>
        <v>#REF!</v>
      </c>
      <c r="AU437" t="e">
        <f>AND(#REF!,"AAAAAH/vXy4=")</f>
        <v>#REF!</v>
      </c>
      <c r="AV437" t="e">
        <f>AND(#REF!,"AAAAAH/vXy8=")</f>
        <v>#REF!</v>
      </c>
      <c r="AW437" t="e">
        <f>IF(#REF!,"AAAAAH/vXzA=",0)</f>
        <v>#REF!</v>
      </c>
      <c r="AX437" t="e">
        <f>AND(#REF!,"AAAAAH/vXzE=")</f>
        <v>#REF!</v>
      </c>
      <c r="AY437" t="e">
        <f>AND(#REF!,"AAAAAH/vXzI=")</f>
        <v>#REF!</v>
      </c>
      <c r="AZ437" t="e">
        <f>AND(#REF!,"AAAAAH/vXzM=")</f>
        <v>#REF!</v>
      </c>
      <c r="BA437" t="e">
        <f>AND(#REF!,"AAAAAH/vXzQ=")</f>
        <v>#REF!</v>
      </c>
      <c r="BB437" t="e">
        <f>AND(#REF!,"AAAAAH/vXzU=")</f>
        <v>#REF!</v>
      </c>
      <c r="BC437" t="e">
        <f>AND(#REF!,"AAAAAH/vXzY=")</f>
        <v>#REF!</v>
      </c>
      <c r="BD437" t="e">
        <f>AND(#REF!,"AAAAAH/vXzc=")</f>
        <v>#REF!</v>
      </c>
      <c r="BE437" t="e">
        <f>AND(#REF!,"AAAAAH/vXzg=")</f>
        <v>#REF!</v>
      </c>
      <c r="BF437" t="e">
        <f>AND(#REF!,"AAAAAH/vXzk=")</f>
        <v>#REF!</v>
      </c>
      <c r="BG437" t="e">
        <f>AND(#REF!,"AAAAAH/vXzo=")</f>
        <v>#REF!</v>
      </c>
      <c r="BH437" t="e">
        <f>IF(#REF!,"AAAAAH/vXzs=",0)</f>
        <v>#REF!</v>
      </c>
      <c r="BI437" t="e">
        <f>AND(#REF!,"AAAAAH/vXzw=")</f>
        <v>#REF!</v>
      </c>
      <c r="BJ437" t="e">
        <f>AND(#REF!,"AAAAAH/vXz0=")</f>
        <v>#REF!</v>
      </c>
      <c r="BK437" t="e">
        <f>AND(#REF!,"AAAAAH/vXz4=")</f>
        <v>#REF!</v>
      </c>
      <c r="BL437" t="e">
        <f>AND(#REF!,"AAAAAH/vXz8=")</f>
        <v>#REF!</v>
      </c>
      <c r="BM437" t="e">
        <f>AND(#REF!,"AAAAAH/vX0A=")</f>
        <v>#REF!</v>
      </c>
      <c r="BN437" t="e">
        <f>AND(#REF!,"AAAAAH/vX0E=")</f>
        <v>#REF!</v>
      </c>
      <c r="BO437" t="e">
        <f>AND(#REF!,"AAAAAH/vX0I=")</f>
        <v>#REF!</v>
      </c>
      <c r="BP437" t="e">
        <f>AND(#REF!,"AAAAAH/vX0M=")</f>
        <v>#REF!</v>
      </c>
      <c r="BQ437" t="e">
        <f>AND(#REF!,"AAAAAH/vX0Q=")</f>
        <v>#REF!</v>
      </c>
      <c r="BR437" t="e">
        <f>AND(#REF!,"AAAAAH/vX0U=")</f>
        <v>#REF!</v>
      </c>
      <c r="BS437" t="e">
        <f>IF(#REF!,"AAAAAH/vX0Y=",0)</f>
        <v>#REF!</v>
      </c>
      <c r="BT437" t="e">
        <f>AND(#REF!,"AAAAAH/vX0c=")</f>
        <v>#REF!</v>
      </c>
      <c r="BU437" t="e">
        <f>AND(#REF!,"AAAAAH/vX0g=")</f>
        <v>#REF!</v>
      </c>
      <c r="BV437" t="e">
        <f>AND(#REF!,"AAAAAH/vX0k=")</f>
        <v>#REF!</v>
      </c>
      <c r="BW437" t="e">
        <f>AND(#REF!,"AAAAAH/vX0o=")</f>
        <v>#REF!</v>
      </c>
      <c r="BX437" t="e">
        <f>AND(#REF!,"AAAAAH/vX0s=")</f>
        <v>#REF!</v>
      </c>
      <c r="BY437" t="e">
        <f>AND(#REF!,"AAAAAH/vX0w=")</f>
        <v>#REF!</v>
      </c>
      <c r="BZ437" t="e">
        <f>AND(#REF!,"AAAAAH/vX00=")</f>
        <v>#REF!</v>
      </c>
      <c r="CA437" t="e">
        <f>AND(#REF!,"AAAAAH/vX04=")</f>
        <v>#REF!</v>
      </c>
      <c r="CB437" t="e">
        <f>AND(#REF!,"AAAAAH/vX08=")</f>
        <v>#REF!</v>
      </c>
      <c r="CC437" t="e">
        <f>AND(#REF!,"AAAAAH/vX1A=")</f>
        <v>#REF!</v>
      </c>
      <c r="CD437" t="e">
        <f>IF(#REF!,"AAAAAH/vX1E=",0)</f>
        <v>#REF!</v>
      </c>
      <c r="CE437" t="e">
        <f>AND(#REF!,"AAAAAH/vX1I=")</f>
        <v>#REF!</v>
      </c>
      <c r="CF437" t="e">
        <f>AND(#REF!,"AAAAAH/vX1M=")</f>
        <v>#REF!</v>
      </c>
      <c r="CG437" t="e">
        <f>AND(#REF!,"AAAAAH/vX1Q=")</f>
        <v>#REF!</v>
      </c>
      <c r="CH437" t="e">
        <f>AND(#REF!,"AAAAAH/vX1U=")</f>
        <v>#REF!</v>
      </c>
      <c r="CI437" t="e">
        <f>AND(#REF!,"AAAAAH/vX1Y=")</f>
        <v>#REF!</v>
      </c>
      <c r="CJ437" t="e">
        <f>AND(#REF!,"AAAAAH/vX1c=")</f>
        <v>#REF!</v>
      </c>
      <c r="CK437" t="e">
        <f>AND(#REF!,"AAAAAH/vX1g=")</f>
        <v>#REF!</v>
      </c>
      <c r="CL437" t="e">
        <f>AND(#REF!,"AAAAAH/vX1k=")</f>
        <v>#REF!</v>
      </c>
      <c r="CM437" t="e">
        <f>AND(#REF!,"AAAAAH/vX1o=")</f>
        <v>#REF!</v>
      </c>
      <c r="CN437" t="e">
        <f>AND(#REF!,"AAAAAH/vX1s=")</f>
        <v>#REF!</v>
      </c>
      <c r="CO437" t="e">
        <f>IF(#REF!,"AAAAAH/vX1w=",0)</f>
        <v>#REF!</v>
      </c>
      <c r="CP437" t="e">
        <f>AND(#REF!,"AAAAAH/vX10=")</f>
        <v>#REF!</v>
      </c>
      <c r="CQ437" t="e">
        <f>AND(#REF!,"AAAAAH/vX14=")</f>
        <v>#REF!</v>
      </c>
      <c r="CR437" t="e">
        <f>AND(#REF!,"AAAAAH/vX18=")</f>
        <v>#REF!</v>
      </c>
      <c r="CS437" t="e">
        <f>AND(#REF!,"AAAAAH/vX2A=")</f>
        <v>#REF!</v>
      </c>
      <c r="CT437" t="e">
        <f>AND(#REF!,"AAAAAH/vX2E=")</f>
        <v>#REF!</v>
      </c>
      <c r="CU437" t="e">
        <f>AND(#REF!,"AAAAAH/vX2I=")</f>
        <v>#REF!</v>
      </c>
      <c r="CV437" t="e">
        <f>AND(#REF!,"AAAAAH/vX2M=")</f>
        <v>#REF!</v>
      </c>
      <c r="CW437" t="e">
        <f>AND(#REF!,"AAAAAH/vX2Q=")</f>
        <v>#REF!</v>
      </c>
      <c r="CX437" t="e">
        <f>AND(#REF!,"AAAAAH/vX2U=")</f>
        <v>#REF!</v>
      </c>
      <c r="CY437" t="e">
        <f>AND(#REF!,"AAAAAH/vX2Y=")</f>
        <v>#REF!</v>
      </c>
      <c r="CZ437" t="e">
        <f>IF(#REF!,"AAAAAH/vX2c=",0)</f>
        <v>#REF!</v>
      </c>
      <c r="DA437" t="e">
        <f>AND(#REF!,"AAAAAH/vX2g=")</f>
        <v>#REF!</v>
      </c>
      <c r="DB437" t="e">
        <f>AND(#REF!,"AAAAAH/vX2k=")</f>
        <v>#REF!</v>
      </c>
      <c r="DC437" t="e">
        <f>AND(#REF!,"AAAAAH/vX2o=")</f>
        <v>#REF!</v>
      </c>
      <c r="DD437" t="e">
        <f>AND(#REF!,"AAAAAH/vX2s=")</f>
        <v>#REF!</v>
      </c>
      <c r="DE437" t="e">
        <f>AND(#REF!,"AAAAAH/vX2w=")</f>
        <v>#REF!</v>
      </c>
      <c r="DF437" t="e">
        <f>AND(#REF!,"AAAAAH/vX20=")</f>
        <v>#REF!</v>
      </c>
      <c r="DG437" t="e">
        <f>AND(#REF!,"AAAAAH/vX24=")</f>
        <v>#REF!</v>
      </c>
      <c r="DH437" t="e">
        <f>AND(#REF!,"AAAAAH/vX28=")</f>
        <v>#REF!</v>
      </c>
      <c r="DI437" t="e">
        <f>AND(#REF!,"AAAAAH/vX3A=")</f>
        <v>#REF!</v>
      </c>
      <c r="DJ437" t="e">
        <f>AND(#REF!,"AAAAAH/vX3E=")</f>
        <v>#REF!</v>
      </c>
      <c r="DK437" t="e">
        <f>IF(#REF!,"AAAAAH/vX3I=",0)</f>
        <v>#REF!</v>
      </c>
      <c r="DL437" t="e">
        <f>AND(#REF!,"AAAAAH/vX3M=")</f>
        <v>#REF!</v>
      </c>
      <c r="DM437" t="e">
        <f>AND(#REF!,"AAAAAH/vX3Q=")</f>
        <v>#REF!</v>
      </c>
      <c r="DN437" t="e">
        <f>AND(#REF!,"AAAAAH/vX3U=")</f>
        <v>#REF!</v>
      </c>
      <c r="DO437" t="e">
        <f>AND(#REF!,"AAAAAH/vX3Y=")</f>
        <v>#REF!</v>
      </c>
      <c r="DP437" t="e">
        <f>AND(#REF!,"AAAAAH/vX3c=")</f>
        <v>#REF!</v>
      </c>
      <c r="DQ437" t="e">
        <f>AND(#REF!,"AAAAAH/vX3g=")</f>
        <v>#REF!</v>
      </c>
      <c r="DR437" t="e">
        <f>AND(#REF!,"AAAAAH/vX3k=")</f>
        <v>#REF!</v>
      </c>
      <c r="DS437" t="e">
        <f>AND(#REF!,"AAAAAH/vX3o=")</f>
        <v>#REF!</v>
      </c>
      <c r="DT437" t="e">
        <f>AND(#REF!,"AAAAAH/vX3s=")</f>
        <v>#REF!</v>
      </c>
      <c r="DU437" t="e">
        <f>AND(#REF!,"AAAAAH/vX3w=")</f>
        <v>#REF!</v>
      </c>
      <c r="DV437" t="e">
        <f>IF(#REF!,"AAAAAH/vX30=",0)</f>
        <v>#REF!</v>
      </c>
      <c r="DW437" t="e">
        <f>AND(#REF!,"AAAAAH/vX34=")</f>
        <v>#REF!</v>
      </c>
      <c r="DX437" t="e">
        <f>AND(#REF!,"AAAAAH/vX38=")</f>
        <v>#REF!</v>
      </c>
      <c r="DY437" t="e">
        <f>AND(#REF!,"AAAAAH/vX4A=")</f>
        <v>#REF!</v>
      </c>
      <c r="DZ437" t="e">
        <f>AND(#REF!,"AAAAAH/vX4E=")</f>
        <v>#REF!</v>
      </c>
      <c r="EA437" t="e">
        <f>AND(#REF!,"AAAAAH/vX4I=")</f>
        <v>#REF!</v>
      </c>
      <c r="EB437" t="e">
        <f>AND(#REF!,"AAAAAH/vX4M=")</f>
        <v>#REF!</v>
      </c>
      <c r="EC437" t="e">
        <f>AND(#REF!,"AAAAAH/vX4Q=")</f>
        <v>#REF!</v>
      </c>
      <c r="ED437" t="e">
        <f>AND(#REF!,"AAAAAH/vX4U=")</f>
        <v>#REF!</v>
      </c>
      <c r="EE437" t="e">
        <f>AND(#REF!,"AAAAAH/vX4Y=")</f>
        <v>#REF!</v>
      </c>
      <c r="EF437" t="e">
        <f>AND(#REF!,"AAAAAH/vX4c=")</f>
        <v>#REF!</v>
      </c>
      <c r="EG437" t="e">
        <f>IF(#REF!,"AAAAAH/vX4g=",0)</f>
        <v>#REF!</v>
      </c>
      <c r="EH437" t="e">
        <f>AND(#REF!,"AAAAAH/vX4k=")</f>
        <v>#REF!</v>
      </c>
      <c r="EI437" t="e">
        <f>AND(#REF!,"AAAAAH/vX4o=")</f>
        <v>#REF!</v>
      </c>
      <c r="EJ437" t="e">
        <f>AND(#REF!,"AAAAAH/vX4s=")</f>
        <v>#REF!</v>
      </c>
      <c r="EK437" t="e">
        <f>AND(#REF!,"AAAAAH/vX4w=")</f>
        <v>#REF!</v>
      </c>
      <c r="EL437" t="e">
        <f>AND(#REF!,"AAAAAH/vX40=")</f>
        <v>#REF!</v>
      </c>
      <c r="EM437" t="e">
        <f>AND(#REF!,"AAAAAH/vX44=")</f>
        <v>#REF!</v>
      </c>
      <c r="EN437" t="e">
        <f>AND(#REF!,"AAAAAH/vX48=")</f>
        <v>#REF!</v>
      </c>
      <c r="EO437" t="e">
        <f>AND(#REF!,"AAAAAH/vX5A=")</f>
        <v>#REF!</v>
      </c>
      <c r="EP437" t="e">
        <f>AND(#REF!,"AAAAAH/vX5E=")</f>
        <v>#REF!</v>
      </c>
      <c r="EQ437" t="e">
        <f>AND(#REF!,"AAAAAH/vX5I=")</f>
        <v>#REF!</v>
      </c>
      <c r="ER437" t="e">
        <f>IF(#REF!,"AAAAAH/vX5M=",0)</f>
        <v>#REF!</v>
      </c>
      <c r="ES437" t="e">
        <f>AND(#REF!,"AAAAAH/vX5Q=")</f>
        <v>#REF!</v>
      </c>
      <c r="ET437" t="e">
        <f>AND(#REF!,"AAAAAH/vX5U=")</f>
        <v>#REF!</v>
      </c>
      <c r="EU437" t="e">
        <f>AND(#REF!,"AAAAAH/vX5Y=")</f>
        <v>#REF!</v>
      </c>
      <c r="EV437" t="e">
        <f>AND(#REF!,"AAAAAH/vX5c=")</f>
        <v>#REF!</v>
      </c>
      <c r="EW437" t="e">
        <f>AND(#REF!,"AAAAAH/vX5g=")</f>
        <v>#REF!</v>
      </c>
      <c r="EX437" t="e">
        <f>AND(#REF!,"AAAAAH/vX5k=")</f>
        <v>#REF!</v>
      </c>
      <c r="EY437" t="e">
        <f>AND(#REF!,"AAAAAH/vX5o=")</f>
        <v>#REF!</v>
      </c>
      <c r="EZ437" t="e">
        <f>AND(#REF!,"AAAAAH/vX5s=")</f>
        <v>#REF!</v>
      </c>
      <c r="FA437" t="e">
        <f>AND(#REF!,"AAAAAH/vX5w=")</f>
        <v>#REF!</v>
      </c>
      <c r="FB437" t="e">
        <f>AND(#REF!,"AAAAAH/vX50=")</f>
        <v>#REF!</v>
      </c>
      <c r="FC437" t="e">
        <f>IF(#REF!,"AAAAAH/vX54=",0)</f>
        <v>#REF!</v>
      </c>
      <c r="FD437" t="e">
        <f>AND(#REF!,"AAAAAH/vX58=")</f>
        <v>#REF!</v>
      </c>
      <c r="FE437" t="e">
        <f>AND(#REF!,"AAAAAH/vX6A=")</f>
        <v>#REF!</v>
      </c>
      <c r="FF437" t="e">
        <f>AND(#REF!,"AAAAAH/vX6E=")</f>
        <v>#REF!</v>
      </c>
      <c r="FG437" t="e">
        <f>AND(#REF!,"AAAAAH/vX6I=")</f>
        <v>#REF!</v>
      </c>
      <c r="FH437" t="e">
        <f>AND(#REF!,"AAAAAH/vX6M=")</f>
        <v>#REF!</v>
      </c>
      <c r="FI437" t="e">
        <f>AND(#REF!,"AAAAAH/vX6Q=")</f>
        <v>#REF!</v>
      </c>
      <c r="FJ437" t="e">
        <f>AND(#REF!,"AAAAAH/vX6U=")</f>
        <v>#REF!</v>
      </c>
      <c r="FK437" t="e">
        <f>AND(#REF!,"AAAAAH/vX6Y=")</f>
        <v>#REF!</v>
      </c>
      <c r="FL437" t="e">
        <f>AND(#REF!,"AAAAAH/vX6c=")</f>
        <v>#REF!</v>
      </c>
      <c r="FM437" t="e">
        <f>AND(#REF!,"AAAAAH/vX6g=")</f>
        <v>#REF!</v>
      </c>
      <c r="FN437" t="e">
        <f>IF(#REF!,"AAAAAH/vX6k=",0)</f>
        <v>#REF!</v>
      </c>
      <c r="FO437" t="e">
        <f>AND(#REF!,"AAAAAH/vX6o=")</f>
        <v>#REF!</v>
      </c>
      <c r="FP437" t="e">
        <f>AND(#REF!,"AAAAAH/vX6s=")</f>
        <v>#REF!</v>
      </c>
      <c r="FQ437" t="e">
        <f>AND(#REF!,"AAAAAH/vX6w=")</f>
        <v>#REF!</v>
      </c>
      <c r="FR437" t="e">
        <f>AND(#REF!,"AAAAAH/vX60=")</f>
        <v>#REF!</v>
      </c>
      <c r="FS437" t="e">
        <f>AND(#REF!,"AAAAAH/vX64=")</f>
        <v>#REF!</v>
      </c>
      <c r="FT437" t="e">
        <f>AND(#REF!,"AAAAAH/vX68=")</f>
        <v>#REF!</v>
      </c>
      <c r="FU437" t="e">
        <f>AND(#REF!,"AAAAAH/vX7A=")</f>
        <v>#REF!</v>
      </c>
      <c r="FV437" t="e">
        <f>AND(#REF!,"AAAAAH/vX7E=")</f>
        <v>#REF!</v>
      </c>
      <c r="FW437" t="e">
        <f>AND(#REF!,"AAAAAH/vX7I=")</f>
        <v>#REF!</v>
      </c>
      <c r="FX437" t="e">
        <f>AND(#REF!,"AAAAAH/vX7M=")</f>
        <v>#REF!</v>
      </c>
      <c r="FY437" t="e">
        <f>IF(#REF!,"AAAAAH/vX7Q=",0)</f>
        <v>#REF!</v>
      </c>
      <c r="FZ437" t="e">
        <f>AND(#REF!,"AAAAAH/vX7U=")</f>
        <v>#REF!</v>
      </c>
      <c r="GA437" t="e">
        <f>AND(#REF!,"AAAAAH/vX7Y=")</f>
        <v>#REF!</v>
      </c>
      <c r="GB437" t="e">
        <f>AND(#REF!,"AAAAAH/vX7c=")</f>
        <v>#REF!</v>
      </c>
      <c r="GC437" t="e">
        <f>AND(#REF!,"AAAAAH/vX7g=")</f>
        <v>#REF!</v>
      </c>
      <c r="GD437" t="e">
        <f>AND(#REF!,"AAAAAH/vX7k=")</f>
        <v>#REF!</v>
      </c>
      <c r="GE437" t="e">
        <f>AND(#REF!,"AAAAAH/vX7o=")</f>
        <v>#REF!</v>
      </c>
      <c r="GF437" t="e">
        <f>AND(#REF!,"AAAAAH/vX7s=")</f>
        <v>#REF!</v>
      </c>
      <c r="GG437" t="e">
        <f>AND(#REF!,"AAAAAH/vX7w=")</f>
        <v>#REF!</v>
      </c>
      <c r="GH437" t="e">
        <f>AND(#REF!,"AAAAAH/vX70=")</f>
        <v>#REF!</v>
      </c>
      <c r="GI437" t="e">
        <f>AND(#REF!,"AAAAAH/vX74=")</f>
        <v>#REF!</v>
      </c>
      <c r="GJ437" t="e">
        <f>IF(#REF!,"AAAAAH/vX78=",0)</f>
        <v>#REF!</v>
      </c>
      <c r="GK437" t="e">
        <f>AND(#REF!,"AAAAAH/vX8A=")</f>
        <v>#REF!</v>
      </c>
      <c r="GL437" t="e">
        <f>AND(#REF!,"AAAAAH/vX8E=")</f>
        <v>#REF!</v>
      </c>
      <c r="GM437" t="e">
        <f>AND(#REF!,"AAAAAH/vX8I=")</f>
        <v>#REF!</v>
      </c>
      <c r="GN437" t="e">
        <f>AND(#REF!,"AAAAAH/vX8M=")</f>
        <v>#REF!</v>
      </c>
      <c r="GO437" t="e">
        <f>AND(#REF!,"AAAAAH/vX8Q=")</f>
        <v>#REF!</v>
      </c>
      <c r="GP437" t="e">
        <f>AND(#REF!,"AAAAAH/vX8U=")</f>
        <v>#REF!</v>
      </c>
      <c r="GQ437" t="e">
        <f>AND(#REF!,"AAAAAH/vX8Y=")</f>
        <v>#REF!</v>
      </c>
      <c r="GR437" t="e">
        <f>AND(#REF!,"AAAAAH/vX8c=")</f>
        <v>#REF!</v>
      </c>
      <c r="GS437" t="e">
        <f>AND(#REF!,"AAAAAH/vX8g=")</f>
        <v>#REF!</v>
      </c>
      <c r="GT437" t="e">
        <f>AND(#REF!,"AAAAAH/vX8k=")</f>
        <v>#REF!</v>
      </c>
      <c r="GU437" t="e">
        <f>IF(#REF!,"AAAAAH/vX8o=",0)</f>
        <v>#REF!</v>
      </c>
      <c r="GV437" t="e">
        <f>AND(#REF!,"AAAAAH/vX8s=")</f>
        <v>#REF!</v>
      </c>
      <c r="GW437" t="e">
        <f>AND(#REF!,"AAAAAH/vX8w=")</f>
        <v>#REF!</v>
      </c>
      <c r="GX437" t="e">
        <f>AND(#REF!,"AAAAAH/vX80=")</f>
        <v>#REF!</v>
      </c>
      <c r="GY437" t="e">
        <f>AND(#REF!,"AAAAAH/vX84=")</f>
        <v>#REF!</v>
      </c>
      <c r="GZ437" t="e">
        <f>AND(#REF!,"AAAAAH/vX88=")</f>
        <v>#REF!</v>
      </c>
      <c r="HA437" t="e">
        <f>AND(#REF!,"AAAAAH/vX9A=")</f>
        <v>#REF!</v>
      </c>
      <c r="HB437" t="e">
        <f>AND(#REF!,"AAAAAH/vX9E=")</f>
        <v>#REF!</v>
      </c>
      <c r="HC437" t="e">
        <f>AND(#REF!,"AAAAAH/vX9I=")</f>
        <v>#REF!</v>
      </c>
      <c r="HD437" t="e">
        <f>AND(#REF!,"AAAAAH/vX9M=")</f>
        <v>#REF!</v>
      </c>
      <c r="HE437" t="e">
        <f>AND(#REF!,"AAAAAH/vX9Q=")</f>
        <v>#REF!</v>
      </c>
      <c r="HF437" t="e">
        <f>IF(#REF!,"AAAAAH/vX9U=",0)</f>
        <v>#REF!</v>
      </c>
      <c r="HG437" t="e">
        <f>AND(#REF!,"AAAAAH/vX9Y=")</f>
        <v>#REF!</v>
      </c>
      <c r="HH437" t="e">
        <f>AND(#REF!,"AAAAAH/vX9c=")</f>
        <v>#REF!</v>
      </c>
      <c r="HI437" t="e">
        <f>AND(#REF!,"AAAAAH/vX9g=")</f>
        <v>#REF!</v>
      </c>
      <c r="HJ437" t="e">
        <f>AND(#REF!,"AAAAAH/vX9k=")</f>
        <v>#REF!</v>
      </c>
      <c r="HK437" t="e">
        <f>AND(#REF!,"AAAAAH/vX9o=")</f>
        <v>#REF!</v>
      </c>
      <c r="HL437" t="e">
        <f>AND(#REF!,"AAAAAH/vX9s=")</f>
        <v>#REF!</v>
      </c>
      <c r="HM437" t="e">
        <f>AND(#REF!,"AAAAAH/vX9w=")</f>
        <v>#REF!</v>
      </c>
      <c r="HN437" t="e">
        <f>AND(#REF!,"AAAAAH/vX90=")</f>
        <v>#REF!</v>
      </c>
      <c r="HO437" t="e">
        <f>AND(#REF!,"AAAAAH/vX94=")</f>
        <v>#REF!</v>
      </c>
      <c r="HP437" t="e">
        <f>AND(#REF!,"AAAAAH/vX98=")</f>
        <v>#REF!</v>
      </c>
      <c r="HQ437" t="e">
        <f>IF(#REF!,"AAAAAH/vX+A=",0)</f>
        <v>#REF!</v>
      </c>
      <c r="HR437" t="e">
        <f>AND(#REF!,"AAAAAH/vX+E=")</f>
        <v>#REF!</v>
      </c>
      <c r="HS437" t="e">
        <f>AND(#REF!,"AAAAAH/vX+I=")</f>
        <v>#REF!</v>
      </c>
      <c r="HT437" t="e">
        <f>AND(#REF!,"AAAAAH/vX+M=")</f>
        <v>#REF!</v>
      </c>
      <c r="HU437" t="e">
        <f>AND(#REF!,"AAAAAH/vX+Q=")</f>
        <v>#REF!</v>
      </c>
      <c r="HV437" t="e">
        <f>AND(#REF!,"AAAAAH/vX+U=")</f>
        <v>#REF!</v>
      </c>
      <c r="HW437" t="e">
        <f>AND(#REF!,"AAAAAH/vX+Y=")</f>
        <v>#REF!</v>
      </c>
      <c r="HX437" t="e">
        <f>AND(#REF!,"AAAAAH/vX+c=")</f>
        <v>#REF!</v>
      </c>
      <c r="HY437" t="e">
        <f>AND(#REF!,"AAAAAH/vX+g=")</f>
        <v>#REF!</v>
      </c>
      <c r="HZ437" t="e">
        <f>AND(#REF!,"AAAAAH/vX+k=")</f>
        <v>#REF!</v>
      </c>
      <c r="IA437" t="e">
        <f>AND(#REF!,"AAAAAH/vX+o=")</f>
        <v>#REF!</v>
      </c>
      <c r="IB437" t="e">
        <f>IF(#REF!,"AAAAAH/vX+s=",0)</f>
        <v>#REF!</v>
      </c>
      <c r="IC437" t="e">
        <f>AND(#REF!,"AAAAAH/vX+w=")</f>
        <v>#REF!</v>
      </c>
      <c r="ID437" t="e">
        <f>AND(#REF!,"AAAAAH/vX+0=")</f>
        <v>#REF!</v>
      </c>
      <c r="IE437" t="e">
        <f>AND(#REF!,"AAAAAH/vX+4=")</f>
        <v>#REF!</v>
      </c>
      <c r="IF437" t="e">
        <f>AND(#REF!,"AAAAAH/vX+8=")</f>
        <v>#REF!</v>
      </c>
      <c r="IG437" t="e">
        <f>AND(#REF!,"AAAAAH/vX/A=")</f>
        <v>#REF!</v>
      </c>
      <c r="IH437" t="e">
        <f>AND(#REF!,"AAAAAH/vX/E=")</f>
        <v>#REF!</v>
      </c>
      <c r="II437" t="e">
        <f>AND(#REF!,"AAAAAH/vX/I=")</f>
        <v>#REF!</v>
      </c>
      <c r="IJ437" t="e">
        <f>AND(#REF!,"AAAAAH/vX/M=")</f>
        <v>#REF!</v>
      </c>
      <c r="IK437" t="e">
        <f>AND(#REF!,"AAAAAH/vX/Q=")</f>
        <v>#REF!</v>
      </c>
      <c r="IL437" t="e">
        <f>AND(#REF!,"AAAAAH/vX/U=")</f>
        <v>#REF!</v>
      </c>
      <c r="IM437" t="e">
        <f>IF(#REF!,"AAAAAH/vX/Y=",0)</f>
        <v>#REF!</v>
      </c>
      <c r="IN437" t="e">
        <f>AND(#REF!,"AAAAAH/vX/c=")</f>
        <v>#REF!</v>
      </c>
      <c r="IO437" t="e">
        <f>AND(#REF!,"AAAAAH/vX/g=")</f>
        <v>#REF!</v>
      </c>
      <c r="IP437" t="e">
        <f>AND(#REF!,"AAAAAH/vX/k=")</f>
        <v>#REF!</v>
      </c>
      <c r="IQ437" t="e">
        <f>AND(#REF!,"AAAAAH/vX/o=")</f>
        <v>#REF!</v>
      </c>
      <c r="IR437" t="e">
        <f>AND(#REF!,"AAAAAH/vX/s=")</f>
        <v>#REF!</v>
      </c>
      <c r="IS437" t="e">
        <f>AND(#REF!,"AAAAAH/vX/w=")</f>
        <v>#REF!</v>
      </c>
      <c r="IT437" t="e">
        <f>AND(#REF!,"AAAAAH/vX/0=")</f>
        <v>#REF!</v>
      </c>
      <c r="IU437" t="e">
        <f>AND(#REF!,"AAAAAH/vX/4=")</f>
        <v>#REF!</v>
      </c>
      <c r="IV437" t="e">
        <f>AND(#REF!,"AAAAAH/vX/8=")</f>
        <v>#REF!</v>
      </c>
    </row>
    <row r="438" spans="1:256" x14ac:dyDescent="0.25">
      <c r="A438" t="e">
        <f>AND(#REF!,"AAAAACe+rgA=")</f>
        <v>#REF!</v>
      </c>
      <c r="B438" t="e">
        <f>IF(#REF!,"AAAAACe+rgE=",0)</f>
        <v>#REF!</v>
      </c>
      <c r="C438" t="e">
        <f>AND(#REF!,"AAAAACe+rgI=")</f>
        <v>#REF!</v>
      </c>
      <c r="D438" t="e">
        <f>AND(#REF!,"AAAAACe+rgM=")</f>
        <v>#REF!</v>
      </c>
      <c r="E438" t="e">
        <f>AND(#REF!,"AAAAACe+rgQ=")</f>
        <v>#REF!</v>
      </c>
      <c r="F438" t="e">
        <f>AND(#REF!,"AAAAACe+rgU=")</f>
        <v>#REF!</v>
      </c>
      <c r="G438" t="e">
        <f>AND(#REF!,"AAAAACe+rgY=")</f>
        <v>#REF!</v>
      </c>
      <c r="H438" t="e">
        <f>AND(#REF!,"AAAAACe+rgc=")</f>
        <v>#REF!</v>
      </c>
      <c r="I438" t="e">
        <f>AND(#REF!,"AAAAACe+rgg=")</f>
        <v>#REF!</v>
      </c>
      <c r="J438" t="e">
        <f>AND(#REF!,"AAAAACe+rgk=")</f>
        <v>#REF!</v>
      </c>
      <c r="K438" t="e">
        <f>AND(#REF!,"AAAAACe+rgo=")</f>
        <v>#REF!</v>
      </c>
      <c r="L438" t="e">
        <f>AND(#REF!,"AAAAACe+rgs=")</f>
        <v>#REF!</v>
      </c>
      <c r="M438" t="e">
        <f>IF(#REF!,"AAAAACe+rgw=",0)</f>
        <v>#REF!</v>
      </c>
      <c r="N438" t="e">
        <f>AND(#REF!,"AAAAACe+rg0=")</f>
        <v>#REF!</v>
      </c>
      <c r="O438" t="e">
        <f>AND(#REF!,"AAAAACe+rg4=")</f>
        <v>#REF!</v>
      </c>
      <c r="P438" t="e">
        <f>AND(#REF!,"AAAAACe+rg8=")</f>
        <v>#REF!</v>
      </c>
      <c r="Q438" t="e">
        <f>AND(#REF!,"AAAAACe+rhA=")</f>
        <v>#REF!</v>
      </c>
      <c r="R438" t="e">
        <f>AND(#REF!,"AAAAACe+rhE=")</f>
        <v>#REF!</v>
      </c>
      <c r="S438" t="e">
        <f>AND(#REF!,"AAAAACe+rhI=")</f>
        <v>#REF!</v>
      </c>
      <c r="T438" t="e">
        <f>AND(#REF!,"AAAAACe+rhM=")</f>
        <v>#REF!</v>
      </c>
      <c r="U438" t="e">
        <f>AND(#REF!,"AAAAACe+rhQ=")</f>
        <v>#REF!</v>
      </c>
      <c r="V438" t="e">
        <f>AND(#REF!,"AAAAACe+rhU=")</f>
        <v>#REF!</v>
      </c>
      <c r="W438" t="e">
        <f>AND(#REF!,"AAAAACe+rhY=")</f>
        <v>#REF!</v>
      </c>
      <c r="X438" t="e">
        <f>IF(#REF!,"AAAAACe+rhc=",0)</f>
        <v>#REF!</v>
      </c>
      <c r="Y438" t="e">
        <f>AND(#REF!,"AAAAACe+rhg=")</f>
        <v>#REF!</v>
      </c>
      <c r="Z438" t="e">
        <f>AND(#REF!,"AAAAACe+rhk=")</f>
        <v>#REF!</v>
      </c>
      <c r="AA438" t="e">
        <f>AND(#REF!,"AAAAACe+rho=")</f>
        <v>#REF!</v>
      </c>
      <c r="AB438" t="e">
        <f>AND(#REF!,"AAAAACe+rhs=")</f>
        <v>#REF!</v>
      </c>
      <c r="AC438" t="e">
        <f>AND(#REF!,"AAAAACe+rhw=")</f>
        <v>#REF!</v>
      </c>
      <c r="AD438" t="e">
        <f>AND(#REF!,"AAAAACe+rh0=")</f>
        <v>#REF!</v>
      </c>
      <c r="AE438" t="e">
        <f>AND(#REF!,"AAAAACe+rh4=")</f>
        <v>#REF!</v>
      </c>
      <c r="AF438" t="e">
        <f>AND(#REF!,"AAAAACe+rh8=")</f>
        <v>#REF!</v>
      </c>
      <c r="AG438" t="e">
        <f>AND(#REF!,"AAAAACe+riA=")</f>
        <v>#REF!</v>
      </c>
      <c r="AH438" t="e">
        <f>AND(#REF!,"AAAAACe+riE=")</f>
        <v>#REF!</v>
      </c>
      <c r="AI438" t="e">
        <f>IF(#REF!,"AAAAACe+riI=",0)</f>
        <v>#REF!</v>
      </c>
      <c r="AJ438" t="e">
        <f>AND(#REF!,"AAAAACe+riM=")</f>
        <v>#REF!</v>
      </c>
      <c r="AK438" t="e">
        <f>AND(#REF!,"AAAAACe+riQ=")</f>
        <v>#REF!</v>
      </c>
      <c r="AL438" t="e">
        <f>AND(#REF!,"AAAAACe+riU=")</f>
        <v>#REF!</v>
      </c>
      <c r="AM438" t="e">
        <f>AND(#REF!,"AAAAACe+riY=")</f>
        <v>#REF!</v>
      </c>
      <c r="AN438" t="e">
        <f>AND(#REF!,"AAAAACe+ric=")</f>
        <v>#REF!</v>
      </c>
      <c r="AO438" t="e">
        <f>AND(#REF!,"AAAAACe+rig=")</f>
        <v>#REF!</v>
      </c>
      <c r="AP438" t="e">
        <f>AND(#REF!,"AAAAACe+rik=")</f>
        <v>#REF!</v>
      </c>
      <c r="AQ438" t="e">
        <f>AND(#REF!,"AAAAACe+rio=")</f>
        <v>#REF!</v>
      </c>
      <c r="AR438" t="e">
        <f>AND(#REF!,"AAAAACe+ris=")</f>
        <v>#REF!</v>
      </c>
      <c r="AS438" t="e">
        <f>AND(#REF!,"AAAAACe+riw=")</f>
        <v>#REF!</v>
      </c>
      <c r="AT438" t="e">
        <f>IF(#REF!,"AAAAACe+ri0=",0)</f>
        <v>#REF!</v>
      </c>
      <c r="AU438" t="e">
        <f>AND(#REF!,"AAAAACe+ri4=")</f>
        <v>#REF!</v>
      </c>
      <c r="AV438" t="e">
        <f>AND(#REF!,"AAAAACe+ri8=")</f>
        <v>#REF!</v>
      </c>
      <c r="AW438" t="e">
        <f>AND(#REF!,"AAAAACe+rjA=")</f>
        <v>#REF!</v>
      </c>
      <c r="AX438" t="e">
        <f>AND(#REF!,"AAAAACe+rjE=")</f>
        <v>#REF!</v>
      </c>
      <c r="AY438" t="e">
        <f>AND(#REF!,"AAAAACe+rjI=")</f>
        <v>#REF!</v>
      </c>
      <c r="AZ438" t="e">
        <f>AND(#REF!,"AAAAACe+rjM=")</f>
        <v>#REF!</v>
      </c>
      <c r="BA438" t="e">
        <f>AND(#REF!,"AAAAACe+rjQ=")</f>
        <v>#REF!</v>
      </c>
      <c r="BB438" t="e">
        <f>AND(#REF!,"AAAAACe+rjU=")</f>
        <v>#REF!</v>
      </c>
      <c r="BC438" t="e">
        <f>AND(#REF!,"AAAAACe+rjY=")</f>
        <v>#REF!</v>
      </c>
      <c r="BD438" t="e">
        <f>AND(#REF!,"AAAAACe+rjc=")</f>
        <v>#REF!</v>
      </c>
      <c r="BE438" t="e">
        <f>IF(#REF!,"AAAAACe+rjg=",0)</f>
        <v>#REF!</v>
      </c>
      <c r="BF438" t="e">
        <f>AND(#REF!,"AAAAACe+rjk=")</f>
        <v>#REF!</v>
      </c>
      <c r="BG438" t="e">
        <f>AND(#REF!,"AAAAACe+rjo=")</f>
        <v>#REF!</v>
      </c>
      <c r="BH438" t="e">
        <f>AND(#REF!,"AAAAACe+rjs=")</f>
        <v>#REF!</v>
      </c>
      <c r="BI438" t="e">
        <f>AND(#REF!,"AAAAACe+rjw=")</f>
        <v>#REF!</v>
      </c>
      <c r="BJ438" t="e">
        <f>AND(#REF!,"AAAAACe+rj0=")</f>
        <v>#REF!</v>
      </c>
      <c r="BK438" t="e">
        <f>AND(#REF!,"AAAAACe+rj4=")</f>
        <v>#REF!</v>
      </c>
      <c r="BL438" t="e">
        <f>AND(#REF!,"AAAAACe+rj8=")</f>
        <v>#REF!</v>
      </c>
      <c r="BM438" t="e">
        <f>AND(#REF!,"AAAAACe+rkA=")</f>
        <v>#REF!</v>
      </c>
      <c r="BN438" t="e">
        <f>AND(#REF!,"AAAAACe+rkE=")</f>
        <v>#REF!</v>
      </c>
      <c r="BO438" t="e">
        <f>AND(#REF!,"AAAAACe+rkI=")</f>
        <v>#REF!</v>
      </c>
      <c r="BP438" t="e">
        <f>IF(#REF!,"AAAAACe+rkM=",0)</f>
        <v>#REF!</v>
      </c>
      <c r="BQ438" t="e">
        <f>AND(#REF!,"AAAAACe+rkQ=")</f>
        <v>#REF!</v>
      </c>
      <c r="BR438" t="e">
        <f>AND(#REF!,"AAAAACe+rkU=")</f>
        <v>#REF!</v>
      </c>
      <c r="BS438" t="e">
        <f>AND(#REF!,"AAAAACe+rkY=")</f>
        <v>#REF!</v>
      </c>
      <c r="BT438" t="e">
        <f>AND(#REF!,"AAAAACe+rkc=")</f>
        <v>#REF!</v>
      </c>
      <c r="BU438" t="e">
        <f>AND(#REF!,"AAAAACe+rkg=")</f>
        <v>#REF!</v>
      </c>
      <c r="BV438" t="e">
        <f>AND(#REF!,"AAAAACe+rkk=")</f>
        <v>#REF!</v>
      </c>
      <c r="BW438" t="e">
        <f>AND(#REF!,"AAAAACe+rko=")</f>
        <v>#REF!</v>
      </c>
      <c r="BX438" t="e">
        <f>AND(#REF!,"AAAAACe+rks=")</f>
        <v>#REF!</v>
      </c>
      <c r="BY438" t="e">
        <f>AND(#REF!,"AAAAACe+rkw=")</f>
        <v>#REF!</v>
      </c>
      <c r="BZ438" t="e">
        <f>AND(#REF!,"AAAAACe+rk0=")</f>
        <v>#REF!</v>
      </c>
      <c r="CA438" t="e">
        <f>IF(#REF!,"AAAAACe+rk4=",0)</f>
        <v>#REF!</v>
      </c>
      <c r="CB438" t="e">
        <f>AND(#REF!,"AAAAACe+rk8=")</f>
        <v>#REF!</v>
      </c>
      <c r="CC438" t="e">
        <f>AND(#REF!,"AAAAACe+rlA=")</f>
        <v>#REF!</v>
      </c>
      <c r="CD438" t="e">
        <f>AND(#REF!,"AAAAACe+rlE=")</f>
        <v>#REF!</v>
      </c>
      <c r="CE438" t="e">
        <f>AND(#REF!,"AAAAACe+rlI=")</f>
        <v>#REF!</v>
      </c>
      <c r="CF438" t="e">
        <f>AND(#REF!,"AAAAACe+rlM=")</f>
        <v>#REF!</v>
      </c>
      <c r="CG438" t="e">
        <f>AND(#REF!,"AAAAACe+rlQ=")</f>
        <v>#REF!</v>
      </c>
      <c r="CH438" t="e">
        <f>AND(#REF!,"AAAAACe+rlU=")</f>
        <v>#REF!</v>
      </c>
      <c r="CI438" t="e">
        <f>AND(#REF!,"AAAAACe+rlY=")</f>
        <v>#REF!</v>
      </c>
      <c r="CJ438" t="e">
        <f>AND(#REF!,"AAAAACe+rlc=")</f>
        <v>#REF!</v>
      </c>
      <c r="CK438" t="e">
        <f>AND(#REF!,"AAAAACe+rlg=")</f>
        <v>#REF!</v>
      </c>
      <c r="CL438" t="e">
        <f>IF(#REF!,"AAAAACe+rlk=",0)</f>
        <v>#REF!</v>
      </c>
      <c r="CM438" t="e">
        <f>AND(#REF!,"AAAAACe+rlo=")</f>
        <v>#REF!</v>
      </c>
      <c r="CN438" t="e">
        <f>AND(#REF!,"AAAAACe+rls=")</f>
        <v>#REF!</v>
      </c>
      <c r="CO438" t="e">
        <f>AND(#REF!,"AAAAACe+rlw=")</f>
        <v>#REF!</v>
      </c>
      <c r="CP438" t="e">
        <f>AND(#REF!,"AAAAACe+rl0=")</f>
        <v>#REF!</v>
      </c>
      <c r="CQ438" t="e">
        <f>AND(#REF!,"AAAAACe+rl4=")</f>
        <v>#REF!</v>
      </c>
      <c r="CR438" t="e">
        <f>AND(#REF!,"AAAAACe+rl8=")</f>
        <v>#REF!</v>
      </c>
      <c r="CS438" t="e">
        <f>AND(#REF!,"AAAAACe+rmA=")</f>
        <v>#REF!</v>
      </c>
      <c r="CT438" t="e">
        <f>AND(#REF!,"AAAAACe+rmE=")</f>
        <v>#REF!</v>
      </c>
      <c r="CU438" t="e">
        <f>AND(#REF!,"AAAAACe+rmI=")</f>
        <v>#REF!</v>
      </c>
      <c r="CV438" t="e">
        <f>AND(#REF!,"AAAAACe+rmM=")</f>
        <v>#REF!</v>
      </c>
      <c r="CW438" t="e">
        <f>IF(#REF!,"AAAAACe+rmQ=",0)</f>
        <v>#REF!</v>
      </c>
      <c r="CX438" t="e">
        <f>AND(#REF!,"AAAAACe+rmU=")</f>
        <v>#REF!</v>
      </c>
      <c r="CY438" t="e">
        <f>AND(#REF!,"AAAAACe+rmY=")</f>
        <v>#REF!</v>
      </c>
      <c r="CZ438" t="e">
        <f>AND(#REF!,"AAAAACe+rmc=")</f>
        <v>#REF!</v>
      </c>
      <c r="DA438" t="e">
        <f>AND(#REF!,"AAAAACe+rmg=")</f>
        <v>#REF!</v>
      </c>
      <c r="DB438" t="e">
        <f>AND(#REF!,"AAAAACe+rmk=")</f>
        <v>#REF!</v>
      </c>
      <c r="DC438" t="e">
        <f>AND(#REF!,"AAAAACe+rmo=")</f>
        <v>#REF!</v>
      </c>
      <c r="DD438" t="e">
        <f>AND(#REF!,"AAAAACe+rms=")</f>
        <v>#REF!</v>
      </c>
      <c r="DE438" t="e">
        <f>AND(#REF!,"AAAAACe+rmw=")</f>
        <v>#REF!</v>
      </c>
      <c r="DF438" t="e">
        <f>AND(#REF!,"AAAAACe+rm0=")</f>
        <v>#REF!</v>
      </c>
      <c r="DG438" t="e">
        <f>AND(#REF!,"AAAAACe+rm4=")</f>
        <v>#REF!</v>
      </c>
      <c r="DH438" t="e">
        <f>IF(#REF!,"AAAAACe+rm8=",0)</f>
        <v>#REF!</v>
      </c>
      <c r="DI438" t="e">
        <f>AND(#REF!,"AAAAACe+rnA=")</f>
        <v>#REF!</v>
      </c>
      <c r="DJ438" t="e">
        <f>AND(#REF!,"AAAAACe+rnE=")</f>
        <v>#REF!</v>
      </c>
      <c r="DK438" t="e">
        <f>AND(#REF!,"AAAAACe+rnI=")</f>
        <v>#REF!</v>
      </c>
      <c r="DL438" t="e">
        <f>AND(#REF!,"AAAAACe+rnM=")</f>
        <v>#REF!</v>
      </c>
      <c r="DM438" t="e">
        <f>AND(#REF!,"AAAAACe+rnQ=")</f>
        <v>#REF!</v>
      </c>
      <c r="DN438" t="e">
        <f>AND(#REF!,"AAAAACe+rnU=")</f>
        <v>#REF!</v>
      </c>
      <c r="DO438" t="e">
        <f>AND(#REF!,"AAAAACe+rnY=")</f>
        <v>#REF!</v>
      </c>
      <c r="DP438" t="e">
        <f>AND(#REF!,"AAAAACe+rnc=")</f>
        <v>#REF!</v>
      </c>
      <c r="DQ438" t="e">
        <f>AND(#REF!,"AAAAACe+rng=")</f>
        <v>#REF!</v>
      </c>
      <c r="DR438" t="e">
        <f>AND(#REF!,"AAAAACe+rnk=")</f>
        <v>#REF!</v>
      </c>
      <c r="DS438" t="e">
        <f>IF(#REF!,"AAAAACe+rno=",0)</f>
        <v>#REF!</v>
      </c>
      <c r="DT438" t="e">
        <f>AND(#REF!,"AAAAACe+rns=")</f>
        <v>#REF!</v>
      </c>
      <c r="DU438" t="e">
        <f>AND(#REF!,"AAAAACe+rnw=")</f>
        <v>#REF!</v>
      </c>
      <c r="DV438" t="e">
        <f>AND(#REF!,"AAAAACe+rn0=")</f>
        <v>#REF!</v>
      </c>
      <c r="DW438" t="e">
        <f>AND(#REF!,"AAAAACe+rn4=")</f>
        <v>#REF!</v>
      </c>
      <c r="DX438" t="e">
        <f>AND(#REF!,"AAAAACe+rn8=")</f>
        <v>#REF!</v>
      </c>
      <c r="DY438" t="e">
        <f>AND(#REF!,"AAAAACe+roA=")</f>
        <v>#REF!</v>
      </c>
      <c r="DZ438" t="e">
        <f>AND(#REF!,"AAAAACe+roE=")</f>
        <v>#REF!</v>
      </c>
      <c r="EA438" t="e">
        <f>AND(#REF!,"AAAAACe+roI=")</f>
        <v>#REF!</v>
      </c>
      <c r="EB438" t="e">
        <f>AND(#REF!,"AAAAACe+roM=")</f>
        <v>#REF!</v>
      </c>
      <c r="EC438" t="e">
        <f>AND(#REF!,"AAAAACe+roQ=")</f>
        <v>#REF!</v>
      </c>
      <c r="ED438" t="e">
        <f>IF(#REF!,"AAAAACe+roU=",0)</f>
        <v>#REF!</v>
      </c>
      <c r="EE438" t="e">
        <f>AND(#REF!,"AAAAACe+roY=")</f>
        <v>#REF!</v>
      </c>
      <c r="EF438" t="e">
        <f>AND(#REF!,"AAAAACe+roc=")</f>
        <v>#REF!</v>
      </c>
      <c r="EG438" t="e">
        <f>AND(#REF!,"AAAAACe+rog=")</f>
        <v>#REF!</v>
      </c>
      <c r="EH438" t="e">
        <f>AND(#REF!,"AAAAACe+rok=")</f>
        <v>#REF!</v>
      </c>
      <c r="EI438" t="e">
        <f>AND(#REF!,"AAAAACe+roo=")</f>
        <v>#REF!</v>
      </c>
      <c r="EJ438" t="e">
        <f>AND(#REF!,"AAAAACe+ros=")</f>
        <v>#REF!</v>
      </c>
      <c r="EK438" t="e">
        <f>AND(#REF!,"AAAAACe+row=")</f>
        <v>#REF!</v>
      </c>
      <c r="EL438" t="e">
        <f>AND(#REF!,"AAAAACe+ro0=")</f>
        <v>#REF!</v>
      </c>
      <c r="EM438" t="e">
        <f>AND(#REF!,"AAAAACe+ro4=")</f>
        <v>#REF!</v>
      </c>
      <c r="EN438" t="e">
        <f>AND(#REF!,"AAAAACe+ro8=")</f>
        <v>#REF!</v>
      </c>
      <c r="EO438" t="e">
        <f>IF(#REF!,"AAAAACe+rpA=",0)</f>
        <v>#REF!</v>
      </c>
      <c r="EP438" t="e">
        <f>AND(#REF!,"AAAAACe+rpE=")</f>
        <v>#REF!</v>
      </c>
      <c r="EQ438" t="e">
        <f>AND(#REF!,"AAAAACe+rpI=")</f>
        <v>#REF!</v>
      </c>
      <c r="ER438" t="e">
        <f>AND(#REF!,"AAAAACe+rpM=")</f>
        <v>#REF!</v>
      </c>
      <c r="ES438" t="e">
        <f>AND(#REF!,"AAAAACe+rpQ=")</f>
        <v>#REF!</v>
      </c>
      <c r="ET438" t="e">
        <f>AND(#REF!,"AAAAACe+rpU=")</f>
        <v>#REF!</v>
      </c>
      <c r="EU438" t="e">
        <f>AND(#REF!,"AAAAACe+rpY=")</f>
        <v>#REF!</v>
      </c>
      <c r="EV438" t="e">
        <f>AND(#REF!,"AAAAACe+rpc=")</f>
        <v>#REF!</v>
      </c>
      <c r="EW438" t="e">
        <f>AND(#REF!,"AAAAACe+rpg=")</f>
        <v>#REF!</v>
      </c>
      <c r="EX438" t="e">
        <f>AND(#REF!,"AAAAACe+rpk=")</f>
        <v>#REF!</v>
      </c>
      <c r="EY438" t="e">
        <f>AND(#REF!,"AAAAACe+rpo=")</f>
        <v>#REF!</v>
      </c>
      <c r="EZ438" t="e">
        <f>IF(#REF!,"AAAAACe+rps=",0)</f>
        <v>#REF!</v>
      </c>
      <c r="FA438" t="e">
        <f>AND(#REF!,"AAAAACe+rpw=")</f>
        <v>#REF!</v>
      </c>
      <c r="FB438" t="e">
        <f>AND(#REF!,"AAAAACe+rp0=")</f>
        <v>#REF!</v>
      </c>
      <c r="FC438" t="e">
        <f>AND(#REF!,"AAAAACe+rp4=")</f>
        <v>#REF!</v>
      </c>
      <c r="FD438" t="e">
        <f>AND(#REF!,"AAAAACe+rp8=")</f>
        <v>#REF!</v>
      </c>
      <c r="FE438" t="e">
        <f>AND(#REF!,"AAAAACe+rqA=")</f>
        <v>#REF!</v>
      </c>
      <c r="FF438" t="e">
        <f>AND(#REF!,"AAAAACe+rqE=")</f>
        <v>#REF!</v>
      </c>
      <c r="FG438" t="e">
        <f>AND(#REF!,"AAAAACe+rqI=")</f>
        <v>#REF!</v>
      </c>
      <c r="FH438" t="e">
        <f>AND(#REF!,"AAAAACe+rqM=")</f>
        <v>#REF!</v>
      </c>
      <c r="FI438" t="e">
        <f>AND(#REF!,"AAAAACe+rqQ=")</f>
        <v>#REF!</v>
      </c>
      <c r="FJ438" t="e">
        <f>AND(#REF!,"AAAAACe+rqU=")</f>
        <v>#REF!</v>
      </c>
      <c r="FK438" t="e">
        <f>IF(#REF!,"AAAAACe+rqY=",0)</f>
        <v>#REF!</v>
      </c>
      <c r="FL438" t="e">
        <f>AND(#REF!,"AAAAACe+rqc=")</f>
        <v>#REF!</v>
      </c>
      <c r="FM438" t="e">
        <f>AND(#REF!,"AAAAACe+rqg=")</f>
        <v>#REF!</v>
      </c>
      <c r="FN438" t="e">
        <f>AND(#REF!,"AAAAACe+rqk=")</f>
        <v>#REF!</v>
      </c>
      <c r="FO438" t="e">
        <f>AND(#REF!,"AAAAACe+rqo=")</f>
        <v>#REF!</v>
      </c>
      <c r="FP438" t="e">
        <f>AND(#REF!,"AAAAACe+rqs=")</f>
        <v>#REF!</v>
      </c>
      <c r="FQ438" t="e">
        <f>AND(#REF!,"AAAAACe+rqw=")</f>
        <v>#REF!</v>
      </c>
      <c r="FR438" t="e">
        <f>AND(#REF!,"AAAAACe+rq0=")</f>
        <v>#REF!</v>
      </c>
      <c r="FS438" t="e">
        <f>AND(#REF!,"AAAAACe+rq4=")</f>
        <v>#REF!</v>
      </c>
      <c r="FT438" t="e">
        <f>AND(#REF!,"AAAAACe+rq8=")</f>
        <v>#REF!</v>
      </c>
      <c r="FU438" t="e">
        <f>AND(#REF!,"AAAAACe+rrA=")</f>
        <v>#REF!</v>
      </c>
      <c r="FV438" t="e">
        <f>IF(#REF!,"AAAAACe+rrE=",0)</f>
        <v>#REF!</v>
      </c>
      <c r="FW438" t="e">
        <f>AND(#REF!,"AAAAACe+rrI=")</f>
        <v>#REF!</v>
      </c>
      <c r="FX438" t="e">
        <f>AND(#REF!,"AAAAACe+rrM=")</f>
        <v>#REF!</v>
      </c>
      <c r="FY438" t="e">
        <f>AND(#REF!,"AAAAACe+rrQ=")</f>
        <v>#REF!</v>
      </c>
      <c r="FZ438" t="e">
        <f>AND(#REF!,"AAAAACe+rrU=")</f>
        <v>#REF!</v>
      </c>
      <c r="GA438" t="e">
        <f>AND(#REF!,"AAAAACe+rrY=")</f>
        <v>#REF!</v>
      </c>
      <c r="GB438" t="e">
        <f>AND(#REF!,"AAAAACe+rrc=")</f>
        <v>#REF!</v>
      </c>
      <c r="GC438" t="e">
        <f>AND(#REF!,"AAAAACe+rrg=")</f>
        <v>#REF!</v>
      </c>
      <c r="GD438" t="e">
        <f>AND(#REF!,"AAAAACe+rrk=")</f>
        <v>#REF!</v>
      </c>
      <c r="GE438" t="e">
        <f>AND(#REF!,"AAAAACe+rro=")</f>
        <v>#REF!</v>
      </c>
      <c r="GF438" t="e">
        <f>AND(#REF!,"AAAAACe+rrs=")</f>
        <v>#REF!</v>
      </c>
      <c r="GG438" t="e">
        <f>IF(#REF!,"AAAAACe+rrw=",0)</f>
        <v>#REF!</v>
      </c>
      <c r="GH438" t="e">
        <f>AND(#REF!,"AAAAACe+rr0=")</f>
        <v>#REF!</v>
      </c>
      <c r="GI438" t="e">
        <f>AND(#REF!,"AAAAACe+rr4=")</f>
        <v>#REF!</v>
      </c>
      <c r="GJ438" t="e">
        <f>AND(#REF!,"AAAAACe+rr8=")</f>
        <v>#REF!</v>
      </c>
      <c r="GK438" t="e">
        <f>AND(#REF!,"AAAAACe+rsA=")</f>
        <v>#REF!</v>
      </c>
      <c r="GL438" t="e">
        <f>AND(#REF!,"AAAAACe+rsE=")</f>
        <v>#REF!</v>
      </c>
      <c r="GM438" t="e">
        <f>AND(#REF!,"AAAAACe+rsI=")</f>
        <v>#REF!</v>
      </c>
      <c r="GN438" t="e">
        <f>AND(#REF!,"AAAAACe+rsM=")</f>
        <v>#REF!</v>
      </c>
      <c r="GO438" t="e">
        <f>AND(#REF!,"AAAAACe+rsQ=")</f>
        <v>#REF!</v>
      </c>
      <c r="GP438" t="e">
        <f>AND(#REF!,"AAAAACe+rsU=")</f>
        <v>#REF!</v>
      </c>
      <c r="GQ438" t="e">
        <f>AND(#REF!,"AAAAACe+rsY=")</f>
        <v>#REF!</v>
      </c>
      <c r="GR438" t="e">
        <f>IF(#REF!,"AAAAACe+rsc=",0)</f>
        <v>#REF!</v>
      </c>
      <c r="GS438" t="e">
        <f>AND(#REF!,"AAAAACe+rsg=")</f>
        <v>#REF!</v>
      </c>
      <c r="GT438" t="e">
        <f>AND(#REF!,"AAAAACe+rsk=")</f>
        <v>#REF!</v>
      </c>
      <c r="GU438" t="e">
        <f>AND(#REF!,"AAAAACe+rso=")</f>
        <v>#REF!</v>
      </c>
      <c r="GV438" t="e">
        <f>AND(#REF!,"AAAAACe+rss=")</f>
        <v>#REF!</v>
      </c>
      <c r="GW438" t="e">
        <f>AND(#REF!,"AAAAACe+rsw=")</f>
        <v>#REF!</v>
      </c>
      <c r="GX438" t="e">
        <f>AND(#REF!,"AAAAACe+rs0=")</f>
        <v>#REF!</v>
      </c>
      <c r="GY438" t="e">
        <f>AND(#REF!,"AAAAACe+rs4=")</f>
        <v>#REF!</v>
      </c>
      <c r="GZ438" t="e">
        <f>AND(#REF!,"AAAAACe+rs8=")</f>
        <v>#REF!</v>
      </c>
      <c r="HA438" t="e">
        <f>AND(#REF!,"AAAAACe+rtA=")</f>
        <v>#REF!</v>
      </c>
      <c r="HB438" t="e">
        <f>AND(#REF!,"AAAAACe+rtE=")</f>
        <v>#REF!</v>
      </c>
      <c r="HC438" t="e">
        <f>IF(#REF!,"AAAAACe+rtI=",0)</f>
        <v>#REF!</v>
      </c>
      <c r="HD438" t="e">
        <f>AND(#REF!,"AAAAACe+rtM=")</f>
        <v>#REF!</v>
      </c>
      <c r="HE438" t="e">
        <f>AND(#REF!,"AAAAACe+rtQ=")</f>
        <v>#REF!</v>
      </c>
      <c r="HF438" t="e">
        <f>AND(#REF!,"AAAAACe+rtU=")</f>
        <v>#REF!</v>
      </c>
      <c r="HG438" t="e">
        <f>AND(#REF!,"AAAAACe+rtY=")</f>
        <v>#REF!</v>
      </c>
      <c r="HH438" t="e">
        <f>AND(#REF!,"AAAAACe+rtc=")</f>
        <v>#REF!</v>
      </c>
      <c r="HI438" t="e">
        <f>AND(#REF!,"AAAAACe+rtg=")</f>
        <v>#REF!</v>
      </c>
      <c r="HJ438" t="e">
        <f>AND(#REF!,"AAAAACe+rtk=")</f>
        <v>#REF!</v>
      </c>
      <c r="HK438" t="e">
        <f>AND(#REF!,"AAAAACe+rto=")</f>
        <v>#REF!</v>
      </c>
      <c r="HL438" t="e">
        <f>AND(#REF!,"AAAAACe+rts=")</f>
        <v>#REF!</v>
      </c>
      <c r="HM438" t="e">
        <f>AND(#REF!,"AAAAACe+rtw=")</f>
        <v>#REF!</v>
      </c>
      <c r="HN438" t="e">
        <f>IF(#REF!,"AAAAACe+rt0=",0)</f>
        <v>#REF!</v>
      </c>
      <c r="HO438" t="e">
        <f>AND(#REF!,"AAAAACe+rt4=")</f>
        <v>#REF!</v>
      </c>
      <c r="HP438" t="e">
        <f>AND(#REF!,"AAAAACe+rt8=")</f>
        <v>#REF!</v>
      </c>
      <c r="HQ438" t="e">
        <f>AND(#REF!,"AAAAACe+ruA=")</f>
        <v>#REF!</v>
      </c>
      <c r="HR438" t="e">
        <f>AND(#REF!,"AAAAACe+ruE=")</f>
        <v>#REF!</v>
      </c>
      <c r="HS438" t="e">
        <f>AND(#REF!,"AAAAACe+ruI=")</f>
        <v>#REF!</v>
      </c>
      <c r="HT438" t="e">
        <f>AND(#REF!,"AAAAACe+ruM=")</f>
        <v>#REF!</v>
      </c>
      <c r="HU438" t="e">
        <f>AND(#REF!,"AAAAACe+ruQ=")</f>
        <v>#REF!</v>
      </c>
      <c r="HV438" t="e">
        <f>AND(#REF!,"AAAAACe+ruU=")</f>
        <v>#REF!</v>
      </c>
      <c r="HW438" t="e">
        <f>AND(#REF!,"AAAAACe+ruY=")</f>
        <v>#REF!</v>
      </c>
      <c r="HX438" t="e">
        <f>AND(#REF!,"AAAAACe+ruc=")</f>
        <v>#REF!</v>
      </c>
      <c r="HY438" t="e">
        <f>IF(#REF!,"AAAAACe+rug=",0)</f>
        <v>#REF!</v>
      </c>
      <c r="HZ438" t="e">
        <f>AND(#REF!,"AAAAACe+ruk=")</f>
        <v>#REF!</v>
      </c>
      <c r="IA438" t="e">
        <f>AND(#REF!,"AAAAACe+ruo=")</f>
        <v>#REF!</v>
      </c>
      <c r="IB438" t="e">
        <f>AND(#REF!,"AAAAACe+rus=")</f>
        <v>#REF!</v>
      </c>
      <c r="IC438" t="e">
        <f>AND(#REF!,"AAAAACe+ruw=")</f>
        <v>#REF!</v>
      </c>
      <c r="ID438" t="e">
        <f>AND(#REF!,"AAAAACe+ru0=")</f>
        <v>#REF!</v>
      </c>
      <c r="IE438" t="e">
        <f>AND(#REF!,"AAAAACe+ru4=")</f>
        <v>#REF!</v>
      </c>
      <c r="IF438" t="e">
        <f>AND(#REF!,"AAAAACe+ru8=")</f>
        <v>#REF!</v>
      </c>
      <c r="IG438" t="e">
        <f>AND(#REF!,"AAAAACe+rvA=")</f>
        <v>#REF!</v>
      </c>
      <c r="IH438" t="e">
        <f>AND(#REF!,"AAAAACe+rvE=")</f>
        <v>#REF!</v>
      </c>
      <c r="II438" t="e">
        <f>AND(#REF!,"AAAAACe+rvI=")</f>
        <v>#REF!</v>
      </c>
      <c r="IJ438" t="e">
        <f>IF(#REF!,"AAAAACe+rvM=",0)</f>
        <v>#REF!</v>
      </c>
      <c r="IK438" t="e">
        <f>AND(#REF!,"AAAAACe+rvQ=")</f>
        <v>#REF!</v>
      </c>
      <c r="IL438" t="e">
        <f>AND(#REF!,"AAAAACe+rvU=")</f>
        <v>#REF!</v>
      </c>
      <c r="IM438" t="e">
        <f>AND(#REF!,"AAAAACe+rvY=")</f>
        <v>#REF!</v>
      </c>
      <c r="IN438" t="e">
        <f>AND(#REF!,"AAAAACe+rvc=")</f>
        <v>#REF!</v>
      </c>
      <c r="IO438" t="e">
        <f>AND(#REF!,"AAAAACe+rvg=")</f>
        <v>#REF!</v>
      </c>
      <c r="IP438" t="e">
        <f>AND(#REF!,"AAAAACe+rvk=")</f>
        <v>#REF!</v>
      </c>
      <c r="IQ438" t="e">
        <f>AND(#REF!,"AAAAACe+rvo=")</f>
        <v>#REF!</v>
      </c>
      <c r="IR438" t="e">
        <f>AND(#REF!,"AAAAACe+rvs=")</f>
        <v>#REF!</v>
      </c>
      <c r="IS438" t="e">
        <f>AND(#REF!,"AAAAACe+rvw=")</f>
        <v>#REF!</v>
      </c>
      <c r="IT438" t="e">
        <f>AND(#REF!,"AAAAACe+rv0=")</f>
        <v>#REF!</v>
      </c>
      <c r="IU438" t="e">
        <f>IF(#REF!,"AAAAACe+rv4=",0)</f>
        <v>#REF!</v>
      </c>
      <c r="IV438" t="e">
        <f>AND(#REF!,"AAAAACe+rv8=")</f>
        <v>#REF!</v>
      </c>
    </row>
    <row r="439" spans="1:256" x14ac:dyDescent="0.25">
      <c r="A439" t="e">
        <f>AND(#REF!,"AAAAAHd/XwA=")</f>
        <v>#REF!</v>
      </c>
      <c r="B439" t="e">
        <f>AND(#REF!,"AAAAAHd/XwE=")</f>
        <v>#REF!</v>
      </c>
      <c r="C439" t="e">
        <f>AND(#REF!,"AAAAAHd/XwI=")</f>
        <v>#REF!</v>
      </c>
      <c r="D439" t="e">
        <f>AND(#REF!,"AAAAAHd/XwM=")</f>
        <v>#REF!</v>
      </c>
      <c r="E439" t="e">
        <f>AND(#REF!,"AAAAAHd/XwQ=")</f>
        <v>#REF!</v>
      </c>
      <c r="F439" t="e">
        <f>AND(#REF!,"AAAAAHd/XwU=")</f>
        <v>#REF!</v>
      </c>
      <c r="G439" t="e">
        <f>AND(#REF!,"AAAAAHd/XwY=")</f>
        <v>#REF!</v>
      </c>
      <c r="H439" t="e">
        <f>AND(#REF!,"AAAAAHd/Xwc=")</f>
        <v>#REF!</v>
      </c>
      <c r="I439" t="e">
        <f>AND(#REF!,"AAAAAHd/Xwg=")</f>
        <v>#REF!</v>
      </c>
      <c r="J439" t="e">
        <f>IF(#REF!,"AAAAAHd/Xwk=",0)</f>
        <v>#REF!</v>
      </c>
      <c r="K439" t="e">
        <f>AND(#REF!,"AAAAAHd/Xwo=")</f>
        <v>#REF!</v>
      </c>
      <c r="L439" t="e">
        <f>AND(#REF!,"AAAAAHd/Xws=")</f>
        <v>#REF!</v>
      </c>
      <c r="M439" t="e">
        <f>AND(#REF!,"AAAAAHd/Xww=")</f>
        <v>#REF!</v>
      </c>
      <c r="N439" t="e">
        <f>AND(#REF!,"AAAAAHd/Xw0=")</f>
        <v>#REF!</v>
      </c>
      <c r="O439" t="e">
        <f>AND(#REF!,"AAAAAHd/Xw4=")</f>
        <v>#REF!</v>
      </c>
      <c r="P439" t="e">
        <f>AND(#REF!,"AAAAAHd/Xw8=")</f>
        <v>#REF!</v>
      </c>
      <c r="Q439" t="e">
        <f>AND(#REF!,"AAAAAHd/XxA=")</f>
        <v>#REF!</v>
      </c>
      <c r="R439" t="e">
        <f>AND(#REF!,"AAAAAHd/XxE=")</f>
        <v>#REF!</v>
      </c>
      <c r="S439" t="e">
        <f>AND(#REF!,"AAAAAHd/XxI=")</f>
        <v>#REF!</v>
      </c>
      <c r="T439" t="e">
        <f>AND(#REF!,"AAAAAHd/XxM=")</f>
        <v>#REF!</v>
      </c>
      <c r="U439" t="e">
        <f>IF(#REF!,"AAAAAHd/XxQ=",0)</f>
        <v>#REF!</v>
      </c>
      <c r="V439" t="e">
        <f>AND(#REF!,"AAAAAHd/XxU=")</f>
        <v>#REF!</v>
      </c>
      <c r="W439" t="e">
        <f>AND(#REF!,"AAAAAHd/XxY=")</f>
        <v>#REF!</v>
      </c>
      <c r="X439" t="e">
        <f>AND(#REF!,"AAAAAHd/Xxc=")</f>
        <v>#REF!</v>
      </c>
      <c r="Y439" t="e">
        <f>AND(#REF!,"AAAAAHd/Xxg=")</f>
        <v>#REF!</v>
      </c>
      <c r="Z439" t="e">
        <f>AND(#REF!,"AAAAAHd/Xxk=")</f>
        <v>#REF!</v>
      </c>
      <c r="AA439" t="e">
        <f>AND(#REF!,"AAAAAHd/Xxo=")</f>
        <v>#REF!</v>
      </c>
      <c r="AB439" t="e">
        <f>AND(#REF!,"AAAAAHd/Xxs=")</f>
        <v>#REF!</v>
      </c>
      <c r="AC439" t="e">
        <f>AND(#REF!,"AAAAAHd/Xxw=")</f>
        <v>#REF!</v>
      </c>
      <c r="AD439" t="e">
        <f>AND(#REF!,"AAAAAHd/Xx0=")</f>
        <v>#REF!</v>
      </c>
      <c r="AE439" t="e">
        <f>AND(#REF!,"AAAAAHd/Xx4=")</f>
        <v>#REF!</v>
      </c>
      <c r="AF439" t="e">
        <f>IF(#REF!,"AAAAAHd/Xx8=",0)</f>
        <v>#REF!</v>
      </c>
      <c r="AG439" t="e">
        <f>AND(#REF!,"AAAAAHd/XyA=")</f>
        <v>#REF!</v>
      </c>
      <c r="AH439" t="e">
        <f>AND(#REF!,"AAAAAHd/XyE=")</f>
        <v>#REF!</v>
      </c>
      <c r="AI439" t="e">
        <f>AND(#REF!,"AAAAAHd/XyI=")</f>
        <v>#REF!</v>
      </c>
      <c r="AJ439" t="e">
        <f>AND(#REF!,"AAAAAHd/XyM=")</f>
        <v>#REF!</v>
      </c>
      <c r="AK439" t="e">
        <f>AND(#REF!,"AAAAAHd/XyQ=")</f>
        <v>#REF!</v>
      </c>
      <c r="AL439" t="e">
        <f>AND(#REF!,"AAAAAHd/XyU=")</f>
        <v>#REF!</v>
      </c>
      <c r="AM439" t="e">
        <f>AND(#REF!,"AAAAAHd/XyY=")</f>
        <v>#REF!</v>
      </c>
      <c r="AN439" t="e">
        <f>AND(#REF!,"AAAAAHd/Xyc=")</f>
        <v>#REF!</v>
      </c>
      <c r="AO439" t="e">
        <f>AND(#REF!,"AAAAAHd/Xyg=")</f>
        <v>#REF!</v>
      </c>
      <c r="AP439" t="e">
        <f>AND(#REF!,"AAAAAHd/Xyk=")</f>
        <v>#REF!</v>
      </c>
      <c r="AQ439" t="e">
        <f>IF(#REF!,"AAAAAHd/Xyo=",0)</f>
        <v>#REF!</v>
      </c>
      <c r="AR439" t="e">
        <f>AND(#REF!,"AAAAAHd/Xys=")</f>
        <v>#REF!</v>
      </c>
      <c r="AS439" t="e">
        <f>AND(#REF!,"AAAAAHd/Xyw=")</f>
        <v>#REF!</v>
      </c>
      <c r="AT439" t="e">
        <f>AND(#REF!,"AAAAAHd/Xy0=")</f>
        <v>#REF!</v>
      </c>
      <c r="AU439" t="e">
        <f>AND(#REF!,"AAAAAHd/Xy4=")</f>
        <v>#REF!</v>
      </c>
      <c r="AV439" t="e">
        <f>AND(#REF!,"AAAAAHd/Xy8=")</f>
        <v>#REF!</v>
      </c>
      <c r="AW439" t="e">
        <f>AND(#REF!,"AAAAAHd/XzA=")</f>
        <v>#REF!</v>
      </c>
      <c r="AX439" t="e">
        <f>AND(#REF!,"AAAAAHd/XzE=")</f>
        <v>#REF!</v>
      </c>
      <c r="AY439" t="e">
        <f>AND(#REF!,"AAAAAHd/XzI=")</f>
        <v>#REF!</v>
      </c>
      <c r="AZ439" t="e">
        <f>AND(#REF!,"AAAAAHd/XzM=")</f>
        <v>#REF!</v>
      </c>
      <c r="BA439" t="e">
        <f>AND(#REF!,"AAAAAHd/XzQ=")</f>
        <v>#REF!</v>
      </c>
      <c r="BB439" t="e">
        <f>IF(#REF!,"AAAAAHd/XzU=",0)</f>
        <v>#REF!</v>
      </c>
      <c r="BC439" t="e">
        <f>AND(#REF!,"AAAAAHd/XzY=")</f>
        <v>#REF!</v>
      </c>
      <c r="BD439" t="e">
        <f>AND(#REF!,"AAAAAHd/Xzc=")</f>
        <v>#REF!</v>
      </c>
      <c r="BE439" t="e">
        <f>AND(#REF!,"AAAAAHd/Xzg=")</f>
        <v>#REF!</v>
      </c>
      <c r="BF439" t="e">
        <f>AND(#REF!,"AAAAAHd/Xzk=")</f>
        <v>#REF!</v>
      </c>
      <c r="BG439" t="e">
        <f>AND(#REF!,"AAAAAHd/Xzo=")</f>
        <v>#REF!</v>
      </c>
      <c r="BH439" t="e">
        <f>AND(#REF!,"AAAAAHd/Xzs=")</f>
        <v>#REF!</v>
      </c>
      <c r="BI439" t="e">
        <f>AND(#REF!,"AAAAAHd/Xzw=")</f>
        <v>#REF!</v>
      </c>
      <c r="BJ439" t="e">
        <f>AND(#REF!,"AAAAAHd/Xz0=")</f>
        <v>#REF!</v>
      </c>
      <c r="BK439" t="e">
        <f>AND(#REF!,"AAAAAHd/Xz4=")</f>
        <v>#REF!</v>
      </c>
      <c r="BL439" t="e">
        <f>AND(#REF!,"AAAAAHd/Xz8=")</f>
        <v>#REF!</v>
      </c>
      <c r="BM439" t="e">
        <f>IF(#REF!,"AAAAAHd/X0A=",0)</f>
        <v>#REF!</v>
      </c>
      <c r="BN439" t="e">
        <f>AND(#REF!,"AAAAAHd/X0E=")</f>
        <v>#REF!</v>
      </c>
      <c r="BO439" t="e">
        <f>AND(#REF!,"AAAAAHd/X0I=")</f>
        <v>#REF!</v>
      </c>
      <c r="BP439" t="e">
        <f>AND(#REF!,"AAAAAHd/X0M=")</f>
        <v>#REF!</v>
      </c>
      <c r="BQ439" t="e">
        <f>AND(#REF!,"AAAAAHd/X0Q=")</f>
        <v>#REF!</v>
      </c>
      <c r="BR439" t="e">
        <f>AND(#REF!,"AAAAAHd/X0U=")</f>
        <v>#REF!</v>
      </c>
      <c r="BS439" t="e">
        <f>AND(#REF!,"AAAAAHd/X0Y=")</f>
        <v>#REF!</v>
      </c>
      <c r="BT439" t="e">
        <f>AND(#REF!,"AAAAAHd/X0c=")</f>
        <v>#REF!</v>
      </c>
      <c r="BU439" t="e">
        <f>AND(#REF!,"AAAAAHd/X0g=")</f>
        <v>#REF!</v>
      </c>
      <c r="BV439" t="e">
        <f>AND(#REF!,"AAAAAHd/X0k=")</f>
        <v>#REF!</v>
      </c>
      <c r="BW439" t="e">
        <f>AND(#REF!,"AAAAAHd/X0o=")</f>
        <v>#REF!</v>
      </c>
      <c r="BX439" t="e">
        <f>IF(#REF!,"AAAAAHd/X0s=",0)</f>
        <v>#REF!</v>
      </c>
      <c r="BY439" t="e">
        <f>AND(#REF!,"AAAAAHd/X0w=")</f>
        <v>#REF!</v>
      </c>
      <c r="BZ439" t="e">
        <f>AND(#REF!,"AAAAAHd/X00=")</f>
        <v>#REF!</v>
      </c>
      <c r="CA439" t="e">
        <f>AND(#REF!,"AAAAAHd/X04=")</f>
        <v>#REF!</v>
      </c>
      <c r="CB439" t="e">
        <f>AND(#REF!,"AAAAAHd/X08=")</f>
        <v>#REF!</v>
      </c>
      <c r="CC439" t="e">
        <f>AND(#REF!,"AAAAAHd/X1A=")</f>
        <v>#REF!</v>
      </c>
      <c r="CD439" t="e">
        <f>AND(#REF!,"AAAAAHd/X1E=")</f>
        <v>#REF!</v>
      </c>
      <c r="CE439" t="e">
        <f>AND(#REF!,"AAAAAHd/X1I=")</f>
        <v>#REF!</v>
      </c>
      <c r="CF439" t="e">
        <f>AND(#REF!,"AAAAAHd/X1M=")</f>
        <v>#REF!</v>
      </c>
      <c r="CG439" t="e">
        <f>AND(#REF!,"AAAAAHd/X1Q=")</f>
        <v>#REF!</v>
      </c>
      <c r="CH439" t="e">
        <f>AND(#REF!,"AAAAAHd/X1U=")</f>
        <v>#REF!</v>
      </c>
      <c r="CI439" t="e">
        <f>IF(#REF!,"AAAAAHd/X1Y=",0)</f>
        <v>#REF!</v>
      </c>
      <c r="CJ439" t="e">
        <f>AND(#REF!,"AAAAAHd/X1c=")</f>
        <v>#REF!</v>
      </c>
      <c r="CK439" t="e">
        <f>AND(#REF!,"AAAAAHd/X1g=")</f>
        <v>#REF!</v>
      </c>
      <c r="CL439" t="e">
        <f>AND(#REF!,"AAAAAHd/X1k=")</f>
        <v>#REF!</v>
      </c>
      <c r="CM439" t="e">
        <f>AND(#REF!,"AAAAAHd/X1o=")</f>
        <v>#REF!</v>
      </c>
      <c r="CN439" t="e">
        <f>AND(#REF!,"AAAAAHd/X1s=")</f>
        <v>#REF!</v>
      </c>
      <c r="CO439" t="e">
        <f>AND(#REF!,"AAAAAHd/X1w=")</f>
        <v>#REF!</v>
      </c>
      <c r="CP439" t="e">
        <f>AND(#REF!,"AAAAAHd/X10=")</f>
        <v>#REF!</v>
      </c>
      <c r="CQ439" t="e">
        <f>AND(#REF!,"AAAAAHd/X14=")</f>
        <v>#REF!</v>
      </c>
      <c r="CR439" t="e">
        <f>AND(#REF!,"AAAAAHd/X18=")</f>
        <v>#REF!</v>
      </c>
      <c r="CS439" t="e">
        <f>AND(#REF!,"AAAAAHd/X2A=")</f>
        <v>#REF!</v>
      </c>
      <c r="CT439" t="e">
        <f>IF(#REF!,"AAAAAHd/X2E=",0)</f>
        <v>#REF!</v>
      </c>
      <c r="CU439" t="e">
        <f>AND(#REF!,"AAAAAHd/X2I=")</f>
        <v>#REF!</v>
      </c>
      <c r="CV439" t="e">
        <f>AND(#REF!,"AAAAAHd/X2M=")</f>
        <v>#REF!</v>
      </c>
      <c r="CW439" t="e">
        <f>AND(#REF!,"AAAAAHd/X2Q=")</f>
        <v>#REF!</v>
      </c>
      <c r="CX439" t="e">
        <f>AND(#REF!,"AAAAAHd/X2U=")</f>
        <v>#REF!</v>
      </c>
      <c r="CY439" t="e">
        <f>AND(#REF!,"AAAAAHd/X2Y=")</f>
        <v>#REF!</v>
      </c>
      <c r="CZ439" t="e">
        <f>AND(#REF!,"AAAAAHd/X2c=")</f>
        <v>#REF!</v>
      </c>
      <c r="DA439" t="e">
        <f>AND(#REF!,"AAAAAHd/X2g=")</f>
        <v>#REF!</v>
      </c>
      <c r="DB439" t="e">
        <f>AND(#REF!,"AAAAAHd/X2k=")</f>
        <v>#REF!</v>
      </c>
      <c r="DC439" t="e">
        <f>AND(#REF!,"AAAAAHd/X2o=")</f>
        <v>#REF!</v>
      </c>
      <c r="DD439" t="e">
        <f>AND(#REF!,"AAAAAHd/X2s=")</f>
        <v>#REF!</v>
      </c>
      <c r="DE439" t="e">
        <f>IF(#REF!,"AAAAAHd/X2w=",0)</f>
        <v>#REF!</v>
      </c>
      <c r="DF439" t="e">
        <f>AND(#REF!,"AAAAAHd/X20=")</f>
        <v>#REF!</v>
      </c>
      <c r="DG439" t="e">
        <f>AND(#REF!,"AAAAAHd/X24=")</f>
        <v>#REF!</v>
      </c>
      <c r="DH439" t="e">
        <f>AND(#REF!,"AAAAAHd/X28=")</f>
        <v>#REF!</v>
      </c>
      <c r="DI439" t="e">
        <f>AND(#REF!,"AAAAAHd/X3A=")</f>
        <v>#REF!</v>
      </c>
      <c r="DJ439" t="e">
        <f>AND(#REF!,"AAAAAHd/X3E=")</f>
        <v>#REF!</v>
      </c>
      <c r="DK439" t="e">
        <f>AND(#REF!,"AAAAAHd/X3I=")</f>
        <v>#REF!</v>
      </c>
      <c r="DL439" t="e">
        <f>AND(#REF!,"AAAAAHd/X3M=")</f>
        <v>#REF!</v>
      </c>
      <c r="DM439" t="e">
        <f>AND(#REF!,"AAAAAHd/X3Q=")</f>
        <v>#REF!</v>
      </c>
      <c r="DN439" t="e">
        <f>AND(#REF!,"AAAAAHd/X3U=")</f>
        <v>#REF!</v>
      </c>
      <c r="DO439" t="e">
        <f>AND(#REF!,"AAAAAHd/X3Y=")</f>
        <v>#REF!</v>
      </c>
      <c r="DP439" t="e">
        <f>IF(#REF!,"AAAAAHd/X3c=",0)</f>
        <v>#REF!</v>
      </c>
      <c r="DQ439" t="e">
        <f>AND(#REF!,"AAAAAHd/X3g=")</f>
        <v>#REF!</v>
      </c>
      <c r="DR439" t="e">
        <f>AND(#REF!,"AAAAAHd/X3k=")</f>
        <v>#REF!</v>
      </c>
      <c r="DS439" t="e">
        <f>AND(#REF!,"AAAAAHd/X3o=")</f>
        <v>#REF!</v>
      </c>
      <c r="DT439" t="e">
        <f>AND(#REF!,"AAAAAHd/X3s=")</f>
        <v>#REF!</v>
      </c>
      <c r="DU439" t="e">
        <f>AND(#REF!,"AAAAAHd/X3w=")</f>
        <v>#REF!</v>
      </c>
      <c r="DV439" t="e">
        <f>AND(#REF!,"AAAAAHd/X30=")</f>
        <v>#REF!</v>
      </c>
      <c r="DW439" t="e">
        <f>AND(#REF!,"AAAAAHd/X34=")</f>
        <v>#REF!</v>
      </c>
      <c r="DX439" t="e">
        <f>AND(#REF!,"AAAAAHd/X38=")</f>
        <v>#REF!</v>
      </c>
      <c r="DY439" t="e">
        <f>AND(#REF!,"AAAAAHd/X4A=")</f>
        <v>#REF!</v>
      </c>
      <c r="DZ439" t="e">
        <f>AND(#REF!,"AAAAAHd/X4E=")</f>
        <v>#REF!</v>
      </c>
      <c r="EA439" t="e">
        <f>IF(#REF!,"AAAAAHd/X4I=",0)</f>
        <v>#REF!</v>
      </c>
      <c r="EB439" t="e">
        <f>AND(#REF!,"AAAAAHd/X4M=")</f>
        <v>#REF!</v>
      </c>
      <c r="EC439" t="e">
        <f>AND(#REF!,"AAAAAHd/X4Q=")</f>
        <v>#REF!</v>
      </c>
      <c r="ED439" t="e">
        <f>AND(#REF!,"AAAAAHd/X4U=")</f>
        <v>#REF!</v>
      </c>
      <c r="EE439" t="e">
        <f>AND(#REF!,"AAAAAHd/X4Y=")</f>
        <v>#REF!</v>
      </c>
      <c r="EF439" t="e">
        <f>AND(#REF!,"AAAAAHd/X4c=")</f>
        <v>#REF!</v>
      </c>
      <c r="EG439" t="e">
        <f>AND(#REF!,"AAAAAHd/X4g=")</f>
        <v>#REF!</v>
      </c>
      <c r="EH439" t="e">
        <f>AND(#REF!,"AAAAAHd/X4k=")</f>
        <v>#REF!</v>
      </c>
      <c r="EI439" t="e">
        <f>AND(#REF!,"AAAAAHd/X4o=")</f>
        <v>#REF!</v>
      </c>
      <c r="EJ439" t="e">
        <f>AND(#REF!,"AAAAAHd/X4s=")</f>
        <v>#REF!</v>
      </c>
      <c r="EK439" t="e">
        <f>AND(#REF!,"AAAAAHd/X4w=")</f>
        <v>#REF!</v>
      </c>
      <c r="EL439" t="e">
        <f>IF(#REF!,"AAAAAHd/X40=",0)</f>
        <v>#REF!</v>
      </c>
      <c r="EM439" t="e">
        <f>AND(#REF!,"AAAAAHd/X44=")</f>
        <v>#REF!</v>
      </c>
      <c r="EN439" t="e">
        <f>AND(#REF!,"AAAAAHd/X48=")</f>
        <v>#REF!</v>
      </c>
      <c r="EO439" t="e">
        <f>AND(#REF!,"AAAAAHd/X5A=")</f>
        <v>#REF!</v>
      </c>
      <c r="EP439" t="e">
        <f>AND(#REF!,"AAAAAHd/X5E=")</f>
        <v>#REF!</v>
      </c>
      <c r="EQ439" t="e">
        <f>AND(#REF!,"AAAAAHd/X5I=")</f>
        <v>#REF!</v>
      </c>
      <c r="ER439" t="e">
        <f>AND(#REF!,"AAAAAHd/X5M=")</f>
        <v>#REF!</v>
      </c>
      <c r="ES439" t="e">
        <f>AND(#REF!,"AAAAAHd/X5Q=")</f>
        <v>#REF!</v>
      </c>
      <c r="ET439" t="e">
        <f>AND(#REF!,"AAAAAHd/X5U=")</f>
        <v>#REF!</v>
      </c>
      <c r="EU439" t="e">
        <f>AND(#REF!,"AAAAAHd/X5Y=")</f>
        <v>#REF!</v>
      </c>
      <c r="EV439" t="e">
        <f>AND(#REF!,"AAAAAHd/X5c=")</f>
        <v>#REF!</v>
      </c>
      <c r="EW439" t="e">
        <f>IF(#REF!,"AAAAAHd/X5g=",0)</f>
        <v>#REF!</v>
      </c>
      <c r="EX439" t="e">
        <f>AND(#REF!,"AAAAAHd/X5k=")</f>
        <v>#REF!</v>
      </c>
      <c r="EY439" t="e">
        <f>AND(#REF!,"AAAAAHd/X5o=")</f>
        <v>#REF!</v>
      </c>
      <c r="EZ439" t="e">
        <f>AND(#REF!,"AAAAAHd/X5s=")</f>
        <v>#REF!</v>
      </c>
      <c r="FA439" t="e">
        <f>AND(#REF!,"AAAAAHd/X5w=")</f>
        <v>#REF!</v>
      </c>
      <c r="FB439" t="e">
        <f>AND(#REF!,"AAAAAHd/X50=")</f>
        <v>#REF!</v>
      </c>
      <c r="FC439" t="e">
        <f>AND(#REF!,"AAAAAHd/X54=")</f>
        <v>#REF!</v>
      </c>
      <c r="FD439" t="e">
        <f>AND(#REF!,"AAAAAHd/X58=")</f>
        <v>#REF!</v>
      </c>
      <c r="FE439" t="e">
        <f>AND(#REF!,"AAAAAHd/X6A=")</f>
        <v>#REF!</v>
      </c>
      <c r="FF439" t="e">
        <f>AND(#REF!,"AAAAAHd/X6E=")</f>
        <v>#REF!</v>
      </c>
      <c r="FG439" t="e">
        <f>AND(#REF!,"AAAAAHd/X6I=")</f>
        <v>#REF!</v>
      </c>
      <c r="FH439" t="e">
        <f>IF(#REF!,"AAAAAHd/X6M=",0)</f>
        <v>#REF!</v>
      </c>
      <c r="FI439" t="e">
        <f>AND(#REF!,"AAAAAHd/X6Q=")</f>
        <v>#REF!</v>
      </c>
      <c r="FJ439" t="e">
        <f>AND(#REF!,"AAAAAHd/X6U=")</f>
        <v>#REF!</v>
      </c>
      <c r="FK439" t="e">
        <f>AND(#REF!,"AAAAAHd/X6Y=")</f>
        <v>#REF!</v>
      </c>
      <c r="FL439" t="e">
        <f>AND(#REF!,"AAAAAHd/X6c=")</f>
        <v>#REF!</v>
      </c>
      <c r="FM439" t="e">
        <f>AND(#REF!,"AAAAAHd/X6g=")</f>
        <v>#REF!</v>
      </c>
      <c r="FN439" t="e">
        <f>AND(#REF!,"AAAAAHd/X6k=")</f>
        <v>#REF!</v>
      </c>
      <c r="FO439" t="e">
        <f>AND(#REF!,"AAAAAHd/X6o=")</f>
        <v>#REF!</v>
      </c>
      <c r="FP439" t="e">
        <f>AND(#REF!,"AAAAAHd/X6s=")</f>
        <v>#REF!</v>
      </c>
      <c r="FQ439" t="e">
        <f>AND(#REF!,"AAAAAHd/X6w=")</f>
        <v>#REF!</v>
      </c>
      <c r="FR439" t="e">
        <f>AND(#REF!,"AAAAAHd/X60=")</f>
        <v>#REF!</v>
      </c>
      <c r="FS439" t="e">
        <f>IF(#REF!,"AAAAAHd/X64=",0)</f>
        <v>#REF!</v>
      </c>
      <c r="FT439" t="e">
        <f>AND(#REF!,"AAAAAHd/X68=")</f>
        <v>#REF!</v>
      </c>
      <c r="FU439" t="e">
        <f>AND(#REF!,"AAAAAHd/X7A=")</f>
        <v>#REF!</v>
      </c>
      <c r="FV439" t="e">
        <f>AND(#REF!,"AAAAAHd/X7E=")</f>
        <v>#REF!</v>
      </c>
      <c r="FW439" t="e">
        <f>AND(#REF!,"AAAAAHd/X7I=")</f>
        <v>#REF!</v>
      </c>
      <c r="FX439" t="e">
        <f>AND(#REF!,"AAAAAHd/X7M=")</f>
        <v>#REF!</v>
      </c>
      <c r="FY439" t="e">
        <f>AND(#REF!,"AAAAAHd/X7Q=")</f>
        <v>#REF!</v>
      </c>
      <c r="FZ439" t="e">
        <f>AND(#REF!,"AAAAAHd/X7U=")</f>
        <v>#REF!</v>
      </c>
      <c r="GA439" t="e">
        <f>AND(#REF!,"AAAAAHd/X7Y=")</f>
        <v>#REF!</v>
      </c>
      <c r="GB439" t="e">
        <f>AND(#REF!,"AAAAAHd/X7c=")</f>
        <v>#REF!</v>
      </c>
      <c r="GC439" t="e">
        <f>AND(#REF!,"AAAAAHd/X7g=")</f>
        <v>#REF!</v>
      </c>
      <c r="GD439" t="e">
        <f>IF(#REF!,"AAAAAHd/X7k=",0)</f>
        <v>#REF!</v>
      </c>
      <c r="GE439" t="e">
        <f>AND(#REF!,"AAAAAHd/X7o=")</f>
        <v>#REF!</v>
      </c>
      <c r="GF439" t="e">
        <f>AND(#REF!,"AAAAAHd/X7s=")</f>
        <v>#REF!</v>
      </c>
      <c r="GG439" t="e">
        <f>AND(#REF!,"AAAAAHd/X7w=")</f>
        <v>#REF!</v>
      </c>
      <c r="GH439" t="e">
        <f>AND(#REF!,"AAAAAHd/X70=")</f>
        <v>#REF!</v>
      </c>
      <c r="GI439" t="e">
        <f>AND(#REF!,"AAAAAHd/X74=")</f>
        <v>#REF!</v>
      </c>
      <c r="GJ439" t="e">
        <f>AND(#REF!,"AAAAAHd/X78=")</f>
        <v>#REF!</v>
      </c>
      <c r="GK439" t="e">
        <f>AND(#REF!,"AAAAAHd/X8A=")</f>
        <v>#REF!</v>
      </c>
      <c r="GL439" t="e">
        <f>AND(#REF!,"AAAAAHd/X8E=")</f>
        <v>#REF!</v>
      </c>
      <c r="GM439" t="e">
        <f>AND(#REF!,"AAAAAHd/X8I=")</f>
        <v>#REF!</v>
      </c>
      <c r="GN439" t="e">
        <f>AND(#REF!,"AAAAAHd/X8M=")</f>
        <v>#REF!</v>
      </c>
      <c r="GO439" t="e">
        <f>IF(#REF!,"AAAAAHd/X8Q=",0)</f>
        <v>#REF!</v>
      </c>
      <c r="GP439" t="e">
        <f>AND(#REF!,"AAAAAHd/X8U=")</f>
        <v>#REF!</v>
      </c>
      <c r="GQ439" t="e">
        <f>AND(#REF!,"AAAAAHd/X8Y=")</f>
        <v>#REF!</v>
      </c>
      <c r="GR439" t="e">
        <f>AND(#REF!,"AAAAAHd/X8c=")</f>
        <v>#REF!</v>
      </c>
      <c r="GS439" t="e">
        <f>AND(#REF!,"AAAAAHd/X8g=")</f>
        <v>#REF!</v>
      </c>
      <c r="GT439" t="e">
        <f>AND(#REF!,"AAAAAHd/X8k=")</f>
        <v>#REF!</v>
      </c>
      <c r="GU439" t="e">
        <f>AND(#REF!,"AAAAAHd/X8o=")</f>
        <v>#REF!</v>
      </c>
      <c r="GV439" t="e">
        <f>AND(#REF!,"AAAAAHd/X8s=")</f>
        <v>#REF!</v>
      </c>
      <c r="GW439" t="e">
        <f>AND(#REF!,"AAAAAHd/X8w=")</f>
        <v>#REF!</v>
      </c>
      <c r="GX439" t="e">
        <f>AND(#REF!,"AAAAAHd/X80=")</f>
        <v>#REF!</v>
      </c>
      <c r="GY439" t="e">
        <f>AND(#REF!,"AAAAAHd/X84=")</f>
        <v>#REF!</v>
      </c>
      <c r="GZ439" t="e">
        <f>IF(#REF!,"AAAAAHd/X88=",0)</f>
        <v>#REF!</v>
      </c>
      <c r="HA439" t="e">
        <f>AND(#REF!,"AAAAAHd/X9A=")</f>
        <v>#REF!</v>
      </c>
      <c r="HB439" t="e">
        <f>AND(#REF!,"AAAAAHd/X9E=")</f>
        <v>#REF!</v>
      </c>
      <c r="HC439" t="e">
        <f>AND(#REF!,"AAAAAHd/X9I=")</f>
        <v>#REF!</v>
      </c>
      <c r="HD439" t="e">
        <f>AND(#REF!,"AAAAAHd/X9M=")</f>
        <v>#REF!</v>
      </c>
      <c r="HE439" t="e">
        <f>AND(#REF!,"AAAAAHd/X9Q=")</f>
        <v>#REF!</v>
      </c>
      <c r="HF439" t="e">
        <f>AND(#REF!,"AAAAAHd/X9U=")</f>
        <v>#REF!</v>
      </c>
      <c r="HG439" t="e">
        <f>AND(#REF!,"AAAAAHd/X9Y=")</f>
        <v>#REF!</v>
      </c>
      <c r="HH439" t="e">
        <f>AND(#REF!,"AAAAAHd/X9c=")</f>
        <v>#REF!</v>
      </c>
      <c r="HI439" t="e">
        <f>AND(#REF!,"AAAAAHd/X9g=")</f>
        <v>#REF!</v>
      </c>
      <c r="HJ439" t="e">
        <f>AND(#REF!,"AAAAAHd/X9k=")</f>
        <v>#REF!</v>
      </c>
      <c r="HK439" t="e">
        <f>IF(#REF!,"AAAAAHd/X9o=",0)</f>
        <v>#REF!</v>
      </c>
      <c r="HL439" t="e">
        <f>AND(#REF!,"AAAAAHd/X9s=")</f>
        <v>#REF!</v>
      </c>
      <c r="HM439" t="e">
        <f>AND(#REF!,"AAAAAHd/X9w=")</f>
        <v>#REF!</v>
      </c>
      <c r="HN439" t="e">
        <f>AND(#REF!,"AAAAAHd/X90=")</f>
        <v>#REF!</v>
      </c>
      <c r="HO439" t="e">
        <f>AND(#REF!,"AAAAAHd/X94=")</f>
        <v>#REF!</v>
      </c>
      <c r="HP439" t="e">
        <f>AND(#REF!,"AAAAAHd/X98=")</f>
        <v>#REF!</v>
      </c>
      <c r="HQ439" t="e">
        <f>AND(#REF!,"AAAAAHd/X+A=")</f>
        <v>#REF!</v>
      </c>
      <c r="HR439" t="e">
        <f>AND(#REF!,"AAAAAHd/X+E=")</f>
        <v>#REF!</v>
      </c>
      <c r="HS439" t="e">
        <f>AND(#REF!,"AAAAAHd/X+I=")</f>
        <v>#REF!</v>
      </c>
      <c r="HT439" t="e">
        <f>AND(#REF!,"AAAAAHd/X+M=")</f>
        <v>#REF!</v>
      </c>
      <c r="HU439" t="e">
        <f>AND(#REF!,"AAAAAHd/X+Q=")</f>
        <v>#REF!</v>
      </c>
      <c r="HV439" t="e">
        <f>IF(#REF!,"AAAAAHd/X+U=",0)</f>
        <v>#REF!</v>
      </c>
      <c r="HW439" t="e">
        <f>AND(#REF!,"AAAAAHd/X+Y=")</f>
        <v>#REF!</v>
      </c>
      <c r="HX439" t="e">
        <f>AND(#REF!,"AAAAAHd/X+c=")</f>
        <v>#REF!</v>
      </c>
      <c r="HY439" t="e">
        <f>AND(#REF!,"AAAAAHd/X+g=")</f>
        <v>#REF!</v>
      </c>
      <c r="HZ439" t="e">
        <f>AND(#REF!,"AAAAAHd/X+k=")</f>
        <v>#REF!</v>
      </c>
      <c r="IA439" t="e">
        <f>AND(#REF!,"AAAAAHd/X+o=")</f>
        <v>#REF!</v>
      </c>
      <c r="IB439" t="e">
        <f>AND(#REF!,"AAAAAHd/X+s=")</f>
        <v>#REF!</v>
      </c>
      <c r="IC439" t="e">
        <f>AND(#REF!,"AAAAAHd/X+w=")</f>
        <v>#REF!</v>
      </c>
      <c r="ID439" t="e">
        <f>AND(#REF!,"AAAAAHd/X+0=")</f>
        <v>#REF!</v>
      </c>
      <c r="IE439" t="e">
        <f>AND(#REF!,"AAAAAHd/X+4=")</f>
        <v>#REF!</v>
      </c>
      <c r="IF439" t="e">
        <f>AND(#REF!,"AAAAAHd/X+8=")</f>
        <v>#REF!</v>
      </c>
      <c r="IG439" t="e">
        <f>IF(#REF!,"AAAAAHd/X/A=",0)</f>
        <v>#REF!</v>
      </c>
      <c r="IH439" t="e">
        <f>AND(#REF!,"AAAAAHd/X/E=")</f>
        <v>#REF!</v>
      </c>
      <c r="II439" t="e">
        <f>AND(#REF!,"AAAAAHd/X/I=")</f>
        <v>#REF!</v>
      </c>
      <c r="IJ439" t="e">
        <f>AND(#REF!,"AAAAAHd/X/M=")</f>
        <v>#REF!</v>
      </c>
      <c r="IK439" t="e">
        <f>AND(#REF!,"AAAAAHd/X/Q=")</f>
        <v>#REF!</v>
      </c>
      <c r="IL439" t="e">
        <f>AND(#REF!,"AAAAAHd/X/U=")</f>
        <v>#REF!</v>
      </c>
      <c r="IM439" t="e">
        <f>AND(#REF!,"AAAAAHd/X/Y=")</f>
        <v>#REF!</v>
      </c>
      <c r="IN439" t="e">
        <f>AND(#REF!,"AAAAAHd/X/c=")</f>
        <v>#REF!</v>
      </c>
      <c r="IO439" t="e">
        <f>AND(#REF!,"AAAAAHd/X/g=")</f>
        <v>#REF!</v>
      </c>
      <c r="IP439" t="e">
        <f>AND(#REF!,"AAAAAHd/X/k=")</f>
        <v>#REF!</v>
      </c>
      <c r="IQ439" t="e">
        <f>AND(#REF!,"AAAAAHd/X/o=")</f>
        <v>#REF!</v>
      </c>
      <c r="IR439" t="e">
        <f>IF(#REF!,"AAAAAHd/X/s=",0)</f>
        <v>#REF!</v>
      </c>
      <c r="IS439" t="e">
        <f>AND(#REF!,"AAAAAHd/X/w=")</f>
        <v>#REF!</v>
      </c>
      <c r="IT439" t="e">
        <f>AND(#REF!,"AAAAAHd/X/0=")</f>
        <v>#REF!</v>
      </c>
      <c r="IU439" t="e">
        <f>AND(#REF!,"AAAAAHd/X/4=")</f>
        <v>#REF!</v>
      </c>
      <c r="IV439" t="e">
        <f>AND(#REF!,"AAAAAHd/X/8=")</f>
        <v>#REF!</v>
      </c>
    </row>
    <row r="440" spans="1:256" x14ac:dyDescent="0.25">
      <c r="A440" t="e">
        <f>AND(#REF!,"AAAAAH/35AA=")</f>
        <v>#REF!</v>
      </c>
      <c r="B440" t="e">
        <f>AND(#REF!,"AAAAAH/35AE=")</f>
        <v>#REF!</v>
      </c>
      <c r="C440" t="e">
        <f>AND(#REF!,"AAAAAH/35AI=")</f>
        <v>#REF!</v>
      </c>
      <c r="D440" t="e">
        <f>AND(#REF!,"AAAAAH/35AM=")</f>
        <v>#REF!</v>
      </c>
      <c r="E440" t="e">
        <f>AND(#REF!,"AAAAAH/35AQ=")</f>
        <v>#REF!</v>
      </c>
      <c r="F440" t="e">
        <f>AND(#REF!,"AAAAAH/35AU=")</f>
        <v>#REF!</v>
      </c>
      <c r="G440" t="e">
        <f>IF(#REF!,"AAAAAH/35AY=",0)</f>
        <v>#REF!</v>
      </c>
      <c r="H440" t="e">
        <f>AND(#REF!,"AAAAAH/35Ac=")</f>
        <v>#REF!</v>
      </c>
      <c r="I440" t="e">
        <f>AND(#REF!,"AAAAAH/35Ag=")</f>
        <v>#REF!</v>
      </c>
      <c r="J440" t="e">
        <f>AND(#REF!,"AAAAAH/35Ak=")</f>
        <v>#REF!</v>
      </c>
      <c r="K440" t="e">
        <f>AND(#REF!,"AAAAAH/35Ao=")</f>
        <v>#REF!</v>
      </c>
      <c r="L440" t="e">
        <f>AND(#REF!,"AAAAAH/35As=")</f>
        <v>#REF!</v>
      </c>
      <c r="M440" t="e">
        <f>AND(#REF!,"AAAAAH/35Aw=")</f>
        <v>#REF!</v>
      </c>
      <c r="N440" t="e">
        <f>AND(#REF!,"AAAAAH/35A0=")</f>
        <v>#REF!</v>
      </c>
      <c r="O440" t="e">
        <f>AND(#REF!,"AAAAAH/35A4=")</f>
        <v>#REF!</v>
      </c>
      <c r="P440" t="e">
        <f>AND(#REF!,"AAAAAH/35A8=")</f>
        <v>#REF!</v>
      </c>
      <c r="Q440" t="e">
        <f>AND(#REF!,"AAAAAH/35BA=")</f>
        <v>#REF!</v>
      </c>
      <c r="R440" t="e">
        <f>IF(#REF!,"AAAAAH/35BE=",0)</f>
        <v>#REF!</v>
      </c>
      <c r="S440" t="e">
        <f>AND(#REF!,"AAAAAH/35BI=")</f>
        <v>#REF!</v>
      </c>
      <c r="T440" t="e">
        <f>AND(#REF!,"AAAAAH/35BM=")</f>
        <v>#REF!</v>
      </c>
      <c r="U440" t="e">
        <f>AND(#REF!,"AAAAAH/35BQ=")</f>
        <v>#REF!</v>
      </c>
      <c r="V440" t="e">
        <f>AND(#REF!,"AAAAAH/35BU=")</f>
        <v>#REF!</v>
      </c>
      <c r="W440" t="e">
        <f>AND(#REF!,"AAAAAH/35BY=")</f>
        <v>#REF!</v>
      </c>
      <c r="X440" t="e">
        <f>AND(#REF!,"AAAAAH/35Bc=")</f>
        <v>#REF!</v>
      </c>
      <c r="Y440" t="e">
        <f>AND(#REF!,"AAAAAH/35Bg=")</f>
        <v>#REF!</v>
      </c>
      <c r="Z440" t="e">
        <f>AND(#REF!,"AAAAAH/35Bk=")</f>
        <v>#REF!</v>
      </c>
      <c r="AA440" t="e">
        <f>AND(#REF!,"AAAAAH/35Bo=")</f>
        <v>#REF!</v>
      </c>
      <c r="AB440" t="e">
        <f>AND(#REF!,"AAAAAH/35Bs=")</f>
        <v>#REF!</v>
      </c>
      <c r="AC440" t="e">
        <f>IF(#REF!,"AAAAAH/35Bw=",0)</f>
        <v>#REF!</v>
      </c>
      <c r="AD440" t="e">
        <f>AND(#REF!,"AAAAAH/35B0=")</f>
        <v>#REF!</v>
      </c>
      <c r="AE440" t="e">
        <f>AND(#REF!,"AAAAAH/35B4=")</f>
        <v>#REF!</v>
      </c>
      <c r="AF440" t="e">
        <f>AND(#REF!,"AAAAAH/35B8=")</f>
        <v>#REF!</v>
      </c>
      <c r="AG440" t="e">
        <f>AND(#REF!,"AAAAAH/35CA=")</f>
        <v>#REF!</v>
      </c>
      <c r="AH440" t="e">
        <f>AND(#REF!,"AAAAAH/35CE=")</f>
        <v>#REF!</v>
      </c>
      <c r="AI440" t="e">
        <f>AND(#REF!,"AAAAAH/35CI=")</f>
        <v>#REF!</v>
      </c>
      <c r="AJ440" t="e">
        <f>AND(#REF!,"AAAAAH/35CM=")</f>
        <v>#REF!</v>
      </c>
      <c r="AK440" t="e">
        <f>AND(#REF!,"AAAAAH/35CQ=")</f>
        <v>#REF!</v>
      </c>
      <c r="AL440" t="e">
        <f>AND(#REF!,"AAAAAH/35CU=")</f>
        <v>#REF!</v>
      </c>
      <c r="AM440" t="e">
        <f>AND(#REF!,"AAAAAH/35CY=")</f>
        <v>#REF!</v>
      </c>
      <c r="AN440" t="e">
        <f>IF(#REF!,"AAAAAH/35Cc=",0)</f>
        <v>#REF!</v>
      </c>
      <c r="AO440" t="e">
        <f>AND(#REF!,"AAAAAH/35Cg=")</f>
        <v>#REF!</v>
      </c>
      <c r="AP440" t="e">
        <f>AND(#REF!,"AAAAAH/35Ck=")</f>
        <v>#REF!</v>
      </c>
      <c r="AQ440" t="e">
        <f>AND(#REF!,"AAAAAH/35Co=")</f>
        <v>#REF!</v>
      </c>
      <c r="AR440" t="e">
        <f>AND(#REF!,"AAAAAH/35Cs=")</f>
        <v>#REF!</v>
      </c>
      <c r="AS440" t="e">
        <f>AND(#REF!,"AAAAAH/35Cw=")</f>
        <v>#REF!</v>
      </c>
      <c r="AT440" t="e">
        <f>AND(#REF!,"AAAAAH/35C0=")</f>
        <v>#REF!</v>
      </c>
      <c r="AU440" t="e">
        <f>AND(#REF!,"AAAAAH/35C4=")</f>
        <v>#REF!</v>
      </c>
      <c r="AV440" t="e">
        <f>AND(#REF!,"AAAAAH/35C8=")</f>
        <v>#REF!</v>
      </c>
      <c r="AW440" t="e">
        <f>AND(#REF!,"AAAAAH/35DA=")</f>
        <v>#REF!</v>
      </c>
      <c r="AX440" t="e">
        <f>AND(#REF!,"AAAAAH/35DE=")</f>
        <v>#REF!</v>
      </c>
      <c r="AY440" t="e">
        <f>IF(#REF!,"AAAAAH/35DI=",0)</f>
        <v>#REF!</v>
      </c>
      <c r="AZ440" t="e">
        <f>AND(#REF!,"AAAAAH/35DM=")</f>
        <v>#REF!</v>
      </c>
      <c r="BA440" t="e">
        <f>AND(#REF!,"AAAAAH/35DQ=")</f>
        <v>#REF!</v>
      </c>
      <c r="BB440" t="e">
        <f>AND(#REF!,"AAAAAH/35DU=")</f>
        <v>#REF!</v>
      </c>
      <c r="BC440" t="e">
        <f>AND(#REF!,"AAAAAH/35DY=")</f>
        <v>#REF!</v>
      </c>
      <c r="BD440" t="e">
        <f>AND(#REF!,"AAAAAH/35Dc=")</f>
        <v>#REF!</v>
      </c>
      <c r="BE440" t="e">
        <f>AND(#REF!,"AAAAAH/35Dg=")</f>
        <v>#REF!</v>
      </c>
      <c r="BF440" t="e">
        <f>AND(#REF!,"AAAAAH/35Dk=")</f>
        <v>#REF!</v>
      </c>
      <c r="BG440" t="e">
        <f>AND(#REF!,"AAAAAH/35Do=")</f>
        <v>#REF!</v>
      </c>
      <c r="BH440" t="e">
        <f>AND(#REF!,"AAAAAH/35Ds=")</f>
        <v>#REF!</v>
      </c>
      <c r="BI440" t="e">
        <f>AND(#REF!,"AAAAAH/35Dw=")</f>
        <v>#REF!</v>
      </c>
      <c r="BJ440" t="e">
        <f>IF(#REF!,"AAAAAH/35D0=",0)</f>
        <v>#REF!</v>
      </c>
      <c r="BK440" t="e">
        <f>AND(#REF!,"AAAAAH/35D4=")</f>
        <v>#REF!</v>
      </c>
      <c r="BL440" t="e">
        <f>AND(#REF!,"AAAAAH/35D8=")</f>
        <v>#REF!</v>
      </c>
      <c r="BM440" t="e">
        <f>AND(#REF!,"AAAAAH/35EA=")</f>
        <v>#REF!</v>
      </c>
      <c r="BN440" t="e">
        <f>AND(#REF!,"AAAAAH/35EE=")</f>
        <v>#REF!</v>
      </c>
      <c r="BO440" t="e">
        <f>AND(#REF!,"AAAAAH/35EI=")</f>
        <v>#REF!</v>
      </c>
      <c r="BP440" t="e">
        <f>AND(#REF!,"AAAAAH/35EM=")</f>
        <v>#REF!</v>
      </c>
      <c r="BQ440" t="e">
        <f>AND(#REF!,"AAAAAH/35EQ=")</f>
        <v>#REF!</v>
      </c>
      <c r="BR440" t="e">
        <f>AND(#REF!,"AAAAAH/35EU=")</f>
        <v>#REF!</v>
      </c>
      <c r="BS440" t="e">
        <f>AND(#REF!,"AAAAAH/35EY=")</f>
        <v>#REF!</v>
      </c>
      <c r="BT440" t="e">
        <f>AND(#REF!,"AAAAAH/35Ec=")</f>
        <v>#REF!</v>
      </c>
      <c r="BU440" t="e">
        <f>IF(#REF!,"AAAAAH/35Eg=",0)</f>
        <v>#REF!</v>
      </c>
      <c r="BV440" t="e">
        <f>AND(#REF!,"AAAAAH/35Ek=")</f>
        <v>#REF!</v>
      </c>
      <c r="BW440" t="e">
        <f>AND(#REF!,"AAAAAH/35Eo=")</f>
        <v>#REF!</v>
      </c>
      <c r="BX440" t="e">
        <f>AND(#REF!,"AAAAAH/35Es=")</f>
        <v>#REF!</v>
      </c>
      <c r="BY440" t="e">
        <f>AND(#REF!,"AAAAAH/35Ew=")</f>
        <v>#REF!</v>
      </c>
      <c r="BZ440" t="e">
        <f>AND(#REF!,"AAAAAH/35E0=")</f>
        <v>#REF!</v>
      </c>
      <c r="CA440" t="e">
        <f>AND(#REF!,"AAAAAH/35E4=")</f>
        <v>#REF!</v>
      </c>
      <c r="CB440" t="e">
        <f>AND(#REF!,"AAAAAH/35E8=")</f>
        <v>#REF!</v>
      </c>
      <c r="CC440" t="e">
        <f>AND(#REF!,"AAAAAH/35FA=")</f>
        <v>#REF!</v>
      </c>
      <c r="CD440" t="e">
        <f>AND(#REF!,"AAAAAH/35FE=")</f>
        <v>#REF!</v>
      </c>
      <c r="CE440" t="e">
        <f>AND(#REF!,"AAAAAH/35FI=")</f>
        <v>#REF!</v>
      </c>
      <c r="CF440" t="e">
        <f>IF(#REF!,"AAAAAH/35FM=",0)</f>
        <v>#REF!</v>
      </c>
      <c r="CG440" t="e">
        <f>AND(#REF!,"AAAAAH/35FQ=")</f>
        <v>#REF!</v>
      </c>
      <c r="CH440" t="e">
        <f>AND(#REF!,"AAAAAH/35FU=")</f>
        <v>#REF!</v>
      </c>
      <c r="CI440" t="e">
        <f>AND(#REF!,"AAAAAH/35FY=")</f>
        <v>#REF!</v>
      </c>
      <c r="CJ440" t="e">
        <f>AND(#REF!,"AAAAAH/35Fc=")</f>
        <v>#REF!</v>
      </c>
      <c r="CK440" t="e">
        <f>AND(#REF!,"AAAAAH/35Fg=")</f>
        <v>#REF!</v>
      </c>
      <c r="CL440" t="e">
        <f>AND(#REF!,"AAAAAH/35Fk=")</f>
        <v>#REF!</v>
      </c>
      <c r="CM440" t="e">
        <f>AND(#REF!,"AAAAAH/35Fo=")</f>
        <v>#REF!</v>
      </c>
      <c r="CN440" t="e">
        <f>AND(#REF!,"AAAAAH/35Fs=")</f>
        <v>#REF!</v>
      </c>
      <c r="CO440" t="e">
        <f>AND(#REF!,"AAAAAH/35Fw=")</f>
        <v>#REF!</v>
      </c>
      <c r="CP440" t="e">
        <f>AND(#REF!,"AAAAAH/35F0=")</f>
        <v>#REF!</v>
      </c>
      <c r="CQ440" t="e">
        <f>IF(#REF!,"AAAAAH/35F4=",0)</f>
        <v>#REF!</v>
      </c>
      <c r="CR440" t="e">
        <f>AND(#REF!,"AAAAAH/35F8=")</f>
        <v>#REF!</v>
      </c>
      <c r="CS440" t="e">
        <f>AND(#REF!,"AAAAAH/35GA=")</f>
        <v>#REF!</v>
      </c>
      <c r="CT440" t="e">
        <f>AND(#REF!,"AAAAAH/35GE=")</f>
        <v>#REF!</v>
      </c>
      <c r="CU440" t="e">
        <f>AND(#REF!,"AAAAAH/35GI=")</f>
        <v>#REF!</v>
      </c>
      <c r="CV440" t="e">
        <f>AND(#REF!,"AAAAAH/35GM=")</f>
        <v>#REF!</v>
      </c>
      <c r="CW440" t="e">
        <f>AND(#REF!,"AAAAAH/35GQ=")</f>
        <v>#REF!</v>
      </c>
      <c r="CX440" t="e">
        <f>AND(#REF!,"AAAAAH/35GU=")</f>
        <v>#REF!</v>
      </c>
      <c r="CY440" t="e">
        <f>AND(#REF!,"AAAAAH/35GY=")</f>
        <v>#REF!</v>
      </c>
      <c r="CZ440" t="e">
        <f>AND(#REF!,"AAAAAH/35Gc=")</f>
        <v>#REF!</v>
      </c>
      <c r="DA440" t="e">
        <f>AND(#REF!,"AAAAAH/35Gg=")</f>
        <v>#REF!</v>
      </c>
      <c r="DB440" t="e">
        <f>IF(#REF!,"AAAAAH/35Gk=",0)</f>
        <v>#REF!</v>
      </c>
      <c r="DC440" t="e">
        <f>AND(#REF!,"AAAAAH/35Go=")</f>
        <v>#REF!</v>
      </c>
      <c r="DD440" t="e">
        <f>AND(#REF!,"AAAAAH/35Gs=")</f>
        <v>#REF!</v>
      </c>
      <c r="DE440" t="e">
        <f>AND(#REF!,"AAAAAH/35Gw=")</f>
        <v>#REF!</v>
      </c>
      <c r="DF440" t="e">
        <f>AND(#REF!,"AAAAAH/35G0=")</f>
        <v>#REF!</v>
      </c>
      <c r="DG440" t="e">
        <f>AND(#REF!,"AAAAAH/35G4=")</f>
        <v>#REF!</v>
      </c>
      <c r="DH440" t="e">
        <f>AND(#REF!,"AAAAAH/35G8=")</f>
        <v>#REF!</v>
      </c>
      <c r="DI440" t="e">
        <f>AND(#REF!,"AAAAAH/35HA=")</f>
        <v>#REF!</v>
      </c>
      <c r="DJ440" t="e">
        <f>AND(#REF!,"AAAAAH/35HE=")</f>
        <v>#REF!</v>
      </c>
      <c r="DK440" t="e">
        <f>AND(#REF!,"AAAAAH/35HI=")</f>
        <v>#REF!</v>
      </c>
      <c r="DL440" t="e">
        <f>AND(#REF!,"AAAAAH/35HM=")</f>
        <v>#REF!</v>
      </c>
      <c r="DM440" t="e">
        <f>IF(#REF!,"AAAAAH/35HQ=",0)</f>
        <v>#REF!</v>
      </c>
      <c r="DN440" t="e">
        <f>AND(#REF!,"AAAAAH/35HU=")</f>
        <v>#REF!</v>
      </c>
      <c r="DO440" t="e">
        <f>AND(#REF!,"AAAAAH/35HY=")</f>
        <v>#REF!</v>
      </c>
      <c r="DP440" t="e">
        <f>AND(#REF!,"AAAAAH/35Hc=")</f>
        <v>#REF!</v>
      </c>
      <c r="DQ440" t="e">
        <f>AND(#REF!,"AAAAAH/35Hg=")</f>
        <v>#REF!</v>
      </c>
      <c r="DR440" t="e">
        <f>AND(#REF!,"AAAAAH/35Hk=")</f>
        <v>#REF!</v>
      </c>
      <c r="DS440" t="e">
        <f>AND(#REF!,"AAAAAH/35Ho=")</f>
        <v>#REF!</v>
      </c>
      <c r="DT440" t="e">
        <f>AND(#REF!,"AAAAAH/35Hs=")</f>
        <v>#REF!</v>
      </c>
      <c r="DU440" t="e">
        <f>AND(#REF!,"AAAAAH/35Hw=")</f>
        <v>#REF!</v>
      </c>
      <c r="DV440" t="e">
        <f>AND(#REF!,"AAAAAH/35H0=")</f>
        <v>#REF!</v>
      </c>
      <c r="DW440" t="e">
        <f>AND(#REF!,"AAAAAH/35H4=")</f>
        <v>#REF!</v>
      </c>
      <c r="DX440" t="e">
        <f>IF(#REF!,"AAAAAH/35H8=",0)</f>
        <v>#REF!</v>
      </c>
      <c r="DY440" t="e">
        <f>AND(#REF!,"AAAAAH/35IA=")</f>
        <v>#REF!</v>
      </c>
      <c r="DZ440" t="e">
        <f>AND(#REF!,"AAAAAH/35IE=")</f>
        <v>#REF!</v>
      </c>
      <c r="EA440" t="e">
        <f>AND(#REF!,"AAAAAH/35II=")</f>
        <v>#REF!</v>
      </c>
      <c r="EB440" t="e">
        <f>AND(#REF!,"AAAAAH/35IM=")</f>
        <v>#REF!</v>
      </c>
      <c r="EC440" t="e">
        <f>AND(#REF!,"AAAAAH/35IQ=")</f>
        <v>#REF!</v>
      </c>
      <c r="ED440" t="e">
        <f>AND(#REF!,"AAAAAH/35IU=")</f>
        <v>#REF!</v>
      </c>
      <c r="EE440" t="e">
        <f>AND(#REF!,"AAAAAH/35IY=")</f>
        <v>#REF!</v>
      </c>
      <c r="EF440" t="e">
        <f>AND(#REF!,"AAAAAH/35Ic=")</f>
        <v>#REF!</v>
      </c>
      <c r="EG440" t="e">
        <f>AND(#REF!,"AAAAAH/35Ig=")</f>
        <v>#REF!</v>
      </c>
      <c r="EH440" t="e">
        <f>AND(#REF!,"AAAAAH/35Ik=")</f>
        <v>#REF!</v>
      </c>
      <c r="EI440" t="e">
        <f>IF(#REF!,"AAAAAH/35Io=",0)</f>
        <v>#REF!</v>
      </c>
      <c r="EJ440" t="e">
        <f>AND(#REF!,"AAAAAH/35Is=")</f>
        <v>#REF!</v>
      </c>
      <c r="EK440" t="e">
        <f>AND(#REF!,"AAAAAH/35Iw=")</f>
        <v>#REF!</v>
      </c>
      <c r="EL440" t="e">
        <f>AND(#REF!,"AAAAAH/35I0=")</f>
        <v>#REF!</v>
      </c>
      <c r="EM440" t="e">
        <f>AND(#REF!,"AAAAAH/35I4=")</f>
        <v>#REF!</v>
      </c>
      <c r="EN440" t="e">
        <f>AND(#REF!,"AAAAAH/35I8=")</f>
        <v>#REF!</v>
      </c>
      <c r="EO440" t="e">
        <f>AND(#REF!,"AAAAAH/35JA=")</f>
        <v>#REF!</v>
      </c>
      <c r="EP440" t="e">
        <f>AND(#REF!,"AAAAAH/35JE=")</f>
        <v>#REF!</v>
      </c>
      <c r="EQ440" t="e">
        <f>AND(#REF!,"AAAAAH/35JI=")</f>
        <v>#REF!</v>
      </c>
      <c r="ER440" t="e">
        <f>AND(#REF!,"AAAAAH/35JM=")</f>
        <v>#REF!</v>
      </c>
      <c r="ES440" t="e">
        <f>AND(#REF!,"AAAAAH/35JQ=")</f>
        <v>#REF!</v>
      </c>
      <c r="ET440" t="e">
        <f>IF(#REF!,"AAAAAH/35JU=",0)</f>
        <v>#REF!</v>
      </c>
      <c r="EU440" t="e">
        <f>AND(#REF!,"AAAAAH/35JY=")</f>
        <v>#REF!</v>
      </c>
      <c r="EV440" t="e">
        <f>AND(#REF!,"AAAAAH/35Jc=")</f>
        <v>#REF!</v>
      </c>
      <c r="EW440" t="e">
        <f>AND(#REF!,"AAAAAH/35Jg=")</f>
        <v>#REF!</v>
      </c>
      <c r="EX440" t="e">
        <f>AND(#REF!,"AAAAAH/35Jk=")</f>
        <v>#REF!</v>
      </c>
      <c r="EY440" t="e">
        <f>AND(#REF!,"AAAAAH/35Jo=")</f>
        <v>#REF!</v>
      </c>
      <c r="EZ440" t="e">
        <f>AND(#REF!,"AAAAAH/35Js=")</f>
        <v>#REF!</v>
      </c>
      <c r="FA440" t="e">
        <f>AND(#REF!,"AAAAAH/35Jw=")</f>
        <v>#REF!</v>
      </c>
      <c r="FB440" t="e">
        <f>AND(#REF!,"AAAAAH/35J0=")</f>
        <v>#REF!</v>
      </c>
      <c r="FC440" t="e">
        <f>AND(#REF!,"AAAAAH/35J4=")</f>
        <v>#REF!</v>
      </c>
      <c r="FD440" t="e">
        <f>AND(#REF!,"AAAAAH/35J8=")</f>
        <v>#REF!</v>
      </c>
      <c r="FE440" t="e">
        <f>IF(#REF!,"AAAAAH/35KA=",0)</f>
        <v>#REF!</v>
      </c>
      <c r="FF440" t="e">
        <f>AND(#REF!,"AAAAAH/35KE=")</f>
        <v>#REF!</v>
      </c>
      <c r="FG440" t="e">
        <f>AND(#REF!,"AAAAAH/35KI=")</f>
        <v>#REF!</v>
      </c>
      <c r="FH440" t="e">
        <f>AND(#REF!,"AAAAAH/35KM=")</f>
        <v>#REF!</v>
      </c>
      <c r="FI440" t="e">
        <f>AND(#REF!,"AAAAAH/35KQ=")</f>
        <v>#REF!</v>
      </c>
      <c r="FJ440" t="e">
        <f>AND(#REF!,"AAAAAH/35KU=")</f>
        <v>#REF!</v>
      </c>
      <c r="FK440" t="e">
        <f>AND(#REF!,"AAAAAH/35KY=")</f>
        <v>#REF!</v>
      </c>
      <c r="FL440" t="e">
        <f>AND(#REF!,"AAAAAH/35Kc=")</f>
        <v>#REF!</v>
      </c>
      <c r="FM440" t="e">
        <f>AND(#REF!,"AAAAAH/35Kg=")</f>
        <v>#REF!</v>
      </c>
      <c r="FN440" t="e">
        <f>AND(#REF!,"AAAAAH/35Kk=")</f>
        <v>#REF!</v>
      </c>
      <c r="FO440" t="e">
        <f>AND(#REF!,"AAAAAH/35Ko=")</f>
        <v>#REF!</v>
      </c>
      <c r="FP440" t="e">
        <f>IF(#REF!,"AAAAAH/35Ks=",0)</f>
        <v>#REF!</v>
      </c>
      <c r="FQ440" t="e">
        <f>AND(#REF!,"AAAAAH/35Kw=")</f>
        <v>#REF!</v>
      </c>
      <c r="FR440" t="e">
        <f>AND(#REF!,"AAAAAH/35K0=")</f>
        <v>#REF!</v>
      </c>
      <c r="FS440" t="e">
        <f>AND(#REF!,"AAAAAH/35K4=")</f>
        <v>#REF!</v>
      </c>
      <c r="FT440" t="e">
        <f>AND(#REF!,"AAAAAH/35K8=")</f>
        <v>#REF!</v>
      </c>
      <c r="FU440" t="e">
        <f>AND(#REF!,"AAAAAH/35LA=")</f>
        <v>#REF!</v>
      </c>
      <c r="FV440" t="e">
        <f>AND(#REF!,"AAAAAH/35LE=")</f>
        <v>#REF!</v>
      </c>
      <c r="FW440" t="e">
        <f>AND(#REF!,"AAAAAH/35LI=")</f>
        <v>#REF!</v>
      </c>
      <c r="FX440" t="e">
        <f>AND(#REF!,"AAAAAH/35LM=")</f>
        <v>#REF!</v>
      </c>
      <c r="FY440" t="e">
        <f>AND(#REF!,"AAAAAH/35LQ=")</f>
        <v>#REF!</v>
      </c>
      <c r="FZ440" t="e">
        <f>AND(#REF!,"AAAAAH/35LU=")</f>
        <v>#REF!</v>
      </c>
      <c r="GA440" t="e">
        <f>IF(#REF!,"AAAAAH/35LY=",0)</f>
        <v>#REF!</v>
      </c>
      <c r="GB440" t="e">
        <f>AND(#REF!,"AAAAAH/35Lc=")</f>
        <v>#REF!</v>
      </c>
      <c r="GC440" t="e">
        <f>AND(#REF!,"AAAAAH/35Lg=")</f>
        <v>#REF!</v>
      </c>
      <c r="GD440" t="e">
        <f>AND(#REF!,"AAAAAH/35Lk=")</f>
        <v>#REF!</v>
      </c>
      <c r="GE440" t="e">
        <f>AND(#REF!,"AAAAAH/35Lo=")</f>
        <v>#REF!</v>
      </c>
      <c r="GF440" t="e">
        <f>AND(#REF!,"AAAAAH/35Ls=")</f>
        <v>#REF!</v>
      </c>
      <c r="GG440" t="e">
        <f>AND(#REF!,"AAAAAH/35Lw=")</f>
        <v>#REF!</v>
      </c>
      <c r="GH440" t="e">
        <f>AND(#REF!,"AAAAAH/35L0=")</f>
        <v>#REF!</v>
      </c>
      <c r="GI440" t="e">
        <f>AND(#REF!,"AAAAAH/35L4=")</f>
        <v>#REF!</v>
      </c>
      <c r="GJ440" t="e">
        <f>AND(#REF!,"AAAAAH/35L8=")</f>
        <v>#REF!</v>
      </c>
      <c r="GK440" t="e">
        <f>AND(#REF!,"AAAAAH/35MA=")</f>
        <v>#REF!</v>
      </c>
      <c r="GL440" t="e">
        <f>IF(#REF!,"AAAAAH/35ME=",0)</f>
        <v>#REF!</v>
      </c>
      <c r="GM440" t="e">
        <f>AND(#REF!,"AAAAAH/35MI=")</f>
        <v>#REF!</v>
      </c>
      <c r="GN440" t="e">
        <f>AND(#REF!,"AAAAAH/35MM=")</f>
        <v>#REF!</v>
      </c>
      <c r="GO440" t="e">
        <f>AND(#REF!,"AAAAAH/35MQ=")</f>
        <v>#REF!</v>
      </c>
      <c r="GP440" t="e">
        <f>AND(#REF!,"AAAAAH/35MU=")</f>
        <v>#REF!</v>
      </c>
      <c r="GQ440" t="e">
        <f>AND(#REF!,"AAAAAH/35MY=")</f>
        <v>#REF!</v>
      </c>
      <c r="GR440" t="e">
        <f>AND(#REF!,"AAAAAH/35Mc=")</f>
        <v>#REF!</v>
      </c>
      <c r="GS440" t="e">
        <f>AND(#REF!,"AAAAAH/35Mg=")</f>
        <v>#REF!</v>
      </c>
      <c r="GT440" t="e">
        <f>AND(#REF!,"AAAAAH/35Mk=")</f>
        <v>#REF!</v>
      </c>
      <c r="GU440" t="e">
        <f>AND(#REF!,"AAAAAH/35Mo=")</f>
        <v>#REF!</v>
      </c>
      <c r="GV440" t="e">
        <f>AND(#REF!,"AAAAAH/35Ms=")</f>
        <v>#REF!</v>
      </c>
      <c r="GW440" t="e">
        <f>IF(#REF!,"AAAAAH/35Mw=",0)</f>
        <v>#REF!</v>
      </c>
      <c r="GX440" t="e">
        <f>AND(#REF!,"AAAAAH/35M0=")</f>
        <v>#REF!</v>
      </c>
      <c r="GY440" t="e">
        <f>AND(#REF!,"AAAAAH/35M4=")</f>
        <v>#REF!</v>
      </c>
      <c r="GZ440" t="e">
        <f>AND(#REF!,"AAAAAH/35M8=")</f>
        <v>#REF!</v>
      </c>
      <c r="HA440" t="e">
        <f>AND(#REF!,"AAAAAH/35NA=")</f>
        <v>#REF!</v>
      </c>
      <c r="HB440" t="e">
        <f>AND(#REF!,"AAAAAH/35NE=")</f>
        <v>#REF!</v>
      </c>
      <c r="HC440" t="e">
        <f>AND(#REF!,"AAAAAH/35NI=")</f>
        <v>#REF!</v>
      </c>
      <c r="HD440" t="e">
        <f>AND(#REF!,"AAAAAH/35NM=")</f>
        <v>#REF!</v>
      </c>
      <c r="HE440" t="e">
        <f>AND(#REF!,"AAAAAH/35NQ=")</f>
        <v>#REF!</v>
      </c>
      <c r="HF440" t="e">
        <f>AND(#REF!,"AAAAAH/35NU=")</f>
        <v>#REF!</v>
      </c>
      <c r="HG440" t="e">
        <f>AND(#REF!,"AAAAAH/35NY=")</f>
        <v>#REF!</v>
      </c>
      <c r="HH440" t="e">
        <f>IF(#REF!,"AAAAAH/35Nc=",0)</f>
        <v>#REF!</v>
      </c>
      <c r="HI440" t="e">
        <f>AND(#REF!,"AAAAAH/35Ng=")</f>
        <v>#REF!</v>
      </c>
      <c r="HJ440" t="e">
        <f>AND(#REF!,"AAAAAH/35Nk=")</f>
        <v>#REF!</v>
      </c>
      <c r="HK440" t="e">
        <f>AND(#REF!,"AAAAAH/35No=")</f>
        <v>#REF!</v>
      </c>
      <c r="HL440" t="e">
        <f>AND(#REF!,"AAAAAH/35Ns=")</f>
        <v>#REF!</v>
      </c>
      <c r="HM440" t="e">
        <f>AND(#REF!,"AAAAAH/35Nw=")</f>
        <v>#REF!</v>
      </c>
      <c r="HN440" t="e">
        <f>AND(#REF!,"AAAAAH/35N0=")</f>
        <v>#REF!</v>
      </c>
      <c r="HO440" t="e">
        <f>AND(#REF!,"AAAAAH/35N4=")</f>
        <v>#REF!</v>
      </c>
      <c r="HP440" t="e">
        <f>AND(#REF!,"AAAAAH/35N8=")</f>
        <v>#REF!</v>
      </c>
      <c r="HQ440" t="e">
        <f>AND(#REF!,"AAAAAH/35OA=")</f>
        <v>#REF!</v>
      </c>
      <c r="HR440" t="e">
        <f>AND(#REF!,"AAAAAH/35OE=")</f>
        <v>#REF!</v>
      </c>
      <c r="HS440" t="e">
        <f>IF(#REF!,"AAAAAH/35OI=",0)</f>
        <v>#REF!</v>
      </c>
      <c r="HT440" t="e">
        <f>AND(#REF!,"AAAAAH/35OM=")</f>
        <v>#REF!</v>
      </c>
      <c r="HU440" t="e">
        <f>AND(#REF!,"AAAAAH/35OQ=")</f>
        <v>#REF!</v>
      </c>
      <c r="HV440" t="e">
        <f>AND(#REF!,"AAAAAH/35OU=")</f>
        <v>#REF!</v>
      </c>
      <c r="HW440" t="e">
        <f>AND(#REF!,"AAAAAH/35OY=")</f>
        <v>#REF!</v>
      </c>
      <c r="HX440" t="e">
        <f>AND(#REF!,"AAAAAH/35Oc=")</f>
        <v>#REF!</v>
      </c>
      <c r="HY440" t="e">
        <f>AND(#REF!,"AAAAAH/35Og=")</f>
        <v>#REF!</v>
      </c>
      <c r="HZ440" t="e">
        <f>AND(#REF!,"AAAAAH/35Ok=")</f>
        <v>#REF!</v>
      </c>
      <c r="IA440" t="e">
        <f>AND(#REF!,"AAAAAH/35Oo=")</f>
        <v>#REF!</v>
      </c>
      <c r="IB440" t="e">
        <f>AND(#REF!,"AAAAAH/35Os=")</f>
        <v>#REF!</v>
      </c>
      <c r="IC440" t="e">
        <f>AND(#REF!,"AAAAAH/35Ow=")</f>
        <v>#REF!</v>
      </c>
      <c r="ID440" t="e">
        <f>IF(#REF!,"AAAAAH/35O0=",0)</f>
        <v>#REF!</v>
      </c>
      <c r="IE440" t="e">
        <f>AND(#REF!,"AAAAAH/35O4=")</f>
        <v>#REF!</v>
      </c>
      <c r="IF440" t="e">
        <f>AND(#REF!,"AAAAAH/35O8=")</f>
        <v>#REF!</v>
      </c>
      <c r="IG440" t="e">
        <f>AND(#REF!,"AAAAAH/35PA=")</f>
        <v>#REF!</v>
      </c>
      <c r="IH440" t="e">
        <f>AND(#REF!,"AAAAAH/35PE=")</f>
        <v>#REF!</v>
      </c>
      <c r="II440" t="e">
        <f>AND(#REF!,"AAAAAH/35PI=")</f>
        <v>#REF!</v>
      </c>
      <c r="IJ440" t="e">
        <f>AND(#REF!,"AAAAAH/35PM=")</f>
        <v>#REF!</v>
      </c>
      <c r="IK440" t="e">
        <f>AND(#REF!,"AAAAAH/35PQ=")</f>
        <v>#REF!</v>
      </c>
      <c r="IL440" t="e">
        <f>AND(#REF!,"AAAAAH/35PU=")</f>
        <v>#REF!</v>
      </c>
      <c r="IM440" t="e">
        <f>AND(#REF!,"AAAAAH/35PY=")</f>
        <v>#REF!</v>
      </c>
      <c r="IN440" t="e">
        <f>AND(#REF!,"AAAAAH/35Pc=")</f>
        <v>#REF!</v>
      </c>
      <c r="IO440" t="e">
        <f>IF(#REF!,"AAAAAH/35Pg=",0)</f>
        <v>#REF!</v>
      </c>
      <c r="IP440" t="e">
        <f>AND(#REF!,"AAAAAH/35Pk=")</f>
        <v>#REF!</v>
      </c>
      <c r="IQ440" t="e">
        <f>AND(#REF!,"AAAAAH/35Po=")</f>
        <v>#REF!</v>
      </c>
      <c r="IR440" t="e">
        <f>AND(#REF!,"AAAAAH/35Ps=")</f>
        <v>#REF!</v>
      </c>
      <c r="IS440" t="e">
        <f>AND(#REF!,"AAAAAH/35Pw=")</f>
        <v>#REF!</v>
      </c>
      <c r="IT440" t="e">
        <f>AND(#REF!,"AAAAAH/35P0=")</f>
        <v>#REF!</v>
      </c>
      <c r="IU440" t="e">
        <f>AND(#REF!,"AAAAAH/35P4=")</f>
        <v>#REF!</v>
      </c>
      <c r="IV440" t="e">
        <f>AND(#REF!,"AAAAAH/35P8=")</f>
        <v>#REF!</v>
      </c>
    </row>
    <row r="441" spans="1:256" x14ac:dyDescent="0.25">
      <c r="A441" t="e">
        <f>AND(#REF!,"AAAAAHu/7wA=")</f>
        <v>#REF!</v>
      </c>
      <c r="B441" t="e">
        <f>AND(#REF!,"AAAAAHu/7wE=")</f>
        <v>#REF!</v>
      </c>
      <c r="C441" t="e">
        <f>AND(#REF!,"AAAAAHu/7wI=")</f>
        <v>#REF!</v>
      </c>
      <c r="D441" t="e">
        <f>IF(#REF!,"AAAAAHu/7wM=",0)</f>
        <v>#REF!</v>
      </c>
      <c r="E441" t="e">
        <f>AND(#REF!,"AAAAAHu/7wQ=")</f>
        <v>#REF!</v>
      </c>
      <c r="F441" t="e">
        <f>AND(#REF!,"AAAAAHu/7wU=")</f>
        <v>#REF!</v>
      </c>
      <c r="G441" t="e">
        <f>AND(#REF!,"AAAAAHu/7wY=")</f>
        <v>#REF!</v>
      </c>
      <c r="H441" t="e">
        <f>AND(#REF!,"AAAAAHu/7wc=")</f>
        <v>#REF!</v>
      </c>
      <c r="I441" t="e">
        <f>AND(#REF!,"AAAAAHu/7wg=")</f>
        <v>#REF!</v>
      </c>
      <c r="J441" t="e">
        <f>AND(#REF!,"AAAAAHu/7wk=")</f>
        <v>#REF!</v>
      </c>
      <c r="K441" t="e">
        <f>AND(#REF!,"AAAAAHu/7wo=")</f>
        <v>#REF!</v>
      </c>
      <c r="L441" t="e">
        <f>AND(#REF!,"AAAAAHu/7ws=")</f>
        <v>#REF!</v>
      </c>
      <c r="M441" t="e">
        <f>AND(#REF!,"AAAAAHu/7ww=")</f>
        <v>#REF!</v>
      </c>
      <c r="N441" t="e">
        <f>AND(#REF!,"AAAAAHu/7w0=")</f>
        <v>#REF!</v>
      </c>
      <c r="O441" t="e">
        <f>IF(#REF!,"AAAAAHu/7w4=",0)</f>
        <v>#REF!</v>
      </c>
      <c r="P441" t="e">
        <f>AND(#REF!,"AAAAAHu/7w8=")</f>
        <v>#REF!</v>
      </c>
      <c r="Q441" t="e">
        <f>AND(#REF!,"AAAAAHu/7xA=")</f>
        <v>#REF!</v>
      </c>
      <c r="R441" t="e">
        <f>AND(#REF!,"AAAAAHu/7xE=")</f>
        <v>#REF!</v>
      </c>
      <c r="S441" t="e">
        <f>AND(#REF!,"AAAAAHu/7xI=")</f>
        <v>#REF!</v>
      </c>
      <c r="T441" t="e">
        <f>AND(#REF!,"AAAAAHu/7xM=")</f>
        <v>#REF!</v>
      </c>
      <c r="U441" t="e">
        <f>AND(#REF!,"AAAAAHu/7xQ=")</f>
        <v>#REF!</v>
      </c>
      <c r="V441" t="e">
        <f>AND(#REF!,"AAAAAHu/7xU=")</f>
        <v>#REF!</v>
      </c>
      <c r="W441" t="e">
        <f>AND(#REF!,"AAAAAHu/7xY=")</f>
        <v>#REF!</v>
      </c>
      <c r="X441" t="e">
        <f>AND(#REF!,"AAAAAHu/7xc=")</f>
        <v>#REF!</v>
      </c>
      <c r="Y441" t="e">
        <f>AND(#REF!,"AAAAAHu/7xg=")</f>
        <v>#REF!</v>
      </c>
      <c r="Z441" t="e">
        <f>IF(#REF!,"AAAAAHu/7xk=",0)</f>
        <v>#REF!</v>
      </c>
      <c r="AA441" t="e">
        <f>AND(#REF!,"AAAAAHu/7xo=")</f>
        <v>#REF!</v>
      </c>
      <c r="AB441" t="e">
        <f>AND(#REF!,"AAAAAHu/7xs=")</f>
        <v>#REF!</v>
      </c>
      <c r="AC441" t="e">
        <f>AND(#REF!,"AAAAAHu/7xw=")</f>
        <v>#REF!</v>
      </c>
      <c r="AD441" t="e">
        <f>AND(#REF!,"AAAAAHu/7x0=")</f>
        <v>#REF!</v>
      </c>
      <c r="AE441" t="e">
        <f>AND(#REF!,"AAAAAHu/7x4=")</f>
        <v>#REF!</v>
      </c>
      <c r="AF441" t="e">
        <f>AND(#REF!,"AAAAAHu/7x8=")</f>
        <v>#REF!</v>
      </c>
      <c r="AG441" t="e">
        <f>AND(#REF!,"AAAAAHu/7yA=")</f>
        <v>#REF!</v>
      </c>
      <c r="AH441" t="e">
        <f>AND(#REF!,"AAAAAHu/7yE=")</f>
        <v>#REF!</v>
      </c>
      <c r="AI441" t="e">
        <f>AND(#REF!,"AAAAAHu/7yI=")</f>
        <v>#REF!</v>
      </c>
      <c r="AJ441" t="e">
        <f>AND(#REF!,"AAAAAHu/7yM=")</f>
        <v>#REF!</v>
      </c>
      <c r="AK441" t="e">
        <f>IF(#REF!,"AAAAAHu/7yQ=",0)</f>
        <v>#REF!</v>
      </c>
      <c r="AL441" t="e">
        <f>AND(#REF!,"AAAAAHu/7yU=")</f>
        <v>#REF!</v>
      </c>
      <c r="AM441" t="e">
        <f>AND(#REF!,"AAAAAHu/7yY=")</f>
        <v>#REF!</v>
      </c>
      <c r="AN441" t="e">
        <f>AND(#REF!,"AAAAAHu/7yc=")</f>
        <v>#REF!</v>
      </c>
      <c r="AO441" t="e">
        <f>AND(#REF!,"AAAAAHu/7yg=")</f>
        <v>#REF!</v>
      </c>
      <c r="AP441" t="e">
        <f>AND(#REF!,"AAAAAHu/7yk=")</f>
        <v>#REF!</v>
      </c>
      <c r="AQ441" t="e">
        <f>AND(#REF!,"AAAAAHu/7yo=")</f>
        <v>#REF!</v>
      </c>
      <c r="AR441" t="e">
        <f>AND(#REF!,"AAAAAHu/7ys=")</f>
        <v>#REF!</v>
      </c>
      <c r="AS441" t="e">
        <f>AND(#REF!,"AAAAAHu/7yw=")</f>
        <v>#REF!</v>
      </c>
      <c r="AT441" t="e">
        <f>AND(#REF!,"AAAAAHu/7y0=")</f>
        <v>#REF!</v>
      </c>
      <c r="AU441" t="e">
        <f>AND(#REF!,"AAAAAHu/7y4=")</f>
        <v>#REF!</v>
      </c>
      <c r="AV441" t="e">
        <f>IF(#REF!,"AAAAAHu/7y8=",0)</f>
        <v>#REF!</v>
      </c>
      <c r="AW441" t="e">
        <f>AND(#REF!,"AAAAAHu/7zA=")</f>
        <v>#REF!</v>
      </c>
      <c r="AX441" t="e">
        <f>AND(#REF!,"AAAAAHu/7zE=")</f>
        <v>#REF!</v>
      </c>
      <c r="AY441" t="e">
        <f>AND(#REF!,"AAAAAHu/7zI=")</f>
        <v>#REF!</v>
      </c>
      <c r="AZ441" t="e">
        <f>AND(#REF!,"AAAAAHu/7zM=")</f>
        <v>#REF!</v>
      </c>
      <c r="BA441" t="e">
        <f>AND(#REF!,"AAAAAHu/7zQ=")</f>
        <v>#REF!</v>
      </c>
      <c r="BB441" t="e">
        <f>AND(#REF!,"AAAAAHu/7zU=")</f>
        <v>#REF!</v>
      </c>
      <c r="BC441" t="e">
        <f>AND(#REF!,"AAAAAHu/7zY=")</f>
        <v>#REF!</v>
      </c>
      <c r="BD441" t="e">
        <f>AND(#REF!,"AAAAAHu/7zc=")</f>
        <v>#REF!</v>
      </c>
      <c r="BE441" t="e">
        <f>AND(#REF!,"AAAAAHu/7zg=")</f>
        <v>#REF!</v>
      </c>
      <c r="BF441" t="e">
        <f>AND(#REF!,"AAAAAHu/7zk=")</f>
        <v>#REF!</v>
      </c>
      <c r="BG441" t="e">
        <f>IF(#REF!,"AAAAAHu/7zo=",0)</f>
        <v>#REF!</v>
      </c>
      <c r="BH441" t="e">
        <f>AND(#REF!,"AAAAAHu/7zs=")</f>
        <v>#REF!</v>
      </c>
      <c r="BI441" t="e">
        <f>AND(#REF!,"AAAAAHu/7zw=")</f>
        <v>#REF!</v>
      </c>
      <c r="BJ441" t="e">
        <f>AND(#REF!,"AAAAAHu/7z0=")</f>
        <v>#REF!</v>
      </c>
      <c r="BK441" t="e">
        <f>AND(#REF!,"AAAAAHu/7z4=")</f>
        <v>#REF!</v>
      </c>
      <c r="BL441" t="e">
        <f>AND(#REF!,"AAAAAHu/7z8=")</f>
        <v>#REF!</v>
      </c>
      <c r="BM441" t="e">
        <f>AND(#REF!,"AAAAAHu/70A=")</f>
        <v>#REF!</v>
      </c>
      <c r="BN441" t="e">
        <f>AND(#REF!,"AAAAAHu/70E=")</f>
        <v>#REF!</v>
      </c>
      <c r="BO441" t="e">
        <f>AND(#REF!,"AAAAAHu/70I=")</f>
        <v>#REF!</v>
      </c>
      <c r="BP441" t="e">
        <f>AND(#REF!,"AAAAAHu/70M=")</f>
        <v>#REF!</v>
      </c>
      <c r="BQ441" t="e">
        <f>AND(#REF!,"AAAAAHu/70Q=")</f>
        <v>#REF!</v>
      </c>
      <c r="BR441" t="e">
        <f>IF(#REF!,"AAAAAHu/70U=",0)</f>
        <v>#REF!</v>
      </c>
      <c r="BS441" t="e">
        <f>AND(#REF!,"AAAAAHu/70Y=")</f>
        <v>#REF!</v>
      </c>
      <c r="BT441" t="e">
        <f>AND(#REF!,"AAAAAHu/70c=")</f>
        <v>#REF!</v>
      </c>
      <c r="BU441" t="e">
        <f>AND(#REF!,"AAAAAHu/70g=")</f>
        <v>#REF!</v>
      </c>
      <c r="BV441" t="e">
        <f>AND(#REF!,"AAAAAHu/70k=")</f>
        <v>#REF!</v>
      </c>
      <c r="BW441" t="e">
        <f>AND(#REF!,"AAAAAHu/70o=")</f>
        <v>#REF!</v>
      </c>
      <c r="BX441" t="e">
        <f>AND(#REF!,"AAAAAHu/70s=")</f>
        <v>#REF!</v>
      </c>
      <c r="BY441" t="e">
        <f>AND(#REF!,"AAAAAHu/70w=")</f>
        <v>#REF!</v>
      </c>
      <c r="BZ441" t="e">
        <f>AND(#REF!,"AAAAAHu/700=")</f>
        <v>#REF!</v>
      </c>
      <c r="CA441" t="e">
        <f>AND(#REF!,"AAAAAHu/704=")</f>
        <v>#REF!</v>
      </c>
      <c r="CB441" t="e">
        <f>AND(#REF!,"AAAAAHu/708=")</f>
        <v>#REF!</v>
      </c>
      <c r="CC441" t="e">
        <f>IF(#REF!,"AAAAAHu/71A=",0)</f>
        <v>#REF!</v>
      </c>
      <c r="CD441" t="e">
        <f>AND(#REF!,"AAAAAHu/71E=")</f>
        <v>#REF!</v>
      </c>
      <c r="CE441" t="e">
        <f>AND(#REF!,"AAAAAHu/71I=")</f>
        <v>#REF!</v>
      </c>
      <c r="CF441" t="e">
        <f>AND(#REF!,"AAAAAHu/71M=")</f>
        <v>#REF!</v>
      </c>
      <c r="CG441" t="e">
        <f>AND(#REF!,"AAAAAHu/71Q=")</f>
        <v>#REF!</v>
      </c>
      <c r="CH441" t="e">
        <f>AND(#REF!,"AAAAAHu/71U=")</f>
        <v>#REF!</v>
      </c>
      <c r="CI441" t="e">
        <f>AND(#REF!,"AAAAAHu/71Y=")</f>
        <v>#REF!</v>
      </c>
      <c r="CJ441" t="e">
        <f>AND(#REF!,"AAAAAHu/71c=")</f>
        <v>#REF!</v>
      </c>
      <c r="CK441" t="e">
        <f>AND(#REF!,"AAAAAHu/71g=")</f>
        <v>#REF!</v>
      </c>
      <c r="CL441" t="e">
        <f>AND(#REF!,"AAAAAHu/71k=")</f>
        <v>#REF!</v>
      </c>
      <c r="CM441" t="e">
        <f>AND(#REF!,"AAAAAHu/71o=")</f>
        <v>#REF!</v>
      </c>
      <c r="CN441" t="e">
        <f>IF(#REF!,"AAAAAHu/71s=",0)</f>
        <v>#REF!</v>
      </c>
      <c r="CO441" t="e">
        <f>AND(#REF!,"AAAAAHu/71w=")</f>
        <v>#REF!</v>
      </c>
      <c r="CP441" t="e">
        <f>AND(#REF!,"AAAAAHu/710=")</f>
        <v>#REF!</v>
      </c>
      <c r="CQ441" t="e">
        <f>AND(#REF!,"AAAAAHu/714=")</f>
        <v>#REF!</v>
      </c>
      <c r="CR441" t="e">
        <f>AND(#REF!,"AAAAAHu/718=")</f>
        <v>#REF!</v>
      </c>
      <c r="CS441" t="e">
        <f>AND(#REF!,"AAAAAHu/72A=")</f>
        <v>#REF!</v>
      </c>
      <c r="CT441" t="e">
        <f>AND(#REF!,"AAAAAHu/72E=")</f>
        <v>#REF!</v>
      </c>
      <c r="CU441" t="e">
        <f>AND(#REF!,"AAAAAHu/72I=")</f>
        <v>#REF!</v>
      </c>
      <c r="CV441" t="e">
        <f>AND(#REF!,"AAAAAHu/72M=")</f>
        <v>#REF!</v>
      </c>
      <c r="CW441" t="e">
        <f>AND(#REF!,"AAAAAHu/72Q=")</f>
        <v>#REF!</v>
      </c>
      <c r="CX441" t="e">
        <f>AND(#REF!,"AAAAAHu/72U=")</f>
        <v>#REF!</v>
      </c>
      <c r="CY441" t="e">
        <f>IF(#REF!,"AAAAAHu/72Y=",0)</f>
        <v>#REF!</v>
      </c>
      <c r="CZ441" t="e">
        <f>AND(#REF!,"AAAAAHu/72c=")</f>
        <v>#REF!</v>
      </c>
      <c r="DA441" t="e">
        <f>AND(#REF!,"AAAAAHu/72g=")</f>
        <v>#REF!</v>
      </c>
      <c r="DB441" t="e">
        <f>AND(#REF!,"AAAAAHu/72k=")</f>
        <v>#REF!</v>
      </c>
      <c r="DC441" t="e">
        <f>AND(#REF!,"AAAAAHu/72o=")</f>
        <v>#REF!</v>
      </c>
      <c r="DD441" t="e">
        <f>AND(#REF!,"AAAAAHu/72s=")</f>
        <v>#REF!</v>
      </c>
      <c r="DE441" t="e">
        <f>AND(#REF!,"AAAAAHu/72w=")</f>
        <v>#REF!</v>
      </c>
      <c r="DF441" t="e">
        <f>AND(#REF!,"AAAAAHu/720=")</f>
        <v>#REF!</v>
      </c>
      <c r="DG441" t="e">
        <f>AND(#REF!,"AAAAAHu/724=")</f>
        <v>#REF!</v>
      </c>
      <c r="DH441" t="e">
        <f>AND(#REF!,"AAAAAHu/728=")</f>
        <v>#REF!</v>
      </c>
      <c r="DI441" t="e">
        <f>AND(#REF!,"AAAAAHu/73A=")</f>
        <v>#REF!</v>
      </c>
      <c r="DJ441" t="e">
        <f>IF(#REF!,"AAAAAHu/73E=",0)</f>
        <v>#REF!</v>
      </c>
      <c r="DK441" t="e">
        <f>AND(#REF!,"AAAAAHu/73I=")</f>
        <v>#REF!</v>
      </c>
      <c r="DL441" t="e">
        <f>AND(#REF!,"AAAAAHu/73M=")</f>
        <v>#REF!</v>
      </c>
      <c r="DM441" t="e">
        <f>AND(#REF!,"AAAAAHu/73Q=")</f>
        <v>#REF!</v>
      </c>
      <c r="DN441" t="e">
        <f>AND(#REF!,"AAAAAHu/73U=")</f>
        <v>#REF!</v>
      </c>
      <c r="DO441" t="e">
        <f>AND(#REF!,"AAAAAHu/73Y=")</f>
        <v>#REF!</v>
      </c>
      <c r="DP441" t="e">
        <f>AND(#REF!,"AAAAAHu/73c=")</f>
        <v>#REF!</v>
      </c>
      <c r="DQ441" t="e">
        <f>AND(#REF!,"AAAAAHu/73g=")</f>
        <v>#REF!</v>
      </c>
      <c r="DR441" t="e">
        <f>AND(#REF!,"AAAAAHu/73k=")</f>
        <v>#REF!</v>
      </c>
      <c r="DS441" t="e">
        <f>AND(#REF!,"AAAAAHu/73o=")</f>
        <v>#REF!</v>
      </c>
      <c r="DT441" t="e">
        <f>AND(#REF!,"AAAAAHu/73s=")</f>
        <v>#REF!</v>
      </c>
      <c r="DU441" t="e">
        <f>IF(#REF!,"AAAAAHu/73w=",0)</f>
        <v>#REF!</v>
      </c>
      <c r="DV441" t="e">
        <f>AND(#REF!,"AAAAAHu/730=")</f>
        <v>#REF!</v>
      </c>
      <c r="DW441" t="e">
        <f>AND(#REF!,"AAAAAHu/734=")</f>
        <v>#REF!</v>
      </c>
      <c r="DX441" t="e">
        <f>AND(#REF!,"AAAAAHu/738=")</f>
        <v>#REF!</v>
      </c>
      <c r="DY441" t="e">
        <f>AND(#REF!,"AAAAAHu/74A=")</f>
        <v>#REF!</v>
      </c>
      <c r="DZ441" t="e">
        <f>AND(#REF!,"AAAAAHu/74E=")</f>
        <v>#REF!</v>
      </c>
      <c r="EA441" t="e">
        <f>AND(#REF!,"AAAAAHu/74I=")</f>
        <v>#REF!</v>
      </c>
      <c r="EB441" t="e">
        <f>AND(#REF!,"AAAAAHu/74M=")</f>
        <v>#REF!</v>
      </c>
      <c r="EC441" t="e">
        <f>AND(#REF!,"AAAAAHu/74Q=")</f>
        <v>#REF!</v>
      </c>
      <c r="ED441" t="e">
        <f>AND(#REF!,"AAAAAHu/74U=")</f>
        <v>#REF!</v>
      </c>
      <c r="EE441" t="e">
        <f>AND(#REF!,"AAAAAHu/74Y=")</f>
        <v>#REF!</v>
      </c>
      <c r="EF441" t="e">
        <f>IF(#REF!,"AAAAAHu/74c=",0)</f>
        <v>#REF!</v>
      </c>
      <c r="EG441" t="e">
        <f>AND(#REF!,"AAAAAHu/74g=")</f>
        <v>#REF!</v>
      </c>
      <c r="EH441" t="e">
        <f>AND(#REF!,"AAAAAHu/74k=")</f>
        <v>#REF!</v>
      </c>
      <c r="EI441" t="e">
        <f>AND(#REF!,"AAAAAHu/74o=")</f>
        <v>#REF!</v>
      </c>
      <c r="EJ441" t="e">
        <f>AND(#REF!,"AAAAAHu/74s=")</f>
        <v>#REF!</v>
      </c>
      <c r="EK441" t="e">
        <f>AND(#REF!,"AAAAAHu/74w=")</f>
        <v>#REF!</v>
      </c>
      <c r="EL441" t="e">
        <f>AND(#REF!,"AAAAAHu/740=")</f>
        <v>#REF!</v>
      </c>
      <c r="EM441" t="e">
        <f>AND(#REF!,"AAAAAHu/744=")</f>
        <v>#REF!</v>
      </c>
      <c r="EN441" t="e">
        <f>AND(#REF!,"AAAAAHu/748=")</f>
        <v>#REF!</v>
      </c>
      <c r="EO441" t="e">
        <f>AND(#REF!,"AAAAAHu/75A=")</f>
        <v>#REF!</v>
      </c>
      <c r="EP441" t="e">
        <f>AND(#REF!,"AAAAAHu/75E=")</f>
        <v>#REF!</v>
      </c>
      <c r="EQ441" t="e">
        <f>IF(#REF!,"AAAAAHu/75I=",0)</f>
        <v>#REF!</v>
      </c>
      <c r="ER441" t="e">
        <f>AND(#REF!,"AAAAAHu/75M=")</f>
        <v>#REF!</v>
      </c>
      <c r="ES441" t="e">
        <f>AND(#REF!,"AAAAAHu/75Q=")</f>
        <v>#REF!</v>
      </c>
      <c r="ET441" t="e">
        <f>AND(#REF!,"AAAAAHu/75U=")</f>
        <v>#REF!</v>
      </c>
      <c r="EU441" t="e">
        <f>AND(#REF!,"AAAAAHu/75Y=")</f>
        <v>#REF!</v>
      </c>
      <c r="EV441" t="e">
        <f>AND(#REF!,"AAAAAHu/75c=")</f>
        <v>#REF!</v>
      </c>
      <c r="EW441" t="e">
        <f>AND(#REF!,"AAAAAHu/75g=")</f>
        <v>#REF!</v>
      </c>
      <c r="EX441" t="e">
        <f>AND(#REF!,"AAAAAHu/75k=")</f>
        <v>#REF!</v>
      </c>
      <c r="EY441" t="e">
        <f>AND(#REF!,"AAAAAHu/75o=")</f>
        <v>#REF!</v>
      </c>
      <c r="EZ441" t="e">
        <f>AND(#REF!,"AAAAAHu/75s=")</f>
        <v>#REF!</v>
      </c>
      <c r="FA441" t="e">
        <f>AND(#REF!,"AAAAAHu/75w=")</f>
        <v>#REF!</v>
      </c>
      <c r="FB441" t="e">
        <f>IF(#REF!,"AAAAAHu/750=",0)</f>
        <v>#REF!</v>
      </c>
      <c r="FC441" t="e">
        <f>AND(#REF!,"AAAAAHu/754=")</f>
        <v>#REF!</v>
      </c>
      <c r="FD441" t="e">
        <f>AND(#REF!,"AAAAAHu/758=")</f>
        <v>#REF!</v>
      </c>
      <c r="FE441" t="e">
        <f>AND(#REF!,"AAAAAHu/76A=")</f>
        <v>#REF!</v>
      </c>
      <c r="FF441" t="e">
        <f>AND(#REF!,"AAAAAHu/76E=")</f>
        <v>#REF!</v>
      </c>
      <c r="FG441" t="e">
        <f>AND(#REF!,"AAAAAHu/76I=")</f>
        <v>#REF!</v>
      </c>
      <c r="FH441" t="e">
        <f>AND(#REF!,"AAAAAHu/76M=")</f>
        <v>#REF!</v>
      </c>
      <c r="FI441" t="e">
        <f>AND(#REF!,"AAAAAHu/76Q=")</f>
        <v>#REF!</v>
      </c>
      <c r="FJ441" t="e">
        <f>AND(#REF!,"AAAAAHu/76U=")</f>
        <v>#REF!</v>
      </c>
      <c r="FK441" t="e">
        <f>AND(#REF!,"AAAAAHu/76Y=")</f>
        <v>#REF!</v>
      </c>
      <c r="FL441" t="e">
        <f>AND(#REF!,"AAAAAHu/76c=")</f>
        <v>#REF!</v>
      </c>
      <c r="FM441" t="e">
        <f>IF(#REF!,"AAAAAHu/76g=",0)</f>
        <v>#REF!</v>
      </c>
      <c r="FN441" t="e">
        <f>AND(#REF!,"AAAAAHu/76k=")</f>
        <v>#REF!</v>
      </c>
      <c r="FO441" t="e">
        <f>AND(#REF!,"AAAAAHu/76o=")</f>
        <v>#REF!</v>
      </c>
      <c r="FP441" t="e">
        <f>AND(#REF!,"AAAAAHu/76s=")</f>
        <v>#REF!</v>
      </c>
      <c r="FQ441" t="e">
        <f>AND(#REF!,"AAAAAHu/76w=")</f>
        <v>#REF!</v>
      </c>
      <c r="FR441" t="e">
        <f>AND(#REF!,"AAAAAHu/760=")</f>
        <v>#REF!</v>
      </c>
      <c r="FS441" t="e">
        <f>AND(#REF!,"AAAAAHu/764=")</f>
        <v>#REF!</v>
      </c>
      <c r="FT441" t="e">
        <f>AND(#REF!,"AAAAAHu/768=")</f>
        <v>#REF!</v>
      </c>
      <c r="FU441" t="e">
        <f>AND(#REF!,"AAAAAHu/77A=")</f>
        <v>#REF!</v>
      </c>
      <c r="FV441" t="e">
        <f>AND(#REF!,"AAAAAHu/77E=")</f>
        <v>#REF!</v>
      </c>
      <c r="FW441" t="e">
        <f>AND(#REF!,"AAAAAHu/77I=")</f>
        <v>#REF!</v>
      </c>
      <c r="FX441" t="e">
        <f>IF(#REF!,"AAAAAHu/77M=",0)</f>
        <v>#REF!</v>
      </c>
      <c r="FY441" t="e">
        <f>AND(#REF!,"AAAAAHu/77Q=")</f>
        <v>#REF!</v>
      </c>
      <c r="FZ441" t="e">
        <f>AND(#REF!,"AAAAAHu/77U=")</f>
        <v>#REF!</v>
      </c>
      <c r="GA441" t="e">
        <f>AND(#REF!,"AAAAAHu/77Y=")</f>
        <v>#REF!</v>
      </c>
      <c r="GB441" t="e">
        <f>AND(#REF!,"AAAAAHu/77c=")</f>
        <v>#REF!</v>
      </c>
      <c r="GC441" t="e">
        <f>AND(#REF!,"AAAAAHu/77g=")</f>
        <v>#REF!</v>
      </c>
      <c r="GD441" t="e">
        <f>AND(#REF!,"AAAAAHu/77k=")</f>
        <v>#REF!</v>
      </c>
      <c r="GE441" t="e">
        <f>AND(#REF!,"AAAAAHu/77o=")</f>
        <v>#REF!</v>
      </c>
      <c r="GF441" t="e">
        <f>AND(#REF!,"AAAAAHu/77s=")</f>
        <v>#REF!</v>
      </c>
      <c r="GG441" t="e">
        <f>AND(#REF!,"AAAAAHu/77w=")</f>
        <v>#REF!</v>
      </c>
      <c r="GH441" t="e">
        <f>AND(#REF!,"AAAAAHu/770=")</f>
        <v>#REF!</v>
      </c>
      <c r="GI441" t="e">
        <f>IF(#REF!,"AAAAAHu/774=",0)</f>
        <v>#REF!</v>
      </c>
      <c r="GJ441" t="e">
        <f>AND(#REF!,"AAAAAHu/778=")</f>
        <v>#REF!</v>
      </c>
      <c r="GK441" t="e">
        <f>AND(#REF!,"AAAAAHu/78A=")</f>
        <v>#REF!</v>
      </c>
      <c r="GL441" t="e">
        <f>AND(#REF!,"AAAAAHu/78E=")</f>
        <v>#REF!</v>
      </c>
      <c r="GM441" t="e">
        <f>AND(#REF!,"AAAAAHu/78I=")</f>
        <v>#REF!</v>
      </c>
      <c r="GN441" t="e">
        <f>AND(#REF!,"AAAAAHu/78M=")</f>
        <v>#REF!</v>
      </c>
      <c r="GO441" t="e">
        <f>AND(#REF!,"AAAAAHu/78Q=")</f>
        <v>#REF!</v>
      </c>
      <c r="GP441" t="e">
        <f>AND(#REF!,"AAAAAHu/78U=")</f>
        <v>#REF!</v>
      </c>
      <c r="GQ441" t="e">
        <f>AND(#REF!,"AAAAAHu/78Y=")</f>
        <v>#REF!</v>
      </c>
      <c r="GR441" t="e">
        <f>AND(#REF!,"AAAAAHu/78c=")</f>
        <v>#REF!</v>
      </c>
      <c r="GS441" t="e">
        <f>AND(#REF!,"AAAAAHu/78g=")</f>
        <v>#REF!</v>
      </c>
      <c r="GT441" t="e">
        <f>IF(#REF!,"AAAAAHu/78k=",0)</f>
        <v>#REF!</v>
      </c>
      <c r="GU441" t="e">
        <f>AND(#REF!,"AAAAAHu/78o=")</f>
        <v>#REF!</v>
      </c>
      <c r="GV441" t="e">
        <f>AND(#REF!,"AAAAAHu/78s=")</f>
        <v>#REF!</v>
      </c>
      <c r="GW441" t="e">
        <f>AND(#REF!,"AAAAAHu/78w=")</f>
        <v>#REF!</v>
      </c>
      <c r="GX441" t="e">
        <f>AND(#REF!,"AAAAAHu/780=")</f>
        <v>#REF!</v>
      </c>
      <c r="GY441" t="e">
        <f>AND(#REF!,"AAAAAHu/784=")</f>
        <v>#REF!</v>
      </c>
      <c r="GZ441" t="e">
        <f>AND(#REF!,"AAAAAHu/788=")</f>
        <v>#REF!</v>
      </c>
      <c r="HA441" t="e">
        <f>AND(#REF!,"AAAAAHu/79A=")</f>
        <v>#REF!</v>
      </c>
      <c r="HB441" t="e">
        <f>AND(#REF!,"AAAAAHu/79E=")</f>
        <v>#REF!</v>
      </c>
      <c r="HC441" t="e">
        <f>AND(#REF!,"AAAAAHu/79I=")</f>
        <v>#REF!</v>
      </c>
      <c r="HD441" t="e">
        <f>AND(#REF!,"AAAAAHu/79M=")</f>
        <v>#REF!</v>
      </c>
      <c r="HE441" t="e">
        <f>IF(#REF!,"AAAAAHu/79Q=",0)</f>
        <v>#REF!</v>
      </c>
      <c r="HF441" t="e">
        <f>AND(#REF!,"AAAAAHu/79U=")</f>
        <v>#REF!</v>
      </c>
      <c r="HG441" t="e">
        <f>AND(#REF!,"AAAAAHu/79Y=")</f>
        <v>#REF!</v>
      </c>
      <c r="HH441" t="e">
        <f>AND(#REF!,"AAAAAHu/79c=")</f>
        <v>#REF!</v>
      </c>
      <c r="HI441" t="e">
        <f>AND(#REF!,"AAAAAHu/79g=")</f>
        <v>#REF!</v>
      </c>
      <c r="HJ441" t="e">
        <f>AND(#REF!,"AAAAAHu/79k=")</f>
        <v>#REF!</v>
      </c>
      <c r="HK441" t="e">
        <f>AND(#REF!,"AAAAAHu/79o=")</f>
        <v>#REF!</v>
      </c>
      <c r="HL441" t="e">
        <f>AND(#REF!,"AAAAAHu/79s=")</f>
        <v>#REF!</v>
      </c>
      <c r="HM441" t="e">
        <f>AND(#REF!,"AAAAAHu/79w=")</f>
        <v>#REF!</v>
      </c>
      <c r="HN441" t="e">
        <f>AND(#REF!,"AAAAAHu/790=")</f>
        <v>#REF!</v>
      </c>
      <c r="HO441" t="e">
        <f>AND(#REF!,"AAAAAHu/794=")</f>
        <v>#REF!</v>
      </c>
      <c r="HP441" t="e">
        <f>IF(#REF!,"AAAAAHu/798=",0)</f>
        <v>#REF!</v>
      </c>
      <c r="HQ441" t="e">
        <f>AND(#REF!,"AAAAAHu/7+A=")</f>
        <v>#REF!</v>
      </c>
      <c r="HR441" t="e">
        <f>AND(#REF!,"AAAAAHu/7+E=")</f>
        <v>#REF!</v>
      </c>
      <c r="HS441" t="e">
        <f>AND(#REF!,"AAAAAHu/7+I=")</f>
        <v>#REF!</v>
      </c>
      <c r="HT441" t="e">
        <f>AND(#REF!,"AAAAAHu/7+M=")</f>
        <v>#REF!</v>
      </c>
      <c r="HU441" t="e">
        <f>AND(#REF!,"AAAAAHu/7+Q=")</f>
        <v>#REF!</v>
      </c>
      <c r="HV441" t="e">
        <f>AND(#REF!,"AAAAAHu/7+U=")</f>
        <v>#REF!</v>
      </c>
      <c r="HW441" t="e">
        <f>AND(#REF!,"AAAAAHu/7+Y=")</f>
        <v>#REF!</v>
      </c>
      <c r="HX441" t="e">
        <f>AND(#REF!,"AAAAAHu/7+c=")</f>
        <v>#REF!</v>
      </c>
      <c r="HY441" t="e">
        <f>AND(#REF!,"AAAAAHu/7+g=")</f>
        <v>#REF!</v>
      </c>
      <c r="HZ441" t="e">
        <f>AND(#REF!,"AAAAAHu/7+k=")</f>
        <v>#REF!</v>
      </c>
      <c r="IA441" t="e">
        <f>IF(#REF!,"AAAAAHu/7+o=",0)</f>
        <v>#REF!</v>
      </c>
      <c r="IB441" t="e">
        <f>AND(#REF!,"AAAAAHu/7+s=")</f>
        <v>#REF!</v>
      </c>
      <c r="IC441" t="e">
        <f>AND(#REF!,"AAAAAHu/7+w=")</f>
        <v>#REF!</v>
      </c>
      <c r="ID441" t="e">
        <f>AND(#REF!,"AAAAAHu/7+0=")</f>
        <v>#REF!</v>
      </c>
      <c r="IE441" t="e">
        <f>AND(#REF!,"AAAAAHu/7+4=")</f>
        <v>#REF!</v>
      </c>
      <c r="IF441" t="e">
        <f>AND(#REF!,"AAAAAHu/7+8=")</f>
        <v>#REF!</v>
      </c>
      <c r="IG441" t="e">
        <f>AND(#REF!,"AAAAAHu/7/A=")</f>
        <v>#REF!</v>
      </c>
      <c r="IH441" t="e">
        <f>AND(#REF!,"AAAAAHu/7/E=")</f>
        <v>#REF!</v>
      </c>
      <c r="II441" t="e">
        <f>AND(#REF!,"AAAAAHu/7/I=")</f>
        <v>#REF!</v>
      </c>
      <c r="IJ441" t="e">
        <f>AND(#REF!,"AAAAAHu/7/M=")</f>
        <v>#REF!</v>
      </c>
      <c r="IK441" t="e">
        <f>AND(#REF!,"AAAAAHu/7/Q=")</f>
        <v>#REF!</v>
      </c>
      <c r="IL441" t="e">
        <f>IF(#REF!,"AAAAAHu/7/U=",0)</f>
        <v>#REF!</v>
      </c>
      <c r="IM441" t="e">
        <f>AND(#REF!,"AAAAAHu/7/Y=")</f>
        <v>#REF!</v>
      </c>
      <c r="IN441" t="e">
        <f>AND(#REF!,"AAAAAHu/7/c=")</f>
        <v>#REF!</v>
      </c>
      <c r="IO441" t="e">
        <f>AND(#REF!,"AAAAAHu/7/g=")</f>
        <v>#REF!</v>
      </c>
      <c r="IP441" t="e">
        <f>AND(#REF!,"AAAAAHu/7/k=")</f>
        <v>#REF!</v>
      </c>
      <c r="IQ441" t="e">
        <f>AND(#REF!,"AAAAAHu/7/o=")</f>
        <v>#REF!</v>
      </c>
      <c r="IR441" t="e">
        <f>AND(#REF!,"AAAAAHu/7/s=")</f>
        <v>#REF!</v>
      </c>
      <c r="IS441" t="e">
        <f>AND(#REF!,"AAAAAHu/7/w=")</f>
        <v>#REF!</v>
      </c>
      <c r="IT441" t="e">
        <f>AND(#REF!,"AAAAAHu/7/0=")</f>
        <v>#REF!</v>
      </c>
      <c r="IU441" t="e">
        <f>AND(#REF!,"AAAAAHu/7/4=")</f>
        <v>#REF!</v>
      </c>
      <c r="IV441" t="e">
        <f>AND(#REF!,"AAAAAHu/7/8=")</f>
        <v>#REF!</v>
      </c>
    </row>
    <row r="442" spans="1:256" x14ac:dyDescent="0.25">
      <c r="A442" t="e">
        <f>IF(#REF!,"AAAAAG5dtwA=",0)</f>
        <v>#REF!</v>
      </c>
      <c r="B442" t="e">
        <f>AND(#REF!,"AAAAAG5dtwE=")</f>
        <v>#REF!</v>
      </c>
      <c r="C442" t="e">
        <f>AND(#REF!,"AAAAAG5dtwI=")</f>
        <v>#REF!</v>
      </c>
      <c r="D442" t="e">
        <f>AND(#REF!,"AAAAAG5dtwM=")</f>
        <v>#REF!</v>
      </c>
      <c r="E442" t="e">
        <f>AND(#REF!,"AAAAAG5dtwQ=")</f>
        <v>#REF!</v>
      </c>
      <c r="F442" t="e">
        <f>AND(#REF!,"AAAAAG5dtwU=")</f>
        <v>#REF!</v>
      </c>
      <c r="G442" t="e">
        <f>AND(#REF!,"AAAAAG5dtwY=")</f>
        <v>#REF!</v>
      </c>
      <c r="H442" t="e">
        <f>AND(#REF!,"AAAAAG5dtwc=")</f>
        <v>#REF!</v>
      </c>
      <c r="I442" t="e">
        <f>AND(#REF!,"AAAAAG5dtwg=")</f>
        <v>#REF!</v>
      </c>
      <c r="J442" t="e">
        <f>AND(#REF!,"AAAAAG5dtwk=")</f>
        <v>#REF!</v>
      </c>
      <c r="K442" t="e">
        <f>AND(#REF!,"AAAAAG5dtwo=")</f>
        <v>#REF!</v>
      </c>
      <c r="L442" t="e">
        <f>IF(#REF!,"AAAAAG5dtws=",0)</f>
        <v>#REF!</v>
      </c>
      <c r="M442" t="e">
        <f>AND(#REF!,"AAAAAG5dtww=")</f>
        <v>#REF!</v>
      </c>
      <c r="N442" t="e">
        <f>AND(#REF!,"AAAAAG5dtw0=")</f>
        <v>#REF!</v>
      </c>
      <c r="O442" t="e">
        <f>AND(#REF!,"AAAAAG5dtw4=")</f>
        <v>#REF!</v>
      </c>
      <c r="P442" t="e">
        <f>AND(#REF!,"AAAAAG5dtw8=")</f>
        <v>#REF!</v>
      </c>
      <c r="Q442" t="e">
        <f>AND(#REF!,"AAAAAG5dtxA=")</f>
        <v>#REF!</v>
      </c>
      <c r="R442" t="e">
        <f>AND(#REF!,"AAAAAG5dtxE=")</f>
        <v>#REF!</v>
      </c>
      <c r="S442" t="e">
        <f>AND(#REF!,"AAAAAG5dtxI=")</f>
        <v>#REF!</v>
      </c>
      <c r="T442" t="e">
        <f>AND(#REF!,"AAAAAG5dtxM=")</f>
        <v>#REF!</v>
      </c>
      <c r="U442" t="e">
        <f>AND(#REF!,"AAAAAG5dtxQ=")</f>
        <v>#REF!</v>
      </c>
      <c r="V442" t="e">
        <f>AND(#REF!,"AAAAAG5dtxU=")</f>
        <v>#REF!</v>
      </c>
      <c r="W442" t="e">
        <f>IF(#REF!,"AAAAAG5dtxY=",0)</f>
        <v>#REF!</v>
      </c>
      <c r="X442" t="e">
        <f>AND(#REF!,"AAAAAG5dtxc=")</f>
        <v>#REF!</v>
      </c>
      <c r="Y442" t="e">
        <f>AND(#REF!,"AAAAAG5dtxg=")</f>
        <v>#REF!</v>
      </c>
      <c r="Z442" t="e">
        <f>AND(#REF!,"AAAAAG5dtxk=")</f>
        <v>#REF!</v>
      </c>
      <c r="AA442" t="e">
        <f>AND(#REF!,"AAAAAG5dtxo=")</f>
        <v>#REF!</v>
      </c>
      <c r="AB442" t="e">
        <f>AND(#REF!,"AAAAAG5dtxs=")</f>
        <v>#REF!</v>
      </c>
      <c r="AC442" t="e">
        <f>AND(#REF!,"AAAAAG5dtxw=")</f>
        <v>#REF!</v>
      </c>
      <c r="AD442" t="e">
        <f>AND(#REF!,"AAAAAG5dtx0=")</f>
        <v>#REF!</v>
      </c>
      <c r="AE442" t="e">
        <f>AND(#REF!,"AAAAAG5dtx4=")</f>
        <v>#REF!</v>
      </c>
      <c r="AF442" t="e">
        <f>AND(#REF!,"AAAAAG5dtx8=")</f>
        <v>#REF!</v>
      </c>
      <c r="AG442" t="e">
        <f>AND(#REF!,"AAAAAG5dtyA=")</f>
        <v>#REF!</v>
      </c>
      <c r="AH442" t="e">
        <f>IF(#REF!,"AAAAAG5dtyE=",0)</f>
        <v>#REF!</v>
      </c>
      <c r="AI442" t="e">
        <f>AND(#REF!,"AAAAAG5dtyI=")</f>
        <v>#REF!</v>
      </c>
      <c r="AJ442" t="e">
        <f>AND(#REF!,"AAAAAG5dtyM=")</f>
        <v>#REF!</v>
      </c>
      <c r="AK442" t="e">
        <f>AND(#REF!,"AAAAAG5dtyQ=")</f>
        <v>#REF!</v>
      </c>
      <c r="AL442" t="e">
        <f>AND(#REF!,"AAAAAG5dtyU=")</f>
        <v>#REF!</v>
      </c>
      <c r="AM442" t="e">
        <f>AND(#REF!,"AAAAAG5dtyY=")</f>
        <v>#REF!</v>
      </c>
      <c r="AN442" t="e">
        <f>AND(#REF!,"AAAAAG5dtyc=")</f>
        <v>#REF!</v>
      </c>
      <c r="AO442" t="e">
        <f>AND(#REF!,"AAAAAG5dtyg=")</f>
        <v>#REF!</v>
      </c>
      <c r="AP442" t="e">
        <f>AND(#REF!,"AAAAAG5dtyk=")</f>
        <v>#REF!</v>
      </c>
      <c r="AQ442" t="e">
        <f>AND(#REF!,"AAAAAG5dtyo=")</f>
        <v>#REF!</v>
      </c>
      <c r="AR442" t="e">
        <f>AND(#REF!,"AAAAAG5dtys=")</f>
        <v>#REF!</v>
      </c>
      <c r="AS442" t="e">
        <f>IF(#REF!,"AAAAAG5dtyw=",0)</f>
        <v>#REF!</v>
      </c>
      <c r="AT442" t="e">
        <f>AND(#REF!,"AAAAAG5dty0=")</f>
        <v>#REF!</v>
      </c>
      <c r="AU442" t="e">
        <f>AND(#REF!,"AAAAAG5dty4=")</f>
        <v>#REF!</v>
      </c>
      <c r="AV442" t="e">
        <f>AND(#REF!,"AAAAAG5dty8=")</f>
        <v>#REF!</v>
      </c>
      <c r="AW442" t="e">
        <f>AND(#REF!,"AAAAAG5dtzA=")</f>
        <v>#REF!</v>
      </c>
      <c r="AX442" t="e">
        <f>AND(#REF!,"AAAAAG5dtzE=")</f>
        <v>#REF!</v>
      </c>
      <c r="AY442" t="e">
        <f>AND(#REF!,"AAAAAG5dtzI=")</f>
        <v>#REF!</v>
      </c>
      <c r="AZ442" t="e">
        <f>AND(#REF!,"AAAAAG5dtzM=")</f>
        <v>#REF!</v>
      </c>
      <c r="BA442" t="e">
        <f>AND(#REF!,"AAAAAG5dtzQ=")</f>
        <v>#REF!</v>
      </c>
      <c r="BB442" t="e">
        <f>AND(#REF!,"AAAAAG5dtzU=")</f>
        <v>#REF!</v>
      </c>
      <c r="BC442" t="e">
        <f>AND(#REF!,"AAAAAG5dtzY=")</f>
        <v>#REF!</v>
      </c>
      <c r="BD442" t="e">
        <f>IF(#REF!,"AAAAAG5dtzc=",0)</f>
        <v>#REF!</v>
      </c>
      <c r="BE442" t="e">
        <f>AND(#REF!,"AAAAAG5dtzg=")</f>
        <v>#REF!</v>
      </c>
      <c r="BF442" t="e">
        <f>AND(#REF!,"AAAAAG5dtzk=")</f>
        <v>#REF!</v>
      </c>
      <c r="BG442" t="e">
        <f>AND(#REF!,"AAAAAG5dtzo=")</f>
        <v>#REF!</v>
      </c>
      <c r="BH442" t="e">
        <f>AND(#REF!,"AAAAAG5dtzs=")</f>
        <v>#REF!</v>
      </c>
      <c r="BI442" t="e">
        <f>AND(#REF!,"AAAAAG5dtzw=")</f>
        <v>#REF!</v>
      </c>
      <c r="BJ442" t="e">
        <f>AND(#REF!,"AAAAAG5dtz0=")</f>
        <v>#REF!</v>
      </c>
      <c r="BK442" t="e">
        <f>AND(#REF!,"AAAAAG5dtz4=")</f>
        <v>#REF!</v>
      </c>
      <c r="BL442" t="e">
        <f>AND(#REF!,"AAAAAG5dtz8=")</f>
        <v>#REF!</v>
      </c>
      <c r="BM442" t="e">
        <f>AND(#REF!,"AAAAAG5dt0A=")</f>
        <v>#REF!</v>
      </c>
      <c r="BN442" t="e">
        <f>AND(#REF!,"AAAAAG5dt0E=")</f>
        <v>#REF!</v>
      </c>
      <c r="BO442" t="e">
        <f>IF(#REF!,"AAAAAG5dt0I=",0)</f>
        <v>#REF!</v>
      </c>
      <c r="BP442" t="e">
        <f>AND(#REF!,"AAAAAG5dt0M=")</f>
        <v>#REF!</v>
      </c>
      <c r="BQ442" t="e">
        <f>AND(#REF!,"AAAAAG5dt0Q=")</f>
        <v>#REF!</v>
      </c>
      <c r="BR442" t="e">
        <f>AND(#REF!,"AAAAAG5dt0U=")</f>
        <v>#REF!</v>
      </c>
      <c r="BS442" t="e">
        <f>AND(#REF!,"AAAAAG5dt0Y=")</f>
        <v>#REF!</v>
      </c>
      <c r="BT442" t="e">
        <f>AND(#REF!,"AAAAAG5dt0c=")</f>
        <v>#REF!</v>
      </c>
      <c r="BU442" t="e">
        <f>AND(#REF!,"AAAAAG5dt0g=")</f>
        <v>#REF!</v>
      </c>
      <c r="BV442" t="e">
        <f>AND(#REF!,"AAAAAG5dt0k=")</f>
        <v>#REF!</v>
      </c>
      <c r="BW442" t="e">
        <f>AND(#REF!,"AAAAAG5dt0o=")</f>
        <v>#REF!</v>
      </c>
      <c r="BX442" t="e">
        <f>AND(#REF!,"AAAAAG5dt0s=")</f>
        <v>#REF!</v>
      </c>
      <c r="BY442" t="e">
        <f>AND(#REF!,"AAAAAG5dt0w=")</f>
        <v>#REF!</v>
      </c>
      <c r="BZ442" t="e">
        <f>IF(#REF!,"AAAAAG5dt00=",0)</f>
        <v>#REF!</v>
      </c>
      <c r="CA442" t="e">
        <f>AND(#REF!,"AAAAAG5dt04=")</f>
        <v>#REF!</v>
      </c>
      <c r="CB442" t="e">
        <f>AND(#REF!,"AAAAAG5dt08=")</f>
        <v>#REF!</v>
      </c>
      <c r="CC442" t="e">
        <f>AND(#REF!,"AAAAAG5dt1A=")</f>
        <v>#REF!</v>
      </c>
      <c r="CD442" t="e">
        <f>AND(#REF!,"AAAAAG5dt1E=")</f>
        <v>#REF!</v>
      </c>
      <c r="CE442" t="e">
        <f>AND(#REF!,"AAAAAG5dt1I=")</f>
        <v>#REF!</v>
      </c>
      <c r="CF442" t="e">
        <f>AND(#REF!,"AAAAAG5dt1M=")</f>
        <v>#REF!</v>
      </c>
      <c r="CG442" t="e">
        <f>AND(#REF!,"AAAAAG5dt1Q=")</f>
        <v>#REF!</v>
      </c>
      <c r="CH442" t="e">
        <f>AND(#REF!,"AAAAAG5dt1U=")</f>
        <v>#REF!</v>
      </c>
      <c r="CI442" t="e">
        <f>AND(#REF!,"AAAAAG5dt1Y=")</f>
        <v>#REF!</v>
      </c>
      <c r="CJ442" t="e">
        <f>AND(#REF!,"AAAAAG5dt1c=")</f>
        <v>#REF!</v>
      </c>
      <c r="CK442" t="e">
        <f>IF(#REF!,"AAAAAG5dt1g=",0)</f>
        <v>#REF!</v>
      </c>
      <c r="CL442" t="e">
        <f>AND(#REF!,"AAAAAG5dt1k=")</f>
        <v>#REF!</v>
      </c>
      <c r="CM442" t="e">
        <f>AND(#REF!,"AAAAAG5dt1o=")</f>
        <v>#REF!</v>
      </c>
      <c r="CN442" t="e">
        <f>AND(#REF!,"AAAAAG5dt1s=")</f>
        <v>#REF!</v>
      </c>
      <c r="CO442" t="e">
        <f>AND(#REF!,"AAAAAG5dt1w=")</f>
        <v>#REF!</v>
      </c>
      <c r="CP442" t="e">
        <f>AND(#REF!,"AAAAAG5dt10=")</f>
        <v>#REF!</v>
      </c>
      <c r="CQ442" t="e">
        <f>AND(#REF!,"AAAAAG5dt14=")</f>
        <v>#REF!</v>
      </c>
      <c r="CR442" t="e">
        <f>AND(#REF!,"AAAAAG5dt18=")</f>
        <v>#REF!</v>
      </c>
      <c r="CS442" t="e">
        <f>AND(#REF!,"AAAAAG5dt2A=")</f>
        <v>#REF!</v>
      </c>
      <c r="CT442" t="e">
        <f>AND(#REF!,"AAAAAG5dt2E=")</f>
        <v>#REF!</v>
      </c>
      <c r="CU442" t="e">
        <f>AND(#REF!,"AAAAAG5dt2I=")</f>
        <v>#REF!</v>
      </c>
      <c r="CV442" t="e">
        <f>IF(#REF!,"AAAAAG5dt2M=",0)</f>
        <v>#REF!</v>
      </c>
      <c r="CW442" t="e">
        <f>AND(#REF!,"AAAAAG5dt2Q=")</f>
        <v>#REF!</v>
      </c>
      <c r="CX442" t="e">
        <f>AND(#REF!,"AAAAAG5dt2U=")</f>
        <v>#REF!</v>
      </c>
      <c r="CY442" t="e">
        <f>AND(#REF!,"AAAAAG5dt2Y=")</f>
        <v>#REF!</v>
      </c>
      <c r="CZ442" t="e">
        <f>AND(#REF!,"AAAAAG5dt2c=")</f>
        <v>#REF!</v>
      </c>
      <c r="DA442" t="e">
        <f>AND(#REF!,"AAAAAG5dt2g=")</f>
        <v>#REF!</v>
      </c>
      <c r="DB442" t="e">
        <f>AND(#REF!,"AAAAAG5dt2k=")</f>
        <v>#REF!</v>
      </c>
      <c r="DC442" t="e">
        <f>AND(#REF!,"AAAAAG5dt2o=")</f>
        <v>#REF!</v>
      </c>
      <c r="DD442" t="e">
        <f>AND(#REF!,"AAAAAG5dt2s=")</f>
        <v>#REF!</v>
      </c>
      <c r="DE442" t="e">
        <f>AND(#REF!,"AAAAAG5dt2w=")</f>
        <v>#REF!</v>
      </c>
      <c r="DF442" t="e">
        <f>AND(#REF!,"AAAAAG5dt20=")</f>
        <v>#REF!</v>
      </c>
      <c r="DG442" t="e">
        <f>IF(#REF!,"AAAAAG5dt24=",0)</f>
        <v>#REF!</v>
      </c>
      <c r="DH442" t="e">
        <f>AND(#REF!,"AAAAAG5dt28=")</f>
        <v>#REF!</v>
      </c>
      <c r="DI442" t="e">
        <f>AND(#REF!,"AAAAAG5dt3A=")</f>
        <v>#REF!</v>
      </c>
      <c r="DJ442" t="e">
        <f>AND(#REF!,"AAAAAG5dt3E=")</f>
        <v>#REF!</v>
      </c>
      <c r="DK442" t="e">
        <f>AND(#REF!,"AAAAAG5dt3I=")</f>
        <v>#REF!</v>
      </c>
      <c r="DL442" t="e">
        <f>AND(#REF!,"AAAAAG5dt3M=")</f>
        <v>#REF!</v>
      </c>
      <c r="DM442" t="e">
        <f>AND(#REF!,"AAAAAG5dt3Q=")</f>
        <v>#REF!</v>
      </c>
      <c r="DN442" t="e">
        <f>AND(#REF!,"AAAAAG5dt3U=")</f>
        <v>#REF!</v>
      </c>
      <c r="DO442" t="e">
        <f>AND(#REF!,"AAAAAG5dt3Y=")</f>
        <v>#REF!</v>
      </c>
      <c r="DP442" t="e">
        <f>AND(#REF!,"AAAAAG5dt3c=")</f>
        <v>#REF!</v>
      </c>
      <c r="DQ442" t="e">
        <f>AND(#REF!,"AAAAAG5dt3g=")</f>
        <v>#REF!</v>
      </c>
      <c r="DR442" t="e">
        <f>IF(#REF!,"AAAAAG5dt3k=",0)</f>
        <v>#REF!</v>
      </c>
      <c r="DS442" t="e">
        <f>AND(#REF!,"AAAAAG5dt3o=")</f>
        <v>#REF!</v>
      </c>
      <c r="DT442" t="e">
        <f>AND(#REF!,"AAAAAG5dt3s=")</f>
        <v>#REF!</v>
      </c>
      <c r="DU442" t="e">
        <f>AND(#REF!,"AAAAAG5dt3w=")</f>
        <v>#REF!</v>
      </c>
      <c r="DV442" t="e">
        <f>AND(#REF!,"AAAAAG5dt30=")</f>
        <v>#REF!</v>
      </c>
      <c r="DW442" t="e">
        <f>AND(#REF!,"AAAAAG5dt34=")</f>
        <v>#REF!</v>
      </c>
      <c r="DX442" t="e">
        <f>AND(#REF!,"AAAAAG5dt38=")</f>
        <v>#REF!</v>
      </c>
      <c r="DY442" t="e">
        <f>AND(#REF!,"AAAAAG5dt4A=")</f>
        <v>#REF!</v>
      </c>
      <c r="DZ442" t="e">
        <f>AND(#REF!,"AAAAAG5dt4E=")</f>
        <v>#REF!</v>
      </c>
      <c r="EA442" t="e">
        <f>AND(#REF!,"AAAAAG5dt4I=")</f>
        <v>#REF!</v>
      </c>
      <c r="EB442" t="e">
        <f>AND(#REF!,"AAAAAG5dt4M=")</f>
        <v>#REF!</v>
      </c>
      <c r="EC442" t="e">
        <f>IF(#REF!,"AAAAAG5dt4Q=",0)</f>
        <v>#REF!</v>
      </c>
      <c r="ED442" t="e">
        <f>AND(#REF!,"AAAAAG5dt4U=")</f>
        <v>#REF!</v>
      </c>
      <c r="EE442" t="e">
        <f>AND(#REF!,"AAAAAG5dt4Y=")</f>
        <v>#REF!</v>
      </c>
      <c r="EF442" t="e">
        <f>AND(#REF!,"AAAAAG5dt4c=")</f>
        <v>#REF!</v>
      </c>
      <c r="EG442" t="e">
        <f>AND(#REF!,"AAAAAG5dt4g=")</f>
        <v>#REF!</v>
      </c>
      <c r="EH442" t="e">
        <f>AND(#REF!,"AAAAAG5dt4k=")</f>
        <v>#REF!</v>
      </c>
      <c r="EI442" t="e">
        <f>AND(#REF!,"AAAAAG5dt4o=")</f>
        <v>#REF!</v>
      </c>
      <c r="EJ442" t="e">
        <f>AND(#REF!,"AAAAAG5dt4s=")</f>
        <v>#REF!</v>
      </c>
      <c r="EK442" t="e">
        <f>AND(#REF!,"AAAAAG5dt4w=")</f>
        <v>#REF!</v>
      </c>
      <c r="EL442" t="e">
        <f>AND(#REF!,"AAAAAG5dt40=")</f>
        <v>#REF!</v>
      </c>
      <c r="EM442" t="e">
        <f>AND(#REF!,"AAAAAG5dt44=")</f>
        <v>#REF!</v>
      </c>
      <c r="EN442" t="e">
        <f>IF(#REF!,"AAAAAG5dt48=",0)</f>
        <v>#REF!</v>
      </c>
      <c r="EO442" t="e">
        <f>AND(#REF!,"AAAAAG5dt5A=")</f>
        <v>#REF!</v>
      </c>
      <c r="EP442" t="e">
        <f>AND(#REF!,"AAAAAG5dt5E=")</f>
        <v>#REF!</v>
      </c>
      <c r="EQ442" t="e">
        <f>AND(#REF!,"AAAAAG5dt5I=")</f>
        <v>#REF!</v>
      </c>
      <c r="ER442" t="e">
        <f>AND(#REF!,"AAAAAG5dt5M=")</f>
        <v>#REF!</v>
      </c>
      <c r="ES442" t="e">
        <f>AND(#REF!,"AAAAAG5dt5Q=")</f>
        <v>#REF!</v>
      </c>
      <c r="ET442" t="e">
        <f>AND(#REF!,"AAAAAG5dt5U=")</f>
        <v>#REF!</v>
      </c>
      <c r="EU442" t="e">
        <f>AND(#REF!,"AAAAAG5dt5Y=")</f>
        <v>#REF!</v>
      </c>
      <c r="EV442" t="e">
        <f>AND(#REF!,"AAAAAG5dt5c=")</f>
        <v>#REF!</v>
      </c>
      <c r="EW442" t="e">
        <f>AND(#REF!,"AAAAAG5dt5g=")</f>
        <v>#REF!</v>
      </c>
      <c r="EX442" t="e">
        <f>AND(#REF!,"AAAAAG5dt5k=")</f>
        <v>#REF!</v>
      </c>
      <c r="EY442" t="e">
        <f>IF(#REF!,"AAAAAG5dt5o=",0)</f>
        <v>#REF!</v>
      </c>
      <c r="EZ442" t="e">
        <f>AND(#REF!,"AAAAAG5dt5s=")</f>
        <v>#REF!</v>
      </c>
      <c r="FA442" t="e">
        <f>AND(#REF!,"AAAAAG5dt5w=")</f>
        <v>#REF!</v>
      </c>
      <c r="FB442" t="e">
        <f>AND(#REF!,"AAAAAG5dt50=")</f>
        <v>#REF!</v>
      </c>
      <c r="FC442" t="e">
        <f>AND(#REF!,"AAAAAG5dt54=")</f>
        <v>#REF!</v>
      </c>
      <c r="FD442" t="e">
        <f>AND(#REF!,"AAAAAG5dt58=")</f>
        <v>#REF!</v>
      </c>
      <c r="FE442" t="e">
        <f>AND(#REF!,"AAAAAG5dt6A=")</f>
        <v>#REF!</v>
      </c>
      <c r="FF442" t="e">
        <f>AND(#REF!,"AAAAAG5dt6E=")</f>
        <v>#REF!</v>
      </c>
      <c r="FG442" t="e">
        <f>AND(#REF!,"AAAAAG5dt6I=")</f>
        <v>#REF!</v>
      </c>
      <c r="FH442" t="e">
        <f>AND(#REF!,"AAAAAG5dt6M=")</f>
        <v>#REF!</v>
      </c>
      <c r="FI442" t="e">
        <f>AND(#REF!,"AAAAAG5dt6Q=")</f>
        <v>#REF!</v>
      </c>
      <c r="FJ442" t="e">
        <f>IF(#REF!,"AAAAAG5dt6U=",0)</f>
        <v>#REF!</v>
      </c>
      <c r="FK442" t="e">
        <f>AND(#REF!,"AAAAAG5dt6Y=")</f>
        <v>#REF!</v>
      </c>
      <c r="FL442" t="e">
        <f>AND(#REF!,"AAAAAG5dt6c=")</f>
        <v>#REF!</v>
      </c>
      <c r="FM442" t="e">
        <f>AND(#REF!,"AAAAAG5dt6g=")</f>
        <v>#REF!</v>
      </c>
      <c r="FN442" t="e">
        <f>AND(#REF!,"AAAAAG5dt6k=")</f>
        <v>#REF!</v>
      </c>
      <c r="FO442" t="e">
        <f>AND(#REF!,"AAAAAG5dt6o=")</f>
        <v>#REF!</v>
      </c>
      <c r="FP442" t="e">
        <f>AND(#REF!,"AAAAAG5dt6s=")</f>
        <v>#REF!</v>
      </c>
      <c r="FQ442" t="e">
        <f>AND(#REF!,"AAAAAG5dt6w=")</f>
        <v>#REF!</v>
      </c>
      <c r="FR442" t="e">
        <f>AND(#REF!,"AAAAAG5dt60=")</f>
        <v>#REF!</v>
      </c>
      <c r="FS442" t="e">
        <f>AND(#REF!,"AAAAAG5dt64=")</f>
        <v>#REF!</v>
      </c>
      <c r="FT442" t="e">
        <f>AND(#REF!,"AAAAAG5dt68=")</f>
        <v>#REF!</v>
      </c>
      <c r="FU442" t="e">
        <f>IF(#REF!,"AAAAAG5dt7A=",0)</f>
        <v>#REF!</v>
      </c>
      <c r="FV442" t="e">
        <f>AND(#REF!,"AAAAAG5dt7E=")</f>
        <v>#REF!</v>
      </c>
      <c r="FW442" t="e">
        <f>AND(#REF!,"AAAAAG5dt7I=")</f>
        <v>#REF!</v>
      </c>
      <c r="FX442" t="e">
        <f>AND(#REF!,"AAAAAG5dt7M=")</f>
        <v>#REF!</v>
      </c>
      <c r="FY442" t="e">
        <f>AND(#REF!,"AAAAAG5dt7Q=")</f>
        <v>#REF!</v>
      </c>
      <c r="FZ442" t="e">
        <f>AND(#REF!,"AAAAAG5dt7U=")</f>
        <v>#REF!</v>
      </c>
      <c r="GA442" t="e">
        <f>AND(#REF!,"AAAAAG5dt7Y=")</f>
        <v>#REF!</v>
      </c>
      <c r="GB442" t="e">
        <f>AND(#REF!,"AAAAAG5dt7c=")</f>
        <v>#REF!</v>
      </c>
      <c r="GC442" t="e">
        <f>AND(#REF!,"AAAAAG5dt7g=")</f>
        <v>#REF!</v>
      </c>
      <c r="GD442" t="e">
        <f>AND(#REF!,"AAAAAG5dt7k=")</f>
        <v>#REF!</v>
      </c>
      <c r="GE442" t="e">
        <f>AND(#REF!,"AAAAAG5dt7o=")</f>
        <v>#REF!</v>
      </c>
      <c r="GF442" t="e">
        <f>IF(#REF!,"AAAAAG5dt7s=",0)</f>
        <v>#REF!</v>
      </c>
      <c r="GG442" t="e">
        <f>AND(#REF!,"AAAAAG5dt7w=")</f>
        <v>#REF!</v>
      </c>
      <c r="GH442" t="e">
        <f>AND(#REF!,"AAAAAG5dt70=")</f>
        <v>#REF!</v>
      </c>
      <c r="GI442" t="e">
        <f>AND(#REF!,"AAAAAG5dt74=")</f>
        <v>#REF!</v>
      </c>
      <c r="GJ442" t="e">
        <f>AND(#REF!,"AAAAAG5dt78=")</f>
        <v>#REF!</v>
      </c>
      <c r="GK442" t="e">
        <f>AND(#REF!,"AAAAAG5dt8A=")</f>
        <v>#REF!</v>
      </c>
      <c r="GL442" t="e">
        <f>AND(#REF!,"AAAAAG5dt8E=")</f>
        <v>#REF!</v>
      </c>
      <c r="GM442" t="e">
        <f>AND(#REF!,"AAAAAG5dt8I=")</f>
        <v>#REF!</v>
      </c>
      <c r="GN442" t="e">
        <f>AND(#REF!,"AAAAAG5dt8M=")</f>
        <v>#REF!</v>
      </c>
      <c r="GO442" t="e">
        <f>AND(#REF!,"AAAAAG5dt8Q=")</f>
        <v>#REF!</v>
      </c>
      <c r="GP442" t="e">
        <f>AND(#REF!,"AAAAAG5dt8U=")</f>
        <v>#REF!</v>
      </c>
      <c r="GQ442" t="e">
        <f>IF(#REF!,"AAAAAG5dt8Y=",0)</f>
        <v>#REF!</v>
      </c>
      <c r="GR442" t="e">
        <f>AND(#REF!,"AAAAAG5dt8c=")</f>
        <v>#REF!</v>
      </c>
      <c r="GS442" t="e">
        <f>AND(#REF!,"AAAAAG5dt8g=")</f>
        <v>#REF!</v>
      </c>
      <c r="GT442" t="e">
        <f>AND(#REF!,"AAAAAG5dt8k=")</f>
        <v>#REF!</v>
      </c>
      <c r="GU442" t="e">
        <f>AND(#REF!,"AAAAAG5dt8o=")</f>
        <v>#REF!</v>
      </c>
      <c r="GV442" t="e">
        <f>AND(#REF!,"AAAAAG5dt8s=")</f>
        <v>#REF!</v>
      </c>
      <c r="GW442" t="e">
        <f>AND(#REF!,"AAAAAG5dt8w=")</f>
        <v>#REF!</v>
      </c>
      <c r="GX442" t="e">
        <f>AND(#REF!,"AAAAAG5dt80=")</f>
        <v>#REF!</v>
      </c>
      <c r="GY442" t="e">
        <f>AND(#REF!,"AAAAAG5dt84=")</f>
        <v>#REF!</v>
      </c>
      <c r="GZ442" t="e">
        <f>AND(#REF!,"AAAAAG5dt88=")</f>
        <v>#REF!</v>
      </c>
      <c r="HA442" t="e">
        <f>AND(#REF!,"AAAAAG5dt9A=")</f>
        <v>#REF!</v>
      </c>
      <c r="HB442" t="e">
        <f>IF(#REF!,"AAAAAG5dt9E=",0)</f>
        <v>#REF!</v>
      </c>
      <c r="HC442" t="e">
        <f>AND(#REF!,"AAAAAG5dt9I=")</f>
        <v>#REF!</v>
      </c>
      <c r="HD442" t="e">
        <f>AND(#REF!,"AAAAAG5dt9M=")</f>
        <v>#REF!</v>
      </c>
      <c r="HE442" t="e">
        <f>AND(#REF!,"AAAAAG5dt9Q=")</f>
        <v>#REF!</v>
      </c>
      <c r="HF442" t="e">
        <f>AND(#REF!,"AAAAAG5dt9U=")</f>
        <v>#REF!</v>
      </c>
      <c r="HG442" t="e">
        <f>AND(#REF!,"AAAAAG5dt9Y=")</f>
        <v>#REF!</v>
      </c>
      <c r="HH442" t="e">
        <f>AND(#REF!,"AAAAAG5dt9c=")</f>
        <v>#REF!</v>
      </c>
      <c r="HI442" t="e">
        <f>AND(#REF!,"AAAAAG5dt9g=")</f>
        <v>#REF!</v>
      </c>
      <c r="HJ442" t="e">
        <f>AND(#REF!,"AAAAAG5dt9k=")</f>
        <v>#REF!</v>
      </c>
      <c r="HK442" t="e">
        <f>AND(#REF!,"AAAAAG5dt9o=")</f>
        <v>#REF!</v>
      </c>
      <c r="HL442" t="e">
        <f>AND(#REF!,"AAAAAG5dt9s=")</f>
        <v>#REF!</v>
      </c>
      <c r="HM442" t="e">
        <f>IF(#REF!,"AAAAAG5dt9w=",0)</f>
        <v>#REF!</v>
      </c>
      <c r="HN442" t="e">
        <f>AND(#REF!,"AAAAAG5dt90=")</f>
        <v>#REF!</v>
      </c>
      <c r="HO442" t="e">
        <f>AND(#REF!,"AAAAAG5dt94=")</f>
        <v>#REF!</v>
      </c>
      <c r="HP442" t="e">
        <f>AND(#REF!,"AAAAAG5dt98=")</f>
        <v>#REF!</v>
      </c>
      <c r="HQ442" t="e">
        <f>AND(#REF!,"AAAAAG5dt+A=")</f>
        <v>#REF!</v>
      </c>
      <c r="HR442" t="e">
        <f>AND(#REF!,"AAAAAG5dt+E=")</f>
        <v>#REF!</v>
      </c>
      <c r="HS442" t="e">
        <f>AND(#REF!,"AAAAAG5dt+I=")</f>
        <v>#REF!</v>
      </c>
      <c r="HT442" t="e">
        <f>AND(#REF!,"AAAAAG5dt+M=")</f>
        <v>#REF!</v>
      </c>
      <c r="HU442" t="e">
        <f>AND(#REF!,"AAAAAG5dt+Q=")</f>
        <v>#REF!</v>
      </c>
      <c r="HV442" t="e">
        <f>AND(#REF!,"AAAAAG5dt+U=")</f>
        <v>#REF!</v>
      </c>
      <c r="HW442" t="e">
        <f>AND(#REF!,"AAAAAG5dt+Y=")</f>
        <v>#REF!</v>
      </c>
      <c r="HX442" t="e">
        <f>IF(#REF!,"AAAAAG5dt+c=",0)</f>
        <v>#REF!</v>
      </c>
      <c r="HY442" t="e">
        <f>AND(#REF!,"AAAAAG5dt+g=")</f>
        <v>#REF!</v>
      </c>
      <c r="HZ442" t="e">
        <f>AND(#REF!,"AAAAAG5dt+k=")</f>
        <v>#REF!</v>
      </c>
      <c r="IA442" t="e">
        <f>AND(#REF!,"AAAAAG5dt+o=")</f>
        <v>#REF!</v>
      </c>
      <c r="IB442" t="e">
        <f>AND(#REF!,"AAAAAG5dt+s=")</f>
        <v>#REF!</v>
      </c>
      <c r="IC442" t="e">
        <f>AND(#REF!,"AAAAAG5dt+w=")</f>
        <v>#REF!</v>
      </c>
      <c r="ID442" t="e">
        <f>AND(#REF!,"AAAAAG5dt+0=")</f>
        <v>#REF!</v>
      </c>
      <c r="IE442" t="e">
        <f>AND(#REF!,"AAAAAG5dt+4=")</f>
        <v>#REF!</v>
      </c>
      <c r="IF442" t="e">
        <f>AND(#REF!,"AAAAAG5dt+8=")</f>
        <v>#REF!</v>
      </c>
      <c r="IG442" t="e">
        <f>AND(#REF!,"AAAAAG5dt/A=")</f>
        <v>#REF!</v>
      </c>
      <c r="IH442" t="e">
        <f>AND(#REF!,"AAAAAG5dt/E=")</f>
        <v>#REF!</v>
      </c>
      <c r="II442" t="e">
        <f>IF(#REF!,"AAAAAG5dt/I=",0)</f>
        <v>#REF!</v>
      </c>
      <c r="IJ442" t="e">
        <f>AND(#REF!,"AAAAAG5dt/M=")</f>
        <v>#REF!</v>
      </c>
      <c r="IK442" t="e">
        <f>AND(#REF!,"AAAAAG5dt/Q=")</f>
        <v>#REF!</v>
      </c>
      <c r="IL442" t="e">
        <f>AND(#REF!,"AAAAAG5dt/U=")</f>
        <v>#REF!</v>
      </c>
      <c r="IM442" t="e">
        <f>AND(#REF!,"AAAAAG5dt/Y=")</f>
        <v>#REF!</v>
      </c>
      <c r="IN442" t="e">
        <f>AND(#REF!,"AAAAAG5dt/c=")</f>
        <v>#REF!</v>
      </c>
      <c r="IO442" t="e">
        <f>AND(#REF!,"AAAAAG5dt/g=")</f>
        <v>#REF!</v>
      </c>
      <c r="IP442" t="e">
        <f>AND(#REF!,"AAAAAG5dt/k=")</f>
        <v>#REF!</v>
      </c>
      <c r="IQ442" t="e">
        <f>AND(#REF!,"AAAAAG5dt/o=")</f>
        <v>#REF!</v>
      </c>
      <c r="IR442" t="e">
        <f>AND(#REF!,"AAAAAG5dt/s=")</f>
        <v>#REF!</v>
      </c>
      <c r="IS442" t="e">
        <f>AND(#REF!,"AAAAAG5dt/w=")</f>
        <v>#REF!</v>
      </c>
      <c r="IT442" t="e">
        <f>IF(#REF!,"AAAAAG5dt/0=",0)</f>
        <v>#REF!</v>
      </c>
      <c r="IU442" t="e">
        <f>AND(#REF!,"AAAAAG5dt/4=")</f>
        <v>#REF!</v>
      </c>
      <c r="IV442" t="e">
        <f>AND(#REF!,"AAAAAG5dt/8=")</f>
        <v>#REF!</v>
      </c>
    </row>
    <row r="443" spans="1:256" x14ac:dyDescent="0.25">
      <c r="A443" t="e">
        <f>AND(#REF!,"AAAAAHv7fwA=")</f>
        <v>#REF!</v>
      </c>
      <c r="B443" t="e">
        <f>AND(#REF!,"AAAAAHv7fwE=")</f>
        <v>#REF!</v>
      </c>
      <c r="C443" t="e">
        <f>AND(#REF!,"AAAAAHv7fwI=")</f>
        <v>#REF!</v>
      </c>
      <c r="D443" t="e">
        <f>AND(#REF!,"AAAAAHv7fwM=")</f>
        <v>#REF!</v>
      </c>
      <c r="E443" t="e">
        <f>AND(#REF!,"AAAAAHv7fwQ=")</f>
        <v>#REF!</v>
      </c>
      <c r="F443" t="e">
        <f>AND(#REF!,"AAAAAHv7fwU=")</f>
        <v>#REF!</v>
      </c>
      <c r="G443" t="e">
        <f>AND(#REF!,"AAAAAHv7fwY=")</f>
        <v>#REF!</v>
      </c>
      <c r="H443" t="e">
        <f>AND(#REF!,"AAAAAHv7fwc=")</f>
        <v>#REF!</v>
      </c>
      <c r="I443" t="e">
        <f>IF(#REF!,"AAAAAHv7fwg=",0)</f>
        <v>#REF!</v>
      </c>
      <c r="J443" t="e">
        <f>AND(#REF!,"AAAAAHv7fwk=")</f>
        <v>#REF!</v>
      </c>
      <c r="K443" t="e">
        <f>AND(#REF!,"AAAAAHv7fwo=")</f>
        <v>#REF!</v>
      </c>
      <c r="L443" t="e">
        <f>AND(#REF!,"AAAAAHv7fws=")</f>
        <v>#REF!</v>
      </c>
      <c r="M443" t="e">
        <f>AND(#REF!,"AAAAAHv7fww=")</f>
        <v>#REF!</v>
      </c>
      <c r="N443" t="e">
        <f>AND(#REF!,"AAAAAHv7fw0=")</f>
        <v>#REF!</v>
      </c>
      <c r="O443" t="e">
        <f>AND(#REF!,"AAAAAHv7fw4=")</f>
        <v>#REF!</v>
      </c>
      <c r="P443" t="e">
        <f>AND(#REF!,"AAAAAHv7fw8=")</f>
        <v>#REF!</v>
      </c>
      <c r="Q443" t="e">
        <f>AND(#REF!,"AAAAAHv7fxA=")</f>
        <v>#REF!</v>
      </c>
      <c r="R443" t="e">
        <f>AND(#REF!,"AAAAAHv7fxE=")</f>
        <v>#REF!</v>
      </c>
      <c r="S443" t="e">
        <f>AND(#REF!,"AAAAAHv7fxI=")</f>
        <v>#REF!</v>
      </c>
      <c r="T443" t="e">
        <f>IF(#REF!,"AAAAAHv7fxM=",0)</f>
        <v>#REF!</v>
      </c>
      <c r="U443" t="e">
        <f>AND(#REF!,"AAAAAHv7fxQ=")</f>
        <v>#REF!</v>
      </c>
      <c r="V443" t="e">
        <f>AND(#REF!,"AAAAAHv7fxU=")</f>
        <v>#REF!</v>
      </c>
      <c r="W443" t="e">
        <f>AND(#REF!,"AAAAAHv7fxY=")</f>
        <v>#REF!</v>
      </c>
      <c r="X443" t="e">
        <f>AND(#REF!,"AAAAAHv7fxc=")</f>
        <v>#REF!</v>
      </c>
      <c r="Y443" t="e">
        <f>AND(#REF!,"AAAAAHv7fxg=")</f>
        <v>#REF!</v>
      </c>
      <c r="Z443" t="e">
        <f>AND(#REF!,"AAAAAHv7fxk=")</f>
        <v>#REF!</v>
      </c>
      <c r="AA443" t="e">
        <f>AND(#REF!,"AAAAAHv7fxo=")</f>
        <v>#REF!</v>
      </c>
      <c r="AB443" t="e">
        <f>AND(#REF!,"AAAAAHv7fxs=")</f>
        <v>#REF!</v>
      </c>
      <c r="AC443" t="e">
        <f>AND(#REF!,"AAAAAHv7fxw=")</f>
        <v>#REF!</v>
      </c>
      <c r="AD443" t="e">
        <f>AND(#REF!,"AAAAAHv7fx0=")</f>
        <v>#REF!</v>
      </c>
      <c r="AE443" t="e">
        <f>IF(#REF!,"AAAAAHv7fx4=",0)</f>
        <v>#REF!</v>
      </c>
      <c r="AF443" t="e">
        <f>AND(#REF!,"AAAAAHv7fx8=")</f>
        <v>#REF!</v>
      </c>
      <c r="AG443" t="e">
        <f>AND(#REF!,"AAAAAHv7fyA=")</f>
        <v>#REF!</v>
      </c>
      <c r="AH443" t="e">
        <f>AND(#REF!,"AAAAAHv7fyE=")</f>
        <v>#REF!</v>
      </c>
      <c r="AI443" t="e">
        <f>AND(#REF!,"AAAAAHv7fyI=")</f>
        <v>#REF!</v>
      </c>
      <c r="AJ443" t="e">
        <f>AND(#REF!,"AAAAAHv7fyM=")</f>
        <v>#REF!</v>
      </c>
      <c r="AK443" t="e">
        <f>AND(#REF!,"AAAAAHv7fyQ=")</f>
        <v>#REF!</v>
      </c>
      <c r="AL443" t="e">
        <f>AND(#REF!,"AAAAAHv7fyU=")</f>
        <v>#REF!</v>
      </c>
      <c r="AM443" t="e">
        <f>AND(#REF!,"AAAAAHv7fyY=")</f>
        <v>#REF!</v>
      </c>
      <c r="AN443" t="e">
        <f>AND(#REF!,"AAAAAHv7fyc=")</f>
        <v>#REF!</v>
      </c>
      <c r="AO443" t="e">
        <f>AND(#REF!,"AAAAAHv7fyg=")</f>
        <v>#REF!</v>
      </c>
      <c r="AP443" t="e">
        <f>IF(#REF!,"AAAAAHv7fyk=",0)</f>
        <v>#REF!</v>
      </c>
      <c r="AQ443" t="e">
        <f>AND(#REF!,"AAAAAHv7fyo=")</f>
        <v>#REF!</v>
      </c>
      <c r="AR443" t="e">
        <f>AND(#REF!,"AAAAAHv7fys=")</f>
        <v>#REF!</v>
      </c>
      <c r="AS443" t="e">
        <f>AND(#REF!,"AAAAAHv7fyw=")</f>
        <v>#REF!</v>
      </c>
      <c r="AT443" t="e">
        <f>AND(#REF!,"AAAAAHv7fy0=")</f>
        <v>#REF!</v>
      </c>
      <c r="AU443" t="e">
        <f>AND(#REF!,"AAAAAHv7fy4=")</f>
        <v>#REF!</v>
      </c>
      <c r="AV443" t="e">
        <f>AND(#REF!,"AAAAAHv7fy8=")</f>
        <v>#REF!</v>
      </c>
      <c r="AW443" t="e">
        <f>AND(#REF!,"AAAAAHv7fzA=")</f>
        <v>#REF!</v>
      </c>
      <c r="AX443" t="e">
        <f>AND(#REF!,"AAAAAHv7fzE=")</f>
        <v>#REF!</v>
      </c>
      <c r="AY443" t="e">
        <f>AND(#REF!,"AAAAAHv7fzI=")</f>
        <v>#REF!</v>
      </c>
      <c r="AZ443" t="e">
        <f>AND(#REF!,"AAAAAHv7fzM=")</f>
        <v>#REF!</v>
      </c>
      <c r="BA443" t="e">
        <f>IF(#REF!,"AAAAAHv7fzQ=",0)</f>
        <v>#REF!</v>
      </c>
      <c r="BB443" t="e">
        <f>AND(#REF!,"AAAAAHv7fzU=")</f>
        <v>#REF!</v>
      </c>
      <c r="BC443" t="e">
        <f>AND(#REF!,"AAAAAHv7fzY=")</f>
        <v>#REF!</v>
      </c>
      <c r="BD443" t="e">
        <f>AND(#REF!,"AAAAAHv7fzc=")</f>
        <v>#REF!</v>
      </c>
      <c r="BE443" t="e">
        <f>AND(#REF!,"AAAAAHv7fzg=")</f>
        <v>#REF!</v>
      </c>
      <c r="BF443" t="e">
        <f>AND(#REF!,"AAAAAHv7fzk=")</f>
        <v>#REF!</v>
      </c>
      <c r="BG443" t="e">
        <f>AND(#REF!,"AAAAAHv7fzo=")</f>
        <v>#REF!</v>
      </c>
      <c r="BH443" t="e">
        <f>AND(#REF!,"AAAAAHv7fzs=")</f>
        <v>#REF!</v>
      </c>
      <c r="BI443" t="e">
        <f>AND(#REF!,"AAAAAHv7fzw=")</f>
        <v>#REF!</v>
      </c>
      <c r="BJ443" t="e">
        <f>AND(#REF!,"AAAAAHv7fz0=")</f>
        <v>#REF!</v>
      </c>
      <c r="BK443" t="e">
        <f>AND(#REF!,"AAAAAHv7fz4=")</f>
        <v>#REF!</v>
      </c>
      <c r="BL443" t="e">
        <f>IF(#REF!,"AAAAAHv7fz8=",0)</f>
        <v>#REF!</v>
      </c>
      <c r="BM443" t="e">
        <f>AND(#REF!,"AAAAAHv7f0A=")</f>
        <v>#REF!</v>
      </c>
      <c r="BN443" t="e">
        <f>AND(#REF!,"AAAAAHv7f0E=")</f>
        <v>#REF!</v>
      </c>
      <c r="BO443" t="e">
        <f>AND(#REF!,"AAAAAHv7f0I=")</f>
        <v>#REF!</v>
      </c>
      <c r="BP443" t="e">
        <f>AND(#REF!,"AAAAAHv7f0M=")</f>
        <v>#REF!</v>
      </c>
      <c r="BQ443" t="e">
        <f>AND(#REF!,"AAAAAHv7f0Q=")</f>
        <v>#REF!</v>
      </c>
      <c r="BR443" t="e">
        <f>AND(#REF!,"AAAAAHv7f0U=")</f>
        <v>#REF!</v>
      </c>
      <c r="BS443" t="e">
        <f>AND(#REF!,"AAAAAHv7f0Y=")</f>
        <v>#REF!</v>
      </c>
      <c r="BT443" t="e">
        <f>AND(#REF!,"AAAAAHv7f0c=")</f>
        <v>#REF!</v>
      </c>
      <c r="BU443" t="e">
        <f>AND(#REF!,"AAAAAHv7f0g=")</f>
        <v>#REF!</v>
      </c>
      <c r="BV443" t="e">
        <f>AND(#REF!,"AAAAAHv7f0k=")</f>
        <v>#REF!</v>
      </c>
      <c r="BW443" t="e">
        <f>IF(#REF!,"AAAAAHv7f0o=",0)</f>
        <v>#REF!</v>
      </c>
      <c r="BX443" t="e">
        <f>AND(#REF!,"AAAAAHv7f0s=")</f>
        <v>#REF!</v>
      </c>
      <c r="BY443" t="e">
        <f>AND(#REF!,"AAAAAHv7f0w=")</f>
        <v>#REF!</v>
      </c>
      <c r="BZ443" t="e">
        <f>AND(#REF!,"AAAAAHv7f00=")</f>
        <v>#REF!</v>
      </c>
      <c r="CA443" t="e">
        <f>AND(#REF!,"AAAAAHv7f04=")</f>
        <v>#REF!</v>
      </c>
      <c r="CB443" t="e">
        <f>AND(#REF!,"AAAAAHv7f08=")</f>
        <v>#REF!</v>
      </c>
      <c r="CC443" t="e">
        <f>AND(#REF!,"AAAAAHv7f1A=")</f>
        <v>#REF!</v>
      </c>
      <c r="CD443" t="e">
        <f>AND(#REF!,"AAAAAHv7f1E=")</f>
        <v>#REF!</v>
      </c>
      <c r="CE443" t="e">
        <f>AND(#REF!,"AAAAAHv7f1I=")</f>
        <v>#REF!</v>
      </c>
      <c r="CF443" t="e">
        <f>AND(#REF!,"AAAAAHv7f1M=")</f>
        <v>#REF!</v>
      </c>
      <c r="CG443" t="e">
        <f>AND(#REF!,"AAAAAHv7f1Q=")</f>
        <v>#REF!</v>
      </c>
      <c r="CH443" t="e">
        <f>IF(#REF!,"AAAAAHv7f1U=",0)</f>
        <v>#REF!</v>
      </c>
      <c r="CI443" t="e">
        <f>AND(#REF!,"AAAAAHv7f1Y=")</f>
        <v>#REF!</v>
      </c>
      <c r="CJ443" t="e">
        <f>AND(#REF!,"AAAAAHv7f1c=")</f>
        <v>#REF!</v>
      </c>
      <c r="CK443" t="e">
        <f>AND(#REF!,"AAAAAHv7f1g=")</f>
        <v>#REF!</v>
      </c>
      <c r="CL443" t="e">
        <f>AND(#REF!,"AAAAAHv7f1k=")</f>
        <v>#REF!</v>
      </c>
      <c r="CM443" t="e">
        <f>AND(#REF!,"AAAAAHv7f1o=")</f>
        <v>#REF!</v>
      </c>
      <c r="CN443" t="e">
        <f>AND(#REF!,"AAAAAHv7f1s=")</f>
        <v>#REF!</v>
      </c>
      <c r="CO443" t="e">
        <f>AND(#REF!,"AAAAAHv7f1w=")</f>
        <v>#REF!</v>
      </c>
      <c r="CP443" t="e">
        <f>AND(#REF!,"AAAAAHv7f10=")</f>
        <v>#REF!</v>
      </c>
      <c r="CQ443" t="e">
        <f>AND(#REF!,"AAAAAHv7f14=")</f>
        <v>#REF!</v>
      </c>
      <c r="CR443" t="e">
        <f>AND(#REF!,"AAAAAHv7f18=")</f>
        <v>#REF!</v>
      </c>
      <c r="CS443" t="e">
        <f>IF(#REF!,"AAAAAHv7f2A=",0)</f>
        <v>#REF!</v>
      </c>
      <c r="CT443" t="e">
        <f>AND(#REF!,"AAAAAHv7f2E=")</f>
        <v>#REF!</v>
      </c>
      <c r="CU443" t="e">
        <f>AND(#REF!,"AAAAAHv7f2I=")</f>
        <v>#REF!</v>
      </c>
      <c r="CV443" t="e">
        <f>AND(#REF!,"AAAAAHv7f2M=")</f>
        <v>#REF!</v>
      </c>
      <c r="CW443" t="e">
        <f>AND(#REF!,"AAAAAHv7f2Q=")</f>
        <v>#REF!</v>
      </c>
      <c r="CX443" t="e">
        <f>AND(#REF!,"AAAAAHv7f2U=")</f>
        <v>#REF!</v>
      </c>
      <c r="CY443" t="e">
        <f>AND(#REF!,"AAAAAHv7f2Y=")</f>
        <v>#REF!</v>
      </c>
      <c r="CZ443" t="e">
        <f>AND(#REF!,"AAAAAHv7f2c=")</f>
        <v>#REF!</v>
      </c>
      <c r="DA443" t="e">
        <f>AND(#REF!,"AAAAAHv7f2g=")</f>
        <v>#REF!</v>
      </c>
      <c r="DB443" t="e">
        <f>AND(#REF!,"AAAAAHv7f2k=")</f>
        <v>#REF!</v>
      </c>
      <c r="DC443" t="e">
        <f>AND(#REF!,"AAAAAHv7f2o=")</f>
        <v>#REF!</v>
      </c>
      <c r="DD443" t="e">
        <f>IF(#REF!,"AAAAAHv7f2s=",0)</f>
        <v>#REF!</v>
      </c>
      <c r="DE443" t="e">
        <f>AND(#REF!,"AAAAAHv7f2w=")</f>
        <v>#REF!</v>
      </c>
      <c r="DF443" t="e">
        <f>AND(#REF!,"AAAAAHv7f20=")</f>
        <v>#REF!</v>
      </c>
      <c r="DG443" t="e">
        <f>AND(#REF!,"AAAAAHv7f24=")</f>
        <v>#REF!</v>
      </c>
      <c r="DH443" t="e">
        <f>AND(#REF!,"AAAAAHv7f28=")</f>
        <v>#REF!</v>
      </c>
      <c r="DI443" t="e">
        <f>AND(#REF!,"AAAAAHv7f3A=")</f>
        <v>#REF!</v>
      </c>
      <c r="DJ443" t="e">
        <f>AND(#REF!,"AAAAAHv7f3E=")</f>
        <v>#REF!</v>
      </c>
      <c r="DK443" t="e">
        <f>AND(#REF!,"AAAAAHv7f3I=")</f>
        <v>#REF!</v>
      </c>
      <c r="DL443" t="e">
        <f>AND(#REF!,"AAAAAHv7f3M=")</f>
        <v>#REF!</v>
      </c>
      <c r="DM443" t="e">
        <f>AND(#REF!,"AAAAAHv7f3Q=")</f>
        <v>#REF!</v>
      </c>
      <c r="DN443" t="e">
        <f>AND(#REF!,"AAAAAHv7f3U=")</f>
        <v>#REF!</v>
      </c>
      <c r="DO443" t="e">
        <f>IF(#REF!,"AAAAAHv7f3Y=",0)</f>
        <v>#REF!</v>
      </c>
      <c r="DP443" t="e">
        <f>AND(#REF!,"AAAAAHv7f3c=")</f>
        <v>#REF!</v>
      </c>
      <c r="DQ443" t="e">
        <f>AND(#REF!,"AAAAAHv7f3g=")</f>
        <v>#REF!</v>
      </c>
      <c r="DR443" t="e">
        <f>AND(#REF!,"AAAAAHv7f3k=")</f>
        <v>#REF!</v>
      </c>
      <c r="DS443" t="e">
        <f>AND(#REF!,"AAAAAHv7f3o=")</f>
        <v>#REF!</v>
      </c>
      <c r="DT443" t="e">
        <f>AND(#REF!,"AAAAAHv7f3s=")</f>
        <v>#REF!</v>
      </c>
      <c r="DU443" t="e">
        <f>AND(#REF!,"AAAAAHv7f3w=")</f>
        <v>#REF!</v>
      </c>
      <c r="DV443" t="e">
        <f>AND(#REF!,"AAAAAHv7f30=")</f>
        <v>#REF!</v>
      </c>
      <c r="DW443" t="e">
        <f>AND(#REF!,"AAAAAHv7f34=")</f>
        <v>#REF!</v>
      </c>
      <c r="DX443" t="e">
        <f>AND(#REF!,"AAAAAHv7f38=")</f>
        <v>#REF!</v>
      </c>
      <c r="DY443" t="e">
        <f>AND(#REF!,"AAAAAHv7f4A=")</f>
        <v>#REF!</v>
      </c>
      <c r="DZ443" t="e">
        <f>IF(#REF!,"AAAAAHv7f4E=",0)</f>
        <v>#REF!</v>
      </c>
      <c r="EA443" t="e">
        <f>AND(#REF!,"AAAAAHv7f4I=")</f>
        <v>#REF!</v>
      </c>
      <c r="EB443" t="e">
        <f>AND(#REF!,"AAAAAHv7f4M=")</f>
        <v>#REF!</v>
      </c>
      <c r="EC443" t="e">
        <f>AND(#REF!,"AAAAAHv7f4Q=")</f>
        <v>#REF!</v>
      </c>
      <c r="ED443" t="e">
        <f>AND(#REF!,"AAAAAHv7f4U=")</f>
        <v>#REF!</v>
      </c>
      <c r="EE443" t="e">
        <f>AND(#REF!,"AAAAAHv7f4Y=")</f>
        <v>#REF!</v>
      </c>
      <c r="EF443" t="e">
        <f>AND(#REF!,"AAAAAHv7f4c=")</f>
        <v>#REF!</v>
      </c>
      <c r="EG443" t="e">
        <f>AND(#REF!,"AAAAAHv7f4g=")</f>
        <v>#REF!</v>
      </c>
      <c r="EH443" t="e">
        <f>AND(#REF!,"AAAAAHv7f4k=")</f>
        <v>#REF!</v>
      </c>
      <c r="EI443" t="e">
        <f>AND(#REF!,"AAAAAHv7f4o=")</f>
        <v>#REF!</v>
      </c>
      <c r="EJ443" t="e">
        <f>AND(#REF!,"AAAAAHv7f4s=")</f>
        <v>#REF!</v>
      </c>
      <c r="EK443" t="e">
        <f>IF(#REF!,"AAAAAHv7f4w=",0)</f>
        <v>#REF!</v>
      </c>
      <c r="EL443" t="e">
        <f>AND(#REF!,"AAAAAHv7f40=")</f>
        <v>#REF!</v>
      </c>
      <c r="EM443" t="e">
        <f>AND(#REF!,"AAAAAHv7f44=")</f>
        <v>#REF!</v>
      </c>
      <c r="EN443" t="e">
        <f>AND(#REF!,"AAAAAHv7f48=")</f>
        <v>#REF!</v>
      </c>
      <c r="EO443" t="e">
        <f>AND(#REF!,"AAAAAHv7f5A=")</f>
        <v>#REF!</v>
      </c>
      <c r="EP443" t="e">
        <f>AND(#REF!,"AAAAAHv7f5E=")</f>
        <v>#REF!</v>
      </c>
      <c r="EQ443" t="e">
        <f>AND(#REF!,"AAAAAHv7f5I=")</f>
        <v>#REF!</v>
      </c>
      <c r="ER443" t="e">
        <f>AND(#REF!,"AAAAAHv7f5M=")</f>
        <v>#REF!</v>
      </c>
      <c r="ES443" t="e">
        <f>AND(#REF!,"AAAAAHv7f5Q=")</f>
        <v>#REF!</v>
      </c>
      <c r="ET443" t="e">
        <f>AND(#REF!,"AAAAAHv7f5U=")</f>
        <v>#REF!</v>
      </c>
      <c r="EU443" t="e">
        <f>AND(#REF!,"AAAAAHv7f5Y=")</f>
        <v>#REF!</v>
      </c>
      <c r="EV443" t="e">
        <f>IF(#REF!,"AAAAAHv7f5c=",0)</f>
        <v>#REF!</v>
      </c>
      <c r="EW443" t="e">
        <f>AND(#REF!,"AAAAAHv7f5g=")</f>
        <v>#REF!</v>
      </c>
      <c r="EX443" t="e">
        <f>AND(#REF!,"AAAAAHv7f5k=")</f>
        <v>#REF!</v>
      </c>
      <c r="EY443" t="e">
        <f>AND(#REF!,"AAAAAHv7f5o=")</f>
        <v>#REF!</v>
      </c>
      <c r="EZ443" t="e">
        <f>AND(#REF!,"AAAAAHv7f5s=")</f>
        <v>#REF!</v>
      </c>
      <c r="FA443" t="e">
        <f>AND(#REF!,"AAAAAHv7f5w=")</f>
        <v>#REF!</v>
      </c>
      <c r="FB443" t="e">
        <f>AND(#REF!,"AAAAAHv7f50=")</f>
        <v>#REF!</v>
      </c>
      <c r="FC443" t="e">
        <f>AND(#REF!,"AAAAAHv7f54=")</f>
        <v>#REF!</v>
      </c>
      <c r="FD443" t="e">
        <f>AND(#REF!,"AAAAAHv7f58=")</f>
        <v>#REF!</v>
      </c>
      <c r="FE443" t="e">
        <f>AND(#REF!,"AAAAAHv7f6A=")</f>
        <v>#REF!</v>
      </c>
      <c r="FF443" t="e">
        <f>AND(#REF!,"AAAAAHv7f6E=")</f>
        <v>#REF!</v>
      </c>
      <c r="FG443" t="e">
        <f>IF(#REF!,"AAAAAHv7f6I=",0)</f>
        <v>#REF!</v>
      </c>
      <c r="FH443" t="e">
        <f>AND(#REF!,"AAAAAHv7f6M=")</f>
        <v>#REF!</v>
      </c>
      <c r="FI443" t="e">
        <f>AND(#REF!,"AAAAAHv7f6Q=")</f>
        <v>#REF!</v>
      </c>
      <c r="FJ443" t="e">
        <f>AND(#REF!,"AAAAAHv7f6U=")</f>
        <v>#REF!</v>
      </c>
      <c r="FK443" t="e">
        <f>AND(#REF!,"AAAAAHv7f6Y=")</f>
        <v>#REF!</v>
      </c>
      <c r="FL443" t="e">
        <f>AND(#REF!,"AAAAAHv7f6c=")</f>
        <v>#REF!</v>
      </c>
      <c r="FM443" t="e">
        <f>AND(#REF!,"AAAAAHv7f6g=")</f>
        <v>#REF!</v>
      </c>
      <c r="FN443" t="e">
        <f>AND(#REF!,"AAAAAHv7f6k=")</f>
        <v>#REF!</v>
      </c>
      <c r="FO443" t="e">
        <f>AND(#REF!,"AAAAAHv7f6o=")</f>
        <v>#REF!</v>
      </c>
      <c r="FP443" t="e">
        <f>AND(#REF!,"AAAAAHv7f6s=")</f>
        <v>#REF!</v>
      </c>
      <c r="FQ443" t="e">
        <f>AND(#REF!,"AAAAAHv7f6w=")</f>
        <v>#REF!</v>
      </c>
      <c r="FR443" t="e">
        <f>IF(#REF!,"AAAAAHv7f60=",0)</f>
        <v>#REF!</v>
      </c>
      <c r="FS443" t="e">
        <f>AND(#REF!,"AAAAAHv7f64=")</f>
        <v>#REF!</v>
      </c>
      <c r="FT443" t="e">
        <f>AND(#REF!,"AAAAAHv7f68=")</f>
        <v>#REF!</v>
      </c>
      <c r="FU443" t="e">
        <f>AND(#REF!,"AAAAAHv7f7A=")</f>
        <v>#REF!</v>
      </c>
      <c r="FV443" t="e">
        <f>AND(#REF!,"AAAAAHv7f7E=")</f>
        <v>#REF!</v>
      </c>
      <c r="FW443" t="e">
        <f>AND(#REF!,"AAAAAHv7f7I=")</f>
        <v>#REF!</v>
      </c>
      <c r="FX443" t="e">
        <f>AND(#REF!,"AAAAAHv7f7M=")</f>
        <v>#REF!</v>
      </c>
      <c r="FY443" t="e">
        <f>AND(#REF!,"AAAAAHv7f7Q=")</f>
        <v>#REF!</v>
      </c>
      <c r="FZ443" t="e">
        <f>AND(#REF!,"AAAAAHv7f7U=")</f>
        <v>#REF!</v>
      </c>
      <c r="GA443" t="e">
        <f>AND(#REF!,"AAAAAHv7f7Y=")</f>
        <v>#REF!</v>
      </c>
      <c r="GB443" t="e">
        <f>AND(#REF!,"AAAAAHv7f7c=")</f>
        <v>#REF!</v>
      </c>
      <c r="GC443" t="e">
        <f>IF(#REF!,"AAAAAHv7f7g=",0)</f>
        <v>#REF!</v>
      </c>
      <c r="GD443" t="e">
        <f>AND(#REF!,"AAAAAHv7f7k=")</f>
        <v>#REF!</v>
      </c>
      <c r="GE443" t="e">
        <f>AND(#REF!,"AAAAAHv7f7o=")</f>
        <v>#REF!</v>
      </c>
      <c r="GF443" t="e">
        <f>AND(#REF!,"AAAAAHv7f7s=")</f>
        <v>#REF!</v>
      </c>
      <c r="GG443" t="e">
        <f>AND(#REF!,"AAAAAHv7f7w=")</f>
        <v>#REF!</v>
      </c>
      <c r="GH443" t="e">
        <f>AND(#REF!,"AAAAAHv7f70=")</f>
        <v>#REF!</v>
      </c>
      <c r="GI443" t="e">
        <f>AND(#REF!,"AAAAAHv7f74=")</f>
        <v>#REF!</v>
      </c>
      <c r="GJ443" t="e">
        <f>AND(#REF!,"AAAAAHv7f78=")</f>
        <v>#REF!</v>
      </c>
      <c r="GK443" t="e">
        <f>AND(#REF!,"AAAAAHv7f8A=")</f>
        <v>#REF!</v>
      </c>
      <c r="GL443" t="e">
        <f>AND(#REF!,"AAAAAHv7f8E=")</f>
        <v>#REF!</v>
      </c>
      <c r="GM443" t="e">
        <f>AND(#REF!,"AAAAAHv7f8I=")</f>
        <v>#REF!</v>
      </c>
      <c r="GN443" t="e">
        <f>IF(#REF!,"AAAAAHv7f8M=",0)</f>
        <v>#REF!</v>
      </c>
      <c r="GO443" t="e">
        <f>AND(#REF!,"AAAAAHv7f8Q=")</f>
        <v>#REF!</v>
      </c>
      <c r="GP443" t="e">
        <f>AND(#REF!,"AAAAAHv7f8U=")</f>
        <v>#REF!</v>
      </c>
      <c r="GQ443" t="e">
        <f>AND(#REF!,"AAAAAHv7f8Y=")</f>
        <v>#REF!</v>
      </c>
      <c r="GR443" t="e">
        <f>AND(#REF!,"AAAAAHv7f8c=")</f>
        <v>#REF!</v>
      </c>
      <c r="GS443" t="e">
        <f>AND(#REF!,"AAAAAHv7f8g=")</f>
        <v>#REF!</v>
      </c>
      <c r="GT443" t="e">
        <f>AND(#REF!,"AAAAAHv7f8k=")</f>
        <v>#REF!</v>
      </c>
      <c r="GU443" t="e">
        <f>AND(#REF!,"AAAAAHv7f8o=")</f>
        <v>#REF!</v>
      </c>
      <c r="GV443" t="e">
        <f>AND(#REF!,"AAAAAHv7f8s=")</f>
        <v>#REF!</v>
      </c>
      <c r="GW443" t="e">
        <f>AND(#REF!,"AAAAAHv7f8w=")</f>
        <v>#REF!</v>
      </c>
      <c r="GX443" t="e">
        <f>AND(#REF!,"AAAAAHv7f80=")</f>
        <v>#REF!</v>
      </c>
      <c r="GY443" t="e">
        <f>IF(#REF!,"AAAAAHv7f84=",0)</f>
        <v>#REF!</v>
      </c>
      <c r="GZ443" t="e">
        <f>AND(#REF!,"AAAAAHv7f88=")</f>
        <v>#REF!</v>
      </c>
      <c r="HA443" t="e">
        <f>AND(#REF!,"AAAAAHv7f9A=")</f>
        <v>#REF!</v>
      </c>
      <c r="HB443" t="e">
        <f>AND(#REF!,"AAAAAHv7f9E=")</f>
        <v>#REF!</v>
      </c>
      <c r="HC443" t="e">
        <f>AND(#REF!,"AAAAAHv7f9I=")</f>
        <v>#REF!</v>
      </c>
      <c r="HD443" t="e">
        <f>AND(#REF!,"AAAAAHv7f9M=")</f>
        <v>#REF!</v>
      </c>
      <c r="HE443" t="e">
        <f>AND(#REF!,"AAAAAHv7f9Q=")</f>
        <v>#REF!</v>
      </c>
      <c r="HF443" t="e">
        <f>AND(#REF!,"AAAAAHv7f9U=")</f>
        <v>#REF!</v>
      </c>
      <c r="HG443" t="e">
        <f>AND(#REF!,"AAAAAHv7f9Y=")</f>
        <v>#REF!</v>
      </c>
      <c r="HH443" t="e">
        <f>AND(#REF!,"AAAAAHv7f9c=")</f>
        <v>#REF!</v>
      </c>
      <c r="HI443" t="e">
        <f>AND(#REF!,"AAAAAHv7f9g=")</f>
        <v>#REF!</v>
      </c>
      <c r="HJ443" t="e">
        <f>IF(#REF!,"AAAAAHv7f9k=",0)</f>
        <v>#REF!</v>
      </c>
      <c r="HK443" t="e">
        <f>AND(#REF!,"AAAAAHv7f9o=")</f>
        <v>#REF!</v>
      </c>
      <c r="HL443" t="e">
        <f>AND(#REF!,"AAAAAHv7f9s=")</f>
        <v>#REF!</v>
      </c>
      <c r="HM443" t="e">
        <f>AND(#REF!,"AAAAAHv7f9w=")</f>
        <v>#REF!</v>
      </c>
      <c r="HN443" t="e">
        <f>AND(#REF!,"AAAAAHv7f90=")</f>
        <v>#REF!</v>
      </c>
      <c r="HO443" t="e">
        <f>AND(#REF!,"AAAAAHv7f94=")</f>
        <v>#REF!</v>
      </c>
      <c r="HP443" t="e">
        <f>AND(#REF!,"AAAAAHv7f98=")</f>
        <v>#REF!</v>
      </c>
      <c r="HQ443" t="e">
        <f>AND(#REF!,"AAAAAHv7f+A=")</f>
        <v>#REF!</v>
      </c>
      <c r="HR443" t="e">
        <f>AND(#REF!,"AAAAAHv7f+E=")</f>
        <v>#REF!</v>
      </c>
      <c r="HS443" t="e">
        <f>AND(#REF!,"AAAAAHv7f+I=")</f>
        <v>#REF!</v>
      </c>
      <c r="HT443" t="e">
        <f>AND(#REF!,"AAAAAHv7f+M=")</f>
        <v>#REF!</v>
      </c>
      <c r="HU443" t="e">
        <f>IF(#REF!,"AAAAAHv7f+Q=",0)</f>
        <v>#REF!</v>
      </c>
      <c r="HV443" t="e">
        <f>AND(#REF!,"AAAAAHv7f+U=")</f>
        <v>#REF!</v>
      </c>
      <c r="HW443" t="e">
        <f>AND(#REF!,"AAAAAHv7f+Y=")</f>
        <v>#REF!</v>
      </c>
      <c r="HX443" t="e">
        <f>AND(#REF!,"AAAAAHv7f+c=")</f>
        <v>#REF!</v>
      </c>
      <c r="HY443" t="e">
        <f>AND(#REF!,"AAAAAHv7f+g=")</f>
        <v>#REF!</v>
      </c>
      <c r="HZ443" t="e">
        <f>AND(#REF!,"AAAAAHv7f+k=")</f>
        <v>#REF!</v>
      </c>
      <c r="IA443" t="e">
        <f>AND(#REF!,"AAAAAHv7f+o=")</f>
        <v>#REF!</v>
      </c>
      <c r="IB443" t="e">
        <f>AND(#REF!,"AAAAAHv7f+s=")</f>
        <v>#REF!</v>
      </c>
      <c r="IC443" t="e">
        <f>AND(#REF!,"AAAAAHv7f+w=")</f>
        <v>#REF!</v>
      </c>
      <c r="ID443" t="e">
        <f>AND(#REF!,"AAAAAHv7f+0=")</f>
        <v>#REF!</v>
      </c>
      <c r="IE443" t="e">
        <f>AND(#REF!,"AAAAAHv7f+4=")</f>
        <v>#REF!</v>
      </c>
      <c r="IF443" t="e">
        <f>IF(#REF!,"AAAAAHv7f+8=",0)</f>
        <v>#REF!</v>
      </c>
      <c r="IG443" t="e">
        <f>AND(#REF!,"AAAAAHv7f/A=")</f>
        <v>#REF!</v>
      </c>
      <c r="IH443" t="e">
        <f>AND(#REF!,"AAAAAHv7f/E=")</f>
        <v>#REF!</v>
      </c>
      <c r="II443" t="e">
        <f>AND(#REF!,"AAAAAHv7f/I=")</f>
        <v>#REF!</v>
      </c>
      <c r="IJ443" t="e">
        <f>AND(#REF!,"AAAAAHv7f/M=")</f>
        <v>#REF!</v>
      </c>
      <c r="IK443" t="e">
        <f>AND(#REF!,"AAAAAHv7f/Q=")</f>
        <v>#REF!</v>
      </c>
      <c r="IL443" t="e">
        <f>AND(#REF!,"AAAAAHv7f/U=")</f>
        <v>#REF!</v>
      </c>
      <c r="IM443" t="e">
        <f>AND(#REF!,"AAAAAHv7f/Y=")</f>
        <v>#REF!</v>
      </c>
      <c r="IN443" t="e">
        <f>AND(#REF!,"AAAAAHv7f/c=")</f>
        <v>#REF!</v>
      </c>
      <c r="IO443" t="e">
        <f>AND(#REF!,"AAAAAHv7f/g=")</f>
        <v>#REF!</v>
      </c>
      <c r="IP443" t="e">
        <f>AND(#REF!,"AAAAAHv7f/k=")</f>
        <v>#REF!</v>
      </c>
      <c r="IQ443" t="e">
        <f>IF(#REF!,"AAAAAHv7f/o=",0)</f>
        <v>#REF!</v>
      </c>
      <c r="IR443" t="e">
        <f>AND(#REF!,"AAAAAHv7f/s=")</f>
        <v>#REF!</v>
      </c>
      <c r="IS443" t="e">
        <f>AND(#REF!,"AAAAAHv7f/w=")</f>
        <v>#REF!</v>
      </c>
      <c r="IT443" t="e">
        <f>AND(#REF!,"AAAAAHv7f/0=")</f>
        <v>#REF!</v>
      </c>
      <c r="IU443" t="e">
        <f>AND(#REF!,"AAAAAHv7f/4=")</f>
        <v>#REF!</v>
      </c>
      <c r="IV443" t="e">
        <f>AND(#REF!,"AAAAAHv7f/8=")</f>
        <v>#REF!</v>
      </c>
    </row>
    <row r="444" spans="1:256" x14ac:dyDescent="0.25">
      <c r="A444" t="e">
        <f>AND(#REF!,"AAAAAAue9wA=")</f>
        <v>#REF!</v>
      </c>
      <c r="B444" t="e">
        <f>AND(#REF!,"AAAAAAue9wE=")</f>
        <v>#REF!</v>
      </c>
      <c r="C444" t="e">
        <f>AND(#REF!,"AAAAAAue9wI=")</f>
        <v>#REF!</v>
      </c>
      <c r="D444" t="e">
        <f>AND(#REF!,"AAAAAAue9wM=")</f>
        <v>#REF!</v>
      </c>
      <c r="E444" t="e">
        <f>AND(#REF!,"AAAAAAue9wQ=")</f>
        <v>#REF!</v>
      </c>
      <c r="F444" t="e">
        <f>IF(#REF!,"AAAAAAue9wU=",0)</f>
        <v>#REF!</v>
      </c>
      <c r="G444" t="e">
        <f>AND(#REF!,"AAAAAAue9wY=")</f>
        <v>#REF!</v>
      </c>
      <c r="H444" t="e">
        <f>AND(#REF!,"AAAAAAue9wc=")</f>
        <v>#REF!</v>
      </c>
      <c r="I444" t="e">
        <f>AND(#REF!,"AAAAAAue9wg=")</f>
        <v>#REF!</v>
      </c>
      <c r="J444" t="e">
        <f>AND(#REF!,"AAAAAAue9wk=")</f>
        <v>#REF!</v>
      </c>
      <c r="K444" t="e">
        <f>AND(#REF!,"AAAAAAue9wo=")</f>
        <v>#REF!</v>
      </c>
      <c r="L444" t="e">
        <f>AND(#REF!,"AAAAAAue9ws=")</f>
        <v>#REF!</v>
      </c>
      <c r="M444" t="e">
        <f>AND(#REF!,"AAAAAAue9ww=")</f>
        <v>#REF!</v>
      </c>
      <c r="N444" t="e">
        <f>AND(#REF!,"AAAAAAue9w0=")</f>
        <v>#REF!</v>
      </c>
      <c r="O444" t="e">
        <f>AND(#REF!,"AAAAAAue9w4=")</f>
        <v>#REF!</v>
      </c>
      <c r="P444" t="e">
        <f>AND(#REF!,"AAAAAAue9w8=")</f>
        <v>#REF!</v>
      </c>
      <c r="Q444" t="e">
        <f>IF(#REF!,"AAAAAAue9xA=",0)</f>
        <v>#REF!</v>
      </c>
      <c r="R444" t="e">
        <f>AND(#REF!,"AAAAAAue9xE=")</f>
        <v>#REF!</v>
      </c>
      <c r="S444" t="e">
        <f>AND(#REF!,"AAAAAAue9xI=")</f>
        <v>#REF!</v>
      </c>
      <c r="T444" t="e">
        <f>AND(#REF!,"AAAAAAue9xM=")</f>
        <v>#REF!</v>
      </c>
      <c r="U444" t="e">
        <f>AND(#REF!,"AAAAAAue9xQ=")</f>
        <v>#REF!</v>
      </c>
      <c r="V444" t="e">
        <f>AND(#REF!,"AAAAAAue9xU=")</f>
        <v>#REF!</v>
      </c>
      <c r="W444" t="e">
        <f>AND(#REF!,"AAAAAAue9xY=")</f>
        <v>#REF!</v>
      </c>
      <c r="X444" t="e">
        <f>AND(#REF!,"AAAAAAue9xc=")</f>
        <v>#REF!</v>
      </c>
      <c r="Y444" t="e">
        <f>AND(#REF!,"AAAAAAue9xg=")</f>
        <v>#REF!</v>
      </c>
      <c r="Z444" t="e">
        <f>AND(#REF!,"AAAAAAue9xk=")</f>
        <v>#REF!</v>
      </c>
      <c r="AA444" t="e">
        <f>AND(#REF!,"AAAAAAue9xo=")</f>
        <v>#REF!</v>
      </c>
      <c r="AB444" t="e">
        <f>IF(#REF!,"AAAAAAue9xs=",0)</f>
        <v>#REF!</v>
      </c>
      <c r="AC444" t="e">
        <f>AND(#REF!,"AAAAAAue9xw=")</f>
        <v>#REF!</v>
      </c>
      <c r="AD444" t="e">
        <f>AND(#REF!,"AAAAAAue9x0=")</f>
        <v>#REF!</v>
      </c>
      <c r="AE444" t="e">
        <f>AND(#REF!,"AAAAAAue9x4=")</f>
        <v>#REF!</v>
      </c>
      <c r="AF444" t="e">
        <f>AND(#REF!,"AAAAAAue9x8=")</f>
        <v>#REF!</v>
      </c>
      <c r="AG444" t="e">
        <f>AND(#REF!,"AAAAAAue9yA=")</f>
        <v>#REF!</v>
      </c>
      <c r="AH444" t="e">
        <f>AND(#REF!,"AAAAAAue9yE=")</f>
        <v>#REF!</v>
      </c>
      <c r="AI444" t="e">
        <f>AND(#REF!,"AAAAAAue9yI=")</f>
        <v>#REF!</v>
      </c>
      <c r="AJ444" t="e">
        <f>AND(#REF!,"AAAAAAue9yM=")</f>
        <v>#REF!</v>
      </c>
      <c r="AK444" t="e">
        <f>AND(#REF!,"AAAAAAue9yQ=")</f>
        <v>#REF!</v>
      </c>
      <c r="AL444" t="e">
        <f>AND(#REF!,"AAAAAAue9yU=")</f>
        <v>#REF!</v>
      </c>
      <c r="AM444" t="e">
        <f>IF(#REF!,"AAAAAAue9yY=",0)</f>
        <v>#REF!</v>
      </c>
      <c r="AN444" t="e">
        <f>AND(#REF!,"AAAAAAue9yc=")</f>
        <v>#REF!</v>
      </c>
      <c r="AO444" t="e">
        <f>AND(#REF!,"AAAAAAue9yg=")</f>
        <v>#REF!</v>
      </c>
      <c r="AP444" t="e">
        <f>AND(#REF!,"AAAAAAue9yk=")</f>
        <v>#REF!</v>
      </c>
      <c r="AQ444" t="e">
        <f>AND(#REF!,"AAAAAAue9yo=")</f>
        <v>#REF!</v>
      </c>
      <c r="AR444" t="e">
        <f>AND(#REF!,"AAAAAAue9ys=")</f>
        <v>#REF!</v>
      </c>
      <c r="AS444" t="e">
        <f>AND(#REF!,"AAAAAAue9yw=")</f>
        <v>#REF!</v>
      </c>
      <c r="AT444" t="e">
        <f>AND(#REF!,"AAAAAAue9y0=")</f>
        <v>#REF!</v>
      </c>
      <c r="AU444" t="e">
        <f>AND(#REF!,"AAAAAAue9y4=")</f>
        <v>#REF!</v>
      </c>
      <c r="AV444" t="e">
        <f>AND(#REF!,"AAAAAAue9y8=")</f>
        <v>#REF!</v>
      </c>
      <c r="AW444" t="e">
        <f>AND(#REF!,"AAAAAAue9zA=")</f>
        <v>#REF!</v>
      </c>
      <c r="AX444" t="e">
        <f>IF(#REF!,"AAAAAAue9zE=",0)</f>
        <v>#REF!</v>
      </c>
      <c r="AY444" t="e">
        <f>AND(#REF!,"AAAAAAue9zI=")</f>
        <v>#REF!</v>
      </c>
      <c r="AZ444" t="e">
        <f>AND(#REF!,"AAAAAAue9zM=")</f>
        <v>#REF!</v>
      </c>
      <c r="BA444" t="e">
        <f>AND(#REF!,"AAAAAAue9zQ=")</f>
        <v>#REF!</v>
      </c>
      <c r="BB444" t="e">
        <f>AND(#REF!,"AAAAAAue9zU=")</f>
        <v>#REF!</v>
      </c>
      <c r="BC444" t="e">
        <f>AND(#REF!,"AAAAAAue9zY=")</f>
        <v>#REF!</v>
      </c>
      <c r="BD444" t="e">
        <f>AND(#REF!,"AAAAAAue9zc=")</f>
        <v>#REF!</v>
      </c>
      <c r="BE444" t="e">
        <f>AND(#REF!,"AAAAAAue9zg=")</f>
        <v>#REF!</v>
      </c>
      <c r="BF444" t="e">
        <f>AND(#REF!,"AAAAAAue9zk=")</f>
        <v>#REF!</v>
      </c>
      <c r="BG444" t="e">
        <f>AND(#REF!,"AAAAAAue9zo=")</f>
        <v>#REF!</v>
      </c>
      <c r="BH444" t="e">
        <f>AND(#REF!,"AAAAAAue9zs=")</f>
        <v>#REF!</v>
      </c>
      <c r="BI444" t="e">
        <f>IF(#REF!,"AAAAAAue9zw=",0)</f>
        <v>#REF!</v>
      </c>
      <c r="BJ444" t="e">
        <f>AND(#REF!,"AAAAAAue9z0=")</f>
        <v>#REF!</v>
      </c>
      <c r="BK444" t="e">
        <f>AND(#REF!,"AAAAAAue9z4=")</f>
        <v>#REF!</v>
      </c>
      <c r="BL444" t="e">
        <f>AND(#REF!,"AAAAAAue9z8=")</f>
        <v>#REF!</v>
      </c>
      <c r="BM444" t="e">
        <f>AND(#REF!,"AAAAAAue90A=")</f>
        <v>#REF!</v>
      </c>
      <c r="BN444" t="e">
        <f>AND(#REF!,"AAAAAAue90E=")</f>
        <v>#REF!</v>
      </c>
      <c r="BO444" t="e">
        <f>AND(#REF!,"AAAAAAue90I=")</f>
        <v>#REF!</v>
      </c>
      <c r="BP444" t="e">
        <f>AND(#REF!,"AAAAAAue90M=")</f>
        <v>#REF!</v>
      </c>
      <c r="BQ444" t="e">
        <f>AND(#REF!,"AAAAAAue90Q=")</f>
        <v>#REF!</v>
      </c>
      <c r="BR444" t="e">
        <f>AND(#REF!,"AAAAAAue90U=")</f>
        <v>#REF!</v>
      </c>
      <c r="BS444" t="e">
        <f>AND(#REF!,"AAAAAAue90Y=")</f>
        <v>#REF!</v>
      </c>
      <c r="BT444" t="e">
        <f>IF(#REF!,"AAAAAAue90c=",0)</f>
        <v>#REF!</v>
      </c>
      <c r="BU444" t="e">
        <f>AND(#REF!,"AAAAAAue90g=")</f>
        <v>#REF!</v>
      </c>
      <c r="BV444" t="e">
        <f>AND(#REF!,"AAAAAAue90k=")</f>
        <v>#REF!</v>
      </c>
      <c r="BW444" t="e">
        <f>AND(#REF!,"AAAAAAue90o=")</f>
        <v>#REF!</v>
      </c>
      <c r="BX444" t="e">
        <f>AND(#REF!,"AAAAAAue90s=")</f>
        <v>#REF!</v>
      </c>
      <c r="BY444" t="e">
        <f>AND(#REF!,"AAAAAAue90w=")</f>
        <v>#REF!</v>
      </c>
      <c r="BZ444" t="e">
        <f>AND(#REF!,"AAAAAAue900=")</f>
        <v>#REF!</v>
      </c>
      <c r="CA444" t="e">
        <f>AND(#REF!,"AAAAAAue904=")</f>
        <v>#REF!</v>
      </c>
      <c r="CB444" t="e">
        <f>AND(#REF!,"AAAAAAue908=")</f>
        <v>#REF!</v>
      </c>
      <c r="CC444" t="e">
        <f>AND(#REF!,"AAAAAAue91A=")</f>
        <v>#REF!</v>
      </c>
      <c r="CD444" t="e">
        <f>AND(#REF!,"AAAAAAue91E=")</f>
        <v>#REF!</v>
      </c>
      <c r="CE444" t="e">
        <f>IF(#REF!,"AAAAAAue91I=",0)</f>
        <v>#REF!</v>
      </c>
      <c r="CF444" t="e">
        <f>AND(#REF!,"AAAAAAue91M=")</f>
        <v>#REF!</v>
      </c>
      <c r="CG444" t="e">
        <f>AND(#REF!,"AAAAAAue91Q=")</f>
        <v>#REF!</v>
      </c>
      <c r="CH444" t="e">
        <f>AND(#REF!,"AAAAAAue91U=")</f>
        <v>#REF!</v>
      </c>
      <c r="CI444" t="e">
        <f>AND(#REF!,"AAAAAAue91Y=")</f>
        <v>#REF!</v>
      </c>
      <c r="CJ444" t="e">
        <f>AND(#REF!,"AAAAAAue91c=")</f>
        <v>#REF!</v>
      </c>
      <c r="CK444" t="e">
        <f>AND(#REF!,"AAAAAAue91g=")</f>
        <v>#REF!</v>
      </c>
      <c r="CL444" t="e">
        <f>AND(#REF!,"AAAAAAue91k=")</f>
        <v>#REF!</v>
      </c>
      <c r="CM444" t="e">
        <f>AND(#REF!,"AAAAAAue91o=")</f>
        <v>#REF!</v>
      </c>
      <c r="CN444" t="e">
        <f>AND(#REF!,"AAAAAAue91s=")</f>
        <v>#REF!</v>
      </c>
      <c r="CO444" t="e">
        <f>AND(#REF!,"AAAAAAue91w=")</f>
        <v>#REF!</v>
      </c>
      <c r="CP444" t="e">
        <f>IF(#REF!,"AAAAAAue910=",0)</f>
        <v>#REF!</v>
      </c>
      <c r="CQ444" t="e">
        <f>AND(#REF!,"AAAAAAue914=")</f>
        <v>#REF!</v>
      </c>
      <c r="CR444" t="e">
        <f>AND(#REF!,"AAAAAAue918=")</f>
        <v>#REF!</v>
      </c>
      <c r="CS444" t="e">
        <f>AND(#REF!,"AAAAAAue92A=")</f>
        <v>#REF!</v>
      </c>
      <c r="CT444" t="e">
        <f>AND(#REF!,"AAAAAAue92E=")</f>
        <v>#REF!</v>
      </c>
      <c r="CU444" t="e">
        <f>AND(#REF!,"AAAAAAue92I=")</f>
        <v>#REF!</v>
      </c>
      <c r="CV444" t="e">
        <f>AND(#REF!,"AAAAAAue92M=")</f>
        <v>#REF!</v>
      </c>
      <c r="CW444" t="e">
        <f>AND(#REF!,"AAAAAAue92Q=")</f>
        <v>#REF!</v>
      </c>
      <c r="CX444" t="e">
        <f>AND(#REF!,"AAAAAAue92U=")</f>
        <v>#REF!</v>
      </c>
      <c r="CY444" t="e">
        <f>AND(#REF!,"AAAAAAue92Y=")</f>
        <v>#REF!</v>
      </c>
      <c r="CZ444" t="e">
        <f>AND(#REF!,"AAAAAAue92c=")</f>
        <v>#REF!</v>
      </c>
      <c r="DA444" t="e">
        <f>IF(#REF!,"AAAAAAue92g=",0)</f>
        <v>#REF!</v>
      </c>
      <c r="DB444" t="e">
        <f>AND(#REF!,"AAAAAAue92k=")</f>
        <v>#REF!</v>
      </c>
      <c r="DC444" t="e">
        <f>AND(#REF!,"AAAAAAue92o=")</f>
        <v>#REF!</v>
      </c>
      <c r="DD444" t="e">
        <f>AND(#REF!,"AAAAAAue92s=")</f>
        <v>#REF!</v>
      </c>
      <c r="DE444" t="e">
        <f>AND(#REF!,"AAAAAAue92w=")</f>
        <v>#REF!</v>
      </c>
      <c r="DF444" t="e">
        <f>AND(#REF!,"AAAAAAue920=")</f>
        <v>#REF!</v>
      </c>
      <c r="DG444" t="e">
        <f>AND(#REF!,"AAAAAAue924=")</f>
        <v>#REF!</v>
      </c>
      <c r="DH444" t="e">
        <f>AND(#REF!,"AAAAAAue928=")</f>
        <v>#REF!</v>
      </c>
      <c r="DI444" t="e">
        <f>AND(#REF!,"AAAAAAue93A=")</f>
        <v>#REF!</v>
      </c>
      <c r="DJ444" t="e">
        <f>AND(#REF!,"AAAAAAue93E=")</f>
        <v>#REF!</v>
      </c>
      <c r="DK444" t="e">
        <f>AND(#REF!,"AAAAAAue93I=")</f>
        <v>#REF!</v>
      </c>
      <c r="DL444" t="e">
        <f>IF(#REF!,"AAAAAAue93M=",0)</f>
        <v>#REF!</v>
      </c>
      <c r="DM444" t="e">
        <f>AND(#REF!,"AAAAAAue93Q=")</f>
        <v>#REF!</v>
      </c>
      <c r="DN444" t="e">
        <f>AND(#REF!,"AAAAAAue93U=")</f>
        <v>#REF!</v>
      </c>
      <c r="DO444" t="e">
        <f>AND(#REF!,"AAAAAAue93Y=")</f>
        <v>#REF!</v>
      </c>
      <c r="DP444" t="e">
        <f>AND(#REF!,"AAAAAAue93c=")</f>
        <v>#REF!</v>
      </c>
      <c r="DQ444" t="e">
        <f>AND(#REF!,"AAAAAAue93g=")</f>
        <v>#REF!</v>
      </c>
      <c r="DR444" t="e">
        <f>AND(#REF!,"AAAAAAue93k=")</f>
        <v>#REF!</v>
      </c>
      <c r="DS444" t="e">
        <f>AND(#REF!,"AAAAAAue93o=")</f>
        <v>#REF!</v>
      </c>
      <c r="DT444" t="e">
        <f>AND(#REF!,"AAAAAAue93s=")</f>
        <v>#REF!</v>
      </c>
      <c r="DU444" t="e">
        <f>AND(#REF!,"AAAAAAue93w=")</f>
        <v>#REF!</v>
      </c>
      <c r="DV444" t="e">
        <f>AND(#REF!,"AAAAAAue930=")</f>
        <v>#REF!</v>
      </c>
      <c r="DW444" t="e">
        <f>IF(#REF!,"AAAAAAue934=",0)</f>
        <v>#REF!</v>
      </c>
      <c r="DX444" t="e">
        <f>AND(#REF!,"AAAAAAue938=")</f>
        <v>#REF!</v>
      </c>
      <c r="DY444" t="e">
        <f>AND(#REF!,"AAAAAAue94A=")</f>
        <v>#REF!</v>
      </c>
      <c r="DZ444" t="e">
        <f>AND(#REF!,"AAAAAAue94E=")</f>
        <v>#REF!</v>
      </c>
      <c r="EA444" t="e">
        <f>AND(#REF!,"AAAAAAue94I=")</f>
        <v>#REF!</v>
      </c>
      <c r="EB444" t="e">
        <f>AND(#REF!,"AAAAAAue94M=")</f>
        <v>#REF!</v>
      </c>
      <c r="EC444" t="e">
        <f>AND(#REF!,"AAAAAAue94Q=")</f>
        <v>#REF!</v>
      </c>
      <c r="ED444" t="e">
        <f>AND(#REF!,"AAAAAAue94U=")</f>
        <v>#REF!</v>
      </c>
      <c r="EE444" t="e">
        <f>AND(#REF!,"AAAAAAue94Y=")</f>
        <v>#REF!</v>
      </c>
      <c r="EF444" t="e">
        <f>AND(#REF!,"AAAAAAue94c=")</f>
        <v>#REF!</v>
      </c>
      <c r="EG444" t="e">
        <f>AND(#REF!,"AAAAAAue94g=")</f>
        <v>#REF!</v>
      </c>
      <c r="EH444" t="e">
        <f>IF(#REF!,"AAAAAAue94k=",0)</f>
        <v>#REF!</v>
      </c>
      <c r="EI444" t="e">
        <f>AND(#REF!,"AAAAAAue94o=")</f>
        <v>#REF!</v>
      </c>
      <c r="EJ444" t="e">
        <f>AND(#REF!,"AAAAAAue94s=")</f>
        <v>#REF!</v>
      </c>
      <c r="EK444" t="e">
        <f>AND(#REF!,"AAAAAAue94w=")</f>
        <v>#REF!</v>
      </c>
      <c r="EL444" t="e">
        <f>AND(#REF!,"AAAAAAue940=")</f>
        <v>#REF!</v>
      </c>
      <c r="EM444" t="e">
        <f>AND(#REF!,"AAAAAAue944=")</f>
        <v>#REF!</v>
      </c>
      <c r="EN444" t="e">
        <f>AND(#REF!,"AAAAAAue948=")</f>
        <v>#REF!</v>
      </c>
      <c r="EO444" t="e">
        <f>AND(#REF!,"AAAAAAue95A=")</f>
        <v>#REF!</v>
      </c>
      <c r="EP444" t="e">
        <f>AND(#REF!,"AAAAAAue95E=")</f>
        <v>#REF!</v>
      </c>
      <c r="EQ444" t="e">
        <f>AND(#REF!,"AAAAAAue95I=")</f>
        <v>#REF!</v>
      </c>
      <c r="ER444" t="e">
        <f>AND(#REF!,"AAAAAAue95M=")</f>
        <v>#REF!</v>
      </c>
      <c r="ES444" t="e">
        <f>IF(#REF!,"AAAAAAue95Q=",0)</f>
        <v>#REF!</v>
      </c>
      <c r="ET444" t="e">
        <f>AND(#REF!,"AAAAAAue95U=")</f>
        <v>#REF!</v>
      </c>
      <c r="EU444" t="e">
        <f>AND(#REF!,"AAAAAAue95Y=")</f>
        <v>#REF!</v>
      </c>
      <c r="EV444" t="e">
        <f>AND(#REF!,"AAAAAAue95c=")</f>
        <v>#REF!</v>
      </c>
      <c r="EW444" t="e">
        <f>AND(#REF!,"AAAAAAue95g=")</f>
        <v>#REF!</v>
      </c>
      <c r="EX444" t="e">
        <f>AND(#REF!,"AAAAAAue95k=")</f>
        <v>#REF!</v>
      </c>
      <c r="EY444" t="e">
        <f>AND(#REF!,"AAAAAAue95o=")</f>
        <v>#REF!</v>
      </c>
      <c r="EZ444" t="e">
        <f>AND(#REF!,"AAAAAAue95s=")</f>
        <v>#REF!</v>
      </c>
      <c r="FA444" t="e">
        <f>AND(#REF!,"AAAAAAue95w=")</f>
        <v>#REF!</v>
      </c>
      <c r="FB444" t="e">
        <f>AND(#REF!,"AAAAAAue950=")</f>
        <v>#REF!</v>
      </c>
      <c r="FC444" t="e">
        <f>AND(#REF!,"AAAAAAue954=")</f>
        <v>#REF!</v>
      </c>
      <c r="FD444" t="e">
        <f>IF(#REF!,"AAAAAAue958=",0)</f>
        <v>#REF!</v>
      </c>
      <c r="FE444" t="e">
        <f>AND(#REF!,"AAAAAAue96A=")</f>
        <v>#REF!</v>
      </c>
      <c r="FF444" t="e">
        <f>AND(#REF!,"AAAAAAue96E=")</f>
        <v>#REF!</v>
      </c>
      <c r="FG444" t="e">
        <f>AND(#REF!,"AAAAAAue96I=")</f>
        <v>#REF!</v>
      </c>
      <c r="FH444" t="e">
        <f>AND(#REF!,"AAAAAAue96M=")</f>
        <v>#REF!</v>
      </c>
      <c r="FI444" t="e">
        <f>AND(#REF!,"AAAAAAue96Q=")</f>
        <v>#REF!</v>
      </c>
      <c r="FJ444" t="e">
        <f>AND(#REF!,"AAAAAAue96U=")</f>
        <v>#REF!</v>
      </c>
      <c r="FK444" t="e">
        <f>AND(#REF!,"AAAAAAue96Y=")</f>
        <v>#REF!</v>
      </c>
      <c r="FL444" t="e">
        <f>AND(#REF!,"AAAAAAue96c=")</f>
        <v>#REF!</v>
      </c>
      <c r="FM444" t="e">
        <f>AND(#REF!,"AAAAAAue96g=")</f>
        <v>#REF!</v>
      </c>
      <c r="FN444" t="e">
        <f>AND(#REF!,"AAAAAAue96k=")</f>
        <v>#REF!</v>
      </c>
      <c r="FO444" t="e">
        <f>IF(#REF!,"AAAAAAue96o=",0)</f>
        <v>#REF!</v>
      </c>
      <c r="FP444" t="e">
        <f>AND(#REF!,"AAAAAAue96s=")</f>
        <v>#REF!</v>
      </c>
      <c r="FQ444" t="e">
        <f>AND(#REF!,"AAAAAAue96w=")</f>
        <v>#REF!</v>
      </c>
      <c r="FR444" t="e">
        <f>AND(#REF!,"AAAAAAue960=")</f>
        <v>#REF!</v>
      </c>
      <c r="FS444" t="e">
        <f>AND(#REF!,"AAAAAAue964=")</f>
        <v>#REF!</v>
      </c>
      <c r="FT444" t="e">
        <f>AND(#REF!,"AAAAAAue968=")</f>
        <v>#REF!</v>
      </c>
      <c r="FU444" t="e">
        <f>AND(#REF!,"AAAAAAue97A=")</f>
        <v>#REF!</v>
      </c>
      <c r="FV444" t="e">
        <f>AND(#REF!,"AAAAAAue97E=")</f>
        <v>#REF!</v>
      </c>
      <c r="FW444" t="e">
        <f>AND(#REF!,"AAAAAAue97I=")</f>
        <v>#REF!</v>
      </c>
      <c r="FX444" t="e">
        <f>AND(#REF!,"AAAAAAue97M=")</f>
        <v>#REF!</v>
      </c>
      <c r="FY444" t="e">
        <f>AND(#REF!,"AAAAAAue97Q=")</f>
        <v>#REF!</v>
      </c>
      <c r="FZ444" t="e">
        <f>IF(#REF!,"AAAAAAue97U=",0)</f>
        <v>#REF!</v>
      </c>
      <c r="GA444" t="e">
        <f>AND(#REF!,"AAAAAAue97Y=")</f>
        <v>#REF!</v>
      </c>
      <c r="GB444" t="e">
        <f>AND(#REF!,"AAAAAAue97c=")</f>
        <v>#REF!</v>
      </c>
      <c r="GC444" t="e">
        <f>AND(#REF!,"AAAAAAue97g=")</f>
        <v>#REF!</v>
      </c>
      <c r="GD444" t="e">
        <f>AND(#REF!,"AAAAAAue97k=")</f>
        <v>#REF!</v>
      </c>
      <c r="GE444" t="e">
        <f>AND(#REF!,"AAAAAAue97o=")</f>
        <v>#REF!</v>
      </c>
      <c r="GF444" t="e">
        <f>AND(#REF!,"AAAAAAue97s=")</f>
        <v>#REF!</v>
      </c>
      <c r="GG444" t="e">
        <f>AND(#REF!,"AAAAAAue97w=")</f>
        <v>#REF!</v>
      </c>
      <c r="GH444" t="e">
        <f>AND(#REF!,"AAAAAAue970=")</f>
        <v>#REF!</v>
      </c>
      <c r="GI444" t="e">
        <f>AND(#REF!,"AAAAAAue974=")</f>
        <v>#REF!</v>
      </c>
      <c r="GJ444" t="e">
        <f>AND(#REF!,"AAAAAAue978=")</f>
        <v>#REF!</v>
      </c>
      <c r="GK444" t="e">
        <f>IF(#REF!,"AAAAAAue98A=",0)</f>
        <v>#REF!</v>
      </c>
      <c r="GL444" t="e">
        <f>AND(#REF!,"AAAAAAue98E=")</f>
        <v>#REF!</v>
      </c>
      <c r="GM444" t="e">
        <f>AND(#REF!,"AAAAAAue98I=")</f>
        <v>#REF!</v>
      </c>
      <c r="GN444" t="e">
        <f>AND(#REF!,"AAAAAAue98M=")</f>
        <v>#REF!</v>
      </c>
      <c r="GO444" t="e">
        <f>AND(#REF!,"AAAAAAue98Q=")</f>
        <v>#REF!</v>
      </c>
      <c r="GP444" t="e">
        <f>AND(#REF!,"AAAAAAue98U=")</f>
        <v>#REF!</v>
      </c>
      <c r="GQ444" t="e">
        <f>AND(#REF!,"AAAAAAue98Y=")</f>
        <v>#REF!</v>
      </c>
      <c r="GR444" t="e">
        <f>AND(#REF!,"AAAAAAue98c=")</f>
        <v>#REF!</v>
      </c>
      <c r="GS444" t="e">
        <f>AND(#REF!,"AAAAAAue98g=")</f>
        <v>#REF!</v>
      </c>
      <c r="GT444" t="e">
        <f>AND(#REF!,"AAAAAAue98k=")</f>
        <v>#REF!</v>
      </c>
      <c r="GU444" t="e">
        <f>AND(#REF!,"AAAAAAue98o=")</f>
        <v>#REF!</v>
      </c>
      <c r="GV444" t="e">
        <f>IF(#REF!,"AAAAAAue98s=",0)</f>
        <v>#REF!</v>
      </c>
      <c r="GW444" t="e">
        <f>AND(#REF!,"AAAAAAue98w=")</f>
        <v>#REF!</v>
      </c>
      <c r="GX444" t="e">
        <f>AND(#REF!,"AAAAAAue980=")</f>
        <v>#REF!</v>
      </c>
      <c r="GY444" t="e">
        <f>AND(#REF!,"AAAAAAue984=")</f>
        <v>#REF!</v>
      </c>
      <c r="GZ444" t="e">
        <f>AND(#REF!,"AAAAAAue988=")</f>
        <v>#REF!</v>
      </c>
      <c r="HA444" t="e">
        <f>AND(#REF!,"AAAAAAue99A=")</f>
        <v>#REF!</v>
      </c>
      <c r="HB444" t="e">
        <f>AND(#REF!,"AAAAAAue99E=")</f>
        <v>#REF!</v>
      </c>
      <c r="HC444" t="e">
        <f>AND(#REF!,"AAAAAAue99I=")</f>
        <v>#REF!</v>
      </c>
      <c r="HD444" t="e">
        <f>AND(#REF!,"AAAAAAue99M=")</f>
        <v>#REF!</v>
      </c>
      <c r="HE444" t="e">
        <f>AND(#REF!,"AAAAAAue99Q=")</f>
        <v>#REF!</v>
      </c>
      <c r="HF444" t="e">
        <f>AND(#REF!,"AAAAAAue99U=")</f>
        <v>#REF!</v>
      </c>
      <c r="HG444" t="e">
        <f>IF(#REF!,"AAAAAAue99Y=",0)</f>
        <v>#REF!</v>
      </c>
      <c r="HH444" t="e">
        <f>AND(#REF!,"AAAAAAue99c=")</f>
        <v>#REF!</v>
      </c>
      <c r="HI444" t="e">
        <f>AND(#REF!,"AAAAAAue99g=")</f>
        <v>#REF!</v>
      </c>
      <c r="HJ444" t="e">
        <f>AND(#REF!,"AAAAAAue99k=")</f>
        <v>#REF!</v>
      </c>
      <c r="HK444" t="e">
        <f>AND(#REF!,"AAAAAAue99o=")</f>
        <v>#REF!</v>
      </c>
      <c r="HL444" t="e">
        <f>AND(#REF!,"AAAAAAue99s=")</f>
        <v>#REF!</v>
      </c>
      <c r="HM444" t="e">
        <f>AND(#REF!,"AAAAAAue99w=")</f>
        <v>#REF!</v>
      </c>
      <c r="HN444" t="e">
        <f>AND(#REF!,"AAAAAAue990=")</f>
        <v>#REF!</v>
      </c>
      <c r="HO444" t="e">
        <f>AND(#REF!,"AAAAAAue994=")</f>
        <v>#REF!</v>
      </c>
      <c r="HP444" t="e">
        <f>AND(#REF!,"AAAAAAue998=")</f>
        <v>#REF!</v>
      </c>
      <c r="HQ444" t="e">
        <f>AND(#REF!,"AAAAAAue9+A=")</f>
        <v>#REF!</v>
      </c>
      <c r="HR444" t="e">
        <f>IF(#REF!,"AAAAAAue9+E=",0)</f>
        <v>#REF!</v>
      </c>
      <c r="HS444" t="e">
        <f>AND(#REF!,"AAAAAAue9+I=")</f>
        <v>#REF!</v>
      </c>
      <c r="HT444" t="e">
        <f>AND(#REF!,"AAAAAAue9+M=")</f>
        <v>#REF!</v>
      </c>
      <c r="HU444" t="e">
        <f>AND(#REF!,"AAAAAAue9+Q=")</f>
        <v>#REF!</v>
      </c>
      <c r="HV444" t="e">
        <f>AND(#REF!,"AAAAAAue9+U=")</f>
        <v>#REF!</v>
      </c>
      <c r="HW444" t="e">
        <f>AND(#REF!,"AAAAAAue9+Y=")</f>
        <v>#REF!</v>
      </c>
      <c r="HX444" t="e">
        <f>AND(#REF!,"AAAAAAue9+c=")</f>
        <v>#REF!</v>
      </c>
      <c r="HY444" t="e">
        <f>AND(#REF!,"AAAAAAue9+g=")</f>
        <v>#REF!</v>
      </c>
      <c r="HZ444" t="e">
        <f>AND(#REF!,"AAAAAAue9+k=")</f>
        <v>#REF!</v>
      </c>
      <c r="IA444" t="e">
        <f>AND(#REF!,"AAAAAAue9+o=")</f>
        <v>#REF!</v>
      </c>
      <c r="IB444" t="e">
        <f>AND(#REF!,"AAAAAAue9+s=")</f>
        <v>#REF!</v>
      </c>
      <c r="IC444" t="e">
        <f>IF(#REF!,"AAAAAAue9+w=",0)</f>
        <v>#REF!</v>
      </c>
      <c r="ID444" t="e">
        <f>AND(#REF!,"AAAAAAue9+0=")</f>
        <v>#REF!</v>
      </c>
      <c r="IE444" t="e">
        <f>AND(#REF!,"AAAAAAue9+4=")</f>
        <v>#REF!</v>
      </c>
      <c r="IF444" t="e">
        <f>AND(#REF!,"AAAAAAue9+8=")</f>
        <v>#REF!</v>
      </c>
      <c r="IG444" t="e">
        <f>AND(#REF!,"AAAAAAue9/A=")</f>
        <v>#REF!</v>
      </c>
      <c r="IH444" t="e">
        <f>AND(#REF!,"AAAAAAue9/E=")</f>
        <v>#REF!</v>
      </c>
      <c r="II444" t="e">
        <f>AND(#REF!,"AAAAAAue9/I=")</f>
        <v>#REF!</v>
      </c>
      <c r="IJ444" t="e">
        <f>AND(#REF!,"AAAAAAue9/M=")</f>
        <v>#REF!</v>
      </c>
      <c r="IK444" t="e">
        <f>AND(#REF!,"AAAAAAue9/Q=")</f>
        <v>#REF!</v>
      </c>
      <c r="IL444" t="e">
        <f>AND(#REF!,"AAAAAAue9/U=")</f>
        <v>#REF!</v>
      </c>
      <c r="IM444" t="e">
        <f>AND(#REF!,"AAAAAAue9/Y=")</f>
        <v>#REF!</v>
      </c>
      <c r="IN444" t="e">
        <f>IF(#REF!,"AAAAAAue9/c=",0)</f>
        <v>#REF!</v>
      </c>
      <c r="IO444" t="e">
        <f>AND(#REF!,"AAAAAAue9/g=")</f>
        <v>#REF!</v>
      </c>
      <c r="IP444" t="e">
        <f>AND(#REF!,"AAAAAAue9/k=")</f>
        <v>#REF!</v>
      </c>
      <c r="IQ444" t="e">
        <f>AND(#REF!,"AAAAAAue9/o=")</f>
        <v>#REF!</v>
      </c>
      <c r="IR444" t="e">
        <f>AND(#REF!,"AAAAAAue9/s=")</f>
        <v>#REF!</v>
      </c>
      <c r="IS444" t="e">
        <f>AND(#REF!,"AAAAAAue9/w=")</f>
        <v>#REF!</v>
      </c>
      <c r="IT444" t="e">
        <f>AND(#REF!,"AAAAAAue9/0=")</f>
        <v>#REF!</v>
      </c>
      <c r="IU444" t="e">
        <f>AND(#REF!,"AAAAAAue9/4=")</f>
        <v>#REF!</v>
      </c>
      <c r="IV444" t="e">
        <f>AND(#REF!,"AAAAAAue9/8=")</f>
        <v>#REF!</v>
      </c>
    </row>
    <row r="445" spans="1:256" x14ac:dyDescent="0.25">
      <c r="A445" t="e">
        <f>AND(#REF!,"AAAAAH3afwA=")</f>
        <v>#REF!</v>
      </c>
      <c r="B445" t="e">
        <f>AND(#REF!,"AAAAAH3afwE=")</f>
        <v>#REF!</v>
      </c>
      <c r="C445" t="e">
        <f>IF(#REF!,"AAAAAH3afwI=",0)</f>
        <v>#REF!</v>
      </c>
      <c r="D445" t="e">
        <f>AND(#REF!,"AAAAAH3afwM=")</f>
        <v>#REF!</v>
      </c>
      <c r="E445" t="e">
        <f>AND(#REF!,"AAAAAH3afwQ=")</f>
        <v>#REF!</v>
      </c>
      <c r="F445" t="e">
        <f>AND(#REF!,"AAAAAH3afwU=")</f>
        <v>#REF!</v>
      </c>
      <c r="G445" t="e">
        <f>AND(#REF!,"AAAAAH3afwY=")</f>
        <v>#REF!</v>
      </c>
      <c r="H445" t="e">
        <f>AND(#REF!,"AAAAAH3afwc=")</f>
        <v>#REF!</v>
      </c>
      <c r="I445" t="e">
        <f>AND(#REF!,"AAAAAH3afwg=")</f>
        <v>#REF!</v>
      </c>
      <c r="J445" t="e">
        <f>AND(#REF!,"AAAAAH3afwk=")</f>
        <v>#REF!</v>
      </c>
      <c r="K445" t="e">
        <f>AND(#REF!,"AAAAAH3afwo=")</f>
        <v>#REF!</v>
      </c>
      <c r="L445" t="e">
        <f>AND(#REF!,"AAAAAH3afws=")</f>
        <v>#REF!</v>
      </c>
      <c r="M445" t="e">
        <f>AND(#REF!,"AAAAAH3afww=")</f>
        <v>#REF!</v>
      </c>
      <c r="N445" t="e">
        <f>IF(#REF!,"AAAAAH3afw0=",0)</f>
        <v>#REF!</v>
      </c>
      <c r="O445" t="e">
        <f>AND(#REF!,"AAAAAH3afw4=")</f>
        <v>#REF!</v>
      </c>
      <c r="P445" t="e">
        <f>AND(#REF!,"AAAAAH3afw8=")</f>
        <v>#REF!</v>
      </c>
      <c r="Q445" t="e">
        <f>AND(#REF!,"AAAAAH3afxA=")</f>
        <v>#REF!</v>
      </c>
      <c r="R445" t="e">
        <f>AND(#REF!,"AAAAAH3afxE=")</f>
        <v>#REF!</v>
      </c>
      <c r="S445" t="e">
        <f>AND(#REF!,"AAAAAH3afxI=")</f>
        <v>#REF!</v>
      </c>
      <c r="T445" t="e">
        <f>AND(#REF!,"AAAAAH3afxM=")</f>
        <v>#REF!</v>
      </c>
      <c r="U445" t="e">
        <f>AND(#REF!,"AAAAAH3afxQ=")</f>
        <v>#REF!</v>
      </c>
      <c r="V445" t="e">
        <f>AND(#REF!,"AAAAAH3afxU=")</f>
        <v>#REF!</v>
      </c>
      <c r="W445" t="e">
        <f>AND(#REF!,"AAAAAH3afxY=")</f>
        <v>#REF!</v>
      </c>
      <c r="X445" t="e">
        <f>AND(#REF!,"AAAAAH3afxc=")</f>
        <v>#REF!</v>
      </c>
      <c r="Y445" t="e">
        <f>IF(#REF!,"AAAAAH3afxg=",0)</f>
        <v>#REF!</v>
      </c>
      <c r="Z445" t="e">
        <f>AND(#REF!,"AAAAAH3afxk=")</f>
        <v>#REF!</v>
      </c>
      <c r="AA445" t="e">
        <f>AND(#REF!,"AAAAAH3afxo=")</f>
        <v>#REF!</v>
      </c>
      <c r="AB445" t="e">
        <f>AND(#REF!,"AAAAAH3afxs=")</f>
        <v>#REF!</v>
      </c>
      <c r="AC445" t="e">
        <f>AND(#REF!,"AAAAAH3afxw=")</f>
        <v>#REF!</v>
      </c>
      <c r="AD445" t="e">
        <f>AND(#REF!,"AAAAAH3afx0=")</f>
        <v>#REF!</v>
      </c>
      <c r="AE445" t="e">
        <f>AND(#REF!,"AAAAAH3afx4=")</f>
        <v>#REF!</v>
      </c>
      <c r="AF445" t="e">
        <f>AND(#REF!,"AAAAAH3afx8=")</f>
        <v>#REF!</v>
      </c>
      <c r="AG445" t="e">
        <f>AND(#REF!,"AAAAAH3afyA=")</f>
        <v>#REF!</v>
      </c>
      <c r="AH445" t="e">
        <f>AND(#REF!,"AAAAAH3afyE=")</f>
        <v>#REF!</v>
      </c>
      <c r="AI445" t="e">
        <f>AND(#REF!,"AAAAAH3afyI=")</f>
        <v>#REF!</v>
      </c>
      <c r="AJ445" t="e">
        <f>IF(#REF!,"AAAAAH3afyM=",0)</f>
        <v>#REF!</v>
      </c>
      <c r="AK445" t="e">
        <f>AND(#REF!,"AAAAAH3afyQ=")</f>
        <v>#REF!</v>
      </c>
      <c r="AL445" t="e">
        <f>AND(#REF!,"AAAAAH3afyU=")</f>
        <v>#REF!</v>
      </c>
      <c r="AM445" t="e">
        <f>AND(#REF!,"AAAAAH3afyY=")</f>
        <v>#REF!</v>
      </c>
      <c r="AN445" t="e">
        <f>AND(#REF!,"AAAAAH3afyc=")</f>
        <v>#REF!</v>
      </c>
      <c r="AO445" t="e">
        <f>AND(#REF!,"AAAAAH3afyg=")</f>
        <v>#REF!</v>
      </c>
      <c r="AP445" t="e">
        <f>AND(#REF!,"AAAAAH3afyk=")</f>
        <v>#REF!</v>
      </c>
      <c r="AQ445" t="e">
        <f>AND(#REF!,"AAAAAH3afyo=")</f>
        <v>#REF!</v>
      </c>
      <c r="AR445" t="e">
        <f>AND(#REF!,"AAAAAH3afys=")</f>
        <v>#REF!</v>
      </c>
      <c r="AS445" t="e">
        <f>AND(#REF!,"AAAAAH3afyw=")</f>
        <v>#REF!</v>
      </c>
      <c r="AT445" t="e">
        <f>AND(#REF!,"AAAAAH3afy0=")</f>
        <v>#REF!</v>
      </c>
      <c r="AU445" t="e">
        <f>IF(#REF!,"AAAAAH3afy4=",0)</f>
        <v>#REF!</v>
      </c>
      <c r="AV445" t="e">
        <f>AND(#REF!,"AAAAAH3afy8=")</f>
        <v>#REF!</v>
      </c>
      <c r="AW445" t="e">
        <f>AND(#REF!,"AAAAAH3afzA=")</f>
        <v>#REF!</v>
      </c>
      <c r="AX445" t="e">
        <f>AND(#REF!,"AAAAAH3afzE=")</f>
        <v>#REF!</v>
      </c>
      <c r="AY445" t="e">
        <f>AND(#REF!,"AAAAAH3afzI=")</f>
        <v>#REF!</v>
      </c>
      <c r="AZ445" t="e">
        <f>AND(#REF!,"AAAAAH3afzM=")</f>
        <v>#REF!</v>
      </c>
      <c r="BA445" t="e">
        <f>AND(#REF!,"AAAAAH3afzQ=")</f>
        <v>#REF!</v>
      </c>
      <c r="BB445" t="e">
        <f>AND(#REF!,"AAAAAH3afzU=")</f>
        <v>#REF!</v>
      </c>
      <c r="BC445" t="e">
        <f>AND(#REF!,"AAAAAH3afzY=")</f>
        <v>#REF!</v>
      </c>
      <c r="BD445" t="e">
        <f>AND(#REF!,"AAAAAH3afzc=")</f>
        <v>#REF!</v>
      </c>
      <c r="BE445" t="e">
        <f>AND(#REF!,"AAAAAH3afzg=")</f>
        <v>#REF!</v>
      </c>
      <c r="BF445" t="e">
        <f>IF(#REF!,"AAAAAH3afzk=",0)</f>
        <v>#REF!</v>
      </c>
      <c r="BG445" t="e">
        <f>AND(#REF!,"AAAAAH3afzo=")</f>
        <v>#REF!</v>
      </c>
      <c r="BH445" t="e">
        <f>AND(#REF!,"AAAAAH3afzs=")</f>
        <v>#REF!</v>
      </c>
      <c r="BI445" t="e">
        <f>AND(#REF!,"AAAAAH3afzw=")</f>
        <v>#REF!</v>
      </c>
      <c r="BJ445" t="e">
        <f>AND(#REF!,"AAAAAH3afz0=")</f>
        <v>#REF!</v>
      </c>
      <c r="BK445" t="e">
        <f>AND(#REF!,"AAAAAH3afz4=")</f>
        <v>#REF!</v>
      </c>
      <c r="BL445" t="e">
        <f>AND(#REF!,"AAAAAH3afz8=")</f>
        <v>#REF!</v>
      </c>
      <c r="BM445" t="e">
        <f>AND(#REF!,"AAAAAH3af0A=")</f>
        <v>#REF!</v>
      </c>
      <c r="BN445" t="e">
        <f>AND(#REF!,"AAAAAH3af0E=")</f>
        <v>#REF!</v>
      </c>
      <c r="BO445" t="e">
        <f>AND(#REF!,"AAAAAH3af0I=")</f>
        <v>#REF!</v>
      </c>
      <c r="BP445" t="e">
        <f>AND(#REF!,"AAAAAH3af0M=")</f>
        <v>#REF!</v>
      </c>
      <c r="BQ445" t="e">
        <f>IF(#REF!,"AAAAAH3af0Q=",0)</f>
        <v>#REF!</v>
      </c>
      <c r="BR445" t="e">
        <f>AND(#REF!,"AAAAAH3af0U=")</f>
        <v>#REF!</v>
      </c>
      <c r="BS445" t="e">
        <f>AND(#REF!,"AAAAAH3af0Y=")</f>
        <v>#REF!</v>
      </c>
      <c r="BT445" t="e">
        <f>AND(#REF!,"AAAAAH3af0c=")</f>
        <v>#REF!</v>
      </c>
      <c r="BU445" t="e">
        <f>AND(#REF!,"AAAAAH3af0g=")</f>
        <v>#REF!</v>
      </c>
      <c r="BV445" t="e">
        <f>AND(#REF!,"AAAAAH3af0k=")</f>
        <v>#REF!</v>
      </c>
      <c r="BW445" t="e">
        <f>AND(#REF!,"AAAAAH3af0o=")</f>
        <v>#REF!</v>
      </c>
      <c r="BX445" t="e">
        <f>AND(#REF!,"AAAAAH3af0s=")</f>
        <v>#REF!</v>
      </c>
      <c r="BY445" t="e">
        <f>AND(#REF!,"AAAAAH3af0w=")</f>
        <v>#REF!</v>
      </c>
      <c r="BZ445" t="e">
        <f>AND(#REF!,"AAAAAH3af00=")</f>
        <v>#REF!</v>
      </c>
      <c r="CA445" t="e">
        <f>AND(#REF!,"AAAAAH3af04=")</f>
        <v>#REF!</v>
      </c>
      <c r="CB445" t="e">
        <f>IF(#REF!,"AAAAAH3af08=",0)</f>
        <v>#REF!</v>
      </c>
      <c r="CC445" t="e">
        <f>AND(#REF!,"AAAAAH3af1A=")</f>
        <v>#REF!</v>
      </c>
      <c r="CD445" t="e">
        <f>AND(#REF!,"AAAAAH3af1E=")</f>
        <v>#REF!</v>
      </c>
      <c r="CE445" t="e">
        <f>AND(#REF!,"AAAAAH3af1I=")</f>
        <v>#REF!</v>
      </c>
      <c r="CF445" t="e">
        <f>AND(#REF!,"AAAAAH3af1M=")</f>
        <v>#REF!</v>
      </c>
      <c r="CG445" t="e">
        <f>AND(#REF!,"AAAAAH3af1Q=")</f>
        <v>#REF!</v>
      </c>
      <c r="CH445" t="e">
        <f>AND(#REF!,"AAAAAH3af1U=")</f>
        <v>#REF!</v>
      </c>
      <c r="CI445" t="e">
        <f>AND(#REF!,"AAAAAH3af1Y=")</f>
        <v>#REF!</v>
      </c>
      <c r="CJ445" t="e">
        <f>AND(#REF!,"AAAAAH3af1c=")</f>
        <v>#REF!</v>
      </c>
      <c r="CK445" t="e">
        <f>AND(#REF!,"AAAAAH3af1g=")</f>
        <v>#REF!</v>
      </c>
      <c r="CL445" t="e">
        <f>AND(#REF!,"AAAAAH3af1k=")</f>
        <v>#REF!</v>
      </c>
      <c r="CM445" t="e">
        <f>IF(#REF!,"AAAAAH3af1o=",0)</f>
        <v>#REF!</v>
      </c>
      <c r="CN445" t="e">
        <f>AND(#REF!,"AAAAAH3af1s=")</f>
        <v>#REF!</v>
      </c>
      <c r="CO445" t="e">
        <f>AND(#REF!,"AAAAAH3af1w=")</f>
        <v>#REF!</v>
      </c>
      <c r="CP445" t="e">
        <f>AND(#REF!,"AAAAAH3af10=")</f>
        <v>#REF!</v>
      </c>
      <c r="CQ445" t="e">
        <f>AND(#REF!,"AAAAAH3af14=")</f>
        <v>#REF!</v>
      </c>
      <c r="CR445" t="e">
        <f>AND(#REF!,"AAAAAH3af18=")</f>
        <v>#REF!</v>
      </c>
      <c r="CS445" t="e">
        <f>AND(#REF!,"AAAAAH3af2A=")</f>
        <v>#REF!</v>
      </c>
      <c r="CT445" t="e">
        <f>AND(#REF!,"AAAAAH3af2E=")</f>
        <v>#REF!</v>
      </c>
      <c r="CU445" t="e">
        <f>AND(#REF!,"AAAAAH3af2I=")</f>
        <v>#REF!</v>
      </c>
      <c r="CV445" t="e">
        <f>AND(#REF!,"AAAAAH3af2M=")</f>
        <v>#REF!</v>
      </c>
      <c r="CW445" t="e">
        <f>AND(#REF!,"AAAAAH3af2Q=")</f>
        <v>#REF!</v>
      </c>
      <c r="CX445" t="e">
        <f>IF(#REF!,"AAAAAH3af2U=",0)</f>
        <v>#REF!</v>
      </c>
      <c r="CY445" t="e">
        <f>AND(#REF!,"AAAAAH3af2Y=")</f>
        <v>#REF!</v>
      </c>
      <c r="CZ445" t="e">
        <f>AND(#REF!,"AAAAAH3af2c=")</f>
        <v>#REF!</v>
      </c>
      <c r="DA445" t="e">
        <f>AND(#REF!,"AAAAAH3af2g=")</f>
        <v>#REF!</v>
      </c>
      <c r="DB445" t="e">
        <f>AND(#REF!,"AAAAAH3af2k=")</f>
        <v>#REF!</v>
      </c>
      <c r="DC445" t="e">
        <f>AND(#REF!,"AAAAAH3af2o=")</f>
        <v>#REF!</v>
      </c>
      <c r="DD445" t="e">
        <f>AND(#REF!,"AAAAAH3af2s=")</f>
        <v>#REF!</v>
      </c>
      <c r="DE445" t="e">
        <f>AND(#REF!,"AAAAAH3af2w=")</f>
        <v>#REF!</v>
      </c>
      <c r="DF445" t="e">
        <f>AND(#REF!,"AAAAAH3af20=")</f>
        <v>#REF!</v>
      </c>
      <c r="DG445" t="e">
        <f>AND(#REF!,"AAAAAH3af24=")</f>
        <v>#REF!</v>
      </c>
      <c r="DH445" t="e">
        <f>AND(#REF!,"AAAAAH3af28=")</f>
        <v>#REF!</v>
      </c>
      <c r="DI445" t="e">
        <f>IF(#REF!,"AAAAAH3af3A=",0)</f>
        <v>#REF!</v>
      </c>
      <c r="DJ445" t="e">
        <f>AND(#REF!,"AAAAAH3af3E=")</f>
        <v>#REF!</v>
      </c>
      <c r="DK445" t="e">
        <f>AND(#REF!,"AAAAAH3af3I=")</f>
        <v>#REF!</v>
      </c>
      <c r="DL445" t="e">
        <f>AND(#REF!,"AAAAAH3af3M=")</f>
        <v>#REF!</v>
      </c>
      <c r="DM445" t="e">
        <f>AND(#REF!,"AAAAAH3af3Q=")</f>
        <v>#REF!</v>
      </c>
      <c r="DN445" t="e">
        <f>AND(#REF!,"AAAAAH3af3U=")</f>
        <v>#REF!</v>
      </c>
      <c r="DO445" t="e">
        <f>AND(#REF!,"AAAAAH3af3Y=")</f>
        <v>#REF!</v>
      </c>
      <c r="DP445" t="e">
        <f>AND(#REF!,"AAAAAH3af3c=")</f>
        <v>#REF!</v>
      </c>
      <c r="DQ445" t="e">
        <f>AND(#REF!,"AAAAAH3af3g=")</f>
        <v>#REF!</v>
      </c>
      <c r="DR445" t="e">
        <f>AND(#REF!,"AAAAAH3af3k=")</f>
        <v>#REF!</v>
      </c>
      <c r="DS445" t="e">
        <f>AND(#REF!,"AAAAAH3af3o=")</f>
        <v>#REF!</v>
      </c>
      <c r="DT445" t="e">
        <f>IF(#REF!,"AAAAAH3af3s=",0)</f>
        <v>#REF!</v>
      </c>
      <c r="DU445" t="e">
        <f>AND(#REF!,"AAAAAH3af3w=")</f>
        <v>#REF!</v>
      </c>
      <c r="DV445" t="e">
        <f>AND(#REF!,"AAAAAH3af30=")</f>
        <v>#REF!</v>
      </c>
      <c r="DW445" t="e">
        <f>AND(#REF!,"AAAAAH3af34=")</f>
        <v>#REF!</v>
      </c>
      <c r="DX445" t="e">
        <f>AND(#REF!,"AAAAAH3af38=")</f>
        <v>#REF!</v>
      </c>
      <c r="DY445" t="e">
        <f>AND(#REF!,"AAAAAH3af4A=")</f>
        <v>#REF!</v>
      </c>
      <c r="DZ445" t="e">
        <f>AND(#REF!,"AAAAAH3af4E=")</f>
        <v>#REF!</v>
      </c>
      <c r="EA445" t="e">
        <f>AND(#REF!,"AAAAAH3af4I=")</f>
        <v>#REF!</v>
      </c>
      <c r="EB445" t="e">
        <f>AND(#REF!,"AAAAAH3af4M=")</f>
        <v>#REF!</v>
      </c>
      <c r="EC445" t="e">
        <f>AND(#REF!,"AAAAAH3af4Q=")</f>
        <v>#REF!</v>
      </c>
      <c r="ED445" t="e">
        <f>AND(#REF!,"AAAAAH3af4U=")</f>
        <v>#REF!</v>
      </c>
      <c r="EE445" t="e">
        <f>IF(#REF!,"AAAAAH3af4Y=",0)</f>
        <v>#REF!</v>
      </c>
      <c r="EF445" t="e">
        <f>AND(#REF!,"AAAAAH3af4c=")</f>
        <v>#REF!</v>
      </c>
      <c r="EG445" t="e">
        <f>AND(#REF!,"AAAAAH3af4g=")</f>
        <v>#REF!</v>
      </c>
      <c r="EH445" t="e">
        <f>AND(#REF!,"AAAAAH3af4k=")</f>
        <v>#REF!</v>
      </c>
      <c r="EI445" t="e">
        <f>AND(#REF!,"AAAAAH3af4o=")</f>
        <v>#REF!</v>
      </c>
      <c r="EJ445" t="e">
        <f>AND(#REF!,"AAAAAH3af4s=")</f>
        <v>#REF!</v>
      </c>
      <c r="EK445" t="e">
        <f>AND(#REF!,"AAAAAH3af4w=")</f>
        <v>#REF!</v>
      </c>
      <c r="EL445" t="e">
        <f>AND(#REF!,"AAAAAH3af40=")</f>
        <v>#REF!</v>
      </c>
      <c r="EM445" t="e">
        <f>AND(#REF!,"AAAAAH3af44=")</f>
        <v>#REF!</v>
      </c>
      <c r="EN445" t="e">
        <f>AND(#REF!,"AAAAAH3af48=")</f>
        <v>#REF!</v>
      </c>
      <c r="EO445" t="e">
        <f>AND(#REF!,"AAAAAH3af5A=")</f>
        <v>#REF!</v>
      </c>
      <c r="EP445" t="e">
        <f>IF(#REF!,"AAAAAH3af5E=",0)</f>
        <v>#REF!</v>
      </c>
      <c r="EQ445" t="e">
        <f>AND(#REF!,"AAAAAH3af5I=")</f>
        <v>#REF!</v>
      </c>
      <c r="ER445" t="e">
        <f>AND(#REF!,"AAAAAH3af5M=")</f>
        <v>#REF!</v>
      </c>
      <c r="ES445" t="e">
        <f>AND(#REF!,"AAAAAH3af5Q=")</f>
        <v>#REF!</v>
      </c>
      <c r="ET445" t="e">
        <f>AND(#REF!,"AAAAAH3af5U=")</f>
        <v>#REF!</v>
      </c>
      <c r="EU445" t="e">
        <f>AND(#REF!,"AAAAAH3af5Y=")</f>
        <v>#REF!</v>
      </c>
      <c r="EV445" t="e">
        <f>AND(#REF!,"AAAAAH3af5c=")</f>
        <v>#REF!</v>
      </c>
      <c r="EW445" t="e">
        <f>AND(#REF!,"AAAAAH3af5g=")</f>
        <v>#REF!</v>
      </c>
      <c r="EX445" t="e">
        <f>AND(#REF!,"AAAAAH3af5k=")</f>
        <v>#REF!</v>
      </c>
      <c r="EY445" t="e">
        <f>AND(#REF!,"AAAAAH3af5o=")</f>
        <v>#REF!</v>
      </c>
      <c r="EZ445" t="e">
        <f>AND(#REF!,"AAAAAH3af5s=")</f>
        <v>#REF!</v>
      </c>
      <c r="FA445" t="e">
        <f>IF(#REF!,"AAAAAH3af5w=",0)</f>
        <v>#REF!</v>
      </c>
      <c r="FB445" t="e">
        <f>AND(#REF!,"AAAAAH3af50=")</f>
        <v>#REF!</v>
      </c>
      <c r="FC445" t="e">
        <f>AND(#REF!,"AAAAAH3af54=")</f>
        <v>#REF!</v>
      </c>
      <c r="FD445" t="e">
        <f>AND(#REF!,"AAAAAH3af58=")</f>
        <v>#REF!</v>
      </c>
      <c r="FE445" t="e">
        <f>AND(#REF!,"AAAAAH3af6A=")</f>
        <v>#REF!</v>
      </c>
      <c r="FF445" t="e">
        <f>AND(#REF!,"AAAAAH3af6E=")</f>
        <v>#REF!</v>
      </c>
      <c r="FG445" t="e">
        <f>AND(#REF!,"AAAAAH3af6I=")</f>
        <v>#REF!</v>
      </c>
      <c r="FH445" t="e">
        <f>AND(#REF!,"AAAAAH3af6M=")</f>
        <v>#REF!</v>
      </c>
      <c r="FI445" t="e">
        <f>AND(#REF!,"AAAAAH3af6Q=")</f>
        <v>#REF!</v>
      </c>
      <c r="FJ445" t="e">
        <f>AND(#REF!,"AAAAAH3af6U=")</f>
        <v>#REF!</v>
      </c>
      <c r="FK445" t="e">
        <f>AND(#REF!,"AAAAAH3af6Y=")</f>
        <v>#REF!</v>
      </c>
      <c r="FL445" t="e">
        <f>IF(#REF!,"AAAAAH3af6c=",0)</f>
        <v>#REF!</v>
      </c>
      <c r="FM445" t="e">
        <f>AND(#REF!,"AAAAAH3af6g=")</f>
        <v>#REF!</v>
      </c>
      <c r="FN445" t="e">
        <f>AND(#REF!,"AAAAAH3af6k=")</f>
        <v>#REF!</v>
      </c>
      <c r="FO445" t="e">
        <f>AND(#REF!,"AAAAAH3af6o=")</f>
        <v>#REF!</v>
      </c>
      <c r="FP445" t="e">
        <f>AND(#REF!,"AAAAAH3af6s=")</f>
        <v>#REF!</v>
      </c>
      <c r="FQ445" t="e">
        <f>AND(#REF!,"AAAAAH3af6w=")</f>
        <v>#REF!</v>
      </c>
      <c r="FR445" t="e">
        <f>AND(#REF!,"AAAAAH3af60=")</f>
        <v>#REF!</v>
      </c>
      <c r="FS445" t="e">
        <f>AND(#REF!,"AAAAAH3af64=")</f>
        <v>#REF!</v>
      </c>
      <c r="FT445" t="e">
        <f>AND(#REF!,"AAAAAH3af68=")</f>
        <v>#REF!</v>
      </c>
      <c r="FU445" t="e">
        <f>AND(#REF!,"AAAAAH3af7A=")</f>
        <v>#REF!</v>
      </c>
      <c r="FV445" t="e">
        <f>AND(#REF!,"AAAAAH3af7E=")</f>
        <v>#REF!</v>
      </c>
      <c r="FW445" t="e">
        <f>IF(#REF!,"AAAAAH3af7I=",0)</f>
        <v>#REF!</v>
      </c>
      <c r="FX445" t="e">
        <f>AND(#REF!,"AAAAAH3af7M=")</f>
        <v>#REF!</v>
      </c>
      <c r="FY445" t="e">
        <f>AND(#REF!,"AAAAAH3af7Q=")</f>
        <v>#REF!</v>
      </c>
      <c r="FZ445" t="e">
        <f>AND(#REF!,"AAAAAH3af7U=")</f>
        <v>#REF!</v>
      </c>
      <c r="GA445" t="e">
        <f>AND(#REF!,"AAAAAH3af7Y=")</f>
        <v>#REF!</v>
      </c>
      <c r="GB445" t="e">
        <f>AND(#REF!,"AAAAAH3af7c=")</f>
        <v>#REF!</v>
      </c>
      <c r="GC445" t="e">
        <f>AND(#REF!,"AAAAAH3af7g=")</f>
        <v>#REF!</v>
      </c>
      <c r="GD445" t="e">
        <f>AND(#REF!,"AAAAAH3af7k=")</f>
        <v>#REF!</v>
      </c>
      <c r="GE445" t="e">
        <f>AND(#REF!,"AAAAAH3af7o=")</f>
        <v>#REF!</v>
      </c>
      <c r="GF445" t="e">
        <f>AND(#REF!,"AAAAAH3af7s=")</f>
        <v>#REF!</v>
      </c>
      <c r="GG445" t="e">
        <f>AND(#REF!,"AAAAAH3af7w=")</f>
        <v>#REF!</v>
      </c>
      <c r="GH445" t="e">
        <f>IF(#REF!,"AAAAAH3af70=",0)</f>
        <v>#REF!</v>
      </c>
      <c r="GI445" t="e">
        <f>AND(#REF!,"AAAAAH3af74=")</f>
        <v>#REF!</v>
      </c>
      <c r="GJ445" t="e">
        <f>AND(#REF!,"AAAAAH3af78=")</f>
        <v>#REF!</v>
      </c>
      <c r="GK445" t="e">
        <f>AND(#REF!,"AAAAAH3af8A=")</f>
        <v>#REF!</v>
      </c>
      <c r="GL445" t="e">
        <f>AND(#REF!,"AAAAAH3af8E=")</f>
        <v>#REF!</v>
      </c>
      <c r="GM445" t="e">
        <f>AND(#REF!,"AAAAAH3af8I=")</f>
        <v>#REF!</v>
      </c>
      <c r="GN445" t="e">
        <f>AND(#REF!,"AAAAAH3af8M=")</f>
        <v>#REF!</v>
      </c>
      <c r="GO445" t="e">
        <f>AND(#REF!,"AAAAAH3af8Q=")</f>
        <v>#REF!</v>
      </c>
      <c r="GP445" t="e">
        <f>AND(#REF!,"AAAAAH3af8U=")</f>
        <v>#REF!</v>
      </c>
      <c r="GQ445" t="e">
        <f>AND(#REF!,"AAAAAH3af8Y=")</f>
        <v>#REF!</v>
      </c>
      <c r="GR445" t="e">
        <f>AND(#REF!,"AAAAAH3af8c=")</f>
        <v>#REF!</v>
      </c>
      <c r="GS445" t="e">
        <f>IF(#REF!,"AAAAAH3af8g=",0)</f>
        <v>#REF!</v>
      </c>
      <c r="GT445" t="e">
        <f>AND(#REF!,"AAAAAH3af8k=")</f>
        <v>#REF!</v>
      </c>
      <c r="GU445" t="e">
        <f>AND(#REF!,"AAAAAH3af8o=")</f>
        <v>#REF!</v>
      </c>
      <c r="GV445" t="e">
        <f>AND(#REF!,"AAAAAH3af8s=")</f>
        <v>#REF!</v>
      </c>
      <c r="GW445" t="e">
        <f>AND(#REF!,"AAAAAH3af8w=")</f>
        <v>#REF!</v>
      </c>
      <c r="GX445" t="e">
        <f>AND(#REF!,"AAAAAH3af80=")</f>
        <v>#REF!</v>
      </c>
      <c r="GY445" t="e">
        <f>AND(#REF!,"AAAAAH3af84=")</f>
        <v>#REF!</v>
      </c>
      <c r="GZ445" t="e">
        <f>AND(#REF!,"AAAAAH3af88=")</f>
        <v>#REF!</v>
      </c>
      <c r="HA445" t="e">
        <f>AND(#REF!,"AAAAAH3af9A=")</f>
        <v>#REF!</v>
      </c>
      <c r="HB445" t="e">
        <f>AND(#REF!,"AAAAAH3af9E=")</f>
        <v>#REF!</v>
      </c>
      <c r="HC445" t="e">
        <f>AND(#REF!,"AAAAAH3af9I=")</f>
        <v>#REF!</v>
      </c>
      <c r="HD445" t="e">
        <f>IF(#REF!,"AAAAAH3af9M=",0)</f>
        <v>#REF!</v>
      </c>
      <c r="HE445" t="e">
        <f>AND(#REF!,"AAAAAH3af9Q=")</f>
        <v>#REF!</v>
      </c>
      <c r="HF445" t="e">
        <f>AND(#REF!,"AAAAAH3af9U=")</f>
        <v>#REF!</v>
      </c>
      <c r="HG445" t="e">
        <f>AND(#REF!,"AAAAAH3af9Y=")</f>
        <v>#REF!</v>
      </c>
      <c r="HH445" t="e">
        <f>AND(#REF!,"AAAAAH3af9c=")</f>
        <v>#REF!</v>
      </c>
      <c r="HI445" t="e">
        <f>AND(#REF!,"AAAAAH3af9g=")</f>
        <v>#REF!</v>
      </c>
      <c r="HJ445" t="e">
        <f>AND(#REF!,"AAAAAH3af9k=")</f>
        <v>#REF!</v>
      </c>
      <c r="HK445" t="e">
        <f>AND(#REF!,"AAAAAH3af9o=")</f>
        <v>#REF!</v>
      </c>
      <c r="HL445" t="e">
        <f>AND(#REF!,"AAAAAH3af9s=")</f>
        <v>#REF!</v>
      </c>
      <c r="HM445" t="e">
        <f>AND(#REF!,"AAAAAH3af9w=")</f>
        <v>#REF!</v>
      </c>
      <c r="HN445" t="e">
        <f>AND(#REF!,"AAAAAH3af90=")</f>
        <v>#REF!</v>
      </c>
      <c r="HO445" t="e">
        <f>IF(#REF!,"AAAAAH3af94=",0)</f>
        <v>#REF!</v>
      </c>
      <c r="HP445" t="e">
        <f>AND(#REF!,"AAAAAH3af98=")</f>
        <v>#REF!</v>
      </c>
      <c r="HQ445" t="e">
        <f>AND(#REF!,"AAAAAH3af+A=")</f>
        <v>#REF!</v>
      </c>
      <c r="HR445" t="e">
        <f>AND(#REF!,"AAAAAH3af+E=")</f>
        <v>#REF!</v>
      </c>
      <c r="HS445" t="e">
        <f>AND(#REF!,"AAAAAH3af+I=")</f>
        <v>#REF!</v>
      </c>
      <c r="HT445" t="e">
        <f>AND(#REF!,"AAAAAH3af+M=")</f>
        <v>#REF!</v>
      </c>
      <c r="HU445" t="e">
        <f>AND(#REF!,"AAAAAH3af+Q=")</f>
        <v>#REF!</v>
      </c>
      <c r="HV445" t="e">
        <f>AND(#REF!,"AAAAAH3af+U=")</f>
        <v>#REF!</v>
      </c>
      <c r="HW445" t="e">
        <f>AND(#REF!,"AAAAAH3af+Y=")</f>
        <v>#REF!</v>
      </c>
      <c r="HX445" t="e">
        <f>AND(#REF!,"AAAAAH3af+c=")</f>
        <v>#REF!</v>
      </c>
      <c r="HY445" t="e">
        <f>AND(#REF!,"AAAAAH3af+g=")</f>
        <v>#REF!</v>
      </c>
      <c r="HZ445" t="e">
        <f>IF(#REF!,"AAAAAH3af+k=",0)</f>
        <v>#REF!</v>
      </c>
      <c r="IA445" t="e">
        <f>AND(#REF!,"AAAAAH3af+o=")</f>
        <v>#REF!</v>
      </c>
      <c r="IB445" t="e">
        <f>AND(#REF!,"AAAAAH3af+s=")</f>
        <v>#REF!</v>
      </c>
      <c r="IC445" t="e">
        <f>AND(#REF!,"AAAAAH3af+w=")</f>
        <v>#REF!</v>
      </c>
      <c r="ID445" t="e">
        <f>AND(#REF!,"AAAAAH3af+0=")</f>
        <v>#REF!</v>
      </c>
      <c r="IE445" t="e">
        <f>AND(#REF!,"AAAAAH3af+4=")</f>
        <v>#REF!</v>
      </c>
      <c r="IF445" t="e">
        <f>AND(#REF!,"AAAAAH3af+8=")</f>
        <v>#REF!</v>
      </c>
      <c r="IG445" t="e">
        <f>AND(#REF!,"AAAAAH3af/A=")</f>
        <v>#REF!</v>
      </c>
      <c r="IH445" t="e">
        <f>AND(#REF!,"AAAAAH3af/E=")</f>
        <v>#REF!</v>
      </c>
      <c r="II445" t="e">
        <f>AND(#REF!,"AAAAAH3af/I=")</f>
        <v>#REF!</v>
      </c>
      <c r="IJ445" t="e">
        <f>AND(#REF!,"AAAAAH3af/M=")</f>
        <v>#REF!</v>
      </c>
      <c r="IK445" t="e">
        <f>IF(#REF!,"AAAAAH3af/Q=",0)</f>
        <v>#REF!</v>
      </c>
      <c r="IL445" t="e">
        <f>AND(#REF!,"AAAAAH3af/U=")</f>
        <v>#REF!</v>
      </c>
      <c r="IM445" t="e">
        <f>AND(#REF!,"AAAAAH3af/Y=")</f>
        <v>#REF!</v>
      </c>
      <c r="IN445" t="e">
        <f>AND(#REF!,"AAAAAH3af/c=")</f>
        <v>#REF!</v>
      </c>
      <c r="IO445" t="e">
        <f>AND(#REF!,"AAAAAH3af/g=")</f>
        <v>#REF!</v>
      </c>
      <c r="IP445" t="e">
        <f>AND(#REF!,"AAAAAH3af/k=")</f>
        <v>#REF!</v>
      </c>
      <c r="IQ445" t="e">
        <f>AND(#REF!,"AAAAAH3af/o=")</f>
        <v>#REF!</v>
      </c>
      <c r="IR445" t="e">
        <f>AND(#REF!,"AAAAAH3af/s=")</f>
        <v>#REF!</v>
      </c>
      <c r="IS445" t="e">
        <f>AND(#REF!,"AAAAAH3af/w=")</f>
        <v>#REF!</v>
      </c>
      <c r="IT445" t="e">
        <f>AND(#REF!,"AAAAAH3af/0=")</f>
        <v>#REF!</v>
      </c>
      <c r="IU445" t="e">
        <f>AND(#REF!,"AAAAAH3af/4=")</f>
        <v>#REF!</v>
      </c>
      <c r="IV445" t="e">
        <f>IF(#REF!,"AAAAAH3af/8=",0)</f>
        <v>#REF!</v>
      </c>
    </row>
    <row r="446" spans="1:256" x14ac:dyDescent="0.25">
      <c r="A446" t="e">
        <f>AND(#REF!,"AAAAAEZPfwA=")</f>
        <v>#REF!</v>
      </c>
      <c r="B446" t="e">
        <f>AND(#REF!,"AAAAAEZPfwE=")</f>
        <v>#REF!</v>
      </c>
      <c r="C446" t="e">
        <f>AND(#REF!,"AAAAAEZPfwI=")</f>
        <v>#REF!</v>
      </c>
      <c r="D446" t="e">
        <f>AND(#REF!,"AAAAAEZPfwM=")</f>
        <v>#REF!</v>
      </c>
      <c r="E446" t="e">
        <f>AND(#REF!,"AAAAAEZPfwQ=")</f>
        <v>#REF!</v>
      </c>
      <c r="F446" t="e">
        <f>AND(#REF!,"AAAAAEZPfwU=")</f>
        <v>#REF!</v>
      </c>
      <c r="G446" t="e">
        <f>AND(#REF!,"AAAAAEZPfwY=")</f>
        <v>#REF!</v>
      </c>
      <c r="H446" t="e">
        <f>AND(#REF!,"AAAAAEZPfwc=")</f>
        <v>#REF!</v>
      </c>
      <c r="I446" t="e">
        <f>AND(#REF!,"AAAAAEZPfwg=")</f>
        <v>#REF!</v>
      </c>
      <c r="J446" t="e">
        <f>AND(#REF!,"AAAAAEZPfwk=")</f>
        <v>#REF!</v>
      </c>
      <c r="K446" t="e">
        <f>IF(#REF!,"AAAAAEZPfwo=",0)</f>
        <v>#REF!</v>
      </c>
      <c r="L446" t="e">
        <f>AND(#REF!,"AAAAAEZPfws=")</f>
        <v>#REF!</v>
      </c>
      <c r="M446" t="e">
        <f>AND(#REF!,"AAAAAEZPfww=")</f>
        <v>#REF!</v>
      </c>
      <c r="N446" t="e">
        <f>AND(#REF!,"AAAAAEZPfw0=")</f>
        <v>#REF!</v>
      </c>
      <c r="O446" t="e">
        <f>AND(#REF!,"AAAAAEZPfw4=")</f>
        <v>#REF!</v>
      </c>
      <c r="P446" t="e">
        <f>AND(#REF!,"AAAAAEZPfw8=")</f>
        <v>#REF!</v>
      </c>
      <c r="Q446" t="e">
        <f>AND(#REF!,"AAAAAEZPfxA=")</f>
        <v>#REF!</v>
      </c>
      <c r="R446" t="e">
        <f>AND(#REF!,"AAAAAEZPfxE=")</f>
        <v>#REF!</v>
      </c>
      <c r="S446" t="e">
        <f>AND(#REF!,"AAAAAEZPfxI=")</f>
        <v>#REF!</v>
      </c>
      <c r="T446" t="e">
        <f>AND(#REF!,"AAAAAEZPfxM=")</f>
        <v>#REF!</v>
      </c>
      <c r="U446" t="e">
        <f>AND(#REF!,"AAAAAEZPfxQ=")</f>
        <v>#REF!</v>
      </c>
      <c r="V446" t="e">
        <f>IF(#REF!,"AAAAAEZPfxU=",0)</f>
        <v>#REF!</v>
      </c>
      <c r="W446" t="e">
        <f>AND(#REF!,"AAAAAEZPfxY=")</f>
        <v>#REF!</v>
      </c>
      <c r="X446" t="e">
        <f>AND(#REF!,"AAAAAEZPfxc=")</f>
        <v>#REF!</v>
      </c>
      <c r="Y446" t="e">
        <f>AND(#REF!,"AAAAAEZPfxg=")</f>
        <v>#REF!</v>
      </c>
      <c r="Z446" t="e">
        <f>AND(#REF!,"AAAAAEZPfxk=")</f>
        <v>#REF!</v>
      </c>
      <c r="AA446" t="e">
        <f>AND(#REF!,"AAAAAEZPfxo=")</f>
        <v>#REF!</v>
      </c>
      <c r="AB446" t="e">
        <f>AND(#REF!,"AAAAAEZPfxs=")</f>
        <v>#REF!</v>
      </c>
      <c r="AC446" t="e">
        <f>AND(#REF!,"AAAAAEZPfxw=")</f>
        <v>#REF!</v>
      </c>
      <c r="AD446" t="e">
        <f>AND(#REF!,"AAAAAEZPfx0=")</f>
        <v>#REF!</v>
      </c>
      <c r="AE446" t="e">
        <f>AND(#REF!,"AAAAAEZPfx4=")</f>
        <v>#REF!</v>
      </c>
      <c r="AF446" t="e">
        <f>AND(#REF!,"AAAAAEZPfx8=")</f>
        <v>#REF!</v>
      </c>
      <c r="AG446" t="e">
        <f>IF(#REF!,"AAAAAEZPfyA=",0)</f>
        <v>#REF!</v>
      </c>
      <c r="AH446" t="e">
        <f>AND(#REF!,"AAAAAEZPfyE=")</f>
        <v>#REF!</v>
      </c>
      <c r="AI446" t="e">
        <f>AND(#REF!,"AAAAAEZPfyI=")</f>
        <v>#REF!</v>
      </c>
      <c r="AJ446" t="e">
        <f>AND(#REF!,"AAAAAEZPfyM=")</f>
        <v>#REF!</v>
      </c>
      <c r="AK446" t="e">
        <f>AND(#REF!,"AAAAAEZPfyQ=")</f>
        <v>#REF!</v>
      </c>
      <c r="AL446" t="e">
        <f>AND(#REF!,"AAAAAEZPfyU=")</f>
        <v>#REF!</v>
      </c>
      <c r="AM446" t="e">
        <f>AND(#REF!,"AAAAAEZPfyY=")</f>
        <v>#REF!</v>
      </c>
      <c r="AN446" t="e">
        <f>AND(#REF!,"AAAAAEZPfyc=")</f>
        <v>#REF!</v>
      </c>
      <c r="AO446" t="e">
        <f>AND(#REF!,"AAAAAEZPfyg=")</f>
        <v>#REF!</v>
      </c>
      <c r="AP446" t="e">
        <f>AND(#REF!,"AAAAAEZPfyk=")</f>
        <v>#REF!</v>
      </c>
      <c r="AQ446" t="e">
        <f>AND(#REF!,"AAAAAEZPfyo=")</f>
        <v>#REF!</v>
      </c>
      <c r="AR446" t="e">
        <f>IF(#REF!,"AAAAAEZPfys=",0)</f>
        <v>#REF!</v>
      </c>
      <c r="AS446" t="e">
        <f>AND(#REF!,"AAAAAEZPfyw=")</f>
        <v>#REF!</v>
      </c>
      <c r="AT446" t="e">
        <f>AND(#REF!,"AAAAAEZPfy0=")</f>
        <v>#REF!</v>
      </c>
      <c r="AU446" t="e">
        <f>AND(#REF!,"AAAAAEZPfy4=")</f>
        <v>#REF!</v>
      </c>
      <c r="AV446" t="e">
        <f>AND(#REF!,"AAAAAEZPfy8=")</f>
        <v>#REF!</v>
      </c>
      <c r="AW446" t="e">
        <f>AND(#REF!,"AAAAAEZPfzA=")</f>
        <v>#REF!</v>
      </c>
      <c r="AX446" t="e">
        <f>AND(#REF!,"AAAAAEZPfzE=")</f>
        <v>#REF!</v>
      </c>
      <c r="AY446" t="e">
        <f>AND(#REF!,"AAAAAEZPfzI=")</f>
        <v>#REF!</v>
      </c>
      <c r="AZ446" t="e">
        <f>AND(#REF!,"AAAAAEZPfzM=")</f>
        <v>#REF!</v>
      </c>
      <c r="BA446" t="e">
        <f>AND(#REF!,"AAAAAEZPfzQ=")</f>
        <v>#REF!</v>
      </c>
      <c r="BB446" t="e">
        <f>AND(#REF!,"AAAAAEZPfzU=")</f>
        <v>#REF!</v>
      </c>
      <c r="BC446" t="e">
        <f>IF(#REF!,"AAAAAEZPfzY=",0)</f>
        <v>#REF!</v>
      </c>
      <c r="BD446" t="e">
        <f>AND(#REF!,"AAAAAEZPfzc=")</f>
        <v>#REF!</v>
      </c>
      <c r="BE446" t="e">
        <f>AND(#REF!,"AAAAAEZPfzg=")</f>
        <v>#REF!</v>
      </c>
      <c r="BF446" t="e">
        <f>AND(#REF!,"AAAAAEZPfzk=")</f>
        <v>#REF!</v>
      </c>
      <c r="BG446" t="e">
        <f>AND(#REF!,"AAAAAEZPfzo=")</f>
        <v>#REF!</v>
      </c>
      <c r="BH446" t="e">
        <f>AND(#REF!,"AAAAAEZPfzs=")</f>
        <v>#REF!</v>
      </c>
      <c r="BI446" t="e">
        <f>AND(#REF!,"AAAAAEZPfzw=")</f>
        <v>#REF!</v>
      </c>
      <c r="BJ446" t="e">
        <f>AND(#REF!,"AAAAAEZPfz0=")</f>
        <v>#REF!</v>
      </c>
      <c r="BK446" t="e">
        <f>AND(#REF!,"AAAAAEZPfz4=")</f>
        <v>#REF!</v>
      </c>
      <c r="BL446" t="e">
        <f>AND(#REF!,"AAAAAEZPfz8=")</f>
        <v>#REF!</v>
      </c>
      <c r="BM446" t="e">
        <f>AND(#REF!,"AAAAAEZPf0A=")</f>
        <v>#REF!</v>
      </c>
      <c r="BN446" t="e">
        <f>IF(#REF!,"AAAAAEZPf0E=",0)</f>
        <v>#REF!</v>
      </c>
      <c r="BO446" t="e">
        <f>AND(#REF!,"AAAAAEZPf0I=")</f>
        <v>#REF!</v>
      </c>
      <c r="BP446" t="e">
        <f>AND(#REF!,"AAAAAEZPf0M=")</f>
        <v>#REF!</v>
      </c>
      <c r="BQ446" t="e">
        <f>AND(#REF!,"AAAAAEZPf0Q=")</f>
        <v>#REF!</v>
      </c>
      <c r="BR446" t="e">
        <f>AND(#REF!,"AAAAAEZPf0U=")</f>
        <v>#REF!</v>
      </c>
      <c r="BS446" t="e">
        <f>AND(#REF!,"AAAAAEZPf0Y=")</f>
        <v>#REF!</v>
      </c>
      <c r="BT446" t="e">
        <f>AND(#REF!,"AAAAAEZPf0c=")</f>
        <v>#REF!</v>
      </c>
      <c r="BU446" t="e">
        <f>AND(#REF!,"AAAAAEZPf0g=")</f>
        <v>#REF!</v>
      </c>
      <c r="BV446" t="e">
        <f>AND(#REF!,"AAAAAEZPf0k=")</f>
        <v>#REF!</v>
      </c>
      <c r="BW446" t="e">
        <f>AND(#REF!,"AAAAAEZPf0o=")</f>
        <v>#REF!</v>
      </c>
      <c r="BX446" t="e">
        <f>AND(#REF!,"AAAAAEZPf0s=")</f>
        <v>#REF!</v>
      </c>
      <c r="BY446" t="e">
        <f>IF(#REF!,"AAAAAEZPf0w=",0)</f>
        <v>#REF!</v>
      </c>
      <c r="BZ446" t="e">
        <f>AND(#REF!,"AAAAAEZPf00=")</f>
        <v>#REF!</v>
      </c>
      <c r="CA446" t="e">
        <f>AND(#REF!,"AAAAAEZPf04=")</f>
        <v>#REF!</v>
      </c>
      <c r="CB446" t="e">
        <f>AND(#REF!,"AAAAAEZPf08=")</f>
        <v>#REF!</v>
      </c>
      <c r="CC446" t="e">
        <f>AND(#REF!,"AAAAAEZPf1A=")</f>
        <v>#REF!</v>
      </c>
      <c r="CD446" t="e">
        <f>AND(#REF!,"AAAAAEZPf1E=")</f>
        <v>#REF!</v>
      </c>
      <c r="CE446" t="e">
        <f>AND(#REF!,"AAAAAEZPf1I=")</f>
        <v>#REF!</v>
      </c>
      <c r="CF446" t="e">
        <f>AND(#REF!,"AAAAAEZPf1M=")</f>
        <v>#REF!</v>
      </c>
      <c r="CG446" t="e">
        <f>AND(#REF!,"AAAAAEZPf1Q=")</f>
        <v>#REF!</v>
      </c>
      <c r="CH446" t="e">
        <f>AND(#REF!,"AAAAAEZPf1U=")</f>
        <v>#REF!</v>
      </c>
      <c r="CI446" t="e">
        <f>AND(#REF!,"AAAAAEZPf1Y=")</f>
        <v>#REF!</v>
      </c>
      <c r="CJ446" t="e">
        <f>IF(#REF!,"AAAAAEZPf1c=",0)</f>
        <v>#REF!</v>
      </c>
      <c r="CK446" t="e">
        <f>AND(#REF!,"AAAAAEZPf1g=")</f>
        <v>#REF!</v>
      </c>
      <c r="CL446" t="e">
        <f>AND(#REF!,"AAAAAEZPf1k=")</f>
        <v>#REF!</v>
      </c>
      <c r="CM446" t="e">
        <f>AND(#REF!,"AAAAAEZPf1o=")</f>
        <v>#REF!</v>
      </c>
      <c r="CN446" t="e">
        <f>AND(#REF!,"AAAAAEZPf1s=")</f>
        <v>#REF!</v>
      </c>
      <c r="CO446" t="e">
        <f>AND(#REF!,"AAAAAEZPf1w=")</f>
        <v>#REF!</v>
      </c>
      <c r="CP446" t="e">
        <f>AND(#REF!,"AAAAAEZPf10=")</f>
        <v>#REF!</v>
      </c>
      <c r="CQ446" t="e">
        <f>AND(#REF!,"AAAAAEZPf14=")</f>
        <v>#REF!</v>
      </c>
      <c r="CR446" t="e">
        <f>AND(#REF!,"AAAAAEZPf18=")</f>
        <v>#REF!</v>
      </c>
      <c r="CS446" t="e">
        <f>AND(#REF!,"AAAAAEZPf2A=")</f>
        <v>#REF!</v>
      </c>
      <c r="CT446" t="e">
        <f>AND(#REF!,"AAAAAEZPf2E=")</f>
        <v>#REF!</v>
      </c>
      <c r="CU446" t="e">
        <f>IF(#REF!,"AAAAAEZPf2I=",0)</f>
        <v>#REF!</v>
      </c>
      <c r="CV446" t="e">
        <f>AND(#REF!,"AAAAAEZPf2M=")</f>
        <v>#REF!</v>
      </c>
      <c r="CW446" t="e">
        <f>AND(#REF!,"AAAAAEZPf2Q=")</f>
        <v>#REF!</v>
      </c>
      <c r="CX446" t="e">
        <f>AND(#REF!,"AAAAAEZPf2U=")</f>
        <v>#REF!</v>
      </c>
      <c r="CY446" t="e">
        <f>AND(#REF!,"AAAAAEZPf2Y=")</f>
        <v>#REF!</v>
      </c>
      <c r="CZ446" t="e">
        <f>AND(#REF!,"AAAAAEZPf2c=")</f>
        <v>#REF!</v>
      </c>
      <c r="DA446" t="e">
        <f>AND(#REF!,"AAAAAEZPf2g=")</f>
        <v>#REF!</v>
      </c>
      <c r="DB446" t="e">
        <f>AND(#REF!,"AAAAAEZPf2k=")</f>
        <v>#REF!</v>
      </c>
      <c r="DC446" t="e">
        <f>AND(#REF!,"AAAAAEZPf2o=")</f>
        <v>#REF!</v>
      </c>
      <c r="DD446" t="e">
        <f>AND(#REF!,"AAAAAEZPf2s=")</f>
        <v>#REF!</v>
      </c>
      <c r="DE446" t="e">
        <f>AND(#REF!,"AAAAAEZPf2w=")</f>
        <v>#REF!</v>
      </c>
      <c r="DF446" t="e">
        <f>IF(#REF!,"AAAAAEZPf20=",0)</f>
        <v>#REF!</v>
      </c>
      <c r="DG446" t="e">
        <f>AND(#REF!,"AAAAAEZPf24=")</f>
        <v>#REF!</v>
      </c>
      <c r="DH446" t="e">
        <f>AND(#REF!,"AAAAAEZPf28=")</f>
        <v>#REF!</v>
      </c>
      <c r="DI446" t="e">
        <f>AND(#REF!,"AAAAAEZPf3A=")</f>
        <v>#REF!</v>
      </c>
      <c r="DJ446" t="e">
        <f>AND(#REF!,"AAAAAEZPf3E=")</f>
        <v>#REF!</v>
      </c>
      <c r="DK446" t="e">
        <f>AND(#REF!,"AAAAAEZPf3I=")</f>
        <v>#REF!</v>
      </c>
      <c r="DL446" t="e">
        <f>AND(#REF!,"AAAAAEZPf3M=")</f>
        <v>#REF!</v>
      </c>
      <c r="DM446" t="e">
        <f>AND(#REF!,"AAAAAEZPf3Q=")</f>
        <v>#REF!</v>
      </c>
      <c r="DN446" t="e">
        <f>AND(#REF!,"AAAAAEZPf3U=")</f>
        <v>#REF!</v>
      </c>
      <c r="DO446" t="e">
        <f>AND(#REF!,"AAAAAEZPf3Y=")</f>
        <v>#REF!</v>
      </c>
      <c r="DP446" t="e">
        <f>AND(#REF!,"AAAAAEZPf3c=")</f>
        <v>#REF!</v>
      </c>
      <c r="DQ446" t="e">
        <f>IF(#REF!,"AAAAAEZPf3g=",0)</f>
        <v>#REF!</v>
      </c>
      <c r="DR446" t="e">
        <f>AND(#REF!,"AAAAAEZPf3k=")</f>
        <v>#REF!</v>
      </c>
      <c r="DS446" t="e">
        <f>AND(#REF!,"AAAAAEZPf3o=")</f>
        <v>#REF!</v>
      </c>
      <c r="DT446" t="e">
        <f>AND(#REF!,"AAAAAEZPf3s=")</f>
        <v>#REF!</v>
      </c>
      <c r="DU446" t="e">
        <f>AND(#REF!,"AAAAAEZPf3w=")</f>
        <v>#REF!</v>
      </c>
      <c r="DV446" t="e">
        <f>AND(#REF!,"AAAAAEZPf30=")</f>
        <v>#REF!</v>
      </c>
      <c r="DW446" t="e">
        <f>AND(#REF!,"AAAAAEZPf34=")</f>
        <v>#REF!</v>
      </c>
      <c r="DX446" t="e">
        <f>AND(#REF!,"AAAAAEZPf38=")</f>
        <v>#REF!</v>
      </c>
      <c r="DY446" t="e">
        <f>AND(#REF!,"AAAAAEZPf4A=")</f>
        <v>#REF!</v>
      </c>
      <c r="DZ446" t="e">
        <f>AND(#REF!,"AAAAAEZPf4E=")</f>
        <v>#REF!</v>
      </c>
      <c r="EA446" t="e">
        <f>AND(#REF!,"AAAAAEZPf4I=")</f>
        <v>#REF!</v>
      </c>
      <c r="EB446" t="e">
        <f>IF(#REF!,"AAAAAEZPf4M=",0)</f>
        <v>#REF!</v>
      </c>
      <c r="EC446" t="e">
        <f>AND(#REF!,"AAAAAEZPf4Q=")</f>
        <v>#REF!</v>
      </c>
      <c r="ED446" t="e">
        <f>AND(#REF!,"AAAAAEZPf4U=")</f>
        <v>#REF!</v>
      </c>
      <c r="EE446" t="e">
        <f>AND(#REF!,"AAAAAEZPf4Y=")</f>
        <v>#REF!</v>
      </c>
      <c r="EF446" t="e">
        <f>AND(#REF!,"AAAAAEZPf4c=")</f>
        <v>#REF!</v>
      </c>
      <c r="EG446" t="e">
        <f>AND(#REF!,"AAAAAEZPf4g=")</f>
        <v>#REF!</v>
      </c>
      <c r="EH446" t="e">
        <f>AND(#REF!,"AAAAAEZPf4k=")</f>
        <v>#REF!</v>
      </c>
      <c r="EI446" t="e">
        <f>AND(#REF!,"AAAAAEZPf4o=")</f>
        <v>#REF!</v>
      </c>
      <c r="EJ446" t="e">
        <f>AND(#REF!,"AAAAAEZPf4s=")</f>
        <v>#REF!</v>
      </c>
      <c r="EK446" t="e">
        <f>AND(#REF!,"AAAAAEZPf4w=")</f>
        <v>#REF!</v>
      </c>
      <c r="EL446" t="e">
        <f>AND(#REF!,"AAAAAEZPf40=")</f>
        <v>#REF!</v>
      </c>
      <c r="EM446" t="e">
        <f>IF(#REF!,"AAAAAEZPf44=",0)</f>
        <v>#REF!</v>
      </c>
      <c r="EN446" t="e">
        <f>AND(#REF!,"AAAAAEZPf48=")</f>
        <v>#REF!</v>
      </c>
      <c r="EO446" t="e">
        <f>AND(#REF!,"AAAAAEZPf5A=")</f>
        <v>#REF!</v>
      </c>
      <c r="EP446" t="e">
        <f>AND(#REF!,"AAAAAEZPf5E=")</f>
        <v>#REF!</v>
      </c>
      <c r="EQ446" t="e">
        <f>AND(#REF!,"AAAAAEZPf5I=")</f>
        <v>#REF!</v>
      </c>
      <c r="ER446" t="e">
        <f>AND(#REF!,"AAAAAEZPf5M=")</f>
        <v>#REF!</v>
      </c>
      <c r="ES446" t="e">
        <f>AND(#REF!,"AAAAAEZPf5Q=")</f>
        <v>#REF!</v>
      </c>
      <c r="ET446" t="e">
        <f>AND(#REF!,"AAAAAEZPf5U=")</f>
        <v>#REF!</v>
      </c>
      <c r="EU446" t="e">
        <f>AND(#REF!,"AAAAAEZPf5Y=")</f>
        <v>#REF!</v>
      </c>
      <c r="EV446" t="e">
        <f>AND(#REF!,"AAAAAEZPf5c=")</f>
        <v>#REF!</v>
      </c>
      <c r="EW446" t="e">
        <f>AND(#REF!,"AAAAAEZPf5g=")</f>
        <v>#REF!</v>
      </c>
      <c r="EX446" t="e">
        <f>IF(#REF!,"AAAAAEZPf5k=",0)</f>
        <v>#REF!</v>
      </c>
      <c r="EY446" t="e">
        <f>AND(#REF!,"AAAAAEZPf5o=")</f>
        <v>#REF!</v>
      </c>
      <c r="EZ446" t="e">
        <f>AND(#REF!,"AAAAAEZPf5s=")</f>
        <v>#REF!</v>
      </c>
      <c r="FA446" t="e">
        <f>AND(#REF!,"AAAAAEZPf5w=")</f>
        <v>#REF!</v>
      </c>
      <c r="FB446" t="e">
        <f>AND(#REF!,"AAAAAEZPf50=")</f>
        <v>#REF!</v>
      </c>
      <c r="FC446" t="e">
        <f>AND(#REF!,"AAAAAEZPf54=")</f>
        <v>#REF!</v>
      </c>
      <c r="FD446" t="e">
        <f>AND(#REF!,"AAAAAEZPf58=")</f>
        <v>#REF!</v>
      </c>
      <c r="FE446" t="e">
        <f>AND(#REF!,"AAAAAEZPf6A=")</f>
        <v>#REF!</v>
      </c>
      <c r="FF446" t="e">
        <f>AND(#REF!,"AAAAAEZPf6E=")</f>
        <v>#REF!</v>
      </c>
      <c r="FG446" t="e">
        <f>AND(#REF!,"AAAAAEZPf6I=")</f>
        <v>#REF!</v>
      </c>
      <c r="FH446" t="e">
        <f>AND(#REF!,"AAAAAEZPf6M=")</f>
        <v>#REF!</v>
      </c>
      <c r="FI446" t="e">
        <f>IF(#REF!,"AAAAAEZPf6Q=",0)</f>
        <v>#REF!</v>
      </c>
      <c r="FJ446" t="e">
        <f>AND(#REF!,"AAAAAEZPf6U=")</f>
        <v>#REF!</v>
      </c>
      <c r="FK446" t="e">
        <f>AND(#REF!,"AAAAAEZPf6Y=")</f>
        <v>#REF!</v>
      </c>
      <c r="FL446" t="e">
        <f>AND(#REF!,"AAAAAEZPf6c=")</f>
        <v>#REF!</v>
      </c>
      <c r="FM446" t="e">
        <f>AND(#REF!,"AAAAAEZPf6g=")</f>
        <v>#REF!</v>
      </c>
      <c r="FN446" t="e">
        <f>AND(#REF!,"AAAAAEZPf6k=")</f>
        <v>#REF!</v>
      </c>
      <c r="FO446" t="e">
        <f>AND(#REF!,"AAAAAEZPf6o=")</f>
        <v>#REF!</v>
      </c>
      <c r="FP446" t="e">
        <f>AND(#REF!,"AAAAAEZPf6s=")</f>
        <v>#REF!</v>
      </c>
      <c r="FQ446" t="e">
        <f>AND(#REF!,"AAAAAEZPf6w=")</f>
        <v>#REF!</v>
      </c>
      <c r="FR446" t="e">
        <f>AND(#REF!,"AAAAAEZPf60=")</f>
        <v>#REF!</v>
      </c>
      <c r="FS446" t="e">
        <f>AND(#REF!,"AAAAAEZPf64=")</f>
        <v>#REF!</v>
      </c>
      <c r="FT446" t="e">
        <f>IF(#REF!,"AAAAAEZPf68=",0)</f>
        <v>#REF!</v>
      </c>
      <c r="FU446" t="e">
        <f>AND(#REF!,"AAAAAEZPf7A=")</f>
        <v>#REF!</v>
      </c>
      <c r="FV446" t="e">
        <f>AND(#REF!,"AAAAAEZPf7E=")</f>
        <v>#REF!</v>
      </c>
      <c r="FW446" t="e">
        <f>AND(#REF!,"AAAAAEZPf7I=")</f>
        <v>#REF!</v>
      </c>
      <c r="FX446" t="e">
        <f>AND(#REF!,"AAAAAEZPf7M=")</f>
        <v>#REF!</v>
      </c>
      <c r="FY446" t="e">
        <f>AND(#REF!,"AAAAAEZPf7Q=")</f>
        <v>#REF!</v>
      </c>
      <c r="FZ446" t="e">
        <f>AND(#REF!,"AAAAAEZPf7U=")</f>
        <v>#REF!</v>
      </c>
      <c r="GA446" t="e">
        <f>AND(#REF!,"AAAAAEZPf7Y=")</f>
        <v>#REF!</v>
      </c>
      <c r="GB446" t="e">
        <f>AND(#REF!,"AAAAAEZPf7c=")</f>
        <v>#REF!</v>
      </c>
      <c r="GC446" t="e">
        <f>AND(#REF!,"AAAAAEZPf7g=")</f>
        <v>#REF!</v>
      </c>
      <c r="GD446" t="e">
        <f>AND(#REF!,"AAAAAEZPf7k=")</f>
        <v>#REF!</v>
      </c>
      <c r="GE446" t="e">
        <f>IF(#REF!,"AAAAAEZPf7o=",0)</f>
        <v>#REF!</v>
      </c>
      <c r="GF446" t="e">
        <f>AND(#REF!,"AAAAAEZPf7s=")</f>
        <v>#REF!</v>
      </c>
      <c r="GG446" t="e">
        <f>AND(#REF!,"AAAAAEZPf7w=")</f>
        <v>#REF!</v>
      </c>
      <c r="GH446" t="e">
        <f>AND(#REF!,"AAAAAEZPf70=")</f>
        <v>#REF!</v>
      </c>
      <c r="GI446" t="e">
        <f>AND(#REF!,"AAAAAEZPf74=")</f>
        <v>#REF!</v>
      </c>
      <c r="GJ446" t="e">
        <f>AND(#REF!,"AAAAAEZPf78=")</f>
        <v>#REF!</v>
      </c>
      <c r="GK446" t="e">
        <f>AND(#REF!,"AAAAAEZPf8A=")</f>
        <v>#REF!</v>
      </c>
      <c r="GL446" t="e">
        <f>AND(#REF!,"AAAAAEZPf8E=")</f>
        <v>#REF!</v>
      </c>
      <c r="GM446" t="e">
        <f>AND(#REF!,"AAAAAEZPf8I=")</f>
        <v>#REF!</v>
      </c>
      <c r="GN446" t="e">
        <f>AND(#REF!,"AAAAAEZPf8M=")</f>
        <v>#REF!</v>
      </c>
      <c r="GO446" t="e">
        <f>AND(#REF!,"AAAAAEZPf8Q=")</f>
        <v>#REF!</v>
      </c>
      <c r="GP446" t="e">
        <f>IF(#REF!,"AAAAAEZPf8U=",0)</f>
        <v>#REF!</v>
      </c>
      <c r="GQ446" t="e">
        <f>AND(#REF!,"AAAAAEZPf8Y=")</f>
        <v>#REF!</v>
      </c>
      <c r="GR446" t="e">
        <f>AND(#REF!,"AAAAAEZPf8c=")</f>
        <v>#REF!</v>
      </c>
      <c r="GS446" t="e">
        <f>AND(#REF!,"AAAAAEZPf8g=")</f>
        <v>#REF!</v>
      </c>
      <c r="GT446" t="e">
        <f>AND(#REF!,"AAAAAEZPf8k=")</f>
        <v>#REF!</v>
      </c>
      <c r="GU446" t="e">
        <f>AND(#REF!,"AAAAAEZPf8o=")</f>
        <v>#REF!</v>
      </c>
      <c r="GV446" t="e">
        <f>AND(#REF!,"AAAAAEZPf8s=")</f>
        <v>#REF!</v>
      </c>
      <c r="GW446" t="e">
        <f>AND(#REF!,"AAAAAEZPf8w=")</f>
        <v>#REF!</v>
      </c>
      <c r="GX446" t="e">
        <f>AND(#REF!,"AAAAAEZPf80=")</f>
        <v>#REF!</v>
      </c>
      <c r="GY446" t="e">
        <f>AND(#REF!,"AAAAAEZPf84=")</f>
        <v>#REF!</v>
      </c>
      <c r="GZ446" t="e">
        <f>AND(#REF!,"AAAAAEZPf88=")</f>
        <v>#REF!</v>
      </c>
      <c r="HA446" t="e">
        <f>IF(#REF!,"AAAAAEZPf9A=",0)</f>
        <v>#REF!</v>
      </c>
      <c r="HB446" t="e">
        <f>AND(#REF!,"AAAAAEZPf9E=")</f>
        <v>#REF!</v>
      </c>
      <c r="HC446" t="e">
        <f>AND(#REF!,"AAAAAEZPf9I=")</f>
        <v>#REF!</v>
      </c>
      <c r="HD446" t="e">
        <f>AND(#REF!,"AAAAAEZPf9M=")</f>
        <v>#REF!</v>
      </c>
      <c r="HE446" t="e">
        <f>AND(#REF!,"AAAAAEZPf9Q=")</f>
        <v>#REF!</v>
      </c>
      <c r="HF446" t="e">
        <f>AND(#REF!,"AAAAAEZPf9U=")</f>
        <v>#REF!</v>
      </c>
      <c r="HG446" t="e">
        <f>AND(#REF!,"AAAAAEZPf9Y=")</f>
        <v>#REF!</v>
      </c>
      <c r="HH446" t="e">
        <f>AND(#REF!,"AAAAAEZPf9c=")</f>
        <v>#REF!</v>
      </c>
      <c r="HI446" t="e">
        <f>AND(#REF!,"AAAAAEZPf9g=")</f>
        <v>#REF!</v>
      </c>
      <c r="HJ446" t="e">
        <f>AND(#REF!,"AAAAAEZPf9k=")</f>
        <v>#REF!</v>
      </c>
      <c r="HK446" t="e">
        <f>AND(#REF!,"AAAAAEZPf9o=")</f>
        <v>#REF!</v>
      </c>
      <c r="HL446" t="e">
        <f>IF(#REF!,"AAAAAEZPf9s=",0)</f>
        <v>#REF!</v>
      </c>
      <c r="HM446" t="e">
        <f>AND(#REF!,"AAAAAEZPf9w=")</f>
        <v>#REF!</v>
      </c>
      <c r="HN446" t="e">
        <f>AND(#REF!,"AAAAAEZPf90=")</f>
        <v>#REF!</v>
      </c>
      <c r="HO446" t="e">
        <f>AND(#REF!,"AAAAAEZPf94=")</f>
        <v>#REF!</v>
      </c>
      <c r="HP446" t="e">
        <f>AND(#REF!,"AAAAAEZPf98=")</f>
        <v>#REF!</v>
      </c>
      <c r="HQ446" t="e">
        <f>AND(#REF!,"AAAAAEZPf+A=")</f>
        <v>#REF!</v>
      </c>
      <c r="HR446" t="e">
        <f>AND(#REF!,"AAAAAEZPf+E=")</f>
        <v>#REF!</v>
      </c>
      <c r="HS446" t="e">
        <f>AND(#REF!,"AAAAAEZPf+I=")</f>
        <v>#REF!</v>
      </c>
      <c r="HT446" t="e">
        <f>AND(#REF!,"AAAAAEZPf+M=")</f>
        <v>#REF!</v>
      </c>
      <c r="HU446" t="e">
        <f>AND(#REF!,"AAAAAEZPf+Q=")</f>
        <v>#REF!</v>
      </c>
      <c r="HV446" t="e">
        <f>AND(#REF!,"AAAAAEZPf+U=")</f>
        <v>#REF!</v>
      </c>
      <c r="HW446" t="e">
        <f>IF(#REF!,"AAAAAEZPf+Y=",0)</f>
        <v>#REF!</v>
      </c>
      <c r="HX446" t="e">
        <f>AND(#REF!,"AAAAAEZPf+c=")</f>
        <v>#REF!</v>
      </c>
      <c r="HY446" t="e">
        <f>AND(#REF!,"AAAAAEZPf+g=")</f>
        <v>#REF!</v>
      </c>
      <c r="HZ446" t="e">
        <f>AND(#REF!,"AAAAAEZPf+k=")</f>
        <v>#REF!</v>
      </c>
      <c r="IA446" t="e">
        <f>AND(#REF!,"AAAAAEZPf+o=")</f>
        <v>#REF!</v>
      </c>
      <c r="IB446" t="e">
        <f>AND(#REF!,"AAAAAEZPf+s=")</f>
        <v>#REF!</v>
      </c>
      <c r="IC446" t="e">
        <f>AND(#REF!,"AAAAAEZPf+w=")</f>
        <v>#REF!</v>
      </c>
      <c r="ID446" t="e">
        <f>AND(#REF!,"AAAAAEZPf+0=")</f>
        <v>#REF!</v>
      </c>
      <c r="IE446" t="e">
        <f>AND(#REF!,"AAAAAEZPf+4=")</f>
        <v>#REF!</v>
      </c>
      <c r="IF446" t="e">
        <f>AND(#REF!,"AAAAAEZPf+8=")</f>
        <v>#REF!</v>
      </c>
      <c r="IG446" t="e">
        <f>AND(#REF!,"AAAAAEZPf/A=")</f>
        <v>#REF!</v>
      </c>
      <c r="IH446" t="e">
        <f>IF(#REF!,"AAAAAEZPf/E=",0)</f>
        <v>#REF!</v>
      </c>
      <c r="II446" t="e">
        <f>AND(#REF!,"AAAAAEZPf/I=")</f>
        <v>#REF!</v>
      </c>
      <c r="IJ446" t="e">
        <f>AND(#REF!,"AAAAAEZPf/M=")</f>
        <v>#REF!</v>
      </c>
      <c r="IK446" t="e">
        <f>AND(#REF!,"AAAAAEZPf/Q=")</f>
        <v>#REF!</v>
      </c>
      <c r="IL446" t="e">
        <f>AND(#REF!,"AAAAAEZPf/U=")</f>
        <v>#REF!</v>
      </c>
      <c r="IM446" t="e">
        <f>AND(#REF!,"AAAAAEZPf/Y=")</f>
        <v>#REF!</v>
      </c>
      <c r="IN446" t="e">
        <f>AND(#REF!,"AAAAAEZPf/c=")</f>
        <v>#REF!</v>
      </c>
      <c r="IO446" t="e">
        <f>AND(#REF!,"AAAAAEZPf/g=")</f>
        <v>#REF!</v>
      </c>
      <c r="IP446" t="e">
        <f>AND(#REF!,"AAAAAEZPf/k=")</f>
        <v>#REF!</v>
      </c>
      <c r="IQ446" t="e">
        <f>AND(#REF!,"AAAAAEZPf/o=")</f>
        <v>#REF!</v>
      </c>
      <c r="IR446" t="e">
        <f>AND(#REF!,"AAAAAEZPf/s=")</f>
        <v>#REF!</v>
      </c>
      <c r="IS446" t="e">
        <f>IF(#REF!,"AAAAAEZPf/w=",0)</f>
        <v>#REF!</v>
      </c>
      <c r="IT446" t="e">
        <f>AND(#REF!,"AAAAAEZPf/0=")</f>
        <v>#REF!</v>
      </c>
      <c r="IU446" t="e">
        <f>AND(#REF!,"AAAAAEZPf/4=")</f>
        <v>#REF!</v>
      </c>
      <c r="IV446" t="e">
        <f>AND(#REF!,"AAAAAEZPf/8=")</f>
        <v>#REF!</v>
      </c>
    </row>
    <row r="447" spans="1:256" x14ac:dyDescent="0.25">
      <c r="A447" t="e">
        <f>AND(#REF!,"AAAAAFNuaQA=")</f>
        <v>#REF!</v>
      </c>
      <c r="B447" t="e">
        <f>AND(#REF!,"AAAAAFNuaQE=")</f>
        <v>#REF!</v>
      </c>
      <c r="C447" t="e">
        <f>AND(#REF!,"AAAAAFNuaQI=")</f>
        <v>#REF!</v>
      </c>
      <c r="D447" t="e">
        <f>AND(#REF!,"AAAAAFNuaQM=")</f>
        <v>#REF!</v>
      </c>
      <c r="E447" t="e">
        <f>AND(#REF!,"AAAAAFNuaQQ=")</f>
        <v>#REF!</v>
      </c>
      <c r="F447" t="e">
        <f>AND(#REF!,"AAAAAFNuaQU=")</f>
        <v>#REF!</v>
      </c>
      <c r="G447" t="e">
        <f>AND(#REF!,"AAAAAFNuaQY=")</f>
        <v>#REF!</v>
      </c>
      <c r="H447" t="e">
        <f>IF(#REF!,"AAAAAFNuaQc=",0)</f>
        <v>#REF!</v>
      </c>
      <c r="I447" t="e">
        <f>AND(#REF!,"AAAAAFNuaQg=")</f>
        <v>#REF!</v>
      </c>
      <c r="J447" t="e">
        <f>AND(#REF!,"AAAAAFNuaQk=")</f>
        <v>#REF!</v>
      </c>
      <c r="K447" t="e">
        <f>AND(#REF!,"AAAAAFNuaQo=")</f>
        <v>#REF!</v>
      </c>
      <c r="L447" t="e">
        <f>AND(#REF!,"AAAAAFNuaQs=")</f>
        <v>#REF!</v>
      </c>
      <c r="M447" t="e">
        <f>AND(#REF!,"AAAAAFNuaQw=")</f>
        <v>#REF!</v>
      </c>
      <c r="N447" t="e">
        <f>AND(#REF!,"AAAAAFNuaQ0=")</f>
        <v>#REF!</v>
      </c>
      <c r="O447" t="e">
        <f>AND(#REF!,"AAAAAFNuaQ4=")</f>
        <v>#REF!</v>
      </c>
      <c r="P447" t="e">
        <f>AND(#REF!,"AAAAAFNuaQ8=")</f>
        <v>#REF!</v>
      </c>
      <c r="Q447" t="e">
        <f>AND(#REF!,"AAAAAFNuaRA=")</f>
        <v>#REF!</v>
      </c>
      <c r="R447" t="e">
        <f>AND(#REF!,"AAAAAFNuaRE=")</f>
        <v>#REF!</v>
      </c>
      <c r="S447" t="e">
        <f>IF(#REF!,"AAAAAFNuaRI=",0)</f>
        <v>#REF!</v>
      </c>
      <c r="T447" t="e">
        <f>AND(#REF!,"AAAAAFNuaRM=")</f>
        <v>#REF!</v>
      </c>
      <c r="U447" t="e">
        <f>AND(#REF!,"AAAAAFNuaRQ=")</f>
        <v>#REF!</v>
      </c>
      <c r="V447" t="e">
        <f>AND(#REF!,"AAAAAFNuaRU=")</f>
        <v>#REF!</v>
      </c>
      <c r="W447" t="e">
        <f>AND(#REF!,"AAAAAFNuaRY=")</f>
        <v>#REF!</v>
      </c>
      <c r="X447" t="e">
        <f>AND(#REF!,"AAAAAFNuaRc=")</f>
        <v>#REF!</v>
      </c>
      <c r="Y447" t="e">
        <f>AND(#REF!,"AAAAAFNuaRg=")</f>
        <v>#REF!</v>
      </c>
      <c r="Z447" t="e">
        <f>AND(#REF!,"AAAAAFNuaRk=")</f>
        <v>#REF!</v>
      </c>
      <c r="AA447" t="e">
        <f>AND(#REF!,"AAAAAFNuaRo=")</f>
        <v>#REF!</v>
      </c>
      <c r="AB447" t="e">
        <f>AND(#REF!,"AAAAAFNuaRs=")</f>
        <v>#REF!</v>
      </c>
      <c r="AC447" t="e">
        <f>AND(#REF!,"AAAAAFNuaRw=")</f>
        <v>#REF!</v>
      </c>
      <c r="AD447" t="e">
        <f>IF(#REF!,"AAAAAFNuaR0=",0)</f>
        <v>#REF!</v>
      </c>
      <c r="AE447" t="e">
        <f>AND(#REF!,"AAAAAFNuaR4=")</f>
        <v>#REF!</v>
      </c>
      <c r="AF447" t="e">
        <f>AND(#REF!,"AAAAAFNuaR8=")</f>
        <v>#REF!</v>
      </c>
      <c r="AG447" t="e">
        <f>AND(#REF!,"AAAAAFNuaSA=")</f>
        <v>#REF!</v>
      </c>
      <c r="AH447" t="e">
        <f>AND(#REF!,"AAAAAFNuaSE=")</f>
        <v>#REF!</v>
      </c>
      <c r="AI447" t="e">
        <f>AND(#REF!,"AAAAAFNuaSI=")</f>
        <v>#REF!</v>
      </c>
      <c r="AJ447" t="e">
        <f>AND(#REF!,"AAAAAFNuaSM=")</f>
        <v>#REF!</v>
      </c>
      <c r="AK447" t="e">
        <f>AND(#REF!,"AAAAAFNuaSQ=")</f>
        <v>#REF!</v>
      </c>
      <c r="AL447" t="e">
        <f>AND(#REF!,"AAAAAFNuaSU=")</f>
        <v>#REF!</v>
      </c>
      <c r="AM447" t="e">
        <f>AND(#REF!,"AAAAAFNuaSY=")</f>
        <v>#REF!</v>
      </c>
      <c r="AN447" t="e">
        <f>AND(#REF!,"AAAAAFNuaSc=")</f>
        <v>#REF!</v>
      </c>
      <c r="AO447" t="e">
        <f>IF(#REF!,"AAAAAFNuaSg=",0)</f>
        <v>#REF!</v>
      </c>
      <c r="AP447" t="e">
        <f>AND(#REF!,"AAAAAFNuaSk=")</f>
        <v>#REF!</v>
      </c>
      <c r="AQ447" t="e">
        <f>AND(#REF!,"AAAAAFNuaSo=")</f>
        <v>#REF!</v>
      </c>
      <c r="AR447" t="e">
        <f>AND(#REF!,"AAAAAFNuaSs=")</f>
        <v>#REF!</v>
      </c>
      <c r="AS447" t="e">
        <f>AND(#REF!,"AAAAAFNuaSw=")</f>
        <v>#REF!</v>
      </c>
      <c r="AT447" t="e">
        <f>AND(#REF!,"AAAAAFNuaS0=")</f>
        <v>#REF!</v>
      </c>
      <c r="AU447" t="e">
        <f>AND(#REF!,"AAAAAFNuaS4=")</f>
        <v>#REF!</v>
      </c>
      <c r="AV447" t="e">
        <f>AND(#REF!,"AAAAAFNuaS8=")</f>
        <v>#REF!</v>
      </c>
      <c r="AW447" t="e">
        <f>AND(#REF!,"AAAAAFNuaTA=")</f>
        <v>#REF!</v>
      </c>
      <c r="AX447" t="e">
        <f>AND(#REF!,"AAAAAFNuaTE=")</f>
        <v>#REF!</v>
      </c>
      <c r="AY447" t="e">
        <f>AND(#REF!,"AAAAAFNuaTI=")</f>
        <v>#REF!</v>
      </c>
      <c r="AZ447" t="e">
        <f>IF(#REF!,"AAAAAFNuaTM=",0)</f>
        <v>#REF!</v>
      </c>
      <c r="BA447" t="e">
        <f>AND(#REF!,"AAAAAFNuaTQ=")</f>
        <v>#REF!</v>
      </c>
      <c r="BB447" t="e">
        <f>AND(#REF!,"AAAAAFNuaTU=")</f>
        <v>#REF!</v>
      </c>
      <c r="BC447" t="e">
        <f>AND(#REF!,"AAAAAFNuaTY=")</f>
        <v>#REF!</v>
      </c>
      <c r="BD447" t="e">
        <f>AND(#REF!,"AAAAAFNuaTc=")</f>
        <v>#REF!</v>
      </c>
      <c r="BE447" t="e">
        <f>AND(#REF!,"AAAAAFNuaTg=")</f>
        <v>#REF!</v>
      </c>
      <c r="BF447" t="e">
        <f>AND(#REF!,"AAAAAFNuaTk=")</f>
        <v>#REF!</v>
      </c>
      <c r="BG447" t="e">
        <f>AND(#REF!,"AAAAAFNuaTo=")</f>
        <v>#REF!</v>
      </c>
      <c r="BH447" t="e">
        <f>AND(#REF!,"AAAAAFNuaTs=")</f>
        <v>#REF!</v>
      </c>
      <c r="BI447" t="e">
        <f>AND(#REF!,"AAAAAFNuaTw=")</f>
        <v>#REF!</v>
      </c>
      <c r="BJ447" t="e">
        <f>AND(#REF!,"AAAAAFNuaT0=")</f>
        <v>#REF!</v>
      </c>
      <c r="BK447" t="e">
        <f>IF(#REF!,"AAAAAFNuaT4=",0)</f>
        <v>#REF!</v>
      </c>
      <c r="BL447" t="e">
        <f>AND(#REF!,"AAAAAFNuaT8=")</f>
        <v>#REF!</v>
      </c>
      <c r="BM447" t="e">
        <f>AND(#REF!,"AAAAAFNuaUA=")</f>
        <v>#REF!</v>
      </c>
      <c r="BN447" t="e">
        <f>AND(#REF!,"AAAAAFNuaUE=")</f>
        <v>#REF!</v>
      </c>
      <c r="BO447" t="e">
        <f>AND(#REF!,"AAAAAFNuaUI=")</f>
        <v>#REF!</v>
      </c>
      <c r="BP447" t="e">
        <f>AND(#REF!,"AAAAAFNuaUM=")</f>
        <v>#REF!</v>
      </c>
      <c r="BQ447" t="e">
        <f>AND(#REF!,"AAAAAFNuaUQ=")</f>
        <v>#REF!</v>
      </c>
      <c r="BR447" t="e">
        <f>AND(#REF!,"AAAAAFNuaUU=")</f>
        <v>#REF!</v>
      </c>
      <c r="BS447" t="e">
        <f>AND(#REF!,"AAAAAFNuaUY=")</f>
        <v>#REF!</v>
      </c>
      <c r="BT447" t="e">
        <f>AND(#REF!,"AAAAAFNuaUc=")</f>
        <v>#REF!</v>
      </c>
      <c r="BU447" t="e">
        <f>AND(#REF!,"AAAAAFNuaUg=")</f>
        <v>#REF!</v>
      </c>
      <c r="BV447" t="e">
        <f>IF(#REF!,"AAAAAFNuaUk=",0)</f>
        <v>#REF!</v>
      </c>
      <c r="BW447" t="e">
        <f>AND(#REF!,"AAAAAFNuaUo=")</f>
        <v>#REF!</v>
      </c>
      <c r="BX447" t="e">
        <f>AND(#REF!,"AAAAAFNuaUs=")</f>
        <v>#REF!</v>
      </c>
      <c r="BY447" t="e">
        <f>AND(#REF!,"AAAAAFNuaUw=")</f>
        <v>#REF!</v>
      </c>
      <c r="BZ447" t="e">
        <f>AND(#REF!,"AAAAAFNuaU0=")</f>
        <v>#REF!</v>
      </c>
      <c r="CA447" t="e">
        <f>AND(#REF!,"AAAAAFNuaU4=")</f>
        <v>#REF!</v>
      </c>
      <c r="CB447" t="e">
        <f>AND(#REF!,"AAAAAFNuaU8=")</f>
        <v>#REF!</v>
      </c>
      <c r="CC447" t="e">
        <f>AND(#REF!,"AAAAAFNuaVA=")</f>
        <v>#REF!</v>
      </c>
      <c r="CD447" t="e">
        <f>AND(#REF!,"AAAAAFNuaVE=")</f>
        <v>#REF!</v>
      </c>
      <c r="CE447" t="e">
        <f>AND(#REF!,"AAAAAFNuaVI=")</f>
        <v>#REF!</v>
      </c>
      <c r="CF447" t="e">
        <f>AND(#REF!,"AAAAAFNuaVM=")</f>
        <v>#REF!</v>
      </c>
      <c r="CG447" t="e">
        <f>IF(#REF!,"AAAAAFNuaVQ=",0)</f>
        <v>#REF!</v>
      </c>
      <c r="CH447" t="e">
        <f>AND(#REF!,"AAAAAFNuaVU=")</f>
        <v>#REF!</v>
      </c>
      <c r="CI447" t="e">
        <f>AND(#REF!,"AAAAAFNuaVY=")</f>
        <v>#REF!</v>
      </c>
      <c r="CJ447" t="e">
        <f>AND(#REF!,"AAAAAFNuaVc=")</f>
        <v>#REF!</v>
      </c>
      <c r="CK447" t="e">
        <f>AND(#REF!,"AAAAAFNuaVg=")</f>
        <v>#REF!</v>
      </c>
      <c r="CL447" t="e">
        <f>AND(#REF!,"AAAAAFNuaVk=")</f>
        <v>#REF!</v>
      </c>
      <c r="CM447" t="e">
        <f>AND(#REF!,"AAAAAFNuaVo=")</f>
        <v>#REF!</v>
      </c>
      <c r="CN447" t="e">
        <f>AND(#REF!,"AAAAAFNuaVs=")</f>
        <v>#REF!</v>
      </c>
      <c r="CO447" t="e">
        <f>AND(#REF!,"AAAAAFNuaVw=")</f>
        <v>#REF!</v>
      </c>
      <c r="CP447" t="e">
        <f>AND(#REF!,"AAAAAFNuaV0=")</f>
        <v>#REF!</v>
      </c>
      <c r="CQ447" t="e">
        <f>AND(#REF!,"AAAAAFNuaV4=")</f>
        <v>#REF!</v>
      </c>
      <c r="CR447" t="e">
        <f>IF(#REF!,"AAAAAFNuaV8=",0)</f>
        <v>#REF!</v>
      </c>
      <c r="CS447" t="e">
        <f>AND(#REF!,"AAAAAFNuaWA=")</f>
        <v>#REF!</v>
      </c>
      <c r="CT447" t="e">
        <f>AND(#REF!,"AAAAAFNuaWE=")</f>
        <v>#REF!</v>
      </c>
      <c r="CU447" t="e">
        <f>AND(#REF!,"AAAAAFNuaWI=")</f>
        <v>#REF!</v>
      </c>
      <c r="CV447" t="e">
        <f>AND(#REF!,"AAAAAFNuaWM=")</f>
        <v>#REF!</v>
      </c>
      <c r="CW447" t="e">
        <f>AND(#REF!,"AAAAAFNuaWQ=")</f>
        <v>#REF!</v>
      </c>
      <c r="CX447" t="e">
        <f>AND(#REF!,"AAAAAFNuaWU=")</f>
        <v>#REF!</v>
      </c>
      <c r="CY447" t="e">
        <f>AND(#REF!,"AAAAAFNuaWY=")</f>
        <v>#REF!</v>
      </c>
      <c r="CZ447" t="e">
        <f>AND(#REF!,"AAAAAFNuaWc=")</f>
        <v>#REF!</v>
      </c>
      <c r="DA447" t="e">
        <f>AND(#REF!,"AAAAAFNuaWg=")</f>
        <v>#REF!</v>
      </c>
      <c r="DB447" t="e">
        <f>AND(#REF!,"AAAAAFNuaWk=")</f>
        <v>#REF!</v>
      </c>
      <c r="DC447" t="e">
        <f>IF(#REF!,"AAAAAFNuaWo=",0)</f>
        <v>#REF!</v>
      </c>
      <c r="DD447" t="e">
        <f>AND(#REF!,"AAAAAFNuaWs=")</f>
        <v>#REF!</v>
      </c>
      <c r="DE447" t="e">
        <f>AND(#REF!,"AAAAAFNuaWw=")</f>
        <v>#REF!</v>
      </c>
      <c r="DF447" t="e">
        <f>AND(#REF!,"AAAAAFNuaW0=")</f>
        <v>#REF!</v>
      </c>
      <c r="DG447" t="e">
        <f>AND(#REF!,"AAAAAFNuaW4=")</f>
        <v>#REF!</v>
      </c>
      <c r="DH447" t="e">
        <f>AND(#REF!,"AAAAAFNuaW8=")</f>
        <v>#REF!</v>
      </c>
      <c r="DI447" t="e">
        <f>AND(#REF!,"AAAAAFNuaXA=")</f>
        <v>#REF!</v>
      </c>
      <c r="DJ447" t="e">
        <f>AND(#REF!,"AAAAAFNuaXE=")</f>
        <v>#REF!</v>
      </c>
      <c r="DK447" t="e">
        <f>AND(#REF!,"AAAAAFNuaXI=")</f>
        <v>#REF!</v>
      </c>
      <c r="DL447" t="e">
        <f>AND(#REF!,"AAAAAFNuaXM=")</f>
        <v>#REF!</v>
      </c>
      <c r="DM447" t="e">
        <f>AND(#REF!,"AAAAAFNuaXQ=")</f>
        <v>#REF!</v>
      </c>
      <c r="DN447" t="e">
        <f>IF(#REF!,"AAAAAFNuaXU=",0)</f>
        <v>#REF!</v>
      </c>
      <c r="DO447" t="e">
        <f>AND(#REF!,"AAAAAFNuaXY=")</f>
        <v>#REF!</v>
      </c>
      <c r="DP447" t="e">
        <f>AND(#REF!,"AAAAAFNuaXc=")</f>
        <v>#REF!</v>
      </c>
      <c r="DQ447" t="e">
        <f>AND(#REF!,"AAAAAFNuaXg=")</f>
        <v>#REF!</v>
      </c>
      <c r="DR447" t="e">
        <f>AND(#REF!,"AAAAAFNuaXk=")</f>
        <v>#REF!</v>
      </c>
      <c r="DS447" t="e">
        <f>AND(#REF!,"AAAAAFNuaXo=")</f>
        <v>#REF!</v>
      </c>
      <c r="DT447" t="e">
        <f>AND(#REF!,"AAAAAFNuaXs=")</f>
        <v>#REF!</v>
      </c>
      <c r="DU447" t="e">
        <f>AND(#REF!,"AAAAAFNuaXw=")</f>
        <v>#REF!</v>
      </c>
      <c r="DV447" t="e">
        <f>AND(#REF!,"AAAAAFNuaX0=")</f>
        <v>#REF!</v>
      </c>
      <c r="DW447" t="e">
        <f>AND(#REF!,"AAAAAFNuaX4=")</f>
        <v>#REF!</v>
      </c>
      <c r="DX447" t="e">
        <f>AND(#REF!,"AAAAAFNuaX8=")</f>
        <v>#REF!</v>
      </c>
      <c r="DY447" t="e">
        <f>IF(#REF!,"AAAAAFNuaYA=",0)</f>
        <v>#REF!</v>
      </c>
      <c r="DZ447" t="e">
        <f>AND(#REF!,"AAAAAFNuaYE=")</f>
        <v>#REF!</v>
      </c>
      <c r="EA447" t="e">
        <f>AND(#REF!,"AAAAAFNuaYI=")</f>
        <v>#REF!</v>
      </c>
      <c r="EB447" t="e">
        <f>AND(#REF!,"AAAAAFNuaYM=")</f>
        <v>#REF!</v>
      </c>
      <c r="EC447" t="e">
        <f>AND(#REF!,"AAAAAFNuaYQ=")</f>
        <v>#REF!</v>
      </c>
      <c r="ED447" t="e">
        <f>AND(#REF!,"AAAAAFNuaYU=")</f>
        <v>#REF!</v>
      </c>
      <c r="EE447" t="e">
        <f>AND(#REF!,"AAAAAFNuaYY=")</f>
        <v>#REF!</v>
      </c>
      <c r="EF447" t="e">
        <f>AND(#REF!,"AAAAAFNuaYc=")</f>
        <v>#REF!</v>
      </c>
      <c r="EG447" t="e">
        <f>AND(#REF!,"AAAAAFNuaYg=")</f>
        <v>#REF!</v>
      </c>
      <c r="EH447" t="e">
        <f>AND(#REF!,"AAAAAFNuaYk=")</f>
        <v>#REF!</v>
      </c>
      <c r="EI447" t="e">
        <f>AND(#REF!,"AAAAAFNuaYo=")</f>
        <v>#REF!</v>
      </c>
      <c r="EJ447" t="e">
        <f>IF(#REF!,"AAAAAFNuaYs=",0)</f>
        <v>#REF!</v>
      </c>
      <c r="EK447" t="e">
        <f>AND(#REF!,"AAAAAFNuaYw=")</f>
        <v>#REF!</v>
      </c>
      <c r="EL447" t="e">
        <f>AND(#REF!,"AAAAAFNuaY0=")</f>
        <v>#REF!</v>
      </c>
      <c r="EM447" t="e">
        <f>AND(#REF!,"AAAAAFNuaY4=")</f>
        <v>#REF!</v>
      </c>
      <c r="EN447" t="e">
        <f>AND(#REF!,"AAAAAFNuaY8=")</f>
        <v>#REF!</v>
      </c>
      <c r="EO447" t="e">
        <f>AND(#REF!,"AAAAAFNuaZA=")</f>
        <v>#REF!</v>
      </c>
      <c r="EP447" t="e">
        <f>AND(#REF!,"AAAAAFNuaZE=")</f>
        <v>#REF!</v>
      </c>
      <c r="EQ447" t="e">
        <f>AND(#REF!,"AAAAAFNuaZI=")</f>
        <v>#REF!</v>
      </c>
      <c r="ER447" t="e">
        <f>AND(#REF!,"AAAAAFNuaZM=")</f>
        <v>#REF!</v>
      </c>
      <c r="ES447" t="e">
        <f>AND(#REF!,"AAAAAFNuaZQ=")</f>
        <v>#REF!</v>
      </c>
      <c r="ET447" t="e">
        <f>AND(#REF!,"AAAAAFNuaZU=")</f>
        <v>#REF!</v>
      </c>
      <c r="EU447" t="e">
        <f>IF(#REF!,"AAAAAFNuaZY=",0)</f>
        <v>#REF!</v>
      </c>
      <c r="EV447" t="e">
        <f>AND(#REF!,"AAAAAFNuaZc=")</f>
        <v>#REF!</v>
      </c>
      <c r="EW447" t="e">
        <f>AND(#REF!,"AAAAAFNuaZg=")</f>
        <v>#REF!</v>
      </c>
      <c r="EX447" t="e">
        <f>AND(#REF!,"AAAAAFNuaZk=")</f>
        <v>#REF!</v>
      </c>
      <c r="EY447" t="e">
        <f>AND(#REF!,"AAAAAFNuaZo=")</f>
        <v>#REF!</v>
      </c>
      <c r="EZ447" t="e">
        <f>AND(#REF!,"AAAAAFNuaZs=")</f>
        <v>#REF!</v>
      </c>
      <c r="FA447" t="e">
        <f>AND(#REF!,"AAAAAFNuaZw=")</f>
        <v>#REF!</v>
      </c>
      <c r="FB447" t="e">
        <f>AND(#REF!,"AAAAAFNuaZ0=")</f>
        <v>#REF!</v>
      </c>
      <c r="FC447" t="e">
        <f>AND(#REF!,"AAAAAFNuaZ4=")</f>
        <v>#REF!</v>
      </c>
      <c r="FD447" t="e">
        <f>AND(#REF!,"AAAAAFNuaZ8=")</f>
        <v>#REF!</v>
      </c>
      <c r="FE447" t="e">
        <f>AND(#REF!,"AAAAAFNuaaA=")</f>
        <v>#REF!</v>
      </c>
      <c r="FF447" t="e">
        <f>IF(#REF!,"AAAAAFNuaaE=",0)</f>
        <v>#REF!</v>
      </c>
      <c r="FG447" t="e">
        <f>AND(#REF!,"AAAAAFNuaaI=")</f>
        <v>#REF!</v>
      </c>
      <c r="FH447" t="e">
        <f>AND(#REF!,"AAAAAFNuaaM=")</f>
        <v>#REF!</v>
      </c>
      <c r="FI447" t="e">
        <f>AND(#REF!,"AAAAAFNuaaQ=")</f>
        <v>#REF!</v>
      </c>
      <c r="FJ447" t="e">
        <f>AND(#REF!,"AAAAAFNuaaU=")</f>
        <v>#REF!</v>
      </c>
      <c r="FK447" t="e">
        <f>AND(#REF!,"AAAAAFNuaaY=")</f>
        <v>#REF!</v>
      </c>
      <c r="FL447" t="e">
        <f>AND(#REF!,"AAAAAFNuaac=")</f>
        <v>#REF!</v>
      </c>
      <c r="FM447" t="e">
        <f>AND(#REF!,"AAAAAFNuaag=")</f>
        <v>#REF!</v>
      </c>
      <c r="FN447" t="e">
        <f>AND(#REF!,"AAAAAFNuaak=")</f>
        <v>#REF!</v>
      </c>
      <c r="FO447" t="e">
        <f>AND(#REF!,"AAAAAFNuaao=")</f>
        <v>#REF!</v>
      </c>
      <c r="FP447" t="e">
        <f>AND(#REF!,"AAAAAFNuaas=")</f>
        <v>#REF!</v>
      </c>
      <c r="FQ447" t="e">
        <f>IF(#REF!,"AAAAAFNuaaw=",0)</f>
        <v>#REF!</v>
      </c>
      <c r="FR447" t="e">
        <f>AND(#REF!,"AAAAAFNuaa0=")</f>
        <v>#REF!</v>
      </c>
      <c r="FS447" t="e">
        <f>AND(#REF!,"AAAAAFNuaa4=")</f>
        <v>#REF!</v>
      </c>
      <c r="FT447" t="e">
        <f>AND(#REF!,"AAAAAFNuaa8=")</f>
        <v>#REF!</v>
      </c>
      <c r="FU447" t="e">
        <f>AND(#REF!,"AAAAAFNuabA=")</f>
        <v>#REF!</v>
      </c>
      <c r="FV447" t="e">
        <f>AND(#REF!,"AAAAAFNuabE=")</f>
        <v>#REF!</v>
      </c>
      <c r="FW447" t="e">
        <f>AND(#REF!,"AAAAAFNuabI=")</f>
        <v>#REF!</v>
      </c>
      <c r="FX447" t="e">
        <f>AND(#REF!,"AAAAAFNuabM=")</f>
        <v>#REF!</v>
      </c>
      <c r="FY447" t="e">
        <f>AND(#REF!,"AAAAAFNuabQ=")</f>
        <v>#REF!</v>
      </c>
      <c r="FZ447" t="e">
        <f>AND(#REF!,"AAAAAFNuabU=")</f>
        <v>#REF!</v>
      </c>
      <c r="GA447" t="e">
        <f>AND(#REF!,"AAAAAFNuabY=")</f>
        <v>#REF!</v>
      </c>
      <c r="GB447" t="e">
        <f>IF(#REF!,"AAAAAFNuabc=",0)</f>
        <v>#REF!</v>
      </c>
      <c r="GC447" t="e">
        <f>AND(#REF!,"AAAAAFNuabg=")</f>
        <v>#REF!</v>
      </c>
      <c r="GD447" t="e">
        <f>AND(#REF!,"AAAAAFNuabk=")</f>
        <v>#REF!</v>
      </c>
      <c r="GE447" t="e">
        <f>AND(#REF!,"AAAAAFNuabo=")</f>
        <v>#REF!</v>
      </c>
      <c r="GF447" t="e">
        <f>AND(#REF!,"AAAAAFNuabs=")</f>
        <v>#REF!</v>
      </c>
      <c r="GG447" t="e">
        <f>AND(#REF!,"AAAAAFNuabw=")</f>
        <v>#REF!</v>
      </c>
      <c r="GH447" t="e">
        <f>AND(#REF!,"AAAAAFNuab0=")</f>
        <v>#REF!</v>
      </c>
      <c r="GI447" t="e">
        <f>AND(#REF!,"AAAAAFNuab4=")</f>
        <v>#REF!</v>
      </c>
      <c r="GJ447" t="e">
        <f>AND(#REF!,"AAAAAFNuab8=")</f>
        <v>#REF!</v>
      </c>
      <c r="GK447" t="e">
        <f>AND(#REF!,"AAAAAFNuacA=")</f>
        <v>#REF!</v>
      </c>
      <c r="GL447" t="e">
        <f>AND(#REF!,"AAAAAFNuacE=")</f>
        <v>#REF!</v>
      </c>
      <c r="GM447" t="e">
        <f>IF(#REF!,"AAAAAFNuacI=",0)</f>
        <v>#REF!</v>
      </c>
      <c r="GN447" t="e">
        <f>AND(#REF!,"AAAAAFNuacM=")</f>
        <v>#REF!</v>
      </c>
      <c r="GO447" t="e">
        <f>AND(#REF!,"AAAAAFNuacQ=")</f>
        <v>#REF!</v>
      </c>
      <c r="GP447" t="e">
        <f>AND(#REF!,"AAAAAFNuacU=")</f>
        <v>#REF!</v>
      </c>
      <c r="GQ447" t="e">
        <f>AND(#REF!,"AAAAAFNuacY=")</f>
        <v>#REF!</v>
      </c>
      <c r="GR447" t="e">
        <f>AND(#REF!,"AAAAAFNuacc=")</f>
        <v>#REF!</v>
      </c>
      <c r="GS447" t="e">
        <f>AND(#REF!,"AAAAAFNuacg=")</f>
        <v>#REF!</v>
      </c>
      <c r="GT447" t="e">
        <f>AND(#REF!,"AAAAAFNuack=")</f>
        <v>#REF!</v>
      </c>
      <c r="GU447" t="e">
        <f>AND(#REF!,"AAAAAFNuaco=")</f>
        <v>#REF!</v>
      </c>
      <c r="GV447" t="e">
        <f>AND(#REF!,"AAAAAFNuacs=")</f>
        <v>#REF!</v>
      </c>
      <c r="GW447" t="e">
        <f>AND(#REF!,"AAAAAFNuacw=")</f>
        <v>#REF!</v>
      </c>
      <c r="GX447" t="e">
        <f>IF(#REF!,"AAAAAFNuac0=",0)</f>
        <v>#REF!</v>
      </c>
      <c r="GY447" t="e">
        <f>AND(#REF!,"AAAAAFNuac4=")</f>
        <v>#REF!</v>
      </c>
      <c r="GZ447" t="e">
        <f>AND(#REF!,"AAAAAFNuac8=")</f>
        <v>#REF!</v>
      </c>
      <c r="HA447" t="e">
        <f>AND(#REF!,"AAAAAFNuadA=")</f>
        <v>#REF!</v>
      </c>
      <c r="HB447" t="e">
        <f>AND(#REF!,"AAAAAFNuadE=")</f>
        <v>#REF!</v>
      </c>
      <c r="HC447" t="e">
        <f>AND(#REF!,"AAAAAFNuadI=")</f>
        <v>#REF!</v>
      </c>
      <c r="HD447" t="e">
        <f>AND(#REF!,"AAAAAFNuadM=")</f>
        <v>#REF!</v>
      </c>
      <c r="HE447" t="e">
        <f>AND(#REF!,"AAAAAFNuadQ=")</f>
        <v>#REF!</v>
      </c>
      <c r="HF447" t="e">
        <f>AND(#REF!,"AAAAAFNuadU=")</f>
        <v>#REF!</v>
      </c>
      <c r="HG447" t="e">
        <f>AND(#REF!,"AAAAAFNuadY=")</f>
        <v>#REF!</v>
      </c>
      <c r="HH447" t="e">
        <f>AND(#REF!,"AAAAAFNuadc=")</f>
        <v>#REF!</v>
      </c>
      <c r="HI447" t="e">
        <f>IF(#REF!,"AAAAAFNuadg=",0)</f>
        <v>#REF!</v>
      </c>
      <c r="HJ447" t="e">
        <f>AND(#REF!,"AAAAAFNuadk=")</f>
        <v>#REF!</v>
      </c>
      <c r="HK447" t="e">
        <f>AND(#REF!,"AAAAAFNuado=")</f>
        <v>#REF!</v>
      </c>
      <c r="HL447" t="e">
        <f>AND(#REF!,"AAAAAFNuads=")</f>
        <v>#REF!</v>
      </c>
      <c r="HM447" t="e">
        <f>AND(#REF!,"AAAAAFNuadw=")</f>
        <v>#REF!</v>
      </c>
      <c r="HN447" t="e">
        <f>AND(#REF!,"AAAAAFNuad0=")</f>
        <v>#REF!</v>
      </c>
      <c r="HO447" t="e">
        <f>AND(#REF!,"AAAAAFNuad4=")</f>
        <v>#REF!</v>
      </c>
      <c r="HP447" t="e">
        <f>AND(#REF!,"AAAAAFNuad8=")</f>
        <v>#REF!</v>
      </c>
      <c r="HQ447" t="e">
        <f>AND(#REF!,"AAAAAFNuaeA=")</f>
        <v>#REF!</v>
      </c>
      <c r="HR447" t="e">
        <f>AND(#REF!,"AAAAAFNuaeE=")</f>
        <v>#REF!</v>
      </c>
      <c r="HS447" t="e">
        <f>AND(#REF!,"AAAAAFNuaeI=")</f>
        <v>#REF!</v>
      </c>
      <c r="HT447" t="e">
        <f>IF(#REF!,"AAAAAFNuaeM=",0)</f>
        <v>#REF!</v>
      </c>
      <c r="HU447" t="e">
        <f>AND(#REF!,"AAAAAFNuaeQ=")</f>
        <v>#REF!</v>
      </c>
      <c r="HV447" t="e">
        <f>AND(#REF!,"AAAAAFNuaeU=")</f>
        <v>#REF!</v>
      </c>
      <c r="HW447" t="e">
        <f>AND(#REF!,"AAAAAFNuaeY=")</f>
        <v>#REF!</v>
      </c>
      <c r="HX447" t="e">
        <f>AND(#REF!,"AAAAAFNuaec=")</f>
        <v>#REF!</v>
      </c>
      <c r="HY447" t="e">
        <f>AND(#REF!,"AAAAAFNuaeg=")</f>
        <v>#REF!</v>
      </c>
      <c r="HZ447" t="e">
        <f>AND(#REF!,"AAAAAFNuaek=")</f>
        <v>#REF!</v>
      </c>
      <c r="IA447" t="e">
        <f>AND(#REF!,"AAAAAFNuaeo=")</f>
        <v>#REF!</v>
      </c>
      <c r="IB447" t="e">
        <f>AND(#REF!,"AAAAAFNuaes=")</f>
        <v>#REF!</v>
      </c>
      <c r="IC447" t="e">
        <f>AND(#REF!,"AAAAAFNuaew=")</f>
        <v>#REF!</v>
      </c>
      <c r="ID447" t="e">
        <f>AND(#REF!,"AAAAAFNuae0=")</f>
        <v>#REF!</v>
      </c>
      <c r="IE447" t="e">
        <f>IF(#REF!,"AAAAAFNuae4=",0)</f>
        <v>#REF!</v>
      </c>
      <c r="IF447" t="e">
        <f>AND(#REF!,"AAAAAFNuae8=")</f>
        <v>#REF!</v>
      </c>
      <c r="IG447" t="e">
        <f>AND(#REF!,"AAAAAFNuafA=")</f>
        <v>#REF!</v>
      </c>
      <c r="IH447" t="e">
        <f>AND(#REF!,"AAAAAFNuafE=")</f>
        <v>#REF!</v>
      </c>
      <c r="II447" t="e">
        <f>AND(#REF!,"AAAAAFNuafI=")</f>
        <v>#REF!</v>
      </c>
      <c r="IJ447" t="e">
        <f>AND(#REF!,"AAAAAFNuafM=")</f>
        <v>#REF!</v>
      </c>
      <c r="IK447" t="e">
        <f>AND(#REF!,"AAAAAFNuafQ=")</f>
        <v>#REF!</v>
      </c>
      <c r="IL447" t="e">
        <f>AND(#REF!,"AAAAAFNuafU=")</f>
        <v>#REF!</v>
      </c>
      <c r="IM447" t="e">
        <f>AND(#REF!,"AAAAAFNuafY=")</f>
        <v>#REF!</v>
      </c>
      <c r="IN447" t="e">
        <f>AND(#REF!,"AAAAAFNuafc=")</f>
        <v>#REF!</v>
      </c>
      <c r="IO447" t="e">
        <f>AND(#REF!,"AAAAAFNuafg=")</f>
        <v>#REF!</v>
      </c>
      <c r="IP447" t="e">
        <f>IF(#REF!,"AAAAAFNuafk=",0)</f>
        <v>#REF!</v>
      </c>
      <c r="IQ447" t="e">
        <f>AND(#REF!,"AAAAAFNuafo=")</f>
        <v>#REF!</v>
      </c>
      <c r="IR447" t="e">
        <f>AND(#REF!,"AAAAAFNuafs=")</f>
        <v>#REF!</v>
      </c>
      <c r="IS447" t="e">
        <f>AND(#REF!,"AAAAAFNuafw=")</f>
        <v>#REF!</v>
      </c>
      <c r="IT447" t="e">
        <f>AND(#REF!,"AAAAAFNuaf0=")</f>
        <v>#REF!</v>
      </c>
      <c r="IU447" t="e">
        <f>AND(#REF!,"AAAAAFNuaf4=")</f>
        <v>#REF!</v>
      </c>
      <c r="IV447" t="e">
        <f>AND(#REF!,"AAAAAFNuaf8=")</f>
        <v>#REF!</v>
      </c>
    </row>
    <row r="448" spans="1:256" x14ac:dyDescent="0.25">
      <c r="A448" t="e">
        <f>AND(#REF!,"AAAAAD6zawA=")</f>
        <v>#REF!</v>
      </c>
      <c r="B448" t="e">
        <f>AND(#REF!,"AAAAAD6zawE=")</f>
        <v>#REF!</v>
      </c>
      <c r="C448" t="e">
        <f>AND(#REF!,"AAAAAD6zawI=")</f>
        <v>#REF!</v>
      </c>
      <c r="D448" t="e">
        <f>AND(#REF!,"AAAAAD6zawM=")</f>
        <v>#REF!</v>
      </c>
      <c r="E448" t="e">
        <f>IF(#REF!,"AAAAAD6zawQ=",0)</f>
        <v>#REF!</v>
      </c>
      <c r="F448" t="e">
        <f>AND(#REF!,"AAAAAD6zawU=")</f>
        <v>#REF!</v>
      </c>
      <c r="G448" t="e">
        <f>AND(#REF!,"AAAAAD6zawY=")</f>
        <v>#REF!</v>
      </c>
      <c r="H448" t="e">
        <f>AND(#REF!,"AAAAAD6zawc=")</f>
        <v>#REF!</v>
      </c>
      <c r="I448" t="e">
        <f>AND(#REF!,"AAAAAD6zawg=")</f>
        <v>#REF!</v>
      </c>
      <c r="J448" t="e">
        <f>AND(#REF!,"AAAAAD6zawk=")</f>
        <v>#REF!</v>
      </c>
      <c r="K448" t="e">
        <f>AND(#REF!,"AAAAAD6zawo=")</f>
        <v>#REF!</v>
      </c>
      <c r="L448" t="e">
        <f>AND(#REF!,"AAAAAD6zaws=")</f>
        <v>#REF!</v>
      </c>
      <c r="M448" t="e">
        <f>AND(#REF!,"AAAAAD6zaww=")</f>
        <v>#REF!</v>
      </c>
      <c r="N448" t="e">
        <f>AND(#REF!,"AAAAAD6zaw0=")</f>
        <v>#REF!</v>
      </c>
      <c r="O448" t="e">
        <f>AND(#REF!,"AAAAAD6zaw4=")</f>
        <v>#REF!</v>
      </c>
      <c r="P448" t="e">
        <f>IF(#REF!,"AAAAAD6zaw8=",0)</f>
        <v>#REF!</v>
      </c>
      <c r="Q448" t="e">
        <f>AND(#REF!,"AAAAAD6zaxA=")</f>
        <v>#REF!</v>
      </c>
      <c r="R448" t="e">
        <f>AND(#REF!,"AAAAAD6zaxE=")</f>
        <v>#REF!</v>
      </c>
      <c r="S448" t="e">
        <f>AND(#REF!,"AAAAAD6zaxI=")</f>
        <v>#REF!</v>
      </c>
      <c r="T448" t="e">
        <f>AND(#REF!,"AAAAAD6zaxM=")</f>
        <v>#REF!</v>
      </c>
      <c r="U448" t="e">
        <f>AND(#REF!,"AAAAAD6zaxQ=")</f>
        <v>#REF!</v>
      </c>
      <c r="V448" t="e">
        <f>AND(#REF!,"AAAAAD6zaxU=")</f>
        <v>#REF!</v>
      </c>
      <c r="W448" t="e">
        <f>AND(#REF!,"AAAAAD6zaxY=")</f>
        <v>#REF!</v>
      </c>
      <c r="X448" t="e">
        <f>AND(#REF!,"AAAAAD6zaxc=")</f>
        <v>#REF!</v>
      </c>
      <c r="Y448" t="e">
        <f>AND(#REF!,"AAAAAD6zaxg=")</f>
        <v>#REF!</v>
      </c>
      <c r="Z448" t="e">
        <f>AND(#REF!,"AAAAAD6zaxk=")</f>
        <v>#REF!</v>
      </c>
      <c r="AA448" t="e">
        <f>IF(#REF!,"AAAAAD6zaxo=",0)</f>
        <v>#REF!</v>
      </c>
      <c r="AB448" t="e">
        <f>AND(#REF!,"AAAAAD6zaxs=")</f>
        <v>#REF!</v>
      </c>
      <c r="AC448" t="e">
        <f>AND(#REF!,"AAAAAD6zaxw=")</f>
        <v>#REF!</v>
      </c>
      <c r="AD448" t="e">
        <f>AND(#REF!,"AAAAAD6zax0=")</f>
        <v>#REF!</v>
      </c>
      <c r="AE448" t="e">
        <f>AND(#REF!,"AAAAAD6zax4=")</f>
        <v>#REF!</v>
      </c>
      <c r="AF448" t="e">
        <f>AND(#REF!,"AAAAAD6zax8=")</f>
        <v>#REF!</v>
      </c>
      <c r="AG448" t="e">
        <f>AND(#REF!,"AAAAAD6zayA=")</f>
        <v>#REF!</v>
      </c>
      <c r="AH448" t="e">
        <f>AND(#REF!,"AAAAAD6zayE=")</f>
        <v>#REF!</v>
      </c>
      <c r="AI448" t="e">
        <f>AND(#REF!,"AAAAAD6zayI=")</f>
        <v>#REF!</v>
      </c>
      <c r="AJ448" t="e">
        <f>AND(#REF!,"AAAAAD6zayM=")</f>
        <v>#REF!</v>
      </c>
      <c r="AK448" t="e">
        <f>AND(#REF!,"AAAAAD6zayQ=")</f>
        <v>#REF!</v>
      </c>
      <c r="AL448" t="e">
        <f>IF(#REF!,"AAAAAD6zayU=",0)</f>
        <v>#REF!</v>
      </c>
      <c r="AM448" t="e">
        <f>AND(#REF!,"AAAAAD6zayY=")</f>
        <v>#REF!</v>
      </c>
      <c r="AN448" t="e">
        <f>AND(#REF!,"AAAAAD6zayc=")</f>
        <v>#REF!</v>
      </c>
      <c r="AO448" t="e">
        <f>AND(#REF!,"AAAAAD6zayg=")</f>
        <v>#REF!</v>
      </c>
      <c r="AP448" t="e">
        <f>AND(#REF!,"AAAAAD6zayk=")</f>
        <v>#REF!</v>
      </c>
      <c r="AQ448" t="e">
        <f>AND(#REF!,"AAAAAD6zayo=")</f>
        <v>#REF!</v>
      </c>
      <c r="AR448" t="e">
        <f>AND(#REF!,"AAAAAD6zays=")</f>
        <v>#REF!</v>
      </c>
      <c r="AS448" t="e">
        <f>AND(#REF!,"AAAAAD6zayw=")</f>
        <v>#REF!</v>
      </c>
      <c r="AT448" t="e">
        <f>AND(#REF!,"AAAAAD6zay0=")</f>
        <v>#REF!</v>
      </c>
      <c r="AU448" t="e">
        <f>AND(#REF!,"AAAAAD6zay4=")</f>
        <v>#REF!</v>
      </c>
      <c r="AV448" t="e">
        <f>AND(#REF!,"AAAAAD6zay8=")</f>
        <v>#REF!</v>
      </c>
      <c r="AW448" t="e">
        <f>IF(#REF!,"AAAAAD6zazA=",0)</f>
        <v>#REF!</v>
      </c>
      <c r="AX448" t="e">
        <f>AND(#REF!,"AAAAAD6zazE=")</f>
        <v>#REF!</v>
      </c>
      <c r="AY448" t="e">
        <f>AND(#REF!,"AAAAAD6zazI=")</f>
        <v>#REF!</v>
      </c>
      <c r="AZ448" t="e">
        <f>AND(#REF!,"AAAAAD6zazM=")</f>
        <v>#REF!</v>
      </c>
      <c r="BA448" t="e">
        <f>AND(#REF!,"AAAAAD6zazQ=")</f>
        <v>#REF!</v>
      </c>
      <c r="BB448" t="e">
        <f>AND(#REF!,"AAAAAD6zazU=")</f>
        <v>#REF!</v>
      </c>
      <c r="BC448" t="e">
        <f>AND(#REF!,"AAAAAD6zazY=")</f>
        <v>#REF!</v>
      </c>
      <c r="BD448" t="e">
        <f>AND(#REF!,"AAAAAD6zazc=")</f>
        <v>#REF!</v>
      </c>
      <c r="BE448" t="e">
        <f>AND(#REF!,"AAAAAD6zazg=")</f>
        <v>#REF!</v>
      </c>
      <c r="BF448" t="e">
        <f>AND(#REF!,"AAAAAD6zazk=")</f>
        <v>#REF!</v>
      </c>
      <c r="BG448" t="e">
        <f>AND(#REF!,"AAAAAD6zazo=")</f>
        <v>#REF!</v>
      </c>
      <c r="BH448" t="e">
        <f>IF(#REF!,"AAAAAD6zazs=",0)</f>
        <v>#REF!</v>
      </c>
      <c r="BI448" t="e">
        <f>AND(#REF!,"AAAAAD6zazw=")</f>
        <v>#REF!</v>
      </c>
      <c r="BJ448" t="e">
        <f>AND(#REF!,"AAAAAD6zaz0=")</f>
        <v>#REF!</v>
      </c>
      <c r="BK448" t="e">
        <f>AND(#REF!,"AAAAAD6zaz4=")</f>
        <v>#REF!</v>
      </c>
      <c r="BL448" t="e">
        <f>AND(#REF!,"AAAAAD6zaz8=")</f>
        <v>#REF!</v>
      </c>
      <c r="BM448" t="e">
        <f>AND(#REF!,"AAAAAD6za0A=")</f>
        <v>#REF!</v>
      </c>
      <c r="BN448" t="e">
        <f>AND(#REF!,"AAAAAD6za0E=")</f>
        <v>#REF!</v>
      </c>
      <c r="BO448" t="e">
        <f>AND(#REF!,"AAAAAD6za0I=")</f>
        <v>#REF!</v>
      </c>
      <c r="BP448" t="e">
        <f>AND(#REF!,"AAAAAD6za0M=")</f>
        <v>#REF!</v>
      </c>
      <c r="BQ448" t="e">
        <f>AND(#REF!,"AAAAAD6za0Q=")</f>
        <v>#REF!</v>
      </c>
      <c r="BR448" t="e">
        <f>AND(#REF!,"AAAAAD6za0U=")</f>
        <v>#REF!</v>
      </c>
      <c r="BS448" t="e">
        <f>IF(#REF!,"AAAAAD6za0Y=",0)</f>
        <v>#REF!</v>
      </c>
      <c r="BT448" t="e">
        <f>AND(#REF!,"AAAAAD6za0c=")</f>
        <v>#REF!</v>
      </c>
      <c r="BU448" t="e">
        <f>AND(#REF!,"AAAAAD6za0g=")</f>
        <v>#REF!</v>
      </c>
      <c r="BV448" t="e">
        <f>AND(#REF!,"AAAAAD6za0k=")</f>
        <v>#REF!</v>
      </c>
      <c r="BW448" t="e">
        <f>AND(#REF!,"AAAAAD6za0o=")</f>
        <v>#REF!</v>
      </c>
      <c r="BX448" t="e">
        <f>AND(#REF!,"AAAAAD6za0s=")</f>
        <v>#REF!</v>
      </c>
      <c r="BY448" t="e">
        <f>AND(#REF!,"AAAAAD6za0w=")</f>
        <v>#REF!</v>
      </c>
      <c r="BZ448" t="e">
        <f>AND(#REF!,"AAAAAD6za00=")</f>
        <v>#REF!</v>
      </c>
      <c r="CA448" t="e">
        <f>AND(#REF!,"AAAAAD6za04=")</f>
        <v>#REF!</v>
      </c>
      <c r="CB448" t="e">
        <f>AND(#REF!,"AAAAAD6za08=")</f>
        <v>#REF!</v>
      </c>
      <c r="CC448" t="e">
        <f>AND(#REF!,"AAAAAD6za1A=")</f>
        <v>#REF!</v>
      </c>
      <c r="CD448" t="e">
        <f>IF(#REF!,"AAAAAD6za1E=",0)</f>
        <v>#REF!</v>
      </c>
      <c r="CE448" t="e">
        <f>AND(#REF!,"AAAAAD6za1I=")</f>
        <v>#REF!</v>
      </c>
      <c r="CF448" t="e">
        <f>AND(#REF!,"AAAAAD6za1M=")</f>
        <v>#REF!</v>
      </c>
      <c r="CG448" t="e">
        <f>AND(#REF!,"AAAAAD6za1Q=")</f>
        <v>#REF!</v>
      </c>
      <c r="CH448" t="e">
        <f>AND(#REF!,"AAAAAD6za1U=")</f>
        <v>#REF!</v>
      </c>
      <c r="CI448" t="e">
        <f>AND(#REF!,"AAAAAD6za1Y=")</f>
        <v>#REF!</v>
      </c>
      <c r="CJ448" t="e">
        <f>AND(#REF!,"AAAAAD6za1c=")</f>
        <v>#REF!</v>
      </c>
      <c r="CK448" t="e">
        <f>AND(#REF!,"AAAAAD6za1g=")</f>
        <v>#REF!</v>
      </c>
      <c r="CL448" t="e">
        <f>AND(#REF!,"AAAAAD6za1k=")</f>
        <v>#REF!</v>
      </c>
      <c r="CM448" t="e">
        <f>AND(#REF!,"AAAAAD6za1o=")</f>
        <v>#REF!</v>
      </c>
      <c r="CN448" t="e">
        <f>AND(#REF!,"AAAAAD6za1s=")</f>
        <v>#REF!</v>
      </c>
      <c r="CO448" t="e">
        <f>IF(#REF!,"AAAAAD6za1w=",0)</f>
        <v>#REF!</v>
      </c>
      <c r="CP448" t="e">
        <f>AND(#REF!,"AAAAAD6za10=")</f>
        <v>#REF!</v>
      </c>
      <c r="CQ448" t="e">
        <f>AND(#REF!,"AAAAAD6za14=")</f>
        <v>#REF!</v>
      </c>
      <c r="CR448" t="e">
        <f>AND(#REF!,"AAAAAD6za18=")</f>
        <v>#REF!</v>
      </c>
      <c r="CS448" t="e">
        <f>AND(#REF!,"AAAAAD6za2A=")</f>
        <v>#REF!</v>
      </c>
      <c r="CT448" t="e">
        <f>AND(#REF!,"AAAAAD6za2E=")</f>
        <v>#REF!</v>
      </c>
      <c r="CU448" t="e">
        <f>AND(#REF!,"AAAAAD6za2I=")</f>
        <v>#REF!</v>
      </c>
      <c r="CV448" t="e">
        <f>AND(#REF!,"AAAAAD6za2M=")</f>
        <v>#REF!</v>
      </c>
      <c r="CW448" t="e">
        <f>AND(#REF!,"AAAAAD6za2Q=")</f>
        <v>#REF!</v>
      </c>
      <c r="CX448" t="e">
        <f>AND(#REF!,"AAAAAD6za2U=")</f>
        <v>#REF!</v>
      </c>
      <c r="CY448" t="e">
        <f>AND(#REF!,"AAAAAD6za2Y=")</f>
        <v>#REF!</v>
      </c>
      <c r="CZ448" t="e">
        <f>IF(#REF!,"AAAAAD6za2c=",0)</f>
        <v>#REF!</v>
      </c>
      <c r="DA448" t="e">
        <f>AND(#REF!,"AAAAAD6za2g=")</f>
        <v>#REF!</v>
      </c>
      <c r="DB448" t="e">
        <f>AND(#REF!,"AAAAAD6za2k=")</f>
        <v>#REF!</v>
      </c>
      <c r="DC448" t="e">
        <f>AND(#REF!,"AAAAAD6za2o=")</f>
        <v>#REF!</v>
      </c>
      <c r="DD448" t="e">
        <f>AND(#REF!,"AAAAAD6za2s=")</f>
        <v>#REF!</v>
      </c>
      <c r="DE448" t="e">
        <f>AND(#REF!,"AAAAAD6za2w=")</f>
        <v>#REF!</v>
      </c>
      <c r="DF448" t="e">
        <f>AND(#REF!,"AAAAAD6za20=")</f>
        <v>#REF!</v>
      </c>
      <c r="DG448" t="e">
        <f>AND(#REF!,"AAAAAD6za24=")</f>
        <v>#REF!</v>
      </c>
      <c r="DH448" t="e">
        <f>AND(#REF!,"AAAAAD6za28=")</f>
        <v>#REF!</v>
      </c>
      <c r="DI448" t="e">
        <f>AND(#REF!,"AAAAAD6za3A=")</f>
        <v>#REF!</v>
      </c>
      <c r="DJ448" t="e">
        <f>AND(#REF!,"AAAAAD6za3E=")</f>
        <v>#REF!</v>
      </c>
      <c r="DK448" t="e">
        <f>IF(#REF!,"AAAAAD6za3I=",0)</f>
        <v>#REF!</v>
      </c>
      <c r="DL448" t="e">
        <f>AND(#REF!,"AAAAAD6za3M=")</f>
        <v>#REF!</v>
      </c>
      <c r="DM448" t="e">
        <f>AND(#REF!,"AAAAAD6za3Q=")</f>
        <v>#REF!</v>
      </c>
      <c r="DN448" t="e">
        <f>AND(#REF!,"AAAAAD6za3U=")</f>
        <v>#REF!</v>
      </c>
      <c r="DO448" t="e">
        <f>AND(#REF!,"AAAAAD6za3Y=")</f>
        <v>#REF!</v>
      </c>
      <c r="DP448" t="e">
        <f>AND(#REF!,"AAAAAD6za3c=")</f>
        <v>#REF!</v>
      </c>
      <c r="DQ448" t="e">
        <f>AND(#REF!,"AAAAAD6za3g=")</f>
        <v>#REF!</v>
      </c>
      <c r="DR448" t="e">
        <f>AND(#REF!,"AAAAAD6za3k=")</f>
        <v>#REF!</v>
      </c>
      <c r="DS448" t="e">
        <f>AND(#REF!,"AAAAAD6za3o=")</f>
        <v>#REF!</v>
      </c>
      <c r="DT448" t="e">
        <f>AND(#REF!,"AAAAAD6za3s=")</f>
        <v>#REF!</v>
      </c>
      <c r="DU448" t="e">
        <f>AND(#REF!,"AAAAAD6za3w=")</f>
        <v>#REF!</v>
      </c>
      <c r="DV448" t="e">
        <f>IF(#REF!,"AAAAAD6za30=",0)</f>
        <v>#REF!</v>
      </c>
      <c r="DW448" t="e">
        <f>AND(#REF!,"AAAAAD6za34=")</f>
        <v>#REF!</v>
      </c>
      <c r="DX448" t="e">
        <f>AND(#REF!,"AAAAAD6za38=")</f>
        <v>#REF!</v>
      </c>
      <c r="DY448" t="e">
        <f>AND(#REF!,"AAAAAD6za4A=")</f>
        <v>#REF!</v>
      </c>
      <c r="DZ448" t="e">
        <f>AND(#REF!,"AAAAAD6za4E=")</f>
        <v>#REF!</v>
      </c>
      <c r="EA448" t="e">
        <f>AND(#REF!,"AAAAAD6za4I=")</f>
        <v>#REF!</v>
      </c>
      <c r="EB448" t="e">
        <f>AND(#REF!,"AAAAAD6za4M=")</f>
        <v>#REF!</v>
      </c>
      <c r="EC448" t="e">
        <f>AND(#REF!,"AAAAAD6za4Q=")</f>
        <v>#REF!</v>
      </c>
      <c r="ED448" t="e">
        <f>AND(#REF!,"AAAAAD6za4U=")</f>
        <v>#REF!</v>
      </c>
      <c r="EE448" t="e">
        <f>AND(#REF!,"AAAAAD6za4Y=")</f>
        <v>#REF!</v>
      </c>
      <c r="EF448" t="e">
        <f>AND(#REF!,"AAAAAD6za4c=")</f>
        <v>#REF!</v>
      </c>
      <c r="EG448" t="e">
        <f>IF(#REF!,"AAAAAD6za4g=",0)</f>
        <v>#REF!</v>
      </c>
      <c r="EH448" t="e">
        <f>AND(#REF!,"AAAAAD6za4k=")</f>
        <v>#REF!</v>
      </c>
      <c r="EI448" t="e">
        <f>AND(#REF!,"AAAAAD6za4o=")</f>
        <v>#REF!</v>
      </c>
      <c r="EJ448" t="e">
        <f>AND(#REF!,"AAAAAD6za4s=")</f>
        <v>#REF!</v>
      </c>
      <c r="EK448" t="e">
        <f>AND(#REF!,"AAAAAD6za4w=")</f>
        <v>#REF!</v>
      </c>
      <c r="EL448" t="e">
        <f>AND(#REF!,"AAAAAD6za40=")</f>
        <v>#REF!</v>
      </c>
      <c r="EM448" t="e">
        <f>AND(#REF!,"AAAAAD6za44=")</f>
        <v>#REF!</v>
      </c>
      <c r="EN448" t="e">
        <f>AND(#REF!,"AAAAAD6za48=")</f>
        <v>#REF!</v>
      </c>
      <c r="EO448" t="e">
        <f>AND(#REF!,"AAAAAD6za5A=")</f>
        <v>#REF!</v>
      </c>
      <c r="EP448" t="e">
        <f>AND(#REF!,"AAAAAD6za5E=")</f>
        <v>#REF!</v>
      </c>
      <c r="EQ448" t="e">
        <f>AND(#REF!,"AAAAAD6za5I=")</f>
        <v>#REF!</v>
      </c>
      <c r="ER448" t="e">
        <f>IF(#REF!,"AAAAAD6za5M=",0)</f>
        <v>#REF!</v>
      </c>
      <c r="ES448" t="e">
        <f>AND(#REF!,"AAAAAD6za5Q=")</f>
        <v>#REF!</v>
      </c>
      <c r="ET448" t="e">
        <f>AND(#REF!,"AAAAAD6za5U=")</f>
        <v>#REF!</v>
      </c>
      <c r="EU448" t="e">
        <f>AND(#REF!,"AAAAAD6za5Y=")</f>
        <v>#REF!</v>
      </c>
      <c r="EV448" t="e">
        <f>AND(#REF!,"AAAAAD6za5c=")</f>
        <v>#REF!</v>
      </c>
      <c r="EW448" t="e">
        <f>AND(#REF!,"AAAAAD6za5g=")</f>
        <v>#REF!</v>
      </c>
      <c r="EX448" t="e">
        <f>AND(#REF!,"AAAAAD6za5k=")</f>
        <v>#REF!</v>
      </c>
      <c r="EY448" t="e">
        <f>AND(#REF!,"AAAAAD6za5o=")</f>
        <v>#REF!</v>
      </c>
      <c r="EZ448" t="e">
        <f>AND(#REF!,"AAAAAD6za5s=")</f>
        <v>#REF!</v>
      </c>
      <c r="FA448" t="e">
        <f>AND(#REF!,"AAAAAD6za5w=")</f>
        <v>#REF!</v>
      </c>
      <c r="FB448" t="e">
        <f>AND(#REF!,"AAAAAD6za50=")</f>
        <v>#REF!</v>
      </c>
      <c r="FC448" t="e">
        <f>IF(#REF!,"AAAAAD6za54=",0)</f>
        <v>#REF!</v>
      </c>
      <c r="FD448" t="e">
        <f>AND(#REF!,"AAAAAD6za58=")</f>
        <v>#REF!</v>
      </c>
      <c r="FE448" t="e">
        <f>AND(#REF!,"AAAAAD6za6A=")</f>
        <v>#REF!</v>
      </c>
      <c r="FF448" t="e">
        <f>AND(#REF!,"AAAAAD6za6E=")</f>
        <v>#REF!</v>
      </c>
      <c r="FG448" t="e">
        <f>AND(#REF!,"AAAAAD6za6I=")</f>
        <v>#REF!</v>
      </c>
      <c r="FH448" t="e">
        <f>AND(#REF!,"AAAAAD6za6M=")</f>
        <v>#REF!</v>
      </c>
      <c r="FI448" t="e">
        <f>AND(#REF!,"AAAAAD6za6Q=")</f>
        <v>#REF!</v>
      </c>
      <c r="FJ448" t="e">
        <f>AND(#REF!,"AAAAAD6za6U=")</f>
        <v>#REF!</v>
      </c>
      <c r="FK448" t="e">
        <f>AND(#REF!,"AAAAAD6za6Y=")</f>
        <v>#REF!</v>
      </c>
      <c r="FL448" t="e">
        <f>AND(#REF!,"AAAAAD6za6c=")</f>
        <v>#REF!</v>
      </c>
      <c r="FM448" t="e">
        <f>AND(#REF!,"AAAAAD6za6g=")</f>
        <v>#REF!</v>
      </c>
      <c r="FN448" t="e">
        <f>IF(#REF!,"AAAAAD6za6k=",0)</f>
        <v>#REF!</v>
      </c>
      <c r="FO448" t="e">
        <f>AND(#REF!,"AAAAAD6za6o=")</f>
        <v>#REF!</v>
      </c>
      <c r="FP448" t="e">
        <f>AND(#REF!,"AAAAAD6za6s=")</f>
        <v>#REF!</v>
      </c>
      <c r="FQ448" t="e">
        <f>AND(#REF!,"AAAAAD6za6w=")</f>
        <v>#REF!</v>
      </c>
      <c r="FR448" t="e">
        <f>AND(#REF!,"AAAAAD6za60=")</f>
        <v>#REF!</v>
      </c>
      <c r="FS448" t="e">
        <f>AND(#REF!,"AAAAAD6za64=")</f>
        <v>#REF!</v>
      </c>
      <c r="FT448" t="e">
        <f>AND(#REF!,"AAAAAD6za68=")</f>
        <v>#REF!</v>
      </c>
      <c r="FU448" t="e">
        <f>AND(#REF!,"AAAAAD6za7A=")</f>
        <v>#REF!</v>
      </c>
      <c r="FV448" t="e">
        <f>AND(#REF!,"AAAAAD6za7E=")</f>
        <v>#REF!</v>
      </c>
      <c r="FW448" t="e">
        <f>AND(#REF!,"AAAAAD6za7I=")</f>
        <v>#REF!</v>
      </c>
      <c r="FX448" t="e">
        <f>AND(#REF!,"AAAAAD6za7M=")</f>
        <v>#REF!</v>
      </c>
      <c r="FY448" t="e">
        <f>IF(#REF!,"AAAAAD6za7Q=",0)</f>
        <v>#REF!</v>
      </c>
      <c r="FZ448" t="e">
        <f>AND(#REF!,"AAAAAD6za7U=")</f>
        <v>#REF!</v>
      </c>
      <c r="GA448" t="e">
        <f>AND(#REF!,"AAAAAD6za7Y=")</f>
        <v>#REF!</v>
      </c>
      <c r="GB448" t="e">
        <f>AND(#REF!,"AAAAAD6za7c=")</f>
        <v>#REF!</v>
      </c>
      <c r="GC448" t="e">
        <f>AND(#REF!,"AAAAAD6za7g=")</f>
        <v>#REF!</v>
      </c>
      <c r="GD448" t="e">
        <f>AND(#REF!,"AAAAAD6za7k=")</f>
        <v>#REF!</v>
      </c>
      <c r="GE448" t="e">
        <f>AND(#REF!,"AAAAAD6za7o=")</f>
        <v>#REF!</v>
      </c>
      <c r="GF448" t="e">
        <f>AND(#REF!,"AAAAAD6za7s=")</f>
        <v>#REF!</v>
      </c>
      <c r="GG448" t="e">
        <f>AND(#REF!,"AAAAAD6za7w=")</f>
        <v>#REF!</v>
      </c>
      <c r="GH448" t="e">
        <f>AND(#REF!,"AAAAAD6za70=")</f>
        <v>#REF!</v>
      </c>
      <c r="GI448" t="e">
        <f>AND(#REF!,"AAAAAD6za74=")</f>
        <v>#REF!</v>
      </c>
      <c r="GJ448" t="e">
        <f>IF(#REF!,"AAAAAD6za78=",0)</f>
        <v>#REF!</v>
      </c>
      <c r="GK448" t="e">
        <f>AND(#REF!,"AAAAAD6za8A=")</f>
        <v>#REF!</v>
      </c>
      <c r="GL448" t="e">
        <f>AND(#REF!,"AAAAAD6za8E=")</f>
        <v>#REF!</v>
      </c>
      <c r="GM448" t="e">
        <f>AND(#REF!,"AAAAAD6za8I=")</f>
        <v>#REF!</v>
      </c>
      <c r="GN448" t="e">
        <f>AND(#REF!,"AAAAAD6za8M=")</f>
        <v>#REF!</v>
      </c>
      <c r="GO448" t="e">
        <f>AND(#REF!,"AAAAAD6za8Q=")</f>
        <v>#REF!</v>
      </c>
      <c r="GP448" t="e">
        <f>AND(#REF!,"AAAAAD6za8U=")</f>
        <v>#REF!</v>
      </c>
      <c r="GQ448" t="e">
        <f>AND(#REF!,"AAAAAD6za8Y=")</f>
        <v>#REF!</v>
      </c>
      <c r="GR448" t="e">
        <f>AND(#REF!,"AAAAAD6za8c=")</f>
        <v>#REF!</v>
      </c>
      <c r="GS448" t="e">
        <f>AND(#REF!,"AAAAAD6za8g=")</f>
        <v>#REF!</v>
      </c>
      <c r="GT448" t="e">
        <f>AND(#REF!,"AAAAAD6za8k=")</f>
        <v>#REF!</v>
      </c>
      <c r="GU448" t="e">
        <f>IF(#REF!,"AAAAAD6za8o=",0)</f>
        <v>#REF!</v>
      </c>
      <c r="GV448" t="e">
        <f>AND(#REF!,"AAAAAD6za8s=")</f>
        <v>#REF!</v>
      </c>
      <c r="GW448" t="e">
        <f>AND(#REF!,"AAAAAD6za8w=")</f>
        <v>#REF!</v>
      </c>
      <c r="GX448" t="e">
        <f>AND(#REF!,"AAAAAD6za80=")</f>
        <v>#REF!</v>
      </c>
      <c r="GY448" t="e">
        <f>AND(#REF!,"AAAAAD6za84=")</f>
        <v>#REF!</v>
      </c>
      <c r="GZ448" t="e">
        <f>AND(#REF!,"AAAAAD6za88=")</f>
        <v>#REF!</v>
      </c>
      <c r="HA448" t="e">
        <f>AND(#REF!,"AAAAAD6za9A=")</f>
        <v>#REF!</v>
      </c>
      <c r="HB448" t="e">
        <f>AND(#REF!,"AAAAAD6za9E=")</f>
        <v>#REF!</v>
      </c>
      <c r="HC448" t="e">
        <f>AND(#REF!,"AAAAAD6za9I=")</f>
        <v>#REF!</v>
      </c>
      <c r="HD448" t="e">
        <f>AND(#REF!,"AAAAAD6za9M=")</f>
        <v>#REF!</v>
      </c>
      <c r="HE448" t="e">
        <f>AND(#REF!,"AAAAAD6za9Q=")</f>
        <v>#REF!</v>
      </c>
      <c r="HF448" t="e">
        <f>IF(#REF!,"AAAAAD6za9U=",0)</f>
        <v>#REF!</v>
      </c>
      <c r="HG448" t="e">
        <f>AND(#REF!,"AAAAAD6za9Y=")</f>
        <v>#REF!</v>
      </c>
      <c r="HH448" t="e">
        <f>AND(#REF!,"AAAAAD6za9c=")</f>
        <v>#REF!</v>
      </c>
      <c r="HI448" t="e">
        <f>AND(#REF!,"AAAAAD6za9g=")</f>
        <v>#REF!</v>
      </c>
      <c r="HJ448" t="e">
        <f>AND(#REF!,"AAAAAD6za9k=")</f>
        <v>#REF!</v>
      </c>
      <c r="HK448" t="e">
        <f>AND(#REF!,"AAAAAD6za9o=")</f>
        <v>#REF!</v>
      </c>
      <c r="HL448" t="e">
        <f>AND(#REF!,"AAAAAD6za9s=")</f>
        <v>#REF!</v>
      </c>
      <c r="HM448" t="e">
        <f>AND(#REF!,"AAAAAD6za9w=")</f>
        <v>#REF!</v>
      </c>
      <c r="HN448" t="e">
        <f>AND(#REF!,"AAAAAD6za90=")</f>
        <v>#REF!</v>
      </c>
      <c r="HO448" t="e">
        <f>AND(#REF!,"AAAAAD6za94=")</f>
        <v>#REF!</v>
      </c>
      <c r="HP448" t="e">
        <f>AND(#REF!,"AAAAAD6za98=")</f>
        <v>#REF!</v>
      </c>
      <c r="HQ448" t="e">
        <f>IF(#REF!,"AAAAAD6za+A=",0)</f>
        <v>#REF!</v>
      </c>
      <c r="HR448" t="e">
        <f>AND(#REF!,"AAAAAD6za+E=")</f>
        <v>#REF!</v>
      </c>
      <c r="HS448" t="e">
        <f>AND(#REF!,"AAAAAD6za+I=")</f>
        <v>#REF!</v>
      </c>
      <c r="HT448" t="e">
        <f>AND(#REF!,"AAAAAD6za+M=")</f>
        <v>#REF!</v>
      </c>
      <c r="HU448" t="e">
        <f>AND(#REF!,"AAAAAD6za+Q=")</f>
        <v>#REF!</v>
      </c>
      <c r="HV448" t="e">
        <f>AND(#REF!,"AAAAAD6za+U=")</f>
        <v>#REF!</v>
      </c>
      <c r="HW448" t="e">
        <f>AND(#REF!,"AAAAAD6za+Y=")</f>
        <v>#REF!</v>
      </c>
      <c r="HX448" t="e">
        <f>AND(#REF!,"AAAAAD6za+c=")</f>
        <v>#REF!</v>
      </c>
      <c r="HY448" t="e">
        <f>AND(#REF!,"AAAAAD6za+g=")</f>
        <v>#REF!</v>
      </c>
      <c r="HZ448" t="e">
        <f>AND(#REF!,"AAAAAD6za+k=")</f>
        <v>#REF!</v>
      </c>
      <c r="IA448" t="e">
        <f>AND(#REF!,"AAAAAD6za+o=")</f>
        <v>#REF!</v>
      </c>
      <c r="IB448" t="e">
        <f>IF(#REF!,"AAAAAD6za+s=",0)</f>
        <v>#REF!</v>
      </c>
      <c r="IC448" t="e">
        <f>AND(#REF!,"AAAAAD6za+w=")</f>
        <v>#REF!</v>
      </c>
      <c r="ID448" t="e">
        <f>AND(#REF!,"AAAAAD6za+0=")</f>
        <v>#REF!</v>
      </c>
      <c r="IE448" t="e">
        <f>AND(#REF!,"AAAAAD6za+4=")</f>
        <v>#REF!</v>
      </c>
      <c r="IF448" t="e">
        <f>AND(#REF!,"AAAAAD6za+8=")</f>
        <v>#REF!</v>
      </c>
      <c r="IG448" t="e">
        <f>AND(#REF!,"AAAAAD6za/A=")</f>
        <v>#REF!</v>
      </c>
      <c r="IH448" t="e">
        <f>AND(#REF!,"AAAAAD6za/E=")</f>
        <v>#REF!</v>
      </c>
      <c r="II448" t="e">
        <f>AND(#REF!,"AAAAAD6za/I=")</f>
        <v>#REF!</v>
      </c>
      <c r="IJ448" t="e">
        <f>AND(#REF!,"AAAAAD6za/M=")</f>
        <v>#REF!</v>
      </c>
      <c r="IK448" t="e">
        <f>AND(#REF!,"AAAAAD6za/Q=")</f>
        <v>#REF!</v>
      </c>
      <c r="IL448" t="e">
        <f>AND(#REF!,"AAAAAD6za/U=")</f>
        <v>#REF!</v>
      </c>
      <c r="IM448" t="e">
        <f>IF(#REF!,"AAAAAD6za/Y=",0)</f>
        <v>#REF!</v>
      </c>
      <c r="IN448" t="e">
        <f>AND(#REF!,"AAAAAD6za/c=")</f>
        <v>#REF!</v>
      </c>
      <c r="IO448" t="e">
        <f>AND(#REF!,"AAAAAD6za/g=")</f>
        <v>#REF!</v>
      </c>
      <c r="IP448" t="e">
        <f>AND(#REF!,"AAAAAD6za/k=")</f>
        <v>#REF!</v>
      </c>
      <c r="IQ448" t="e">
        <f>AND(#REF!,"AAAAAD6za/o=")</f>
        <v>#REF!</v>
      </c>
      <c r="IR448" t="e">
        <f>AND(#REF!,"AAAAAD6za/s=")</f>
        <v>#REF!</v>
      </c>
      <c r="IS448" t="e">
        <f>AND(#REF!,"AAAAAD6za/w=")</f>
        <v>#REF!</v>
      </c>
      <c r="IT448" t="e">
        <f>AND(#REF!,"AAAAAD6za/0=")</f>
        <v>#REF!</v>
      </c>
      <c r="IU448" t="e">
        <f>AND(#REF!,"AAAAAD6za/4=")</f>
        <v>#REF!</v>
      </c>
      <c r="IV448" t="e">
        <f>AND(#REF!,"AAAAAD6za/8=")</f>
        <v>#REF!</v>
      </c>
    </row>
    <row r="449" spans="1:256" x14ac:dyDescent="0.25">
      <c r="A449" t="e">
        <f>AND(#REF!,"AAAAAC/+pgA=")</f>
        <v>#REF!</v>
      </c>
      <c r="B449" t="e">
        <f>IF(#REF!,"AAAAAC/+pgE=",0)</f>
        <v>#REF!</v>
      </c>
      <c r="C449" t="e">
        <f>AND(#REF!,"AAAAAC/+pgI=")</f>
        <v>#REF!</v>
      </c>
      <c r="D449" t="e">
        <f>AND(#REF!,"AAAAAC/+pgM=")</f>
        <v>#REF!</v>
      </c>
      <c r="E449" t="e">
        <f>AND(#REF!,"AAAAAC/+pgQ=")</f>
        <v>#REF!</v>
      </c>
      <c r="F449" t="e">
        <f>AND(#REF!,"AAAAAC/+pgU=")</f>
        <v>#REF!</v>
      </c>
      <c r="G449" t="e">
        <f>AND(#REF!,"AAAAAC/+pgY=")</f>
        <v>#REF!</v>
      </c>
      <c r="H449" t="e">
        <f>AND(#REF!,"AAAAAC/+pgc=")</f>
        <v>#REF!</v>
      </c>
      <c r="I449" t="e">
        <f>AND(#REF!,"AAAAAC/+pgg=")</f>
        <v>#REF!</v>
      </c>
      <c r="J449" t="e">
        <f>AND(#REF!,"AAAAAC/+pgk=")</f>
        <v>#REF!</v>
      </c>
      <c r="K449" t="e">
        <f>AND(#REF!,"AAAAAC/+pgo=")</f>
        <v>#REF!</v>
      </c>
      <c r="L449" t="e">
        <f>AND(#REF!,"AAAAAC/+pgs=")</f>
        <v>#REF!</v>
      </c>
      <c r="M449" t="e">
        <f>IF(#REF!,"AAAAAC/+pgw=",0)</f>
        <v>#REF!</v>
      </c>
      <c r="N449" t="e">
        <f>AND(#REF!,"AAAAAC/+pg0=")</f>
        <v>#REF!</v>
      </c>
      <c r="O449" t="e">
        <f>AND(#REF!,"AAAAAC/+pg4=")</f>
        <v>#REF!</v>
      </c>
      <c r="P449" t="e">
        <f>AND(#REF!,"AAAAAC/+pg8=")</f>
        <v>#REF!</v>
      </c>
      <c r="Q449" t="e">
        <f>AND(#REF!,"AAAAAC/+phA=")</f>
        <v>#REF!</v>
      </c>
      <c r="R449" t="e">
        <f>AND(#REF!,"AAAAAC/+phE=")</f>
        <v>#REF!</v>
      </c>
      <c r="S449" t="e">
        <f>AND(#REF!,"AAAAAC/+phI=")</f>
        <v>#REF!</v>
      </c>
      <c r="T449" t="e">
        <f>AND(#REF!,"AAAAAC/+phM=")</f>
        <v>#REF!</v>
      </c>
      <c r="U449" t="e">
        <f>AND(#REF!,"AAAAAC/+phQ=")</f>
        <v>#REF!</v>
      </c>
      <c r="V449" t="e">
        <f>AND(#REF!,"AAAAAC/+phU=")</f>
        <v>#REF!</v>
      </c>
      <c r="W449" t="e">
        <f>AND(#REF!,"AAAAAC/+phY=")</f>
        <v>#REF!</v>
      </c>
      <c r="X449" t="e">
        <f>IF(#REF!,"AAAAAC/+phc=",0)</f>
        <v>#REF!</v>
      </c>
      <c r="Y449" t="e">
        <f>AND(#REF!,"AAAAAC/+phg=")</f>
        <v>#REF!</v>
      </c>
      <c r="Z449" t="e">
        <f>AND(#REF!,"AAAAAC/+phk=")</f>
        <v>#REF!</v>
      </c>
      <c r="AA449" t="e">
        <f>AND(#REF!,"AAAAAC/+pho=")</f>
        <v>#REF!</v>
      </c>
      <c r="AB449" t="e">
        <f>AND(#REF!,"AAAAAC/+phs=")</f>
        <v>#REF!</v>
      </c>
      <c r="AC449" t="e">
        <f>AND(#REF!,"AAAAAC/+phw=")</f>
        <v>#REF!</v>
      </c>
      <c r="AD449" t="e">
        <f>AND(#REF!,"AAAAAC/+ph0=")</f>
        <v>#REF!</v>
      </c>
      <c r="AE449" t="e">
        <f>AND(#REF!,"AAAAAC/+ph4=")</f>
        <v>#REF!</v>
      </c>
      <c r="AF449" t="e">
        <f>AND(#REF!,"AAAAAC/+ph8=")</f>
        <v>#REF!</v>
      </c>
      <c r="AG449" t="e">
        <f>AND(#REF!,"AAAAAC/+piA=")</f>
        <v>#REF!</v>
      </c>
      <c r="AH449" t="e">
        <f>AND(#REF!,"AAAAAC/+piE=")</f>
        <v>#REF!</v>
      </c>
      <c r="AI449" t="e">
        <f>IF(#REF!,"AAAAAC/+piI=",0)</f>
        <v>#REF!</v>
      </c>
      <c r="AJ449" t="e">
        <f>AND(#REF!,"AAAAAC/+piM=")</f>
        <v>#REF!</v>
      </c>
      <c r="AK449" t="e">
        <f>AND(#REF!,"AAAAAC/+piQ=")</f>
        <v>#REF!</v>
      </c>
      <c r="AL449" t="e">
        <f>AND(#REF!,"AAAAAC/+piU=")</f>
        <v>#REF!</v>
      </c>
      <c r="AM449" t="e">
        <f>AND(#REF!,"AAAAAC/+piY=")</f>
        <v>#REF!</v>
      </c>
      <c r="AN449" t="e">
        <f>AND(#REF!,"AAAAAC/+pic=")</f>
        <v>#REF!</v>
      </c>
      <c r="AO449" t="e">
        <f>AND(#REF!,"AAAAAC/+pig=")</f>
        <v>#REF!</v>
      </c>
      <c r="AP449" t="e">
        <f>AND(#REF!,"AAAAAC/+pik=")</f>
        <v>#REF!</v>
      </c>
      <c r="AQ449" t="e">
        <f>AND(#REF!,"AAAAAC/+pio=")</f>
        <v>#REF!</v>
      </c>
      <c r="AR449" t="e">
        <f>AND(#REF!,"AAAAAC/+pis=")</f>
        <v>#REF!</v>
      </c>
      <c r="AS449" t="e">
        <f>AND(#REF!,"AAAAAC/+piw=")</f>
        <v>#REF!</v>
      </c>
      <c r="AT449" t="e">
        <f>IF(#REF!,"AAAAAC/+pi0=",0)</f>
        <v>#REF!</v>
      </c>
      <c r="AU449" t="e">
        <f>AND(#REF!,"AAAAAC/+pi4=")</f>
        <v>#REF!</v>
      </c>
      <c r="AV449" t="e">
        <f>AND(#REF!,"AAAAAC/+pi8=")</f>
        <v>#REF!</v>
      </c>
      <c r="AW449" t="e">
        <f>AND(#REF!,"AAAAAC/+pjA=")</f>
        <v>#REF!</v>
      </c>
      <c r="AX449" t="e">
        <f>AND(#REF!,"AAAAAC/+pjE=")</f>
        <v>#REF!</v>
      </c>
      <c r="AY449" t="e">
        <f>AND(#REF!,"AAAAAC/+pjI=")</f>
        <v>#REF!</v>
      </c>
      <c r="AZ449" t="e">
        <f>AND(#REF!,"AAAAAC/+pjM=")</f>
        <v>#REF!</v>
      </c>
      <c r="BA449" t="e">
        <f>AND(#REF!,"AAAAAC/+pjQ=")</f>
        <v>#REF!</v>
      </c>
      <c r="BB449" t="e">
        <f>AND(#REF!,"AAAAAC/+pjU=")</f>
        <v>#REF!</v>
      </c>
      <c r="BC449" t="e">
        <f>AND(#REF!,"AAAAAC/+pjY=")</f>
        <v>#REF!</v>
      </c>
      <c r="BD449" t="e">
        <f>AND(#REF!,"AAAAAC/+pjc=")</f>
        <v>#REF!</v>
      </c>
      <c r="BE449" t="e">
        <f>IF(#REF!,"AAAAAC/+pjg=",0)</f>
        <v>#REF!</v>
      </c>
      <c r="BF449" t="e">
        <f>AND(#REF!,"AAAAAC/+pjk=")</f>
        <v>#REF!</v>
      </c>
      <c r="BG449" t="e">
        <f>AND(#REF!,"AAAAAC/+pjo=")</f>
        <v>#REF!</v>
      </c>
      <c r="BH449" t="e">
        <f>AND(#REF!,"AAAAAC/+pjs=")</f>
        <v>#REF!</v>
      </c>
      <c r="BI449" t="e">
        <f>AND(#REF!,"AAAAAC/+pjw=")</f>
        <v>#REF!</v>
      </c>
      <c r="BJ449" t="e">
        <f>AND(#REF!,"AAAAAC/+pj0=")</f>
        <v>#REF!</v>
      </c>
      <c r="BK449" t="e">
        <f>AND(#REF!,"AAAAAC/+pj4=")</f>
        <v>#REF!</v>
      </c>
      <c r="BL449" t="e">
        <f>AND(#REF!,"AAAAAC/+pj8=")</f>
        <v>#REF!</v>
      </c>
      <c r="BM449" t="e">
        <f>AND(#REF!,"AAAAAC/+pkA=")</f>
        <v>#REF!</v>
      </c>
      <c r="BN449" t="e">
        <f>AND(#REF!,"AAAAAC/+pkE=")</f>
        <v>#REF!</v>
      </c>
      <c r="BO449" t="e">
        <f>AND(#REF!,"AAAAAC/+pkI=")</f>
        <v>#REF!</v>
      </c>
      <c r="BP449" t="e">
        <f>IF(#REF!,"AAAAAC/+pkM=",0)</f>
        <v>#REF!</v>
      </c>
      <c r="BQ449" t="e">
        <f>AND(#REF!,"AAAAAC/+pkQ=")</f>
        <v>#REF!</v>
      </c>
      <c r="BR449" t="e">
        <f>AND(#REF!,"AAAAAC/+pkU=")</f>
        <v>#REF!</v>
      </c>
      <c r="BS449" t="e">
        <f>AND(#REF!,"AAAAAC/+pkY=")</f>
        <v>#REF!</v>
      </c>
      <c r="BT449" t="e">
        <f>AND(#REF!,"AAAAAC/+pkc=")</f>
        <v>#REF!</v>
      </c>
      <c r="BU449" t="e">
        <f>AND(#REF!,"AAAAAC/+pkg=")</f>
        <v>#REF!</v>
      </c>
      <c r="BV449" t="e">
        <f>AND(#REF!,"AAAAAC/+pkk=")</f>
        <v>#REF!</v>
      </c>
      <c r="BW449" t="e">
        <f>AND(#REF!,"AAAAAC/+pko=")</f>
        <v>#REF!</v>
      </c>
      <c r="BX449" t="e">
        <f>AND(#REF!,"AAAAAC/+pks=")</f>
        <v>#REF!</v>
      </c>
      <c r="BY449" t="e">
        <f>AND(#REF!,"AAAAAC/+pkw=")</f>
        <v>#REF!</v>
      </c>
      <c r="BZ449" t="e">
        <f>AND(#REF!,"AAAAAC/+pk0=")</f>
        <v>#REF!</v>
      </c>
      <c r="CA449" t="e">
        <f>IF(#REF!,"AAAAAC/+pk4=",0)</f>
        <v>#REF!</v>
      </c>
      <c r="CB449" t="e">
        <f>AND(#REF!,"AAAAAC/+pk8=")</f>
        <v>#REF!</v>
      </c>
      <c r="CC449" t="e">
        <f>AND(#REF!,"AAAAAC/+plA=")</f>
        <v>#REF!</v>
      </c>
      <c r="CD449" t="e">
        <f>AND(#REF!,"AAAAAC/+plE=")</f>
        <v>#REF!</v>
      </c>
      <c r="CE449" t="e">
        <f>AND(#REF!,"AAAAAC/+plI=")</f>
        <v>#REF!</v>
      </c>
      <c r="CF449" t="e">
        <f>AND(#REF!,"AAAAAC/+plM=")</f>
        <v>#REF!</v>
      </c>
      <c r="CG449" t="e">
        <f>AND(#REF!,"AAAAAC/+plQ=")</f>
        <v>#REF!</v>
      </c>
      <c r="CH449" t="e">
        <f>AND(#REF!,"AAAAAC/+plU=")</f>
        <v>#REF!</v>
      </c>
      <c r="CI449" t="e">
        <f>AND(#REF!,"AAAAAC/+plY=")</f>
        <v>#REF!</v>
      </c>
      <c r="CJ449" t="e">
        <f>AND(#REF!,"AAAAAC/+plc=")</f>
        <v>#REF!</v>
      </c>
      <c r="CK449" t="e">
        <f>AND(#REF!,"AAAAAC/+plg=")</f>
        <v>#REF!</v>
      </c>
      <c r="CL449" t="e">
        <f>IF(#REF!,"AAAAAC/+plk=",0)</f>
        <v>#REF!</v>
      </c>
      <c r="CM449" t="e">
        <f>AND(#REF!,"AAAAAC/+plo=")</f>
        <v>#REF!</v>
      </c>
      <c r="CN449" t="e">
        <f>AND(#REF!,"AAAAAC/+pls=")</f>
        <v>#REF!</v>
      </c>
      <c r="CO449" t="e">
        <f>AND(#REF!,"AAAAAC/+plw=")</f>
        <v>#REF!</v>
      </c>
      <c r="CP449" t="e">
        <f>AND(#REF!,"AAAAAC/+pl0=")</f>
        <v>#REF!</v>
      </c>
      <c r="CQ449" t="e">
        <f>AND(#REF!,"AAAAAC/+pl4=")</f>
        <v>#REF!</v>
      </c>
      <c r="CR449" t="e">
        <f>AND(#REF!,"AAAAAC/+pl8=")</f>
        <v>#REF!</v>
      </c>
      <c r="CS449" t="e">
        <f>AND(#REF!,"AAAAAC/+pmA=")</f>
        <v>#REF!</v>
      </c>
      <c r="CT449" t="e">
        <f>AND(#REF!,"AAAAAC/+pmE=")</f>
        <v>#REF!</v>
      </c>
      <c r="CU449" t="e">
        <f>AND(#REF!,"AAAAAC/+pmI=")</f>
        <v>#REF!</v>
      </c>
      <c r="CV449" t="e">
        <f>AND(#REF!,"AAAAAC/+pmM=")</f>
        <v>#REF!</v>
      </c>
      <c r="CW449" t="e">
        <f>IF(#REF!,"AAAAAC/+pmQ=",0)</f>
        <v>#REF!</v>
      </c>
      <c r="CX449" t="e">
        <f>AND(#REF!,"AAAAAC/+pmU=")</f>
        <v>#REF!</v>
      </c>
      <c r="CY449" t="e">
        <f>AND(#REF!,"AAAAAC/+pmY=")</f>
        <v>#REF!</v>
      </c>
      <c r="CZ449" t="e">
        <f>AND(#REF!,"AAAAAC/+pmc=")</f>
        <v>#REF!</v>
      </c>
      <c r="DA449" t="e">
        <f>AND(#REF!,"AAAAAC/+pmg=")</f>
        <v>#REF!</v>
      </c>
      <c r="DB449" t="e">
        <f>AND(#REF!,"AAAAAC/+pmk=")</f>
        <v>#REF!</v>
      </c>
      <c r="DC449" t="e">
        <f>AND(#REF!,"AAAAAC/+pmo=")</f>
        <v>#REF!</v>
      </c>
      <c r="DD449" t="e">
        <f>AND(#REF!,"AAAAAC/+pms=")</f>
        <v>#REF!</v>
      </c>
      <c r="DE449" t="e">
        <f>AND(#REF!,"AAAAAC/+pmw=")</f>
        <v>#REF!</v>
      </c>
      <c r="DF449" t="e">
        <f>AND(#REF!,"AAAAAC/+pm0=")</f>
        <v>#REF!</v>
      </c>
      <c r="DG449" t="e">
        <f>AND(#REF!,"AAAAAC/+pm4=")</f>
        <v>#REF!</v>
      </c>
      <c r="DH449" t="e">
        <f>IF(#REF!,"AAAAAC/+pm8=",0)</f>
        <v>#REF!</v>
      </c>
      <c r="DI449" t="e">
        <f>AND(#REF!,"AAAAAC/+pnA=")</f>
        <v>#REF!</v>
      </c>
      <c r="DJ449" t="e">
        <f>AND(#REF!,"AAAAAC/+pnE=")</f>
        <v>#REF!</v>
      </c>
      <c r="DK449" t="e">
        <f>AND(#REF!,"AAAAAC/+pnI=")</f>
        <v>#REF!</v>
      </c>
      <c r="DL449" t="e">
        <f>AND(#REF!,"AAAAAC/+pnM=")</f>
        <v>#REF!</v>
      </c>
      <c r="DM449" t="e">
        <f>AND(#REF!,"AAAAAC/+pnQ=")</f>
        <v>#REF!</v>
      </c>
      <c r="DN449" t="e">
        <f>AND(#REF!,"AAAAAC/+pnU=")</f>
        <v>#REF!</v>
      </c>
      <c r="DO449" t="e">
        <f>AND(#REF!,"AAAAAC/+pnY=")</f>
        <v>#REF!</v>
      </c>
      <c r="DP449" t="e">
        <f>AND(#REF!,"AAAAAC/+pnc=")</f>
        <v>#REF!</v>
      </c>
      <c r="DQ449" t="e">
        <f>AND(#REF!,"AAAAAC/+png=")</f>
        <v>#REF!</v>
      </c>
      <c r="DR449" t="e">
        <f>AND(#REF!,"AAAAAC/+pnk=")</f>
        <v>#REF!</v>
      </c>
      <c r="DS449" t="e">
        <f>IF(#REF!,"AAAAAC/+pno=",0)</f>
        <v>#REF!</v>
      </c>
      <c r="DT449" t="e">
        <f>AND(#REF!,"AAAAAC/+pns=")</f>
        <v>#REF!</v>
      </c>
      <c r="DU449" t="e">
        <f>AND(#REF!,"AAAAAC/+pnw=")</f>
        <v>#REF!</v>
      </c>
      <c r="DV449" t="e">
        <f>AND(#REF!,"AAAAAC/+pn0=")</f>
        <v>#REF!</v>
      </c>
      <c r="DW449" t="e">
        <f>AND(#REF!,"AAAAAC/+pn4=")</f>
        <v>#REF!</v>
      </c>
      <c r="DX449" t="e">
        <f>AND(#REF!,"AAAAAC/+pn8=")</f>
        <v>#REF!</v>
      </c>
      <c r="DY449" t="e">
        <f>AND(#REF!,"AAAAAC/+poA=")</f>
        <v>#REF!</v>
      </c>
      <c r="DZ449" t="e">
        <f>AND(#REF!,"AAAAAC/+poE=")</f>
        <v>#REF!</v>
      </c>
      <c r="EA449" t="e">
        <f>AND(#REF!,"AAAAAC/+poI=")</f>
        <v>#REF!</v>
      </c>
      <c r="EB449" t="e">
        <f>AND(#REF!,"AAAAAC/+poM=")</f>
        <v>#REF!</v>
      </c>
      <c r="EC449" t="e">
        <f>AND(#REF!,"AAAAAC/+poQ=")</f>
        <v>#REF!</v>
      </c>
      <c r="ED449" t="e">
        <f>IF(#REF!,"AAAAAC/+poU=",0)</f>
        <v>#REF!</v>
      </c>
      <c r="EE449" t="e">
        <f>AND(#REF!,"AAAAAC/+poY=")</f>
        <v>#REF!</v>
      </c>
      <c r="EF449" t="e">
        <f>AND(#REF!,"AAAAAC/+poc=")</f>
        <v>#REF!</v>
      </c>
      <c r="EG449" t="e">
        <f>AND(#REF!,"AAAAAC/+pog=")</f>
        <v>#REF!</v>
      </c>
      <c r="EH449" t="e">
        <f>AND(#REF!,"AAAAAC/+pok=")</f>
        <v>#REF!</v>
      </c>
      <c r="EI449" t="e">
        <f>AND(#REF!,"AAAAAC/+poo=")</f>
        <v>#REF!</v>
      </c>
      <c r="EJ449" t="e">
        <f>AND(#REF!,"AAAAAC/+pos=")</f>
        <v>#REF!</v>
      </c>
      <c r="EK449" t="e">
        <f>AND(#REF!,"AAAAAC/+pow=")</f>
        <v>#REF!</v>
      </c>
      <c r="EL449" t="e">
        <f>AND(#REF!,"AAAAAC/+po0=")</f>
        <v>#REF!</v>
      </c>
      <c r="EM449" t="e">
        <f>AND(#REF!,"AAAAAC/+po4=")</f>
        <v>#REF!</v>
      </c>
      <c r="EN449" t="e">
        <f>AND(#REF!,"AAAAAC/+po8=")</f>
        <v>#REF!</v>
      </c>
      <c r="EO449" t="e">
        <f>IF(#REF!,"AAAAAC/+ppA=",0)</f>
        <v>#REF!</v>
      </c>
      <c r="EP449" t="e">
        <f>AND(#REF!,"AAAAAC/+ppE=")</f>
        <v>#REF!</v>
      </c>
      <c r="EQ449" t="e">
        <f>AND(#REF!,"AAAAAC/+ppI=")</f>
        <v>#REF!</v>
      </c>
      <c r="ER449" t="e">
        <f>AND(#REF!,"AAAAAC/+ppM=")</f>
        <v>#REF!</v>
      </c>
      <c r="ES449" t="e">
        <f>AND(#REF!,"AAAAAC/+ppQ=")</f>
        <v>#REF!</v>
      </c>
      <c r="ET449" t="e">
        <f>AND(#REF!,"AAAAAC/+ppU=")</f>
        <v>#REF!</v>
      </c>
      <c r="EU449" t="e">
        <f>AND(#REF!,"AAAAAC/+ppY=")</f>
        <v>#REF!</v>
      </c>
      <c r="EV449" t="e">
        <f>AND(#REF!,"AAAAAC/+ppc=")</f>
        <v>#REF!</v>
      </c>
      <c r="EW449" t="e">
        <f>AND(#REF!,"AAAAAC/+ppg=")</f>
        <v>#REF!</v>
      </c>
      <c r="EX449" t="e">
        <f>AND(#REF!,"AAAAAC/+ppk=")</f>
        <v>#REF!</v>
      </c>
      <c r="EY449" t="e">
        <f>AND(#REF!,"AAAAAC/+ppo=")</f>
        <v>#REF!</v>
      </c>
      <c r="EZ449" t="e">
        <f>IF(#REF!,"AAAAAC/+pps=",0)</f>
        <v>#REF!</v>
      </c>
      <c r="FA449" t="e">
        <f>AND(#REF!,"AAAAAC/+ppw=")</f>
        <v>#REF!</v>
      </c>
      <c r="FB449" t="e">
        <f>AND(#REF!,"AAAAAC/+pp0=")</f>
        <v>#REF!</v>
      </c>
      <c r="FC449" t="e">
        <f>AND(#REF!,"AAAAAC/+pp4=")</f>
        <v>#REF!</v>
      </c>
      <c r="FD449" t="e">
        <f>AND(#REF!,"AAAAAC/+pp8=")</f>
        <v>#REF!</v>
      </c>
      <c r="FE449" t="e">
        <f>AND(#REF!,"AAAAAC/+pqA=")</f>
        <v>#REF!</v>
      </c>
      <c r="FF449" t="e">
        <f>AND(#REF!,"AAAAAC/+pqE=")</f>
        <v>#REF!</v>
      </c>
      <c r="FG449" t="e">
        <f>AND(#REF!,"AAAAAC/+pqI=")</f>
        <v>#REF!</v>
      </c>
      <c r="FH449" t="e">
        <f>AND(#REF!,"AAAAAC/+pqM=")</f>
        <v>#REF!</v>
      </c>
      <c r="FI449" t="e">
        <f>AND(#REF!,"AAAAAC/+pqQ=")</f>
        <v>#REF!</v>
      </c>
      <c r="FJ449" t="e">
        <f>AND(#REF!,"AAAAAC/+pqU=")</f>
        <v>#REF!</v>
      </c>
      <c r="FK449" t="e">
        <f>IF(#REF!,"AAAAAC/+pqY=",0)</f>
        <v>#REF!</v>
      </c>
      <c r="FL449" t="e">
        <f>AND(#REF!,"AAAAAC/+pqc=")</f>
        <v>#REF!</v>
      </c>
      <c r="FM449" t="e">
        <f>AND(#REF!,"AAAAAC/+pqg=")</f>
        <v>#REF!</v>
      </c>
      <c r="FN449" t="e">
        <f>AND(#REF!,"AAAAAC/+pqk=")</f>
        <v>#REF!</v>
      </c>
      <c r="FO449" t="e">
        <f>AND(#REF!,"AAAAAC/+pqo=")</f>
        <v>#REF!</v>
      </c>
      <c r="FP449" t="e">
        <f>AND(#REF!,"AAAAAC/+pqs=")</f>
        <v>#REF!</v>
      </c>
      <c r="FQ449" t="e">
        <f>AND(#REF!,"AAAAAC/+pqw=")</f>
        <v>#REF!</v>
      </c>
      <c r="FR449" t="e">
        <f>AND(#REF!,"AAAAAC/+pq0=")</f>
        <v>#REF!</v>
      </c>
      <c r="FS449" t="e">
        <f>AND(#REF!,"AAAAAC/+pq4=")</f>
        <v>#REF!</v>
      </c>
      <c r="FT449" t="e">
        <f>AND(#REF!,"AAAAAC/+pq8=")</f>
        <v>#REF!</v>
      </c>
      <c r="FU449" t="e">
        <f>AND(#REF!,"AAAAAC/+prA=")</f>
        <v>#REF!</v>
      </c>
      <c r="FV449" t="e">
        <f>IF(#REF!,"AAAAAC/+prE=",0)</f>
        <v>#REF!</v>
      </c>
      <c r="FW449" t="e">
        <f>AND(#REF!,"AAAAAC/+prI=")</f>
        <v>#REF!</v>
      </c>
      <c r="FX449" t="e">
        <f>AND(#REF!,"AAAAAC/+prM=")</f>
        <v>#REF!</v>
      </c>
      <c r="FY449" t="e">
        <f>AND(#REF!,"AAAAAC/+prQ=")</f>
        <v>#REF!</v>
      </c>
      <c r="FZ449" t="e">
        <f>AND(#REF!,"AAAAAC/+prU=")</f>
        <v>#REF!</v>
      </c>
      <c r="GA449" t="e">
        <f>AND(#REF!,"AAAAAC/+prY=")</f>
        <v>#REF!</v>
      </c>
      <c r="GB449" t="e">
        <f>AND(#REF!,"AAAAAC/+prc=")</f>
        <v>#REF!</v>
      </c>
      <c r="GC449" t="e">
        <f>AND(#REF!,"AAAAAC/+prg=")</f>
        <v>#REF!</v>
      </c>
      <c r="GD449" t="e">
        <f>AND(#REF!,"AAAAAC/+prk=")</f>
        <v>#REF!</v>
      </c>
      <c r="GE449" t="e">
        <f>AND(#REF!,"AAAAAC/+pro=")</f>
        <v>#REF!</v>
      </c>
      <c r="GF449" t="e">
        <f>AND(#REF!,"AAAAAC/+prs=")</f>
        <v>#REF!</v>
      </c>
      <c r="GG449" t="e">
        <f>IF(#REF!,"AAAAAC/+prw=",0)</f>
        <v>#REF!</v>
      </c>
      <c r="GH449" t="e">
        <f>AND(#REF!,"AAAAAC/+pr0=")</f>
        <v>#REF!</v>
      </c>
      <c r="GI449" t="e">
        <f>AND(#REF!,"AAAAAC/+pr4=")</f>
        <v>#REF!</v>
      </c>
      <c r="GJ449" t="e">
        <f>AND(#REF!,"AAAAAC/+pr8=")</f>
        <v>#REF!</v>
      </c>
      <c r="GK449" t="e">
        <f>AND(#REF!,"AAAAAC/+psA=")</f>
        <v>#REF!</v>
      </c>
      <c r="GL449" t="e">
        <f>AND(#REF!,"AAAAAC/+psE=")</f>
        <v>#REF!</v>
      </c>
      <c r="GM449" t="e">
        <f>AND(#REF!,"AAAAAC/+psI=")</f>
        <v>#REF!</v>
      </c>
      <c r="GN449" t="e">
        <f>AND(#REF!,"AAAAAC/+psM=")</f>
        <v>#REF!</v>
      </c>
      <c r="GO449" t="e">
        <f>AND(#REF!,"AAAAAC/+psQ=")</f>
        <v>#REF!</v>
      </c>
      <c r="GP449" t="e">
        <f>AND(#REF!,"AAAAAC/+psU=")</f>
        <v>#REF!</v>
      </c>
      <c r="GQ449" t="e">
        <f>AND(#REF!,"AAAAAC/+psY=")</f>
        <v>#REF!</v>
      </c>
      <c r="GR449" t="e">
        <f>IF(#REF!,"AAAAAC/+psc=",0)</f>
        <v>#REF!</v>
      </c>
      <c r="GS449" t="e">
        <f>AND(#REF!,"AAAAAC/+psg=")</f>
        <v>#REF!</v>
      </c>
      <c r="GT449" t="e">
        <f>AND(#REF!,"AAAAAC/+psk=")</f>
        <v>#REF!</v>
      </c>
      <c r="GU449" t="e">
        <f>AND(#REF!,"AAAAAC/+pso=")</f>
        <v>#REF!</v>
      </c>
      <c r="GV449" t="e">
        <f>AND(#REF!,"AAAAAC/+pss=")</f>
        <v>#REF!</v>
      </c>
      <c r="GW449" t="e">
        <f>AND(#REF!,"AAAAAC/+psw=")</f>
        <v>#REF!</v>
      </c>
      <c r="GX449" t="e">
        <f>AND(#REF!,"AAAAAC/+ps0=")</f>
        <v>#REF!</v>
      </c>
      <c r="GY449" t="e">
        <f>AND(#REF!,"AAAAAC/+ps4=")</f>
        <v>#REF!</v>
      </c>
      <c r="GZ449" t="e">
        <f>AND(#REF!,"AAAAAC/+ps8=")</f>
        <v>#REF!</v>
      </c>
      <c r="HA449" t="e">
        <f>AND(#REF!,"AAAAAC/+ptA=")</f>
        <v>#REF!</v>
      </c>
      <c r="HB449" t="e">
        <f>AND(#REF!,"AAAAAC/+ptE=")</f>
        <v>#REF!</v>
      </c>
      <c r="HC449" t="e">
        <f>IF(#REF!,"AAAAAC/+ptI=",0)</f>
        <v>#REF!</v>
      </c>
      <c r="HD449" t="e">
        <f>AND(#REF!,"AAAAAC/+ptM=")</f>
        <v>#REF!</v>
      </c>
      <c r="HE449" t="e">
        <f>AND(#REF!,"AAAAAC/+ptQ=")</f>
        <v>#REF!</v>
      </c>
      <c r="HF449" t="e">
        <f>AND(#REF!,"AAAAAC/+ptU=")</f>
        <v>#REF!</v>
      </c>
      <c r="HG449" t="e">
        <f>AND(#REF!,"AAAAAC/+ptY=")</f>
        <v>#REF!</v>
      </c>
      <c r="HH449" t="e">
        <f>AND(#REF!,"AAAAAC/+ptc=")</f>
        <v>#REF!</v>
      </c>
      <c r="HI449" t="e">
        <f>AND(#REF!,"AAAAAC/+ptg=")</f>
        <v>#REF!</v>
      </c>
      <c r="HJ449" t="e">
        <f>AND(#REF!,"AAAAAC/+ptk=")</f>
        <v>#REF!</v>
      </c>
      <c r="HK449" t="e">
        <f>AND(#REF!,"AAAAAC/+pto=")</f>
        <v>#REF!</v>
      </c>
      <c r="HL449" t="e">
        <f>AND(#REF!,"AAAAAC/+pts=")</f>
        <v>#REF!</v>
      </c>
      <c r="HM449" t="e">
        <f>AND(#REF!,"AAAAAC/+ptw=")</f>
        <v>#REF!</v>
      </c>
      <c r="HN449" t="e">
        <f>IF(#REF!,"AAAAAC/+pt0=",0)</f>
        <v>#REF!</v>
      </c>
      <c r="HO449" t="e">
        <f>AND(#REF!,"AAAAAC/+pt4=")</f>
        <v>#REF!</v>
      </c>
      <c r="HP449" t="e">
        <f>AND(#REF!,"AAAAAC/+pt8=")</f>
        <v>#REF!</v>
      </c>
      <c r="HQ449" t="e">
        <f>AND(#REF!,"AAAAAC/+puA=")</f>
        <v>#REF!</v>
      </c>
      <c r="HR449" t="e">
        <f>AND(#REF!,"AAAAAC/+puE=")</f>
        <v>#REF!</v>
      </c>
      <c r="HS449" t="e">
        <f>AND(#REF!,"AAAAAC/+puI=")</f>
        <v>#REF!</v>
      </c>
      <c r="HT449" t="e">
        <f>AND(#REF!,"AAAAAC/+puM=")</f>
        <v>#REF!</v>
      </c>
      <c r="HU449" t="e">
        <f>AND(#REF!,"AAAAAC/+puQ=")</f>
        <v>#REF!</v>
      </c>
      <c r="HV449" t="e">
        <f>AND(#REF!,"AAAAAC/+puU=")</f>
        <v>#REF!</v>
      </c>
      <c r="HW449" t="e">
        <f>AND(#REF!,"AAAAAC/+puY=")</f>
        <v>#REF!</v>
      </c>
      <c r="HX449" t="e">
        <f>AND(#REF!,"AAAAAC/+puc=")</f>
        <v>#REF!</v>
      </c>
      <c r="HY449" t="e">
        <f>IF(#REF!,"AAAAAC/+pug=",0)</f>
        <v>#REF!</v>
      </c>
      <c r="HZ449" t="e">
        <f>AND(#REF!,"AAAAAC/+puk=")</f>
        <v>#REF!</v>
      </c>
      <c r="IA449" t="e">
        <f>AND(#REF!,"AAAAAC/+puo=")</f>
        <v>#REF!</v>
      </c>
      <c r="IB449" t="e">
        <f>AND(#REF!,"AAAAAC/+pus=")</f>
        <v>#REF!</v>
      </c>
      <c r="IC449" t="e">
        <f>AND(#REF!,"AAAAAC/+puw=")</f>
        <v>#REF!</v>
      </c>
      <c r="ID449" t="e">
        <f>AND(#REF!,"AAAAAC/+pu0=")</f>
        <v>#REF!</v>
      </c>
      <c r="IE449" t="e">
        <f>AND(#REF!,"AAAAAC/+pu4=")</f>
        <v>#REF!</v>
      </c>
      <c r="IF449" t="e">
        <f>AND(#REF!,"AAAAAC/+pu8=")</f>
        <v>#REF!</v>
      </c>
      <c r="IG449" t="e">
        <f>AND(#REF!,"AAAAAC/+pvA=")</f>
        <v>#REF!</v>
      </c>
      <c r="IH449" t="e">
        <f>AND(#REF!,"AAAAAC/+pvE=")</f>
        <v>#REF!</v>
      </c>
      <c r="II449" t="e">
        <f>AND(#REF!,"AAAAAC/+pvI=")</f>
        <v>#REF!</v>
      </c>
      <c r="IJ449" t="e">
        <f>IF(#REF!,"AAAAAC/+pvM=",0)</f>
        <v>#REF!</v>
      </c>
      <c r="IK449" t="e">
        <f>AND(#REF!,"AAAAAC/+pvQ=")</f>
        <v>#REF!</v>
      </c>
      <c r="IL449" t="e">
        <f>AND(#REF!,"AAAAAC/+pvU=")</f>
        <v>#REF!</v>
      </c>
      <c r="IM449" t="e">
        <f>AND(#REF!,"AAAAAC/+pvY=")</f>
        <v>#REF!</v>
      </c>
      <c r="IN449" t="e">
        <f>AND(#REF!,"AAAAAC/+pvc=")</f>
        <v>#REF!</v>
      </c>
      <c r="IO449" t="e">
        <f>AND(#REF!,"AAAAAC/+pvg=")</f>
        <v>#REF!</v>
      </c>
      <c r="IP449" t="e">
        <f>AND(#REF!,"AAAAAC/+pvk=")</f>
        <v>#REF!</v>
      </c>
      <c r="IQ449" t="e">
        <f>AND(#REF!,"AAAAAC/+pvo=")</f>
        <v>#REF!</v>
      </c>
      <c r="IR449" t="e">
        <f>AND(#REF!,"AAAAAC/+pvs=")</f>
        <v>#REF!</v>
      </c>
      <c r="IS449" t="e">
        <f>AND(#REF!,"AAAAAC/+pvw=")</f>
        <v>#REF!</v>
      </c>
      <c r="IT449" t="e">
        <f>AND(#REF!,"AAAAAC/+pv0=")</f>
        <v>#REF!</v>
      </c>
      <c r="IU449" t="e">
        <f>IF(#REF!,"AAAAAC/+pv4=",0)</f>
        <v>#REF!</v>
      </c>
      <c r="IV449" t="e">
        <f>AND(#REF!,"AAAAAC/+pv8=")</f>
        <v>#REF!</v>
      </c>
    </row>
    <row r="450" spans="1:256" x14ac:dyDescent="0.25">
      <c r="A450" t="e">
        <f>AND(#REF!,"AAAAAFfffwA=")</f>
        <v>#REF!</v>
      </c>
      <c r="B450" t="e">
        <f>AND(#REF!,"AAAAAFfffwE=")</f>
        <v>#REF!</v>
      </c>
      <c r="C450" t="e">
        <f>AND(#REF!,"AAAAAFfffwI=")</f>
        <v>#REF!</v>
      </c>
      <c r="D450" t="e">
        <f>AND(#REF!,"AAAAAFfffwM=")</f>
        <v>#REF!</v>
      </c>
      <c r="E450" t="e">
        <f>AND(#REF!,"AAAAAFfffwQ=")</f>
        <v>#REF!</v>
      </c>
      <c r="F450" t="e">
        <f>AND(#REF!,"AAAAAFfffwU=")</f>
        <v>#REF!</v>
      </c>
      <c r="G450" t="e">
        <f>AND(#REF!,"AAAAAFfffwY=")</f>
        <v>#REF!</v>
      </c>
      <c r="H450" t="e">
        <f>AND(#REF!,"AAAAAFfffwc=")</f>
        <v>#REF!</v>
      </c>
      <c r="I450" t="e">
        <f>AND(#REF!,"AAAAAFfffwg=")</f>
        <v>#REF!</v>
      </c>
      <c r="J450" t="e">
        <f>IF(#REF!,"AAAAAFfffwk=",0)</f>
        <v>#REF!</v>
      </c>
      <c r="K450" t="e">
        <f>AND(#REF!,"AAAAAFfffwo=")</f>
        <v>#REF!</v>
      </c>
      <c r="L450" t="e">
        <f>AND(#REF!,"AAAAAFfffws=")</f>
        <v>#REF!</v>
      </c>
      <c r="M450" t="e">
        <f>AND(#REF!,"AAAAAFfffww=")</f>
        <v>#REF!</v>
      </c>
      <c r="N450" t="e">
        <f>AND(#REF!,"AAAAAFfffw0=")</f>
        <v>#REF!</v>
      </c>
      <c r="O450" t="e">
        <f>AND(#REF!,"AAAAAFfffw4=")</f>
        <v>#REF!</v>
      </c>
      <c r="P450" t="e">
        <f>AND(#REF!,"AAAAAFfffw8=")</f>
        <v>#REF!</v>
      </c>
      <c r="Q450" t="e">
        <f>AND(#REF!,"AAAAAFfffxA=")</f>
        <v>#REF!</v>
      </c>
      <c r="R450" t="e">
        <f>AND(#REF!,"AAAAAFfffxE=")</f>
        <v>#REF!</v>
      </c>
      <c r="S450" t="e">
        <f>AND(#REF!,"AAAAAFfffxI=")</f>
        <v>#REF!</v>
      </c>
      <c r="T450" t="e">
        <f>AND(#REF!,"AAAAAFfffxM=")</f>
        <v>#REF!</v>
      </c>
      <c r="U450" t="e">
        <f>IF(#REF!,"AAAAAFfffxQ=",0)</f>
        <v>#REF!</v>
      </c>
      <c r="V450" t="e">
        <f>AND(#REF!,"AAAAAFfffxU=")</f>
        <v>#REF!</v>
      </c>
      <c r="W450" t="e">
        <f>AND(#REF!,"AAAAAFfffxY=")</f>
        <v>#REF!</v>
      </c>
      <c r="X450" t="e">
        <f>AND(#REF!,"AAAAAFfffxc=")</f>
        <v>#REF!</v>
      </c>
      <c r="Y450" t="e">
        <f>AND(#REF!,"AAAAAFfffxg=")</f>
        <v>#REF!</v>
      </c>
      <c r="Z450" t="e">
        <f>AND(#REF!,"AAAAAFfffxk=")</f>
        <v>#REF!</v>
      </c>
      <c r="AA450" t="e">
        <f>AND(#REF!,"AAAAAFfffxo=")</f>
        <v>#REF!</v>
      </c>
      <c r="AB450" t="e">
        <f>AND(#REF!,"AAAAAFfffxs=")</f>
        <v>#REF!</v>
      </c>
      <c r="AC450" t="e">
        <f>AND(#REF!,"AAAAAFfffxw=")</f>
        <v>#REF!</v>
      </c>
      <c r="AD450" t="e">
        <f>AND(#REF!,"AAAAAFfffx0=")</f>
        <v>#REF!</v>
      </c>
      <c r="AE450" t="e">
        <f>AND(#REF!,"AAAAAFfffx4=")</f>
        <v>#REF!</v>
      </c>
      <c r="AF450" t="e">
        <f>IF(#REF!,"AAAAAFfffx8=",0)</f>
        <v>#REF!</v>
      </c>
      <c r="AG450" t="e">
        <f>AND(#REF!,"AAAAAFfffyA=")</f>
        <v>#REF!</v>
      </c>
      <c r="AH450" t="e">
        <f>AND(#REF!,"AAAAAFfffyE=")</f>
        <v>#REF!</v>
      </c>
      <c r="AI450" t="e">
        <f>AND(#REF!,"AAAAAFfffyI=")</f>
        <v>#REF!</v>
      </c>
      <c r="AJ450" t="e">
        <f>AND(#REF!,"AAAAAFfffyM=")</f>
        <v>#REF!</v>
      </c>
      <c r="AK450" t="e">
        <f>AND(#REF!,"AAAAAFfffyQ=")</f>
        <v>#REF!</v>
      </c>
      <c r="AL450" t="e">
        <f>AND(#REF!,"AAAAAFfffyU=")</f>
        <v>#REF!</v>
      </c>
      <c r="AM450" t="e">
        <f>AND(#REF!,"AAAAAFfffyY=")</f>
        <v>#REF!</v>
      </c>
      <c r="AN450" t="e">
        <f>AND(#REF!,"AAAAAFfffyc=")</f>
        <v>#REF!</v>
      </c>
      <c r="AO450" t="e">
        <f>AND(#REF!,"AAAAAFfffyg=")</f>
        <v>#REF!</v>
      </c>
      <c r="AP450" t="e">
        <f>AND(#REF!,"AAAAAFfffyk=")</f>
        <v>#REF!</v>
      </c>
      <c r="AQ450" t="e">
        <f>IF(#REF!,"AAAAAFfffyo=",0)</f>
        <v>#REF!</v>
      </c>
      <c r="AR450" t="e">
        <f>AND(#REF!,"AAAAAFfffys=")</f>
        <v>#REF!</v>
      </c>
      <c r="AS450" t="e">
        <f>AND(#REF!,"AAAAAFfffyw=")</f>
        <v>#REF!</v>
      </c>
      <c r="AT450" t="e">
        <f>AND(#REF!,"AAAAAFfffy0=")</f>
        <v>#REF!</v>
      </c>
      <c r="AU450" t="e">
        <f>AND(#REF!,"AAAAAFfffy4=")</f>
        <v>#REF!</v>
      </c>
      <c r="AV450" t="e">
        <f>AND(#REF!,"AAAAAFfffy8=")</f>
        <v>#REF!</v>
      </c>
      <c r="AW450" t="e">
        <f>AND(#REF!,"AAAAAFfffzA=")</f>
        <v>#REF!</v>
      </c>
      <c r="AX450" t="e">
        <f>AND(#REF!,"AAAAAFfffzE=")</f>
        <v>#REF!</v>
      </c>
      <c r="AY450" t="e">
        <f>AND(#REF!,"AAAAAFfffzI=")</f>
        <v>#REF!</v>
      </c>
      <c r="AZ450" t="e">
        <f>AND(#REF!,"AAAAAFfffzM=")</f>
        <v>#REF!</v>
      </c>
      <c r="BA450" t="e">
        <f>AND(#REF!,"AAAAAFfffzQ=")</f>
        <v>#REF!</v>
      </c>
      <c r="BB450" t="e">
        <f>IF(#REF!,"AAAAAFfffzU=",0)</f>
        <v>#REF!</v>
      </c>
      <c r="BC450" t="e">
        <f>AND(#REF!,"AAAAAFfffzY=")</f>
        <v>#REF!</v>
      </c>
      <c r="BD450" t="e">
        <f>AND(#REF!,"AAAAAFfffzc=")</f>
        <v>#REF!</v>
      </c>
      <c r="BE450" t="e">
        <f>AND(#REF!,"AAAAAFfffzg=")</f>
        <v>#REF!</v>
      </c>
      <c r="BF450" t="e">
        <f>AND(#REF!,"AAAAAFfffzk=")</f>
        <v>#REF!</v>
      </c>
      <c r="BG450" t="e">
        <f>AND(#REF!,"AAAAAFfffzo=")</f>
        <v>#REF!</v>
      </c>
      <c r="BH450" t="e">
        <f>AND(#REF!,"AAAAAFfffzs=")</f>
        <v>#REF!</v>
      </c>
      <c r="BI450" t="e">
        <f>AND(#REF!,"AAAAAFfffzw=")</f>
        <v>#REF!</v>
      </c>
      <c r="BJ450" t="e">
        <f>AND(#REF!,"AAAAAFfffz0=")</f>
        <v>#REF!</v>
      </c>
      <c r="BK450" t="e">
        <f>AND(#REF!,"AAAAAFfffz4=")</f>
        <v>#REF!</v>
      </c>
      <c r="BL450" t="e">
        <f>AND(#REF!,"AAAAAFfffz8=")</f>
        <v>#REF!</v>
      </c>
      <c r="BM450" t="e">
        <f>IF(#REF!,"AAAAAFfff0A=",0)</f>
        <v>#REF!</v>
      </c>
      <c r="BN450" t="e">
        <f>AND(#REF!,"AAAAAFfff0E=")</f>
        <v>#REF!</v>
      </c>
      <c r="BO450" t="e">
        <f>AND(#REF!,"AAAAAFfff0I=")</f>
        <v>#REF!</v>
      </c>
      <c r="BP450" t="e">
        <f>AND(#REF!,"AAAAAFfff0M=")</f>
        <v>#REF!</v>
      </c>
      <c r="BQ450" t="e">
        <f>AND(#REF!,"AAAAAFfff0Q=")</f>
        <v>#REF!</v>
      </c>
      <c r="BR450" t="e">
        <f>AND(#REF!,"AAAAAFfff0U=")</f>
        <v>#REF!</v>
      </c>
      <c r="BS450" t="e">
        <f>AND(#REF!,"AAAAAFfff0Y=")</f>
        <v>#REF!</v>
      </c>
      <c r="BT450" t="e">
        <f>AND(#REF!,"AAAAAFfff0c=")</f>
        <v>#REF!</v>
      </c>
      <c r="BU450" t="e">
        <f>AND(#REF!,"AAAAAFfff0g=")</f>
        <v>#REF!</v>
      </c>
      <c r="BV450" t="e">
        <f>AND(#REF!,"AAAAAFfff0k=")</f>
        <v>#REF!</v>
      </c>
      <c r="BW450" t="e">
        <f>AND(#REF!,"AAAAAFfff0o=")</f>
        <v>#REF!</v>
      </c>
      <c r="BX450" t="e">
        <f>IF(#REF!,"AAAAAFfff0s=",0)</f>
        <v>#REF!</v>
      </c>
      <c r="BY450" t="e">
        <f>AND(#REF!,"AAAAAFfff0w=")</f>
        <v>#REF!</v>
      </c>
      <c r="BZ450" t="e">
        <f>AND(#REF!,"AAAAAFfff00=")</f>
        <v>#REF!</v>
      </c>
      <c r="CA450" t="e">
        <f>AND(#REF!,"AAAAAFfff04=")</f>
        <v>#REF!</v>
      </c>
      <c r="CB450" t="e">
        <f>AND(#REF!,"AAAAAFfff08=")</f>
        <v>#REF!</v>
      </c>
      <c r="CC450" t="e">
        <f>AND(#REF!,"AAAAAFfff1A=")</f>
        <v>#REF!</v>
      </c>
      <c r="CD450" t="e">
        <f>AND(#REF!,"AAAAAFfff1E=")</f>
        <v>#REF!</v>
      </c>
      <c r="CE450" t="e">
        <f>AND(#REF!,"AAAAAFfff1I=")</f>
        <v>#REF!</v>
      </c>
      <c r="CF450" t="e">
        <f>AND(#REF!,"AAAAAFfff1M=")</f>
        <v>#REF!</v>
      </c>
      <c r="CG450" t="e">
        <f>AND(#REF!,"AAAAAFfff1Q=")</f>
        <v>#REF!</v>
      </c>
      <c r="CH450" t="e">
        <f>AND(#REF!,"AAAAAFfff1U=")</f>
        <v>#REF!</v>
      </c>
      <c r="CI450" t="e">
        <f>IF(#REF!,"AAAAAFfff1Y=",0)</f>
        <v>#REF!</v>
      </c>
      <c r="CJ450" t="e">
        <f>AND(#REF!,"AAAAAFfff1c=")</f>
        <v>#REF!</v>
      </c>
      <c r="CK450" t="e">
        <f>AND(#REF!,"AAAAAFfff1g=")</f>
        <v>#REF!</v>
      </c>
      <c r="CL450" t="e">
        <f>AND(#REF!,"AAAAAFfff1k=")</f>
        <v>#REF!</v>
      </c>
      <c r="CM450" t="e">
        <f>AND(#REF!,"AAAAAFfff1o=")</f>
        <v>#REF!</v>
      </c>
      <c r="CN450" t="e">
        <f>AND(#REF!,"AAAAAFfff1s=")</f>
        <v>#REF!</v>
      </c>
      <c r="CO450" t="e">
        <f>AND(#REF!,"AAAAAFfff1w=")</f>
        <v>#REF!</v>
      </c>
      <c r="CP450" t="e">
        <f>AND(#REF!,"AAAAAFfff10=")</f>
        <v>#REF!</v>
      </c>
      <c r="CQ450" t="e">
        <f>AND(#REF!,"AAAAAFfff14=")</f>
        <v>#REF!</v>
      </c>
      <c r="CR450" t="e">
        <f>AND(#REF!,"AAAAAFfff18=")</f>
        <v>#REF!</v>
      </c>
      <c r="CS450" t="e">
        <f>AND(#REF!,"AAAAAFfff2A=")</f>
        <v>#REF!</v>
      </c>
      <c r="CT450" t="e">
        <f>IF(#REF!,"AAAAAFfff2E=",0)</f>
        <v>#REF!</v>
      </c>
      <c r="CU450" t="e">
        <f>AND(#REF!,"AAAAAFfff2I=")</f>
        <v>#REF!</v>
      </c>
      <c r="CV450" t="e">
        <f>AND(#REF!,"AAAAAFfff2M=")</f>
        <v>#REF!</v>
      </c>
      <c r="CW450" t="e">
        <f>AND(#REF!,"AAAAAFfff2Q=")</f>
        <v>#REF!</v>
      </c>
      <c r="CX450" t="e">
        <f>AND(#REF!,"AAAAAFfff2U=")</f>
        <v>#REF!</v>
      </c>
      <c r="CY450" t="e">
        <f>AND(#REF!,"AAAAAFfff2Y=")</f>
        <v>#REF!</v>
      </c>
      <c r="CZ450" t="e">
        <f>AND(#REF!,"AAAAAFfff2c=")</f>
        <v>#REF!</v>
      </c>
      <c r="DA450" t="e">
        <f>AND(#REF!,"AAAAAFfff2g=")</f>
        <v>#REF!</v>
      </c>
      <c r="DB450" t="e">
        <f>AND(#REF!,"AAAAAFfff2k=")</f>
        <v>#REF!</v>
      </c>
      <c r="DC450" t="e">
        <f>AND(#REF!,"AAAAAFfff2o=")</f>
        <v>#REF!</v>
      </c>
      <c r="DD450" t="e">
        <f>AND(#REF!,"AAAAAFfff2s=")</f>
        <v>#REF!</v>
      </c>
      <c r="DE450" t="e">
        <f>IF(#REF!,"AAAAAFfff2w=",0)</f>
        <v>#REF!</v>
      </c>
      <c r="DF450" t="e">
        <f>AND(#REF!,"AAAAAFfff20=")</f>
        <v>#REF!</v>
      </c>
      <c r="DG450" t="e">
        <f>AND(#REF!,"AAAAAFfff24=")</f>
        <v>#REF!</v>
      </c>
      <c r="DH450" t="e">
        <f>AND(#REF!,"AAAAAFfff28=")</f>
        <v>#REF!</v>
      </c>
      <c r="DI450" t="e">
        <f>AND(#REF!,"AAAAAFfff3A=")</f>
        <v>#REF!</v>
      </c>
      <c r="DJ450" t="e">
        <f>AND(#REF!,"AAAAAFfff3E=")</f>
        <v>#REF!</v>
      </c>
      <c r="DK450" t="e">
        <f>AND(#REF!,"AAAAAFfff3I=")</f>
        <v>#REF!</v>
      </c>
      <c r="DL450" t="e">
        <f>AND(#REF!,"AAAAAFfff3M=")</f>
        <v>#REF!</v>
      </c>
      <c r="DM450" t="e">
        <f>AND(#REF!,"AAAAAFfff3Q=")</f>
        <v>#REF!</v>
      </c>
      <c r="DN450" t="e">
        <f>AND(#REF!,"AAAAAFfff3U=")</f>
        <v>#REF!</v>
      </c>
      <c r="DO450" t="e">
        <f>AND(#REF!,"AAAAAFfff3Y=")</f>
        <v>#REF!</v>
      </c>
      <c r="DP450" t="e">
        <f>IF(#REF!,"AAAAAFfff3c=",0)</f>
        <v>#REF!</v>
      </c>
      <c r="DQ450" t="e">
        <f>AND(#REF!,"AAAAAFfff3g=")</f>
        <v>#REF!</v>
      </c>
      <c r="DR450" t="e">
        <f>AND(#REF!,"AAAAAFfff3k=")</f>
        <v>#REF!</v>
      </c>
      <c r="DS450" t="e">
        <f>AND(#REF!,"AAAAAFfff3o=")</f>
        <v>#REF!</v>
      </c>
      <c r="DT450" t="e">
        <f>AND(#REF!,"AAAAAFfff3s=")</f>
        <v>#REF!</v>
      </c>
      <c r="DU450" t="e">
        <f>AND(#REF!,"AAAAAFfff3w=")</f>
        <v>#REF!</v>
      </c>
      <c r="DV450" t="e">
        <f>AND(#REF!,"AAAAAFfff30=")</f>
        <v>#REF!</v>
      </c>
      <c r="DW450" t="e">
        <f>AND(#REF!,"AAAAAFfff34=")</f>
        <v>#REF!</v>
      </c>
      <c r="DX450" t="e">
        <f>AND(#REF!,"AAAAAFfff38=")</f>
        <v>#REF!</v>
      </c>
      <c r="DY450" t="e">
        <f>AND(#REF!,"AAAAAFfff4A=")</f>
        <v>#REF!</v>
      </c>
      <c r="DZ450" t="e">
        <f>AND(#REF!,"AAAAAFfff4E=")</f>
        <v>#REF!</v>
      </c>
      <c r="EA450" t="e">
        <f>IF(#REF!,"AAAAAFfff4I=",0)</f>
        <v>#REF!</v>
      </c>
      <c r="EB450" t="e">
        <f>AND(#REF!,"AAAAAFfff4M=")</f>
        <v>#REF!</v>
      </c>
      <c r="EC450" t="e">
        <f>AND(#REF!,"AAAAAFfff4Q=")</f>
        <v>#REF!</v>
      </c>
      <c r="ED450" t="e">
        <f>AND(#REF!,"AAAAAFfff4U=")</f>
        <v>#REF!</v>
      </c>
      <c r="EE450" t="e">
        <f>AND(#REF!,"AAAAAFfff4Y=")</f>
        <v>#REF!</v>
      </c>
      <c r="EF450" t="e">
        <f>AND(#REF!,"AAAAAFfff4c=")</f>
        <v>#REF!</v>
      </c>
      <c r="EG450" t="e">
        <f>AND(#REF!,"AAAAAFfff4g=")</f>
        <v>#REF!</v>
      </c>
      <c r="EH450" t="e">
        <f>AND(#REF!,"AAAAAFfff4k=")</f>
        <v>#REF!</v>
      </c>
      <c r="EI450" t="e">
        <f>AND(#REF!,"AAAAAFfff4o=")</f>
        <v>#REF!</v>
      </c>
      <c r="EJ450" t="e">
        <f>AND(#REF!,"AAAAAFfff4s=")</f>
        <v>#REF!</v>
      </c>
      <c r="EK450" t="e">
        <f>AND(#REF!,"AAAAAFfff4w=")</f>
        <v>#REF!</v>
      </c>
      <c r="EL450" t="e">
        <f>IF(#REF!,"AAAAAFfff40=",0)</f>
        <v>#REF!</v>
      </c>
      <c r="EM450" t="e">
        <f>AND(#REF!,"AAAAAFfff44=")</f>
        <v>#REF!</v>
      </c>
      <c r="EN450" t="e">
        <f>AND(#REF!,"AAAAAFfff48=")</f>
        <v>#REF!</v>
      </c>
      <c r="EO450" t="e">
        <f>AND(#REF!,"AAAAAFfff5A=")</f>
        <v>#REF!</v>
      </c>
      <c r="EP450" t="e">
        <f>AND(#REF!,"AAAAAFfff5E=")</f>
        <v>#REF!</v>
      </c>
      <c r="EQ450" t="e">
        <f>AND(#REF!,"AAAAAFfff5I=")</f>
        <v>#REF!</v>
      </c>
      <c r="ER450" t="e">
        <f>AND(#REF!,"AAAAAFfff5M=")</f>
        <v>#REF!</v>
      </c>
      <c r="ES450" t="e">
        <f>AND(#REF!,"AAAAAFfff5Q=")</f>
        <v>#REF!</v>
      </c>
      <c r="ET450" t="e">
        <f>AND(#REF!,"AAAAAFfff5U=")</f>
        <v>#REF!</v>
      </c>
      <c r="EU450" t="e">
        <f>AND(#REF!,"AAAAAFfff5Y=")</f>
        <v>#REF!</v>
      </c>
      <c r="EV450" t="e">
        <f>AND(#REF!,"AAAAAFfff5c=")</f>
        <v>#REF!</v>
      </c>
      <c r="EW450" t="e">
        <f>IF(#REF!,"AAAAAFfff5g=",0)</f>
        <v>#REF!</v>
      </c>
      <c r="EX450" t="e">
        <f>AND(#REF!,"AAAAAFfff5k=")</f>
        <v>#REF!</v>
      </c>
      <c r="EY450" t="e">
        <f>AND(#REF!,"AAAAAFfff5o=")</f>
        <v>#REF!</v>
      </c>
      <c r="EZ450" t="e">
        <f>AND(#REF!,"AAAAAFfff5s=")</f>
        <v>#REF!</v>
      </c>
      <c r="FA450" t="e">
        <f>AND(#REF!,"AAAAAFfff5w=")</f>
        <v>#REF!</v>
      </c>
      <c r="FB450" t="e">
        <f>AND(#REF!,"AAAAAFfff50=")</f>
        <v>#REF!</v>
      </c>
      <c r="FC450" t="e">
        <f>AND(#REF!,"AAAAAFfff54=")</f>
        <v>#REF!</v>
      </c>
      <c r="FD450" t="e">
        <f>AND(#REF!,"AAAAAFfff58=")</f>
        <v>#REF!</v>
      </c>
      <c r="FE450" t="e">
        <f>AND(#REF!,"AAAAAFfff6A=")</f>
        <v>#REF!</v>
      </c>
      <c r="FF450" t="e">
        <f>AND(#REF!,"AAAAAFfff6E=")</f>
        <v>#REF!</v>
      </c>
      <c r="FG450" t="e">
        <f>AND(#REF!,"AAAAAFfff6I=")</f>
        <v>#REF!</v>
      </c>
      <c r="FH450" t="e">
        <f>IF(#REF!,"AAAAAFfff6M=",0)</f>
        <v>#REF!</v>
      </c>
      <c r="FI450" t="e">
        <f>AND(#REF!,"AAAAAFfff6Q=")</f>
        <v>#REF!</v>
      </c>
      <c r="FJ450" t="e">
        <f>AND(#REF!,"AAAAAFfff6U=")</f>
        <v>#REF!</v>
      </c>
      <c r="FK450" t="e">
        <f>AND(#REF!,"AAAAAFfff6Y=")</f>
        <v>#REF!</v>
      </c>
      <c r="FL450" t="e">
        <f>AND(#REF!,"AAAAAFfff6c=")</f>
        <v>#REF!</v>
      </c>
      <c r="FM450" t="e">
        <f>AND(#REF!,"AAAAAFfff6g=")</f>
        <v>#REF!</v>
      </c>
      <c r="FN450" t="e">
        <f>AND(#REF!,"AAAAAFfff6k=")</f>
        <v>#REF!</v>
      </c>
      <c r="FO450" t="e">
        <f>AND(#REF!,"AAAAAFfff6o=")</f>
        <v>#REF!</v>
      </c>
      <c r="FP450" t="e">
        <f>AND(#REF!,"AAAAAFfff6s=")</f>
        <v>#REF!</v>
      </c>
      <c r="FQ450" t="e">
        <f>AND(#REF!,"AAAAAFfff6w=")</f>
        <v>#REF!</v>
      </c>
      <c r="FR450" t="e">
        <f>AND(#REF!,"AAAAAFfff60=")</f>
        <v>#REF!</v>
      </c>
      <c r="FS450" t="e">
        <f>IF(#REF!,"AAAAAFfff64=",0)</f>
        <v>#REF!</v>
      </c>
      <c r="FT450" t="e">
        <f>AND(#REF!,"AAAAAFfff68=")</f>
        <v>#REF!</v>
      </c>
      <c r="FU450" t="e">
        <f>AND(#REF!,"AAAAAFfff7A=")</f>
        <v>#REF!</v>
      </c>
      <c r="FV450" t="e">
        <f>AND(#REF!,"AAAAAFfff7E=")</f>
        <v>#REF!</v>
      </c>
      <c r="FW450" t="e">
        <f>AND(#REF!,"AAAAAFfff7I=")</f>
        <v>#REF!</v>
      </c>
      <c r="FX450" t="e">
        <f>AND(#REF!,"AAAAAFfff7M=")</f>
        <v>#REF!</v>
      </c>
      <c r="FY450" t="e">
        <f>AND(#REF!,"AAAAAFfff7Q=")</f>
        <v>#REF!</v>
      </c>
      <c r="FZ450" t="e">
        <f>AND(#REF!,"AAAAAFfff7U=")</f>
        <v>#REF!</v>
      </c>
      <c r="GA450" t="e">
        <f>AND(#REF!,"AAAAAFfff7Y=")</f>
        <v>#REF!</v>
      </c>
      <c r="GB450" t="e">
        <f>AND(#REF!,"AAAAAFfff7c=")</f>
        <v>#REF!</v>
      </c>
      <c r="GC450" t="e">
        <f>AND(#REF!,"AAAAAFfff7g=")</f>
        <v>#REF!</v>
      </c>
      <c r="GD450" t="e">
        <f>IF(#REF!,"AAAAAFfff7k=",0)</f>
        <v>#REF!</v>
      </c>
      <c r="GE450" t="e">
        <f>AND(#REF!,"AAAAAFfff7o=")</f>
        <v>#REF!</v>
      </c>
      <c r="GF450" t="e">
        <f>AND(#REF!,"AAAAAFfff7s=")</f>
        <v>#REF!</v>
      </c>
      <c r="GG450" t="e">
        <f>AND(#REF!,"AAAAAFfff7w=")</f>
        <v>#REF!</v>
      </c>
      <c r="GH450" t="e">
        <f>AND(#REF!,"AAAAAFfff70=")</f>
        <v>#REF!</v>
      </c>
      <c r="GI450" t="e">
        <f>AND(#REF!,"AAAAAFfff74=")</f>
        <v>#REF!</v>
      </c>
      <c r="GJ450" t="e">
        <f>AND(#REF!,"AAAAAFfff78=")</f>
        <v>#REF!</v>
      </c>
      <c r="GK450" t="e">
        <f>AND(#REF!,"AAAAAFfff8A=")</f>
        <v>#REF!</v>
      </c>
      <c r="GL450" t="e">
        <f>AND(#REF!,"AAAAAFfff8E=")</f>
        <v>#REF!</v>
      </c>
      <c r="GM450" t="e">
        <f>AND(#REF!,"AAAAAFfff8I=")</f>
        <v>#REF!</v>
      </c>
      <c r="GN450" t="e">
        <f>AND(#REF!,"AAAAAFfff8M=")</f>
        <v>#REF!</v>
      </c>
      <c r="GO450" t="e">
        <f>IF(#REF!,"AAAAAFfff8Q=",0)</f>
        <v>#REF!</v>
      </c>
      <c r="GP450" t="e">
        <f>AND(#REF!,"AAAAAFfff8U=")</f>
        <v>#REF!</v>
      </c>
      <c r="GQ450" t="e">
        <f>AND(#REF!,"AAAAAFfff8Y=")</f>
        <v>#REF!</v>
      </c>
      <c r="GR450" t="e">
        <f>AND(#REF!,"AAAAAFfff8c=")</f>
        <v>#REF!</v>
      </c>
      <c r="GS450" t="e">
        <f>AND(#REF!,"AAAAAFfff8g=")</f>
        <v>#REF!</v>
      </c>
      <c r="GT450" t="e">
        <f>AND(#REF!,"AAAAAFfff8k=")</f>
        <v>#REF!</v>
      </c>
      <c r="GU450" t="e">
        <f>AND(#REF!,"AAAAAFfff8o=")</f>
        <v>#REF!</v>
      </c>
      <c r="GV450" t="e">
        <f>AND(#REF!,"AAAAAFfff8s=")</f>
        <v>#REF!</v>
      </c>
      <c r="GW450" t="e">
        <f>AND(#REF!,"AAAAAFfff8w=")</f>
        <v>#REF!</v>
      </c>
      <c r="GX450" t="e">
        <f>AND(#REF!,"AAAAAFfff80=")</f>
        <v>#REF!</v>
      </c>
      <c r="GY450" t="e">
        <f>AND(#REF!,"AAAAAFfff84=")</f>
        <v>#REF!</v>
      </c>
      <c r="GZ450" t="e">
        <f>IF(#REF!,"AAAAAFfff88=",0)</f>
        <v>#REF!</v>
      </c>
      <c r="HA450" t="e">
        <f>AND(#REF!,"AAAAAFfff9A=")</f>
        <v>#REF!</v>
      </c>
      <c r="HB450" t="e">
        <f>AND(#REF!,"AAAAAFfff9E=")</f>
        <v>#REF!</v>
      </c>
      <c r="HC450" t="e">
        <f>AND(#REF!,"AAAAAFfff9I=")</f>
        <v>#REF!</v>
      </c>
      <c r="HD450" t="e">
        <f>AND(#REF!,"AAAAAFfff9M=")</f>
        <v>#REF!</v>
      </c>
      <c r="HE450" t="e">
        <f>AND(#REF!,"AAAAAFfff9Q=")</f>
        <v>#REF!</v>
      </c>
      <c r="HF450" t="e">
        <f>AND(#REF!,"AAAAAFfff9U=")</f>
        <v>#REF!</v>
      </c>
      <c r="HG450" t="e">
        <f>AND(#REF!,"AAAAAFfff9Y=")</f>
        <v>#REF!</v>
      </c>
      <c r="HH450" t="e">
        <f>AND(#REF!,"AAAAAFfff9c=")</f>
        <v>#REF!</v>
      </c>
      <c r="HI450" t="e">
        <f>AND(#REF!,"AAAAAFfff9g=")</f>
        <v>#REF!</v>
      </c>
      <c r="HJ450" t="e">
        <f>AND(#REF!,"AAAAAFfff9k=")</f>
        <v>#REF!</v>
      </c>
      <c r="HK450" t="e">
        <f>IF(#REF!,"AAAAAFfff9o=",0)</f>
        <v>#REF!</v>
      </c>
      <c r="HL450" t="e">
        <f>AND(#REF!,"AAAAAFfff9s=")</f>
        <v>#REF!</v>
      </c>
      <c r="HM450" t="e">
        <f>AND(#REF!,"AAAAAFfff9w=")</f>
        <v>#REF!</v>
      </c>
      <c r="HN450" t="e">
        <f>AND(#REF!,"AAAAAFfff90=")</f>
        <v>#REF!</v>
      </c>
      <c r="HO450" t="e">
        <f>AND(#REF!,"AAAAAFfff94=")</f>
        <v>#REF!</v>
      </c>
      <c r="HP450" t="e">
        <f>AND(#REF!,"AAAAAFfff98=")</f>
        <v>#REF!</v>
      </c>
      <c r="HQ450" t="e">
        <f>AND(#REF!,"AAAAAFfff+A=")</f>
        <v>#REF!</v>
      </c>
      <c r="HR450" t="e">
        <f>AND(#REF!,"AAAAAFfff+E=")</f>
        <v>#REF!</v>
      </c>
      <c r="HS450" t="e">
        <f>AND(#REF!,"AAAAAFfff+I=")</f>
        <v>#REF!</v>
      </c>
      <c r="HT450" t="e">
        <f>AND(#REF!,"AAAAAFfff+M=")</f>
        <v>#REF!</v>
      </c>
      <c r="HU450" t="e">
        <f>AND(#REF!,"AAAAAFfff+Q=")</f>
        <v>#REF!</v>
      </c>
      <c r="HV450" t="e">
        <f>IF(#REF!,"AAAAAFfff+U=",0)</f>
        <v>#REF!</v>
      </c>
      <c r="HW450" t="e">
        <f>AND(#REF!,"AAAAAFfff+Y=")</f>
        <v>#REF!</v>
      </c>
      <c r="HX450" t="e">
        <f>AND(#REF!,"AAAAAFfff+c=")</f>
        <v>#REF!</v>
      </c>
      <c r="HY450" t="e">
        <f>AND(#REF!,"AAAAAFfff+g=")</f>
        <v>#REF!</v>
      </c>
      <c r="HZ450" t="e">
        <f>AND(#REF!,"AAAAAFfff+k=")</f>
        <v>#REF!</v>
      </c>
      <c r="IA450" t="e">
        <f>AND(#REF!,"AAAAAFfff+o=")</f>
        <v>#REF!</v>
      </c>
      <c r="IB450" t="e">
        <f>AND(#REF!,"AAAAAFfff+s=")</f>
        <v>#REF!</v>
      </c>
      <c r="IC450" t="e">
        <f>AND(#REF!,"AAAAAFfff+w=")</f>
        <v>#REF!</v>
      </c>
      <c r="ID450" t="e">
        <f>AND(#REF!,"AAAAAFfff+0=")</f>
        <v>#REF!</v>
      </c>
      <c r="IE450" t="e">
        <f>AND(#REF!,"AAAAAFfff+4=")</f>
        <v>#REF!</v>
      </c>
      <c r="IF450" t="e">
        <f>AND(#REF!,"AAAAAFfff+8=")</f>
        <v>#REF!</v>
      </c>
      <c r="IG450" t="e">
        <f>IF(#REF!,"AAAAAFfff/A=",0)</f>
        <v>#REF!</v>
      </c>
      <c r="IH450" t="e">
        <f>AND(#REF!,"AAAAAFfff/E=")</f>
        <v>#REF!</v>
      </c>
      <c r="II450" t="e">
        <f>AND(#REF!,"AAAAAFfff/I=")</f>
        <v>#REF!</v>
      </c>
      <c r="IJ450" t="e">
        <f>AND(#REF!,"AAAAAFfff/M=")</f>
        <v>#REF!</v>
      </c>
      <c r="IK450" t="e">
        <f>AND(#REF!,"AAAAAFfff/Q=")</f>
        <v>#REF!</v>
      </c>
      <c r="IL450" t="e">
        <f>AND(#REF!,"AAAAAFfff/U=")</f>
        <v>#REF!</v>
      </c>
      <c r="IM450" t="e">
        <f>AND(#REF!,"AAAAAFfff/Y=")</f>
        <v>#REF!</v>
      </c>
      <c r="IN450" t="e">
        <f>AND(#REF!,"AAAAAFfff/c=")</f>
        <v>#REF!</v>
      </c>
      <c r="IO450" t="e">
        <f>AND(#REF!,"AAAAAFfff/g=")</f>
        <v>#REF!</v>
      </c>
      <c r="IP450" t="e">
        <f>AND(#REF!,"AAAAAFfff/k=")</f>
        <v>#REF!</v>
      </c>
      <c r="IQ450" t="e">
        <f>AND(#REF!,"AAAAAFfff/o=")</f>
        <v>#REF!</v>
      </c>
      <c r="IR450" t="e">
        <f>IF(#REF!,"AAAAAFfff/s=",0)</f>
        <v>#REF!</v>
      </c>
      <c r="IS450" t="e">
        <f>AND(#REF!,"AAAAAFfff/w=")</f>
        <v>#REF!</v>
      </c>
      <c r="IT450" t="e">
        <f>AND(#REF!,"AAAAAFfff/0=")</f>
        <v>#REF!</v>
      </c>
      <c r="IU450" t="e">
        <f>AND(#REF!,"AAAAAFfff/4=")</f>
        <v>#REF!</v>
      </c>
      <c r="IV450" t="e">
        <f>AND(#REF!,"AAAAAFfff/8=")</f>
        <v>#REF!</v>
      </c>
    </row>
    <row r="451" spans="1:256" x14ac:dyDescent="0.25">
      <c r="A451" t="e">
        <f>AND(#REF!,"AAAAAH/9fwA=")</f>
        <v>#REF!</v>
      </c>
      <c r="B451" t="e">
        <f>AND(#REF!,"AAAAAH/9fwE=")</f>
        <v>#REF!</v>
      </c>
      <c r="C451" t="e">
        <f>AND(#REF!,"AAAAAH/9fwI=")</f>
        <v>#REF!</v>
      </c>
      <c r="D451" t="e">
        <f>AND(#REF!,"AAAAAH/9fwM=")</f>
        <v>#REF!</v>
      </c>
      <c r="E451" t="e">
        <f>AND(#REF!,"AAAAAH/9fwQ=")</f>
        <v>#REF!</v>
      </c>
      <c r="F451" t="e">
        <f>AND(#REF!,"AAAAAH/9fwU=")</f>
        <v>#REF!</v>
      </c>
      <c r="G451" t="e">
        <f>IF(#REF!,"AAAAAH/9fwY=",0)</f>
        <v>#REF!</v>
      </c>
      <c r="H451" t="e">
        <f>AND(#REF!,"AAAAAH/9fwc=")</f>
        <v>#REF!</v>
      </c>
      <c r="I451" t="e">
        <f>AND(#REF!,"AAAAAH/9fwg=")</f>
        <v>#REF!</v>
      </c>
      <c r="J451" t="e">
        <f>AND(#REF!,"AAAAAH/9fwk=")</f>
        <v>#REF!</v>
      </c>
      <c r="K451" t="e">
        <f>AND(#REF!,"AAAAAH/9fwo=")</f>
        <v>#REF!</v>
      </c>
      <c r="L451" t="e">
        <f>AND(#REF!,"AAAAAH/9fws=")</f>
        <v>#REF!</v>
      </c>
      <c r="M451" t="e">
        <f>AND(#REF!,"AAAAAH/9fww=")</f>
        <v>#REF!</v>
      </c>
      <c r="N451" t="e">
        <f>AND(#REF!,"AAAAAH/9fw0=")</f>
        <v>#REF!</v>
      </c>
      <c r="O451" t="e">
        <f>AND(#REF!,"AAAAAH/9fw4=")</f>
        <v>#REF!</v>
      </c>
      <c r="P451" t="e">
        <f>AND(#REF!,"AAAAAH/9fw8=")</f>
        <v>#REF!</v>
      </c>
      <c r="Q451" t="e">
        <f>AND(#REF!,"AAAAAH/9fxA=")</f>
        <v>#REF!</v>
      </c>
      <c r="R451" t="e">
        <f>IF(#REF!,"AAAAAH/9fxE=",0)</f>
        <v>#REF!</v>
      </c>
      <c r="S451" t="e">
        <f>AND(#REF!,"AAAAAH/9fxI=")</f>
        <v>#REF!</v>
      </c>
      <c r="T451" t="e">
        <f>AND(#REF!,"AAAAAH/9fxM=")</f>
        <v>#REF!</v>
      </c>
      <c r="U451" t="e">
        <f>AND(#REF!,"AAAAAH/9fxQ=")</f>
        <v>#REF!</v>
      </c>
      <c r="V451" t="e">
        <f>AND(#REF!,"AAAAAH/9fxU=")</f>
        <v>#REF!</v>
      </c>
      <c r="W451" t="e">
        <f>AND(#REF!,"AAAAAH/9fxY=")</f>
        <v>#REF!</v>
      </c>
      <c r="X451" t="e">
        <f>AND(#REF!,"AAAAAH/9fxc=")</f>
        <v>#REF!</v>
      </c>
      <c r="Y451" t="e">
        <f>AND(#REF!,"AAAAAH/9fxg=")</f>
        <v>#REF!</v>
      </c>
      <c r="Z451" t="e">
        <f>AND(#REF!,"AAAAAH/9fxk=")</f>
        <v>#REF!</v>
      </c>
      <c r="AA451" t="e">
        <f>AND(#REF!,"AAAAAH/9fxo=")</f>
        <v>#REF!</v>
      </c>
      <c r="AB451" t="e">
        <f>AND(#REF!,"AAAAAH/9fxs=")</f>
        <v>#REF!</v>
      </c>
      <c r="AC451" t="e">
        <f>IF(#REF!,"AAAAAH/9fxw=",0)</f>
        <v>#REF!</v>
      </c>
      <c r="AD451" t="e">
        <f>AND(#REF!,"AAAAAH/9fx0=")</f>
        <v>#REF!</v>
      </c>
      <c r="AE451" t="e">
        <f>AND(#REF!,"AAAAAH/9fx4=")</f>
        <v>#REF!</v>
      </c>
      <c r="AF451" t="e">
        <f>AND(#REF!,"AAAAAH/9fx8=")</f>
        <v>#REF!</v>
      </c>
      <c r="AG451" t="e">
        <f>AND(#REF!,"AAAAAH/9fyA=")</f>
        <v>#REF!</v>
      </c>
      <c r="AH451" t="e">
        <f>AND(#REF!,"AAAAAH/9fyE=")</f>
        <v>#REF!</v>
      </c>
      <c r="AI451" t="e">
        <f>AND(#REF!,"AAAAAH/9fyI=")</f>
        <v>#REF!</v>
      </c>
      <c r="AJ451" t="e">
        <f>AND(#REF!,"AAAAAH/9fyM=")</f>
        <v>#REF!</v>
      </c>
      <c r="AK451" t="e">
        <f>AND(#REF!,"AAAAAH/9fyQ=")</f>
        <v>#REF!</v>
      </c>
      <c r="AL451" t="e">
        <f>AND(#REF!,"AAAAAH/9fyU=")</f>
        <v>#REF!</v>
      </c>
      <c r="AM451" t="e">
        <f>AND(#REF!,"AAAAAH/9fyY=")</f>
        <v>#REF!</v>
      </c>
      <c r="AN451" t="e">
        <f>IF(#REF!,"AAAAAH/9fyc=",0)</f>
        <v>#REF!</v>
      </c>
      <c r="AO451" t="e">
        <f>AND(#REF!,"AAAAAH/9fyg=")</f>
        <v>#REF!</v>
      </c>
      <c r="AP451" t="e">
        <f>AND(#REF!,"AAAAAH/9fyk=")</f>
        <v>#REF!</v>
      </c>
      <c r="AQ451" t="e">
        <f>AND(#REF!,"AAAAAH/9fyo=")</f>
        <v>#REF!</v>
      </c>
      <c r="AR451" t="e">
        <f>AND(#REF!,"AAAAAH/9fys=")</f>
        <v>#REF!</v>
      </c>
      <c r="AS451" t="e">
        <f>AND(#REF!,"AAAAAH/9fyw=")</f>
        <v>#REF!</v>
      </c>
      <c r="AT451" t="e">
        <f>AND(#REF!,"AAAAAH/9fy0=")</f>
        <v>#REF!</v>
      </c>
      <c r="AU451" t="e">
        <f>AND(#REF!,"AAAAAH/9fy4=")</f>
        <v>#REF!</v>
      </c>
      <c r="AV451" t="e">
        <f>AND(#REF!,"AAAAAH/9fy8=")</f>
        <v>#REF!</v>
      </c>
      <c r="AW451" t="e">
        <f>AND(#REF!,"AAAAAH/9fzA=")</f>
        <v>#REF!</v>
      </c>
      <c r="AX451" t="e">
        <f>AND(#REF!,"AAAAAH/9fzE=")</f>
        <v>#REF!</v>
      </c>
      <c r="AY451" t="e">
        <f>IF(#REF!,"AAAAAH/9fzI=",0)</f>
        <v>#REF!</v>
      </c>
      <c r="AZ451" t="e">
        <f>AND(#REF!,"AAAAAH/9fzM=")</f>
        <v>#REF!</v>
      </c>
      <c r="BA451" t="e">
        <f>AND(#REF!,"AAAAAH/9fzQ=")</f>
        <v>#REF!</v>
      </c>
      <c r="BB451" t="e">
        <f>AND(#REF!,"AAAAAH/9fzU=")</f>
        <v>#REF!</v>
      </c>
      <c r="BC451" t="e">
        <f>AND(#REF!,"AAAAAH/9fzY=")</f>
        <v>#REF!</v>
      </c>
      <c r="BD451" t="e">
        <f>AND(#REF!,"AAAAAH/9fzc=")</f>
        <v>#REF!</v>
      </c>
      <c r="BE451" t="e">
        <f>AND(#REF!,"AAAAAH/9fzg=")</f>
        <v>#REF!</v>
      </c>
      <c r="BF451" t="e">
        <f>AND(#REF!,"AAAAAH/9fzk=")</f>
        <v>#REF!</v>
      </c>
      <c r="BG451" t="e">
        <f>AND(#REF!,"AAAAAH/9fzo=")</f>
        <v>#REF!</v>
      </c>
      <c r="BH451" t="e">
        <f>AND(#REF!,"AAAAAH/9fzs=")</f>
        <v>#REF!</v>
      </c>
      <c r="BI451" t="e">
        <f>AND(#REF!,"AAAAAH/9fzw=")</f>
        <v>#REF!</v>
      </c>
      <c r="BJ451" t="e">
        <f>IF(#REF!,"AAAAAH/9fz0=",0)</f>
        <v>#REF!</v>
      </c>
      <c r="BK451" t="e">
        <f>AND(#REF!,"AAAAAH/9fz4=")</f>
        <v>#REF!</v>
      </c>
      <c r="BL451" t="e">
        <f>AND(#REF!,"AAAAAH/9fz8=")</f>
        <v>#REF!</v>
      </c>
      <c r="BM451" t="e">
        <f>AND(#REF!,"AAAAAH/9f0A=")</f>
        <v>#REF!</v>
      </c>
      <c r="BN451" t="e">
        <f>AND(#REF!,"AAAAAH/9f0E=")</f>
        <v>#REF!</v>
      </c>
      <c r="BO451" t="e">
        <f>AND(#REF!,"AAAAAH/9f0I=")</f>
        <v>#REF!</v>
      </c>
      <c r="BP451" t="e">
        <f>AND(#REF!,"AAAAAH/9f0M=")</f>
        <v>#REF!</v>
      </c>
      <c r="BQ451" t="e">
        <f>AND(#REF!,"AAAAAH/9f0Q=")</f>
        <v>#REF!</v>
      </c>
      <c r="BR451" t="e">
        <f>AND(#REF!,"AAAAAH/9f0U=")</f>
        <v>#REF!</v>
      </c>
      <c r="BS451" t="e">
        <f>AND(#REF!,"AAAAAH/9f0Y=")</f>
        <v>#REF!</v>
      </c>
      <c r="BT451" t="e">
        <f>AND(#REF!,"AAAAAH/9f0c=")</f>
        <v>#REF!</v>
      </c>
      <c r="BU451" t="e">
        <f>IF(#REF!,"AAAAAH/9f0g=",0)</f>
        <v>#REF!</v>
      </c>
      <c r="BV451" t="e">
        <f>AND(#REF!,"AAAAAH/9f0k=")</f>
        <v>#REF!</v>
      </c>
      <c r="BW451" t="e">
        <f>AND(#REF!,"AAAAAH/9f0o=")</f>
        <v>#REF!</v>
      </c>
      <c r="BX451" t="e">
        <f>AND(#REF!,"AAAAAH/9f0s=")</f>
        <v>#REF!</v>
      </c>
      <c r="BY451" t="e">
        <f>AND(#REF!,"AAAAAH/9f0w=")</f>
        <v>#REF!</v>
      </c>
      <c r="BZ451" t="e">
        <f>AND(#REF!,"AAAAAH/9f00=")</f>
        <v>#REF!</v>
      </c>
      <c r="CA451" t="e">
        <f>AND(#REF!,"AAAAAH/9f04=")</f>
        <v>#REF!</v>
      </c>
      <c r="CB451" t="e">
        <f>AND(#REF!,"AAAAAH/9f08=")</f>
        <v>#REF!</v>
      </c>
      <c r="CC451" t="e">
        <f>AND(#REF!,"AAAAAH/9f1A=")</f>
        <v>#REF!</v>
      </c>
      <c r="CD451" t="e">
        <f>AND(#REF!,"AAAAAH/9f1E=")</f>
        <v>#REF!</v>
      </c>
      <c r="CE451" t="e">
        <f>AND(#REF!,"AAAAAH/9f1I=")</f>
        <v>#REF!</v>
      </c>
      <c r="CF451" t="e">
        <f>IF(#REF!,"AAAAAH/9f1M=",0)</f>
        <v>#REF!</v>
      </c>
      <c r="CG451" t="e">
        <f>AND(#REF!,"AAAAAH/9f1Q=")</f>
        <v>#REF!</v>
      </c>
      <c r="CH451" t="e">
        <f>AND(#REF!,"AAAAAH/9f1U=")</f>
        <v>#REF!</v>
      </c>
      <c r="CI451" t="e">
        <f>AND(#REF!,"AAAAAH/9f1Y=")</f>
        <v>#REF!</v>
      </c>
      <c r="CJ451" t="e">
        <f>AND(#REF!,"AAAAAH/9f1c=")</f>
        <v>#REF!</v>
      </c>
      <c r="CK451" t="e">
        <f>AND(#REF!,"AAAAAH/9f1g=")</f>
        <v>#REF!</v>
      </c>
      <c r="CL451" t="e">
        <f>AND(#REF!,"AAAAAH/9f1k=")</f>
        <v>#REF!</v>
      </c>
      <c r="CM451" t="e">
        <f>AND(#REF!,"AAAAAH/9f1o=")</f>
        <v>#REF!</v>
      </c>
      <c r="CN451" t="e">
        <f>AND(#REF!,"AAAAAH/9f1s=")</f>
        <v>#REF!</v>
      </c>
      <c r="CO451" t="e">
        <f>AND(#REF!,"AAAAAH/9f1w=")</f>
        <v>#REF!</v>
      </c>
      <c r="CP451" t="e">
        <f>AND(#REF!,"AAAAAH/9f10=")</f>
        <v>#REF!</v>
      </c>
      <c r="CQ451" t="e">
        <f>IF(#REF!,"AAAAAH/9f14=",0)</f>
        <v>#REF!</v>
      </c>
      <c r="CR451" t="e">
        <f>AND(#REF!,"AAAAAH/9f18=")</f>
        <v>#REF!</v>
      </c>
      <c r="CS451" t="e">
        <f>AND(#REF!,"AAAAAH/9f2A=")</f>
        <v>#REF!</v>
      </c>
      <c r="CT451" t="e">
        <f>AND(#REF!,"AAAAAH/9f2E=")</f>
        <v>#REF!</v>
      </c>
      <c r="CU451" t="e">
        <f>AND(#REF!,"AAAAAH/9f2I=")</f>
        <v>#REF!</v>
      </c>
      <c r="CV451" t="e">
        <f>AND(#REF!,"AAAAAH/9f2M=")</f>
        <v>#REF!</v>
      </c>
      <c r="CW451" t="e">
        <f>AND(#REF!,"AAAAAH/9f2Q=")</f>
        <v>#REF!</v>
      </c>
      <c r="CX451" t="e">
        <f>AND(#REF!,"AAAAAH/9f2U=")</f>
        <v>#REF!</v>
      </c>
      <c r="CY451" t="e">
        <f>AND(#REF!,"AAAAAH/9f2Y=")</f>
        <v>#REF!</v>
      </c>
      <c r="CZ451" t="e">
        <f>AND(#REF!,"AAAAAH/9f2c=")</f>
        <v>#REF!</v>
      </c>
      <c r="DA451" t="e">
        <f>AND(#REF!,"AAAAAH/9f2g=")</f>
        <v>#REF!</v>
      </c>
      <c r="DB451" t="e">
        <f>IF(#REF!,"AAAAAH/9f2k=",0)</f>
        <v>#REF!</v>
      </c>
      <c r="DC451" t="e">
        <f>AND(#REF!,"AAAAAH/9f2o=")</f>
        <v>#REF!</v>
      </c>
      <c r="DD451" t="e">
        <f>AND(#REF!,"AAAAAH/9f2s=")</f>
        <v>#REF!</v>
      </c>
      <c r="DE451" t="e">
        <f>AND(#REF!,"AAAAAH/9f2w=")</f>
        <v>#REF!</v>
      </c>
      <c r="DF451" t="e">
        <f>AND(#REF!,"AAAAAH/9f20=")</f>
        <v>#REF!</v>
      </c>
      <c r="DG451" t="e">
        <f>AND(#REF!,"AAAAAH/9f24=")</f>
        <v>#REF!</v>
      </c>
      <c r="DH451" t="e">
        <f>AND(#REF!,"AAAAAH/9f28=")</f>
        <v>#REF!</v>
      </c>
      <c r="DI451" t="e">
        <f>AND(#REF!,"AAAAAH/9f3A=")</f>
        <v>#REF!</v>
      </c>
      <c r="DJ451" t="e">
        <f>AND(#REF!,"AAAAAH/9f3E=")</f>
        <v>#REF!</v>
      </c>
      <c r="DK451" t="e">
        <f>AND(#REF!,"AAAAAH/9f3I=")</f>
        <v>#REF!</v>
      </c>
      <c r="DL451" t="e">
        <f>AND(#REF!,"AAAAAH/9f3M=")</f>
        <v>#REF!</v>
      </c>
      <c r="DM451" t="e">
        <f>IF(#REF!,"AAAAAH/9f3Q=",0)</f>
        <v>#REF!</v>
      </c>
      <c r="DN451" t="e">
        <f>AND(#REF!,"AAAAAH/9f3U=")</f>
        <v>#REF!</v>
      </c>
      <c r="DO451" t="e">
        <f>AND(#REF!,"AAAAAH/9f3Y=")</f>
        <v>#REF!</v>
      </c>
      <c r="DP451" t="e">
        <f>AND(#REF!,"AAAAAH/9f3c=")</f>
        <v>#REF!</v>
      </c>
      <c r="DQ451" t="e">
        <f>AND(#REF!,"AAAAAH/9f3g=")</f>
        <v>#REF!</v>
      </c>
      <c r="DR451" t="e">
        <f>AND(#REF!,"AAAAAH/9f3k=")</f>
        <v>#REF!</v>
      </c>
      <c r="DS451" t="e">
        <f>AND(#REF!,"AAAAAH/9f3o=")</f>
        <v>#REF!</v>
      </c>
      <c r="DT451" t="e">
        <f>AND(#REF!,"AAAAAH/9f3s=")</f>
        <v>#REF!</v>
      </c>
      <c r="DU451" t="e">
        <f>AND(#REF!,"AAAAAH/9f3w=")</f>
        <v>#REF!</v>
      </c>
      <c r="DV451" t="e">
        <f>AND(#REF!,"AAAAAH/9f30=")</f>
        <v>#REF!</v>
      </c>
      <c r="DW451" t="e">
        <f>AND(#REF!,"AAAAAH/9f34=")</f>
        <v>#REF!</v>
      </c>
      <c r="DX451" t="e">
        <f>IF(#REF!,"AAAAAH/9f38=",0)</f>
        <v>#REF!</v>
      </c>
      <c r="DY451" t="e">
        <f>AND(#REF!,"AAAAAH/9f4A=")</f>
        <v>#REF!</v>
      </c>
      <c r="DZ451" t="e">
        <f>AND(#REF!,"AAAAAH/9f4E=")</f>
        <v>#REF!</v>
      </c>
      <c r="EA451" t="e">
        <f>AND(#REF!,"AAAAAH/9f4I=")</f>
        <v>#REF!</v>
      </c>
      <c r="EB451" t="e">
        <f>AND(#REF!,"AAAAAH/9f4M=")</f>
        <v>#REF!</v>
      </c>
      <c r="EC451" t="e">
        <f>AND(#REF!,"AAAAAH/9f4Q=")</f>
        <v>#REF!</v>
      </c>
      <c r="ED451" t="e">
        <f>AND(#REF!,"AAAAAH/9f4U=")</f>
        <v>#REF!</v>
      </c>
      <c r="EE451" t="e">
        <f>AND(#REF!,"AAAAAH/9f4Y=")</f>
        <v>#REF!</v>
      </c>
      <c r="EF451" t="e">
        <f>AND(#REF!,"AAAAAH/9f4c=")</f>
        <v>#REF!</v>
      </c>
      <c r="EG451" t="e">
        <f>AND(#REF!,"AAAAAH/9f4g=")</f>
        <v>#REF!</v>
      </c>
      <c r="EH451" t="e">
        <f>AND(#REF!,"AAAAAH/9f4k=")</f>
        <v>#REF!</v>
      </c>
      <c r="EI451" t="e">
        <f>IF(#REF!,"AAAAAH/9f4o=",0)</f>
        <v>#REF!</v>
      </c>
      <c r="EJ451" t="e">
        <f>AND(#REF!,"AAAAAH/9f4s=")</f>
        <v>#REF!</v>
      </c>
      <c r="EK451" t="e">
        <f>AND(#REF!,"AAAAAH/9f4w=")</f>
        <v>#REF!</v>
      </c>
      <c r="EL451" t="e">
        <f>AND(#REF!,"AAAAAH/9f40=")</f>
        <v>#REF!</v>
      </c>
      <c r="EM451" t="e">
        <f>AND(#REF!,"AAAAAH/9f44=")</f>
        <v>#REF!</v>
      </c>
      <c r="EN451" t="e">
        <f>AND(#REF!,"AAAAAH/9f48=")</f>
        <v>#REF!</v>
      </c>
      <c r="EO451" t="e">
        <f>AND(#REF!,"AAAAAH/9f5A=")</f>
        <v>#REF!</v>
      </c>
      <c r="EP451" t="e">
        <f>AND(#REF!,"AAAAAH/9f5E=")</f>
        <v>#REF!</v>
      </c>
      <c r="EQ451" t="e">
        <f>AND(#REF!,"AAAAAH/9f5I=")</f>
        <v>#REF!</v>
      </c>
      <c r="ER451" t="e">
        <f>AND(#REF!,"AAAAAH/9f5M=")</f>
        <v>#REF!</v>
      </c>
      <c r="ES451" t="e">
        <f>AND(#REF!,"AAAAAH/9f5Q=")</f>
        <v>#REF!</v>
      </c>
      <c r="ET451" t="e">
        <f>IF(#REF!,"AAAAAH/9f5U=",0)</f>
        <v>#REF!</v>
      </c>
      <c r="EU451" t="e">
        <f>AND(#REF!,"AAAAAH/9f5Y=")</f>
        <v>#REF!</v>
      </c>
      <c r="EV451" t="e">
        <f>AND(#REF!,"AAAAAH/9f5c=")</f>
        <v>#REF!</v>
      </c>
      <c r="EW451" t="e">
        <f>AND(#REF!,"AAAAAH/9f5g=")</f>
        <v>#REF!</v>
      </c>
      <c r="EX451" t="e">
        <f>AND(#REF!,"AAAAAH/9f5k=")</f>
        <v>#REF!</v>
      </c>
      <c r="EY451" t="e">
        <f>AND(#REF!,"AAAAAH/9f5o=")</f>
        <v>#REF!</v>
      </c>
      <c r="EZ451" t="e">
        <f>AND(#REF!,"AAAAAH/9f5s=")</f>
        <v>#REF!</v>
      </c>
      <c r="FA451" t="e">
        <f>AND(#REF!,"AAAAAH/9f5w=")</f>
        <v>#REF!</v>
      </c>
      <c r="FB451" t="e">
        <f>AND(#REF!,"AAAAAH/9f50=")</f>
        <v>#REF!</v>
      </c>
      <c r="FC451" t="e">
        <f>AND(#REF!,"AAAAAH/9f54=")</f>
        <v>#REF!</v>
      </c>
      <c r="FD451" t="e">
        <f>AND(#REF!,"AAAAAH/9f58=")</f>
        <v>#REF!</v>
      </c>
      <c r="FE451" t="e">
        <f>IF(#REF!,"AAAAAH/9f6A=",0)</f>
        <v>#REF!</v>
      </c>
      <c r="FF451" t="e">
        <f>AND(#REF!,"AAAAAH/9f6E=")</f>
        <v>#REF!</v>
      </c>
      <c r="FG451" t="e">
        <f>AND(#REF!,"AAAAAH/9f6I=")</f>
        <v>#REF!</v>
      </c>
      <c r="FH451" t="e">
        <f>AND(#REF!,"AAAAAH/9f6M=")</f>
        <v>#REF!</v>
      </c>
      <c r="FI451" t="e">
        <f>AND(#REF!,"AAAAAH/9f6Q=")</f>
        <v>#REF!</v>
      </c>
      <c r="FJ451" t="e">
        <f>AND(#REF!,"AAAAAH/9f6U=")</f>
        <v>#REF!</v>
      </c>
      <c r="FK451" t="e">
        <f>AND(#REF!,"AAAAAH/9f6Y=")</f>
        <v>#REF!</v>
      </c>
      <c r="FL451" t="e">
        <f>AND(#REF!,"AAAAAH/9f6c=")</f>
        <v>#REF!</v>
      </c>
      <c r="FM451" t="e">
        <f>AND(#REF!,"AAAAAH/9f6g=")</f>
        <v>#REF!</v>
      </c>
      <c r="FN451" t="e">
        <f>AND(#REF!,"AAAAAH/9f6k=")</f>
        <v>#REF!</v>
      </c>
      <c r="FO451" t="e">
        <f>AND(#REF!,"AAAAAH/9f6o=")</f>
        <v>#REF!</v>
      </c>
      <c r="FP451" t="e">
        <f>IF(#REF!,"AAAAAH/9f6s=",0)</f>
        <v>#REF!</v>
      </c>
      <c r="FQ451" t="e">
        <f>AND(#REF!,"AAAAAH/9f6w=")</f>
        <v>#REF!</v>
      </c>
      <c r="FR451" t="e">
        <f>AND(#REF!,"AAAAAH/9f60=")</f>
        <v>#REF!</v>
      </c>
      <c r="FS451" t="e">
        <f>AND(#REF!,"AAAAAH/9f64=")</f>
        <v>#REF!</v>
      </c>
      <c r="FT451" t="e">
        <f>AND(#REF!,"AAAAAH/9f68=")</f>
        <v>#REF!</v>
      </c>
      <c r="FU451" t="e">
        <f>AND(#REF!,"AAAAAH/9f7A=")</f>
        <v>#REF!</v>
      </c>
      <c r="FV451" t="e">
        <f>AND(#REF!,"AAAAAH/9f7E=")</f>
        <v>#REF!</v>
      </c>
      <c r="FW451" t="e">
        <f>AND(#REF!,"AAAAAH/9f7I=")</f>
        <v>#REF!</v>
      </c>
      <c r="FX451" t="e">
        <f>AND(#REF!,"AAAAAH/9f7M=")</f>
        <v>#REF!</v>
      </c>
      <c r="FY451" t="e">
        <f>AND(#REF!,"AAAAAH/9f7Q=")</f>
        <v>#REF!</v>
      </c>
      <c r="FZ451" t="e">
        <f>AND(#REF!,"AAAAAH/9f7U=")</f>
        <v>#REF!</v>
      </c>
      <c r="GA451" t="e">
        <f>IF(#REF!,"AAAAAH/9f7Y=",0)</f>
        <v>#REF!</v>
      </c>
      <c r="GB451" t="e">
        <f>AND(#REF!,"AAAAAH/9f7c=")</f>
        <v>#REF!</v>
      </c>
      <c r="GC451" t="e">
        <f>AND(#REF!,"AAAAAH/9f7g=")</f>
        <v>#REF!</v>
      </c>
      <c r="GD451" t="e">
        <f>AND(#REF!,"AAAAAH/9f7k=")</f>
        <v>#REF!</v>
      </c>
      <c r="GE451" t="e">
        <f>AND(#REF!,"AAAAAH/9f7o=")</f>
        <v>#REF!</v>
      </c>
      <c r="GF451" t="e">
        <f>AND(#REF!,"AAAAAH/9f7s=")</f>
        <v>#REF!</v>
      </c>
      <c r="GG451" t="e">
        <f>AND(#REF!,"AAAAAH/9f7w=")</f>
        <v>#REF!</v>
      </c>
      <c r="GH451" t="e">
        <f>AND(#REF!,"AAAAAH/9f70=")</f>
        <v>#REF!</v>
      </c>
      <c r="GI451" t="e">
        <f>AND(#REF!,"AAAAAH/9f74=")</f>
        <v>#REF!</v>
      </c>
      <c r="GJ451" t="e">
        <f>AND(#REF!,"AAAAAH/9f78=")</f>
        <v>#REF!</v>
      </c>
      <c r="GK451" t="e">
        <f>AND(#REF!,"AAAAAH/9f8A=")</f>
        <v>#REF!</v>
      </c>
      <c r="GL451" t="e">
        <f>IF(#REF!,"AAAAAH/9f8E=",0)</f>
        <v>#REF!</v>
      </c>
      <c r="GM451" t="e">
        <f>AND(#REF!,"AAAAAH/9f8I=")</f>
        <v>#REF!</v>
      </c>
      <c r="GN451" t="e">
        <f>AND(#REF!,"AAAAAH/9f8M=")</f>
        <v>#REF!</v>
      </c>
      <c r="GO451" t="e">
        <f>AND(#REF!,"AAAAAH/9f8Q=")</f>
        <v>#REF!</v>
      </c>
      <c r="GP451" t="e">
        <f>AND(#REF!,"AAAAAH/9f8U=")</f>
        <v>#REF!</v>
      </c>
      <c r="GQ451" t="e">
        <f>AND(#REF!,"AAAAAH/9f8Y=")</f>
        <v>#REF!</v>
      </c>
      <c r="GR451" t="e">
        <f>AND(#REF!,"AAAAAH/9f8c=")</f>
        <v>#REF!</v>
      </c>
      <c r="GS451" t="e">
        <f>AND(#REF!,"AAAAAH/9f8g=")</f>
        <v>#REF!</v>
      </c>
      <c r="GT451" t="e">
        <f>AND(#REF!,"AAAAAH/9f8k=")</f>
        <v>#REF!</v>
      </c>
      <c r="GU451" t="e">
        <f>AND(#REF!,"AAAAAH/9f8o=")</f>
        <v>#REF!</v>
      </c>
      <c r="GV451" t="e">
        <f>AND(#REF!,"AAAAAH/9f8s=")</f>
        <v>#REF!</v>
      </c>
      <c r="GW451" t="e">
        <f>IF(#REF!,"AAAAAH/9f8w=",0)</f>
        <v>#REF!</v>
      </c>
      <c r="GX451" t="e">
        <f>AND(#REF!,"AAAAAH/9f80=")</f>
        <v>#REF!</v>
      </c>
      <c r="GY451" t="e">
        <f>AND(#REF!,"AAAAAH/9f84=")</f>
        <v>#REF!</v>
      </c>
      <c r="GZ451" t="e">
        <f>AND(#REF!,"AAAAAH/9f88=")</f>
        <v>#REF!</v>
      </c>
      <c r="HA451" t="e">
        <f>AND(#REF!,"AAAAAH/9f9A=")</f>
        <v>#REF!</v>
      </c>
      <c r="HB451" t="e">
        <f>AND(#REF!,"AAAAAH/9f9E=")</f>
        <v>#REF!</v>
      </c>
      <c r="HC451" t="e">
        <f>AND(#REF!,"AAAAAH/9f9I=")</f>
        <v>#REF!</v>
      </c>
      <c r="HD451" t="e">
        <f>AND(#REF!,"AAAAAH/9f9M=")</f>
        <v>#REF!</v>
      </c>
      <c r="HE451" t="e">
        <f>AND(#REF!,"AAAAAH/9f9Q=")</f>
        <v>#REF!</v>
      </c>
      <c r="HF451" t="e">
        <f>AND(#REF!,"AAAAAH/9f9U=")</f>
        <v>#REF!</v>
      </c>
      <c r="HG451" t="e">
        <f>AND(#REF!,"AAAAAH/9f9Y=")</f>
        <v>#REF!</v>
      </c>
      <c r="HH451" t="e">
        <f>IF(#REF!,"AAAAAH/9f9c=",0)</f>
        <v>#REF!</v>
      </c>
      <c r="HI451" t="e">
        <f>AND(#REF!,"AAAAAH/9f9g=")</f>
        <v>#REF!</v>
      </c>
      <c r="HJ451" t="e">
        <f>AND(#REF!,"AAAAAH/9f9k=")</f>
        <v>#REF!</v>
      </c>
      <c r="HK451" t="e">
        <f>AND(#REF!,"AAAAAH/9f9o=")</f>
        <v>#REF!</v>
      </c>
      <c r="HL451" t="e">
        <f>AND(#REF!,"AAAAAH/9f9s=")</f>
        <v>#REF!</v>
      </c>
      <c r="HM451" t="e">
        <f>AND(#REF!,"AAAAAH/9f9w=")</f>
        <v>#REF!</v>
      </c>
      <c r="HN451" t="e">
        <f>AND(#REF!,"AAAAAH/9f90=")</f>
        <v>#REF!</v>
      </c>
      <c r="HO451" t="e">
        <f>AND(#REF!,"AAAAAH/9f94=")</f>
        <v>#REF!</v>
      </c>
      <c r="HP451" t="e">
        <f>AND(#REF!,"AAAAAH/9f98=")</f>
        <v>#REF!</v>
      </c>
      <c r="HQ451" t="e">
        <f>AND(#REF!,"AAAAAH/9f+A=")</f>
        <v>#REF!</v>
      </c>
      <c r="HR451" t="e">
        <f>AND(#REF!,"AAAAAH/9f+E=")</f>
        <v>#REF!</v>
      </c>
      <c r="HS451" t="e">
        <f>IF(#REF!,"AAAAAH/9f+I=",0)</f>
        <v>#REF!</v>
      </c>
      <c r="HT451" t="e">
        <f>AND(#REF!,"AAAAAH/9f+M=")</f>
        <v>#REF!</v>
      </c>
      <c r="HU451" t="e">
        <f>AND(#REF!,"AAAAAH/9f+Q=")</f>
        <v>#REF!</v>
      </c>
      <c r="HV451" t="e">
        <f>AND(#REF!,"AAAAAH/9f+U=")</f>
        <v>#REF!</v>
      </c>
      <c r="HW451" t="e">
        <f>AND(#REF!,"AAAAAH/9f+Y=")</f>
        <v>#REF!</v>
      </c>
      <c r="HX451" t="e">
        <f>AND(#REF!,"AAAAAH/9f+c=")</f>
        <v>#REF!</v>
      </c>
      <c r="HY451" t="e">
        <f>AND(#REF!,"AAAAAH/9f+g=")</f>
        <v>#REF!</v>
      </c>
      <c r="HZ451" t="e">
        <f>AND(#REF!,"AAAAAH/9f+k=")</f>
        <v>#REF!</v>
      </c>
      <c r="IA451" t="e">
        <f>AND(#REF!,"AAAAAH/9f+o=")</f>
        <v>#REF!</v>
      </c>
      <c r="IB451" t="e">
        <f>AND(#REF!,"AAAAAH/9f+s=")</f>
        <v>#REF!</v>
      </c>
      <c r="IC451" t="e">
        <f>AND(#REF!,"AAAAAH/9f+w=")</f>
        <v>#REF!</v>
      </c>
      <c r="ID451" t="e">
        <f>IF(#REF!,"AAAAAH/9f+0=",0)</f>
        <v>#REF!</v>
      </c>
      <c r="IE451" t="e">
        <f>AND(#REF!,"AAAAAH/9f+4=")</f>
        <v>#REF!</v>
      </c>
      <c r="IF451" t="e">
        <f>AND(#REF!,"AAAAAH/9f+8=")</f>
        <v>#REF!</v>
      </c>
      <c r="IG451" t="e">
        <f>AND(#REF!,"AAAAAH/9f/A=")</f>
        <v>#REF!</v>
      </c>
      <c r="IH451" t="e">
        <f>AND(#REF!,"AAAAAH/9f/E=")</f>
        <v>#REF!</v>
      </c>
      <c r="II451" t="e">
        <f>AND(#REF!,"AAAAAH/9f/I=")</f>
        <v>#REF!</v>
      </c>
      <c r="IJ451" t="e">
        <f>AND(#REF!,"AAAAAH/9f/M=")</f>
        <v>#REF!</v>
      </c>
      <c r="IK451" t="e">
        <f>AND(#REF!,"AAAAAH/9f/Q=")</f>
        <v>#REF!</v>
      </c>
      <c r="IL451" t="e">
        <f>AND(#REF!,"AAAAAH/9f/U=")</f>
        <v>#REF!</v>
      </c>
      <c r="IM451" t="e">
        <f>AND(#REF!,"AAAAAH/9f/Y=")</f>
        <v>#REF!</v>
      </c>
      <c r="IN451" t="e">
        <f>AND(#REF!,"AAAAAH/9f/c=")</f>
        <v>#REF!</v>
      </c>
      <c r="IO451" t="e">
        <f>IF(#REF!,"AAAAAH/9f/g=",0)</f>
        <v>#REF!</v>
      </c>
      <c r="IP451" t="e">
        <f>AND(#REF!,"AAAAAH/9f/k=")</f>
        <v>#REF!</v>
      </c>
      <c r="IQ451" t="e">
        <f>AND(#REF!,"AAAAAH/9f/o=")</f>
        <v>#REF!</v>
      </c>
      <c r="IR451" t="e">
        <f>AND(#REF!,"AAAAAH/9f/s=")</f>
        <v>#REF!</v>
      </c>
      <c r="IS451" t="e">
        <f>AND(#REF!,"AAAAAH/9f/w=")</f>
        <v>#REF!</v>
      </c>
      <c r="IT451" t="e">
        <f>AND(#REF!,"AAAAAH/9f/0=")</f>
        <v>#REF!</v>
      </c>
      <c r="IU451" t="e">
        <f>AND(#REF!,"AAAAAH/9f/4=")</f>
        <v>#REF!</v>
      </c>
      <c r="IV451" t="e">
        <f>AND(#REF!,"AAAAAH/9f/8=")</f>
        <v>#REF!</v>
      </c>
    </row>
    <row r="452" spans="1:256" x14ac:dyDescent="0.25">
      <c r="A452" t="e">
        <f>AND(#REF!,"AAAAAFbtmAA=")</f>
        <v>#REF!</v>
      </c>
      <c r="B452" t="e">
        <f>AND(#REF!,"AAAAAFbtmAE=")</f>
        <v>#REF!</v>
      </c>
      <c r="C452" t="e">
        <f>AND(#REF!,"AAAAAFbtmAI=")</f>
        <v>#REF!</v>
      </c>
      <c r="D452" t="e">
        <f>IF(#REF!,"AAAAAFbtmAM=",0)</f>
        <v>#REF!</v>
      </c>
      <c r="E452" t="e">
        <f>AND(#REF!,"AAAAAFbtmAQ=")</f>
        <v>#REF!</v>
      </c>
      <c r="F452" t="e">
        <f>AND(#REF!,"AAAAAFbtmAU=")</f>
        <v>#REF!</v>
      </c>
      <c r="G452" t="e">
        <f>AND(#REF!,"AAAAAFbtmAY=")</f>
        <v>#REF!</v>
      </c>
      <c r="H452" t="e">
        <f>AND(#REF!,"AAAAAFbtmAc=")</f>
        <v>#REF!</v>
      </c>
      <c r="I452" t="e">
        <f>AND(#REF!,"AAAAAFbtmAg=")</f>
        <v>#REF!</v>
      </c>
      <c r="J452" t="e">
        <f>AND(#REF!,"AAAAAFbtmAk=")</f>
        <v>#REF!</v>
      </c>
      <c r="K452" t="e">
        <f>AND(#REF!,"AAAAAFbtmAo=")</f>
        <v>#REF!</v>
      </c>
      <c r="L452" t="e">
        <f>AND(#REF!,"AAAAAFbtmAs=")</f>
        <v>#REF!</v>
      </c>
      <c r="M452" t="e">
        <f>AND(#REF!,"AAAAAFbtmAw=")</f>
        <v>#REF!</v>
      </c>
      <c r="N452" t="e">
        <f>AND(#REF!,"AAAAAFbtmA0=")</f>
        <v>#REF!</v>
      </c>
      <c r="O452" t="e">
        <f>IF(#REF!,"AAAAAFbtmA4=",0)</f>
        <v>#REF!</v>
      </c>
      <c r="P452" t="e">
        <f>AND(#REF!,"AAAAAFbtmA8=")</f>
        <v>#REF!</v>
      </c>
      <c r="Q452" t="e">
        <f>AND(#REF!,"AAAAAFbtmBA=")</f>
        <v>#REF!</v>
      </c>
      <c r="R452" t="e">
        <f>AND(#REF!,"AAAAAFbtmBE=")</f>
        <v>#REF!</v>
      </c>
      <c r="S452" t="e">
        <f>AND(#REF!,"AAAAAFbtmBI=")</f>
        <v>#REF!</v>
      </c>
      <c r="T452" t="e">
        <f>AND(#REF!,"AAAAAFbtmBM=")</f>
        <v>#REF!</v>
      </c>
      <c r="U452" t="e">
        <f>AND(#REF!,"AAAAAFbtmBQ=")</f>
        <v>#REF!</v>
      </c>
      <c r="V452" t="e">
        <f>AND(#REF!,"AAAAAFbtmBU=")</f>
        <v>#REF!</v>
      </c>
      <c r="W452" t="e">
        <f>AND(#REF!,"AAAAAFbtmBY=")</f>
        <v>#REF!</v>
      </c>
      <c r="X452" t="e">
        <f>AND(#REF!,"AAAAAFbtmBc=")</f>
        <v>#REF!</v>
      </c>
      <c r="Y452" t="e">
        <f>AND(#REF!,"AAAAAFbtmBg=")</f>
        <v>#REF!</v>
      </c>
      <c r="Z452" t="e">
        <f>IF(#REF!,"AAAAAFbtmBk=",0)</f>
        <v>#REF!</v>
      </c>
      <c r="AA452" t="e">
        <f>AND(#REF!,"AAAAAFbtmBo=")</f>
        <v>#REF!</v>
      </c>
      <c r="AB452" t="e">
        <f>AND(#REF!,"AAAAAFbtmBs=")</f>
        <v>#REF!</v>
      </c>
      <c r="AC452" t="e">
        <f>AND(#REF!,"AAAAAFbtmBw=")</f>
        <v>#REF!</v>
      </c>
      <c r="AD452" t="e">
        <f>AND(#REF!,"AAAAAFbtmB0=")</f>
        <v>#REF!</v>
      </c>
      <c r="AE452" t="e">
        <f>AND(#REF!,"AAAAAFbtmB4=")</f>
        <v>#REF!</v>
      </c>
      <c r="AF452" t="e">
        <f>AND(#REF!,"AAAAAFbtmB8=")</f>
        <v>#REF!</v>
      </c>
      <c r="AG452" t="e">
        <f>AND(#REF!,"AAAAAFbtmCA=")</f>
        <v>#REF!</v>
      </c>
      <c r="AH452" t="e">
        <f>AND(#REF!,"AAAAAFbtmCE=")</f>
        <v>#REF!</v>
      </c>
      <c r="AI452" t="e">
        <f>AND(#REF!,"AAAAAFbtmCI=")</f>
        <v>#REF!</v>
      </c>
      <c r="AJ452" t="e">
        <f>AND(#REF!,"AAAAAFbtmCM=")</f>
        <v>#REF!</v>
      </c>
      <c r="AK452" t="e">
        <f>IF(#REF!,"AAAAAFbtmCQ=",0)</f>
        <v>#REF!</v>
      </c>
      <c r="AL452" t="e">
        <f>AND(#REF!,"AAAAAFbtmCU=")</f>
        <v>#REF!</v>
      </c>
      <c r="AM452" t="e">
        <f>AND(#REF!,"AAAAAFbtmCY=")</f>
        <v>#REF!</v>
      </c>
      <c r="AN452" t="e">
        <f>AND(#REF!,"AAAAAFbtmCc=")</f>
        <v>#REF!</v>
      </c>
      <c r="AO452" t="e">
        <f>AND(#REF!,"AAAAAFbtmCg=")</f>
        <v>#REF!</v>
      </c>
      <c r="AP452" t="e">
        <f>AND(#REF!,"AAAAAFbtmCk=")</f>
        <v>#REF!</v>
      </c>
      <c r="AQ452" t="e">
        <f>AND(#REF!,"AAAAAFbtmCo=")</f>
        <v>#REF!</v>
      </c>
      <c r="AR452" t="e">
        <f>AND(#REF!,"AAAAAFbtmCs=")</f>
        <v>#REF!</v>
      </c>
      <c r="AS452" t="e">
        <f>AND(#REF!,"AAAAAFbtmCw=")</f>
        <v>#REF!</v>
      </c>
      <c r="AT452" t="e">
        <f>AND(#REF!,"AAAAAFbtmC0=")</f>
        <v>#REF!</v>
      </c>
      <c r="AU452" t="e">
        <f>AND(#REF!,"AAAAAFbtmC4=")</f>
        <v>#REF!</v>
      </c>
      <c r="AV452" t="e">
        <f>IF(#REF!,"AAAAAFbtmC8=",0)</f>
        <v>#REF!</v>
      </c>
      <c r="AW452" t="e">
        <f>AND(#REF!,"AAAAAFbtmDA=")</f>
        <v>#REF!</v>
      </c>
      <c r="AX452" t="e">
        <f>AND(#REF!,"AAAAAFbtmDE=")</f>
        <v>#REF!</v>
      </c>
      <c r="AY452" t="e">
        <f>AND(#REF!,"AAAAAFbtmDI=")</f>
        <v>#REF!</v>
      </c>
      <c r="AZ452" t="e">
        <f>AND(#REF!,"AAAAAFbtmDM=")</f>
        <v>#REF!</v>
      </c>
      <c r="BA452" t="e">
        <f>AND(#REF!,"AAAAAFbtmDQ=")</f>
        <v>#REF!</v>
      </c>
      <c r="BB452" t="e">
        <f>AND(#REF!,"AAAAAFbtmDU=")</f>
        <v>#REF!</v>
      </c>
      <c r="BC452" t="e">
        <f>AND(#REF!,"AAAAAFbtmDY=")</f>
        <v>#REF!</v>
      </c>
      <c r="BD452" t="e">
        <f>AND(#REF!,"AAAAAFbtmDc=")</f>
        <v>#REF!</v>
      </c>
      <c r="BE452" t="e">
        <f>AND(#REF!,"AAAAAFbtmDg=")</f>
        <v>#REF!</v>
      </c>
      <c r="BF452" t="e">
        <f>AND(#REF!,"AAAAAFbtmDk=")</f>
        <v>#REF!</v>
      </c>
      <c r="BG452" t="e">
        <f>IF(#REF!,"AAAAAFbtmDo=",0)</f>
        <v>#REF!</v>
      </c>
      <c r="BH452" t="e">
        <f>AND(#REF!,"AAAAAFbtmDs=")</f>
        <v>#REF!</v>
      </c>
      <c r="BI452" t="e">
        <f>AND(#REF!,"AAAAAFbtmDw=")</f>
        <v>#REF!</v>
      </c>
      <c r="BJ452" t="e">
        <f>AND(#REF!,"AAAAAFbtmD0=")</f>
        <v>#REF!</v>
      </c>
      <c r="BK452" t="e">
        <f>AND(#REF!,"AAAAAFbtmD4=")</f>
        <v>#REF!</v>
      </c>
      <c r="BL452" t="e">
        <f>AND(#REF!,"AAAAAFbtmD8=")</f>
        <v>#REF!</v>
      </c>
      <c r="BM452" t="e">
        <f>AND(#REF!,"AAAAAFbtmEA=")</f>
        <v>#REF!</v>
      </c>
      <c r="BN452" t="e">
        <f>AND(#REF!,"AAAAAFbtmEE=")</f>
        <v>#REF!</v>
      </c>
      <c r="BO452" t="e">
        <f>AND(#REF!,"AAAAAFbtmEI=")</f>
        <v>#REF!</v>
      </c>
      <c r="BP452" t="e">
        <f>AND(#REF!,"AAAAAFbtmEM=")</f>
        <v>#REF!</v>
      </c>
      <c r="BQ452" t="e">
        <f>AND(#REF!,"AAAAAFbtmEQ=")</f>
        <v>#REF!</v>
      </c>
      <c r="BR452" t="e">
        <f>IF(#REF!,"AAAAAFbtmEU=",0)</f>
        <v>#REF!</v>
      </c>
      <c r="BS452" t="e">
        <f>AND(#REF!,"AAAAAFbtmEY=")</f>
        <v>#REF!</v>
      </c>
      <c r="BT452" t="e">
        <f>AND(#REF!,"AAAAAFbtmEc=")</f>
        <v>#REF!</v>
      </c>
      <c r="BU452" t="e">
        <f>AND(#REF!,"AAAAAFbtmEg=")</f>
        <v>#REF!</v>
      </c>
      <c r="BV452" t="e">
        <f>AND(#REF!,"AAAAAFbtmEk=")</f>
        <v>#REF!</v>
      </c>
      <c r="BW452" t="e">
        <f>AND(#REF!,"AAAAAFbtmEo=")</f>
        <v>#REF!</v>
      </c>
      <c r="BX452" t="e">
        <f>AND(#REF!,"AAAAAFbtmEs=")</f>
        <v>#REF!</v>
      </c>
      <c r="BY452" t="e">
        <f>AND(#REF!,"AAAAAFbtmEw=")</f>
        <v>#REF!</v>
      </c>
      <c r="BZ452" t="e">
        <f>AND(#REF!,"AAAAAFbtmE0=")</f>
        <v>#REF!</v>
      </c>
      <c r="CA452" t="e">
        <f>AND(#REF!,"AAAAAFbtmE4=")</f>
        <v>#REF!</v>
      </c>
      <c r="CB452" t="e">
        <f>AND(#REF!,"AAAAAFbtmE8=")</f>
        <v>#REF!</v>
      </c>
      <c r="CC452" t="e">
        <f>IF(#REF!,"AAAAAFbtmFA=",0)</f>
        <v>#REF!</v>
      </c>
      <c r="CD452" t="e">
        <f>AND(#REF!,"AAAAAFbtmFE=")</f>
        <v>#REF!</v>
      </c>
      <c r="CE452" t="e">
        <f>AND(#REF!,"AAAAAFbtmFI=")</f>
        <v>#REF!</v>
      </c>
      <c r="CF452" t="e">
        <f>AND(#REF!,"AAAAAFbtmFM=")</f>
        <v>#REF!</v>
      </c>
      <c r="CG452" t="e">
        <f>AND(#REF!,"AAAAAFbtmFQ=")</f>
        <v>#REF!</v>
      </c>
      <c r="CH452" t="e">
        <f>AND(#REF!,"AAAAAFbtmFU=")</f>
        <v>#REF!</v>
      </c>
      <c r="CI452" t="e">
        <f>AND(#REF!,"AAAAAFbtmFY=")</f>
        <v>#REF!</v>
      </c>
      <c r="CJ452" t="e">
        <f>AND(#REF!,"AAAAAFbtmFc=")</f>
        <v>#REF!</v>
      </c>
      <c r="CK452" t="e">
        <f>AND(#REF!,"AAAAAFbtmFg=")</f>
        <v>#REF!</v>
      </c>
      <c r="CL452" t="e">
        <f>AND(#REF!,"AAAAAFbtmFk=")</f>
        <v>#REF!</v>
      </c>
      <c r="CM452" t="e">
        <f>AND(#REF!,"AAAAAFbtmFo=")</f>
        <v>#REF!</v>
      </c>
      <c r="CN452" t="e">
        <f>IF(#REF!,"AAAAAFbtmFs=",0)</f>
        <v>#REF!</v>
      </c>
      <c r="CO452" t="e">
        <f>AND(#REF!,"AAAAAFbtmFw=")</f>
        <v>#REF!</v>
      </c>
      <c r="CP452" t="e">
        <f>AND(#REF!,"AAAAAFbtmF0=")</f>
        <v>#REF!</v>
      </c>
      <c r="CQ452" t="e">
        <f>AND(#REF!,"AAAAAFbtmF4=")</f>
        <v>#REF!</v>
      </c>
      <c r="CR452" t="e">
        <f>AND(#REF!,"AAAAAFbtmF8=")</f>
        <v>#REF!</v>
      </c>
      <c r="CS452" t="e">
        <f>AND(#REF!,"AAAAAFbtmGA=")</f>
        <v>#REF!</v>
      </c>
      <c r="CT452" t="e">
        <f>AND(#REF!,"AAAAAFbtmGE=")</f>
        <v>#REF!</v>
      </c>
      <c r="CU452" t="e">
        <f>AND(#REF!,"AAAAAFbtmGI=")</f>
        <v>#REF!</v>
      </c>
      <c r="CV452" t="e">
        <f>AND(#REF!,"AAAAAFbtmGM=")</f>
        <v>#REF!</v>
      </c>
      <c r="CW452" t="e">
        <f>AND(#REF!,"AAAAAFbtmGQ=")</f>
        <v>#REF!</v>
      </c>
      <c r="CX452" t="e">
        <f>AND(#REF!,"AAAAAFbtmGU=")</f>
        <v>#REF!</v>
      </c>
      <c r="CY452" t="e">
        <f>IF(#REF!,"AAAAAFbtmGY=",0)</f>
        <v>#REF!</v>
      </c>
      <c r="CZ452" t="e">
        <f>AND(#REF!,"AAAAAFbtmGc=")</f>
        <v>#REF!</v>
      </c>
      <c r="DA452" t="e">
        <f>AND(#REF!,"AAAAAFbtmGg=")</f>
        <v>#REF!</v>
      </c>
      <c r="DB452" t="e">
        <f>AND(#REF!,"AAAAAFbtmGk=")</f>
        <v>#REF!</v>
      </c>
      <c r="DC452" t="e">
        <f>AND(#REF!,"AAAAAFbtmGo=")</f>
        <v>#REF!</v>
      </c>
      <c r="DD452" t="e">
        <f>AND(#REF!,"AAAAAFbtmGs=")</f>
        <v>#REF!</v>
      </c>
      <c r="DE452" t="e">
        <f>AND(#REF!,"AAAAAFbtmGw=")</f>
        <v>#REF!</v>
      </c>
      <c r="DF452" t="e">
        <f>AND(#REF!,"AAAAAFbtmG0=")</f>
        <v>#REF!</v>
      </c>
      <c r="DG452" t="e">
        <f>AND(#REF!,"AAAAAFbtmG4=")</f>
        <v>#REF!</v>
      </c>
      <c r="DH452" t="e">
        <f>AND(#REF!,"AAAAAFbtmG8=")</f>
        <v>#REF!</v>
      </c>
      <c r="DI452" t="e">
        <f>AND(#REF!,"AAAAAFbtmHA=")</f>
        <v>#REF!</v>
      </c>
      <c r="DJ452" t="e">
        <f>IF(#REF!,"AAAAAFbtmHE=",0)</f>
        <v>#REF!</v>
      </c>
      <c r="DK452" t="e">
        <f>AND(#REF!,"AAAAAFbtmHI=")</f>
        <v>#REF!</v>
      </c>
      <c r="DL452" t="e">
        <f>AND(#REF!,"AAAAAFbtmHM=")</f>
        <v>#REF!</v>
      </c>
      <c r="DM452" t="e">
        <f>AND(#REF!,"AAAAAFbtmHQ=")</f>
        <v>#REF!</v>
      </c>
      <c r="DN452" t="e">
        <f>AND(#REF!,"AAAAAFbtmHU=")</f>
        <v>#REF!</v>
      </c>
      <c r="DO452" t="e">
        <f>AND(#REF!,"AAAAAFbtmHY=")</f>
        <v>#REF!</v>
      </c>
      <c r="DP452" t="e">
        <f>AND(#REF!,"AAAAAFbtmHc=")</f>
        <v>#REF!</v>
      </c>
      <c r="DQ452" t="e">
        <f>AND(#REF!,"AAAAAFbtmHg=")</f>
        <v>#REF!</v>
      </c>
      <c r="DR452" t="e">
        <f>AND(#REF!,"AAAAAFbtmHk=")</f>
        <v>#REF!</v>
      </c>
      <c r="DS452" t="e">
        <f>AND(#REF!,"AAAAAFbtmHo=")</f>
        <v>#REF!</v>
      </c>
      <c r="DT452" t="e">
        <f>AND(#REF!,"AAAAAFbtmHs=")</f>
        <v>#REF!</v>
      </c>
      <c r="DU452" t="e">
        <f>IF(#REF!,"AAAAAFbtmHw=",0)</f>
        <v>#REF!</v>
      </c>
      <c r="DV452" t="e">
        <f>AND(#REF!,"AAAAAFbtmH0=")</f>
        <v>#REF!</v>
      </c>
      <c r="DW452" t="e">
        <f>AND(#REF!,"AAAAAFbtmH4=")</f>
        <v>#REF!</v>
      </c>
      <c r="DX452" t="e">
        <f>AND(#REF!,"AAAAAFbtmH8=")</f>
        <v>#REF!</v>
      </c>
      <c r="DY452" t="e">
        <f>AND(#REF!,"AAAAAFbtmIA=")</f>
        <v>#REF!</v>
      </c>
      <c r="DZ452" t="e">
        <f>AND(#REF!,"AAAAAFbtmIE=")</f>
        <v>#REF!</v>
      </c>
      <c r="EA452" t="e">
        <f>AND(#REF!,"AAAAAFbtmII=")</f>
        <v>#REF!</v>
      </c>
      <c r="EB452" t="e">
        <f>AND(#REF!,"AAAAAFbtmIM=")</f>
        <v>#REF!</v>
      </c>
      <c r="EC452" t="e">
        <f>AND(#REF!,"AAAAAFbtmIQ=")</f>
        <v>#REF!</v>
      </c>
      <c r="ED452" t="e">
        <f>AND(#REF!,"AAAAAFbtmIU=")</f>
        <v>#REF!</v>
      </c>
      <c r="EE452" t="e">
        <f>AND(#REF!,"AAAAAFbtmIY=")</f>
        <v>#REF!</v>
      </c>
      <c r="EF452" t="e">
        <f>IF(#REF!,"AAAAAFbtmIc=",0)</f>
        <v>#REF!</v>
      </c>
      <c r="EG452" t="e">
        <f>AND(#REF!,"AAAAAFbtmIg=")</f>
        <v>#REF!</v>
      </c>
      <c r="EH452" t="e">
        <f>AND(#REF!,"AAAAAFbtmIk=")</f>
        <v>#REF!</v>
      </c>
      <c r="EI452" t="e">
        <f>AND(#REF!,"AAAAAFbtmIo=")</f>
        <v>#REF!</v>
      </c>
      <c r="EJ452" t="e">
        <f>AND(#REF!,"AAAAAFbtmIs=")</f>
        <v>#REF!</v>
      </c>
      <c r="EK452" t="e">
        <f>AND(#REF!,"AAAAAFbtmIw=")</f>
        <v>#REF!</v>
      </c>
      <c r="EL452" t="e">
        <f>AND(#REF!,"AAAAAFbtmI0=")</f>
        <v>#REF!</v>
      </c>
      <c r="EM452" t="e">
        <f>AND(#REF!,"AAAAAFbtmI4=")</f>
        <v>#REF!</v>
      </c>
      <c r="EN452" t="e">
        <f>AND(#REF!,"AAAAAFbtmI8=")</f>
        <v>#REF!</v>
      </c>
      <c r="EO452" t="e">
        <f>AND(#REF!,"AAAAAFbtmJA=")</f>
        <v>#REF!</v>
      </c>
      <c r="EP452" t="e">
        <f>AND(#REF!,"AAAAAFbtmJE=")</f>
        <v>#REF!</v>
      </c>
      <c r="EQ452" t="e">
        <f>IF(#REF!,"AAAAAFbtmJI=",0)</f>
        <v>#REF!</v>
      </c>
      <c r="ER452" t="e">
        <f>AND(#REF!,"AAAAAFbtmJM=")</f>
        <v>#REF!</v>
      </c>
      <c r="ES452" t="e">
        <f>AND(#REF!,"AAAAAFbtmJQ=")</f>
        <v>#REF!</v>
      </c>
      <c r="ET452" t="e">
        <f>AND(#REF!,"AAAAAFbtmJU=")</f>
        <v>#REF!</v>
      </c>
      <c r="EU452" t="e">
        <f>AND(#REF!,"AAAAAFbtmJY=")</f>
        <v>#REF!</v>
      </c>
      <c r="EV452" t="e">
        <f>AND(#REF!,"AAAAAFbtmJc=")</f>
        <v>#REF!</v>
      </c>
      <c r="EW452" t="e">
        <f>AND(#REF!,"AAAAAFbtmJg=")</f>
        <v>#REF!</v>
      </c>
      <c r="EX452" t="e">
        <f>AND(#REF!,"AAAAAFbtmJk=")</f>
        <v>#REF!</v>
      </c>
      <c r="EY452" t="e">
        <f>AND(#REF!,"AAAAAFbtmJo=")</f>
        <v>#REF!</v>
      </c>
      <c r="EZ452" t="e">
        <f>AND(#REF!,"AAAAAFbtmJs=")</f>
        <v>#REF!</v>
      </c>
      <c r="FA452" t="e">
        <f>AND(#REF!,"AAAAAFbtmJw=")</f>
        <v>#REF!</v>
      </c>
      <c r="FB452" t="e">
        <f>IF(#REF!,"AAAAAFbtmJ0=",0)</f>
        <v>#REF!</v>
      </c>
      <c r="FC452" t="e">
        <f>AND(#REF!,"AAAAAFbtmJ4=")</f>
        <v>#REF!</v>
      </c>
      <c r="FD452" t="e">
        <f>AND(#REF!,"AAAAAFbtmJ8=")</f>
        <v>#REF!</v>
      </c>
      <c r="FE452" t="e">
        <f>AND(#REF!,"AAAAAFbtmKA=")</f>
        <v>#REF!</v>
      </c>
      <c r="FF452" t="e">
        <f>AND(#REF!,"AAAAAFbtmKE=")</f>
        <v>#REF!</v>
      </c>
      <c r="FG452" t="e">
        <f>AND(#REF!,"AAAAAFbtmKI=")</f>
        <v>#REF!</v>
      </c>
      <c r="FH452" t="e">
        <f>AND(#REF!,"AAAAAFbtmKM=")</f>
        <v>#REF!</v>
      </c>
      <c r="FI452" t="e">
        <f>AND(#REF!,"AAAAAFbtmKQ=")</f>
        <v>#REF!</v>
      </c>
      <c r="FJ452" t="e">
        <f>AND(#REF!,"AAAAAFbtmKU=")</f>
        <v>#REF!</v>
      </c>
      <c r="FK452" t="e">
        <f>AND(#REF!,"AAAAAFbtmKY=")</f>
        <v>#REF!</v>
      </c>
      <c r="FL452" t="e">
        <f>AND(#REF!,"AAAAAFbtmKc=")</f>
        <v>#REF!</v>
      </c>
      <c r="FM452" t="e">
        <f>IF(#REF!,"AAAAAFbtmKg=",0)</f>
        <v>#REF!</v>
      </c>
      <c r="FN452" t="e">
        <f>AND(#REF!,"AAAAAFbtmKk=")</f>
        <v>#REF!</v>
      </c>
      <c r="FO452" t="e">
        <f>AND(#REF!,"AAAAAFbtmKo=")</f>
        <v>#REF!</v>
      </c>
      <c r="FP452" t="e">
        <f>AND(#REF!,"AAAAAFbtmKs=")</f>
        <v>#REF!</v>
      </c>
      <c r="FQ452" t="e">
        <f>AND(#REF!,"AAAAAFbtmKw=")</f>
        <v>#REF!</v>
      </c>
      <c r="FR452" t="e">
        <f>AND(#REF!,"AAAAAFbtmK0=")</f>
        <v>#REF!</v>
      </c>
      <c r="FS452" t="e">
        <f>AND(#REF!,"AAAAAFbtmK4=")</f>
        <v>#REF!</v>
      </c>
      <c r="FT452" t="e">
        <f>AND(#REF!,"AAAAAFbtmK8=")</f>
        <v>#REF!</v>
      </c>
      <c r="FU452" t="e">
        <f>AND(#REF!,"AAAAAFbtmLA=")</f>
        <v>#REF!</v>
      </c>
      <c r="FV452" t="e">
        <f>AND(#REF!,"AAAAAFbtmLE=")</f>
        <v>#REF!</v>
      </c>
      <c r="FW452" t="e">
        <f>AND(#REF!,"AAAAAFbtmLI=")</f>
        <v>#REF!</v>
      </c>
      <c r="FX452" t="e">
        <f>IF(#REF!,"AAAAAFbtmLM=",0)</f>
        <v>#REF!</v>
      </c>
      <c r="FY452" t="e">
        <f>AND(#REF!,"AAAAAFbtmLQ=")</f>
        <v>#REF!</v>
      </c>
      <c r="FZ452" t="e">
        <f>AND(#REF!,"AAAAAFbtmLU=")</f>
        <v>#REF!</v>
      </c>
      <c r="GA452" t="e">
        <f>AND(#REF!,"AAAAAFbtmLY=")</f>
        <v>#REF!</v>
      </c>
      <c r="GB452" t="e">
        <f>AND(#REF!,"AAAAAFbtmLc=")</f>
        <v>#REF!</v>
      </c>
      <c r="GC452" t="e">
        <f>AND(#REF!,"AAAAAFbtmLg=")</f>
        <v>#REF!</v>
      </c>
      <c r="GD452" t="e">
        <f>AND(#REF!,"AAAAAFbtmLk=")</f>
        <v>#REF!</v>
      </c>
      <c r="GE452" t="e">
        <f>AND(#REF!,"AAAAAFbtmLo=")</f>
        <v>#REF!</v>
      </c>
      <c r="GF452" t="e">
        <f>AND(#REF!,"AAAAAFbtmLs=")</f>
        <v>#REF!</v>
      </c>
      <c r="GG452" t="e">
        <f>AND(#REF!,"AAAAAFbtmLw=")</f>
        <v>#REF!</v>
      </c>
      <c r="GH452" t="e">
        <f>AND(#REF!,"AAAAAFbtmL0=")</f>
        <v>#REF!</v>
      </c>
      <c r="GI452" t="e">
        <f>IF(#REF!,"AAAAAFbtmL4=",0)</f>
        <v>#REF!</v>
      </c>
      <c r="GJ452" t="e">
        <f>AND(#REF!,"AAAAAFbtmL8=")</f>
        <v>#REF!</v>
      </c>
      <c r="GK452" t="e">
        <f>AND(#REF!,"AAAAAFbtmMA=")</f>
        <v>#REF!</v>
      </c>
      <c r="GL452" t="e">
        <f>AND(#REF!,"AAAAAFbtmME=")</f>
        <v>#REF!</v>
      </c>
      <c r="GM452" t="e">
        <f>AND(#REF!,"AAAAAFbtmMI=")</f>
        <v>#REF!</v>
      </c>
      <c r="GN452" t="e">
        <f>AND(#REF!,"AAAAAFbtmMM=")</f>
        <v>#REF!</v>
      </c>
      <c r="GO452" t="e">
        <f>AND(#REF!,"AAAAAFbtmMQ=")</f>
        <v>#REF!</v>
      </c>
      <c r="GP452" t="e">
        <f>AND(#REF!,"AAAAAFbtmMU=")</f>
        <v>#REF!</v>
      </c>
      <c r="GQ452" t="e">
        <f>AND(#REF!,"AAAAAFbtmMY=")</f>
        <v>#REF!</v>
      </c>
      <c r="GR452" t="e">
        <f>AND(#REF!,"AAAAAFbtmMc=")</f>
        <v>#REF!</v>
      </c>
      <c r="GS452" t="e">
        <f>AND(#REF!,"AAAAAFbtmMg=")</f>
        <v>#REF!</v>
      </c>
      <c r="GT452" t="e">
        <f>IF(#REF!,"AAAAAFbtmMk=",0)</f>
        <v>#REF!</v>
      </c>
      <c r="GU452" t="e">
        <f>AND(#REF!,"AAAAAFbtmMo=")</f>
        <v>#REF!</v>
      </c>
      <c r="GV452" t="e">
        <f>AND(#REF!,"AAAAAFbtmMs=")</f>
        <v>#REF!</v>
      </c>
      <c r="GW452" t="e">
        <f>AND(#REF!,"AAAAAFbtmMw=")</f>
        <v>#REF!</v>
      </c>
      <c r="GX452" t="e">
        <f>AND(#REF!,"AAAAAFbtmM0=")</f>
        <v>#REF!</v>
      </c>
      <c r="GY452" t="e">
        <f>AND(#REF!,"AAAAAFbtmM4=")</f>
        <v>#REF!</v>
      </c>
      <c r="GZ452" t="e">
        <f>AND(#REF!,"AAAAAFbtmM8=")</f>
        <v>#REF!</v>
      </c>
      <c r="HA452" t="e">
        <f>AND(#REF!,"AAAAAFbtmNA=")</f>
        <v>#REF!</v>
      </c>
      <c r="HB452" t="e">
        <f>AND(#REF!,"AAAAAFbtmNE=")</f>
        <v>#REF!</v>
      </c>
      <c r="HC452" t="e">
        <f>AND(#REF!,"AAAAAFbtmNI=")</f>
        <v>#REF!</v>
      </c>
      <c r="HD452" t="e">
        <f>AND(#REF!,"AAAAAFbtmNM=")</f>
        <v>#REF!</v>
      </c>
      <c r="HE452" t="e">
        <f>IF(#REF!,"AAAAAFbtmNQ=",0)</f>
        <v>#REF!</v>
      </c>
      <c r="HF452" t="e">
        <f>AND(#REF!,"AAAAAFbtmNU=")</f>
        <v>#REF!</v>
      </c>
      <c r="HG452" t="e">
        <f>AND(#REF!,"AAAAAFbtmNY=")</f>
        <v>#REF!</v>
      </c>
      <c r="HH452" t="e">
        <f>AND(#REF!,"AAAAAFbtmNc=")</f>
        <v>#REF!</v>
      </c>
      <c r="HI452" t="e">
        <f>AND(#REF!,"AAAAAFbtmNg=")</f>
        <v>#REF!</v>
      </c>
      <c r="HJ452" t="e">
        <f>AND(#REF!,"AAAAAFbtmNk=")</f>
        <v>#REF!</v>
      </c>
      <c r="HK452" t="e">
        <f>AND(#REF!,"AAAAAFbtmNo=")</f>
        <v>#REF!</v>
      </c>
      <c r="HL452" t="e">
        <f>AND(#REF!,"AAAAAFbtmNs=")</f>
        <v>#REF!</v>
      </c>
      <c r="HM452" t="e">
        <f>AND(#REF!,"AAAAAFbtmNw=")</f>
        <v>#REF!</v>
      </c>
      <c r="HN452" t="e">
        <f>AND(#REF!,"AAAAAFbtmN0=")</f>
        <v>#REF!</v>
      </c>
      <c r="HO452" t="e">
        <f>AND(#REF!,"AAAAAFbtmN4=")</f>
        <v>#REF!</v>
      </c>
      <c r="HP452" t="e">
        <f>IF(#REF!,"AAAAAFbtmN8=",0)</f>
        <v>#REF!</v>
      </c>
      <c r="HQ452" t="e">
        <f>AND(#REF!,"AAAAAFbtmOA=")</f>
        <v>#REF!</v>
      </c>
      <c r="HR452" t="e">
        <f>AND(#REF!,"AAAAAFbtmOE=")</f>
        <v>#REF!</v>
      </c>
      <c r="HS452" t="e">
        <f>AND(#REF!,"AAAAAFbtmOI=")</f>
        <v>#REF!</v>
      </c>
      <c r="HT452" t="e">
        <f>AND(#REF!,"AAAAAFbtmOM=")</f>
        <v>#REF!</v>
      </c>
      <c r="HU452" t="e">
        <f>AND(#REF!,"AAAAAFbtmOQ=")</f>
        <v>#REF!</v>
      </c>
      <c r="HV452" t="e">
        <f>AND(#REF!,"AAAAAFbtmOU=")</f>
        <v>#REF!</v>
      </c>
      <c r="HW452" t="e">
        <f>AND(#REF!,"AAAAAFbtmOY=")</f>
        <v>#REF!</v>
      </c>
      <c r="HX452" t="e">
        <f>AND(#REF!,"AAAAAFbtmOc=")</f>
        <v>#REF!</v>
      </c>
      <c r="HY452" t="e">
        <f>AND(#REF!,"AAAAAFbtmOg=")</f>
        <v>#REF!</v>
      </c>
      <c r="HZ452" t="e">
        <f>AND(#REF!,"AAAAAFbtmOk=")</f>
        <v>#REF!</v>
      </c>
      <c r="IA452" t="e">
        <f>IF(#REF!,"AAAAAFbtmOo=",0)</f>
        <v>#REF!</v>
      </c>
      <c r="IB452" t="e">
        <f>AND(#REF!,"AAAAAFbtmOs=")</f>
        <v>#REF!</v>
      </c>
      <c r="IC452" t="e">
        <f>AND(#REF!,"AAAAAFbtmOw=")</f>
        <v>#REF!</v>
      </c>
      <c r="ID452" t="e">
        <f>AND(#REF!,"AAAAAFbtmO0=")</f>
        <v>#REF!</v>
      </c>
      <c r="IE452" t="e">
        <f>AND(#REF!,"AAAAAFbtmO4=")</f>
        <v>#REF!</v>
      </c>
      <c r="IF452" t="e">
        <f>AND(#REF!,"AAAAAFbtmO8=")</f>
        <v>#REF!</v>
      </c>
      <c r="IG452" t="e">
        <f>AND(#REF!,"AAAAAFbtmPA=")</f>
        <v>#REF!</v>
      </c>
      <c r="IH452" t="e">
        <f>AND(#REF!,"AAAAAFbtmPE=")</f>
        <v>#REF!</v>
      </c>
      <c r="II452" t="e">
        <f>AND(#REF!,"AAAAAFbtmPI=")</f>
        <v>#REF!</v>
      </c>
      <c r="IJ452" t="e">
        <f>AND(#REF!,"AAAAAFbtmPM=")</f>
        <v>#REF!</v>
      </c>
      <c r="IK452" t="e">
        <f>AND(#REF!,"AAAAAFbtmPQ=")</f>
        <v>#REF!</v>
      </c>
      <c r="IL452" t="e">
        <f>IF(#REF!,"AAAAAFbtmPU=",0)</f>
        <v>#REF!</v>
      </c>
      <c r="IM452" t="e">
        <f>AND(#REF!,"AAAAAFbtmPY=")</f>
        <v>#REF!</v>
      </c>
      <c r="IN452" t="e">
        <f>AND(#REF!,"AAAAAFbtmPc=")</f>
        <v>#REF!</v>
      </c>
      <c r="IO452" t="e">
        <f>AND(#REF!,"AAAAAFbtmPg=")</f>
        <v>#REF!</v>
      </c>
      <c r="IP452" t="e">
        <f>AND(#REF!,"AAAAAFbtmPk=")</f>
        <v>#REF!</v>
      </c>
      <c r="IQ452" t="e">
        <f>AND(#REF!,"AAAAAFbtmPo=")</f>
        <v>#REF!</v>
      </c>
      <c r="IR452" t="e">
        <f>AND(#REF!,"AAAAAFbtmPs=")</f>
        <v>#REF!</v>
      </c>
      <c r="IS452" t="e">
        <f>AND(#REF!,"AAAAAFbtmPw=")</f>
        <v>#REF!</v>
      </c>
      <c r="IT452" t="e">
        <f>AND(#REF!,"AAAAAFbtmP0=")</f>
        <v>#REF!</v>
      </c>
      <c r="IU452" t="e">
        <f>AND(#REF!,"AAAAAFbtmP4=")</f>
        <v>#REF!</v>
      </c>
      <c r="IV452" t="e">
        <f>AND(#REF!,"AAAAAFbtmP8=")</f>
        <v>#REF!</v>
      </c>
    </row>
    <row r="453" spans="1:256" x14ac:dyDescent="0.25">
      <c r="A453" t="e">
        <f>IF(#REF!,"AAAAAH7/3QA=",0)</f>
        <v>#REF!</v>
      </c>
      <c r="B453" t="e">
        <f>AND(#REF!,"AAAAAH7/3QE=")</f>
        <v>#REF!</v>
      </c>
      <c r="C453" t="e">
        <f>AND(#REF!,"AAAAAH7/3QI=")</f>
        <v>#REF!</v>
      </c>
      <c r="D453" t="e">
        <f>AND(#REF!,"AAAAAH7/3QM=")</f>
        <v>#REF!</v>
      </c>
      <c r="E453" t="e">
        <f>AND(#REF!,"AAAAAH7/3QQ=")</f>
        <v>#REF!</v>
      </c>
      <c r="F453" t="e">
        <f>AND(#REF!,"AAAAAH7/3QU=")</f>
        <v>#REF!</v>
      </c>
      <c r="G453" t="e">
        <f>AND(#REF!,"AAAAAH7/3QY=")</f>
        <v>#REF!</v>
      </c>
      <c r="H453" t="e">
        <f>AND(#REF!,"AAAAAH7/3Qc=")</f>
        <v>#REF!</v>
      </c>
      <c r="I453" t="e">
        <f>AND(#REF!,"AAAAAH7/3Qg=")</f>
        <v>#REF!</v>
      </c>
      <c r="J453" t="e">
        <f>AND(#REF!,"AAAAAH7/3Qk=")</f>
        <v>#REF!</v>
      </c>
      <c r="K453" t="e">
        <f>AND(#REF!,"AAAAAH7/3Qo=")</f>
        <v>#REF!</v>
      </c>
      <c r="L453" t="e">
        <f>IF(#REF!,"AAAAAH7/3Qs=",0)</f>
        <v>#REF!</v>
      </c>
      <c r="M453" t="e">
        <f>AND(#REF!,"AAAAAH7/3Qw=")</f>
        <v>#REF!</v>
      </c>
      <c r="N453" t="e">
        <f>AND(#REF!,"AAAAAH7/3Q0=")</f>
        <v>#REF!</v>
      </c>
      <c r="O453" t="e">
        <f>AND(#REF!,"AAAAAH7/3Q4=")</f>
        <v>#REF!</v>
      </c>
      <c r="P453" t="e">
        <f>AND(#REF!,"AAAAAH7/3Q8=")</f>
        <v>#REF!</v>
      </c>
      <c r="Q453" t="e">
        <f>AND(#REF!,"AAAAAH7/3RA=")</f>
        <v>#REF!</v>
      </c>
      <c r="R453" t="e">
        <f>AND(#REF!,"AAAAAH7/3RE=")</f>
        <v>#REF!</v>
      </c>
      <c r="S453" t="e">
        <f>AND(#REF!,"AAAAAH7/3RI=")</f>
        <v>#REF!</v>
      </c>
      <c r="T453" t="e">
        <f>AND(#REF!,"AAAAAH7/3RM=")</f>
        <v>#REF!</v>
      </c>
      <c r="U453" t="e">
        <f>AND(#REF!,"AAAAAH7/3RQ=")</f>
        <v>#REF!</v>
      </c>
      <c r="V453" t="e">
        <f>AND(#REF!,"AAAAAH7/3RU=")</f>
        <v>#REF!</v>
      </c>
      <c r="W453" t="e">
        <f>IF(#REF!,"AAAAAH7/3RY=",0)</f>
        <v>#REF!</v>
      </c>
      <c r="X453" t="e">
        <f>AND(#REF!,"AAAAAH7/3Rc=")</f>
        <v>#REF!</v>
      </c>
      <c r="Y453" t="e">
        <f>AND(#REF!,"AAAAAH7/3Rg=")</f>
        <v>#REF!</v>
      </c>
      <c r="Z453" t="e">
        <f>AND(#REF!,"AAAAAH7/3Rk=")</f>
        <v>#REF!</v>
      </c>
      <c r="AA453" t="e">
        <f>AND(#REF!,"AAAAAH7/3Ro=")</f>
        <v>#REF!</v>
      </c>
      <c r="AB453" t="e">
        <f>AND(#REF!,"AAAAAH7/3Rs=")</f>
        <v>#REF!</v>
      </c>
      <c r="AC453" t="e">
        <f>AND(#REF!,"AAAAAH7/3Rw=")</f>
        <v>#REF!</v>
      </c>
      <c r="AD453" t="e">
        <f>AND(#REF!,"AAAAAH7/3R0=")</f>
        <v>#REF!</v>
      </c>
      <c r="AE453" t="e">
        <f>AND(#REF!,"AAAAAH7/3R4=")</f>
        <v>#REF!</v>
      </c>
      <c r="AF453" t="e">
        <f>AND(#REF!,"AAAAAH7/3R8=")</f>
        <v>#REF!</v>
      </c>
      <c r="AG453" t="e">
        <f>AND(#REF!,"AAAAAH7/3SA=")</f>
        <v>#REF!</v>
      </c>
      <c r="AH453" t="e">
        <f>IF(#REF!,"AAAAAH7/3SE=",0)</f>
        <v>#REF!</v>
      </c>
      <c r="AI453" t="e">
        <f>AND(#REF!,"AAAAAH7/3SI=")</f>
        <v>#REF!</v>
      </c>
      <c r="AJ453" t="e">
        <f>AND(#REF!,"AAAAAH7/3SM=")</f>
        <v>#REF!</v>
      </c>
      <c r="AK453" t="e">
        <f>AND(#REF!,"AAAAAH7/3SQ=")</f>
        <v>#REF!</v>
      </c>
      <c r="AL453" t="e">
        <f>AND(#REF!,"AAAAAH7/3SU=")</f>
        <v>#REF!</v>
      </c>
      <c r="AM453" t="e">
        <f>AND(#REF!,"AAAAAH7/3SY=")</f>
        <v>#REF!</v>
      </c>
      <c r="AN453" t="e">
        <f>AND(#REF!,"AAAAAH7/3Sc=")</f>
        <v>#REF!</v>
      </c>
      <c r="AO453" t="e">
        <f>AND(#REF!,"AAAAAH7/3Sg=")</f>
        <v>#REF!</v>
      </c>
      <c r="AP453" t="e">
        <f>AND(#REF!,"AAAAAH7/3Sk=")</f>
        <v>#REF!</v>
      </c>
      <c r="AQ453" t="e">
        <f>AND(#REF!,"AAAAAH7/3So=")</f>
        <v>#REF!</v>
      </c>
      <c r="AR453" t="e">
        <f>AND(#REF!,"AAAAAH7/3Ss=")</f>
        <v>#REF!</v>
      </c>
      <c r="AS453" t="e">
        <f>IF(#REF!,"AAAAAH7/3Sw=",0)</f>
        <v>#REF!</v>
      </c>
      <c r="AT453" t="e">
        <f>AND(#REF!,"AAAAAH7/3S0=")</f>
        <v>#REF!</v>
      </c>
      <c r="AU453" t="e">
        <f>AND(#REF!,"AAAAAH7/3S4=")</f>
        <v>#REF!</v>
      </c>
      <c r="AV453" t="e">
        <f>AND(#REF!,"AAAAAH7/3S8=")</f>
        <v>#REF!</v>
      </c>
      <c r="AW453" t="e">
        <f>AND(#REF!,"AAAAAH7/3TA=")</f>
        <v>#REF!</v>
      </c>
      <c r="AX453" t="e">
        <f>AND(#REF!,"AAAAAH7/3TE=")</f>
        <v>#REF!</v>
      </c>
      <c r="AY453" t="e">
        <f>AND(#REF!,"AAAAAH7/3TI=")</f>
        <v>#REF!</v>
      </c>
      <c r="AZ453" t="e">
        <f>AND(#REF!,"AAAAAH7/3TM=")</f>
        <v>#REF!</v>
      </c>
      <c r="BA453" t="e">
        <f>AND(#REF!,"AAAAAH7/3TQ=")</f>
        <v>#REF!</v>
      </c>
      <c r="BB453" t="e">
        <f>AND(#REF!,"AAAAAH7/3TU=")</f>
        <v>#REF!</v>
      </c>
      <c r="BC453" t="e">
        <f>AND(#REF!,"AAAAAH7/3TY=")</f>
        <v>#REF!</v>
      </c>
      <c r="BD453" t="e">
        <f>IF(#REF!,"AAAAAH7/3Tc=",0)</f>
        <v>#REF!</v>
      </c>
      <c r="BE453" t="e">
        <f>AND(#REF!,"AAAAAH7/3Tg=")</f>
        <v>#REF!</v>
      </c>
      <c r="BF453" t="e">
        <f>AND(#REF!,"AAAAAH7/3Tk=")</f>
        <v>#REF!</v>
      </c>
      <c r="BG453" t="e">
        <f>AND(#REF!,"AAAAAH7/3To=")</f>
        <v>#REF!</v>
      </c>
      <c r="BH453" t="e">
        <f>AND(#REF!,"AAAAAH7/3Ts=")</f>
        <v>#REF!</v>
      </c>
      <c r="BI453" t="e">
        <f>AND(#REF!,"AAAAAH7/3Tw=")</f>
        <v>#REF!</v>
      </c>
      <c r="BJ453" t="e">
        <f>AND(#REF!,"AAAAAH7/3T0=")</f>
        <v>#REF!</v>
      </c>
      <c r="BK453" t="e">
        <f>AND(#REF!,"AAAAAH7/3T4=")</f>
        <v>#REF!</v>
      </c>
      <c r="BL453" t="e">
        <f>AND(#REF!,"AAAAAH7/3T8=")</f>
        <v>#REF!</v>
      </c>
      <c r="BM453" t="e">
        <f>AND(#REF!,"AAAAAH7/3UA=")</f>
        <v>#REF!</v>
      </c>
      <c r="BN453" t="e">
        <f>AND(#REF!,"AAAAAH7/3UE=")</f>
        <v>#REF!</v>
      </c>
      <c r="BO453" t="e">
        <f>IF(#REF!,"AAAAAH7/3UI=",0)</f>
        <v>#REF!</v>
      </c>
      <c r="BP453" t="e">
        <f>AND(#REF!,"AAAAAH7/3UM=")</f>
        <v>#REF!</v>
      </c>
      <c r="BQ453" t="e">
        <f>AND(#REF!,"AAAAAH7/3UQ=")</f>
        <v>#REF!</v>
      </c>
      <c r="BR453" t="e">
        <f>AND(#REF!,"AAAAAH7/3UU=")</f>
        <v>#REF!</v>
      </c>
      <c r="BS453" t="e">
        <f>AND(#REF!,"AAAAAH7/3UY=")</f>
        <v>#REF!</v>
      </c>
      <c r="BT453" t="e">
        <f>AND(#REF!,"AAAAAH7/3Uc=")</f>
        <v>#REF!</v>
      </c>
      <c r="BU453" t="e">
        <f>AND(#REF!,"AAAAAH7/3Ug=")</f>
        <v>#REF!</v>
      </c>
      <c r="BV453" t="e">
        <f>AND(#REF!,"AAAAAH7/3Uk=")</f>
        <v>#REF!</v>
      </c>
      <c r="BW453" t="e">
        <f>AND(#REF!,"AAAAAH7/3Uo=")</f>
        <v>#REF!</v>
      </c>
      <c r="BX453" t="e">
        <f>AND(#REF!,"AAAAAH7/3Us=")</f>
        <v>#REF!</v>
      </c>
      <c r="BY453" t="e">
        <f>AND(#REF!,"AAAAAH7/3Uw=")</f>
        <v>#REF!</v>
      </c>
      <c r="BZ453" t="e">
        <f>IF(#REF!,"AAAAAH7/3U0=",0)</f>
        <v>#REF!</v>
      </c>
      <c r="CA453" t="e">
        <f>AND(#REF!,"AAAAAH7/3U4=")</f>
        <v>#REF!</v>
      </c>
      <c r="CB453" t="e">
        <f>AND(#REF!,"AAAAAH7/3U8=")</f>
        <v>#REF!</v>
      </c>
      <c r="CC453" t="e">
        <f>AND(#REF!,"AAAAAH7/3VA=")</f>
        <v>#REF!</v>
      </c>
      <c r="CD453" t="e">
        <f>AND(#REF!,"AAAAAH7/3VE=")</f>
        <v>#REF!</v>
      </c>
      <c r="CE453" t="e">
        <f>AND(#REF!,"AAAAAH7/3VI=")</f>
        <v>#REF!</v>
      </c>
      <c r="CF453" t="e">
        <f>AND(#REF!,"AAAAAH7/3VM=")</f>
        <v>#REF!</v>
      </c>
      <c r="CG453" t="e">
        <f>AND(#REF!,"AAAAAH7/3VQ=")</f>
        <v>#REF!</v>
      </c>
      <c r="CH453" t="e">
        <f>AND(#REF!,"AAAAAH7/3VU=")</f>
        <v>#REF!</v>
      </c>
      <c r="CI453" t="e">
        <f>AND(#REF!,"AAAAAH7/3VY=")</f>
        <v>#REF!</v>
      </c>
      <c r="CJ453" t="e">
        <f>AND(#REF!,"AAAAAH7/3Vc=")</f>
        <v>#REF!</v>
      </c>
      <c r="CK453" t="e">
        <f>IF(#REF!,"AAAAAH7/3Vg=",0)</f>
        <v>#REF!</v>
      </c>
      <c r="CL453" t="e">
        <f>AND(#REF!,"AAAAAH7/3Vk=")</f>
        <v>#REF!</v>
      </c>
      <c r="CM453" t="e">
        <f>AND(#REF!,"AAAAAH7/3Vo=")</f>
        <v>#REF!</v>
      </c>
      <c r="CN453" t="e">
        <f>AND(#REF!,"AAAAAH7/3Vs=")</f>
        <v>#REF!</v>
      </c>
      <c r="CO453" t="e">
        <f>AND(#REF!,"AAAAAH7/3Vw=")</f>
        <v>#REF!</v>
      </c>
      <c r="CP453" t="e">
        <f>AND(#REF!,"AAAAAH7/3V0=")</f>
        <v>#REF!</v>
      </c>
      <c r="CQ453" t="e">
        <f>AND(#REF!,"AAAAAH7/3V4=")</f>
        <v>#REF!</v>
      </c>
      <c r="CR453" t="e">
        <f>AND(#REF!,"AAAAAH7/3V8=")</f>
        <v>#REF!</v>
      </c>
      <c r="CS453" t="e">
        <f>AND(#REF!,"AAAAAH7/3WA=")</f>
        <v>#REF!</v>
      </c>
      <c r="CT453" t="e">
        <f>AND(#REF!,"AAAAAH7/3WE=")</f>
        <v>#REF!</v>
      </c>
      <c r="CU453" t="e">
        <f>AND(#REF!,"AAAAAH7/3WI=")</f>
        <v>#REF!</v>
      </c>
      <c r="CV453" t="e">
        <f>IF(#REF!,"AAAAAH7/3WM=",0)</f>
        <v>#REF!</v>
      </c>
      <c r="CW453" t="e">
        <f>AND(#REF!,"AAAAAH7/3WQ=")</f>
        <v>#REF!</v>
      </c>
      <c r="CX453" t="e">
        <f>AND(#REF!,"AAAAAH7/3WU=")</f>
        <v>#REF!</v>
      </c>
      <c r="CY453" t="e">
        <f>AND(#REF!,"AAAAAH7/3WY=")</f>
        <v>#REF!</v>
      </c>
      <c r="CZ453" t="e">
        <f>AND(#REF!,"AAAAAH7/3Wc=")</f>
        <v>#REF!</v>
      </c>
      <c r="DA453" t="e">
        <f>AND(#REF!,"AAAAAH7/3Wg=")</f>
        <v>#REF!</v>
      </c>
      <c r="DB453" t="e">
        <f>AND(#REF!,"AAAAAH7/3Wk=")</f>
        <v>#REF!</v>
      </c>
      <c r="DC453" t="e">
        <f>AND(#REF!,"AAAAAH7/3Wo=")</f>
        <v>#REF!</v>
      </c>
      <c r="DD453" t="e">
        <f>AND(#REF!,"AAAAAH7/3Ws=")</f>
        <v>#REF!</v>
      </c>
      <c r="DE453" t="e">
        <f>AND(#REF!,"AAAAAH7/3Ww=")</f>
        <v>#REF!</v>
      </c>
      <c r="DF453" t="e">
        <f>AND(#REF!,"AAAAAH7/3W0=")</f>
        <v>#REF!</v>
      </c>
      <c r="DG453" t="e">
        <f>IF(#REF!,"AAAAAH7/3W4=",0)</f>
        <v>#REF!</v>
      </c>
      <c r="DH453" t="e">
        <f>AND(#REF!,"AAAAAH7/3W8=")</f>
        <v>#REF!</v>
      </c>
      <c r="DI453" t="e">
        <f>AND(#REF!,"AAAAAH7/3XA=")</f>
        <v>#REF!</v>
      </c>
      <c r="DJ453" t="e">
        <f>AND(#REF!,"AAAAAH7/3XE=")</f>
        <v>#REF!</v>
      </c>
      <c r="DK453" t="e">
        <f>AND(#REF!,"AAAAAH7/3XI=")</f>
        <v>#REF!</v>
      </c>
      <c r="DL453" t="e">
        <f>AND(#REF!,"AAAAAH7/3XM=")</f>
        <v>#REF!</v>
      </c>
      <c r="DM453" t="e">
        <f>AND(#REF!,"AAAAAH7/3XQ=")</f>
        <v>#REF!</v>
      </c>
      <c r="DN453" t="e">
        <f>AND(#REF!,"AAAAAH7/3XU=")</f>
        <v>#REF!</v>
      </c>
      <c r="DO453" t="e">
        <f>AND(#REF!,"AAAAAH7/3XY=")</f>
        <v>#REF!</v>
      </c>
      <c r="DP453" t="e">
        <f>AND(#REF!,"AAAAAH7/3Xc=")</f>
        <v>#REF!</v>
      </c>
      <c r="DQ453" t="e">
        <f>AND(#REF!,"AAAAAH7/3Xg=")</f>
        <v>#REF!</v>
      </c>
      <c r="DR453" t="e">
        <f>IF(#REF!,"AAAAAH7/3Xk=",0)</f>
        <v>#REF!</v>
      </c>
      <c r="DS453" t="e">
        <f>AND(#REF!,"AAAAAH7/3Xo=")</f>
        <v>#REF!</v>
      </c>
      <c r="DT453" t="e">
        <f>AND(#REF!,"AAAAAH7/3Xs=")</f>
        <v>#REF!</v>
      </c>
      <c r="DU453" t="e">
        <f>AND(#REF!,"AAAAAH7/3Xw=")</f>
        <v>#REF!</v>
      </c>
      <c r="DV453" t="e">
        <f>AND(#REF!,"AAAAAH7/3X0=")</f>
        <v>#REF!</v>
      </c>
      <c r="DW453" t="e">
        <f>AND(#REF!,"AAAAAH7/3X4=")</f>
        <v>#REF!</v>
      </c>
      <c r="DX453" t="e">
        <f>AND(#REF!,"AAAAAH7/3X8=")</f>
        <v>#REF!</v>
      </c>
      <c r="DY453" t="e">
        <f>AND(#REF!,"AAAAAH7/3YA=")</f>
        <v>#REF!</v>
      </c>
      <c r="DZ453" t="e">
        <f>AND(#REF!,"AAAAAH7/3YE=")</f>
        <v>#REF!</v>
      </c>
      <c r="EA453" t="e">
        <f>AND(#REF!,"AAAAAH7/3YI=")</f>
        <v>#REF!</v>
      </c>
      <c r="EB453" t="e">
        <f>AND(#REF!,"AAAAAH7/3YM=")</f>
        <v>#REF!</v>
      </c>
      <c r="EC453" t="e">
        <f>IF(#REF!,"AAAAAH7/3YQ=",0)</f>
        <v>#REF!</v>
      </c>
      <c r="ED453" t="e">
        <f>AND(#REF!,"AAAAAH7/3YU=")</f>
        <v>#REF!</v>
      </c>
      <c r="EE453" t="e">
        <f>AND(#REF!,"AAAAAH7/3YY=")</f>
        <v>#REF!</v>
      </c>
      <c r="EF453" t="e">
        <f>AND(#REF!,"AAAAAH7/3Yc=")</f>
        <v>#REF!</v>
      </c>
      <c r="EG453" t="e">
        <f>AND(#REF!,"AAAAAH7/3Yg=")</f>
        <v>#REF!</v>
      </c>
      <c r="EH453" t="e">
        <f>AND(#REF!,"AAAAAH7/3Yk=")</f>
        <v>#REF!</v>
      </c>
      <c r="EI453" t="e">
        <f>AND(#REF!,"AAAAAH7/3Yo=")</f>
        <v>#REF!</v>
      </c>
      <c r="EJ453" t="e">
        <f>AND(#REF!,"AAAAAH7/3Ys=")</f>
        <v>#REF!</v>
      </c>
      <c r="EK453" t="e">
        <f>AND(#REF!,"AAAAAH7/3Yw=")</f>
        <v>#REF!</v>
      </c>
      <c r="EL453" t="e">
        <f>AND(#REF!,"AAAAAH7/3Y0=")</f>
        <v>#REF!</v>
      </c>
      <c r="EM453" t="e">
        <f>AND(#REF!,"AAAAAH7/3Y4=")</f>
        <v>#REF!</v>
      </c>
      <c r="EN453" t="e">
        <f>IF(#REF!,"AAAAAH7/3Y8=",0)</f>
        <v>#REF!</v>
      </c>
      <c r="EO453" t="e">
        <f>AND(#REF!,"AAAAAH7/3ZA=")</f>
        <v>#REF!</v>
      </c>
      <c r="EP453" t="e">
        <f>AND(#REF!,"AAAAAH7/3ZE=")</f>
        <v>#REF!</v>
      </c>
      <c r="EQ453" t="e">
        <f>AND(#REF!,"AAAAAH7/3ZI=")</f>
        <v>#REF!</v>
      </c>
      <c r="ER453" t="e">
        <f>AND(#REF!,"AAAAAH7/3ZM=")</f>
        <v>#REF!</v>
      </c>
      <c r="ES453" t="e">
        <f>AND(#REF!,"AAAAAH7/3ZQ=")</f>
        <v>#REF!</v>
      </c>
      <c r="ET453" t="e">
        <f>AND(#REF!,"AAAAAH7/3ZU=")</f>
        <v>#REF!</v>
      </c>
      <c r="EU453" t="e">
        <f>AND(#REF!,"AAAAAH7/3ZY=")</f>
        <v>#REF!</v>
      </c>
      <c r="EV453" t="e">
        <f>AND(#REF!,"AAAAAH7/3Zc=")</f>
        <v>#REF!</v>
      </c>
      <c r="EW453" t="e">
        <f>AND(#REF!,"AAAAAH7/3Zg=")</f>
        <v>#REF!</v>
      </c>
      <c r="EX453" t="e">
        <f>AND(#REF!,"AAAAAH7/3Zk=")</f>
        <v>#REF!</v>
      </c>
      <c r="EY453" t="e">
        <f>IF(#REF!,"AAAAAH7/3Zo=",0)</f>
        <v>#REF!</v>
      </c>
      <c r="EZ453" t="e">
        <f>AND(#REF!,"AAAAAH7/3Zs=")</f>
        <v>#REF!</v>
      </c>
      <c r="FA453" t="e">
        <f>AND(#REF!,"AAAAAH7/3Zw=")</f>
        <v>#REF!</v>
      </c>
      <c r="FB453" t="e">
        <f>AND(#REF!,"AAAAAH7/3Z0=")</f>
        <v>#REF!</v>
      </c>
      <c r="FC453" t="e">
        <f>AND(#REF!,"AAAAAH7/3Z4=")</f>
        <v>#REF!</v>
      </c>
      <c r="FD453" t="e">
        <f>AND(#REF!,"AAAAAH7/3Z8=")</f>
        <v>#REF!</v>
      </c>
      <c r="FE453" t="e">
        <f>AND(#REF!,"AAAAAH7/3aA=")</f>
        <v>#REF!</v>
      </c>
      <c r="FF453" t="e">
        <f>AND(#REF!,"AAAAAH7/3aE=")</f>
        <v>#REF!</v>
      </c>
      <c r="FG453" t="e">
        <f>AND(#REF!,"AAAAAH7/3aI=")</f>
        <v>#REF!</v>
      </c>
      <c r="FH453" t="e">
        <f>AND(#REF!,"AAAAAH7/3aM=")</f>
        <v>#REF!</v>
      </c>
      <c r="FI453" t="e">
        <f>AND(#REF!,"AAAAAH7/3aQ=")</f>
        <v>#REF!</v>
      </c>
      <c r="FJ453" t="e">
        <f>IF(#REF!,"AAAAAH7/3aU=",0)</f>
        <v>#REF!</v>
      </c>
      <c r="FK453" t="e">
        <f>AND(#REF!,"AAAAAH7/3aY=")</f>
        <v>#REF!</v>
      </c>
      <c r="FL453" t="e">
        <f>AND(#REF!,"AAAAAH7/3ac=")</f>
        <v>#REF!</v>
      </c>
      <c r="FM453" t="e">
        <f>AND(#REF!,"AAAAAH7/3ag=")</f>
        <v>#REF!</v>
      </c>
      <c r="FN453" t="e">
        <f>AND(#REF!,"AAAAAH7/3ak=")</f>
        <v>#REF!</v>
      </c>
      <c r="FO453" t="e">
        <f>AND(#REF!,"AAAAAH7/3ao=")</f>
        <v>#REF!</v>
      </c>
      <c r="FP453" t="e">
        <f>AND(#REF!,"AAAAAH7/3as=")</f>
        <v>#REF!</v>
      </c>
      <c r="FQ453" t="e">
        <f>AND(#REF!,"AAAAAH7/3aw=")</f>
        <v>#REF!</v>
      </c>
      <c r="FR453" t="e">
        <f>AND(#REF!,"AAAAAH7/3a0=")</f>
        <v>#REF!</v>
      </c>
      <c r="FS453" t="e">
        <f>AND(#REF!,"AAAAAH7/3a4=")</f>
        <v>#REF!</v>
      </c>
      <c r="FT453" t="e">
        <f>AND(#REF!,"AAAAAH7/3a8=")</f>
        <v>#REF!</v>
      </c>
      <c r="FU453" t="e">
        <f>IF(#REF!,"AAAAAH7/3bA=",0)</f>
        <v>#REF!</v>
      </c>
      <c r="FV453" t="e">
        <f>AND(#REF!,"AAAAAH7/3bE=")</f>
        <v>#REF!</v>
      </c>
      <c r="FW453" t="e">
        <f>AND(#REF!,"AAAAAH7/3bI=")</f>
        <v>#REF!</v>
      </c>
      <c r="FX453" t="e">
        <f>AND(#REF!,"AAAAAH7/3bM=")</f>
        <v>#REF!</v>
      </c>
      <c r="FY453" t="e">
        <f>AND(#REF!,"AAAAAH7/3bQ=")</f>
        <v>#REF!</v>
      </c>
      <c r="FZ453" t="e">
        <f>AND(#REF!,"AAAAAH7/3bU=")</f>
        <v>#REF!</v>
      </c>
      <c r="GA453" t="e">
        <f>AND(#REF!,"AAAAAH7/3bY=")</f>
        <v>#REF!</v>
      </c>
      <c r="GB453" t="e">
        <f>AND(#REF!,"AAAAAH7/3bc=")</f>
        <v>#REF!</v>
      </c>
      <c r="GC453" t="e">
        <f>AND(#REF!,"AAAAAH7/3bg=")</f>
        <v>#REF!</v>
      </c>
      <c r="GD453" t="e">
        <f>AND(#REF!,"AAAAAH7/3bk=")</f>
        <v>#REF!</v>
      </c>
      <c r="GE453" t="e">
        <f>AND(#REF!,"AAAAAH7/3bo=")</f>
        <v>#REF!</v>
      </c>
      <c r="GF453" t="e">
        <f>IF(#REF!,"AAAAAH7/3bs=",0)</f>
        <v>#REF!</v>
      </c>
      <c r="GG453" t="e">
        <f>AND(#REF!,"AAAAAH7/3bw=")</f>
        <v>#REF!</v>
      </c>
      <c r="GH453" t="e">
        <f>AND(#REF!,"AAAAAH7/3b0=")</f>
        <v>#REF!</v>
      </c>
      <c r="GI453" t="e">
        <f>AND(#REF!,"AAAAAH7/3b4=")</f>
        <v>#REF!</v>
      </c>
      <c r="GJ453" t="e">
        <f>AND(#REF!,"AAAAAH7/3b8=")</f>
        <v>#REF!</v>
      </c>
      <c r="GK453" t="e">
        <f>AND(#REF!,"AAAAAH7/3cA=")</f>
        <v>#REF!</v>
      </c>
      <c r="GL453" t="e">
        <f>AND(#REF!,"AAAAAH7/3cE=")</f>
        <v>#REF!</v>
      </c>
      <c r="GM453" t="e">
        <f>AND(#REF!,"AAAAAH7/3cI=")</f>
        <v>#REF!</v>
      </c>
      <c r="GN453" t="e">
        <f>AND(#REF!,"AAAAAH7/3cM=")</f>
        <v>#REF!</v>
      </c>
      <c r="GO453" t="e">
        <f>AND(#REF!,"AAAAAH7/3cQ=")</f>
        <v>#REF!</v>
      </c>
      <c r="GP453" t="e">
        <f>AND(#REF!,"AAAAAH7/3cU=")</f>
        <v>#REF!</v>
      </c>
      <c r="GQ453" t="e">
        <f>IF(#REF!,"AAAAAH7/3cY=",0)</f>
        <v>#REF!</v>
      </c>
      <c r="GR453" t="e">
        <f>AND(#REF!,"AAAAAH7/3cc=")</f>
        <v>#REF!</v>
      </c>
      <c r="GS453" t="e">
        <f>AND(#REF!,"AAAAAH7/3cg=")</f>
        <v>#REF!</v>
      </c>
      <c r="GT453" t="e">
        <f>AND(#REF!,"AAAAAH7/3ck=")</f>
        <v>#REF!</v>
      </c>
      <c r="GU453" t="e">
        <f>AND(#REF!,"AAAAAH7/3co=")</f>
        <v>#REF!</v>
      </c>
      <c r="GV453" t="e">
        <f>AND(#REF!,"AAAAAH7/3cs=")</f>
        <v>#REF!</v>
      </c>
      <c r="GW453" t="e">
        <f>AND(#REF!,"AAAAAH7/3cw=")</f>
        <v>#REF!</v>
      </c>
      <c r="GX453" t="e">
        <f>AND(#REF!,"AAAAAH7/3c0=")</f>
        <v>#REF!</v>
      </c>
      <c r="GY453" t="e">
        <f>AND(#REF!,"AAAAAH7/3c4=")</f>
        <v>#REF!</v>
      </c>
      <c r="GZ453" t="e">
        <f>AND(#REF!,"AAAAAH7/3c8=")</f>
        <v>#REF!</v>
      </c>
      <c r="HA453" t="e">
        <f>AND(#REF!,"AAAAAH7/3dA=")</f>
        <v>#REF!</v>
      </c>
      <c r="HB453" t="e">
        <f>IF(#REF!,"AAAAAH7/3dE=",0)</f>
        <v>#REF!</v>
      </c>
      <c r="HC453" t="e">
        <f>AND(#REF!,"AAAAAH7/3dI=")</f>
        <v>#REF!</v>
      </c>
      <c r="HD453" t="e">
        <f>AND(#REF!,"AAAAAH7/3dM=")</f>
        <v>#REF!</v>
      </c>
      <c r="HE453" t="e">
        <f>AND(#REF!,"AAAAAH7/3dQ=")</f>
        <v>#REF!</v>
      </c>
      <c r="HF453" t="e">
        <f>AND(#REF!,"AAAAAH7/3dU=")</f>
        <v>#REF!</v>
      </c>
      <c r="HG453" t="e">
        <f>AND(#REF!,"AAAAAH7/3dY=")</f>
        <v>#REF!</v>
      </c>
      <c r="HH453" t="e">
        <f>AND(#REF!,"AAAAAH7/3dc=")</f>
        <v>#REF!</v>
      </c>
      <c r="HI453" t="e">
        <f>AND(#REF!,"AAAAAH7/3dg=")</f>
        <v>#REF!</v>
      </c>
      <c r="HJ453" t="e">
        <f>AND(#REF!,"AAAAAH7/3dk=")</f>
        <v>#REF!</v>
      </c>
      <c r="HK453" t="e">
        <f>AND(#REF!,"AAAAAH7/3do=")</f>
        <v>#REF!</v>
      </c>
      <c r="HL453" t="e">
        <f>AND(#REF!,"AAAAAH7/3ds=")</f>
        <v>#REF!</v>
      </c>
      <c r="HM453" t="e">
        <f>IF(#REF!,"AAAAAH7/3dw=",0)</f>
        <v>#REF!</v>
      </c>
      <c r="HN453" t="e">
        <f>AND(#REF!,"AAAAAH7/3d0=")</f>
        <v>#REF!</v>
      </c>
      <c r="HO453" t="e">
        <f>AND(#REF!,"AAAAAH7/3d4=")</f>
        <v>#REF!</v>
      </c>
      <c r="HP453" t="e">
        <f>AND(#REF!,"AAAAAH7/3d8=")</f>
        <v>#REF!</v>
      </c>
      <c r="HQ453" t="e">
        <f>AND(#REF!,"AAAAAH7/3eA=")</f>
        <v>#REF!</v>
      </c>
      <c r="HR453" t="e">
        <f>AND(#REF!,"AAAAAH7/3eE=")</f>
        <v>#REF!</v>
      </c>
      <c r="HS453" t="e">
        <f>AND(#REF!,"AAAAAH7/3eI=")</f>
        <v>#REF!</v>
      </c>
      <c r="HT453" t="e">
        <f>AND(#REF!,"AAAAAH7/3eM=")</f>
        <v>#REF!</v>
      </c>
      <c r="HU453" t="e">
        <f>AND(#REF!,"AAAAAH7/3eQ=")</f>
        <v>#REF!</v>
      </c>
      <c r="HV453" t="e">
        <f>AND(#REF!,"AAAAAH7/3eU=")</f>
        <v>#REF!</v>
      </c>
      <c r="HW453" t="e">
        <f>AND(#REF!,"AAAAAH7/3eY=")</f>
        <v>#REF!</v>
      </c>
      <c r="HX453" t="e">
        <f>IF(#REF!,"AAAAAH7/3ec=",0)</f>
        <v>#REF!</v>
      </c>
      <c r="HY453" t="e">
        <f>AND(#REF!,"AAAAAH7/3eg=")</f>
        <v>#REF!</v>
      </c>
      <c r="HZ453" t="e">
        <f>AND(#REF!,"AAAAAH7/3ek=")</f>
        <v>#REF!</v>
      </c>
      <c r="IA453" t="e">
        <f>AND(#REF!,"AAAAAH7/3eo=")</f>
        <v>#REF!</v>
      </c>
      <c r="IB453" t="e">
        <f>AND(#REF!,"AAAAAH7/3es=")</f>
        <v>#REF!</v>
      </c>
      <c r="IC453" t="e">
        <f>AND(#REF!,"AAAAAH7/3ew=")</f>
        <v>#REF!</v>
      </c>
      <c r="ID453" t="e">
        <f>AND(#REF!,"AAAAAH7/3e0=")</f>
        <v>#REF!</v>
      </c>
      <c r="IE453" t="e">
        <f>AND(#REF!,"AAAAAH7/3e4=")</f>
        <v>#REF!</v>
      </c>
      <c r="IF453" t="e">
        <f>AND(#REF!,"AAAAAH7/3e8=")</f>
        <v>#REF!</v>
      </c>
      <c r="IG453" t="e">
        <f>AND(#REF!,"AAAAAH7/3fA=")</f>
        <v>#REF!</v>
      </c>
      <c r="IH453" t="e">
        <f>AND(#REF!,"AAAAAH7/3fE=")</f>
        <v>#REF!</v>
      </c>
      <c r="II453" t="e">
        <f>IF(#REF!,"AAAAAH7/3fI=",0)</f>
        <v>#REF!</v>
      </c>
      <c r="IJ453" t="e">
        <f>AND(#REF!,"AAAAAH7/3fM=")</f>
        <v>#REF!</v>
      </c>
      <c r="IK453" t="e">
        <f>AND(#REF!,"AAAAAH7/3fQ=")</f>
        <v>#REF!</v>
      </c>
      <c r="IL453" t="e">
        <f>AND(#REF!,"AAAAAH7/3fU=")</f>
        <v>#REF!</v>
      </c>
      <c r="IM453" t="e">
        <f>AND(#REF!,"AAAAAH7/3fY=")</f>
        <v>#REF!</v>
      </c>
      <c r="IN453" t="e">
        <f>AND(#REF!,"AAAAAH7/3fc=")</f>
        <v>#REF!</v>
      </c>
      <c r="IO453" t="e">
        <f>AND(#REF!,"AAAAAH7/3fg=")</f>
        <v>#REF!</v>
      </c>
      <c r="IP453" t="e">
        <f>AND(#REF!,"AAAAAH7/3fk=")</f>
        <v>#REF!</v>
      </c>
      <c r="IQ453" t="e">
        <f>AND(#REF!,"AAAAAH7/3fo=")</f>
        <v>#REF!</v>
      </c>
      <c r="IR453" t="e">
        <f>AND(#REF!,"AAAAAH7/3fs=")</f>
        <v>#REF!</v>
      </c>
      <c r="IS453" t="e">
        <f>AND(#REF!,"AAAAAH7/3fw=")</f>
        <v>#REF!</v>
      </c>
      <c r="IT453" t="e">
        <f>IF(#REF!,"AAAAAH7/3f0=",0)</f>
        <v>#REF!</v>
      </c>
      <c r="IU453" t="e">
        <f>AND(#REF!,"AAAAAH7/3f4=")</f>
        <v>#REF!</v>
      </c>
      <c r="IV453" t="e">
        <f>AND(#REF!,"AAAAAH7/3f8=")</f>
        <v>#REF!</v>
      </c>
    </row>
    <row r="454" spans="1:256" x14ac:dyDescent="0.25">
      <c r="A454" t="e">
        <f>AND(#REF!,"AAAAAG/sZQA=")</f>
        <v>#REF!</v>
      </c>
      <c r="B454" t="e">
        <f>AND(#REF!,"AAAAAG/sZQE=")</f>
        <v>#REF!</v>
      </c>
      <c r="C454" t="e">
        <f>AND(#REF!,"AAAAAG/sZQI=")</f>
        <v>#REF!</v>
      </c>
      <c r="D454" t="e">
        <f>AND(#REF!,"AAAAAG/sZQM=")</f>
        <v>#REF!</v>
      </c>
      <c r="E454" t="e">
        <f>AND(#REF!,"AAAAAG/sZQQ=")</f>
        <v>#REF!</v>
      </c>
      <c r="F454" t="e">
        <f>AND(#REF!,"AAAAAG/sZQU=")</f>
        <v>#REF!</v>
      </c>
      <c r="G454" t="e">
        <f>AND(#REF!,"AAAAAG/sZQY=")</f>
        <v>#REF!</v>
      </c>
      <c r="H454" t="e">
        <f>AND(#REF!,"AAAAAG/sZQc=")</f>
        <v>#REF!</v>
      </c>
      <c r="I454" t="e">
        <f>IF(#REF!,"AAAAAG/sZQg=",0)</f>
        <v>#REF!</v>
      </c>
      <c r="J454" t="e">
        <f>AND(#REF!,"AAAAAG/sZQk=")</f>
        <v>#REF!</v>
      </c>
      <c r="K454" t="e">
        <f>AND(#REF!,"AAAAAG/sZQo=")</f>
        <v>#REF!</v>
      </c>
      <c r="L454" t="e">
        <f>AND(#REF!,"AAAAAG/sZQs=")</f>
        <v>#REF!</v>
      </c>
      <c r="M454" t="e">
        <f>AND(#REF!,"AAAAAG/sZQw=")</f>
        <v>#REF!</v>
      </c>
      <c r="N454" t="e">
        <f>AND(#REF!,"AAAAAG/sZQ0=")</f>
        <v>#REF!</v>
      </c>
      <c r="O454" t="e">
        <f>AND(#REF!,"AAAAAG/sZQ4=")</f>
        <v>#REF!</v>
      </c>
      <c r="P454" t="e">
        <f>AND(#REF!,"AAAAAG/sZQ8=")</f>
        <v>#REF!</v>
      </c>
      <c r="Q454" t="e">
        <f>AND(#REF!,"AAAAAG/sZRA=")</f>
        <v>#REF!</v>
      </c>
      <c r="R454" t="e">
        <f>AND(#REF!,"AAAAAG/sZRE=")</f>
        <v>#REF!</v>
      </c>
      <c r="S454" t="e">
        <f>AND(#REF!,"AAAAAG/sZRI=")</f>
        <v>#REF!</v>
      </c>
      <c r="T454" t="e">
        <f>IF(#REF!,"AAAAAG/sZRM=",0)</f>
        <v>#REF!</v>
      </c>
      <c r="U454" t="e">
        <f>AND(#REF!,"AAAAAG/sZRQ=")</f>
        <v>#REF!</v>
      </c>
      <c r="V454" t="e">
        <f>AND(#REF!,"AAAAAG/sZRU=")</f>
        <v>#REF!</v>
      </c>
      <c r="W454" t="e">
        <f>AND(#REF!,"AAAAAG/sZRY=")</f>
        <v>#REF!</v>
      </c>
      <c r="X454" t="e">
        <f>AND(#REF!,"AAAAAG/sZRc=")</f>
        <v>#REF!</v>
      </c>
      <c r="Y454" t="e">
        <f>AND(#REF!,"AAAAAG/sZRg=")</f>
        <v>#REF!</v>
      </c>
      <c r="Z454" t="e">
        <f>AND(#REF!,"AAAAAG/sZRk=")</f>
        <v>#REF!</v>
      </c>
      <c r="AA454" t="e">
        <f>AND(#REF!,"AAAAAG/sZRo=")</f>
        <v>#REF!</v>
      </c>
      <c r="AB454" t="e">
        <f>AND(#REF!,"AAAAAG/sZRs=")</f>
        <v>#REF!</v>
      </c>
      <c r="AC454" t="e">
        <f>AND(#REF!,"AAAAAG/sZRw=")</f>
        <v>#REF!</v>
      </c>
      <c r="AD454" t="e">
        <f>AND(#REF!,"AAAAAG/sZR0=")</f>
        <v>#REF!</v>
      </c>
      <c r="AE454" t="e">
        <f>IF(#REF!,"AAAAAG/sZR4=",0)</f>
        <v>#REF!</v>
      </c>
      <c r="AF454" t="e">
        <f>AND(#REF!,"AAAAAG/sZR8=")</f>
        <v>#REF!</v>
      </c>
      <c r="AG454" t="e">
        <f>AND(#REF!,"AAAAAG/sZSA=")</f>
        <v>#REF!</v>
      </c>
      <c r="AH454" t="e">
        <f>AND(#REF!,"AAAAAG/sZSE=")</f>
        <v>#REF!</v>
      </c>
      <c r="AI454" t="e">
        <f>AND(#REF!,"AAAAAG/sZSI=")</f>
        <v>#REF!</v>
      </c>
      <c r="AJ454" t="e">
        <f>AND(#REF!,"AAAAAG/sZSM=")</f>
        <v>#REF!</v>
      </c>
      <c r="AK454" t="e">
        <f>AND(#REF!,"AAAAAG/sZSQ=")</f>
        <v>#REF!</v>
      </c>
      <c r="AL454" t="e">
        <f>AND(#REF!,"AAAAAG/sZSU=")</f>
        <v>#REF!</v>
      </c>
      <c r="AM454" t="e">
        <f>AND(#REF!,"AAAAAG/sZSY=")</f>
        <v>#REF!</v>
      </c>
      <c r="AN454" t="e">
        <f>AND(#REF!,"AAAAAG/sZSc=")</f>
        <v>#REF!</v>
      </c>
      <c r="AO454" t="e">
        <f>AND(#REF!,"AAAAAG/sZSg=")</f>
        <v>#REF!</v>
      </c>
      <c r="AP454" t="e">
        <f>IF(#REF!,"AAAAAG/sZSk=",0)</f>
        <v>#REF!</v>
      </c>
      <c r="AQ454" t="e">
        <f>AND(#REF!,"AAAAAG/sZSo=")</f>
        <v>#REF!</v>
      </c>
      <c r="AR454" t="e">
        <f>AND(#REF!,"AAAAAG/sZSs=")</f>
        <v>#REF!</v>
      </c>
      <c r="AS454" t="e">
        <f>AND(#REF!,"AAAAAG/sZSw=")</f>
        <v>#REF!</v>
      </c>
      <c r="AT454" t="e">
        <f>AND(#REF!,"AAAAAG/sZS0=")</f>
        <v>#REF!</v>
      </c>
      <c r="AU454" t="e">
        <f>AND(#REF!,"AAAAAG/sZS4=")</f>
        <v>#REF!</v>
      </c>
      <c r="AV454" t="e">
        <f>AND(#REF!,"AAAAAG/sZS8=")</f>
        <v>#REF!</v>
      </c>
      <c r="AW454" t="e">
        <f>AND(#REF!,"AAAAAG/sZTA=")</f>
        <v>#REF!</v>
      </c>
      <c r="AX454" t="e">
        <f>AND(#REF!,"AAAAAG/sZTE=")</f>
        <v>#REF!</v>
      </c>
      <c r="AY454" t="e">
        <f>AND(#REF!,"AAAAAG/sZTI=")</f>
        <v>#REF!</v>
      </c>
      <c r="AZ454" t="e">
        <f>AND(#REF!,"AAAAAG/sZTM=")</f>
        <v>#REF!</v>
      </c>
      <c r="BA454" t="e">
        <f>IF(#REF!,"AAAAAG/sZTQ=",0)</f>
        <v>#REF!</v>
      </c>
      <c r="BB454" t="e">
        <f>AND(#REF!,"AAAAAG/sZTU=")</f>
        <v>#REF!</v>
      </c>
      <c r="BC454" t="e">
        <f>AND(#REF!,"AAAAAG/sZTY=")</f>
        <v>#REF!</v>
      </c>
      <c r="BD454" t="e">
        <f>AND(#REF!,"AAAAAG/sZTc=")</f>
        <v>#REF!</v>
      </c>
      <c r="BE454" t="e">
        <f>AND(#REF!,"AAAAAG/sZTg=")</f>
        <v>#REF!</v>
      </c>
      <c r="BF454" t="e">
        <f>AND(#REF!,"AAAAAG/sZTk=")</f>
        <v>#REF!</v>
      </c>
      <c r="BG454" t="e">
        <f>AND(#REF!,"AAAAAG/sZTo=")</f>
        <v>#REF!</v>
      </c>
      <c r="BH454" t="e">
        <f>AND(#REF!,"AAAAAG/sZTs=")</f>
        <v>#REF!</v>
      </c>
      <c r="BI454" t="e">
        <f>AND(#REF!,"AAAAAG/sZTw=")</f>
        <v>#REF!</v>
      </c>
      <c r="BJ454" t="e">
        <f>AND(#REF!,"AAAAAG/sZT0=")</f>
        <v>#REF!</v>
      </c>
      <c r="BK454" t="e">
        <f>AND(#REF!,"AAAAAG/sZT4=")</f>
        <v>#REF!</v>
      </c>
      <c r="BL454" t="e">
        <f>IF(#REF!,"AAAAAG/sZT8=",0)</f>
        <v>#REF!</v>
      </c>
      <c r="BM454" t="e">
        <f>AND(#REF!,"AAAAAG/sZUA=")</f>
        <v>#REF!</v>
      </c>
      <c r="BN454" t="e">
        <f>AND(#REF!,"AAAAAG/sZUE=")</f>
        <v>#REF!</v>
      </c>
      <c r="BO454" t="e">
        <f>AND(#REF!,"AAAAAG/sZUI=")</f>
        <v>#REF!</v>
      </c>
      <c r="BP454" t="e">
        <f>AND(#REF!,"AAAAAG/sZUM=")</f>
        <v>#REF!</v>
      </c>
      <c r="BQ454" t="e">
        <f>AND(#REF!,"AAAAAG/sZUQ=")</f>
        <v>#REF!</v>
      </c>
      <c r="BR454" t="e">
        <f>AND(#REF!,"AAAAAG/sZUU=")</f>
        <v>#REF!</v>
      </c>
      <c r="BS454" t="e">
        <f>AND(#REF!,"AAAAAG/sZUY=")</f>
        <v>#REF!</v>
      </c>
      <c r="BT454" t="e">
        <f>AND(#REF!,"AAAAAG/sZUc=")</f>
        <v>#REF!</v>
      </c>
      <c r="BU454" t="e">
        <f>AND(#REF!,"AAAAAG/sZUg=")</f>
        <v>#REF!</v>
      </c>
      <c r="BV454" t="e">
        <f>AND(#REF!,"AAAAAG/sZUk=")</f>
        <v>#REF!</v>
      </c>
      <c r="BW454" t="e">
        <f>IF(#REF!,"AAAAAG/sZUo=",0)</f>
        <v>#REF!</v>
      </c>
      <c r="BX454" t="e">
        <f>AND(#REF!,"AAAAAG/sZUs=")</f>
        <v>#REF!</v>
      </c>
      <c r="BY454" t="e">
        <f>AND(#REF!,"AAAAAG/sZUw=")</f>
        <v>#REF!</v>
      </c>
      <c r="BZ454" t="e">
        <f>AND(#REF!,"AAAAAG/sZU0=")</f>
        <v>#REF!</v>
      </c>
      <c r="CA454" t="e">
        <f>AND(#REF!,"AAAAAG/sZU4=")</f>
        <v>#REF!</v>
      </c>
      <c r="CB454" t="e">
        <f>AND(#REF!,"AAAAAG/sZU8=")</f>
        <v>#REF!</v>
      </c>
      <c r="CC454" t="e">
        <f>AND(#REF!,"AAAAAG/sZVA=")</f>
        <v>#REF!</v>
      </c>
      <c r="CD454" t="e">
        <f>AND(#REF!,"AAAAAG/sZVE=")</f>
        <v>#REF!</v>
      </c>
      <c r="CE454" t="e">
        <f>AND(#REF!,"AAAAAG/sZVI=")</f>
        <v>#REF!</v>
      </c>
      <c r="CF454" t="e">
        <f>AND(#REF!,"AAAAAG/sZVM=")</f>
        <v>#REF!</v>
      </c>
      <c r="CG454" t="e">
        <f>AND(#REF!,"AAAAAG/sZVQ=")</f>
        <v>#REF!</v>
      </c>
      <c r="CH454" t="e">
        <f>IF(#REF!,"AAAAAG/sZVU=",0)</f>
        <v>#REF!</v>
      </c>
      <c r="CI454" t="e">
        <f>AND(#REF!,"AAAAAG/sZVY=")</f>
        <v>#REF!</v>
      </c>
      <c r="CJ454" t="e">
        <f>AND(#REF!,"AAAAAG/sZVc=")</f>
        <v>#REF!</v>
      </c>
      <c r="CK454" t="e">
        <f>AND(#REF!,"AAAAAG/sZVg=")</f>
        <v>#REF!</v>
      </c>
      <c r="CL454" t="e">
        <f>AND(#REF!,"AAAAAG/sZVk=")</f>
        <v>#REF!</v>
      </c>
      <c r="CM454" t="e">
        <f>AND(#REF!,"AAAAAG/sZVo=")</f>
        <v>#REF!</v>
      </c>
      <c r="CN454" t="e">
        <f>AND(#REF!,"AAAAAG/sZVs=")</f>
        <v>#REF!</v>
      </c>
      <c r="CO454" t="e">
        <f>AND(#REF!,"AAAAAG/sZVw=")</f>
        <v>#REF!</v>
      </c>
      <c r="CP454" t="e">
        <f>AND(#REF!,"AAAAAG/sZV0=")</f>
        <v>#REF!</v>
      </c>
      <c r="CQ454" t="e">
        <f>AND(#REF!,"AAAAAG/sZV4=")</f>
        <v>#REF!</v>
      </c>
      <c r="CR454" t="e">
        <f>AND(#REF!,"AAAAAG/sZV8=")</f>
        <v>#REF!</v>
      </c>
      <c r="CS454" t="e">
        <f>IF(#REF!,"AAAAAG/sZWA=",0)</f>
        <v>#REF!</v>
      </c>
      <c r="CT454" t="e">
        <f>AND(#REF!,"AAAAAG/sZWE=")</f>
        <v>#REF!</v>
      </c>
      <c r="CU454" t="e">
        <f>AND(#REF!,"AAAAAG/sZWI=")</f>
        <v>#REF!</v>
      </c>
      <c r="CV454" t="e">
        <f>AND(#REF!,"AAAAAG/sZWM=")</f>
        <v>#REF!</v>
      </c>
      <c r="CW454" t="e">
        <f>AND(#REF!,"AAAAAG/sZWQ=")</f>
        <v>#REF!</v>
      </c>
      <c r="CX454" t="e">
        <f>AND(#REF!,"AAAAAG/sZWU=")</f>
        <v>#REF!</v>
      </c>
      <c r="CY454" t="e">
        <f>AND(#REF!,"AAAAAG/sZWY=")</f>
        <v>#REF!</v>
      </c>
      <c r="CZ454" t="e">
        <f>AND(#REF!,"AAAAAG/sZWc=")</f>
        <v>#REF!</v>
      </c>
      <c r="DA454" t="e">
        <f>AND(#REF!,"AAAAAG/sZWg=")</f>
        <v>#REF!</v>
      </c>
      <c r="DB454" t="e">
        <f>AND(#REF!,"AAAAAG/sZWk=")</f>
        <v>#REF!</v>
      </c>
      <c r="DC454" t="e">
        <f>AND(#REF!,"AAAAAG/sZWo=")</f>
        <v>#REF!</v>
      </c>
      <c r="DD454" t="e">
        <f>IF(#REF!,"AAAAAG/sZWs=",0)</f>
        <v>#REF!</v>
      </c>
      <c r="DE454" t="e">
        <f>AND(#REF!,"AAAAAG/sZWw=")</f>
        <v>#REF!</v>
      </c>
      <c r="DF454" t="e">
        <f>AND(#REF!,"AAAAAG/sZW0=")</f>
        <v>#REF!</v>
      </c>
      <c r="DG454" t="e">
        <f>AND(#REF!,"AAAAAG/sZW4=")</f>
        <v>#REF!</v>
      </c>
      <c r="DH454" t="e">
        <f>AND(#REF!,"AAAAAG/sZW8=")</f>
        <v>#REF!</v>
      </c>
      <c r="DI454" t="e">
        <f>AND(#REF!,"AAAAAG/sZXA=")</f>
        <v>#REF!</v>
      </c>
      <c r="DJ454" t="e">
        <f>AND(#REF!,"AAAAAG/sZXE=")</f>
        <v>#REF!</v>
      </c>
      <c r="DK454" t="e">
        <f>AND(#REF!,"AAAAAG/sZXI=")</f>
        <v>#REF!</v>
      </c>
      <c r="DL454" t="e">
        <f>AND(#REF!,"AAAAAG/sZXM=")</f>
        <v>#REF!</v>
      </c>
      <c r="DM454" t="e">
        <f>AND(#REF!,"AAAAAG/sZXQ=")</f>
        <v>#REF!</v>
      </c>
      <c r="DN454" t="e">
        <f>AND(#REF!,"AAAAAG/sZXU=")</f>
        <v>#REF!</v>
      </c>
      <c r="DO454" t="e">
        <f>IF(#REF!,"AAAAAG/sZXY=",0)</f>
        <v>#REF!</v>
      </c>
      <c r="DP454" t="e">
        <f>AND(#REF!,"AAAAAG/sZXc=")</f>
        <v>#REF!</v>
      </c>
      <c r="DQ454" t="e">
        <f>AND(#REF!,"AAAAAG/sZXg=")</f>
        <v>#REF!</v>
      </c>
      <c r="DR454" t="e">
        <f>AND(#REF!,"AAAAAG/sZXk=")</f>
        <v>#REF!</v>
      </c>
      <c r="DS454" t="e">
        <f>AND(#REF!,"AAAAAG/sZXo=")</f>
        <v>#REF!</v>
      </c>
      <c r="DT454" t="e">
        <f>AND(#REF!,"AAAAAG/sZXs=")</f>
        <v>#REF!</v>
      </c>
      <c r="DU454" t="e">
        <f>AND(#REF!,"AAAAAG/sZXw=")</f>
        <v>#REF!</v>
      </c>
      <c r="DV454" t="e">
        <f>AND(#REF!,"AAAAAG/sZX0=")</f>
        <v>#REF!</v>
      </c>
      <c r="DW454" t="e">
        <f>AND(#REF!,"AAAAAG/sZX4=")</f>
        <v>#REF!</v>
      </c>
      <c r="DX454" t="e">
        <f>AND(#REF!,"AAAAAG/sZX8=")</f>
        <v>#REF!</v>
      </c>
      <c r="DY454" t="e">
        <f>AND(#REF!,"AAAAAG/sZYA=")</f>
        <v>#REF!</v>
      </c>
      <c r="DZ454" t="e">
        <f>IF(#REF!,"AAAAAG/sZYE=",0)</f>
        <v>#REF!</v>
      </c>
      <c r="EA454" t="e">
        <f>AND(#REF!,"AAAAAG/sZYI=")</f>
        <v>#REF!</v>
      </c>
      <c r="EB454" t="e">
        <f>AND(#REF!,"AAAAAG/sZYM=")</f>
        <v>#REF!</v>
      </c>
      <c r="EC454" t="e">
        <f>AND(#REF!,"AAAAAG/sZYQ=")</f>
        <v>#REF!</v>
      </c>
      <c r="ED454" t="e">
        <f>AND(#REF!,"AAAAAG/sZYU=")</f>
        <v>#REF!</v>
      </c>
      <c r="EE454" t="e">
        <f>AND(#REF!,"AAAAAG/sZYY=")</f>
        <v>#REF!</v>
      </c>
      <c r="EF454" t="e">
        <f>AND(#REF!,"AAAAAG/sZYc=")</f>
        <v>#REF!</v>
      </c>
      <c r="EG454" t="e">
        <f>AND(#REF!,"AAAAAG/sZYg=")</f>
        <v>#REF!</v>
      </c>
      <c r="EH454" t="e">
        <f>AND(#REF!,"AAAAAG/sZYk=")</f>
        <v>#REF!</v>
      </c>
      <c r="EI454" t="e">
        <f>AND(#REF!,"AAAAAG/sZYo=")</f>
        <v>#REF!</v>
      </c>
      <c r="EJ454" t="e">
        <f>AND(#REF!,"AAAAAG/sZYs=")</f>
        <v>#REF!</v>
      </c>
      <c r="EK454" t="e">
        <f>IF(#REF!,"AAAAAG/sZYw=",0)</f>
        <v>#REF!</v>
      </c>
      <c r="EL454" t="e">
        <f>AND(#REF!,"AAAAAG/sZY0=")</f>
        <v>#REF!</v>
      </c>
      <c r="EM454" t="e">
        <f>AND(#REF!,"AAAAAG/sZY4=")</f>
        <v>#REF!</v>
      </c>
      <c r="EN454" t="e">
        <f>AND(#REF!,"AAAAAG/sZY8=")</f>
        <v>#REF!</v>
      </c>
      <c r="EO454" t="e">
        <f>AND(#REF!,"AAAAAG/sZZA=")</f>
        <v>#REF!</v>
      </c>
      <c r="EP454" t="e">
        <f>AND(#REF!,"AAAAAG/sZZE=")</f>
        <v>#REF!</v>
      </c>
      <c r="EQ454" t="e">
        <f>AND(#REF!,"AAAAAG/sZZI=")</f>
        <v>#REF!</v>
      </c>
      <c r="ER454" t="e">
        <f>AND(#REF!,"AAAAAG/sZZM=")</f>
        <v>#REF!</v>
      </c>
      <c r="ES454" t="e">
        <f>AND(#REF!,"AAAAAG/sZZQ=")</f>
        <v>#REF!</v>
      </c>
      <c r="ET454" t="e">
        <f>AND(#REF!,"AAAAAG/sZZU=")</f>
        <v>#REF!</v>
      </c>
      <c r="EU454" t="e">
        <f>AND(#REF!,"AAAAAG/sZZY=")</f>
        <v>#REF!</v>
      </c>
      <c r="EV454" t="e">
        <f>IF(#REF!,"AAAAAG/sZZc=",0)</f>
        <v>#REF!</v>
      </c>
      <c r="EW454" t="e">
        <f>AND(#REF!,"AAAAAG/sZZg=")</f>
        <v>#REF!</v>
      </c>
      <c r="EX454" t="e">
        <f>AND(#REF!,"AAAAAG/sZZk=")</f>
        <v>#REF!</v>
      </c>
      <c r="EY454" t="e">
        <f>AND(#REF!,"AAAAAG/sZZo=")</f>
        <v>#REF!</v>
      </c>
      <c r="EZ454" t="e">
        <f>AND(#REF!,"AAAAAG/sZZs=")</f>
        <v>#REF!</v>
      </c>
      <c r="FA454" t="e">
        <f>AND(#REF!,"AAAAAG/sZZw=")</f>
        <v>#REF!</v>
      </c>
      <c r="FB454" t="e">
        <f>AND(#REF!,"AAAAAG/sZZ0=")</f>
        <v>#REF!</v>
      </c>
      <c r="FC454" t="e">
        <f>AND(#REF!,"AAAAAG/sZZ4=")</f>
        <v>#REF!</v>
      </c>
      <c r="FD454" t="e">
        <f>AND(#REF!,"AAAAAG/sZZ8=")</f>
        <v>#REF!</v>
      </c>
      <c r="FE454" t="e">
        <f>AND(#REF!,"AAAAAG/sZaA=")</f>
        <v>#REF!</v>
      </c>
      <c r="FF454" t="e">
        <f>AND(#REF!,"AAAAAG/sZaE=")</f>
        <v>#REF!</v>
      </c>
      <c r="FG454" t="e">
        <f>IF(#REF!,"AAAAAG/sZaI=",0)</f>
        <v>#REF!</v>
      </c>
      <c r="FH454" t="e">
        <f>AND(#REF!,"AAAAAG/sZaM=")</f>
        <v>#REF!</v>
      </c>
      <c r="FI454" t="e">
        <f>AND(#REF!,"AAAAAG/sZaQ=")</f>
        <v>#REF!</v>
      </c>
      <c r="FJ454" t="e">
        <f>AND(#REF!,"AAAAAG/sZaU=")</f>
        <v>#REF!</v>
      </c>
      <c r="FK454" t="e">
        <f>AND(#REF!,"AAAAAG/sZaY=")</f>
        <v>#REF!</v>
      </c>
      <c r="FL454" t="e">
        <f>AND(#REF!,"AAAAAG/sZac=")</f>
        <v>#REF!</v>
      </c>
      <c r="FM454" t="e">
        <f>AND(#REF!,"AAAAAG/sZag=")</f>
        <v>#REF!</v>
      </c>
      <c r="FN454" t="e">
        <f>AND(#REF!,"AAAAAG/sZak=")</f>
        <v>#REF!</v>
      </c>
      <c r="FO454" t="e">
        <f>AND(#REF!,"AAAAAG/sZao=")</f>
        <v>#REF!</v>
      </c>
      <c r="FP454" t="e">
        <f>AND(#REF!,"AAAAAG/sZas=")</f>
        <v>#REF!</v>
      </c>
      <c r="FQ454" t="e">
        <f>AND(#REF!,"AAAAAG/sZaw=")</f>
        <v>#REF!</v>
      </c>
      <c r="FR454" t="e">
        <f>IF(#REF!,"AAAAAG/sZa0=",0)</f>
        <v>#REF!</v>
      </c>
      <c r="FS454" t="e">
        <f>AND(#REF!,"AAAAAG/sZa4=")</f>
        <v>#REF!</v>
      </c>
      <c r="FT454" t="e">
        <f>AND(#REF!,"AAAAAG/sZa8=")</f>
        <v>#REF!</v>
      </c>
      <c r="FU454" t="e">
        <f>AND(#REF!,"AAAAAG/sZbA=")</f>
        <v>#REF!</v>
      </c>
      <c r="FV454" t="e">
        <f>AND(#REF!,"AAAAAG/sZbE=")</f>
        <v>#REF!</v>
      </c>
      <c r="FW454" t="e">
        <f>AND(#REF!,"AAAAAG/sZbI=")</f>
        <v>#REF!</v>
      </c>
      <c r="FX454" t="e">
        <f>AND(#REF!,"AAAAAG/sZbM=")</f>
        <v>#REF!</v>
      </c>
      <c r="FY454" t="e">
        <f>AND(#REF!,"AAAAAG/sZbQ=")</f>
        <v>#REF!</v>
      </c>
      <c r="FZ454" t="e">
        <f>AND(#REF!,"AAAAAG/sZbU=")</f>
        <v>#REF!</v>
      </c>
      <c r="GA454" t="e">
        <f>AND(#REF!,"AAAAAG/sZbY=")</f>
        <v>#REF!</v>
      </c>
      <c r="GB454" t="e">
        <f>AND(#REF!,"AAAAAG/sZbc=")</f>
        <v>#REF!</v>
      </c>
      <c r="GC454" t="e">
        <f>IF(#REF!,"AAAAAG/sZbg=",0)</f>
        <v>#REF!</v>
      </c>
      <c r="GD454" t="e">
        <f>AND(#REF!,"AAAAAG/sZbk=")</f>
        <v>#REF!</v>
      </c>
      <c r="GE454" t="e">
        <f>AND(#REF!,"AAAAAG/sZbo=")</f>
        <v>#REF!</v>
      </c>
      <c r="GF454" t="e">
        <f>AND(#REF!,"AAAAAG/sZbs=")</f>
        <v>#REF!</v>
      </c>
      <c r="GG454" t="e">
        <f>AND(#REF!,"AAAAAG/sZbw=")</f>
        <v>#REF!</v>
      </c>
      <c r="GH454" t="e">
        <f>AND(#REF!,"AAAAAG/sZb0=")</f>
        <v>#REF!</v>
      </c>
      <c r="GI454" t="e">
        <f>AND(#REF!,"AAAAAG/sZb4=")</f>
        <v>#REF!</v>
      </c>
      <c r="GJ454" t="e">
        <f>AND(#REF!,"AAAAAG/sZb8=")</f>
        <v>#REF!</v>
      </c>
      <c r="GK454" t="e">
        <f>AND(#REF!,"AAAAAG/sZcA=")</f>
        <v>#REF!</v>
      </c>
      <c r="GL454" t="e">
        <f>AND(#REF!,"AAAAAG/sZcE=")</f>
        <v>#REF!</v>
      </c>
      <c r="GM454" t="e">
        <f>AND(#REF!,"AAAAAG/sZcI=")</f>
        <v>#REF!</v>
      </c>
      <c r="GN454" t="e">
        <f>IF(#REF!,"AAAAAG/sZcM=",0)</f>
        <v>#REF!</v>
      </c>
      <c r="GO454" t="e">
        <f>AND(#REF!,"AAAAAG/sZcQ=")</f>
        <v>#REF!</v>
      </c>
      <c r="GP454" t="e">
        <f>AND(#REF!,"AAAAAG/sZcU=")</f>
        <v>#REF!</v>
      </c>
      <c r="GQ454" t="e">
        <f>AND(#REF!,"AAAAAG/sZcY=")</f>
        <v>#REF!</v>
      </c>
      <c r="GR454" t="e">
        <f>AND(#REF!,"AAAAAG/sZcc=")</f>
        <v>#REF!</v>
      </c>
      <c r="GS454" t="e">
        <f>AND(#REF!,"AAAAAG/sZcg=")</f>
        <v>#REF!</v>
      </c>
      <c r="GT454" t="e">
        <f>AND(#REF!,"AAAAAG/sZck=")</f>
        <v>#REF!</v>
      </c>
      <c r="GU454" t="e">
        <f>AND(#REF!,"AAAAAG/sZco=")</f>
        <v>#REF!</v>
      </c>
      <c r="GV454" t="e">
        <f>AND(#REF!,"AAAAAG/sZcs=")</f>
        <v>#REF!</v>
      </c>
      <c r="GW454" t="e">
        <f>AND(#REF!,"AAAAAG/sZcw=")</f>
        <v>#REF!</v>
      </c>
      <c r="GX454" t="e">
        <f>AND(#REF!,"AAAAAG/sZc0=")</f>
        <v>#REF!</v>
      </c>
      <c r="GY454" t="e">
        <f>IF(#REF!,"AAAAAG/sZc4=",0)</f>
        <v>#REF!</v>
      </c>
      <c r="GZ454" t="e">
        <f>AND(#REF!,"AAAAAG/sZc8=")</f>
        <v>#REF!</v>
      </c>
      <c r="HA454" t="e">
        <f>AND(#REF!,"AAAAAG/sZdA=")</f>
        <v>#REF!</v>
      </c>
      <c r="HB454" t="e">
        <f>AND(#REF!,"AAAAAG/sZdE=")</f>
        <v>#REF!</v>
      </c>
      <c r="HC454" t="e">
        <f>AND(#REF!,"AAAAAG/sZdI=")</f>
        <v>#REF!</v>
      </c>
      <c r="HD454" t="e">
        <f>AND(#REF!,"AAAAAG/sZdM=")</f>
        <v>#REF!</v>
      </c>
      <c r="HE454" t="e">
        <f>AND(#REF!,"AAAAAG/sZdQ=")</f>
        <v>#REF!</v>
      </c>
      <c r="HF454" t="e">
        <f>AND(#REF!,"AAAAAG/sZdU=")</f>
        <v>#REF!</v>
      </c>
      <c r="HG454" t="e">
        <f>AND(#REF!,"AAAAAG/sZdY=")</f>
        <v>#REF!</v>
      </c>
      <c r="HH454" t="e">
        <f>AND(#REF!,"AAAAAG/sZdc=")</f>
        <v>#REF!</v>
      </c>
      <c r="HI454" t="e">
        <f>AND(#REF!,"AAAAAG/sZdg=")</f>
        <v>#REF!</v>
      </c>
      <c r="HJ454" t="e">
        <f>IF(#REF!,"AAAAAG/sZdk=",0)</f>
        <v>#REF!</v>
      </c>
      <c r="HK454" t="e">
        <f>AND(#REF!,"AAAAAG/sZdo=")</f>
        <v>#REF!</v>
      </c>
      <c r="HL454" t="e">
        <f>AND(#REF!,"AAAAAG/sZds=")</f>
        <v>#REF!</v>
      </c>
      <c r="HM454" t="e">
        <f>AND(#REF!,"AAAAAG/sZdw=")</f>
        <v>#REF!</v>
      </c>
      <c r="HN454" t="e">
        <f>AND(#REF!,"AAAAAG/sZd0=")</f>
        <v>#REF!</v>
      </c>
      <c r="HO454" t="e">
        <f>AND(#REF!,"AAAAAG/sZd4=")</f>
        <v>#REF!</v>
      </c>
      <c r="HP454" t="e">
        <f>AND(#REF!,"AAAAAG/sZd8=")</f>
        <v>#REF!</v>
      </c>
      <c r="HQ454" t="e">
        <f>AND(#REF!,"AAAAAG/sZeA=")</f>
        <v>#REF!</v>
      </c>
      <c r="HR454" t="e">
        <f>AND(#REF!,"AAAAAG/sZeE=")</f>
        <v>#REF!</v>
      </c>
      <c r="HS454" t="e">
        <f>AND(#REF!,"AAAAAG/sZeI=")</f>
        <v>#REF!</v>
      </c>
      <c r="HT454" t="e">
        <f>AND(#REF!,"AAAAAG/sZeM=")</f>
        <v>#REF!</v>
      </c>
      <c r="HU454" t="e">
        <f>IF(#REF!,"AAAAAG/sZeQ=",0)</f>
        <v>#REF!</v>
      </c>
      <c r="HV454" t="e">
        <f>AND(#REF!,"AAAAAG/sZeU=")</f>
        <v>#REF!</v>
      </c>
      <c r="HW454" t="e">
        <f>AND(#REF!,"AAAAAG/sZeY=")</f>
        <v>#REF!</v>
      </c>
      <c r="HX454" t="e">
        <f>AND(#REF!,"AAAAAG/sZec=")</f>
        <v>#REF!</v>
      </c>
      <c r="HY454" t="e">
        <f>AND(#REF!,"AAAAAG/sZeg=")</f>
        <v>#REF!</v>
      </c>
      <c r="HZ454" t="e">
        <f>AND(#REF!,"AAAAAG/sZek=")</f>
        <v>#REF!</v>
      </c>
      <c r="IA454" t="e">
        <f>AND(#REF!,"AAAAAG/sZeo=")</f>
        <v>#REF!</v>
      </c>
      <c r="IB454" t="e">
        <f>AND(#REF!,"AAAAAG/sZes=")</f>
        <v>#REF!</v>
      </c>
      <c r="IC454" t="e">
        <f>AND(#REF!,"AAAAAG/sZew=")</f>
        <v>#REF!</v>
      </c>
      <c r="ID454" t="e">
        <f>AND(#REF!,"AAAAAG/sZe0=")</f>
        <v>#REF!</v>
      </c>
      <c r="IE454" t="e">
        <f>AND(#REF!,"AAAAAG/sZe4=")</f>
        <v>#REF!</v>
      </c>
      <c r="IF454" t="e">
        <f>IF(#REF!,"AAAAAG/sZe8=",0)</f>
        <v>#REF!</v>
      </c>
      <c r="IG454" t="e">
        <f>AND(#REF!,"AAAAAG/sZfA=")</f>
        <v>#REF!</v>
      </c>
      <c r="IH454" t="e">
        <f>AND(#REF!,"AAAAAG/sZfE=")</f>
        <v>#REF!</v>
      </c>
      <c r="II454" t="e">
        <f>AND(#REF!,"AAAAAG/sZfI=")</f>
        <v>#REF!</v>
      </c>
      <c r="IJ454" t="e">
        <f>AND(#REF!,"AAAAAG/sZfM=")</f>
        <v>#REF!</v>
      </c>
      <c r="IK454" t="e">
        <f>AND(#REF!,"AAAAAG/sZfQ=")</f>
        <v>#REF!</v>
      </c>
      <c r="IL454" t="e">
        <f>AND(#REF!,"AAAAAG/sZfU=")</f>
        <v>#REF!</v>
      </c>
      <c r="IM454" t="e">
        <f>AND(#REF!,"AAAAAG/sZfY=")</f>
        <v>#REF!</v>
      </c>
      <c r="IN454" t="e">
        <f>AND(#REF!,"AAAAAG/sZfc=")</f>
        <v>#REF!</v>
      </c>
      <c r="IO454" t="e">
        <f>AND(#REF!,"AAAAAG/sZfg=")</f>
        <v>#REF!</v>
      </c>
      <c r="IP454" t="e">
        <f>AND(#REF!,"AAAAAG/sZfk=")</f>
        <v>#REF!</v>
      </c>
      <c r="IQ454" t="e">
        <f>IF(#REF!,"AAAAAG/sZfo=",0)</f>
        <v>#REF!</v>
      </c>
      <c r="IR454" t="e">
        <f>AND(#REF!,"AAAAAG/sZfs=")</f>
        <v>#REF!</v>
      </c>
      <c r="IS454" t="e">
        <f>AND(#REF!,"AAAAAG/sZfw=")</f>
        <v>#REF!</v>
      </c>
      <c r="IT454" t="e">
        <f>AND(#REF!,"AAAAAG/sZf0=")</f>
        <v>#REF!</v>
      </c>
      <c r="IU454" t="e">
        <f>AND(#REF!,"AAAAAG/sZf4=")</f>
        <v>#REF!</v>
      </c>
      <c r="IV454" t="e">
        <f>AND(#REF!,"AAAAAG/sZf8=")</f>
        <v>#REF!</v>
      </c>
    </row>
    <row r="455" spans="1:256" x14ac:dyDescent="0.25">
      <c r="A455" t="e">
        <f>AND(#REF!,"AAAAAHvT/wA=")</f>
        <v>#REF!</v>
      </c>
      <c r="B455" t="e">
        <f>AND(#REF!,"AAAAAHvT/wE=")</f>
        <v>#REF!</v>
      </c>
      <c r="C455" t="e">
        <f>AND(#REF!,"AAAAAHvT/wI=")</f>
        <v>#REF!</v>
      </c>
      <c r="D455" t="e">
        <f>AND(#REF!,"AAAAAHvT/wM=")</f>
        <v>#REF!</v>
      </c>
      <c r="E455" t="e">
        <f>AND(#REF!,"AAAAAHvT/wQ=")</f>
        <v>#REF!</v>
      </c>
      <c r="F455" t="e">
        <f>IF(#REF!,"AAAAAHvT/wU=",0)</f>
        <v>#REF!</v>
      </c>
      <c r="G455" t="e">
        <f>AND(#REF!,"AAAAAHvT/wY=")</f>
        <v>#REF!</v>
      </c>
      <c r="H455" t="e">
        <f>AND(#REF!,"AAAAAHvT/wc=")</f>
        <v>#REF!</v>
      </c>
      <c r="I455" t="e">
        <f>AND(#REF!,"AAAAAHvT/wg=")</f>
        <v>#REF!</v>
      </c>
      <c r="J455" t="e">
        <f>AND(#REF!,"AAAAAHvT/wk=")</f>
        <v>#REF!</v>
      </c>
      <c r="K455" t="e">
        <f>AND(#REF!,"AAAAAHvT/wo=")</f>
        <v>#REF!</v>
      </c>
      <c r="L455" t="e">
        <f>AND(#REF!,"AAAAAHvT/ws=")</f>
        <v>#REF!</v>
      </c>
      <c r="M455" t="e">
        <f>AND(#REF!,"AAAAAHvT/ww=")</f>
        <v>#REF!</v>
      </c>
      <c r="N455" t="e">
        <f>AND(#REF!,"AAAAAHvT/w0=")</f>
        <v>#REF!</v>
      </c>
      <c r="O455" t="e">
        <f>AND(#REF!,"AAAAAHvT/w4=")</f>
        <v>#REF!</v>
      </c>
      <c r="P455" t="e">
        <f>AND(#REF!,"AAAAAHvT/w8=")</f>
        <v>#REF!</v>
      </c>
      <c r="Q455" t="e">
        <f>IF(#REF!,"AAAAAHvT/xA=",0)</f>
        <v>#REF!</v>
      </c>
      <c r="R455" t="e">
        <f>AND(#REF!,"AAAAAHvT/xE=")</f>
        <v>#REF!</v>
      </c>
      <c r="S455" t="e">
        <f>AND(#REF!,"AAAAAHvT/xI=")</f>
        <v>#REF!</v>
      </c>
      <c r="T455" t="e">
        <f>AND(#REF!,"AAAAAHvT/xM=")</f>
        <v>#REF!</v>
      </c>
      <c r="U455" t="e">
        <f>AND(#REF!,"AAAAAHvT/xQ=")</f>
        <v>#REF!</v>
      </c>
      <c r="V455" t="e">
        <f>AND(#REF!,"AAAAAHvT/xU=")</f>
        <v>#REF!</v>
      </c>
      <c r="W455" t="e">
        <f>AND(#REF!,"AAAAAHvT/xY=")</f>
        <v>#REF!</v>
      </c>
      <c r="X455" t="e">
        <f>AND(#REF!,"AAAAAHvT/xc=")</f>
        <v>#REF!</v>
      </c>
      <c r="Y455" t="e">
        <f>AND(#REF!,"AAAAAHvT/xg=")</f>
        <v>#REF!</v>
      </c>
      <c r="Z455" t="e">
        <f>AND(#REF!,"AAAAAHvT/xk=")</f>
        <v>#REF!</v>
      </c>
      <c r="AA455" t="e">
        <f>AND(#REF!,"AAAAAHvT/xo=")</f>
        <v>#REF!</v>
      </c>
      <c r="AB455" t="e">
        <f>IF(#REF!,"AAAAAHvT/xs=",0)</f>
        <v>#REF!</v>
      </c>
      <c r="AC455" t="e">
        <f>AND(#REF!,"AAAAAHvT/xw=")</f>
        <v>#REF!</v>
      </c>
      <c r="AD455" t="e">
        <f>AND(#REF!,"AAAAAHvT/x0=")</f>
        <v>#REF!</v>
      </c>
      <c r="AE455" t="e">
        <f>AND(#REF!,"AAAAAHvT/x4=")</f>
        <v>#REF!</v>
      </c>
      <c r="AF455" t="e">
        <f>AND(#REF!,"AAAAAHvT/x8=")</f>
        <v>#REF!</v>
      </c>
      <c r="AG455" t="e">
        <f>AND(#REF!,"AAAAAHvT/yA=")</f>
        <v>#REF!</v>
      </c>
      <c r="AH455" t="e">
        <f>AND(#REF!,"AAAAAHvT/yE=")</f>
        <v>#REF!</v>
      </c>
      <c r="AI455" t="e">
        <f>AND(#REF!,"AAAAAHvT/yI=")</f>
        <v>#REF!</v>
      </c>
      <c r="AJ455" t="e">
        <f>AND(#REF!,"AAAAAHvT/yM=")</f>
        <v>#REF!</v>
      </c>
      <c r="AK455" t="e">
        <f>AND(#REF!,"AAAAAHvT/yQ=")</f>
        <v>#REF!</v>
      </c>
      <c r="AL455" t="e">
        <f>AND(#REF!,"AAAAAHvT/yU=")</f>
        <v>#REF!</v>
      </c>
      <c r="AM455" t="e">
        <f>IF(#REF!,"AAAAAHvT/yY=",0)</f>
        <v>#REF!</v>
      </c>
      <c r="AN455" t="e">
        <f>AND(#REF!,"AAAAAHvT/yc=")</f>
        <v>#REF!</v>
      </c>
      <c r="AO455" t="e">
        <f>AND(#REF!,"AAAAAHvT/yg=")</f>
        <v>#REF!</v>
      </c>
      <c r="AP455" t="e">
        <f>AND(#REF!,"AAAAAHvT/yk=")</f>
        <v>#REF!</v>
      </c>
      <c r="AQ455" t="e">
        <f>AND(#REF!,"AAAAAHvT/yo=")</f>
        <v>#REF!</v>
      </c>
      <c r="AR455" t="e">
        <f>AND(#REF!,"AAAAAHvT/ys=")</f>
        <v>#REF!</v>
      </c>
      <c r="AS455" t="e">
        <f>AND(#REF!,"AAAAAHvT/yw=")</f>
        <v>#REF!</v>
      </c>
      <c r="AT455" t="e">
        <f>AND(#REF!,"AAAAAHvT/y0=")</f>
        <v>#REF!</v>
      </c>
      <c r="AU455" t="e">
        <f>AND(#REF!,"AAAAAHvT/y4=")</f>
        <v>#REF!</v>
      </c>
      <c r="AV455" t="e">
        <f>AND(#REF!,"AAAAAHvT/y8=")</f>
        <v>#REF!</v>
      </c>
      <c r="AW455" t="e">
        <f>AND(#REF!,"AAAAAHvT/zA=")</f>
        <v>#REF!</v>
      </c>
      <c r="AX455" t="e">
        <f>IF(#REF!,"AAAAAHvT/zE=",0)</f>
        <v>#REF!</v>
      </c>
      <c r="AY455" t="e">
        <f>AND(#REF!,"AAAAAHvT/zI=")</f>
        <v>#REF!</v>
      </c>
      <c r="AZ455" t="e">
        <f>AND(#REF!,"AAAAAHvT/zM=")</f>
        <v>#REF!</v>
      </c>
      <c r="BA455" t="e">
        <f>AND(#REF!,"AAAAAHvT/zQ=")</f>
        <v>#REF!</v>
      </c>
      <c r="BB455" t="e">
        <f>AND(#REF!,"AAAAAHvT/zU=")</f>
        <v>#REF!</v>
      </c>
      <c r="BC455" t="e">
        <f>AND(#REF!,"AAAAAHvT/zY=")</f>
        <v>#REF!</v>
      </c>
      <c r="BD455" t="e">
        <f>AND(#REF!,"AAAAAHvT/zc=")</f>
        <v>#REF!</v>
      </c>
      <c r="BE455" t="e">
        <f>AND(#REF!,"AAAAAHvT/zg=")</f>
        <v>#REF!</v>
      </c>
      <c r="BF455" t="e">
        <f>AND(#REF!,"AAAAAHvT/zk=")</f>
        <v>#REF!</v>
      </c>
      <c r="BG455" t="e">
        <f>AND(#REF!,"AAAAAHvT/zo=")</f>
        <v>#REF!</v>
      </c>
      <c r="BH455" t="e">
        <f>AND(#REF!,"AAAAAHvT/zs=")</f>
        <v>#REF!</v>
      </c>
      <c r="BI455" t="e">
        <f>IF(#REF!,"AAAAAHvT/zw=",0)</f>
        <v>#REF!</v>
      </c>
      <c r="BJ455" t="e">
        <f>AND(#REF!,"AAAAAHvT/z0=")</f>
        <v>#REF!</v>
      </c>
      <c r="BK455" t="e">
        <f>AND(#REF!,"AAAAAHvT/z4=")</f>
        <v>#REF!</v>
      </c>
      <c r="BL455" t="e">
        <f>AND(#REF!,"AAAAAHvT/z8=")</f>
        <v>#REF!</v>
      </c>
      <c r="BM455" t="e">
        <f>AND(#REF!,"AAAAAHvT/0A=")</f>
        <v>#REF!</v>
      </c>
      <c r="BN455" t="e">
        <f>AND(#REF!,"AAAAAHvT/0E=")</f>
        <v>#REF!</v>
      </c>
      <c r="BO455" t="e">
        <f>AND(#REF!,"AAAAAHvT/0I=")</f>
        <v>#REF!</v>
      </c>
      <c r="BP455" t="e">
        <f>AND(#REF!,"AAAAAHvT/0M=")</f>
        <v>#REF!</v>
      </c>
      <c r="BQ455" t="e">
        <f>AND(#REF!,"AAAAAHvT/0Q=")</f>
        <v>#REF!</v>
      </c>
      <c r="BR455" t="e">
        <f>AND(#REF!,"AAAAAHvT/0U=")</f>
        <v>#REF!</v>
      </c>
      <c r="BS455" t="e">
        <f>AND(#REF!,"AAAAAHvT/0Y=")</f>
        <v>#REF!</v>
      </c>
      <c r="BT455" t="e">
        <f>IF(#REF!,"AAAAAHvT/0c=",0)</f>
        <v>#REF!</v>
      </c>
      <c r="BU455" t="e">
        <f>AND(#REF!,"AAAAAHvT/0g=")</f>
        <v>#REF!</v>
      </c>
      <c r="BV455" t="e">
        <f>AND(#REF!,"AAAAAHvT/0k=")</f>
        <v>#REF!</v>
      </c>
      <c r="BW455" t="e">
        <f>AND(#REF!,"AAAAAHvT/0o=")</f>
        <v>#REF!</v>
      </c>
      <c r="BX455" t="e">
        <f>AND(#REF!,"AAAAAHvT/0s=")</f>
        <v>#REF!</v>
      </c>
      <c r="BY455" t="e">
        <f>AND(#REF!,"AAAAAHvT/0w=")</f>
        <v>#REF!</v>
      </c>
      <c r="BZ455" t="e">
        <f>AND(#REF!,"AAAAAHvT/00=")</f>
        <v>#REF!</v>
      </c>
      <c r="CA455" t="e">
        <f>AND(#REF!,"AAAAAHvT/04=")</f>
        <v>#REF!</v>
      </c>
      <c r="CB455" t="e">
        <f>AND(#REF!,"AAAAAHvT/08=")</f>
        <v>#REF!</v>
      </c>
      <c r="CC455" t="e">
        <f>AND(#REF!,"AAAAAHvT/1A=")</f>
        <v>#REF!</v>
      </c>
      <c r="CD455" t="e">
        <f>AND(#REF!,"AAAAAHvT/1E=")</f>
        <v>#REF!</v>
      </c>
      <c r="CE455" t="e">
        <f>IF(#REF!,"AAAAAHvT/1I=",0)</f>
        <v>#REF!</v>
      </c>
      <c r="CF455" t="e">
        <f>AND(#REF!,"AAAAAHvT/1M=")</f>
        <v>#REF!</v>
      </c>
      <c r="CG455" t="e">
        <f>AND(#REF!,"AAAAAHvT/1Q=")</f>
        <v>#REF!</v>
      </c>
      <c r="CH455" t="e">
        <f>AND(#REF!,"AAAAAHvT/1U=")</f>
        <v>#REF!</v>
      </c>
      <c r="CI455" t="e">
        <f>AND(#REF!,"AAAAAHvT/1Y=")</f>
        <v>#REF!</v>
      </c>
      <c r="CJ455" t="e">
        <f>AND(#REF!,"AAAAAHvT/1c=")</f>
        <v>#REF!</v>
      </c>
      <c r="CK455" t="e">
        <f>AND(#REF!,"AAAAAHvT/1g=")</f>
        <v>#REF!</v>
      </c>
      <c r="CL455" t="e">
        <f>AND(#REF!,"AAAAAHvT/1k=")</f>
        <v>#REF!</v>
      </c>
      <c r="CM455" t="e">
        <f>AND(#REF!,"AAAAAHvT/1o=")</f>
        <v>#REF!</v>
      </c>
      <c r="CN455" t="e">
        <f>AND(#REF!,"AAAAAHvT/1s=")</f>
        <v>#REF!</v>
      </c>
      <c r="CO455" t="e">
        <f>AND(#REF!,"AAAAAHvT/1w=")</f>
        <v>#REF!</v>
      </c>
      <c r="CP455" t="e">
        <f>IF(#REF!,"AAAAAHvT/10=",0)</f>
        <v>#REF!</v>
      </c>
      <c r="CQ455" t="e">
        <f>AND(#REF!,"AAAAAHvT/14=")</f>
        <v>#REF!</v>
      </c>
      <c r="CR455" t="e">
        <f>AND(#REF!,"AAAAAHvT/18=")</f>
        <v>#REF!</v>
      </c>
      <c r="CS455" t="e">
        <f>AND(#REF!,"AAAAAHvT/2A=")</f>
        <v>#REF!</v>
      </c>
      <c r="CT455" t="e">
        <f>AND(#REF!,"AAAAAHvT/2E=")</f>
        <v>#REF!</v>
      </c>
      <c r="CU455" t="e">
        <f>AND(#REF!,"AAAAAHvT/2I=")</f>
        <v>#REF!</v>
      </c>
      <c r="CV455" t="e">
        <f>AND(#REF!,"AAAAAHvT/2M=")</f>
        <v>#REF!</v>
      </c>
      <c r="CW455" t="e">
        <f>AND(#REF!,"AAAAAHvT/2Q=")</f>
        <v>#REF!</v>
      </c>
      <c r="CX455" t="e">
        <f>AND(#REF!,"AAAAAHvT/2U=")</f>
        <v>#REF!</v>
      </c>
      <c r="CY455" t="e">
        <f>AND(#REF!,"AAAAAHvT/2Y=")</f>
        <v>#REF!</v>
      </c>
      <c r="CZ455" t="e">
        <f>AND(#REF!,"AAAAAHvT/2c=")</f>
        <v>#REF!</v>
      </c>
      <c r="DA455" t="e">
        <f>IF(#REF!,"AAAAAHvT/2g=",0)</f>
        <v>#REF!</v>
      </c>
      <c r="DB455" t="e">
        <f>AND(#REF!,"AAAAAHvT/2k=")</f>
        <v>#REF!</v>
      </c>
      <c r="DC455" t="e">
        <f>AND(#REF!,"AAAAAHvT/2o=")</f>
        <v>#REF!</v>
      </c>
      <c r="DD455" t="e">
        <f>AND(#REF!,"AAAAAHvT/2s=")</f>
        <v>#REF!</v>
      </c>
      <c r="DE455" t="e">
        <f>AND(#REF!,"AAAAAHvT/2w=")</f>
        <v>#REF!</v>
      </c>
      <c r="DF455" t="e">
        <f>AND(#REF!,"AAAAAHvT/20=")</f>
        <v>#REF!</v>
      </c>
      <c r="DG455" t="e">
        <f>AND(#REF!,"AAAAAHvT/24=")</f>
        <v>#REF!</v>
      </c>
      <c r="DH455" t="e">
        <f>AND(#REF!,"AAAAAHvT/28=")</f>
        <v>#REF!</v>
      </c>
      <c r="DI455" t="e">
        <f>AND(#REF!,"AAAAAHvT/3A=")</f>
        <v>#REF!</v>
      </c>
      <c r="DJ455" t="e">
        <f>AND(#REF!,"AAAAAHvT/3E=")</f>
        <v>#REF!</v>
      </c>
      <c r="DK455" t="e">
        <f>AND(#REF!,"AAAAAHvT/3I=")</f>
        <v>#REF!</v>
      </c>
      <c r="DL455" t="e">
        <f>IF(#REF!,"AAAAAHvT/3M=",0)</f>
        <v>#REF!</v>
      </c>
      <c r="DM455" t="e">
        <f>AND(#REF!,"AAAAAHvT/3Q=")</f>
        <v>#REF!</v>
      </c>
      <c r="DN455" t="e">
        <f>AND(#REF!,"AAAAAHvT/3U=")</f>
        <v>#REF!</v>
      </c>
      <c r="DO455" t="e">
        <f>AND(#REF!,"AAAAAHvT/3Y=")</f>
        <v>#REF!</v>
      </c>
      <c r="DP455" t="e">
        <f>AND(#REF!,"AAAAAHvT/3c=")</f>
        <v>#REF!</v>
      </c>
      <c r="DQ455" t="e">
        <f>AND(#REF!,"AAAAAHvT/3g=")</f>
        <v>#REF!</v>
      </c>
      <c r="DR455" t="e">
        <f>AND(#REF!,"AAAAAHvT/3k=")</f>
        <v>#REF!</v>
      </c>
      <c r="DS455" t="e">
        <f>AND(#REF!,"AAAAAHvT/3o=")</f>
        <v>#REF!</v>
      </c>
      <c r="DT455" t="e">
        <f>AND(#REF!,"AAAAAHvT/3s=")</f>
        <v>#REF!</v>
      </c>
      <c r="DU455" t="e">
        <f>AND(#REF!,"AAAAAHvT/3w=")</f>
        <v>#REF!</v>
      </c>
      <c r="DV455" t="e">
        <f>AND(#REF!,"AAAAAHvT/30=")</f>
        <v>#REF!</v>
      </c>
      <c r="DW455" t="e">
        <f>IF(#REF!,"AAAAAHvT/34=",0)</f>
        <v>#REF!</v>
      </c>
      <c r="DX455" t="e">
        <f>AND(#REF!,"AAAAAHvT/38=")</f>
        <v>#REF!</v>
      </c>
      <c r="DY455" t="e">
        <f>AND(#REF!,"AAAAAHvT/4A=")</f>
        <v>#REF!</v>
      </c>
      <c r="DZ455" t="e">
        <f>AND(#REF!,"AAAAAHvT/4E=")</f>
        <v>#REF!</v>
      </c>
      <c r="EA455" t="e">
        <f>AND(#REF!,"AAAAAHvT/4I=")</f>
        <v>#REF!</v>
      </c>
      <c r="EB455" t="e">
        <f>AND(#REF!,"AAAAAHvT/4M=")</f>
        <v>#REF!</v>
      </c>
      <c r="EC455" t="e">
        <f>AND(#REF!,"AAAAAHvT/4Q=")</f>
        <v>#REF!</v>
      </c>
      <c r="ED455" t="e">
        <f>AND(#REF!,"AAAAAHvT/4U=")</f>
        <v>#REF!</v>
      </c>
      <c r="EE455" t="e">
        <f>AND(#REF!,"AAAAAHvT/4Y=")</f>
        <v>#REF!</v>
      </c>
      <c r="EF455" t="e">
        <f>AND(#REF!,"AAAAAHvT/4c=")</f>
        <v>#REF!</v>
      </c>
      <c r="EG455" t="e">
        <f>AND(#REF!,"AAAAAHvT/4g=")</f>
        <v>#REF!</v>
      </c>
      <c r="EH455" t="e">
        <f>IF(#REF!,"AAAAAHvT/4k=",0)</f>
        <v>#REF!</v>
      </c>
      <c r="EI455" t="e">
        <f>AND(#REF!,"AAAAAHvT/4o=")</f>
        <v>#REF!</v>
      </c>
      <c r="EJ455" t="e">
        <f>AND(#REF!,"AAAAAHvT/4s=")</f>
        <v>#REF!</v>
      </c>
      <c r="EK455" t="e">
        <f>AND(#REF!,"AAAAAHvT/4w=")</f>
        <v>#REF!</v>
      </c>
      <c r="EL455" t="e">
        <f>AND(#REF!,"AAAAAHvT/40=")</f>
        <v>#REF!</v>
      </c>
      <c r="EM455" t="e">
        <f>AND(#REF!,"AAAAAHvT/44=")</f>
        <v>#REF!</v>
      </c>
      <c r="EN455" t="e">
        <f>AND(#REF!,"AAAAAHvT/48=")</f>
        <v>#REF!</v>
      </c>
      <c r="EO455" t="e">
        <f>AND(#REF!,"AAAAAHvT/5A=")</f>
        <v>#REF!</v>
      </c>
      <c r="EP455" t="e">
        <f>AND(#REF!,"AAAAAHvT/5E=")</f>
        <v>#REF!</v>
      </c>
      <c r="EQ455" t="e">
        <f>AND(#REF!,"AAAAAHvT/5I=")</f>
        <v>#REF!</v>
      </c>
      <c r="ER455" t="e">
        <f>AND(#REF!,"AAAAAHvT/5M=")</f>
        <v>#REF!</v>
      </c>
      <c r="ES455" t="e">
        <f>IF(#REF!,"AAAAAHvT/5Q=",0)</f>
        <v>#REF!</v>
      </c>
      <c r="ET455" t="e">
        <f>AND(#REF!,"AAAAAHvT/5U=")</f>
        <v>#REF!</v>
      </c>
      <c r="EU455" t="e">
        <f>AND(#REF!,"AAAAAHvT/5Y=")</f>
        <v>#REF!</v>
      </c>
      <c r="EV455" t="e">
        <f>AND(#REF!,"AAAAAHvT/5c=")</f>
        <v>#REF!</v>
      </c>
      <c r="EW455" t="e">
        <f>AND(#REF!,"AAAAAHvT/5g=")</f>
        <v>#REF!</v>
      </c>
      <c r="EX455" t="e">
        <f>AND(#REF!,"AAAAAHvT/5k=")</f>
        <v>#REF!</v>
      </c>
      <c r="EY455" t="e">
        <f>AND(#REF!,"AAAAAHvT/5o=")</f>
        <v>#REF!</v>
      </c>
      <c r="EZ455" t="e">
        <f>AND(#REF!,"AAAAAHvT/5s=")</f>
        <v>#REF!</v>
      </c>
      <c r="FA455" t="e">
        <f>AND(#REF!,"AAAAAHvT/5w=")</f>
        <v>#REF!</v>
      </c>
      <c r="FB455" t="e">
        <f>AND(#REF!,"AAAAAHvT/50=")</f>
        <v>#REF!</v>
      </c>
      <c r="FC455" t="e">
        <f>AND(#REF!,"AAAAAHvT/54=")</f>
        <v>#REF!</v>
      </c>
      <c r="FD455" t="e">
        <f>IF(#REF!,"AAAAAHvT/58=",0)</f>
        <v>#REF!</v>
      </c>
      <c r="FE455" t="e">
        <f>AND(#REF!,"AAAAAHvT/6A=")</f>
        <v>#REF!</v>
      </c>
      <c r="FF455" t="e">
        <f>AND(#REF!,"AAAAAHvT/6E=")</f>
        <v>#REF!</v>
      </c>
      <c r="FG455" t="e">
        <f>AND(#REF!,"AAAAAHvT/6I=")</f>
        <v>#REF!</v>
      </c>
      <c r="FH455" t="e">
        <f>AND(#REF!,"AAAAAHvT/6M=")</f>
        <v>#REF!</v>
      </c>
      <c r="FI455" t="e">
        <f>AND(#REF!,"AAAAAHvT/6Q=")</f>
        <v>#REF!</v>
      </c>
      <c r="FJ455" t="e">
        <f>AND(#REF!,"AAAAAHvT/6U=")</f>
        <v>#REF!</v>
      </c>
      <c r="FK455" t="e">
        <f>AND(#REF!,"AAAAAHvT/6Y=")</f>
        <v>#REF!</v>
      </c>
      <c r="FL455" t="e">
        <f>AND(#REF!,"AAAAAHvT/6c=")</f>
        <v>#REF!</v>
      </c>
      <c r="FM455" t="e">
        <f>AND(#REF!,"AAAAAHvT/6g=")</f>
        <v>#REF!</v>
      </c>
      <c r="FN455" t="e">
        <f>AND(#REF!,"AAAAAHvT/6k=")</f>
        <v>#REF!</v>
      </c>
      <c r="FO455" t="e">
        <f>IF(#REF!,"AAAAAHvT/6o=",0)</f>
        <v>#REF!</v>
      </c>
      <c r="FP455" t="e">
        <f>AND(#REF!,"AAAAAHvT/6s=")</f>
        <v>#REF!</v>
      </c>
      <c r="FQ455" t="e">
        <f>AND(#REF!,"AAAAAHvT/6w=")</f>
        <v>#REF!</v>
      </c>
      <c r="FR455" t="e">
        <f>AND(#REF!,"AAAAAHvT/60=")</f>
        <v>#REF!</v>
      </c>
      <c r="FS455" t="e">
        <f>AND(#REF!,"AAAAAHvT/64=")</f>
        <v>#REF!</v>
      </c>
      <c r="FT455" t="e">
        <f>AND(#REF!,"AAAAAHvT/68=")</f>
        <v>#REF!</v>
      </c>
      <c r="FU455" t="e">
        <f>AND(#REF!,"AAAAAHvT/7A=")</f>
        <v>#REF!</v>
      </c>
      <c r="FV455" t="e">
        <f>AND(#REF!,"AAAAAHvT/7E=")</f>
        <v>#REF!</v>
      </c>
      <c r="FW455" t="e">
        <f>AND(#REF!,"AAAAAHvT/7I=")</f>
        <v>#REF!</v>
      </c>
      <c r="FX455" t="e">
        <f>AND(#REF!,"AAAAAHvT/7M=")</f>
        <v>#REF!</v>
      </c>
      <c r="FY455" t="e">
        <f>AND(#REF!,"AAAAAHvT/7Q=")</f>
        <v>#REF!</v>
      </c>
      <c r="FZ455" t="e">
        <f>IF(#REF!,"AAAAAHvT/7U=",0)</f>
        <v>#REF!</v>
      </c>
      <c r="GA455" t="e">
        <f>AND(#REF!,"AAAAAHvT/7Y=")</f>
        <v>#REF!</v>
      </c>
      <c r="GB455" t="e">
        <f>AND(#REF!,"AAAAAHvT/7c=")</f>
        <v>#REF!</v>
      </c>
      <c r="GC455" t="e">
        <f>AND(#REF!,"AAAAAHvT/7g=")</f>
        <v>#REF!</v>
      </c>
      <c r="GD455" t="e">
        <f>AND(#REF!,"AAAAAHvT/7k=")</f>
        <v>#REF!</v>
      </c>
      <c r="GE455" t="e">
        <f>AND(#REF!,"AAAAAHvT/7o=")</f>
        <v>#REF!</v>
      </c>
      <c r="GF455" t="e">
        <f>AND(#REF!,"AAAAAHvT/7s=")</f>
        <v>#REF!</v>
      </c>
      <c r="GG455" t="e">
        <f>AND(#REF!,"AAAAAHvT/7w=")</f>
        <v>#REF!</v>
      </c>
      <c r="GH455" t="e">
        <f>AND(#REF!,"AAAAAHvT/70=")</f>
        <v>#REF!</v>
      </c>
      <c r="GI455" t="e">
        <f>AND(#REF!,"AAAAAHvT/74=")</f>
        <v>#REF!</v>
      </c>
      <c r="GJ455" t="e">
        <f>AND(#REF!,"AAAAAHvT/78=")</f>
        <v>#REF!</v>
      </c>
      <c r="GK455" t="e">
        <f>IF(#REF!,"AAAAAHvT/8A=",0)</f>
        <v>#REF!</v>
      </c>
      <c r="GL455" t="e">
        <f>AND(#REF!,"AAAAAHvT/8E=")</f>
        <v>#REF!</v>
      </c>
      <c r="GM455" t="e">
        <f>AND(#REF!,"AAAAAHvT/8I=")</f>
        <v>#REF!</v>
      </c>
      <c r="GN455" t="e">
        <f>AND(#REF!,"AAAAAHvT/8M=")</f>
        <v>#REF!</v>
      </c>
      <c r="GO455" t="e">
        <f>AND(#REF!,"AAAAAHvT/8Q=")</f>
        <v>#REF!</v>
      </c>
      <c r="GP455" t="e">
        <f>AND(#REF!,"AAAAAHvT/8U=")</f>
        <v>#REF!</v>
      </c>
      <c r="GQ455" t="e">
        <f>AND(#REF!,"AAAAAHvT/8Y=")</f>
        <v>#REF!</v>
      </c>
      <c r="GR455" t="e">
        <f>AND(#REF!,"AAAAAHvT/8c=")</f>
        <v>#REF!</v>
      </c>
      <c r="GS455" t="e">
        <f>AND(#REF!,"AAAAAHvT/8g=")</f>
        <v>#REF!</v>
      </c>
      <c r="GT455" t="e">
        <f>AND(#REF!,"AAAAAHvT/8k=")</f>
        <v>#REF!</v>
      </c>
      <c r="GU455" t="e">
        <f>AND(#REF!,"AAAAAHvT/8o=")</f>
        <v>#REF!</v>
      </c>
      <c r="GV455" t="e">
        <f>IF(#REF!,"AAAAAHvT/8s=",0)</f>
        <v>#REF!</v>
      </c>
      <c r="GW455" t="e">
        <f>AND(#REF!,"AAAAAHvT/8w=")</f>
        <v>#REF!</v>
      </c>
      <c r="GX455" t="e">
        <f>AND(#REF!,"AAAAAHvT/80=")</f>
        <v>#REF!</v>
      </c>
      <c r="GY455" t="e">
        <f>AND(#REF!,"AAAAAHvT/84=")</f>
        <v>#REF!</v>
      </c>
      <c r="GZ455" t="e">
        <f>AND(#REF!,"AAAAAHvT/88=")</f>
        <v>#REF!</v>
      </c>
      <c r="HA455" t="e">
        <f>AND(#REF!,"AAAAAHvT/9A=")</f>
        <v>#REF!</v>
      </c>
      <c r="HB455" t="e">
        <f>AND(#REF!,"AAAAAHvT/9E=")</f>
        <v>#REF!</v>
      </c>
      <c r="HC455" t="e">
        <f>AND(#REF!,"AAAAAHvT/9I=")</f>
        <v>#REF!</v>
      </c>
      <c r="HD455" t="e">
        <f>AND(#REF!,"AAAAAHvT/9M=")</f>
        <v>#REF!</v>
      </c>
      <c r="HE455" t="e">
        <f>AND(#REF!,"AAAAAHvT/9Q=")</f>
        <v>#REF!</v>
      </c>
      <c r="HF455" t="e">
        <f>AND(#REF!,"AAAAAHvT/9U=")</f>
        <v>#REF!</v>
      </c>
      <c r="HG455" t="e">
        <f>IF(#REF!,"AAAAAHvT/9Y=",0)</f>
        <v>#REF!</v>
      </c>
      <c r="HH455" t="e">
        <f>AND(#REF!,"AAAAAHvT/9c=")</f>
        <v>#REF!</v>
      </c>
      <c r="HI455" t="e">
        <f>AND(#REF!,"AAAAAHvT/9g=")</f>
        <v>#REF!</v>
      </c>
      <c r="HJ455" t="e">
        <f>AND(#REF!,"AAAAAHvT/9k=")</f>
        <v>#REF!</v>
      </c>
      <c r="HK455" t="e">
        <f>AND(#REF!,"AAAAAHvT/9o=")</f>
        <v>#REF!</v>
      </c>
      <c r="HL455" t="e">
        <f>AND(#REF!,"AAAAAHvT/9s=")</f>
        <v>#REF!</v>
      </c>
      <c r="HM455" t="e">
        <f>AND(#REF!,"AAAAAHvT/9w=")</f>
        <v>#REF!</v>
      </c>
      <c r="HN455" t="e">
        <f>AND(#REF!,"AAAAAHvT/90=")</f>
        <v>#REF!</v>
      </c>
      <c r="HO455" t="e">
        <f>AND(#REF!,"AAAAAHvT/94=")</f>
        <v>#REF!</v>
      </c>
      <c r="HP455" t="e">
        <f>AND(#REF!,"AAAAAHvT/98=")</f>
        <v>#REF!</v>
      </c>
      <c r="HQ455" t="e">
        <f>AND(#REF!,"AAAAAHvT/+A=")</f>
        <v>#REF!</v>
      </c>
      <c r="HR455" t="e">
        <f>IF(#REF!,"AAAAAHvT/+E=",0)</f>
        <v>#REF!</v>
      </c>
      <c r="HS455" t="e">
        <f>AND(#REF!,"AAAAAHvT/+I=")</f>
        <v>#REF!</v>
      </c>
      <c r="HT455" t="e">
        <f>AND(#REF!,"AAAAAHvT/+M=")</f>
        <v>#REF!</v>
      </c>
      <c r="HU455" t="e">
        <f>AND(#REF!,"AAAAAHvT/+Q=")</f>
        <v>#REF!</v>
      </c>
      <c r="HV455" t="e">
        <f>AND(#REF!,"AAAAAHvT/+U=")</f>
        <v>#REF!</v>
      </c>
      <c r="HW455" t="e">
        <f>AND(#REF!,"AAAAAHvT/+Y=")</f>
        <v>#REF!</v>
      </c>
      <c r="HX455" t="e">
        <f>AND(#REF!,"AAAAAHvT/+c=")</f>
        <v>#REF!</v>
      </c>
      <c r="HY455" t="e">
        <f>AND(#REF!,"AAAAAHvT/+g=")</f>
        <v>#REF!</v>
      </c>
      <c r="HZ455" t="e">
        <f>AND(#REF!,"AAAAAHvT/+k=")</f>
        <v>#REF!</v>
      </c>
      <c r="IA455" t="e">
        <f>AND(#REF!,"AAAAAHvT/+o=")</f>
        <v>#REF!</v>
      </c>
      <c r="IB455" t="e">
        <f>AND(#REF!,"AAAAAHvT/+s=")</f>
        <v>#REF!</v>
      </c>
      <c r="IC455" t="e">
        <f>IF(#REF!,"AAAAAHvT/+w=",0)</f>
        <v>#REF!</v>
      </c>
      <c r="ID455" t="e">
        <f>AND(#REF!,"AAAAAHvT/+0=")</f>
        <v>#REF!</v>
      </c>
      <c r="IE455" t="e">
        <f>AND(#REF!,"AAAAAHvT/+4=")</f>
        <v>#REF!</v>
      </c>
      <c r="IF455" t="e">
        <f>AND(#REF!,"AAAAAHvT/+8=")</f>
        <v>#REF!</v>
      </c>
      <c r="IG455" t="e">
        <f>AND(#REF!,"AAAAAHvT//A=")</f>
        <v>#REF!</v>
      </c>
      <c r="IH455" t="e">
        <f>AND(#REF!,"AAAAAHvT//E=")</f>
        <v>#REF!</v>
      </c>
      <c r="II455" t="e">
        <f>AND(#REF!,"AAAAAHvT//I=")</f>
        <v>#REF!</v>
      </c>
      <c r="IJ455" t="e">
        <f>AND(#REF!,"AAAAAHvT//M=")</f>
        <v>#REF!</v>
      </c>
      <c r="IK455" t="e">
        <f>AND(#REF!,"AAAAAHvT//Q=")</f>
        <v>#REF!</v>
      </c>
      <c r="IL455" t="e">
        <f>AND(#REF!,"AAAAAHvT//U=")</f>
        <v>#REF!</v>
      </c>
      <c r="IM455" t="e">
        <f>AND(#REF!,"AAAAAHvT//Y=")</f>
        <v>#REF!</v>
      </c>
      <c r="IN455" t="e">
        <f>IF(#REF!,"AAAAAHvT//c=",0)</f>
        <v>#REF!</v>
      </c>
      <c r="IO455" t="e">
        <f>AND(#REF!,"AAAAAHvT//g=")</f>
        <v>#REF!</v>
      </c>
      <c r="IP455" t="e">
        <f>AND(#REF!,"AAAAAHvT//k=")</f>
        <v>#REF!</v>
      </c>
      <c r="IQ455" t="e">
        <f>AND(#REF!,"AAAAAHvT//o=")</f>
        <v>#REF!</v>
      </c>
      <c r="IR455" t="e">
        <f>AND(#REF!,"AAAAAHvT//s=")</f>
        <v>#REF!</v>
      </c>
      <c r="IS455" t="e">
        <f>AND(#REF!,"AAAAAHvT//w=")</f>
        <v>#REF!</v>
      </c>
      <c r="IT455" t="e">
        <f>AND(#REF!,"AAAAAHvT//0=")</f>
        <v>#REF!</v>
      </c>
      <c r="IU455" t="e">
        <f>AND(#REF!,"AAAAAHvT//4=")</f>
        <v>#REF!</v>
      </c>
      <c r="IV455" t="e">
        <f>AND(#REF!,"AAAAAHvT//8=")</f>
        <v>#REF!</v>
      </c>
    </row>
    <row r="456" spans="1:256" x14ac:dyDescent="0.25">
      <c r="A456" t="e">
        <f>AND(#REF!,"AAAAAEN0/wA=")</f>
        <v>#REF!</v>
      </c>
      <c r="B456" t="e">
        <f>AND(#REF!,"AAAAAEN0/wE=")</f>
        <v>#REF!</v>
      </c>
      <c r="C456" t="e">
        <f>IF(#REF!,"AAAAAEN0/wI=",0)</f>
        <v>#REF!</v>
      </c>
      <c r="D456" t="e">
        <f>AND(#REF!,"AAAAAEN0/wM=")</f>
        <v>#REF!</v>
      </c>
      <c r="E456" t="e">
        <f>AND(#REF!,"AAAAAEN0/wQ=")</f>
        <v>#REF!</v>
      </c>
      <c r="F456" t="e">
        <f>AND(#REF!,"AAAAAEN0/wU=")</f>
        <v>#REF!</v>
      </c>
      <c r="G456" t="e">
        <f>AND(#REF!,"AAAAAEN0/wY=")</f>
        <v>#REF!</v>
      </c>
      <c r="H456" t="e">
        <f>AND(#REF!,"AAAAAEN0/wc=")</f>
        <v>#REF!</v>
      </c>
      <c r="I456" t="e">
        <f>AND(#REF!,"AAAAAEN0/wg=")</f>
        <v>#REF!</v>
      </c>
      <c r="J456" t="e">
        <f>AND(#REF!,"AAAAAEN0/wk=")</f>
        <v>#REF!</v>
      </c>
      <c r="K456" t="e">
        <f>AND(#REF!,"AAAAAEN0/wo=")</f>
        <v>#REF!</v>
      </c>
      <c r="L456" t="e">
        <f>AND(#REF!,"AAAAAEN0/ws=")</f>
        <v>#REF!</v>
      </c>
      <c r="M456" t="e">
        <f>AND(#REF!,"AAAAAEN0/ww=")</f>
        <v>#REF!</v>
      </c>
      <c r="N456" t="e">
        <f>IF(#REF!,"AAAAAEN0/w0=",0)</f>
        <v>#REF!</v>
      </c>
      <c r="O456" t="e">
        <f>AND(#REF!,"AAAAAEN0/w4=")</f>
        <v>#REF!</v>
      </c>
      <c r="P456" t="e">
        <f>AND(#REF!,"AAAAAEN0/w8=")</f>
        <v>#REF!</v>
      </c>
      <c r="Q456" t="e">
        <f>AND(#REF!,"AAAAAEN0/xA=")</f>
        <v>#REF!</v>
      </c>
      <c r="R456" t="e">
        <f>AND(#REF!,"AAAAAEN0/xE=")</f>
        <v>#REF!</v>
      </c>
      <c r="S456" t="e">
        <f>AND(#REF!,"AAAAAEN0/xI=")</f>
        <v>#REF!</v>
      </c>
      <c r="T456" t="e">
        <f>AND(#REF!,"AAAAAEN0/xM=")</f>
        <v>#REF!</v>
      </c>
      <c r="U456" t="e">
        <f>AND(#REF!,"AAAAAEN0/xQ=")</f>
        <v>#REF!</v>
      </c>
      <c r="V456" t="e">
        <f>AND(#REF!,"AAAAAEN0/xU=")</f>
        <v>#REF!</v>
      </c>
      <c r="W456" t="e">
        <f>AND(#REF!,"AAAAAEN0/xY=")</f>
        <v>#REF!</v>
      </c>
      <c r="X456" t="e">
        <f>AND(#REF!,"AAAAAEN0/xc=")</f>
        <v>#REF!</v>
      </c>
      <c r="Y456" t="e">
        <f>IF(#REF!,"AAAAAEN0/xg=",0)</f>
        <v>#REF!</v>
      </c>
      <c r="Z456" t="e">
        <f>AND(#REF!,"AAAAAEN0/xk=")</f>
        <v>#REF!</v>
      </c>
      <c r="AA456" t="e">
        <f>AND(#REF!,"AAAAAEN0/xo=")</f>
        <v>#REF!</v>
      </c>
      <c r="AB456" t="e">
        <f>AND(#REF!,"AAAAAEN0/xs=")</f>
        <v>#REF!</v>
      </c>
      <c r="AC456" t="e">
        <f>AND(#REF!,"AAAAAEN0/xw=")</f>
        <v>#REF!</v>
      </c>
      <c r="AD456" t="e">
        <f>AND(#REF!,"AAAAAEN0/x0=")</f>
        <v>#REF!</v>
      </c>
      <c r="AE456" t="e">
        <f>AND(#REF!,"AAAAAEN0/x4=")</f>
        <v>#REF!</v>
      </c>
      <c r="AF456" t="e">
        <f>AND(#REF!,"AAAAAEN0/x8=")</f>
        <v>#REF!</v>
      </c>
      <c r="AG456" t="e">
        <f>AND(#REF!,"AAAAAEN0/yA=")</f>
        <v>#REF!</v>
      </c>
      <c r="AH456" t="e">
        <f>AND(#REF!,"AAAAAEN0/yE=")</f>
        <v>#REF!</v>
      </c>
      <c r="AI456" t="e">
        <f>AND(#REF!,"AAAAAEN0/yI=")</f>
        <v>#REF!</v>
      </c>
      <c r="AJ456" t="e">
        <f>IF(#REF!,"AAAAAEN0/yM=",0)</f>
        <v>#REF!</v>
      </c>
      <c r="AK456" t="e">
        <f>AND(#REF!,"AAAAAEN0/yQ=")</f>
        <v>#REF!</v>
      </c>
      <c r="AL456" t="e">
        <f>AND(#REF!,"AAAAAEN0/yU=")</f>
        <v>#REF!</v>
      </c>
      <c r="AM456" t="e">
        <f>AND(#REF!,"AAAAAEN0/yY=")</f>
        <v>#REF!</v>
      </c>
      <c r="AN456" t="e">
        <f>AND(#REF!,"AAAAAEN0/yc=")</f>
        <v>#REF!</v>
      </c>
      <c r="AO456" t="e">
        <f>AND(#REF!,"AAAAAEN0/yg=")</f>
        <v>#REF!</v>
      </c>
      <c r="AP456" t="e">
        <f>AND(#REF!,"AAAAAEN0/yk=")</f>
        <v>#REF!</v>
      </c>
      <c r="AQ456" t="e">
        <f>AND(#REF!,"AAAAAEN0/yo=")</f>
        <v>#REF!</v>
      </c>
      <c r="AR456" t="e">
        <f>AND(#REF!,"AAAAAEN0/ys=")</f>
        <v>#REF!</v>
      </c>
      <c r="AS456" t="e">
        <f>AND(#REF!,"AAAAAEN0/yw=")</f>
        <v>#REF!</v>
      </c>
      <c r="AT456" t="e">
        <f>AND(#REF!,"AAAAAEN0/y0=")</f>
        <v>#REF!</v>
      </c>
      <c r="AU456" t="e">
        <f>IF(#REF!,"AAAAAEN0/y4=",0)</f>
        <v>#REF!</v>
      </c>
      <c r="AV456" t="e">
        <f>AND(#REF!,"AAAAAEN0/y8=")</f>
        <v>#REF!</v>
      </c>
      <c r="AW456" t="e">
        <f>AND(#REF!,"AAAAAEN0/zA=")</f>
        <v>#REF!</v>
      </c>
      <c r="AX456" t="e">
        <f>AND(#REF!,"AAAAAEN0/zE=")</f>
        <v>#REF!</v>
      </c>
      <c r="AY456" t="e">
        <f>AND(#REF!,"AAAAAEN0/zI=")</f>
        <v>#REF!</v>
      </c>
      <c r="AZ456" t="e">
        <f>AND(#REF!,"AAAAAEN0/zM=")</f>
        <v>#REF!</v>
      </c>
      <c r="BA456" t="e">
        <f>AND(#REF!,"AAAAAEN0/zQ=")</f>
        <v>#REF!</v>
      </c>
      <c r="BB456" t="e">
        <f>AND(#REF!,"AAAAAEN0/zU=")</f>
        <v>#REF!</v>
      </c>
      <c r="BC456" t="e">
        <f>AND(#REF!,"AAAAAEN0/zY=")</f>
        <v>#REF!</v>
      </c>
      <c r="BD456" t="e">
        <f>AND(#REF!,"AAAAAEN0/zc=")</f>
        <v>#REF!</v>
      </c>
      <c r="BE456" t="e">
        <f>AND(#REF!,"AAAAAEN0/zg=")</f>
        <v>#REF!</v>
      </c>
      <c r="BF456" t="e">
        <f>IF(#REF!,"AAAAAEN0/zk=",0)</f>
        <v>#REF!</v>
      </c>
      <c r="BG456" t="e">
        <f>AND(#REF!,"AAAAAEN0/zo=")</f>
        <v>#REF!</v>
      </c>
      <c r="BH456" t="e">
        <f>AND(#REF!,"AAAAAEN0/zs=")</f>
        <v>#REF!</v>
      </c>
      <c r="BI456" t="e">
        <f>AND(#REF!,"AAAAAEN0/zw=")</f>
        <v>#REF!</v>
      </c>
      <c r="BJ456" t="e">
        <f>AND(#REF!,"AAAAAEN0/z0=")</f>
        <v>#REF!</v>
      </c>
      <c r="BK456" t="e">
        <f>AND(#REF!,"AAAAAEN0/z4=")</f>
        <v>#REF!</v>
      </c>
      <c r="BL456" t="e">
        <f>AND(#REF!,"AAAAAEN0/z8=")</f>
        <v>#REF!</v>
      </c>
      <c r="BM456" t="e">
        <f>AND(#REF!,"AAAAAEN0/0A=")</f>
        <v>#REF!</v>
      </c>
      <c r="BN456" t="e">
        <f>AND(#REF!,"AAAAAEN0/0E=")</f>
        <v>#REF!</v>
      </c>
      <c r="BO456" t="e">
        <f>AND(#REF!,"AAAAAEN0/0I=")</f>
        <v>#REF!</v>
      </c>
      <c r="BP456" t="e">
        <f>AND(#REF!,"AAAAAEN0/0M=")</f>
        <v>#REF!</v>
      </c>
      <c r="BQ456" t="e">
        <f>IF(#REF!,"AAAAAEN0/0Q=",0)</f>
        <v>#REF!</v>
      </c>
      <c r="BR456" t="e">
        <f>AND(#REF!,"AAAAAEN0/0U=")</f>
        <v>#REF!</v>
      </c>
      <c r="BS456" t="e">
        <f>AND(#REF!,"AAAAAEN0/0Y=")</f>
        <v>#REF!</v>
      </c>
      <c r="BT456" t="e">
        <f>AND(#REF!,"AAAAAEN0/0c=")</f>
        <v>#REF!</v>
      </c>
      <c r="BU456" t="e">
        <f>AND(#REF!,"AAAAAEN0/0g=")</f>
        <v>#REF!</v>
      </c>
      <c r="BV456" t="e">
        <f>AND(#REF!,"AAAAAEN0/0k=")</f>
        <v>#REF!</v>
      </c>
      <c r="BW456" t="e">
        <f>AND(#REF!,"AAAAAEN0/0o=")</f>
        <v>#REF!</v>
      </c>
      <c r="BX456" t="e">
        <f>AND(#REF!,"AAAAAEN0/0s=")</f>
        <v>#REF!</v>
      </c>
      <c r="BY456" t="e">
        <f>AND(#REF!,"AAAAAEN0/0w=")</f>
        <v>#REF!</v>
      </c>
      <c r="BZ456" t="e">
        <f>AND(#REF!,"AAAAAEN0/00=")</f>
        <v>#REF!</v>
      </c>
      <c r="CA456" t="e">
        <f>AND(#REF!,"AAAAAEN0/04=")</f>
        <v>#REF!</v>
      </c>
      <c r="CB456" t="e">
        <f>IF(#REF!,"AAAAAEN0/08=",0)</f>
        <v>#REF!</v>
      </c>
      <c r="CC456" t="e">
        <f>AND(#REF!,"AAAAAEN0/1A=")</f>
        <v>#REF!</v>
      </c>
      <c r="CD456" t="e">
        <f>AND(#REF!,"AAAAAEN0/1E=")</f>
        <v>#REF!</v>
      </c>
      <c r="CE456" t="e">
        <f>AND(#REF!,"AAAAAEN0/1I=")</f>
        <v>#REF!</v>
      </c>
      <c r="CF456" t="e">
        <f>AND(#REF!,"AAAAAEN0/1M=")</f>
        <v>#REF!</v>
      </c>
      <c r="CG456" t="e">
        <f>AND(#REF!,"AAAAAEN0/1Q=")</f>
        <v>#REF!</v>
      </c>
      <c r="CH456" t="e">
        <f>AND(#REF!,"AAAAAEN0/1U=")</f>
        <v>#REF!</v>
      </c>
      <c r="CI456" t="e">
        <f>AND(#REF!,"AAAAAEN0/1Y=")</f>
        <v>#REF!</v>
      </c>
      <c r="CJ456" t="e">
        <f>AND(#REF!,"AAAAAEN0/1c=")</f>
        <v>#REF!</v>
      </c>
      <c r="CK456" t="e">
        <f>AND(#REF!,"AAAAAEN0/1g=")</f>
        <v>#REF!</v>
      </c>
      <c r="CL456" t="e">
        <f>AND(#REF!,"AAAAAEN0/1k=")</f>
        <v>#REF!</v>
      </c>
      <c r="CM456" t="e">
        <f>IF(#REF!,"AAAAAEN0/1o=",0)</f>
        <v>#REF!</v>
      </c>
      <c r="CN456" t="e">
        <f>AND(#REF!,"AAAAAEN0/1s=")</f>
        <v>#REF!</v>
      </c>
      <c r="CO456" t="e">
        <f>AND(#REF!,"AAAAAEN0/1w=")</f>
        <v>#REF!</v>
      </c>
      <c r="CP456" t="e">
        <f>AND(#REF!,"AAAAAEN0/10=")</f>
        <v>#REF!</v>
      </c>
      <c r="CQ456" t="e">
        <f>AND(#REF!,"AAAAAEN0/14=")</f>
        <v>#REF!</v>
      </c>
      <c r="CR456" t="e">
        <f>AND(#REF!,"AAAAAEN0/18=")</f>
        <v>#REF!</v>
      </c>
      <c r="CS456" t="e">
        <f>AND(#REF!,"AAAAAEN0/2A=")</f>
        <v>#REF!</v>
      </c>
      <c r="CT456" t="e">
        <f>AND(#REF!,"AAAAAEN0/2E=")</f>
        <v>#REF!</v>
      </c>
      <c r="CU456" t="e">
        <f>AND(#REF!,"AAAAAEN0/2I=")</f>
        <v>#REF!</v>
      </c>
      <c r="CV456" t="e">
        <f>AND(#REF!,"AAAAAEN0/2M=")</f>
        <v>#REF!</v>
      </c>
      <c r="CW456" t="e">
        <f>AND(#REF!,"AAAAAEN0/2Q=")</f>
        <v>#REF!</v>
      </c>
      <c r="CX456" t="e">
        <f>IF(#REF!,"AAAAAEN0/2U=",0)</f>
        <v>#REF!</v>
      </c>
      <c r="CY456" t="e">
        <f>AND(#REF!,"AAAAAEN0/2Y=")</f>
        <v>#REF!</v>
      </c>
      <c r="CZ456" t="e">
        <f>AND(#REF!,"AAAAAEN0/2c=")</f>
        <v>#REF!</v>
      </c>
      <c r="DA456" t="e">
        <f>AND(#REF!,"AAAAAEN0/2g=")</f>
        <v>#REF!</v>
      </c>
      <c r="DB456" t="e">
        <f>AND(#REF!,"AAAAAEN0/2k=")</f>
        <v>#REF!</v>
      </c>
      <c r="DC456" t="e">
        <f>AND(#REF!,"AAAAAEN0/2o=")</f>
        <v>#REF!</v>
      </c>
      <c r="DD456" t="e">
        <f>AND(#REF!,"AAAAAEN0/2s=")</f>
        <v>#REF!</v>
      </c>
      <c r="DE456" t="e">
        <f>AND(#REF!,"AAAAAEN0/2w=")</f>
        <v>#REF!</v>
      </c>
      <c r="DF456" t="e">
        <f>AND(#REF!,"AAAAAEN0/20=")</f>
        <v>#REF!</v>
      </c>
      <c r="DG456" t="e">
        <f>AND(#REF!,"AAAAAEN0/24=")</f>
        <v>#REF!</v>
      </c>
      <c r="DH456" t="e">
        <f>AND(#REF!,"AAAAAEN0/28=")</f>
        <v>#REF!</v>
      </c>
      <c r="DI456" t="e">
        <f>IF(#REF!,"AAAAAEN0/3A=",0)</f>
        <v>#REF!</v>
      </c>
      <c r="DJ456" t="e">
        <f>AND(#REF!,"AAAAAEN0/3E=")</f>
        <v>#REF!</v>
      </c>
      <c r="DK456" t="e">
        <f>AND(#REF!,"AAAAAEN0/3I=")</f>
        <v>#REF!</v>
      </c>
      <c r="DL456" t="e">
        <f>AND(#REF!,"AAAAAEN0/3M=")</f>
        <v>#REF!</v>
      </c>
      <c r="DM456" t="e">
        <f>AND(#REF!,"AAAAAEN0/3Q=")</f>
        <v>#REF!</v>
      </c>
      <c r="DN456" t="e">
        <f>AND(#REF!,"AAAAAEN0/3U=")</f>
        <v>#REF!</v>
      </c>
      <c r="DO456" t="e">
        <f>AND(#REF!,"AAAAAEN0/3Y=")</f>
        <v>#REF!</v>
      </c>
      <c r="DP456" t="e">
        <f>AND(#REF!,"AAAAAEN0/3c=")</f>
        <v>#REF!</v>
      </c>
      <c r="DQ456" t="e">
        <f>AND(#REF!,"AAAAAEN0/3g=")</f>
        <v>#REF!</v>
      </c>
      <c r="DR456" t="e">
        <f>AND(#REF!,"AAAAAEN0/3k=")</f>
        <v>#REF!</v>
      </c>
      <c r="DS456" t="e">
        <f>AND(#REF!,"AAAAAEN0/3o=")</f>
        <v>#REF!</v>
      </c>
      <c r="DT456" t="e">
        <f>IF(#REF!,"AAAAAEN0/3s=",0)</f>
        <v>#REF!</v>
      </c>
      <c r="DU456" t="e">
        <f>AND(#REF!,"AAAAAEN0/3w=")</f>
        <v>#REF!</v>
      </c>
      <c r="DV456" t="e">
        <f>AND(#REF!,"AAAAAEN0/30=")</f>
        <v>#REF!</v>
      </c>
      <c r="DW456" t="e">
        <f>AND(#REF!,"AAAAAEN0/34=")</f>
        <v>#REF!</v>
      </c>
      <c r="DX456" t="e">
        <f>AND(#REF!,"AAAAAEN0/38=")</f>
        <v>#REF!</v>
      </c>
      <c r="DY456" t="e">
        <f>AND(#REF!,"AAAAAEN0/4A=")</f>
        <v>#REF!</v>
      </c>
      <c r="DZ456" t="e">
        <f>AND(#REF!,"AAAAAEN0/4E=")</f>
        <v>#REF!</v>
      </c>
      <c r="EA456" t="e">
        <f>AND(#REF!,"AAAAAEN0/4I=")</f>
        <v>#REF!</v>
      </c>
      <c r="EB456" t="e">
        <f>AND(#REF!,"AAAAAEN0/4M=")</f>
        <v>#REF!</v>
      </c>
      <c r="EC456" t="e">
        <f>AND(#REF!,"AAAAAEN0/4Q=")</f>
        <v>#REF!</v>
      </c>
      <c r="ED456" t="e">
        <f>AND(#REF!,"AAAAAEN0/4U=")</f>
        <v>#REF!</v>
      </c>
      <c r="EE456" t="e">
        <f>IF(#REF!,"AAAAAEN0/4Y=",0)</f>
        <v>#REF!</v>
      </c>
      <c r="EF456" t="e">
        <f>AND(#REF!,"AAAAAEN0/4c=")</f>
        <v>#REF!</v>
      </c>
      <c r="EG456" t="e">
        <f>AND(#REF!,"AAAAAEN0/4g=")</f>
        <v>#REF!</v>
      </c>
      <c r="EH456" t="e">
        <f>AND(#REF!,"AAAAAEN0/4k=")</f>
        <v>#REF!</v>
      </c>
      <c r="EI456" t="e">
        <f>AND(#REF!,"AAAAAEN0/4o=")</f>
        <v>#REF!</v>
      </c>
      <c r="EJ456" t="e">
        <f>AND(#REF!,"AAAAAEN0/4s=")</f>
        <v>#REF!</v>
      </c>
      <c r="EK456" t="e">
        <f>AND(#REF!,"AAAAAEN0/4w=")</f>
        <v>#REF!</v>
      </c>
      <c r="EL456" t="e">
        <f>AND(#REF!,"AAAAAEN0/40=")</f>
        <v>#REF!</v>
      </c>
      <c r="EM456" t="e">
        <f>AND(#REF!,"AAAAAEN0/44=")</f>
        <v>#REF!</v>
      </c>
      <c r="EN456" t="e">
        <f>AND(#REF!,"AAAAAEN0/48=")</f>
        <v>#REF!</v>
      </c>
      <c r="EO456" t="e">
        <f>AND(#REF!,"AAAAAEN0/5A=")</f>
        <v>#REF!</v>
      </c>
      <c r="EP456" t="e">
        <f>IF(#REF!,"AAAAAEN0/5E=",0)</f>
        <v>#REF!</v>
      </c>
      <c r="EQ456" t="e">
        <f>AND(#REF!,"AAAAAEN0/5I=")</f>
        <v>#REF!</v>
      </c>
      <c r="ER456" t="e">
        <f>AND(#REF!,"AAAAAEN0/5M=")</f>
        <v>#REF!</v>
      </c>
      <c r="ES456" t="e">
        <f>AND(#REF!,"AAAAAEN0/5Q=")</f>
        <v>#REF!</v>
      </c>
      <c r="ET456" t="e">
        <f>AND(#REF!,"AAAAAEN0/5U=")</f>
        <v>#REF!</v>
      </c>
      <c r="EU456" t="e">
        <f>AND(#REF!,"AAAAAEN0/5Y=")</f>
        <v>#REF!</v>
      </c>
      <c r="EV456" t="e">
        <f>AND(#REF!,"AAAAAEN0/5c=")</f>
        <v>#REF!</v>
      </c>
      <c r="EW456" t="e">
        <f>AND(#REF!,"AAAAAEN0/5g=")</f>
        <v>#REF!</v>
      </c>
      <c r="EX456" t="e">
        <f>AND(#REF!,"AAAAAEN0/5k=")</f>
        <v>#REF!</v>
      </c>
      <c r="EY456" t="e">
        <f>AND(#REF!,"AAAAAEN0/5o=")</f>
        <v>#REF!</v>
      </c>
      <c r="EZ456" t="e">
        <f>AND(#REF!,"AAAAAEN0/5s=")</f>
        <v>#REF!</v>
      </c>
      <c r="FA456" t="e">
        <f>IF(#REF!,"AAAAAEN0/5w=",0)</f>
        <v>#REF!</v>
      </c>
      <c r="FB456" t="e">
        <f>AND(#REF!,"AAAAAEN0/50=")</f>
        <v>#REF!</v>
      </c>
      <c r="FC456" t="e">
        <f>AND(#REF!,"AAAAAEN0/54=")</f>
        <v>#REF!</v>
      </c>
      <c r="FD456" t="e">
        <f>AND(#REF!,"AAAAAEN0/58=")</f>
        <v>#REF!</v>
      </c>
      <c r="FE456" t="e">
        <f>AND(#REF!,"AAAAAEN0/6A=")</f>
        <v>#REF!</v>
      </c>
      <c r="FF456" t="e">
        <f>AND(#REF!,"AAAAAEN0/6E=")</f>
        <v>#REF!</v>
      </c>
      <c r="FG456" t="e">
        <f>AND(#REF!,"AAAAAEN0/6I=")</f>
        <v>#REF!</v>
      </c>
      <c r="FH456" t="e">
        <f>AND(#REF!,"AAAAAEN0/6M=")</f>
        <v>#REF!</v>
      </c>
      <c r="FI456" t="e">
        <f>AND(#REF!,"AAAAAEN0/6Q=")</f>
        <v>#REF!</v>
      </c>
      <c r="FJ456" t="e">
        <f>AND(#REF!,"AAAAAEN0/6U=")</f>
        <v>#REF!</v>
      </c>
      <c r="FK456" t="e">
        <f>AND(#REF!,"AAAAAEN0/6Y=")</f>
        <v>#REF!</v>
      </c>
      <c r="FL456" t="e">
        <f>IF(#REF!,"AAAAAEN0/6c=",0)</f>
        <v>#REF!</v>
      </c>
      <c r="FM456" t="e">
        <f>AND(#REF!,"AAAAAEN0/6g=")</f>
        <v>#REF!</v>
      </c>
      <c r="FN456" t="e">
        <f>AND(#REF!,"AAAAAEN0/6k=")</f>
        <v>#REF!</v>
      </c>
      <c r="FO456" t="e">
        <f>AND(#REF!,"AAAAAEN0/6o=")</f>
        <v>#REF!</v>
      </c>
      <c r="FP456" t="e">
        <f>AND(#REF!,"AAAAAEN0/6s=")</f>
        <v>#REF!</v>
      </c>
      <c r="FQ456" t="e">
        <f>AND(#REF!,"AAAAAEN0/6w=")</f>
        <v>#REF!</v>
      </c>
      <c r="FR456" t="e">
        <f>AND(#REF!,"AAAAAEN0/60=")</f>
        <v>#REF!</v>
      </c>
      <c r="FS456" t="e">
        <f>AND(#REF!,"AAAAAEN0/64=")</f>
        <v>#REF!</v>
      </c>
      <c r="FT456" t="e">
        <f>AND(#REF!,"AAAAAEN0/68=")</f>
        <v>#REF!</v>
      </c>
      <c r="FU456" t="e">
        <f>AND(#REF!,"AAAAAEN0/7A=")</f>
        <v>#REF!</v>
      </c>
      <c r="FV456" t="e">
        <f>AND(#REF!,"AAAAAEN0/7E=")</f>
        <v>#REF!</v>
      </c>
      <c r="FW456" t="e">
        <f>IF(#REF!,"AAAAAEN0/7I=",0)</f>
        <v>#REF!</v>
      </c>
      <c r="FX456" t="e">
        <f>AND(#REF!,"AAAAAEN0/7M=")</f>
        <v>#REF!</v>
      </c>
      <c r="FY456" t="e">
        <f>AND(#REF!,"AAAAAEN0/7Q=")</f>
        <v>#REF!</v>
      </c>
      <c r="FZ456" t="e">
        <f>AND(#REF!,"AAAAAEN0/7U=")</f>
        <v>#REF!</v>
      </c>
      <c r="GA456" t="e">
        <f>AND(#REF!,"AAAAAEN0/7Y=")</f>
        <v>#REF!</v>
      </c>
      <c r="GB456" t="e">
        <f>AND(#REF!,"AAAAAEN0/7c=")</f>
        <v>#REF!</v>
      </c>
      <c r="GC456" t="e">
        <f>AND(#REF!,"AAAAAEN0/7g=")</f>
        <v>#REF!</v>
      </c>
      <c r="GD456" t="e">
        <f>AND(#REF!,"AAAAAEN0/7k=")</f>
        <v>#REF!</v>
      </c>
      <c r="GE456" t="e">
        <f>AND(#REF!,"AAAAAEN0/7o=")</f>
        <v>#REF!</v>
      </c>
      <c r="GF456" t="e">
        <f>AND(#REF!,"AAAAAEN0/7s=")</f>
        <v>#REF!</v>
      </c>
      <c r="GG456" t="e">
        <f>AND(#REF!,"AAAAAEN0/7w=")</f>
        <v>#REF!</v>
      </c>
      <c r="GH456" t="e">
        <f>IF(#REF!,"AAAAAEN0/70=",0)</f>
        <v>#REF!</v>
      </c>
      <c r="GI456" t="e">
        <f>AND(#REF!,"AAAAAEN0/74=")</f>
        <v>#REF!</v>
      </c>
      <c r="GJ456" t="e">
        <f>AND(#REF!,"AAAAAEN0/78=")</f>
        <v>#REF!</v>
      </c>
      <c r="GK456" t="e">
        <f>AND(#REF!,"AAAAAEN0/8A=")</f>
        <v>#REF!</v>
      </c>
      <c r="GL456" t="e">
        <f>AND(#REF!,"AAAAAEN0/8E=")</f>
        <v>#REF!</v>
      </c>
      <c r="GM456" t="e">
        <f>AND(#REF!,"AAAAAEN0/8I=")</f>
        <v>#REF!</v>
      </c>
      <c r="GN456" t="e">
        <f>AND(#REF!,"AAAAAEN0/8M=")</f>
        <v>#REF!</v>
      </c>
      <c r="GO456" t="e">
        <f>AND(#REF!,"AAAAAEN0/8Q=")</f>
        <v>#REF!</v>
      </c>
      <c r="GP456" t="e">
        <f>AND(#REF!,"AAAAAEN0/8U=")</f>
        <v>#REF!</v>
      </c>
      <c r="GQ456" t="e">
        <f>AND(#REF!,"AAAAAEN0/8Y=")</f>
        <v>#REF!</v>
      </c>
      <c r="GR456" t="e">
        <f>AND(#REF!,"AAAAAEN0/8c=")</f>
        <v>#REF!</v>
      </c>
      <c r="GS456" t="e">
        <f>IF(#REF!,"AAAAAEN0/8g=",0)</f>
        <v>#REF!</v>
      </c>
      <c r="GT456" t="e">
        <f>AND(#REF!,"AAAAAEN0/8k=")</f>
        <v>#REF!</v>
      </c>
      <c r="GU456" t="e">
        <f>AND(#REF!,"AAAAAEN0/8o=")</f>
        <v>#REF!</v>
      </c>
      <c r="GV456" t="e">
        <f>AND(#REF!,"AAAAAEN0/8s=")</f>
        <v>#REF!</v>
      </c>
      <c r="GW456" t="e">
        <f>AND(#REF!,"AAAAAEN0/8w=")</f>
        <v>#REF!</v>
      </c>
      <c r="GX456" t="e">
        <f>AND(#REF!,"AAAAAEN0/80=")</f>
        <v>#REF!</v>
      </c>
      <c r="GY456" t="e">
        <f>AND(#REF!,"AAAAAEN0/84=")</f>
        <v>#REF!</v>
      </c>
      <c r="GZ456" t="e">
        <f>AND(#REF!,"AAAAAEN0/88=")</f>
        <v>#REF!</v>
      </c>
      <c r="HA456" t="e">
        <f>AND(#REF!,"AAAAAEN0/9A=")</f>
        <v>#REF!</v>
      </c>
      <c r="HB456" t="e">
        <f>AND(#REF!,"AAAAAEN0/9E=")</f>
        <v>#REF!</v>
      </c>
      <c r="HC456" t="e">
        <f>AND(#REF!,"AAAAAEN0/9I=")</f>
        <v>#REF!</v>
      </c>
      <c r="HD456" t="e">
        <f>IF(#REF!,"AAAAAEN0/9M=",0)</f>
        <v>#REF!</v>
      </c>
      <c r="HE456" t="e">
        <f>AND(#REF!,"AAAAAEN0/9Q=")</f>
        <v>#REF!</v>
      </c>
      <c r="HF456" t="e">
        <f>AND(#REF!,"AAAAAEN0/9U=")</f>
        <v>#REF!</v>
      </c>
      <c r="HG456" t="e">
        <f>AND(#REF!,"AAAAAEN0/9Y=")</f>
        <v>#REF!</v>
      </c>
      <c r="HH456" t="e">
        <f>AND(#REF!,"AAAAAEN0/9c=")</f>
        <v>#REF!</v>
      </c>
      <c r="HI456" t="e">
        <f>AND(#REF!,"AAAAAEN0/9g=")</f>
        <v>#REF!</v>
      </c>
      <c r="HJ456" t="e">
        <f>AND(#REF!,"AAAAAEN0/9k=")</f>
        <v>#REF!</v>
      </c>
      <c r="HK456" t="e">
        <f>AND(#REF!,"AAAAAEN0/9o=")</f>
        <v>#REF!</v>
      </c>
      <c r="HL456" t="e">
        <f>AND(#REF!,"AAAAAEN0/9s=")</f>
        <v>#REF!</v>
      </c>
      <c r="HM456" t="e">
        <f>AND(#REF!,"AAAAAEN0/9w=")</f>
        <v>#REF!</v>
      </c>
      <c r="HN456" t="e">
        <f>AND(#REF!,"AAAAAEN0/90=")</f>
        <v>#REF!</v>
      </c>
      <c r="HO456" t="e">
        <f>IF(#REF!,"AAAAAEN0/94=",0)</f>
        <v>#REF!</v>
      </c>
      <c r="HP456" t="e">
        <f>AND(#REF!,"AAAAAEN0/98=")</f>
        <v>#REF!</v>
      </c>
      <c r="HQ456" t="e">
        <f>AND(#REF!,"AAAAAEN0/+A=")</f>
        <v>#REF!</v>
      </c>
      <c r="HR456" t="e">
        <f>AND(#REF!,"AAAAAEN0/+E=")</f>
        <v>#REF!</v>
      </c>
      <c r="HS456" t="e">
        <f>AND(#REF!,"AAAAAEN0/+I=")</f>
        <v>#REF!</v>
      </c>
      <c r="HT456" t="e">
        <f>AND(#REF!,"AAAAAEN0/+M=")</f>
        <v>#REF!</v>
      </c>
      <c r="HU456" t="e">
        <f>AND(#REF!,"AAAAAEN0/+Q=")</f>
        <v>#REF!</v>
      </c>
      <c r="HV456" t="e">
        <f>AND(#REF!,"AAAAAEN0/+U=")</f>
        <v>#REF!</v>
      </c>
      <c r="HW456" t="e">
        <f>AND(#REF!,"AAAAAEN0/+Y=")</f>
        <v>#REF!</v>
      </c>
      <c r="HX456" t="e">
        <f>AND(#REF!,"AAAAAEN0/+c=")</f>
        <v>#REF!</v>
      </c>
      <c r="HY456" t="e">
        <f>AND(#REF!,"AAAAAEN0/+g=")</f>
        <v>#REF!</v>
      </c>
      <c r="HZ456" t="e">
        <f>IF(#REF!,"AAAAAEN0/+k=",0)</f>
        <v>#REF!</v>
      </c>
      <c r="IA456" t="e">
        <f>AND(#REF!,"AAAAAEN0/+o=")</f>
        <v>#REF!</v>
      </c>
      <c r="IB456" t="e">
        <f>AND(#REF!,"AAAAAEN0/+s=")</f>
        <v>#REF!</v>
      </c>
      <c r="IC456" t="e">
        <f>AND(#REF!,"AAAAAEN0/+w=")</f>
        <v>#REF!</v>
      </c>
      <c r="ID456" t="e">
        <f>AND(#REF!,"AAAAAEN0/+0=")</f>
        <v>#REF!</v>
      </c>
      <c r="IE456" t="e">
        <f>AND(#REF!,"AAAAAEN0/+4=")</f>
        <v>#REF!</v>
      </c>
      <c r="IF456" t="e">
        <f>AND(#REF!,"AAAAAEN0/+8=")</f>
        <v>#REF!</v>
      </c>
      <c r="IG456" t="e">
        <f>AND(#REF!,"AAAAAEN0//A=")</f>
        <v>#REF!</v>
      </c>
      <c r="IH456" t="e">
        <f>AND(#REF!,"AAAAAEN0//E=")</f>
        <v>#REF!</v>
      </c>
      <c r="II456" t="e">
        <f>AND(#REF!,"AAAAAEN0//I=")</f>
        <v>#REF!</v>
      </c>
      <c r="IJ456" t="e">
        <f>AND(#REF!,"AAAAAEN0//M=")</f>
        <v>#REF!</v>
      </c>
      <c r="IK456" t="e">
        <f>IF(#REF!,"AAAAAEN0//Q=",0)</f>
        <v>#REF!</v>
      </c>
      <c r="IL456" t="e">
        <f>AND(#REF!,"AAAAAEN0//U=")</f>
        <v>#REF!</v>
      </c>
      <c r="IM456" t="e">
        <f>AND(#REF!,"AAAAAEN0//Y=")</f>
        <v>#REF!</v>
      </c>
      <c r="IN456" t="e">
        <f>AND(#REF!,"AAAAAEN0//c=")</f>
        <v>#REF!</v>
      </c>
      <c r="IO456" t="e">
        <f>AND(#REF!,"AAAAAEN0//g=")</f>
        <v>#REF!</v>
      </c>
      <c r="IP456" t="e">
        <f>AND(#REF!,"AAAAAEN0//k=")</f>
        <v>#REF!</v>
      </c>
      <c r="IQ456" t="e">
        <f>AND(#REF!,"AAAAAEN0//o=")</f>
        <v>#REF!</v>
      </c>
      <c r="IR456" t="e">
        <f>AND(#REF!,"AAAAAEN0//s=")</f>
        <v>#REF!</v>
      </c>
      <c r="IS456" t="e">
        <f>AND(#REF!,"AAAAAEN0//w=")</f>
        <v>#REF!</v>
      </c>
      <c r="IT456" t="e">
        <f>AND(#REF!,"AAAAAEN0//0=")</f>
        <v>#REF!</v>
      </c>
      <c r="IU456" t="e">
        <f>AND(#REF!,"AAAAAEN0//4=")</f>
        <v>#REF!</v>
      </c>
      <c r="IV456" t="e">
        <f>IF(#REF!,"AAAAAEN0//8=",0)</f>
        <v>#REF!</v>
      </c>
    </row>
    <row r="457" spans="1:256" x14ac:dyDescent="0.25">
      <c r="A457" t="e">
        <f>AND(#REF!,"AAAAAH/+twA=")</f>
        <v>#REF!</v>
      </c>
      <c r="B457" t="e">
        <f>AND(#REF!,"AAAAAH/+twE=")</f>
        <v>#REF!</v>
      </c>
      <c r="C457" t="e">
        <f>AND(#REF!,"AAAAAH/+twI=")</f>
        <v>#REF!</v>
      </c>
      <c r="D457" t="e">
        <f>AND(#REF!,"AAAAAH/+twM=")</f>
        <v>#REF!</v>
      </c>
      <c r="E457" t="e">
        <f>AND(#REF!,"AAAAAH/+twQ=")</f>
        <v>#REF!</v>
      </c>
      <c r="F457" t="e">
        <f>AND(#REF!,"AAAAAH/+twU=")</f>
        <v>#REF!</v>
      </c>
      <c r="G457" t="e">
        <f>AND(#REF!,"AAAAAH/+twY=")</f>
        <v>#REF!</v>
      </c>
      <c r="H457" t="e">
        <f>AND(#REF!,"AAAAAH/+twc=")</f>
        <v>#REF!</v>
      </c>
      <c r="I457" t="e">
        <f>AND(#REF!,"AAAAAH/+twg=")</f>
        <v>#REF!</v>
      </c>
      <c r="J457" t="e">
        <f>AND(#REF!,"AAAAAH/+twk=")</f>
        <v>#REF!</v>
      </c>
      <c r="K457" t="e">
        <f>IF(#REF!,"AAAAAH/+two=",0)</f>
        <v>#REF!</v>
      </c>
      <c r="L457" t="e">
        <f>AND(#REF!,"AAAAAH/+tws=")</f>
        <v>#REF!</v>
      </c>
      <c r="M457" t="e">
        <f>AND(#REF!,"AAAAAH/+tww=")</f>
        <v>#REF!</v>
      </c>
      <c r="N457" t="e">
        <f>AND(#REF!,"AAAAAH/+tw0=")</f>
        <v>#REF!</v>
      </c>
      <c r="O457" t="e">
        <f>AND(#REF!,"AAAAAH/+tw4=")</f>
        <v>#REF!</v>
      </c>
      <c r="P457" t="e">
        <f>AND(#REF!,"AAAAAH/+tw8=")</f>
        <v>#REF!</v>
      </c>
      <c r="Q457" t="e">
        <f>AND(#REF!,"AAAAAH/+txA=")</f>
        <v>#REF!</v>
      </c>
      <c r="R457" t="e">
        <f>AND(#REF!,"AAAAAH/+txE=")</f>
        <v>#REF!</v>
      </c>
      <c r="S457" t="e">
        <f>AND(#REF!,"AAAAAH/+txI=")</f>
        <v>#REF!</v>
      </c>
      <c r="T457" t="e">
        <f>AND(#REF!,"AAAAAH/+txM=")</f>
        <v>#REF!</v>
      </c>
      <c r="U457" t="e">
        <f>AND(#REF!,"AAAAAH/+txQ=")</f>
        <v>#REF!</v>
      </c>
      <c r="V457" t="e">
        <f>IF(#REF!,"AAAAAH/+txU=",0)</f>
        <v>#REF!</v>
      </c>
      <c r="W457" t="e">
        <f>AND(#REF!,"AAAAAH/+txY=")</f>
        <v>#REF!</v>
      </c>
      <c r="X457" t="e">
        <f>AND(#REF!,"AAAAAH/+txc=")</f>
        <v>#REF!</v>
      </c>
      <c r="Y457" t="e">
        <f>AND(#REF!,"AAAAAH/+txg=")</f>
        <v>#REF!</v>
      </c>
      <c r="Z457" t="e">
        <f>AND(#REF!,"AAAAAH/+txk=")</f>
        <v>#REF!</v>
      </c>
      <c r="AA457" t="e">
        <f>AND(#REF!,"AAAAAH/+txo=")</f>
        <v>#REF!</v>
      </c>
      <c r="AB457" t="e">
        <f>AND(#REF!,"AAAAAH/+txs=")</f>
        <v>#REF!</v>
      </c>
      <c r="AC457" t="e">
        <f>AND(#REF!,"AAAAAH/+txw=")</f>
        <v>#REF!</v>
      </c>
      <c r="AD457" t="e">
        <f>AND(#REF!,"AAAAAH/+tx0=")</f>
        <v>#REF!</v>
      </c>
      <c r="AE457" t="e">
        <f>AND(#REF!,"AAAAAH/+tx4=")</f>
        <v>#REF!</v>
      </c>
      <c r="AF457" t="e">
        <f>AND(#REF!,"AAAAAH/+tx8=")</f>
        <v>#REF!</v>
      </c>
      <c r="AG457" t="e">
        <f>IF(#REF!,"AAAAAH/+tyA=",0)</f>
        <v>#REF!</v>
      </c>
      <c r="AH457" t="e">
        <f>AND(#REF!,"AAAAAH/+tyE=")</f>
        <v>#REF!</v>
      </c>
      <c r="AI457" t="e">
        <f>AND(#REF!,"AAAAAH/+tyI=")</f>
        <v>#REF!</v>
      </c>
      <c r="AJ457" t="e">
        <f>AND(#REF!,"AAAAAH/+tyM=")</f>
        <v>#REF!</v>
      </c>
      <c r="AK457" t="e">
        <f>AND(#REF!,"AAAAAH/+tyQ=")</f>
        <v>#REF!</v>
      </c>
      <c r="AL457" t="e">
        <f>AND(#REF!,"AAAAAH/+tyU=")</f>
        <v>#REF!</v>
      </c>
      <c r="AM457" t="e">
        <f>AND(#REF!,"AAAAAH/+tyY=")</f>
        <v>#REF!</v>
      </c>
      <c r="AN457" t="e">
        <f>AND(#REF!,"AAAAAH/+tyc=")</f>
        <v>#REF!</v>
      </c>
      <c r="AO457" t="e">
        <f>AND(#REF!,"AAAAAH/+tyg=")</f>
        <v>#REF!</v>
      </c>
      <c r="AP457" t="e">
        <f>AND(#REF!,"AAAAAH/+tyk=")</f>
        <v>#REF!</v>
      </c>
      <c r="AQ457" t="e">
        <f>AND(#REF!,"AAAAAH/+tyo=")</f>
        <v>#REF!</v>
      </c>
      <c r="AR457" t="e">
        <f>IF(#REF!,"AAAAAH/+tys=",0)</f>
        <v>#REF!</v>
      </c>
      <c r="AS457" t="e">
        <f>AND(#REF!,"AAAAAH/+tyw=")</f>
        <v>#REF!</v>
      </c>
      <c r="AT457" t="e">
        <f>AND(#REF!,"AAAAAH/+ty0=")</f>
        <v>#REF!</v>
      </c>
      <c r="AU457" t="e">
        <f>AND(#REF!,"AAAAAH/+ty4=")</f>
        <v>#REF!</v>
      </c>
      <c r="AV457" t="e">
        <f>AND(#REF!,"AAAAAH/+ty8=")</f>
        <v>#REF!</v>
      </c>
      <c r="AW457" t="e">
        <f>AND(#REF!,"AAAAAH/+tzA=")</f>
        <v>#REF!</v>
      </c>
      <c r="AX457" t="e">
        <f>AND(#REF!,"AAAAAH/+tzE=")</f>
        <v>#REF!</v>
      </c>
      <c r="AY457" t="e">
        <f>AND(#REF!,"AAAAAH/+tzI=")</f>
        <v>#REF!</v>
      </c>
      <c r="AZ457" t="e">
        <f>AND(#REF!,"AAAAAH/+tzM=")</f>
        <v>#REF!</v>
      </c>
      <c r="BA457" t="e">
        <f>AND(#REF!,"AAAAAH/+tzQ=")</f>
        <v>#REF!</v>
      </c>
      <c r="BB457" t="e">
        <f>AND(#REF!,"AAAAAH/+tzU=")</f>
        <v>#REF!</v>
      </c>
      <c r="BC457" t="e">
        <f>IF(#REF!,"AAAAAH/+tzY=",0)</f>
        <v>#REF!</v>
      </c>
      <c r="BD457" t="e">
        <f>AND(#REF!,"AAAAAH/+tzc=")</f>
        <v>#REF!</v>
      </c>
      <c r="BE457" t="e">
        <f>AND(#REF!,"AAAAAH/+tzg=")</f>
        <v>#REF!</v>
      </c>
      <c r="BF457" t="e">
        <f>AND(#REF!,"AAAAAH/+tzk=")</f>
        <v>#REF!</v>
      </c>
      <c r="BG457" t="e">
        <f>AND(#REF!,"AAAAAH/+tzo=")</f>
        <v>#REF!</v>
      </c>
      <c r="BH457" t="e">
        <f>AND(#REF!,"AAAAAH/+tzs=")</f>
        <v>#REF!</v>
      </c>
      <c r="BI457" t="e">
        <f>AND(#REF!,"AAAAAH/+tzw=")</f>
        <v>#REF!</v>
      </c>
      <c r="BJ457" t="e">
        <f>AND(#REF!,"AAAAAH/+tz0=")</f>
        <v>#REF!</v>
      </c>
      <c r="BK457" t="e">
        <f>AND(#REF!,"AAAAAH/+tz4=")</f>
        <v>#REF!</v>
      </c>
      <c r="BL457" t="e">
        <f>AND(#REF!,"AAAAAH/+tz8=")</f>
        <v>#REF!</v>
      </c>
      <c r="BM457" t="e">
        <f>AND(#REF!,"AAAAAH/+t0A=")</f>
        <v>#REF!</v>
      </c>
      <c r="BN457" t="e">
        <f>IF(#REF!,"AAAAAH/+t0E=",0)</f>
        <v>#REF!</v>
      </c>
      <c r="BO457" t="e">
        <f>AND(#REF!,"AAAAAH/+t0I=")</f>
        <v>#REF!</v>
      </c>
      <c r="BP457" t="e">
        <f>AND(#REF!,"AAAAAH/+t0M=")</f>
        <v>#REF!</v>
      </c>
      <c r="BQ457" t="e">
        <f>AND(#REF!,"AAAAAH/+t0Q=")</f>
        <v>#REF!</v>
      </c>
      <c r="BR457" t="e">
        <f>AND(#REF!,"AAAAAH/+t0U=")</f>
        <v>#REF!</v>
      </c>
      <c r="BS457" t="e">
        <f>AND(#REF!,"AAAAAH/+t0Y=")</f>
        <v>#REF!</v>
      </c>
      <c r="BT457" t="e">
        <f>AND(#REF!,"AAAAAH/+t0c=")</f>
        <v>#REF!</v>
      </c>
      <c r="BU457" t="e">
        <f>AND(#REF!,"AAAAAH/+t0g=")</f>
        <v>#REF!</v>
      </c>
      <c r="BV457" t="e">
        <f>AND(#REF!,"AAAAAH/+t0k=")</f>
        <v>#REF!</v>
      </c>
      <c r="BW457" t="e">
        <f>AND(#REF!,"AAAAAH/+t0o=")</f>
        <v>#REF!</v>
      </c>
      <c r="BX457" t="e">
        <f>AND(#REF!,"AAAAAH/+t0s=")</f>
        <v>#REF!</v>
      </c>
      <c r="BY457" t="e">
        <f>IF(#REF!,"AAAAAH/+t0w=",0)</f>
        <v>#REF!</v>
      </c>
      <c r="BZ457" t="e">
        <f>AND(#REF!,"AAAAAH/+t00=")</f>
        <v>#REF!</v>
      </c>
      <c r="CA457" t="e">
        <f>AND(#REF!,"AAAAAH/+t04=")</f>
        <v>#REF!</v>
      </c>
      <c r="CB457" t="e">
        <f>AND(#REF!,"AAAAAH/+t08=")</f>
        <v>#REF!</v>
      </c>
      <c r="CC457" t="e">
        <f>AND(#REF!,"AAAAAH/+t1A=")</f>
        <v>#REF!</v>
      </c>
      <c r="CD457" t="e">
        <f>AND(#REF!,"AAAAAH/+t1E=")</f>
        <v>#REF!</v>
      </c>
      <c r="CE457" t="e">
        <f>AND(#REF!,"AAAAAH/+t1I=")</f>
        <v>#REF!</v>
      </c>
      <c r="CF457" t="e">
        <f>AND(#REF!,"AAAAAH/+t1M=")</f>
        <v>#REF!</v>
      </c>
      <c r="CG457" t="e">
        <f>AND(#REF!,"AAAAAH/+t1Q=")</f>
        <v>#REF!</v>
      </c>
      <c r="CH457" t="e">
        <f>AND(#REF!,"AAAAAH/+t1U=")</f>
        <v>#REF!</v>
      </c>
      <c r="CI457" t="e">
        <f>AND(#REF!,"AAAAAH/+t1Y=")</f>
        <v>#REF!</v>
      </c>
      <c r="CJ457" t="e">
        <f>IF(#REF!,"AAAAAH/+t1c=",0)</f>
        <v>#REF!</v>
      </c>
      <c r="CK457" t="e">
        <f>AND(#REF!,"AAAAAH/+t1g=")</f>
        <v>#REF!</v>
      </c>
      <c r="CL457" t="e">
        <f>AND(#REF!,"AAAAAH/+t1k=")</f>
        <v>#REF!</v>
      </c>
      <c r="CM457" t="e">
        <f>AND(#REF!,"AAAAAH/+t1o=")</f>
        <v>#REF!</v>
      </c>
      <c r="CN457" t="e">
        <f>AND(#REF!,"AAAAAH/+t1s=")</f>
        <v>#REF!</v>
      </c>
      <c r="CO457" t="e">
        <f>AND(#REF!,"AAAAAH/+t1w=")</f>
        <v>#REF!</v>
      </c>
      <c r="CP457" t="e">
        <f>AND(#REF!,"AAAAAH/+t10=")</f>
        <v>#REF!</v>
      </c>
      <c r="CQ457" t="e">
        <f>AND(#REF!,"AAAAAH/+t14=")</f>
        <v>#REF!</v>
      </c>
      <c r="CR457" t="e">
        <f>AND(#REF!,"AAAAAH/+t18=")</f>
        <v>#REF!</v>
      </c>
      <c r="CS457" t="e">
        <f>AND(#REF!,"AAAAAH/+t2A=")</f>
        <v>#REF!</v>
      </c>
      <c r="CT457" t="e">
        <f>AND(#REF!,"AAAAAH/+t2E=")</f>
        <v>#REF!</v>
      </c>
      <c r="CU457" t="e">
        <f>IF(#REF!,"AAAAAH/+t2I=",0)</f>
        <v>#REF!</v>
      </c>
      <c r="CV457" t="e">
        <f>AND(#REF!,"AAAAAH/+t2M=")</f>
        <v>#REF!</v>
      </c>
      <c r="CW457" t="e">
        <f>AND(#REF!,"AAAAAH/+t2Q=")</f>
        <v>#REF!</v>
      </c>
      <c r="CX457" t="e">
        <f>AND(#REF!,"AAAAAH/+t2U=")</f>
        <v>#REF!</v>
      </c>
      <c r="CY457" t="e">
        <f>AND(#REF!,"AAAAAH/+t2Y=")</f>
        <v>#REF!</v>
      </c>
      <c r="CZ457" t="e">
        <f>AND(#REF!,"AAAAAH/+t2c=")</f>
        <v>#REF!</v>
      </c>
      <c r="DA457" t="e">
        <f>AND(#REF!,"AAAAAH/+t2g=")</f>
        <v>#REF!</v>
      </c>
      <c r="DB457" t="e">
        <f>AND(#REF!,"AAAAAH/+t2k=")</f>
        <v>#REF!</v>
      </c>
      <c r="DC457" t="e">
        <f>AND(#REF!,"AAAAAH/+t2o=")</f>
        <v>#REF!</v>
      </c>
      <c r="DD457" t="e">
        <f>AND(#REF!,"AAAAAH/+t2s=")</f>
        <v>#REF!</v>
      </c>
      <c r="DE457" t="e">
        <f>AND(#REF!,"AAAAAH/+t2w=")</f>
        <v>#REF!</v>
      </c>
      <c r="DF457" t="e">
        <f>IF(#REF!,"AAAAAH/+t20=",0)</f>
        <v>#REF!</v>
      </c>
      <c r="DG457" t="e">
        <f>AND(#REF!,"AAAAAH/+t24=")</f>
        <v>#REF!</v>
      </c>
      <c r="DH457" t="e">
        <f>AND(#REF!,"AAAAAH/+t28=")</f>
        <v>#REF!</v>
      </c>
      <c r="DI457" t="e">
        <f>AND(#REF!,"AAAAAH/+t3A=")</f>
        <v>#REF!</v>
      </c>
      <c r="DJ457" t="e">
        <f>AND(#REF!,"AAAAAH/+t3E=")</f>
        <v>#REF!</v>
      </c>
      <c r="DK457" t="e">
        <f>AND(#REF!,"AAAAAH/+t3I=")</f>
        <v>#REF!</v>
      </c>
      <c r="DL457" t="e">
        <f>AND(#REF!,"AAAAAH/+t3M=")</f>
        <v>#REF!</v>
      </c>
      <c r="DM457" t="e">
        <f>AND(#REF!,"AAAAAH/+t3Q=")</f>
        <v>#REF!</v>
      </c>
      <c r="DN457" t="e">
        <f>AND(#REF!,"AAAAAH/+t3U=")</f>
        <v>#REF!</v>
      </c>
      <c r="DO457" t="e">
        <f>AND(#REF!,"AAAAAH/+t3Y=")</f>
        <v>#REF!</v>
      </c>
      <c r="DP457" t="e">
        <f>AND(#REF!,"AAAAAH/+t3c=")</f>
        <v>#REF!</v>
      </c>
      <c r="DQ457" t="e">
        <f>IF(#REF!,"AAAAAH/+t3g=",0)</f>
        <v>#REF!</v>
      </c>
      <c r="DR457" t="e">
        <f>AND(#REF!,"AAAAAH/+t3k=")</f>
        <v>#REF!</v>
      </c>
      <c r="DS457" t="e">
        <f>AND(#REF!,"AAAAAH/+t3o=")</f>
        <v>#REF!</v>
      </c>
      <c r="DT457" t="e">
        <f>AND(#REF!,"AAAAAH/+t3s=")</f>
        <v>#REF!</v>
      </c>
      <c r="DU457" t="e">
        <f>AND(#REF!,"AAAAAH/+t3w=")</f>
        <v>#REF!</v>
      </c>
      <c r="DV457" t="e">
        <f>AND(#REF!,"AAAAAH/+t30=")</f>
        <v>#REF!</v>
      </c>
      <c r="DW457" t="e">
        <f>AND(#REF!,"AAAAAH/+t34=")</f>
        <v>#REF!</v>
      </c>
      <c r="DX457" t="e">
        <f>AND(#REF!,"AAAAAH/+t38=")</f>
        <v>#REF!</v>
      </c>
      <c r="DY457" t="e">
        <f>AND(#REF!,"AAAAAH/+t4A=")</f>
        <v>#REF!</v>
      </c>
      <c r="DZ457" t="e">
        <f>AND(#REF!,"AAAAAH/+t4E=")</f>
        <v>#REF!</v>
      </c>
      <c r="EA457" t="e">
        <f>AND(#REF!,"AAAAAH/+t4I=")</f>
        <v>#REF!</v>
      </c>
      <c r="EB457" t="e">
        <f>IF(#REF!,"AAAAAH/+t4M=",0)</f>
        <v>#REF!</v>
      </c>
      <c r="EC457" t="e">
        <f>AND(#REF!,"AAAAAH/+t4Q=")</f>
        <v>#REF!</v>
      </c>
      <c r="ED457" t="e">
        <f>AND(#REF!,"AAAAAH/+t4U=")</f>
        <v>#REF!</v>
      </c>
      <c r="EE457" t="e">
        <f>AND(#REF!,"AAAAAH/+t4Y=")</f>
        <v>#REF!</v>
      </c>
      <c r="EF457" t="e">
        <f>AND(#REF!,"AAAAAH/+t4c=")</f>
        <v>#REF!</v>
      </c>
      <c r="EG457" t="e">
        <f>AND(#REF!,"AAAAAH/+t4g=")</f>
        <v>#REF!</v>
      </c>
      <c r="EH457" t="e">
        <f>AND(#REF!,"AAAAAH/+t4k=")</f>
        <v>#REF!</v>
      </c>
      <c r="EI457" t="e">
        <f>AND(#REF!,"AAAAAH/+t4o=")</f>
        <v>#REF!</v>
      </c>
      <c r="EJ457" t="e">
        <f>AND(#REF!,"AAAAAH/+t4s=")</f>
        <v>#REF!</v>
      </c>
      <c r="EK457" t="e">
        <f>AND(#REF!,"AAAAAH/+t4w=")</f>
        <v>#REF!</v>
      </c>
      <c r="EL457" t="e">
        <f>AND(#REF!,"AAAAAH/+t40=")</f>
        <v>#REF!</v>
      </c>
      <c r="EM457" t="e">
        <f>IF(#REF!,"AAAAAH/+t44=",0)</f>
        <v>#REF!</v>
      </c>
      <c r="EN457" t="e">
        <f>AND(#REF!,"AAAAAH/+t48=")</f>
        <v>#REF!</v>
      </c>
      <c r="EO457" t="e">
        <f>AND(#REF!,"AAAAAH/+t5A=")</f>
        <v>#REF!</v>
      </c>
      <c r="EP457" t="e">
        <f>AND(#REF!,"AAAAAH/+t5E=")</f>
        <v>#REF!</v>
      </c>
      <c r="EQ457" t="e">
        <f>AND(#REF!,"AAAAAH/+t5I=")</f>
        <v>#REF!</v>
      </c>
      <c r="ER457" t="e">
        <f>AND(#REF!,"AAAAAH/+t5M=")</f>
        <v>#REF!</v>
      </c>
      <c r="ES457" t="e">
        <f>AND(#REF!,"AAAAAH/+t5Q=")</f>
        <v>#REF!</v>
      </c>
      <c r="ET457" t="e">
        <f>AND(#REF!,"AAAAAH/+t5U=")</f>
        <v>#REF!</v>
      </c>
      <c r="EU457" t="e">
        <f>AND(#REF!,"AAAAAH/+t5Y=")</f>
        <v>#REF!</v>
      </c>
      <c r="EV457" t="e">
        <f>AND(#REF!,"AAAAAH/+t5c=")</f>
        <v>#REF!</v>
      </c>
      <c r="EW457" t="e">
        <f>AND(#REF!,"AAAAAH/+t5g=")</f>
        <v>#REF!</v>
      </c>
      <c r="EX457" t="e">
        <f>IF(#REF!,"AAAAAH/+t5k=",0)</f>
        <v>#REF!</v>
      </c>
      <c r="EY457" t="e">
        <f>AND(#REF!,"AAAAAH/+t5o=")</f>
        <v>#REF!</v>
      </c>
      <c r="EZ457" t="e">
        <f>AND(#REF!,"AAAAAH/+t5s=")</f>
        <v>#REF!</v>
      </c>
      <c r="FA457" t="e">
        <f>AND(#REF!,"AAAAAH/+t5w=")</f>
        <v>#REF!</v>
      </c>
      <c r="FB457" t="e">
        <f>AND(#REF!,"AAAAAH/+t50=")</f>
        <v>#REF!</v>
      </c>
      <c r="FC457" t="e">
        <f>AND(#REF!,"AAAAAH/+t54=")</f>
        <v>#REF!</v>
      </c>
      <c r="FD457" t="e">
        <f>AND(#REF!,"AAAAAH/+t58=")</f>
        <v>#REF!</v>
      </c>
      <c r="FE457" t="e">
        <f>AND(#REF!,"AAAAAH/+t6A=")</f>
        <v>#REF!</v>
      </c>
      <c r="FF457" t="e">
        <f>AND(#REF!,"AAAAAH/+t6E=")</f>
        <v>#REF!</v>
      </c>
      <c r="FG457" t="e">
        <f>AND(#REF!,"AAAAAH/+t6I=")</f>
        <v>#REF!</v>
      </c>
      <c r="FH457" t="e">
        <f>AND(#REF!,"AAAAAH/+t6M=")</f>
        <v>#REF!</v>
      </c>
      <c r="FI457" t="e">
        <f>IF(#REF!,"AAAAAH/+t6Q=",0)</f>
        <v>#REF!</v>
      </c>
      <c r="FJ457" t="e">
        <f>AND(#REF!,"AAAAAH/+t6U=")</f>
        <v>#REF!</v>
      </c>
      <c r="FK457" t="e">
        <f>AND(#REF!,"AAAAAH/+t6Y=")</f>
        <v>#REF!</v>
      </c>
      <c r="FL457" t="e">
        <f>AND(#REF!,"AAAAAH/+t6c=")</f>
        <v>#REF!</v>
      </c>
      <c r="FM457" t="e">
        <f>AND(#REF!,"AAAAAH/+t6g=")</f>
        <v>#REF!</v>
      </c>
      <c r="FN457" t="e">
        <f>AND(#REF!,"AAAAAH/+t6k=")</f>
        <v>#REF!</v>
      </c>
      <c r="FO457" t="e">
        <f>AND(#REF!,"AAAAAH/+t6o=")</f>
        <v>#REF!</v>
      </c>
      <c r="FP457" t="e">
        <f>AND(#REF!,"AAAAAH/+t6s=")</f>
        <v>#REF!</v>
      </c>
      <c r="FQ457" t="e">
        <f>AND(#REF!,"AAAAAH/+t6w=")</f>
        <v>#REF!</v>
      </c>
      <c r="FR457" t="e">
        <f>AND(#REF!,"AAAAAH/+t60=")</f>
        <v>#REF!</v>
      </c>
      <c r="FS457" t="e">
        <f>AND(#REF!,"AAAAAH/+t64=")</f>
        <v>#REF!</v>
      </c>
      <c r="FT457" t="e">
        <f>IF(#REF!,"AAAAAH/+t68=",0)</f>
        <v>#REF!</v>
      </c>
      <c r="FU457" t="e">
        <f>AND(#REF!,"AAAAAH/+t7A=")</f>
        <v>#REF!</v>
      </c>
      <c r="FV457" t="e">
        <f>AND(#REF!,"AAAAAH/+t7E=")</f>
        <v>#REF!</v>
      </c>
      <c r="FW457" t="e">
        <f>AND(#REF!,"AAAAAH/+t7I=")</f>
        <v>#REF!</v>
      </c>
      <c r="FX457" t="e">
        <f>AND(#REF!,"AAAAAH/+t7M=")</f>
        <v>#REF!</v>
      </c>
      <c r="FY457" t="e">
        <f>AND(#REF!,"AAAAAH/+t7Q=")</f>
        <v>#REF!</v>
      </c>
      <c r="FZ457" t="e">
        <f>AND(#REF!,"AAAAAH/+t7U=")</f>
        <v>#REF!</v>
      </c>
      <c r="GA457" t="e">
        <f>AND(#REF!,"AAAAAH/+t7Y=")</f>
        <v>#REF!</v>
      </c>
      <c r="GB457" t="e">
        <f>AND(#REF!,"AAAAAH/+t7c=")</f>
        <v>#REF!</v>
      </c>
      <c r="GC457" t="e">
        <f>AND(#REF!,"AAAAAH/+t7g=")</f>
        <v>#REF!</v>
      </c>
      <c r="GD457" t="e">
        <f>AND(#REF!,"AAAAAH/+t7k=")</f>
        <v>#REF!</v>
      </c>
      <c r="GE457" t="e">
        <f>IF(#REF!,"AAAAAH/+t7o=",0)</f>
        <v>#REF!</v>
      </c>
      <c r="GF457" t="e">
        <f>AND(#REF!,"AAAAAH/+t7s=")</f>
        <v>#REF!</v>
      </c>
      <c r="GG457" t="e">
        <f>AND(#REF!,"AAAAAH/+t7w=")</f>
        <v>#REF!</v>
      </c>
      <c r="GH457" t="e">
        <f>AND(#REF!,"AAAAAH/+t70=")</f>
        <v>#REF!</v>
      </c>
      <c r="GI457" t="e">
        <f>AND(#REF!,"AAAAAH/+t74=")</f>
        <v>#REF!</v>
      </c>
      <c r="GJ457" t="e">
        <f>AND(#REF!,"AAAAAH/+t78=")</f>
        <v>#REF!</v>
      </c>
      <c r="GK457" t="e">
        <f>AND(#REF!,"AAAAAH/+t8A=")</f>
        <v>#REF!</v>
      </c>
      <c r="GL457" t="e">
        <f>AND(#REF!,"AAAAAH/+t8E=")</f>
        <v>#REF!</v>
      </c>
      <c r="GM457" t="e">
        <f>AND(#REF!,"AAAAAH/+t8I=")</f>
        <v>#REF!</v>
      </c>
      <c r="GN457" t="e">
        <f>AND(#REF!,"AAAAAH/+t8M=")</f>
        <v>#REF!</v>
      </c>
      <c r="GO457" t="e">
        <f>AND(#REF!,"AAAAAH/+t8Q=")</f>
        <v>#REF!</v>
      </c>
      <c r="GP457" t="e">
        <f>IF(#REF!,"AAAAAH/+t8U=",0)</f>
        <v>#REF!</v>
      </c>
      <c r="GQ457" t="e">
        <f>AND(#REF!,"AAAAAH/+t8Y=")</f>
        <v>#REF!</v>
      </c>
      <c r="GR457" t="e">
        <f>AND(#REF!,"AAAAAH/+t8c=")</f>
        <v>#REF!</v>
      </c>
      <c r="GS457" t="e">
        <f>AND(#REF!,"AAAAAH/+t8g=")</f>
        <v>#REF!</v>
      </c>
      <c r="GT457" t="e">
        <f>AND(#REF!,"AAAAAH/+t8k=")</f>
        <v>#REF!</v>
      </c>
      <c r="GU457" t="e">
        <f>AND(#REF!,"AAAAAH/+t8o=")</f>
        <v>#REF!</v>
      </c>
      <c r="GV457" t="e">
        <f>AND(#REF!,"AAAAAH/+t8s=")</f>
        <v>#REF!</v>
      </c>
      <c r="GW457" t="e">
        <f>AND(#REF!,"AAAAAH/+t8w=")</f>
        <v>#REF!</v>
      </c>
      <c r="GX457" t="e">
        <f>AND(#REF!,"AAAAAH/+t80=")</f>
        <v>#REF!</v>
      </c>
      <c r="GY457" t="e">
        <f>AND(#REF!,"AAAAAH/+t84=")</f>
        <v>#REF!</v>
      </c>
      <c r="GZ457" t="e">
        <f>AND(#REF!,"AAAAAH/+t88=")</f>
        <v>#REF!</v>
      </c>
      <c r="HA457" t="e">
        <f>IF(#REF!,"AAAAAH/+t9A=",0)</f>
        <v>#REF!</v>
      </c>
      <c r="HB457" t="e">
        <f>AND(#REF!,"AAAAAH/+t9E=")</f>
        <v>#REF!</v>
      </c>
      <c r="HC457" t="e">
        <f>AND(#REF!,"AAAAAH/+t9I=")</f>
        <v>#REF!</v>
      </c>
      <c r="HD457" t="e">
        <f>AND(#REF!,"AAAAAH/+t9M=")</f>
        <v>#REF!</v>
      </c>
      <c r="HE457" t="e">
        <f>AND(#REF!,"AAAAAH/+t9Q=")</f>
        <v>#REF!</v>
      </c>
      <c r="HF457" t="e">
        <f>AND(#REF!,"AAAAAH/+t9U=")</f>
        <v>#REF!</v>
      </c>
      <c r="HG457" t="e">
        <f>AND(#REF!,"AAAAAH/+t9Y=")</f>
        <v>#REF!</v>
      </c>
      <c r="HH457" t="e">
        <f>AND(#REF!,"AAAAAH/+t9c=")</f>
        <v>#REF!</v>
      </c>
      <c r="HI457" t="e">
        <f>AND(#REF!,"AAAAAH/+t9g=")</f>
        <v>#REF!</v>
      </c>
      <c r="HJ457" t="e">
        <f>AND(#REF!,"AAAAAH/+t9k=")</f>
        <v>#REF!</v>
      </c>
      <c r="HK457" t="e">
        <f>AND(#REF!,"AAAAAH/+t9o=")</f>
        <v>#REF!</v>
      </c>
      <c r="HL457" t="e">
        <f>IF(#REF!,"AAAAAH/+t9s=",0)</f>
        <v>#REF!</v>
      </c>
      <c r="HM457" t="e">
        <f>AND(#REF!,"AAAAAH/+t9w=")</f>
        <v>#REF!</v>
      </c>
      <c r="HN457" t="e">
        <f>AND(#REF!,"AAAAAH/+t90=")</f>
        <v>#REF!</v>
      </c>
      <c r="HO457" t="e">
        <f>AND(#REF!,"AAAAAH/+t94=")</f>
        <v>#REF!</v>
      </c>
      <c r="HP457" t="e">
        <f>AND(#REF!,"AAAAAH/+t98=")</f>
        <v>#REF!</v>
      </c>
      <c r="HQ457" t="e">
        <f>AND(#REF!,"AAAAAH/+t+A=")</f>
        <v>#REF!</v>
      </c>
      <c r="HR457" t="e">
        <f>AND(#REF!,"AAAAAH/+t+E=")</f>
        <v>#REF!</v>
      </c>
      <c r="HS457" t="e">
        <f>AND(#REF!,"AAAAAH/+t+I=")</f>
        <v>#REF!</v>
      </c>
      <c r="HT457" t="e">
        <f>AND(#REF!,"AAAAAH/+t+M=")</f>
        <v>#REF!</v>
      </c>
      <c r="HU457" t="e">
        <f>AND(#REF!,"AAAAAH/+t+Q=")</f>
        <v>#REF!</v>
      </c>
      <c r="HV457" t="e">
        <f>AND(#REF!,"AAAAAH/+t+U=")</f>
        <v>#REF!</v>
      </c>
      <c r="HW457" t="e">
        <f>IF(#REF!,"AAAAAH/+t+Y=",0)</f>
        <v>#REF!</v>
      </c>
      <c r="HX457" t="e">
        <f>AND(#REF!,"AAAAAH/+t+c=")</f>
        <v>#REF!</v>
      </c>
      <c r="HY457" t="e">
        <f>AND(#REF!,"AAAAAH/+t+g=")</f>
        <v>#REF!</v>
      </c>
      <c r="HZ457" t="e">
        <f>AND(#REF!,"AAAAAH/+t+k=")</f>
        <v>#REF!</v>
      </c>
      <c r="IA457" t="e">
        <f>AND(#REF!,"AAAAAH/+t+o=")</f>
        <v>#REF!</v>
      </c>
      <c r="IB457" t="e">
        <f>AND(#REF!,"AAAAAH/+t+s=")</f>
        <v>#REF!</v>
      </c>
      <c r="IC457" t="e">
        <f>AND(#REF!,"AAAAAH/+t+w=")</f>
        <v>#REF!</v>
      </c>
      <c r="ID457" t="e">
        <f>AND(#REF!,"AAAAAH/+t+0=")</f>
        <v>#REF!</v>
      </c>
      <c r="IE457" t="e">
        <f>AND(#REF!,"AAAAAH/+t+4=")</f>
        <v>#REF!</v>
      </c>
      <c r="IF457" t="e">
        <f>AND(#REF!,"AAAAAH/+t+8=")</f>
        <v>#REF!</v>
      </c>
      <c r="IG457" t="e">
        <f>AND(#REF!,"AAAAAH/+t/A=")</f>
        <v>#REF!</v>
      </c>
      <c r="IH457" t="e">
        <f>IF(#REF!,"AAAAAH/+t/E=",0)</f>
        <v>#REF!</v>
      </c>
      <c r="II457" t="e">
        <f>AND(#REF!,"AAAAAH/+t/I=")</f>
        <v>#REF!</v>
      </c>
      <c r="IJ457" t="e">
        <f>AND(#REF!,"AAAAAH/+t/M=")</f>
        <v>#REF!</v>
      </c>
      <c r="IK457" t="e">
        <f>AND(#REF!,"AAAAAH/+t/Q=")</f>
        <v>#REF!</v>
      </c>
      <c r="IL457" t="e">
        <f>AND(#REF!,"AAAAAH/+t/U=")</f>
        <v>#REF!</v>
      </c>
      <c r="IM457" t="e">
        <f>AND(#REF!,"AAAAAH/+t/Y=")</f>
        <v>#REF!</v>
      </c>
      <c r="IN457" t="e">
        <f>AND(#REF!,"AAAAAH/+t/c=")</f>
        <v>#REF!</v>
      </c>
      <c r="IO457" t="e">
        <f>AND(#REF!,"AAAAAH/+t/g=")</f>
        <v>#REF!</v>
      </c>
      <c r="IP457" t="e">
        <f>AND(#REF!,"AAAAAH/+t/k=")</f>
        <v>#REF!</v>
      </c>
      <c r="IQ457" t="e">
        <f>AND(#REF!,"AAAAAH/+t/o=")</f>
        <v>#REF!</v>
      </c>
      <c r="IR457" t="e">
        <f>AND(#REF!,"AAAAAH/+t/s=")</f>
        <v>#REF!</v>
      </c>
      <c r="IS457" t="e">
        <f>IF(#REF!,"AAAAAH/+t/w=",0)</f>
        <v>#REF!</v>
      </c>
      <c r="IT457" t="e">
        <f>AND(#REF!,"AAAAAH/+t/0=")</f>
        <v>#REF!</v>
      </c>
      <c r="IU457" t="e">
        <f>AND(#REF!,"AAAAAH/+t/4=")</f>
        <v>#REF!</v>
      </c>
      <c r="IV457" t="e">
        <f>AND(#REF!,"AAAAAH/+t/8=")</f>
        <v>#REF!</v>
      </c>
    </row>
    <row r="458" spans="1:256" x14ac:dyDescent="0.25">
      <c r="A458" t="e">
        <f>AND(#REF!,"AAAAAG7f/gA=")</f>
        <v>#REF!</v>
      </c>
      <c r="B458" t="e">
        <f>AND(#REF!,"AAAAAG7f/gE=")</f>
        <v>#REF!</v>
      </c>
      <c r="C458" t="e">
        <f>AND(#REF!,"AAAAAG7f/gI=")</f>
        <v>#REF!</v>
      </c>
      <c r="D458" t="e">
        <f>AND(#REF!,"AAAAAG7f/gM=")</f>
        <v>#REF!</v>
      </c>
      <c r="E458" t="e">
        <f>AND(#REF!,"AAAAAG7f/gQ=")</f>
        <v>#REF!</v>
      </c>
      <c r="F458" t="e">
        <f>AND(#REF!,"AAAAAG7f/gU=")</f>
        <v>#REF!</v>
      </c>
      <c r="G458" t="e">
        <f>AND(#REF!,"AAAAAG7f/gY=")</f>
        <v>#REF!</v>
      </c>
      <c r="H458" t="e">
        <f>IF(#REF!,"AAAAAG7f/gc=",0)</f>
        <v>#REF!</v>
      </c>
      <c r="I458" t="e">
        <f>AND(#REF!,"AAAAAG7f/gg=")</f>
        <v>#REF!</v>
      </c>
      <c r="J458" t="e">
        <f>AND(#REF!,"AAAAAG7f/gk=")</f>
        <v>#REF!</v>
      </c>
      <c r="K458" t="e">
        <f>AND(#REF!,"AAAAAG7f/go=")</f>
        <v>#REF!</v>
      </c>
      <c r="L458" t="e">
        <f>AND(#REF!,"AAAAAG7f/gs=")</f>
        <v>#REF!</v>
      </c>
      <c r="M458" t="e">
        <f>AND(#REF!,"AAAAAG7f/gw=")</f>
        <v>#REF!</v>
      </c>
      <c r="N458" t="e">
        <f>AND(#REF!,"AAAAAG7f/g0=")</f>
        <v>#REF!</v>
      </c>
      <c r="O458" t="e">
        <f>AND(#REF!,"AAAAAG7f/g4=")</f>
        <v>#REF!</v>
      </c>
      <c r="P458" t="e">
        <f>AND(#REF!,"AAAAAG7f/g8=")</f>
        <v>#REF!</v>
      </c>
      <c r="Q458" t="e">
        <f>AND(#REF!,"AAAAAG7f/hA=")</f>
        <v>#REF!</v>
      </c>
      <c r="R458" t="e">
        <f>AND(#REF!,"AAAAAG7f/hE=")</f>
        <v>#REF!</v>
      </c>
      <c r="S458" t="e">
        <f>IF(#REF!,"AAAAAG7f/hI=",0)</f>
        <v>#REF!</v>
      </c>
      <c r="T458" t="e">
        <f>AND(#REF!,"AAAAAG7f/hM=")</f>
        <v>#REF!</v>
      </c>
      <c r="U458" t="e">
        <f>AND(#REF!,"AAAAAG7f/hQ=")</f>
        <v>#REF!</v>
      </c>
      <c r="V458" t="e">
        <f>AND(#REF!,"AAAAAG7f/hU=")</f>
        <v>#REF!</v>
      </c>
      <c r="W458" t="e">
        <f>AND(#REF!,"AAAAAG7f/hY=")</f>
        <v>#REF!</v>
      </c>
      <c r="X458" t="e">
        <f>AND(#REF!,"AAAAAG7f/hc=")</f>
        <v>#REF!</v>
      </c>
      <c r="Y458" t="e">
        <f>AND(#REF!,"AAAAAG7f/hg=")</f>
        <v>#REF!</v>
      </c>
      <c r="Z458" t="e">
        <f>AND(#REF!,"AAAAAG7f/hk=")</f>
        <v>#REF!</v>
      </c>
      <c r="AA458" t="e">
        <f>AND(#REF!,"AAAAAG7f/ho=")</f>
        <v>#REF!</v>
      </c>
      <c r="AB458" t="e">
        <f>AND(#REF!,"AAAAAG7f/hs=")</f>
        <v>#REF!</v>
      </c>
      <c r="AC458" t="e">
        <f>AND(#REF!,"AAAAAG7f/hw=")</f>
        <v>#REF!</v>
      </c>
      <c r="AD458" t="e">
        <f>IF(#REF!,"AAAAAG7f/h0=",0)</f>
        <v>#REF!</v>
      </c>
      <c r="AE458" t="e">
        <f>AND(#REF!,"AAAAAG7f/h4=")</f>
        <v>#REF!</v>
      </c>
      <c r="AF458" t="e">
        <f>AND(#REF!,"AAAAAG7f/h8=")</f>
        <v>#REF!</v>
      </c>
      <c r="AG458" t="e">
        <f>AND(#REF!,"AAAAAG7f/iA=")</f>
        <v>#REF!</v>
      </c>
      <c r="AH458" t="e">
        <f>AND(#REF!,"AAAAAG7f/iE=")</f>
        <v>#REF!</v>
      </c>
      <c r="AI458" t="e">
        <f>AND(#REF!,"AAAAAG7f/iI=")</f>
        <v>#REF!</v>
      </c>
      <c r="AJ458" t="e">
        <f>AND(#REF!,"AAAAAG7f/iM=")</f>
        <v>#REF!</v>
      </c>
      <c r="AK458" t="e">
        <f>AND(#REF!,"AAAAAG7f/iQ=")</f>
        <v>#REF!</v>
      </c>
      <c r="AL458" t="e">
        <f>AND(#REF!,"AAAAAG7f/iU=")</f>
        <v>#REF!</v>
      </c>
      <c r="AM458" t="e">
        <f>AND(#REF!,"AAAAAG7f/iY=")</f>
        <v>#REF!</v>
      </c>
      <c r="AN458" t="e">
        <f>AND(#REF!,"AAAAAG7f/ic=")</f>
        <v>#REF!</v>
      </c>
      <c r="AO458" t="e">
        <f>IF(#REF!,"AAAAAG7f/ig=",0)</f>
        <v>#REF!</v>
      </c>
      <c r="AP458" t="e">
        <f>AND(#REF!,"AAAAAG7f/ik=")</f>
        <v>#REF!</v>
      </c>
      <c r="AQ458" t="e">
        <f>AND(#REF!,"AAAAAG7f/io=")</f>
        <v>#REF!</v>
      </c>
      <c r="AR458" t="e">
        <f>AND(#REF!,"AAAAAG7f/is=")</f>
        <v>#REF!</v>
      </c>
      <c r="AS458" t="e">
        <f>AND(#REF!,"AAAAAG7f/iw=")</f>
        <v>#REF!</v>
      </c>
      <c r="AT458" t="e">
        <f>AND(#REF!,"AAAAAG7f/i0=")</f>
        <v>#REF!</v>
      </c>
      <c r="AU458" t="e">
        <f>AND(#REF!,"AAAAAG7f/i4=")</f>
        <v>#REF!</v>
      </c>
      <c r="AV458" t="e">
        <f>AND(#REF!,"AAAAAG7f/i8=")</f>
        <v>#REF!</v>
      </c>
      <c r="AW458" t="e">
        <f>AND(#REF!,"AAAAAG7f/jA=")</f>
        <v>#REF!</v>
      </c>
      <c r="AX458" t="e">
        <f>AND(#REF!,"AAAAAG7f/jE=")</f>
        <v>#REF!</v>
      </c>
      <c r="AY458" t="e">
        <f>AND(#REF!,"AAAAAG7f/jI=")</f>
        <v>#REF!</v>
      </c>
      <c r="AZ458" t="e">
        <f>IF(#REF!,"AAAAAG7f/jM=",0)</f>
        <v>#REF!</v>
      </c>
      <c r="BA458" t="e">
        <f>AND(#REF!,"AAAAAG7f/jQ=")</f>
        <v>#REF!</v>
      </c>
      <c r="BB458" t="e">
        <f>AND(#REF!,"AAAAAG7f/jU=")</f>
        <v>#REF!</v>
      </c>
      <c r="BC458" t="e">
        <f>AND(#REF!,"AAAAAG7f/jY=")</f>
        <v>#REF!</v>
      </c>
      <c r="BD458" t="e">
        <f>AND(#REF!,"AAAAAG7f/jc=")</f>
        <v>#REF!</v>
      </c>
      <c r="BE458" t="e">
        <f>AND(#REF!,"AAAAAG7f/jg=")</f>
        <v>#REF!</v>
      </c>
      <c r="BF458" t="e">
        <f>AND(#REF!,"AAAAAG7f/jk=")</f>
        <v>#REF!</v>
      </c>
      <c r="BG458" t="e">
        <f>AND(#REF!,"AAAAAG7f/jo=")</f>
        <v>#REF!</v>
      </c>
      <c r="BH458" t="e">
        <f>AND(#REF!,"AAAAAG7f/js=")</f>
        <v>#REF!</v>
      </c>
      <c r="BI458" t="e">
        <f>AND(#REF!,"AAAAAG7f/jw=")</f>
        <v>#REF!</v>
      </c>
      <c r="BJ458" t="e">
        <f>AND(#REF!,"AAAAAG7f/j0=")</f>
        <v>#REF!</v>
      </c>
      <c r="BK458" t="e">
        <f>IF(#REF!,"AAAAAG7f/j4=",0)</f>
        <v>#REF!</v>
      </c>
      <c r="BL458" t="e">
        <f>AND(#REF!,"AAAAAG7f/j8=")</f>
        <v>#REF!</v>
      </c>
      <c r="BM458" t="e">
        <f>AND(#REF!,"AAAAAG7f/kA=")</f>
        <v>#REF!</v>
      </c>
      <c r="BN458" t="e">
        <f>AND(#REF!,"AAAAAG7f/kE=")</f>
        <v>#REF!</v>
      </c>
      <c r="BO458" t="e">
        <f>AND(#REF!,"AAAAAG7f/kI=")</f>
        <v>#REF!</v>
      </c>
      <c r="BP458" t="e">
        <f>AND(#REF!,"AAAAAG7f/kM=")</f>
        <v>#REF!</v>
      </c>
      <c r="BQ458" t="e">
        <f>AND(#REF!,"AAAAAG7f/kQ=")</f>
        <v>#REF!</v>
      </c>
      <c r="BR458" t="e">
        <f>AND(#REF!,"AAAAAG7f/kU=")</f>
        <v>#REF!</v>
      </c>
      <c r="BS458" t="e">
        <f>AND(#REF!,"AAAAAG7f/kY=")</f>
        <v>#REF!</v>
      </c>
      <c r="BT458" t="e">
        <f>AND(#REF!,"AAAAAG7f/kc=")</f>
        <v>#REF!</v>
      </c>
      <c r="BU458" t="e">
        <f>AND(#REF!,"AAAAAG7f/kg=")</f>
        <v>#REF!</v>
      </c>
      <c r="BV458" t="e">
        <f>IF(#REF!,"AAAAAG7f/kk=",0)</f>
        <v>#REF!</v>
      </c>
      <c r="BW458" t="e">
        <f>AND(#REF!,"AAAAAG7f/ko=")</f>
        <v>#REF!</v>
      </c>
      <c r="BX458" t="e">
        <f>AND(#REF!,"AAAAAG7f/ks=")</f>
        <v>#REF!</v>
      </c>
      <c r="BY458" t="e">
        <f>AND(#REF!,"AAAAAG7f/kw=")</f>
        <v>#REF!</v>
      </c>
      <c r="BZ458" t="e">
        <f>AND(#REF!,"AAAAAG7f/k0=")</f>
        <v>#REF!</v>
      </c>
      <c r="CA458" t="e">
        <f>AND(#REF!,"AAAAAG7f/k4=")</f>
        <v>#REF!</v>
      </c>
      <c r="CB458" t="e">
        <f>AND(#REF!,"AAAAAG7f/k8=")</f>
        <v>#REF!</v>
      </c>
      <c r="CC458" t="e">
        <f>AND(#REF!,"AAAAAG7f/lA=")</f>
        <v>#REF!</v>
      </c>
      <c r="CD458" t="e">
        <f>AND(#REF!,"AAAAAG7f/lE=")</f>
        <v>#REF!</v>
      </c>
      <c r="CE458" t="e">
        <f>AND(#REF!,"AAAAAG7f/lI=")</f>
        <v>#REF!</v>
      </c>
      <c r="CF458" t="e">
        <f>AND(#REF!,"AAAAAG7f/lM=")</f>
        <v>#REF!</v>
      </c>
      <c r="CG458" t="e">
        <f>IF(#REF!,"AAAAAG7f/lQ=",0)</f>
        <v>#REF!</v>
      </c>
      <c r="CH458" t="e">
        <f>AND(#REF!,"AAAAAG7f/lU=")</f>
        <v>#REF!</v>
      </c>
      <c r="CI458" t="e">
        <f>AND(#REF!,"AAAAAG7f/lY=")</f>
        <v>#REF!</v>
      </c>
      <c r="CJ458" t="e">
        <f>AND(#REF!,"AAAAAG7f/lc=")</f>
        <v>#REF!</v>
      </c>
      <c r="CK458" t="e">
        <f>AND(#REF!,"AAAAAG7f/lg=")</f>
        <v>#REF!</v>
      </c>
      <c r="CL458" t="e">
        <f>AND(#REF!,"AAAAAG7f/lk=")</f>
        <v>#REF!</v>
      </c>
      <c r="CM458" t="e">
        <f>AND(#REF!,"AAAAAG7f/lo=")</f>
        <v>#REF!</v>
      </c>
      <c r="CN458" t="e">
        <f>AND(#REF!,"AAAAAG7f/ls=")</f>
        <v>#REF!</v>
      </c>
      <c r="CO458" t="e">
        <f>AND(#REF!,"AAAAAG7f/lw=")</f>
        <v>#REF!</v>
      </c>
      <c r="CP458" t="e">
        <f>AND(#REF!,"AAAAAG7f/l0=")</f>
        <v>#REF!</v>
      </c>
      <c r="CQ458" t="e">
        <f>AND(#REF!,"AAAAAG7f/l4=")</f>
        <v>#REF!</v>
      </c>
      <c r="CR458" t="e">
        <f>IF(#REF!,"AAAAAG7f/l8=",0)</f>
        <v>#REF!</v>
      </c>
      <c r="CS458" t="e">
        <f>AND(#REF!,"AAAAAG7f/mA=")</f>
        <v>#REF!</v>
      </c>
      <c r="CT458" t="e">
        <f>AND(#REF!,"AAAAAG7f/mE=")</f>
        <v>#REF!</v>
      </c>
      <c r="CU458" t="e">
        <f>AND(#REF!,"AAAAAG7f/mI=")</f>
        <v>#REF!</v>
      </c>
      <c r="CV458" t="e">
        <f>AND(#REF!,"AAAAAG7f/mM=")</f>
        <v>#REF!</v>
      </c>
      <c r="CW458" t="e">
        <f>AND(#REF!,"AAAAAG7f/mQ=")</f>
        <v>#REF!</v>
      </c>
      <c r="CX458" t="e">
        <f>AND(#REF!,"AAAAAG7f/mU=")</f>
        <v>#REF!</v>
      </c>
      <c r="CY458" t="e">
        <f>AND(#REF!,"AAAAAG7f/mY=")</f>
        <v>#REF!</v>
      </c>
      <c r="CZ458" t="e">
        <f>AND(#REF!,"AAAAAG7f/mc=")</f>
        <v>#REF!</v>
      </c>
      <c r="DA458" t="e">
        <f>AND(#REF!,"AAAAAG7f/mg=")</f>
        <v>#REF!</v>
      </c>
      <c r="DB458" t="e">
        <f>AND(#REF!,"AAAAAG7f/mk=")</f>
        <v>#REF!</v>
      </c>
      <c r="DC458" t="e">
        <f>IF(#REF!,"AAAAAG7f/mo=",0)</f>
        <v>#REF!</v>
      </c>
      <c r="DD458" t="e">
        <f>AND(#REF!,"AAAAAG7f/ms=")</f>
        <v>#REF!</v>
      </c>
      <c r="DE458" t="e">
        <f>AND(#REF!,"AAAAAG7f/mw=")</f>
        <v>#REF!</v>
      </c>
      <c r="DF458" t="e">
        <f>AND(#REF!,"AAAAAG7f/m0=")</f>
        <v>#REF!</v>
      </c>
      <c r="DG458" t="e">
        <f>AND(#REF!,"AAAAAG7f/m4=")</f>
        <v>#REF!</v>
      </c>
      <c r="DH458" t="e">
        <f>AND(#REF!,"AAAAAG7f/m8=")</f>
        <v>#REF!</v>
      </c>
      <c r="DI458" t="e">
        <f>AND(#REF!,"AAAAAG7f/nA=")</f>
        <v>#REF!</v>
      </c>
      <c r="DJ458" t="e">
        <f>AND(#REF!,"AAAAAG7f/nE=")</f>
        <v>#REF!</v>
      </c>
      <c r="DK458" t="e">
        <f>AND(#REF!,"AAAAAG7f/nI=")</f>
        <v>#REF!</v>
      </c>
      <c r="DL458" t="e">
        <f>AND(#REF!,"AAAAAG7f/nM=")</f>
        <v>#REF!</v>
      </c>
      <c r="DM458" t="e">
        <f>AND(#REF!,"AAAAAG7f/nQ=")</f>
        <v>#REF!</v>
      </c>
      <c r="DN458" t="e">
        <f>IF(#REF!,"AAAAAG7f/nU=",0)</f>
        <v>#REF!</v>
      </c>
      <c r="DO458" t="e">
        <f>AND(#REF!,"AAAAAG7f/nY=")</f>
        <v>#REF!</v>
      </c>
      <c r="DP458" t="e">
        <f>AND(#REF!,"AAAAAG7f/nc=")</f>
        <v>#REF!</v>
      </c>
      <c r="DQ458" t="e">
        <f>AND(#REF!,"AAAAAG7f/ng=")</f>
        <v>#REF!</v>
      </c>
      <c r="DR458" t="e">
        <f>AND(#REF!,"AAAAAG7f/nk=")</f>
        <v>#REF!</v>
      </c>
      <c r="DS458" t="e">
        <f>AND(#REF!,"AAAAAG7f/no=")</f>
        <v>#REF!</v>
      </c>
      <c r="DT458" t="e">
        <f>AND(#REF!,"AAAAAG7f/ns=")</f>
        <v>#REF!</v>
      </c>
      <c r="DU458" t="e">
        <f>AND(#REF!,"AAAAAG7f/nw=")</f>
        <v>#REF!</v>
      </c>
      <c r="DV458" t="e">
        <f>AND(#REF!,"AAAAAG7f/n0=")</f>
        <v>#REF!</v>
      </c>
      <c r="DW458" t="e">
        <f>AND(#REF!,"AAAAAG7f/n4=")</f>
        <v>#REF!</v>
      </c>
      <c r="DX458" t="e">
        <f>AND(#REF!,"AAAAAG7f/n8=")</f>
        <v>#REF!</v>
      </c>
      <c r="DY458" t="e">
        <f>IF(#REF!,"AAAAAG7f/oA=",0)</f>
        <v>#REF!</v>
      </c>
      <c r="DZ458" t="e">
        <f>AND(#REF!,"AAAAAG7f/oE=")</f>
        <v>#REF!</v>
      </c>
      <c r="EA458" t="e">
        <f>AND(#REF!,"AAAAAG7f/oI=")</f>
        <v>#REF!</v>
      </c>
      <c r="EB458" t="e">
        <f>AND(#REF!,"AAAAAG7f/oM=")</f>
        <v>#REF!</v>
      </c>
      <c r="EC458" t="e">
        <f>AND(#REF!,"AAAAAG7f/oQ=")</f>
        <v>#REF!</v>
      </c>
      <c r="ED458" t="e">
        <f>AND(#REF!,"AAAAAG7f/oU=")</f>
        <v>#REF!</v>
      </c>
      <c r="EE458" t="e">
        <f>AND(#REF!,"AAAAAG7f/oY=")</f>
        <v>#REF!</v>
      </c>
      <c r="EF458" t="e">
        <f>AND(#REF!,"AAAAAG7f/oc=")</f>
        <v>#REF!</v>
      </c>
      <c r="EG458" t="e">
        <f>AND(#REF!,"AAAAAG7f/og=")</f>
        <v>#REF!</v>
      </c>
      <c r="EH458" t="e">
        <f>AND(#REF!,"AAAAAG7f/ok=")</f>
        <v>#REF!</v>
      </c>
      <c r="EI458" t="e">
        <f>AND(#REF!,"AAAAAG7f/oo=")</f>
        <v>#REF!</v>
      </c>
      <c r="EJ458" t="e">
        <f>IF(#REF!,"AAAAAG7f/os=",0)</f>
        <v>#REF!</v>
      </c>
      <c r="EK458" t="e">
        <f>AND(#REF!,"AAAAAG7f/ow=")</f>
        <v>#REF!</v>
      </c>
      <c r="EL458" t="e">
        <f>AND(#REF!,"AAAAAG7f/o0=")</f>
        <v>#REF!</v>
      </c>
      <c r="EM458" t="e">
        <f>AND(#REF!,"AAAAAG7f/o4=")</f>
        <v>#REF!</v>
      </c>
      <c r="EN458" t="e">
        <f>AND(#REF!,"AAAAAG7f/o8=")</f>
        <v>#REF!</v>
      </c>
      <c r="EO458" t="e">
        <f>AND(#REF!,"AAAAAG7f/pA=")</f>
        <v>#REF!</v>
      </c>
      <c r="EP458" t="e">
        <f>AND(#REF!,"AAAAAG7f/pE=")</f>
        <v>#REF!</v>
      </c>
      <c r="EQ458" t="e">
        <f>AND(#REF!,"AAAAAG7f/pI=")</f>
        <v>#REF!</v>
      </c>
      <c r="ER458" t="e">
        <f>AND(#REF!,"AAAAAG7f/pM=")</f>
        <v>#REF!</v>
      </c>
      <c r="ES458" t="e">
        <f>AND(#REF!,"AAAAAG7f/pQ=")</f>
        <v>#REF!</v>
      </c>
      <c r="ET458" t="e">
        <f>AND(#REF!,"AAAAAG7f/pU=")</f>
        <v>#REF!</v>
      </c>
      <c r="EU458" t="e">
        <f>IF(#REF!,"AAAAAG7f/pY=",0)</f>
        <v>#REF!</v>
      </c>
      <c r="EV458" t="e">
        <f>AND(#REF!,"AAAAAG7f/pc=")</f>
        <v>#REF!</v>
      </c>
      <c r="EW458" t="e">
        <f>AND(#REF!,"AAAAAG7f/pg=")</f>
        <v>#REF!</v>
      </c>
      <c r="EX458" t="e">
        <f>AND(#REF!,"AAAAAG7f/pk=")</f>
        <v>#REF!</v>
      </c>
      <c r="EY458" t="e">
        <f>AND(#REF!,"AAAAAG7f/po=")</f>
        <v>#REF!</v>
      </c>
      <c r="EZ458" t="e">
        <f>AND(#REF!,"AAAAAG7f/ps=")</f>
        <v>#REF!</v>
      </c>
      <c r="FA458" t="e">
        <f>AND(#REF!,"AAAAAG7f/pw=")</f>
        <v>#REF!</v>
      </c>
      <c r="FB458" t="e">
        <f>AND(#REF!,"AAAAAG7f/p0=")</f>
        <v>#REF!</v>
      </c>
      <c r="FC458" t="e">
        <f>AND(#REF!,"AAAAAG7f/p4=")</f>
        <v>#REF!</v>
      </c>
      <c r="FD458" t="e">
        <f>AND(#REF!,"AAAAAG7f/p8=")</f>
        <v>#REF!</v>
      </c>
      <c r="FE458" t="e">
        <f>AND(#REF!,"AAAAAG7f/qA=")</f>
        <v>#REF!</v>
      </c>
      <c r="FF458" t="e">
        <f>IF(#REF!,"AAAAAG7f/qE=",0)</f>
        <v>#REF!</v>
      </c>
      <c r="FG458" t="e">
        <f>AND(#REF!,"AAAAAG7f/qI=")</f>
        <v>#REF!</v>
      </c>
      <c r="FH458" t="e">
        <f>AND(#REF!,"AAAAAG7f/qM=")</f>
        <v>#REF!</v>
      </c>
      <c r="FI458" t="e">
        <f>AND(#REF!,"AAAAAG7f/qQ=")</f>
        <v>#REF!</v>
      </c>
      <c r="FJ458" t="e">
        <f>AND(#REF!,"AAAAAG7f/qU=")</f>
        <v>#REF!</v>
      </c>
      <c r="FK458" t="e">
        <f>AND(#REF!,"AAAAAG7f/qY=")</f>
        <v>#REF!</v>
      </c>
      <c r="FL458" t="e">
        <f>AND(#REF!,"AAAAAG7f/qc=")</f>
        <v>#REF!</v>
      </c>
      <c r="FM458" t="e">
        <f>AND(#REF!,"AAAAAG7f/qg=")</f>
        <v>#REF!</v>
      </c>
      <c r="FN458" t="e">
        <f>AND(#REF!,"AAAAAG7f/qk=")</f>
        <v>#REF!</v>
      </c>
      <c r="FO458" t="e">
        <f>AND(#REF!,"AAAAAG7f/qo=")</f>
        <v>#REF!</v>
      </c>
      <c r="FP458" t="e">
        <f>AND(#REF!,"AAAAAG7f/qs=")</f>
        <v>#REF!</v>
      </c>
      <c r="FQ458" t="e">
        <f>IF(#REF!,"AAAAAG7f/qw=",0)</f>
        <v>#REF!</v>
      </c>
      <c r="FR458" t="e">
        <f>AND(#REF!,"AAAAAG7f/q0=")</f>
        <v>#REF!</v>
      </c>
      <c r="FS458" t="e">
        <f>AND(#REF!,"AAAAAG7f/q4=")</f>
        <v>#REF!</v>
      </c>
      <c r="FT458" t="e">
        <f>AND(#REF!,"AAAAAG7f/q8=")</f>
        <v>#REF!</v>
      </c>
      <c r="FU458" t="e">
        <f>AND(#REF!,"AAAAAG7f/rA=")</f>
        <v>#REF!</v>
      </c>
      <c r="FV458" t="e">
        <f>AND(#REF!,"AAAAAG7f/rE=")</f>
        <v>#REF!</v>
      </c>
      <c r="FW458" t="e">
        <f>AND(#REF!,"AAAAAG7f/rI=")</f>
        <v>#REF!</v>
      </c>
      <c r="FX458" t="e">
        <f>AND(#REF!,"AAAAAG7f/rM=")</f>
        <v>#REF!</v>
      </c>
      <c r="FY458" t="e">
        <f>AND(#REF!,"AAAAAG7f/rQ=")</f>
        <v>#REF!</v>
      </c>
      <c r="FZ458" t="e">
        <f>AND(#REF!,"AAAAAG7f/rU=")</f>
        <v>#REF!</v>
      </c>
      <c r="GA458" t="e">
        <f>AND(#REF!,"AAAAAG7f/rY=")</f>
        <v>#REF!</v>
      </c>
      <c r="GB458" t="e">
        <f>IF(#REF!,"AAAAAG7f/rc=",0)</f>
        <v>#REF!</v>
      </c>
      <c r="GC458" t="e">
        <f>AND(#REF!,"AAAAAG7f/rg=")</f>
        <v>#REF!</v>
      </c>
      <c r="GD458" t="e">
        <f>AND(#REF!,"AAAAAG7f/rk=")</f>
        <v>#REF!</v>
      </c>
      <c r="GE458" t="e">
        <f>AND(#REF!,"AAAAAG7f/ro=")</f>
        <v>#REF!</v>
      </c>
      <c r="GF458" t="e">
        <f>AND(#REF!,"AAAAAG7f/rs=")</f>
        <v>#REF!</v>
      </c>
      <c r="GG458" t="e">
        <f>AND(#REF!,"AAAAAG7f/rw=")</f>
        <v>#REF!</v>
      </c>
      <c r="GH458" t="e">
        <f>AND(#REF!,"AAAAAG7f/r0=")</f>
        <v>#REF!</v>
      </c>
      <c r="GI458" t="e">
        <f>AND(#REF!,"AAAAAG7f/r4=")</f>
        <v>#REF!</v>
      </c>
      <c r="GJ458" t="e">
        <f>AND(#REF!,"AAAAAG7f/r8=")</f>
        <v>#REF!</v>
      </c>
      <c r="GK458" t="e">
        <f>AND(#REF!,"AAAAAG7f/sA=")</f>
        <v>#REF!</v>
      </c>
      <c r="GL458" t="e">
        <f>AND(#REF!,"AAAAAG7f/sE=")</f>
        <v>#REF!</v>
      </c>
      <c r="GM458" t="e">
        <f>IF(#REF!,"AAAAAG7f/sI=",0)</f>
        <v>#REF!</v>
      </c>
      <c r="GN458" t="e">
        <f>AND(#REF!,"AAAAAG7f/sM=")</f>
        <v>#REF!</v>
      </c>
      <c r="GO458" t="e">
        <f>AND(#REF!,"AAAAAG7f/sQ=")</f>
        <v>#REF!</v>
      </c>
      <c r="GP458" t="e">
        <f>AND(#REF!,"AAAAAG7f/sU=")</f>
        <v>#REF!</v>
      </c>
      <c r="GQ458" t="e">
        <f>AND(#REF!,"AAAAAG7f/sY=")</f>
        <v>#REF!</v>
      </c>
      <c r="GR458" t="e">
        <f>AND(#REF!,"AAAAAG7f/sc=")</f>
        <v>#REF!</v>
      </c>
      <c r="GS458" t="e">
        <f>AND(#REF!,"AAAAAG7f/sg=")</f>
        <v>#REF!</v>
      </c>
      <c r="GT458" t="e">
        <f>AND(#REF!,"AAAAAG7f/sk=")</f>
        <v>#REF!</v>
      </c>
      <c r="GU458" t="e">
        <f>AND(#REF!,"AAAAAG7f/so=")</f>
        <v>#REF!</v>
      </c>
      <c r="GV458" t="e">
        <f>AND(#REF!,"AAAAAG7f/ss=")</f>
        <v>#REF!</v>
      </c>
      <c r="GW458" t="e">
        <f>AND(#REF!,"AAAAAG7f/sw=")</f>
        <v>#REF!</v>
      </c>
      <c r="GX458" t="e">
        <f>IF(#REF!,"AAAAAG7f/s0=",0)</f>
        <v>#REF!</v>
      </c>
      <c r="GY458" t="e">
        <f>AND(#REF!,"AAAAAG7f/s4=")</f>
        <v>#REF!</v>
      </c>
      <c r="GZ458" t="e">
        <f>AND(#REF!,"AAAAAG7f/s8=")</f>
        <v>#REF!</v>
      </c>
      <c r="HA458" t="e">
        <f>AND(#REF!,"AAAAAG7f/tA=")</f>
        <v>#REF!</v>
      </c>
      <c r="HB458" t="e">
        <f>AND(#REF!,"AAAAAG7f/tE=")</f>
        <v>#REF!</v>
      </c>
      <c r="HC458" t="e">
        <f>AND(#REF!,"AAAAAG7f/tI=")</f>
        <v>#REF!</v>
      </c>
      <c r="HD458" t="e">
        <f>AND(#REF!,"AAAAAG7f/tM=")</f>
        <v>#REF!</v>
      </c>
      <c r="HE458" t="e">
        <f>AND(#REF!,"AAAAAG7f/tQ=")</f>
        <v>#REF!</v>
      </c>
      <c r="HF458" t="e">
        <f>AND(#REF!,"AAAAAG7f/tU=")</f>
        <v>#REF!</v>
      </c>
      <c r="HG458" t="e">
        <f>AND(#REF!,"AAAAAG7f/tY=")</f>
        <v>#REF!</v>
      </c>
      <c r="HH458" t="e">
        <f>AND(#REF!,"AAAAAG7f/tc=")</f>
        <v>#REF!</v>
      </c>
      <c r="HI458" t="e">
        <f>IF(#REF!,"AAAAAG7f/tg=",0)</f>
        <v>#REF!</v>
      </c>
      <c r="HJ458" t="e">
        <f>AND(#REF!,"AAAAAG7f/tk=")</f>
        <v>#REF!</v>
      </c>
      <c r="HK458" t="e">
        <f>AND(#REF!,"AAAAAG7f/to=")</f>
        <v>#REF!</v>
      </c>
      <c r="HL458" t="e">
        <f>AND(#REF!,"AAAAAG7f/ts=")</f>
        <v>#REF!</v>
      </c>
      <c r="HM458" t="e">
        <f>AND(#REF!,"AAAAAG7f/tw=")</f>
        <v>#REF!</v>
      </c>
      <c r="HN458" t="e">
        <f>AND(#REF!,"AAAAAG7f/t0=")</f>
        <v>#REF!</v>
      </c>
      <c r="HO458" t="e">
        <f>AND(#REF!,"AAAAAG7f/t4=")</f>
        <v>#REF!</v>
      </c>
      <c r="HP458" t="e">
        <f>AND(#REF!,"AAAAAG7f/t8=")</f>
        <v>#REF!</v>
      </c>
      <c r="HQ458" t="e">
        <f>AND(#REF!,"AAAAAG7f/uA=")</f>
        <v>#REF!</v>
      </c>
      <c r="HR458" t="e">
        <f>AND(#REF!,"AAAAAG7f/uE=")</f>
        <v>#REF!</v>
      </c>
      <c r="HS458" t="e">
        <f>AND(#REF!,"AAAAAG7f/uI=")</f>
        <v>#REF!</v>
      </c>
      <c r="HT458" t="e">
        <f>IF(#REF!,"AAAAAG7f/uM=",0)</f>
        <v>#REF!</v>
      </c>
      <c r="HU458" t="e">
        <f>AND(#REF!,"AAAAAG7f/uQ=")</f>
        <v>#REF!</v>
      </c>
      <c r="HV458" t="e">
        <f>AND(#REF!,"AAAAAG7f/uU=")</f>
        <v>#REF!</v>
      </c>
      <c r="HW458" t="e">
        <f>AND(#REF!,"AAAAAG7f/uY=")</f>
        <v>#REF!</v>
      </c>
      <c r="HX458" t="e">
        <f>AND(#REF!,"AAAAAG7f/uc=")</f>
        <v>#REF!</v>
      </c>
      <c r="HY458" t="e">
        <f>AND(#REF!,"AAAAAG7f/ug=")</f>
        <v>#REF!</v>
      </c>
      <c r="HZ458" t="e">
        <f>AND(#REF!,"AAAAAG7f/uk=")</f>
        <v>#REF!</v>
      </c>
      <c r="IA458" t="e">
        <f>AND(#REF!,"AAAAAG7f/uo=")</f>
        <v>#REF!</v>
      </c>
      <c r="IB458" t="e">
        <f>AND(#REF!,"AAAAAG7f/us=")</f>
        <v>#REF!</v>
      </c>
      <c r="IC458" t="e">
        <f>AND(#REF!,"AAAAAG7f/uw=")</f>
        <v>#REF!</v>
      </c>
      <c r="ID458" t="e">
        <f>AND(#REF!,"AAAAAG7f/u0=")</f>
        <v>#REF!</v>
      </c>
      <c r="IE458" t="e">
        <f>IF(#REF!,"AAAAAG7f/u4=",0)</f>
        <v>#REF!</v>
      </c>
      <c r="IF458" t="e">
        <f>AND(#REF!,"AAAAAG7f/u8=")</f>
        <v>#REF!</v>
      </c>
      <c r="IG458" t="e">
        <f>AND(#REF!,"AAAAAG7f/vA=")</f>
        <v>#REF!</v>
      </c>
      <c r="IH458" t="e">
        <f>AND(#REF!,"AAAAAG7f/vE=")</f>
        <v>#REF!</v>
      </c>
      <c r="II458" t="e">
        <f>AND(#REF!,"AAAAAG7f/vI=")</f>
        <v>#REF!</v>
      </c>
      <c r="IJ458" t="e">
        <f>AND(#REF!,"AAAAAG7f/vM=")</f>
        <v>#REF!</v>
      </c>
      <c r="IK458" t="e">
        <f>AND(#REF!,"AAAAAG7f/vQ=")</f>
        <v>#REF!</v>
      </c>
      <c r="IL458" t="e">
        <f>AND(#REF!,"AAAAAG7f/vU=")</f>
        <v>#REF!</v>
      </c>
      <c r="IM458" t="e">
        <f>AND(#REF!,"AAAAAG7f/vY=")</f>
        <v>#REF!</v>
      </c>
      <c r="IN458" t="e">
        <f>AND(#REF!,"AAAAAG7f/vc=")</f>
        <v>#REF!</v>
      </c>
      <c r="IO458" t="e">
        <f>AND(#REF!,"AAAAAG7f/vg=")</f>
        <v>#REF!</v>
      </c>
      <c r="IP458" t="e">
        <f>IF(#REF!,"AAAAAG7f/vk=",0)</f>
        <v>#REF!</v>
      </c>
      <c r="IQ458" t="e">
        <f>AND(#REF!,"AAAAAG7f/vo=")</f>
        <v>#REF!</v>
      </c>
      <c r="IR458" t="e">
        <f>AND(#REF!,"AAAAAG7f/vs=")</f>
        <v>#REF!</v>
      </c>
      <c r="IS458" t="e">
        <f>AND(#REF!,"AAAAAG7f/vw=")</f>
        <v>#REF!</v>
      </c>
      <c r="IT458" t="e">
        <f>AND(#REF!,"AAAAAG7f/v0=")</f>
        <v>#REF!</v>
      </c>
      <c r="IU458" t="e">
        <f>AND(#REF!,"AAAAAG7f/v4=")</f>
        <v>#REF!</v>
      </c>
      <c r="IV458" t="e">
        <f>AND(#REF!,"AAAAAG7f/v8=")</f>
        <v>#REF!</v>
      </c>
    </row>
    <row r="459" spans="1:256" x14ac:dyDescent="0.25">
      <c r="A459" t="e">
        <f>AND(#REF!,"AAAAAF3d/QA=")</f>
        <v>#REF!</v>
      </c>
      <c r="B459" t="e">
        <f>AND(#REF!,"AAAAAF3d/QE=")</f>
        <v>#REF!</v>
      </c>
      <c r="C459" t="e">
        <f>AND(#REF!,"AAAAAF3d/QI=")</f>
        <v>#REF!</v>
      </c>
      <c r="D459" t="e">
        <f>AND(#REF!,"AAAAAF3d/QM=")</f>
        <v>#REF!</v>
      </c>
      <c r="E459" t="e">
        <f>IF(#REF!,"AAAAAF3d/QQ=",0)</f>
        <v>#REF!</v>
      </c>
      <c r="F459" t="e">
        <f>AND(#REF!,"AAAAAF3d/QU=")</f>
        <v>#REF!</v>
      </c>
      <c r="G459" t="e">
        <f>AND(#REF!,"AAAAAF3d/QY=")</f>
        <v>#REF!</v>
      </c>
      <c r="H459" t="e">
        <f>AND(#REF!,"AAAAAF3d/Qc=")</f>
        <v>#REF!</v>
      </c>
      <c r="I459" t="e">
        <f>AND(#REF!,"AAAAAF3d/Qg=")</f>
        <v>#REF!</v>
      </c>
      <c r="J459" t="e">
        <f>AND(#REF!,"AAAAAF3d/Qk=")</f>
        <v>#REF!</v>
      </c>
      <c r="K459" t="e">
        <f>AND(#REF!,"AAAAAF3d/Qo=")</f>
        <v>#REF!</v>
      </c>
      <c r="L459" t="e">
        <f>AND(#REF!,"AAAAAF3d/Qs=")</f>
        <v>#REF!</v>
      </c>
      <c r="M459" t="e">
        <f>AND(#REF!,"AAAAAF3d/Qw=")</f>
        <v>#REF!</v>
      </c>
      <c r="N459" t="e">
        <f>AND(#REF!,"AAAAAF3d/Q0=")</f>
        <v>#REF!</v>
      </c>
      <c r="O459" t="e">
        <f>AND(#REF!,"AAAAAF3d/Q4=")</f>
        <v>#REF!</v>
      </c>
      <c r="P459" t="e">
        <f>IF(#REF!,"AAAAAF3d/Q8=",0)</f>
        <v>#REF!</v>
      </c>
      <c r="Q459" t="e">
        <f>AND(#REF!,"AAAAAF3d/RA=")</f>
        <v>#REF!</v>
      </c>
      <c r="R459" t="e">
        <f>AND(#REF!,"AAAAAF3d/RE=")</f>
        <v>#REF!</v>
      </c>
      <c r="S459" t="e">
        <f>AND(#REF!,"AAAAAF3d/RI=")</f>
        <v>#REF!</v>
      </c>
      <c r="T459" t="e">
        <f>AND(#REF!,"AAAAAF3d/RM=")</f>
        <v>#REF!</v>
      </c>
      <c r="U459" t="e">
        <f>AND(#REF!,"AAAAAF3d/RQ=")</f>
        <v>#REF!</v>
      </c>
      <c r="V459" t="e">
        <f>AND(#REF!,"AAAAAF3d/RU=")</f>
        <v>#REF!</v>
      </c>
      <c r="W459" t="e">
        <f>AND(#REF!,"AAAAAF3d/RY=")</f>
        <v>#REF!</v>
      </c>
      <c r="X459" t="e">
        <f>AND(#REF!,"AAAAAF3d/Rc=")</f>
        <v>#REF!</v>
      </c>
      <c r="Y459" t="e">
        <f>AND(#REF!,"AAAAAF3d/Rg=")</f>
        <v>#REF!</v>
      </c>
      <c r="Z459" t="e">
        <f>AND(#REF!,"AAAAAF3d/Rk=")</f>
        <v>#REF!</v>
      </c>
      <c r="AA459" t="e">
        <f>IF(#REF!,"AAAAAF3d/Ro=",0)</f>
        <v>#REF!</v>
      </c>
      <c r="AB459" t="e">
        <f>AND(#REF!,"AAAAAF3d/Rs=")</f>
        <v>#REF!</v>
      </c>
      <c r="AC459" t="e">
        <f>AND(#REF!,"AAAAAF3d/Rw=")</f>
        <v>#REF!</v>
      </c>
      <c r="AD459" t="e">
        <f>AND(#REF!,"AAAAAF3d/R0=")</f>
        <v>#REF!</v>
      </c>
      <c r="AE459" t="e">
        <f>AND(#REF!,"AAAAAF3d/R4=")</f>
        <v>#REF!</v>
      </c>
      <c r="AF459" t="e">
        <f>AND(#REF!,"AAAAAF3d/R8=")</f>
        <v>#REF!</v>
      </c>
      <c r="AG459" t="e">
        <f>AND(#REF!,"AAAAAF3d/SA=")</f>
        <v>#REF!</v>
      </c>
      <c r="AH459" t="e">
        <f>AND(#REF!,"AAAAAF3d/SE=")</f>
        <v>#REF!</v>
      </c>
      <c r="AI459" t="e">
        <f>AND(#REF!,"AAAAAF3d/SI=")</f>
        <v>#REF!</v>
      </c>
      <c r="AJ459" t="e">
        <f>AND(#REF!,"AAAAAF3d/SM=")</f>
        <v>#REF!</v>
      </c>
      <c r="AK459" t="e">
        <f>AND(#REF!,"AAAAAF3d/SQ=")</f>
        <v>#REF!</v>
      </c>
      <c r="AL459" t="e">
        <f>IF(#REF!,"AAAAAF3d/SU=",0)</f>
        <v>#REF!</v>
      </c>
      <c r="AM459" t="e">
        <f>AND(#REF!,"AAAAAF3d/SY=")</f>
        <v>#REF!</v>
      </c>
      <c r="AN459" t="e">
        <f>AND(#REF!,"AAAAAF3d/Sc=")</f>
        <v>#REF!</v>
      </c>
      <c r="AO459" t="e">
        <f>AND(#REF!,"AAAAAF3d/Sg=")</f>
        <v>#REF!</v>
      </c>
      <c r="AP459" t="e">
        <f>AND(#REF!,"AAAAAF3d/Sk=")</f>
        <v>#REF!</v>
      </c>
      <c r="AQ459" t="e">
        <f>AND(#REF!,"AAAAAF3d/So=")</f>
        <v>#REF!</v>
      </c>
      <c r="AR459" t="e">
        <f>AND(#REF!,"AAAAAF3d/Ss=")</f>
        <v>#REF!</v>
      </c>
      <c r="AS459" t="e">
        <f>AND(#REF!,"AAAAAF3d/Sw=")</f>
        <v>#REF!</v>
      </c>
      <c r="AT459" t="e">
        <f>AND(#REF!,"AAAAAF3d/S0=")</f>
        <v>#REF!</v>
      </c>
      <c r="AU459" t="e">
        <f>AND(#REF!,"AAAAAF3d/S4=")</f>
        <v>#REF!</v>
      </c>
      <c r="AV459" t="e">
        <f>AND(#REF!,"AAAAAF3d/S8=")</f>
        <v>#REF!</v>
      </c>
      <c r="AW459" t="e">
        <f>IF(#REF!,"AAAAAF3d/TA=",0)</f>
        <v>#REF!</v>
      </c>
      <c r="AX459" t="e">
        <f>AND(#REF!,"AAAAAF3d/TE=")</f>
        <v>#REF!</v>
      </c>
      <c r="AY459" t="e">
        <f>AND(#REF!,"AAAAAF3d/TI=")</f>
        <v>#REF!</v>
      </c>
      <c r="AZ459" t="e">
        <f>AND(#REF!,"AAAAAF3d/TM=")</f>
        <v>#REF!</v>
      </c>
      <c r="BA459" t="e">
        <f>AND(#REF!,"AAAAAF3d/TQ=")</f>
        <v>#REF!</v>
      </c>
      <c r="BB459" t="e">
        <f>AND(#REF!,"AAAAAF3d/TU=")</f>
        <v>#REF!</v>
      </c>
      <c r="BC459" t="e">
        <f>AND(#REF!,"AAAAAF3d/TY=")</f>
        <v>#REF!</v>
      </c>
      <c r="BD459" t="e">
        <f>AND(#REF!,"AAAAAF3d/Tc=")</f>
        <v>#REF!</v>
      </c>
      <c r="BE459" t="e">
        <f>AND(#REF!,"AAAAAF3d/Tg=")</f>
        <v>#REF!</v>
      </c>
      <c r="BF459" t="e">
        <f>AND(#REF!,"AAAAAF3d/Tk=")</f>
        <v>#REF!</v>
      </c>
      <c r="BG459" t="e">
        <f>AND(#REF!,"AAAAAF3d/To=")</f>
        <v>#REF!</v>
      </c>
      <c r="BH459" t="e">
        <f>IF(#REF!,"AAAAAF3d/Ts=",0)</f>
        <v>#REF!</v>
      </c>
      <c r="BI459" t="e">
        <f>AND(#REF!,"AAAAAF3d/Tw=")</f>
        <v>#REF!</v>
      </c>
      <c r="BJ459" t="e">
        <f>AND(#REF!,"AAAAAF3d/T0=")</f>
        <v>#REF!</v>
      </c>
      <c r="BK459" t="e">
        <f>AND(#REF!,"AAAAAF3d/T4=")</f>
        <v>#REF!</v>
      </c>
      <c r="BL459" t="e">
        <f>AND(#REF!,"AAAAAF3d/T8=")</f>
        <v>#REF!</v>
      </c>
      <c r="BM459" t="e">
        <f>AND(#REF!,"AAAAAF3d/UA=")</f>
        <v>#REF!</v>
      </c>
      <c r="BN459" t="e">
        <f>AND(#REF!,"AAAAAF3d/UE=")</f>
        <v>#REF!</v>
      </c>
      <c r="BO459" t="e">
        <f>AND(#REF!,"AAAAAF3d/UI=")</f>
        <v>#REF!</v>
      </c>
      <c r="BP459" t="e">
        <f>AND(#REF!,"AAAAAF3d/UM=")</f>
        <v>#REF!</v>
      </c>
      <c r="BQ459" t="e">
        <f>AND(#REF!,"AAAAAF3d/UQ=")</f>
        <v>#REF!</v>
      </c>
      <c r="BR459" t="e">
        <f>AND(#REF!,"AAAAAF3d/UU=")</f>
        <v>#REF!</v>
      </c>
      <c r="BS459" t="e">
        <f>IF(#REF!,"AAAAAF3d/UY=",0)</f>
        <v>#REF!</v>
      </c>
      <c r="BT459" t="e">
        <f>AND(#REF!,"AAAAAF3d/Uc=")</f>
        <v>#REF!</v>
      </c>
      <c r="BU459" t="e">
        <f>AND(#REF!,"AAAAAF3d/Ug=")</f>
        <v>#REF!</v>
      </c>
      <c r="BV459" t="e">
        <f>AND(#REF!,"AAAAAF3d/Uk=")</f>
        <v>#REF!</v>
      </c>
      <c r="BW459" t="e">
        <f>AND(#REF!,"AAAAAF3d/Uo=")</f>
        <v>#REF!</v>
      </c>
      <c r="BX459" t="e">
        <f>AND(#REF!,"AAAAAF3d/Us=")</f>
        <v>#REF!</v>
      </c>
      <c r="BY459" t="e">
        <f>AND(#REF!,"AAAAAF3d/Uw=")</f>
        <v>#REF!</v>
      </c>
      <c r="BZ459" t="e">
        <f>AND(#REF!,"AAAAAF3d/U0=")</f>
        <v>#REF!</v>
      </c>
      <c r="CA459" t="e">
        <f>AND(#REF!,"AAAAAF3d/U4=")</f>
        <v>#REF!</v>
      </c>
      <c r="CB459" t="e">
        <f>AND(#REF!,"AAAAAF3d/U8=")</f>
        <v>#REF!</v>
      </c>
      <c r="CC459" t="e">
        <f>AND(#REF!,"AAAAAF3d/VA=")</f>
        <v>#REF!</v>
      </c>
      <c r="CD459" t="e">
        <f>IF(#REF!,"AAAAAF3d/VE=",0)</f>
        <v>#REF!</v>
      </c>
      <c r="CE459" t="e">
        <f>AND(#REF!,"AAAAAF3d/VI=")</f>
        <v>#REF!</v>
      </c>
      <c r="CF459" t="e">
        <f>AND(#REF!,"AAAAAF3d/VM=")</f>
        <v>#REF!</v>
      </c>
      <c r="CG459" t="e">
        <f>AND(#REF!,"AAAAAF3d/VQ=")</f>
        <v>#REF!</v>
      </c>
      <c r="CH459" t="e">
        <f>AND(#REF!,"AAAAAF3d/VU=")</f>
        <v>#REF!</v>
      </c>
      <c r="CI459" t="e">
        <f>AND(#REF!,"AAAAAF3d/VY=")</f>
        <v>#REF!</v>
      </c>
      <c r="CJ459" t="e">
        <f>AND(#REF!,"AAAAAF3d/Vc=")</f>
        <v>#REF!</v>
      </c>
      <c r="CK459" t="e">
        <f>AND(#REF!,"AAAAAF3d/Vg=")</f>
        <v>#REF!</v>
      </c>
      <c r="CL459" t="e">
        <f>AND(#REF!,"AAAAAF3d/Vk=")</f>
        <v>#REF!</v>
      </c>
      <c r="CM459" t="e">
        <f>AND(#REF!,"AAAAAF3d/Vo=")</f>
        <v>#REF!</v>
      </c>
      <c r="CN459" t="e">
        <f>AND(#REF!,"AAAAAF3d/Vs=")</f>
        <v>#REF!</v>
      </c>
      <c r="CO459" t="e">
        <f>IF(#REF!,"AAAAAF3d/Vw=",0)</f>
        <v>#REF!</v>
      </c>
      <c r="CP459" t="e">
        <f>AND(#REF!,"AAAAAF3d/V0=")</f>
        <v>#REF!</v>
      </c>
      <c r="CQ459" t="e">
        <f>AND(#REF!,"AAAAAF3d/V4=")</f>
        <v>#REF!</v>
      </c>
      <c r="CR459" t="e">
        <f>AND(#REF!,"AAAAAF3d/V8=")</f>
        <v>#REF!</v>
      </c>
      <c r="CS459" t="e">
        <f>AND(#REF!,"AAAAAF3d/WA=")</f>
        <v>#REF!</v>
      </c>
      <c r="CT459" t="e">
        <f>AND(#REF!,"AAAAAF3d/WE=")</f>
        <v>#REF!</v>
      </c>
      <c r="CU459" t="e">
        <f>AND(#REF!,"AAAAAF3d/WI=")</f>
        <v>#REF!</v>
      </c>
      <c r="CV459" t="e">
        <f>AND(#REF!,"AAAAAF3d/WM=")</f>
        <v>#REF!</v>
      </c>
      <c r="CW459" t="e">
        <f>AND(#REF!,"AAAAAF3d/WQ=")</f>
        <v>#REF!</v>
      </c>
      <c r="CX459" t="e">
        <f>AND(#REF!,"AAAAAF3d/WU=")</f>
        <v>#REF!</v>
      </c>
      <c r="CY459" t="e">
        <f>AND(#REF!,"AAAAAF3d/WY=")</f>
        <v>#REF!</v>
      </c>
      <c r="CZ459" t="e">
        <f>IF(#REF!,"AAAAAF3d/Wc=",0)</f>
        <v>#REF!</v>
      </c>
      <c r="DA459" t="e">
        <f>AND(#REF!,"AAAAAF3d/Wg=")</f>
        <v>#REF!</v>
      </c>
      <c r="DB459" t="e">
        <f>AND(#REF!,"AAAAAF3d/Wk=")</f>
        <v>#REF!</v>
      </c>
      <c r="DC459" t="e">
        <f>AND(#REF!,"AAAAAF3d/Wo=")</f>
        <v>#REF!</v>
      </c>
      <c r="DD459" t="e">
        <f>AND(#REF!,"AAAAAF3d/Ws=")</f>
        <v>#REF!</v>
      </c>
      <c r="DE459" t="e">
        <f>AND(#REF!,"AAAAAF3d/Ww=")</f>
        <v>#REF!</v>
      </c>
      <c r="DF459" t="e">
        <f>AND(#REF!,"AAAAAF3d/W0=")</f>
        <v>#REF!</v>
      </c>
      <c r="DG459" t="e">
        <f>AND(#REF!,"AAAAAF3d/W4=")</f>
        <v>#REF!</v>
      </c>
      <c r="DH459" t="e">
        <f>AND(#REF!,"AAAAAF3d/W8=")</f>
        <v>#REF!</v>
      </c>
      <c r="DI459" t="e">
        <f>AND(#REF!,"AAAAAF3d/XA=")</f>
        <v>#REF!</v>
      </c>
      <c r="DJ459" t="e">
        <f>AND(#REF!,"AAAAAF3d/XE=")</f>
        <v>#REF!</v>
      </c>
      <c r="DK459" t="e">
        <f>IF(#REF!,"AAAAAF3d/XI=",0)</f>
        <v>#REF!</v>
      </c>
      <c r="DL459" t="e">
        <f>AND(#REF!,"AAAAAF3d/XM=")</f>
        <v>#REF!</v>
      </c>
      <c r="DM459" t="e">
        <f>AND(#REF!,"AAAAAF3d/XQ=")</f>
        <v>#REF!</v>
      </c>
      <c r="DN459" t="e">
        <f>AND(#REF!,"AAAAAF3d/XU=")</f>
        <v>#REF!</v>
      </c>
      <c r="DO459" t="e">
        <f>AND(#REF!,"AAAAAF3d/XY=")</f>
        <v>#REF!</v>
      </c>
      <c r="DP459" t="e">
        <f>AND(#REF!,"AAAAAF3d/Xc=")</f>
        <v>#REF!</v>
      </c>
      <c r="DQ459" t="e">
        <f>AND(#REF!,"AAAAAF3d/Xg=")</f>
        <v>#REF!</v>
      </c>
      <c r="DR459" t="e">
        <f>AND(#REF!,"AAAAAF3d/Xk=")</f>
        <v>#REF!</v>
      </c>
      <c r="DS459" t="e">
        <f>AND(#REF!,"AAAAAF3d/Xo=")</f>
        <v>#REF!</v>
      </c>
      <c r="DT459" t="e">
        <f>AND(#REF!,"AAAAAF3d/Xs=")</f>
        <v>#REF!</v>
      </c>
      <c r="DU459" t="e">
        <f>AND(#REF!,"AAAAAF3d/Xw=")</f>
        <v>#REF!</v>
      </c>
      <c r="DV459" t="e">
        <f>IF(#REF!,"AAAAAF3d/X0=",0)</f>
        <v>#REF!</v>
      </c>
      <c r="DW459" t="e">
        <f>AND(#REF!,"AAAAAF3d/X4=")</f>
        <v>#REF!</v>
      </c>
      <c r="DX459" t="e">
        <f>AND(#REF!,"AAAAAF3d/X8=")</f>
        <v>#REF!</v>
      </c>
      <c r="DY459" t="e">
        <f>AND(#REF!,"AAAAAF3d/YA=")</f>
        <v>#REF!</v>
      </c>
      <c r="DZ459" t="e">
        <f>AND(#REF!,"AAAAAF3d/YE=")</f>
        <v>#REF!</v>
      </c>
      <c r="EA459" t="e">
        <f>AND(#REF!,"AAAAAF3d/YI=")</f>
        <v>#REF!</v>
      </c>
      <c r="EB459" t="e">
        <f>AND(#REF!,"AAAAAF3d/YM=")</f>
        <v>#REF!</v>
      </c>
      <c r="EC459" t="e">
        <f>AND(#REF!,"AAAAAF3d/YQ=")</f>
        <v>#REF!</v>
      </c>
      <c r="ED459" t="e">
        <f>AND(#REF!,"AAAAAF3d/YU=")</f>
        <v>#REF!</v>
      </c>
      <c r="EE459" t="e">
        <f>AND(#REF!,"AAAAAF3d/YY=")</f>
        <v>#REF!</v>
      </c>
      <c r="EF459" t="e">
        <f>AND(#REF!,"AAAAAF3d/Yc=")</f>
        <v>#REF!</v>
      </c>
      <c r="EG459" t="e">
        <f>IF(#REF!,"AAAAAF3d/Yg=",0)</f>
        <v>#REF!</v>
      </c>
      <c r="EH459" t="e">
        <f>AND(#REF!,"AAAAAF3d/Yk=")</f>
        <v>#REF!</v>
      </c>
      <c r="EI459" t="e">
        <f>AND(#REF!,"AAAAAF3d/Yo=")</f>
        <v>#REF!</v>
      </c>
      <c r="EJ459" t="e">
        <f>AND(#REF!,"AAAAAF3d/Ys=")</f>
        <v>#REF!</v>
      </c>
      <c r="EK459" t="e">
        <f>AND(#REF!,"AAAAAF3d/Yw=")</f>
        <v>#REF!</v>
      </c>
      <c r="EL459" t="e">
        <f>AND(#REF!,"AAAAAF3d/Y0=")</f>
        <v>#REF!</v>
      </c>
      <c r="EM459" t="e">
        <f>AND(#REF!,"AAAAAF3d/Y4=")</f>
        <v>#REF!</v>
      </c>
      <c r="EN459" t="e">
        <f>AND(#REF!,"AAAAAF3d/Y8=")</f>
        <v>#REF!</v>
      </c>
      <c r="EO459" t="e">
        <f>AND(#REF!,"AAAAAF3d/ZA=")</f>
        <v>#REF!</v>
      </c>
      <c r="EP459" t="e">
        <f>AND(#REF!,"AAAAAF3d/ZE=")</f>
        <v>#REF!</v>
      </c>
      <c r="EQ459" t="e">
        <f>AND(#REF!,"AAAAAF3d/ZI=")</f>
        <v>#REF!</v>
      </c>
      <c r="ER459" t="e">
        <f>IF(#REF!,"AAAAAF3d/ZM=",0)</f>
        <v>#REF!</v>
      </c>
      <c r="ES459" t="e">
        <f>AND(#REF!,"AAAAAF3d/ZQ=")</f>
        <v>#REF!</v>
      </c>
      <c r="ET459" t="e">
        <f>AND(#REF!,"AAAAAF3d/ZU=")</f>
        <v>#REF!</v>
      </c>
      <c r="EU459" t="e">
        <f>AND(#REF!,"AAAAAF3d/ZY=")</f>
        <v>#REF!</v>
      </c>
      <c r="EV459" t="e">
        <f>AND(#REF!,"AAAAAF3d/Zc=")</f>
        <v>#REF!</v>
      </c>
      <c r="EW459" t="e">
        <f>AND(#REF!,"AAAAAF3d/Zg=")</f>
        <v>#REF!</v>
      </c>
      <c r="EX459" t="e">
        <f>AND(#REF!,"AAAAAF3d/Zk=")</f>
        <v>#REF!</v>
      </c>
      <c r="EY459" t="e">
        <f>AND(#REF!,"AAAAAF3d/Zo=")</f>
        <v>#REF!</v>
      </c>
      <c r="EZ459" t="e">
        <f>AND(#REF!,"AAAAAF3d/Zs=")</f>
        <v>#REF!</v>
      </c>
      <c r="FA459" t="e">
        <f>AND(#REF!,"AAAAAF3d/Zw=")</f>
        <v>#REF!</v>
      </c>
      <c r="FB459" t="e">
        <f>AND(#REF!,"AAAAAF3d/Z0=")</f>
        <v>#REF!</v>
      </c>
      <c r="FC459" t="e">
        <f>IF(#REF!,"AAAAAF3d/Z4=",0)</f>
        <v>#REF!</v>
      </c>
      <c r="FD459" t="e">
        <f>AND(#REF!,"AAAAAF3d/Z8=")</f>
        <v>#REF!</v>
      </c>
      <c r="FE459" t="e">
        <f>AND(#REF!,"AAAAAF3d/aA=")</f>
        <v>#REF!</v>
      </c>
      <c r="FF459" t="e">
        <f>AND(#REF!,"AAAAAF3d/aE=")</f>
        <v>#REF!</v>
      </c>
      <c r="FG459" t="e">
        <f>AND(#REF!,"AAAAAF3d/aI=")</f>
        <v>#REF!</v>
      </c>
      <c r="FH459" t="e">
        <f>AND(#REF!,"AAAAAF3d/aM=")</f>
        <v>#REF!</v>
      </c>
      <c r="FI459" t="e">
        <f>AND(#REF!,"AAAAAF3d/aQ=")</f>
        <v>#REF!</v>
      </c>
      <c r="FJ459" t="e">
        <f>AND(#REF!,"AAAAAF3d/aU=")</f>
        <v>#REF!</v>
      </c>
      <c r="FK459" t="e">
        <f>AND(#REF!,"AAAAAF3d/aY=")</f>
        <v>#REF!</v>
      </c>
      <c r="FL459" t="e">
        <f>AND(#REF!,"AAAAAF3d/ac=")</f>
        <v>#REF!</v>
      </c>
      <c r="FM459" t="e">
        <f>AND(#REF!,"AAAAAF3d/ag=")</f>
        <v>#REF!</v>
      </c>
      <c r="FN459" t="e">
        <f>IF(#REF!,"AAAAAF3d/ak=",0)</f>
        <v>#REF!</v>
      </c>
      <c r="FO459" t="e">
        <f>AND(#REF!,"AAAAAF3d/ao=")</f>
        <v>#REF!</v>
      </c>
      <c r="FP459" t="e">
        <f>AND(#REF!,"AAAAAF3d/as=")</f>
        <v>#REF!</v>
      </c>
      <c r="FQ459" t="e">
        <f>AND(#REF!,"AAAAAF3d/aw=")</f>
        <v>#REF!</v>
      </c>
      <c r="FR459" t="e">
        <f>AND(#REF!,"AAAAAF3d/a0=")</f>
        <v>#REF!</v>
      </c>
      <c r="FS459" t="e">
        <f>AND(#REF!,"AAAAAF3d/a4=")</f>
        <v>#REF!</v>
      </c>
      <c r="FT459" t="e">
        <f>AND(#REF!,"AAAAAF3d/a8=")</f>
        <v>#REF!</v>
      </c>
      <c r="FU459" t="e">
        <f>AND(#REF!,"AAAAAF3d/bA=")</f>
        <v>#REF!</v>
      </c>
      <c r="FV459" t="e">
        <f>AND(#REF!,"AAAAAF3d/bE=")</f>
        <v>#REF!</v>
      </c>
      <c r="FW459" t="e">
        <f>AND(#REF!,"AAAAAF3d/bI=")</f>
        <v>#REF!</v>
      </c>
      <c r="FX459" t="e">
        <f>AND(#REF!,"AAAAAF3d/bM=")</f>
        <v>#REF!</v>
      </c>
      <c r="FY459" t="e">
        <f>IF(#REF!,"AAAAAF3d/bQ=",0)</f>
        <v>#REF!</v>
      </c>
      <c r="FZ459" t="e">
        <f>AND(#REF!,"AAAAAF3d/bU=")</f>
        <v>#REF!</v>
      </c>
      <c r="GA459" t="e">
        <f>AND(#REF!,"AAAAAF3d/bY=")</f>
        <v>#REF!</v>
      </c>
      <c r="GB459" t="e">
        <f>AND(#REF!,"AAAAAF3d/bc=")</f>
        <v>#REF!</v>
      </c>
      <c r="GC459" t="e">
        <f>AND(#REF!,"AAAAAF3d/bg=")</f>
        <v>#REF!</v>
      </c>
      <c r="GD459" t="e">
        <f>AND(#REF!,"AAAAAF3d/bk=")</f>
        <v>#REF!</v>
      </c>
      <c r="GE459" t="e">
        <f>AND(#REF!,"AAAAAF3d/bo=")</f>
        <v>#REF!</v>
      </c>
      <c r="GF459" t="e">
        <f>AND(#REF!,"AAAAAF3d/bs=")</f>
        <v>#REF!</v>
      </c>
      <c r="GG459" t="e">
        <f>AND(#REF!,"AAAAAF3d/bw=")</f>
        <v>#REF!</v>
      </c>
      <c r="GH459" t="e">
        <f>AND(#REF!,"AAAAAF3d/b0=")</f>
        <v>#REF!</v>
      </c>
      <c r="GI459" t="e">
        <f>AND(#REF!,"AAAAAF3d/b4=")</f>
        <v>#REF!</v>
      </c>
      <c r="GJ459" t="e">
        <f>IF(#REF!,"AAAAAF3d/b8=",0)</f>
        <v>#REF!</v>
      </c>
      <c r="GK459" t="e">
        <f>AND(#REF!,"AAAAAF3d/cA=")</f>
        <v>#REF!</v>
      </c>
      <c r="GL459" t="e">
        <f>AND(#REF!,"AAAAAF3d/cE=")</f>
        <v>#REF!</v>
      </c>
      <c r="GM459" t="e">
        <f>AND(#REF!,"AAAAAF3d/cI=")</f>
        <v>#REF!</v>
      </c>
      <c r="GN459" t="e">
        <f>AND(#REF!,"AAAAAF3d/cM=")</f>
        <v>#REF!</v>
      </c>
      <c r="GO459" t="e">
        <f>AND(#REF!,"AAAAAF3d/cQ=")</f>
        <v>#REF!</v>
      </c>
      <c r="GP459" t="e">
        <f>AND(#REF!,"AAAAAF3d/cU=")</f>
        <v>#REF!</v>
      </c>
      <c r="GQ459" t="e">
        <f>AND(#REF!,"AAAAAF3d/cY=")</f>
        <v>#REF!</v>
      </c>
      <c r="GR459" t="e">
        <f>AND(#REF!,"AAAAAF3d/cc=")</f>
        <v>#REF!</v>
      </c>
      <c r="GS459" t="e">
        <f>AND(#REF!,"AAAAAF3d/cg=")</f>
        <v>#REF!</v>
      </c>
      <c r="GT459" t="e">
        <f>AND(#REF!,"AAAAAF3d/ck=")</f>
        <v>#REF!</v>
      </c>
      <c r="GU459" t="e">
        <f>IF(#REF!,"AAAAAF3d/co=",0)</f>
        <v>#REF!</v>
      </c>
      <c r="GV459" t="e">
        <f>AND(#REF!,"AAAAAF3d/cs=")</f>
        <v>#REF!</v>
      </c>
      <c r="GW459" t="e">
        <f>AND(#REF!,"AAAAAF3d/cw=")</f>
        <v>#REF!</v>
      </c>
      <c r="GX459" t="e">
        <f>AND(#REF!,"AAAAAF3d/c0=")</f>
        <v>#REF!</v>
      </c>
      <c r="GY459" t="e">
        <f>AND(#REF!,"AAAAAF3d/c4=")</f>
        <v>#REF!</v>
      </c>
      <c r="GZ459" t="e">
        <f>AND(#REF!,"AAAAAF3d/c8=")</f>
        <v>#REF!</v>
      </c>
      <c r="HA459" t="e">
        <f>AND(#REF!,"AAAAAF3d/dA=")</f>
        <v>#REF!</v>
      </c>
      <c r="HB459" t="e">
        <f>AND(#REF!,"AAAAAF3d/dE=")</f>
        <v>#REF!</v>
      </c>
      <c r="HC459" t="e">
        <f>AND(#REF!,"AAAAAF3d/dI=")</f>
        <v>#REF!</v>
      </c>
      <c r="HD459" t="e">
        <f>AND(#REF!,"AAAAAF3d/dM=")</f>
        <v>#REF!</v>
      </c>
      <c r="HE459" t="e">
        <f>AND(#REF!,"AAAAAF3d/dQ=")</f>
        <v>#REF!</v>
      </c>
      <c r="HF459" t="e">
        <f>IF(#REF!,"AAAAAF3d/dU=",0)</f>
        <v>#REF!</v>
      </c>
      <c r="HG459" t="e">
        <f>AND(#REF!,"AAAAAF3d/dY=")</f>
        <v>#REF!</v>
      </c>
      <c r="HH459" t="e">
        <f>AND(#REF!,"AAAAAF3d/dc=")</f>
        <v>#REF!</v>
      </c>
      <c r="HI459" t="e">
        <f>AND(#REF!,"AAAAAF3d/dg=")</f>
        <v>#REF!</v>
      </c>
      <c r="HJ459" t="e">
        <f>AND(#REF!,"AAAAAF3d/dk=")</f>
        <v>#REF!</v>
      </c>
      <c r="HK459" t="e">
        <f>AND(#REF!,"AAAAAF3d/do=")</f>
        <v>#REF!</v>
      </c>
      <c r="HL459" t="e">
        <f>AND(#REF!,"AAAAAF3d/ds=")</f>
        <v>#REF!</v>
      </c>
      <c r="HM459" t="e">
        <f>AND(#REF!,"AAAAAF3d/dw=")</f>
        <v>#REF!</v>
      </c>
      <c r="HN459" t="e">
        <f>AND(#REF!,"AAAAAF3d/d0=")</f>
        <v>#REF!</v>
      </c>
      <c r="HO459" t="e">
        <f>AND(#REF!,"AAAAAF3d/d4=")</f>
        <v>#REF!</v>
      </c>
      <c r="HP459" t="e">
        <f>AND(#REF!,"AAAAAF3d/d8=")</f>
        <v>#REF!</v>
      </c>
      <c r="HQ459" t="e">
        <f>IF(#REF!,"AAAAAF3d/eA=",0)</f>
        <v>#REF!</v>
      </c>
      <c r="HR459" t="e">
        <f>AND(#REF!,"AAAAAF3d/eE=")</f>
        <v>#REF!</v>
      </c>
      <c r="HS459" t="e">
        <f>AND(#REF!,"AAAAAF3d/eI=")</f>
        <v>#REF!</v>
      </c>
      <c r="HT459" t="e">
        <f>AND(#REF!,"AAAAAF3d/eM=")</f>
        <v>#REF!</v>
      </c>
      <c r="HU459" t="e">
        <f>AND(#REF!,"AAAAAF3d/eQ=")</f>
        <v>#REF!</v>
      </c>
      <c r="HV459" t="e">
        <f>AND(#REF!,"AAAAAF3d/eU=")</f>
        <v>#REF!</v>
      </c>
      <c r="HW459" t="e">
        <f>AND(#REF!,"AAAAAF3d/eY=")</f>
        <v>#REF!</v>
      </c>
      <c r="HX459" t="e">
        <f>AND(#REF!,"AAAAAF3d/ec=")</f>
        <v>#REF!</v>
      </c>
      <c r="HY459" t="e">
        <f>AND(#REF!,"AAAAAF3d/eg=")</f>
        <v>#REF!</v>
      </c>
      <c r="HZ459" t="e">
        <f>AND(#REF!,"AAAAAF3d/ek=")</f>
        <v>#REF!</v>
      </c>
      <c r="IA459" t="e">
        <f>AND(#REF!,"AAAAAF3d/eo=")</f>
        <v>#REF!</v>
      </c>
      <c r="IB459" t="e">
        <f>IF(#REF!,"AAAAAF3d/es=",0)</f>
        <v>#REF!</v>
      </c>
      <c r="IC459" t="e">
        <f>AND(#REF!,"AAAAAF3d/ew=")</f>
        <v>#REF!</v>
      </c>
      <c r="ID459" t="e">
        <f>AND(#REF!,"AAAAAF3d/e0=")</f>
        <v>#REF!</v>
      </c>
      <c r="IE459" t="e">
        <f>AND(#REF!,"AAAAAF3d/e4=")</f>
        <v>#REF!</v>
      </c>
      <c r="IF459" t="e">
        <f>AND(#REF!,"AAAAAF3d/e8=")</f>
        <v>#REF!</v>
      </c>
      <c r="IG459" t="e">
        <f>AND(#REF!,"AAAAAF3d/fA=")</f>
        <v>#REF!</v>
      </c>
      <c r="IH459" t="e">
        <f>AND(#REF!,"AAAAAF3d/fE=")</f>
        <v>#REF!</v>
      </c>
      <c r="II459" t="e">
        <f>AND(#REF!,"AAAAAF3d/fI=")</f>
        <v>#REF!</v>
      </c>
      <c r="IJ459" t="e">
        <f>AND(#REF!,"AAAAAF3d/fM=")</f>
        <v>#REF!</v>
      </c>
      <c r="IK459" t="e">
        <f>AND(#REF!,"AAAAAF3d/fQ=")</f>
        <v>#REF!</v>
      </c>
      <c r="IL459" t="e">
        <f>AND(#REF!,"AAAAAF3d/fU=")</f>
        <v>#REF!</v>
      </c>
      <c r="IM459" t="e">
        <f>IF(#REF!,"AAAAAF3d/fY=",0)</f>
        <v>#REF!</v>
      </c>
      <c r="IN459" t="e">
        <f>AND(#REF!,"AAAAAF3d/fc=")</f>
        <v>#REF!</v>
      </c>
      <c r="IO459" t="e">
        <f>AND(#REF!,"AAAAAF3d/fg=")</f>
        <v>#REF!</v>
      </c>
      <c r="IP459" t="e">
        <f>AND(#REF!,"AAAAAF3d/fk=")</f>
        <v>#REF!</v>
      </c>
      <c r="IQ459" t="e">
        <f>AND(#REF!,"AAAAAF3d/fo=")</f>
        <v>#REF!</v>
      </c>
      <c r="IR459" t="e">
        <f>AND(#REF!,"AAAAAF3d/fs=")</f>
        <v>#REF!</v>
      </c>
      <c r="IS459" t="e">
        <f>AND(#REF!,"AAAAAF3d/fw=")</f>
        <v>#REF!</v>
      </c>
      <c r="IT459" t="e">
        <f>AND(#REF!,"AAAAAF3d/f0=")</f>
        <v>#REF!</v>
      </c>
      <c r="IU459" t="e">
        <f>AND(#REF!,"AAAAAF3d/f4=")</f>
        <v>#REF!</v>
      </c>
      <c r="IV459" t="e">
        <f>AND(#REF!,"AAAAAF3d/f8=")</f>
        <v>#REF!</v>
      </c>
    </row>
    <row r="460" spans="1:256" x14ac:dyDescent="0.25">
      <c r="A460" t="e">
        <f>AND(#REF!,"AAAAACz//QA=")</f>
        <v>#REF!</v>
      </c>
      <c r="B460" t="e">
        <f>IF(#REF!,"AAAAACz//QE=",0)</f>
        <v>#REF!</v>
      </c>
      <c r="C460" t="e">
        <f>AND(#REF!,"AAAAACz//QI=")</f>
        <v>#REF!</v>
      </c>
      <c r="D460" t="e">
        <f>AND(#REF!,"AAAAACz//QM=")</f>
        <v>#REF!</v>
      </c>
      <c r="E460" t="e">
        <f>AND(#REF!,"AAAAACz//QQ=")</f>
        <v>#REF!</v>
      </c>
      <c r="F460" t="e">
        <f>AND(#REF!,"AAAAACz//QU=")</f>
        <v>#REF!</v>
      </c>
      <c r="G460" t="e">
        <f>AND(#REF!,"AAAAACz//QY=")</f>
        <v>#REF!</v>
      </c>
      <c r="H460" t="e">
        <f>AND(#REF!,"AAAAACz//Qc=")</f>
        <v>#REF!</v>
      </c>
      <c r="I460" t="e">
        <f>AND(#REF!,"AAAAACz//Qg=")</f>
        <v>#REF!</v>
      </c>
      <c r="J460" t="e">
        <f>AND(#REF!,"AAAAACz//Qk=")</f>
        <v>#REF!</v>
      </c>
      <c r="K460" t="e">
        <f>AND(#REF!,"AAAAACz//Qo=")</f>
        <v>#REF!</v>
      </c>
      <c r="L460" t="e">
        <f>AND(#REF!,"AAAAACz//Qs=")</f>
        <v>#REF!</v>
      </c>
      <c r="M460" t="e">
        <f>IF(#REF!,"AAAAACz//Qw=",0)</f>
        <v>#REF!</v>
      </c>
      <c r="N460" t="e">
        <f>AND(#REF!,"AAAAACz//Q0=")</f>
        <v>#REF!</v>
      </c>
      <c r="O460" t="e">
        <f>AND(#REF!,"AAAAACz//Q4=")</f>
        <v>#REF!</v>
      </c>
      <c r="P460" t="e">
        <f>AND(#REF!,"AAAAACz//Q8=")</f>
        <v>#REF!</v>
      </c>
      <c r="Q460" t="e">
        <f>AND(#REF!,"AAAAACz//RA=")</f>
        <v>#REF!</v>
      </c>
      <c r="R460" t="e">
        <f>AND(#REF!,"AAAAACz//RE=")</f>
        <v>#REF!</v>
      </c>
      <c r="S460" t="e">
        <f>AND(#REF!,"AAAAACz//RI=")</f>
        <v>#REF!</v>
      </c>
      <c r="T460" t="e">
        <f>AND(#REF!,"AAAAACz//RM=")</f>
        <v>#REF!</v>
      </c>
      <c r="U460" t="e">
        <f>AND(#REF!,"AAAAACz//RQ=")</f>
        <v>#REF!</v>
      </c>
      <c r="V460" t="e">
        <f>AND(#REF!,"AAAAACz//RU=")</f>
        <v>#REF!</v>
      </c>
      <c r="W460" t="e">
        <f>AND(#REF!,"AAAAACz//RY=")</f>
        <v>#REF!</v>
      </c>
      <c r="X460" t="e">
        <f>IF(#REF!,"AAAAACz//Rc=",0)</f>
        <v>#REF!</v>
      </c>
      <c r="Y460" t="e">
        <f>AND(#REF!,"AAAAACz//Rg=")</f>
        <v>#REF!</v>
      </c>
      <c r="Z460" t="e">
        <f>AND(#REF!,"AAAAACz//Rk=")</f>
        <v>#REF!</v>
      </c>
      <c r="AA460" t="e">
        <f>AND(#REF!,"AAAAACz//Ro=")</f>
        <v>#REF!</v>
      </c>
      <c r="AB460" t="e">
        <f>AND(#REF!,"AAAAACz//Rs=")</f>
        <v>#REF!</v>
      </c>
      <c r="AC460" t="e">
        <f>AND(#REF!,"AAAAACz//Rw=")</f>
        <v>#REF!</v>
      </c>
      <c r="AD460" t="e">
        <f>AND(#REF!,"AAAAACz//R0=")</f>
        <v>#REF!</v>
      </c>
      <c r="AE460" t="e">
        <f>AND(#REF!,"AAAAACz//R4=")</f>
        <v>#REF!</v>
      </c>
      <c r="AF460" t="e">
        <f>AND(#REF!,"AAAAACz//R8=")</f>
        <v>#REF!</v>
      </c>
      <c r="AG460" t="e">
        <f>AND(#REF!,"AAAAACz//SA=")</f>
        <v>#REF!</v>
      </c>
      <c r="AH460" t="e">
        <f>AND(#REF!,"AAAAACz//SE=")</f>
        <v>#REF!</v>
      </c>
      <c r="AI460" t="e">
        <f>IF(#REF!,"AAAAACz//SI=",0)</f>
        <v>#REF!</v>
      </c>
      <c r="AJ460" t="e">
        <f>AND(#REF!,"AAAAACz//SM=")</f>
        <v>#REF!</v>
      </c>
      <c r="AK460" t="e">
        <f>AND(#REF!,"AAAAACz//SQ=")</f>
        <v>#REF!</v>
      </c>
      <c r="AL460" t="e">
        <f>AND(#REF!,"AAAAACz//SU=")</f>
        <v>#REF!</v>
      </c>
      <c r="AM460" t="e">
        <f>AND(#REF!,"AAAAACz//SY=")</f>
        <v>#REF!</v>
      </c>
      <c r="AN460" t="e">
        <f>AND(#REF!,"AAAAACz//Sc=")</f>
        <v>#REF!</v>
      </c>
      <c r="AO460" t="e">
        <f>AND(#REF!,"AAAAACz//Sg=")</f>
        <v>#REF!</v>
      </c>
      <c r="AP460" t="e">
        <f>AND(#REF!,"AAAAACz//Sk=")</f>
        <v>#REF!</v>
      </c>
      <c r="AQ460" t="e">
        <f>AND(#REF!,"AAAAACz//So=")</f>
        <v>#REF!</v>
      </c>
      <c r="AR460" t="e">
        <f>AND(#REF!,"AAAAACz//Ss=")</f>
        <v>#REF!</v>
      </c>
      <c r="AS460" t="e">
        <f>AND(#REF!,"AAAAACz//Sw=")</f>
        <v>#REF!</v>
      </c>
      <c r="AT460" t="e">
        <f>IF(#REF!,"AAAAACz//S0=",0)</f>
        <v>#REF!</v>
      </c>
      <c r="AU460" t="e">
        <f>AND(#REF!,"AAAAACz//S4=")</f>
        <v>#REF!</v>
      </c>
      <c r="AV460" t="e">
        <f>AND(#REF!,"AAAAACz//S8=")</f>
        <v>#REF!</v>
      </c>
      <c r="AW460" t="e">
        <f>AND(#REF!,"AAAAACz//TA=")</f>
        <v>#REF!</v>
      </c>
      <c r="AX460" t="e">
        <f>AND(#REF!,"AAAAACz//TE=")</f>
        <v>#REF!</v>
      </c>
      <c r="AY460" t="e">
        <f>AND(#REF!,"AAAAACz//TI=")</f>
        <v>#REF!</v>
      </c>
      <c r="AZ460" t="e">
        <f>AND(#REF!,"AAAAACz//TM=")</f>
        <v>#REF!</v>
      </c>
      <c r="BA460" t="e">
        <f>AND(#REF!,"AAAAACz//TQ=")</f>
        <v>#REF!</v>
      </c>
      <c r="BB460" t="e">
        <f>AND(#REF!,"AAAAACz//TU=")</f>
        <v>#REF!</v>
      </c>
      <c r="BC460" t="e">
        <f>AND(#REF!,"AAAAACz//TY=")</f>
        <v>#REF!</v>
      </c>
      <c r="BD460" t="e">
        <f>AND(#REF!,"AAAAACz//Tc=")</f>
        <v>#REF!</v>
      </c>
      <c r="BE460" t="e">
        <f>IF(#REF!,"AAAAACz//Tg=",0)</f>
        <v>#REF!</v>
      </c>
      <c r="BF460" t="e">
        <f>AND(#REF!,"AAAAACz//Tk=")</f>
        <v>#REF!</v>
      </c>
      <c r="BG460" t="e">
        <f>AND(#REF!,"AAAAACz//To=")</f>
        <v>#REF!</v>
      </c>
      <c r="BH460" t="e">
        <f>AND(#REF!,"AAAAACz//Ts=")</f>
        <v>#REF!</v>
      </c>
      <c r="BI460" t="e">
        <f>AND(#REF!,"AAAAACz//Tw=")</f>
        <v>#REF!</v>
      </c>
      <c r="BJ460" t="e">
        <f>AND(#REF!,"AAAAACz//T0=")</f>
        <v>#REF!</v>
      </c>
      <c r="BK460" t="e">
        <f>AND(#REF!,"AAAAACz//T4=")</f>
        <v>#REF!</v>
      </c>
      <c r="BL460" t="e">
        <f>AND(#REF!,"AAAAACz//T8=")</f>
        <v>#REF!</v>
      </c>
      <c r="BM460" t="e">
        <f>AND(#REF!,"AAAAACz//UA=")</f>
        <v>#REF!</v>
      </c>
      <c r="BN460" t="e">
        <f>AND(#REF!,"AAAAACz//UE=")</f>
        <v>#REF!</v>
      </c>
      <c r="BO460" t="e">
        <f>AND(#REF!,"AAAAACz//UI=")</f>
        <v>#REF!</v>
      </c>
      <c r="BP460" t="e">
        <f>IF(#REF!,"AAAAACz//UM=",0)</f>
        <v>#REF!</v>
      </c>
      <c r="BQ460" t="e">
        <f>AND(#REF!,"AAAAACz//UQ=")</f>
        <v>#REF!</v>
      </c>
      <c r="BR460" t="e">
        <f>AND(#REF!,"AAAAACz//UU=")</f>
        <v>#REF!</v>
      </c>
      <c r="BS460" t="e">
        <f>AND(#REF!,"AAAAACz//UY=")</f>
        <v>#REF!</v>
      </c>
      <c r="BT460" t="e">
        <f>AND(#REF!,"AAAAACz//Uc=")</f>
        <v>#REF!</v>
      </c>
      <c r="BU460" t="e">
        <f>AND(#REF!,"AAAAACz//Ug=")</f>
        <v>#REF!</v>
      </c>
      <c r="BV460" t="e">
        <f>AND(#REF!,"AAAAACz//Uk=")</f>
        <v>#REF!</v>
      </c>
      <c r="BW460" t="e">
        <f>AND(#REF!,"AAAAACz//Uo=")</f>
        <v>#REF!</v>
      </c>
      <c r="BX460" t="e">
        <f>AND(#REF!,"AAAAACz//Us=")</f>
        <v>#REF!</v>
      </c>
      <c r="BY460" t="e">
        <f>AND(#REF!,"AAAAACz//Uw=")</f>
        <v>#REF!</v>
      </c>
      <c r="BZ460" t="e">
        <f>AND(#REF!,"AAAAACz//U0=")</f>
        <v>#REF!</v>
      </c>
      <c r="CA460" t="e">
        <f>IF(#REF!,"AAAAACz//U4=",0)</f>
        <v>#REF!</v>
      </c>
      <c r="CB460" t="e">
        <f>AND(#REF!,"AAAAACz//U8=")</f>
        <v>#REF!</v>
      </c>
      <c r="CC460" t="e">
        <f>AND(#REF!,"AAAAACz//VA=")</f>
        <v>#REF!</v>
      </c>
      <c r="CD460" t="e">
        <f>AND(#REF!,"AAAAACz//VE=")</f>
        <v>#REF!</v>
      </c>
      <c r="CE460" t="e">
        <f>AND(#REF!,"AAAAACz//VI=")</f>
        <v>#REF!</v>
      </c>
      <c r="CF460" t="e">
        <f>AND(#REF!,"AAAAACz//VM=")</f>
        <v>#REF!</v>
      </c>
      <c r="CG460" t="e">
        <f>AND(#REF!,"AAAAACz//VQ=")</f>
        <v>#REF!</v>
      </c>
      <c r="CH460" t="e">
        <f>AND(#REF!,"AAAAACz//VU=")</f>
        <v>#REF!</v>
      </c>
      <c r="CI460" t="e">
        <f>AND(#REF!,"AAAAACz//VY=")</f>
        <v>#REF!</v>
      </c>
      <c r="CJ460" t="e">
        <f>AND(#REF!,"AAAAACz//Vc=")</f>
        <v>#REF!</v>
      </c>
      <c r="CK460" t="e">
        <f>AND(#REF!,"AAAAACz//Vg=")</f>
        <v>#REF!</v>
      </c>
      <c r="CL460" t="e">
        <f>IF(#REF!,"AAAAACz//Vk=",0)</f>
        <v>#REF!</v>
      </c>
      <c r="CM460" t="e">
        <f>AND(#REF!,"AAAAACz//Vo=")</f>
        <v>#REF!</v>
      </c>
      <c r="CN460" t="e">
        <f>AND(#REF!,"AAAAACz//Vs=")</f>
        <v>#REF!</v>
      </c>
      <c r="CO460" t="e">
        <f>AND(#REF!,"AAAAACz//Vw=")</f>
        <v>#REF!</v>
      </c>
      <c r="CP460" t="e">
        <f>AND(#REF!,"AAAAACz//V0=")</f>
        <v>#REF!</v>
      </c>
      <c r="CQ460" t="e">
        <f>AND(#REF!,"AAAAACz//V4=")</f>
        <v>#REF!</v>
      </c>
      <c r="CR460" t="e">
        <f>AND(#REF!,"AAAAACz//V8=")</f>
        <v>#REF!</v>
      </c>
      <c r="CS460" t="e">
        <f>AND(#REF!,"AAAAACz//WA=")</f>
        <v>#REF!</v>
      </c>
      <c r="CT460" t="e">
        <f>AND(#REF!,"AAAAACz//WE=")</f>
        <v>#REF!</v>
      </c>
      <c r="CU460" t="e">
        <f>AND(#REF!,"AAAAACz//WI=")</f>
        <v>#REF!</v>
      </c>
      <c r="CV460" t="e">
        <f>AND(#REF!,"AAAAACz//WM=")</f>
        <v>#REF!</v>
      </c>
      <c r="CW460" t="e">
        <f>IF(#REF!,"AAAAACz//WQ=",0)</f>
        <v>#REF!</v>
      </c>
      <c r="CX460" t="e">
        <f>AND(#REF!,"AAAAACz//WU=")</f>
        <v>#REF!</v>
      </c>
      <c r="CY460" t="e">
        <f>AND(#REF!,"AAAAACz//WY=")</f>
        <v>#REF!</v>
      </c>
      <c r="CZ460" t="e">
        <f>AND(#REF!,"AAAAACz//Wc=")</f>
        <v>#REF!</v>
      </c>
      <c r="DA460" t="e">
        <f>AND(#REF!,"AAAAACz//Wg=")</f>
        <v>#REF!</v>
      </c>
      <c r="DB460" t="e">
        <f>AND(#REF!,"AAAAACz//Wk=")</f>
        <v>#REF!</v>
      </c>
      <c r="DC460" t="e">
        <f>AND(#REF!,"AAAAACz//Wo=")</f>
        <v>#REF!</v>
      </c>
      <c r="DD460" t="e">
        <f>AND(#REF!,"AAAAACz//Ws=")</f>
        <v>#REF!</v>
      </c>
      <c r="DE460" t="e">
        <f>AND(#REF!,"AAAAACz//Ww=")</f>
        <v>#REF!</v>
      </c>
      <c r="DF460" t="e">
        <f>AND(#REF!,"AAAAACz//W0=")</f>
        <v>#REF!</v>
      </c>
      <c r="DG460" t="e">
        <f>AND(#REF!,"AAAAACz//W4=")</f>
        <v>#REF!</v>
      </c>
      <c r="DH460" t="e">
        <f>IF(#REF!,"AAAAACz//W8=",0)</f>
        <v>#REF!</v>
      </c>
      <c r="DI460" t="e">
        <f>AND(#REF!,"AAAAACz//XA=")</f>
        <v>#REF!</v>
      </c>
      <c r="DJ460" t="e">
        <f>AND(#REF!,"AAAAACz//XE=")</f>
        <v>#REF!</v>
      </c>
      <c r="DK460" t="e">
        <f>AND(#REF!,"AAAAACz//XI=")</f>
        <v>#REF!</v>
      </c>
      <c r="DL460" t="e">
        <f>AND(#REF!,"AAAAACz//XM=")</f>
        <v>#REF!</v>
      </c>
      <c r="DM460" t="e">
        <f>AND(#REF!,"AAAAACz//XQ=")</f>
        <v>#REF!</v>
      </c>
      <c r="DN460" t="e">
        <f>AND(#REF!,"AAAAACz//XU=")</f>
        <v>#REF!</v>
      </c>
      <c r="DO460" t="e">
        <f>AND(#REF!,"AAAAACz//XY=")</f>
        <v>#REF!</v>
      </c>
      <c r="DP460" t="e">
        <f>AND(#REF!,"AAAAACz//Xc=")</f>
        <v>#REF!</v>
      </c>
      <c r="DQ460" t="e">
        <f>AND(#REF!,"AAAAACz//Xg=")</f>
        <v>#REF!</v>
      </c>
      <c r="DR460" t="e">
        <f>AND(#REF!,"AAAAACz//Xk=")</f>
        <v>#REF!</v>
      </c>
      <c r="DS460" t="e">
        <f>IF(#REF!,"AAAAACz//Xo=",0)</f>
        <v>#REF!</v>
      </c>
      <c r="DT460" t="e">
        <f>AND(#REF!,"AAAAACz//Xs=")</f>
        <v>#REF!</v>
      </c>
      <c r="DU460" t="e">
        <f>AND(#REF!,"AAAAACz//Xw=")</f>
        <v>#REF!</v>
      </c>
      <c r="DV460" t="e">
        <f>AND(#REF!,"AAAAACz//X0=")</f>
        <v>#REF!</v>
      </c>
      <c r="DW460" t="e">
        <f>AND(#REF!,"AAAAACz//X4=")</f>
        <v>#REF!</v>
      </c>
      <c r="DX460" t="e">
        <f>AND(#REF!,"AAAAACz//X8=")</f>
        <v>#REF!</v>
      </c>
      <c r="DY460" t="e">
        <f>AND(#REF!,"AAAAACz//YA=")</f>
        <v>#REF!</v>
      </c>
      <c r="DZ460" t="e">
        <f>AND(#REF!,"AAAAACz//YE=")</f>
        <v>#REF!</v>
      </c>
      <c r="EA460" t="e">
        <f>AND(#REF!,"AAAAACz//YI=")</f>
        <v>#REF!</v>
      </c>
      <c r="EB460" t="e">
        <f>AND(#REF!,"AAAAACz//YM=")</f>
        <v>#REF!</v>
      </c>
      <c r="EC460" t="e">
        <f>AND(#REF!,"AAAAACz//YQ=")</f>
        <v>#REF!</v>
      </c>
      <c r="ED460" t="e">
        <f>IF(#REF!,"AAAAACz//YU=",0)</f>
        <v>#REF!</v>
      </c>
      <c r="EE460" t="e">
        <f>AND(#REF!,"AAAAACz//YY=")</f>
        <v>#REF!</v>
      </c>
      <c r="EF460" t="e">
        <f>AND(#REF!,"AAAAACz//Yc=")</f>
        <v>#REF!</v>
      </c>
      <c r="EG460" t="e">
        <f>AND(#REF!,"AAAAACz//Yg=")</f>
        <v>#REF!</v>
      </c>
      <c r="EH460" t="e">
        <f>AND(#REF!,"AAAAACz//Yk=")</f>
        <v>#REF!</v>
      </c>
      <c r="EI460" t="e">
        <f>AND(#REF!,"AAAAACz//Yo=")</f>
        <v>#REF!</v>
      </c>
      <c r="EJ460" t="e">
        <f>AND(#REF!,"AAAAACz//Ys=")</f>
        <v>#REF!</v>
      </c>
      <c r="EK460" t="e">
        <f>AND(#REF!,"AAAAACz//Yw=")</f>
        <v>#REF!</v>
      </c>
      <c r="EL460" t="e">
        <f>AND(#REF!,"AAAAACz//Y0=")</f>
        <v>#REF!</v>
      </c>
      <c r="EM460" t="e">
        <f>AND(#REF!,"AAAAACz//Y4=")</f>
        <v>#REF!</v>
      </c>
      <c r="EN460" t="e">
        <f>AND(#REF!,"AAAAACz//Y8=")</f>
        <v>#REF!</v>
      </c>
      <c r="EO460" t="e">
        <f>IF(#REF!,"AAAAACz//ZA=",0)</f>
        <v>#REF!</v>
      </c>
      <c r="EP460" t="e">
        <f>AND(#REF!,"AAAAACz//ZE=")</f>
        <v>#REF!</v>
      </c>
      <c r="EQ460" t="e">
        <f>AND(#REF!,"AAAAACz//ZI=")</f>
        <v>#REF!</v>
      </c>
      <c r="ER460" t="e">
        <f>AND(#REF!,"AAAAACz//ZM=")</f>
        <v>#REF!</v>
      </c>
      <c r="ES460" t="e">
        <f>AND(#REF!,"AAAAACz//ZQ=")</f>
        <v>#REF!</v>
      </c>
      <c r="ET460" t="e">
        <f>AND(#REF!,"AAAAACz//ZU=")</f>
        <v>#REF!</v>
      </c>
      <c r="EU460" t="e">
        <f>AND(#REF!,"AAAAACz//ZY=")</f>
        <v>#REF!</v>
      </c>
      <c r="EV460" t="e">
        <f>AND(#REF!,"AAAAACz//Zc=")</f>
        <v>#REF!</v>
      </c>
      <c r="EW460" t="e">
        <f>AND(#REF!,"AAAAACz//Zg=")</f>
        <v>#REF!</v>
      </c>
      <c r="EX460" t="e">
        <f>AND(#REF!,"AAAAACz//Zk=")</f>
        <v>#REF!</v>
      </c>
      <c r="EY460" t="e">
        <f>AND(#REF!,"AAAAACz//Zo=")</f>
        <v>#REF!</v>
      </c>
      <c r="EZ460" t="e">
        <f>IF(#REF!,"AAAAACz//Zs=",0)</f>
        <v>#REF!</v>
      </c>
      <c r="FA460" t="e">
        <f>AND(#REF!,"AAAAACz//Zw=")</f>
        <v>#REF!</v>
      </c>
      <c r="FB460" t="e">
        <f>AND(#REF!,"AAAAACz//Z0=")</f>
        <v>#REF!</v>
      </c>
      <c r="FC460" t="e">
        <f>AND(#REF!,"AAAAACz//Z4=")</f>
        <v>#REF!</v>
      </c>
      <c r="FD460" t="e">
        <f>AND(#REF!,"AAAAACz//Z8=")</f>
        <v>#REF!</v>
      </c>
      <c r="FE460" t="e">
        <f>AND(#REF!,"AAAAACz//aA=")</f>
        <v>#REF!</v>
      </c>
      <c r="FF460" t="e">
        <f>AND(#REF!,"AAAAACz//aE=")</f>
        <v>#REF!</v>
      </c>
      <c r="FG460" t="e">
        <f>AND(#REF!,"AAAAACz//aI=")</f>
        <v>#REF!</v>
      </c>
      <c r="FH460" t="e">
        <f>AND(#REF!,"AAAAACz//aM=")</f>
        <v>#REF!</v>
      </c>
      <c r="FI460" t="e">
        <f>AND(#REF!,"AAAAACz//aQ=")</f>
        <v>#REF!</v>
      </c>
      <c r="FJ460" t="e">
        <f>AND(#REF!,"AAAAACz//aU=")</f>
        <v>#REF!</v>
      </c>
      <c r="FK460" t="e">
        <f>IF(#REF!,"AAAAACz//aY=",0)</f>
        <v>#REF!</v>
      </c>
      <c r="FL460" t="e">
        <f>AND(#REF!,"AAAAACz//ac=")</f>
        <v>#REF!</v>
      </c>
      <c r="FM460" t="e">
        <f>AND(#REF!,"AAAAACz//ag=")</f>
        <v>#REF!</v>
      </c>
      <c r="FN460" t="e">
        <f>AND(#REF!,"AAAAACz//ak=")</f>
        <v>#REF!</v>
      </c>
      <c r="FO460" t="e">
        <f>AND(#REF!,"AAAAACz//ao=")</f>
        <v>#REF!</v>
      </c>
      <c r="FP460" t="e">
        <f>AND(#REF!,"AAAAACz//as=")</f>
        <v>#REF!</v>
      </c>
      <c r="FQ460" t="e">
        <f>AND(#REF!,"AAAAACz//aw=")</f>
        <v>#REF!</v>
      </c>
      <c r="FR460" t="e">
        <f>AND(#REF!,"AAAAACz//a0=")</f>
        <v>#REF!</v>
      </c>
      <c r="FS460" t="e">
        <f>AND(#REF!,"AAAAACz//a4=")</f>
        <v>#REF!</v>
      </c>
      <c r="FT460" t="e">
        <f>AND(#REF!,"AAAAACz//a8=")</f>
        <v>#REF!</v>
      </c>
      <c r="FU460" t="e">
        <f>AND(#REF!,"AAAAACz//bA=")</f>
        <v>#REF!</v>
      </c>
      <c r="FV460" t="e">
        <f>IF(#REF!,"AAAAACz//bE=",0)</f>
        <v>#REF!</v>
      </c>
      <c r="FW460" t="e">
        <f>AND(#REF!,"AAAAACz//bI=")</f>
        <v>#REF!</v>
      </c>
      <c r="FX460" t="e">
        <f>AND(#REF!,"AAAAACz//bM=")</f>
        <v>#REF!</v>
      </c>
      <c r="FY460" t="e">
        <f>AND(#REF!,"AAAAACz//bQ=")</f>
        <v>#REF!</v>
      </c>
      <c r="FZ460" t="e">
        <f>AND(#REF!,"AAAAACz//bU=")</f>
        <v>#REF!</v>
      </c>
      <c r="GA460" t="e">
        <f>AND(#REF!,"AAAAACz//bY=")</f>
        <v>#REF!</v>
      </c>
      <c r="GB460" t="e">
        <f>AND(#REF!,"AAAAACz//bc=")</f>
        <v>#REF!</v>
      </c>
      <c r="GC460" t="e">
        <f>AND(#REF!,"AAAAACz//bg=")</f>
        <v>#REF!</v>
      </c>
      <c r="GD460" t="e">
        <f>AND(#REF!,"AAAAACz//bk=")</f>
        <v>#REF!</v>
      </c>
      <c r="GE460" t="e">
        <f>AND(#REF!,"AAAAACz//bo=")</f>
        <v>#REF!</v>
      </c>
      <c r="GF460" t="e">
        <f>AND(#REF!,"AAAAACz//bs=")</f>
        <v>#REF!</v>
      </c>
      <c r="GG460" t="e">
        <f>IF(#REF!,"AAAAACz//bw=",0)</f>
        <v>#REF!</v>
      </c>
      <c r="GH460" t="e">
        <f>AND(#REF!,"AAAAACz//b0=")</f>
        <v>#REF!</v>
      </c>
      <c r="GI460" t="e">
        <f>AND(#REF!,"AAAAACz//b4=")</f>
        <v>#REF!</v>
      </c>
      <c r="GJ460" t="e">
        <f>AND(#REF!,"AAAAACz//b8=")</f>
        <v>#REF!</v>
      </c>
      <c r="GK460" t="e">
        <f>AND(#REF!,"AAAAACz//cA=")</f>
        <v>#REF!</v>
      </c>
      <c r="GL460" t="e">
        <f>AND(#REF!,"AAAAACz//cE=")</f>
        <v>#REF!</v>
      </c>
      <c r="GM460" t="e">
        <f>AND(#REF!,"AAAAACz//cI=")</f>
        <v>#REF!</v>
      </c>
      <c r="GN460" t="e">
        <f>AND(#REF!,"AAAAACz//cM=")</f>
        <v>#REF!</v>
      </c>
      <c r="GO460" t="e">
        <f>AND(#REF!,"AAAAACz//cQ=")</f>
        <v>#REF!</v>
      </c>
      <c r="GP460" t="e">
        <f>AND(#REF!,"AAAAACz//cU=")</f>
        <v>#REF!</v>
      </c>
      <c r="GQ460" t="e">
        <f>AND(#REF!,"AAAAACz//cY=")</f>
        <v>#REF!</v>
      </c>
      <c r="GR460" t="e">
        <f>IF(#REF!,"AAAAACz//cc=",0)</f>
        <v>#REF!</v>
      </c>
      <c r="GS460" t="e">
        <f>AND(#REF!,"AAAAACz//cg=")</f>
        <v>#REF!</v>
      </c>
      <c r="GT460" t="e">
        <f>AND(#REF!,"AAAAACz//ck=")</f>
        <v>#REF!</v>
      </c>
      <c r="GU460" t="e">
        <f>AND(#REF!,"AAAAACz//co=")</f>
        <v>#REF!</v>
      </c>
      <c r="GV460" t="e">
        <f>AND(#REF!,"AAAAACz//cs=")</f>
        <v>#REF!</v>
      </c>
      <c r="GW460" t="e">
        <f>AND(#REF!,"AAAAACz//cw=")</f>
        <v>#REF!</v>
      </c>
      <c r="GX460" t="e">
        <f>AND(#REF!,"AAAAACz//c0=")</f>
        <v>#REF!</v>
      </c>
      <c r="GY460" t="e">
        <f>AND(#REF!,"AAAAACz//c4=")</f>
        <v>#REF!</v>
      </c>
      <c r="GZ460" t="e">
        <f>AND(#REF!,"AAAAACz//c8=")</f>
        <v>#REF!</v>
      </c>
      <c r="HA460" t="e">
        <f>AND(#REF!,"AAAAACz//dA=")</f>
        <v>#REF!</v>
      </c>
      <c r="HB460" t="e">
        <f>AND(#REF!,"AAAAACz//dE=")</f>
        <v>#REF!</v>
      </c>
      <c r="HC460" t="e">
        <f>IF(#REF!,"AAAAACz//dI=",0)</f>
        <v>#REF!</v>
      </c>
      <c r="HD460" t="e">
        <f>AND(#REF!,"AAAAACz//dM=")</f>
        <v>#REF!</v>
      </c>
      <c r="HE460" t="e">
        <f>AND(#REF!,"AAAAACz//dQ=")</f>
        <v>#REF!</v>
      </c>
      <c r="HF460" t="e">
        <f>AND(#REF!,"AAAAACz//dU=")</f>
        <v>#REF!</v>
      </c>
      <c r="HG460" t="e">
        <f>AND(#REF!,"AAAAACz//dY=")</f>
        <v>#REF!</v>
      </c>
      <c r="HH460" t="e">
        <f>AND(#REF!,"AAAAACz//dc=")</f>
        <v>#REF!</v>
      </c>
      <c r="HI460" t="e">
        <f>AND(#REF!,"AAAAACz//dg=")</f>
        <v>#REF!</v>
      </c>
      <c r="HJ460" t="e">
        <f>AND(#REF!,"AAAAACz//dk=")</f>
        <v>#REF!</v>
      </c>
      <c r="HK460" t="e">
        <f>AND(#REF!,"AAAAACz//do=")</f>
        <v>#REF!</v>
      </c>
      <c r="HL460" t="e">
        <f>AND(#REF!,"AAAAACz//ds=")</f>
        <v>#REF!</v>
      </c>
      <c r="HM460" t="e">
        <f>AND(#REF!,"AAAAACz//dw=")</f>
        <v>#REF!</v>
      </c>
      <c r="HN460" t="e">
        <f>IF(#REF!,"AAAAACz//d0=",0)</f>
        <v>#REF!</v>
      </c>
      <c r="HO460" t="e">
        <f>AND(#REF!,"AAAAACz//d4=")</f>
        <v>#REF!</v>
      </c>
      <c r="HP460" t="e">
        <f>AND(#REF!,"AAAAACz//d8=")</f>
        <v>#REF!</v>
      </c>
      <c r="HQ460" t="e">
        <f>AND(#REF!,"AAAAACz//eA=")</f>
        <v>#REF!</v>
      </c>
      <c r="HR460" t="e">
        <f>AND(#REF!,"AAAAACz//eE=")</f>
        <v>#REF!</v>
      </c>
      <c r="HS460" t="e">
        <f>AND(#REF!,"AAAAACz//eI=")</f>
        <v>#REF!</v>
      </c>
      <c r="HT460" t="e">
        <f>AND(#REF!,"AAAAACz//eM=")</f>
        <v>#REF!</v>
      </c>
      <c r="HU460" t="e">
        <f>AND(#REF!,"AAAAACz//eQ=")</f>
        <v>#REF!</v>
      </c>
      <c r="HV460" t="e">
        <f>AND(#REF!,"AAAAACz//eU=")</f>
        <v>#REF!</v>
      </c>
      <c r="HW460" t="e">
        <f>AND(#REF!,"AAAAACz//eY=")</f>
        <v>#REF!</v>
      </c>
      <c r="HX460" t="e">
        <f>AND(#REF!,"AAAAACz//ec=")</f>
        <v>#REF!</v>
      </c>
      <c r="HY460" t="e">
        <f>IF(#REF!,"AAAAACz//eg=",0)</f>
        <v>#REF!</v>
      </c>
      <c r="HZ460" t="e">
        <f>AND(#REF!,"AAAAACz//ek=")</f>
        <v>#REF!</v>
      </c>
      <c r="IA460" t="e">
        <f>AND(#REF!,"AAAAACz//eo=")</f>
        <v>#REF!</v>
      </c>
      <c r="IB460" t="e">
        <f>AND(#REF!,"AAAAACz//es=")</f>
        <v>#REF!</v>
      </c>
      <c r="IC460" t="e">
        <f>AND(#REF!,"AAAAACz//ew=")</f>
        <v>#REF!</v>
      </c>
      <c r="ID460" t="e">
        <f>AND(#REF!,"AAAAACz//e0=")</f>
        <v>#REF!</v>
      </c>
      <c r="IE460" t="e">
        <f>AND(#REF!,"AAAAACz//e4=")</f>
        <v>#REF!</v>
      </c>
      <c r="IF460" t="e">
        <f>AND(#REF!,"AAAAACz//e8=")</f>
        <v>#REF!</v>
      </c>
      <c r="IG460" t="e">
        <f>AND(#REF!,"AAAAACz//fA=")</f>
        <v>#REF!</v>
      </c>
      <c r="IH460" t="e">
        <f>AND(#REF!,"AAAAACz//fE=")</f>
        <v>#REF!</v>
      </c>
      <c r="II460" t="e">
        <f>AND(#REF!,"AAAAACz//fI=")</f>
        <v>#REF!</v>
      </c>
      <c r="IJ460" t="e">
        <f>IF(#REF!,"AAAAACz//fM=",0)</f>
        <v>#REF!</v>
      </c>
      <c r="IK460" t="e">
        <f>AND(#REF!,"AAAAACz//fQ=")</f>
        <v>#REF!</v>
      </c>
      <c r="IL460" t="e">
        <f>AND(#REF!,"AAAAACz//fU=")</f>
        <v>#REF!</v>
      </c>
      <c r="IM460" t="e">
        <f>AND(#REF!,"AAAAACz//fY=")</f>
        <v>#REF!</v>
      </c>
      <c r="IN460" t="e">
        <f>AND(#REF!,"AAAAACz//fc=")</f>
        <v>#REF!</v>
      </c>
      <c r="IO460" t="e">
        <f>AND(#REF!,"AAAAACz//fg=")</f>
        <v>#REF!</v>
      </c>
      <c r="IP460" t="e">
        <f>AND(#REF!,"AAAAACz//fk=")</f>
        <v>#REF!</v>
      </c>
      <c r="IQ460" t="e">
        <f>AND(#REF!,"AAAAACz//fo=")</f>
        <v>#REF!</v>
      </c>
      <c r="IR460" t="e">
        <f>AND(#REF!,"AAAAACz//fs=")</f>
        <v>#REF!</v>
      </c>
      <c r="IS460" t="e">
        <f>AND(#REF!,"AAAAACz//fw=")</f>
        <v>#REF!</v>
      </c>
      <c r="IT460" t="e">
        <f>AND(#REF!,"AAAAACz//f0=")</f>
        <v>#REF!</v>
      </c>
      <c r="IU460" t="e">
        <f>IF(#REF!,"AAAAACz//f4=",0)</f>
        <v>#REF!</v>
      </c>
      <c r="IV460" t="e">
        <f>AND(#REF!,"AAAAACz//f8=")</f>
        <v>#REF!</v>
      </c>
    </row>
    <row r="461" spans="1:256" x14ac:dyDescent="0.25">
      <c r="A461" t="e">
        <f>AND(#REF!,"AAAAAD2V5gA=")</f>
        <v>#REF!</v>
      </c>
      <c r="B461" t="e">
        <f>AND(#REF!,"AAAAAD2V5gE=")</f>
        <v>#REF!</v>
      </c>
      <c r="C461" t="e">
        <f>AND(#REF!,"AAAAAD2V5gI=")</f>
        <v>#REF!</v>
      </c>
      <c r="D461" t="e">
        <f>AND(#REF!,"AAAAAD2V5gM=")</f>
        <v>#REF!</v>
      </c>
      <c r="E461" t="e">
        <f>AND(#REF!,"AAAAAD2V5gQ=")</f>
        <v>#REF!</v>
      </c>
      <c r="F461" t="e">
        <f>AND(#REF!,"AAAAAD2V5gU=")</f>
        <v>#REF!</v>
      </c>
      <c r="G461" t="e">
        <f>AND(#REF!,"AAAAAD2V5gY=")</f>
        <v>#REF!</v>
      </c>
      <c r="H461" t="e">
        <f>AND(#REF!,"AAAAAD2V5gc=")</f>
        <v>#REF!</v>
      </c>
      <c r="I461" t="e">
        <f>AND(#REF!,"AAAAAD2V5gg=")</f>
        <v>#REF!</v>
      </c>
      <c r="J461" t="e">
        <f>IF(#REF!,"AAAAAD2V5gk=",0)</f>
        <v>#REF!</v>
      </c>
      <c r="K461" t="e">
        <f>AND(#REF!,"AAAAAD2V5go=")</f>
        <v>#REF!</v>
      </c>
      <c r="L461" t="e">
        <f>AND(#REF!,"AAAAAD2V5gs=")</f>
        <v>#REF!</v>
      </c>
      <c r="M461" t="e">
        <f>AND(#REF!,"AAAAAD2V5gw=")</f>
        <v>#REF!</v>
      </c>
      <c r="N461" t="e">
        <f>AND(#REF!,"AAAAAD2V5g0=")</f>
        <v>#REF!</v>
      </c>
      <c r="O461" t="e">
        <f>AND(#REF!,"AAAAAD2V5g4=")</f>
        <v>#REF!</v>
      </c>
      <c r="P461" t="e">
        <f>AND(#REF!,"AAAAAD2V5g8=")</f>
        <v>#REF!</v>
      </c>
      <c r="Q461" t="e">
        <f>AND(#REF!,"AAAAAD2V5hA=")</f>
        <v>#REF!</v>
      </c>
      <c r="R461" t="e">
        <f>AND(#REF!,"AAAAAD2V5hE=")</f>
        <v>#REF!</v>
      </c>
      <c r="S461" t="e">
        <f>AND(#REF!,"AAAAAD2V5hI=")</f>
        <v>#REF!</v>
      </c>
      <c r="T461" t="e">
        <f>AND(#REF!,"AAAAAD2V5hM=")</f>
        <v>#REF!</v>
      </c>
      <c r="U461" t="e">
        <f>IF(#REF!,"AAAAAD2V5hQ=",0)</f>
        <v>#REF!</v>
      </c>
      <c r="V461" t="e">
        <f>AND(#REF!,"AAAAAD2V5hU=")</f>
        <v>#REF!</v>
      </c>
      <c r="W461" t="e">
        <f>AND(#REF!,"AAAAAD2V5hY=")</f>
        <v>#REF!</v>
      </c>
      <c r="X461" t="e">
        <f>AND(#REF!,"AAAAAD2V5hc=")</f>
        <v>#REF!</v>
      </c>
      <c r="Y461" t="e">
        <f>AND(#REF!,"AAAAAD2V5hg=")</f>
        <v>#REF!</v>
      </c>
      <c r="Z461" t="e">
        <f>AND(#REF!,"AAAAAD2V5hk=")</f>
        <v>#REF!</v>
      </c>
      <c r="AA461" t="e">
        <f>AND(#REF!,"AAAAAD2V5ho=")</f>
        <v>#REF!</v>
      </c>
      <c r="AB461" t="e">
        <f>AND(#REF!,"AAAAAD2V5hs=")</f>
        <v>#REF!</v>
      </c>
      <c r="AC461" t="e">
        <f>AND(#REF!,"AAAAAD2V5hw=")</f>
        <v>#REF!</v>
      </c>
      <c r="AD461" t="e">
        <f>AND(#REF!,"AAAAAD2V5h0=")</f>
        <v>#REF!</v>
      </c>
      <c r="AE461" t="e">
        <f>AND(#REF!,"AAAAAD2V5h4=")</f>
        <v>#REF!</v>
      </c>
      <c r="AF461" t="e">
        <f>IF(#REF!,"AAAAAD2V5h8=",0)</f>
        <v>#REF!</v>
      </c>
      <c r="AG461" t="e">
        <f>AND(#REF!,"AAAAAD2V5iA=")</f>
        <v>#REF!</v>
      </c>
      <c r="AH461" t="e">
        <f>AND(#REF!,"AAAAAD2V5iE=")</f>
        <v>#REF!</v>
      </c>
      <c r="AI461" t="e">
        <f>AND(#REF!,"AAAAAD2V5iI=")</f>
        <v>#REF!</v>
      </c>
      <c r="AJ461" t="e">
        <f>AND(#REF!,"AAAAAD2V5iM=")</f>
        <v>#REF!</v>
      </c>
      <c r="AK461" t="e">
        <f>AND(#REF!,"AAAAAD2V5iQ=")</f>
        <v>#REF!</v>
      </c>
      <c r="AL461" t="e">
        <f>AND(#REF!,"AAAAAD2V5iU=")</f>
        <v>#REF!</v>
      </c>
      <c r="AM461" t="e">
        <f>AND(#REF!,"AAAAAD2V5iY=")</f>
        <v>#REF!</v>
      </c>
      <c r="AN461" t="e">
        <f>AND(#REF!,"AAAAAD2V5ic=")</f>
        <v>#REF!</v>
      </c>
      <c r="AO461" t="e">
        <f>AND(#REF!,"AAAAAD2V5ig=")</f>
        <v>#REF!</v>
      </c>
      <c r="AP461" t="e">
        <f>AND(#REF!,"AAAAAD2V5ik=")</f>
        <v>#REF!</v>
      </c>
      <c r="AQ461" t="e">
        <f>IF(#REF!,"AAAAAD2V5io=",0)</f>
        <v>#REF!</v>
      </c>
      <c r="AR461" t="e">
        <f>AND(#REF!,"AAAAAD2V5is=")</f>
        <v>#REF!</v>
      </c>
      <c r="AS461" t="e">
        <f>AND(#REF!,"AAAAAD2V5iw=")</f>
        <v>#REF!</v>
      </c>
      <c r="AT461" t="e">
        <f>AND(#REF!,"AAAAAD2V5i0=")</f>
        <v>#REF!</v>
      </c>
      <c r="AU461" t="e">
        <f>AND(#REF!,"AAAAAD2V5i4=")</f>
        <v>#REF!</v>
      </c>
      <c r="AV461" t="e">
        <f>AND(#REF!,"AAAAAD2V5i8=")</f>
        <v>#REF!</v>
      </c>
      <c r="AW461" t="e">
        <f>AND(#REF!,"AAAAAD2V5jA=")</f>
        <v>#REF!</v>
      </c>
      <c r="AX461" t="e">
        <f>AND(#REF!,"AAAAAD2V5jE=")</f>
        <v>#REF!</v>
      </c>
      <c r="AY461" t="e">
        <f>AND(#REF!,"AAAAAD2V5jI=")</f>
        <v>#REF!</v>
      </c>
      <c r="AZ461" t="e">
        <f>AND(#REF!,"AAAAAD2V5jM=")</f>
        <v>#REF!</v>
      </c>
      <c r="BA461" t="e">
        <f>AND(#REF!,"AAAAAD2V5jQ=")</f>
        <v>#REF!</v>
      </c>
      <c r="BB461" t="e">
        <f>IF(#REF!,"AAAAAD2V5jU=",0)</f>
        <v>#REF!</v>
      </c>
      <c r="BC461" t="e">
        <f>AND(#REF!,"AAAAAD2V5jY=")</f>
        <v>#REF!</v>
      </c>
      <c r="BD461" t="e">
        <f>AND(#REF!,"AAAAAD2V5jc=")</f>
        <v>#REF!</v>
      </c>
      <c r="BE461" t="e">
        <f>AND(#REF!,"AAAAAD2V5jg=")</f>
        <v>#REF!</v>
      </c>
      <c r="BF461" t="e">
        <f>AND(#REF!,"AAAAAD2V5jk=")</f>
        <v>#REF!</v>
      </c>
      <c r="BG461" t="e">
        <f>AND(#REF!,"AAAAAD2V5jo=")</f>
        <v>#REF!</v>
      </c>
      <c r="BH461" t="e">
        <f>AND(#REF!,"AAAAAD2V5js=")</f>
        <v>#REF!</v>
      </c>
      <c r="BI461" t="e">
        <f>AND(#REF!,"AAAAAD2V5jw=")</f>
        <v>#REF!</v>
      </c>
      <c r="BJ461" t="e">
        <f>AND(#REF!,"AAAAAD2V5j0=")</f>
        <v>#REF!</v>
      </c>
      <c r="BK461" t="e">
        <f>AND(#REF!,"AAAAAD2V5j4=")</f>
        <v>#REF!</v>
      </c>
      <c r="BL461" t="e">
        <f>AND(#REF!,"AAAAAD2V5j8=")</f>
        <v>#REF!</v>
      </c>
      <c r="BM461" t="e">
        <f>IF(#REF!,"AAAAAD2V5kA=",0)</f>
        <v>#REF!</v>
      </c>
      <c r="BN461" t="e">
        <f>AND(#REF!,"AAAAAD2V5kE=")</f>
        <v>#REF!</v>
      </c>
      <c r="BO461" t="e">
        <f>AND(#REF!,"AAAAAD2V5kI=")</f>
        <v>#REF!</v>
      </c>
      <c r="BP461" t="e">
        <f>AND(#REF!,"AAAAAD2V5kM=")</f>
        <v>#REF!</v>
      </c>
      <c r="BQ461" t="e">
        <f>AND(#REF!,"AAAAAD2V5kQ=")</f>
        <v>#REF!</v>
      </c>
      <c r="BR461" t="e">
        <f>AND(#REF!,"AAAAAD2V5kU=")</f>
        <v>#REF!</v>
      </c>
      <c r="BS461" t="e">
        <f>AND(#REF!,"AAAAAD2V5kY=")</f>
        <v>#REF!</v>
      </c>
      <c r="BT461" t="e">
        <f>AND(#REF!,"AAAAAD2V5kc=")</f>
        <v>#REF!</v>
      </c>
      <c r="BU461" t="e">
        <f>AND(#REF!,"AAAAAD2V5kg=")</f>
        <v>#REF!</v>
      </c>
      <c r="BV461" t="e">
        <f>AND(#REF!,"AAAAAD2V5kk=")</f>
        <v>#REF!</v>
      </c>
      <c r="BW461" t="e">
        <f>AND(#REF!,"AAAAAD2V5ko=")</f>
        <v>#REF!</v>
      </c>
      <c r="BX461" t="e">
        <f>IF(#REF!,"AAAAAD2V5ks=",0)</f>
        <v>#REF!</v>
      </c>
      <c r="BY461" t="e">
        <f>AND(#REF!,"AAAAAD2V5kw=")</f>
        <v>#REF!</v>
      </c>
      <c r="BZ461" t="e">
        <f>AND(#REF!,"AAAAAD2V5k0=")</f>
        <v>#REF!</v>
      </c>
      <c r="CA461" t="e">
        <f>AND(#REF!,"AAAAAD2V5k4=")</f>
        <v>#REF!</v>
      </c>
      <c r="CB461" t="e">
        <f>AND(#REF!,"AAAAAD2V5k8=")</f>
        <v>#REF!</v>
      </c>
      <c r="CC461" t="e">
        <f>AND(#REF!,"AAAAAD2V5lA=")</f>
        <v>#REF!</v>
      </c>
      <c r="CD461" t="e">
        <f>AND(#REF!,"AAAAAD2V5lE=")</f>
        <v>#REF!</v>
      </c>
      <c r="CE461" t="e">
        <f>AND(#REF!,"AAAAAD2V5lI=")</f>
        <v>#REF!</v>
      </c>
      <c r="CF461" t="e">
        <f>AND(#REF!,"AAAAAD2V5lM=")</f>
        <v>#REF!</v>
      </c>
      <c r="CG461" t="e">
        <f>AND(#REF!,"AAAAAD2V5lQ=")</f>
        <v>#REF!</v>
      </c>
      <c r="CH461" t="e">
        <f>AND(#REF!,"AAAAAD2V5lU=")</f>
        <v>#REF!</v>
      </c>
      <c r="CI461" t="e">
        <f>IF(#REF!,"AAAAAD2V5lY=",0)</f>
        <v>#REF!</v>
      </c>
      <c r="CJ461" t="e">
        <f>AND(#REF!,"AAAAAD2V5lc=")</f>
        <v>#REF!</v>
      </c>
      <c r="CK461" t="e">
        <f>AND(#REF!,"AAAAAD2V5lg=")</f>
        <v>#REF!</v>
      </c>
      <c r="CL461" t="e">
        <f>AND(#REF!,"AAAAAD2V5lk=")</f>
        <v>#REF!</v>
      </c>
      <c r="CM461" t="e">
        <f>AND(#REF!,"AAAAAD2V5lo=")</f>
        <v>#REF!</v>
      </c>
      <c r="CN461" t="e">
        <f>AND(#REF!,"AAAAAD2V5ls=")</f>
        <v>#REF!</v>
      </c>
      <c r="CO461" t="e">
        <f>AND(#REF!,"AAAAAD2V5lw=")</f>
        <v>#REF!</v>
      </c>
      <c r="CP461" t="e">
        <f>AND(#REF!,"AAAAAD2V5l0=")</f>
        <v>#REF!</v>
      </c>
      <c r="CQ461" t="e">
        <f>AND(#REF!,"AAAAAD2V5l4=")</f>
        <v>#REF!</v>
      </c>
      <c r="CR461" t="e">
        <f>AND(#REF!,"AAAAAD2V5l8=")</f>
        <v>#REF!</v>
      </c>
      <c r="CS461" t="e">
        <f>AND(#REF!,"AAAAAD2V5mA=")</f>
        <v>#REF!</v>
      </c>
      <c r="CT461" t="e">
        <f>IF(#REF!,"AAAAAD2V5mE=",0)</f>
        <v>#REF!</v>
      </c>
      <c r="CU461" t="e">
        <f>AND(#REF!,"AAAAAD2V5mI=")</f>
        <v>#REF!</v>
      </c>
      <c r="CV461" t="e">
        <f>AND(#REF!,"AAAAAD2V5mM=")</f>
        <v>#REF!</v>
      </c>
      <c r="CW461" t="e">
        <f>AND(#REF!,"AAAAAD2V5mQ=")</f>
        <v>#REF!</v>
      </c>
      <c r="CX461" t="e">
        <f>AND(#REF!,"AAAAAD2V5mU=")</f>
        <v>#REF!</v>
      </c>
      <c r="CY461" t="e">
        <f>AND(#REF!,"AAAAAD2V5mY=")</f>
        <v>#REF!</v>
      </c>
      <c r="CZ461" t="e">
        <f>AND(#REF!,"AAAAAD2V5mc=")</f>
        <v>#REF!</v>
      </c>
      <c r="DA461" t="e">
        <f>AND(#REF!,"AAAAAD2V5mg=")</f>
        <v>#REF!</v>
      </c>
      <c r="DB461" t="e">
        <f>AND(#REF!,"AAAAAD2V5mk=")</f>
        <v>#REF!</v>
      </c>
      <c r="DC461" t="e">
        <f>AND(#REF!,"AAAAAD2V5mo=")</f>
        <v>#REF!</v>
      </c>
      <c r="DD461" t="e">
        <f>AND(#REF!,"AAAAAD2V5ms=")</f>
        <v>#REF!</v>
      </c>
      <c r="DE461" t="e">
        <f>IF(#REF!,"AAAAAD2V5mw=",0)</f>
        <v>#REF!</v>
      </c>
      <c r="DF461" t="e">
        <f>AND(#REF!,"AAAAAD2V5m0=")</f>
        <v>#REF!</v>
      </c>
      <c r="DG461" t="e">
        <f>AND(#REF!,"AAAAAD2V5m4=")</f>
        <v>#REF!</v>
      </c>
      <c r="DH461" t="e">
        <f>AND(#REF!,"AAAAAD2V5m8=")</f>
        <v>#REF!</v>
      </c>
      <c r="DI461" t="e">
        <f>AND(#REF!,"AAAAAD2V5nA=")</f>
        <v>#REF!</v>
      </c>
      <c r="DJ461" t="e">
        <f>AND(#REF!,"AAAAAD2V5nE=")</f>
        <v>#REF!</v>
      </c>
      <c r="DK461" t="e">
        <f>AND(#REF!,"AAAAAD2V5nI=")</f>
        <v>#REF!</v>
      </c>
      <c r="DL461" t="e">
        <f>AND(#REF!,"AAAAAD2V5nM=")</f>
        <v>#REF!</v>
      </c>
      <c r="DM461" t="e">
        <f>AND(#REF!,"AAAAAD2V5nQ=")</f>
        <v>#REF!</v>
      </c>
      <c r="DN461" t="e">
        <f>AND(#REF!,"AAAAAD2V5nU=")</f>
        <v>#REF!</v>
      </c>
      <c r="DO461" t="e">
        <f>AND(#REF!,"AAAAAD2V5nY=")</f>
        <v>#REF!</v>
      </c>
      <c r="DP461" t="e">
        <f>IF(#REF!,"AAAAAD2V5nc=",0)</f>
        <v>#REF!</v>
      </c>
      <c r="DQ461" t="e">
        <f>AND(#REF!,"AAAAAD2V5ng=")</f>
        <v>#REF!</v>
      </c>
      <c r="DR461" t="e">
        <f>AND(#REF!,"AAAAAD2V5nk=")</f>
        <v>#REF!</v>
      </c>
      <c r="DS461" t="e">
        <f>AND(#REF!,"AAAAAD2V5no=")</f>
        <v>#REF!</v>
      </c>
      <c r="DT461" t="e">
        <f>AND(#REF!,"AAAAAD2V5ns=")</f>
        <v>#REF!</v>
      </c>
      <c r="DU461" t="e">
        <f>AND(#REF!,"AAAAAD2V5nw=")</f>
        <v>#REF!</v>
      </c>
      <c r="DV461" t="e">
        <f>AND(#REF!,"AAAAAD2V5n0=")</f>
        <v>#REF!</v>
      </c>
      <c r="DW461" t="e">
        <f>AND(#REF!,"AAAAAD2V5n4=")</f>
        <v>#REF!</v>
      </c>
      <c r="DX461" t="e">
        <f>AND(#REF!,"AAAAAD2V5n8=")</f>
        <v>#REF!</v>
      </c>
      <c r="DY461" t="e">
        <f>AND(#REF!,"AAAAAD2V5oA=")</f>
        <v>#REF!</v>
      </c>
      <c r="DZ461" t="e">
        <f>AND(#REF!,"AAAAAD2V5oE=")</f>
        <v>#REF!</v>
      </c>
      <c r="EA461" t="e">
        <f>IF(#REF!,"AAAAAD2V5oI=",0)</f>
        <v>#REF!</v>
      </c>
      <c r="EB461" t="e">
        <f>AND(#REF!,"AAAAAD2V5oM=")</f>
        <v>#REF!</v>
      </c>
      <c r="EC461" t="e">
        <f>AND(#REF!,"AAAAAD2V5oQ=")</f>
        <v>#REF!</v>
      </c>
      <c r="ED461" t="e">
        <f>AND(#REF!,"AAAAAD2V5oU=")</f>
        <v>#REF!</v>
      </c>
      <c r="EE461" t="e">
        <f>AND(#REF!,"AAAAAD2V5oY=")</f>
        <v>#REF!</v>
      </c>
      <c r="EF461" t="e">
        <f>AND(#REF!,"AAAAAD2V5oc=")</f>
        <v>#REF!</v>
      </c>
      <c r="EG461" t="e">
        <f>AND(#REF!,"AAAAAD2V5og=")</f>
        <v>#REF!</v>
      </c>
      <c r="EH461" t="e">
        <f>AND(#REF!,"AAAAAD2V5ok=")</f>
        <v>#REF!</v>
      </c>
      <c r="EI461" t="e">
        <f>AND(#REF!,"AAAAAD2V5oo=")</f>
        <v>#REF!</v>
      </c>
      <c r="EJ461" t="e">
        <f>AND(#REF!,"AAAAAD2V5os=")</f>
        <v>#REF!</v>
      </c>
      <c r="EK461" t="e">
        <f>AND(#REF!,"AAAAAD2V5ow=")</f>
        <v>#REF!</v>
      </c>
      <c r="EL461" t="e">
        <f>IF(#REF!,"AAAAAD2V5o0=",0)</f>
        <v>#REF!</v>
      </c>
      <c r="EM461" t="e">
        <f>AND(#REF!,"AAAAAD2V5o4=")</f>
        <v>#REF!</v>
      </c>
      <c r="EN461" t="e">
        <f>AND(#REF!,"AAAAAD2V5o8=")</f>
        <v>#REF!</v>
      </c>
      <c r="EO461" t="e">
        <f>AND(#REF!,"AAAAAD2V5pA=")</f>
        <v>#REF!</v>
      </c>
      <c r="EP461" t="e">
        <f>AND(#REF!,"AAAAAD2V5pE=")</f>
        <v>#REF!</v>
      </c>
      <c r="EQ461" t="e">
        <f>AND(#REF!,"AAAAAD2V5pI=")</f>
        <v>#REF!</v>
      </c>
      <c r="ER461" t="e">
        <f>AND(#REF!,"AAAAAD2V5pM=")</f>
        <v>#REF!</v>
      </c>
      <c r="ES461" t="e">
        <f>AND(#REF!,"AAAAAD2V5pQ=")</f>
        <v>#REF!</v>
      </c>
      <c r="ET461" t="e">
        <f>AND(#REF!,"AAAAAD2V5pU=")</f>
        <v>#REF!</v>
      </c>
      <c r="EU461" t="e">
        <f>AND(#REF!,"AAAAAD2V5pY=")</f>
        <v>#REF!</v>
      </c>
      <c r="EV461" t="e">
        <f>AND(#REF!,"AAAAAD2V5pc=")</f>
        <v>#REF!</v>
      </c>
      <c r="EW461" t="e">
        <f>IF(#REF!,"AAAAAD2V5pg=",0)</f>
        <v>#REF!</v>
      </c>
      <c r="EX461" t="e">
        <f>AND(#REF!,"AAAAAD2V5pk=")</f>
        <v>#REF!</v>
      </c>
      <c r="EY461" t="e">
        <f>AND(#REF!,"AAAAAD2V5po=")</f>
        <v>#REF!</v>
      </c>
      <c r="EZ461" t="e">
        <f>AND(#REF!,"AAAAAD2V5ps=")</f>
        <v>#REF!</v>
      </c>
      <c r="FA461" t="e">
        <f>AND(#REF!,"AAAAAD2V5pw=")</f>
        <v>#REF!</v>
      </c>
      <c r="FB461" t="e">
        <f>AND(#REF!,"AAAAAD2V5p0=")</f>
        <v>#REF!</v>
      </c>
      <c r="FC461" t="e">
        <f>AND(#REF!,"AAAAAD2V5p4=")</f>
        <v>#REF!</v>
      </c>
      <c r="FD461" t="e">
        <f>AND(#REF!,"AAAAAD2V5p8=")</f>
        <v>#REF!</v>
      </c>
      <c r="FE461" t="e">
        <f>AND(#REF!,"AAAAAD2V5qA=")</f>
        <v>#REF!</v>
      </c>
      <c r="FF461" t="e">
        <f>AND(#REF!,"AAAAAD2V5qE=")</f>
        <v>#REF!</v>
      </c>
      <c r="FG461" t="e">
        <f>AND(#REF!,"AAAAAD2V5qI=")</f>
        <v>#REF!</v>
      </c>
      <c r="FH461" t="e">
        <f>IF(#REF!,"AAAAAD2V5qM=",0)</f>
        <v>#REF!</v>
      </c>
      <c r="FI461" t="e">
        <f>AND(#REF!,"AAAAAD2V5qQ=")</f>
        <v>#REF!</v>
      </c>
      <c r="FJ461" t="e">
        <f>AND(#REF!,"AAAAAD2V5qU=")</f>
        <v>#REF!</v>
      </c>
      <c r="FK461" t="e">
        <f>AND(#REF!,"AAAAAD2V5qY=")</f>
        <v>#REF!</v>
      </c>
      <c r="FL461" t="e">
        <f>AND(#REF!,"AAAAAD2V5qc=")</f>
        <v>#REF!</v>
      </c>
      <c r="FM461" t="e">
        <f>AND(#REF!,"AAAAAD2V5qg=")</f>
        <v>#REF!</v>
      </c>
      <c r="FN461" t="e">
        <f>AND(#REF!,"AAAAAD2V5qk=")</f>
        <v>#REF!</v>
      </c>
      <c r="FO461" t="e">
        <f>AND(#REF!,"AAAAAD2V5qo=")</f>
        <v>#REF!</v>
      </c>
      <c r="FP461" t="e">
        <f>AND(#REF!,"AAAAAD2V5qs=")</f>
        <v>#REF!</v>
      </c>
      <c r="FQ461" t="e">
        <f>AND(#REF!,"AAAAAD2V5qw=")</f>
        <v>#REF!</v>
      </c>
      <c r="FR461" t="e">
        <f>AND(#REF!,"AAAAAD2V5q0=")</f>
        <v>#REF!</v>
      </c>
      <c r="FS461" t="e">
        <f>IF(#REF!,"AAAAAD2V5q4=",0)</f>
        <v>#REF!</v>
      </c>
      <c r="FT461" t="e">
        <f>AND(#REF!,"AAAAAD2V5q8=")</f>
        <v>#REF!</v>
      </c>
      <c r="FU461" t="e">
        <f>AND(#REF!,"AAAAAD2V5rA=")</f>
        <v>#REF!</v>
      </c>
      <c r="FV461" t="e">
        <f>AND(#REF!,"AAAAAD2V5rE=")</f>
        <v>#REF!</v>
      </c>
      <c r="FW461" t="e">
        <f>AND(#REF!,"AAAAAD2V5rI=")</f>
        <v>#REF!</v>
      </c>
      <c r="FX461" t="e">
        <f>AND(#REF!,"AAAAAD2V5rM=")</f>
        <v>#REF!</v>
      </c>
      <c r="FY461" t="e">
        <f>AND(#REF!,"AAAAAD2V5rQ=")</f>
        <v>#REF!</v>
      </c>
      <c r="FZ461" t="e">
        <f>AND(#REF!,"AAAAAD2V5rU=")</f>
        <v>#REF!</v>
      </c>
      <c r="GA461" t="e">
        <f>AND(#REF!,"AAAAAD2V5rY=")</f>
        <v>#REF!</v>
      </c>
      <c r="GB461" t="e">
        <f>AND(#REF!,"AAAAAD2V5rc=")</f>
        <v>#REF!</v>
      </c>
      <c r="GC461" t="e">
        <f>AND(#REF!,"AAAAAD2V5rg=")</f>
        <v>#REF!</v>
      </c>
      <c r="GD461" t="e">
        <f>IF(#REF!,"AAAAAD2V5rk=",0)</f>
        <v>#REF!</v>
      </c>
      <c r="GE461" t="e">
        <f>AND(#REF!,"AAAAAD2V5ro=")</f>
        <v>#REF!</v>
      </c>
      <c r="GF461" t="e">
        <f>AND(#REF!,"AAAAAD2V5rs=")</f>
        <v>#REF!</v>
      </c>
      <c r="GG461" t="e">
        <f>AND(#REF!,"AAAAAD2V5rw=")</f>
        <v>#REF!</v>
      </c>
      <c r="GH461" t="e">
        <f>AND(#REF!,"AAAAAD2V5r0=")</f>
        <v>#REF!</v>
      </c>
      <c r="GI461" t="e">
        <f>AND(#REF!,"AAAAAD2V5r4=")</f>
        <v>#REF!</v>
      </c>
      <c r="GJ461" t="e">
        <f>AND(#REF!,"AAAAAD2V5r8=")</f>
        <v>#REF!</v>
      </c>
      <c r="GK461" t="e">
        <f>AND(#REF!,"AAAAAD2V5sA=")</f>
        <v>#REF!</v>
      </c>
      <c r="GL461" t="e">
        <f>AND(#REF!,"AAAAAD2V5sE=")</f>
        <v>#REF!</v>
      </c>
      <c r="GM461" t="e">
        <f>AND(#REF!,"AAAAAD2V5sI=")</f>
        <v>#REF!</v>
      </c>
      <c r="GN461" t="e">
        <f>AND(#REF!,"AAAAAD2V5sM=")</f>
        <v>#REF!</v>
      </c>
      <c r="GO461" t="e">
        <f>IF(#REF!,"AAAAAD2V5sQ=",0)</f>
        <v>#REF!</v>
      </c>
      <c r="GP461" t="e">
        <f>AND(#REF!,"AAAAAD2V5sU=")</f>
        <v>#REF!</v>
      </c>
      <c r="GQ461" t="e">
        <f>AND(#REF!,"AAAAAD2V5sY=")</f>
        <v>#REF!</v>
      </c>
      <c r="GR461" t="e">
        <f>AND(#REF!,"AAAAAD2V5sc=")</f>
        <v>#REF!</v>
      </c>
      <c r="GS461" t="e">
        <f>AND(#REF!,"AAAAAD2V5sg=")</f>
        <v>#REF!</v>
      </c>
      <c r="GT461" t="e">
        <f>AND(#REF!,"AAAAAD2V5sk=")</f>
        <v>#REF!</v>
      </c>
      <c r="GU461" t="e">
        <f>AND(#REF!,"AAAAAD2V5so=")</f>
        <v>#REF!</v>
      </c>
      <c r="GV461" t="e">
        <f>AND(#REF!,"AAAAAD2V5ss=")</f>
        <v>#REF!</v>
      </c>
      <c r="GW461" t="e">
        <f>AND(#REF!,"AAAAAD2V5sw=")</f>
        <v>#REF!</v>
      </c>
      <c r="GX461" t="e">
        <f>AND(#REF!,"AAAAAD2V5s0=")</f>
        <v>#REF!</v>
      </c>
      <c r="GY461" t="e">
        <f>AND(#REF!,"AAAAAD2V5s4=")</f>
        <v>#REF!</v>
      </c>
      <c r="GZ461" t="e">
        <f>IF(#REF!,"AAAAAD2V5s8=",0)</f>
        <v>#REF!</v>
      </c>
      <c r="HA461" t="e">
        <f>AND(#REF!,"AAAAAD2V5tA=")</f>
        <v>#REF!</v>
      </c>
      <c r="HB461" t="e">
        <f>AND(#REF!,"AAAAAD2V5tE=")</f>
        <v>#REF!</v>
      </c>
      <c r="HC461" t="e">
        <f>AND(#REF!,"AAAAAD2V5tI=")</f>
        <v>#REF!</v>
      </c>
      <c r="HD461" t="e">
        <f>AND(#REF!,"AAAAAD2V5tM=")</f>
        <v>#REF!</v>
      </c>
      <c r="HE461" t="e">
        <f>AND(#REF!,"AAAAAD2V5tQ=")</f>
        <v>#REF!</v>
      </c>
      <c r="HF461" t="e">
        <f>AND(#REF!,"AAAAAD2V5tU=")</f>
        <v>#REF!</v>
      </c>
      <c r="HG461" t="e">
        <f>AND(#REF!,"AAAAAD2V5tY=")</f>
        <v>#REF!</v>
      </c>
      <c r="HH461" t="e">
        <f>AND(#REF!,"AAAAAD2V5tc=")</f>
        <v>#REF!</v>
      </c>
      <c r="HI461" t="e">
        <f>AND(#REF!,"AAAAAD2V5tg=")</f>
        <v>#REF!</v>
      </c>
      <c r="HJ461" t="e">
        <f>AND(#REF!,"AAAAAD2V5tk=")</f>
        <v>#REF!</v>
      </c>
      <c r="HK461" t="e">
        <f>IF(#REF!,"AAAAAD2V5to=",0)</f>
        <v>#REF!</v>
      </c>
      <c r="HL461" t="e">
        <f>AND(#REF!,"AAAAAD2V5ts=")</f>
        <v>#REF!</v>
      </c>
      <c r="HM461" t="e">
        <f>AND(#REF!,"AAAAAD2V5tw=")</f>
        <v>#REF!</v>
      </c>
      <c r="HN461" t="e">
        <f>AND(#REF!,"AAAAAD2V5t0=")</f>
        <v>#REF!</v>
      </c>
      <c r="HO461" t="e">
        <f>AND(#REF!,"AAAAAD2V5t4=")</f>
        <v>#REF!</v>
      </c>
      <c r="HP461" t="e">
        <f>AND(#REF!,"AAAAAD2V5t8=")</f>
        <v>#REF!</v>
      </c>
      <c r="HQ461" t="e">
        <f>AND(#REF!,"AAAAAD2V5uA=")</f>
        <v>#REF!</v>
      </c>
      <c r="HR461" t="e">
        <f>AND(#REF!,"AAAAAD2V5uE=")</f>
        <v>#REF!</v>
      </c>
      <c r="HS461" t="e">
        <f>AND(#REF!,"AAAAAD2V5uI=")</f>
        <v>#REF!</v>
      </c>
      <c r="HT461" t="e">
        <f>AND(#REF!,"AAAAAD2V5uM=")</f>
        <v>#REF!</v>
      </c>
      <c r="HU461" t="e">
        <f>AND(#REF!,"AAAAAD2V5uQ=")</f>
        <v>#REF!</v>
      </c>
      <c r="HV461" t="e">
        <f>IF(#REF!,"AAAAAD2V5uU=",0)</f>
        <v>#REF!</v>
      </c>
      <c r="HW461" t="e">
        <f>AND(#REF!,"AAAAAD2V5uY=")</f>
        <v>#REF!</v>
      </c>
      <c r="HX461" t="e">
        <f>AND(#REF!,"AAAAAD2V5uc=")</f>
        <v>#REF!</v>
      </c>
      <c r="HY461" t="e">
        <f>AND(#REF!,"AAAAAD2V5ug=")</f>
        <v>#REF!</v>
      </c>
      <c r="HZ461" t="e">
        <f>AND(#REF!,"AAAAAD2V5uk=")</f>
        <v>#REF!</v>
      </c>
      <c r="IA461" t="e">
        <f>AND(#REF!,"AAAAAD2V5uo=")</f>
        <v>#REF!</v>
      </c>
      <c r="IB461" t="e">
        <f>AND(#REF!,"AAAAAD2V5us=")</f>
        <v>#REF!</v>
      </c>
      <c r="IC461" t="e">
        <f>AND(#REF!,"AAAAAD2V5uw=")</f>
        <v>#REF!</v>
      </c>
      <c r="ID461" t="e">
        <f>AND(#REF!,"AAAAAD2V5u0=")</f>
        <v>#REF!</v>
      </c>
      <c r="IE461" t="e">
        <f>AND(#REF!,"AAAAAD2V5u4=")</f>
        <v>#REF!</v>
      </c>
      <c r="IF461" t="e">
        <f>AND(#REF!,"AAAAAD2V5u8=")</f>
        <v>#REF!</v>
      </c>
      <c r="IG461" t="e">
        <f>IF(#REF!,"AAAAAD2V5vA=",0)</f>
        <v>#REF!</v>
      </c>
      <c r="IH461" t="e">
        <f>AND(#REF!,"AAAAAD2V5vE=")</f>
        <v>#REF!</v>
      </c>
      <c r="II461" t="e">
        <f>AND(#REF!,"AAAAAD2V5vI=")</f>
        <v>#REF!</v>
      </c>
      <c r="IJ461" t="e">
        <f>AND(#REF!,"AAAAAD2V5vM=")</f>
        <v>#REF!</v>
      </c>
      <c r="IK461" t="e">
        <f>AND(#REF!,"AAAAAD2V5vQ=")</f>
        <v>#REF!</v>
      </c>
      <c r="IL461" t="e">
        <f>AND(#REF!,"AAAAAD2V5vU=")</f>
        <v>#REF!</v>
      </c>
      <c r="IM461" t="e">
        <f>AND(#REF!,"AAAAAD2V5vY=")</f>
        <v>#REF!</v>
      </c>
      <c r="IN461" t="e">
        <f>AND(#REF!,"AAAAAD2V5vc=")</f>
        <v>#REF!</v>
      </c>
      <c r="IO461" t="e">
        <f>AND(#REF!,"AAAAAD2V5vg=")</f>
        <v>#REF!</v>
      </c>
      <c r="IP461" t="e">
        <f>AND(#REF!,"AAAAAD2V5vk=")</f>
        <v>#REF!</v>
      </c>
      <c r="IQ461" t="e">
        <f>AND(#REF!,"AAAAAD2V5vo=")</f>
        <v>#REF!</v>
      </c>
      <c r="IR461" t="e">
        <f>IF(#REF!,"AAAAAD2V5vs=",0)</f>
        <v>#REF!</v>
      </c>
      <c r="IS461" t="e">
        <f>AND(#REF!,"AAAAAD2V5vw=")</f>
        <v>#REF!</v>
      </c>
      <c r="IT461" t="e">
        <f>AND(#REF!,"AAAAAD2V5v0=")</f>
        <v>#REF!</v>
      </c>
      <c r="IU461" t="e">
        <f>AND(#REF!,"AAAAAD2V5v4=")</f>
        <v>#REF!</v>
      </c>
      <c r="IV461" t="e">
        <f>AND(#REF!,"AAAAAD2V5v8=")</f>
        <v>#REF!</v>
      </c>
    </row>
    <row r="462" spans="1:256" x14ac:dyDescent="0.25">
      <c r="A462" t="e">
        <f>AND(#REF!,"AAAAAH2DrwA=")</f>
        <v>#REF!</v>
      </c>
      <c r="B462" t="e">
        <f>AND(#REF!,"AAAAAH2DrwE=")</f>
        <v>#REF!</v>
      </c>
      <c r="C462" t="e">
        <f>AND(#REF!,"AAAAAH2DrwI=")</f>
        <v>#REF!</v>
      </c>
      <c r="D462" t="e">
        <f>AND(#REF!,"AAAAAH2DrwM=")</f>
        <v>#REF!</v>
      </c>
      <c r="E462" t="e">
        <f>AND(#REF!,"AAAAAH2DrwQ=")</f>
        <v>#REF!</v>
      </c>
      <c r="F462" t="e">
        <f>AND(#REF!,"AAAAAH2DrwU=")</f>
        <v>#REF!</v>
      </c>
      <c r="G462" t="e">
        <f>IF(#REF!,"AAAAAH2DrwY=",0)</f>
        <v>#REF!</v>
      </c>
      <c r="H462" t="e">
        <f>AND(#REF!,"AAAAAH2Drwc=")</f>
        <v>#REF!</v>
      </c>
      <c r="I462" t="e">
        <f>AND(#REF!,"AAAAAH2Drwg=")</f>
        <v>#REF!</v>
      </c>
      <c r="J462" t="e">
        <f>AND(#REF!,"AAAAAH2Drwk=")</f>
        <v>#REF!</v>
      </c>
      <c r="K462" t="e">
        <f>AND(#REF!,"AAAAAH2Drwo=")</f>
        <v>#REF!</v>
      </c>
      <c r="L462" t="e">
        <f>AND(#REF!,"AAAAAH2Drws=")</f>
        <v>#REF!</v>
      </c>
      <c r="M462" t="e">
        <f>AND(#REF!,"AAAAAH2Drww=")</f>
        <v>#REF!</v>
      </c>
      <c r="N462" t="e">
        <f>AND(#REF!,"AAAAAH2Drw0=")</f>
        <v>#REF!</v>
      </c>
      <c r="O462" t="e">
        <f>AND(#REF!,"AAAAAH2Drw4=")</f>
        <v>#REF!</v>
      </c>
      <c r="P462" t="e">
        <f>AND(#REF!,"AAAAAH2Drw8=")</f>
        <v>#REF!</v>
      </c>
      <c r="Q462" t="e">
        <f>AND(#REF!,"AAAAAH2DrxA=")</f>
        <v>#REF!</v>
      </c>
      <c r="R462" t="e">
        <f>IF(#REF!,"AAAAAH2DrxE=",0)</f>
        <v>#REF!</v>
      </c>
      <c r="S462" t="e">
        <f>AND(#REF!,"AAAAAH2DrxI=")</f>
        <v>#REF!</v>
      </c>
      <c r="T462" t="e">
        <f>AND(#REF!,"AAAAAH2DrxM=")</f>
        <v>#REF!</v>
      </c>
      <c r="U462" t="e">
        <f>AND(#REF!,"AAAAAH2DrxQ=")</f>
        <v>#REF!</v>
      </c>
      <c r="V462" t="e">
        <f>AND(#REF!,"AAAAAH2DrxU=")</f>
        <v>#REF!</v>
      </c>
      <c r="W462" t="e">
        <f>AND(#REF!,"AAAAAH2DrxY=")</f>
        <v>#REF!</v>
      </c>
      <c r="X462" t="e">
        <f>AND(#REF!,"AAAAAH2Drxc=")</f>
        <v>#REF!</v>
      </c>
      <c r="Y462" t="e">
        <f>AND(#REF!,"AAAAAH2Drxg=")</f>
        <v>#REF!</v>
      </c>
      <c r="Z462" t="e">
        <f>AND(#REF!,"AAAAAH2Drxk=")</f>
        <v>#REF!</v>
      </c>
      <c r="AA462" t="e">
        <f>AND(#REF!,"AAAAAH2Drxo=")</f>
        <v>#REF!</v>
      </c>
      <c r="AB462" t="e">
        <f>AND(#REF!,"AAAAAH2Drxs=")</f>
        <v>#REF!</v>
      </c>
      <c r="AC462" t="e">
        <f>IF(#REF!,"AAAAAH2Drxw=",0)</f>
        <v>#REF!</v>
      </c>
      <c r="AD462" t="e">
        <f>AND(#REF!,"AAAAAH2Drx0=")</f>
        <v>#REF!</v>
      </c>
      <c r="AE462" t="e">
        <f>AND(#REF!,"AAAAAH2Drx4=")</f>
        <v>#REF!</v>
      </c>
      <c r="AF462" t="e">
        <f>AND(#REF!,"AAAAAH2Drx8=")</f>
        <v>#REF!</v>
      </c>
      <c r="AG462" t="e">
        <f>AND(#REF!,"AAAAAH2DryA=")</f>
        <v>#REF!</v>
      </c>
      <c r="AH462" t="e">
        <f>AND(#REF!,"AAAAAH2DryE=")</f>
        <v>#REF!</v>
      </c>
      <c r="AI462" t="e">
        <f>AND(#REF!,"AAAAAH2DryI=")</f>
        <v>#REF!</v>
      </c>
      <c r="AJ462" t="e">
        <f>AND(#REF!,"AAAAAH2DryM=")</f>
        <v>#REF!</v>
      </c>
      <c r="AK462" t="e">
        <f>AND(#REF!,"AAAAAH2DryQ=")</f>
        <v>#REF!</v>
      </c>
      <c r="AL462" t="e">
        <f>AND(#REF!,"AAAAAH2DryU=")</f>
        <v>#REF!</v>
      </c>
      <c r="AM462" t="e">
        <f>AND(#REF!,"AAAAAH2DryY=")</f>
        <v>#REF!</v>
      </c>
      <c r="AN462" t="e">
        <f>IF(#REF!,"AAAAAH2Dryc=",0)</f>
        <v>#REF!</v>
      </c>
      <c r="AO462" t="e">
        <f>AND(#REF!,"AAAAAH2Dryg=")</f>
        <v>#REF!</v>
      </c>
      <c r="AP462" t="e">
        <f>AND(#REF!,"AAAAAH2Dryk=")</f>
        <v>#REF!</v>
      </c>
      <c r="AQ462" t="e">
        <f>AND(#REF!,"AAAAAH2Dryo=")</f>
        <v>#REF!</v>
      </c>
      <c r="AR462" t="e">
        <f>AND(#REF!,"AAAAAH2Drys=")</f>
        <v>#REF!</v>
      </c>
      <c r="AS462" t="e">
        <f>AND(#REF!,"AAAAAH2Dryw=")</f>
        <v>#REF!</v>
      </c>
      <c r="AT462" t="e">
        <f>AND(#REF!,"AAAAAH2Dry0=")</f>
        <v>#REF!</v>
      </c>
      <c r="AU462" t="e">
        <f>AND(#REF!,"AAAAAH2Dry4=")</f>
        <v>#REF!</v>
      </c>
      <c r="AV462" t="e">
        <f>AND(#REF!,"AAAAAH2Dry8=")</f>
        <v>#REF!</v>
      </c>
      <c r="AW462" t="e">
        <f>AND(#REF!,"AAAAAH2DrzA=")</f>
        <v>#REF!</v>
      </c>
      <c r="AX462" t="e">
        <f>AND(#REF!,"AAAAAH2DrzE=")</f>
        <v>#REF!</v>
      </c>
      <c r="AY462" t="e">
        <f>IF(#REF!,"AAAAAH2DrzI=",0)</f>
        <v>#REF!</v>
      </c>
      <c r="AZ462" t="e">
        <f>AND(#REF!,"AAAAAH2DrzM=")</f>
        <v>#REF!</v>
      </c>
      <c r="BA462" t="e">
        <f>AND(#REF!,"AAAAAH2DrzQ=")</f>
        <v>#REF!</v>
      </c>
      <c r="BB462" t="e">
        <f>AND(#REF!,"AAAAAH2DrzU=")</f>
        <v>#REF!</v>
      </c>
      <c r="BC462" t="e">
        <f>AND(#REF!,"AAAAAH2DrzY=")</f>
        <v>#REF!</v>
      </c>
      <c r="BD462" t="e">
        <f>AND(#REF!,"AAAAAH2Drzc=")</f>
        <v>#REF!</v>
      </c>
      <c r="BE462" t="e">
        <f>AND(#REF!,"AAAAAH2Drzg=")</f>
        <v>#REF!</v>
      </c>
      <c r="BF462" t="e">
        <f>AND(#REF!,"AAAAAH2Drzk=")</f>
        <v>#REF!</v>
      </c>
      <c r="BG462" t="e">
        <f>AND(#REF!,"AAAAAH2Drzo=")</f>
        <v>#REF!</v>
      </c>
      <c r="BH462" t="e">
        <f>AND(#REF!,"AAAAAH2Drzs=")</f>
        <v>#REF!</v>
      </c>
      <c r="BI462" t="e">
        <f>AND(#REF!,"AAAAAH2Drzw=")</f>
        <v>#REF!</v>
      </c>
      <c r="BJ462" t="e">
        <f>IF(#REF!,"AAAAAH2Drz0=",0)</f>
        <v>#REF!</v>
      </c>
      <c r="BK462" t="e">
        <f>AND(#REF!,"AAAAAH2Drz4=")</f>
        <v>#REF!</v>
      </c>
      <c r="BL462" t="e">
        <f>AND(#REF!,"AAAAAH2Drz8=")</f>
        <v>#REF!</v>
      </c>
      <c r="BM462" t="e">
        <f>AND(#REF!,"AAAAAH2Dr0A=")</f>
        <v>#REF!</v>
      </c>
      <c r="BN462" t="e">
        <f>AND(#REF!,"AAAAAH2Dr0E=")</f>
        <v>#REF!</v>
      </c>
      <c r="BO462" t="e">
        <f>AND(#REF!,"AAAAAH2Dr0I=")</f>
        <v>#REF!</v>
      </c>
      <c r="BP462" t="e">
        <f>AND(#REF!,"AAAAAH2Dr0M=")</f>
        <v>#REF!</v>
      </c>
      <c r="BQ462" t="e">
        <f>AND(#REF!,"AAAAAH2Dr0Q=")</f>
        <v>#REF!</v>
      </c>
      <c r="BR462" t="e">
        <f>AND(#REF!,"AAAAAH2Dr0U=")</f>
        <v>#REF!</v>
      </c>
      <c r="BS462" t="e">
        <f>AND(#REF!,"AAAAAH2Dr0Y=")</f>
        <v>#REF!</v>
      </c>
      <c r="BT462" t="e">
        <f>AND(#REF!,"AAAAAH2Dr0c=")</f>
        <v>#REF!</v>
      </c>
      <c r="BU462" t="e">
        <f>IF(#REF!,"AAAAAH2Dr0g=",0)</f>
        <v>#REF!</v>
      </c>
      <c r="BV462" t="e">
        <f>AND(#REF!,"AAAAAH2Dr0k=")</f>
        <v>#REF!</v>
      </c>
      <c r="BW462" t="e">
        <f>AND(#REF!,"AAAAAH2Dr0o=")</f>
        <v>#REF!</v>
      </c>
      <c r="BX462" t="e">
        <f>AND(#REF!,"AAAAAH2Dr0s=")</f>
        <v>#REF!</v>
      </c>
      <c r="BY462" t="e">
        <f>AND(#REF!,"AAAAAH2Dr0w=")</f>
        <v>#REF!</v>
      </c>
      <c r="BZ462" t="e">
        <f>AND(#REF!,"AAAAAH2Dr00=")</f>
        <v>#REF!</v>
      </c>
      <c r="CA462" t="e">
        <f>AND(#REF!,"AAAAAH2Dr04=")</f>
        <v>#REF!</v>
      </c>
      <c r="CB462" t="e">
        <f>AND(#REF!,"AAAAAH2Dr08=")</f>
        <v>#REF!</v>
      </c>
      <c r="CC462" t="e">
        <f>AND(#REF!,"AAAAAH2Dr1A=")</f>
        <v>#REF!</v>
      </c>
      <c r="CD462" t="e">
        <f>AND(#REF!,"AAAAAH2Dr1E=")</f>
        <v>#REF!</v>
      </c>
      <c r="CE462" t="e">
        <f>AND(#REF!,"AAAAAH2Dr1I=")</f>
        <v>#REF!</v>
      </c>
      <c r="CF462" t="e">
        <f>IF(#REF!,"AAAAAH2Dr1M=",0)</f>
        <v>#REF!</v>
      </c>
      <c r="CG462" t="e">
        <f>AND(#REF!,"AAAAAH2Dr1Q=")</f>
        <v>#REF!</v>
      </c>
      <c r="CH462" t="e">
        <f>AND(#REF!,"AAAAAH2Dr1U=")</f>
        <v>#REF!</v>
      </c>
      <c r="CI462" t="e">
        <f>AND(#REF!,"AAAAAH2Dr1Y=")</f>
        <v>#REF!</v>
      </c>
      <c r="CJ462" t="e">
        <f>AND(#REF!,"AAAAAH2Dr1c=")</f>
        <v>#REF!</v>
      </c>
      <c r="CK462" t="e">
        <f>AND(#REF!,"AAAAAH2Dr1g=")</f>
        <v>#REF!</v>
      </c>
      <c r="CL462" t="e">
        <f>AND(#REF!,"AAAAAH2Dr1k=")</f>
        <v>#REF!</v>
      </c>
      <c r="CM462" t="e">
        <f>AND(#REF!,"AAAAAH2Dr1o=")</f>
        <v>#REF!</v>
      </c>
      <c r="CN462" t="e">
        <f>AND(#REF!,"AAAAAH2Dr1s=")</f>
        <v>#REF!</v>
      </c>
      <c r="CO462" t="e">
        <f>AND(#REF!,"AAAAAH2Dr1w=")</f>
        <v>#REF!</v>
      </c>
      <c r="CP462" t="e">
        <f>AND(#REF!,"AAAAAH2Dr10=")</f>
        <v>#REF!</v>
      </c>
      <c r="CQ462" t="e">
        <f>IF(#REF!,"AAAAAH2Dr14=",0)</f>
        <v>#REF!</v>
      </c>
      <c r="CR462" t="e">
        <f>AND(#REF!,"AAAAAH2Dr18=")</f>
        <v>#REF!</v>
      </c>
      <c r="CS462" t="e">
        <f>AND(#REF!,"AAAAAH2Dr2A=")</f>
        <v>#REF!</v>
      </c>
      <c r="CT462" t="e">
        <f>AND(#REF!,"AAAAAH2Dr2E=")</f>
        <v>#REF!</v>
      </c>
      <c r="CU462" t="e">
        <f>AND(#REF!,"AAAAAH2Dr2I=")</f>
        <v>#REF!</v>
      </c>
      <c r="CV462" t="e">
        <f>AND(#REF!,"AAAAAH2Dr2M=")</f>
        <v>#REF!</v>
      </c>
      <c r="CW462" t="e">
        <f>AND(#REF!,"AAAAAH2Dr2Q=")</f>
        <v>#REF!</v>
      </c>
      <c r="CX462" t="e">
        <f>AND(#REF!,"AAAAAH2Dr2U=")</f>
        <v>#REF!</v>
      </c>
      <c r="CY462" t="e">
        <f>AND(#REF!,"AAAAAH2Dr2Y=")</f>
        <v>#REF!</v>
      </c>
      <c r="CZ462" t="e">
        <f>AND(#REF!,"AAAAAH2Dr2c=")</f>
        <v>#REF!</v>
      </c>
      <c r="DA462" t="e">
        <f>AND(#REF!,"AAAAAH2Dr2g=")</f>
        <v>#REF!</v>
      </c>
      <c r="DB462" t="e">
        <f>IF(#REF!,"AAAAAH2Dr2k=",0)</f>
        <v>#REF!</v>
      </c>
      <c r="DC462" t="e">
        <f>AND(#REF!,"AAAAAH2Dr2o=")</f>
        <v>#REF!</v>
      </c>
      <c r="DD462" t="e">
        <f>AND(#REF!,"AAAAAH2Dr2s=")</f>
        <v>#REF!</v>
      </c>
      <c r="DE462" t="e">
        <f>AND(#REF!,"AAAAAH2Dr2w=")</f>
        <v>#REF!</v>
      </c>
      <c r="DF462" t="e">
        <f>AND(#REF!,"AAAAAH2Dr20=")</f>
        <v>#REF!</v>
      </c>
      <c r="DG462" t="e">
        <f>AND(#REF!,"AAAAAH2Dr24=")</f>
        <v>#REF!</v>
      </c>
      <c r="DH462" t="e">
        <f>AND(#REF!,"AAAAAH2Dr28=")</f>
        <v>#REF!</v>
      </c>
      <c r="DI462" t="e">
        <f>AND(#REF!,"AAAAAH2Dr3A=")</f>
        <v>#REF!</v>
      </c>
      <c r="DJ462" t="e">
        <f>AND(#REF!,"AAAAAH2Dr3E=")</f>
        <v>#REF!</v>
      </c>
      <c r="DK462" t="e">
        <f>AND(#REF!,"AAAAAH2Dr3I=")</f>
        <v>#REF!</v>
      </c>
      <c r="DL462" t="e">
        <f>AND(#REF!,"AAAAAH2Dr3M=")</f>
        <v>#REF!</v>
      </c>
      <c r="DM462" t="e">
        <f>IF(#REF!,"AAAAAH2Dr3Q=",0)</f>
        <v>#REF!</v>
      </c>
      <c r="DN462" t="e">
        <f>AND(#REF!,"AAAAAH2Dr3U=")</f>
        <v>#REF!</v>
      </c>
      <c r="DO462" t="e">
        <f>AND(#REF!,"AAAAAH2Dr3Y=")</f>
        <v>#REF!</v>
      </c>
      <c r="DP462" t="e">
        <f>AND(#REF!,"AAAAAH2Dr3c=")</f>
        <v>#REF!</v>
      </c>
      <c r="DQ462" t="e">
        <f>AND(#REF!,"AAAAAH2Dr3g=")</f>
        <v>#REF!</v>
      </c>
      <c r="DR462" t="e">
        <f>AND(#REF!,"AAAAAH2Dr3k=")</f>
        <v>#REF!</v>
      </c>
      <c r="DS462" t="e">
        <f>AND(#REF!,"AAAAAH2Dr3o=")</f>
        <v>#REF!</v>
      </c>
      <c r="DT462" t="e">
        <f>AND(#REF!,"AAAAAH2Dr3s=")</f>
        <v>#REF!</v>
      </c>
      <c r="DU462" t="e">
        <f>AND(#REF!,"AAAAAH2Dr3w=")</f>
        <v>#REF!</v>
      </c>
      <c r="DV462" t="e">
        <f>AND(#REF!,"AAAAAH2Dr30=")</f>
        <v>#REF!</v>
      </c>
      <c r="DW462" t="e">
        <f>AND(#REF!,"AAAAAH2Dr34=")</f>
        <v>#REF!</v>
      </c>
      <c r="DX462" t="e">
        <f>IF(#REF!,"AAAAAH2Dr38=",0)</f>
        <v>#REF!</v>
      </c>
      <c r="DY462" t="e">
        <f>AND(#REF!,"AAAAAH2Dr4A=")</f>
        <v>#REF!</v>
      </c>
      <c r="DZ462" t="e">
        <f>AND(#REF!,"AAAAAH2Dr4E=")</f>
        <v>#REF!</v>
      </c>
      <c r="EA462" t="e">
        <f>AND(#REF!,"AAAAAH2Dr4I=")</f>
        <v>#REF!</v>
      </c>
      <c r="EB462" t="e">
        <f>AND(#REF!,"AAAAAH2Dr4M=")</f>
        <v>#REF!</v>
      </c>
      <c r="EC462" t="e">
        <f>AND(#REF!,"AAAAAH2Dr4Q=")</f>
        <v>#REF!</v>
      </c>
      <c r="ED462" t="e">
        <f>AND(#REF!,"AAAAAH2Dr4U=")</f>
        <v>#REF!</v>
      </c>
      <c r="EE462" t="e">
        <f>AND(#REF!,"AAAAAH2Dr4Y=")</f>
        <v>#REF!</v>
      </c>
      <c r="EF462" t="e">
        <f>AND(#REF!,"AAAAAH2Dr4c=")</f>
        <v>#REF!</v>
      </c>
      <c r="EG462" t="e">
        <f>AND(#REF!,"AAAAAH2Dr4g=")</f>
        <v>#REF!</v>
      </c>
      <c r="EH462" t="e">
        <f>AND(#REF!,"AAAAAH2Dr4k=")</f>
        <v>#REF!</v>
      </c>
      <c r="EI462" t="e">
        <f>IF(#REF!,"AAAAAH2Dr4o=",0)</f>
        <v>#REF!</v>
      </c>
      <c r="EJ462" t="e">
        <f>AND(#REF!,"AAAAAH2Dr4s=")</f>
        <v>#REF!</v>
      </c>
      <c r="EK462" t="e">
        <f>AND(#REF!,"AAAAAH2Dr4w=")</f>
        <v>#REF!</v>
      </c>
      <c r="EL462" t="e">
        <f>AND(#REF!,"AAAAAH2Dr40=")</f>
        <v>#REF!</v>
      </c>
      <c r="EM462" t="e">
        <f>AND(#REF!,"AAAAAH2Dr44=")</f>
        <v>#REF!</v>
      </c>
      <c r="EN462" t="e">
        <f>AND(#REF!,"AAAAAH2Dr48=")</f>
        <v>#REF!</v>
      </c>
      <c r="EO462" t="e">
        <f>AND(#REF!,"AAAAAH2Dr5A=")</f>
        <v>#REF!</v>
      </c>
      <c r="EP462" t="e">
        <f>AND(#REF!,"AAAAAH2Dr5E=")</f>
        <v>#REF!</v>
      </c>
      <c r="EQ462" t="e">
        <f>AND(#REF!,"AAAAAH2Dr5I=")</f>
        <v>#REF!</v>
      </c>
      <c r="ER462" t="e">
        <f>AND(#REF!,"AAAAAH2Dr5M=")</f>
        <v>#REF!</v>
      </c>
      <c r="ES462" t="e">
        <f>AND(#REF!,"AAAAAH2Dr5Q=")</f>
        <v>#REF!</v>
      </c>
      <c r="ET462" t="e">
        <f>IF(#REF!,"AAAAAH2Dr5U=",0)</f>
        <v>#REF!</v>
      </c>
      <c r="EU462" t="e">
        <f>AND(#REF!,"AAAAAH2Dr5Y=")</f>
        <v>#REF!</v>
      </c>
      <c r="EV462" t="e">
        <f>AND(#REF!,"AAAAAH2Dr5c=")</f>
        <v>#REF!</v>
      </c>
      <c r="EW462" t="e">
        <f>AND(#REF!,"AAAAAH2Dr5g=")</f>
        <v>#REF!</v>
      </c>
      <c r="EX462" t="e">
        <f>AND(#REF!,"AAAAAH2Dr5k=")</f>
        <v>#REF!</v>
      </c>
      <c r="EY462" t="e">
        <f>AND(#REF!,"AAAAAH2Dr5o=")</f>
        <v>#REF!</v>
      </c>
      <c r="EZ462" t="e">
        <f>AND(#REF!,"AAAAAH2Dr5s=")</f>
        <v>#REF!</v>
      </c>
      <c r="FA462" t="e">
        <f>AND(#REF!,"AAAAAH2Dr5w=")</f>
        <v>#REF!</v>
      </c>
      <c r="FB462" t="e">
        <f>AND(#REF!,"AAAAAH2Dr50=")</f>
        <v>#REF!</v>
      </c>
      <c r="FC462" t="e">
        <f>AND(#REF!,"AAAAAH2Dr54=")</f>
        <v>#REF!</v>
      </c>
      <c r="FD462" t="e">
        <f>AND(#REF!,"AAAAAH2Dr58=")</f>
        <v>#REF!</v>
      </c>
      <c r="FE462" t="e">
        <f>IF(#REF!,"AAAAAH2Dr6A=",0)</f>
        <v>#REF!</v>
      </c>
      <c r="FF462" t="e">
        <f>AND(#REF!,"AAAAAH2Dr6E=")</f>
        <v>#REF!</v>
      </c>
      <c r="FG462" t="e">
        <f>AND(#REF!,"AAAAAH2Dr6I=")</f>
        <v>#REF!</v>
      </c>
      <c r="FH462" t="e">
        <f>AND(#REF!,"AAAAAH2Dr6M=")</f>
        <v>#REF!</v>
      </c>
      <c r="FI462" t="e">
        <f>AND(#REF!,"AAAAAH2Dr6Q=")</f>
        <v>#REF!</v>
      </c>
      <c r="FJ462" t="e">
        <f>AND(#REF!,"AAAAAH2Dr6U=")</f>
        <v>#REF!</v>
      </c>
      <c r="FK462" t="e">
        <f>AND(#REF!,"AAAAAH2Dr6Y=")</f>
        <v>#REF!</v>
      </c>
      <c r="FL462" t="e">
        <f>AND(#REF!,"AAAAAH2Dr6c=")</f>
        <v>#REF!</v>
      </c>
      <c r="FM462" t="e">
        <f>AND(#REF!,"AAAAAH2Dr6g=")</f>
        <v>#REF!</v>
      </c>
      <c r="FN462" t="e">
        <f>AND(#REF!,"AAAAAH2Dr6k=")</f>
        <v>#REF!</v>
      </c>
      <c r="FO462" t="e">
        <f>AND(#REF!,"AAAAAH2Dr6o=")</f>
        <v>#REF!</v>
      </c>
      <c r="FP462" t="e">
        <f>IF(#REF!,"AAAAAH2Dr6s=",0)</f>
        <v>#REF!</v>
      </c>
      <c r="FQ462" t="e">
        <f>AND(#REF!,"AAAAAH2Dr6w=")</f>
        <v>#REF!</v>
      </c>
      <c r="FR462" t="e">
        <f>AND(#REF!,"AAAAAH2Dr60=")</f>
        <v>#REF!</v>
      </c>
      <c r="FS462" t="e">
        <f>AND(#REF!,"AAAAAH2Dr64=")</f>
        <v>#REF!</v>
      </c>
      <c r="FT462" t="e">
        <f>AND(#REF!,"AAAAAH2Dr68=")</f>
        <v>#REF!</v>
      </c>
      <c r="FU462" t="e">
        <f>AND(#REF!,"AAAAAH2Dr7A=")</f>
        <v>#REF!</v>
      </c>
      <c r="FV462" t="e">
        <f>AND(#REF!,"AAAAAH2Dr7E=")</f>
        <v>#REF!</v>
      </c>
      <c r="FW462" t="e">
        <f>AND(#REF!,"AAAAAH2Dr7I=")</f>
        <v>#REF!</v>
      </c>
      <c r="FX462" t="e">
        <f>AND(#REF!,"AAAAAH2Dr7M=")</f>
        <v>#REF!</v>
      </c>
      <c r="FY462" t="e">
        <f>AND(#REF!,"AAAAAH2Dr7Q=")</f>
        <v>#REF!</v>
      </c>
      <c r="FZ462" t="e">
        <f>AND(#REF!,"AAAAAH2Dr7U=")</f>
        <v>#REF!</v>
      </c>
      <c r="GA462" t="e">
        <f>IF(#REF!,"AAAAAH2Dr7Y=",0)</f>
        <v>#REF!</v>
      </c>
      <c r="GB462" t="e">
        <f>AND(#REF!,"AAAAAH2Dr7c=")</f>
        <v>#REF!</v>
      </c>
      <c r="GC462" t="e">
        <f>AND(#REF!,"AAAAAH2Dr7g=")</f>
        <v>#REF!</v>
      </c>
      <c r="GD462" t="e">
        <f>AND(#REF!,"AAAAAH2Dr7k=")</f>
        <v>#REF!</v>
      </c>
      <c r="GE462" t="e">
        <f>AND(#REF!,"AAAAAH2Dr7o=")</f>
        <v>#REF!</v>
      </c>
      <c r="GF462" t="e">
        <f>AND(#REF!,"AAAAAH2Dr7s=")</f>
        <v>#REF!</v>
      </c>
      <c r="GG462" t="e">
        <f>AND(#REF!,"AAAAAH2Dr7w=")</f>
        <v>#REF!</v>
      </c>
      <c r="GH462" t="e">
        <f>AND(#REF!,"AAAAAH2Dr70=")</f>
        <v>#REF!</v>
      </c>
      <c r="GI462" t="e">
        <f>AND(#REF!,"AAAAAH2Dr74=")</f>
        <v>#REF!</v>
      </c>
      <c r="GJ462" t="e">
        <f>AND(#REF!,"AAAAAH2Dr78=")</f>
        <v>#REF!</v>
      </c>
      <c r="GK462" t="e">
        <f>AND(#REF!,"AAAAAH2Dr8A=")</f>
        <v>#REF!</v>
      </c>
      <c r="GL462" t="e">
        <f>IF(#REF!,"AAAAAH2Dr8E=",0)</f>
        <v>#REF!</v>
      </c>
      <c r="GM462" t="e">
        <f>AND(#REF!,"AAAAAH2Dr8I=")</f>
        <v>#REF!</v>
      </c>
      <c r="GN462" t="e">
        <f>AND(#REF!,"AAAAAH2Dr8M=")</f>
        <v>#REF!</v>
      </c>
      <c r="GO462" t="e">
        <f>AND(#REF!,"AAAAAH2Dr8Q=")</f>
        <v>#REF!</v>
      </c>
      <c r="GP462" t="e">
        <f>AND(#REF!,"AAAAAH2Dr8U=")</f>
        <v>#REF!</v>
      </c>
      <c r="GQ462" t="e">
        <f>AND(#REF!,"AAAAAH2Dr8Y=")</f>
        <v>#REF!</v>
      </c>
      <c r="GR462" t="e">
        <f>AND(#REF!,"AAAAAH2Dr8c=")</f>
        <v>#REF!</v>
      </c>
      <c r="GS462" t="e">
        <f>AND(#REF!,"AAAAAH2Dr8g=")</f>
        <v>#REF!</v>
      </c>
      <c r="GT462" t="e">
        <f>AND(#REF!,"AAAAAH2Dr8k=")</f>
        <v>#REF!</v>
      </c>
      <c r="GU462" t="e">
        <f>AND(#REF!,"AAAAAH2Dr8o=")</f>
        <v>#REF!</v>
      </c>
      <c r="GV462" t="e">
        <f>AND(#REF!,"AAAAAH2Dr8s=")</f>
        <v>#REF!</v>
      </c>
      <c r="GW462" t="e">
        <f>IF(#REF!,"AAAAAH2Dr8w=",0)</f>
        <v>#REF!</v>
      </c>
      <c r="GX462" t="e">
        <f>AND(#REF!,"AAAAAH2Dr80=")</f>
        <v>#REF!</v>
      </c>
      <c r="GY462" t="e">
        <f>AND(#REF!,"AAAAAH2Dr84=")</f>
        <v>#REF!</v>
      </c>
      <c r="GZ462" t="e">
        <f>AND(#REF!,"AAAAAH2Dr88=")</f>
        <v>#REF!</v>
      </c>
      <c r="HA462" t="e">
        <f>AND(#REF!,"AAAAAH2Dr9A=")</f>
        <v>#REF!</v>
      </c>
      <c r="HB462" t="e">
        <f>AND(#REF!,"AAAAAH2Dr9E=")</f>
        <v>#REF!</v>
      </c>
      <c r="HC462" t="e">
        <f>AND(#REF!,"AAAAAH2Dr9I=")</f>
        <v>#REF!</v>
      </c>
      <c r="HD462" t="e">
        <f>AND(#REF!,"AAAAAH2Dr9M=")</f>
        <v>#REF!</v>
      </c>
      <c r="HE462" t="e">
        <f>AND(#REF!,"AAAAAH2Dr9Q=")</f>
        <v>#REF!</v>
      </c>
      <c r="HF462" t="e">
        <f>AND(#REF!,"AAAAAH2Dr9U=")</f>
        <v>#REF!</v>
      </c>
      <c r="HG462" t="e">
        <f>AND(#REF!,"AAAAAH2Dr9Y=")</f>
        <v>#REF!</v>
      </c>
      <c r="HH462" t="e">
        <f>IF(#REF!,"AAAAAH2Dr9c=",0)</f>
        <v>#REF!</v>
      </c>
      <c r="HI462" t="e">
        <f>AND(#REF!,"AAAAAH2Dr9g=")</f>
        <v>#REF!</v>
      </c>
      <c r="HJ462" t="e">
        <f>AND(#REF!,"AAAAAH2Dr9k=")</f>
        <v>#REF!</v>
      </c>
      <c r="HK462" t="e">
        <f>AND(#REF!,"AAAAAH2Dr9o=")</f>
        <v>#REF!</v>
      </c>
      <c r="HL462" t="e">
        <f>AND(#REF!,"AAAAAH2Dr9s=")</f>
        <v>#REF!</v>
      </c>
      <c r="HM462" t="e">
        <f>AND(#REF!,"AAAAAH2Dr9w=")</f>
        <v>#REF!</v>
      </c>
      <c r="HN462" t="e">
        <f>AND(#REF!,"AAAAAH2Dr90=")</f>
        <v>#REF!</v>
      </c>
      <c r="HO462" t="e">
        <f>AND(#REF!,"AAAAAH2Dr94=")</f>
        <v>#REF!</v>
      </c>
      <c r="HP462" t="e">
        <f>AND(#REF!,"AAAAAH2Dr98=")</f>
        <v>#REF!</v>
      </c>
      <c r="HQ462" t="e">
        <f>AND(#REF!,"AAAAAH2Dr+A=")</f>
        <v>#REF!</v>
      </c>
      <c r="HR462" t="e">
        <f>AND(#REF!,"AAAAAH2Dr+E=")</f>
        <v>#REF!</v>
      </c>
      <c r="HS462" t="e">
        <f>IF(#REF!,"AAAAAH2Dr+I=",0)</f>
        <v>#REF!</v>
      </c>
      <c r="HT462" t="e">
        <f>AND(#REF!,"AAAAAH2Dr+M=")</f>
        <v>#REF!</v>
      </c>
      <c r="HU462" t="e">
        <f>AND(#REF!,"AAAAAH2Dr+Q=")</f>
        <v>#REF!</v>
      </c>
      <c r="HV462" t="e">
        <f>AND(#REF!,"AAAAAH2Dr+U=")</f>
        <v>#REF!</v>
      </c>
      <c r="HW462" t="e">
        <f>AND(#REF!,"AAAAAH2Dr+Y=")</f>
        <v>#REF!</v>
      </c>
      <c r="HX462" t="e">
        <f>AND(#REF!,"AAAAAH2Dr+c=")</f>
        <v>#REF!</v>
      </c>
      <c r="HY462" t="e">
        <f>AND(#REF!,"AAAAAH2Dr+g=")</f>
        <v>#REF!</v>
      </c>
      <c r="HZ462" t="e">
        <f>AND(#REF!,"AAAAAH2Dr+k=")</f>
        <v>#REF!</v>
      </c>
      <c r="IA462" t="e">
        <f>AND(#REF!,"AAAAAH2Dr+o=")</f>
        <v>#REF!</v>
      </c>
      <c r="IB462" t="e">
        <f>AND(#REF!,"AAAAAH2Dr+s=")</f>
        <v>#REF!</v>
      </c>
      <c r="IC462" t="e">
        <f>AND(#REF!,"AAAAAH2Dr+w=")</f>
        <v>#REF!</v>
      </c>
      <c r="ID462" t="e">
        <f>IF(#REF!,"AAAAAH2Dr+0=",0)</f>
        <v>#REF!</v>
      </c>
      <c r="IE462" t="e">
        <f>AND(#REF!,"AAAAAH2Dr+4=")</f>
        <v>#REF!</v>
      </c>
      <c r="IF462" t="e">
        <f>AND(#REF!,"AAAAAH2Dr+8=")</f>
        <v>#REF!</v>
      </c>
      <c r="IG462" t="e">
        <f>AND(#REF!,"AAAAAH2Dr/A=")</f>
        <v>#REF!</v>
      </c>
      <c r="IH462" t="e">
        <f>AND(#REF!,"AAAAAH2Dr/E=")</f>
        <v>#REF!</v>
      </c>
      <c r="II462" t="e">
        <f>AND(#REF!,"AAAAAH2Dr/I=")</f>
        <v>#REF!</v>
      </c>
      <c r="IJ462" t="e">
        <f>AND(#REF!,"AAAAAH2Dr/M=")</f>
        <v>#REF!</v>
      </c>
      <c r="IK462" t="e">
        <f>AND(#REF!,"AAAAAH2Dr/Q=")</f>
        <v>#REF!</v>
      </c>
      <c r="IL462" t="e">
        <f>AND(#REF!,"AAAAAH2Dr/U=")</f>
        <v>#REF!</v>
      </c>
      <c r="IM462" t="e">
        <f>AND(#REF!,"AAAAAH2Dr/Y=")</f>
        <v>#REF!</v>
      </c>
      <c r="IN462" t="e">
        <f>AND(#REF!,"AAAAAH2Dr/c=")</f>
        <v>#REF!</v>
      </c>
      <c r="IO462" t="e">
        <f>IF(#REF!,"AAAAAH2Dr/g=",0)</f>
        <v>#REF!</v>
      </c>
      <c r="IP462" t="e">
        <f>AND(#REF!,"AAAAAH2Dr/k=")</f>
        <v>#REF!</v>
      </c>
      <c r="IQ462" t="e">
        <f>AND(#REF!,"AAAAAH2Dr/o=")</f>
        <v>#REF!</v>
      </c>
      <c r="IR462" t="e">
        <f>AND(#REF!,"AAAAAH2Dr/s=")</f>
        <v>#REF!</v>
      </c>
      <c r="IS462" t="e">
        <f>AND(#REF!,"AAAAAH2Dr/w=")</f>
        <v>#REF!</v>
      </c>
      <c r="IT462" t="e">
        <f>AND(#REF!,"AAAAAH2Dr/0=")</f>
        <v>#REF!</v>
      </c>
      <c r="IU462" t="e">
        <f>AND(#REF!,"AAAAAH2Dr/4=")</f>
        <v>#REF!</v>
      </c>
      <c r="IV462" t="e">
        <f>AND(#REF!,"AAAAAH2Dr/8=")</f>
        <v>#REF!</v>
      </c>
    </row>
    <row r="463" spans="1:256" x14ac:dyDescent="0.25">
      <c r="A463" t="e">
        <f>AND(#REF!,"AAAAAB3b6AA=")</f>
        <v>#REF!</v>
      </c>
      <c r="B463" t="e">
        <f>AND(#REF!,"AAAAAB3b6AE=")</f>
        <v>#REF!</v>
      </c>
      <c r="C463" t="e">
        <f>AND(#REF!,"AAAAAB3b6AI=")</f>
        <v>#REF!</v>
      </c>
      <c r="D463" t="e">
        <f>IF(#REF!,"AAAAAB3b6AM=",0)</f>
        <v>#REF!</v>
      </c>
      <c r="E463" t="e">
        <f>AND(#REF!,"AAAAAB3b6AQ=")</f>
        <v>#REF!</v>
      </c>
      <c r="F463" t="e">
        <f>AND(#REF!,"AAAAAB3b6AU=")</f>
        <v>#REF!</v>
      </c>
      <c r="G463" t="e">
        <f>AND(#REF!,"AAAAAB3b6AY=")</f>
        <v>#REF!</v>
      </c>
      <c r="H463" t="e">
        <f>AND(#REF!,"AAAAAB3b6Ac=")</f>
        <v>#REF!</v>
      </c>
      <c r="I463" t="e">
        <f>AND(#REF!,"AAAAAB3b6Ag=")</f>
        <v>#REF!</v>
      </c>
      <c r="J463" t="e">
        <f>AND(#REF!,"AAAAAB3b6Ak=")</f>
        <v>#REF!</v>
      </c>
      <c r="K463" t="e">
        <f>AND(#REF!,"AAAAAB3b6Ao=")</f>
        <v>#REF!</v>
      </c>
      <c r="L463" t="e">
        <f>AND(#REF!,"AAAAAB3b6As=")</f>
        <v>#REF!</v>
      </c>
      <c r="M463" t="e">
        <f>AND(#REF!,"AAAAAB3b6Aw=")</f>
        <v>#REF!</v>
      </c>
      <c r="N463" t="e">
        <f>AND(#REF!,"AAAAAB3b6A0=")</f>
        <v>#REF!</v>
      </c>
      <c r="O463" t="e">
        <f>IF(#REF!,"AAAAAB3b6A4=",0)</f>
        <v>#REF!</v>
      </c>
      <c r="P463" t="e">
        <f>AND(#REF!,"AAAAAB3b6A8=")</f>
        <v>#REF!</v>
      </c>
      <c r="Q463" t="e">
        <f>AND(#REF!,"AAAAAB3b6BA=")</f>
        <v>#REF!</v>
      </c>
      <c r="R463" t="e">
        <f>AND(#REF!,"AAAAAB3b6BE=")</f>
        <v>#REF!</v>
      </c>
      <c r="S463" t="e">
        <f>AND(#REF!,"AAAAAB3b6BI=")</f>
        <v>#REF!</v>
      </c>
      <c r="T463" t="e">
        <f>AND(#REF!,"AAAAAB3b6BM=")</f>
        <v>#REF!</v>
      </c>
      <c r="U463" t="e">
        <f>AND(#REF!,"AAAAAB3b6BQ=")</f>
        <v>#REF!</v>
      </c>
      <c r="V463" t="e">
        <f>AND(#REF!,"AAAAAB3b6BU=")</f>
        <v>#REF!</v>
      </c>
      <c r="W463" t="e">
        <f>AND(#REF!,"AAAAAB3b6BY=")</f>
        <v>#REF!</v>
      </c>
      <c r="X463" t="e">
        <f>AND(#REF!,"AAAAAB3b6Bc=")</f>
        <v>#REF!</v>
      </c>
      <c r="Y463" t="e">
        <f>AND(#REF!,"AAAAAB3b6Bg=")</f>
        <v>#REF!</v>
      </c>
      <c r="Z463" t="e">
        <f>IF(#REF!,"AAAAAB3b6Bk=",0)</f>
        <v>#REF!</v>
      </c>
      <c r="AA463" t="e">
        <f>AND(#REF!,"AAAAAB3b6Bo=")</f>
        <v>#REF!</v>
      </c>
      <c r="AB463" t="e">
        <f>AND(#REF!,"AAAAAB3b6Bs=")</f>
        <v>#REF!</v>
      </c>
      <c r="AC463" t="e">
        <f>AND(#REF!,"AAAAAB3b6Bw=")</f>
        <v>#REF!</v>
      </c>
      <c r="AD463" t="e">
        <f>AND(#REF!,"AAAAAB3b6B0=")</f>
        <v>#REF!</v>
      </c>
      <c r="AE463" t="e">
        <f>AND(#REF!,"AAAAAB3b6B4=")</f>
        <v>#REF!</v>
      </c>
      <c r="AF463" t="e">
        <f>AND(#REF!,"AAAAAB3b6B8=")</f>
        <v>#REF!</v>
      </c>
      <c r="AG463" t="e">
        <f>AND(#REF!,"AAAAAB3b6CA=")</f>
        <v>#REF!</v>
      </c>
      <c r="AH463" t="e">
        <f>AND(#REF!,"AAAAAB3b6CE=")</f>
        <v>#REF!</v>
      </c>
      <c r="AI463" t="e">
        <f>AND(#REF!,"AAAAAB3b6CI=")</f>
        <v>#REF!</v>
      </c>
      <c r="AJ463" t="e">
        <f>AND(#REF!,"AAAAAB3b6CM=")</f>
        <v>#REF!</v>
      </c>
      <c r="AK463" t="e">
        <f>IF(#REF!,"AAAAAB3b6CQ=",0)</f>
        <v>#REF!</v>
      </c>
      <c r="AL463" t="e">
        <f>AND(#REF!,"AAAAAB3b6CU=")</f>
        <v>#REF!</v>
      </c>
      <c r="AM463" t="e">
        <f>AND(#REF!,"AAAAAB3b6CY=")</f>
        <v>#REF!</v>
      </c>
      <c r="AN463" t="e">
        <f>AND(#REF!,"AAAAAB3b6Cc=")</f>
        <v>#REF!</v>
      </c>
      <c r="AO463" t="e">
        <f>AND(#REF!,"AAAAAB3b6Cg=")</f>
        <v>#REF!</v>
      </c>
      <c r="AP463" t="e">
        <f>AND(#REF!,"AAAAAB3b6Ck=")</f>
        <v>#REF!</v>
      </c>
      <c r="AQ463" t="e">
        <f>AND(#REF!,"AAAAAB3b6Co=")</f>
        <v>#REF!</v>
      </c>
      <c r="AR463" t="e">
        <f>AND(#REF!,"AAAAAB3b6Cs=")</f>
        <v>#REF!</v>
      </c>
      <c r="AS463" t="e">
        <f>AND(#REF!,"AAAAAB3b6Cw=")</f>
        <v>#REF!</v>
      </c>
      <c r="AT463" t="e">
        <f>AND(#REF!,"AAAAAB3b6C0=")</f>
        <v>#REF!</v>
      </c>
      <c r="AU463" t="e">
        <f>AND(#REF!,"AAAAAB3b6C4=")</f>
        <v>#REF!</v>
      </c>
      <c r="AV463" t="e">
        <f>IF(#REF!,"AAAAAB3b6C8=",0)</f>
        <v>#REF!</v>
      </c>
      <c r="AW463" t="e">
        <f>AND(#REF!,"AAAAAB3b6DA=")</f>
        <v>#REF!</v>
      </c>
      <c r="AX463" t="e">
        <f>AND(#REF!,"AAAAAB3b6DE=")</f>
        <v>#REF!</v>
      </c>
      <c r="AY463" t="e">
        <f>AND(#REF!,"AAAAAB3b6DI=")</f>
        <v>#REF!</v>
      </c>
      <c r="AZ463" t="e">
        <f>AND(#REF!,"AAAAAB3b6DM=")</f>
        <v>#REF!</v>
      </c>
      <c r="BA463" t="e">
        <f>AND(#REF!,"AAAAAB3b6DQ=")</f>
        <v>#REF!</v>
      </c>
      <c r="BB463" t="e">
        <f>AND(#REF!,"AAAAAB3b6DU=")</f>
        <v>#REF!</v>
      </c>
      <c r="BC463" t="e">
        <f>AND(#REF!,"AAAAAB3b6DY=")</f>
        <v>#REF!</v>
      </c>
      <c r="BD463" t="e">
        <f>AND(#REF!,"AAAAAB3b6Dc=")</f>
        <v>#REF!</v>
      </c>
      <c r="BE463" t="e">
        <f>AND(#REF!,"AAAAAB3b6Dg=")</f>
        <v>#REF!</v>
      </c>
      <c r="BF463" t="e">
        <f>AND(#REF!,"AAAAAB3b6Dk=")</f>
        <v>#REF!</v>
      </c>
      <c r="BG463" t="e">
        <f>IF(#REF!,"AAAAAB3b6Do=",0)</f>
        <v>#REF!</v>
      </c>
      <c r="BH463" t="e">
        <f>AND(#REF!,"AAAAAB3b6Ds=")</f>
        <v>#REF!</v>
      </c>
      <c r="BI463" t="e">
        <f>AND(#REF!,"AAAAAB3b6Dw=")</f>
        <v>#REF!</v>
      </c>
      <c r="BJ463" t="e">
        <f>AND(#REF!,"AAAAAB3b6D0=")</f>
        <v>#REF!</v>
      </c>
      <c r="BK463" t="e">
        <f>AND(#REF!,"AAAAAB3b6D4=")</f>
        <v>#REF!</v>
      </c>
      <c r="BL463" t="e">
        <f>AND(#REF!,"AAAAAB3b6D8=")</f>
        <v>#REF!</v>
      </c>
      <c r="BM463" t="e">
        <f>AND(#REF!,"AAAAAB3b6EA=")</f>
        <v>#REF!</v>
      </c>
      <c r="BN463" t="e">
        <f>AND(#REF!,"AAAAAB3b6EE=")</f>
        <v>#REF!</v>
      </c>
      <c r="BO463" t="e">
        <f>AND(#REF!,"AAAAAB3b6EI=")</f>
        <v>#REF!</v>
      </c>
      <c r="BP463" t="e">
        <f>AND(#REF!,"AAAAAB3b6EM=")</f>
        <v>#REF!</v>
      </c>
      <c r="BQ463" t="e">
        <f>AND(#REF!,"AAAAAB3b6EQ=")</f>
        <v>#REF!</v>
      </c>
      <c r="BR463" t="e">
        <f>IF(#REF!,"AAAAAB3b6EU=",0)</f>
        <v>#REF!</v>
      </c>
      <c r="BS463" t="e">
        <f>AND(#REF!,"AAAAAB3b6EY=")</f>
        <v>#REF!</v>
      </c>
      <c r="BT463" t="e">
        <f>AND(#REF!,"AAAAAB3b6Ec=")</f>
        <v>#REF!</v>
      </c>
      <c r="BU463" t="e">
        <f>AND(#REF!,"AAAAAB3b6Eg=")</f>
        <v>#REF!</v>
      </c>
      <c r="BV463" t="e">
        <f>AND(#REF!,"AAAAAB3b6Ek=")</f>
        <v>#REF!</v>
      </c>
      <c r="BW463" t="e">
        <f>AND(#REF!,"AAAAAB3b6Eo=")</f>
        <v>#REF!</v>
      </c>
      <c r="BX463" t="e">
        <f>AND(#REF!,"AAAAAB3b6Es=")</f>
        <v>#REF!</v>
      </c>
      <c r="BY463" t="e">
        <f>AND(#REF!,"AAAAAB3b6Ew=")</f>
        <v>#REF!</v>
      </c>
      <c r="BZ463" t="e">
        <f>AND(#REF!,"AAAAAB3b6E0=")</f>
        <v>#REF!</v>
      </c>
      <c r="CA463" t="e">
        <f>AND(#REF!,"AAAAAB3b6E4=")</f>
        <v>#REF!</v>
      </c>
      <c r="CB463" t="e">
        <f>AND(#REF!,"AAAAAB3b6E8=")</f>
        <v>#REF!</v>
      </c>
      <c r="CC463" t="e">
        <f>IF(#REF!,"AAAAAB3b6FA=",0)</f>
        <v>#REF!</v>
      </c>
      <c r="CD463" t="e">
        <f>AND(#REF!,"AAAAAB3b6FE=")</f>
        <v>#REF!</v>
      </c>
      <c r="CE463" t="e">
        <f>AND(#REF!,"AAAAAB3b6FI=")</f>
        <v>#REF!</v>
      </c>
      <c r="CF463" t="e">
        <f>AND(#REF!,"AAAAAB3b6FM=")</f>
        <v>#REF!</v>
      </c>
      <c r="CG463" t="e">
        <f>AND(#REF!,"AAAAAB3b6FQ=")</f>
        <v>#REF!</v>
      </c>
      <c r="CH463" t="e">
        <f>AND(#REF!,"AAAAAB3b6FU=")</f>
        <v>#REF!</v>
      </c>
      <c r="CI463" t="e">
        <f>AND(#REF!,"AAAAAB3b6FY=")</f>
        <v>#REF!</v>
      </c>
      <c r="CJ463" t="e">
        <f>AND(#REF!,"AAAAAB3b6Fc=")</f>
        <v>#REF!</v>
      </c>
      <c r="CK463" t="e">
        <f>AND(#REF!,"AAAAAB3b6Fg=")</f>
        <v>#REF!</v>
      </c>
      <c r="CL463" t="e">
        <f>AND(#REF!,"AAAAAB3b6Fk=")</f>
        <v>#REF!</v>
      </c>
      <c r="CM463" t="e">
        <f>AND(#REF!,"AAAAAB3b6Fo=")</f>
        <v>#REF!</v>
      </c>
      <c r="CN463" t="e">
        <f>IF(#REF!,"AAAAAB3b6Fs=",0)</f>
        <v>#REF!</v>
      </c>
      <c r="CO463" t="e">
        <f>AND(#REF!,"AAAAAB3b6Fw=")</f>
        <v>#REF!</v>
      </c>
      <c r="CP463" t="e">
        <f>AND(#REF!,"AAAAAB3b6F0=")</f>
        <v>#REF!</v>
      </c>
      <c r="CQ463" t="e">
        <f>AND(#REF!,"AAAAAB3b6F4=")</f>
        <v>#REF!</v>
      </c>
      <c r="CR463" t="e">
        <f>AND(#REF!,"AAAAAB3b6F8=")</f>
        <v>#REF!</v>
      </c>
      <c r="CS463" t="e">
        <f>AND(#REF!,"AAAAAB3b6GA=")</f>
        <v>#REF!</v>
      </c>
      <c r="CT463" t="e">
        <f>AND(#REF!,"AAAAAB3b6GE=")</f>
        <v>#REF!</v>
      </c>
      <c r="CU463" t="e">
        <f>AND(#REF!,"AAAAAB3b6GI=")</f>
        <v>#REF!</v>
      </c>
      <c r="CV463" t="e">
        <f>AND(#REF!,"AAAAAB3b6GM=")</f>
        <v>#REF!</v>
      </c>
      <c r="CW463" t="e">
        <f>AND(#REF!,"AAAAAB3b6GQ=")</f>
        <v>#REF!</v>
      </c>
      <c r="CX463" t="e">
        <f>AND(#REF!,"AAAAAB3b6GU=")</f>
        <v>#REF!</v>
      </c>
      <c r="CY463" t="e">
        <f>IF(#REF!,"AAAAAB3b6GY=",0)</f>
        <v>#REF!</v>
      </c>
      <c r="CZ463" t="e">
        <f>AND(#REF!,"AAAAAB3b6Gc=")</f>
        <v>#REF!</v>
      </c>
      <c r="DA463" t="e">
        <f>AND(#REF!,"AAAAAB3b6Gg=")</f>
        <v>#REF!</v>
      </c>
      <c r="DB463" t="e">
        <f>AND(#REF!,"AAAAAB3b6Gk=")</f>
        <v>#REF!</v>
      </c>
      <c r="DC463" t="e">
        <f>AND(#REF!,"AAAAAB3b6Go=")</f>
        <v>#REF!</v>
      </c>
      <c r="DD463" t="e">
        <f>AND(#REF!,"AAAAAB3b6Gs=")</f>
        <v>#REF!</v>
      </c>
      <c r="DE463" t="e">
        <f>AND(#REF!,"AAAAAB3b6Gw=")</f>
        <v>#REF!</v>
      </c>
      <c r="DF463" t="e">
        <f>AND(#REF!,"AAAAAB3b6G0=")</f>
        <v>#REF!</v>
      </c>
      <c r="DG463" t="e">
        <f>AND(#REF!,"AAAAAB3b6G4=")</f>
        <v>#REF!</v>
      </c>
      <c r="DH463" t="e">
        <f>AND(#REF!,"AAAAAB3b6G8=")</f>
        <v>#REF!</v>
      </c>
      <c r="DI463" t="e">
        <f>AND(#REF!,"AAAAAB3b6HA=")</f>
        <v>#REF!</v>
      </c>
      <c r="DJ463" t="e">
        <f>IF(#REF!,"AAAAAB3b6HE=",0)</f>
        <v>#REF!</v>
      </c>
      <c r="DK463" t="e">
        <f>AND(#REF!,"AAAAAB3b6HI=")</f>
        <v>#REF!</v>
      </c>
      <c r="DL463" t="e">
        <f>AND(#REF!,"AAAAAB3b6HM=")</f>
        <v>#REF!</v>
      </c>
      <c r="DM463" t="e">
        <f>AND(#REF!,"AAAAAB3b6HQ=")</f>
        <v>#REF!</v>
      </c>
      <c r="DN463" t="e">
        <f>AND(#REF!,"AAAAAB3b6HU=")</f>
        <v>#REF!</v>
      </c>
      <c r="DO463" t="e">
        <f>AND(#REF!,"AAAAAB3b6HY=")</f>
        <v>#REF!</v>
      </c>
      <c r="DP463" t="e">
        <f>AND(#REF!,"AAAAAB3b6Hc=")</f>
        <v>#REF!</v>
      </c>
      <c r="DQ463" t="e">
        <f>AND(#REF!,"AAAAAB3b6Hg=")</f>
        <v>#REF!</v>
      </c>
      <c r="DR463" t="e">
        <f>AND(#REF!,"AAAAAB3b6Hk=")</f>
        <v>#REF!</v>
      </c>
      <c r="DS463" t="e">
        <f>AND(#REF!,"AAAAAB3b6Ho=")</f>
        <v>#REF!</v>
      </c>
      <c r="DT463" t="e">
        <f>AND(#REF!,"AAAAAB3b6Hs=")</f>
        <v>#REF!</v>
      </c>
      <c r="DU463" t="e">
        <f>IF(#REF!,"AAAAAB3b6Hw=",0)</f>
        <v>#REF!</v>
      </c>
      <c r="DV463" t="e">
        <f>AND(#REF!,"AAAAAB3b6H0=")</f>
        <v>#REF!</v>
      </c>
      <c r="DW463" t="e">
        <f>AND(#REF!,"AAAAAB3b6H4=")</f>
        <v>#REF!</v>
      </c>
      <c r="DX463" t="e">
        <f>AND(#REF!,"AAAAAB3b6H8=")</f>
        <v>#REF!</v>
      </c>
      <c r="DY463" t="e">
        <f>AND(#REF!,"AAAAAB3b6IA=")</f>
        <v>#REF!</v>
      </c>
      <c r="DZ463" t="e">
        <f>AND(#REF!,"AAAAAB3b6IE=")</f>
        <v>#REF!</v>
      </c>
      <c r="EA463" t="e">
        <f>AND(#REF!,"AAAAAB3b6II=")</f>
        <v>#REF!</v>
      </c>
      <c r="EB463" t="e">
        <f>AND(#REF!,"AAAAAB3b6IM=")</f>
        <v>#REF!</v>
      </c>
      <c r="EC463" t="e">
        <f>AND(#REF!,"AAAAAB3b6IQ=")</f>
        <v>#REF!</v>
      </c>
      <c r="ED463" t="e">
        <f>AND(#REF!,"AAAAAB3b6IU=")</f>
        <v>#REF!</v>
      </c>
      <c r="EE463" t="e">
        <f>AND(#REF!,"AAAAAB3b6IY=")</f>
        <v>#REF!</v>
      </c>
      <c r="EF463" t="e">
        <f>IF(#REF!,"AAAAAB3b6Ic=",0)</f>
        <v>#REF!</v>
      </c>
      <c r="EG463" t="e">
        <f>AND(#REF!,"AAAAAB3b6Ig=")</f>
        <v>#REF!</v>
      </c>
      <c r="EH463" t="e">
        <f>AND(#REF!,"AAAAAB3b6Ik=")</f>
        <v>#REF!</v>
      </c>
      <c r="EI463" t="e">
        <f>AND(#REF!,"AAAAAB3b6Io=")</f>
        <v>#REF!</v>
      </c>
      <c r="EJ463" t="e">
        <f>AND(#REF!,"AAAAAB3b6Is=")</f>
        <v>#REF!</v>
      </c>
      <c r="EK463" t="e">
        <f>AND(#REF!,"AAAAAB3b6Iw=")</f>
        <v>#REF!</v>
      </c>
      <c r="EL463" t="e">
        <f>AND(#REF!,"AAAAAB3b6I0=")</f>
        <v>#REF!</v>
      </c>
      <c r="EM463" t="e">
        <f>AND(#REF!,"AAAAAB3b6I4=")</f>
        <v>#REF!</v>
      </c>
      <c r="EN463" t="e">
        <f>AND(#REF!,"AAAAAB3b6I8=")</f>
        <v>#REF!</v>
      </c>
      <c r="EO463" t="e">
        <f>AND(#REF!,"AAAAAB3b6JA=")</f>
        <v>#REF!</v>
      </c>
      <c r="EP463" t="e">
        <f>AND(#REF!,"AAAAAB3b6JE=")</f>
        <v>#REF!</v>
      </c>
      <c r="EQ463" t="e">
        <f>IF(#REF!,"AAAAAB3b6JI=",0)</f>
        <v>#REF!</v>
      </c>
      <c r="ER463" t="e">
        <f>AND(#REF!,"AAAAAB3b6JM=")</f>
        <v>#REF!</v>
      </c>
      <c r="ES463" t="e">
        <f>AND(#REF!,"AAAAAB3b6JQ=")</f>
        <v>#REF!</v>
      </c>
      <c r="ET463" t="e">
        <f>AND(#REF!,"AAAAAB3b6JU=")</f>
        <v>#REF!</v>
      </c>
      <c r="EU463" t="e">
        <f>AND(#REF!,"AAAAAB3b6JY=")</f>
        <v>#REF!</v>
      </c>
      <c r="EV463" t="e">
        <f>AND(#REF!,"AAAAAB3b6Jc=")</f>
        <v>#REF!</v>
      </c>
      <c r="EW463" t="e">
        <f>AND(#REF!,"AAAAAB3b6Jg=")</f>
        <v>#REF!</v>
      </c>
      <c r="EX463" t="e">
        <f>AND(#REF!,"AAAAAB3b6Jk=")</f>
        <v>#REF!</v>
      </c>
      <c r="EY463" t="e">
        <f>AND(#REF!,"AAAAAB3b6Jo=")</f>
        <v>#REF!</v>
      </c>
      <c r="EZ463" t="e">
        <f>AND(#REF!,"AAAAAB3b6Js=")</f>
        <v>#REF!</v>
      </c>
      <c r="FA463" t="e">
        <f>AND(#REF!,"AAAAAB3b6Jw=")</f>
        <v>#REF!</v>
      </c>
      <c r="FB463" t="e">
        <f>IF(#REF!,"AAAAAB3b6J0=",0)</f>
        <v>#REF!</v>
      </c>
      <c r="FC463" t="e">
        <f>AND(#REF!,"AAAAAB3b6J4=")</f>
        <v>#REF!</v>
      </c>
      <c r="FD463" t="e">
        <f>AND(#REF!,"AAAAAB3b6J8=")</f>
        <v>#REF!</v>
      </c>
      <c r="FE463" t="e">
        <f>AND(#REF!,"AAAAAB3b6KA=")</f>
        <v>#REF!</v>
      </c>
      <c r="FF463" t="e">
        <f>AND(#REF!,"AAAAAB3b6KE=")</f>
        <v>#REF!</v>
      </c>
      <c r="FG463" t="e">
        <f>AND(#REF!,"AAAAAB3b6KI=")</f>
        <v>#REF!</v>
      </c>
      <c r="FH463" t="e">
        <f>AND(#REF!,"AAAAAB3b6KM=")</f>
        <v>#REF!</v>
      </c>
      <c r="FI463" t="e">
        <f>AND(#REF!,"AAAAAB3b6KQ=")</f>
        <v>#REF!</v>
      </c>
      <c r="FJ463" t="e">
        <f>AND(#REF!,"AAAAAB3b6KU=")</f>
        <v>#REF!</v>
      </c>
      <c r="FK463" t="e">
        <f>AND(#REF!,"AAAAAB3b6KY=")</f>
        <v>#REF!</v>
      </c>
      <c r="FL463" t="e">
        <f>AND(#REF!,"AAAAAB3b6Kc=")</f>
        <v>#REF!</v>
      </c>
      <c r="FM463" t="e">
        <f>IF(#REF!,"AAAAAB3b6Kg=",0)</f>
        <v>#REF!</v>
      </c>
      <c r="FN463" t="e">
        <f>AND(#REF!,"AAAAAB3b6Kk=")</f>
        <v>#REF!</v>
      </c>
      <c r="FO463" t="e">
        <f>AND(#REF!,"AAAAAB3b6Ko=")</f>
        <v>#REF!</v>
      </c>
      <c r="FP463" t="e">
        <f>AND(#REF!,"AAAAAB3b6Ks=")</f>
        <v>#REF!</v>
      </c>
      <c r="FQ463" t="e">
        <f>AND(#REF!,"AAAAAB3b6Kw=")</f>
        <v>#REF!</v>
      </c>
      <c r="FR463" t="e">
        <f>AND(#REF!,"AAAAAB3b6K0=")</f>
        <v>#REF!</v>
      </c>
      <c r="FS463" t="e">
        <f>AND(#REF!,"AAAAAB3b6K4=")</f>
        <v>#REF!</v>
      </c>
      <c r="FT463" t="e">
        <f>AND(#REF!,"AAAAAB3b6K8=")</f>
        <v>#REF!</v>
      </c>
      <c r="FU463" t="e">
        <f>AND(#REF!,"AAAAAB3b6LA=")</f>
        <v>#REF!</v>
      </c>
      <c r="FV463" t="e">
        <f>AND(#REF!,"AAAAAB3b6LE=")</f>
        <v>#REF!</v>
      </c>
      <c r="FW463" t="e">
        <f>AND(#REF!,"AAAAAB3b6LI=")</f>
        <v>#REF!</v>
      </c>
      <c r="FX463" t="e">
        <f>IF(#REF!,"AAAAAB3b6LM=",0)</f>
        <v>#REF!</v>
      </c>
      <c r="FY463" t="e">
        <f>AND(#REF!,"AAAAAB3b6LQ=")</f>
        <v>#REF!</v>
      </c>
      <c r="FZ463" t="e">
        <f>AND(#REF!,"AAAAAB3b6LU=")</f>
        <v>#REF!</v>
      </c>
      <c r="GA463" t="e">
        <f>AND(#REF!,"AAAAAB3b6LY=")</f>
        <v>#REF!</v>
      </c>
      <c r="GB463" t="e">
        <f>AND(#REF!,"AAAAAB3b6Lc=")</f>
        <v>#REF!</v>
      </c>
      <c r="GC463" t="e">
        <f>AND(#REF!,"AAAAAB3b6Lg=")</f>
        <v>#REF!</v>
      </c>
      <c r="GD463" t="e">
        <f>AND(#REF!,"AAAAAB3b6Lk=")</f>
        <v>#REF!</v>
      </c>
      <c r="GE463" t="e">
        <f>AND(#REF!,"AAAAAB3b6Lo=")</f>
        <v>#REF!</v>
      </c>
      <c r="GF463" t="e">
        <f>AND(#REF!,"AAAAAB3b6Ls=")</f>
        <v>#REF!</v>
      </c>
      <c r="GG463" t="e">
        <f>AND(#REF!,"AAAAAB3b6Lw=")</f>
        <v>#REF!</v>
      </c>
      <c r="GH463" t="e">
        <f>AND(#REF!,"AAAAAB3b6L0=")</f>
        <v>#REF!</v>
      </c>
      <c r="GI463" t="e">
        <f>IF(#REF!,"AAAAAB3b6L4=",0)</f>
        <v>#REF!</v>
      </c>
      <c r="GJ463" t="e">
        <f>AND(#REF!,"AAAAAB3b6L8=")</f>
        <v>#REF!</v>
      </c>
      <c r="GK463" t="e">
        <f>AND(#REF!,"AAAAAB3b6MA=")</f>
        <v>#REF!</v>
      </c>
      <c r="GL463" t="e">
        <f>AND(#REF!,"AAAAAB3b6ME=")</f>
        <v>#REF!</v>
      </c>
      <c r="GM463" t="e">
        <f>AND(#REF!,"AAAAAB3b6MI=")</f>
        <v>#REF!</v>
      </c>
      <c r="GN463" t="e">
        <f>AND(#REF!,"AAAAAB3b6MM=")</f>
        <v>#REF!</v>
      </c>
      <c r="GO463" t="e">
        <f>AND(#REF!,"AAAAAB3b6MQ=")</f>
        <v>#REF!</v>
      </c>
      <c r="GP463" t="e">
        <f>AND(#REF!,"AAAAAB3b6MU=")</f>
        <v>#REF!</v>
      </c>
      <c r="GQ463" t="e">
        <f>AND(#REF!,"AAAAAB3b6MY=")</f>
        <v>#REF!</v>
      </c>
      <c r="GR463" t="e">
        <f>AND(#REF!,"AAAAAB3b6Mc=")</f>
        <v>#REF!</v>
      </c>
      <c r="GS463" t="e">
        <f>AND(#REF!,"AAAAAB3b6Mg=")</f>
        <v>#REF!</v>
      </c>
      <c r="GT463" t="e">
        <f>IF(#REF!,"AAAAAB3b6Mk=",0)</f>
        <v>#REF!</v>
      </c>
      <c r="GU463" t="e">
        <f>AND(#REF!,"AAAAAB3b6Mo=")</f>
        <v>#REF!</v>
      </c>
      <c r="GV463" t="e">
        <f>AND(#REF!,"AAAAAB3b6Ms=")</f>
        <v>#REF!</v>
      </c>
      <c r="GW463" t="e">
        <f>AND(#REF!,"AAAAAB3b6Mw=")</f>
        <v>#REF!</v>
      </c>
      <c r="GX463" t="e">
        <f>AND(#REF!,"AAAAAB3b6M0=")</f>
        <v>#REF!</v>
      </c>
      <c r="GY463" t="e">
        <f>AND(#REF!,"AAAAAB3b6M4=")</f>
        <v>#REF!</v>
      </c>
      <c r="GZ463" t="e">
        <f>AND(#REF!,"AAAAAB3b6M8=")</f>
        <v>#REF!</v>
      </c>
      <c r="HA463" t="e">
        <f>AND(#REF!,"AAAAAB3b6NA=")</f>
        <v>#REF!</v>
      </c>
      <c r="HB463" t="e">
        <f>AND(#REF!,"AAAAAB3b6NE=")</f>
        <v>#REF!</v>
      </c>
      <c r="HC463" t="e">
        <f>AND(#REF!,"AAAAAB3b6NI=")</f>
        <v>#REF!</v>
      </c>
      <c r="HD463" t="e">
        <f>AND(#REF!,"AAAAAB3b6NM=")</f>
        <v>#REF!</v>
      </c>
      <c r="HE463" t="e">
        <f>IF(#REF!,"AAAAAB3b6NQ=",0)</f>
        <v>#REF!</v>
      </c>
      <c r="HF463" t="e">
        <f>AND(#REF!,"AAAAAB3b6NU=")</f>
        <v>#REF!</v>
      </c>
      <c r="HG463" t="e">
        <f>AND(#REF!,"AAAAAB3b6NY=")</f>
        <v>#REF!</v>
      </c>
      <c r="HH463" t="e">
        <f>AND(#REF!,"AAAAAB3b6Nc=")</f>
        <v>#REF!</v>
      </c>
      <c r="HI463" t="e">
        <f>AND(#REF!,"AAAAAB3b6Ng=")</f>
        <v>#REF!</v>
      </c>
      <c r="HJ463" t="e">
        <f>AND(#REF!,"AAAAAB3b6Nk=")</f>
        <v>#REF!</v>
      </c>
      <c r="HK463" t="e">
        <f>AND(#REF!,"AAAAAB3b6No=")</f>
        <v>#REF!</v>
      </c>
      <c r="HL463" t="e">
        <f>AND(#REF!,"AAAAAB3b6Ns=")</f>
        <v>#REF!</v>
      </c>
      <c r="HM463" t="e">
        <f>AND(#REF!,"AAAAAB3b6Nw=")</f>
        <v>#REF!</v>
      </c>
      <c r="HN463" t="e">
        <f>AND(#REF!,"AAAAAB3b6N0=")</f>
        <v>#REF!</v>
      </c>
      <c r="HO463" t="e">
        <f>AND(#REF!,"AAAAAB3b6N4=")</f>
        <v>#REF!</v>
      </c>
      <c r="HP463" t="e">
        <f>IF(#REF!,"AAAAAB3b6N8=",0)</f>
        <v>#REF!</v>
      </c>
      <c r="HQ463" t="e">
        <f>AND(#REF!,"AAAAAB3b6OA=")</f>
        <v>#REF!</v>
      </c>
      <c r="HR463" t="e">
        <f>AND(#REF!,"AAAAAB3b6OE=")</f>
        <v>#REF!</v>
      </c>
      <c r="HS463" t="e">
        <f>AND(#REF!,"AAAAAB3b6OI=")</f>
        <v>#REF!</v>
      </c>
      <c r="HT463" t="e">
        <f>AND(#REF!,"AAAAAB3b6OM=")</f>
        <v>#REF!</v>
      </c>
      <c r="HU463" t="e">
        <f>AND(#REF!,"AAAAAB3b6OQ=")</f>
        <v>#REF!</v>
      </c>
      <c r="HV463" t="e">
        <f>AND(#REF!,"AAAAAB3b6OU=")</f>
        <v>#REF!</v>
      </c>
      <c r="HW463" t="e">
        <f>AND(#REF!,"AAAAAB3b6OY=")</f>
        <v>#REF!</v>
      </c>
      <c r="HX463" t="e">
        <f>AND(#REF!,"AAAAAB3b6Oc=")</f>
        <v>#REF!</v>
      </c>
      <c r="HY463" t="e">
        <f>AND(#REF!,"AAAAAB3b6Og=")</f>
        <v>#REF!</v>
      </c>
      <c r="HZ463" t="e">
        <f>AND(#REF!,"AAAAAB3b6Ok=")</f>
        <v>#REF!</v>
      </c>
      <c r="IA463" t="e">
        <f>IF(#REF!,"AAAAAB3b6Oo=",0)</f>
        <v>#REF!</v>
      </c>
      <c r="IB463" t="e">
        <f>AND(#REF!,"AAAAAB3b6Os=")</f>
        <v>#REF!</v>
      </c>
      <c r="IC463" t="e">
        <f>AND(#REF!,"AAAAAB3b6Ow=")</f>
        <v>#REF!</v>
      </c>
      <c r="ID463" t="e">
        <f>AND(#REF!,"AAAAAB3b6O0=")</f>
        <v>#REF!</v>
      </c>
      <c r="IE463" t="e">
        <f>AND(#REF!,"AAAAAB3b6O4=")</f>
        <v>#REF!</v>
      </c>
      <c r="IF463" t="e">
        <f>AND(#REF!,"AAAAAB3b6O8=")</f>
        <v>#REF!</v>
      </c>
      <c r="IG463" t="e">
        <f>AND(#REF!,"AAAAAB3b6PA=")</f>
        <v>#REF!</v>
      </c>
      <c r="IH463" t="e">
        <f>AND(#REF!,"AAAAAB3b6PE=")</f>
        <v>#REF!</v>
      </c>
      <c r="II463" t="e">
        <f>AND(#REF!,"AAAAAB3b6PI=")</f>
        <v>#REF!</v>
      </c>
      <c r="IJ463" t="e">
        <f>AND(#REF!,"AAAAAB3b6PM=")</f>
        <v>#REF!</v>
      </c>
      <c r="IK463" t="e">
        <f>AND(#REF!,"AAAAAB3b6PQ=")</f>
        <v>#REF!</v>
      </c>
      <c r="IL463" t="e">
        <f>IF(#REF!,"AAAAAB3b6PU=",0)</f>
        <v>#REF!</v>
      </c>
      <c r="IM463" t="e">
        <f>AND(#REF!,"AAAAAB3b6PY=")</f>
        <v>#REF!</v>
      </c>
      <c r="IN463" t="e">
        <f>AND(#REF!,"AAAAAB3b6Pc=")</f>
        <v>#REF!</v>
      </c>
      <c r="IO463" t="e">
        <f>AND(#REF!,"AAAAAB3b6Pg=")</f>
        <v>#REF!</v>
      </c>
      <c r="IP463" t="e">
        <f>AND(#REF!,"AAAAAB3b6Pk=")</f>
        <v>#REF!</v>
      </c>
      <c r="IQ463" t="e">
        <f>AND(#REF!,"AAAAAB3b6Po=")</f>
        <v>#REF!</v>
      </c>
      <c r="IR463" t="e">
        <f>AND(#REF!,"AAAAAB3b6Ps=")</f>
        <v>#REF!</v>
      </c>
      <c r="IS463" t="e">
        <f>AND(#REF!,"AAAAAB3b6Pw=")</f>
        <v>#REF!</v>
      </c>
      <c r="IT463" t="e">
        <f>AND(#REF!,"AAAAAB3b6P0=")</f>
        <v>#REF!</v>
      </c>
      <c r="IU463" t="e">
        <f>AND(#REF!,"AAAAAB3b6P4=")</f>
        <v>#REF!</v>
      </c>
      <c r="IV463" t="e">
        <f>AND(#REF!,"AAAAAB3b6P8=")</f>
        <v>#REF!</v>
      </c>
    </row>
    <row r="464" spans="1:256" x14ac:dyDescent="0.25">
      <c r="A464" t="e">
        <f>IF(#REF!,"AAAAAHx/9gA=",0)</f>
        <v>#REF!</v>
      </c>
      <c r="B464" t="e">
        <f>AND(#REF!,"AAAAAHx/9gE=")</f>
        <v>#REF!</v>
      </c>
      <c r="C464" t="e">
        <f>AND(#REF!,"AAAAAHx/9gI=")</f>
        <v>#REF!</v>
      </c>
      <c r="D464" t="e">
        <f>AND(#REF!,"AAAAAHx/9gM=")</f>
        <v>#REF!</v>
      </c>
      <c r="E464" t="e">
        <f>AND(#REF!,"AAAAAHx/9gQ=")</f>
        <v>#REF!</v>
      </c>
      <c r="F464" t="e">
        <f>AND(#REF!,"AAAAAHx/9gU=")</f>
        <v>#REF!</v>
      </c>
      <c r="G464" t="e">
        <f>AND(#REF!,"AAAAAHx/9gY=")</f>
        <v>#REF!</v>
      </c>
      <c r="H464" t="e">
        <f>AND(#REF!,"AAAAAHx/9gc=")</f>
        <v>#REF!</v>
      </c>
      <c r="I464" t="e">
        <f>AND(#REF!,"AAAAAHx/9gg=")</f>
        <v>#REF!</v>
      </c>
      <c r="J464" t="e">
        <f>AND(#REF!,"AAAAAHx/9gk=")</f>
        <v>#REF!</v>
      </c>
      <c r="K464" t="e">
        <f>AND(#REF!,"AAAAAHx/9go=")</f>
        <v>#REF!</v>
      </c>
      <c r="L464" t="e">
        <f>IF(#REF!,"AAAAAHx/9gs=",0)</f>
        <v>#REF!</v>
      </c>
      <c r="M464" t="e">
        <f>AND(#REF!,"AAAAAHx/9gw=")</f>
        <v>#REF!</v>
      </c>
      <c r="N464" t="e">
        <f>AND(#REF!,"AAAAAHx/9g0=")</f>
        <v>#REF!</v>
      </c>
      <c r="O464" t="e">
        <f>AND(#REF!,"AAAAAHx/9g4=")</f>
        <v>#REF!</v>
      </c>
      <c r="P464" t="e">
        <f>AND(#REF!,"AAAAAHx/9g8=")</f>
        <v>#REF!</v>
      </c>
      <c r="Q464" t="e">
        <f>AND(#REF!,"AAAAAHx/9hA=")</f>
        <v>#REF!</v>
      </c>
      <c r="R464" t="e">
        <f>AND(#REF!,"AAAAAHx/9hE=")</f>
        <v>#REF!</v>
      </c>
      <c r="S464" t="e">
        <f>AND(#REF!,"AAAAAHx/9hI=")</f>
        <v>#REF!</v>
      </c>
      <c r="T464" t="e">
        <f>AND(#REF!,"AAAAAHx/9hM=")</f>
        <v>#REF!</v>
      </c>
      <c r="U464" t="e">
        <f>AND(#REF!,"AAAAAHx/9hQ=")</f>
        <v>#REF!</v>
      </c>
      <c r="V464" t="e">
        <f>AND(#REF!,"AAAAAHx/9hU=")</f>
        <v>#REF!</v>
      </c>
      <c r="W464" t="e">
        <f>IF(#REF!,"AAAAAHx/9hY=",0)</f>
        <v>#REF!</v>
      </c>
      <c r="X464" t="e">
        <f>AND(#REF!,"AAAAAHx/9hc=")</f>
        <v>#REF!</v>
      </c>
      <c r="Y464" t="e">
        <f>AND(#REF!,"AAAAAHx/9hg=")</f>
        <v>#REF!</v>
      </c>
      <c r="Z464" t="e">
        <f>AND(#REF!,"AAAAAHx/9hk=")</f>
        <v>#REF!</v>
      </c>
      <c r="AA464" t="e">
        <f>AND(#REF!,"AAAAAHx/9ho=")</f>
        <v>#REF!</v>
      </c>
      <c r="AB464" t="e">
        <f>AND(#REF!,"AAAAAHx/9hs=")</f>
        <v>#REF!</v>
      </c>
      <c r="AC464" t="e">
        <f>AND(#REF!,"AAAAAHx/9hw=")</f>
        <v>#REF!</v>
      </c>
      <c r="AD464" t="e">
        <f>AND(#REF!,"AAAAAHx/9h0=")</f>
        <v>#REF!</v>
      </c>
      <c r="AE464" t="e">
        <f>AND(#REF!,"AAAAAHx/9h4=")</f>
        <v>#REF!</v>
      </c>
      <c r="AF464" t="e">
        <f>AND(#REF!,"AAAAAHx/9h8=")</f>
        <v>#REF!</v>
      </c>
      <c r="AG464" t="e">
        <f>AND(#REF!,"AAAAAHx/9iA=")</f>
        <v>#REF!</v>
      </c>
      <c r="AH464" t="e">
        <f>IF(#REF!,"AAAAAHx/9iE=",0)</f>
        <v>#REF!</v>
      </c>
      <c r="AI464" t="e">
        <f>AND(#REF!,"AAAAAHx/9iI=")</f>
        <v>#REF!</v>
      </c>
      <c r="AJ464" t="e">
        <f>AND(#REF!,"AAAAAHx/9iM=")</f>
        <v>#REF!</v>
      </c>
      <c r="AK464" t="e">
        <f>AND(#REF!,"AAAAAHx/9iQ=")</f>
        <v>#REF!</v>
      </c>
      <c r="AL464" t="e">
        <f>AND(#REF!,"AAAAAHx/9iU=")</f>
        <v>#REF!</v>
      </c>
      <c r="AM464" t="e">
        <f>AND(#REF!,"AAAAAHx/9iY=")</f>
        <v>#REF!</v>
      </c>
      <c r="AN464" t="e">
        <f>AND(#REF!,"AAAAAHx/9ic=")</f>
        <v>#REF!</v>
      </c>
      <c r="AO464" t="e">
        <f>AND(#REF!,"AAAAAHx/9ig=")</f>
        <v>#REF!</v>
      </c>
      <c r="AP464" t="e">
        <f>AND(#REF!,"AAAAAHx/9ik=")</f>
        <v>#REF!</v>
      </c>
      <c r="AQ464" t="e">
        <f>AND(#REF!,"AAAAAHx/9io=")</f>
        <v>#REF!</v>
      </c>
      <c r="AR464" t="e">
        <f>AND(#REF!,"AAAAAHx/9is=")</f>
        <v>#REF!</v>
      </c>
      <c r="AS464" t="e">
        <f>IF(#REF!,"AAAAAHx/9iw=",0)</f>
        <v>#REF!</v>
      </c>
      <c r="AT464" t="e">
        <f>AND(#REF!,"AAAAAHx/9i0=")</f>
        <v>#REF!</v>
      </c>
      <c r="AU464" t="e">
        <f>AND(#REF!,"AAAAAHx/9i4=")</f>
        <v>#REF!</v>
      </c>
      <c r="AV464" t="e">
        <f>AND(#REF!,"AAAAAHx/9i8=")</f>
        <v>#REF!</v>
      </c>
      <c r="AW464" t="e">
        <f>AND(#REF!,"AAAAAHx/9jA=")</f>
        <v>#REF!</v>
      </c>
      <c r="AX464" t="e">
        <f>AND(#REF!,"AAAAAHx/9jE=")</f>
        <v>#REF!</v>
      </c>
      <c r="AY464" t="e">
        <f>AND(#REF!,"AAAAAHx/9jI=")</f>
        <v>#REF!</v>
      </c>
      <c r="AZ464" t="e">
        <f>AND(#REF!,"AAAAAHx/9jM=")</f>
        <v>#REF!</v>
      </c>
      <c r="BA464" t="e">
        <f>AND(#REF!,"AAAAAHx/9jQ=")</f>
        <v>#REF!</v>
      </c>
      <c r="BB464" t="e">
        <f>AND(#REF!,"AAAAAHx/9jU=")</f>
        <v>#REF!</v>
      </c>
      <c r="BC464" t="e">
        <f>AND(#REF!,"AAAAAHx/9jY=")</f>
        <v>#REF!</v>
      </c>
      <c r="BD464" t="e">
        <f>IF(#REF!,"AAAAAHx/9jc=",0)</f>
        <v>#REF!</v>
      </c>
      <c r="BE464" t="e">
        <f>AND(#REF!,"AAAAAHx/9jg=")</f>
        <v>#REF!</v>
      </c>
      <c r="BF464" t="e">
        <f>AND(#REF!,"AAAAAHx/9jk=")</f>
        <v>#REF!</v>
      </c>
      <c r="BG464" t="e">
        <f>AND(#REF!,"AAAAAHx/9jo=")</f>
        <v>#REF!</v>
      </c>
      <c r="BH464" t="e">
        <f>AND(#REF!,"AAAAAHx/9js=")</f>
        <v>#REF!</v>
      </c>
      <c r="BI464" t="e">
        <f>AND(#REF!,"AAAAAHx/9jw=")</f>
        <v>#REF!</v>
      </c>
      <c r="BJ464" t="e">
        <f>AND(#REF!,"AAAAAHx/9j0=")</f>
        <v>#REF!</v>
      </c>
      <c r="BK464" t="e">
        <f>AND(#REF!,"AAAAAHx/9j4=")</f>
        <v>#REF!</v>
      </c>
      <c r="BL464" t="e">
        <f>AND(#REF!,"AAAAAHx/9j8=")</f>
        <v>#REF!</v>
      </c>
      <c r="BM464" t="e">
        <f>AND(#REF!,"AAAAAHx/9kA=")</f>
        <v>#REF!</v>
      </c>
      <c r="BN464" t="e">
        <f>AND(#REF!,"AAAAAHx/9kE=")</f>
        <v>#REF!</v>
      </c>
      <c r="BO464" t="e">
        <f>IF(#REF!,"AAAAAHx/9kI=",0)</f>
        <v>#REF!</v>
      </c>
      <c r="BP464" t="e">
        <f>AND(#REF!,"AAAAAHx/9kM=")</f>
        <v>#REF!</v>
      </c>
      <c r="BQ464" t="e">
        <f>AND(#REF!,"AAAAAHx/9kQ=")</f>
        <v>#REF!</v>
      </c>
      <c r="BR464" t="e">
        <f>AND(#REF!,"AAAAAHx/9kU=")</f>
        <v>#REF!</v>
      </c>
      <c r="BS464" t="e">
        <f>AND(#REF!,"AAAAAHx/9kY=")</f>
        <v>#REF!</v>
      </c>
      <c r="BT464" t="e">
        <f>AND(#REF!,"AAAAAHx/9kc=")</f>
        <v>#REF!</v>
      </c>
      <c r="BU464" t="e">
        <f>AND(#REF!,"AAAAAHx/9kg=")</f>
        <v>#REF!</v>
      </c>
      <c r="BV464" t="e">
        <f>AND(#REF!,"AAAAAHx/9kk=")</f>
        <v>#REF!</v>
      </c>
      <c r="BW464" t="e">
        <f>AND(#REF!,"AAAAAHx/9ko=")</f>
        <v>#REF!</v>
      </c>
      <c r="BX464" t="e">
        <f>AND(#REF!,"AAAAAHx/9ks=")</f>
        <v>#REF!</v>
      </c>
      <c r="BY464" t="e">
        <f>AND(#REF!,"AAAAAHx/9kw=")</f>
        <v>#REF!</v>
      </c>
      <c r="BZ464" t="e">
        <f>IF(#REF!,"AAAAAHx/9k0=",0)</f>
        <v>#REF!</v>
      </c>
      <c r="CA464" t="e">
        <f>AND(#REF!,"AAAAAHx/9k4=")</f>
        <v>#REF!</v>
      </c>
      <c r="CB464" t="e">
        <f>AND(#REF!,"AAAAAHx/9k8=")</f>
        <v>#REF!</v>
      </c>
      <c r="CC464" t="e">
        <f>AND(#REF!,"AAAAAHx/9lA=")</f>
        <v>#REF!</v>
      </c>
      <c r="CD464" t="e">
        <f>AND(#REF!,"AAAAAHx/9lE=")</f>
        <v>#REF!</v>
      </c>
      <c r="CE464" t="e">
        <f>AND(#REF!,"AAAAAHx/9lI=")</f>
        <v>#REF!</v>
      </c>
      <c r="CF464" t="e">
        <f>AND(#REF!,"AAAAAHx/9lM=")</f>
        <v>#REF!</v>
      </c>
      <c r="CG464" t="e">
        <f>AND(#REF!,"AAAAAHx/9lQ=")</f>
        <v>#REF!</v>
      </c>
      <c r="CH464" t="e">
        <f>AND(#REF!,"AAAAAHx/9lU=")</f>
        <v>#REF!</v>
      </c>
      <c r="CI464" t="e">
        <f>AND(#REF!,"AAAAAHx/9lY=")</f>
        <v>#REF!</v>
      </c>
      <c r="CJ464" t="e">
        <f>AND(#REF!,"AAAAAHx/9lc=")</f>
        <v>#REF!</v>
      </c>
      <c r="CK464" t="e">
        <f>IF(#REF!,"AAAAAHx/9lg=",0)</f>
        <v>#REF!</v>
      </c>
      <c r="CL464" t="e">
        <f>AND(#REF!,"AAAAAHx/9lk=")</f>
        <v>#REF!</v>
      </c>
      <c r="CM464" t="e">
        <f>AND(#REF!,"AAAAAHx/9lo=")</f>
        <v>#REF!</v>
      </c>
      <c r="CN464" t="e">
        <f>AND(#REF!,"AAAAAHx/9ls=")</f>
        <v>#REF!</v>
      </c>
      <c r="CO464" t="e">
        <f>AND(#REF!,"AAAAAHx/9lw=")</f>
        <v>#REF!</v>
      </c>
      <c r="CP464" t="e">
        <f>AND(#REF!,"AAAAAHx/9l0=")</f>
        <v>#REF!</v>
      </c>
      <c r="CQ464" t="e">
        <f>AND(#REF!,"AAAAAHx/9l4=")</f>
        <v>#REF!</v>
      </c>
      <c r="CR464" t="e">
        <f>AND(#REF!,"AAAAAHx/9l8=")</f>
        <v>#REF!</v>
      </c>
      <c r="CS464" t="e">
        <f>AND(#REF!,"AAAAAHx/9mA=")</f>
        <v>#REF!</v>
      </c>
      <c r="CT464" t="e">
        <f>AND(#REF!,"AAAAAHx/9mE=")</f>
        <v>#REF!</v>
      </c>
      <c r="CU464" t="e">
        <f>AND(#REF!,"AAAAAHx/9mI=")</f>
        <v>#REF!</v>
      </c>
      <c r="CV464" t="e">
        <f>IF(#REF!,"AAAAAHx/9mM=",0)</f>
        <v>#REF!</v>
      </c>
      <c r="CW464" t="e">
        <f>AND(#REF!,"AAAAAHx/9mQ=")</f>
        <v>#REF!</v>
      </c>
      <c r="CX464" t="e">
        <f>AND(#REF!,"AAAAAHx/9mU=")</f>
        <v>#REF!</v>
      </c>
      <c r="CY464" t="e">
        <f>AND(#REF!,"AAAAAHx/9mY=")</f>
        <v>#REF!</v>
      </c>
      <c r="CZ464" t="e">
        <f>AND(#REF!,"AAAAAHx/9mc=")</f>
        <v>#REF!</v>
      </c>
      <c r="DA464" t="e">
        <f>AND(#REF!,"AAAAAHx/9mg=")</f>
        <v>#REF!</v>
      </c>
      <c r="DB464" t="e">
        <f>AND(#REF!,"AAAAAHx/9mk=")</f>
        <v>#REF!</v>
      </c>
      <c r="DC464" t="e">
        <f>AND(#REF!,"AAAAAHx/9mo=")</f>
        <v>#REF!</v>
      </c>
      <c r="DD464" t="e">
        <f>AND(#REF!,"AAAAAHx/9ms=")</f>
        <v>#REF!</v>
      </c>
      <c r="DE464" t="e">
        <f>AND(#REF!,"AAAAAHx/9mw=")</f>
        <v>#REF!</v>
      </c>
      <c r="DF464" t="e">
        <f>AND(#REF!,"AAAAAHx/9m0=")</f>
        <v>#REF!</v>
      </c>
      <c r="DG464" t="e">
        <f>IF(#REF!,"AAAAAHx/9m4=",0)</f>
        <v>#REF!</v>
      </c>
      <c r="DH464" t="e">
        <f>AND(#REF!,"AAAAAHx/9m8=")</f>
        <v>#REF!</v>
      </c>
      <c r="DI464" t="e">
        <f>AND(#REF!,"AAAAAHx/9nA=")</f>
        <v>#REF!</v>
      </c>
      <c r="DJ464" t="e">
        <f>AND(#REF!,"AAAAAHx/9nE=")</f>
        <v>#REF!</v>
      </c>
      <c r="DK464" t="e">
        <f>AND(#REF!,"AAAAAHx/9nI=")</f>
        <v>#REF!</v>
      </c>
      <c r="DL464" t="e">
        <f>AND(#REF!,"AAAAAHx/9nM=")</f>
        <v>#REF!</v>
      </c>
      <c r="DM464" t="e">
        <f>AND(#REF!,"AAAAAHx/9nQ=")</f>
        <v>#REF!</v>
      </c>
      <c r="DN464" t="e">
        <f>AND(#REF!,"AAAAAHx/9nU=")</f>
        <v>#REF!</v>
      </c>
      <c r="DO464" t="e">
        <f>AND(#REF!,"AAAAAHx/9nY=")</f>
        <v>#REF!</v>
      </c>
      <c r="DP464" t="e">
        <f>AND(#REF!,"AAAAAHx/9nc=")</f>
        <v>#REF!</v>
      </c>
      <c r="DQ464" t="e">
        <f>AND(#REF!,"AAAAAHx/9ng=")</f>
        <v>#REF!</v>
      </c>
      <c r="DR464" t="e">
        <f>IF(#REF!,"AAAAAHx/9nk=",0)</f>
        <v>#REF!</v>
      </c>
      <c r="DS464" t="e">
        <f>AND(#REF!,"AAAAAHx/9no=")</f>
        <v>#REF!</v>
      </c>
      <c r="DT464" t="e">
        <f>AND(#REF!,"AAAAAHx/9ns=")</f>
        <v>#REF!</v>
      </c>
      <c r="DU464" t="e">
        <f>AND(#REF!,"AAAAAHx/9nw=")</f>
        <v>#REF!</v>
      </c>
      <c r="DV464" t="e">
        <f>AND(#REF!,"AAAAAHx/9n0=")</f>
        <v>#REF!</v>
      </c>
      <c r="DW464" t="e">
        <f>AND(#REF!,"AAAAAHx/9n4=")</f>
        <v>#REF!</v>
      </c>
      <c r="DX464" t="e">
        <f>AND(#REF!,"AAAAAHx/9n8=")</f>
        <v>#REF!</v>
      </c>
      <c r="DY464" t="e">
        <f>AND(#REF!,"AAAAAHx/9oA=")</f>
        <v>#REF!</v>
      </c>
      <c r="DZ464" t="e">
        <f>AND(#REF!,"AAAAAHx/9oE=")</f>
        <v>#REF!</v>
      </c>
      <c r="EA464" t="e">
        <f>AND(#REF!,"AAAAAHx/9oI=")</f>
        <v>#REF!</v>
      </c>
      <c r="EB464" t="e">
        <f>AND(#REF!,"AAAAAHx/9oM=")</f>
        <v>#REF!</v>
      </c>
      <c r="EC464" t="e">
        <f>IF(#REF!,"AAAAAHx/9oQ=",0)</f>
        <v>#REF!</v>
      </c>
      <c r="ED464" t="e">
        <f>AND(#REF!,"AAAAAHx/9oU=")</f>
        <v>#REF!</v>
      </c>
      <c r="EE464" t="e">
        <f>AND(#REF!,"AAAAAHx/9oY=")</f>
        <v>#REF!</v>
      </c>
      <c r="EF464" t="e">
        <f>AND(#REF!,"AAAAAHx/9oc=")</f>
        <v>#REF!</v>
      </c>
      <c r="EG464" t="e">
        <f>AND(#REF!,"AAAAAHx/9og=")</f>
        <v>#REF!</v>
      </c>
      <c r="EH464" t="e">
        <f>AND(#REF!,"AAAAAHx/9ok=")</f>
        <v>#REF!</v>
      </c>
      <c r="EI464" t="e">
        <f>AND(#REF!,"AAAAAHx/9oo=")</f>
        <v>#REF!</v>
      </c>
      <c r="EJ464" t="e">
        <f>AND(#REF!,"AAAAAHx/9os=")</f>
        <v>#REF!</v>
      </c>
      <c r="EK464" t="e">
        <f>AND(#REF!,"AAAAAHx/9ow=")</f>
        <v>#REF!</v>
      </c>
      <c r="EL464" t="e">
        <f>AND(#REF!,"AAAAAHx/9o0=")</f>
        <v>#REF!</v>
      </c>
      <c r="EM464" t="e">
        <f>AND(#REF!,"AAAAAHx/9o4=")</f>
        <v>#REF!</v>
      </c>
      <c r="EN464" t="e">
        <f>IF(#REF!,"AAAAAHx/9o8=",0)</f>
        <v>#REF!</v>
      </c>
      <c r="EO464" t="e">
        <f>AND(#REF!,"AAAAAHx/9pA=")</f>
        <v>#REF!</v>
      </c>
      <c r="EP464" t="e">
        <f>AND(#REF!,"AAAAAHx/9pE=")</f>
        <v>#REF!</v>
      </c>
      <c r="EQ464" t="e">
        <f>AND(#REF!,"AAAAAHx/9pI=")</f>
        <v>#REF!</v>
      </c>
      <c r="ER464" t="e">
        <f>AND(#REF!,"AAAAAHx/9pM=")</f>
        <v>#REF!</v>
      </c>
      <c r="ES464" t="e">
        <f>AND(#REF!,"AAAAAHx/9pQ=")</f>
        <v>#REF!</v>
      </c>
      <c r="ET464" t="e">
        <f>AND(#REF!,"AAAAAHx/9pU=")</f>
        <v>#REF!</v>
      </c>
      <c r="EU464" t="e">
        <f>AND(#REF!,"AAAAAHx/9pY=")</f>
        <v>#REF!</v>
      </c>
      <c r="EV464" t="e">
        <f>AND(#REF!,"AAAAAHx/9pc=")</f>
        <v>#REF!</v>
      </c>
      <c r="EW464" t="e">
        <f>AND(#REF!,"AAAAAHx/9pg=")</f>
        <v>#REF!</v>
      </c>
      <c r="EX464" t="e">
        <f>AND(#REF!,"AAAAAHx/9pk=")</f>
        <v>#REF!</v>
      </c>
      <c r="EY464" t="e">
        <f>IF(#REF!,"AAAAAHx/9po=",0)</f>
        <v>#REF!</v>
      </c>
      <c r="EZ464" t="e">
        <f>AND(#REF!,"AAAAAHx/9ps=")</f>
        <v>#REF!</v>
      </c>
      <c r="FA464" t="e">
        <f>AND(#REF!,"AAAAAHx/9pw=")</f>
        <v>#REF!</v>
      </c>
      <c r="FB464" t="e">
        <f>AND(#REF!,"AAAAAHx/9p0=")</f>
        <v>#REF!</v>
      </c>
      <c r="FC464" t="e">
        <f>AND(#REF!,"AAAAAHx/9p4=")</f>
        <v>#REF!</v>
      </c>
      <c r="FD464" t="e">
        <f>AND(#REF!,"AAAAAHx/9p8=")</f>
        <v>#REF!</v>
      </c>
      <c r="FE464" t="e">
        <f>AND(#REF!,"AAAAAHx/9qA=")</f>
        <v>#REF!</v>
      </c>
      <c r="FF464" t="e">
        <f>AND(#REF!,"AAAAAHx/9qE=")</f>
        <v>#REF!</v>
      </c>
      <c r="FG464" t="e">
        <f>AND(#REF!,"AAAAAHx/9qI=")</f>
        <v>#REF!</v>
      </c>
      <c r="FH464" t="e">
        <f>AND(#REF!,"AAAAAHx/9qM=")</f>
        <v>#REF!</v>
      </c>
      <c r="FI464" t="e">
        <f>AND(#REF!,"AAAAAHx/9qQ=")</f>
        <v>#REF!</v>
      </c>
      <c r="FJ464" t="e">
        <f>IF(#REF!,"AAAAAHx/9qU=",0)</f>
        <v>#REF!</v>
      </c>
      <c r="FK464" t="e">
        <f>AND(#REF!,"AAAAAHx/9qY=")</f>
        <v>#REF!</v>
      </c>
      <c r="FL464" t="e">
        <f>AND(#REF!,"AAAAAHx/9qc=")</f>
        <v>#REF!</v>
      </c>
      <c r="FM464" t="e">
        <f>AND(#REF!,"AAAAAHx/9qg=")</f>
        <v>#REF!</v>
      </c>
      <c r="FN464" t="e">
        <f>AND(#REF!,"AAAAAHx/9qk=")</f>
        <v>#REF!</v>
      </c>
      <c r="FO464" t="e">
        <f>AND(#REF!,"AAAAAHx/9qo=")</f>
        <v>#REF!</v>
      </c>
      <c r="FP464" t="e">
        <f>AND(#REF!,"AAAAAHx/9qs=")</f>
        <v>#REF!</v>
      </c>
      <c r="FQ464" t="e">
        <f>AND(#REF!,"AAAAAHx/9qw=")</f>
        <v>#REF!</v>
      </c>
      <c r="FR464" t="e">
        <f>AND(#REF!,"AAAAAHx/9q0=")</f>
        <v>#REF!</v>
      </c>
      <c r="FS464" t="e">
        <f>AND(#REF!,"AAAAAHx/9q4=")</f>
        <v>#REF!</v>
      </c>
      <c r="FT464" t="e">
        <f>AND(#REF!,"AAAAAHx/9q8=")</f>
        <v>#REF!</v>
      </c>
      <c r="FU464" t="e">
        <f>IF(#REF!,"AAAAAHx/9rA=",0)</f>
        <v>#REF!</v>
      </c>
      <c r="FV464" t="e">
        <f>AND(#REF!,"AAAAAHx/9rE=")</f>
        <v>#REF!</v>
      </c>
      <c r="FW464" t="e">
        <f>AND(#REF!,"AAAAAHx/9rI=")</f>
        <v>#REF!</v>
      </c>
      <c r="FX464" t="e">
        <f>AND(#REF!,"AAAAAHx/9rM=")</f>
        <v>#REF!</v>
      </c>
      <c r="FY464" t="e">
        <f>AND(#REF!,"AAAAAHx/9rQ=")</f>
        <v>#REF!</v>
      </c>
      <c r="FZ464" t="e">
        <f>AND(#REF!,"AAAAAHx/9rU=")</f>
        <v>#REF!</v>
      </c>
      <c r="GA464" t="e">
        <f>AND(#REF!,"AAAAAHx/9rY=")</f>
        <v>#REF!</v>
      </c>
      <c r="GB464" t="e">
        <f>AND(#REF!,"AAAAAHx/9rc=")</f>
        <v>#REF!</v>
      </c>
      <c r="GC464" t="e">
        <f>AND(#REF!,"AAAAAHx/9rg=")</f>
        <v>#REF!</v>
      </c>
      <c r="GD464" t="e">
        <f>AND(#REF!,"AAAAAHx/9rk=")</f>
        <v>#REF!</v>
      </c>
      <c r="GE464" t="e">
        <f>AND(#REF!,"AAAAAHx/9ro=")</f>
        <v>#REF!</v>
      </c>
      <c r="GF464" t="e">
        <f>IF(#REF!,"AAAAAHx/9rs=",0)</f>
        <v>#REF!</v>
      </c>
      <c r="GG464" t="e">
        <f>AND(#REF!,"AAAAAHx/9rw=")</f>
        <v>#REF!</v>
      </c>
      <c r="GH464" t="e">
        <f>AND(#REF!,"AAAAAHx/9r0=")</f>
        <v>#REF!</v>
      </c>
      <c r="GI464" t="e">
        <f>AND(#REF!,"AAAAAHx/9r4=")</f>
        <v>#REF!</v>
      </c>
      <c r="GJ464" t="e">
        <f>AND(#REF!,"AAAAAHx/9r8=")</f>
        <v>#REF!</v>
      </c>
      <c r="GK464" t="e">
        <f>AND(#REF!,"AAAAAHx/9sA=")</f>
        <v>#REF!</v>
      </c>
      <c r="GL464" t="e">
        <f>AND(#REF!,"AAAAAHx/9sE=")</f>
        <v>#REF!</v>
      </c>
      <c r="GM464" t="e">
        <f>AND(#REF!,"AAAAAHx/9sI=")</f>
        <v>#REF!</v>
      </c>
      <c r="GN464" t="e">
        <f>AND(#REF!,"AAAAAHx/9sM=")</f>
        <v>#REF!</v>
      </c>
      <c r="GO464" t="e">
        <f>AND(#REF!,"AAAAAHx/9sQ=")</f>
        <v>#REF!</v>
      </c>
      <c r="GP464" t="e">
        <f>AND(#REF!,"AAAAAHx/9sU=")</f>
        <v>#REF!</v>
      </c>
      <c r="GQ464" t="e">
        <f>IF(#REF!,"AAAAAHx/9sY=",0)</f>
        <v>#REF!</v>
      </c>
      <c r="GR464" t="e">
        <f>AND(#REF!,"AAAAAHx/9sc=")</f>
        <v>#REF!</v>
      </c>
      <c r="GS464" t="e">
        <f>AND(#REF!,"AAAAAHx/9sg=")</f>
        <v>#REF!</v>
      </c>
      <c r="GT464" t="e">
        <f>AND(#REF!,"AAAAAHx/9sk=")</f>
        <v>#REF!</v>
      </c>
      <c r="GU464" t="e">
        <f>AND(#REF!,"AAAAAHx/9so=")</f>
        <v>#REF!</v>
      </c>
      <c r="GV464" t="e">
        <f>AND(#REF!,"AAAAAHx/9ss=")</f>
        <v>#REF!</v>
      </c>
      <c r="GW464" t="e">
        <f>AND(#REF!,"AAAAAHx/9sw=")</f>
        <v>#REF!</v>
      </c>
      <c r="GX464" t="e">
        <f>AND(#REF!,"AAAAAHx/9s0=")</f>
        <v>#REF!</v>
      </c>
      <c r="GY464" t="e">
        <f>AND(#REF!,"AAAAAHx/9s4=")</f>
        <v>#REF!</v>
      </c>
      <c r="GZ464" t="e">
        <f>AND(#REF!,"AAAAAHx/9s8=")</f>
        <v>#REF!</v>
      </c>
      <c r="HA464" t="e">
        <f>AND(#REF!,"AAAAAHx/9tA=")</f>
        <v>#REF!</v>
      </c>
      <c r="HB464" t="e">
        <f>IF(#REF!,"AAAAAHx/9tE=",0)</f>
        <v>#REF!</v>
      </c>
      <c r="HC464" t="e">
        <f>AND(#REF!,"AAAAAHx/9tI=")</f>
        <v>#REF!</v>
      </c>
      <c r="HD464" t="e">
        <f>AND(#REF!,"AAAAAHx/9tM=")</f>
        <v>#REF!</v>
      </c>
      <c r="HE464" t="e">
        <f>AND(#REF!,"AAAAAHx/9tQ=")</f>
        <v>#REF!</v>
      </c>
      <c r="HF464" t="e">
        <f>AND(#REF!,"AAAAAHx/9tU=")</f>
        <v>#REF!</v>
      </c>
      <c r="HG464" t="e">
        <f>AND(#REF!,"AAAAAHx/9tY=")</f>
        <v>#REF!</v>
      </c>
      <c r="HH464" t="e">
        <f>AND(#REF!,"AAAAAHx/9tc=")</f>
        <v>#REF!</v>
      </c>
      <c r="HI464" t="e">
        <f>AND(#REF!,"AAAAAHx/9tg=")</f>
        <v>#REF!</v>
      </c>
      <c r="HJ464" t="e">
        <f>AND(#REF!,"AAAAAHx/9tk=")</f>
        <v>#REF!</v>
      </c>
      <c r="HK464" t="e">
        <f>AND(#REF!,"AAAAAHx/9to=")</f>
        <v>#REF!</v>
      </c>
      <c r="HL464" t="e">
        <f>AND(#REF!,"AAAAAHx/9ts=")</f>
        <v>#REF!</v>
      </c>
      <c r="HM464" t="e">
        <f>IF(#REF!,"AAAAAHx/9tw=",0)</f>
        <v>#REF!</v>
      </c>
      <c r="HN464" t="e">
        <f>AND(#REF!,"AAAAAHx/9t0=")</f>
        <v>#REF!</v>
      </c>
      <c r="HO464" t="e">
        <f>AND(#REF!,"AAAAAHx/9t4=")</f>
        <v>#REF!</v>
      </c>
      <c r="HP464" t="e">
        <f>AND(#REF!,"AAAAAHx/9t8=")</f>
        <v>#REF!</v>
      </c>
      <c r="HQ464" t="e">
        <f>AND(#REF!,"AAAAAHx/9uA=")</f>
        <v>#REF!</v>
      </c>
      <c r="HR464" t="e">
        <f>AND(#REF!,"AAAAAHx/9uE=")</f>
        <v>#REF!</v>
      </c>
      <c r="HS464" t="e">
        <f>AND(#REF!,"AAAAAHx/9uI=")</f>
        <v>#REF!</v>
      </c>
      <c r="HT464" t="e">
        <f>AND(#REF!,"AAAAAHx/9uM=")</f>
        <v>#REF!</v>
      </c>
      <c r="HU464" t="e">
        <f>AND(#REF!,"AAAAAHx/9uQ=")</f>
        <v>#REF!</v>
      </c>
      <c r="HV464" t="e">
        <f>AND(#REF!,"AAAAAHx/9uU=")</f>
        <v>#REF!</v>
      </c>
      <c r="HW464" t="e">
        <f>AND(#REF!,"AAAAAHx/9uY=")</f>
        <v>#REF!</v>
      </c>
      <c r="HX464" t="e">
        <f>IF(#REF!,"AAAAAHx/9uc=",0)</f>
        <v>#REF!</v>
      </c>
      <c r="HY464" t="e">
        <f>AND(#REF!,"AAAAAHx/9ug=")</f>
        <v>#REF!</v>
      </c>
      <c r="HZ464" t="e">
        <f>AND(#REF!,"AAAAAHx/9uk=")</f>
        <v>#REF!</v>
      </c>
      <c r="IA464" t="e">
        <f>AND(#REF!,"AAAAAHx/9uo=")</f>
        <v>#REF!</v>
      </c>
      <c r="IB464" t="e">
        <f>AND(#REF!,"AAAAAHx/9us=")</f>
        <v>#REF!</v>
      </c>
      <c r="IC464" t="e">
        <f>AND(#REF!,"AAAAAHx/9uw=")</f>
        <v>#REF!</v>
      </c>
      <c r="ID464" t="e">
        <f>AND(#REF!,"AAAAAHx/9u0=")</f>
        <v>#REF!</v>
      </c>
      <c r="IE464" t="e">
        <f>AND(#REF!,"AAAAAHx/9u4=")</f>
        <v>#REF!</v>
      </c>
      <c r="IF464" t="e">
        <f>AND(#REF!,"AAAAAHx/9u8=")</f>
        <v>#REF!</v>
      </c>
      <c r="IG464" t="e">
        <f>AND(#REF!,"AAAAAHx/9vA=")</f>
        <v>#REF!</v>
      </c>
      <c r="IH464" t="e">
        <f>AND(#REF!,"AAAAAHx/9vE=")</f>
        <v>#REF!</v>
      </c>
      <c r="II464" t="e">
        <f>IF(#REF!,"AAAAAHx/9vI=",0)</f>
        <v>#REF!</v>
      </c>
      <c r="IJ464" t="e">
        <f>AND(#REF!,"AAAAAHx/9vM=")</f>
        <v>#REF!</v>
      </c>
      <c r="IK464" t="e">
        <f>AND(#REF!,"AAAAAHx/9vQ=")</f>
        <v>#REF!</v>
      </c>
      <c r="IL464" t="e">
        <f>AND(#REF!,"AAAAAHx/9vU=")</f>
        <v>#REF!</v>
      </c>
      <c r="IM464" t="e">
        <f>AND(#REF!,"AAAAAHx/9vY=")</f>
        <v>#REF!</v>
      </c>
      <c r="IN464" t="e">
        <f>AND(#REF!,"AAAAAHx/9vc=")</f>
        <v>#REF!</v>
      </c>
      <c r="IO464" t="e">
        <f>AND(#REF!,"AAAAAHx/9vg=")</f>
        <v>#REF!</v>
      </c>
      <c r="IP464" t="e">
        <f>AND(#REF!,"AAAAAHx/9vk=")</f>
        <v>#REF!</v>
      </c>
      <c r="IQ464" t="e">
        <f>AND(#REF!,"AAAAAHx/9vo=")</f>
        <v>#REF!</v>
      </c>
      <c r="IR464" t="e">
        <f>AND(#REF!,"AAAAAHx/9vs=")</f>
        <v>#REF!</v>
      </c>
      <c r="IS464" t="e">
        <f>AND(#REF!,"AAAAAHx/9vw=")</f>
        <v>#REF!</v>
      </c>
      <c r="IT464" t="e">
        <f>IF(#REF!,"AAAAAHx/9v0=",0)</f>
        <v>#REF!</v>
      </c>
      <c r="IU464" t="e">
        <f>AND(#REF!,"AAAAAHx/9v4=")</f>
        <v>#REF!</v>
      </c>
      <c r="IV464" t="e">
        <f>AND(#REF!,"AAAAAHx/9v8=")</f>
        <v>#REF!</v>
      </c>
    </row>
    <row r="465" spans="1:256" x14ac:dyDescent="0.25">
      <c r="A465" t="e">
        <f>AND(#REF!,"AAAAAHO29wA=")</f>
        <v>#REF!</v>
      </c>
      <c r="B465" t="e">
        <f>AND(#REF!,"AAAAAHO29wE=")</f>
        <v>#REF!</v>
      </c>
      <c r="C465" t="e">
        <f>AND(#REF!,"AAAAAHO29wI=")</f>
        <v>#REF!</v>
      </c>
      <c r="D465" t="e">
        <f>AND(#REF!,"AAAAAHO29wM=")</f>
        <v>#REF!</v>
      </c>
      <c r="E465" t="e">
        <f>AND(#REF!,"AAAAAHO29wQ=")</f>
        <v>#REF!</v>
      </c>
      <c r="F465" t="e">
        <f>AND(#REF!,"AAAAAHO29wU=")</f>
        <v>#REF!</v>
      </c>
      <c r="G465" t="e">
        <f>AND(#REF!,"AAAAAHO29wY=")</f>
        <v>#REF!</v>
      </c>
      <c r="H465" t="e">
        <f>AND(#REF!,"AAAAAHO29wc=")</f>
        <v>#REF!</v>
      </c>
      <c r="I465" t="e">
        <f>IF(#REF!,"AAAAAHO29wg=",0)</f>
        <v>#REF!</v>
      </c>
      <c r="J465" t="e">
        <f>AND(#REF!,"AAAAAHO29wk=")</f>
        <v>#REF!</v>
      </c>
      <c r="K465" t="e">
        <f>AND(#REF!,"AAAAAHO29wo=")</f>
        <v>#REF!</v>
      </c>
      <c r="L465" t="e">
        <f>AND(#REF!,"AAAAAHO29ws=")</f>
        <v>#REF!</v>
      </c>
      <c r="M465" t="e">
        <f>AND(#REF!,"AAAAAHO29ww=")</f>
        <v>#REF!</v>
      </c>
      <c r="N465" t="e">
        <f>AND(#REF!,"AAAAAHO29w0=")</f>
        <v>#REF!</v>
      </c>
      <c r="O465" t="e">
        <f>AND(#REF!,"AAAAAHO29w4=")</f>
        <v>#REF!</v>
      </c>
      <c r="P465" t="e">
        <f>AND(#REF!,"AAAAAHO29w8=")</f>
        <v>#REF!</v>
      </c>
      <c r="Q465" t="e">
        <f>AND(#REF!,"AAAAAHO29xA=")</f>
        <v>#REF!</v>
      </c>
      <c r="R465" t="e">
        <f>AND(#REF!,"AAAAAHO29xE=")</f>
        <v>#REF!</v>
      </c>
      <c r="S465" t="e">
        <f>AND(#REF!,"AAAAAHO29xI=")</f>
        <v>#REF!</v>
      </c>
      <c r="T465" t="e">
        <f>IF(#REF!,"AAAAAHO29xM=",0)</f>
        <v>#REF!</v>
      </c>
      <c r="U465" t="e">
        <f>AND(#REF!,"AAAAAHO29xQ=")</f>
        <v>#REF!</v>
      </c>
      <c r="V465" t="e">
        <f>AND(#REF!,"AAAAAHO29xU=")</f>
        <v>#REF!</v>
      </c>
      <c r="W465" t="e">
        <f>AND(#REF!,"AAAAAHO29xY=")</f>
        <v>#REF!</v>
      </c>
      <c r="X465" t="e">
        <f>AND(#REF!,"AAAAAHO29xc=")</f>
        <v>#REF!</v>
      </c>
      <c r="Y465" t="e">
        <f>AND(#REF!,"AAAAAHO29xg=")</f>
        <v>#REF!</v>
      </c>
      <c r="Z465" t="e">
        <f>AND(#REF!,"AAAAAHO29xk=")</f>
        <v>#REF!</v>
      </c>
      <c r="AA465" t="e">
        <f>AND(#REF!,"AAAAAHO29xo=")</f>
        <v>#REF!</v>
      </c>
      <c r="AB465" t="e">
        <f>AND(#REF!,"AAAAAHO29xs=")</f>
        <v>#REF!</v>
      </c>
      <c r="AC465" t="e">
        <f>AND(#REF!,"AAAAAHO29xw=")</f>
        <v>#REF!</v>
      </c>
      <c r="AD465" t="e">
        <f>AND(#REF!,"AAAAAHO29x0=")</f>
        <v>#REF!</v>
      </c>
      <c r="AE465" t="e">
        <f>IF(#REF!,"AAAAAHO29x4=",0)</f>
        <v>#REF!</v>
      </c>
      <c r="AF465" t="e">
        <f>AND(#REF!,"AAAAAHO29x8=")</f>
        <v>#REF!</v>
      </c>
      <c r="AG465" t="e">
        <f>AND(#REF!,"AAAAAHO29yA=")</f>
        <v>#REF!</v>
      </c>
      <c r="AH465" t="e">
        <f>AND(#REF!,"AAAAAHO29yE=")</f>
        <v>#REF!</v>
      </c>
      <c r="AI465" t="e">
        <f>AND(#REF!,"AAAAAHO29yI=")</f>
        <v>#REF!</v>
      </c>
      <c r="AJ465" t="e">
        <f>AND(#REF!,"AAAAAHO29yM=")</f>
        <v>#REF!</v>
      </c>
      <c r="AK465" t="e">
        <f>AND(#REF!,"AAAAAHO29yQ=")</f>
        <v>#REF!</v>
      </c>
      <c r="AL465" t="e">
        <f>AND(#REF!,"AAAAAHO29yU=")</f>
        <v>#REF!</v>
      </c>
      <c r="AM465" t="e">
        <f>AND(#REF!,"AAAAAHO29yY=")</f>
        <v>#REF!</v>
      </c>
      <c r="AN465" t="e">
        <f>AND(#REF!,"AAAAAHO29yc=")</f>
        <v>#REF!</v>
      </c>
      <c r="AO465" t="e">
        <f>AND(#REF!,"AAAAAHO29yg=")</f>
        <v>#REF!</v>
      </c>
      <c r="AP465" t="e">
        <f>IF(#REF!,"AAAAAHO29yk=",0)</f>
        <v>#REF!</v>
      </c>
      <c r="AQ465" t="e">
        <f>AND(#REF!,"AAAAAHO29yo=")</f>
        <v>#REF!</v>
      </c>
      <c r="AR465" t="e">
        <f>AND(#REF!,"AAAAAHO29ys=")</f>
        <v>#REF!</v>
      </c>
      <c r="AS465" t="e">
        <f>AND(#REF!,"AAAAAHO29yw=")</f>
        <v>#REF!</v>
      </c>
      <c r="AT465" t="e">
        <f>AND(#REF!,"AAAAAHO29y0=")</f>
        <v>#REF!</v>
      </c>
      <c r="AU465" t="e">
        <f>AND(#REF!,"AAAAAHO29y4=")</f>
        <v>#REF!</v>
      </c>
      <c r="AV465" t="e">
        <f>AND(#REF!,"AAAAAHO29y8=")</f>
        <v>#REF!</v>
      </c>
      <c r="AW465" t="e">
        <f>AND(#REF!,"AAAAAHO29zA=")</f>
        <v>#REF!</v>
      </c>
      <c r="AX465" t="e">
        <f>AND(#REF!,"AAAAAHO29zE=")</f>
        <v>#REF!</v>
      </c>
      <c r="AY465" t="e">
        <f>AND(#REF!,"AAAAAHO29zI=")</f>
        <v>#REF!</v>
      </c>
      <c r="AZ465" t="e">
        <f>AND(#REF!,"AAAAAHO29zM=")</f>
        <v>#REF!</v>
      </c>
      <c r="BA465" t="e">
        <f>IF(#REF!,"AAAAAHO29zQ=",0)</f>
        <v>#REF!</v>
      </c>
      <c r="BB465" t="e">
        <f>AND(#REF!,"AAAAAHO29zU=")</f>
        <v>#REF!</v>
      </c>
      <c r="BC465" t="e">
        <f>AND(#REF!,"AAAAAHO29zY=")</f>
        <v>#REF!</v>
      </c>
      <c r="BD465" t="e">
        <f>AND(#REF!,"AAAAAHO29zc=")</f>
        <v>#REF!</v>
      </c>
      <c r="BE465" t="e">
        <f>AND(#REF!,"AAAAAHO29zg=")</f>
        <v>#REF!</v>
      </c>
      <c r="BF465" t="e">
        <f>AND(#REF!,"AAAAAHO29zk=")</f>
        <v>#REF!</v>
      </c>
      <c r="BG465" t="e">
        <f>AND(#REF!,"AAAAAHO29zo=")</f>
        <v>#REF!</v>
      </c>
      <c r="BH465" t="e">
        <f>AND(#REF!,"AAAAAHO29zs=")</f>
        <v>#REF!</v>
      </c>
      <c r="BI465" t="e">
        <f>AND(#REF!,"AAAAAHO29zw=")</f>
        <v>#REF!</v>
      </c>
      <c r="BJ465" t="e">
        <f>AND(#REF!,"AAAAAHO29z0=")</f>
        <v>#REF!</v>
      </c>
      <c r="BK465" t="e">
        <f>AND(#REF!,"AAAAAHO29z4=")</f>
        <v>#REF!</v>
      </c>
      <c r="BL465" t="e">
        <f>IF(#REF!,"AAAAAHO29z8=",0)</f>
        <v>#REF!</v>
      </c>
      <c r="BM465" t="e">
        <f>AND(#REF!,"AAAAAHO290A=")</f>
        <v>#REF!</v>
      </c>
      <c r="BN465" t="e">
        <f>AND(#REF!,"AAAAAHO290E=")</f>
        <v>#REF!</v>
      </c>
      <c r="BO465" t="e">
        <f>AND(#REF!,"AAAAAHO290I=")</f>
        <v>#REF!</v>
      </c>
      <c r="BP465" t="e">
        <f>AND(#REF!,"AAAAAHO290M=")</f>
        <v>#REF!</v>
      </c>
      <c r="BQ465" t="e">
        <f>AND(#REF!,"AAAAAHO290Q=")</f>
        <v>#REF!</v>
      </c>
      <c r="BR465" t="e">
        <f>AND(#REF!,"AAAAAHO290U=")</f>
        <v>#REF!</v>
      </c>
      <c r="BS465" t="e">
        <f>AND(#REF!,"AAAAAHO290Y=")</f>
        <v>#REF!</v>
      </c>
      <c r="BT465" t="e">
        <f>AND(#REF!,"AAAAAHO290c=")</f>
        <v>#REF!</v>
      </c>
      <c r="BU465" t="e">
        <f>AND(#REF!,"AAAAAHO290g=")</f>
        <v>#REF!</v>
      </c>
      <c r="BV465" t="e">
        <f>AND(#REF!,"AAAAAHO290k=")</f>
        <v>#REF!</v>
      </c>
      <c r="BW465" t="e">
        <f>IF(#REF!,"AAAAAHO290o=",0)</f>
        <v>#REF!</v>
      </c>
      <c r="BX465" t="e">
        <f>AND(#REF!,"AAAAAHO290s=")</f>
        <v>#REF!</v>
      </c>
      <c r="BY465" t="e">
        <f>AND(#REF!,"AAAAAHO290w=")</f>
        <v>#REF!</v>
      </c>
      <c r="BZ465" t="e">
        <f>AND(#REF!,"AAAAAHO2900=")</f>
        <v>#REF!</v>
      </c>
      <c r="CA465" t="e">
        <f>AND(#REF!,"AAAAAHO2904=")</f>
        <v>#REF!</v>
      </c>
      <c r="CB465" t="e">
        <f>AND(#REF!,"AAAAAHO2908=")</f>
        <v>#REF!</v>
      </c>
      <c r="CC465" t="e">
        <f>AND(#REF!,"AAAAAHO291A=")</f>
        <v>#REF!</v>
      </c>
      <c r="CD465" t="e">
        <f>AND(#REF!,"AAAAAHO291E=")</f>
        <v>#REF!</v>
      </c>
      <c r="CE465" t="e">
        <f>AND(#REF!,"AAAAAHO291I=")</f>
        <v>#REF!</v>
      </c>
      <c r="CF465" t="e">
        <f>AND(#REF!,"AAAAAHO291M=")</f>
        <v>#REF!</v>
      </c>
      <c r="CG465" t="e">
        <f>AND(#REF!,"AAAAAHO291Q=")</f>
        <v>#REF!</v>
      </c>
      <c r="CH465" t="e">
        <f>IF(#REF!,"AAAAAHO291U=",0)</f>
        <v>#REF!</v>
      </c>
      <c r="CI465" t="e">
        <f>AND(#REF!,"AAAAAHO291Y=")</f>
        <v>#REF!</v>
      </c>
      <c r="CJ465" t="e">
        <f>AND(#REF!,"AAAAAHO291c=")</f>
        <v>#REF!</v>
      </c>
      <c r="CK465" t="e">
        <f>AND(#REF!,"AAAAAHO291g=")</f>
        <v>#REF!</v>
      </c>
      <c r="CL465" t="e">
        <f>AND(#REF!,"AAAAAHO291k=")</f>
        <v>#REF!</v>
      </c>
      <c r="CM465" t="e">
        <f>AND(#REF!,"AAAAAHO291o=")</f>
        <v>#REF!</v>
      </c>
      <c r="CN465" t="e">
        <f>AND(#REF!,"AAAAAHO291s=")</f>
        <v>#REF!</v>
      </c>
      <c r="CO465" t="e">
        <f>AND(#REF!,"AAAAAHO291w=")</f>
        <v>#REF!</v>
      </c>
      <c r="CP465" t="e">
        <f>AND(#REF!,"AAAAAHO2910=")</f>
        <v>#REF!</v>
      </c>
      <c r="CQ465" t="e">
        <f>AND(#REF!,"AAAAAHO2914=")</f>
        <v>#REF!</v>
      </c>
      <c r="CR465" t="e">
        <f>AND(#REF!,"AAAAAHO2918=")</f>
        <v>#REF!</v>
      </c>
      <c r="CS465" t="e">
        <f>IF(#REF!,"AAAAAHO292A=",0)</f>
        <v>#REF!</v>
      </c>
      <c r="CT465" t="e">
        <f>AND(#REF!,"AAAAAHO292E=")</f>
        <v>#REF!</v>
      </c>
      <c r="CU465" t="e">
        <f>AND(#REF!,"AAAAAHO292I=")</f>
        <v>#REF!</v>
      </c>
      <c r="CV465" t="e">
        <f>AND(#REF!,"AAAAAHO292M=")</f>
        <v>#REF!</v>
      </c>
      <c r="CW465" t="e">
        <f>AND(#REF!,"AAAAAHO292Q=")</f>
        <v>#REF!</v>
      </c>
      <c r="CX465" t="e">
        <f>AND(#REF!,"AAAAAHO292U=")</f>
        <v>#REF!</v>
      </c>
      <c r="CY465" t="e">
        <f>AND(#REF!,"AAAAAHO292Y=")</f>
        <v>#REF!</v>
      </c>
      <c r="CZ465" t="e">
        <f>AND(#REF!,"AAAAAHO292c=")</f>
        <v>#REF!</v>
      </c>
      <c r="DA465" t="e">
        <f>AND(#REF!,"AAAAAHO292g=")</f>
        <v>#REF!</v>
      </c>
      <c r="DB465" t="e">
        <f>AND(#REF!,"AAAAAHO292k=")</f>
        <v>#REF!</v>
      </c>
      <c r="DC465" t="e">
        <f>AND(#REF!,"AAAAAHO292o=")</f>
        <v>#REF!</v>
      </c>
      <c r="DD465" t="e">
        <f>IF(#REF!,"AAAAAHO292s=",0)</f>
        <v>#REF!</v>
      </c>
      <c r="DE465" t="e">
        <f>AND(#REF!,"AAAAAHO292w=")</f>
        <v>#REF!</v>
      </c>
      <c r="DF465" t="e">
        <f>AND(#REF!,"AAAAAHO2920=")</f>
        <v>#REF!</v>
      </c>
      <c r="DG465" t="e">
        <f>AND(#REF!,"AAAAAHO2924=")</f>
        <v>#REF!</v>
      </c>
      <c r="DH465" t="e">
        <f>AND(#REF!,"AAAAAHO2928=")</f>
        <v>#REF!</v>
      </c>
      <c r="DI465" t="e">
        <f>AND(#REF!,"AAAAAHO293A=")</f>
        <v>#REF!</v>
      </c>
      <c r="DJ465" t="e">
        <f>AND(#REF!,"AAAAAHO293E=")</f>
        <v>#REF!</v>
      </c>
      <c r="DK465" t="e">
        <f>AND(#REF!,"AAAAAHO293I=")</f>
        <v>#REF!</v>
      </c>
      <c r="DL465" t="e">
        <f>AND(#REF!,"AAAAAHO293M=")</f>
        <v>#REF!</v>
      </c>
      <c r="DM465" t="e">
        <f>AND(#REF!,"AAAAAHO293Q=")</f>
        <v>#REF!</v>
      </c>
      <c r="DN465" t="e">
        <f>AND(#REF!,"AAAAAHO293U=")</f>
        <v>#REF!</v>
      </c>
      <c r="DO465" t="e">
        <f>IF(#REF!,"AAAAAHO293Y=",0)</f>
        <v>#REF!</v>
      </c>
      <c r="DP465" t="e">
        <f>AND(#REF!,"AAAAAHO293c=")</f>
        <v>#REF!</v>
      </c>
      <c r="DQ465" t="e">
        <f>AND(#REF!,"AAAAAHO293g=")</f>
        <v>#REF!</v>
      </c>
      <c r="DR465" t="e">
        <f>AND(#REF!,"AAAAAHO293k=")</f>
        <v>#REF!</v>
      </c>
      <c r="DS465" t="e">
        <f>AND(#REF!,"AAAAAHO293o=")</f>
        <v>#REF!</v>
      </c>
      <c r="DT465" t="e">
        <f>AND(#REF!,"AAAAAHO293s=")</f>
        <v>#REF!</v>
      </c>
      <c r="DU465" t="e">
        <f>AND(#REF!,"AAAAAHO293w=")</f>
        <v>#REF!</v>
      </c>
      <c r="DV465" t="e">
        <f>AND(#REF!,"AAAAAHO2930=")</f>
        <v>#REF!</v>
      </c>
      <c r="DW465" t="e">
        <f>AND(#REF!,"AAAAAHO2934=")</f>
        <v>#REF!</v>
      </c>
      <c r="DX465" t="e">
        <f>AND(#REF!,"AAAAAHO2938=")</f>
        <v>#REF!</v>
      </c>
      <c r="DY465" t="e">
        <f>AND(#REF!,"AAAAAHO294A=")</f>
        <v>#REF!</v>
      </c>
      <c r="DZ465" t="e">
        <f>IF(#REF!,"AAAAAHO294E=",0)</f>
        <v>#REF!</v>
      </c>
      <c r="EA465" t="e">
        <f>AND(#REF!,"AAAAAHO294I=")</f>
        <v>#REF!</v>
      </c>
      <c r="EB465" t="e">
        <f>AND(#REF!,"AAAAAHO294M=")</f>
        <v>#REF!</v>
      </c>
      <c r="EC465" t="e">
        <f>AND(#REF!,"AAAAAHO294Q=")</f>
        <v>#REF!</v>
      </c>
      <c r="ED465" t="e">
        <f>AND(#REF!,"AAAAAHO294U=")</f>
        <v>#REF!</v>
      </c>
      <c r="EE465" t="e">
        <f>AND(#REF!,"AAAAAHO294Y=")</f>
        <v>#REF!</v>
      </c>
      <c r="EF465" t="e">
        <f>AND(#REF!,"AAAAAHO294c=")</f>
        <v>#REF!</v>
      </c>
      <c r="EG465" t="e">
        <f>AND(#REF!,"AAAAAHO294g=")</f>
        <v>#REF!</v>
      </c>
      <c r="EH465" t="e">
        <f>AND(#REF!,"AAAAAHO294k=")</f>
        <v>#REF!</v>
      </c>
      <c r="EI465" t="e">
        <f>AND(#REF!,"AAAAAHO294o=")</f>
        <v>#REF!</v>
      </c>
      <c r="EJ465" t="e">
        <f>AND(#REF!,"AAAAAHO294s=")</f>
        <v>#REF!</v>
      </c>
      <c r="EK465" t="e">
        <f>IF(#REF!,"AAAAAHO294w=",0)</f>
        <v>#REF!</v>
      </c>
      <c r="EL465" t="e">
        <f>AND(#REF!,"AAAAAHO2940=")</f>
        <v>#REF!</v>
      </c>
      <c r="EM465" t="e">
        <f>AND(#REF!,"AAAAAHO2944=")</f>
        <v>#REF!</v>
      </c>
      <c r="EN465" t="e">
        <f>AND(#REF!,"AAAAAHO2948=")</f>
        <v>#REF!</v>
      </c>
      <c r="EO465" t="e">
        <f>AND(#REF!,"AAAAAHO295A=")</f>
        <v>#REF!</v>
      </c>
      <c r="EP465" t="e">
        <f>AND(#REF!,"AAAAAHO295E=")</f>
        <v>#REF!</v>
      </c>
      <c r="EQ465" t="e">
        <f>AND(#REF!,"AAAAAHO295I=")</f>
        <v>#REF!</v>
      </c>
      <c r="ER465" t="e">
        <f>AND(#REF!,"AAAAAHO295M=")</f>
        <v>#REF!</v>
      </c>
      <c r="ES465" t="e">
        <f>AND(#REF!,"AAAAAHO295Q=")</f>
        <v>#REF!</v>
      </c>
      <c r="ET465" t="e">
        <f>AND(#REF!,"AAAAAHO295U=")</f>
        <v>#REF!</v>
      </c>
      <c r="EU465" t="e">
        <f>AND(#REF!,"AAAAAHO295Y=")</f>
        <v>#REF!</v>
      </c>
      <c r="EV465" t="e">
        <f>IF(#REF!,"AAAAAHO295c=",0)</f>
        <v>#REF!</v>
      </c>
      <c r="EW465" t="e">
        <f>AND(#REF!,"AAAAAHO295g=")</f>
        <v>#REF!</v>
      </c>
      <c r="EX465" t="e">
        <f>AND(#REF!,"AAAAAHO295k=")</f>
        <v>#REF!</v>
      </c>
      <c r="EY465" t="e">
        <f>AND(#REF!,"AAAAAHO295o=")</f>
        <v>#REF!</v>
      </c>
      <c r="EZ465" t="e">
        <f>AND(#REF!,"AAAAAHO295s=")</f>
        <v>#REF!</v>
      </c>
      <c r="FA465" t="e">
        <f>AND(#REF!,"AAAAAHO295w=")</f>
        <v>#REF!</v>
      </c>
      <c r="FB465" t="e">
        <f>AND(#REF!,"AAAAAHO2950=")</f>
        <v>#REF!</v>
      </c>
      <c r="FC465" t="e">
        <f>AND(#REF!,"AAAAAHO2954=")</f>
        <v>#REF!</v>
      </c>
      <c r="FD465" t="e">
        <f>AND(#REF!,"AAAAAHO2958=")</f>
        <v>#REF!</v>
      </c>
      <c r="FE465" t="e">
        <f>AND(#REF!,"AAAAAHO296A=")</f>
        <v>#REF!</v>
      </c>
      <c r="FF465" t="e">
        <f>AND(#REF!,"AAAAAHO296E=")</f>
        <v>#REF!</v>
      </c>
      <c r="FG465" t="e">
        <f>IF(#REF!,"AAAAAHO296I=",0)</f>
        <v>#REF!</v>
      </c>
      <c r="FH465" t="e">
        <f>AND(#REF!,"AAAAAHO296M=")</f>
        <v>#REF!</v>
      </c>
      <c r="FI465" t="e">
        <f>AND(#REF!,"AAAAAHO296Q=")</f>
        <v>#REF!</v>
      </c>
      <c r="FJ465" t="e">
        <f>AND(#REF!,"AAAAAHO296U=")</f>
        <v>#REF!</v>
      </c>
      <c r="FK465" t="e">
        <f>AND(#REF!,"AAAAAHO296Y=")</f>
        <v>#REF!</v>
      </c>
      <c r="FL465" t="e">
        <f>AND(#REF!,"AAAAAHO296c=")</f>
        <v>#REF!</v>
      </c>
      <c r="FM465" t="e">
        <f>AND(#REF!,"AAAAAHO296g=")</f>
        <v>#REF!</v>
      </c>
      <c r="FN465" t="e">
        <f>AND(#REF!,"AAAAAHO296k=")</f>
        <v>#REF!</v>
      </c>
      <c r="FO465" t="e">
        <f>AND(#REF!,"AAAAAHO296o=")</f>
        <v>#REF!</v>
      </c>
      <c r="FP465" t="e">
        <f>AND(#REF!,"AAAAAHO296s=")</f>
        <v>#REF!</v>
      </c>
      <c r="FQ465" t="e">
        <f>AND(#REF!,"AAAAAHO296w=")</f>
        <v>#REF!</v>
      </c>
      <c r="FR465" t="e">
        <f>IF(#REF!,"AAAAAHO2960=",0)</f>
        <v>#REF!</v>
      </c>
      <c r="FS465" t="e">
        <f>AND(#REF!,"AAAAAHO2964=")</f>
        <v>#REF!</v>
      </c>
      <c r="FT465" t="e">
        <f>AND(#REF!,"AAAAAHO2968=")</f>
        <v>#REF!</v>
      </c>
      <c r="FU465" t="e">
        <f>AND(#REF!,"AAAAAHO297A=")</f>
        <v>#REF!</v>
      </c>
      <c r="FV465" t="e">
        <f>AND(#REF!,"AAAAAHO297E=")</f>
        <v>#REF!</v>
      </c>
      <c r="FW465" t="e">
        <f>AND(#REF!,"AAAAAHO297I=")</f>
        <v>#REF!</v>
      </c>
      <c r="FX465" t="e">
        <f>AND(#REF!,"AAAAAHO297M=")</f>
        <v>#REF!</v>
      </c>
      <c r="FY465" t="e">
        <f>AND(#REF!,"AAAAAHO297Q=")</f>
        <v>#REF!</v>
      </c>
      <c r="FZ465" t="e">
        <f>AND(#REF!,"AAAAAHO297U=")</f>
        <v>#REF!</v>
      </c>
      <c r="GA465" t="e">
        <f>AND(#REF!,"AAAAAHO297Y=")</f>
        <v>#REF!</v>
      </c>
      <c r="GB465" t="e">
        <f>AND(#REF!,"AAAAAHO297c=")</f>
        <v>#REF!</v>
      </c>
      <c r="GC465" t="e">
        <f>IF(#REF!,"AAAAAHO297g=",0)</f>
        <v>#REF!</v>
      </c>
      <c r="GD465" t="e">
        <f>AND(#REF!,"AAAAAHO297k=")</f>
        <v>#REF!</v>
      </c>
      <c r="GE465" t="e">
        <f>AND(#REF!,"AAAAAHO297o=")</f>
        <v>#REF!</v>
      </c>
      <c r="GF465" t="e">
        <f>AND(#REF!,"AAAAAHO297s=")</f>
        <v>#REF!</v>
      </c>
      <c r="GG465" t="e">
        <f>AND(#REF!,"AAAAAHO297w=")</f>
        <v>#REF!</v>
      </c>
      <c r="GH465" t="e">
        <f>AND(#REF!,"AAAAAHO2970=")</f>
        <v>#REF!</v>
      </c>
      <c r="GI465" t="e">
        <f>AND(#REF!,"AAAAAHO2974=")</f>
        <v>#REF!</v>
      </c>
      <c r="GJ465" t="e">
        <f>AND(#REF!,"AAAAAHO2978=")</f>
        <v>#REF!</v>
      </c>
      <c r="GK465" t="e">
        <f>AND(#REF!,"AAAAAHO298A=")</f>
        <v>#REF!</v>
      </c>
      <c r="GL465" t="e">
        <f>AND(#REF!,"AAAAAHO298E=")</f>
        <v>#REF!</v>
      </c>
      <c r="GM465" t="e">
        <f>AND(#REF!,"AAAAAHO298I=")</f>
        <v>#REF!</v>
      </c>
      <c r="GN465" t="e">
        <f>IF(#REF!,"AAAAAHO298M=",0)</f>
        <v>#REF!</v>
      </c>
      <c r="GO465" t="e">
        <f>AND(#REF!,"AAAAAHO298Q=")</f>
        <v>#REF!</v>
      </c>
      <c r="GP465" t="e">
        <f>AND(#REF!,"AAAAAHO298U=")</f>
        <v>#REF!</v>
      </c>
      <c r="GQ465" t="e">
        <f>AND(#REF!,"AAAAAHO298Y=")</f>
        <v>#REF!</v>
      </c>
      <c r="GR465" t="e">
        <f>AND(#REF!,"AAAAAHO298c=")</f>
        <v>#REF!</v>
      </c>
      <c r="GS465" t="e">
        <f>AND(#REF!,"AAAAAHO298g=")</f>
        <v>#REF!</v>
      </c>
      <c r="GT465" t="e">
        <f>AND(#REF!,"AAAAAHO298k=")</f>
        <v>#REF!</v>
      </c>
      <c r="GU465" t="e">
        <f>AND(#REF!,"AAAAAHO298o=")</f>
        <v>#REF!</v>
      </c>
      <c r="GV465" t="e">
        <f>AND(#REF!,"AAAAAHO298s=")</f>
        <v>#REF!</v>
      </c>
      <c r="GW465" t="e">
        <f>AND(#REF!,"AAAAAHO298w=")</f>
        <v>#REF!</v>
      </c>
      <c r="GX465" t="e">
        <f>AND(#REF!,"AAAAAHO2980=")</f>
        <v>#REF!</v>
      </c>
      <c r="GY465" t="e">
        <f>IF(#REF!,"AAAAAHO2984=",0)</f>
        <v>#REF!</v>
      </c>
      <c r="GZ465" t="e">
        <f>AND(#REF!,"AAAAAHO2988=")</f>
        <v>#REF!</v>
      </c>
      <c r="HA465" t="e">
        <f>AND(#REF!,"AAAAAHO299A=")</f>
        <v>#REF!</v>
      </c>
      <c r="HB465" t="e">
        <f>AND(#REF!,"AAAAAHO299E=")</f>
        <v>#REF!</v>
      </c>
      <c r="HC465" t="e">
        <f>AND(#REF!,"AAAAAHO299I=")</f>
        <v>#REF!</v>
      </c>
      <c r="HD465" t="e">
        <f>AND(#REF!,"AAAAAHO299M=")</f>
        <v>#REF!</v>
      </c>
      <c r="HE465" t="e">
        <f>AND(#REF!,"AAAAAHO299Q=")</f>
        <v>#REF!</v>
      </c>
      <c r="HF465" t="e">
        <f>AND(#REF!,"AAAAAHO299U=")</f>
        <v>#REF!</v>
      </c>
      <c r="HG465" t="e">
        <f>AND(#REF!,"AAAAAHO299Y=")</f>
        <v>#REF!</v>
      </c>
      <c r="HH465" t="e">
        <f>AND(#REF!,"AAAAAHO299c=")</f>
        <v>#REF!</v>
      </c>
      <c r="HI465" t="e">
        <f>AND(#REF!,"AAAAAHO299g=")</f>
        <v>#REF!</v>
      </c>
      <c r="HJ465" t="e">
        <f>IF(#REF!,"AAAAAHO299k=",0)</f>
        <v>#REF!</v>
      </c>
      <c r="HK465" t="e">
        <f>AND(#REF!,"AAAAAHO299o=")</f>
        <v>#REF!</v>
      </c>
      <c r="HL465" t="e">
        <f>AND(#REF!,"AAAAAHO299s=")</f>
        <v>#REF!</v>
      </c>
      <c r="HM465" t="e">
        <f>AND(#REF!,"AAAAAHO299w=")</f>
        <v>#REF!</v>
      </c>
      <c r="HN465" t="e">
        <f>AND(#REF!,"AAAAAHO2990=")</f>
        <v>#REF!</v>
      </c>
      <c r="HO465" t="e">
        <f>AND(#REF!,"AAAAAHO2994=")</f>
        <v>#REF!</v>
      </c>
      <c r="HP465" t="e">
        <f>AND(#REF!,"AAAAAHO2998=")</f>
        <v>#REF!</v>
      </c>
      <c r="HQ465" t="e">
        <f>AND(#REF!,"AAAAAHO29+A=")</f>
        <v>#REF!</v>
      </c>
      <c r="HR465" t="e">
        <f>AND(#REF!,"AAAAAHO29+E=")</f>
        <v>#REF!</v>
      </c>
      <c r="HS465" t="e">
        <f>AND(#REF!,"AAAAAHO29+I=")</f>
        <v>#REF!</v>
      </c>
      <c r="HT465" t="e">
        <f>AND(#REF!,"AAAAAHO29+M=")</f>
        <v>#REF!</v>
      </c>
      <c r="HU465" t="e">
        <f>IF(#REF!,"AAAAAHO29+Q=",0)</f>
        <v>#REF!</v>
      </c>
      <c r="HV465" t="e">
        <f>AND(#REF!,"AAAAAHO29+U=")</f>
        <v>#REF!</v>
      </c>
      <c r="HW465" t="e">
        <f>AND(#REF!,"AAAAAHO29+Y=")</f>
        <v>#REF!</v>
      </c>
      <c r="HX465" t="e">
        <f>AND(#REF!,"AAAAAHO29+c=")</f>
        <v>#REF!</v>
      </c>
      <c r="HY465" t="e">
        <f>AND(#REF!,"AAAAAHO29+g=")</f>
        <v>#REF!</v>
      </c>
      <c r="HZ465" t="e">
        <f>AND(#REF!,"AAAAAHO29+k=")</f>
        <v>#REF!</v>
      </c>
      <c r="IA465" t="e">
        <f>AND(#REF!,"AAAAAHO29+o=")</f>
        <v>#REF!</v>
      </c>
      <c r="IB465" t="e">
        <f>AND(#REF!,"AAAAAHO29+s=")</f>
        <v>#REF!</v>
      </c>
      <c r="IC465" t="e">
        <f>AND(#REF!,"AAAAAHO29+w=")</f>
        <v>#REF!</v>
      </c>
      <c r="ID465" t="e">
        <f>AND(#REF!,"AAAAAHO29+0=")</f>
        <v>#REF!</v>
      </c>
      <c r="IE465" t="e">
        <f>AND(#REF!,"AAAAAHO29+4=")</f>
        <v>#REF!</v>
      </c>
      <c r="IF465" t="e">
        <f>IF(#REF!,"AAAAAHO29+8=",0)</f>
        <v>#REF!</v>
      </c>
      <c r="IG465" t="e">
        <f>AND(#REF!,"AAAAAHO29/A=")</f>
        <v>#REF!</v>
      </c>
      <c r="IH465" t="e">
        <f>AND(#REF!,"AAAAAHO29/E=")</f>
        <v>#REF!</v>
      </c>
      <c r="II465" t="e">
        <f>AND(#REF!,"AAAAAHO29/I=")</f>
        <v>#REF!</v>
      </c>
      <c r="IJ465" t="e">
        <f>AND(#REF!,"AAAAAHO29/M=")</f>
        <v>#REF!</v>
      </c>
      <c r="IK465" t="e">
        <f>AND(#REF!,"AAAAAHO29/Q=")</f>
        <v>#REF!</v>
      </c>
      <c r="IL465" t="e">
        <f>AND(#REF!,"AAAAAHO29/U=")</f>
        <v>#REF!</v>
      </c>
      <c r="IM465" t="e">
        <f>AND(#REF!,"AAAAAHO29/Y=")</f>
        <v>#REF!</v>
      </c>
      <c r="IN465" t="e">
        <f>AND(#REF!,"AAAAAHO29/c=")</f>
        <v>#REF!</v>
      </c>
      <c r="IO465" t="e">
        <f>AND(#REF!,"AAAAAHO29/g=")</f>
        <v>#REF!</v>
      </c>
      <c r="IP465" t="e">
        <f>AND(#REF!,"AAAAAHO29/k=")</f>
        <v>#REF!</v>
      </c>
      <c r="IQ465" t="e">
        <f>IF(#REF!,"AAAAAHO29/o=",0)</f>
        <v>#REF!</v>
      </c>
      <c r="IR465" t="e">
        <f>AND(#REF!,"AAAAAHO29/s=")</f>
        <v>#REF!</v>
      </c>
      <c r="IS465" t="e">
        <f>AND(#REF!,"AAAAAHO29/w=")</f>
        <v>#REF!</v>
      </c>
      <c r="IT465" t="e">
        <f>AND(#REF!,"AAAAAHO29/0=")</f>
        <v>#REF!</v>
      </c>
      <c r="IU465" t="e">
        <f>AND(#REF!,"AAAAAHO29/4=")</f>
        <v>#REF!</v>
      </c>
      <c r="IV465" t="e">
        <f>AND(#REF!,"AAAAAHO29/8=")</f>
        <v>#REF!</v>
      </c>
    </row>
    <row r="466" spans="1:256" x14ac:dyDescent="0.25">
      <c r="A466" t="e">
        <f>AND(#REF!,"AAAAACv/qgA=")</f>
        <v>#REF!</v>
      </c>
      <c r="B466" t="e">
        <f>AND(#REF!,"AAAAACv/qgE=")</f>
        <v>#REF!</v>
      </c>
      <c r="C466" t="e">
        <f>AND(#REF!,"AAAAACv/qgI=")</f>
        <v>#REF!</v>
      </c>
      <c r="D466" t="e">
        <f>AND(#REF!,"AAAAACv/qgM=")</f>
        <v>#REF!</v>
      </c>
      <c r="E466" t="e">
        <f>AND(#REF!,"AAAAACv/qgQ=")</f>
        <v>#REF!</v>
      </c>
      <c r="F466" t="e">
        <f>IF(#REF!,"AAAAACv/qgU=",0)</f>
        <v>#REF!</v>
      </c>
      <c r="G466" t="e">
        <f>AND(#REF!,"AAAAACv/qgY=")</f>
        <v>#REF!</v>
      </c>
      <c r="H466" t="e">
        <f>AND(#REF!,"AAAAACv/qgc=")</f>
        <v>#REF!</v>
      </c>
      <c r="I466" t="e">
        <f>AND(#REF!,"AAAAACv/qgg=")</f>
        <v>#REF!</v>
      </c>
      <c r="J466" t="e">
        <f>AND(#REF!,"AAAAACv/qgk=")</f>
        <v>#REF!</v>
      </c>
      <c r="K466" t="e">
        <f>AND(#REF!,"AAAAACv/qgo=")</f>
        <v>#REF!</v>
      </c>
      <c r="L466" t="e">
        <f>AND(#REF!,"AAAAACv/qgs=")</f>
        <v>#REF!</v>
      </c>
      <c r="M466" t="e">
        <f>AND(#REF!,"AAAAACv/qgw=")</f>
        <v>#REF!</v>
      </c>
      <c r="N466" t="e">
        <f>AND(#REF!,"AAAAACv/qg0=")</f>
        <v>#REF!</v>
      </c>
      <c r="O466" t="e">
        <f>AND(#REF!,"AAAAACv/qg4=")</f>
        <v>#REF!</v>
      </c>
      <c r="P466" t="e">
        <f>AND(#REF!,"AAAAACv/qg8=")</f>
        <v>#REF!</v>
      </c>
      <c r="Q466" t="e">
        <f>IF(#REF!,"AAAAACv/qhA=",0)</f>
        <v>#REF!</v>
      </c>
      <c r="R466" t="e">
        <f>AND(#REF!,"AAAAACv/qhE=")</f>
        <v>#REF!</v>
      </c>
      <c r="S466" t="e">
        <f>AND(#REF!,"AAAAACv/qhI=")</f>
        <v>#REF!</v>
      </c>
      <c r="T466" t="e">
        <f>AND(#REF!,"AAAAACv/qhM=")</f>
        <v>#REF!</v>
      </c>
      <c r="U466" t="e">
        <f>AND(#REF!,"AAAAACv/qhQ=")</f>
        <v>#REF!</v>
      </c>
      <c r="V466" t="e">
        <f>AND(#REF!,"AAAAACv/qhU=")</f>
        <v>#REF!</v>
      </c>
      <c r="W466" t="e">
        <f>AND(#REF!,"AAAAACv/qhY=")</f>
        <v>#REF!</v>
      </c>
      <c r="X466" t="e">
        <f>AND(#REF!,"AAAAACv/qhc=")</f>
        <v>#REF!</v>
      </c>
      <c r="Y466" t="e">
        <f>AND(#REF!,"AAAAACv/qhg=")</f>
        <v>#REF!</v>
      </c>
      <c r="Z466" t="e">
        <f>AND(#REF!,"AAAAACv/qhk=")</f>
        <v>#REF!</v>
      </c>
      <c r="AA466" t="e">
        <f>AND(#REF!,"AAAAACv/qho=")</f>
        <v>#REF!</v>
      </c>
      <c r="AB466" t="e">
        <f>IF(#REF!,"AAAAACv/qhs=",0)</f>
        <v>#REF!</v>
      </c>
      <c r="AC466" t="e">
        <f>AND(#REF!,"AAAAACv/qhw=")</f>
        <v>#REF!</v>
      </c>
      <c r="AD466" t="e">
        <f>AND(#REF!,"AAAAACv/qh0=")</f>
        <v>#REF!</v>
      </c>
      <c r="AE466" t="e">
        <f>AND(#REF!,"AAAAACv/qh4=")</f>
        <v>#REF!</v>
      </c>
      <c r="AF466" t="e">
        <f>AND(#REF!,"AAAAACv/qh8=")</f>
        <v>#REF!</v>
      </c>
      <c r="AG466" t="e">
        <f>AND(#REF!,"AAAAACv/qiA=")</f>
        <v>#REF!</v>
      </c>
      <c r="AH466" t="e">
        <f>AND(#REF!,"AAAAACv/qiE=")</f>
        <v>#REF!</v>
      </c>
      <c r="AI466" t="e">
        <f>AND(#REF!,"AAAAACv/qiI=")</f>
        <v>#REF!</v>
      </c>
      <c r="AJ466" t="e">
        <f>AND(#REF!,"AAAAACv/qiM=")</f>
        <v>#REF!</v>
      </c>
      <c r="AK466" t="e">
        <f>AND(#REF!,"AAAAACv/qiQ=")</f>
        <v>#REF!</v>
      </c>
      <c r="AL466" t="e">
        <f>AND(#REF!,"AAAAACv/qiU=")</f>
        <v>#REF!</v>
      </c>
      <c r="AM466" t="e">
        <f>IF(#REF!,"AAAAACv/qiY=",0)</f>
        <v>#REF!</v>
      </c>
      <c r="AN466" t="e">
        <f>AND(#REF!,"AAAAACv/qic=")</f>
        <v>#REF!</v>
      </c>
      <c r="AO466" t="e">
        <f>AND(#REF!,"AAAAACv/qig=")</f>
        <v>#REF!</v>
      </c>
      <c r="AP466" t="e">
        <f>AND(#REF!,"AAAAACv/qik=")</f>
        <v>#REF!</v>
      </c>
      <c r="AQ466" t="e">
        <f>AND(#REF!,"AAAAACv/qio=")</f>
        <v>#REF!</v>
      </c>
      <c r="AR466" t="e">
        <f>AND(#REF!,"AAAAACv/qis=")</f>
        <v>#REF!</v>
      </c>
      <c r="AS466" t="e">
        <f>AND(#REF!,"AAAAACv/qiw=")</f>
        <v>#REF!</v>
      </c>
      <c r="AT466" t="e">
        <f>AND(#REF!,"AAAAACv/qi0=")</f>
        <v>#REF!</v>
      </c>
      <c r="AU466" t="e">
        <f>AND(#REF!,"AAAAACv/qi4=")</f>
        <v>#REF!</v>
      </c>
      <c r="AV466" t="e">
        <f>AND(#REF!,"AAAAACv/qi8=")</f>
        <v>#REF!</v>
      </c>
      <c r="AW466" t="e">
        <f>AND(#REF!,"AAAAACv/qjA=")</f>
        <v>#REF!</v>
      </c>
      <c r="AX466" t="e">
        <f>IF(#REF!,"AAAAACv/qjE=",0)</f>
        <v>#REF!</v>
      </c>
      <c r="AY466" t="e">
        <f>AND(#REF!,"AAAAACv/qjI=")</f>
        <v>#REF!</v>
      </c>
      <c r="AZ466" t="e">
        <f>AND(#REF!,"AAAAACv/qjM=")</f>
        <v>#REF!</v>
      </c>
      <c r="BA466" t="e">
        <f>AND(#REF!,"AAAAACv/qjQ=")</f>
        <v>#REF!</v>
      </c>
      <c r="BB466" t="e">
        <f>AND(#REF!,"AAAAACv/qjU=")</f>
        <v>#REF!</v>
      </c>
      <c r="BC466" t="e">
        <f>AND(#REF!,"AAAAACv/qjY=")</f>
        <v>#REF!</v>
      </c>
      <c r="BD466" t="e">
        <f>AND(#REF!,"AAAAACv/qjc=")</f>
        <v>#REF!</v>
      </c>
      <c r="BE466" t="e">
        <f>AND(#REF!,"AAAAACv/qjg=")</f>
        <v>#REF!</v>
      </c>
      <c r="BF466" t="e">
        <f>AND(#REF!,"AAAAACv/qjk=")</f>
        <v>#REF!</v>
      </c>
      <c r="BG466" t="e">
        <f>AND(#REF!,"AAAAACv/qjo=")</f>
        <v>#REF!</v>
      </c>
      <c r="BH466" t="e">
        <f>AND(#REF!,"AAAAACv/qjs=")</f>
        <v>#REF!</v>
      </c>
      <c r="BI466" t="e">
        <f>IF(#REF!,"AAAAACv/qjw=",0)</f>
        <v>#REF!</v>
      </c>
      <c r="BJ466" t="e">
        <f>AND(#REF!,"AAAAACv/qj0=")</f>
        <v>#REF!</v>
      </c>
      <c r="BK466" t="e">
        <f>AND(#REF!,"AAAAACv/qj4=")</f>
        <v>#REF!</v>
      </c>
      <c r="BL466" t="e">
        <f>AND(#REF!,"AAAAACv/qj8=")</f>
        <v>#REF!</v>
      </c>
      <c r="BM466" t="e">
        <f>AND(#REF!,"AAAAACv/qkA=")</f>
        <v>#REF!</v>
      </c>
      <c r="BN466" t="e">
        <f>AND(#REF!,"AAAAACv/qkE=")</f>
        <v>#REF!</v>
      </c>
      <c r="BO466" t="e">
        <f>AND(#REF!,"AAAAACv/qkI=")</f>
        <v>#REF!</v>
      </c>
      <c r="BP466" t="e">
        <f>AND(#REF!,"AAAAACv/qkM=")</f>
        <v>#REF!</v>
      </c>
      <c r="BQ466" t="e">
        <f>AND(#REF!,"AAAAACv/qkQ=")</f>
        <v>#REF!</v>
      </c>
      <c r="BR466" t="e">
        <f>AND(#REF!,"AAAAACv/qkU=")</f>
        <v>#REF!</v>
      </c>
      <c r="BS466" t="e">
        <f>AND(#REF!,"AAAAACv/qkY=")</f>
        <v>#REF!</v>
      </c>
      <c r="BT466" t="e">
        <f>IF(#REF!,"AAAAACv/qkc=",0)</f>
        <v>#REF!</v>
      </c>
      <c r="BU466" t="e">
        <f>AND(#REF!,"AAAAACv/qkg=")</f>
        <v>#REF!</v>
      </c>
      <c r="BV466" t="e">
        <f>AND(#REF!,"AAAAACv/qkk=")</f>
        <v>#REF!</v>
      </c>
      <c r="BW466" t="e">
        <f>AND(#REF!,"AAAAACv/qko=")</f>
        <v>#REF!</v>
      </c>
      <c r="BX466" t="e">
        <f>AND(#REF!,"AAAAACv/qks=")</f>
        <v>#REF!</v>
      </c>
      <c r="BY466" t="e">
        <f>AND(#REF!,"AAAAACv/qkw=")</f>
        <v>#REF!</v>
      </c>
      <c r="BZ466" t="e">
        <f>AND(#REF!,"AAAAACv/qk0=")</f>
        <v>#REF!</v>
      </c>
      <c r="CA466" t="e">
        <f>AND(#REF!,"AAAAACv/qk4=")</f>
        <v>#REF!</v>
      </c>
      <c r="CB466" t="e">
        <f>AND(#REF!,"AAAAACv/qk8=")</f>
        <v>#REF!</v>
      </c>
      <c r="CC466" t="e">
        <f>AND(#REF!,"AAAAACv/qlA=")</f>
        <v>#REF!</v>
      </c>
      <c r="CD466" t="e">
        <f>AND(#REF!,"AAAAACv/qlE=")</f>
        <v>#REF!</v>
      </c>
      <c r="CE466" t="e">
        <f>IF(#REF!,"AAAAACv/qlI=",0)</f>
        <v>#REF!</v>
      </c>
      <c r="CF466" t="e">
        <f>AND(#REF!,"AAAAACv/qlM=")</f>
        <v>#REF!</v>
      </c>
      <c r="CG466" t="e">
        <f>AND(#REF!,"AAAAACv/qlQ=")</f>
        <v>#REF!</v>
      </c>
      <c r="CH466" t="e">
        <f>AND(#REF!,"AAAAACv/qlU=")</f>
        <v>#REF!</v>
      </c>
      <c r="CI466" t="e">
        <f>AND(#REF!,"AAAAACv/qlY=")</f>
        <v>#REF!</v>
      </c>
      <c r="CJ466" t="e">
        <f>AND(#REF!,"AAAAACv/qlc=")</f>
        <v>#REF!</v>
      </c>
      <c r="CK466" t="e">
        <f>AND(#REF!,"AAAAACv/qlg=")</f>
        <v>#REF!</v>
      </c>
      <c r="CL466" t="e">
        <f>AND(#REF!,"AAAAACv/qlk=")</f>
        <v>#REF!</v>
      </c>
      <c r="CM466" t="e">
        <f>AND(#REF!,"AAAAACv/qlo=")</f>
        <v>#REF!</v>
      </c>
      <c r="CN466" t="e">
        <f>AND(#REF!,"AAAAACv/qls=")</f>
        <v>#REF!</v>
      </c>
      <c r="CO466" t="e">
        <f>AND(#REF!,"AAAAACv/qlw=")</f>
        <v>#REF!</v>
      </c>
      <c r="CP466" t="e">
        <f>IF(#REF!,"AAAAACv/ql0=",0)</f>
        <v>#REF!</v>
      </c>
      <c r="CQ466" t="e">
        <f>AND(#REF!,"AAAAACv/ql4=")</f>
        <v>#REF!</v>
      </c>
      <c r="CR466" t="e">
        <f>AND(#REF!,"AAAAACv/ql8=")</f>
        <v>#REF!</v>
      </c>
      <c r="CS466" t="e">
        <f>AND(#REF!,"AAAAACv/qmA=")</f>
        <v>#REF!</v>
      </c>
      <c r="CT466" t="e">
        <f>AND(#REF!,"AAAAACv/qmE=")</f>
        <v>#REF!</v>
      </c>
      <c r="CU466" t="e">
        <f>AND(#REF!,"AAAAACv/qmI=")</f>
        <v>#REF!</v>
      </c>
      <c r="CV466" t="e">
        <f>AND(#REF!,"AAAAACv/qmM=")</f>
        <v>#REF!</v>
      </c>
      <c r="CW466" t="e">
        <f>AND(#REF!,"AAAAACv/qmQ=")</f>
        <v>#REF!</v>
      </c>
      <c r="CX466" t="e">
        <f>AND(#REF!,"AAAAACv/qmU=")</f>
        <v>#REF!</v>
      </c>
      <c r="CY466" t="e">
        <f>AND(#REF!,"AAAAACv/qmY=")</f>
        <v>#REF!</v>
      </c>
      <c r="CZ466" t="e">
        <f>AND(#REF!,"AAAAACv/qmc=")</f>
        <v>#REF!</v>
      </c>
      <c r="DA466" t="e">
        <f>IF(#REF!,"AAAAACv/qmg=",0)</f>
        <v>#REF!</v>
      </c>
      <c r="DB466" t="e">
        <f>AND(#REF!,"AAAAACv/qmk=")</f>
        <v>#REF!</v>
      </c>
      <c r="DC466" t="e">
        <f>AND(#REF!,"AAAAACv/qmo=")</f>
        <v>#REF!</v>
      </c>
      <c r="DD466" t="e">
        <f>AND(#REF!,"AAAAACv/qms=")</f>
        <v>#REF!</v>
      </c>
      <c r="DE466" t="e">
        <f>AND(#REF!,"AAAAACv/qmw=")</f>
        <v>#REF!</v>
      </c>
      <c r="DF466" t="e">
        <f>AND(#REF!,"AAAAACv/qm0=")</f>
        <v>#REF!</v>
      </c>
      <c r="DG466" t="e">
        <f>AND(#REF!,"AAAAACv/qm4=")</f>
        <v>#REF!</v>
      </c>
      <c r="DH466" t="e">
        <f>AND(#REF!,"AAAAACv/qm8=")</f>
        <v>#REF!</v>
      </c>
      <c r="DI466" t="e">
        <f>AND(#REF!,"AAAAACv/qnA=")</f>
        <v>#REF!</v>
      </c>
      <c r="DJ466" t="e">
        <f>AND(#REF!,"AAAAACv/qnE=")</f>
        <v>#REF!</v>
      </c>
      <c r="DK466" t="e">
        <f>AND(#REF!,"AAAAACv/qnI=")</f>
        <v>#REF!</v>
      </c>
      <c r="DL466" t="e">
        <f>IF(#REF!,"AAAAACv/qnM=",0)</f>
        <v>#REF!</v>
      </c>
      <c r="DM466" t="e">
        <f>AND(#REF!,"AAAAACv/qnQ=")</f>
        <v>#REF!</v>
      </c>
      <c r="DN466" t="e">
        <f>AND(#REF!,"AAAAACv/qnU=")</f>
        <v>#REF!</v>
      </c>
      <c r="DO466" t="e">
        <f>AND(#REF!,"AAAAACv/qnY=")</f>
        <v>#REF!</v>
      </c>
      <c r="DP466" t="e">
        <f>AND(#REF!,"AAAAACv/qnc=")</f>
        <v>#REF!</v>
      </c>
      <c r="DQ466" t="e">
        <f>AND(#REF!,"AAAAACv/qng=")</f>
        <v>#REF!</v>
      </c>
      <c r="DR466" t="e">
        <f>AND(#REF!,"AAAAACv/qnk=")</f>
        <v>#REF!</v>
      </c>
      <c r="DS466" t="e">
        <f>AND(#REF!,"AAAAACv/qno=")</f>
        <v>#REF!</v>
      </c>
      <c r="DT466" t="e">
        <f>AND(#REF!,"AAAAACv/qns=")</f>
        <v>#REF!</v>
      </c>
      <c r="DU466" t="e">
        <f>AND(#REF!,"AAAAACv/qnw=")</f>
        <v>#REF!</v>
      </c>
      <c r="DV466" t="e">
        <f>AND(#REF!,"AAAAACv/qn0=")</f>
        <v>#REF!</v>
      </c>
      <c r="DW466" t="e">
        <f>IF(#REF!,"AAAAACv/qn4=",0)</f>
        <v>#REF!</v>
      </c>
      <c r="DX466" t="e">
        <f>AND(#REF!,"AAAAACv/qn8=")</f>
        <v>#REF!</v>
      </c>
      <c r="DY466" t="e">
        <f>AND(#REF!,"AAAAACv/qoA=")</f>
        <v>#REF!</v>
      </c>
      <c r="DZ466" t="e">
        <f>AND(#REF!,"AAAAACv/qoE=")</f>
        <v>#REF!</v>
      </c>
      <c r="EA466" t="e">
        <f>AND(#REF!,"AAAAACv/qoI=")</f>
        <v>#REF!</v>
      </c>
      <c r="EB466" t="e">
        <f>AND(#REF!,"AAAAACv/qoM=")</f>
        <v>#REF!</v>
      </c>
      <c r="EC466" t="e">
        <f>AND(#REF!,"AAAAACv/qoQ=")</f>
        <v>#REF!</v>
      </c>
      <c r="ED466" t="e">
        <f>AND(#REF!,"AAAAACv/qoU=")</f>
        <v>#REF!</v>
      </c>
      <c r="EE466" t="e">
        <f>AND(#REF!,"AAAAACv/qoY=")</f>
        <v>#REF!</v>
      </c>
      <c r="EF466" t="e">
        <f>AND(#REF!,"AAAAACv/qoc=")</f>
        <v>#REF!</v>
      </c>
      <c r="EG466" t="e">
        <f>AND(#REF!,"AAAAACv/qog=")</f>
        <v>#REF!</v>
      </c>
      <c r="EH466" t="e">
        <f>IF(#REF!,"AAAAACv/qok=",0)</f>
        <v>#REF!</v>
      </c>
      <c r="EI466" t="e">
        <f>AND(#REF!,"AAAAACv/qoo=")</f>
        <v>#REF!</v>
      </c>
      <c r="EJ466" t="e">
        <f>AND(#REF!,"AAAAACv/qos=")</f>
        <v>#REF!</v>
      </c>
      <c r="EK466" t="e">
        <f>AND(#REF!,"AAAAACv/qow=")</f>
        <v>#REF!</v>
      </c>
      <c r="EL466" t="e">
        <f>AND(#REF!,"AAAAACv/qo0=")</f>
        <v>#REF!</v>
      </c>
      <c r="EM466" t="e">
        <f>AND(#REF!,"AAAAACv/qo4=")</f>
        <v>#REF!</v>
      </c>
      <c r="EN466" t="e">
        <f>AND(#REF!,"AAAAACv/qo8=")</f>
        <v>#REF!</v>
      </c>
      <c r="EO466" t="e">
        <f>AND(#REF!,"AAAAACv/qpA=")</f>
        <v>#REF!</v>
      </c>
      <c r="EP466" t="e">
        <f>AND(#REF!,"AAAAACv/qpE=")</f>
        <v>#REF!</v>
      </c>
      <c r="EQ466" t="e">
        <f>AND(#REF!,"AAAAACv/qpI=")</f>
        <v>#REF!</v>
      </c>
      <c r="ER466" t="e">
        <f>AND(#REF!,"AAAAACv/qpM=")</f>
        <v>#REF!</v>
      </c>
      <c r="ES466" t="e">
        <f>IF(#REF!,"AAAAACv/qpQ=",0)</f>
        <v>#REF!</v>
      </c>
      <c r="ET466" t="e">
        <f>AND(#REF!,"AAAAACv/qpU=")</f>
        <v>#REF!</v>
      </c>
      <c r="EU466" t="e">
        <f>AND(#REF!,"AAAAACv/qpY=")</f>
        <v>#REF!</v>
      </c>
      <c r="EV466" t="e">
        <f>AND(#REF!,"AAAAACv/qpc=")</f>
        <v>#REF!</v>
      </c>
      <c r="EW466" t="e">
        <f>AND(#REF!,"AAAAACv/qpg=")</f>
        <v>#REF!</v>
      </c>
      <c r="EX466" t="e">
        <f>AND(#REF!,"AAAAACv/qpk=")</f>
        <v>#REF!</v>
      </c>
      <c r="EY466" t="e">
        <f>AND(#REF!,"AAAAACv/qpo=")</f>
        <v>#REF!</v>
      </c>
      <c r="EZ466" t="e">
        <f>AND(#REF!,"AAAAACv/qps=")</f>
        <v>#REF!</v>
      </c>
      <c r="FA466" t="e">
        <f>AND(#REF!,"AAAAACv/qpw=")</f>
        <v>#REF!</v>
      </c>
      <c r="FB466" t="e">
        <f>AND(#REF!,"AAAAACv/qp0=")</f>
        <v>#REF!</v>
      </c>
      <c r="FC466" t="e">
        <f>AND(#REF!,"AAAAACv/qp4=")</f>
        <v>#REF!</v>
      </c>
      <c r="FD466" t="e">
        <f>IF(#REF!,"AAAAACv/qp8=",0)</f>
        <v>#REF!</v>
      </c>
      <c r="FE466" t="e">
        <f>AND(#REF!,"AAAAACv/qqA=")</f>
        <v>#REF!</v>
      </c>
      <c r="FF466" t="e">
        <f>AND(#REF!,"AAAAACv/qqE=")</f>
        <v>#REF!</v>
      </c>
      <c r="FG466" t="e">
        <f>AND(#REF!,"AAAAACv/qqI=")</f>
        <v>#REF!</v>
      </c>
      <c r="FH466" t="e">
        <f>AND(#REF!,"AAAAACv/qqM=")</f>
        <v>#REF!</v>
      </c>
      <c r="FI466" t="e">
        <f>AND(#REF!,"AAAAACv/qqQ=")</f>
        <v>#REF!</v>
      </c>
      <c r="FJ466" t="e">
        <f>AND(#REF!,"AAAAACv/qqU=")</f>
        <v>#REF!</v>
      </c>
      <c r="FK466" t="e">
        <f>AND(#REF!,"AAAAACv/qqY=")</f>
        <v>#REF!</v>
      </c>
      <c r="FL466" t="e">
        <f>AND(#REF!,"AAAAACv/qqc=")</f>
        <v>#REF!</v>
      </c>
      <c r="FM466" t="e">
        <f>AND(#REF!,"AAAAACv/qqg=")</f>
        <v>#REF!</v>
      </c>
      <c r="FN466" t="e">
        <f>AND(#REF!,"AAAAACv/qqk=")</f>
        <v>#REF!</v>
      </c>
      <c r="FO466" t="e">
        <f>IF(#REF!,"AAAAACv/qqo=",0)</f>
        <v>#REF!</v>
      </c>
      <c r="FP466" t="e">
        <f>AND(#REF!,"AAAAACv/qqs=")</f>
        <v>#REF!</v>
      </c>
      <c r="FQ466" t="e">
        <f>AND(#REF!,"AAAAACv/qqw=")</f>
        <v>#REF!</v>
      </c>
      <c r="FR466" t="e">
        <f>AND(#REF!,"AAAAACv/qq0=")</f>
        <v>#REF!</v>
      </c>
      <c r="FS466" t="e">
        <f>AND(#REF!,"AAAAACv/qq4=")</f>
        <v>#REF!</v>
      </c>
      <c r="FT466" t="e">
        <f>AND(#REF!,"AAAAACv/qq8=")</f>
        <v>#REF!</v>
      </c>
      <c r="FU466" t="e">
        <f>AND(#REF!,"AAAAACv/qrA=")</f>
        <v>#REF!</v>
      </c>
      <c r="FV466" t="e">
        <f>AND(#REF!,"AAAAACv/qrE=")</f>
        <v>#REF!</v>
      </c>
      <c r="FW466" t="e">
        <f>AND(#REF!,"AAAAACv/qrI=")</f>
        <v>#REF!</v>
      </c>
      <c r="FX466" t="e">
        <f>AND(#REF!,"AAAAACv/qrM=")</f>
        <v>#REF!</v>
      </c>
      <c r="FY466" t="e">
        <f>AND(#REF!,"AAAAACv/qrQ=")</f>
        <v>#REF!</v>
      </c>
      <c r="FZ466" t="e">
        <f>IF(#REF!,"AAAAACv/qrU=",0)</f>
        <v>#REF!</v>
      </c>
      <c r="GA466" t="e">
        <f>AND(#REF!,"AAAAACv/qrY=")</f>
        <v>#REF!</v>
      </c>
      <c r="GB466" t="e">
        <f>AND(#REF!,"AAAAACv/qrc=")</f>
        <v>#REF!</v>
      </c>
      <c r="GC466" t="e">
        <f>AND(#REF!,"AAAAACv/qrg=")</f>
        <v>#REF!</v>
      </c>
      <c r="GD466" t="e">
        <f>AND(#REF!,"AAAAACv/qrk=")</f>
        <v>#REF!</v>
      </c>
      <c r="GE466" t="e">
        <f>AND(#REF!,"AAAAACv/qro=")</f>
        <v>#REF!</v>
      </c>
      <c r="GF466" t="e">
        <f>AND(#REF!,"AAAAACv/qrs=")</f>
        <v>#REF!</v>
      </c>
      <c r="GG466" t="e">
        <f>AND(#REF!,"AAAAACv/qrw=")</f>
        <v>#REF!</v>
      </c>
      <c r="GH466" t="e">
        <f>AND(#REF!,"AAAAACv/qr0=")</f>
        <v>#REF!</v>
      </c>
      <c r="GI466" t="e">
        <f>AND(#REF!,"AAAAACv/qr4=")</f>
        <v>#REF!</v>
      </c>
      <c r="GJ466" t="e">
        <f>AND(#REF!,"AAAAACv/qr8=")</f>
        <v>#REF!</v>
      </c>
      <c r="GK466" t="e">
        <f>IF(#REF!,"AAAAACv/qsA=",0)</f>
        <v>#REF!</v>
      </c>
      <c r="GL466" t="e">
        <f>AND(#REF!,"AAAAACv/qsE=")</f>
        <v>#REF!</v>
      </c>
      <c r="GM466" t="e">
        <f>AND(#REF!,"AAAAACv/qsI=")</f>
        <v>#REF!</v>
      </c>
      <c r="GN466" t="e">
        <f>AND(#REF!,"AAAAACv/qsM=")</f>
        <v>#REF!</v>
      </c>
      <c r="GO466" t="e">
        <f>AND(#REF!,"AAAAACv/qsQ=")</f>
        <v>#REF!</v>
      </c>
      <c r="GP466" t="e">
        <f>AND(#REF!,"AAAAACv/qsU=")</f>
        <v>#REF!</v>
      </c>
      <c r="GQ466" t="e">
        <f>AND(#REF!,"AAAAACv/qsY=")</f>
        <v>#REF!</v>
      </c>
      <c r="GR466" t="e">
        <f>AND(#REF!,"AAAAACv/qsc=")</f>
        <v>#REF!</v>
      </c>
      <c r="GS466" t="e">
        <f>AND(#REF!,"AAAAACv/qsg=")</f>
        <v>#REF!</v>
      </c>
      <c r="GT466" t="e">
        <f>AND(#REF!,"AAAAACv/qsk=")</f>
        <v>#REF!</v>
      </c>
      <c r="GU466" t="e">
        <f>AND(#REF!,"AAAAACv/qso=")</f>
        <v>#REF!</v>
      </c>
      <c r="GV466" t="e">
        <f>IF(#REF!,"AAAAACv/qss=",0)</f>
        <v>#REF!</v>
      </c>
      <c r="GW466" t="e">
        <f>AND(#REF!,"AAAAACv/qsw=")</f>
        <v>#REF!</v>
      </c>
      <c r="GX466" t="e">
        <f>AND(#REF!,"AAAAACv/qs0=")</f>
        <v>#REF!</v>
      </c>
      <c r="GY466" t="e">
        <f>AND(#REF!,"AAAAACv/qs4=")</f>
        <v>#REF!</v>
      </c>
      <c r="GZ466" t="e">
        <f>AND(#REF!,"AAAAACv/qs8=")</f>
        <v>#REF!</v>
      </c>
      <c r="HA466" t="e">
        <f>AND(#REF!,"AAAAACv/qtA=")</f>
        <v>#REF!</v>
      </c>
      <c r="HB466" t="e">
        <f>AND(#REF!,"AAAAACv/qtE=")</f>
        <v>#REF!</v>
      </c>
      <c r="HC466" t="e">
        <f>AND(#REF!,"AAAAACv/qtI=")</f>
        <v>#REF!</v>
      </c>
      <c r="HD466" t="e">
        <f>AND(#REF!,"AAAAACv/qtM=")</f>
        <v>#REF!</v>
      </c>
      <c r="HE466" t="e">
        <f>AND(#REF!,"AAAAACv/qtQ=")</f>
        <v>#REF!</v>
      </c>
      <c r="HF466" t="e">
        <f>AND(#REF!,"AAAAACv/qtU=")</f>
        <v>#REF!</v>
      </c>
      <c r="HG466" t="e">
        <f>IF(#REF!,"AAAAACv/qtY=",0)</f>
        <v>#REF!</v>
      </c>
      <c r="HH466" t="e">
        <f>AND(#REF!,"AAAAACv/qtc=")</f>
        <v>#REF!</v>
      </c>
      <c r="HI466" t="e">
        <f>AND(#REF!,"AAAAACv/qtg=")</f>
        <v>#REF!</v>
      </c>
      <c r="HJ466" t="e">
        <f>AND(#REF!,"AAAAACv/qtk=")</f>
        <v>#REF!</v>
      </c>
      <c r="HK466" t="e">
        <f>AND(#REF!,"AAAAACv/qto=")</f>
        <v>#REF!</v>
      </c>
      <c r="HL466" t="e">
        <f>AND(#REF!,"AAAAACv/qts=")</f>
        <v>#REF!</v>
      </c>
      <c r="HM466" t="e">
        <f>AND(#REF!,"AAAAACv/qtw=")</f>
        <v>#REF!</v>
      </c>
      <c r="HN466" t="e">
        <f>AND(#REF!,"AAAAACv/qt0=")</f>
        <v>#REF!</v>
      </c>
      <c r="HO466" t="e">
        <f>AND(#REF!,"AAAAACv/qt4=")</f>
        <v>#REF!</v>
      </c>
      <c r="HP466" t="e">
        <f>AND(#REF!,"AAAAACv/qt8=")</f>
        <v>#REF!</v>
      </c>
      <c r="HQ466" t="e">
        <f>AND(#REF!,"AAAAACv/quA=")</f>
        <v>#REF!</v>
      </c>
      <c r="HR466" t="e">
        <f>IF(#REF!,"AAAAACv/quE=",0)</f>
        <v>#REF!</v>
      </c>
      <c r="HS466" t="e">
        <f>AND(#REF!,"AAAAACv/quI=")</f>
        <v>#REF!</v>
      </c>
      <c r="HT466" t="e">
        <f>AND(#REF!,"AAAAACv/quM=")</f>
        <v>#REF!</v>
      </c>
      <c r="HU466" t="e">
        <f>AND(#REF!,"AAAAACv/quQ=")</f>
        <v>#REF!</v>
      </c>
      <c r="HV466" t="e">
        <f>AND(#REF!,"AAAAACv/quU=")</f>
        <v>#REF!</v>
      </c>
      <c r="HW466" t="e">
        <f>AND(#REF!,"AAAAACv/quY=")</f>
        <v>#REF!</v>
      </c>
      <c r="HX466" t="e">
        <f>AND(#REF!,"AAAAACv/quc=")</f>
        <v>#REF!</v>
      </c>
      <c r="HY466" t="e">
        <f>AND(#REF!,"AAAAACv/qug=")</f>
        <v>#REF!</v>
      </c>
      <c r="HZ466" t="e">
        <f>AND(#REF!,"AAAAACv/quk=")</f>
        <v>#REF!</v>
      </c>
      <c r="IA466" t="e">
        <f>AND(#REF!,"AAAAACv/quo=")</f>
        <v>#REF!</v>
      </c>
      <c r="IB466" t="e">
        <f>AND(#REF!,"AAAAACv/qus=")</f>
        <v>#REF!</v>
      </c>
      <c r="IC466" t="e">
        <f>IF(#REF!,"AAAAACv/quw=",0)</f>
        <v>#REF!</v>
      </c>
      <c r="ID466" t="e">
        <f>AND(#REF!,"AAAAACv/qu0=")</f>
        <v>#REF!</v>
      </c>
      <c r="IE466" t="e">
        <f>AND(#REF!,"AAAAACv/qu4=")</f>
        <v>#REF!</v>
      </c>
      <c r="IF466" t="e">
        <f>AND(#REF!,"AAAAACv/qu8=")</f>
        <v>#REF!</v>
      </c>
      <c r="IG466" t="e">
        <f>AND(#REF!,"AAAAACv/qvA=")</f>
        <v>#REF!</v>
      </c>
      <c r="IH466" t="e">
        <f>AND(#REF!,"AAAAACv/qvE=")</f>
        <v>#REF!</v>
      </c>
      <c r="II466" t="e">
        <f>AND(#REF!,"AAAAACv/qvI=")</f>
        <v>#REF!</v>
      </c>
      <c r="IJ466" t="e">
        <f>AND(#REF!,"AAAAACv/qvM=")</f>
        <v>#REF!</v>
      </c>
      <c r="IK466" t="e">
        <f>AND(#REF!,"AAAAACv/qvQ=")</f>
        <v>#REF!</v>
      </c>
      <c r="IL466" t="e">
        <f>AND(#REF!,"AAAAACv/qvU=")</f>
        <v>#REF!</v>
      </c>
      <c r="IM466" t="e">
        <f>AND(#REF!,"AAAAACv/qvY=")</f>
        <v>#REF!</v>
      </c>
      <c r="IN466" t="e">
        <f>IF(#REF!,"AAAAACv/qvc=",0)</f>
        <v>#REF!</v>
      </c>
      <c r="IO466" t="e">
        <f>AND(#REF!,"AAAAACv/qvg=")</f>
        <v>#REF!</v>
      </c>
      <c r="IP466" t="e">
        <f>AND(#REF!,"AAAAACv/qvk=")</f>
        <v>#REF!</v>
      </c>
      <c r="IQ466" t="e">
        <f>AND(#REF!,"AAAAACv/qvo=")</f>
        <v>#REF!</v>
      </c>
      <c r="IR466" t="e">
        <f>AND(#REF!,"AAAAACv/qvs=")</f>
        <v>#REF!</v>
      </c>
      <c r="IS466" t="e">
        <f>AND(#REF!,"AAAAACv/qvw=")</f>
        <v>#REF!</v>
      </c>
      <c r="IT466" t="e">
        <f>AND(#REF!,"AAAAACv/qv0=")</f>
        <v>#REF!</v>
      </c>
      <c r="IU466" t="e">
        <f>AND(#REF!,"AAAAACv/qv4=")</f>
        <v>#REF!</v>
      </c>
      <c r="IV466" t="e">
        <f>AND(#REF!,"AAAAACv/qv8=")</f>
        <v>#REF!</v>
      </c>
    </row>
    <row r="467" spans="1:256" x14ac:dyDescent="0.25">
      <c r="A467" t="e">
        <f>AND(#REF!,"AAAAAH//5wA=")</f>
        <v>#REF!</v>
      </c>
      <c r="B467" t="e">
        <f>AND(#REF!,"AAAAAH//5wE=")</f>
        <v>#REF!</v>
      </c>
      <c r="C467" t="e">
        <f>IF(#REF!,"AAAAAH//5wI=",0)</f>
        <v>#REF!</v>
      </c>
      <c r="D467" t="e">
        <f>AND(#REF!,"AAAAAH//5wM=")</f>
        <v>#REF!</v>
      </c>
      <c r="E467" t="e">
        <f>AND(#REF!,"AAAAAH//5wQ=")</f>
        <v>#REF!</v>
      </c>
      <c r="F467" t="e">
        <f>AND(#REF!,"AAAAAH//5wU=")</f>
        <v>#REF!</v>
      </c>
      <c r="G467" t="e">
        <f>AND(#REF!,"AAAAAH//5wY=")</f>
        <v>#REF!</v>
      </c>
      <c r="H467" t="e">
        <f>AND(#REF!,"AAAAAH//5wc=")</f>
        <v>#REF!</v>
      </c>
      <c r="I467" t="e">
        <f>AND(#REF!,"AAAAAH//5wg=")</f>
        <v>#REF!</v>
      </c>
      <c r="J467" t="e">
        <f>AND(#REF!,"AAAAAH//5wk=")</f>
        <v>#REF!</v>
      </c>
      <c r="K467" t="e">
        <f>AND(#REF!,"AAAAAH//5wo=")</f>
        <v>#REF!</v>
      </c>
      <c r="L467" t="e">
        <f>AND(#REF!,"AAAAAH//5ws=")</f>
        <v>#REF!</v>
      </c>
      <c r="M467" t="e">
        <f>AND(#REF!,"AAAAAH//5ww=")</f>
        <v>#REF!</v>
      </c>
      <c r="N467" t="e">
        <f>IF(#REF!,"AAAAAH//5w0=",0)</f>
        <v>#REF!</v>
      </c>
      <c r="O467" t="e">
        <f>AND(#REF!,"AAAAAH//5w4=")</f>
        <v>#REF!</v>
      </c>
      <c r="P467" t="e">
        <f>AND(#REF!,"AAAAAH//5w8=")</f>
        <v>#REF!</v>
      </c>
      <c r="Q467" t="e">
        <f>AND(#REF!,"AAAAAH//5xA=")</f>
        <v>#REF!</v>
      </c>
      <c r="R467" t="e">
        <f>AND(#REF!,"AAAAAH//5xE=")</f>
        <v>#REF!</v>
      </c>
      <c r="S467" t="e">
        <f>AND(#REF!,"AAAAAH//5xI=")</f>
        <v>#REF!</v>
      </c>
      <c r="T467" t="e">
        <f>AND(#REF!,"AAAAAH//5xM=")</f>
        <v>#REF!</v>
      </c>
      <c r="U467" t="e">
        <f>AND(#REF!,"AAAAAH//5xQ=")</f>
        <v>#REF!</v>
      </c>
      <c r="V467" t="e">
        <f>AND(#REF!,"AAAAAH//5xU=")</f>
        <v>#REF!</v>
      </c>
      <c r="W467" t="e">
        <f>AND(#REF!,"AAAAAH//5xY=")</f>
        <v>#REF!</v>
      </c>
      <c r="X467" t="e">
        <f>AND(#REF!,"AAAAAH//5xc=")</f>
        <v>#REF!</v>
      </c>
      <c r="Y467" t="e">
        <f>IF(#REF!,"AAAAAH//5xg=",0)</f>
        <v>#REF!</v>
      </c>
      <c r="Z467" t="e">
        <f>AND(#REF!,"AAAAAH//5xk=")</f>
        <v>#REF!</v>
      </c>
      <c r="AA467" t="e">
        <f>AND(#REF!,"AAAAAH//5xo=")</f>
        <v>#REF!</v>
      </c>
      <c r="AB467" t="e">
        <f>AND(#REF!,"AAAAAH//5xs=")</f>
        <v>#REF!</v>
      </c>
      <c r="AC467" t="e">
        <f>AND(#REF!,"AAAAAH//5xw=")</f>
        <v>#REF!</v>
      </c>
      <c r="AD467" t="e">
        <f>AND(#REF!,"AAAAAH//5x0=")</f>
        <v>#REF!</v>
      </c>
      <c r="AE467" t="e">
        <f>AND(#REF!,"AAAAAH//5x4=")</f>
        <v>#REF!</v>
      </c>
      <c r="AF467" t="e">
        <f>AND(#REF!,"AAAAAH//5x8=")</f>
        <v>#REF!</v>
      </c>
      <c r="AG467" t="e">
        <f>AND(#REF!,"AAAAAH//5yA=")</f>
        <v>#REF!</v>
      </c>
      <c r="AH467" t="e">
        <f>AND(#REF!,"AAAAAH//5yE=")</f>
        <v>#REF!</v>
      </c>
      <c r="AI467" t="e">
        <f>AND(#REF!,"AAAAAH//5yI=")</f>
        <v>#REF!</v>
      </c>
      <c r="AJ467" t="e">
        <f>IF(#REF!,"AAAAAH//5yM=",0)</f>
        <v>#REF!</v>
      </c>
      <c r="AK467" t="e">
        <f>AND(#REF!,"AAAAAH//5yQ=")</f>
        <v>#REF!</v>
      </c>
      <c r="AL467" t="e">
        <f>AND(#REF!,"AAAAAH//5yU=")</f>
        <v>#REF!</v>
      </c>
      <c r="AM467" t="e">
        <f>AND(#REF!,"AAAAAH//5yY=")</f>
        <v>#REF!</v>
      </c>
      <c r="AN467" t="e">
        <f>AND(#REF!,"AAAAAH//5yc=")</f>
        <v>#REF!</v>
      </c>
      <c r="AO467" t="e">
        <f>AND(#REF!,"AAAAAH//5yg=")</f>
        <v>#REF!</v>
      </c>
      <c r="AP467" t="e">
        <f>AND(#REF!,"AAAAAH//5yk=")</f>
        <v>#REF!</v>
      </c>
      <c r="AQ467" t="e">
        <f>AND(#REF!,"AAAAAH//5yo=")</f>
        <v>#REF!</v>
      </c>
      <c r="AR467" t="e">
        <f>AND(#REF!,"AAAAAH//5ys=")</f>
        <v>#REF!</v>
      </c>
      <c r="AS467" t="e">
        <f>AND(#REF!,"AAAAAH//5yw=")</f>
        <v>#REF!</v>
      </c>
      <c r="AT467" t="e">
        <f>AND(#REF!,"AAAAAH//5y0=")</f>
        <v>#REF!</v>
      </c>
      <c r="AU467" t="e">
        <f>IF(#REF!,"AAAAAH//5y4=",0)</f>
        <v>#REF!</v>
      </c>
      <c r="AV467" t="e">
        <f>AND(#REF!,"AAAAAH//5y8=")</f>
        <v>#REF!</v>
      </c>
      <c r="AW467" t="e">
        <f>AND(#REF!,"AAAAAH//5zA=")</f>
        <v>#REF!</v>
      </c>
      <c r="AX467" t="e">
        <f>AND(#REF!,"AAAAAH//5zE=")</f>
        <v>#REF!</v>
      </c>
      <c r="AY467" t="e">
        <f>AND(#REF!,"AAAAAH//5zI=")</f>
        <v>#REF!</v>
      </c>
      <c r="AZ467" t="e">
        <f>AND(#REF!,"AAAAAH//5zM=")</f>
        <v>#REF!</v>
      </c>
      <c r="BA467" t="e">
        <f>AND(#REF!,"AAAAAH//5zQ=")</f>
        <v>#REF!</v>
      </c>
      <c r="BB467" t="e">
        <f>AND(#REF!,"AAAAAH//5zU=")</f>
        <v>#REF!</v>
      </c>
      <c r="BC467" t="e">
        <f>AND(#REF!,"AAAAAH//5zY=")</f>
        <v>#REF!</v>
      </c>
      <c r="BD467" t="e">
        <f>AND(#REF!,"AAAAAH//5zc=")</f>
        <v>#REF!</v>
      </c>
      <c r="BE467" t="e">
        <f>AND(#REF!,"AAAAAH//5zg=")</f>
        <v>#REF!</v>
      </c>
      <c r="BF467" t="e">
        <f>IF(#REF!,"AAAAAH//5zk=",0)</f>
        <v>#REF!</v>
      </c>
      <c r="BG467" t="e">
        <f>AND(#REF!,"AAAAAH//5zo=")</f>
        <v>#REF!</v>
      </c>
      <c r="BH467" t="e">
        <f>AND(#REF!,"AAAAAH//5zs=")</f>
        <v>#REF!</v>
      </c>
      <c r="BI467" t="e">
        <f>AND(#REF!,"AAAAAH//5zw=")</f>
        <v>#REF!</v>
      </c>
      <c r="BJ467" t="e">
        <f>AND(#REF!,"AAAAAH//5z0=")</f>
        <v>#REF!</v>
      </c>
      <c r="BK467" t="e">
        <f>AND(#REF!,"AAAAAH//5z4=")</f>
        <v>#REF!</v>
      </c>
      <c r="BL467" t="e">
        <f>AND(#REF!,"AAAAAH//5z8=")</f>
        <v>#REF!</v>
      </c>
      <c r="BM467" t="e">
        <f>AND(#REF!,"AAAAAH//50A=")</f>
        <v>#REF!</v>
      </c>
      <c r="BN467" t="e">
        <f>AND(#REF!,"AAAAAH//50E=")</f>
        <v>#REF!</v>
      </c>
      <c r="BO467" t="e">
        <f>AND(#REF!,"AAAAAH//50I=")</f>
        <v>#REF!</v>
      </c>
      <c r="BP467" t="e">
        <f>AND(#REF!,"AAAAAH//50M=")</f>
        <v>#REF!</v>
      </c>
      <c r="BQ467" t="e">
        <f>IF(#REF!,"AAAAAH//50Q=",0)</f>
        <v>#REF!</v>
      </c>
      <c r="BR467" t="e">
        <f>AND(#REF!,"AAAAAH//50U=")</f>
        <v>#REF!</v>
      </c>
      <c r="BS467" t="e">
        <f>AND(#REF!,"AAAAAH//50Y=")</f>
        <v>#REF!</v>
      </c>
      <c r="BT467" t="e">
        <f>AND(#REF!,"AAAAAH//50c=")</f>
        <v>#REF!</v>
      </c>
      <c r="BU467" t="e">
        <f>AND(#REF!,"AAAAAH//50g=")</f>
        <v>#REF!</v>
      </c>
      <c r="BV467" t="e">
        <f>AND(#REF!,"AAAAAH//50k=")</f>
        <v>#REF!</v>
      </c>
      <c r="BW467" t="e">
        <f>AND(#REF!,"AAAAAH//50o=")</f>
        <v>#REF!</v>
      </c>
      <c r="BX467" t="e">
        <f>AND(#REF!,"AAAAAH//50s=")</f>
        <v>#REF!</v>
      </c>
      <c r="BY467" t="e">
        <f>AND(#REF!,"AAAAAH//50w=")</f>
        <v>#REF!</v>
      </c>
      <c r="BZ467" t="e">
        <f>AND(#REF!,"AAAAAH//500=")</f>
        <v>#REF!</v>
      </c>
      <c r="CA467" t="e">
        <f>AND(#REF!,"AAAAAH//504=")</f>
        <v>#REF!</v>
      </c>
      <c r="CB467" t="e">
        <f>IF(#REF!,"AAAAAH//508=",0)</f>
        <v>#REF!</v>
      </c>
      <c r="CC467" t="e">
        <f>AND(#REF!,"AAAAAH//51A=")</f>
        <v>#REF!</v>
      </c>
      <c r="CD467" t="e">
        <f>AND(#REF!,"AAAAAH//51E=")</f>
        <v>#REF!</v>
      </c>
      <c r="CE467" t="e">
        <f>AND(#REF!,"AAAAAH//51I=")</f>
        <v>#REF!</v>
      </c>
      <c r="CF467" t="e">
        <f>AND(#REF!,"AAAAAH//51M=")</f>
        <v>#REF!</v>
      </c>
      <c r="CG467" t="e">
        <f>AND(#REF!,"AAAAAH//51Q=")</f>
        <v>#REF!</v>
      </c>
      <c r="CH467" t="e">
        <f>AND(#REF!,"AAAAAH//51U=")</f>
        <v>#REF!</v>
      </c>
      <c r="CI467" t="e">
        <f>AND(#REF!,"AAAAAH//51Y=")</f>
        <v>#REF!</v>
      </c>
      <c r="CJ467" t="e">
        <f>AND(#REF!,"AAAAAH//51c=")</f>
        <v>#REF!</v>
      </c>
      <c r="CK467" t="e">
        <f>AND(#REF!,"AAAAAH//51g=")</f>
        <v>#REF!</v>
      </c>
      <c r="CL467" t="e">
        <f>AND(#REF!,"AAAAAH//51k=")</f>
        <v>#REF!</v>
      </c>
      <c r="CM467" t="e">
        <f>IF(#REF!,"AAAAAH//51o=",0)</f>
        <v>#REF!</v>
      </c>
      <c r="CN467" t="e">
        <f>AND(#REF!,"AAAAAH//51s=")</f>
        <v>#REF!</v>
      </c>
      <c r="CO467" t="e">
        <f>AND(#REF!,"AAAAAH//51w=")</f>
        <v>#REF!</v>
      </c>
      <c r="CP467" t="e">
        <f>AND(#REF!,"AAAAAH//510=")</f>
        <v>#REF!</v>
      </c>
      <c r="CQ467" t="e">
        <f>AND(#REF!,"AAAAAH//514=")</f>
        <v>#REF!</v>
      </c>
      <c r="CR467" t="e">
        <f>AND(#REF!,"AAAAAH//518=")</f>
        <v>#REF!</v>
      </c>
      <c r="CS467" t="e">
        <f>AND(#REF!,"AAAAAH//52A=")</f>
        <v>#REF!</v>
      </c>
      <c r="CT467" t="e">
        <f>AND(#REF!,"AAAAAH//52E=")</f>
        <v>#REF!</v>
      </c>
      <c r="CU467" t="e">
        <f>AND(#REF!,"AAAAAH//52I=")</f>
        <v>#REF!</v>
      </c>
      <c r="CV467" t="e">
        <f>AND(#REF!,"AAAAAH//52M=")</f>
        <v>#REF!</v>
      </c>
      <c r="CW467" t="e">
        <f>AND(#REF!,"AAAAAH//52Q=")</f>
        <v>#REF!</v>
      </c>
      <c r="CX467" t="e">
        <f>IF(#REF!,"AAAAAH//52U=",0)</f>
        <v>#REF!</v>
      </c>
      <c r="CY467" t="e">
        <f>AND(#REF!,"AAAAAH//52Y=")</f>
        <v>#REF!</v>
      </c>
      <c r="CZ467" t="e">
        <f>AND(#REF!,"AAAAAH//52c=")</f>
        <v>#REF!</v>
      </c>
      <c r="DA467" t="e">
        <f>AND(#REF!,"AAAAAH//52g=")</f>
        <v>#REF!</v>
      </c>
      <c r="DB467" t="e">
        <f>AND(#REF!,"AAAAAH//52k=")</f>
        <v>#REF!</v>
      </c>
      <c r="DC467" t="e">
        <f>AND(#REF!,"AAAAAH//52o=")</f>
        <v>#REF!</v>
      </c>
      <c r="DD467" t="e">
        <f>AND(#REF!,"AAAAAH//52s=")</f>
        <v>#REF!</v>
      </c>
      <c r="DE467" t="e">
        <f>AND(#REF!,"AAAAAH//52w=")</f>
        <v>#REF!</v>
      </c>
      <c r="DF467" t="e">
        <f>AND(#REF!,"AAAAAH//520=")</f>
        <v>#REF!</v>
      </c>
      <c r="DG467" t="e">
        <f>AND(#REF!,"AAAAAH//524=")</f>
        <v>#REF!</v>
      </c>
      <c r="DH467" t="e">
        <f>AND(#REF!,"AAAAAH//528=")</f>
        <v>#REF!</v>
      </c>
      <c r="DI467" t="e">
        <f>IF(#REF!,"AAAAAH//53A=",0)</f>
        <v>#REF!</v>
      </c>
      <c r="DJ467" t="e">
        <f>AND(#REF!,"AAAAAH//53E=")</f>
        <v>#REF!</v>
      </c>
      <c r="DK467" t="e">
        <f>AND(#REF!,"AAAAAH//53I=")</f>
        <v>#REF!</v>
      </c>
      <c r="DL467" t="e">
        <f>AND(#REF!,"AAAAAH//53M=")</f>
        <v>#REF!</v>
      </c>
      <c r="DM467" t="e">
        <f>AND(#REF!,"AAAAAH//53Q=")</f>
        <v>#REF!</v>
      </c>
      <c r="DN467" t="e">
        <f>AND(#REF!,"AAAAAH//53U=")</f>
        <v>#REF!</v>
      </c>
      <c r="DO467" t="e">
        <f>AND(#REF!,"AAAAAH//53Y=")</f>
        <v>#REF!</v>
      </c>
      <c r="DP467" t="e">
        <f>AND(#REF!,"AAAAAH//53c=")</f>
        <v>#REF!</v>
      </c>
      <c r="DQ467" t="e">
        <f>AND(#REF!,"AAAAAH//53g=")</f>
        <v>#REF!</v>
      </c>
      <c r="DR467" t="e">
        <f>AND(#REF!,"AAAAAH//53k=")</f>
        <v>#REF!</v>
      </c>
      <c r="DS467" t="e">
        <f>AND(#REF!,"AAAAAH//53o=")</f>
        <v>#REF!</v>
      </c>
      <c r="DT467" t="e">
        <f>IF(#REF!,"AAAAAH//53s=",0)</f>
        <v>#REF!</v>
      </c>
      <c r="DU467" t="e">
        <f>AND(#REF!,"AAAAAH//53w=")</f>
        <v>#REF!</v>
      </c>
      <c r="DV467" t="e">
        <f>AND(#REF!,"AAAAAH//530=")</f>
        <v>#REF!</v>
      </c>
      <c r="DW467" t="e">
        <f>AND(#REF!,"AAAAAH//534=")</f>
        <v>#REF!</v>
      </c>
      <c r="DX467" t="e">
        <f>AND(#REF!,"AAAAAH//538=")</f>
        <v>#REF!</v>
      </c>
      <c r="DY467" t="e">
        <f>AND(#REF!,"AAAAAH//54A=")</f>
        <v>#REF!</v>
      </c>
      <c r="DZ467" t="e">
        <f>AND(#REF!,"AAAAAH//54E=")</f>
        <v>#REF!</v>
      </c>
      <c r="EA467" t="e">
        <f>AND(#REF!,"AAAAAH//54I=")</f>
        <v>#REF!</v>
      </c>
      <c r="EB467" t="e">
        <f>AND(#REF!,"AAAAAH//54M=")</f>
        <v>#REF!</v>
      </c>
      <c r="EC467" t="e">
        <f>AND(#REF!,"AAAAAH//54Q=")</f>
        <v>#REF!</v>
      </c>
      <c r="ED467" t="e">
        <f>AND(#REF!,"AAAAAH//54U=")</f>
        <v>#REF!</v>
      </c>
      <c r="EE467" t="e">
        <f>IF(#REF!,"AAAAAH//54Y=",0)</f>
        <v>#REF!</v>
      </c>
      <c r="EF467" t="e">
        <f>AND(#REF!,"AAAAAH//54c=")</f>
        <v>#REF!</v>
      </c>
      <c r="EG467" t="e">
        <f>AND(#REF!,"AAAAAH//54g=")</f>
        <v>#REF!</v>
      </c>
      <c r="EH467" t="e">
        <f>AND(#REF!,"AAAAAH//54k=")</f>
        <v>#REF!</v>
      </c>
      <c r="EI467" t="e">
        <f>AND(#REF!,"AAAAAH//54o=")</f>
        <v>#REF!</v>
      </c>
      <c r="EJ467" t="e">
        <f>AND(#REF!,"AAAAAH//54s=")</f>
        <v>#REF!</v>
      </c>
      <c r="EK467" t="e">
        <f>AND(#REF!,"AAAAAH//54w=")</f>
        <v>#REF!</v>
      </c>
      <c r="EL467" t="e">
        <f>AND(#REF!,"AAAAAH//540=")</f>
        <v>#REF!</v>
      </c>
      <c r="EM467" t="e">
        <f>AND(#REF!,"AAAAAH//544=")</f>
        <v>#REF!</v>
      </c>
      <c r="EN467" t="e">
        <f>AND(#REF!,"AAAAAH//548=")</f>
        <v>#REF!</v>
      </c>
      <c r="EO467" t="e">
        <f>AND(#REF!,"AAAAAH//55A=")</f>
        <v>#REF!</v>
      </c>
      <c r="EP467" t="e">
        <f>IF(#REF!,"AAAAAH//55E=",0)</f>
        <v>#REF!</v>
      </c>
      <c r="EQ467" t="e">
        <f>AND(#REF!,"AAAAAH//55I=")</f>
        <v>#REF!</v>
      </c>
      <c r="ER467" t="e">
        <f>AND(#REF!,"AAAAAH//55M=")</f>
        <v>#REF!</v>
      </c>
      <c r="ES467" t="e">
        <f>AND(#REF!,"AAAAAH//55Q=")</f>
        <v>#REF!</v>
      </c>
      <c r="ET467" t="e">
        <f>AND(#REF!,"AAAAAH//55U=")</f>
        <v>#REF!</v>
      </c>
      <c r="EU467" t="e">
        <f>AND(#REF!,"AAAAAH//55Y=")</f>
        <v>#REF!</v>
      </c>
      <c r="EV467" t="e">
        <f>AND(#REF!,"AAAAAH//55c=")</f>
        <v>#REF!</v>
      </c>
      <c r="EW467" t="e">
        <f>AND(#REF!,"AAAAAH//55g=")</f>
        <v>#REF!</v>
      </c>
      <c r="EX467" t="e">
        <f>AND(#REF!,"AAAAAH//55k=")</f>
        <v>#REF!</v>
      </c>
      <c r="EY467" t="e">
        <f>AND(#REF!,"AAAAAH//55o=")</f>
        <v>#REF!</v>
      </c>
      <c r="EZ467" t="e">
        <f>AND(#REF!,"AAAAAH//55s=")</f>
        <v>#REF!</v>
      </c>
      <c r="FA467" t="e">
        <f>IF(#REF!,"AAAAAH//55w=",0)</f>
        <v>#REF!</v>
      </c>
      <c r="FB467" t="e">
        <f>AND(#REF!,"AAAAAH//550=")</f>
        <v>#REF!</v>
      </c>
      <c r="FC467" t="e">
        <f>AND(#REF!,"AAAAAH//554=")</f>
        <v>#REF!</v>
      </c>
      <c r="FD467" t="e">
        <f>AND(#REF!,"AAAAAH//558=")</f>
        <v>#REF!</v>
      </c>
      <c r="FE467" t="e">
        <f>AND(#REF!,"AAAAAH//56A=")</f>
        <v>#REF!</v>
      </c>
      <c r="FF467" t="e">
        <f>AND(#REF!,"AAAAAH//56E=")</f>
        <v>#REF!</v>
      </c>
      <c r="FG467" t="e">
        <f>AND(#REF!,"AAAAAH//56I=")</f>
        <v>#REF!</v>
      </c>
      <c r="FH467" t="e">
        <f>AND(#REF!,"AAAAAH//56M=")</f>
        <v>#REF!</v>
      </c>
      <c r="FI467" t="e">
        <f>AND(#REF!,"AAAAAH//56Q=")</f>
        <v>#REF!</v>
      </c>
      <c r="FJ467" t="e">
        <f>AND(#REF!,"AAAAAH//56U=")</f>
        <v>#REF!</v>
      </c>
      <c r="FK467" t="e">
        <f>AND(#REF!,"AAAAAH//56Y=")</f>
        <v>#REF!</v>
      </c>
      <c r="FL467" t="e">
        <f>IF(#REF!,"AAAAAH//56c=",0)</f>
        <v>#REF!</v>
      </c>
      <c r="FM467" t="e">
        <f>AND(#REF!,"AAAAAH//56g=")</f>
        <v>#REF!</v>
      </c>
      <c r="FN467" t="e">
        <f>AND(#REF!,"AAAAAH//56k=")</f>
        <v>#REF!</v>
      </c>
      <c r="FO467" t="e">
        <f>AND(#REF!,"AAAAAH//56o=")</f>
        <v>#REF!</v>
      </c>
      <c r="FP467" t="e">
        <f>AND(#REF!,"AAAAAH//56s=")</f>
        <v>#REF!</v>
      </c>
      <c r="FQ467" t="e">
        <f>AND(#REF!,"AAAAAH//56w=")</f>
        <v>#REF!</v>
      </c>
      <c r="FR467" t="e">
        <f>AND(#REF!,"AAAAAH//560=")</f>
        <v>#REF!</v>
      </c>
      <c r="FS467" t="e">
        <f>AND(#REF!,"AAAAAH//564=")</f>
        <v>#REF!</v>
      </c>
      <c r="FT467" t="e">
        <f>AND(#REF!,"AAAAAH//568=")</f>
        <v>#REF!</v>
      </c>
      <c r="FU467" t="e">
        <f>AND(#REF!,"AAAAAH//57A=")</f>
        <v>#REF!</v>
      </c>
      <c r="FV467" t="e">
        <f>AND(#REF!,"AAAAAH//57E=")</f>
        <v>#REF!</v>
      </c>
      <c r="FW467" t="e">
        <f>IF(#REF!,"AAAAAH//57I=",0)</f>
        <v>#REF!</v>
      </c>
      <c r="FX467" t="e">
        <f>AND(#REF!,"AAAAAH//57M=")</f>
        <v>#REF!</v>
      </c>
      <c r="FY467" t="e">
        <f>AND(#REF!,"AAAAAH//57Q=")</f>
        <v>#REF!</v>
      </c>
      <c r="FZ467" t="e">
        <f>AND(#REF!,"AAAAAH//57U=")</f>
        <v>#REF!</v>
      </c>
      <c r="GA467" t="e">
        <f>AND(#REF!,"AAAAAH//57Y=")</f>
        <v>#REF!</v>
      </c>
      <c r="GB467" t="e">
        <f>AND(#REF!,"AAAAAH//57c=")</f>
        <v>#REF!</v>
      </c>
      <c r="GC467" t="e">
        <f>AND(#REF!,"AAAAAH//57g=")</f>
        <v>#REF!</v>
      </c>
      <c r="GD467" t="e">
        <f>AND(#REF!,"AAAAAH//57k=")</f>
        <v>#REF!</v>
      </c>
      <c r="GE467" t="e">
        <f>AND(#REF!,"AAAAAH//57o=")</f>
        <v>#REF!</v>
      </c>
      <c r="GF467" t="e">
        <f>AND(#REF!,"AAAAAH//57s=")</f>
        <v>#REF!</v>
      </c>
      <c r="GG467" t="e">
        <f>AND(#REF!,"AAAAAH//57w=")</f>
        <v>#REF!</v>
      </c>
      <c r="GH467" t="e">
        <f>IF(#REF!,"AAAAAH//570=",0)</f>
        <v>#REF!</v>
      </c>
      <c r="GI467" t="e">
        <f>AND(#REF!,"AAAAAH//574=")</f>
        <v>#REF!</v>
      </c>
      <c r="GJ467" t="e">
        <f>AND(#REF!,"AAAAAH//578=")</f>
        <v>#REF!</v>
      </c>
      <c r="GK467" t="e">
        <f>AND(#REF!,"AAAAAH//58A=")</f>
        <v>#REF!</v>
      </c>
      <c r="GL467" t="e">
        <f>AND(#REF!,"AAAAAH//58E=")</f>
        <v>#REF!</v>
      </c>
      <c r="GM467" t="e">
        <f>AND(#REF!,"AAAAAH//58I=")</f>
        <v>#REF!</v>
      </c>
      <c r="GN467" t="e">
        <f>AND(#REF!,"AAAAAH//58M=")</f>
        <v>#REF!</v>
      </c>
      <c r="GO467" t="e">
        <f>AND(#REF!,"AAAAAH//58Q=")</f>
        <v>#REF!</v>
      </c>
      <c r="GP467" t="e">
        <f>AND(#REF!,"AAAAAH//58U=")</f>
        <v>#REF!</v>
      </c>
      <c r="GQ467" t="e">
        <f>AND(#REF!,"AAAAAH//58Y=")</f>
        <v>#REF!</v>
      </c>
      <c r="GR467" t="e">
        <f>AND(#REF!,"AAAAAH//58c=")</f>
        <v>#REF!</v>
      </c>
      <c r="GS467" t="e">
        <f>IF(#REF!,"AAAAAH//58g=",0)</f>
        <v>#REF!</v>
      </c>
      <c r="GT467" t="e">
        <f>AND(#REF!,"AAAAAH//58k=")</f>
        <v>#REF!</v>
      </c>
      <c r="GU467" t="e">
        <f>AND(#REF!,"AAAAAH//58o=")</f>
        <v>#REF!</v>
      </c>
      <c r="GV467" t="e">
        <f>AND(#REF!,"AAAAAH//58s=")</f>
        <v>#REF!</v>
      </c>
      <c r="GW467" t="e">
        <f>AND(#REF!,"AAAAAH//58w=")</f>
        <v>#REF!</v>
      </c>
      <c r="GX467" t="e">
        <f>AND(#REF!,"AAAAAH//580=")</f>
        <v>#REF!</v>
      </c>
      <c r="GY467" t="e">
        <f>AND(#REF!,"AAAAAH//584=")</f>
        <v>#REF!</v>
      </c>
      <c r="GZ467" t="e">
        <f>AND(#REF!,"AAAAAH//588=")</f>
        <v>#REF!</v>
      </c>
      <c r="HA467" t="e">
        <f>AND(#REF!,"AAAAAH//59A=")</f>
        <v>#REF!</v>
      </c>
      <c r="HB467" t="e">
        <f>AND(#REF!,"AAAAAH//59E=")</f>
        <v>#REF!</v>
      </c>
      <c r="HC467" t="e">
        <f>AND(#REF!,"AAAAAH//59I=")</f>
        <v>#REF!</v>
      </c>
      <c r="HD467" t="e">
        <f>IF(#REF!,"AAAAAH//59M=",0)</f>
        <v>#REF!</v>
      </c>
      <c r="HE467" t="e">
        <f>AND(#REF!,"AAAAAH//59Q=")</f>
        <v>#REF!</v>
      </c>
      <c r="HF467" t="e">
        <f>AND(#REF!,"AAAAAH//59U=")</f>
        <v>#REF!</v>
      </c>
      <c r="HG467" t="e">
        <f>AND(#REF!,"AAAAAH//59Y=")</f>
        <v>#REF!</v>
      </c>
      <c r="HH467" t="e">
        <f>AND(#REF!,"AAAAAH//59c=")</f>
        <v>#REF!</v>
      </c>
      <c r="HI467" t="e">
        <f>AND(#REF!,"AAAAAH//59g=")</f>
        <v>#REF!</v>
      </c>
      <c r="HJ467" t="e">
        <f>AND(#REF!,"AAAAAH//59k=")</f>
        <v>#REF!</v>
      </c>
      <c r="HK467" t="e">
        <f>AND(#REF!,"AAAAAH//59o=")</f>
        <v>#REF!</v>
      </c>
      <c r="HL467" t="e">
        <f>AND(#REF!,"AAAAAH//59s=")</f>
        <v>#REF!</v>
      </c>
      <c r="HM467" t="e">
        <f>AND(#REF!,"AAAAAH//59w=")</f>
        <v>#REF!</v>
      </c>
      <c r="HN467" t="e">
        <f>AND(#REF!,"AAAAAH//590=")</f>
        <v>#REF!</v>
      </c>
      <c r="HO467" t="e">
        <f>IF(#REF!,"AAAAAH//594=",0)</f>
        <v>#REF!</v>
      </c>
      <c r="HP467" t="e">
        <f>AND(#REF!,"AAAAAH//598=")</f>
        <v>#REF!</v>
      </c>
      <c r="HQ467" t="e">
        <f>AND(#REF!,"AAAAAH//5+A=")</f>
        <v>#REF!</v>
      </c>
      <c r="HR467" t="e">
        <f>AND(#REF!,"AAAAAH//5+E=")</f>
        <v>#REF!</v>
      </c>
      <c r="HS467" t="e">
        <f>AND(#REF!,"AAAAAH//5+I=")</f>
        <v>#REF!</v>
      </c>
      <c r="HT467" t="e">
        <f>AND(#REF!,"AAAAAH//5+M=")</f>
        <v>#REF!</v>
      </c>
      <c r="HU467" t="e">
        <f>AND(#REF!,"AAAAAH//5+Q=")</f>
        <v>#REF!</v>
      </c>
      <c r="HV467" t="e">
        <f>AND(#REF!,"AAAAAH//5+U=")</f>
        <v>#REF!</v>
      </c>
      <c r="HW467" t="e">
        <f>AND(#REF!,"AAAAAH//5+Y=")</f>
        <v>#REF!</v>
      </c>
      <c r="HX467" t="e">
        <f>AND(#REF!,"AAAAAH//5+c=")</f>
        <v>#REF!</v>
      </c>
      <c r="HY467" t="e">
        <f>AND(#REF!,"AAAAAH//5+g=")</f>
        <v>#REF!</v>
      </c>
      <c r="HZ467" t="e">
        <f>IF(#REF!,"AAAAAH//5+k=",0)</f>
        <v>#REF!</v>
      </c>
      <c r="IA467" t="e">
        <f>AND(#REF!,"AAAAAH//5+o=")</f>
        <v>#REF!</v>
      </c>
      <c r="IB467" t="e">
        <f>AND(#REF!,"AAAAAH//5+s=")</f>
        <v>#REF!</v>
      </c>
      <c r="IC467" t="e">
        <f>AND(#REF!,"AAAAAH//5+w=")</f>
        <v>#REF!</v>
      </c>
      <c r="ID467" t="e">
        <f>AND(#REF!,"AAAAAH//5+0=")</f>
        <v>#REF!</v>
      </c>
      <c r="IE467" t="e">
        <f>AND(#REF!,"AAAAAH//5+4=")</f>
        <v>#REF!</v>
      </c>
      <c r="IF467" t="e">
        <f>AND(#REF!,"AAAAAH//5+8=")</f>
        <v>#REF!</v>
      </c>
      <c r="IG467" t="e">
        <f>AND(#REF!,"AAAAAH//5/A=")</f>
        <v>#REF!</v>
      </c>
      <c r="IH467" t="e">
        <f>AND(#REF!,"AAAAAH//5/E=")</f>
        <v>#REF!</v>
      </c>
      <c r="II467" t="e">
        <f>AND(#REF!,"AAAAAH//5/I=")</f>
        <v>#REF!</v>
      </c>
      <c r="IJ467" t="e">
        <f>AND(#REF!,"AAAAAH//5/M=")</f>
        <v>#REF!</v>
      </c>
      <c r="IK467" t="e">
        <f>IF(#REF!,"AAAAAH//5/Q=",0)</f>
        <v>#REF!</v>
      </c>
      <c r="IL467" t="e">
        <f>AND(#REF!,"AAAAAH//5/U=")</f>
        <v>#REF!</v>
      </c>
      <c r="IM467" t="e">
        <f>AND(#REF!,"AAAAAH//5/Y=")</f>
        <v>#REF!</v>
      </c>
      <c r="IN467" t="e">
        <f>AND(#REF!,"AAAAAH//5/c=")</f>
        <v>#REF!</v>
      </c>
      <c r="IO467" t="e">
        <f>AND(#REF!,"AAAAAH//5/g=")</f>
        <v>#REF!</v>
      </c>
      <c r="IP467" t="e">
        <f>AND(#REF!,"AAAAAH//5/k=")</f>
        <v>#REF!</v>
      </c>
      <c r="IQ467" t="e">
        <f>AND(#REF!,"AAAAAH//5/o=")</f>
        <v>#REF!</v>
      </c>
      <c r="IR467" t="e">
        <f>AND(#REF!,"AAAAAH//5/s=")</f>
        <v>#REF!</v>
      </c>
      <c r="IS467" t="e">
        <f>AND(#REF!,"AAAAAH//5/w=")</f>
        <v>#REF!</v>
      </c>
      <c r="IT467" t="e">
        <f>AND(#REF!,"AAAAAH//5/0=")</f>
        <v>#REF!</v>
      </c>
      <c r="IU467" t="e">
        <f>AND(#REF!,"AAAAAH//5/4=")</f>
        <v>#REF!</v>
      </c>
      <c r="IV467" t="e">
        <f>IF(#REF!,"AAAAAH//5/8=",0)</f>
        <v>#REF!</v>
      </c>
    </row>
    <row r="468" spans="1:256" x14ac:dyDescent="0.25">
      <c r="A468" t="e">
        <f>AND(#REF!,"AAAAAH/3XgA=")</f>
        <v>#REF!</v>
      </c>
      <c r="B468" t="e">
        <f>AND(#REF!,"AAAAAH/3XgE=")</f>
        <v>#REF!</v>
      </c>
      <c r="C468" t="e">
        <f>AND(#REF!,"AAAAAH/3XgI=")</f>
        <v>#REF!</v>
      </c>
      <c r="D468" t="e">
        <f>AND(#REF!,"AAAAAH/3XgM=")</f>
        <v>#REF!</v>
      </c>
      <c r="E468" t="e">
        <f>AND(#REF!,"AAAAAH/3XgQ=")</f>
        <v>#REF!</v>
      </c>
      <c r="F468" t="e">
        <f>AND(#REF!,"AAAAAH/3XgU=")</f>
        <v>#REF!</v>
      </c>
      <c r="G468" t="e">
        <f>AND(#REF!,"AAAAAH/3XgY=")</f>
        <v>#REF!</v>
      </c>
      <c r="H468" t="e">
        <f>AND(#REF!,"AAAAAH/3Xgc=")</f>
        <v>#REF!</v>
      </c>
      <c r="I468" t="e">
        <f>AND(#REF!,"AAAAAH/3Xgg=")</f>
        <v>#REF!</v>
      </c>
      <c r="J468" t="e">
        <f>AND(#REF!,"AAAAAH/3Xgk=")</f>
        <v>#REF!</v>
      </c>
      <c r="K468" t="e">
        <f>IF(#REF!,"AAAAAH/3Xgo=",0)</f>
        <v>#REF!</v>
      </c>
      <c r="L468" t="e">
        <f>AND(#REF!,"AAAAAH/3Xgs=")</f>
        <v>#REF!</v>
      </c>
      <c r="M468" t="e">
        <f>AND(#REF!,"AAAAAH/3Xgw=")</f>
        <v>#REF!</v>
      </c>
      <c r="N468" t="e">
        <f>AND(#REF!,"AAAAAH/3Xg0=")</f>
        <v>#REF!</v>
      </c>
      <c r="O468" t="e">
        <f>AND(#REF!,"AAAAAH/3Xg4=")</f>
        <v>#REF!</v>
      </c>
      <c r="P468" t="e">
        <f>AND(#REF!,"AAAAAH/3Xg8=")</f>
        <v>#REF!</v>
      </c>
      <c r="Q468" t="e">
        <f>AND(#REF!,"AAAAAH/3XhA=")</f>
        <v>#REF!</v>
      </c>
      <c r="R468" t="e">
        <f>AND(#REF!,"AAAAAH/3XhE=")</f>
        <v>#REF!</v>
      </c>
      <c r="S468" t="e">
        <f>AND(#REF!,"AAAAAH/3XhI=")</f>
        <v>#REF!</v>
      </c>
      <c r="T468" t="e">
        <f>AND(#REF!,"AAAAAH/3XhM=")</f>
        <v>#REF!</v>
      </c>
      <c r="U468" t="e">
        <f>AND(#REF!,"AAAAAH/3XhQ=")</f>
        <v>#REF!</v>
      </c>
      <c r="V468" t="e">
        <f>IF(#REF!,"AAAAAH/3XhU=",0)</f>
        <v>#REF!</v>
      </c>
      <c r="W468" t="e">
        <f>AND(#REF!,"AAAAAH/3XhY=")</f>
        <v>#REF!</v>
      </c>
      <c r="X468" t="e">
        <f>AND(#REF!,"AAAAAH/3Xhc=")</f>
        <v>#REF!</v>
      </c>
      <c r="Y468" t="e">
        <f>AND(#REF!,"AAAAAH/3Xhg=")</f>
        <v>#REF!</v>
      </c>
      <c r="Z468" t="e">
        <f>AND(#REF!,"AAAAAH/3Xhk=")</f>
        <v>#REF!</v>
      </c>
      <c r="AA468" t="e">
        <f>AND(#REF!,"AAAAAH/3Xho=")</f>
        <v>#REF!</v>
      </c>
      <c r="AB468" t="e">
        <f>AND(#REF!,"AAAAAH/3Xhs=")</f>
        <v>#REF!</v>
      </c>
      <c r="AC468" t="e">
        <f>AND(#REF!,"AAAAAH/3Xhw=")</f>
        <v>#REF!</v>
      </c>
      <c r="AD468" t="e">
        <f>AND(#REF!,"AAAAAH/3Xh0=")</f>
        <v>#REF!</v>
      </c>
      <c r="AE468" t="e">
        <f>AND(#REF!,"AAAAAH/3Xh4=")</f>
        <v>#REF!</v>
      </c>
      <c r="AF468" t="e">
        <f>AND(#REF!,"AAAAAH/3Xh8=")</f>
        <v>#REF!</v>
      </c>
      <c r="AG468" t="e">
        <f>IF(#REF!,"AAAAAH/3XiA=",0)</f>
        <v>#REF!</v>
      </c>
      <c r="AH468" t="e">
        <f>AND(#REF!,"AAAAAH/3XiE=")</f>
        <v>#REF!</v>
      </c>
      <c r="AI468" t="e">
        <f>AND(#REF!,"AAAAAH/3XiI=")</f>
        <v>#REF!</v>
      </c>
      <c r="AJ468" t="e">
        <f>AND(#REF!,"AAAAAH/3XiM=")</f>
        <v>#REF!</v>
      </c>
      <c r="AK468" t="e">
        <f>AND(#REF!,"AAAAAH/3XiQ=")</f>
        <v>#REF!</v>
      </c>
      <c r="AL468" t="e">
        <f>AND(#REF!,"AAAAAH/3XiU=")</f>
        <v>#REF!</v>
      </c>
      <c r="AM468" t="e">
        <f>AND(#REF!,"AAAAAH/3XiY=")</f>
        <v>#REF!</v>
      </c>
      <c r="AN468" t="e">
        <f>AND(#REF!,"AAAAAH/3Xic=")</f>
        <v>#REF!</v>
      </c>
      <c r="AO468" t="e">
        <f>AND(#REF!,"AAAAAH/3Xig=")</f>
        <v>#REF!</v>
      </c>
      <c r="AP468" t="e">
        <f>AND(#REF!,"AAAAAH/3Xik=")</f>
        <v>#REF!</v>
      </c>
      <c r="AQ468" t="e">
        <f>AND(#REF!,"AAAAAH/3Xio=")</f>
        <v>#REF!</v>
      </c>
      <c r="AR468" t="e">
        <f>IF(#REF!,"AAAAAH/3Xis=",0)</f>
        <v>#REF!</v>
      </c>
      <c r="AS468" t="e">
        <f>AND(#REF!,"AAAAAH/3Xiw=")</f>
        <v>#REF!</v>
      </c>
      <c r="AT468" t="e">
        <f>AND(#REF!,"AAAAAH/3Xi0=")</f>
        <v>#REF!</v>
      </c>
      <c r="AU468" t="e">
        <f>AND(#REF!,"AAAAAH/3Xi4=")</f>
        <v>#REF!</v>
      </c>
      <c r="AV468" t="e">
        <f>AND(#REF!,"AAAAAH/3Xi8=")</f>
        <v>#REF!</v>
      </c>
      <c r="AW468" t="e">
        <f>AND(#REF!,"AAAAAH/3XjA=")</f>
        <v>#REF!</v>
      </c>
      <c r="AX468" t="e">
        <f>AND(#REF!,"AAAAAH/3XjE=")</f>
        <v>#REF!</v>
      </c>
      <c r="AY468" t="e">
        <f>AND(#REF!,"AAAAAH/3XjI=")</f>
        <v>#REF!</v>
      </c>
      <c r="AZ468" t="e">
        <f>AND(#REF!,"AAAAAH/3XjM=")</f>
        <v>#REF!</v>
      </c>
      <c r="BA468" t="e">
        <f>AND(#REF!,"AAAAAH/3XjQ=")</f>
        <v>#REF!</v>
      </c>
      <c r="BB468" t="e">
        <f>AND(#REF!,"AAAAAH/3XjU=")</f>
        <v>#REF!</v>
      </c>
      <c r="BC468" t="e">
        <f>IF(#REF!,"AAAAAH/3XjY=",0)</f>
        <v>#REF!</v>
      </c>
      <c r="BD468" t="e">
        <f>AND(#REF!,"AAAAAH/3Xjc=")</f>
        <v>#REF!</v>
      </c>
      <c r="BE468" t="e">
        <f>AND(#REF!,"AAAAAH/3Xjg=")</f>
        <v>#REF!</v>
      </c>
      <c r="BF468" t="e">
        <f>AND(#REF!,"AAAAAH/3Xjk=")</f>
        <v>#REF!</v>
      </c>
      <c r="BG468" t="e">
        <f>AND(#REF!,"AAAAAH/3Xjo=")</f>
        <v>#REF!</v>
      </c>
      <c r="BH468" t="e">
        <f>AND(#REF!,"AAAAAH/3Xjs=")</f>
        <v>#REF!</v>
      </c>
      <c r="BI468" t="e">
        <f>AND(#REF!,"AAAAAH/3Xjw=")</f>
        <v>#REF!</v>
      </c>
      <c r="BJ468" t="e">
        <f>AND(#REF!,"AAAAAH/3Xj0=")</f>
        <v>#REF!</v>
      </c>
      <c r="BK468" t="e">
        <f>AND(#REF!,"AAAAAH/3Xj4=")</f>
        <v>#REF!</v>
      </c>
      <c r="BL468" t="e">
        <f>AND(#REF!,"AAAAAH/3Xj8=")</f>
        <v>#REF!</v>
      </c>
      <c r="BM468" t="e">
        <f>AND(#REF!,"AAAAAH/3XkA=")</f>
        <v>#REF!</v>
      </c>
      <c r="BN468" t="e">
        <f>IF(#REF!,"AAAAAH/3XkE=",0)</f>
        <v>#REF!</v>
      </c>
      <c r="BO468" t="e">
        <f>AND(#REF!,"AAAAAH/3XkI=")</f>
        <v>#REF!</v>
      </c>
      <c r="BP468" t="e">
        <f>AND(#REF!,"AAAAAH/3XkM=")</f>
        <v>#REF!</v>
      </c>
      <c r="BQ468" t="e">
        <f>AND(#REF!,"AAAAAH/3XkQ=")</f>
        <v>#REF!</v>
      </c>
      <c r="BR468" t="e">
        <f>AND(#REF!,"AAAAAH/3XkU=")</f>
        <v>#REF!</v>
      </c>
      <c r="BS468" t="e">
        <f>AND(#REF!,"AAAAAH/3XkY=")</f>
        <v>#REF!</v>
      </c>
      <c r="BT468" t="e">
        <f>AND(#REF!,"AAAAAH/3Xkc=")</f>
        <v>#REF!</v>
      </c>
      <c r="BU468" t="e">
        <f>AND(#REF!,"AAAAAH/3Xkg=")</f>
        <v>#REF!</v>
      </c>
      <c r="BV468" t="e">
        <f>AND(#REF!,"AAAAAH/3Xkk=")</f>
        <v>#REF!</v>
      </c>
      <c r="BW468" t="e">
        <f>AND(#REF!,"AAAAAH/3Xko=")</f>
        <v>#REF!</v>
      </c>
      <c r="BX468" t="e">
        <f>AND(#REF!,"AAAAAH/3Xks=")</f>
        <v>#REF!</v>
      </c>
      <c r="BY468" t="e">
        <f>IF(#REF!,"AAAAAH/3Xkw=",0)</f>
        <v>#REF!</v>
      </c>
      <c r="BZ468" t="e">
        <f>AND(#REF!,"AAAAAH/3Xk0=")</f>
        <v>#REF!</v>
      </c>
      <c r="CA468" t="e">
        <f>AND(#REF!,"AAAAAH/3Xk4=")</f>
        <v>#REF!</v>
      </c>
      <c r="CB468" t="e">
        <f>AND(#REF!,"AAAAAH/3Xk8=")</f>
        <v>#REF!</v>
      </c>
      <c r="CC468" t="e">
        <f>AND(#REF!,"AAAAAH/3XlA=")</f>
        <v>#REF!</v>
      </c>
      <c r="CD468" t="e">
        <f>AND(#REF!,"AAAAAH/3XlE=")</f>
        <v>#REF!</v>
      </c>
      <c r="CE468" t="e">
        <f>AND(#REF!,"AAAAAH/3XlI=")</f>
        <v>#REF!</v>
      </c>
      <c r="CF468" t="e">
        <f>AND(#REF!,"AAAAAH/3XlM=")</f>
        <v>#REF!</v>
      </c>
      <c r="CG468" t="e">
        <f>AND(#REF!,"AAAAAH/3XlQ=")</f>
        <v>#REF!</v>
      </c>
      <c r="CH468" t="e">
        <f>AND(#REF!,"AAAAAH/3XlU=")</f>
        <v>#REF!</v>
      </c>
      <c r="CI468" t="e">
        <f>AND(#REF!,"AAAAAH/3XlY=")</f>
        <v>#REF!</v>
      </c>
      <c r="CJ468" t="e">
        <f>IF(#REF!,"AAAAAH/3Xlc=",0)</f>
        <v>#REF!</v>
      </c>
      <c r="CK468" t="e">
        <f>AND(#REF!,"AAAAAH/3Xlg=")</f>
        <v>#REF!</v>
      </c>
      <c r="CL468" t="e">
        <f>AND(#REF!,"AAAAAH/3Xlk=")</f>
        <v>#REF!</v>
      </c>
      <c r="CM468" t="e">
        <f>AND(#REF!,"AAAAAH/3Xlo=")</f>
        <v>#REF!</v>
      </c>
      <c r="CN468" t="e">
        <f>AND(#REF!,"AAAAAH/3Xls=")</f>
        <v>#REF!</v>
      </c>
      <c r="CO468" t="e">
        <f>AND(#REF!,"AAAAAH/3Xlw=")</f>
        <v>#REF!</v>
      </c>
      <c r="CP468" t="e">
        <f>AND(#REF!,"AAAAAH/3Xl0=")</f>
        <v>#REF!</v>
      </c>
      <c r="CQ468" t="e">
        <f>AND(#REF!,"AAAAAH/3Xl4=")</f>
        <v>#REF!</v>
      </c>
      <c r="CR468" t="e">
        <f>AND(#REF!,"AAAAAH/3Xl8=")</f>
        <v>#REF!</v>
      </c>
      <c r="CS468" t="e">
        <f>AND(#REF!,"AAAAAH/3XmA=")</f>
        <v>#REF!</v>
      </c>
      <c r="CT468" t="e">
        <f>AND(#REF!,"AAAAAH/3XmE=")</f>
        <v>#REF!</v>
      </c>
      <c r="CU468" t="e">
        <f>IF(#REF!,"AAAAAH/3XmI=",0)</f>
        <v>#REF!</v>
      </c>
      <c r="CV468" t="e">
        <f>AND(#REF!,"AAAAAH/3XmM=")</f>
        <v>#REF!</v>
      </c>
      <c r="CW468" t="e">
        <f>AND(#REF!,"AAAAAH/3XmQ=")</f>
        <v>#REF!</v>
      </c>
      <c r="CX468" t="e">
        <f>AND(#REF!,"AAAAAH/3XmU=")</f>
        <v>#REF!</v>
      </c>
      <c r="CY468" t="e">
        <f>AND(#REF!,"AAAAAH/3XmY=")</f>
        <v>#REF!</v>
      </c>
      <c r="CZ468" t="e">
        <f>AND(#REF!,"AAAAAH/3Xmc=")</f>
        <v>#REF!</v>
      </c>
      <c r="DA468" t="e">
        <f>AND(#REF!,"AAAAAH/3Xmg=")</f>
        <v>#REF!</v>
      </c>
      <c r="DB468" t="e">
        <f>AND(#REF!,"AAAAAH/3Xmk=")</f>
        <v>#REF!</v>
      </c>
      <c r="DC468" t="e">
        <f>AND(#REF!,"AAAAAH/3Xmo=")</f>
        <v>#REF!</v>
      </c>
      <c r="DD468" t="e">
        <f>AND(#REF!,"AAAAAH/3Xms=")</f>
        <v>#REF!</v>
      </c>
      <c r="DE468" t="e">
        <f>AND(#REF!,"AAAAAH/3Xmw=")</f>
        <v>#REF!</v>
      </c>
      <c r="DF468" t="e">
        <f>IF(#REF!,"AAAAAH/3Xm0=",0)</f>
        <v>#REF!</v>
      </c>
      <c r="DG468" t="e">
        <f>AND(#REF!,"AAAAAH/3Xm4=")</f>
        <v>#REF!</v>
      </c>
      <c r="DH468" t="e">
        <f>AND(#REF!,"AAAAAH/3Xm8=")</f>
        <v>#REF!</v>
      </c>
      <c r="DI468" t="e">
        <f>AND(#REF!,"AAAAAH/3XnA=")</f>
        <v>#REF!</v>
      </c>
      <c r="DJ468" t="e">
        <f>AND(#REF!,"AAAAAH/3XnE=")</f>
        <v>#REF!</v>
      </c>
      <c r="DK468" t="e">
        <f>AND(#REF!,"AAAAAH/3XnI=")</f>
        <v>#REF!</v>
      </c>
      <c r="DL468" t="e">
        <f>AND(#REF!,"AAAAAH/3XnM=")</f>
        <v>#REF!</v>
      </c>
      <c r="DM468" t="e">
        <f>AND(#REF!,"AAAAAH/3XnQ=")</f>
        <v>#REF!</v>
      </c>
      <c r="DN468" t="e">
        <f>AND(#REF!,"AAAAAH/3XnU=")</f>
        <v>#REF!</v>
      </c>
      <c r="DO468" t="e">
        <f>AND(#REF!,"AAAAAH/3XnY=")</f>
        <v>#REF!</v>
      </c>
      <c r="DP468" t="e">
        <f>AND(#REF!,"AAAAAH/3Xnc=")</f>
        <v>#REF!</v>
      </c>
      <c r="DQ468" t="e">
        <f>IF(#REF!,"AAAAAH/3Xng=",0)</f>
        <v>#REF!</v>
      </c>
      <c r="DR468" t="e">
        <f>AND(#REF!,"AAAAAH/3Xnk=")</f>
        <v>#REF!</v>
      </c>
      <c r="DS468" t="e">
        <f>AND(#REF!,"AAAAAH/3Xno=")</f>
        <v>#REF!</v>
      </c>
      <c r="DT468" t="e">
        <f>AND(#REF!,"AAAAAH/3Xns=")</f>
        <v>#REF!</v>
      </c>
      <c r="DU468" t="e">
        <f>AND(#REF!,"AAAAAH/3Xnw=")</f>
        <v>#REF!</v>
      </c>
      <c r="DV468" t="e">
        <f>AND(#REF!,"AAAAAH/3Xn0=")</f>
        <v>#REF!</v>
      </c>
      <c r="DW468" t="e">
        <f>AND(#REF!,"AAAAAH/3Xn4=")</f>
        <v>#REF!</v>
      </c>
      <c r="DX468" t="e">
        <f>AND(#REF!,"AAAAAH/3Xn8=")</f>
        <v>#REF!</v>
      </c>
      <c r="DY468" t="e">
        <f>AND(#REF!,"AAAAAH/3XoA=")</f>
        <v>#REF!</v>
      </c>
      <c r="DZ468" t="e">
        <f>AND(#REF!,"AAAAAH/3XoE=")</f>
        <v>#REF!</v>
      </c>
      <c r="EA468" t="e">
        <f>AND(#REF!,"AAAAAH/3XoI=")</f>
        <v>#REF!</v>
      </c>
      <c r="EB468" t="e">
        <f>IF(#REF!,"AAAAAH/3XoM=",0)</f>
        <v>#REF!</v>
      </c>
      <c r="EC468" t="e">
        <f>AND(#REF!,"AAAAAH/3XoQ=")</f>
        <v>#REF!</v>
      </c>
      <c r="ED468" t="e">
        <f>AND(#REF!,"AAAAAH/3XoU=")</f>
        <v>#REF!</v>
      </c>
      <c r="EE468" t="e">
        <f>AND(#REF!,"AAAAAH/3XoY=")</f>
        <v>#REF!</v>
      </c>
      <c r="EF468" t="e">
        <f>AND(#REF!,"AAAAAH/3Xoc=")</f>
        <v>#REF!</v>
      </c>
      <c r="EG468" t="e">
        <f>AND(#REF!,"AAAAAH/3Xog=")</f>
        <v>#REF!</v>
      </c>
      <c r="EH468" t="e">
        <f>AND(#REF!,"AAAAAH/3Xok=")</f>
        <v>#REF!</v>
      </c>
      <c r="EI468" t="e">
        <f>AND(#REF!,"AAAAAH/3Xoo=")</f>
        <v>#REF!</v>
      </c>
      <c r="EJ468" t="e">
        <f>AND(#REF!,"AAAAAH/3Xos=")</f>
        <v>#REF!</v>
      </c>
      <c r="EK468" t="e">
        <f>AND(#REF!,"AAAAAH/3Xow=")</f>
        <v>#REF!</v>
      </c>
      <c r="EL468" t="e">
        <f>AND(#REF!,"AAAAAH/3Xo0=")</f>
        <v>#REF!</v>
      </c>
      <c r="EM468" t="e">
        <f>IF(#REF!,"AAAAAH/3Xo4=",0)</f>
        <v>#REF!</v>
      </c>
      <c r="EN468" t="e">
        <f>AND(#REF!,"AAAAAH/3Xo8=")</f>
        <v>#REF!</v>
      </c>
      <c r="EO468" t="e">
        <f>AND(#REF!,"AAAAAH/3XpA=")</f>
        <v>#REF!</v>
      </c>
      <c r="EP468" t="e">
        <f>AND(#REF!,"AAAAAH/3XpE=")</f>
        <v>#REF!</v>
      </c>
      <c r="EQ468" t="e">
        <f>AND(#REF!,"AAAAAH/3XpI=")</f>
        <v>#REF!</v>
      </c>
      <c r="ER468" t="e">
        <f>AND(#REF!,"AAAAAH/3XpM=")</f>
        <v>#REF!</v>
      </c>
      <c r="ES468" t="e">
        <f>AND(#REF!,"AAAAAH/3XpQ=")</f>
        <v>#REF!</v>
      </c>
      <c r="ET468" t="e">
        <f>AND(#REF!,"AAAAAH/3XpU=")</f>
        <v>#REF!</v>
      </c>
      <c r="EU468" t="e">
        <f>AND(#REF!,"AAAAAH/3XpY=")</f>
        <v>#REF!</v>
      </c>
      <c r="EV468" t="e">
        <f>AND(#REF!,"AAAAAH/3Xpc=")</f>
        <v>#REF!</v>
      </c>
      <c r="EW468" t="e">
        <f>AND(#REF!,"AAAAAH/3Xpg=")</f>
        <v>#REF!</v>
      </c>
      <c r="EX468" t="e">
        <f>IF(#REF!,"AAAAAH/3Xpk=",0)</f>
        <v>#REF!</v>
      </c>
      <c r="EY468" t="e">
        <f>AND(#REF!,"AAAAAH/3Xpo=")</f>
        <v>#REF!</v>
      </c>
      <c r="EZ468" t="e">
        <f>AND(#REF!,"AAAAAH/3Xps=")</f>
        <v>#REF!</v>
      </c>
      <c r="FA468" t="e">
        <f>AND(#REF!,"AAAAAH/3Xpw=")</f>
        <v>#REF!</v>
      </c>
      <c r="FB468" t="e">
        <f>AND(#REF!,"AAAAAH/3Xp0=")</f>
        <v>#REF!</v>
      </c>
      <c r="FC468" t="e">
        <f>AND(#REF!,"AAAAAH/3Xp4=")</f>
        <v>#REF!</v>
      </c>
      <c r="FD468" t="e">
        <f>AND(#REF!,"AAAAAH/3Xp8=")</f>
        <v>#REF!</v>
      </c>
      <c r="FE468" t="e">
        <f>AND(#REF!,"AAAAAH/3XqA=")</f>
        <v>#REF!</v>
      </c>
      <c r="FF468" t="e">
        <f>AND(#REF!,"AAAAAH/3XqE=")</f>
        <v>#REF!</v>
      </c>
      <c r="FG468" t="e">
        <f>AND(#REF!,"AAAAAH/3XqI=")</f>
        <v>#REF!</v>
      </c>
      <c r="FH468" t="e">
        <f>AND(#REF!,"AAAAAH/3XqM=")</f>
        <v>#REF!</v>
      </c>
      <c r="FI468" t="e">
        <f>IF(#REF!,"AAAAAH/3XqQ=",0)</f>
        <v>#REF!</v>
      </c>
      <c r="FJ468" t="e">
        <f>AND(#REF!,"AAAAAH/3XqU=")</f>
        <v>#REF!</v>
      </c>
      <c r="FK468" t="e">
        <f>AND(#REF!,"AAAAAH/3XqY=")</f>
        <v>#REF!</v>
      </c>
      <c r="FL468" t="e">
        <f>AND(#REF!,"AAAAAH/3Xqc=")</f>
        <v>#REF!</v>
      </c>
      <c r="FM468" t="e">
        <f>AND(#REF!,"AAAAAH/3Xqg=")</f>
        <v>#REF!</v>
      </c>
      <c r="FN468" t="e">
        <f>AND(#REF!,"AAAAAH/3Xqk=")</f>
        <v>#REF!</v>
      </c>
      <c r="FO468" t="e">
        <f>AND(#REF!,"AAAAAH/3Xqo=")</f>
        <v>#REF!</v>
      </c>
      <c r="FP468" t="e">
        <f>AND(#REF!,"AAAAAH/3Xqs=")</f>
        <v>#REF!</v>
      </c>
      <c r="FQ468" t="e">
        <f>AND(#REF!,"AAAAAH/3Xqw=")</f>
        <v>#REF!</v>
      </c>
      <c r="FR468" t="e">
        <f>AND(#REF!,"AAAAAH/3Xq0=")</f>
        <v>#REF!</v>
      </c>
      <c r="FS468" t="e">
        <f>AND(#REF!,"AAAAAH/3Xq4=")</f>
        <v>#REF!</v>
      </c>
      <c r="FT468" t="e">
        <f>IF(#REF!,"AAAAAH/3Xq8=",0)</f>
        <v>#REF!</v>
      </c>
      <c r="FU468" t="e">
        <f>AND(#REF!,"AAAAAH/3XrA=")</f>
        <v>#REF!</v>
      </c>
      <c r="FV468" t="e">
        <f>AND(#REF!,"AAAAAH/3XrE=")</f>
        <v>#REF!</v>
      </c>
      <c r="FW468" t="e">
        <f>AND(#REF!,"AAAAAH/3XrI=")</f>
        <v>#REF!</v>
      </c>
      <c r="FX468" t="e">
        <f>AND(#REF!,"AAAAAH/3XrM=")</f>
        <v>#REF!</v>
      </c>
      <c r="FY468" t="e">
        <f>AND(#REF!,"AAAAAH/3XrQ=")</f>
        <v>#REF!</v>
      </c>
      <c r="FZ468" t="e">
        <f>AND(#REF!,"AAAAAH/3XrU=")</f>
        <v>#REF!</v>
      </c>
      <c r="GA468" t="e">
        <f>AND(#REF!,"AAAAAH/3XrY=")</f>
        <v>#REF!</v>
      </c>
      <c r="GB468" t="e">
        <f>AND(#REF!,"AAAAAH/3Xrc=")</f>
        <v>#REF!</v>
      </c>
      <c r="GC468" t="e">
        <f>AND(#REF!,"AAAAAH/3Xrg=")</f>
        <v>#REF!</v>
      </c>
      <c r="GD468" t="e">
        <f>AND(#REF!,"AAAAAH/3Xrk=")</f>
        <v>#REF!</v>
      </c>
      <c r="GE468" t="e">
        <f>IF(#REF!,"AAAAAH/3Xro=",0)</f>
        <v>#REF!</v>
      </c>
      <c r="GF468" t="e">
        <f>AND(#REF!,"AAAAAH/3Xrs=")</f>
        <v>#REF!</v>
      </c>
      <c r="GG468" t="e">
        <f>AND(#REF!,"AAAAAH/3Xrw=")</f>
        <v>#REF!</v>
      </c>
      <c r="GH468" t="e">
        <f>AND(#REF!,"AAAAAH/3Xr0=")</f>
        <v>#REF!</v>
      </c>
      <c r="GI468" t="e">
        <f>AND(#REF!,"AAAAAH/3Xr4=")</f>
        <v>#REF!</v>
      </c>
      <c r="GJ468" t="e">
        <f>AND(#REF!,"AAAAAH/3Xr8=")</f>
        <v>#REF!</v>
      </c>
      <c r="GK468" t="e">
        <f>AND(#REF!,"AAAAAH/3XsA=")</f>
        <v>#REF!</v>
      </c>
      <c r="GL468" t="e">
        <f>AND(#REF!,"AAAAAH/3XsE=")</f>
        <v>#REF!</v>
      </c>
      <c r="GM468" t="e">
        <f>AND(#REF!,"AAAAAH/3XsI=")</f>
        <v>#REF!</v>
      </c>
      <c r="GN468" t="e">
        <f>AND(#REF!,"AAAAAH/3XsM=")</f>
        <v>#REF!</v>
      </c>
      <c r="GO468" t="e">
        <f>AND(#REF!,"AAAAAH/3XsQ=")</f>
        <v>#REF!</v>
      </c>
      <c r="GP468" t="e">
        <f>IF(#REF!,"AAAAAH/3XsU=",0)</f>
        <v>#REF!</v>
      </c>
      <c r="GQ468" t="e">
        <f>AND(#REF!,"AAAAAH/3XsY=")</f>
        <v>#REF!</v>
      </c>
      <c r="GR468" t="e">
        <f>AND(#REF!,"AAAAAH/3Xsc=")</f>
        <v>#REF!</v>
      </c>
      <c r="GS468" t="e">
        <f>AND(#REF!,"AAAAAH/3Xsg=")</f>
        <v>#REF!</v>
      </c>
      <c r="GT468" t="e">
        <f>AND(#REF!,"AAAAAH/3Xsk=")</f>
        <v>#REF!</v>
      </c>
      <c r="GU468" t="e">
        <f>AND(#REF!,"AAAAAH/3Xso=")</f>
        <v>#REF!</v>
      </c>
      <c r="GV468" t="e">
        <f>AND(#REF!,"AAAAAH/3Xss=")</f>
        <v>#REF!</v>
      </c>
      <c r="GW468" t="e">
        <f>AND(#REF!,"AAAAAH/3Xsw=")</f>
        <v>#REF!</v>
      </c>
      <c r="GX468" t="e">
        <f>AND(#REF!,"AAAAAH/3Xs0=")</f>
        <v>#REF!</v>
      </c>
      <c r="GY468" t="e">
        <f>AND(#REF!,"AAAAAH/3Xs4=")</f>
        <v>#REF!</v>
      </c>
      <c r="GZ468" t="e">
        <f>AND(#REF!,"AAAAAH/3Xs8=")</f>
        <v>#REF!</v>
      </c>
      <c r="HA468" t="e">
        <f>IF(#REF!,"AAAAAH/3XtA=",0)</f>
        <v>#REF!</v>
      </c>
      <c r="HB468" t="e">
        <f>AND(#REF!,"AAAAAH/3XtE=")</f>
        <v>#REF!</v>
      </c>
      <c r="HC468" t="e">
        <f>AND(#REF!,"AAAAAH/3XtI=")</f>
        <v>#REF!</v>
      </c>
      <c r="HD468" t="e">
        <f>AND(#REF!,"AAAAAH/3XtM=")</f>
        <v>#REF!</v>
      </c>
      <c r="HE468" t="e">
        <f>AND(#REF!,"AAAAAH/3XtQ=")</f>
        <v>#REF!</v>
      </c>
      <c r="HF468" t="e">
        <f>AND(#REF!,"AAAAAH/3XtU=")</f>
        <v>#REF!</v>
      </c>
      <c r="HG468" t="e">
        <f>AND(#REF!,"AAAAAH/3XtY=")</f>
        <v>#REF!</v>
      </c>
      <c r="HH468" t="e">
        <f>AND(#REF!,"AAAAAH/3Xtc=")</f>
        <v>#REF!</v>
      </c>
      <c r="HI468" t="e">
        <f>AND(#REF!,"AAAAAH/3Xtg=")</f>
        <v>#REF!</v>
      </c>
      <c r="HJ468" t="e">
        <f>AND(#REF!,"AAAAAH/3Xtk=")</f>
        <v>#REF!</v>
      </c>
      <c r="HK468" t="e">
        <f>AND(#REF!,"AAAAAH/3Xto=")</f>
        <v>#REF!</v>
      </c>
      <c r="HL468" t="e">
        <f>IF(#REF!,"AAAAAH/3Xts=",0)</f>
        <v>#REF!</v>
      </c>
      <c r="HM468" t="e">
        <f>AND(#REF!,"AAAAAH/3Xtw=")</f>
        <v>#REF!</v>
      </c>
      <c r="HN468" t="e">
        <f>AND(#REF!,"AAAAAH/3Xt0=")</f>
        <v>#REF!</v>
      </c>
      <c r="HO468" t="e">
        <f>AND(#REF!,"AAAAAH/3Xt4=")</f>
        <v>#REF!</v>
      </c>
      <c r="HP468" t="e">
        <f>AND(#REF!,"AAAAAH/3Xt8=")</f>
        <v>#REF!</v>
      </c>
      <c r="HQ468" t="e">
        <f>AND(#REF!,"AAAAAH/3XuA=")</f>
        <v>#REF!</v>
      </c>
      <c r="HR468" t="e">
        <f>AND(#REF!,"AAAAAH/3XuE=")</f>
        <v>#REF!</v>
      </c>
      <c r="HS468" t="e">
        <f>AND(#REF!,"AAAAAH/3XuI=")</f>
        <v>#REF!</v>
      </c>
      <c r="HT468" t="e">
        <f>AND(#REF!,"AAAAAH/3XuM=")</f>
        <v>#REF!</v>
      </c>
      <c r="HU468" t="e">
        <f>AND(#REF!,"AAAAAH/3XuQ=")</f>
        <v>#REF!</v>
      </c>
      <c r="HV468" t="e">
        <f>AND(#REF!,"AAAAAH/3XuU=")</f>
        <v>#REF!</v>
      </c>
      <c r="HW468" t="e">
        <f>IF(#REF!,"AAAAAH/3XuY=",0)</f>
        <v>#REF!</v>
      </c>
      <c r="HX468" t="e">
        <f>AND(#REF!,"AAAAAH/3Xuc=")</f>
        <v>#REF!</v>
      </c>
      <c r="HY468" t="e">
        <f>AND(#REF!,"AAAAAH/3Xug=")</f>
        <v>#REF!</v>
      </c>
      <c r="HZ468" t="e">
        <f>AND(#REF!,"AAAAAH/3Xuk=")</f>
        <v>#REF!</v>
      </c>
      <c r="IA468" t="e">
        <f>AND(#REF!,"AAAAAH/3Xuo=")</f>
        <v>#REF!</v>
      </c>
      <c r="IB468" t="e">
        <f>AND(#REF!,"AAAAAH/3Xus=")</f>
        <v>#REF!</v>
      </c>
      <c r="IC468" t="e">
        <f>AND(#REF!,"AAAAAH/3Xuw=")</f>
        <v>#REF!</v>
      </c>
      <c r="ID468" t="e">
        <f>AND(#REF!,"AAAAAH/3Xu0=")</f>
        <v>#REF!</v>
      </c>
      <c r="IE468" t="e">
        <f>AND(#REF!,"AAAAAH/3Xu4=")</f>
        <v>#REF!</v>
      </c>
      <c r="IF468" t="e">
        <f>AND(#REF!,"AAAAAH/3Xu8=")</f>
        <v>#REF!</v>
      </c>
      <c r="IG468" t="e">
        <f>AND(#REF!,"AAAAAH/3XvA=")</f>
        <v>#REF!</v>
      </c>
      <c r="IH468" t="e">
        <f>IF(#REF!,"AAAAAH/3XvE=",0)</f>
        <v>#REF!</v>
      </c>
      <c r="II468" t="e">
        <f>AND(#REF!,"AAAAAH/3XvI=")</f>
        <v>#REF!</v>
      </c>
      <c r="IJ468" t="e">
        <f>AND(#REF!,"AAAAAH/3XvM=")</f>
        <v>#REF!</v>
      </c>
      <c r="IK468" t="e">
        <f>AND(#REF!,"AAAAAH/3XvQ=")</f>
        <v>#REF!</v>
      </c>
      <c r="IL468" t="e">
        <f>AND(#REF!,"AAAAAH/3XvU=")</f>
        <v>#REF!</v>
      </c>
      <c r="IM468" t="e">
        <f>AND(#REF!,"AAAAAH/3XvY=")</f>
        <v>#REF!</v>
      </c>
      <c r="IN468" t="e">
        <f>AND(#REF!,"AAAAAH/3Xvc=")</f>
        <v>#REF!</v>
      </c>
      <c r="IO468" t="e">
        <f>AND(#REF!,"AAAAAH/3Xvg=")</f>
        <v>#REF!</v>
      </c>
      <c r="IP468" t="e">
        <f>AND(#REF!,"AAAAAH/3Xvk=")</f>
        <v>#REF!</v>
      </c>
      <c r="IQ468" t="e">
        <f>AND(#REF!,"AAAAAH/3Xvo=")</f>
        <v>#REF!</v>
      </c>
      <c r="IR468" t="e">
        <f>AND(#REF!,"AAAAAH/3Xvs=")</f>
        <v>#REF!</v>
      </c>
      <c r="IS468" t="e">
        <f>IF(#REF!,"AAAAAH/3Xvw=",0)</f>
        <v>#REF!</v>
      </c>
      <c r="IT468" t="e">
        <f>AND(#REF!,"AAAAAH/3Xv0=")</f>
        <v>#REF!</v>
      </c>
      <c r="IU468" t="e">
        <f>AND(#REF!,"AAAAAH/3Xv4=")</f>
        <v>#REF!</v>
      </c>
      <c r="IV468" t="e">
        <f>AND(#REF!,"AAAAAH/3Xv8=")</f>
        <v>#REF!</v>
      </c>
    </row>
    <row r="469" spans="1:256" x14ac:dyDescent="0.25">
      <c r="A469" t="e">
        <f>AND(#REF!,"AAAAAB1l+wA=")</f>
        <v>#REF!</v>
      </c>
      <c r="B469" t="e">
        <f>AND(#REF!,"AAAAAB1l+wE=")</f>
        <v>#REF!</v>
      </c>
      <c r="C469" t="e">
        <f>AND(#REF!,"AAAAAB1l+wI=")</f>
        <v>#REF!</v>
      </c>
      <c r="D469" t="e">
        <f>AND(#REF!,"AAAAAB1l+wM=")</f>
        <v>#REF!</v>
      </c>
      <c r="E469" t="e">
        <f>AND(#REF!,"AAAAAB1l+wQ=")</f>
        <v>#REF!</v>
      </c>
      <c r="F469" t="e">
        <f>AND(#REF!,"AAAAAB1l+wU=")</f>
        <v>#REF!</v>
      </c>
      <c r="G469" t="e">
        <f>AND(#REF!,"AAAAAB1l+wY=")</f>
        <v>#REF!</v>
      </c>
      <c r="H469" t="e">
        <f>IF(#REF!,"AAAAAB1l+wc=",0)</f>
        <v>#REF!</v>
      </c>
      <c r="I469" t="e">
        <f>AND(#REF!,"AAAAAB1l+wg=")</f>
        <v>#REF!</v>
      </c>
      <c r="J469" t="e">
        <f>AND(#REF!,"AAAAAB1l+wk=")</f>
        <v>#REF!</v>
      </c>
      <c r="K469" t="e">
        <f>AND(#REF!,"AAAAAB1l+wo=")</f>
        <v>#REF!</v>
      </c>
      <c r="L469" t="e">
        <f>AND(#REF!,"AAAAAB1l+ws=")</f>
        <v>#REF!</v>
      </c>
      <c r="M469" t="e">
        <f>AND(#REF!,"AAAAAB1l+ww=")</f>
        <v>#REF!</v>
      </c>
      <c r="N469" t="e">
        <f>AND(#REF!,"AAAAAB1l+w0=")</f>
        <v>#REF!</v>
      </c>
      <c r="O469" t="e">
        <f>AND(#REF!,"AAAAAB1l+w4=")</f>
        <v>#REF!</v>
      </c>
      <c r="P469" t="e">
        <f>AND(#REF!,"AAAAAB1l+w8=")</f>
        <v>#REF!</v>
      </c>
      <c r="Q469" t="e">
        <f>AND(#REF!,"AAAAAB1l+xA=")</f>
        <v>#REF!</v>
      </c>
      <c r="R469" t="e">
        <f>AND(#REF!,"AAAAAB1l+xE=")</f>
        <v>#REF!</v>
      </c>
      <c r="S469" t="e">
        <f>IF(#REF!,"AAAAAB1l+xI=",0)</f>
        <v>#REF!</v>
      </c>
      <c r="T469" t="e">
        <f>AND(#REF!,"AAAAAB1l+xM=")</f>
        <v>#REF!</v>
      </c>
      <c r="U469" t="e">
        <f>AND(#REF!,"AAAAAB1l+xQ=")</f>
        <v>#REF!</v>
      </c>
      <c r="V469" t="e">
        <f>AND(#REF!,"AAAAAB1l+xU=")</f>
        <v>#REF!</v>
      </c>
      <c r="W469" t="e">
        <f>AND(#REF!,"AAAAAB1l+xY=")</f>
        <v>#REF!</v>
      </c>
      <c r="X469" t="e">
        <f>AND(#REF!,"AAAAAB1l+xc=")</f>
        <v>#REF!</v>
      </c>
      <c r="Y469" t="e">
        <f>AND(#REF!,"AAAAAB1l+xg=")</f>
        <v>#REF!</v>
      </c>
      <c r="Z469" t="e">
        <f>AND(#REF!,"AAAAAB1l+xk=")</f>
        <v>#REF!</v>
      </c>
      <c r="AA469" t="e">
        <f>AND(#REF!,"AAAAAB1l+xo=")</f>
        <v>#REF!</v>
      </c>
      <c r="AB469" t="e">
        <f>AND(#REF!,"AAAAAB1l+xs=")</f>
        <v>#REF!</v>
      </c>
      <c r="AC469" t="e">
        <f>AND(#REF!,"AAAAAB1l+xw=")</f>
        <v>#REF!</v>
      </c>
      <c r="AD469" t="e">
        <f>IF(#REF!,"AAAAAB1l+x0=",0)</f>
        <v>#REF!</v>
      </c>
      <c r="AE469" t="e">
        <f>AND(#REF!,"AAAAAB1l+x4=")</f>
        <v>#REF!</v>
      </c>
      <c r="AF469" t="e">
        <f>AND(#REF!,"AAAAAB1l+x8=")</f>
        <v>#REF!</v>
      </c>
      <c r="AG469" t="e">
        <f>AND(#REF!,"AAAAAB1l+yA=")</f>
        <v>#REF!</v>
      </c>
      <c r="AH469" t="e">
        <f>AND(#REF!,"AAAAAB1l+yE=")</f>
        <v>#REF!</v>
      </c>
      <c r="AI469" t="e">
        <f>AND(#REF!,"AAAAAB1l+yI=")</f>
        <v>#REF!</v>
      </c>
      <c r="AJ469" t="e">
        <f>AND(#REF!,"AAAAAB1l+yM=")</f>
        <v>#REF!</v>
      </c>
      <c r="AK469" t="e">
        <f>AND(#REF!,"AAAAAB1l+yQ=")</f>
        <v>#REF!</v>
      </c>
      <c r="AL469" t="e">
        <f>AND(#REF!,"AAAAAB1l+yU=")</f>
        <v>#REF!</v>
      </c>
      <c r="AM469" t="e">
        <f>AND(#REF!,"AAAAAB1l+yY=")</f>
        <v>#REF!</v>
      </c>
      <c r="AN469" t="e">
        <f>AND(#REF!,"AAAAAB1l+yc=")</f>
        <v>#REF!</v>
      </c>
      <c r="AO469" t="e">
        <f>IF(#REF!,"AAAAAB1l+yg=",0)</f>
        <v>#REF!</v>
      </c>
      <c r="AP469" t="e">
        <f>AND(#REF!,"AAAAAB1l+yk=")</f>
        <v>#REF!</v>
      </c>
      <c r="AQ469" t="e">
        <f>AND(#REF!,"AAAAAB1l+yo=")</f>
        <v>#REF!</v>
      </c>
      <c r="AR469" t="e">
        <f>AND(#REF!,"AAAAAB1l+ys=")</f>
        <v>#REF!</v>
      </c>
      <c r="AS469" t="e">
        <f>AND(#REF!,"AAAAAB1l+yw=")</f>
        <v>#REF!</v>
      </c>
      <c r="AT469" t="e">
        <f>AND(#REF!,"AAAAAB1l+y0=")</f>
        <v>#REF!</v>
      </c>
      <c r="AU469" t="e">
        <f>AND(#REF!,"AAAAAB1l+y4=")</f>
        <v>#REF!</v>
      </c>
      <c r="AV469" t="e">
        <f>AND(#REF!,"AAAAAB1l+y8=")</f>
        <v>#REF!</v>
      </c>
      <c r="AW469" t="e">
        <f>AND(#REF!,"AAAAAB1l+zA=")</f>
        <v>#REF!</v>
      </c>
      <c r="AX469" t="e">
        <f>AND(#REF!,"AAAAAB1l+zE=")</f>
        <v>#REF!</v>
      </c>
      <c r="AY469" t="e">
        <f>AND(#REF!,"AAAAAB1l+zI=")</f>
        <v>#REF!</v>
      </c>
      <c r="AZ469" t="e">
        <f>IF(#REF!,"AAAAAB1l+zM=",0)</f>
        <v>#REF!</v>
      </c>
      <c r="BA469" t="e">
        <f>AND(#REF!,"AAAAAB1l+zQ=")</f>
        <v>#REF!</v>
      </c>
      <c r="BB469" t="e">
        <f>AND(#REF!,"AAAAAB1l+zU=")</f>
        <v>#REF!</v>
      </c>
      <c r="BC469" t="e">
        <f>AND(#REF!,"AAAAAB1l+zY=")</f>
        <v>#REF!</v>
      </c>
      <c r="BD469" t="e">
        <f>AND(#REF!,"AAAAAB1l+zc=")</f>
        <v>#REF!</v>
      </c>
      <c r="BE469" t="e">
        <f>AND(#REF!,"AAAAAB1l+zg=")</f>
        <v>#REF!</v>
      </c>
      <c r="BF469" t="e">
        <f>AND(#REF!,"AAAAAB1l+zk=")</f>
        <v>#REF!</v>
      </c>
      <c r="BG469" t="e">
        <f>AND(#REF!,"AAAAAB1l+zo=")</f>
        <v>#REF!</v>
      </c>
      <c r="BH469" t="e">
        <f>AND(#REF!,"AAAAAB1l+zs=")</f>
        <v>#REF!</v>
      </c>
      <c r="BI469" t="e">
        <f>AND(#REF!,"AAAAAB1l+zw=")</f>
        <v>#REF!</v>
      </c>
      <c r="BJ469" t="e">
        <f>AND(#REF!,"AAAAAB1l+z0=")</f>
        <v>#REF!</v>
      </c>
      <c r="BK469" t="e">
        <f>IF(#REF!,"AAAAAB1l+z4=",0)</f>
        <v>#REF!</v>
      </c>
      <c r="BL469" t="e">
        <f>AND(#REF!,"AAAAAB1l+z8=")</f>
        <v>#REF!</v>
      </c>
      <c r="BM469" t="e">
        <f>AND(#REF!,"AAAAAB1l+0A=")</f>
        <v>#REF!</v>
      </c>
      <c r="BN469" t="e">
        <f>AND(#REF!,"AAAAAB1l+0E=")</f>
        <v>#REF!</v>
      </c>
      <c r="BO469" t="e">
        <f>AND(#REF!,"AAAAAB1l+0I=")</f>
        <v>#REF!</v>
      </c>
      <c r="BP469" t="e">
        <f>AND(#REF!,"AAAAAB1l+0M=")</f>
        <v>#REF!</v>
      </c>
      <c r="BQ469" t="e">
        <f>AND(#REF!,"AAAAAB1l+0Q=")</f>
        <v>#REF!</v>
      </c>
      <c r="BR469" t="e">
        <f>AND(#REF!,"AAAAAB1l+0U=")</f>
        <v>#REF!</v>
      </c>
      <c r="BS469" t="e">
        <f>AND(#REF!,"AAAAAB1l+0Y=")</f>
        <v>#REF!</v>
      </c>
      <c r="BT469" t="e">
        <f>AND(#REF!,"AAAAAB1l+0c=")</f>
        <v>#REF!</v>
      </c>
      <c r="BU469" t="e">
        <f>AND(#REF!,"AAAAAB1l+0g=")</f>
        <v>#REF!</v>
      </c>
      <c r="BV469" t="e">
        <f>IF(#REF!,"AAAAAB1l+0k=",0)</f>
        <v>#REF!</v>
      </c>
      <c r="BW469" t="e">
        <f>AND(#REF!,"AAAAAB1l+0o=")</f>
        <v>#REF!</v>
      </c>
      <c r="BX469" t="e">
        <f>AND(#REF!,"AAAAAB1l+0s=")</f>
        <v>#REF!</v>
      </c>
      <c r="BY469" t="e">
        <f>AND(#REF!,"AAAAAB1l+0w=")</f>
        <v>#REF!</v>
      </c>
      <c r="BZ469" t="e">
        <f>AND(#REF!,"AAAAAB1l+00=")</f>
        <v>#REF!</v>
      </c>
      <c r="CA469" t="e">
        <f>AND(#REF!,"AAAAAB1l+04=")</f>
        <v>#REF!</v>
      </c>
      <c r="CB469" t="e">
        <f>AND(#REF!,"AAAAAB1l+08=")</f>
        <v>#REF!</v>
      </c>
      <c r="CC469" t="e">
        <f>AND(#REF!,"AAAAAB1l+1A=")</f>
        <v>#REF!</v>
      </c>
      <c r="CD469" t="e">
        <f>AND(#REF!,"AAAAAB1l+1E=")</f>
        <v>#REF!</v>
      </c>
      <c r="CE469" t="e">
        <f>AND(#REF!,"AAAAAB1l+1I=")</f>
        <v>#REF!</v>
      </c>
      <c r="CF469" t="e">
        <f>AND(#REF!,"AAAAAB1l+1M=")</f>
        <v>#REF!</v>
      </c>
      <c r="CG469" t="e">
        <f>IF(#REF!,"AAAAAB1l+1Q=",0)</f>
        <v>#REF!</v>
      </c>
      <c r="CH469" t="e">
        <f>AND(#REF!,"AAAAAB1l+1U=")</f>
        <v>#REF!</v>
      </c>
      <c r="CI469" t="e">
        <f>AND(#REF!,"AAAAAB1l+1Y=")</f>
        <v>#REF!</v>
      </c>
      <c r="CJ469" t="e">
        <f>AND(#REF!,"AAAAAB1l+1c=")</f>
        <v>#REF!</v>
      </c>
      <c r="CK469" t="e">
        <f>AND(#REF!,"AAAAAB1l+1g=")</f>
        <v>#REF!</v>
      </c>
      <c r="CL469" t="e">
        <f>AND(#REF!,"AAAAAB1l+1k=")</f>
        <v>#REF!</v>
      </c>
      <c r="CM469" t="e">
        <f>AND(#REF!,"AAAAAB1l+1o=")</f>
        <v>#REF!</v>
      </c>
      <c r="CN469" t="e">
        <f>AND(#REF!,"AAAAAB1l+1s=")</f>
        <v>#REF!</v>
      </c>
      <c r="CO469" t="e">
        <f>AND(#REF!,"AAAAAB1l+1w=")</f>
        <v>#REF!</v>
      </c>
      <c r="CP469" t="e">
        <f>AND(#REF!,"AAAAAB1l+10=")</f>
        <v>#REF!</v>
      </c>
      <c r="CQ469" t="e">
        <f>AND(#REF!,"AAAAAB1l+14=")</f>
        <v>#REF!</v>
      </c>
      <c r="CR469" t="e">
        <f>IF(#REF!,"AAAAAB1l+18=",0)</f>
        <v>#REF!</v>
      </c>
      <c r="CS469" t="e">
        <f>AND(#REF!,"AAAAAB1l+2A=")</f>
        <v>#REF!</v>
      </c>
      <c r="CT469" t="e">
        <f>AND(#REF!,"AAAAAB1l+2E=")</f>
        <v>#REF!</v>
      </c>
      <c r="CU469" t="e">
        <f>AND(#REF!,"AAAAAB1l+2I=")</f>
        <v>#REF!</v>
      </c>
      <c r="CV469" t="e">
        <f>AND(#REF!,"AAAAAB1l+2M=")</f>
        <v>#REF!</v>
      </c>
      <c r="CW469" t="e">
        <f>AND(#REF!,"AAAAAB1l+2Q=")</f>
        <v>#REF!</v>
      </c>
      <c r="CX469" t="e">
        <f>AND(#REF!,"AAAAAB1l+2U=")</f>
        <v>#REF!</v>
      </c>
      <c r="CY469" t="e">
        <f>AND(#REF!,"AAAAAB1l+2Y=")</f>
        <v>#REF!</v>
      </c>
      <c r="CZ469" t="e">
        <f>AND(#REF!,"AAAAAB1l+2c=")</f>
        <v>#REF!</v>
      </c>
      <c r="DA469" t="e">
        <f>AND(#REF!,"AAAAAB1l+2g=")</f>
        <v>#REF!</v>
      </c>
      <c r="DB469" t="e">
        <f>AND(#REF!,"AAAAAB1l+2k=")</f>
        <v>#REF!</v>
      </c>
      <c r="DC469" t="e">
        <f>IF(#REF!,"AAAAAB1l+2o=",0)</f>
        <v>#REF!</v>
      </c>
      <c r="DD469" t="e">
        <f>AND(#REF!,"AAAAAB1l+2s=")</f>
        <v>#REF!</v>
      </c>
      <c r="DE469" t="e">
        <f>AND(#REF!,"AAAAAB1l+2w=")</f>
        <v>#REF!</v>
      </c>
      <c r="DF469" t="e">
        <f>AND(#REF!,"AAAAAB1l+20=")</f>
        <v>#REF!</v>
      </c>
      <c r="DG469" t="e">
        <f>AND(#REF!,"AAAAAB1l+24=")</f>
        <v>#REF!</v>
      </c>
      <c r="DH469" t="e">
        <f>AND(#REF!,"AAAAAB1l+28=")</f>
        <v>#REF!</v>
      </c>
      <c r="DI469" t="e">
        <f>AND(#REF!,"AAAAAB1l+3A=")</f>
        <v>#REF!</v>
      </c>
      <c r="DJ469" t="e">
        <f>AND(#REF!,"AAAAAB1l+3E=")</f>
        <v>#REF!</v>
      </c>
      <c r="DK469" t="e">
        <f>AND(#REF!,"AAAAAB1l+3I=")</f>
        <v>#REF!</v>
      </c>
      <c r="DL469" t="e">
        <f>AND(#REF!,"AAAAAB1l+3M=")</f>
        <v>#REF!</v>
      </c>
      <c r="DM469" t="e">
        <f>AND(#REF!,"AAAAAB1l+3Q=")</f>
        <v>#REF!</v>
      </c>
      <c r="DN469" t="e">
        <f>IF(#REF!,"AAAAAB1l+3U=",0)</f>
        <v>#REF!</v>
      </c>
      <c r="DO469" t="e">
        <f>AND(#REF!,"AAAAAB1l+3Y=")</f>
        <v>#REF!</v>
      </c>
      <c r="DP469" t="e">
        <f>AND(#REF!,"AAAAAB1l+3c=")</f>
        <v>#REF!</v>
      </c>
      <c r="DQ469" t="e">
        <f>AND(#REF!,"AAAAAB1l+3g=")</f>
        <v>#REF!</v>
      </c>
      <c r="DR469" t="e">
        <f>AND(#REF!,"AAAAAB1l+3k=")</f>
        <v>#REF!</v>
      </c>
      <c r="DS469" t="e">
        <f>AND(#REF!,"AAAAAB1l+3o=")</f>
        <v>#REF!</v>
      </c>
      <c r="DT469" t="e">
        <f>AND(#REF!,"AAAAAB1l+3s=")</f>
        <v>#REF!</v>
      </c>
      <c r="DU469" t="e">
        <f>AND(#REF!,"AAAAAB1l+3w=")</f>
        <v>#REF!</v>
      </c>
      <c r="DV469" t="e">
        <f>AND(#REF!,"AAAAAB1l+30=")</f>
        <v>#REF!</v>
      </c>
      <c r="DW469" t="e">
        <f>AND(#REF!,"AAAAAB1l+34=")</f>
        <v>#REF!</v>
      </c>
      <c r="DX469" t="e">
        <f>AND(#REF!,"AAAAAB1l+38=")</f>
        <v>#REF!</v>
      </c>
      <c r="DY469" t="e">
        <f>IF(#REF!,"AAAAAB1l+4A=",0)</f>
        <v>#REF!</v>
      </c>
      <c r="DZ469" t="e">
        <f>AND(#REF!,"AAAAAB1l+4E=")</f>
        <v>#REF!</v>
      </c>
      <c r="EA469" t="e">
        <f>AND(#REF!,"AAAAAB1l+4I=")</f>
        <v>#REF!</v>
      </c>
      <c r="EB469" t="e">
        <f>AND(#REF!,"AAAAAB1l+4M=")</f>
        <v>#REF!</v>
      </c>
      <c r="EC469" t="e">
        <f>AND(#REF!,"AAAAAB1l+4Q=")</f>
        <v>#REF!</v>
      </c>
      <c r="ED469" t="e">
        <f>AND(#REF!,"AAAAAB1l+4U=")</f>
        <v>#REF!</v>
      </c>
      <c r="EE469" t="e">
        <f>AND(#REF!,"AAAAAB1l+4Y=")</f>
        <v>#REF!</v>
      </c>
      <c r="EF469" t="e">
        <f>AND(#REF!,"AAAAAB1l+4c=")</f>
        <v>#REF!</v>
      </c>
      <c r="EG469" t="e">
        <f>AND(#REF!,"AAAAAB1l+4g=")</f>
        <v>#REF!</v>
      </c>
      <c r="EH469" t="e">
        <f>AND(#REF!,"AAAAAB1l+4k=")</f>
        <v>#REF!</v>
      </c>
      <c r="EI469" t="e">
        <f>AND(#REF!,"AAAAAB1l+4o=")</f>
        <v>#REF!</v>
      </c>
      <c r="EJ469" t="e">
        <f>IF(#REF!,"AAAAAB1l+4s=",0)</f>
        <v>#REF!</v>
      </c>
      <c r="EK469" t="e">
        <f>AND(#REF!,"AAAAAB1l+4w=")</f>
        <v>#REF!</v>
      </c>
      <c r="EL469" t="e">
        <f>AND(#REF!,"AAAAAB1l+40=")</f>
        <v>#REF!</v>
      </c>
      <c r="EM469" t="e">
        <f>AND(#REF!,"AAAAAB1l+44=")</f>
        <v>#REF!</v>
      </c>
      <c r="EN469" t="e">
        <f>AND(#REF!,"AAAAAB1l+48=")</f>
        <v>#REF!</v>
      </c>
      <c r="EO469" t="e">
        <f>AND(#REF!,"AAAAAB1l+5A=")</f>
        <v>#REF!</v>
      </c>
      <c r="EP469" t="e">
        <f>AND(#REF!,"AAAAAB1l+5E=")</f>
        <v>#REF!</v>
      </c>
      <c r="EQ469" t="e">
        <f>AND(#REF!,"AAAAAB1l+5I=")</f>
        <v>#REF!</v>
      </c>
      <c r="ER469" t="e">
        <f>AND(#REF!,"AAAAAB1l+5M=")</f>
        <v>#REF!</v>
      </c>
      <c r="ES469" t="e">
        <f>AND(#REF!,"AAAAAB1l+5Q=")</f>
        <v>#REF!</v>
      </c>
      <c r="ET469" t="e">
        <f>AND(#REF!,"AAAAAB1l+5U=")</f>
        <v>#REF!</v>
      </c>
      <c r="EU469" t="e">
        <f>IF(#REF!,"AAAAAB1l+5Y=",0)</f>
        <v>#REF!</v>
      </c>
      <c r="EV469" t="e">
        <f>AND(#REF!,"AAAAAB1l+5c=")</f>
        <v>#REF!</v>
      </c>
      <c r="EW469" t="e">
        <f>AND(#REF!,"AAAAAB1l+5g=")</f>
        <v>#REF!</v>
      </c>
      <c r="EX469" t="e">
        <f>AND(#REF!,"AAAAAB1l+5k=")</f>
        <v>#REF!</v>
      </c>
      <c r="EY469" t="e">
        <f>AND(#REF!,"AAAAAB1l+5o=")</f>
        <v>#REF!</v>
      </c>
      <c r="EZ469" t="e">
        <f>AND(#REF!,"AAAAAB1l+5s=")</f>
        <v>#REF!</v>
      </c>
      <c r="FA469" t="e">
        <f>AND(#REF!,"AAAAAB1l+5w=")</f>
        <v>#REF!</v>
      </c>
      <c r="FB469" t="e">
        <f>AND(#REF!,"AAAAAB1l+50=")</f>
        <v>#REF!</v>
      </c>
      <c r="FC469" t="e">
        <f>AND(#REF!,"AAAAAB1l+54=")</f>
        <v>#REF!</v>
      </c>
      <c r="FD469" t="e">
        <f>AND(#REF!,"AAAAAB1l+58=")</f>
        <v>#REF!</v>
      </c>
      <c r="FE469" t="e">
        <f>AND(#REF!,"AAAAAB1l+6A=")</f>
        <v>#REF!</v>
      </c>
      <c r="FF469" t="e">
        <f>IF(#REF!,"AAAAAB1l+6E=",0)</f>
        <v>#REF!</v>
      </c>
      <c r="FG469" t="e">
        <f>AND(#REF!,"AAAAAB1l+6I=")</f>
        <v>#REF!</v>
      </c>
      <c r="FH469" t="e">
        <f>AND(#REF!,"AAAAAB1l+6M=")</f>
        <v>#REF!</v>
      </c>
      <c r="FI469" t="e">
        <f>AND(#REF!,"AAAAAB1l+6Q=")</f>
        <v>#REF!</v>
      </c>
      <c r="FJ469" t="e">
        <f>AND(#REF!,"AAAAAB1l+6U=")</f>
        <v>#REF!</v>
      </c>
      <c r="FK469" t="e">
        <f>AND(#REF!,"AAAAAB1l+6Y=")</f>
        <v>#REF!</v>
      </c>
      <c r="FL469" t="e">
        <f>AND(#REF!,"AAAAAB1l+6c=")</f>
        <v>#REF!</v>
      </c>
      <c r="FM469" t="e">
        <f>AND(#REF!,"AAAAAB1l+6g=")</f>
        <v>#REF!</v>
      </c>
      <c r="FN469" t="e">
        <f>AND(#REF!,"AAAAAB1l+6k=")</f>
        <v>#REF!</v>
      </c>
      <c r="FO469" t="e">
        <f>AND(#REF!,"AAAAAB1l+6o=")</f>
        <v>#REF!</v>
      </c>
      <c r="FP469" t="e">
        <f>AND(#REF!,"AAAAAB1l+6s=")</f>
        <v>#REF!</v>
      </c>
      <c r="FQ469" t="e">
        <f>IF(#REF!,"AAAAAB1l+6w=",0)</f>
        <v>#REF!</v>
      </c>
      <c r="FR469" t="e">
        <f>AND(#REF!,"AAAAAB1l+60=")</f>
        <v>#REF!</v>
      </c>
      <c r="FS469" t="e">
        <f>AND(#REF!,"AAAAAB1l+64=")</f>
        <v>#REF!</v>
      </c>
      <c r="FT469" t="e">
        <f>AND(#REF!,"AAAAAB1l+68=")</f>
        <v>#REF!</v>
      </c>
      <c r="FU469" t="e">
        <f>AND(#REF!,"AAAAAB1l+7A=")</f>
        <v>#REF!</v>
      </c>
      <c r="FV469" t="e">
        <f>AND(#REF!,"AAAAAB1l+7E=")</f>
        <v>#REF!</v>
      </c>
      <c r="FW469" t="e">
        <f>AND(#REF!,"AAAAAB1l+7I=")</f>
        <v>#REF!</v>
      </c>
      <c r="FX469" t="e">
        <f>AND(#REF!,"AAAAAB1l+7M=")</f>
        <v>#REF!</v>
      </c>
      <c r="FY469" t="e">
        <f>AND(#REF!,"AAAAAB1l+7Q=")</f>
        <v>#REF!</v>
      </c>
      <c r="FZ469" t="e">
        <f>AND(#REF!,"AAAAAB1l+7U=")</f>
        <v>#REF!</v>
      </c>
      <c r="GA469" t="e">
        <f>AND(#REF!,"AAAAAB1l+7Y=")</f>
        <v>#REF!</v>
      </c>
      <c r="GB469" t="e">
        <f>IF(#REF!,"AAAAAB1l+7c=",0)</f>
        <v>#REF!</v>
      </c>
      <c r="GC469" t="e">
        <f>AND(#REF!,"AAAAAB1l+7g=")</f>
        <v>#REF!</v>
      </c>
      <c r="GD469" t="e">
        <f>AND(#REF!,"AAAAAB1l+7k=")</f>
        <v>#REF!</v>
      </c>
      <c r="GE469" t="e">
        <f>AND(#REF!,"AAAAAB1l+7o=")</f>
        <v>#REF!</v>
      </c>
      <c r="GF469" t="e">
        <f>AND(#REF!,"AAAAAB1l+7s=")</f>
        <v>#REF!</v>
      </c>
      <c r="GG469" t="e">
        <f>AND(#REF!,"AAAAAB1l+7w=")</f>
        <v>#REF!</v>
      </c>
      <c r="GH469" t="e">
        <f>AND(#REF!,"AAAAAB1l+70=")</f>
        <v>#REF!</v>
      </c>
      <c r="GI469" t="e">
        <f>AND(#REF!,"AAAAAB1l+74=")</f>
        <v>#REF!</v>
      </c>
      <c r="GJ469" t="e">
        <f>AND(#REF!,"AAAAAB1l+78=")</f>
        <v>#REF!</v>
      </c>
      <c r="GK469" t="e">
        <f>AND(#REF!,"AAAAAB1l+8A=")</f>
        <v>#REF!</v>
      </c>
      <c r="GL469" t="e">
        <f>AND(#REF!,"AAAAAB1l+8E=")</f>
        <v>#REF!</v>
      </c>
      <c r="GM469" t="e">
        <f>IF(#REF!,"AAAAAB1l+8I=",0)</f>
        <v>#REF!</v>
      </c>
      <c r="GN469" t="e">
        <f>AND(#REF!,"AAAAAB1l+8M=")</f>
        <v>#REF!</v>
      </c>
      <c r="GO469" t="e">
        <f>AND(#REF!,"AAAAAB1l+8Q=")</f>
        <v>#REF!</v>
      </c>
      <c r="GP469" t="e">
        <f>AND(#REF!,"AAAAAB1l+8U=")</f>
        <v>#REF!</v>
      </c>
      <c r="GQ469" t="e">
        <f>AND(#REF!,"AAAAAB1l+8Y=")</f>
        <v>#REF!</v>
      </c>
      <c r="GR469" t="e">
        <f>AND(#REF!,"AAAAAB1l+8c=")</f>
        <v>#REF!</v>
      </c>
      <c r="GS469" t="e">
        <f>AND(#REF!,"AAAAAB1l+8g=")</f>
        <v>#REF!</v>
      </c>
      <c r="GT469" t="e">
        <f>AND(#REF!,"AAAAAB1l+8k=")</f>
        <v>#REF!</v>
      </c>
      <c r="GU469" t="e">
        <f>AND(#REF!,"AAAAAB1l+8o=")</f>
        <v>#REF!</v>
      </c>
      <c r="GV469" t="e">
        <f>AND(#REF!,"AAAAAB1l+8s=")</f>
        <v>#REF!</v>
      </c>
      <c r="GW469" t="e">
        <f>AND(#REF!,"AAAAAB1l+8w=")</f>
        <v>#REF!</v>
      </c>
      <c r="GX469" t="e">
        <f>IF(#REF!,"AAAAAB1l+80=",0)</f>
        <v>#REF!</v>
      </c>
      <c r="GY469" t="e">
        <f>AND(#REF!,"AAAAAB1l+84=")</f>
        <v>#REF!</v>
      </c>
      <c r="GZ469" t="e">
        <f>AND(#REF!,"AAAAAB1l+88=")</f>
        <v>#REF!</v>
      </c>
      <c r="HA469" t="e">
        <f>AND(#REF!,"AAAAAB1l+9A=")</f>
        <v>#REF!</v>
      </c>
      <c r="HB469" t="e">
        <f>AND(#REF!,"AAAAAB1l+9E=")</f>
        <v>#REF!</v>
      </c>
      <c r="HC469" t="e">
        <f>AND(#REF!,"AAAAAB1l+9I=")</f>
        <v>#REF!</v>
      </c>
      <c r="HD469" t="e">
        <f>AND(#REF!,"AAAAAB1l+9M=")</f>
        <v>#REF!</v>
      </c>
      <c r="HE469" t="e">
        <f>AND(#REF!,"AAAAAB1l+9Q=")</f>
        <v>#REF!</v>
      </c>
      <c r="HF469" t="e">
        <f>AND(#REF!,"AAAAAB1l+9U=")</f>
        <v>#REF!</v>
      </c>
      <c r="HG469" t="e">
        <f>AND(#REF!,"AAAAAB1l+9Y=")</f>
        <v>#REF!</v>
      </c>
      <c r="HH469" t="e">
        <f>AND(#REF!,"AAAAAB1l+9c=")</f>
        <v>#REF!</v>
      </c>
      <c r="HI469" t="e">
        <f>IF(#REF!,"AAAAAB1l+9g=",0)</f>
        <v>#REF!</v>
      </c>
      <c r="HJ469" t="e">
        <f>AND(#REF!,"AAAAAB1l+9k=")</f>
        <v>#REF!</v>
      </c>
      <c r="HK469" t="e">
        <f>AND(#REF!,"AAAAAB1l+9o=")</f>
        <v>#REF!</v>
      </c>
      <c r="HL469" t="e">
        <f>AND(#REF!,"AAAAAB1l+9s=")</f>
        <v>#REF!</v>
      </c>
      <c r="HM469" t="e">
        <f>AND(#REF!,"AAAAAB1l+9w=")</f>
        <v>#REF!</v>
      </c>
      <c r="HN469" t="e">
        <f>AND(#REF!,"AAAAAB1l+90=")</f>
        <v>#REF!</v>
      </c>
      <c r="HO469" t="e">
        <f>AND(#REF!,"AAAAAB1l+94=")</f>
        <v>#REF!</v>
      </c>
      <c r="HP469" t="e">
        <f>AND(#REF!,"AAAAAB1l+98=")</f>
        <v>#REF!</v>
      </c>
      <c r="HQ469" t="e">
        <f>AND(#REF!,"AAAAAB1l++A=")</f>
        <v>#REF!</v>
      </c>
      <c r="HR469" t="e">
        <f>AND(#REF!,"AAAAAB1l++E=")</f>
        <v>#REF!</v>
      </c>
      <c r="HS469" t="e">
        <f>AND(#REF!,"AAAAAB1l++I=")</f>
        <v>#REF!</v>
      </c>
      <c r="HT469" t="e">
        <f>IF(#REF!,"AAAAAB1l++M=",0)</f>
        <v>#REF!</v>
      </c>
      <c r="HU469" t="e">
        <f>AND(#REF!,"AAAAAB1l++Q=")</f>
        <v>#REF!</v>
      </c>
      <c r="HV469" t="e">
        <f>AND(#REF!,"AAAAAB1l++U=")</f>
        <v>#REF!</v>
      </c>
      <c r="HW469" t="e">
        <f>AND(#REF!,"AAAAAB1l++Y=")</f>
        <v>#REF!</v>
      </c>
      <c r="HX469" t="e">
        <f>AND(#REF!,"AAAAAB1l++c=")</f>
        <v>#REF!</v>
      </c>
      <c r="HY469" t="e">
        <f>AND(#REF!,"AAAAAB1l++g=")</f>
        <v>#REF!</v>
      </c>
      <c r="HZ469" t="e">
        <f>AND(#REF!,"AAAAAB1l++k=")</f>
        <v>#REF!</v>
      </c>
      <c r="IA469" t="e">
        <f>AND(#REF!,"AAAAAB1l++o=")</f>
        <v>#REF!</v>
      </c>
      <c r="IB469" t="e">
        <f>AND(#REF!,"AAAAAB1l++s=")</f>
        <v>#REF!</v>
      </c>
      <c r="IC469" t="e">
        <f>AND(#REF!,"AAAAAB1l++w=")</f>
        <v>#REF!</v>
      </c>
      <c r="ID469" t="e">
        <f>AND(#REF!,"AAAAAB1l++0=")</f>
        <v>#REF!</v>
      </c>
      <c r="IE469" t="e">
        <f>IF(#REF!,"AAAAAB1l++4=",0)</f>
        <v>#REF!</v>
      </c>
      <c r="IF469" t="e">
        <f>AND(#REF!,"AAAAAB1l++8=")</f>
        <v>#REF!</v>
      </c>
      <c r="IG469" t="e">
        <f>AND(#REF!,"AAAAAB1l+/A=")</f>
        <v>#REF!</v>
      </c>
      <c r="IH469" t="e">
        <f>AND(#REF!,"AAAAAB1l+/E=")</f>
        <v>#REF!</v>
      </c>
      <c r="II469" t="e">
        <f>AND(#REF!,"AAAAAB1l+/I=")</f>
        <v>#REF!</v>
      </c>
      <c r="IJ469" t="e">
        <f>AND(#REF!,"AAAAAB1l+/M=")</f>
        <v>#REF!</v>
      </c>
      <c r="IK469" t="e">
        <f>AND(#REF!,"AAAAAB1l+/Q=")</f>
        <v>#REF!</v>
      </c>
      <c r="IL469" t="e">
        <f>AND(#REF!,"AAAAAB1l+/U=")</f>
        <v>#REF!</v>
      </c>
      <c r="IM469" t="e">
        <f>AND(#REF!,"AAAAAB1l+/Y=")</f>
        <v>#REF!</v>
      </c>
      <c r="IN469" t="e">
        <f>AND(#REF!,"AAAAAB1l+/c=")</f>
        <v>#REF!</v>
      </c>
      <c r="IO469" t="e">
        <f>AND(#REF!,"AAAAAB1l+/g=")</f>
        <v>#REF!</v>
      </c>
      <c r="IP469" t="e">
        <f>IF(#REF!,"AAAAAB1l+/k=",0)</f>
        <v>#REF!</v>
      </c>
      <c r="IQ469" t="e">
        <f>AND(#REF!,"AAAAAB1l+/o=")</f>
        <v>#REF!</v>
      </c>
      <c r="IR469" t="e">
        <f>AND(#REF!,"AAAAAB1l+/s=")</f>
        <v>#REF!</v>
      </c>
      <c r="IS469" t="e">
        <f>AND(#REF!,"AAAAAB1l+/w=")</f>
        <v>#REF!</v>
      </c>
      <c r="IT469" t="e">
        <f>AND(#REF!,"AAAAAB1l+/0=")</f>
        <v>#REF!</v>
      </c>
      <c r="IU469" t="e">
        <f>AND(#REF!,"AAAAAB1l+/4=")</f>
        <v>#REF!</v>
      </c>
      <c r="IV469" t="e">
        <f>AND(#REF!,"AAAAAB1l+/8=")</f>
        <v>#REF!</v>
      </c>
    </row>
    <row r="470" spans="1:256" x14ac:dyDescent="0.25">
      <c r="A470" t="e">
        <f>AND(#REF!,"AAAAAFf6nwA=")</f>
        <v>#REF!</v>
      </c>
      <c r="B470" t="e">
        <f>AND(#REF!,"AAAAAFf6nwE=")</f>
        <v>#REF!</v>
      </c>
      <c r="C470" t="e">
        <f>AND(#REF!,"AAAAAFf6nwI=")</f>
        <v>#REF!</v>
      </c>
      <c r="D470" t="e">
        <f>AND(#REF!,"AAAAAFf6nwM=")</f>
        <v>#REF!</v>
      </c>
      <c r="E470" t="e">
        <f>IF(#REF!,"AAAAAFf6nwQ=",0)</f>
        <v>#REF!</v>
      </c>
      <c r="F470" t="e">
        <f>AND(#REF!,"AAAAAFf6nwU=")</f>
        <v>#REF!</v>
      </c>
      <c r="G470" t="e">
        <f>AND(#REF!,"AAAAAFf6nwY=")</f>
        <v>#REF!</v>
      </c>
      <c r="H470" t="e">
        <f>AND(#REF!,"AAAAAFf6nwc=")</f>
        <v>#REF!</v>
      </c>
      <c r="I470" t="e">
        <f>AND(#REF!,"AAAAAFf6nwg=")</f>
        <v>#REF!</v>
      </c>
      <c r="J470" t="e">
        <f>AND(#REF!,"AAAAAFf6nwk=")</f>
        <v>#REF!</v>
      </c>
      <c r="K470" t="e">
        <f>AND(#REF!,"AAAAAFf6nwo=")</f>
        <v>#REF!</v>
      </c>
      <c r="L470" t="e">
        <f>AND(#REF!,"AAAAAFf6nws=")</f>
        <v>#REF!</v>
      </c>
      <c r="M470" t="e">
        <f>AND(#REF!,"AAAAAFf6nww=")</f>
        <v>#REF!</v>
      </c>
      <c r="N470" t="e">
        <f>AND(#REF!,"AAAAAFf6nw0=")</f>
        <v>#REF!</v>
      </c>
      <c r="O470" t="e">
        <f>AND(#REF!,"AAAAAFf6nw4=")</f>
        <v>#REF!</v>
      </c>
      <c r="P470" t="e">
        <f>IF(#REF!,"AAAAAFf6nw8=",0)</f>
        <v>#REF!</v>
      </c>
      <c r="Q470" t="e">
        <f>AND(#REF!,"AAAAAFf6nxA=")</f>
        <v>#REF!</v>
      </c>
      <c r="R470" t="e">
        <f>AND(#REF!,"AAAAAFf6nxE=")</f>
        <v>#REF!</v>
      </c>
      <c r="S470" t="e">
        <f>AND(#REF!,"AAAAAFf6nxI=")</f>
        <v>#REF!</v>
      </c>
      <c r="T470" t="e">
        <f>AND(#REF!,"AAAAAFf6nxM=")</f>
        <v>#REF!</v>
      </c>
      <c r="U470" t="e">
        <f>AND(#REF!,"AAAAAFf6nxQ=")</f>
        <v>#REF!</v>
      </c>
      <c r="V470" t="e">
        <f>AND(#REF!,"AAAAAFf6nxU=")</f>
        <v>#REF!</v>
      </c>
      <c r="W470" t="e">
        <f>AND(#REF!,"AAAAAFf6nxY=")</f>
        <v>#REF!</v>
      </c>
      <c r="X470" t="e">
        <f>AND(#REF!,"AAAAAFf6nxc=")</f>
        <v>#REF!</v>
      </c>
      <c r="Y470" t="e">
        <f>AND(#REF!,"AAAAAFf6nxg=")</f>
        <v>#REF!</v>
      </c>
      <c r="Z470" t="e">
        <f>AND(#REF!,"AAAAAFf6nxk=")</f>
        <v>#REF!</v>
      </c>
      <c r="AA470" t="e">
        <f>IF(#REF!,"AAAAAFf6nxo=",0)</f>
        <v>#REF!</v>
      </c>
      <c r="AB470" t="e">
        <f>AND(#REF!,"AAAAAFf6nxs=")</f>
        <v>#REF!</v>
      </c>
      <c r="AC470" t="e">
        <f>AND(#REF!,"AAAAAFf6nxw=")</f>
        <v>#REF!</v>
      </c>
      <c r="AD470" t="e">
        <f>AND(#REF!,"AAAAAFf6nx0=")</f>
        <v>#REF!</v>
      </c>
      <c r="AE470" t="e">
        <f>AND(#REF!,"AAAAAFf6nx4=")</f>
        <v>#REF!</v>
      </c>
      <c r="AF470" t="e">
        <f>AND(#REF!,"AAAAAFf6nx8=")</f>
        <v>#REF!</v>
      </c>
      <c r="AG470" t="e">
        <f>AND(#REF!,"AAAAAFf6nyA=")</f>
        <v>#REF!</v>
      </c>
      <c r="AH470" t="e">
        <f>AND(#REF!,"AAAAAFf6nyE=")</f>
        <v>#REF!</v>
      </c>
      <c r="AI470" t="e">
        <f>AND(#REF!,"AAAAAFf6nyI=")</f>
        <v>#REF!</v>
      </c>
      <c r="AJ470" t="e">
        <f>AND(#REF!,"AAAAAFf6nyM=")</f>
        <v>#REF!</v>
      </c>
      <c r="AK470" t="e">
        <f>AND(#REF!,"AAAAAFf6nyQ=")</f>
        <v>#REF!</v>
      </c>
      <c r="AL470" t="e">
        <f>IF(#REF!,"AAAAAFf6nyU=",0)</f>
        <v>#REF!</v>
      </c>
      <c r="AM470" t="e">
        <f>AND(#REF!,"AAAAAFf6nyY=")</f>
        <v>#REF!</v>
      </c>
      <c r="AN470" t="e">
        <f>AND(#REF!,"AAAAAFf6nyc=")</f>
        <v>#REF!</v>
      </c>
      <c r="AO470" t="e">
        <f>AND(#REF!,"AAAAAFf6nyg=")</f>
        <v>#REF!</v>
      </c>
      <c r="AP470" t="e">
        <f>AND(#REF!,"AAAAAFf6nyk=")</f>
        <v>#REF!</v>
      </c>
      <c r="AQ470" t="e">
        <f>AND(#REF!,"AAAAAFf6nyo=")</f>
        <v>#REF!</v>
      </c>
      <c r="AR470" t="e">
        <f>AND(#REF!,"AAAAAFf6nys=")</f>
        <v>#REF!</v>
      </c>
      <c r="AS470" t="e">
        <f>AND(#REF!,"AAAAAFf6nyw=")</f>
        <v>#REF!</v>
      </c>
      <c r="AT470" t="e">
        <f>AND(#REF!,"AAAAAFf6ny0=")</f>
        <v>#REF!</v>
      </c>
      <c r="AU470" t="e">
        <f>AND(#REF!,"AAAAAFf6ny4=")</f>
        <v>#REF!</v>
      </c>
      <c r="AV470" t="e">
        <f>AND(#REF!,"AAAAAFf6ny8=")</f>
        <v>#REF!</v>
      </c>
      <c r="AW470" t="e">
        <f>IF(#REF!,"AAAAAFf6nzA=",0)</f>
        <v>#REF!</v>
      </c>
      <c r="AX470" t="e">
        <f>AND(#REF!,"AAAAAFf6nzE=")</f>
        <v>#REF!</v>
      </c>
      <c r="AY470" t="e">
        <f>AND(#REF!,"AAAAAFf6nzI=")</f>
        <v>#REF!</v>
      </c>
      <c r="AZ470" t="e">
        <f>AND(#REF!,"AAAAAFf6nzM=")</f>
        <v>#REF!</v>
      </c>
      <c r="BA470" t="e">
        <f>AND(#REF!,"AAAAAFf6nzQ=")</f>
        <v>#REF!</v>
      </c>
      <c r="BB470" t="e">
        <f>AND(#REF!,"AAAAAFf6nzU=")</f>
        <v>#REF!</v>
      </c>
      <c r="BC470" t="e">
        <f>AND(#REF!,"AAAAAFf6nzY=")</f>
        <v>#REF!</v>
      </c>
      <c r="BD470" t="e">
        <f>AND(#REF!,"AAAAAFf6nzc=")</f>
        <v>#REF!</v>
      </c>
      <c r="BE470" t="e">
        <f>AND(#REF!,"AAAAAFf6nzg=")</f>
        <v>#REF!</v>
      </c>
      <c r="BF470" t="e">
        <f>AND(#REF!,"AAAAAFf6nzk=")</f>
        <v>#REF!</v>
      </c>
      <c r="BG470" t="e">
        <f>AND(#REF!,"AAAAAFf6nzo=")</f>
        <v>#REF!</v>
      </c>
      <c r="BH470" t="e">
        <f>IF(#REF!,"AAAAAFf6nzs=",0)</f>
        <v>#REF!</v>
      </c>
      <c r="BI470" t="e">
        <f>AND(#REF!,"AAAAAFf6nzw=")</f>
        <v>#REF!</v>
      </c>
      <c r="BJ470" t="e">
        <f>AND(#REF!,"AAAAAFf6nz0=")</f>
        <v>#REF!</v>
      </c>
      <c r="BK470" t="e">
        <f>AND(#REF!,"AAAAAFf6nz4=")</f>
        <v>#REF!</v>
      </c>
      <c r="BL470" t="e">
        <f>AND(#REF!,"AAAAAFf6nz8=")</f>
        <v>#REF!</v>
      </c>
      <c r="BM470" t="e">
        <f>AND(#REF!,"AAAAAFf6n0A=")</f>
        <v>#REF!</v>
      </c>
      <c r="BN470" t="e">
        <f>AND(#REF!,"AAAAAFf6n0E=")</f>
        <v>#REF!</v>
      </c>
      <c r="BO470" t="e">
        <f>AND(#REF!,"AAAAAFf6n0I=")</f>
        <v>#REF!</v>
      </c>
      <c r="BP470" t="e">
        <f>AND(#REF!,"AAAAAFf6n0M=")</f>
        <v>#REF!</v>
      </c>
      <c r="BQ470" t="e">
        <f>AND(#REF!,"AAAAAFf6n0Q=")</f>
        <v>#REF!</v>
      </c>
      <c r="BR470" t="e">
        <f>AND(#REF!,"AAAAAFf6n0U=")</f>
        <v>#REF!</v>
      </c>
      <c r="BS470" t="e">
        <f>IF(#REF!,"AAAAAFf6n0Y=",0)</f>
        <v>#REF!</v>
      </c>
      <c r="BT470" t="e">
        <f>AND(#REF!,"AAAAAFf6n0c=")</f>
        <v>#REF!</v>
      </c>
      <c r="BU470" t="e">
        <f>AND(#REF!,"AAAAAFf6n0g=")</f>
        <v>#REF!</v>
      </c>
      <c r="BV470" t="e">
        <f>AND(#REF!,"AAAAAFf6n0k=")</f>
        <v>#REF!</v>
      </c>
      <c r="BW470" t="e">
        <f>AND(#REF!,"AAAAAFf6n0o=")</f>
        <v>#REF!</v>
      </c>
      <c r="BX470" t="e">
        <f>AND(#REF!,"AAAAAFf6n0s=")</f>
        <v>#REF!</v>
      </c>
      <c r="BY470" t="e">
        <f>AND(#REF!,"AAAAAFf6n0w=")</f>
        <v>#REF!</v>
      </c>
      <c r="BZ470" t="e">
        <f>AND(#REF!,"AAAAAFf6n00=")</f>
        <v>#REF!</v>
      </c>
      <c r="CA470" t="e">
        <f>AND(#REF!,"AAAAAFf6n04=")</f>
        <v>#REF!</v>
      </c>
      <c r="CB470" t="e">
        <f>AND(#REF!,"AAAAAFf6n08=")</f>
        <v>#REF!</v>
      </c>
      <c r="CC470" t="e">
        <f>AND(#REF!,"AAAAAFf6n1A=")</f>
        <v>#REF!</v>
      </c>
      <c r="CD470" t="e">
        <f>IF(#REF!,"AAAAAFf6n1E=",0)</f>
        <v>#REF!</v>
      </c>
      <c r="CE470" t="e">
        <f>AND(#REF!,"AAAAAFf6n1I=")</f>
        <v>#REF!</v>
      </c>
      <c r="CF470" t="e">
        <f>AND(#REF!,"AAAAAFf6n1M=")</f>
        <v>#REF!</v>
      </c>
      <c r="CG470" t="e">
        <f>AND(#REF!,"AAAAAFf6n1Q=")</f>
        <v>#REF!</v>
      </c>
      <c r="CH470" t="e">
        <f>AND(#REF!,"AAAAAFf6n1U=")</f>
        <v>#REF!</v>
      </c>
      <c r="CI470" t="e">
        <f>AND(#REF!,"AAAAAFf6n1Y=")</f>
        <v>#REF!</v>
      </c>
      <c r="CJ470" t="e">
        <f>AND(#REF!,"AAAAAFf6n1c=")</f>
        <v>#REF!</v>
      </c>
      <c r="CK470" t="e">
        <f>AND(#REF!,"AAAAAFf6n1g=")</f>
        <v>#REF!</v>
      </c>
      <c r="CL470" t="e">
        <f>AND(#REF!,"AAAAAFf6n1k=")</f>
        <v>#REF!</v>
      </c>
      <c r="CM470" t="e">
        <f>AND(#REF!,"AAAAAFf6n1o=")</f>
        <v>#REF!</v>
      </c>
      <c r="CN470" t="e">
        <f>AND(#REF!,"AAAAAFf6n1s=")</f>
        <v>#REF!</v>
      </c>
      <c r="CO470" t="e">
        <f>IF(#REF!,"AAAAAFf6n1w=",0)</f>
        <v>#REF!</v>
      </c>
      <c r="CP470" t="e">
        <f>AND(#REF!,"AAAAAFf6n10=")</f>
        <v>#REF!</v>
      </c>
      <c r="CQ470" t="e">
        <f>AND(#REF!,"AAAAAFf6n14=")</f>
        <v>#REF!</v>
      </c>
      <c r="CR470" t="e">
        <f>AND(#REF!,"AAAAAFf6n18=")</f>
        <v>#REF!</v>
      </c>
      <c r="CS470" t="e">
        <f>AND(#REF!,"AAAAAFf6n2A=")</f>
        <v>#REF!</v>
      </c>
      <c r="CT470" t="e">
        <f>AND(#REF!,"AAAAAFf6n2E=")</f>
        <v>#REF!</v>
      </c>
      <c r="CU470" t="e">
        <f>AND(#REF!,"AAAAAFf6n2I=")</f>
        <v>#REF!</v>
      </c>
      <c r="CV470" t="e">
        <f>AND(#REF!,"AAAAAFf6n2M=")</f>
        <v>#REF!</v>
      </c>
      <c r="CW470" t="e">
        <f>AND(#REF!,"AAAAAFf6n2Q=")</f>
        <v>#REF!</v>
      </c>
      <c r="CX470" t="e">
        <f>AND(#REF!,"AAAAAFf6n2U=")</f>
        <v>#REF!</v>
      </c>
      <c r="CY470" t="e">
        <f>AND(#REF!,"AAAAAFf6n2Y=")</f>
        <v>#REF!</v>
      </c>
      <c r="CZ470" t="e">
        <f>IF(#REF!,"AAAAAFf6n2c=",0)</f>
        <v>#REF!</v>
      </c>
      <c r="DA470" t="e">
        <f>AND(#REF!,"AAAAAFf6n2g=")</f>
        <v>#REF!</v>
      </c>
      <c r="DB470" t="e">
        <f>AND(#REF!,"AAAAAFf6n2k=")</f>
        <v>#REF!</v>
      </c>
      <c r="DC470" t="e">
        <f>AND(#REF!,"AAAAAFf6n2o=")</f>
        <v>#REF!</v>
      </c>
      <c r="DD470" t="e">
        <f>AND(#REF!,"AAAAAFf6n2s=")</f>
        <v>#REF!</v>
      </c>
      <c r="DE470" t="e">
        <f>AND(#REF!,"AAAAAFf6n2w=")</f>
        <v>#REF!</v>
      </c>
      <c r="DF470" t="e">
        <f>AND(#REF!,"AAAAAFf6n20=")</f>
        <v>#REF!</v>
      </c>
      <c r="DG470" t="e">
        <f>AND(#REF!,"AAAAAFf6n24=")</f>
        <v>#REF!</v>
      </c>
      <c r="DH470" t="e">
        <f>AND(#REF!,"AAAAAFf6n28=")</f>
        <v>#REF!</v>
      </c>
      <c r="DI470" t="e">
        <f>AND(#REF!,"AAAAAFf6n3A=")</f>
        <v>#REF!</v>
      </c>
      <c r="DJ470" t="e">
        <f>AND(#REF!,"AAAAAFf6n3E=")</f>
        <v>#REF!</v>
      </c>
      <c r="DK470" t="e">
        <f>IF(#REF!,"AAAAAFf6n3I=",0)</f>
        <v>#REF!</v>
      </c>
      <c r="DL470" t="e">
        <f>AND(#REF!,"AAAAAFf6n3M=")</f>
        <v>#REF!</v>
      </c>
      <c r="DM470" t="e">
        <f>AND(#REF!,"AAAAAFf6n3Q=")</f>
        <v>#REF!</v>
      </c>
      <c r="DN470" t="e">
        <f>AND(#REF!,"AAAAAFf6n3U=")</f>
        <v>#REF!</v>
      </c>
      <c r="DO470" t="e">
        <f>AND(#REF!,"AAAAAFf6n3Y=")</f>
        <v>#REF!</v>
      </c>
      <c r="DP470" t="e">
        <f>AND(#REF!,"AAAAAFf6n3c=")</f>
        <v>#REF!</v>
      </c>
      <c r="DQ470" t="e">
        <f>AND(#REF!,"AAAAAFf6n3g=")</f>
        <v>#REF!</v>
      </c>
      <c r="DR470" t="e">
        <f>AND(#REF!,"AAAAAFf6n3k=")</f>
        <v>#REF!</v>
      </c>
      <c r="DS470" t="e">
        <f>AND(#REF!,"AAAAAFf6n3o=")</f>
        <v>#REF!</v>
      </c>
      <c r="DT470" t="e">
        <f>AND(#REF!,"AAAAAFf6n3s=")</f>
        <v>#REF!</v>
      </c>
      <c r="DU470" t="e">
        <f>AND(#REF!,"AAAAAFf6n3w=")</f>
        <v>#REF!</v>
      </c>
      <c r="DV470" t="e">
        <f>IF(#REF!,"AAAAAFf6n30=",0)</f>
        <v>#REF!</v>
      </c>
      <c r="DW470" t="e">
        <f>AND(#REF!,"AAAAAFf6n34=")</f>
        <v>#REF!</v>
      </c>
      <c r="DX470" t="e">
        <f>AND(#REF!,"AAAAAFf6n38=")</f>
        <v>#REF!</v>
      </c>
      <c r="DY470" t="e">
        <f>AND(#REF!,"AAAAAFf6n4A=")</f>
        <v>#REF!</v>
      </c>
      <c r="DZ470" t="e">
        <f>AND(#REF!,"AAAAAFf6n4E=")</f>
        <v>#REF!</v>
      </c>
      <c r="EA470" t="e">
        <f>AND(#REF!,"AAAAAFf6n4I=")</f>
        <v>#REF!</v>
      </c>
      <c r="EB470" t="e">
        <f>AND(#REF!,"AAAAAFf6n4M=")</f>
        <v>#REF!</v>
      </c>
      <c r="EC470" t="e">
        <f>AND(#REF!,"AAAAAFf6n4Q=")</f>
        <v>#REF!</v>
      </c>
      <c r="ED470" t="e">
        <f>AND(#REF!,"AAAAAFf6n4U=")</f>
        <v>#REF!</v>
      </c>
      <c r="EE470" t="e">
        <f>AND(#REF!,"AAAAAFf6n4Y=")</f>
        <v>#REF!</v>
      </c>
      <c r="EF470" t="e">
        <f>AND(#REF!,"AAAAAFf6n4c=")</f>
        <v>#REF!</v>
      </c>
      <c r="EG470" t="e">
        <f>IF(#REF!,"AAAAAFf6n4g=",0)</f>
        <v>#REF!</v>
      </c>
      <c r="EH470" t="e">
        <f>AND(#REF!,"AAAAAFf6n4k=")</f>
        <v>#REF!</v>
      </c>
      <c r="EI470" t="e">
        <f>AND(#REF!,"AAAAAFf6n4o=")</f>
        <v>#REF!</v>
      </c>
      <c r="EJ470" t="e">
        <f>AND(#REF!,"AAAAAFf6n4s=")</f>
        <v>#REF!</v>
      </c>
      <c r="EK470" t="e">
        <f>AND(#REF!,"AAAAAFf6n4w=")</f>
        <v>#REF!</v>
      </c>
      <c r="EL470" t="e">
        <f>AND(#REF!,"AAAAAFf6n40=")</f>
        <v>#REF!</v>
      </c>
      <c r="EM470" t="e">
        <f>AND(#REF!,"AAAAAFf6n44=")</f>
        <v>#REF!</v>
      </c>
      <c r="EN470" t="e">
        <f>AND(#REF!,"AAAAAFf6n48=")</f>
        <v>#REF!</v>
      </c>
      <c r="EO470" t="e">
        <f>AND(#REF!,"AAAAAFf6n5A=")</f>
        <v>#REF!</v>
      </c>
      <c r="EP470" t="e">
        <f>AND(#REF!,"AAAAAFf6n5E=")</f>
        <v>#REF!</v>
      </c>
      <c r="EQ470" t="e">
        <f>AND(#REF!,"AAAAAFf6n5I=")</f>
        <v>#REF!</v>
      </c>
      <c r="ER470" t="e">
        <f>IF(#REF!,"AAAAAFf6n5M=",0)</f>
        <v>#REF!</v>
      </c>
      <c r="ES470" t="e">
        <f>AND(#REF!,"AAAAAFf6n5Q=")</f>
        <v>#REF!</v>
      </c>
      <c r="ET470" t="e">
        <f>AND(#REF!,"AAAAAFf6n5U=")</f>
        <v>#REF!</v>
      </c>
      <c r="EU470" t="e">
        <f>AND(#REF!,"AAAAAFf6n5Y=")</f>
        <v>#REF!</v>
      </c>
      <c r="EV470" t="e">
        <f>AND(#REF!,"AAAAAFf6n5c=")</f>
        <v>#REF!</v>
      </c>
      <c r="EW470" t="e">
        <f>AND(#REF!,"AAAAAFf6n5g=")</f>
        <v>#REF!</v>
      </c>
      <c r="EX470" t="e">
        <f>AND(#REF!,"AAAAAFf6n5k=")</f>
        <v>#REF!</v>
      </c>
      <c r="EY470" t="e">
        <f>AND(#REF!,"AAAAAFf6n5o=")</f>
        <v>#REF!</v>
      </c>
      <c r="EZ470" t="e">
        <f>AND(#REF!,"AAAAAFf6n5s=")</f>
        <v>#REF!</v>
      </c>
      <c r="FA470" t="e">
        <f>AND(#REF!,"AAAAAFf6n5w=")</f>
        <v>#REF!</v>
      </c>
      <c r="FB470" t="e">
        <f>AND(#REF!,"AAAAAFf6n50=")</f>
        <v>#REF!</v>
      </c>
      <c r="FC470" t="e">
        <f>IF(#REF!,"AAAAAFf6n54=",0)</f>
        <v>#REF!</v>
      </c>
      <c r="FD470" t="e">
        <f>AND(#REF!,"AAAAAFf6n58=")</f>
        <v>#REF!</v>
      </c>
      <c r="FE470" t="e">
        <f>AND(#REF!,"AAAAAFf6n6A=")</f>
        <v>#REF!</v>
      </c>
      <c r="FF470" t="e">
        <f>AND(#REF!,"AAAAAFf6n6E=")</f>
        <v>#REF!</v>
      </c>
      <c r="FG470" t="e">
        <f>AND(#REF!,"AAAAAFf6n6I=")</f>
        <v>#REF!</v>
      </c>
      <c r="FH470" t="e">
        <f>AND(#REF!,"AAAAAFf6n6M=")</f>
        <v>#REF!</v>
      </c>
      <c r="FI470" t="e">
        <f>AND(#REF!,"AAAAAFf6n6Q=")</f>
        <v>#REF!</v>
      </c>
      <c r="FJ470" t="e">
        <f>AND(#REF!,"AAAAAFf6n6U=")</f>
        <v>#REF!</v>
      </c>
      <c r="FK470" t="e">
        <f>AND(#REF!,"AAAAAFf6n6Y=")</f>
        <v>#REF!</v>
      </c>
      <c r="FL470" t="e">
        <f>AND(#REF!,"AAAAAFf6n6c=")</f>
        <v>#REF!</v>
      </c>
      <c r="FM470" t="e">
        <f>AND(#REF!,"AAAAAFf6n6g=")</f>
        <v>#REF!</v>
      </c>
      <c r="FN470" t="e">
        <f>IF(#REF!,"AAAAAFf6n6k=",0)</f>
        <v>#REF!</v>
      </c>
      <c r="FO470" t="e">
        <f>AND(#REF!,"AAAAAFf6n6o=")</f>
        <v>#REF!</v>
      </c>
      <c r="FP470" t="e">
        <f>AND(#REF!,"AAAAAFf6n6s=")</f>
        <v>#REF!</v>
      </c>
      <c r="FQ470" t="e">
        <f>AND(#REF!,"AAAAAFf6n6w=")</f>
        <v>#REF!</v>
      </c>
      <c r="FR470" t="e">
        <f>AND(#REF!,"AAAAAFf6n60=")</f>
        <v>#REF!</v>
      </c>
      <c r="FS470" t="e">
        <f>AND(#REF!,"AAAAAFf6n64=")</f>
        <v>#REF!</v>
      </c>
      <c r="FT470" t="e">
        <f>AND(#REF!,"AAAAAFf6n68=")</f>
        <v>#REF!</v>
      </c>
      <c r="FU470" t="e">
        <f>AND(#REF!,"AAAAAFf6n7A=")</f>
        <v>#REF!</v>
      </c>
      <c r="FV470" t="e">
        <f>AND(#REF!,"AAAAAFf6n7E=")</f>
        <v>#REF!</v>
      </c>
      <c r="FW470" t="e">
        <f>AND(#REF!,"AAAAAFf6n7I=")</f>
        <v>#REF!</v>
      </c>
      <c r="FX470" t="e">
        <f>AND(#REF!,"AAAAAFf6n7M=")</f>
        <v>#REF!</v>
      </c>
      <c r="FY470" t="e">
        <f>IF(#REF!,"AAAAAFf6n7Q=",0)</f>
        <v>#REF!</v>
      </c>
      <c r="FZ470" t="e">
        <f>AND(#REF!,"AAAAAFf6n7U=")</f>
        <v>#REF!</v>
      </c>
      <c r="GA470" t="e">
        <f>AND(#REF!,"AAAAAFf6n7Y=")</f>
        <v>#REF!</v>
      </c>
      <c r="GB470" t="e">
        <f>AND(#REF!,"AAAAAFf6n7c=")</f>
        <v>#REF!</v>
      </c>
      <c r="GC470" t="e">
        <f>AND(#REF!,"AAAAAFf6n7g=")</f>
        <v>#REF!</v>
      </c>
      <c r="GD470" t="e">
        <f>AND(#REF!,"AAAAAFf6n7k=")</f>
        <v>#REF!</v>
      </c>
      <c r="GE470" t="e">
        <f>AND(#REF!,"AAAAAFf6n7o=")</f>
        <v>#REF!</v>
      </c>
      <c r="GF470" t="e">
        <f>AND(#REF!,"AAAAAFf6n7s=")</f>
        <v>#REF!</v>
      </c>
      <c r="GG470" t="e">
        <f>AND(#REF!,"AAAAAFf6n7w=")</f>
        <v>#REF!</v>
      </c>
      <c r="GH470" t="e">
        <f>AND(#REF!,"AAAAAFf6n70=")</f>
        <v>#REF!</v>
      </c>
      <c r="GI470" t="e">
        <f>AND(#REF!,"AAAAAFf6n74=")</f>
        <v>#REF!</v>
      </c>
      <c r="GJ470" t="e">
        <f>IF(#REF!,"AAAAAFf6n78=",0)</f>
        <v>#REF!</v>
      </c>
      <c r="GK470" t="e">
        <f>AND(#REF!,"AAAAAFf6n8A=")</f>
        <v>#REF!</v>
      </c>
      <c r="GL470" t="e">
        <f>AND(#REF!,"AAAAAFf6n8E=")</f>
        <v>#REF!</v>
      </c>
      <c r="GM470" t="e">
        <f>AND(#REF!,"AAAAAFf6n8I=")</f>
        <v>#REF!</v>
      </c>
      <c r="GN470" t="e">
        <f>AND(#REF!,"AAAAAFf6n8M=")</f>
        <v>#REF!</v>
      </c>
      <c r="GO470" t="e">
        <f>AND(#REF!,"AAAAAFf6n8Q=")</f>
        <v>#REF!</v>
      </c>
      <c r="GP470" t="e">
        <f>AND(#REF!,"AAAAAFf6n8U=")</f>
        <v>#REF!</v>
      </c>
      <c r="GQ470" t="e">
        <f>AND(#REF!,"AAAAAFf6n8Y=")</f>
        <v>#REF!</v>
      </c>
      <c r="GR470" t="e">
        <f>AND(#REF!,"AAAAAFf6n8c=")</f>
        <v>#REF!</v>
      </c>
      <c r="GS470" t="e">
        <f>AND(#REF!,"AAAAAFf6n8g=")</f>
        <v>#REF!</v>
      </c>
      <c r="GT470" t="e">
        <f>AND(#REF!,"AAAAAFf6n8k=")</f>
        <v>#REF!</v>
      </c>
      <c r="GU470" t="e">
        <f>IF(#REF!,"AAAAAFf6n8o=",0)</f>
        <v>#REF!</v>
      </c>
      <c r="GV470" t="e">
        <f>AND(#REF!,"AAAAAFf6n8s=")</f>
        <v>#REF!</v>
      </c>
      <c r="GW470" t="e">
        <f>AND(#REF!,"AAAAAFf6n8w=")</f>
        <v>#REF!</v>
      </c>
      <c r="GX470" t="e">
        <f>AND(#REF!,"AAAAAFf6n80=")</f>
        <v>#REF!</v>
      </c>
      <c r="GY470" t="e">
        <f>AND(#REF!,"AAAAAFf6n84=")</f>
        <v>#REF!</v>
      </c>
      <c r="GZ470" t="e">
        <f>AND(#REF!,"AAAAAFf6n88=")</f>
        <v>#REF!</v>
      </c>
      <c r="HA470" t="e">
        <f>AND(#REF!,"AAAAAFf6n9A=")</f>
        <v>#REF!</v>
      </c>
      <c r="HB470" t="e">
        <f>AND(#REF!,"AAAAAFf6n9E=")</f>
        <v>#REF!</v>
      </c>
      <c r="HC470" t="e">
        <f>AND(#REF!,"AAAAAFf6n9I=")</f>
        <v>#REF!</v>
      </c>
      <c r="HD470" t="e">
        <f>AND(#REF!,"AAAAAFf6n9M=")</f>
        <v>#REF!</v>
      </c>
      <c r="HE470" t="e">
        <f>AND(#REF!,"AAAAAFf6n9Q=")</f>
        <v>#REF!</v>
      </c>
      <c r="HF470" t="e">
        <f>IF(#REF!,"AAAAAFf6n9U=",0)</f>
        <v>#REF!</v>
      </c>
      <c r="HG470" t="e">
        <f>AND(#REF!,"AAAAAFf6n9Y=")</f>
        <v>#REF!</v>
      </c>
      <c r="HH470" t="e">
        <f>AND(#REF!,"AAAAAFf6n9c=")</f>
        <v>#REF!</v>
      </c>
      <c r="HI470" t="e">
        <f>AND(#REF!,"AAAAAFf6n9g=")</f>
        <v>#REF!</v>
      </c>
      <c r="HJ470" t="e">
        <f>AND(#REF!,"AAAAAFf6n9k=")</f>
        <v>#REF!</v>
      </c>
      <c r="HK470" t="e">
        <f>AND(#REF!,"AAAAAFf6n9o=")</f>
        <v>#REF!</v>
      </c>
      <c r="HL470" t="e">
        <f>AND(#REF!,"AAAAAFf6n9s=")</f>
        <v>#REF!</v>
      </c>
      <c r="HM470" t="e">
        <f>AND(#REF!,"AAAAAFf6n9w=")</f>
        <v>#REF!</v>
      </c>
      <c r="HN470" t="e">
        <f>AND(#REF!,"AAAAAFf6n90=")</f>
        <v>#REF!</v>
      </c>
      <c r="HO470" t="e">
        <f>AND(#REF!,"AAAAAFf6n94=")</f>
        <v>#REF!</v>
      </c>
      <c r="HP470" t="e">
        <f>AND(#REF!,"AAAAAFf6n98=")</f>
        <v>#REF!</v>
      </c>
      <c r="HQ470" t="e">
        <f>IF(#REF!,"AAAAAFf6n+A=",0)</f>
        <v>#REF!</v>
      </c>
      <c r="HR470" t="e">
        <f>AND(#REF!,"AAAAAFf6n+E=")</f>
        <v>#REF!</v>
      </c>
      <c r="HS470" t="e">
        <f>AND(#REF!,"AAAAAFf6n+I=")</f>
        <v>#REF!</v>
      </c>
      <c r="HT470" t="e">
        <f>AND(#REF!,"AAAAAFf6n+M=")</f>
        <v>#REF!</v>
      </c>
      <c r="HU470" t="e">
        <f>AND(#REF!,"AAAAAFf6n+Q=")</f>
        <v>#REF!</v>
      </c>
      <c r="HV470" t="e">
        <f>AND(#REF!,"AAAAAFf6n+U=")</f>
        <v>#REF!</v>
      </c>
      <c r="HW470" t="e">
        <f>AND(#REF!,"AAAAAFf6n+Y=")</f>
        <v>#REF!</v>
      </c>
      <c r="HX470" t="e">
        <f>AND(#REF!,"AAAAAFf6n+c=")</f>
        <v>#REF!</v>
      </c>
      <c r="HY470" t="e">
        <f>AND(#REF!,"AAAAAFf6n+g=")</f>
        <v>#REF!</v>
      </c>
      <c r="HZ470" t="e">
        <f>AND(#REF!,"AAAAAFf6n+k=")</f>
        <v>#REF!</v>
      </c>
      <c r="IA470" t="e">
        <f>AND(#REF!,"AAAAAFf6n+o=")</f>
        <v>#REF!</v>
      </c>
      <c r="IB470" t="e">
        <f>IF(#REF!,"AAAAAFf6n+s=",0)</f>
        <v>#REF!</v>
      </c>
      <c r="IC470" t="e">
        <f>AND(#REF!,"AAAAAFf6n+w=")</f>
        <v>#REF!</v>
      </c>
      <c r="ID470" t="e">
        <f>AND(#REF!,"AAAAAFf6n+0=")</f>
        <v>#REF!</v>
      </c>
      <c r="IE470" t="e">
        <f>AND(#REF!,"AAAAAFf6n+4=")</f>
        <v>#REF!</v>
      </c>
      <c r="IF470" t="e">
        <f>AND(#REF!,"AAAAAFf6n+8=")</f>
        <v>#REF!</v>
      </c>
      <c r="IG470" t="e">
        <f>AND(#REF!,"AAAAAFf6n/A=")</f>
        <v>#REF!</v>
      </c>
      <c r="IH470" t="e">
        <f>AND(#REF!,"AAAAAFf6n/E=")</f>
        <v>#REF!</v>
      </c>
      <c r="II470" t="e">
        <f>AND(#REF!,"AAAAAFf6n/I=")</f>
        <v>#REF!</v>
      </c>
      <c r="IJ470" t="e">
        <f>AND(#REF!,"AAAAAFf6n/M=")</f>
        <v>#REF!</v>
      </c>
      <c r="IK470" t="e">
        <f>AND(#REF!,"AAAAAFf6n/Q=")</f>
        <v>#REF!</v>
      </c>
      <c r="IL470" t="e">
        <f>AND(#REF!,"AAAAAFf6n/U=")</f>
        <v>#REF!</v>
      </c>
      <c r="IM470" t="e">
        <f>IF(#REF!,"AAAAAFf6n/Y=",0)</f>
        <v>#REF!</v>
      </c>
      <c r="IN470" t="e">
        <f>AND(#REF!,"AAAAAFf6n/c=")</f>
        <v>#REF!</v>
      </c>
      <c r="IO470" t="e">
        <f>AND(#REF!,"AAAAAFf6n/g=")</f>
        <v>#REF!</v>
      </c>
      <c r="IP470" t="e">
        <f>AND(#REF!,"AAAAAFf6n/k=")</f>
        <v>#REF!</v>
      </c>
      <c r="IQ470" t="e">
        <f>AND(#REF!,"AAAAAFf6n/o=")</f>
        <v>#REF!</v>
      </c>
      <c r="IR470" t="e">
        <f>AND(#REF!,"AAAAAFf6n/s=")</f>
        <v>#REF!</v>
      </c>
      <c r="IS470" t="e">
        <f>AND(#REF!,"AAAAAFf6n/w=")</f>
        <v>#REF!</v>
      </c>
      <c r="IT470" t="e">
        <f>AND(#REF!,"AAAAAFf6n/0=")</f>
        <v>#REF!</v>
      </c>
      <c r="IU470" t="e">
        <f>AND(#REF!,"AAAAAFf6n/4=")</f>
        <v>#REF!</v>
      </c>
      <c r="IV470" t="e">
        <f>AND(#REF!,"AAAAAFf6n/8=")</f>
        <v>#REF!</v>
      </c>
    </row>
    <row r="471" spans="1:256" x14ac:dyDescent="0.25">
      <c r="A471" t="e">
        <f>AND(#REF!,"AAAAAH6zvwA=")</f>
        <v>#REF!</v>
      </c>
      <c r="B471" t="e">
        <f>IF(#REF!,"AAAAAH6zvwE=",0)</f>
        <v>#REF!</v>
      </c>
      <c r="C471" t="e">
        <f>AND(#REF!,"AAAAAH6zvwI=")</f>
        <v>#REF!</v>
      </c>
      <c r="D471" t="e">
        <f>AND(#REF!,"AAAAAH6zvwM=")</f>
        <v>#REF!</v>
      </c>
      <c r="E471" t="e">
        <f>AND(#REF!,"AAAAAH6zvwQ=")</f>
        <v>#REF!</v>
      </c>
      <c r="F471" t="e">
        <f>AND(#REF!,"AAAAAH6zvwU=")</f>
        <v>#REF!</v>
      </c>
      <c r="G471" t="e">
        <f>AND(#REF!,"AAAAAH6zvwY=")</f>
        <v>#REF!</v>
      </c>
      <c r="H471" t="e">
        <f>AND(#REF!,"AAAAAH6zvwc=")</f>
        <v>#REF!</v>
      </c>
      <c r="I471" t="e">
        <f>AND(#REF!,"AAAAAH6zvwg=")</f>
        <v>#REF!</v>
      </c>
      <c r="J471" t="e">
        <f>AND(#REF!,"AAAAAH6zvwk=")</f>
        <v>#REF!</v>
      </c>
      <c r="K471" t="e">
        <f>AND(#REF!,"AAAAAH6zvwo=")</f>
        <v>#REF!</v>
      </c>
      <c r="L471" t="e">
        <f>AND(#REF!,"AAAAAH6zvws=")</f>
        <v>#REF!</v>
      </c>
      <c r="M471" t="e">
        <f>IF(#REF!,"AAAAAH6zvww=",0)</f>
        <v>#REF!</v>
      </c>
      <c r="N471" t="e">
        <f>AND(#REF!,"AAAAAH6zvw0=")</f>
        <v>#REF!</v>
      </c>
      <c r="O471" t="e">
        <f>AND(#REF!,"AAAAAH6zvw4=")</f>
        <v>#REF!</v>
      </c>
      <c r="P471" t="e">
        <f>AND(#REF!,"AAAAAH6zvw8=")</f>
        <v>#REF!</v>
      </c>
      <c r="Q471" t="e">
        <f>AND(#REF!,"AAAAAH6zvxA=")</f>
        <v>#REF!</v>
      </c>
      <c r="R471" t="e">
        <f>AND(#REF!,"AAAAAH6zvxE=")</f>
        <v>#REF!</v>
      </c>
      <c r="S471" t="e">
        <f>AND(#REF!,"AAAAAH6zvxI=")</f>
        <v>#REF!</v>
      </c>
      <c r="T471" t="e">
        <f>AND(#REF!,"AAAAAH6zvxM=")</f>
        <v>#REF!</v>
      </c>
      <c r="U471" t="e">
        <f>AND(#REF!,"AAAAAH6zvxQ=")</f>
        <v>#REF!</v>
      </c>
      <c r="V471" t="e">
        <f>AND(#REF!,"AAAAAH6zvxU=")</f>
        <v>#REF!</v>
      </c>
      <c r="W471" t="e">
        <f>AND(#REF!,"AAAAAH6zvxY=")</f>
        <v>#REF!</v>
      </c>
      <c r="X471" t="e">
        <f>IF(#REF!,"AAAAAH6zvxc=",0)</f>
        <v>#REF!</v>
      </c>
      <c r="Y471" t="e">
        <f>AND(#REF!,"AAAAAH6zvxg=")</f>
        <v>#REF!</v>
      </c>
      <c r="Z471" t="e">
        <f>AND(#REF!,"AAAAAH6zvxk=")</f>
        <v>#REF!</v>
      </c>
      <c r="AA471" t="e">
        <f>AND(#REF!,"AAAAAH6zvxo=")</f>
        <v>#REF!</v>
      </c>
      <c r="AB471" t="e">
        <f>AND(#REF!,"AAAAAH6zvxs=")</f>
        <v>#REF!</v>
      </c>
      <c r="AC471" t="e">
        <f>AND(#REF!,"AAAAAH6zvxw=")</f>
        <v>#REF!</v>
      </c>
      <c r="AD471" t="e">
        <f>AND(#REF!,"AAAAAH6zvx0=")</f>
        <v>#REF!</v>
      </c>
      <c r="AE471" t="e">
        <f>AND(#REF!,"AAAAAH6zvx4=")</f>
        <v>#REF!</v>
      </c>
      <c r="AF471" t="e">
        <f>AND(#REF!,"AAAAAH6zvx8=")</f>
        <v>#REF!</v>
      </c>
      <c r="AG471" t="e">
        <f>AND(#REF!,"AAAAAH6zvyA=")</f>
        <v>#REF!</v>
      </c>
      <c r="AH471" t="e">
        <f>AND(#REF!,"AAAAAH6zvyE=")</f>
        <v>#REF!</v>
      </c>
      <c r="AI471" t="e">
        <f>IF(#REF!,"AAAAAH6zvyI=",0)</f>
        <v>#REF!</v>
      </c>
      <c r="AJ471" t="e">
        <f>AND(#REF!,"AAAAAH6zvyM=")</f>
        <v>#REF!</v>
      </c>
      <c r="AK471" t="e">
        <f>AND(#REF!,"AAAAAH6zvyQ=")</f>
        <v>#REF!</v>
      </c>
      <c r="AL471" t="e">
        <f>AND(#REF!,"AAAAAH6zvyU=")</f>
        <v>#REF!</v>
      </c>
      <c r="AM471" t="e">
        <f>AND(#REF!,"AAAAAH6zvyY=")</f>
        <v>#REF!</v>
      </c>
      <c r="AN471" t="e">
        <f>AND(#REF!,"AAAAAH6zvyc=")</f>
        <v>#REF!</v>
      </c>
      <c r="AO471" t="e">
        <f>AND(#REF!,"AAAAAH6zvyg=")</f>
        <v>#REF!</v>
      </c>
      <c r="AP471" t="e">
        <f>AND(#REF!,"AAAAAH6zvyk=")</f>
        <v>#REF!</v>
      </c>
      <c r="AQ471" t="e">
        <f>AND(#REF!,"AAAAAH6zvyo=")</f>
        <v>#REF!</v>
      </c>
      <c r="AR471" t="e">
        <f>AND(#REF!,"AAAAAH6zvys=")</f>
        <v>#REF!</v>
      </c>
      <c r="AS471" t="e">
        <f>AND(#REF!,"AAAAAH6zvyw=")</f>
        <v>#REF!</v>
      </c>
      <c r="AT471" t="e">
        <f>IF(#REF!,"AAAAAH6zvy0=",0)</f>
        <v>#REF!</v>
      </c>
      <c r="AU471" t="e">
        <f>AND(#REF!,"AAAAAH6zvy4=")</f>
        <v>#REF!</v>
      </c>
      <c r="AV471" t="e">
        <f>AND(#REF!,"AAAAAH6zvy8=")</f>
        <v>#REF!</v>
      </c>
      <c r="AW471" t="e">
        <f>AND(#REF!,"AAAAAH6zvzA=")</f>
        <v>#REF!</v>
      </c>
      <c r="AX471" t="e">
        <f>AND(#REF!,"AAAAAH6zvzE=")</f>
        <v>#REF!</v>
      </c>
      <c r="AY471" t="e">
        <f>AND(#REF!,"AAAAAH6zvzI=")</f>
        <v>#REF!</v>
      </c>
      <c r="AZ471" t="e">
        <f>AND(#REF!,"AAAAAH6zvzM=")</f>
        <v>#REF!</v>
      </c>
      <c r="BA471" t="e">
        <f>AND(#REF!,"AAAAAH6zvzQ=")</f>
        <v>#REF!</v>
      </c>
      <c r="BB471" t="e">
        <f>AND(#REF!,"AAAAAH6zvzU=")</f>
        <v>#REF!</v>
      </c>
      <c r="BC471" t="e">
        <f>AND(#REF!,"AAAAAH6zvzY=")</f>
        <v>#REF!</v>
      </c>
      <c r="BD471" t="e">
        <f>AND(#REF!,"AAAAAH6zvzc=")</f>
        <v>#REF!</v>
      </c>
      <c r="BE471" t="e">
        <f>IF(#REF!,"AAAAAH6zvzg=",0)</f>
        <v>#REF!</v>
      </c>
      <c r="BF471" t="e">
        <f>AND(#REF!,"AAAAAH6zvzk=")</f>
        <v>#REF!</v>
      </c>
      <c r="BG471" t="e">
        <f>AND(#REF!,"AAAAAH6zvzo=")</f>
        <v>#REF!</v>
      </c>
      <c r="BH471" t="e">
        <f>AND(#REF!,"AAAAAH6zvzs=")</f>
        <v>#REF!</v>
      </c>
      <c r="BI471" t="e">
        <f>AND(#REF!,"AAAAAH6zvzw=")</f>
        <v>#REF!</v>
      </c>
      <c r="BJ471" t="e">
        <f>AND(#REF!,"AAAAAH6zvz0=")</f>
        <v>#REF!</v>
      </c>
      <c r="BK471" t="e">
        <f>AND(#REF!,"AAAAAH6zvz4=")</f>
        <v>#REF!</v>
      </c>
      <c r="BL471" t="e">
        <f>AND(#REF!,"AAAAAH6zvz8=")</f>
        <v>#REF!</v>
      </c>
      <c r="BM471" t="e">
        <f>AND(#REF!,"AAAAAH6zv0A=")</f>
        <v>#REF!</v>
      </c>
      <c r="BN471" t="e">
        <f>AND(#REF!,"AAAAAH6zv0E=")</f>
        <v>#REF!</v>
      </c>
      <c r="BO471" t="e">
        <f>AND(#REF!,"AAAAAH6zv0I=")</f>
        <v>#REF!</v>
      </c>
      <c r="BP471" t="e">
        <f>IF(#REF!,"AAAAAH6zv0M=",0)</f>
        <v>#REF!</v>
      </c>
      <c r="BQ471" t="e">
        <f>AND(#REF!,"AAAAAH6zv0Q=")</f>
        <v>#REF!</v>
      </c>
      <c r="BR471" t="e">
        <f>AND(#REF!,"AAAAAH6zv0U=")</f>
        <v>#REF!</v>
      </c>
      <c r="BS471" t="e">
        <f>AND(#REF!,"AAAAAH6zv0Y=")</f>
        <v>#REF!</v>
      </c>
      <c r="BT471" t="e">
        <f>AND(#REF!,"AAAAAH6zv0c=")</f>
        <v>#REF!</v>
      </c>
      <c r="BU471" t="e">
        <f>AND(#REF!,"AAAAAH6zv0g=")</f>
        <v>#REF!</v>
      </c>
      <c r="BV471" t="e">
        <f>AND(#REF!,"AAAAAH6zv0k=")</f>
        <v>#REF!</v>
      </c>
      <c r="BW471" t="e">
        <f>AND(#REF!,"AAAAAH6zv0o=")</f>
        <v>#REF!</v>
      </c>
      <c r="BX471" t="e">
        <f>AND(#REF!,"AAAAAH6zv0s=")</f>
        <v>#REF!</v>
      </c>
      <c r="BY471" t="e">
        <f>AND(#REF!,"AAAAAH6zv0w=")</f>
        <v>#REF!</v>
      </c>
      <c r="BZ471" t="e">
        <f>AND(#REF!,"AAAAAH6zv00=")</f>
        <v>#REF!</v>
      </c>
      <c r="CA471" t="e">
        <f>IF(#REF!,"AAAAAH6zv04=",0)</f>
        <v>#REF!</v>
      </c>
      <c r="CB471" t="e">
        <f>AND(#REF!,"AAAAAH6zv08=")</f>
        <v>#REF!</v>
      </c>
      <c r="CC471" t="e">
        <f>AND(#REF!,"AAAAAH6zv1A=")</f>
        <v>#REF!</v>
      </c>
      <c r="CD471" t="e">
        <f>AND(#REF!,"AAAAAH6zv1E=")</f>
        <v>#REF!</v>
      </c>
      <c r="CE471" t="e">
        <f>AND(#REF!,"AAAAAH6zv1I=")</f>
        <v>#REF!</v>
      </c>
      <c r="CF471" t="e">
        <f>AND(#REF!,"AAAAAH6zv1M=")</f>
        <v>#REF!</v>
      </c>
      <c r="CG471" t="e">
        <f>AND(#REF!,"AAAAAH6zv1Q=")</f>
        <v>#REF!</v>
      </c>
      <c r="CH471" t="e">
        <f>AND(#REF!,"AAAAAH6zv1U=")</f>
        <v>#REF!</v>
      </c>
      <c r="CI471" t="e">
        <f>AND(#REF!,"AAAAAH6zv1Y=")</f>
        <v>#REF!</v>
      </c>
      <c r="CJ471" t="e">
        <f>AND(#REF!,"AAAAAH6zv1c=")</f>
        <v>#REF!</v>
      </c>
      <c r="CK471" t="e">
        <f>AND(#REF!,"AAAAAH6zv1g=")</f>
        <v>#REF!</v>
      </c>
      <c r="CL471" t="e">
        <f>IF(#REF!,"AAAAAH6zv1k=",0)</f>
        <v>#REF!</v>
      </c>
      <c r="CM471" t="e">
        <f>AND(#REF!,"AAAAAH6zv1o=")</f>
        <v>#REF!</v>
      </c>
      <c r="CN471" t="e">
        <f>AND(#REF!,"AAAAAH6zv1s=")</f>
        <v>#REF!</v>
      </c>
      <c r="CO471" t="e">
        <f>AND(#REF!,"AAAAAH6zv1w=")</f>
        <v>#REF!</v>
      </c>
      <c r="CP471" t="e">
        <f>AND(#REF!,"AAAAAH6zv10=")</f>
        <v>#REF!</v>
      </c>
      <c r="CQ471" t="e">
        <f>AND(#REF!,"AAAAAH6zv14=")</f>
        <v>#REF!</v>
      </c>
      <c r="CR471" t="e">
        <f>AND(#REF!,"AAAAAH6zv18=")</f>
        <v>#REF!</v>
      </c>
      <c r="CS471" t="e">
        <f>AND(#REF!,"AAAAAH6zv2A=")</f>
        <v>#REF!</v>
      </c>
      <c r="CT471" t="e">
        <f>AND(#REF!,"AAAAAH6zv2E=")</f>
        <v>#REF!</v>
      </c>
      <c r="CU471" t="e">
        <f>AND(#REF!,"AAAAAH6zv2I=")</f>
        <v>#REF!</v>
      </c>
      <c r="CV471" t="e">
        <f>AND(#REF!,"AAAAAH6zv2M=")</f>
        <v>#REF!</v>
      </c>
      <c r="CW471" t="e">
        <f>IF(#REF!,"AAAAAH6zv2Q=",0)</f>
        <v>#REF!</v>
      </c>
      <c r="CX471" t="e">
        <f>AND(#REF!,"AAAAAH6zv2U=")</f>
        <v>#REF!</v>
      </c>
      <c r="CY471" t="e">
        <f>AND(#REF!,"AAAAAH6zv2Y=")</f>
        <v>#REF!</v>
      </c>
      <c r="CZ471" t="e">
        <f>AND(#REF!,"AAAAAH6zv2c=")</f>
        <v>#REF!</v>
      </c>
      <c r="DA471" t="e">
        <f>AND(#REF!,"AAAAAH6zv2g=")</f>
        <v>#REF!</v>
      </c>
      <c r="DB471" t="e">
        <f>AND(#REF!,"AAAAAH6zv2k=")</f>
        <v>#REF!</v>
      </c>
      <c r="DC471" t="e">
        <f>AND(#REF!,"AAAAAH6zv2o=")</f>
        <v>#REF!</v>
      </c>
      <c r="DD471" t="e">
        <f>AND(#REF!,"AAAAAH6zv2s=")</f>
        <v>#REF!</v>
      </c>
      <c r="DE471" t="e">
        <f>AND(#REF!,"AAAAAH6zv2w=")</f>
        <v>#REF!</v>
      </c>
      <c r="DF471" t="e">
        <f>AND(#REF!,"AAAAAH6zv20=")</f>
        <v>#REF!</v>
      </c>
      <c r="DG471" t="e">
        <f>AND(#REF!,"AAAAAH6zv24=")</f>
        <v>#REF!</v>
      </c>
      <c r="DH471" t="e">
        <f>IF(#REF!,"AAAAAH6zv28=",0)</f>
        <v>#REF!</v>
      </c>
      <c r="DI471" t="e">
        <f>AND(#REF!,"AAAAAH6zv3A=")</f>
        <v>#REF!</v>
      </c>
      <c r="DJ471" t="e">
        <f>AND(#REF!,"AAAAAH6zv3E=")</f>
        <v>#REF!</v>
      </c>
      <c r="DK471" t="e">
        <f>AND(#REF!,"AAAAAH6zv3I=")</f>
        <v>#REF!</v>
      </c>
      <c r="DL471" t="e">
        <f>AND(#REF!,"AAAAAH6zv3M=")</f>
        <v>#REF!</v>
      </c>
      <c r="DM471" t="e">
        <f>AND(#REF!,"AAAAAH6zv3Q=")</f>
        <v>#REF!</v>
      </c>
      <c r="DN471" t="e">
        <f>AND(#REF!,"AAAAAH6zv3U=")</f>
        <v>#REF!</v>
      </c>
      <c r="DO471" t="e">
        <f>AND(#REF!,"AAAAAH6zv3Y=")</f>
        <v>#REF!</v>
      </c>
      <c r="DP471" t="e">
        <f>AND(#REF!,"AAAAAH6zv3c=")</f>
        <v>#REF!</v>
      </c>
      <c r="DQ471" t="e">
        <f>AND(#REF!,"AAAAAH6zv3g=")</f>
        <v>#REF!</v>
      </c>
      <c r="DR471" t="e">
        <f>AND(#REF!,"AAAAAH6zv3k=")</f>
        <v>#REF!</v>
      </c>
      <c r="DS471" t="e">
        <f>IF(#REF!,"AAAAAH6zv3o=",0)</f>
        <v>#REF!</v>
      </c>
      <c r="DT471" t="e">
        <f>AND(#REF!,"AAAAAH6zv3s=")</f>
        <v>#REF!</v>
      </c>
      <c r="DU471" t="e">
        <f>AND(#REF!,"AAAAAH6zv3w=")</f>
        <v>#REF!</v>
      </c>
      <c r="DV471" t="e">
        <f>AND(#REF!,"AAAAAH6zv30=")</f>
        <v>#REF!</v>
      </c>
      <c r="DW471" t="e">
        <f>AND(#REF!,"AAAAAH6zv34=")</f>
        <v>#REF!</v>
      </c>
      <c r="DX471" t="e">
        <f>AND(#REF!,"AAAAAH6zv38=")</f>
        <v>#REF!</v>
      </c>
      <c r="DY471" t="e">
        <f>AND(#REF!,"AAAAAH6zv4A=")</f>
        <v>#REF!</v>
      </c>
      <c r="DZ471" t="e">
        <f>AND(#REF!,"AAAAAH6zv4E=")</f>
        <v>#REF!</v>
      </c>
      <c r="EA471" t="e">
        <f>AND(#REF!,"AAAAAH6zv4I=")</f>
        <v>#REF!</v>
      </c>
      <c r="EB471" t="e">
        <f>AND(#REF!,"AAAAAH6zv4M=")</f>
        <v>#REF!</v>
      </c>
      <c r="EC471" t="e">
        <f>AND(#REF!,"AAAAAH6zv4Q=")</f>
        <v>#REF!</v>
      </c>
      <c r="ED471" t="e">
        <f>IF(#REF!,"AAAAAH6zv4U=",0)</f>
        <v>#REF!</v>
      </c>
      <c r="EE471" t="e">
        <f>AND(#REF!,"AAAAAH6zv4Y=")</f>
        <v>#REF!</v>
      </c>
      <c r="EF471" t="e">
        <f>AND(#REF!,"AAAAAH6zv4c=")</f>
        <v>#REF!</v>
      </c>
      <c r="EG471" t="e">
        <f>AND(#REF!,"AAAAAH6zv4g=")</f>
        <v>#REF!</v>
      </c>
      <c r="EH471" t="e">
        <f>AND(#REF!,"AAAAAH6zv4k=")</f>
        <v>#REF!</v>
      </c>
      <c r="EI471" t="e">
        <f>AND(#REF!,"AAAAAH6zv4o=")</f>
        <v>#REF!</v>
      </c>
      <c r="EJ471" t="e">
        <f>AND(#REF!,"AAAAAH6zv4s=")</f>
        <v>#REF!</v>
      </c>
      <c r="EK471" t="e">
        <f>AND(#REF!,"AAAAAH6zv4w=")</f>
        <v>#REF!</v>
      </c>
      <c r="EL471" t="e">
        <f>AND(#REF!,"AAAAAH6zv40=")</f>
        <v>#REF!</v>
      </c>
      <c r="EM471" t="e">
        <f>AND(#REF!,"AAAAAH6zv44=")</f>
        <v>#REF!</v>
      </c>
      <c r="EN471" t="e">
        <f>AND(#REF!,"AAAAAH6zv48=")</f>
        <v>#REF!</v>
      </c>
      <c r="EO471" t="e">
        <f>IF(#REF!,"AAAAAH6zv5A=",0)</f>
        <v>#REF!</v>
      </c>
      <c r="EP471" t="e">
        <f>AND(#REF!,"AAAAAH6zv5E=")</f>
        <v>#REF!</v>
      </c>
      <c r="EQ471" t="e">
        <f>AND(#REF!,"AAAAAH6zv5I=")</f>
        <v>#REF!</v>
      </c>
      <c r="ER471" t="e">
        <f>AND(#REF!,"AAAAAH6zv5M=")</f>
        <v>#REF!</v>
      </c>
      <c r="ES471" t="e">
        <f>AND(#REF!,"AAAAAH6zv5Q=")</f>
        <v>#REF!</v>
      </c>
      <c r="ET471" t="e">
        <f>AND(#REF!,"AAAAAH6zv5U=")</f>
        <v>#REF!</v>
      </c>
      <c r="EU471" t="e">
        <f>AND(#REF!,"AAAAAH6zv5Y=")</f>
        <v>#REF!</v>
      </c>
      <c r="EV471" t="e">
        <f>AND(#REF!,"AAAAAH6zv5c=")</f>
        <v>#REF!</v>
      </c>
      <c r="EW471" t="e">
        <f>AND(#REF!,"AAAAAH6zv5g=")</f>
        <v>#REF!</v>
      </c>
      <c r="EX471" t="e">
        <f>AND(#REF!,"AAAAAH6zv5k=")</f>
        <v>#REF!</v>
      </c>
      <c r="EY471" t="e">
        <f>AND(#REF!,"AAAAAH6zv5o=")</f>
        <v>#REF!</v>
      </c>
      <c r="EZ471" t="e">
        <f>IF(#REF!,"AAAAAH6zv5s=",0)</f>
        <v>#REF!</v>
      </c>
      <c r="FA471" t="e">
        <f>AND(#REF!,"AAAAAH6zv5w=")</f>
        <v>#REF!</v>
      </c>
      <c r="FB471" t="e">
        <f>AND(#REF!,"AAAAAH6zv50=")</f>
        <v>#REF!</v>
      </c>
      <c r="FC471" t="e">
        <f>AND(#REF!,"AAAAAH6zv54=")</f>
        <v>#REF!</v>
      </c>
      <c r="FD471" t="e">
        <f>AND(#REF!,"AAAAAH6zv58=")</f>
        <v>#REF!</v>
      </c>
      <c r="FE471" t="e">
        <f>AND(#REF!,"AAAAAH6zv6A=")</f>
        <v>#REF!</v>
      </c>
      <c r="FF471" t="e">
        <f>AND(#REF!,"AAAAAH6zv6E=")</f>
        <v>#REF!</v>
      </c>
      <c r="FG471" t="e">
        <f>AND(#REF!,"AAAAAH6zv6I=")</f>
        <v>#REF!</v>
      </c>
      <c r="FH471" t="e">
        <f>AND(#REF!,"AAAAAH6zv6M=")</f>
        <v>#REF!</v>
      </c>
      <c r="FI471" t="e">
        <f>AND(#REF!,"AAAAAH6zv6Q=")</f>
        <v>#REF!</v>
      </c>
      <c r="FJ471" t="e">
        <f>AND(#REF!,"AAAAAH6zv6U=")</f>
        <v>#REF!</v>
      </c>
      <c r="FK471" t="e">
        <f>IF(#REF!,"AAAAAH6zv6Y=",0)</f>
        <v>#REF!</v>
      </c>
      <c r="FL471" t="e">
        <f>AND(#REF!,"AAAAAH6zv6c=")</f>
        <v>#REF!</v>
      </c>
      <c r="FM471" t="e">
        <f>AND(#REF!,"AAAAAH6zv6g=")</f>
        <v>#REF!</v>
      </c>
      <c r="FN471" t="e">
        <f>AND(#REF!,"AAAAAH6zv6k=")</f>
        <v>#REF!</v>
      </c>
      <c r="FO471" t="e">
        <f>AND(#REF!,"AAAAAH6zv6o=")</f>
        <v>#REF!</v>
      </c>
      <c r="FP471" t="e">
        <f>AND(#REF!,"AAAAAH6zv6s=")</f>
        <v>#REF!</v>
      </c>
      <c r="FQ471" t="e">
        <f>AND(#REF!,"AAAAAH6zv6w=")</f>
        <v>#REF!</v>
      </c>
      <c r="FR471" t="e">
        <f>AND(#REF!,"AAAAAH6zv60=")</f>
        <v>#REF!</v>
      </c>
      <c r="FS471" t="e">
        <f>AND(#REF!,"AAAAAH6zv64=")</f>
        <v>#REF!</v>
      </c>
      <c r="FT471" t="e">
        <f>AND(#REF!,"AAAAAH6zv68=")</f>
        <v>#REF!</v>
      </c>
      <c r="FU471" t="e">
        <f>AND(#REF!,"AAAAAH6zv7A=")</f>
        <v>#REF!</v>
      </c>
      <c r="FV471" t="e">
        <f>IF(#REF!,"AAAAAH6zv7E=",0)</f>
        <v>#REF!</v>
      </c>
      <c r="FW471" t="e">
        <f>AND(#REF!,"AAAAAH6zv7I=")</f>
        <v>#REF!</v>
      </c>
      <c r="FX471" t="e">
        <f>AND(#REF!,"AAAAAH6zv7M=")</f>
        <v>#REF!</v>
      </c>
      <c r="FY471" t="e">
        <f>AND(#REF!,"AAAAAH6zv7Q=")</f>
        <v>#REF!</v>
      </c>
      <c r="FZ471" t="e">
        <f>AND(#REF!,"AAAAAH6zv7U=")</f>
        <v>#REF!</v>
      </c>
      <c r="GA471" t="e">
        <f>AND(#REF!,"AAAAAH6zv7Y=")</f>
        <v>#REF!</v>
      </c>
      <c r="GB471" t="e">
        <f>AND(#REF!,"AAAAAH6zv7c=")</f>
        <v>#REF!</v>
      </c>
      <c r="GC471" t="e">
        <f>AND(#REF!,"AAAAAH6zv7g=")</f>
        <v>#REF!</v>
      </c>
      <c r="GD471" t="e">
        <f>AND(#REF!,"AAAAAH6zv7k=")</f>
        <v>#REF!</v>
      </c>
      <c r="GE471" t="e">
        <f>AND(#REF!,"AAAAAH6zv7o=")</f>
        <v>#REF!</v>
      </c>
      <c r="GF471" t="e">
        <f>AND(#REF!,"AAAAAH6zv7s=")</f>
        <v>#REF!</v>
      </c>
      <c r="GG471" t="e">
        <f>IF(#REF!,"AAAAAH6zv7w=",0)</f>
        <v>#REF!</v>
      </c>
      <c r="GH471" t="e">
        <f>AND(#REF!,"AAAAAH6zv70=")</f>
        <v>#REF!</v>
      </c>
      <c r="GI471" t="e">
        <f>AND(#REF!,"AAAAAH6zv74=")</f>
        <v>#REF!</v>
      </c>
      <c r="GJ471" t="e">
        <f>AND(#REF!,"AAAAAH6zv78=")</f>
        <v>#REF!</v>
      </c>
      <c r="GK471" t="e">
        <f>AND(#REF!,"AAAAAH6zv8A=")</f>
        <v>#REF!</v>
      </c>
      <c r="GL471" t="e">
        <f>AND(#REF!,"AAAAAH6zv8E=")</f>
        <v>#REF!</v>
      </c>
      <c r="GM471" t="e">
        <f>AND(#REF!,"AAAAAH6zv8I=")</f>
        <v>#REF!</v>
      </c>
      <c r="GN471" t="e">
        <f>AND(#REF!,"AAAAAH6zv8M=")</f>
        <v>#REF!</v>
      </c>
      <c r="GO471" t="e">
        <f>AND(#REF!,"AAAAAH6zv8Q=")</f>
        <v>#REF!</v>
      </c>
      <c r="GP471" t="e">
        <f>AND(#REF!,"AAAAAH6zv8U=")</f>
        <v>#REF!</v>
      </c>
      <c r="GQ471" t="e">
        <f>AND(#REF!,"AAAAAH6zv8Y=")</f>
        <v>#REF!</v>
      </c>
      <c r="GR471" t="e">
        <f>IF(#REF!,"AAAAAH6zv8c=",0)</f>
        <v>#REF!</v>
      </c>
      <c r="GS471" t="e">
        <f>AND(#REF!,"AAAAAH6zv8g=")</f>
        <v>#REF!</v>
      </c>
      <c r="GT471" t="e">
        <f>AND(#REF!,"AAAAAH6zv8k=")</f>
        <v>#REF!</v>
      </c>
      <c r="GU471" t="e">
        <f>AND(#REF!,"AAAAAH6zv8o=")</f>
        <v>#REF!</v>
      </c>
      <c r="GV471" t="e">
        <f>AND(#REF!,"AAAAAH6zv8s=")</f>
        <v>#REF!</v>
      </c>
      <c r="GW471" t="e">
        <f>AND(#REF!,"AAAAAH6zv8w=")</f>
        <v>#REF!</v>
      </c>
      <c r="GX471" t="e">
        <f>AND(#REF!,"AAAAAH6zv80=")</f>
        <v>#REF!</v>
      </c>
      <c r="GY471" t="e">
        <f>AND(#REF!,"AAAAAH6zv84=")</f>
        <v>#REF!</v>
      </c>
      <c r="GZ471" t="e">
        <f>AND(#REF!,"AAAAAH6zv88=")</f>
        <v>#REF!</v>
      </c>
      <c r="HA471" t="e">
        <f>AND(#REF!,"AAAAAH6zv9A=")</f>
        <v>#REF!</v>
      </c>
      <c r="HB471" t="e">
        <f>AND(#REF!,"AAAAAH6zv9E=")</f>
        <v>#REF!</v>
      </c>
      <c r="HC471" t="e">
        <f>IF(#REF!,"AAAAAH6zv9I=",0)</f>
        <v>#REF!</v>
      </c>
      <c r="HD471" t="e">
        <f>AND(#REF!,"AAAAAH6zv9M=")</f>
        <v>#REF!</v>
      </c>
      <c r="HE471" t="e">
        <f>AND(#REF!,"AAAAAH6zv9Q=")</f>
        <v>#REF!</v>
      </c>
      <c r="HF471" t="e">
        <f>AND(#REF!,"AAAAAH6zv9U=")</f>
        <v>#REF!</v>
      </c>
      <c r="HG471" t="e">
        <f>AND(#REF!,"AAAAAH6zv9Y=")</f>
        <v>#REF!</v>
      </c>
      <c r="HH471" t="e">
        <f>AND(#REF!,"AAAAAH6zv9c=")</f>
        <v>#REF!</v>
      </c>
      <c r="HI471" t="e">
        <f>AND(#REF!,"AAAAAH6zv9g=")</f>
        <v>#REF!</v>
      </c>
      <c r="HJ471" t="e">
        <f>AND(#REF!,"AAAAAH6zv9k=")</f>
        <v>#REF!</v>
      </c>
      <c r="HK471" t="e">
        <f>AND(#REF!,"AAAAAH6zv9o=")</f>
        <v>#REF!</v>
      </c>
      <c r="HL471" t="e">
        <f>AND(#REF!,"AAAAAH6zv9s=")</f>
        <v>#REF!</v>
      </c>
      <c r="HM471" t="e">
        <f>AND(#REF!,"AAAAAH6zv9w=")</f>
        <v>#REF!</v>
      </c>
      <c r="HN471" t="e">
        <f>IF(#REF!,"AAAAAH6zv90=",0)</f>
        <v>#REF!</v>
      </c>
      <c r="HO471" t="e">
        <f>AND(#REF!,"AAAAAH6zv94=")</f>
        <v>#REF!</v>
      </c>
      <c r="HP471" t="e">
        <f>AND(#REF!,"AAAAAH6zv98=")</f>
        <v>#REF!</v>
      </c>
      <c r="HQ471" t="e">
        <f>AND(#REF!,"AAAAAH6zv+A=")</f>
        <v>#REF!</v>
      </c>
      <c r="HR471" t="e">
        <f>AND(#REF!,"AAAAAH6zv+E=")</f>
        <v>#REF!</v>
      </c>
      <c r="HS471" t="e">
        <f>AND(#REF!,"AAAAAH6zv+I=")</f>
        <v>#REF!</v>
      </c>
      <c r="HT471" t="e">
        <f>AND(#REF!,"AAAAAH6zv+M=")</f>
        <v>#REF!</v>
      </c>
      <c r="HU471" t="e">
        <f>AND(#REF!,"AAAAAH6zv+Q=")</f>
        <v>#REF!</v>
      </c>
      <c r="HV471" t="e">
        <f>AND(#REF!,"AAAAAH6zv+U=")</f>
        <v>#REF!</v>
      </c>
      <c r="HW471" t="e">
        <f>AND(#REF!,"AAAAAH6zv+Y=")</f>
        <v>#REF!</v>
      </c>
      <c r="HX471" t="e">
        <f>AND(#REF!,"AAAAAH6zv+c=")</f>
        <v>#REF!</v>
      </c>
      <c r="HY471" t="e">
        <f>IF(#REF!,"AAAAAH6zv+g=",0)</f>
        <v>#REF!</v>
      </c>
      <c r="HZ471" t="e">
        <f>AND(#REF!,"AAAAAH6zv+k=")</f>
        <v>#REF!</v>
      </c>
      <c r="IA471" t="e">
        <f>AND(#REF!,"AAAAAH6zv+o=")</f>
        <v>#REF!</v>
      </c>
      <c r="IB471" t="e">
        <f>AND(#REF!,"AAAAAH6zv+s=")</f>
        <v>#REF!</v>
      </c>
      <c r="IC471" t="e">
        <f>AND(#REF!,"AAAAAH6zv+w=")</f>
        <v>#REF!</v>
      </c>
      <c r="ID471" t="e">
        <f>AND(#REF!,"AAAAAH6zv+0=")</f>
        <v>#REF!</v>
      </c>
      <c r="IE471" t="e">
        <f>AND(#REF!,"AAAAAH6zv+4=")</f>
        <v>#REF!</v>
      </c>
      <c r="IF471" t="e">
        <f>AND(#REF!,"AAAAAH6zv+8=")</f>
        <v>#REF!</v>
      </c>
      <c r="IG471" t="e">
        <f>AND(#REF!,"AAAAAH6zv/A=")</f>
        <v>#REF!</v>
      </c>
      <c r="IH471" t="e">
        <f>AND(#REF!,"AAAAAH6zv/E=")</f>
        <v>#REF!</v>
      </c>
      <c r="II471" t="e">
        <f>AND(#REF!,"AAAAAH6zv/I=")</f>
        <v>#REF!</v>
      </c>
      <c r="IJ471" t="e">
        <f>IF(#REF!,"AAAAAH6zv/M=",0)</f>
        <v>#REF!</v>
      </c>
      <c r="IK471" t="e">
        <f>AND(#REF!,"AAAAAH6zv/Q=")</f>
        <v>#REF!</v>
      </c>
      <c r="IL471" t="e">
        <f>AND(#REF!,"AAAAAH6zv/U=")</f>
        <v>#REF!</v>
      </c>
      <c r="IM471" t="e">
        <f>AND(#REF!,"AAAAAH6zv/Y=")</f>
        <v>#REF!</v>
      </c>
      <c r="IN471" t="e">
        <f>AND(#REF!,"AAAAAH6zv/c=")</f>
        <v>#REF!</v>
      </c>
      <c r="IO471" t="e">
        <f>AND(#REF!,"AAAAAH6zv/g=")</f>
        <v>#REF!</v>
      </c>
      <c r="IP471" t="e">
        <f>AND(#REF!,"AAAAAH6zv/k=")</f>
        <v>#REF!</v>
      </c>
      <c r="IQ471" t="e">
        <f>AND(#REF!,"AAAAAH6zv/o=")</f>
        <v>#REF!</v>
      </c>
      <c r="IR471" t="e">
        <f>AND(#REF!,"AAAAAH6zv/s=")</f>
        <v>#REF!</v>
      </c>
      <c r="IS471" t="e">
        <f>AND(#REF!,"AAAAAH6zv/w=")</f>
        <v>#REF!</v>
      </c>
      <c r="IT471" t="e">
        <f>AND(#REF!,"AAAAAH6zv/0=")</f>
        <v>#REF!</v>
      </c>
      <c r="IU471" t="e">
        <f>IF(#REF!,"AAAAAH6zv/4=",0)</f>
        <v>#REF!</v>
      </c>
      <c r="IV471" t="e">
        <f>AND(#REF!,"AAAAAH6zv/8=")</f>
        <v>#REF!</v>
      </c>
    </row>
    <row r="472" spans="1:256" x14ac:dyDescent="0.25">
      <c r="A472" t="e">
        <f>AND(#REF!,"AAAAAG/7/wA=")</f>
        <v>#REF!</v>
      </c>
      <c r="B472" t="e">
        <f>AND(#REF!,"AAAAAG/7/wE=")</f>
        <v>#REF!</v>
      </c>
      <c r="C472" t="e">
        <f>AND(#REF!,"AAAAAG/7/wI=")</f>
        <v>#REF!</v>
      </c>
      <c r="D472" t="e">
        <f>AND(#REF!,"AAAAAG/7/wM=")</f>
        <v>#REF!</v>
      </c>
      <c r="E472" t="e">
        <f>AND(#REF!,"AAAAAG/7/wQ=")</f>
        <v>#REF!</v>
      </c>
      <c r="F472" t="e">
        <f>AND(#REF!,"AAAAAG/7/wU=")</f>
        <v>#REF!</v>
      </c>
      <c r="G472" t="e">
        <f>AND(#REF!,"AAAAAG/7/wY=")</f>
        <v>#REF!</v>
      </c>
      <c r="H472" t="e">
        <f>AND(#REF!,"AAAAAG/7/wc=")</f>
        <v>#REF!</v>
      </c>
      <c r="I472" t="e">
        <f>AND(#REF!,"AAAAAG/7/wg=")</f>
        <v>#REF!</v>
      </c>
      <c r="J472" t="e">
        <f>IF(#REF!,"AAAAAG/7/wk=",0)</f>
        <v>#REF!</v>
      </c>
      <c r="K472" t="e">
        <f>AND(#REF!,"AAAAAG/7/wo=")</f>
        <v>#REF!</v>
      </c>
      <c r="L472" t="e">
        <f>AND(#REF!,"AAAAAG/7/ws=")</f>
        <v>#REF!</v>
      </c>
      <c r="M472" t="e">
        <f>AND(#REF!,"AAAAAG/7/ww=")</f>
        <v>#REF!</v>
      </c>
      <c r="N472" t="e">
        <f>AND(#REF!,"AAAAAG/7/w0=")</f>
        <v>#REF!</v>
      </c>
      <c r="O472" t="e">
        <f>AND(#REF!,"AAAAAG/7/w4=")</f>
        <v>#REF!</v>
      </c>
      <c r="P472" t="e">
        <f>AND(#REF!,"AAAAAG/7/w8=")</f>
        <v>#REF!</v>
      </c>
      <c r="Q472" t="e">
        <f>AND(#REF!,"AAAAAG/7/xA=")</f>
        <v>#REF!</v>
      </c>
      <c r="R472" t="e">
        <f>AND(#REF!,"AAAAAG/7/xE=")</f>
        <v>#REF!</v>
      </c>
      <c r="S472" t="e">
        <f>AND(#REF!,"AAAAAG/7/xI=")</f>
        <v>#REF!</v>
      </c>
      <c r="T472" t="e">
        <f>AND(#REF!,"AAAAAG/7/xM=")</f>
        <v>#REF!</v>
      </c>
      <c r="U472" t="e">
        <f>IF(#REF!,"AAAAAG/7/xQ=",0)</f>
        <v>#REF!</v>
      </c>
      <c r="V472" t="e">
        <f>AND(#REF!,"AAAAAG/7/xU=")</f>
        <v>#REF!</v>
      </c>
      <c r="W472" t="e">
        <f>AND(#REF!,"AAAAAG/7/xY=")</f>
        <v>#REF!</v>
      </c>
      <c r="X472" t="e">
        <f>AND(#REF!,"AAAAAG/7/xc=")</f>
        <v>#REF!</v>
      </c>
      <c r="Y472" t="e">
        <f>AND(#REF!,"AAAAAG/7/xg=")</f>
        <v>#REF!</v>
      </c>
      <c r="Z472" t="e">
        <f>AND(#REF!,"AAAAAG/7/xk=")</f>
        <v>#REF!</v>
      </c>
      <c r="AA472" t="e">
        <f>AND(#REF!,"AAAAAG/7/xo=")</f>
        <v>#REF!</v>
      </c>
      <c r="AB472" t="e">
        <f>AND(#REF!,"AAAAAG/7/xs=")</f>
        <v>#REF!</v>
      </c>
      <c r="AC472" t="e">
        <f>AND(#REF!,"AAAAAG/7/xw=")</f>
        <v>#REF!</v>
      </c>
      <c r="AD472" t="e">
        <f>AND(#REF!,"AAAAAG/7/x0=")</f>
        <v>#REF!</v>
      </c>
      <c r="AE472" t="e">
        <f>AND(#REF!,"AAAAAG/7/x4=")</f>
        <v>#REF!</v>
      </c>
      <c r="AF472" t="e">
        <f>IF(#REF!,"AAAAAG/7/x8=",0)</f>
        <v>#REF!</v>
      </c>
      <c r="AG472" t="e">
        <f>AND(#REF!,"AAAAAG/7/yA=")</f>
        <v>#REF!</v>
      </c>
      <c r="AH472" t="e">
        <f>AND(#REF!,"AAAAAG/7/yE=")</f>
        <v>#REF!</v>
      </c>
      <c r="AI472" t="e">
        <f>AND(#REF!,"AAAAAG/7/yI=")</f>
        <v>#REF!</v>
      </c>
      <c r="AJ472" t="e">
        <f>AND(#REF!,"AAAAAG/7/yM=")</f>
        <v>#REF!</v>
      </c>
      <c r="AK472" t="e">
        <f>AND(#REF!,"AAAAAG/7/yQ=")</f>
        <v>#REF!</v>
      </c>
      <c r="AL472" t="e">
        <f>AND(#REF!,"AAAAAG/7/yU=")</f>
        <v>#REF!</v>
      </c>
      <c r="AM472" t="e">
        <f>AND(#REF!,"AAAAAG/7/yY=")</f>
        <v>#REF!</v>
      </c>
      <c r="AN472" t="e">
        <f>AND(#REF!,"AAAAAG/7/yc=")</f>
        <v>#REF!</v>
      </c>
      <c r="AO472" t="e">
        <f>AND(#REF!,"AAAAAG/7/yg=")</f>
        <v>#REF!</v>
      </c>
      <c r="AP472" t="e">
        <f>AND(#REF!,"AAAAAG/7/yk=")</f>
        <v>#REF!</v>
      </c>
      <c r="AQ472" t="e">
        <f>IF(#REF!,"AAAAAG/7/yo=",0)</f>
        <v>#REF!</v>
      </c>
      <c r="AR472" t="e">
        <f>AND(#REF!,"AAAAAG/7/ys=")</f>
        <v>#REF!</v>
      </c>
      <c r="AS472" t="e">
        <f>AND(#REF!,"AAAAAG/7/yw=")</f>
        <v>#REF!</v>
      </c>
      <c r="AT472" t="e">
        <f>AND(#REF!,"AAAAAG/7/y0=")</f>
        <v>#REF!</v>
      </c>
      <c r="AU472" t="e">
        <f>AND(#REF!,"AAAAAG/7/y4=")</f>
        <v>#REF!</v>
      </c>
      <c r="AV472" t="e">
        <f>AND(#REF!,"AAAAAG/7/y8=")</f>
        <v>#REF!</v>
      </c>
      <c r="AW472" t="e">
        <f>AND(#REF!,"AAAAAG/7/zA=")</f>
        <v>#REF!</v>
      </c>
      <c r="AX472" t="e">
        <f>AND(#REF!,"AAAAAG/7/zE=")</f>
        <v>#REF!</v>
      </c>
      <c r="AY472" t="e">
        <f>AND(#REF!,"AAAAAG/7/zI=")</f>
        <v>#REF!</v>
      </c>
      <c r="AZ472" t="e">
        <f>AND(#REF!,"AAAAAG/7/zM=")</f>
        <v>#REF!</v>
      </c>
      <c r="BA472" t="e">
        <f>AND(#REF!,"AAAAAG/7/zQ=")</f>
        <v>#REF!</v>
      </c>
      <c r="BB472" t="e">
        <f>IF(#REF!,"AAAAAG/7/zU=",0)</f>
        <v>#REF!</v>
      </c>
      <c r="BC472" t="e">
        <f>AND(#REF!,"AAAAAG/7/zY=")</f>
        <v>#REF!</v>
      </c>
      <c r="BD472" t="e">
        <f>AND(#REF!,"AAAAAG/7/zc=")</f>
        <v>#REF!</v>
      </c>
      <c r="BE472" t="e">
        <f>AND(#REF!,"AAAAAG/7/zg=")</f>
        <v>#REF!</v>
      </c>
      <c r="BF472" t="e">
        <f>AND(#REF!,"AAAAAG/7/zk=")</f>
        <v>#REF!</v>
      </c>
      <c r="BG472" t="e">
        <f>AND(#REF!,"AAAAAG/7/zo=")</f>
        <v>#REF!</v>
      </c>
      <c r="BH472" t="e">
        <f>AND(#REF!,"AAAAAG/7/zs=")</f>
        <v>#REF!</v>
      </c>
      <c r="BI472" t="e">
        <f>AND(#REF!,"AAAAAG/7/zw=")</f>
        <v>#REF!</v>
      </c>
      <c r="BJ472" t="e">
        <f>AND(#REF!,"AAAAAG/7/z0=")</f>
        <v>#REF!</v>
      </c>
      <c r="BK472" t="e">
        <f>AND(#REF!,"AAAAAG/7/z4=")</f>
        <v>#REF!</v>
      </c>
      <c r="BL472" t="e">
        <f>AND(#REF!,"AAAAAG/7/z8=")</f>
        <v>#REF!</v>
      </c>
      <c r="BM472" t="e">
        <f>IF(#REF!,"AAAAAG/7/0A=",0)</f>
        <v>#REF!</v>
      </c>
      <c r="BN472" t="e">
        <f>AND(#REF!,"AAAAAG/7/0E=")</f>
        <v>#REF!</v>
      </c>
      <c r="BO472" t="e">
        <f>AND(#REF!,"AAAAAG/7/0I=")</f>
        <v>#REF!</v>
      </c>
      <c r="BP472" t="e">
        <f>AND(#REF!,"AAAAAG/7/0M=")</f>
        <v>#REF!</v>
      </c>
      <c r="BQ472" t="e">
        <f>AND(#REF!,"AAAAAG/7/0Q=")</f>
        <v>#REF!</v>
      </c>
      <c r="BR472" t="e">
        <f>AND(#REF!,"AAAAAG/7/0U=")</f>
        <v>#REF!</v>
      </c>
      <c r="BS472" t="e">
        <f>AND(#REF!,"AAAAAG/7/0Y=")</f>
        <v>#REF!</v>
      </c>
      <c r="BT472" t="e">
        <f>AND(#REF!,"AAAAAG/7/0c=")</f>
        <v>#REF!</v>
      </c>
      <c r="BU472" t="e">
        <f>AND(#REF!,"AAAAAG/7/0g=")</f>
        <v>#REF!</v>
      </c>
      <c r="BV472" t="e">
        <f>AND(#REF!,"AAAAAG/7/0k=")</f>
        <v>#REF!</v>
      </c>
      <c r="BW472" t="e">
        <f>AND(#REF!,"AAAAAG/7/0o=")</f>
        <v>#REF!</v>
      </c>
      <c r="BX472" t="e">
        <f>IF(#REF!,"AAAAAG/7/0s=",0)</f>
        <v>#REF!</v>
      </c>
      <c r="BY472" t="e">
        <f>AND(#REF!,"AAAAAG/7/0w=")</f>
        <v>#REF!</v>
      </c>
      <c r="BZ472" t="e">
        <f>AND(#REF!,"AAAAAG/7/00=")</f>
        <v>#REF!</v>
      </c>
      <c r="CA472" t="e">
        <f>AND(#REF!,"AAAAAG/7/04=")</f>
        <v>#REF!</v>
      </c>
      <c r="CB472" t="e">
        <f>AND(#REF!,"AAAAAG/7/08=")</f>
        <v>#REF!</v>
      </c>
      <c r="CC472" t="e">
        <f>AND(#REF!,"AAAAAG/7/1A=")</f>
        <v>#REF!</v>
      </c>
      <c r="CD472" t="e">
        <f>AND(#REF!,"AAAAAG/7/1E=")</f>
        <v>#REF!</v>
      </c>
      <c r="CE472" t="e">
        <f>AND(#REF!,"AAAAAG/7/1I=")</f>
        <v>#REF!</v>
      </c>
      <c r="CF472" t="e">
        <f>AND(#REF!,"AAAAAG/7/1M=")</f>
        <v>#REF!</v>
      </c>
      <c r="CG472" t="e">
        <f>AND(#REF!,"AAAAAG/7/1Q=")</f>
        <v>#REF!</v>
      </c>
      <c r="CH472" t="e">
        <f>AND(#REF!,"AAAAAG/7/1U=")</f>
        <v>#REF!</v>
      </c>
      <c r="CI472" t="e">
        <f>IF(#REF!,"AAAAAG/7/1Y=",0)</f>
        <v>#REF!</v>
      </c>
      <c r="CJ472" t="e">
        <f>AND(#REF!,"AAAAAG/7/1c=")</f>
        <v>#REF!</v>
      </c>
      <c r="CK472" t="e">
        <f>AND(#REF!,"AAAAAG/7/1g=")</f>
        <v>#REF!</v>
      </c>
      <c r="CL472" t="e">
        <f>AND(#REF!,"AAAAAG/7/1k=")</f>
        <v>#REF!</v>
      </c>
      <c r="CM472" t="e">
        <f>AND(#REF!,"AAAAAG/7/1o=")</f>
        <v>#REF!</v>
      </c>
      <c r="CN472" t="e">
        <f>AND(#REF!,"AAAAAG/7/1s=")</f>
        <v>#REF!</v>
      </c>
      <c r="CO472" t="e">
        <f>AND(#REF!,"AAAAAG/7/1w=")</f>
        <v>#REF!</v>
      </c>
      <c r="CP472" t="e">
        <f>AND(#REF!,"AAAAAG/7/10=")</f>
        <v>#REF!</v>
      </c>
      <c r="CQ472" t="e">
        <f>AND(#REF!,"AAAAAG/7/14=")</f>
        <v>#REF!</v>
      </c>
      <c r="CR472" t="e">
        <f>AND(#REF!,"AAAAAG/7/18=")</f>
        <v>#REF!</v>
      </c>
      <c r="CS472" t="e">
        <f>AND(#REF!,"AAAAAG/7/2A=")</f>
        <v>#REF!</v>
      </c>
      <c r="CT472" t="e">
        <f>IF(#REF!,"AAAAAG/7/2E=",0)</f>
        <v>#REF!</v>
      </c>
      <c r="CU472" t="e">
        <f>AND(#REF!,"AAAAAG/7/2I=")</f>
        <v>#REF!</v>
      </c>
      <c r="CV472" t="e">
        <f>AND(#REF!,"AAAAAG/7/2M=")</f>
        <v>#REF!</v>
      </c>
      <c r="CW472" t="e">
        <f>AND(#REF!,"AAAAAG/7/2Q=")</f>
        <v>#REF!</v>
      </c>
      <c r="CX472" t="e">
        <f>AND(#REF!,"AAAAAG/7/2U=")</f>
        <v>#REF!</v>
      </c>
      <c r="CY472" t="e">
        <f>AND(#REF!,"AAAAAG/7/2Y=")</f>
        <v>#REF!</v>
      </c>
      <c r="CZ472" t="e">
        <f>AND(#REF!,"AAAAAG/7/2c=")</f>
        <v>#REF!</v>
      </c>
      <c r="DA472" t="e">
        <f>AND(#REF!,"AAAAAG/7/2g=")</f>
        <v>#REF!</v>
      </c>
      <c r="DB472" t="e">
        <f>AND(#REF!,"AAAAAG/7/2k=")</f>
        <v>#REF!</v>
      </c>
      <c r="DC472" t="e">
        <f>AND(#REF!,"AAAAAG/7/2o=")</f>
        <v>#REF!</v>
      </c>
      <c r="DD472" t="e">
        <f>AND(#REF!,"AAAAAG/7/2s=")</f>
        <v>#REF!</v>
      </c>
      <c r="DE472" t="e">
        <f>IF(#REF!,"AAAAAG/7/2w=",0)</f>
        <v>#REF!</v>
      </c>
      <c r="DF472" t="e">
        <f>AND(#REF!,"AAAAAG/7/20=")</f>
        <v>#REF!</v>
      </c>
      <c r="DG472" t="e">
        <f>AND(#REF!,"AAAAAG/7/24=")</f>
        <v>#REF!</v>
      </c>
      <c r="DH472" t="e">
        <f>AND(#REF!,"AAAAAG/7/28=")</f>
        <v>#REF!</v>
      </c>
      <c r="DI472" t="e">
        <f>AND(#REF!,"AAAAAG/7/3A=")</f>
        <v>#REF!</v>
      </c>
      <c r="DJ472" t="e">
        <f>AND(#REF!,"AAAAAG/7/3E=")</f>
        <v>#REF!</v>
      </c>
      <c r="DK472" t="e">
        <f>AND(#REF!,"AAAAAG/7/3I=")</f>
        <v>#REF!</v>
      </c>
      <c r="DL472" t="e">
        <f>AND(#REF!,"AAAAAG/7/3M=")</f>
        <v>#REF!</v>
      </c>
      <c r="DM472" t="e">
        <f>AND(#REF!,"AAAAAG/7/3Q=")</f>
        <v>#REF!</v>
      </c>
      <c r="DN472" t="e">
        <f>AND(#REF!,"AAAAAG/7/3U=")</f>
        <v>#REF!</v>
      </c>
      <c r="DO472" t="e">
        <f>AND(#REF!,"AAAAAG/7/3Y=")</f>
        <v>#REF!</v>
      </c>
      <c r="DP472" t="e">
        <f>IF(#REF!,"AAAAAG/7/3c=",0)</f>
        <v>#REF!</v>
      </c>
      <c r="DQ472" t="e">
        <f>AND(#REF!,"AAAAAG/7/3g=")</f>
        <v>#REF!</v>
      </c>
      <c r="DR472" t="e">
        <f>AND(#REF!,"AAAAAG/7/3k=")</f>
        <v>#REF!</v>
      </c>
      <c r="DS472" t="e">
        <f>AND(#REF!,"AAAAAG/7/3o=")</f>
        <v>#REF!</v>
      </c>
      <c r="DT472" t="e">
        <f>AND(#REF!,"AAAAAG/7/3s=")</f>
        <v>#REF!</v>
      </c>
      <c r="DU472" t="e">
        <f>AND(#REF!,"AAAAAG/7/3w=")</f>
        <v>#REF!</v>
      </c>
      <c r="DV472" t="e">
        <f>AND(#REF!,"AAAAAG/7/30=")</f>
        <v>#REF!</v>
      </c>
      <c r="DW472" t="e">
        <f>AND(#REF!,"AAAAAG/7/34=")</f>
        <v>#REF!</v>
      </c>
      <c r="DX472" t="e">
        <f>AND(#REF!,"AAAAAG/7/38=")</f>
        <v>#REF!</v>
      </c>
      <c r="DY472" t="e">
        <f>AND(#REF!,"AAAAAG/7/4A=")</f>
        <v>#REF!</v>
      </c>
      <c r="DZ472" t="e">
        <f>AND(#REF!,"AAAAAG/7/4E=")</f>
        <v>#REF!</v>
      </c>
      <c r="EA472" t="e">
        <f>IF(#REF!,"AAAAAG/7/4I=",0)</f>
        <v>#REF!</v>
      </c>
      <c r="EB472" t="e">
        <f>AND(#REF!,"AAAAAG/7/4M=")</f>
        <v>#REF!</v>
      </c>
      <c r="EC472" t="e">
        <f>AND(#REF!,"AAAAAG/7/4Q=")</f>
        <v>#REF!</v>
      </c>
      <c r="ED472" t="e">
        <f>AND(#REF!,"AAAAAG/7/4U=")</f>
        <v>#REF!</v>
      </c>
      <c r="EE472" t="e">
        <f>AND(#REF!,"AAAAAG/7/4Y=")</f>
        <v>#REF!</v>
      </c>
      <c r="EF472" t="e">
        <f>AND(#REF!,"AAAAAG/7/4c=")</f>
        <v>#REF!</v>
      </c>
      <c r="EG472" t="e">
        <f>AND(#REF!,"AAAAAG/7/4g=")</f>
        <v>#REF!</v>
      </c>
      <c r="EH472" t="e">
        <f>AND(#REF!,"AAAAAG/7/4k=")</f>
        <v>#REF!</v>
      </c>
      <c r="EI472" t="e">
        <f>AND(#REF!,"AAAAAG/7/4o=")</f>
        <v>#REF!</v>
      </c>
      <c r="EJ472" t="e">
        <f>AND(#REF!,"AAAAAG/7/4s=")</f>
        <v>#REF!</v>
      </c>
      <c r="EK472" t="e">
        <f>AND(#REF!,"AAAAAG/7/4w=")</f>
        <v>#REF!</v>
      </c>
      <c r="EL472" t="e">
        <f>IF(#REF!,"AAAAAG/7/40=",0)</f>
        <v>#REF!</v>
      </c>
      <c r="EM472" t="e">
        <f>AND(#REF!,"AAAAAG/7/44=")</f>
        <v>#REF!</v>
      </c>
      <c r="EN472" t="e">
        <f>AND(#REF!,"AAAAAG/7/48=")</f>
        <v>#REF!</v>
      </c>
      <c r="EO472" t="e">
        <f>AND(#REF!,"AAAAAG/7/5A=")</f>
        <v>#REF!</v>
      </c>
      <c r="EP472" t="e">
        <f>AND(#REF!,"AAAAAG/7/5E=")</f>
        <v>#REF!</v>
      </c>
      <c r="EQ472" t="e">
        <f>AND(#REF!,"AAAAAG/7/5I=")</f>
        <v>#REF!</v>
      </c>
      <c r="ER472" t="e">
        <f>AND(#REF!,"AAAAAG/7/5M=")</f>
        <v>#REF!</v>
      </c>
      <c r="ES472" t="e">
        <f>AND(#REF!,"AAAAAG/7/5Q=")</f>
        <v>#REF!</v>
      </c>
      <c r="ET472" t="e">
        <f>AND(#REF!,"AAAAAG/7/5U=")</f>
        <v>#REF!</v>
      </c>
      <c r="EU472" t="e">
        <f>AND(#REF!,"AAAAAG/7/5Y=")</f>
        <v>#REF!</v>
      </c>
      <c r="EV472" t="e">
        <f>AND(#REF!,"AAAAAG/7/5c=")</f>
        <v>#REF!</v>
      </c>
      <c r="EW472" t="e">
        <f>IF(#REF!,"AAAAAG/7/5g=",0)</f>
        <v>#REF!</v>
      </c>
      <c r="EX472" t="e">
        <f>AND(#REF!,"AAAAAG/7/5k=")</f>
        <v>#REF!</v>
      </c>
      <c r="EY472" t="e">
        <f>AND(#REF!,"AAAAAG/7/5o=")</f>
        <v>#REF!</v>
      </c>
      <c r="EZ472" t="e">
        <f>AND(#REF!,"AAAAAG/7/5s=")</f>
        <v>#REF!</v>
      </c>
      <c r="FA472" t="e">
        <f>AND(#REF!,"AAAAAG/7/5w=")</f>
        <v>#REF!</v>
      </c>
      <c r="FB472" t="e">
        <f>AND(#REF!,"AAAAAG/7/50=")</f>
        <v>#REF!</v>
      </c>
      <c r="FC472" t="e">
        <f>AND(#REF!,"AAAAAG/7/54=")</f>
        <v>#REF!</v>
      </c>
      <c r="FD472" t="e">
        <f>AND(#REF!,"AAAAAG/7/58=")</f>
        <v>#REF!</v>
      </c>
      <c r="FE472" t="e">
        <f>AND(#REF!,"AAAAAG/7/6A=")</f>
        <v>#REF!</v>
      </c>
      <c r="FF472" t="e">
        <f>AND(#REF!,"AAAAAG/7/6E=")</f>
        <v>#REF!</v>
      </c>
      <c r="FG472" t="e">
        <f>AND(#REF!,"AAAAAG/7/6I=")</f>
        <v>#REF!</v>
      </c>
      <c r="FH472" t="e">
        <f>IF(#REF!,"AAAAAG/7/6M=",0)</f>
        <v>#REF!</v>
      </c>
      <c r="FI472" t="e">
        <f>AND(#REF!,"AAAAAG/7/6Q=")</f>
        <v>#REF!</v>
      </c>
      <c r="FJ472" t="e">
        <f>AND(#REF!,"AAAAAG/7/6U=")</f>
        <v>#REF!</v>
      </c>
      <c r="FK472" t="e">
        <f>AND(#REF!,"AAAAAG/7/6Y=")</f>
        <v>#REF!</v>
      </c>
      <c r="FL472" t="e">
        <f>AND(#REF!,"AAAAAG/7/6c=")</f>
        <v>#REF!</v>
      </c>
      <c r="FM472" t="e">
        <f>AND(#REF!,"AAAAAG/7/6g=")</f>
        <v>#REF!</v>
      </c>
      <c r="FN472" t="e">
        <f>AND(#REF!,"AAAAAG/7/6k=")</f>
        <v>#REF!</v>
      </c>
      <c r="FO472" t="e">
        <f>AND(#REF!,"AAAAAG/7/6o=")</f>
        <v>#REF!</v>
      </c>
      <c r="FP472" t="e">
        <f>AND(#REF!,"AAAAAG/7/6s=")</f>
        <v>#REF!</v>
      </c>
      <c r="FQ472" t="e">
        <f>AND(#REF!,"AAAAAG/7/6w=")</f>
        <v>#REF!</v>
      </c>
      <c r="FR472" t="e">
        <f>AND(#REF!,"AAAAAG/7/60=")</f>
        <v>#REF!</v>
      </c>
      <c r="FS472" t="e">
        <f>IF(#REF!,"AAAAAG/7/64=",0)</f>
        <v>#REF!</v>
      </c>
      <c r="FT472" t="e">
        <f>AND(#REF!,"AAAAAG/7/68=")</f>
        <v>#REF!</v>
      </c>
      <c r="FU472" t="e">
        <f>AND(#REF!,"AAAAAG/7/7A=")</f>
        <v>#REF!</v>
      </c>
      <c r="FV472" t="e">
        <f>AND(#REF!,"AAAAAG/7/7E=")</f>
        <v>#REF!</v>
      </c>
      <c r="FW472" t="e">
        <f>AND(#REF!,"AAAAAG/7/7I=")</f>
        <v>#REF!</v>
      </c>
      <c r="FX472" t="e">
        <f>AND(#REF!,"AAAAAG/7/7M=")</f>
        <v>#REF!</v>
      </c>
      <c r="FY472" t="e">
        <f>AND(#REF!,"AAAAAG/7/7Q=")</f>
        <v>#REF!</v>
      </c>
      <c r="FZ472" t="e">
        <f>AND(#REF!,"AAAAAG/7/7U=")</f>
        <v>#REF!</v>
      </c>
      <c r="GA472" t="e">
        <f>AND(#REF!,"AAAAAG/7/7Y=")</f>
        <v>#REF!</v>
      </c>
      <c r="GB472" t="e">
        <f>AND(#REF!,"AAAAAG/7/7c=")</f>
        <v>#REF!</v>
      </c>
      <c r="GC472" t="e">
        <f>AND(#REF!,"AAAAAG/7/7g=")</f>
        <v>#REF!</v>
      </c>
      <c r="GD472" t="e">
        <f>IF(#REF!,"AAAAAG/7/7k=",0)</f>
        <v>#REF!</v>
      </c>
      <c r="GE472" t="e">
        <f>AND(#REF!,"AAAAAG/7/7o=")</f>
        <v>#REF!</v>
      </c>
      <c r="GF472" t="e">
        <f>AND(#REF!,"AAAAAG/7/7s=")</f>
        <v>#REF!</v>
      </c>
      <c r="GG472" t="e">
        <f>AND(#REF!,"AAAAAG/7/7w=")</f>
        <v>#REF!</v>
      </c>
      <c r="GH472" t="e">
        <f>AND(#REF!,"AAAAAG/7/70=")</f>
        <v>#REF!</v>
      </c>
      <c r="GI472" t="e">
        <f>AND(#REF!,"AAAAAG/7/74=")</f>
        <v>#REF!</v>
      </c>
      <c r="GJ472" t="e">
        <f>AND(#REF!,"AAAAAG/7/78=")</f>
        <v>#REF!</v>
      </c>
      <c r="GK472" t="e">
        <f>AND(#REF!,"AAAAAG/7/8A=")</f>
        <v>#REF!</v>
      </c>
      <c r="GL472" t="e">
        <f>AND(#REF!,"AAAAAG/7/8E=")</f>
        <v>#REF!</v>
      </c>
      <c r="GM472" t="e">
        <f>AND(#REF!,"AAAAAG/7/8I=")</f>
        <v>#REF!</v>
      </c>
      <c r="GN472" t="e">
        <f>AND(#REF!,"AAAAAG/7/8M=")</f>
        <v>#REF!</v>
      </c>
      <c r="GO472" t="e">
        <f>IF(#REF!,"AAAAAG/7/8Q=",0)</f>
        <v>#REF!</v>
      </c>
      <c r="GP472" t="e">
        <f>AND(#REF!,"AAAAAG/7/8U=")</f>
        <v>#REF!</v>
      </c>
      <c r="GQ472" t="e">
        <f>AND(#REF!,"AAAAAG/7/8Y=")</f>
        <v>#REF!</v>
      </c>
      <c r="GR472" t="e">
        <f>AND(#REF!,"AAAAAG/7/8c=")</f>
        <v>#REF!</v>
      </c>
      <c r="GS472" t="e">
        <f>AND(#REF!,"AAAAAG/7/8g=")</f>
        <v>#REF!</v>
      </c>
      <c r="GT472" t="e">
        <f>AND(#REF!,"AAAAAG/7/8k=")</f>
        <v>#REF!</v>
      </c>
      <c r="GU472" t="e">
        <f>AND(#REF!,"AAAAAG/7/8o=")</f>
        <v>#REF!</v>
      </c>
      <c r="GV472" t="e">
        <f>AND(#REF!,"AAAAAG/7/8s=")</f>
        <v>#REF!</v>
      </c>
      <c r="GW472" t="e">
        <f>AND(#REF!,"AAAAAG/7/8w=")</f>
        <v>#REF!</v>
      </c>
      <c r="GX472" t="e">
        <f>AND(#REF!,"AAAAAG/7/80=")</f>
        <v>#REF!</v>
      </c>
      <c r="GY472" t="e">
        <f>AND(#REF!,"AAAAAG/7/84=")</f>
        <v>#REF!</v>
      </c>
      <c r="GZ472" t="e">
        <f>IF(#REF!,"AAAAAG/7/88=",0)</f>
        <v>#REF!</v>
      </c>
      <c r="HA472" t="e">
        <f>AND(#REF!,"AAAAAG/7/9A=")</f>
        <v>#REF!</v>
      </c>
      <c r="HB472" t="e">
        <f>AND(#REF!,"AAAAAG/7/9E=")</f>
        <v>#REF!</v>
      </c>
      <c r="HC472" t="e">
        <f>AND(#REF!,"AAAAAG/7/9I=")</f>
        <v>#REF!</v>
      </c>
      <c r="HD472" t="e">
        <f>AND(#REF!,"AAAAAG/7/9M=")</f>
        <v>#REF!</v>
      </c>
      <c r="HE472" t="e">
        <f>AND(#REF!,"AAAAAG/7/9Q=")</f>
        <v>#REF!</v>
      </c>
      <c r="HF472" t="e">
        <f>AND(#REF!,"AAAAAG/7/9U=")</f>
        <v>#REF!</v>
      </c>
      <c r="HG472" t="e">
        <f>AND(#REF!,"AAAAAG/7/9Y=")</f>
        <v>#REF!</v>
      </c>
      <c r="HH472" t="e">
        <f>AND(#REF!,"AAAAAG/7/9c=")</f>
        <v>#REF!</v>
      </c>
      <c r="HI472" t="e">
        <f>AND(#REF!,"AAAAAG/7/9g=")</f>
        <v>#REF!</v>
      </c>
      <c r="HJ472" t="e">
        <f>AND(#REF!,"AAAAAG/7/9k=")</f>
        <v>#REF!</v>
      </c>
      <c r="HK472" t="e">
        <f>IF(#REF!,"AAAAAG/7/9o=",0)</f>
        <v>#REF!</v>
      </c>
      <c r="HL472" t="e">
        <f>AND(#REF!,"AAAAAG/7/9s=")</f>
        <v>#REF!</v>
      </c>
      <c r="HM472" t="e">
        <f>AND(#REF!,"AAAAAG/7/9w=")</f>
        <v>#REF!</v>
      </c>
      <c r="HN472" t="e">
        <f>AND(#REF!,"AAAAAG/7/90=")</f>
        <v>#REF!</v>
      </c>
      <c r="HO472" t="e">
        <f>AND(#REF!,"AAAAAG/7/94=")</f>
        <v>#REF!</v>
      </c>
      <c r="HP472" t="e">
        <f>AND(#REF!,"AAAAAG/7/98=")</f>
        <v>#REF!</v>
      </c>
      <c r="HQ472" t="e">
        <f>AND(#REF!,"AAAAAG/7/+A=")</f>
        <v>#REF!</v>
      </c>
      <c r="HR472" t="e">
        <f>AND(#REF!,"AAAAAG/7/+E=")</f>
        <v>#REF!</v>
      </c>
      <c r="HS472" t="e">
        <f>AND(#REF!,"AAAAAG/7/+I=")</f>
        <v>#REF!</v>
      </c>
      <c r="HT472" t="e">
        <f>AND(#REF!,"AAAAAG/7/+M=")</f>
        <v>#REF!</v>
      </c>
      <c r="HU472" t="e">
        <f>AND(#REF!,"AAAAAG/7/+Q=")</f>
        <v>#REF!</v>
      </c>
      <c r="HV472" t="e">
        <f>IF(#REF!,"AAAAAG/7/+U=",0)</f>
        <v>#REF!</v>
      </c>
      <c r="HW472" t="e">
        <f>AND(#REF!,"AAAAAG/7/+Y=")</f>
        <v>#REF!</v>
      </c>
      <c r="HX472" t="e">
        <f>AND(#REF!,"AAAAAG/7/+c=")</f>
        <v>#REF!</v>
      </c>
      <c r="HY472" t="e">
        <f>AND(#REF!,"AAAAAG/7/+g=")</f>
        <v>#REF!</v>
      </c>
      <c r="HZ472" t="e">
        <f>AND(#REF!,"AAAAAG/7/+k=")</f>
        <v>#REF!</v>
      </c>
      <c r="IA472" t="e">
        <f>AND(#REF!,"AAAAAG/7/+o=")</f>
        <v>#REF!</v>
      </c>
      <c r="IB472" t="e">
        <f>AND(#REF!,"AAAAAG/7/+s=")</f>
        <v>#REF!</v>
      </c>
      <c r="IC472" t="e">
        <f>AND(#REF!,"AAAAAG/7/+w=")</f>
        <v>#REF!</v>
      </c>
      <c r="ID472" t="e">
        <f>AND(#REF!,"AAAAAG/7/+0=")</f>
        <v>#REF!</v>
      </c>
      <c r="IE472" t="e">
        <f>AND(#REF!,"AAAAAG/7/+4=")</f>
        <v>#REF!</v>
      </c>
      <c r="IF472" t="e">
        <f>AND(#REF!,"AAAAAG/7/+8=")</f>
        <v>#REF!</v>
      </c>
      <c r="IG472" t="e">
        <f>IF(#REF!,"AAAAAG/7//A=",0)</f>
        <v>#REF!</v>
      </c>
      <c r="IH472" t="e">
        <f>AND(#REF!,"AAAAAG/7//E=")</f>
        <v>#REF!</v>
      </c>
      <c r="II472" t="e">
        <f>AND(#REF!,"AAAAAG/7//I=")</f>
        <v>#REF!</v>
      </c>
      <c r="IJ472" t="e">
        <f>AND(#REF!,"AAAAAG/7//M=")</f>
        <v>#REF!</v>
      </c>
      <c r="IK472" t="e">
        <f>AND(#REF!,"AAAAAG/7//Q=")</f>
        <v>#REF!</v>
      </c>
      <c r="IL472" t="e">
        <f>AND(#REF!,"AAAAAG/7//U=")</f>
        <v>#REF!</v>
      </c>
      <c r="IM472" t="e">
        <f>AND(#REF!,"AAAAAG/7//Y=")</f>
        <v>#REF!</v>
      </c>
      <c r="IN472" t="e">
        <f>AND(#REF!,"AAAAAG/7//c=")</f>
        <v>#REF!</v>
      </c>
      <c r="IO472" t="e">
        <f>AND(#REF!,"AAAAAG/7//g=")</f>
        <v>#REF!</v>
      </c>
      <c r="IP472" t="e">
        <f>AND(#REF!,"AAAAAG/7//k=")</f>
        <v>#REF!</v>
      </c>
      <c r="IQ472" t="e">
        <f>AND(#REF!,"AAAAAG/7//o=")</f>
        <v>#REF!</v>
      </c>
      <c r="IR472" t="e">
        <f>IF(#REF!,"AAAAAG/7//s=",0)</f>
        <v>#REF!</v>
      </c>
      <c r="IS472" t="e">
        <f>AND(#REF!,"AAAAAG/7//w=")</f>
        <v>#REF!</v>
      </c>
      <c r="IT472" t="e">
        <f>AND(#REF!,"AAAAAG/7//0=")</f>
        <v>#REF!</v>
      </c>
      <c r="IU472" t="e">
        <f>AND(#REF!,"AAAAAG/7//4=")</f>
        <v>#REF!</v>
      </c>
      <c r="IV472" t="e">
        <f>AND(#REF!,"AAAAAG/7//8=")</f>
        <v>#REF!</v>
      </c>
    </row>
    <row r="473" spans="1:256" x14ac:dyDescent="0.25">
      <c r="A473" t="e">
        <f>AND(#REF!,"AAAAAH//zwA=")</f>
        <v>#REF!</v>
      </c>
      <c r="B473" t="e">
        <f>AND(#REF!,"AAAAAH//zwE=")</f>
        <v>#REF!</v>
      </c>
      <c r="C473" t="e">
        <f>AND(#REF!,"AAAAAH//zwI=")</f>
        <v>#REF!</v>
      </c>
      <c r="D473" t="e">
        <f>AND(#REF!,"AAAAAH//zwM=")</f>
        <v>#REF!</v>
      </c>
      <c r="E473" t="e">
        <f>AND(#REF!,"AAAAAH//zwQ=")</f>
        <v>#REF!</v>
      </c>
      <c r="F473" t="e">
        <f>AND(#REF!,"AAAAAH//zwU=")</f>
        <v>#REF!</v>
      </c>
      <c r="G473" t="e">
        <f>IF(#REF!,"AAAAAH//zwY=",0)</f>
        <v>#REF!</v>
      </c>
      <c r="H473" t="e">
        <f>AND(#REF!,"AAAAAH//zwc=")</f>
        <v>#REF!</v>
      </c>
      <c r="I473" t="e">
        <f>AND(#REF!,"AAAAAH//zwg=")</f>
        <v>#REF!</v>
      </c>
      <c r="J473" t="e">
        <f>AND(#REF!,"AAAAAH//zwk=")</f>
        <v>#REF!</v>
      </c>
      <c r="K473" t="e">
        <f>AND(#REF!,"AAAAAH//zwo=")</f>
        <v>#REF!</v>
      </c>
      <c r="L473" t="e">
        <f>AND(#REF!,"AAAAAH//zws=")</f>
        <v>#REF!</v>
      </c>
      <c r="M473" t="e">
        <f>AND(#REF!,"AAAAAH//zww=")</f>
        <v>#REF!</v>
      </c>
      <c r="N473" t="e">
        <f>AND(#REF!,"AAAAAH//zw0=")</f>
        <v>#REF!</v>
      </c>
      <c r="O473" t="e">
        <f>AND(#REF!,"AAAAAH//zw4=")</f>
        <v>#REF!</v>
      </c>
      <c r="P473" t="e">
        <f>AND(#REF!,"AAAAAH//zw8=")</f>
        <v>#REF!</v>
      </c>
      <c r="Q473" t="e">
        <f>AND(#REF!,"AAAAAH//zxA=")</f>
        <v>#REF!</v>
      </c>
      <c r="R473" t="e">
        <f>IF(#REF!,"AAAAAH//zxE=",0)</f>
        <v>#REF!</v>
      </c>
      <c r="S473" t="e">
        <f>AND(#REF!,"AAAAAH//zxI=")</f>
        <v>#REF!</v>
      </c>
      <c r="T473" t="e">
        <f>AND(#REF!,"AAAAAH//zxM=")</f>
        <v>#REF!</v>
      </c>
      <c r="U473" t="e">
        <f>AND(#REF!,"AAAAAH//zxQ=")</f>
        <v>#REF!</v>
      </c>
      <c r="V473" t="e">
        <f>AND(#REF!,"AAAAAH//zxU=")</f>
        <v>#REF!</v>
      </c>
      <c r="W473" t="e">
        <f>AND(#REF!,"AAAAAH//zxY=")</f>
        <v>#REF!</v>
      </c>
      <c r="X473" t="e">
        <f>AND(#REF!,"AAAAAH//zxc=")</f>
        <v>#REF!</v>
      </c>
      <c r="Y473" t="e">
        <f>AND(#REF!,"AAAAAH//zxg=")</f>
        <v>#REF!</v>
      </c>
      <c r="Z473" t="e">
        <f>AND(#REF!,"AAAAAH//zxk=")</f>
        <v>#REF!</v>
      </c>
      <c r="AA473" t="e">
        <f>AND(#REF!,"AAAAAH//zxo=")</f>
        <v>#REF!</v>
      </c>
      <c r="AB473" t="e">
        <f>AND(#REF!,"AAAAAH//zxs=")</f>
        <v>#REF!</v>
      </c>
      <c r="AC473" t="e">
        <f>IF(#REF!,"AAAAAH//zxw=",0)</f>
        <v>#REF!</v>
      </c>
      <c r="AD473" t="e">
        <f>AND(#REF!,"AAAAAH//zx0=")</f>
        <v>#REF!</v>
      </c>
      <c r="AE473" t="e">
        <f>AND(#REF!,"AAAAAH//zx4=")</f>
        <v>#REF!</v>
      </c>
      <c r="AF473" t="e">
        <f>AND(#REF!,"AAAAAH//zx8=")</f>
        <v>#REF!</v>
      </c>
      <c r="AG473" t="e">
        <f>AND(#REF!,"AAAAAH//zyA=")</f>
        <v>#REF!</v>
      </c>
      <c r="AH473" t="e">
        <f>AND(#REF!,"AAAAAH//zyE=")</f>
        <v>#REF!</v>
      </c>
      <c r="AI473" t="e">
        <f>AND(#REF!,"AAAAAH//zyI=")</f>
        <v>#REF!</v>
      </c>
      <c r="AJ473" t="e">
        <f>AND(#REF!,"AAAAAH//zyM=")</f>
        <v>#REF!</v>
      </c>
      <c r="AK473" t="e">
        <f>AND(#REF!,"AAAAAH//zyQ=")</f>
        <v>#REF!</v>
      </c>
      <c r="AL473" t="e">
        <f>AND(#REF!,"AAAAAH//zyU=")</f>
        <v>#REF!</v>
      </c>
      <c r="AM473" t="e">
        <f>AND(#REF!,"AAAAAH//zyY=")</f>
        <v>#REF!</v>
      </c>
      <c r="AN473" t="e">
        <f>IF(#REF!,"AAAAAH//zyc=",0)</f>
        <v>#REF!</v>
      </c>
      <c r="AO473" t="e">
        <f>AND(#REF!,"AAAAAH//zyg=")</f>
        <v>#REF!</v>
      </c>
      <c r="AP473" t="e">
        <f>AND(#REF!,"AAAAAH//zyk=")</f>
        <v>#REF!</v>
      </c>
      <c r="AQ473" t="e">
        <f>AND(#REF!,"AAAAAH//zyo=")</f>
        <v>#REF!</v>
      </c>
      <c r="AR473" t="e">
        <f>AND(#REF!,"AAAAAH//zys=")</f>
        <v>#REF!</v>
      </c>
      <c r="AS473" t="e">
        <f>AND(#REF!,"AAAAAH//zyw=")</f>
        <v>#REF!</v>
      </c>
      <c r="AT473" t="e">
        <f>AND(#REF!,"AAAAAH//zy0=")</f>
        <v>#REF!</v>
      </c>
      <c r="AU473" t="e">
        <f>AND(#REF!,"AAAAAH//zy4=")</f>
        <v>#REF!</v>
      </c>
      <c r="AV473" t="e">
        <f>AND(#REF!,"AAAAAH//zy8=")</f>
        <v>#REF!</v>
      </c>
      <c r="AW473" t="e">
        <f>AND(#REF!,"AAAAAH//zzA=")</f>
        <v>#REF!</v>
      </c>
      <c r="AX473" t="e">
        <f>AND(#REF!,"AAAAAH//zzE=")</f>
        <v>#REF!</v>
      </c>
      <c r="AY473" t="e">
        <f>IF(#REF!,"AAAAAH//zzI=",0)</f>
        <v>#REF!</v>
      </c>
      <c r="AZ473" t="e">
        <f>AND(#REF!,"AAAAAH//zzM=")</f>
        <v>#REF!</v>
      </c>
      <c r="BA473" t="e">
        <f>AND(#REF!,"AAAAAH//zzQ=")</f>
        <v>#REF!</v>
      </c>
      <c r="BB473" t="e">
        <f>AND(#REF!,"AAAAAH//zzU=")</f>
        <v>#REF!</v>
      </c>
      <c r="BC473" t="e">
        <f>AND(#REF!,"AAAAAH//zzY=")</f>
        <v>#REF!</v>
      </c>
      <c r="BD473" t="e">
        <f>AND(#REF!,"AAAAAH//zzc=")</f>
        <v>#REF!</v>
      </c>
      <c r="BE473" t="e">
        <f>AND(#REF!,"AAAAAH//zzg=")</f>
        <v>#REF!</v>
      </c>
      <c r="BF473" t="e">
        <f>AND(#REF!,"AAAAAH//zzk=")</f>
        <v>#REF!</v>
      </c>
      <c r="BG473" t="e">
        <f>AND(#REF!,"AAAAAH//zzo=")</f>
        <v>#REF!</v>
      </c>
      <c r="BH473" t="e">
        <f>AND(#REF!,"AAAAAH//zzs=")</f>
        <v>#REF!</v>
      </c>
      <c r="BI473" t="e">
        <f>AND(#REF!,"AAAAAH//zzw=")</f>
        <v>#REF!</v>
      </c>
      <c r="BJ473" t="e">
        <f>IF(#REF!,"AAAAAH//zz0=",0)</f>
        <v>#REF!</v>
      </c>
      <c r="BK473" t="e">
        <f>AND(#REF!,"AAAAAH//zz4=")</f>
        <v>#REF!</v>
      </c>
      <c r="BL473" t="e">
        <f>AND(#REF!,"AAAAAH//zz8=")</f>
        <v>#REF!</v>
      </c>
      <c r="BM473" t="e">
        <f>AND(#REF!,"AAAAAH//z0A=")</f>
        <v>#REF!</v>
      </c>
      <c r="BN473" t="e">
        <f>AND(#REF!,"AAAAAH//z0E=")</f>
        <v>#REF!</v>
      </c>
      <c r="BO473" t="e">
        <f>AND(#REF!,"AAAAAH//z0I=")</f>
        <v>#REF!</v>
      </c>
      <c r="BP473" t="e">
        <f>AND(#REF!,"AAAAAH//z0M=")</f>
        <v>#REF!</v>
      </c>
      <c r="BQ473" t="e">
        <f>AND(#REF!,"AAAAAH//z0Q=")</f>
        <v>#REF!</v>
      </c>
      <c r="BR473" t="e">
        <f>AND(#REF!,"AAAAAH//z0U=")</f>
        <v>#REF!</v>
      </c>
      <c r="BS473" t="e">
        <f>AND(#REF!,"AAAAAH//z0Y=")</f>
        <v>#REF!</v>
      </c>
      <c r="BT473" t="e">
        <f>AND(#REF!,"AAAAAH//z0c=")</f>
        <v>#REF!</v>
      </c>
      <c r="BU473" t="e">
        <f>IF(#REF!,"AAAAAH//z0g=",0)</f>
        <v>#REF!</v>
      </c>
      <c r="BV473" t="e">
        <f>AND(#REF!,"AAAAAH//z0k=")</f>
        <v>#REF!</v>
      </c>
      <c r="BW473" t="e">
        <f>AND(#REF!,"AAAAAH//z0o=")</f>
        <v>#REF!</v>
      </c>
      <c r="BX473" t="e">
        <f>AND(#REF!,"AAAAAH//z0s=")</f>
        <v>#REF!</v>
      </c>
      <c r="BY473" t="e">
        <f>AND(#REF!,"AAAAAH//z0w=")</f>
        <v>#REF!</v>
      </c>
      <c r="BZ473" t="e">
        <f>AND(#REF!,"AAAAAH//z00=")</f>
        <v>#REF!</v>
      </c>
      <c r="CA473" t="e">
        <f>AND(#REF!,"AAAAAH//z04=")</f>
        <v>#REF!</v>
      </c>
      <c r="CB473" t="e">
        <f>AND(#REF!,"AAAAAH//z08=")</f>
        <v>#REF!</v>
      </c>
      <c r="CC473" t="e">
        <f>AND(#REF!,"AAAAAH//z1A=")</f>
        <v>#REF!</v>
      </c>
      <c r="CD473" t="e">
        <f>AND(#REF!,"AAAAAH//z1E=")</f>
        <v>#REF!</v>
      </c>
      <c r="CE473" t="e">
        <f>AND(#REF!,"AAAAAH//z1I=")</f>
        <v>#REF!</v>
      </c>
      <c r="CF473" t="e">
        <f>IF(#REF!,"AAAAAH//z1M=",0)</f>
        <v>#REF!</v>
      </c>
      <c r="CG473" t="e">
        <f>AND(#REF!,"AAAAAH//z1Q=")</f>
        <v>#REF!</v>
      </c>
      <c r="CH473" t="e">
        <f>AND(#REF!,"AAAAAH//z1U=")</f>
        <v>#REF!</v>
      </c>
      <c r="CI473" t="e">
        <f>AND(#REF!,"AAAAAH//z1Y=")</f>
        <v>#REF!</v>
      </c>
      <c r="CJ473" t="e">
        <f>AND(#REF!,"AAAAAH//z1c=")</f>
        <v>#REF!</v>
      </c>
      <c r="CK473" t="e">
        <f>AND(#REF!,"AAAAAH//z1g=")</f>
        <v>#REF!</v>
      </c>
      <c r="CL473" t="e">
        <f>AND(#REF!,"AAAAAH//z1k=")</f>
        <v>#REF!</v>
      </c>
      <c r="CM473" t="e">
        <f>AND(#REF!,"AAAAAH//z1o=")</f>
        <v>#REF!</v>
      </c>
      <c r="CN473" t="e">
        <f>AND(#REF!,"AAAAAH//z1s=")</f>
        <v>#REF!</v>
      </c>
      <c r="CO473" t="e">
        <f>AND(#REF!,"AAAAAH//z1w=")</f>
        <v>#REF!</v>
      </c>
      <c r="CP473" t="e">
        <f>AND(#REF!,"AAAAAH//z10=")</f>
        <v>#REF!</v>
      </c>
      <c r="CQ473" t="e">
        <f>IF(#REF!,"AAAAAH//z14=",0)</f>
        <v>#REF!</v>
      </c>
      <c r="CR473" t="e">
        <f>AND(#REF!,"AAAAAH//z18=")</f>
        <v>#REF!</v>
      </c>
      <c r="CS473" t="e">
        <f>AND(#REF!,"AAAAAH//z2A=")</f>
        <v>#REF!</v>
      </c>
      <c r="CT473" t="e">
        <f>AND(#REF!,"AAAAAH//z2E=")</f>
        <v>#REF!</v>
      </c>
      <c r="CU473" t="e">
        <f>AND(#REF!,"AAAAAH//z2I=")</f>
        <v>#REF!</v>
      </c>
      <c r="CV473" t="e">
        <f>AND(#REF!,"AAAAAH//z2M=")</f>
        <v>#REF!</v>
      </c>
      <c r="CW473" t="e">
        <f>AND(#REF!,"AAAAAH//z2Q=")</f>
        <v>#REF!</v>
      </c>
      <c r="CX473" t="e">
        <f>AND(#REF!,"AAAAAH//z2U=")</f>
        <v>#REF!</v>
      </c>
      <c r="CY473" t="e">
        <f>AND(#REF!,"AAAAAH//z2Y=")</f>
        <v>#REF!</v>
      </c>
      <c r="CZ473" t="e">
        <f>AND(#REF!,"AAAAAH//z2c=")</f>
        <v>#REF!</v>
      </c>
      <c r="DA473" t="e">
        <f>AND(#REF!,"AAAAAH//z2g=")</f>
        <v>#REF!</v>
      </c>
      <c r="DB473" t="e">
        <f>IF(#REF!,"AAAAAH//z2k=",0)</f>
        <v>#REF!</v>
      </c>
      <c r="DC473" t="e">
        <f>AND(#REF!,"AAAAAH//z2o=")</f>
        <v>#REF!</v>
      </c>
      <c r="DD473" t="e">
        <f>AND(#REF!,"AAAAAH//z2s=")</f>
        <v>#REF!</v>
      </c>
      <c r="DE473" t="e">
        <f>AND(#REF!,"AAAAAH//z2w=")</f>
        <v>#REF!</v>
      </c>
      <c r="DF473" t="e">
        <f>AND(#REF!,"AAAAAH//z20=")</f>
        <v>#REF!</v>
      </c>
      <c r="DG473" t="e">
        <f>AND(#REF!,"AAAAAH//z24=")</f>
        <v>#REF!</v>
      </c>
      <c r="DH473" t="e">
        <f>AND(#REF!,"AAAAAH//z28=")</f>
        <v>#REF!</v>
      </c>
      <c r="DI473" t="e">
        <f>AND(#REF!,"AAAAAH//z3A=")</f>
        <v>#REF!</v>
      </c>
      <c r="DJ473" t="e">
        <f>AND(#REF!,"AAAAAH//z3E=")</f>
        <v>#REF!</v>
      </c>
      <c r="DK473" t="e">
        <f>AND(#REF!,"AAAAAH//z3I=")</f>
        <v>#REF!</v>
      </c>
      <c r="DL473" t="e">
        <f>AND(#REF!,"AAAAAH//z3M=")</f>
        <v>#REF!</v>
      </c>
      <c r="DM473" t="e">
        <f>IF(#REF!,"AAAAAH//z3Q=",0)</f>
        <v>#REF!</v>
      </c>
      <c r="DN473" t="e">
        <f>AND(#REF!,"AAAAAH//z3U=")</f>
        <v>#REF!</v>
      </c>
      <c r="DO473" t="e">
        <f>AND(#REF!,"AAAAAH//z3Y=")</f>
        <v>#REF!</v>
      </c>
      <c r="DP473" t="e">
        <f>AND(#REF!,"AAAAAH//z3c=")</f>
        <v>#REF!</v>
      </c>
      <c r="DQ473" t="e">
        <f>AND(#REF!,"AAAAAH//z3g=")</f>
        <v>#REF!</v>
      </c>
      <c r="DR473" t="e">
        <f>AND(#REF!,"AAAAAH//z3k=")</f>
        <v>#REF!</v>
      </c>
      <c r="DS473" t="e">
        <f>AND(#REF!,"AAAAAH//z3o=")</f>
        <v>#REF!</v>
      </c>
      <c r="DT473" t="e">
        <f>AND(#REF!,"AAAAAH//z3s=")</f>
        <v>#REF!</v>
      </c>
      <c r="DU473" t="e">
        <f>AND(#REF!,"AAAAAH//z3w=")</f>
        <v>#REF!</v>
      </c>
      <c r="DV473" t="e">
        <f>AND(#REF!,"AAAAAH//z30=")</f>
        <v>#REF!</v>
      </c>
      <c r="DW473" t="e">
        <f>AND(#REF!,"AAAAAH//z34=")</f>
        <v>#REF!</v>
      </c>
      <c r="DX473" t="e">
        <f>IF(#REF!,"AAAAAH//z38=",0)</f>
        <v>#REF!</v>
      </c>
      <c r="DY473" t="e">
        <f>AND(#REF!,"AAAAAH//z4A=")</f>
        <v>#REF!</v>
      </c>
      <c r="DZ473" t="e">
        <f>AND(#REF!,"AAAAAH//z4E=")</f>
        <v>#REF!</v>
      </c>
      <c r="EA473" t="e">
        <f>AND(#REF!,"AAAAAH//z4I=")</f>
        <v>#REF!</v>
      </c>
      <c r="EB473" t="e">
        <f>AND(#REF!,"AAAAAH//z4M=")</f>
        <v>#REF!</v>
      </c>
      <c r="EC473" t="e">
        <f>AND(#REF!,"AAAAAH//z4Q=")</f>
        <v>#REF!</v>
      </c>
      <c r="ED473" t="e">
        <f>AND(#REF!,"AAAAAH//z4U=")</f>
        <v>#REF!</v>
      </c>
      <c r="EE473" t="e">
        <f>AND(#REF!,"AAAAAH//z4Y=")</f>
        <v>#REF!</v>
      </c>
      <c r="EF473" t="e">
        <f>AND(#REF!,"AAAAAH//z4c=")</f>
        <v>#REF!</v>
      </c>
      <c r="EG473" t="e">
        <f>AND(#REF!,"AAAAAH//z4g=")</f>
        <v>#REF!</v>
      </c>
      <c r="EH473" t="e">
        <f>AND(#REF!,"AAAAAH//z4k=")</f>
        <v>#REF!</v>
      </c>
      <c r="EI473" t="e">
        <f>IF(#REF!,"AAAAAH//z4o=",0)</f>
        <v>#REF!</v>
      </c>
      <c r="EJ473" t="e">
        <f>AND(#REF!,"AAAAAH//z4s=")</f>
        <v>#REF!</v>
      </c>
      <c r="EK473" t="e">
        <f>AND(#REF!,"AAAAAH//z4w=")</f>
        <v>#REF!</v>
      </c>
      <c r="EL473" t="e">
        <f>AND(#REF!,"AAAAAH//z40=")</f>
        <v>#REF!</v>
      </c>
      <c r="EM473" t="e">
        <f>AND(#REF!,"AAAAAH//z44=")</f>
        <v>#REF!</v>
      </c>
      <c r="EN473" t="e">
        <f>AND(#REF!,"AAAAAH//z48=")</f>
        <v>#REF!</v>
      </c>
      <c r="EO473" t="e">
        <f>AND(#REF!,"AAAAAH//z5A=")</f>
        <v>#REF!</v>
      </c>
      <c r="EP473" t="e">
        <f>AND(#REF!,"AAAAAH//z5E=")</f>
        <v>#REF!</v>
      </c>
      <c r="EQ473" t="e">
        <f>AND(#REF!,"AAAAAH//z5I=")</f>
        <v>#REF!</v>
      </c>
      <c r="ER473" t="e">
        <f>AND(#REF!,"AAAAAH//z5M=")</f>
        <v>#REF!</v>
      </c>
      <c r="ES473" t="e">
        <f>AND(#REF!,"AAAAAH//z5Q=")</f>
        <v>#REF!</v>
      </c>
      <c r="ET473" t="e">
        <f>IF(#REF!,"AAAAAH//z5U=",0)</f>
        <v>#REF!</v>
      </c>
      <c r="EU473" t="e">
        <f>AND(#REF!,"AAAAAH//z5Y=")</f>
        <v>#REF!</v>
      </c>
      <c r="EV473" t="e">
        <f>AND(#REF!,"AAAAAH//z5c=")</f>
        <v>#REF!</v>
      </c>
      <c r="EW473" t="e">
        <f>AND(#REF!,"AAAAAH//z5g=")</f>
        <v>#REF!</v>
      </c>
      <c r="EX473" t="e">
        <f>AND(#REF!,"AAAAAH//z5k=")</f>
        <v>#REF!</v>
      </c>
      <c r="EY473" t="e">
        <f>AND(#REF!,"AAAAAH//z5o=")</f>
        <v>#REF!</v>
      </c>
      <c r="EZ473" t="e">
        <f>AND(#REF!,"AAAAAH//z5s=")</f>
        <v>#REF!</v>
      </c>
      <c r="FA473" t="e">
        <f>AND(#REF!,"AAAAAH//z5w=")</f>
        <v>#REF!</v>
      </c>
      <c r="FB473" t="e">
        <f>AND(#REF!,"AAAAAH//z50=")</f>
        <v>#REF!</v>
      </c>
      <c r="FC473" t="e">
        <f>AND(#REF!,"AAAAAH//z54=")</f>
        <v>#REF!</v>
      </c>
      <c r="FD473" t="e">
        <f>AND(#REF!,"AAAAAH//z58=")</f>
        <v>#REF!</v>
      </c>
      <c r="FE473" t="e">
        <f>IF(#REF!,"AAAAAH//z6A=",0)</f>
        <v>#REF!</v>
      </c>
      <c r="FF473" t="e">
        <f>AND(#REF!,"AAAAAH//z6E=")</f>
        <v>#REF!</v>
      </c>
      <c r="FG473" t="e">
        <f>AND(#REF!,"AAAAAH//z6I=")</f>
        <v>#REF!</v>
      </c>
      <c r="FH473" t="e">
        <f>AND(#REF!,"AAAAAH//z6M=")</f>
        <v>#REF!</v>
      </c>
      <c r="FI473" t="e">
        <f>AND(#REF!,"AAAAAH//z6Q=")</f>
        <v>#REF!</v>
      </c>
      <c r="FJ473" t="e">
        <f>AND(#REF!,"AAAAAH//z6U=")</f>
        <v>#REF!</v>
      </c>
      <c r="FK473" t="e">
        <f>AND(#REF!,"AAAAAH//z6Y=")</f>
        <v>#REF!</v>
      </c>
      <c r="FL473" t="e">
        <f>AND(#REF!,"AAAAAH//z6c=")</f>
        <v>#REF!</v>
      </c>
      <c r="FM473" t="e">
        <f>AND(#REF!,"AAAAAH//z6g=")</f>
        <v>#REF!</v>
      </c>
      <c r="FN473" t="e">
        <f>AND(#REF!,"AAAAAH//z6k=")</f>
        <v>#REF!</v>
      </c>
      <c r="FO473" t="e">
        <f>AND(#REF!,"AAAAAH//z6o=")</f>
        <v>#REF!</v>
      </c>
      <c r="FP473" t="e">
        <f>IF(#REF!,"AAAAAH//z6s=",0)</f>
        <v>#REF!</v>
      </c>
      <c r="FQ473" t="e">
        <f>AND(#REF!,"AAAAAH//z6w=")</f>
        <v>#REF!</v>
      </c>
      <c r="FR473" t="e">
        <f>AND(#REF!,"AAAAAH//z60=")</f>
        <v>#REF!</v>
      </c>
      <c r="FS473" t="e">
        <f>AND(#REF!,"AAAAAH//z64=")</f>
        <v>#REF!</v>
      </c>
      <c r="FT473" t="e">
        <f>AND(#REF!,"AAAAAH//z68=")</f>
        <v>#REF!</v>
      </c>
      <c r="FU473" t="e">
        <f>AND(#REF!,"AAAAAH//z7A=")</f>
        <v>#REF!</v>
      </c>
      <c r="FV473" t="e">
        <f>AND(#REF!,"AAAAAH//z7E=")</f>
        <v>#REF!</v>
      </c>
      <c r="FW473" t="e">
        <f>AND(#REF!,"AAAAAH//z7I=")</f>
        <v>#REF!</v>
      </c>
      <c r="FX473" t="e">
        <f>AND(#REF!,"AAAAAH//z7M=")</f>
        <v>#REF!</v>
      </c>
      <c r="FY473" t="e">
        <f>AND(#REF!,"AAAAAH//z7Q=")</f>
        <v>#REF!</v>
      </c>
      <c r="FZ473" t="e">
        <f>AND(#REF!,"AAAAAH//z7U=")</f>
        <v>#REF!</v>
      </c>
      <c r="GA473" t="e">
        <f>IF(#REF!,"AAAAAH//z7Y=",0)</f>
        <v>#REF!</v>
      </c>
      <c r="GB473" t="e">
        <f>AND(#REF!,"AAAAAH//z7c=")</f>
        <v>#REF!</v>
      </c>
      <c r="GC473" t="e">
        <f>AND(#REF!,"AAAAAH//z7g=")</f>
        <v>#REF!</v>
      </c>
      <c r="GD473" t="e">
        <f>AND(#REF!,"AAAAAH//z7k=")</f>
        <v>#REF!</v>
      </c>
      <c r="GE473" t="e">
        <f>AND(#REF!,"AAAAAH//z7o=")</f>
        <v>#REF!</v>
      </c>
      <c r="GF473" t="e">
        <f>AND(#REF!,"AAAAAH//z7s=")</f>
        <v>#REF!</v>
      </c>
      <c r="GG473" t="e">
        <f>AND(#REF!,"AAAAAH//z7w=")</f>
        <v>#REF!</v>
      </c>
      <c r="GH473" t="e">
        <f>AND(#REF!,"AAAAAH//z70=")</f>
        <v>#REF!</v>
      </c>
      <c r="GI473" t="e">
        <f>AND(#REF!,"AAAAAH//z74=")</f>
        <v>#REF!</v>
      </c>
      <c r="GJ473" t="e">
        <f>AND(#REF!,"AAAAAH//z78=")</f>
        <v>#REF!</v>
      </c>
      <c r="GK473" t="e">
        <f>AND(#REF!,"AAAAAH//z8A=")</f>
        <v>#REF!</v>
      </c>
      <c r="GL473" t="e">
        <f>IF(#REF!,"AAAAAH//z8E=",0)</f>
        <v>#REF!</v>
      </c>
      <c r="GM473" t="e">
        <f>AND(#REF!,"AAAAAH//z8I=")</f>
        <v>#REF!</v>
      </c>
      <c r="GN473" t="e">
        <f>AND(#REF!,"AAAAAH//z8M=")</f>
        <v>#REF!</v>
      </c>
      <c r="GO473" t="e">
        <f>AND(#REF!,"AAAAAH//z8Q=")</f>
        <v>#REF!</v>
      </c>
      <c r="GP473" t="e">
        <f>AND(#REF!,"AAAAAH//z8U=")</f>
        <v>#REF!</v>
      </c>
      <c r="GQ473" t="e">
        <f>AND(#REF!,"AAAAAH//z8Y=")</f>
        <v>#REF!</v>
      </c>
      <c r="GR473" t="e">
        <f>AND(#REF!,"AAAAAH//z8c=")</f>
        <v>#REF!</v>
      </c>
      <c r="GS473" t="e">
        <f>AND(#REF!,"AAAAAH//z8g=")</f>
        <v>#REF!</v>
      </c>
      <c r="GT473" t="e">
        <f>AND(#REF!,"AAAAAH//z8k=")</f>
        <v>#REF!</v>
      </c>
      <c r="GU473" t="e">
        <f>AND(#REF!,"AAAAAH//z8o=")</f>
        <v>#REF!</v>
      </c>
      <c r="GV473" t="e">
        <f>AND(#REF!,"AAAAAH//z8s=")</f>
        <v>#REF!</v>
      </c>
      <c r="GW473" t="e">
        <f>IF(#REF!,"AAAAAH//z8w=",0)</f>
        <v>#REF!</v>
      </c>
      <c r="GX473" t="e">
        <f>AND(#REF!,"AAAAAH//z80=")</f>
        <v>#REF!</v>
      </c>
      <c r="GY473" t="e">
        <f>AND(#REF!,"AAAAAH//z84=")</f>
        <v>#REF!</v>
      </c>
      <c r="GZ473" t="e">
        <f>AND(#REF!,"AAAAAH//z88=")</f>
        <v>#REF!</v>
      </c>
      <c r="HA473" t="e">
        <f>AND(#REF!,"AAAAAH//z9A=")</f>
        <v>#REF!</v>
      </c>
      <c r="HB473" t="e">
        <f>AND(#REF!,"AAAAAH//z9E=")</f>
        <v>#REF!</v>
      </c>
      <c r="HC473" t="e">
        <f>AND(#REF!,"AAAAAH//z9I=")</f>
        <v>#REF!</v>
      </c>
      <c r="HD473" t="e">
        <f>AND(#REF!,"AAAAAH//z9M=")</f>
        <v>#REF!</v>
      </c>
      <c r="HE473" t="e">
        <f>AND(#REF!,"AAAAAH//z9Q=")</f>
        <v>#REF!</v>
      </c>
      <c r="HF473" t="e">
        <f>AND(#REF!,"AAAAAH//z9U=")</f>
        <v>#REF!</v>
      </c>
      <c r="HG473" t="e">
        <f>AND(#REF!,"AAAAAH//z9Y=")</f>
        <v>#REF!</v>
      </c>
      <c r="HH473" t="e">
        <f>IF(#REF!,"AAAAAH//z9c=",0)</f>
        <v>#REF!</v>
      </c>
      <c r="HI473" t="e">
        <f>AND(#REF!,"AAAAAH//z9g=")</f>
        <v>#REF!</v>
      </c>
      <c r="HJ473" t="e">
        <f>AND(#REF!,"AAAAAH//z9k=")</f>
        <v>#REF!</v>
      </c>
      <c r="HK473" t="e">
        <f>AND(#REF!,"AAAAAH//z9o=")</f>
        <v>#REF!</v>
      </c>
      <c r="HL473" t="e">
        <f>AND(#REF!,"AAAAAH//z9s=")</f>
        <v>#REF!</v>
      </c>
      <c r="HM473" t="e">
        <f>AND(#REF!,"AAAAAH//z9w=")</f>
        <v>#REF!</v>
      </c>
      <c r="HN473" t="e">
        <f>AND(#REF!,"AAAAAH//z90=")</f>
        <v>#REF!</v>
      </c>
      <c r="HO473" t="e">
        <f>AND(#REF!,"AAAAAH//z94=")</f>
        <v>#REF!</v>
      </c>
      <c r="HP473" t="e">
        <f>AND(#REF!,"AAAAAH//z98=")</f>
        <v>#REF!</v>
      </c>
      <c r="HQ473" t="e">
        <f>AND(#REF!,"AAAAAH//z+A=")</f>
        <v>#REF!</v>
      </c>
      <c r="HR473" t="e">
        <f>AND(#REF!,"AAAAAH//z+E=")</f>
        <v>#REF!</v>
      </c>
      <c r="HS473" t="e">
        <f>IF(#REF!,"AAAAAH//z+I=",0)</f>
        <v>#REF!</v>
      </c>
      <c r="HT473" t="e">
        <f>AND(#REF!,"AAAAAH//z+M=")</f>
        <v>#REF!</v>
      </c>
      <c r="HU473" t="e">
        <f>AND(#REF!,"AAAAAH//z+Q=")</f>
        <v>#REF!</v>
      </c>
      <c r="HV473" t="e">
        <f>AND(#REF!,"AAAAAH//z+U=")</f>
        <v>#REF!</v>
      </c>
      <c r="HW473" t="e">
        <f>AND(#REF!,"AAAAAH//z+Y=")</f>
        <v>#REF!</v>
      </c>
      <c r="HX473" t="e">
        <f>AND(#REF!,"AAAAAH//z+c=")</f>
        <v>#REF!</v>
      </c>
      <c r="HY473" t="e">
        <f>AND(#REF!,"AAAAAH//z+g=")</f>
        <v>#REF!</v>
      </c>
      <c r="HZ473" t="e">
        <f>AND(#REF!,"AAAAAH//z+k=")</f>
        <v>#REF!</v>
      </c>
      <c r="IA473" t="e">
        <f>AND(#REF!,"AAAAAH//z+o=")</f>
        <v>#REF!</v>
      </c>
      <c r="IB473" t="e">
        <f>AND(#REF!,"AAAAAH//z+s=")</f>
        <v>#REF!</v>
      </c>
      <c r="IC473" t="e">
        <f>AND(#REF!,"AAAAAH//z+w=")</f>
        <v>#REF!</v>
      </c>
      <c r="ID473" t="e">
        <f>IF(#REF!,"AAAAAH//z+0=",0)</f>
        <v>#REF!</v>
      </c>
      <c r="IE473" t="e">
        <f>AND(#REF!,"AAAAAH//z+4=")</f>
        <v>#REF!</v>
      </c>
      <c r="IF473" t="e">
        <f>AND(#REF!,"AAAAAH//z+8=")</f>
        <v>#REF!</v>
      </c>
      <c r="IG473" t="e">
        <f>AND(#REF!,"AAAAAH//z/A=")</f>
        <v>#REF!</v>
      </c>
      <c r="IH473" t="e">
        <f>AND(#REF!,"AAAAAH//z/E=")</f>
        <v>#REF!</v>
      </c>
      <c r="II473" t="e">
        <f>AND(#REF!,"AAAAAH//z/I=")</f>
        <v>#REF!</v>
      </c>
      <c r="IJ473" t="e">
        <f>AND(#REF!,"AAAAAH//z/M=")</f>
        <v>#REF!</v>
      </c>
      <c r="IK473" t="e">
        <f>AND(#REF!,"AAAAAH//z/Q=")</f>
        <v>#REF!</v>
      </c>
      <c r="IL473" t="e">
        <f>AND(#REF!,"AAAAAH//z/U=")</f>
        <v>#REF!</v>
      </c>
      <c r="IM473" t="e">
        <f>AND(#REF!,"AAAAAH//z/Y=")</f>
        <v>#REF!</v>
      </c>
      <c r="IN473" t="e">
        <f>AND(#REF!,"AAAAAH//z/c=")</f>
        <v>#REF!</v>
      </c>
      <c r="IO473" t="e">
        <f>IF(#REF!,"AAAAAH//z/g=",0)</f>
        <v>#REF!</v>
      </c>
      <c r="IP473" t="e">
        <f>AND(#REF!,"AAAAAH//z/k=")</f>
        <v>#REF!</v>
      </c>
      <c r="IQ473" t="e">
        <f>AND(#REF!,"AAAAAH//z/o=")</f>
        <v>#REF!</v>
      </c>
      <c r="IR473" t="e">
        <f>AND(#REF!,"AAAAAH//z/s=")</f>
        <v>#REF!</v>
      </c>
      <c r="IS473" t="e">
        <f>AND(#REF!,"AAAAAH//z/w=")</f>
        <v>#REF!</v>
      </c>
      <c r="IT473" t="e">
        <f>AND(#REF!,"AAAAAH//z/0=")</f>
        <v>#REF!</v>
      </c>
      <c r="IU473" t="e">
        <f>AND(#REF!,"AAAAAH//z/4=")</f>
        <v>#REF!</v>
      </c>
      <c r="IV473" t="e">
        <f>AND(#REF!,"AAAAAH//z/8=")</f>
        <v>#REF!</v>
      </c>
    </row>
    <row r="474" spans="1:256" x14ac:dyDescent="0.25">
      <c r="A474" t="e">
        <f>AND(#REF!,"AAAAAG5v+QA=")</f>
        <v>#REF!</v>
      </c>
      <c r="B474" t="e">
        <f>AND(#REF!,"AAAAAG5v+QE=")</f>
        <v>#REF!</v>
      </c>
      <c r="C474" t="e">
        <f>AND(#REF!,"AAAAAG5v+QI=")</f>
        <v>#REF!</v>
      </c>
      <c r="D474" t="e">
        <f>IF(#REF!,"AAAAAG5v+QM=",0)</f>
        <v>#REF!</v>
      </c>
      <c r="E474" t="e">
        <f>AND(#REF!,"AAAAAG5v+QQ=")</f>
        <v>#REF!</v>
      </c>
      <c r="F474" t="e">
        <f>AND(#REF!,"AAAAAG5v+QU=")</f>
        <v>#REF!</v>
      </c>
      <c r="G474" t="e">
        <f>AND(#REF!,"AAAAAG5v+QY=")</f>
        <v>#REF!</v>
      </c>
      <c r="H474" t="e">
        <f>AND(#REF!,"AAAAAG5v+Qc=")</f>
        <v>#REF!</v>
      </c>
      <c r="I474" t="e">
        <f>AND(#REF!,"AAAAAG5v+Qg=")</f>
        <v>#REF!</v>
      </c>
      <c r="J474" t="e">
        <f>AND(#REF!,"AAAAAG5v+Qk=")</f>
        <v>#REF!</v>
      </c>
      <c r="K474" t="e">
        <f>AND(#REF!,"AAAAAG5v+Qo=")</f>
        <v>#REF!</v>
      </c>
      <c r="L474" t="e">
        <f>AND(#REF!,"AAAAAG5v+Qs=")</f>
        <v>#REF!</v>
      </c>
      <c r="M474" t="e">
        <f>AND(#REF!,"AAAAAG5v+Qw=")</f>
        <v>#REF!</v>
      </c>
      <c r="N474" t="e">
        <f>AND(#REF!,"AAAAAG5v+Q0=")</f>
        <v>#REF!</v>
      </c>
      <c r="O474" t="e">
        <f>IF(#REF!,"AAAAAG5v+Q4=",0)</f>
        <v>#REF!</v>
      </c>
      <c r="P474" t="e">
        <f>AND(#REF!,"AAAAAG5v+Q8=")</f>
        <v>#REF!</v>
      </c>
      <c r="Q474" t="e">
        <f>AND(#REF!,"AAAAAG5v+RA=")</f>
        <v>#REF!</v>
      </c>
      <c r="R474" t="e">
        <f>AND(#REF!,"AAAAAG5v+RE=")</f>
        <v>#REF!</v>
      </c>
      <c r="S474" t="e">
        <f>AND(#REF!,"AAAAAG5v+RI=")</f>
        <v>#REF!</v>
      </c>
      <c r="T474" t="e">
        <f>AND(#REF!,"AAAAAG5v+RM=")</f>
        <v>#REF!</v>
      </c>
      <c r="U474" t="e">
        <f>AND(#REF!,"AAAAAG5v+RQ=")</f>
        <v>#REF!</v>
      </c>
      <c r="V474" t="e">
        <f>AND(#REF!,"AAAAAG5v+RU=")</f>
        <v>#REF!</v>
      </c>
      <c r="W474" t="e">
        <f>AND(#REF!,"AAAAAG5v+RY=")</f>
        <v>#REF!</v>
      </c>
      <c r="X474" t="e">
        <f>AND(#REF!,"AAAAAG5v+Rc=")</f>
        <v>#REF!</v>
      </c>
      <c r="Y474" t="e">
        <f>AND(#REF!,"AAAAAG5v+Rg=")</f>
        <v>#REF!</v>
      </c>
      <c r="Z474" t="e">
        <f>IF(#REF!,"AAAAAG5v+Rk=",0)</f>
        <v>#REF!</v>
      </c>
      <c r="AA474" t="e">
        <f>AND(#REF!,"AAAAAG5v+Ro=")</f>
        <v>#REF!</v>
      </c>
      <c r="AB474" t="e">
        <f>AND(#REF!,"AAAAAG5v+Rs=")</f>
        <v>#REF!</v>
      </c>
      <c r="AC474" t="e">
        <f>AND(#REF!,"AAAAAG5v+Rw=")</f>
        <v>#REF!</v>
      </c>
      <c r="AD474" t="e">
        <f>AND(#REF!,"AAAAAG5v+R0=")</f>
        <v>#REF!</v>
      </c>
      <c r="AE474" t="e">
        <f>AND(#REF!,"AAAAAG5v+R4=")</f>
        <v>#REF!</v>
      </c>
      <c r="AF474" t="e">
        <f>AND(#REF!,"AAAAAG5v+R8=")</f>
        <v>#REF!</v>
      </c>
      <c r="AG474" t="e">
        <f>AND(#REF!,"AAAAAG5v+SA=")</f>
        <v>#REF!</v>
      </c>
      <c r="AH474" t="e">
        <f>AND(#REF!,"AAAAAG5v+SE=")</f>
        <v>#REF!</v>
      </c>
      <c r="AI474" t="e">
        <f>AND(#REF!,"AAAAAG5v+SI=")</f>
        <v>#REF!</v>
      </c>
      <c r="AJ474" t="e">
        <f>AND(#REF!,"AAAAAG5v+SM=")</f>
        <v>#REF!</v>
      </c>
      <c r="AK474" t="e">
        <f>IF(#REF!,"AAAAAG5v+SQ=",0)</f>
        <v>#REF!</v>
      </c>
      <c r="AL474" t="e">
        <f>AND(#REF!,"AAAAAG5v+SU=")</f>
        <v>#REF!</v>
      </c>
      <c r="AM474" t="e">
        <f>AND(#REF!,"AAAAAG5v+SY=")</f>
        <v>#REF!</v>
      </c>
      <c r="AN474" t="e">
        <f>AND(#REF!,"AAAAAG5v+Sc=")</f>
        <v>#REF!</v>
      </c>
      <c r="AO474" t="e">
        <f>AND(#REF!,"AAAAAG5v+Sg=")</f>
        <v>#REF!</v>
      </c>
      <c r="AP474" t="e">
        <f>AND(#REF!,"AAAAAG5v+Sk=")</f>
        <v>#REF!</v>
      </c>
      <c r="AQ474" t="e">
        <f>AND(#REF!,"AAAAAG5v+So=")</f>
        <v>#REF!</v>
      </c>
      <c r="AR474" t="e">
        <f>AND(#REF!,"AAAAAG5v+Ss=")</f>
        <v>#REF!</v>
      </c>
      <c r="AS474" t="e">
        <f>AND(#REF!,"AAAAAG5v+Sw=")</f>
        <v>#REF!</v>
      </c>
      <c r="AT474" t="e">
        <f>AND(#REF!,"AAAAAG5v+S0=")</f>
        <v>#REF!</v>
      </c>
      <c r="AU474" t="e">
        <f>AND(#REF!,"AAAAAG5v+S4=")</f>
        <v>#REF!</v>
      </c>
      <c r="AV474" t="e">
        <f>IF(#REF!,"AAAAAG5v+S8=",0)</f>
        <v>#REF!</v>
      </c>
      <c r="AW474" t="e">
        <f>AND(#REF!,"AAAAAG5v+TA=")</f>
        <v>#REF!</v>
      </c>
      <c r="AX474" t="e">
        <f>AND(#REF!,"AAAAAG5v+TE=")</f>
        <v>#REF!</v>
      </c>
      <c r="AY474" t="e">
        <f>AND(#REF!,"AAAAAG5v+TI=")</f>
        <v>#REF!</v>
      </c>
      <c r="AZ474" t="e">
        <f>AND(#REF!,"AAAAAG5v+TM=")</f>
        <v>#REF!</v>
      </c>
      <c r="BA474" t="e">
        <f>AND(#REF!,"AAAAAG5v+TQ=")</f>
        <v>#REF!</v>
      </c>
      <c r="BB474" t="e">
        <f>AND(#REF!,"AAAAAG5v+TU=")</f>
        <v>#REF!</v>
      </c>
      <c r="BC474" t="e">
        <f>AND(#REF!,"AAAAAG5v+TY=")</f>
        <v>#REF!</v>
      </c>
      <c r="BD474" t="e">
        <f>AND(#REF!,"AAAAAG5v+Tc=")</f>
        <v>#REF!</v>
      </c>
      <c r="BE474" t="e">
        <f>AND(#REF!,"AAAAAG5v+Tg=")</f>
        <v>#REF!</v>
      </c>
      <c r="BF474" t="e">
        <f>AND(#REF!,"AAAAAG5v+Tk=")</f>
        <v>#REF!</v>
      </c>
      <c r="BG474" t="e">
        <f>IF(#REF!,"AAAAAG5v+To=",0)</f>
        <v>#REF!</v>
      </c>
      <c r="BH474" t="e">
        <f>AND(#REF!,"AAAAAG5v+Ts=")</f>
        <v>#REF!</v>
      </c>
      <c r="BI474" t="e">
        <f>AND(#REF!,"AAAAAG5v+Tw=")</f>
        <v>#REF!</v>
      </c>
      <c r="BJ474" t="e">
        <f>AND(#REF!,"AAAAAG5v+T0=")</f>
        <v>#REF!</v>
      </c>
      <c r="BK474" t="e">
        <f>AND(#REF!,"AAAAAG5v+T4=")</f>
        <v>#REF!</v>
      </c>
      <c r="BL474" t="e">
        <f>AND(#REF!,"AAAAAG5v+T8=")</f>
        <v>#REF!</v>
      </c>
      <c r="BM474" t="e">
        <f>AND(#REF!,"AAAAAG5v+UA=")</f>
        <v>#REF!</v>
      </c>
      <c r="BN474" t="e">
        <f>AND(#REF!,"AAAAAG5v+UE=")</f>
        <v>#REF!</v>
      </c>
      <c r="BO474" t="e">
        <f>AND(#REF!,"AAAAAG5v+UI=")</f>
        <v>#REF!</v>
      </c>
      <c r="BP474" t="e">
        <f>AND(#REF!,"AAAAAG5v+UM=")</f>
        <v>#REF!</v>
      </c>
      <c r="BQ474" t="e">
        <f>AND(#REF!,"AAAAAG5v+UQ=")</f>
        <v>#REF!</v>
      </c>
      <c r="BR474" t="e">
        <f>IF(#REF!,"AAAAAG5v+UU=",0)</f>
        <v>#REF!</v>
      </c>
      <c r="BS474" t="e">
        <f>AND(#REF!,"AAAAAG5v+UY=")</f>
        <v>#REF!</v>
      </c>
      <c r="BT474" t="e">
        <f>AND(#REF!,"AAAAAG5v+Uc=")</f>
        <v>#REF!</v>
      </c>
      <c r="BU474" t="e">
        <f>AND(#REF!,"AAAAAG5v+Ug=")</f>
        <v>#REF!</v>
      </c>
      <c r="BV474" t="e">
        <f>AND(#REF!,"AAAAAG5v+Uk=")</f>
        <v>#REF!</v>
      </c>
      <c r="BW474" t="e">
        <f>AND(#REF!,"AAAAAG5v+Uo=")</f>
        <v>#REF!</v>
      </c>
      <c r="BX474" t="e">
        <f>AND(#REF!,"AAAAAG5v+Us=")</f>
        <v>#REF!</v>
      </c>
      <c r="BY474" t="e">
        <f>AND(#REF!,"AAAAAG5v+Uw=")</f>
        <v>#REF!</v>
      </c>
      <c r="BZ474" t="e">
        <f>AND(#REF!,"AAAAAG5v+U0=")</f>
        <v>#REF!</v>
      </c>
      <c r="CA474" t="e">
        <f>AND(#REF!,"AAAAAG5v+U4=")</f>
        <v>#REF!</v>
      </c>
      <c r="CB474" t="e">
        <f>AND(#REF!,"AAAAAG5v+U8=")</f>
        <v>#REF!</v>
      </c>
      <c r="CC474" t="e">
        <f>IF(#REF!,"AAAAAG5v+VA=",0)</f>
        <v>#REF!</v>
      </c>
      <c r="CD474" t="e">
        <f>AND(#REF!,"AAAAAG5v+VE=")</f>
        <v>#REF!</v>
      </c>
      <c r="CE474" t="e">
        <f>AND(#REF!,"AAAAAG5v+VI=")</f>
        <v>#REF!</v>
      </c>
      <c r="CF474" t="e">
        <f>AND(#REF!,"AAAAAG5v+VM=")</f>
        <v>#REF!</v>
      </c>
      <c r="CG474" t="e">
        <f>AND(#REF!,"AAAAAG5v+VQ=")</f>
        <v>#REF!</v>
      </c>
      <c r="CH474" t="e">
        <f>AND(#REF!,"AAAAAG5v+VU=")</f>
        <v>#REF!</v>
      </c>
      <c r="CI474" t="e">
        <f>AND(#REF!,"AAAAAG5v+VY=")</f>
        <v>#REF!</v>
      </c>
      <c r="CJ474" t="e">
        <f>AND(#REF!,"AAAAAG5v+Vc=")</f>
        <v>#REF!</v>
      </c>
      <c r="CK474" t="e">
        <f>AND(#REF!,"AAAAAG5v+Vg=")</f>
        <v>#REF!</v>
      </c>
      <c r="CL474" t="e">
        <f>AND(#REF!,"AAAAAG5v+Vk=")</f>
        <v>#REF!</v>
      </c>
      <c r="CM474" t="e">
        <f>AND(#REF!,"AAAAAG5v+Vo=")</f>
        <v>#REF!</v>
      </c>
      <c r="CN474" t="e">
        <f>IF(#REF!,"AAAAAG5v+Vs=",0)</f>
        <v>#REF!</v>
      </c>
      <c r="CO474" t="e">
        <f>AND(#REF!,"AAAAAG5v+Vw=")</f>
        <v>#REF!</v>
      </c>
      <c r="CP474" t="e">
        <f>AND(#REF!,"AAAAAG5v+V0=")</f>
        <v>#REF!</v>
      </c>
      <c r="CQ474" t="e">
        <f>AND(#REF!,"AAAAAG5v+V4=")</f>
        <v>#REF!</v>
      </c>
      <c r="CR474" t="e">
        <f>AND(#REF!,"AAAAAG5v+V8=")</f>
        <v>#REF!</v>
      </c>
      <c r="CS474" t="e">
        <f>AND(#REF!,"AAAAAG5v+WA=")</f>
        <v>#REF!</v>
      </c>
      <c r="CT474" t="e">
        <f>AND(#REF!,"AAAAAG5v+WE=")</f>
        <v>#REF!</v>
      </c>
      <c r="CU474" t="e">
        <f>AND(#REF!,"AAAAAG5v+WI=")</f>
        <v>#REF!</v>
      </c>
      <c r="CV474" t="e">
        <f>AND(#REF!,"AAAAAG5v+WM=")</f>
        <v>#REF!</v>
      </c>
      <c r="CW474" t="e">
        <f>AND(#REF!,"AAAAAG5v+WQ=")</f>
        <v>#REF!</v>
      </c>
      <c r="CX474" t="e">
        <f>AND(#REF!,"AAAAAG5v+WU=")</f>
        <v>#REF!</v>
      </c>
      <c r="CY474" t="e">
        <f>IF(#REF!,"AAAAAG5v+WY=",0)</f>
        <v>#REF!</v>
      </c>
      <c r="CZ474" t="e">
        <f>AND(#REF!,"AAAAAG5v+Wc=")</f>
        <v>#REF!</v>
      </c>
      <c r="DA474" t="e">
        <f>AND(#REF!,"AAAAAG5v+Wg=")</f>
        <v>#REF!</v>
      </c>
      <c r="DB474" t="e">
        <f>AND(#REF!,"AAAAAG5v+Wk=")</f>
        <v>#REF!</v>
      </c>
      <c r="DC474" t="e">
        <f>AND(#REF!,"AAAAAG5v+Wo=")</f>
        <v>#REF!</v>
      </c>
      <c r="DD474" t="e">
        <f>AND(#REF!,"AAAAAG5v+Ws=")</f>
        <v>#REF!</v>
      </c>
      <c r="DE474" t="e">
        <f>AND(#REF!,"AAAAAG5v+Ww=")</f>
        <v>#REF!</v>
      </c>
      <c r="DF474" t="e">
        <f>AND(#REF!,"AAAAAG5v+W0=")</f>
        <v>#REF!</v>
      </c>
      <c r="DG474" t="e">
        <f>AND(#REF!,"AAAAAG5v+W4=")</f>
        <v>#REF!</v>
      </c>
      <c r="DH474" t="e">
        <f>AND(#REF!,"AAAAAG5v+W8=")</f>
        <v>#REF!</v>
      </c>
      <c r="DI474" t="e">
        <f>AND(#REF!,"AAAAAG5v+XA=")</f>
        <v>#REF!</v>
      </c>
      <c r="DJ474" t="e">
        <f>IF(#REF!,"AAAAAG5v+XE=",0)</f>
        <v>#REF!</v>
      </c>
      <c r="DK474" t="e">
        <f>AND(#REF!,"AAAAAG5v+XI=")</f>
        <v>#REF!</v>
      </c>
      <c r="DL474" t="e">
        <f>AND(#REF!,"AAAAAG5v+XM=")</f>
        <v>#REF!</v>
      </c>
      <c r="DM474" t="e">
        <f>AND(#REF!,"AAAAAG5v+XQ=")</f>
        <v>#REF!</v>
      </c>
      <c r="DN474" t="e">
        <f>AND(#REF!,"AAAAAG5v+XU=")</f>
        <v>#REF!</v>
      </c>
      <c r="DO474" t="e">
        <f>AND(#REF!,"AAAAAG5v+XY=")</f>
        <v>#REF!</v>
      </c>
      <c r="DP474" t="e">
        <f>AND(#REF!,"AAAAAG5v+Xc=")</f>
        <v>#REF!</v>
      </c>
      <c r="DQ474" t="e">
        <f>AND(#REF!,"AAAAAG5v+Xg=")</f>
        <v>#REF!</v>
      </c>
      <c r="DR474" t="e">
        <f>AND(#REF!,"AAAAAG5v+Xk=")</f>
        <v>#REF!</v>
      </c>
      <c r="DS474" t="e">
        <f>AND(#REF!,"AAAAAG5v+Xo=")</f>
        <v>#REF!</v>
      </c>
      <c r="DT474" t="e">
        <f>AND(#REF!,"AAAAAG5v+Xs=")</f>
        <v>#REF!</v>
      </c>
      <c r="DU474" t="e">
        <f>IF(#REF!,"AAAAAG5v+Xw=",0)</f>
        <v>#REF!</v>
      </c>
      <c r="DV474" t="e">
        <f>AND(#REF!,"AAAAAG5v+X0=")</f>
        <v>#REF!</v>
      </c>
      <c r="DW474" t="e">
        <f>AND(#REF!,"AAAAAG5v+X4=")</f>
        <v>#REF!</v>
      </c>
      <c r="DX474" t="e">
        <f>AND(#REF!,"AAAAAG5v+X8=")</f>
        <v>#REF!</v>
      </c>
      <c r="DY474" t="e">
        <f>AND(#REF!,"AAAAAG5v+YA=")</f>
        <v>#REF!</v>
      </c>
      <c r="DZ474" t="e">
        <f>AND(#REF!,"AAAAAG5v+YE=")</f>
        <v>#REF!</v>
      </c>
      <c r="EA474" t="e">
        <f>AND(#REF!,"AAAAAG5v+YI=")</f>
        <v>#REF!</v>
      </c>
      <c r="EB474" t="e">
        <f>AND(#REF!,"AAAAAG5v+YM=")</f>
        <v>#REF!</v>
      </c>
      <c r="EC474" t="e">
        <f>AND(#REF!,"AAAAAG5v+YQ=")</f>
        <v>#REF!</v>
      </c>
      <c r="ED474" t="e">
        <f>AND(#REF!,"AAAAAG5v+YU=")</f>
        <v>#REF!</v>
      </c>
      <c r="EE474" t="e">
        <f>AND(#REF!,"AAAAAG5v+YY=")</f>
        <v>#REF!</v>
      </c>
      <c r="EF474" t="e">
        <f>IF(#REF!,"AAAAAG5v+Yc=",0)</f>
        <v>#REF!</v>
      </c>
      <c r="EG474" t="e">
        <f>AND(#REF!,"AAAAAG5v+Yg=")</f>
        <v>#REF!</v>
      </c>
      <c r="EH474" t="e">
        <f>AND(#REF!,"AAAAAG5v+Yk=")</f>
        <v>#REF!</v>
      </c>
      <c r="EI474" t="e">
        <f>AND(#REF!,"AAAAAG5v+Yo=")</f>
        <v>#REF!</v>
      </c>
      <c r="EJ474" t="e">
        <f>AND(#REF!,"AAAAAG5v+Ys=")</f>
        <v>#REF!</v>
      </c>
      <c r="EK474" t="e">
        <f>AND(#REF!,"AAAAAG5v+Yw=")</f>
        <v>#REF!</v>
      </c>
      <c r="EL474" t="e">
        <f>AND(#REF!,"AAAAAG5v+Y0=")</f>
        <v>#REF!</v>
      </c>
      <c r="EM474" t="e">
        <f>AND(#REF!,"AAAAAG5v+Y4=")</f>
        <v>#REF!</v>
      </c>
      <c r="EN474" t="e">
        <f>AND(#REF!,"AAAAAG5v+Y8=")</f>
        <v>#REF!</v>
      </c>
      <c r="EO474" t="e">
        <f>AND(#REF!,"AAAAAG5v+ZA=")</f>
        <v>#REF!</v>
      </c>
      <c r="EP474" t="e">
        <f>AND(#REF!,"AAAAAG5v+ZE=")</f>
        <v>#REF!</v>
      </c>
      <c r="EQ474" t="e">
        <f>IF(#REF!,"AAAAAG5v+ZI=",0)</f>
        <v>#REF!</v>
      </c>
      <c r="ER474" t="e">
        <f>AND(#REF!,"AAAAAG5v+ZM=")</f>
        <v>#REF!</v>
      </c>
      <c r="ES474" t="e">
        <f>AND(#REF!,"AAAAAG5v+ZQ=")</f>
        <v>#REF!</v>
      </c>
      <c r="ET474" t="e">
        <f>AND(#REF!,"AAAAAG5v+ZU=")</f>
        <v>#REF!</v>
      </c>
      <c r="EU474" t="e">
        <f>AND(#REF!,"AAAAAG5v+ZY=")</f>
        <v>#REF!</v>
      </c>
      <c r="EV474" t="e">
        <f>AND(#REF!,"AAAAAG5v+Zc=")</f>
        <v>#REF!</v>
      </c>
      <c r="EW474" t="e">
        <f>AND(#REF!,"AAAAAG5v+Zg=")</f>
        <v>#REF!</v>
      </c>
      <c r="EX474" t="e">
        <f>AND(#REF!,"AAAAAG5v+Zk=")</f>
        <v>#REF!</v>
      </c>
      <c r="EY474" t="e">
        <f>AND(#REF!,"AAAAAG5v+Zo=")</f>
        <v>#REF!</v>
      </c>
      <c r="EZ474" t="e">
        <f>AND(#REF!,"AAAAAG5v+Zs=")</f>
        <v>#REF!</v>
      </c>
      <c r="FA474" t="e">
        <f>AND(#REF!,"AAAAAG5v+Zw=")</f>
        <v>#REF!</v>
      </c>
      <c r="FB474" t="e">
        <f>IF(#REF!,"AAAAAG5v+Z0=",0)</f>
        <v>#REF!</v>
      </c>
      <c r="FC474" t="e">
        <f>AND(#REF!,"AAAAAG5v+Z4=")</f>
        <v>#REF!</v>
      </c>
      <c r="FD474" t="e">
        <f>AND(#REF!,"AAAAAG5v+Z8=")</f>
        <v>#REF!</v>
      </c>
      <c r="FE474" t="e">
        <f>AND(#REF!,"AAAAAG5v+aA=")</f>
        <v>#REF!</v>
      </c>
      <c r="FF474" t="e">
        <f>AND(#REF!,"AAAAAG5v+aE=")</f>
        <v>#REF!</v>
      </c>
      <c r="FG474" t="e">
        <f>AND(#REF!,"AAAAAG5v+aI=")</f>
        <v>#REF!</v>
      </c>
      <c r="FH474" t="e">
        <f>AND(#REF!,"AAAAAG5v+aM=")</f>
        <v>#REF!</v>
      </c>
      <c r="FI474" t="e">
        <f>AND(#REF!,"AAAAAG5v+aQ=")</f>
        <v>#REF!</v>
      </c>
      <c r="FJ474" t="e">
        <f>AND(#REF!,"AAAAAG5v+aU=")</f>
        <v>#REF!</v>
      </c>
      <c r="FK474" t="e">
        <f>AND(#REF!,"AAAAAG5v+aY=")</f>
        <v>#REF!</v>
      </c>
      <c r="FL474" t="e">
        <f>AND(#REF!,"AAAAAG5v+ac=")</f>
        <v>#REF!</v>
      </c>
      <c r="FM474" t="e">
        <f>IF(#REF!,"AAAAAG5v+ag=",0)</f>
        <v>#REF!</v>
      </c>
      <c r="FN474" t="e">
        <f>AND(#REF!,"AAAAAG5v+ak=")</f>
        <v>#REF!</v>
      </c>
      <c r="FO474" t="e">
        <f>AND(#REF!,"AAAAAG5v+ao=")</f>
        <v>#REF!</v>
      </c>
      <c r="FP474" t="e">
        <f>AND(#REF!,"AAAAAG5v+as=")</f>
        <v>#REF!</v>
      </c>
      <c r="FQ474" t="e">
        <f>AND(#REF!,"AAAAAG5v+aw=")</f>
        <v>#REF!</v>
      </c>
      <c r="FR474" t="e">
        <f>AND(#REF!,"AAAAAG5v+a0=")</f>
        <v>#REF!</v>
      </c>
      <c r="FS474" t="e">
        <f>AND(#REF!,"AAAAAG5v+a4=")</f>
        <v>#REF!</v>
      </c>
      <c r="FT474" t="e">
        <f>AND(#REF!,"AAAAAG5v+a8=")</f>
        <v>#REF!</v>
      </c>
      <c r="FU474" t="e">
        <f>AND(#REF!,"AAAAAG5v+bA=")</f>
        <v>#REF!</v>
      </c>
      <c r="FV474" t="e">
        <f>AND(#REF!,"AAAAAG5v+bE=")</f>
        <v>#REF!</v>
      </c>
      <c r="FW474" t="e">
        <f>AND(#REF!,"AAAAAG5v+bI=")</f>
        <v>#REF!</v>
      </c>
      <c r="FX474" t="e">
        <f>IF(#REF!,"AAAAAG5v+bM=",0)</f>
        <v>#REF!</v>
      </c>
      <c r="FY474" t="e">
        <f>AND(#REF!,"AAAAAG5v+bQ=")</f>
        <v>#REF!</v>
      </c>
      <c r="FZ474" t="e">
        <f>AND(#REF!,"AAAAAG5v+bU=")</f>
        <v>#REF!</v>
      </c>
      <c r="GA474" t="e">
        <f>AND(#REF!,"AAAAAG5v+bY=")</f>
        <v>#REF!</v>
      </c>
      <c r="GB474" t="e">
        <f>AND(#REF!,"AAAAAG5v+bc=")</f>
        <v>#REF!</v>
      </c>
      <c r="GC474" t="e">
        <f>AND(#REF!,"AAAAAG5v+bg=")</f>
        <v>#REF!</v>
      </c>
      <c r="GD474" t="e">
        <f>AND(#REF!,"AAAAAG5v+bk=")</f>
        <v>#REF!</v>
      </c>
      <c r="GE474" t="e">
        <f>AND(#REF!,"AAAAAG5v+bo=")</f>
        <v>#REF!</v>
      </c>
      <c r="GF474" t="e">
        <f>AND(#REF!,"AAAAAG5v+bs=")</f>
        <v>#REF!</v>
      </c>
      <c r="GG474" t="e">
        <f>AND(#REF!,"AAAAAG5v+bw=")</f>
        <v>#REF!</v>
      </c>
      <c r="GH474" t="e">
        <f>AND(#REF!,"AAAAAG5v+b0=")</f>
        <v>#REF!</v>
      </c>
      <c r="GI474" t="e">
        <f>IF(#REF!,"AAAAAG5v+b4=",0)</f>
        <v>#REF!</v>
      </c>
      <c r="GJ474" t="e">
        <f>AND(#REF!,"AAAAAG5v+b8=")</f>
        <v>#REF!</v>
      </c>
      <c r="GK474" t="e">
        <f>AND(#REF!,"AAAAAG5v+cA=")</f>
        <v>#REF!</v>
      </c>
      <c r="GL474" t="e">
        <f>AND(#REF!,"AAAAAG5v+cE=")</f>
        <v>#REF!</v>
      </c>
      <c r="GM474" t="e">
        <f>AND(#REF!,"AAAAAG5v+cI=")</f>
        <v>#REF!</v>
      </c>
      <c r="GN474" t="e">
        <f>AND(#REF!,"AAAAAG5v+cM=")</f>
        <v>#REF!</v>
      </c>
      <c r="GO474" t="e">
        <f>AND(#REF!,"AAAAAG5v+cQ=")</f>
        <v>#REF!</v>
      </c>
      <c r="GP474" t="e">
        <f>AND(#REF!,"AAAAAG5v+cU=")</f>
        <v>#REF!</v>
      </c>
      <c r="GQ474" t="e">
        <f>AND(#REF!,"AAAAAG5v+cY=")</f>
        <v>#REF!</v>
      </c>
      <c r="GR474" t="e">
        <f>AND(#REF!,"AAAAAG5v+cc=")</f>
        <v>#REF!</v>
      </c>
      <c r="GS474" t="e">
        <f>AND(#REF!,"AAAAAG5v+cg=")</f>
        <v>#REF!</v>
      </c>
      <c r="GT474" t="e">
        <f>IF(#REF!,"AAAAAG5v+ck=",0)</f>
        <v>#REF!</v>
      </c>
      <c r="GU474" t="e">
        <f>AND(#REF!,"AAAAAG5v+co=")</f>
        <v>#REF!</v>
      </c>
      <c r="GV474" t="e">
        <f>AND(#REF!,"AAAAAG5v+cs=")</f>
        <v>#REF!</v>
      </c>
      <c r="GW474" t="e">
        <f>AND(#REF!,"AAAAAG5v+cw=")</f>
        <v>#REF!</v>
      </c>
      <c r="GX474" t="e">
        <f>AND(#REF!,"AAAAAG5v+c0=")</f>
        <v>#REF!</v>
      </c>
      <c r="GY474" t="e">
        <f>AND(#REF!,"AAAAAG5v+c4=")</f>
        <v>#REF!</v>
      </c>
      <c r="GZ474" t="e">
        <f>AND(#REF!,"AAAAAG5v+c8=")</f>
        <v>#REF!</v>
      </c>
      <c r="HA474" t="e">
        <f>AND(#REF!,"AAAAAG5v+dA=")</f>
        <v>#REF!</v>
      </c>
      <c r="HB474" t="e">
        <f>AND(#REF!,"AAAAAG5v+dE=")</f>
        <v>#REF!</v>
      </c>
      <c r="HC474" t="e">
        <f>AND(#REF!,"AAAAAG5v+dI=")</f>
        <v>#REF!</v>
      </c>
      <c r="HD474" t="e">
        <f>AND(#REF!,"AAAAAG5v+dM=")</f>
        <v>#REF!</v>
      </c>
      <c r="HE474" t="e">
        <f>IF(#REF!,"AAAAAG5v+dQ=",0)</f>
        <v>#REF!</v>
      </c>
      <c r="HF474" t="e">
        <f>AND(#REF!,"AAAAAG5v+dU=")</f>
        <v>#REF!</v>
      </c>
      <c r="HG474" t="e">
        <f>AND(#REF!,"AAAAAG5v+dY=")</f>
        <v>#REF!</v>
      </c>
      <c r="HH474" t="e">
        <f>AND(#REF!,"AAAAAG5v+dc=")</f>
        <v>#REF!</v>
      </c>
      <c r="HI474" t="e">
        <f>AND(#REF!,"AAAAAG5v+dg=")</f>
        <v>#REF!</v>
      </c>
      <c r="HJ474" t="e">
        <f>AND(#REF!,"AAAAAG5v+dk=")</f>
        <v>#REF!</v>
      </c>
      <c r="HK474" t="e">
        <f>AND(#REF!,"AAAAAG5v+do=")</f>
        <v>#REF!</v>
      </c>
      <c r="HL474" t="e">
        <f>AND(#REF!,"AAAAAG5v+ds=")</f>
        <v>#REF!</v>
      </c>
      <c r="HM474" t="e">
        <f>AND(#REF!,"AAAAAG5v+dw=")</f>
        <v>#REF!</v>
      </c>
      <c r="HN474" t="e">
        <f>AND(#REF!,"AAAAAG5v+d0=")</f>
        <v>#REF!</v>
      </c>
      <c r="HO474" t="e">
        <f>AND(#REF!,"AAAAAG5v+d4=")</f>
        <v>#REF!</v>
      </c>
      <c r="HP474" t="e">
        <f>IF(#REF!,"AAAAAG5v+d8=",0)</f>
        <v>#REF!</v>
      </c>
      <c r="HQ474" t="e">
        <f>AND(#REF!,"AAAAAG5v+eA=")</f>
        <v>#REF!</v>
      </c>
      <c r="HR474" t="e">
        <f>AND(#REF!,"AAAAAG5v+eE=")</f>
        <v>#REF!</v>
      </c>
      <c r="HS474" t="e">
        <f>AND(#REF!,"AAAAAG5v+eI=")</f>
        <v>#REF!</v>
      </c>
      <c r="HT474" t="e">
        <f>AND(#REF!,"AAAAAG5v+eM=")</f>
        <v>#REF!</v>
      </c>
      <c r="HU474" t="e">
        <f>AND(#REF!,"AAAAAG5v+eQ=")</f>
        <v>#REF!</v>
      </c>
      <c r="HV474" t="e">
        <f>AND(#REF!,"AAAAAG5v+eU=")</f>
        <v>#REF!</v>
      </c>
      <c r="HW474" t="e">
        <f>AND(#REF!,"AAAAAG5v+eY=")</f>
        <v>#REF!</v>
      </c>
      <c r="HX474" t="e">
        <f>AND(#REF!,"AAAAAG5v+ec=")</f>
        <v>#REF!</v>
      </c>
      <c r="HY474" t="e">
        <f>AND(#REF!,"AAAAAG5v+eg=")</f>
        <v>#REF!</v>
      </c>
      <c r="HZ474" t="e">
        <f>AND(#REF!,"AAAAAG5v+ek=")</f>
        <v>#REF!</v>
      </c>
      <c r="IA474" t="e">
        <f>IF(#REF!,"AAAAAG5v+eo=",0)</f>
        <v>#REF!</v>
      </c>
      <c r="IB474" t="e">
        <f>AND(#REF!,"AAAAAG5v+es=")</f>
        <v>#REF!</v>
      </c>
      <c r="IC474" t="e">
        <f>AND(#REF!,"AAAAAG5v+ew=")</f>
        <v>#REF!</v>
      </c>
      <c r="ID474" t="e">
        <f>AND(#REF!,"AAAAAG5v+e0=")</f>
        <v>#REF!</v>
      </c>
      <c r="IE474" t="e">
        <f>AND(#REF!,"AAAAAG5v+e4=")</f>
        <v>#REF!</v>
      </c>
      <c r="IF474" t="e">
        <f>AND(#REF!,"AAAAAG5v+e8=")</f>
        <v>#REF!</v>
      </c>
      <c r="IG474" t="e">
        <f>AND(#REF!,"AAAAAG5v+fA=")</f>
        <v>#REF!</v>
      </c>
      <c r="IH474" t="e">
        <f>AND(#REF!,"AAAAAG5v+fE=")</f>
        <v>#REF!</v>
      </c>
      <c r="II474" t="e">
        <f>AND(#REF!,"AAAAAG5v+fI=")</f>
        <v>#REF!</v>
      </c>
      <c r="IJ474" t="e">
        <f>AND(#REF!,"AAAAAG5v+fM=")</f>
        <v>#REF!</v>
      </c>
      <c r="IK474" t="e">
        <f>AND(#REF!,"AAAAAG5v+fQ=")</f>
        <v>#REF!</v>
      </c>
      <c r="IL474" t="e">
        <f>IF(#REF!,"AAAAAG5v+fU=",0)</f>
        <v>#REF!</v>
      </c>
      <c r="IM474" t="e">
        <f>AND(#REF!,"AAAAAG5v+fY=")</f>
        <v>#REF!</v>
      </c>
      <c r="IN474" t="e">
        <f>AND(#REF!,"AAAAAG5v+fc=")</f>
        <v>#REF!</v>
      </c>
      <c r="IO474" t="e">
        <f>AND(#REF!,"AAAAAG5v+fg=")</f>
        <v>#REF!</v>
      </c>
      <c r="IP474" t="e">
        <f>AND(#REF!,"AAAAAG5v+fk=")</f>
        <v>#REF!</v>
      </c>
      <c r="IQ474" t="e">
        <f>AND(#REF!,"AAAAAG5v+fo=")</f>
        <v>#REF!</v>
      </c>
      <c r="IR474" t="e">
        <f>AND(#REF!,"AAAAAG5v+fs=")</f>
        <v>#REF!</v>
      </c>
      <c r="IS474" t="e">
        <f>AND(#REF!,"AAAAAG5v+fw=")</f>
        <v>#REF!</v>
      </c>
      <c r="IT474" t="e">
        <f>AND(#REF!,"AAAAAG5v+f0=")</f>
        <v>#REF!</v>
      </c>
      <c r="IU474" t="e">
        <f>AND(#REF!,"AAAAAG5v+f4=")</f>
        <v>#REF!</v>
      </c>
      <c r="IV474" t="e">
        <f>AND(#REF!,"AAAAAG5v+f8=")</f>
        <v>#REF!</v>
      </c>
    </row>
    <row r="475" spans="1:256" x14ac:dyDescent="0.25">
      <c r="A475" t="e">
        <f>IF(#REF!,"AAAAAHX8bQA=",0)</f>
        <v>#REF!</v>
      </c>
      <c r="B475" t="e">
        <f>AND(#REF!,"AAAAAHX8bQE=")</f>
        <v>#REF!</v>
      </c>
      <c r="C475" t="e">
        <f>AND(#REF!,"AAAAAHX8bQI=")</f>
        <v>#REF!</v>
      </c>
      <c r="D475" t="e">
        <f>AND(#REF!,"AAAAAHX8bQM=")</f>
        <v>#REF!</v>
      </c>
      <c r="E475" t="e">
        <f>AND(#REF!,"AAAAAHX8bQQ=")</f>
        <v>#REF!</v>
      </c>
      <c r="F475" t="e">
        <f>AND(#REF!,"AAAAAHX8bQU=")</f>
        <v>#REF!</v>
      </c>
      <c r="G475" t="e">
        <f>AND(#REF!,"AAAAAHX8bQY=")</f>
        <v>#REF!</v>
      </c>
      <c r="H475" t="e">
        <f>AND(#REF!,"AAAAAHX8bQc=")</f>
        <v>#REF!</v>
      </c>
      <c r="I475" t="e">
        <f>AND(#REF!,"AAAAAHX8bQg=")</f>
        <v>#REF!</v>
      </c>
      <c r="J475" t="e">
        <f>AND(#REF!,"AAAAAHX8bQk=")</f>
        <v>#REF!</v>
      </c>
      <c r="K475" t="e">
        <f>AND(#REF!,"AAAAAHX8bQo=")</f>
        <v>#REF!</v>
      </c>
      <c r="L475" t="e">
        <f>IF(#REF!,"AAAAAHX8bQs=",0)</f>
        <v>#REF!</v>
      </c>
      <c r="M475" t="e">
        <f>AND(#REF!,"AAAAAHX8bQw=")</f>
        <v>#REF!</v>
      </c>
      <c r="N475" t="e">
        <f>AND(#REF!,"AAAAAHX8bQ0=")</f>
        <v>#REF!</v>
      </c>
      <c r="O475" t="e">
        <f>AND(#REF!,"AAAAAHX8bQ4=")</f>
        <v>#REF!</v>
      </c>
      <c r="P475" t="e">
        <f>AND(#REF!,"AAAAAHX8bQ8=")</f>
        <v>#REF!</v>
      </c>
      <c r="Q475" t="e">
        <f>AND(#REF!,"AAAAAHX8bRA=")</f>
        <v>#REF!</v>
      </c>
      <c r="R475" t="e">
        <f>AND(#REF!,"AAAAAHX8bRE=")</f>
        <v>#REF!</v>
      </c>
      <c r="S475" t="e">
        <f>AND(#REF!,"AAAAAHX8bRI=")</f>
        <v>#REF!</v>
      </c>
      <c r="T475" t="e">
        <f>AND(#REF!,"AAAAAHX8bRM=")</f>
        <v>#REF!</v>
      </c>
      <c r="U475" t="e">
        <f>AND(#REF!,"AAAAAHX8bRQ=")</f>
        <v>#REF!</v>
      </c>
      <c r="V475" t="e">
        <f>AND(#REF!,"AAAAAHX8bRU=")</f>
        <v>#REF!</v>
      </c>
      <c r="W475" t="e">
        <f>IF(#REF!,"AAAAAHX8bRY=",0)</f>
        <v>#REF!</v>
      </c>
      <c r="X475" t="e">
        <f>AND(#REF!,"AAAAAHX8bRc=")</f>
        <v>#REF!</v>
      </c>
      <c r="Y475" t="e">
        <f>AND(#REF!,"AAAAAHX8bRg=")</f>
        <v>#REF!</v>
      </c>
      <c r="Z475" t="e">
        <f>AND(#REF!,"AAAAAHX8bRk=")</f>
        <v>#REF!</v>
      </c>
      <c r="AA475" t="e">
        <f>AND(#REF!,"AAAAAHX8bRo=")</f>
        <v>#REF!</v>
      </c>
      <c r="AB475" t="e">
        <f>AND(#REF!,"AAAAAHX8bRs=")</f>
        <v>#REF!</v>
      </c>
      <c r="AC475" t="e">
        <f>AND(#REF!,"AAAAAHX8bRw=")</f>
        <v>#REF!</v>
      </c>
      <c r="AD475" t="e">
        <f>AND(#REF!,"AAAAAHX8bR0=")</f>
        <v>#REF!</v>
      </c>
      <c r="AE475" t="e">
        <f>AND(#REF!,"AAAAAHX8bR4=")</f>
        <v>#REF!</v>
      </c>
      <c r="AF475" t="e">
        <f>AND(#REF!,"AAAAAHX8bR8=")</f>
        <v>#REF!</v>
      </c>
      <c r="AG475" t="e">
        <f>AND(#REF!,"AAAAAHX8bSA=")</f>
        <v>#REF!</v>
      </c>
      <c r="AH475" t="e">
        <f>IF(#REF!,"AAAAAHX8bSE=",0)</f>
        <v>#REF!</v>
      </c>
      <c r="AI475" t="e">
        <f>AND(#REF!,"AAAAAHX8bSI=")</f>
        <v>#REF!</v>
      </c>
      <c r="AJ475" t="e">
        <f>AND(#REF!,"AAAAAHX8bSM=")</f>
        <v>#REF!</v>
      </c>
      <c r="AK475" t="e">
        <f>AND(#REF!,"AAAAAHX8bSQ=")</f>
        <v>#REF!</v>
      </c>
      <c r="AL475" t="e">
        <f>AND(#REF!,"AAAAAHX8bSU=")</f>
        <v>#REF!</v>
      </c>
      <c r="AM475" t="e">
        <f>AND(#REF!,"AAAAAHX8bSY=")</f>
        <v>#REF!</v>
      </c>
      <c r="AN475" t="e">
        <f>AND(#REF!,"AAAAAHX8bSc=")</f>
        <v>#REF!</v>
      </c>
      <c r="AO475" t="e">
        <f>AND(#REF!,"AAAAAHX8bSg=")</f>
        <v>#REF!</v>
      </c>
      <c r="AP475" t="e">
        <f>AND(#REF!,"AAAAAHX8bSk=")</f>
        <v>#REF!</v>
      </c>
      <c r="AQ475" t="e">
        <f>AND(#REF!,"AAAAAHX8bSo=")</f>
        <v>#REF!</v>
      </c>
      <c r="AR475" t="e">
        <f>AND(#REF!,"AAAAAHX8bSs=")</f>
        <v>#REF!</v>
      </c>
      <c r="AS475" t="e">
        <f>IF(#REF!,"AAAAAHX8bSw=",0)</f>
        <v>#REF!</v>
      </c>
      <c r="AT475" t="e">
        <f>AND(#REF!,"AAAAAHX8bS0=")</f>
        <v>#REF!</v>
      </c>
      <c r="AU475" t="e">
        <f>AND(#REF!,"AAAAAHX8bS4=")</f>
        <v>#REF!</v>
      </c>
      <c r="AV475" t="e">
        <f>AND(#REF!,"AAAAAHX8bS8=")</f>
        <v>#REF!</v>
      </c>
      <c r="AW475" t="e">
        <f>AND(#REF!,"AAAAAHX8bTA=")</f>
        <v>#REF!</v>
      </c>
      <c r="AX475" t="e">
        <f>AND(#REF!,"AAAAAHX8bTE=")</f>
        <v>#REF!</v>
      </c>
      <c r="AY475" t="e">
        <f>AND(#REF!,"AAAAAHX8bTI=")</f>
        <v>#REF!</v>
      </c>
      <c r="AZ475" t="e">
        <f>AND(#REF!,"AAAAAHX8bTM=")</f>
        <v>#REF!</v>
      </c>
      <c r="BA475" t="e">
        <f>AND(#REF!,"AAAAAHX8bTQ=")</f>
        <v>#REF!</v>
      </c>
      <c r="BB475" t="e">
        <f>AND(#REF!,"AAAAAHX8bTU=")</f>
        <v>#REF!</v>
      </c>
      <c r="BC475" t="e">
        <f>AND(#REF!,"AAAAAHX8bTY=")</f>
        <v>#REF!</v>
      </c>
      <c r="BD475" t="e">
        <f>IF(#REF!,"AAAAAHX8bTc=",0)</f>
        <v>#REF!</v>
      </c>
      <c r="BE475" t="e">
        <f>AND(#REF!,"AAAAAHX8bTg=")</f>
        <v>#REF!</v>
      </c>
      <c r="BF475" t="e">
        <f>AND(#REF!,"AAAAAHX8bTk=")</f>
        <v>#REF!</v>
      </c>
      <c r="BG475" t="e">
        <f>AND(#REF!,"AAAAAHX8bTo=")</f>
        <v>#REF!</v>
      </c>
      <c r="BH475" t="e">
        <f>AND(#REF!,"AAAAAHX8bTs=")</f>
        <v>#REF!</v>
      </c>
      <c r="BI475" t="e">
        <f>AND(#REF!,"AAAAAHX8bTw=")</f>
        <v>#REF!</v>
      </c>
      <c r="BJ475" t="e">
        <f>AND(#REF!,"AAAAAHX8bT0=")</f>
        <v>#REF!</v>
      </c>
      <c r="BK475" t="e">
        <f>AND(#REF!,"AAAAAHX8bT4=")</f>
        <v>#REF!</v>
      </c>
      <c r="BL475" t="e">
        <f>AND(#REF!,"AAAAAHX8bT8=")</f>
        <v>#REF!</v>
      </c>
      <c r="BM475" t="e">
        <f>AND(#REF!,"AAAAAHX8bUA=")</f>
        <v>#REF!</v>
      </c>
      <c r="BN475" t="e">
        <f>AND(#REF!,"AAAAAHX8bUE=")</f>
        <v>#REF!</v>
      </c>
      <c r="BO475" t="e">
        <f>IF(#REF!,"AAAAAHX8bUI=",0)</f>
        <v>#REF!</v>
      </c>
      <c r="BP475" t="e">
        <f>AND(#REF!,"AAAAAHX8bUM=")</f>
        <v>#REF!</v>
      </c>
      <c r="BQ475" t="e">
        <f>AND(#REF!,"AAAAAHX8bUQ=")</f>
        <v>#REF!</v>
      </c>
      <c r="BR475" t="e">
        <f>AND(#REF!,"AAAAAHX8bUU=")</f>
        <v>#REF!</v>
      </c>
      <c r="BS475" t="e">
        <f>AND(#REF!,"AAAAAHX8bUY=")</f>
        <v>#REF!</v>
      </c>
      <c r="BT475" t="e">
        <f>AND(#REF!,"AAAAAHX8bUc=")</f>
        <v>#REF!</v>
      </c>
      <c r="BU475" t="e">
        <f>AND(#REF!,"AAAAAHX8bUg=")</f>
        <v>#REF!</v>
      </c>
      <c r="BV475" t="e">
        <f>AND(#REF!,"AAAAAHX8bUk=")</f>
        <v>#REF!</v>
      </c>
      <c r="BW475" t="e">
        <f>AND(#REF!,"AAAAAHX8bUo=")</f>
        <v>#REF!</v>
      </c>
      <c r="BX475" t="e">
        <f>AND(#REF!,"AAAAAHX8bUs=")</f>
        <v>#REF!</v>
      </c>
      <c r="BY475" t="e">
        <f>AND(#REF!,"AAAAAHX8bUw=")</f>
        <v>#REF!</v>
      </c>
      <c r="BZ475" t="e">
        <f>IF(#REF!,"AAAAAHX8bU0=",0)</f>
        <v>#REF!</v>
      </c>
      <c r="CA475" t="e">
        <f>AND(#REF!,"AAAAAHX8bU4=")</f>
        <v>#REF!</v>
      </c>
      <c r="CB475" t="e">
        <f>AND(#REF!,"AAAAAHX8bU8=")</f>
        <v>#REF!</v>
      </c>
      <c r="CC475" t="e">
        <f>AND(#REF!,"AAAAAHX8bVA=")</f>
        <v>#REF!</v>
      </c>
      <c r="CD475" t="e">
        <f>AND(#REF!,"AAAAAHX8bVE=")</f>
        <v>#REF!</v>
      </c>
      <c r="CE475" t="e">
        <f>AND(#REF!,"AAAAAHX8bVI=")</f>
        <v>#REF!</v>
      </c>
      <c r="CF475" t="e">
        <f>AND(#REF!,"AAAAAHX8bVM=")</f>
        <v>#REF!</v>
      </c>
      <c r="CG475" t="e">
        <f>AND(#REF!,"AAAAAHX8bVQ=")</f>
        <v>#REF!</v>
      </c>
      <c r="CH475" t="e">
        <f>AND(#REF!,"AAAAAHX8bVU=")</f>
        <v>#REF!</v>
      </c>
      <c r="CI475" t="e">
        <f>AND(#REF!,"AAAAAHX8bVY=")</f>
        <v>#REF!</v>
      </c>
      <c r="CJ475" t="e">
        <f>AND(#REF!,"AAAAAHX8bVc=")</f>
        <v>#REF!</v>
      </c>
      <c r="CK475" t="e">
        <f>IF(#REF!,"AAAAAHX8bVg=",0)</f>
        <v>#REF!</v>
      </c>
      <c r="CL475" t="e">
        <f>AND(#REF!,"AAAAAHX8bVk=")</f>
        <v>#REF!</v>
      </c>
      <c r="CM475" t="e">
        <f>AND(#REF!,"AAAAAHX8bVo=")</f>
        <v>#REF!</v>
      </c>
      <c r="CN475" t="e">
        <f>AND(#REF!,"AAAAAHX8bVs=")</f>
        <v>#REF!</v>
      </c>
      <c r="CO475" t="e">
        <f>AND(#REF!,"AAAAAHX8bVw=")</f>
        <v>#REF!</v>
      </c>
      <c r="CP475" t="e">
        <f>AND(#REF!,"AAAAAHX8bV0=")</f>
        <v>#REF!</v>
      </c>
      <c r="CQ475" t="e">
        <f>AND(#REF!,"AAAAAHX8bV4=")</f>
        <v>#REF!</v>
      </c>
      <c r="CR475" t="e">
        <f>AND(#REF!,"AAAAAHX8bV8=")</f>
        <v>#REF!</v>
      </c>
      <c r="CS475" t="e">
        <f>AND(#REF!,"AAAAAHX8bWA=")</f>
        <v>#REF!</v>
      </c>
      <c r="CT475" t="e">
        <f>AND(#REF!,"AAAAAHX8bWE=")</f>
        <v>#REF!</v>
      </c>
      <c r="CU475" t="e">
        <f>AND(#REF!,"AAAAAHX8bWI=")</f>
        <v>#REF!</v>
      </c>
      <c r="CV475" t="e">
        <f>IF(#REF!,"AAAAAHX8bWM=",0)</f>
        <v>#REF!</v>
      </c>
      <c r="CW475" t="e">
        <f>AND(#REF!,"AAAAAHX8bWQ=")</f>
        <v>#REF!</v>
      </c>
      <c r="CX475" t="e">
        <f>AND(#REF!,"AAAAAHX8bWU=")</f>
        <v>#REF!</v>
      </c>
      <c r="CY475" t="e">
        <f>AND(#REF!,"AAAAAHX8bWY=")</f>
        <v>#REF!</v>
      </c>
      <c r="CZ475" t="e">
        <f>AND(#REF!,"AAAAAHX8bWc=")</f>
        <v>#REF!</v>
      </c>
      <c r="DA475" t="e">
        <f>AND(#REF!,"AAAAAHX8bWg=")</f>
        <v>#REF!</v>
      </c>
      <c r="DB475" t="e">
        <f>AND(#REF!,"AAAAAHX8bWk=")</f>
        <v>#REF!</v>
      </c>
      <c r="DC475" t="e">
        <f>AND(#REF!,"AAAAAHX8bWo=")</f>
        <v>#REF!</v>
      </c>
      <c r="DD475" t="e">
        <f>AND(#REF!,"AAAAAHX8bWs=")</f>
        <v>#REF!</v>
      </c>
      <c r="DE475" t="e">
        <f>AND(#REF!,"AAAAAHX8bWw=")</f>
        <v>#REF!</v>
      </c>
      <c r="DF475" t="e">
        <f>AND(#REF!,"AAAAAHX8bW0=")</f>
        <v>#REF!</v>
      </c>
      <c r="DG475" t="e">
        <f>IF(#REF!,"AAAAAHX8bW4=",0)</f>
        <v>#REF!</v>
      </c>
      <c r="DH475" t="e">
        <f>AND(#REF!,"AAAAAHX8bW8=")</f>
        <v>#REF!</v>
      </c>
      <c r="DI475" t="e">
        <f>AND(#REF!,"AAAAAHX8bXA=")</f>
        <v>#REF!</v>
      </c>
      <c r="DJ475" t="e">
        <f>AND(#REF!,"AAAAAHX8bXE=")</f>
        <v>#REF!</v>
      </c>
      <c r="DK475" t="e">
        <f>AND(#REF!,"AAAAAHX8bXI=")</f>
        <v>#REF!</v>
      </c>
      <c r="DL475" t="e">
        <f>AND(#REF!,"AAAAAHX8bXM=")</f>
        <v>#REF!</v>
      </c>
      <c r="DM475" t="e">
        <f>AND(#REF!,"AAAAAHX8bXQ=")</f>
        <v>#REF!</v>
      </c>
      <c r="DN475" t="e">
        <f>AND(#REF!,"AAAAAHX8bXU=")</f>
        <v>#REF!</v>
      </c>
      <c r="DO475" t="e">
        <f>AND(#REF!,"AAAAAHX8bXY=")</f>
        <v>#REF!</v>
      </c>
      <c r="DP475" t="e">
        <f>AND(#REF!,"AAAAAHX8bXc=")</f>
        <v>#REF!</v>
      </c>
      <c r="DQ475" t="e">
        <f>AND(#REF!,"AAAAAHX8bXg=")</f>
        <v>#REF!</v>
      </c>
      <c r="DR475" t="e">
        <f>IF(#REF!,"AAAAAHX8bXk=",0)</f>
        <v>#REF!</v>
      </c>
      <c r="DS475" t="e">
        <f>AND(#REF!,"AAAAAHX8bXo=")</f>
        <v>#REF!</v>
      </c>
      <c r="DT475" t="e">
        <f>AND(#REF!,"AAAAAHX8bXs=")</f>
        <v>#REF!</v>
      </c>
      <c r="DU475" t="e">
        <f>AND(#REF!,"AAAAAHX8bXw=")</f>
        <v>#REF!</v>
      </c>
      <c r="DV475" t="e">
        <f>AND(#REF!,"AAAAAHX8bX0=")</f>
        <v>#REF!</v>
      </c>
      <c r="DW475" t="e">
        <f>AND(#REF!,"AAAAAHX8bX4=")</f>
        <v>#REF!</v>
      </c>
      <c r="DX475" t="e">
        <f>AND(#REF!,"AAAAAHX8bX8=")</f>
        <v>#REF!</v>
      </c>
      <c r="DY475" t="e">
        <f>AND(#REF!,"AAAAAHX8bYA=")</f>
        <v>#REF!</v>
      </c>
      <c r="DZ475" t="e">
        <f>AND(#REF!,"AAAAAHX8bYE=")</f>
        <v>#REF!</v>
      </c>
      <c r="EA475" t="e">
        <f>AND(#REF!,"AAAAAHX8bYI=")</f>
        <v>#REF!</v>
      </c>
      <c r="EB475" t="e">
        <f>AND(#REF!,"AAAAAHX8bYM=")</f>
        <v>#REF!</v>
      </c>
      <c r="EC475" t="e">
        <f>IF(#REF!,"AAAAAHX8bYQ=",0)</f>
        <v>#REF!</v>
      </c>
      <c r="ED475" t="e">
        <f>AND(#REF!,"AAAAAHX8bYU=")</f>
        <v>#REF!</v>
      </c>
      <c r="EE475" t="e">
        <f>AND(#REF!,"AAAAAHX8bYY=")</f>
        <v>#REF!</v>
      </c>
      <c r="EF475" t="e">
        <f>AND(#REF!,"AAAAAHX8bYc=")</f>
        <v>#REF!</v>
      </c>
      <c r="EG475" t="e">
        <f>AND(#REF!,"AAAAAHX8bYg=")</f>
        <v>#REF!</v>
      </c>
      <c r="EH475" t="e">
        <f>AND(#REF!,"AAAAAHX8bYk=")</f>
        <v>#REF!</v>
      </c>
      <c r="EI475" t="e">
        <f>AND(#REF!,"AAAAAHX8bYo=")</f>
        <v>#REF!</v>
      </c>
      <c r="EJ475" t="e">
        <f>AND(#REF!,"AAAAAHX8bYs=")</f>
        <v>#REF!</v>
      </c>
      <c r="EK475" t="e">
        <f>AND(#REF!,"AAAAAHX8bYw=")</f>
        <v>#REF!</v>
      </c>
      <c r="EL475" t="e">
        <f>AND(#REF!,"AAAAAHX8bY0=")</f>
        <v>#REF!</v>
      </c>
      <c r="EM475" t="e">
        <f>AND(#REF!,"AAAAAHX8bY4=")</f>
        <v>#REF!</v>
      </c>
      <c r="EN475" t="e">
        <f>IF(#REF!,"AAAAAHX8bY8=",0)</f>
        <v>#REF!</v>
      </c>
      <c r="EO475" t="e">
        <f>AND(#REF!,"AAAAAHX8bZA=")</f>
        <v>#REF!</v>
      </c>
      <c r="EP475" t="e">
        <f>AND(#REF!,"AAAAAHX8bZE=")</f>
        <v>#REF!</v>
      </c>
      <c r="EQ475" t="e">
        <f>AND(#REF!,"AAAAAHX8bZI=")</f>
        <v>#REF!</v>
      </c>
      <c r="ER475" t="e">
        <f>AND(#REF!,"AAAAAHX8bZM=")</f>
        <v>#REF!</v>
      </c>
      <c r="ES475" t="e">
        <f>AND(#REF!,"AAAAAHX8bZQ=")</f>
        <v>#REF!</v>
      </c>
      <c r="ET475" t="e">
        <f>AND(#REF!,"AAAAAHX8bZU=")</f>
        <v>#REF!</v>
      </c>
      <c r="EU475" t="e">
        <f>AND(#REF!,"AAAAAHX8bZY=")</f>
        <v>#REF!</v>
      </c>
      <c r="EV475" t="e">
        <f>AND(#REF!,"AAAAAHX8bZc=")</f>
        <v>#REF!</v>
      </c>
      <c r="EW475" t="e">
        <f>AND(#REF!,"AAAAAHX8bZg=")</f>
        <v>#REF!</v>
      </c>
      <c r="EX475" t="e">
        <f>AND(#REF!,"AAAAAHX8bZk=")</f>
        <v>#REF!</v>
      </c>
      <c r="EY475" t="e">
        <f>IF(#REF!,"AAAAAHX8bZo=",0)</f>
        <v>#REF!</v>
      </c>
      <c r="EZ475" t="e">
        <f>AND(#REF!,"AAAAAHX8bZs=")</f>
        <v>#REF!</v>
      </c>
      <c r="FA475" t="e">
        <f>AND(#REF!,"AAAAAHX8bZw=")</f>
        <v>#REF!</v>
      </c>
      <c r="FB475" t="e">
        <f>AND(#REF!,"AAAAAHX8bZ0=")</f>
        <v>#REF!</v>
      </c>
      <c r="FC475" t="e">
        <f>AND(#REF!,"AAAAAHX8bZ4=")</f>
        <v>#REF!</v>
      </c>
      <c r="FD475" t="e">
        <f>AND(#REF!,"AAAAAHX8bZ8=")</f>
        <v>#REF!</v>
      </c>
      <c r="FE475" t="e">
        <f>AND(#REF!,"AAAAAHX8baA=")</f>
        <v>#REF!</v>
      </c>
      <c r="FF475" t="e">
        <f>AND(#REF!,"AAAAAHX8baE=")</f>
        <v>#REF!</v>
      </c>
      <c r="FG475" t="e">
        <f>AND(#REF!,"AAAAAHX8baI=")</f>
        <v>#REF!</v>
      </c>
      <c r="FH475" t="e">
        <f>AND(#REF!,"AAAAAHX8baM=")</f>
        <v>#REF!</v>
      </c>
      <c r="FI475" t="e">
        <f>AND(#REF!,"AAAAAHX8baQ=")</f>
        <v>#REF!</v>
      </c>
      <c r="FJ475" t="e">
        <f>IF(#REF!,"AAAAAHX8baU=",0)</f>
        <v>#REF!</v>
      </c>
      <c r="FK475" t="e">
        <f>AND(#REF!,"AAAAAHX8baY=")</f>
        <v>#REF!</v>
      </c>
      <c r="FL475" t="e">
        <f>AND(#REF!,"AAAAAHX8bac=")</f>
        <v>#REF!</v>
      </c>
      <c r="FM475" t="e">
        <f>AND(#REF!,"AAAAAHX8bag=")</f>
        <v>#REF!</v>
      </c>
      <c r="FN475" t="e">
        <f>AND(#REF!,"AAAAAHX8bak=")</f>
        <v>#REF!</v>
      </c>
      <c r="FO475" t="e">
        <f>AND(#REF!,"AAAAAHX8bao=")</f>
        <v>#REF!</v>
      </c>
      <c r="FP475" t="e">
        <f>AND(#REF!,"AAAAAHX8bas=")</f>
        <v>#REF!</v>
      </c>
      <c r="FQ475" t="e">
        <f>AND(#REF!,"AAAAAHX8baw=")</f>
        <v>#REF!</v>
      </c>
      <c r="FR475" t="e">
        <f>AND(#REF!,"AAAAAHX8ba0=")</f>
        <v>#REF!</v>
      </c>
      <c r="FS475" t="e">
        <f>AND(#REF!,"AAAAAHX8ba4=")</f>
        <v>#REF!</v>
      </c>
      <c r="FT475" t="e">
        <f>AND(#REF!,"AAAAAHX8ba8=")</f>
        <v>#REF!</v>
      </c>
      <c r="FU475" t="e">
        <f>IF(#REF!,"AAAAAHX8bbA=",0)</f>
        <v>#REF!</v>
      </c>
      <c r="FV475" t="e">
        <f>AND(#REF!,"AAAAAHX8bbE=")</f>
        <v>#REF!</v>
      </c>
      <c r="FW475" t="e">
        <f>AND(#REF!,"AAAAAHX8bbI=")</f>
        <v>#REF!</v>
      </c>
      <c r="FX475" t="e">
        <f>AND(#REF!,"AAAAAHX8bbM=")</f>
        <v>#REF!</v>
      </c>
      <c r="FY475" t="e">
        <f>AND(#REF!,"AAAAAHX8bbQ=")</f>
        <v>#REF!</v>
      </c>
      <c r="FZ475" t="e">
        <f>AND(#REF!,"AAAAAHX8bbU=")</f>
        <v>#REF!</v>
      </c>
      <c r="GA475" t="e">
        <f>AND(#REF!,"AAAAAHX8bbY=")</f>
        <v>#REF!</v>
      </c>
      <c r="GB475" t="e">
        <f>AND(#REF!,"AAAAAHX8bbc=")</f>
        <v>#REF!</v>
      </c>
      <c r="GC475" t="e">
        <f>AND(#REF!,"AAAAAHX8bbg=")</f>
        <v>#REF!</v>
      </c>
      <c r="GD475" t="e">
        <f>AND(#REF!,"AAAAAHX8bbk=")</f>
        <v>#REF!</v>
      </c>
      <c r="GE475" t="e">
        <f>AND(#REF!,"AAAAAHX8bbo=")</f>
        <v>#REF!</v>
      </c>
      <c r="GF475" t="e">
        <f>IF(#REF!,"AAAAAHX8bbs=",0)</f>
        <v>#REF!</v>
      </c>
      <c r="GG475" t="e">
        <f>AND(#REF!,"AAAAAHX8bbw=")</f>
        <v>#REF!</v>
      </c>
      <c r="GH475" t="e">
        <f>AND(#REF!,"AAAAAHX8bb0=")</f>
        <v>#REF!</v>
      </c>
      <c r="GI475" t="e">
        <f>AND(#REF!,"AAAAAHX8bb4=")</f>
        <v>#REF!</v>
      </c>
      <c r="GJ475" t="e">
        <f>AND(#REF!,"AAAAAHX8bb8=")</f>
        <v>#REF!</v>
      </c>
      <c r="GK475" t="e">
        <f>AND(#REF!,"AAAAAHX8bcA=")</f>
        <v>#REF!</v>
      </c>
      <c r="GL475" t="e">
        <f>AND(#REF!,"AAAAAHX8bcE=")</f>
        <v>#REF!</v>
      </c>
      <c r="GM475" t="e">
        <f>AND(#REF!,"AAAAAHX8bcI=")</f>
        <v>#REF!</v>
      </c>
      <c r="GN475" t="e">
        <f>AND(#REF!,"AAAAAHX8bcM=")</f>
        <v>#REF!</v>
      </c>
      <c r="GO475" t="e">
        <f>AND(#REF!,"AAAAAHX8bcQ=")</f>
        <v>#REF!</v>
      </c>
      <c r="GP475" t="e">
        <f>AND(#REF!,"AAAAAHX8bcU=")</f>
        <v>#REF!</v>
      </c>
      <c r="GQ475" t="e">
        <f>IF(#REF!,"AAAAAHX8bcY=",0)</f>
        <v>#REF!</v>
      </c>
      <c r="GR475" t="e">
        <f>AND(#REF!,"AAAAAHX8bcc=")</f>
        <v>#REF!</v>
      </c>
      <c r="GS475" t="e">
        <f>AND(#REF!,"AAAAAHX8bcg=")</f>
        <v>#REF!</v>
      </c>
      <c r="GT475" t="e">
        <f>AND(#REF!,"AAAAAHX8bck=")</f>
        <v>#REF!</v>
      </c>
      <c r="GU475" t="e">
        <f>AND(#REF!,"AAAAAHX8bco=")</f>
        <v>#REF!</v>
      </c>
      <c r="GV475" t="e">
        <f>AND(#REF!,"AAAAAHX8bcs=")</f>
        <v>#REF!</v>
      </c>
      <c r="GW475" t="e">
        <f>AND(#REF!,"AAAAAHX8bcw=")</f>
        <v>#REF!</v>
      </c>
      <c r="GX475" t="e">
        <f>AND(#REF!,"AAAAAHX8bc0=")</f>
        <v>#REF!</v>
      </c>
      <c r="GY475" t="e">
        <f>AND(#REF!,"AAAAAHX8bc4=")</f>
        <v>#REF!</v>
      </c>
      <c r="GZ475" t="e">
        <f>AND(#REF!,"AAAAAHX8bc8=")</f>
        <v>#REF!</v>
      </c>
      <c r="HA475" t="e">
        <f>AND(#REF!,"AAAAAHX8bdA=")</f>
        <v>#REF!</v>
      </c>
      <c r="HB475" t="e">
        <f>IF(#REF!,"AAAAAHX8bdE=",0)</f>
        <v>#REF!</v>
      </c>
      <c r="HC475" t="e">
        <f>AND(#REF!,"AAAAAHX8bdI=")</f>
        <v>#REF!</v>
      </c>
      <c r="HD475" t="e">
        <f>AND(#REF!,"AAAAAHX8bdM=")</f>
        <v>#REF!</v>
      </c>
      <c r="HE475" t="e">
        <f>AND(#REF!,"AAAAAHX8bdQ=")</f>
        <v>#REF!</v>
      </c>
      <c r="HF475" t="e">
        <f>AND(#REF!,"AAAAAHX8bdU=")</f>
        <v>#REF!</v>
      </c>
      <c r="HG475" t="e">
        <f>AND(#REF!,"AAAAAHX8bdY=")</f>
        <v>#REF!</v>
      </c>
      <c r="HH475" t="e">
        <f>AND(#REF!,"AAAAAHX8bdc=")</f>
        <v>#REF!</v>
      </c>
      <c r="HI475" t="e">
        <f>AND(#REF!,"AAAAAHX8bdg=")</f>
        <v>#REF!</v>
      </c>
      <c r="HJ475" t="e">
        <f>AND(#REF!,"AAAAAHX8bdk=")</f>
        <v>#REF!</v>
      </c>
      <c r="HK475" t="e">
        <f>AND(#REF!,"AAAAAHX8bdo=")</f>
        <v>#REF!</v>
      </c>
      <c r="HL475" t="e">
        <f>AND(#REF!,"AAAAAHX8bds=")</f>
        <v>#REF!</v>
      </c>
      <c r="HM475" t="e">
        <f>IF(#REF!,"AAAAAHX8bdw=",0)</f>
        <v>#REF!</v>
      </c>
      <c r="HN475" t="e">
        <f>AND(#REF!,"AAAAAHX8bd0=")</f>
        <v>#REF!</v>
      </c>
      <c r="HO475" t="e">
        <f>AND(#REF!,"AAAAAHX8bd4=")</f>
        <v>#REF!</v>
      </c>
      <c r="HP475" t="e">
        <f>AND(#REF!,"AAAAAHX8bd8=")</f>
        <v>#REF!</v>
      </c>
      <c r="HQ475" t="e">
        <f>AND(#REF!,"AAAAAHX8beA=")</f>
        <v>#REF!</v>
      </c>
      <c r="HR475" t="e">
        <f>AND(#REF!,"AAAAAHX8beE=")</f>
        <v>#REF!</v>
      </c>
      <c r="HS475" t="e">
        <f>AND(#REF!,"AAAAAHX8beI=")</f>
        <v>#REF!</v>
      </c>
      <c r="HT475" t="e">
        <f>AND(#REF!,"AAAAAHX8beM=")</f>
        <v>#REF!</v>
      </c>
      <c r="HU475" t="e">
        <f>AND(#REF!,"AAAAAHX8beQ=")</f>
        <v>#REF!</v>
      </c>
      <c r="HV475" t="e">
        <f>AND(#REF!,"AAAAAHX8beU=")</f>
        <v>#REF!</v>
      </c>
      <c r="HW475" t="e">
        <f>AND(#REF!,"AAAAAHX8beY=")</f>
        <v>#REF!</v>
      </c>
      <c r="HX475" t="e">
        <f>IF(#REF!,"AAAAAHX8bec=",0)</f>
        <v>#REF!</v>
      </c>
      <c r="HY475" t="e">
        <f>AND(#REF!,"AAAAAHX8beg=")</f>
        <v>#REF!</v>
      </c>
      <c r="HZ475" t="e">
        <f>AND(#REF!,"AAAAAHX8bek=")</f>
        <v>#REF!</v>
      </c>
      <c r="IA475" t="e">
        <f>AND(#REF!,"AAAAAHX8beo=")</f>
        <v>#REF!</v>
      </c>
      <c r="IB475" t="e">
        <f>AND(#REF!,"AAAAAHX8bes=")</f>
        <v>#REF!</v>
      </c>
      <c r="IC475" t="e">
        <f>AND(#REF!,"AAAAAHX8bew=")</f>
        <v>#REF!</v>
      </c>
      <c r="ID475" t="e">
        <f>AND(#REF!,"AAAAAHX8be0=")</f>
        <v>#REF!</v>
      </c>
      <c r="IE475" t="e">
        <f>AND(#REF!,"AAAAAHX8be4=")</f>
        <v>#REF!</v>
      </c>
      <c r="IF475" t="e">
        <f>AND(#REF!,"AAAAAHX8be8=")</f>
        <v>#REF!</v>
      </c>
      <c r="IG475" t="e">
        <f>AND(#REF!,"AAAAAHX8bfA=")</f>
        <v>#REF!</v>
      </c>
      <c r="IH475" t="e">
        <f>AND(#REF!,"AAAAAHX8bfE=")</f>
        <v>#REF!</v>
      </c>
      <c r="II475" t="e">
        <f>IF(#REF!,"AAAAAHX8bfI=",0)</f>
        <v>#REF!</v>
      </c>
      <c r="IJ475" t="e">
        <f>AND(#REF!,"AAAAAHX8bfM=")</f>
        <v>#REF!</v>
      </c>
      <c r="IK475" t="e">
        <f>AND(#REF!,"AAAAAHX8bfQ=")</f>
        <v>#REF!</v>
      </c>
      <c r="IL475" t="e">
        <f>AND(#REF!,"AAAAAHX8bfU=")</f>
        <v>#REF!</v>
      </c>
      <c r="IM475" t="e">
        <f>AND(#REF!,"AAAAAHX8bfY=")</f>
        <v>#REF!</v>
      </c>
      <c r="IN475" t="e">
        <f>AND(#REF!,"AAAAAHX8bfc=")</f>
        <v>#REF!</v>
      </c>
      <c r="IO475" t="e">
        <f>AND(#REF!,"AAAAAHX8bfg=")</f>
        <v>#REF!</v>
      </c>
      <c r="IP475" t="e">
        <f>AND(#REF!,"AAAAAHX8bfk=")</f>
        <v>#REF!</v>
      </c>
      <c r="IQ475" t="e">
        <f>AND(#REF!,"AAAAAHX8bfo=")</f>
        <v>#REF!</v>
      </c>
      <c r="IR475" t="e">
        <f>AND(#REF!,"AAAAAHX8bfs=")</f>
        <v>#REF!</v>
      </c>
      <c r="IS475" t="e">
        <f>AND(#REF!,"AAAAAHX8bfw=")</f>
        <v>#REF!</v>
      </c>
      <c r="IT475" t="e">
        <f>IF(#REF!,"AAAAAHX8bf0=",0)</f>
        <v>#REF!</v>
      </c>
      <c r="IU475" t="e">
        <f>AND(#REF!,"AAAAAHX8bf4=")</f>
        <v>#REF!</v>
      </c>
      <c r="IV475" t="e">
        <f>AND(#REF!,"AAAAAHX8bf8=")</f>
        <v>#REF!</v>
      </c>
    </row>
    <row r="476" spans="1:256" x14ac:dyDescent="0.25">
      <c r="A476" t="e">
        <f>AND(#REF!,"AAAAAH3JbgA=")</f>
        <v>#REF!</v>
      </c>
      <c r="B476" t="e">
        <f>AND(#REF!,"AAAAAH3JbgE=")</f>
        <v>#REF!</v>
      </c>
      <c r="C476" t="e">
        <f>AND(#REF!,"AAAAAH3JbgI=")</f>
        <v>#REF!</v>
      </c>
      <c r="D476" t="e">
        <f>AND(#REF!,"AAAAAH3JbgM=")</f>
        <v>#REF!</v>
      </c>
      <c r="E476" t="e">
        <f>AND(#REF!,"AAAAAH3JbgQ=")</f>
        <v>#REF!</v>
      </c>
      <c r="F476" t="e">
        <f>AND(#REF!,"AAAAAH3JbgU=")</f>
        <v>#REF!</v>
      </c>
      <c r="G476" t="e">
        <f>AND(#REF!,"AAAAAH3JbgY=")</f>
        <v>#REF!</v>
      </c>
      <c r="H476" t="e">
        <f>AND(#REF!,"AAAAAH3Jbgc=")</f>
        <v>#REF!</v>
      </c>
      <c r="I476" t="e">
        <f>IF(#REF!,"AAAAAH3Jbgg=",0)</f>
        <v>#REF!</v>
      </c>
      <c r="J476" t="e">
        <f>AND(#REF!,"AAAAAH3Jbgk=")</f>
        <v>#REF!</v>
      </c>
      <c r="K476" t="e">
        <f>AND(#REF!,"AAAAAH3Jbgo=")</f>
        <v>#REF!</v>
      </c>
      <c r="L476" t="e">
        <f>AND(#REF!,"AAAAAH3Jbgs=")</f>
        <v>#REF!</v>
      </c>
      <c r="M476" t="e">
        <f>AND(#REF!,"AAAAAH3Jbgw=")</f>
        <v>#REF!</v>
      </c>
      <c r="N476" t="e">
        <f>AND(#REF!,"AAAAAH3Jbg0=")</f>
        <v>#REF!</v>
      </c>
      <c r="O476" t="e">
        <f>AND(#REF!,"AAAAAH3Jbg4=")</f>
        <v>#REF!</v>
      </c>
      <c r="P476" t="e">
        <f>AND(#REF!,"AAAAAH3Jbg8=")</f>
        <v>#REF!</v>
      </c>
      <c r="Q476" t="e">
        <f>AND(#REF!,"AAAAAH3JbhA=")</f>
        <v>#REF!</v>
      </c>
      <c r="R476" t="e">
        <f>AND(#REF!,"AAAAAH3JbhE=")</f>
        <v>#REF!</v>
      </c>
      <c r="S476" t="e">
        <f>AND(#REF!,"AAAAAH3JbhI=")</f>
        <v>#REF!</v>
      </c>
      <c r="T476" t="e">
        <f>IF(#REF!,"AAAAAH3JbhM=",0)</f>
        <v>#REF!</v>
      </c>
      <c r="U476" t="e">
        <f>AND(#REF!,"AAAAAH3JbhQ=")</f>
        <v>#REF!</v>
      </c>
      <c r="V476" t="e">
        <f>AND(#REF!,"AAAAAH3JbhU=")</f>
        <v>#REF!</v>
      </c>
      <c r="W476" t="e">
        <f>AND(#REF!,"AAAAAH3JbhY=")</f>
        <v>#REF!</v>
      </c>
      <c r="X476" t="e">
        <f>AND(#REF!,"AAAAAH3Jbhc=")</f>
        <v>#REF!</v>
      </c>
      <c r="Y476" t="e">
        <f>AND(#REF!,"AAAAAH3Jbhg=")</f>
        <v>#REF!</v>
      </c>
      <c r="Z476" t="e">
        <f>AND(#REF!,"AAAAAH3Jbhk=")</f>
        <v>#REF!</v>
      </c>
      <c r="AA476" t="e">
        <f>AND(#REF!,"AAAAAH3Jbho=")</f>
        <v>#REF!</v>
      </c>
      <c r="AB476" t="e">
        <f>AND(#REF!,"AAAAAH3Jbhs=")</f>
        <v>#REF!</v>
      </c>
      <c r="AC476" t="e">
        <f>AND(#REF!,"AAAAAH3Jbhw=")</f>
        <v>#REF!</v>
      </c>
      <c r="AD476" t="e">
        <f>AND(#REF!,"AAAAAH3Jbh0=")</f>
        <v>#REF!</v>
      </c>
      <c r="AE476" t="e">
        <f>IF(#REF!,"AAAAAH3Jbh4=",0)</f>
        <v>#REF!</v>
      </c>
      <c r="AF476" t="e">
        <f>AND(#REF!,"AAAAAH3Jbh8=")</f>
        <v>#REF!</v>
      </c>
      <c r="AG476" t="e">
        <f>AND(#REF!,"AAAAAH3JbiA=")</f>
        <v>#REF!</v>
      </c>
      <c r="AH476" t="e">
        <f>AND(#REF!,"AAAAAH3JbiE=")</f>
        <v>#REF!</v>
      </c>
      <c r="AI476" t="e">
        <f>AND(#REF!,"AAAAAH3JbiI=")</f>
        <v>#REF!</v>
      </c>
      <c r="AJ476" t="e">
        <f>AND(#REF!,"AAAAAH3JbiM=")</f>
        <v>#REF!</v>
      </c>
      <c r="AK476" t="e">
        <f>AND(#REF!,"AAAAAH3JbiQ=")</f>
        <v>#REF!</v>
      </c>
      <c r="AL476" t="e">
        <f>AND(#REF!,"AAAAAH3JbiU=")</f>
        <v>#REF!</v>
      </c>
      <c r="AM476" t="e">
        <f>AND(#REF!,"AAAAAH3JbiY=")</f>
        <v>#REF!</v>
      </c>
      <c r="AN476" t="e">
        <f>AND(#REF!,"AAAAAH3Jbic=")</f>
        <v>#REF!</v>
      </c>
      <c r="AO476" t="e">
        <f>AND(#REF!,"AAAAAH3Jbig=")</f>
        <v>#REF!</v>
      </c>
      <c r="AP476" t="e">
        <f>IF(#REF!,"AAAAAH3Jbik=",0)</f>
        <v>#REF!</v>
      </c>
      <c r="AQ476" t="e">
        <f>AND(#REF!,"AAAAAH3Jbio=")</f>
        <v>#REF!</v>
      </c>
      <c r="AR476" t="e">
        <f>AND(#REF!,"AAAAAH3Jbis=")</f>
        <v>#REF!</v>
      </c>
      <c r="AS476" t="e">
        <f>AND(#REF!,"AAAAAH3Jbiw=")</f>
        <v>#REF!</v>
      </c>
      <c r="AT476" t="e">
        <f>AND(#REF!,"AAAAAH3Jbi0=")</f>
        <v>#REF!</v>
      </c>
      <c r="AU476" t="e">
        <f>AND(#REF!,"AAAAAH3Jbi4=")</f>
        <v>#REF!</v>
      </c>
      <c r="AV476" t="e">
        <f>AND(#REF!,"AAAAAH3Jbi8=")</f>
        <v>#REF!</v>
      </c>
      <c r="AW476" t="e">
        <f>AND(#REF!,"AAAAAH3JbjA=")</f>
        <v>#REF!</v>
      </c>
      <c r="AX476" t="e">
        <f>AND(#REF!,"AAAAAH3JbjE=")</f>
        <v>#REF!</v>
      </c>
      <c r="AY476" t="e">
        <f>AND(#REF!,"AAAAAH3JbjI=")</f>
        <v>#REF!</v>
      </c>
      <c r="AZ476" t="e">
        <f>AND(#REF!,"AAAAAH3JbjM=")</f>
        <v>#REF!</v>
      </c>
      <c r="BA476" t="e">
        <f>IF(#REF!,"AAAAAH3JbjQ=",0)</f>
        <v>#REF!</v>
      </c>
      <c r="BB476" t="e">
        <f>AND(#REF!,"AAAAAH3JbjU=")</f>
        <v>#REF!</v>
      </c>
      <c r="BC476" t="e">
        <f>AND(#REF!,"AAAAAH3JbjY=")</f>
        <v>#REF!</v>
      </c>
      <c r="BD476" t="e">
        <f>AND(#REF!,"AAAAAH3Jbjc=")</f>
        <v>#REF!</v>
      </c>
      <c r="BE476" t="e">
        <f>AND(#REF!,"AAAAAH3Jbjg=")</f>
        <v>#REF!</v>
      </c>
      <c r="BF476" t="e">
        <f>AND(#REF!,"AAAAAH3Jbjk=")</f>
        <v>#REF!</v>
      </c>
      <c r="BG476" t="e">
        <f>AND(#REF!,"AAAAAH3Jbjo=")</f>
        <v>#REF!</v>
      </c>
      <c r="BH476" t="e">
        <f>AND(#REF!,"AAAAAH3Jbjs=")</f>
        <v>#REF!</v>
      </c>
      <c r="BI476" t="e">
        <f>AND(#REF!,"AAAAAH3Jbjw=")</f>
        <v>#REF!</v>
      </c>
      <c r="BJ476" t="e">
        <f>AND(#REF!,"AAAAAH3Jbj0=")</f>
        <v>#REF!</v>
      </c>
      <c r="BK476" t="e">
        <f>AND(#REF!,"AAAAAH3Jbj4=")</f>
        <v>#REF!</v>
      </c>
      <c r="BL476" t="e">
        <f>IF(#REF!,"AAAAAH3Jbj8=",0)</f>
        <v>#REF!</v>
      </c>
      <c r="BM476" t="e">
        <f>AND(#REF!,"AAAAAH3JbkA=")</f>
        <v>#REF!</v>
      </c>
      <c r="BN476" t="e">
        <f>AND(#REF!,"AAAAAH3JbkE=")</f>
        <v>#REF!</v>
      </c>
      <c r="BO476" t="e">
        <f>AND(#REF!,"AAAAAH3JbkI=")</f>
        <v>#REF!</v>
      </c>
      <c r="BP476" t="e">
        <f>AND(#REF!,"AAAAAH3JbkM=")</f>
        <v>#REF!</v>
      </c>
      <c r="BQ476" t="e">
        <f>AND(#REF!,"AAAAAH3JbkQ=")</f>
        <v>#REF!</v>
      </c>
      <c r="BR476" t="e">
        <f>AND(#REF!,"AAAAAH3JbkU=")</f>
        <v>#REF!</v>
      </c>
      <c r="BS476" t="e">
        <f>AND(#REF!,"AAAAAH3JbkY=")</f>
        <v>#REF!</v>
      </c>
      <c r="BT476" t="e">
        <f>AND(#REF!,"AAAAAH3Jbkc=")</f>
        <v>#REF!</v>
      </c>
      <c r="BU476" t="e">
        <f>AND(#REF!,"AAAAAH3Jbkg=")</f>
        <v>#REF!</v>
      </c>
      <c r="BV476" t="e">
        <f>AND(#REF!,"AAAAAH3Jbkk=")</f>
        <v>#REF!</v>
      </c>
      <c r="BW476" t="e">
        <f>IF(#REF!,"AAAAAH3Jbko=",0)</f>
        <v>#REF!</v>
      </c>
      <c r="BX476" t="e">
        <f>AND(#REF!,"AAAAAH3Jbks=")</f>
        <v>#REF!</v>
      </c>
      <c r="BY476" t="e">
        <f>AND(#REF!,"AAAAAH3Jbkw=")</f>
        <v>#REF!</v>
      </c>
      <c r="BZ476" t="e">
        <f>AND(#REF!,"AAAAAH3Jbk0=")</f>
        <v>#REF!</v>
      </c>
      <c r="CA476" t="e">
        <f>AND(#REF!,"AAAAAH3Jbk4=")</f>
        <v>#REF!</v>
      </c>
      <c r="CB476" t="e">
        <f>AND(#REF!,"AAAAAH3Jbk8=")</f>
        <v>#REF!</v>
      </c>
      <c r="CC476" t="e">
        <f>AND(#REF!,"AAAAAH3JblA=")</f>
        <v>#REF!</v>
      </c>
      <c r="CD476" t="e">
        <f>AND(#REF!,"AAAAAH3JblE=")</f>
        <v>#REF!</v>
      </c>
      <c r="CE476" t="e">
        <f>AND(#REF!,"AAAAAH3JblI=")</f>
        <v>#REF!</v>
      </c>
      <c r="CF476" t="e">
        <f>AND(#REF!,"AAAAAH3JblM=")</f>
        <v>#REF!</v>
      </c>
      <c r="CG476" t="e">
        <f>AND(#REF!,"AAAAAH3JblQ=")</f>
        <v>#REF!</v>
      </c>
      <c r="CH476" t="e">
        <f>IF(#REF!,"AAAAAH3JblU=",0)</f>
        <v>#REF!</v>
      </c>
      <c r="CI476" t="e">
        <f>AND(#REF!,"AAAAAH3JblY=")</f>
        <v>#REF!</v>
      </c>
      <c r="CJ476" t="e">
        <f>AND(#REF!,"AAAAAH3Jblc=")</f>
        <v>#REF!</v>
      </c>
      <c r="CK476" t="e">
        <f>AND(#REF!,"AAAAAH3Jblg=")</f>
        <v>#REF!</v>
      </c>
      <c r="CL476" t="e">
        <f>AND(#REF!,"AAAAAH3Jblk=")</f>
        <v>#REF!</v>
      </c>
      <c r="CM476" t="e">
        <f>AND(#REF!,"AAAAAH3Jblo=")</f>
        <v>#REF!</v>
      </c>
      <c r="CN476" t="e">
        <f>AND(#REF!,"AAAAAH3Jbls=")</f>
        <v>#REF!</v>
      </c>
      <c r="CO476" t="e">
        <f>AND(#REF!,"AAAAAH3Jblw=")</f>
        <v>#REF!</v>
      </c>
      <c r="CP476" t="e">
        <f>AND(#REF!,"AAAAAH3Jbl0=")</f>
        <v>#REF!</v>
      </c>
      <c r="CQ476" t="e">
        <f>AND(#REF!,"AAAAAH3Jbl4=")</f>
        <v>#REF!</v>
      </c>
      <c r="CR476" t="e">
        <f>AND(#REF!,"AAAAAH3Jbl8=")</f>
        <v>#REF!</v>
      </c>
      <c r="CS476" t="e">
        <f>IF(#REF!,"AAAAAH3JbmA=",0)</f>
        <v>#REF!</v>
      </c>
      <c r="CT476" t="e">
        <f>AND(#REF!,"AAAAAH3JbmE=")</f>
        <v>#REF!</v>
      </c>
      <c r="CU476" t="e">
        <f>AND(#REF!,"AAAAAH3JbmI=")</f>
        <v>#REF!</v>
      </c>
      <c r="CV476" t="e">
        <f>AND(#REF!,"AAAAAH3JbmM=")</f>
        <v>#REF!</v>
      </c>
      <c r="CW476" t="e">
        <f>AND(#REF!,"AAAAAH3JbmQ=")</f>
        <v>#REF!</v>
      </c>
      <c r="CX476" t="e">
        <f>AND(#REF!,"AAAAAH3JbmU=")</f>
        <v>#REF!</v>
      </c>
      <c r="CY476" t="e">
        <f>AND(#REF!,"AAAAAH3JbmY=")</f>
        <v>#REF!</v>
      </c>
      <c r="CZ476" t="e">
        <f>AND(#REF!,"AAAAAH3Jbmc=")</f>
        <v>#REF!</v>
      </c>
      <c r="DA476" t="e">
        <f>AND(#REF!,"AAAAAH3Jbmg=")</f>
        <v>#REF!</v>
      </c>
      <c r="DB476" t="e">
        <f>AND(#REF!,"AAAAAH3Jbmk=")</f>
        <v>#REF!</v>
      </c>
      <c r="DC476" t="e">
        <f>AND(#REF!,"AAAAAH3Jbmo=")</f>
        <v>#REF!</v>
      </c>
      <c r="DD476" t="e">
        <f>IF(#REF!,"AAAAAH3Jbms=",0)</f>
        <v>#REF!</v>
      </c>
      <c r="DE476" t="e">
        <f>AND(#REF!,"AAAAAH3Jbmw=")</f>
        <v>#REF!</v>
      </c>
      <c r="DF476" t="e">
        <f>AND(#REF!,"AAAAAH3Jbm0=")</f>
        <v>#REF!</v>
      </c>
      <c r="DG476" t="e">
        <f>AND(#REF!,"AAAAAH3Jbm4=")</f>
        <v>#REF!</v>
      </c>
      <c r="DH476" t="e">
        <f>AND(#REF!,"AAAAAH3Jbm8=")</f>
        <v>#REF!</v>
      </c>
      <c r="DI476" t="e">
        <f>AND(#REF!,"AAAAAH3JbnA=")</f>
        <v>#REF!</v>
      </c>
      <c r="DJ476" t="e">
        <f>AND(#REF!,"AAAAAH3JbnE=")</f>
        <v>#REF!</v>
      </c>
      <c r="DK476" t="e">
        <f>AND(#REF!,"AAAAAH3JbnI=")</f>
        <v>#REF!</v>
      </c>
      <c r="DL476" t="e">
        <f>AND(#REF!,"AAAAAH3JbnM=")</f>
        <v>#REF!</v>
      </c>
      <c r="DM476" t="e">
        <f>AND(#REF!,"AAAAAH3JbnQ=")</f>
        <v>#REF!</v>
      </c>
      <c r="DN476" t="e">
        <f>AND(#REF!,"AAAAAH3JbnU=")</f>
        <v>#REF!</v>
      </c>
      <c r="DO476" t="e">
        <f>IF(#REF!,"AAAAAH3JbnY=",0)</f>
        <v>#REF!</v>
      </c>
      <c r="DP476" t="e">
        <f>AND(#REF!,"AAAAAH3Jbnc=")</f>
        <v>#REF!</v>
      </c>
      <c r="DQ476" t="e">
        <f>AND(#REF!,"AAAAAH3Jbng=")</f>
        <v>#REF!</v>
      </c>
      <c r="DR476" t="e">
        <f>AND(#REF!,"AAAAAH3Jbnk=")</f>
        <v>#REF!</v>
      </c>
      <c r="DS476" t="e">
        <f>AND(#REF!,"AAAAAH3Jbno=")</f>
        <v>#REF!</v>
      </c>
      <c r="DT476" t="e">
        <f>AND(#REF!,"AAAAAH3Jbns=")</f>
        <v>#REF!</v>
      </c>
      <c r="DU476" t="e">
        <f>AND(#REF!,"AAAAAH3Jbnw=")</f>
        <v>#REF!</v>
      </c>
      <c r="DV476" t="e">
        <f>AND(#REF!,"AAAAAH3Jbn0=")</f>
        <v>#REF!</v>
      </c>
      <c r="DW476" t="e">
        <f>AND(#REF!,"AAAAAH3Jbn4=")</f>
        <v>#REF!</v>
      </c>
      <c r="DX476" t="e">
        <f>AND(#REF!,"AAAAAH3Jbn8=")</f>
        <v>#REF!</v>
      </c>
      <c r="DY476" t="e">
        <f>AND(#REF!,"AAAAAH3JboA=")</f>
        <v>#REF!</v>
      </c>
      <c r="DZ476" t="e">
        <f>IF(#REF!,"AAAAAH3JboE=",0)</f>
        <v>#REF!</v>
      </c>
      <c r="EA476" t="e">
        <f>AND(#REF!,"AAAAAH3JboI=")</f>
        <v>#REF!</v>
      </c>
      <c r="EB476" t="e">
        <f>AND(#REF!,"AAAAAH3JboM=")</f>
        <v>#REF!</v>
      </c>
      <c r="EC476" t="e">
        <f>AND(#REF!,"AAAAAH3JboQ=")</f>
        <v>#REF!</v>
      </c>
      <c r="ED476" t="e">
        <f>AND(#REF!,"AAAAAH3JboU=")</f>
        <v>#REF!</v>
      </c>
      <c r="EE476" t="e">
        <f>AND(#REF!,"AAAAAH3JboY=")</f>
        <v>#REF!</v>
      </c>
      <c r="EF476" t="e">
        <f>AND(#REF!,"AAAAAH3Jboc=")</f>
        <v>#REF!</v>
      </c>
      <c r="EG476" t="e">
        <f>AND(#REF!,"AAAAAH3Jbog=")</f>
        <v>#REF!</v>
      </c>
      <c r="EH476" t="e">
        <f>AND(#REF!,"AAAAAH3Jbok=")</f>
        <v>#REF!</v>
      </c>
      <c r="EI476" t="e">
        <f>AND(#REF!,"AAAAAH3Jboo=")</f>
        <v>#REF!</v>
      </c>
      <c r="EJ476" t="e">
        <f>AND(#REF!,"AAAAAH3Jbos=")</f>
        <v>#REF!</v>
      </c>
      <c r="EK476" t="e">
        <f>IF(#REF!,"AAAAAH3Jbow=",0)</f>
        <v>#REF!</v>
      </c>
      <c r="EL476" t="e">
        <f>AND(#REF!,"AAAAAH3Jbo0=")</f>
        <v>#REF!</v>
      </c>
      <c r="EM476" t="e">
        <f>AND(#REF!,"AAAAAH3Jbo4=")</f>
        <v>#REF!</v>
      </c>
      <c r="EN476" t="e">
        <f>AND(#REF!,"AAAAAH3Jbo8=")</f>
        <v>#REF!</v>
      </c>
      <c r="EO476" t="e">
        <f>AND(#REF!,"AAAAAH3JbpA=")</f>
        <v>#REF!</v>
      </c>
      <c r="EP476" t="e">
        <f>AND(#REF!,"AAAAAH3JbpE=")</f>
        <v>#REF!</v>
      </c>
      <c r="EQ476" t="e">
        <f>AND(#REF!,"AAAAAH3JbpI=")</f>
        <v>#REF!</v>
      </c>
      <c r="ER476" t="e">
        <f>AND(#REF!,"AAAAAH3JbpM=")</f>
        <v>#REF!</v>
      </c>
      <c r="ES476" t="e">
        <f>AND(#REF!,"AAAAAH3JbpQ=")</f>
        <v>#REF!</v>
      </c>
      <c r="ET476" t="e">
        <f>AND(#REF!,"AAAAAH3JbpU=")</f>
        <v>#REF!</v>
      </c>
      <c r="EU476" t="e">
        <f>AND(#REF!,"AAAAAH3JbpY=")</f>
        <v>#REF!</v>
      </c>
      <c r="EV476" t="e">
        <f>IF(#REF!,"AAAAAH3Jbpc=",0)</f>
        <v>#REF!</v>
      </c>
      <c r="EW476" t="e">
        <f>AND(#REF!,"AAAAAH3Jbpg=")</f>
        <v>#REF!</v>
      </c>
      <c r="EX476" t="e">
        <f>AND(#REF!,"AAAAAH3Jbpk=")</f>
        <v>#REF!</v>
      </c>
      <c r="EY476" t="e">
        <f>AND(#REF!,"AAAAAH3Jbpo=")</f>
        <v>#REF!</v>
      </c>
      <c r="EZ476" t="e">
        <f>AND(#REF!,"AAAAAH3Jbps=")</f>
        <v>#REF!</v>
      </c>
      <c r="FA476" t="e">
        <f>AND(#REF!,"AAAAAH3Jbpw=")</f>
        <v>#REF!</v>
      </c>
      <c r="FB476" t="e">
        <f>AND(#REF!,"AAAAAH3Jbp0=")</f>
        <v>#REF!</v>
      </c>
      <c r="FC476" t="e">
        <f>AND(#REF!,"AAAAAH3Jbp4=")</f>
        <v>#REF!</v>
      </c>
      <c r="FD476" t="e">
        <f>AND(#REF!,"AAAAAH3Jbp8=")</f>
        <v>#REF!</v>
      </c>
      <c r="FE476" t="e">
        <f>AND(#REF!,"AAAAAH3JbqA=")</f>
        <v>#REF!</v>
      </c>
      <c r="FF476" t="e">
        <f>AND(#REF!,"AAAAAH3JbqE=")</f>
        <v>#REF!</v>
      </c>
      <c r="FG476" t="e">
        <f>IF(#REF!,"AAAAAH3JbqI=",0)</f>
        <v>#REF!</v>
      </c>
      <c r="FH476" t="e">
        <f>AND(#REF!,"AAAAAH3JbqM=")</f>
        <v>#REF!</v>
      </c>
      <c r="FI476" t="e">
        <f>AND(#REF!,"AAAAAH3JbqQ=")</f>
        <v>#REF!</v>
      </c>
      <c r="FJ476" t="e">
        <f>AND(#REF!,"AAAAAH3JbqU=")</f>
        <v>#REF!</v>
      </c>
      <c r="FK476" t="e">
        <f>AND(#REF!,"AAAAAH3JbqY=")</f>
        <v>#REF!</v>
      </c>
      <c r="FL476" t="e">
        <f>AND(#REF!,"AAAAAH3Jbqc=")</f>
        <v>#REF!</v>
      </c>
      <c r="FM476" t="e">
        <f>AND(#REF!,"AAAAAH3Jbqg=")</f>
        <v>#REF!</v>
      </c>
      <c r="FN476" t="e">
        <f>AND(#REF!,"AAAAAH3Jbqk=")</f>
        <v>#REF!</v>
      </c>
      <c r="FO476" t="e">
        <f>AND(#REF!,"AAAAAH3Jbqo=")</f>
        <v>#REF!</v>
      </c>
      <c r="FP476" t="e">
        <f>AND(#REF!,"AAAAAH3Jbqs=")</f>
        <v>#REF!</v>
      </c>
      <c r="FQ476" t="e">
        <f>AND(#REF!,"AAAAAH3Jbqw=")</f>
        <v>#REF!</v>
      </c>
      <c r="FR476" t="e">
        <f>IF(#REF!,"AAAAAH3Jbq0=",0)</f>
        <v>#REF!</v>
      </c>
      <c r="FS476" t="e">
        <f>AND(#REF!,"AAAAAH3Jbq4=")</f>
        <v>#REF!</v>
      </c>
      <c r="FT476" t="e">
        <f>AND(#REF!,"AAAAAH3Jbq8=")</f>
        <v>#REF!</v>
      </c>
      <c r="FU476" t="e">
        <f>AND(#REF!,"AAAAAH3JbrA=")</f>
        <v>#REF!</v>
      </c>
      <c r="FV476" t="e">
        <f>AND(#REF!,"AAAAAH3JbrE=")</f>
        <v>#REF!</v>
      </c>
      <c r="FW476" t="e">
        <f>AND(#REF!,"AAAAAH3JbrI=")</f>
        <v>#REF!</v>
      </c>
      <c r="FX476" t="e">
        <f>AND(#REF!,"AAAAAH3JbrM=")</f>
        <v>#REF!</v>
      </c>
      <c r="FY476" t="e">
        <f>AND(#REF!,"AAAAAH3JbrQ=")</f>
        <v>#REF!</v>
      </c>
      <c r="FZ476" t="e">
        <f>AND(#REF!,"AAAAAH3JbrU=")</f>
        <v>#REF!</v>
      </c>
      <c r="GA476" t="e">
        <f>AND(#REF!,"AAAAAH3JbrY=")</f>
        <v>#REF!</v>
      </c>
      <c r="GB476" t="e">
        <f>AND(#REF!,"AAAAAH3Jbrc=")</f>
        <v>#REF!</v>
      </c>
      <c r="GC476" t="e">
        <f>IF(#REF!,"AAAAAH3Jbrg=",0)</f>
        <v>#REF!</v>
      </c>
      <c r="GD476" t="e">
        <f>AND(#REF!,"AAAAAH3Jbrk=")</f>
        <v>#REF!</v>
      </c>
      <c r="GE476" t="e">
        <f>AND(#REF!,"AAAAAH3Jbro=")</f>
        <v>#REF!</v>
      </c>
      <c r="GF476" t="e">
        <f>AND(#REF!,"AAAAAH3Jbrs=")</f>
        <v>#REF!</v>
      </c>
      <c r="GG476" t="e">
        <f>AND(#REF!,"AAAAAH3Jbrw=")</f>
        <v>#REF!</v>
      </c>
      <c r="GH476" t="e">
        <f>AND(#REF!,"AAAAAH3Jbr0=")</f>
        <v>#REF!</v>
      </c>
      <c r="GI476" t="e">
        <f>AND(#REF!,"AAAAAH3Jbr4=")</f>
        <v>#REF!</v>
      </c>
      <c r="GJ476" t="e">
        <f>AND(#REF!,"AAAAAH3Jbr8=")</f>
        <v>#REF!</v>
      </c>
      <c r="GK476" t="e">
        <f>AND(#REF!,"AAAAAH3JbsA=")</f>
        <v>#REF!</v>
      </c>
      <c r="GL476" t="e">
        <f>AND(#REF!,"AAAAAH3JbsE=")</f>
        <v>#REF!</v>
      </c>
      <c r="GM476" t="e">
        <f>AND(#REF!,"AAAAAH3JbsI=")</f>
        <v>#REF!</v>
      </c>
      <c r="GN476" t="e">
        <f>IF(#REF!,"AAAAAH3JbsM=",0)</f>
        <v>#REF!</v>
      </c>
      <c r="GO476" t="e">
        <f>AND(#REF!,"AAAAAH3JbsQ=")</f>
        <v>#REF!</v>
      </c>
      <c r="GP476" t="e">
        <f>AND(#REF!,"AAAAAH3JbsU=")</f>
        <v>#REF!</v>
      </c>
      <c r="GQ476" t="e">
        <f>AND(#REF!,"AAAAAH3JbsY=")</f>
        <v>#REF!</v>
      </c>
      <c r="GR476" t="e">
        <f>AND(#REF!,"AAAAAH3Jbsc=")</f>
        <v>#REF!</v>
      </c>
      <c r="GS476" t="e">
        <f>AND(#REF!,"AAAAAH3Jbsg=")</f>
        <v>#REF!</v>
      </c>
      <c r="GT476" t="e">
        <f>AND(#REF!,"AAAAAH3Jbsk=")</f>
        <v>#REF!</v>
      </c>
      <c r="GU476" t="e">
        <f>AND(#REF!,"AAAAAH3Jbso=")</f>
        <v>#REF!</v>
      </c>
      <c r="GV476" t="e">
        <f>AND(#REF!,"AAAAAH3Jbss=")</f>
        <v>#REF!</v>
      </c>
      <c r="GW476" t="e">
        <f>AND(#REF!,"AAAAAH3Jbsw=")</f>
        <v>#REF!</v>
      </c>
      <c r="GX476" t="e">
        <f>AND(#REF!,"AAAAAH3Jbs0=")</f>
        <v>#REF!</v>
      </c>
      <c r="GY476" t="e">
        <f>IF(#REF!,"AAAAAH3Jbs4=",0)</f>
        <v>#REF!</v>
      </c>
      <c r="GZ476" t="e">
        <f>AND(#REF!,"AAAAAH3Jbs8=")</f>
        <v>#REF!</v>
      </c>
      <c r="HA476" t="e">
        <f>AND(#REF!,"AAAAAH3JbtA=")</f>
        <v>#REF!</v>
      </c>
      <c r="HB476" t="e">
        <f>AND(#REF!,"AAAAAH3JbtE=")</f>
        <v>#REF!</v>
      </c>
      <c r="HC476" t="e">
        <f>AND(#REF!,"AAAAAH3JbtI=")</f>
        <v>#REF!</v>
      </c>
      <c r="HD476" t="e">
        <f>AND(#REF!,"AAAAAH3JbtM=")</f>
        <v>#REF!</v>
      </c>
      <c r="HE476" t="e">
        <f>AND(#REF!,"AAAAAH3JbtQ=")</f>
        <v>#REF!</v>
      </c>
      <c r="HF476" t="e">
        <f>AND(#REF!,"AAAAAH3JbtU=")</f>
        <v>#REF!</v>
      </c>
      <c r="HG476" t="e">
        <f>AND(#REF!,"AAAAAH3JbtY=")</f>
        <v>#REF!</v>
      </c>
      <c r="HH476" t="e">
        <f>AND(#REF!,"AAAAAH3Jbtc=")</f>
        <v>#REF!</v>
      </c>
      <c r="HI476" t="e">
        <f>AND(#REF!,"AAAAAH3Jbtg=")</f>
        <v>#REF!</v>
      </c>
      <c r="HJ476" t="e">
        <f>IF(#REF!,"AAAAAH3Jbtk=",0)</f>
        <v>#REF!</v>
      </c>
      <c r="HK476" t="e">
        <f>AND(#REF!,"AAAAAH3Jbto=")</f>
        <v>#REF!</v>
      </c>
      <c r="HL476" t="e">
        <f>AND(#REF!,"AAAAAH3Jbts=")</f>
        <v>#REF!</v>
      </c>
      <c r="HM476" t="e">
        <f>AND(#REF!,"AAAAAH3Jbtw=")</f>
        <v>#REF!</v>
      </c>
      <c r="HN476" t="e">
        <f>AND(#REF!,"AAAAAH3Jbt0=")</f>
        <v>#REF!</v>
      </c>
      <c r="HO476" t="e">
        <f>AND(#REF!,"AAAAAH3Jbt4=")</f>
        <v>#REF!</v>
      </c>
      <c r="HP476" t="e">
        <f>AND(#REF!,"AAAAAH3Jbt8=")</f>
        <v>#REF!</v>
      </c>
      <c r="HQ476" t="e">
        <f>AND(#REF!,"AAAAAH3JbuA=")</f>
        <v>#REF!</v>
      </c>
      <c r="HR476" t="e">
        <f>AND(#REF!,"AAAAAH3JbuE=")</f>
        <v>#REF!</v>
      </c>
      <c r="HS476" t="e">
        <f>AND(#REF!,"AAAAAH3JbuI=")</f>
        <v>#REF!</v>
      </c>
      <c r="HT476" t="e">
        <f>AND(#REF!,"AAAAAH3JbuM=")</f>
        <v>#REF!</v>
      </c>
      <c r="HU476" t="e">
        <f>IF(#REF!,"AAAAAH3JbuQ=",0)</f>
        <v>#REF!</v>
      </c>
      <c r="HV476" t="e">
        <f>AND(#REF!,"AAAAAH3JbuU=")</f>
        <v>#REF!</v>
      </c>
      <c r="HW476" t="e">
        <f>AND(#REF!,"AAAAAH3JbuY=")</f>
        <v>#REF!</v>
      </c>
      <c r="HX476" t="e">
        <f>AND(#REF!,"AAAAAH3Jbuc=")</f>
        <v>#REF!</v>
      </c>
      <c r="HY476" t="e">
        <f>AND(#REF!,"AAAAAH3Jbug=")</f>
        <v>#REF!</v>
      </c>
      <c r="HZ476" t="e">
        <f>AND(#REF!,"AAAAAH3Jbuk=")</f>
        <v>#REF!</v>
      </c>
      <c r="IA476" t="e">
        <f>AND(#REF!,"AAAAAH3Jbuo=")</f>
        <v>#REF!</v>
      </c>
      <c r="IB476" t="e">
        <f>AND(#REF!,"AAAAAH3Jbus=")</f>
        <v>#REF!</v>
      </c>
      <c r="IC476" t="e">
        <f>AND(#REF!,"AAAAAH3Jbuw=")</f>
        <v>#REF!</v>
      </c>
      <c r="ID476" t="e">
        <f>AND(#REF!,"AAAAAH3Jbu0=")</f>
        <v>#REF!</v>
      </c>
      <c r="IE476" t="e">
        <f>AND(#REF!,"AAAAAH3Jbu4=")</f>
        <v>#REF!</v>
      </c>
      <c r="IF476" t="e">
        <f>IF(#REF!,"AAAAAH3Jbu8=",0)</f>
        <v>#REF!</v>
      </c>
      <c r="IG476" t="e">
        <f>AND(#REF!,"AAAAAH3JbvA=")</f>
        <v>#REF!</v>
      </c>
      <c r="IH476" t="e">
        <f>AND(#REF!,"AAAAAH3JbvE=")</f>
        <v>#REF!</v>
      </c>
      <c r="II476" t="e">
        <f>AND(#REF!,"AAAAAH3JbvI=")</f>
        <v>#REF!</v>
      </c>
      <c r="IJ476" t="e">
        <f>AND(#REF!,"AAAAAH3JbvM=")</f>
        <v>#REF!</v>
      </c>
      <c r="IK476" t="e">
        <f>AND(#REF!,"AAAAAH3JbvQ=")</f>
        <v>#REF!</v>
      </c>
      <c r="IL476" t="e">
        <f>AND(#REF!,"AAAAAH3JbvU=")</f>
        <v>#REF!</v>
      </c>
      <c r="IM476" t="e">
        <f>AND(#REF!,"AAAAAH3JbvY=")</f>
        <v>#REF!</v>
      </c>
      <c r="IN476" t="e">
        <f>AND(#REF!,"AAAAAH3Jbvc=")</f>
        <v>#REF!</v>
      </c>
      <c r="IO476" t="e">
        <f>AND(#REF!,"AAAAAH3Jbvg=")</f>
        <v>#REF!</v>
      </c>
      <c r="IP476" t="e">
        <f>AND(#REF!,"AAAAAH3Jbvk=")</f>
        <v>#REF!</v>
      </c>
      <c r="IQ476" t="e">
        <f>IF(#REF!,"AAAAAH3Jbvo=",0)</f>
        <v>#REF!</v>
      </c>
      <c r="IR476" t="e">
        <f>AND(#REF!,"AAAAAH3Jbvs=")</f>
        <v>#REF!</v>
      </c>
      <c r="IS476" t="e">
        <f>AND(#REF!,"AAAAAH3Jbvw=")</f>
        <v>#REF!</v>
      </c>
      <c r="IT476" t="e">
        <f>AND(#REF!,"AAAAAH3Jbv0=")</f>
        <v>#REF!</v>
      </c>
      <c r="IU476" t="e">
        <f>AND(#REF!,"AAAAAH3Jbv4=")</f>
        <v>#REF!</v>
      </c>
      <c r="IV476" t="e">
        <f>AND(#REF!,"AAAAAH3Jbv8=")</f>
        <v>#REF!</v>
      </c>
    </row>
    <row r="477" spans="1:256" x14ac:dyDescent="0.25">
      <c r="A477" t="e">
        <f>AND(#REF!,"AAAAADPb/wA=")</f>
        <v>#REF!</v>
      </c>
      <c r="B477" t="e">
        <f>AND(#REF!,"AAAAADPb/wE=")</f>
        <v>#REF!</v>
      </c>
      <c r="C477" t="e">
        <f>AND(#REF!,"AAAAADPb/wI=")</f>
        <v>#REF!</v>
      </c>
      <c r="D477" t="e">
        <f>AND(#REF!,"AAAAADPb/wM=")</f>
        <v>#REF!</v>
      </c>
      <c r="E477" t="e">
        <f>AND(#REF!,"AAAAADPb/wQ=")</f>
        <v>#REF!</v>
      </c>
      <c r="F477" t="e">
        <f>IF(#REF!,"AAAAADPb/wU=",0)</f>
        <v>#REF!</v>
      </c>
      <c r="G477" t="e">
        <f>AND(#REF!,"AAAAADPb/wY=")</f>
        <v>#REF!</v>
      </c>
      <c r="H477" t="e">
        <f>AND(#REF!,"AAAAADPb/wc=")</f>
        <v>#REF!</v>
      </c>
      <c r="I477" t="e">
        <f>AND(#REF!,"AAAAADPb/wg=")</f>
        <v>#REF!</v>
      </c>
      <c r="J477" t="e">
        <f>AND(#REF!,"AAAAADPb/wk=")</f>
        <v>#REF!</v>
      </c>
      <c r="K477" t="e">
        <f>AND(#REF!,"AAAAADPb/wo=")</f>
        <v>#REF!</v>
      </c>
      <c r="L477" t="e">
        <f>AND(#REF!,"AAAAADPb/ws=")</f>
        <v>#REF!</v>
      </c>
      <c r="M477" t="e">
        <f>AND(#REF!,"AAAAADPb/ww=")</f>
        <v>#REF!</v>
      </c>
      <c r="N477" t="e">
        <f>AND(#REF!,"AAAAADPb/w0=")</f>
        <v>#REF!</v>
      </c>
      <c r="O477" t="e">
        <f>AND(#REF!,"AAAAADPb/w4=")</f>
        <v>#REF!</v>
      </c>
      <c r="P477" t="e">
        <f>AND(#REF!,"AAAAADPb/w8=")</f>
        <v>#REF!</v>
      </c>
      <c r="Q477" t="e">
        <f>IF(#REF!,"AAAAADPb/xA=",0)</f>
        <v>#REF!</v>
      </c>
      <c r="R477" t="e">
        <f>AND(#REF!,"AAAAADPb/xE=")</f>
        <v>#REF!</v>
      </c>
      <c r="S477" t="e">
        <f>AND(#REF!,"AAAAADPb/xI=")</f>
        <v>#REF!</v>
      </c>
      <c r="T477" t="e">
        <f>AND(#REF!,"AAAAADPb/xM=")</f>
        <v>#REF!</v>
      </c>
      <c r="U477" t="e">
        <f>AND(#REF!,"AAAAADPb/xQ=")</f>
        <v>#REF!</v>
      </c>
      <c r="V477" t="e">
        <f>AND(#REF!,"AAAAADPb/xU=")</f>
        <v>#REF!</v>
      </c>
      <c r="W477" t="e">
        <f>AND(#REF!,"AAAAADPb/xY=")</f>
        <v>#REF!</v>
      </c>
      <c r="X477" t="e">
        <f>AND(#REF!,"AAAAADPb/xc=")</f>
        <v>#REF!</v>
      </c>
      <c r="Y477" t="e">
        <f>AND(#REF!,"AAAAADPb/xg=")</f>
        <v>#REF!</v>
      </c>
      <c r="Z477" t="e">
        <f>AND(#REF!,"AAAAADPb/xk=")</f>
        <v>#REF!</v>
      </c>
      <c r="AA477" t="e">
        <f>AND(#REF!,"AAAAADPb/xo=")</f>
        <v>#REF!</v>
      </c>
      <c r="AB477" t="e">
        <f>IF(#REF!,"AAAAADPb/xs=",0)</f>
        <v>#REF!</v>
      </c>
      <c r="AC477" t="e">
        <f>AND(#REF!,"AAAAADPb/xw=")</f>
        <v>#REF!</v>
      </c>
      <c r="AD477" t="e">
        <f>AND(#REF!,"AAAAADPb/x0=")</f>
        <v>#REF!</v>
      </c>
      <c r="AE477" t="e">
        <f>AND(#REF!,"AAAAADPb/x4=")</f>
        <v>#REF!</v>
      </c>
      <c r="AF477" t="e">
        <f>AND(#REF!,"AAAAADPb/x8=")</f>
        <v>#REF!</v>
      </c>
      <c r="AG477" t="e">
        <f>AND(#REF!,"AAAAADPb/yA=")</f>
        <v>#REF!</v>
      </c>
      <c r="AH477" t="e">
        <f>AND(#REF!,"AAAAADPb/yE=")</f>
        <v>#REF!</v>
      </c>
      <c r="AI477" t="e">
        <f>AND(#REF!,"AAAAADPb/yI=")</f>
        <v>#REF!</v>
      </c>
      <c r="AJ477" t="e">
        <f>AND(#REF!,"AAAAADPb/yM=")</f>
        <v>#REF!</v>
      </c>
      <c r="AK477" t="e">
        <f>AND(#REF!,"AAAAADPb/yQ=")</f>
        <v>#REF!</v>
      </c>
      <c r="AL477" t="e">
        <f>AND(#REF!,"AAAAADPb/yU=")</f>
        <v>#REF!</v>
      </c>
      <c r="AM477" t="e">
        <f>IF(#REF!,"AAAAADPb/yY=",0)</f>
        <v>#REF!</v>
      </c>
      <c r="AN477" t="e">
        <f>AND(#REF!,"AAAAADPb/yc=")</f>
        <v>#REF!</v>
      </c>
      <c r="AO477" t="e">
        <f>AND(#REF!,"AAAAADPb/yg=")</f>
        <v>#REF!</v>
      </c>
      <c r="AP477" t="e">
        <f>AND(#REF!,"AAAAADPb/yk=")</f>
        <v>#REF!</v>
      </c>
      <c r="AQ477" t="e">
        <f>AND(#REF!,"AAAAADPb/yo=")</f>
        <v>#REF!</v>
      </c>
      <c r="AR477" t="e">
        <f>AND(#REF!,"AAAAADPb/ys=")</f>
        <v>#REF!</v>
      </c>
      <c r="AS477" t="e">
        <f>AND(#REF!,"AAAAADPb/yw=")</f>
        <v>#REF!</v>
      </c>
      <c r="AT477" t="e">
        <f>AND(#REF!,"AAAAADPb/y0=")</f>
        <v>#REF!</v>
      </c>
      <c r="AU477" t="e">
        <f>AND(#REF!,"AAAAADPb/y4=")</f>
        <v>#REF!</v>
      </c>
      <c r="AV477" t="e">
        <f>AND(#REF!,"AAAAADPb/y8=")</f>
        <v>#REF!</v>
      </c>
      <c r="AW477" t="e">
        <f>AND(#REF!,"AAAAADPb/zA=")</f>
        <v>#REF!</v>
      </c>
      <c r="AX477" t="e">
        <f>IF(#REF!,"AAAAADPb/zE=",0)</f>
        <v>#REF!</v>
      </c>
      <c r="AY477" t="e">
        <f>AND(#REF!,"AAAAADPb/zI=")</f>
        <v>#REF!</v>
      </c>
      <c r="AZ477" t="e">
        <f>AND(#REF!,"AAAAADPb/zM=")</f>
        <v>#REF!</v>
      </c>
      <c r="BA477" t="e">
        <f>AND(#REF!,"AAAAADPb/zQ=")</f>
        <v>#REF!</v>
      </c>
      <c r="BB477" t="e">
        <f>AND(#REF!,"AAAAADPb/zU=")</f>
        <v>#REF!</v>
      </c>
      <c r="BC477" t="e">
        <f>AND(#REF!,"AAAAADPb/zY=")</f>
        <v>#REF!</v>
      </c>
      <c r="BD477" t="e">
        <f>AND(#REF!,"AAAAADPb/zc=")</f>
        <v>#REF!</v>
      </c>
      <c r="BE477" t="e">
        <f>AND(#REF!,"AAAAADPb/zg=")</f>
        <v>#REF!</v>
      </c>
      <c r="BF477" t="e">
        <f>AND(#REF!,"AAAAADPb/zk=")</f>
        <v>#REF!</v>
      </c>
      <c r="BG477" t="e">
        <f>AND(#REF!,"AAAAADPb/zo=")</f>
        <v>#REF!</v>
      </c>
      <c r="BH477" t="e">
        <f>AND(#REF!,"AAAAADPb/zs=")</f>
        <v>#REF!</v>
      </c>
      <c r="BI477" t="e">
        <f>IF(#REF!,"AAAAADPb/zw=",0)</f>
        <v>#REF!</v>
      </c>
      <c r="BJ477" t="e">
        <f>AND(#REF!,"AAAAADPb/z0=")</f>
        <v>#REF!</v>
      </c>
      <c r="BK477" t="e">
        <f>AND(#REF!,"AAAAADPb/z4=")</f>
        <v>#REF!</v>
      </c>
      <c r="BL477" t="e">
        <f>AND(#REF!,"AAAAADPb/z8=")</f>
        <v>#REF!</v>
      </c>
      <c r="BM477" t="e">
        <f>AND(#REF!,"AAAAADPb/0A=")</f>
        <v>#REF!</v>
      </c>
      <c r="BN477" t="e">
        <f>AND(#REF!,"AAAAADPb/0E=")</f>
        <v>#REF!</v>
      </c>
      <c r="BO477" t="e">
        <f>AND(#REF!,"AAAAADPb/0I=")</f>
        <v>#REF!</v>
      </c>
      <c r="BP477" t="e">
        <f>AND(#REF!,"AAAAADPb/0M=")</f>
        <v>#REF!</v>
      </c>
      <c r="BQ477" t="e">
        <f>AND(#REF!,"AAAAADPb/0Q=")</f>
        <v>#REF!</v>
      </c>
      <c r="BR477" t="e">
        <f>AND(#REF!,"AAAAADPb/0U=")</f>
        <v>#REF!</v>
      </c>
      <c r="BS477" t="e">
        <f>AND(#REF!,"AAAAADPb/0Y=")</f>
        <v>#REF!</v>
      </c>
      <c r="BT477" t="e">
        <f>IF(#REF!,"AAAAADPb/0c=",0)</f>
        <v>#REF!</v>
      </c>
      <c r="BU477" t="e">
        <f>AND(#REF!,"AAAAADPb/0g=")</f>
        <v>#REF!</v>
      </c>
      <c r="BV477" t="e">
        <f>AND(#REF!,"AAAAADPb/0k=")</f>
        <v>#REF!</v>
      </c>
      <c r="BW477" t="e">
        <f>AND(#REF!,"AAAAADPb/0o=")</f>
        <v>#REF!</v>
      </c>
      <c r="BX477" t="e">
        <f>AND(#REF!,"AAAAADPb/0s=")</f>
        <v>#REF!</v>
      </c>
      <c r="BY477" t="e">
        <f>AND(#REF!,"AAAAADPb/0w=")</f>
        <v>#REF!</v>
      </c>
      <c r="BZ477" t="e">
        <f>AND(#REF!,"AAAAADPb/00=")</f>
        <v>#REF!</v>
      </c>
      <c r="CA477" t="e">
        <f>AND(#REF!,"AAAAADPb/04=")</f>
        <v>#REF!</v>
      </c>
      <c r="CB477" t="e">
        <f>AND(#REF!,"AAAAADPb/08=")</f>
        <v>#REF!</v>
      </c>
      <c r="CC477" t="e">
        <f>AND(#REF!,"AAAAADPb/1A=")</f>
        <v>#REF!</v>
      </c>
      <c r="CD477" t="e">
        <f>AND(#REF!,"AAAAADPb/1E=")</f>
        <v>#REF!</v>
      </c>
      <c r="CE477" t="e">
        <f>IF(#REF!,"AAAAADPb/1I=",0)</f>
        <v>#REF!</v>
      </c>
      <c r="CF477" t="e">
        <f>AND(#REF!,"AAAAADPb/1M=")</f>
        <v>#REF!</v>
      </c>
      <c r="CG477" t="e">
        <f>AND(#REF!,"AAAAADPb/1Q=")</f>
        <v>#REF!</v>
      </c>
      <c r="CH477" t="e">
        <f>AND(#REF!,"AAAAADPb/1U=")</f>
        <v>#REF!</v>
      </c>
      <c r="CI477" t="e">
        <f>AND(#REF!,"AAAAADPb/1Y=")</f>
        <v>#REF!</v>
      </c>
      <c r="CJ477" t="e">
        <f>AND(#REF!,"AAAAADPb/1c=")</f>
        <v>#REF!</v>
      </c>
      <c r="CK477" t="e">
        <f>AND(#REF!,"AAAAADPb/1g=")</f>
        <v>#REF!</v>
      </c>
      <c r="CL477" t="e">
        <f>AND(#REF!,"AAAAADPb/1k=")</f>
        <v>#REF!</v>
      </c>
      <c r="CM477" t="e">
        <f>AND(#REF!,"AAAAADPb/1o=")</f>
        <v>#REF!</v>
      </c>
      <c r="CN477" t="e">
        <f>AND(#REF!,"AAAAADPb/1s=")</f>
        <v>#REF!</v>
      </c>
      <c r="CO477" t="e">
        <f>AND(#REF!,"AAAAADPb/1w=")</f>
        <v>#REF!</v>
      </c>
      <c r="CP477" t="e">
        <f>IF(#REF!,"AAAAADPb/10=",0)</f>
        <v>#REF!</v>
      </c>
      <c r="CQ477" t="e">
        <f>AND(#REF!,"AAAAADPb/14=")</f>
        <v>#REF!</v>
      </c>
      <c r="CR477" t="e">
        <f>AND(#REF!,"AAAAADPb/18=")</f>
        <v>#REF!</v>
      </c>
      <c r="CS477" t="e">
        <f>AND(#REF!,"AAAAADPb/2A=")</f>
        <v>#REF!</v>
      </c>
      <c r="CT477" t="e">
        <f>AND(#REF!,"AAAAADPb/2E=")</f>
        <v>#REF!</v>
      </c>
      <c r="CU477" t="e">
        <f>AND(#REF!,"AAAAADPb/2I=")</f>
        <v>#REF!</v>
      </c>
      <c r="CV477" t="e">
        <f>AND(#REF!,"AAAAADPb/2M=")</f>
        <v>#REF!</v>
      </c>
      <c r="CW477" t="e">
        <f>AND(#REF!,"AAAAADPb/2Q=")</f>
        <v>#REF!</v>
      </c>
      <c r="CX477" t="e">
        <f>AND(#REF!,"AAAAADPb/2U=")</f>
        <v>#REF!</v>
      </c>
      <c r="CY477" t="e">
        <f>AND(#REF!,"AAAAADPb/2Y=")</f>
        <v>#REF!</v>
      </c>
      <c r="CZ477" t="e">
        <f>AND(#REF!,"AAAAADPb/2c=")</f>
        <v>#REF!</v>
      </c>
      <c r="DA477" t="e">
        <f>IF(#REF!,"AAAAADPb/2g=",0)</f>
        <v>#REF!</v>
      </c>
      <c r="DB477" t="e">
        <f>AND(#REF!,"AAAAADPb/2k=")</f>
        <v>#REF!</v>
      </c>
      <c r="DC477" t="e">
        <f>AND(#REF!,"AAAAADPb/2o=")</f>
        <v>#REF!</v>
      </c>
      <c r="DD477" t="e">
        <f>AND(#REF!,"AAAAADPb/2s=")</f>
        <v>#REF!</v>
      </c>
      <c r="DE477" t="e">
        <f>AND(#REF!,"AAAAADPb/2w=")</f>
        <v>#REF!</v>
      </c>
      <c r="DF477" t="e">
        <f>AND(#REF!,"AAAAADPb/20=")</f>
        <v>#REF!</v>
      </c>
      <c r="DG477" t="e">
        <f>AND(#REF!,"AAAAADPb/24=")</f>
        <v>#REF!</v>
      </c>
      <c r="DH477" t="e">
        <f>AND(#REF!,"AAAAADPb/28=")</f>
        <v>#REF!</v>
      </c>
      <c r="DI477" t="e">
        <f>AND(#REF!,"AAAAADPb/3A=")</f>
        <v>#REF!</v>
      </c>
      <c r="DJ477" t="e">
        <f>AND(#REF!,"AAAAADPb/3E=")</f>
        <v>#REF!</v>
      </c>
      <c r="DK477" t="e">
        <f>AND(#REF!,"AAAAADPb/3I=")</f>
        <v>#REF!</v>
      </c>
      <c r="DL477" t="e">
        <f>IF(#REF!,"AAAAADPb/3M=",0)</f>
        <v>#REF!</v>
      </c>
      <c r="DM477" t="e">
        <f>AND(#REF!,"AAAAADPb/3Q=")</f>
        <v>#REF!</v>
      </c>
      <c r="DN477" t="e">
        <f>AND(#REF!,"AAAAADPb/3U=")</f>
        <v>#REF!</v>
      </c>
      <c r="DO477" t="e">
        <f>AND(#REF!,"AAAAADPb/3Y=")</f>
        <v>#REF!</v>
      </c>
      <c r="DP477" t="e">
        <f>AND(#REF!,"AAAAADPb/3c=")</f>
        <v>#REF!</v>
      </c>
      <c r="DQ477" t="e">
        <f>AND(#REF!,"AAAAADPb/3g=")</f>
        <v>#REF!</v>
      </c>
      <c r="DR477" t="e">
        <f>AND(#REF!,"AAAAADPb/3k=")</f>
        <v>#REF!</v>
      </c>
      <c r="DS477" t="e">
        <f>AND(#REF!,"AAAAADPb/3o=")</f>
        <v>#REF!</v>
      </c>
      <c r="DT477" t="e">
        <f>AND(#REF!,"AAAAADPb/3s=")</f>
        <v>#REF!</v>
      </c>
      <c r="DU477" t="e">
        <f>AND(#REF!,"AAAAADPb/3w=")</f>
        <v>#REF!</v>
      </c>
      <c r="DV477" t="e">
        <f>AND(#REF!,"AAAAADPb/30=")</f>
        <v>#REF!</v>
      </c>
      <c r="DW477" t="e">
        <f>IF(#REF!,"AAAAADPb/34=",0)</f>
        <v>#REF!</v>
      </c>
      <c r="DX477" t="e">
        <f>AND(#REF!,"AAAAADPb/38=")</f>
        <v>#REF!</v>
      </c>
      <c r="DY477" t="e">
        <f>AND(#REF!,"AAAAADPb/4A=")</f>
        <v>#REF!</v>
      </c>
      <c r="DZ477" t="e">
        <f>AND(#REF!,"AAAAADPb/4E=")</f>
        <v>#REF!</v>
      </c>
      <c r="EA477" t="e">
        <f>AND(#REF!,"AAAAADPb/4I=")</f>
        <v>#REF!</v>
      </c>
      <c r="EB477" t="e">
        <f>AND(#REF!,"AAAAADPb/4M=")</f>
        <v>#REF!</v>
      </c>
      <c r="EC477" t="e">
        <f>AND(#REF!,"AAAAADPb/4Q=")</f>
        <v>#REF!</v>
      </c>
      <c r="ED477" t="e">
        <f>AND(#REF!,"AAAAADPb/4U=")</f>
        <v>#REF!</v>
      </c>
      <c r="EE477" t="e">
        <f>AND(#REF!,"AAAAADPb/4Y=")</f>
        <v>#REF!</v>
      </c>
      <c r="EF477" t="e">
        <f>AND(#REF!,"AAAAADPb/4c=")</f>
        <v>#REF!</v>
      </c>
      <c r="EG477" t="e">
        <f>AND(#REF!,"AAAAADPb/4g=")</f>
        <v>#REF!</v>
      </c>
      <c r="EH477" t="e">
        <f>IF(#REF!,"AAAAADPb/4k=",0)</f>
        <v>#REF!</v>
      </c>
      <c r="EI477" t="e">
        <f>AND(#REF!,"AAAAADPb/4o=")</f>
        <v>#REF!</v>
      </c>
      <c r="EJ477" t="e">
        <f>AND(#REF!,"AAAAADPb/4s=")</f>
        <v>#REF!</v>
      </c>
      <c r="EK477" t="e">
        <f>AND(#REF!,"AAAAADPb/4w=")</f>
        <v>#REF!</v>
      </c>
      <c r="EL477" t="e">
        <f>AND(#REF!,"AAAAADPb/40=")</f>
        <v>#REF!</v>
      </c>
      <c r="EM477" t="e">
        <f>AND(#REF!,"AAAAADPb/44=")</f>
        <v>#REF!</v>
      </c>
      <c r="EN477" t="e">
        <f>AND(#REF!,"AAAAADPb/48=")</f>
        <v>#REF!</v>
      </c>
      <c r="EO477" t="e">
        <f>AND(#REF!,"AAAAADPb/5A=")</f>
        <v>#REF!</v>
      </c>
      <c r="EP477" t="e">
        <f>AND(#REF!,"AAAAADPb/5E=")</f>
        <v>#REF!</v>
      </c>
      <c r="EQ477" t="e">
        <f>AND(#REF!,"AAAAADPb/5I=")</f>
        <v>#REF!</v>
      </c>
      <c r="ER477" t="e">
        <f>AND(#REF!,"AAAAADPb/5M=")</f>
        <v>#REF!</v>
      </c>
      <c r="ES477" t="e">
        <f>IF(#REF!,"AAAAADPb/5Q=",0)</f>
        <v>#REF!</v>
      </c>
      <c r="ET477" t="e">
        <f>AND(#REF!,"AAAAADPb/5U=")</f>
        <v>#REF!</v>
      </c>
      <c r="EU477" t="e">
        <f>AND(#REF!,"AAAAADPb/5Y=")</f>
        <v>#REF!</v>
      </c>
      <c r="EV477" t="e">
        <f>AND(#REF!,"AAAAADPb/5c=")</f>
        <v>#REF!</v>
      </c>
      <c r="EW477" t="e">
        <f>AND(#REF!,"AAAAADPb/5g=")</f>
        <v>#REF!</v>
      </c>
      <c r="EX477" t="e">
        <f>AND(#REF!,"AAAAADPb/5k=")</f>
        <v>#REF!</v>
      </c>
      <c r="EY477" t="e">
        <f>AND(#REF!,"AAAAADPb/5o=")</f>
        <v>#REF!</v>
      </c>
      <c r="EZ477" t="e">
        <f>AND(#REF!,"AAAAADPb/5s=")</f>
        <v>#REF!</v>
      </c>
      <c r="FA477" t="e">
        <f>AND(#REF!,"AAAAADPb/5w=")</f>
        <v>#REF!</v>
      </c>
      <c r="FB477" t="e">
        <f>AND(#REF!,"AAAAADPb/50=")</f>
        <v>#REF!</v>
      </c>
      <c r="FC477" t="e">
        <f>AND(#REF!,"AAAAADPb/54=")</f>
        <v>#REF!</v>
      </c>
      <c r="FD477" t="e">
        <f>IF(#REF!,"AAAAADPb/58=",0)</f>
        <v>#REF!</v>
      </c>
      <c r="FE477" t="e">
        <f>AND(#REF!,"AAAAADPb/6A=")</f>
        <v>#REF!</v>
      </c>
      <c r="FF477" t="e">
        <f>AND(#REF!,"AAAAADPb/6E=")</f>
        <v>#REF!</v>
      </c>
      <c r="FG477" t="e">
        <f>AND(#REF!,"AAAAADPb/6I=")</f>
        <v>#REF!</v>
      </c>
      <c r="FH477" t="e">
        <f>AND(#REF!,"AAAAADPb/6M=")</f>
        <v>#REF!</v>
      </c>
      <c r="FI477" t="e">
        <f>AND(#REF!,"AAAAADPb/6Q=")</f>
        <v>#REF!</v>
      </c>
      <c r="FJ477" t="e">
        <f>AND(#REF!,"AAAAADPb/6U=")</f>
        <v>#REF!</v>
      </c>
      <c r="FK477" t="e">
        <f>AND(#REF!,"AAAAADPb/6Y=")</f>
        <v>#REF!</v>
      </c>
      <c r="FL477" t="e">
        <f>AND(#REF!,"AAAAADPb/6c=")</f>
        <v>#REF!</v>
      </c>
      <c r="FM477" t="e">
        <f>AND(#REF!,"AAAAADPb/6g=")</f>
        <v>#REF!</v>
      </c>
      <c r="FN477" t="e">
        <f>AND(#REF!,"AAAAADPb/6k=")</f>
        <v>#REF!</v>
      </c>
      <c r="FO477" t="e">
        <f>IF(#REF!,"AAAAADPb/6o=",0)</f>
        <v>#REF!</v>
      </c>
      <c r="FP477" t="e">
        <f>AND(#REF!,"AAAAADPb/6s=")</f>
        <v>#REF!</v>
      </c>
      <c r="FQ477" t="e">
        <f>AND(#REF!,"AAAAADPb/6w=")</f>
        <v>#REF!</v>
      </c>
      <c r="FR477" t="e">
        <f>AND(#REF!,"AAAAADPb/60=")</f>
        <v>#REF!</v>
      </c>
      <c r="FS477" t="e">
        <f>AND(#REF!,"AAAAADPb/64=")</f>
        <v>#REF!</v>
      </c>
      <c r="FT477" t="e">
        <f>AND(#REF!,"AAAAADPb/68=")</f>
        <v>#REF!</v>
      </c>
      <c r="FU477" t="e">
        <f>AND(#REF!,"AAAAADPb/7A=")</f>
        <v>#REF!</v>
      </c>
      <c r="FV477" t="e">
        <f>AND(#REF!,"AAAAADPb/7E=")</f>
        <v>#REF!</v>
      </c>
      <c r="FW477" t="e">
        <f>AND(#REF!,"AAAAADPb/7I=")</f>
        <v>#REF!</v>
      </c>
      <c r="FX477" t="e">
        <f>AND(#REF!,"AAAAADPb/7M=")</f>
        <v>#REF!</v>
      </c>
      <c r="FY477" t="e">
        <f>AND(#REF!,"AAAAADPb/7Q=")</f>
        <v>#REF!</v>
      </c>
      <c r="FZ477" t="e">
        <f>IF(#REF!,"AAAAADPb/7U=",0)</f>
        <v>#REF!</v>
      </c>
      <c r="GA477" t="e">
        <f>AND(#REF!,"AAAAADPb/7Y=")</f>
        <v>#REF!</v>
      </c>
      <c r="GB477" t="e">
        <f>AND(#REF!,"AAAAADPb/7c=")</f>
        <v>#REF!</v>
      </c>
      <c r="GC477" t="e">
        <f>AND(#REF!,"AAAAADPb/7g=")</f>
        <v>#REF!</v>
      </c>
      <c r="GD477" t="e">
        <f>AND(#REF!,"AAAAADPb/7k=")</f>
        <v>#REF!</v>
      </c>
      <c r="GE477" t="e">
        <f>AND(#REF!,"AAAAADPb/7o=")</f>
        <v>#REF!</v>
      </c>
      <c r="GF477" t="e">
        <f>AND(#REF!,"AAAAADPb/7s=")</f>
        <v>#REF!</v>
      </c>
      <c r="GG477" t="e">
        <f>AND(#REF!,"AAAAADPb/7w=")</f>
        <v>#REF!</v>
      </c>
      <c r="GH477" t="e">
        <f>AND(#REF!,"AAAAADPb/70=")</f>
        <v>#REF!</v>
      </c>
      <c r="GI477" t="e">
        <f>AND(#REF!,"AAAAADPb/74=")</f>
        <v>#REF!</v>
      </c>
      <c r="GJ477" t="e">
        <f>AND(#REF!,"AAAAADPb/78=")</f>
        <v>#REF!</v>
      </c>
      <c r="GK477" t="e">
        <f>IF(#REF!,"AAAAADPb/8A=",0)</f>
        <v>#REF!</v>
      </c>
      <c r="GL477" t="e">
        <f>AND(#REF!,"AAAAADPb/8E=")</f>
        <v>#REF!</v>
      </c>
      <c r="GM477" t="e">
        <f>AND(#REF!,"AAAAADPb/8I=")</f>
        <v>#REF!</v>
      </c>
      <c r="GN477" t="e">
        <f>AND(#REF!,"AAAAADPb/8M=")</f>
        <v>#REF!</v>
      </c>
      <c r="GO477" t="e">
        <f>AND(#REF!,"AAAAADPb/8Q=")</f>
        <v>#REF!</v>
      </c>
      <c r="GP477" t="e">
        <f>AND(#REF!,"AAAAADPb/8U=")</f>
        <v>#REF!</v>
      </c>
      <c r="GQ477" t="e">
        <f>AND(#REF!,"AAAAADPb/8Y=")</f>
        <v>#REF!</v>
      </c>
      <c r="GR477" t="e">
        <f>AND(#REF!,"AAAAADPb/8c=")</f>
        <v>#REF!</v>
      </c>
      <c r="GS477" t="e">
        <f>AND(#REF!,"AAAAADPb/8g=")</f>
        <v>#REF!</v>
      </c>
      <c r="GT477" t="e">
        <f>AND(#REF!,"AAAAADPb/8k=")</f>
        <v>#REF!</v>
      </c>
      <c r="GU477" t="e">
        <f>AND(#REF!,"AAAAADPb/8o=")</f>
        <v>#REF!</v>
      </c>
      <c r="GV477" t="e">
        <f>IF(#REF!,"AAAAADPb/8s=",0)</f>
        <v>#REF!</v>
      </c>
      <c r="GW477" t="e">
        <f>AND(#REF!,"AAAAADPb/8w=")</f>
        <v>#REF!</v>
      </c>
      <c r="GX477" t="e">
        <f>AND(#REF!,"AAAAADPb/80=")</f>
        <v>#REF!</v>
      </c>
      <c r="GY477" t="e">
        <f>AND(#REF!,"AAAAADPb/84=")</f>
        <v>#REF!</v>
      </c>
      <c r="GZ477" t="e">
        <f>AND(#REF!,"AAAAADPb/88=")</f>
        <v>#REF!</v>
      </c>
      <c r="HA477" t="e">
        <f>AND(#REF!,"AAAAADPb/9A=")</f>
        <v>#REF!</v>
      </c>
      <c r="HB477" t="e">
        <f>AND(#REF!,"AAAAADPb/9E=")</f>
        <v>#REF!</v>
      </c>
      <c r="HC477" t="e">
        <f>AND(#REF!,"AAAAADPb/9I=")</f>
        <v>#REF!</v>
      </c>
      <c r="HD477" t="e">
        <f>AND(#REF!,"AAAAADPb/9M=")</f>
        <v>#REF!</v>
      </c>
      <c r="HE477" t="e">
        <f>AND(#REF!,"AAAAADPb/9Q=")</f>
        <v>#REF!</v>
      </c>
      <c r="HF477" t="e">
        <f>AND(#REF!,"AAAAADPb/9U=")</f>
        <v>#REF!</v>
      </c>
      <c r="HG477" t="e">
        <f>IF(#REF!,"AAAAADPb/9Y=",0)</f>
        <v>#REF!</v>
      </c>
      <c r="HH477" t="e">
        <f>AND(#REF!,"AAAAADPb/9c=")</f>
        <v>#REF!</v>
      </c>
      <c r="HI477" t="e">
        <f>AND(#REF!,"AAAAADPb/9g=")</f>
        <v>#REF!</v>
      </c>
      <c r="HJ477" t="e">
        <f>AND(#REF!,"AAAAADPb/9k=")</f>
        <v>#REF!</v>
      </c>
      <c r="HK477" t="e">
        <f>AND(#REF!,"AAAAADPb/9o=")</f>
        <v>#REF!</v>
      </c>
      <c r="HL477" t="e">
        <f>AND(#REF!,"AAAAADPb/9s=")</f>
        <v>#REF!</v>
      </c>
      <c r="HM477" t="e">
        <f>AND(#REF!,"AAAAADPb/9w=")</f>
        <v>#REF!</v>
      </c>
      <c r="HN477" t="e">
        <f>AND(#REF!,"AAAAADPb/90=")</f>
        <v>#REF!</v>
      </c>
      <c r="HO477" t="e">
        <f>AND(#REF!,"AAAAADPb/94=")</f>
        <v>#REF!</v>
      </c>
      <c r="HP477" t="e">
        <f>AND(#REF!,"AAAAADPb/98=")</f>
        <v>#REF!</v>
      </c>
      <c r="HQ477" t="e">
        <f>AND(#REF!,"AAAAADPb/+A=")</f>
        <v>#REF!</v>
      </c>
      <c r="HR477" t="e">
        <f>IF(#REF!,"AAAAADPb/+E=",0)</f>
        <v>#REF!</v>
      </c>
      <c r="HS477" t="e">
        <f>AND(#REF!,"AAAAADPb/+I=")</f>
        <v>#REF!</v>
      </c>
      <c r="HT477" t="e">
        <f>AND(#REF!,"AAAAADPb/+M=")</f>
        <v>#REF!</v>
      </c>
      <c r="HU477" t="e">
        <f>AND(#REF!,"AAAAADPb/+Q=")</f>
        <v>#REF!</v>
      </c>
      <c r="HV477" t="e">
        <f>AND(#REF!,"AAAAADPb/+U=")</f>
        <v>#REF!</v>
      </c>
      <c r="HW477" t="e">
        <f>AND(#REF!,"AAAAADPb/+Y=")</f>
        <v>#REF!</v>
      </c>
      <c r="HX477" t="e">
        <f>AND(#REF!,"AAAAADPb/+c=")</f>
        <v>#REF!</v>
      </c>
      <c r="HY477" t="e">
        <f>AND(#REF!,"AAAAADPb/+g=")</f>
        <v>#REF!</v>
      </c>
      <c r="HZ477" t="e">
        <f>AND(#REF!,"AAAAADPb/+k=")</f>
        <v>#REF!</v>
      </c>
      <c r="IA477" t="e">
        <f>AND(#REF!,"AAAAADPb/+o=")</f>
        <v>#REF!</v>
      </c>
      <c r="IB477" t="e">
        <f>AND(#REF!,"AAAAADPb/+s=")</f>
        <v>#REF!</v>
      </c>
      <c r="IC477" t="e">
        <f>IF(#REF!,"AAAAADPb/+w=",0)</f>
        <v>#REF!</v>
      </c>
      <c r="ID477" t="e">
        <f>AND(#REF!,"AAAAADPb/+0=")</f>
        <v>#REF!</v>
      </c>
      <c r="IE477" t="e">
        <f>AND(#REF!,"AAAAADPb/+4=")</f>
        <v>#REF!</v>
      </c>
      <c r="IF477" t="e">
        <f>AND(#REF!,"AAAAADPb/+8=")</f>
        <v>#REF!</v>
      </c>
      <c r="IG477" t="e">
        <f>AND(#REF!,"AAAAADPb//A=")</f>
        <v>#REF!</v>
      </c>
      <c r="IH477" t="e">
        <f>AND(#REF!,"AAAAADPb//E=")</f>
        <v>#REF!</v>
      </c>
      <c r="II477" t="e">
        <f>AND(#REF!,"AAAAADPb//I=")</f>
        <v>#REF!</v>
      </c>
      <c r="IJ477" t="e">
        <f>AND(#REF!,"AAAAADPb//M=")</f>
        <v>#REF!</v>
      </c>
      <c r="IK477" t="e">
        <f>AND(#REF!,"AAAAADPb//Q=")</f>
        <v>#REF!</v>
      </c>
      <c r="IL477" t="e">
        <f>AND(#REF!,"AAAAADPb//U=")</f>
        <v>#REF!</v>
      </c>
      <c r="IM477" t="e">
        <f>AND(#REF!,"AAAAADPb//Y=")</f>
        <v>#REF!</v>
      </c>
      <c r="IN477" t="e">
        <f>IF(#REF!,"AAAAADPb//c=",0)</f>
        <v>#REF!</v>
      </c>
      <c r="IO477" t="e">
        <f>AND(#REF!,"AAAAADPb//g=")</f>
        <v>#REF!</v>
      </c>
      <c r="IP477" t="e">
        <f>AND(#REF!,"AAAAADPb//k=")</f>
        <v>#REF!</v>
      </c>
      <c r="IQ477" t="e">
        <f>AND(#REF!,"AAAAADPb//o=")</f>
        <v>#REF!</v>
      </c>
      <c r="IR477" t="e">
        <f>AND(#REF!,"AAAAADPb//s=")</f>
        <v>#REF!</v>
      </c>
      <c r="IS477" t="e">
        <f>AND(#REF!,"AAAAADPb//w=")</f>
        <v>#REF!</v>
      </c>
      <c r="IT477" t="e">
        <f>AND(#REF!,"AAAAADPb//0=")</f>
        <v>#REF!</v>
      </c>
      <c r="IU477" t="e">
        <f>AND(#REF!,"AAAAADPb//4=")</f>
        <v>#REF!</v>
      </c>
      <c r="IV477" t="e">
        <f>AND(#REF!,"AAAAADPb//8=")</f>
        <v>#REF!</v>
      </c>
    </row>
    <row r="478" spans="1:256" x14ac:dyDescent="0.25">
      <c r="A478" t="e">
        <f>AND(#REF!,"AAAAAF5r+QA=")</f>
        <v>#REF!</v>
      </c>
      <c r="B478" t="e">
        <f>AND(#REF!,"AAAAAF5r+QE=")</f>
        <v>#REF!</v>
      </c>
      <c r="C478" t="e">
        <f>IF(#REF!,"AAAAAF5r+QI=",0)</f>
        <v>#REF!</v>
      </c>
      <c r="D478" t="e">
        <f>AND(#REF!,"AAAAAF5r+QM=")</f>
        <v>#REF!</v>
      </c>
      <c r="E478" t="e">
        <f>AND(#REF!,"AAAAAF5r+QQ=")</f>
        <v>#REF!</v>
      </c>
      <c r="F478" t="e">
        <f>AND(#REF!,"AAAAAF5r+QU=")</f>
        <v>#REF!</v>
      </c>
      <c r="G478" t="e">
        <f>AND(#REF!,"AAAAAF5r+QY=")</f>
        <v>#REF!</v>
      </c>
      <c r="H478" t="e">
        <f>AND(#REF!,"AAAAAF5r+Qc=")</f>
        <v>#REF!</v>
      </c>
      <c r="I478" t="e">
        <f>AND(#REF!,"AAAAAF5r+Qg=")</f>
        <v>#REF!</v>
      </c>
      <c r="J478" t="e">
        <f>AND(#REF!,"AAAAAF5r+Qk=")</f>
        <v>#REF!</v>
      </c>
      <c r="K478" t="e">
        <f>AND(#REF!,"AAAAAF5r+Qo=")</f>
        <v>#REF!</v>
      </c>
      <c r="L478" t="e">
        <f>AND(#REF!,"AAAAAF5r+Qs=")</f>
        <v>#REF!</v>
      </c>
      <c r="M478" t="e">
        <f>AND(#REF!,"AAAAAF5r+Qw=")</f>
        <v>#REF!</v>
      </c>
      <c r="N478" t="e">
        <f>IF(#REF!,"AAAAAF5r+Q0=",0)</f>
        <v>#REF!</v>
      </c>
      <c r="O478" t="e">
        <f>AND(#REF!,"AAAAAF5r+Q4=")</f>
        <v>#REF!</v>
      </c>
      <c r="P478" t="e">
        <f>AND(#REF!,"AAAAAF5r+Q8=")</f>
        <v>#REF!</v>
      </c>
      <c r="Q478" t="e">
        <f>AND(#REF!,"AAAAAF5r+RA=")</f>
        <v>#REF!</v>
      </c>
      <c r="R478" t="e">
        <f>AND(#REF!,"AAAAAF5r+RE=")</f>
        <v>#REF!</v>
      </c>
      <c r="S478" t="e">
        <f>AND(#REF!,"AAAAAF5r+RI=")</f>
        <v>#REF!</v>
      </c>
      <c r="T478" t="e">
        <f>AND(#REF!,"AAAAAF5r+RM=")</f>
        <v>#REF!</v>
      </c>
      <c r="U478" t="e">
        <f>AND(#REF!,"AAAAAF5r+RQ=")</f>
        <v>#REF!</v>
      </c>
      <c r="V478" t="e">
        <f>AND(#REF!,"AAAAAF5r+RU=")</f>
        <v>#REF!</v>
      </c>
      <c r="W478" t="e">
        <f>AND(#REF!,"AAAAAF5r+RY=")</f>
        <v>#REF!</v>
      </c>
      <c r="X478" t="e">
        <f>AND(#REF!,"AAAAAF5r+Rc=")</f>
        <v>#REF!</v>
      </c>
      <c r="Y478" t="e">
        <f>IF(#REF!,"AAAAAF5r+Rg=",0)</f>
        <v>#REF!</v>
      </c>
      <c r="Z478" t="e">
        <f>AND(#REF!,"AAAAAF5r+Rk=")</f>
        <v>#REF!</v>
      </c>
      <c r="AA478" t="e">
        <f>AND(#REF!,"AAAAAF5r+Ro=")</f>
        <v>#REF!</v>
      </c>
      <c r="AB478" t="e">
        <f>AND(#REF!,"AAAAAF5r+Rs=")</f>
        <v>#REF!</v>
      </c>
      <c r="AC478" t="e">
        <f>AND(#REF!,"AAAAAF5r+Rw=")</f>
        <v>#REF!</v>
      </c>
      <c r="AD478" t="e">
        <f>AND(#REF!,"AAAAAF5r+R0=")</f>
        <v>#REF!</v>
      </c>
      <c r="AE478" t="e">
        <f>AND(#REF!,"AAAAAF5r+R4=")</f>
        <v>#REF!</v>
      </c>
      <c r="AF478" t="e">
        <f>AND(#REF!,"AAAAAF5r+R8=")</f>
        <v>#REF!</v>
      </c>
      <c r="AG478" t="e">
        <f>AND(#REF!,"AAAAAF5r+SA=")</f>
        <v>#REF!</v>
      </c>
      <c r="AH478" t="e">
        <f>AND(#REF!,"AAAAAF5r+SE=")</f>
        <v>#REF!</v>
      </c>
      <c r="AI478" t="e">
        <f>AND(#REF!,"AAAAAF5r+SI=")</f>
        <v>#REF!</v>
      </c>
      <c r="AJ478" t="e">
        <f>IF(#REF!,"AAAAAF5r+SM=",0)</f>
        <v>#REF!</v>
      </c>
      <c r="AK478" t="e">
        <f>AND(#REF!,"AAAAAF5r+SQ=")</f>
        <v>#REF!</v>
      </c>
      <c r="AL478" t="e">
        <f>AND(#REF!,"AAAAAF5r+SU=")</f>
        <v>#REF!</v>
      </c>
      <c r="AM478" t="e">
        <f>AND(#REF!,"AAAAAF5r+SY=")</f>
        <v>#REF!</v>
      </c>
      <c r="AN478" t="e">
        <f>AND(#REF!,"AAAAAF5r+Sc=")</f>
        <v>#REF!</v>
      </c>
      <c r="AO478" t="e">
        <f>AND(#REF!,"AAAAAF5r+Sg=")</f>
        <v>#REF!</v>
      </c>
      <c r="AP478" t="e">
        <f>AND(#REF!,"AAAAAF5r+Sk=")</f>
        <v>#REF!</v>
      </c>
      <c r="AQ478" t="e">
        <f>AND(#REF!,"AAAAAF5r+So=")</f>
        <v>#REF!</v>
      </c>
      <c r="AR478" t="e">
        <f>AND(#REF!,"AAAAAF5r+Ss=")</f>
        <v>#REF!</v>
      </c>
      <c r="AS478" t="e">
        <f>AND(#REF!,"AAAAAF5r+Sw=")</f>
        <v>#REF!</v>
      </c>
      <c r="AT478" t="e">
        <f>AND(#REF!,"AAAAAF5r+S0=")</f>
        <v>#REF!</v>
      </c>
      <c r="AU478" t="e">
        <f>IF(#REF!,"AAAAAF5r+S4=",0)</f>
        <v>#REF!</v>
      </c>
      <c r="AV478" t="e">
        <f>AND(#REF!,"AAAAAF5r+S8=")</f>
        <v>#REF!</v>
      </c>
      <c r="AW478" t="e">
        <f>AND(#REF!,"AAAAAF5r+TA=")</f>
        <v>#REF!</v>
      </c>
      <c r="AX478" t="e">
        <f>AND(#REF!,"AAAAAF5r+TE=")</f>
        <v>#REF!</v>
      </c>
      <c r="AY478" t="e">
        <f>AND(#REF!,"AAAAAF5r+TI=")</f>
        <v>#REF!</v>
      </c>
      <c r="AZ478" t="e">
        <f>AND(#REF!,"AAAAAF5r+TM=")</f>
        <v>#REF!</v>
      </c>
      <c r="BA478" t="e">
        <f>AND(#REF!,"AAAAAF5r+TQ=")</f>
        <v>#REF!</v>
      </c>
      <c r="BB478" t="e">
        <f>AND(#REF!,"AAAAAF5r+TU=")</f>
        <v>#REF!</v>
      </c>
      <c r="BC478" t="e">
        <f>AND(#REF!,"AAAAAF5r+TY=")</f>
        <v>#REF!</v>
      </c>
      <c r="BD478" t="e">
        <f>AND(#REF!,"AAAAAF5r+Tc=")</f>
        <v>#REF!</v>
      </c>
      <c r="BE478" t="e">
        <f>AND(#REF!,"AAAAAF5r+Tg=")</f>
        <v>#REF!</v>
      </c>
      <c r="BF478" t="e">
        <f>IF(#REF!,"AAAAAF5r+Tk=",0)</f>
        <v>#REF!</v>
      </c>
      <c r="BG478" t="e">
        <f>AND(#REF!,"AAAAAF5r+To=")</f>
        <v>#REF!</v>
      </c>
      <c r="BH478" t="e">
        <f>AND(#REF!,"AAAAAF5r+Ts=")</f>
        <v>#REF!</v>
      </c>
      <c r="BI478" t="e">
        <f>AND(#REF!,"AAAAAF5r+Tw=")</f>
        <v>#REF!</v>
      </c>
      <c r="BJ478" t="e">
        <f>AND(#REF!,"AAAAAF5r+T0=")</f>
        <v>#REF!</v>
      </c>
      <c r="BK478" t="e">
        <f>AND(#REF!,"AAAAAF5r+T4=")</f>
        <v>#REF!</v>
      </c>
      <c r="BL478" t="e">
        <f>AND(#REF!,"AAAAAF5r+T8=")</f>
        <v>#REF!</v>
      </c>
      <c r="BM478" t="e">
        <f>AND(#REF!,"AAAAAF5r+UA=")</f>
        <v>#REF!</v>
      </c>
      <c r="BN478" t="e">
        <f>AND(#REF!,"AAAAAF5r+UE=")</f>
        <v>#REF!</v>
      </c>
      <c r="BO478" t="e">
        <f>AND(#REF!,"AAAAAF5r+UI=")</f>
        <v>#REF!</v>
      </c>
      <c r="BP478" t="e">
        <f>AND(#REF!,"AAAAAF5r+UM=")</f>
        <v>#REF!</v>
      </c>
      <c r="BQ478" t="e">
        <f>IF(#REF!,"AAAAAF5r+UQ=",0)</f>
        <v>#REF!</v>
      </c>
      <c r="BR478" t="e">
        <f>AND(#REF!,"AAAAAF5r+UU=")</f>
        <v>#REF!</v>
      </c>
      <c r="BS478" t="e">
        <f>AND(#REF!,"AAAAAF5r+UY=")</f>
        <v>#REF!</v>
      </c>
      <c r="BT478" t="e">
        <f>AND(#REF!,"AAAAAF5r+Uc=")</f>
        <v>#REF!</v>
      </c>
      <c r="BU478" t="e">
        <f>AND(#REF!,"AAAAAF5r+Ug=")</f>
        <v>#REF!</v>
      </c>
      <c r="BV478" t="e">
        <f>AND(#REF!,"AAAAAF5r+Uk=")</f>
        <v>#REF!</v>
      </c>
      <c r="BW478" t="e">
        <f>AND(#REF!,"AAAAAF5r+Uo=")</f>
        <v>#REF!</v>
      </c>
      <c r="BX478" t="e">
        <f>AND(#REF!,"AAAAAF5r+Us=")</f>
        <v>#REF!</v>
      </c>
      <c r="BY478" t="e">
        <f>AND(#REF!,"AAAAAF5r+Uw=")</f>
        <v>#REF!</v>
      </c>
      <c r="BZ478" t="e">
        <f>AND(#REF!,"AAAAAF5r+U0=")</f>
        <v>#REF!</v>
      </c>
      <c r="CA478" t="e">
        <f>AND(#REF!,"AAAAAF5r+U4=")</f>
        <v>#REF!</v>
      </c>
      <c r="CB478" t="e">
        <f>IF(#REF!,"AAAAAF5r+U8=",0)</f>
        <v>#REF!</v>
      </c>
      <c r="CC478" t="e">
        <f>AND(#REF!,"AAAAAF5r+VA=")</f>
        <v>#REF!</v>
      </c>
      <c r="CD478" t="e">
        <f>AND(#REF!,"AAAAAF5r+VE=")</f>
        <v>#REF!</v>
      </c>
      <c r="CE478" t="e">
        <f>AND(#REF!,"AAAAAF5r+VI=")</f>
        <v>#REF!</v>
      </c>
      <c r="CF478" t="e">
        <f>AND(#REF!,"AAAAAF5r+VM=")</f>
        <v>#REF!</v>
      </c>
      <c r="CG478" t="e">
        <f>AND(#REF!,"AAAAAF5r+VQ=")</f>
        <v>#REF!</v>
      </c>
      <c r="CH478" t="e">
        <f>AND(#REF!,"AAAAAF5r+VU=")</f>
        <v>#REF!</v>
      </c>
      <c r="CI478" t="e">
        <f>AND(#REF!,"AAAAAF5r+VY=")</f>
        <v>#REF!</v>
      </c>
      <c r="CJ478" t="e">
        <f>AND(#REF!,"AAAAAF5r+Vc=")</f>
        <v>#REF!</v>
      </c>
      <c r="CK478" t="e">
        <f>AND(#REF!,"AAAAAF5r+Vg=")</f>
        <v>#REF!</v>
      </c>
      <c r="CL478" t="e">
        <f>AND(#REF!,"AAAAAF5r+Vk=")</f>
        <v>#REF!</v>
      </c>
      <c r="CM478" t="e">
        <f>IF(#REF!,"AAAAAF5r+Vo=",0)</f>
        <v>#REF!</v>
      </c>
      <c r="CN478" t="e">
        <f>AND(#REF!,"AAAAAF5r+Vs=")</f>
        <v>#REF!</v>
      </c>
      <c r="CO478" t="e">
        <f>AND(#REF!,"AAAAAF5r+Vw=")</f>
        <v>#REF!</v>
      </c>
      <c r="CP478" t="e">
        <f>AND(#REF!,"AAAAAF5r+V0=")</f>
        <v>#REF!</v>
      </c>
      <c r="CQ478" t="e">
        <f>AND(#REF!,"AAAAAF5r+V4=")</f>
        <v>#REF!</v>
      </c>
      <c r="CR478" t="e">
        <f>AND(#REF!,"AAAAAF5r+V8=")</f>
        <v>#REF!</v>
      </c>
      <c r="CS478" t="e">
        <f>AND(#REF!,"AAAAAF5r+WA=")</f>
        <v>#REF!</v>
      </c>
      <c r="CT478" t="e">
        <f>AND(#REF!,"AAAAAF5r+WE=")</f>
        <v>#REF!</v>
      </c>
      <c r="CU478" t="e">
        <f>AND(#REF!,"AAAAAF5r+WI=")</f>
        <v>#REF!</v>
      </c>
      <c r="CV478" t="e">
        <f>AND(#REF!,"AAAAAF5r+WM=")</f>
        <v>#REF!</v>
      </c>
      <c r="CW478" t="e">
        <f>AND(#REF!,"AAAAAF5r+WQ=")</f>
        <v>#REF!</v>
      </c>
      <c r="CX478" t="e">
        <f>IF(#REF!,"AAAAAF5r+WU=",0)</f>
        <v>#REF!</v>
      </c>
      <c r="CY478" t="e">
        <f>AND(#REF!,"AAAAAF5r+WY=")</f>
        <v>#REF!</v>
      </c>
      <c r="CZ478" t="e">
        <f>AND(#REF!,"AAAAAF5r+Wc=")</f>
        <v>#REF!</v>
      </c>
      <c r="DA478" t="e">
        <f>AND(#REF!,"AAAAAF5r+Wg=")</f>
        <v>#REF!</v>
      </c>
      <c r="DB478" t="e">
        <f>AND(#REF!,"AAAAAF5r+Wk=")</f>
        <v>#REF!</v>
      </c>
      <c r="DC478" t="e">
        <f>AND(#REF!,"AAAAAF5r+Wo=")</f>
        <v>#REF!</v>
      </c>
      <c r="DD478" t="e">
        <f>AND(#REF!,"AAAAAF5r+Ws=")</f>
        <v>#REF!</v>
      </c>
      <c r="DE478" t="e">
        <f>AND(#REF!,"AAAAAF5r+Ww=")</f>
        <v>#REF!</v>
      </c>
      <c r="DF478" t="e">
        <f>AND(#REF!,"AAAAAF5r+W0=")</f>
        <v>#REF!</v>
      </c>
      <c r="DG478" t="e">
        <f>AND(#REF!,"AAAAAF5r+W4=")</f>
        <v>#REF!</v>
      </c>
      <c r="DH478" t="e">
        <f>AND(#REF!,"AAAAAF5r+W8=")</f>
        <v>#REF!</v>
      </c>
      <c r="DI478" t="e">
        <f>IF(#REF!,"AAAAAF5r+XA=",0)</f>
        <v>#REF!</v>
      </c>
      <c r="DJ478" t="e">
        <f>AND(#REF!,"AAAAAF5r+XE=")</f>
        <v>#REF!</v>
      </c>
      <c r="DK478" t="e">
        <f>AND(#REF!,"AAAAAF5r+XI=")</f>
        <v>#REF!</v>
      </c>
      <c r="DL478" t="e">
        <f>AND(#REF!,"AAAAAF5r+XM=")</f>
        <v>#REF!</v>
      </c>
      <c r="DM478" t="e">
        <f>AND(#REF!,"AAAAAF5r+XQ=")</f>
        <v>#REF!</v>
      </c>
      <c r="DN478" t="e">
        <f>AND(#REF!,"AAAAAF5r+XU=")</f>
        <v>#REF!</v>
      </c>
      <c r="DO478" t="e">
        <f>AND(#REF!,"AAAAAF5r+XY=")</f>
        <v>#REF!</v>
      </c>
      <c r="DP478" t="e">
        <f>AND(#REF!,"AAAAAF5r+Xc=")</f>
        <v>#REF!</v>
      </c>
      <c r="DQ478" t="e">
        <f>AND(#REF!,"AAAAAF5r+Xg=")</f>
        <v>#REF!</v>
      </c>
      <c r="DR478" t="e">
        <f>AND(#REF!,"AAAAAF5r+Xk=")</f>
        <v>#REF!</v>
      </c>
      <c r="DS478" t="e">
        <f>AND(#REF!,"AAAAAF5r+Xo=")</f>
        <v>#REF!</v>
      </c>
      <c r="DT478" t="e">
        <f>IF(#REF!,"AAAAAF5r+Xs=",0)</f>
        <v>#REF!</v>
      </c>
      <c r="DU478" t="e">
        <f>AND(#REF!,"AAAAAF5r+Xw=")</f>
        <v>#REF!</v>
      </c>
      <c r="DV478" t="e">
        <f>AND(#REF!,"AAAAAF5r+X0=")</f>
        <v>#REF!</v>
      </c>
      <c r="DW478" t="e">
        <f>AND(#REF!,"AAAAAF5r+X4=")</f>
        <v>#REF!</v>
      </c>
      <c r="DX478" t="e">
        <f>AND(#REF!,"AAAAAF5r+X8=")</f>
        <v>#REF!</v>
      </c>
      <c r="DY478" t="e">
        <f>AND(#REF!,"AAAAAF5r+YA=")</f>
        <v>#REF!</v>
      </c>
      <c r="DZ478" t="e">
        <f>AND(#REF!,"AAAAAF5r+YE=")</f>
        <v>#REF!</v>
      </c>
      <c r="EA478" t="e">
        <f>AND(#REF!,"AAAAAF5r+YI=")</f>
        <v>#REF!</v>
      </c>
      <c r="EB478" t="e">
        <f>AND(#REF!,"AAAAAF5r+YM=")</f>
        <v>#REF!</v>
      </c>
      <c r="EC478" t="e">
        <f>AND(#REF!,"AAAAAF5r+YQ=")</f>
        <v>#REF!</v>
      </c>
      <c r="ED478" t="e">
        <f>AND(#REF!,"AAAAAF5r+YU=")</f>
        <v>#REF!</v>
      </c>
      <c r="EE478" t="e">
        <f>IF(#REF!,"AAAAAF5r+YY=",0)</f>
        <v>#REF!</v>
      </c>
      <c r="EF478" t="e">
        <f>AND(#REF!,"AAAAAF5r+Yc=")</f>
        <v>#REF!</v>
      </c>
      <c r="EG478" t="e">
        <f>AND(#REF!,"AAAAAF5r+Yg=")</f>
        <v>#REF!</v>
      </c>
      <c r="EH478" t="e">
        <f>AND(#REF!,"AAAAAF5r+Yk=")</f>
        <v>#REF!</v>
      </c>
      <c r="EI478" t="e">
        <f>AND(#REF!,"AAAAAF5r+Yo=")</f>
        <v>#REF!</v>
      </c>
      <c r="EJ478" t="e">
        <f>AND(#REF!,"AAAAAF5r+Ys=")</f>
        <v>#REF!</v>
      </c>
      <c r="EK478" t="e">
        <f>AND(#REF!,"AAAAAF5r+Yw=")</f>
        <v>#REF!</v>
      </c>
      <c r="EL478" t="e">
        <f>AND(#REF!,"AAAAAF5r+Y0=")</f>
        <v>#REF!</v>
      </c>
      <c r="EM478" t="e">
        <f>AND(#REF!,"AAAAAF5r+Y4=")</f>
        <v>#REF!</v>
      </c>
      <c r="EN478" t="e">
        <f>AND(#REF!,"AAAAAF5r+Y8=")</f>
        <v>#REF!</v>
      </c>
      <c r="EO478" t="e">
        <f>AND(#REF!,"AAAAAF5r+ZA=")</f>
        <v>#REF!</v>
      </c>
      <c r="EP478" t="e">
        <f>IF(#REF!,"AAAAAF5r+ZE=",0)</f>
        <v>#REF!</v>
      </c>
      <c r="EQ478" t="e">
        <f>AND(#REF!,"AAAAAF5r+ZI=")</f>
        <v>#REF!</v>
      </c>
      <c r="ER478" t="e">
        <f>AND(#REF!,"AAAAAF5r+ZM=")</f>
        <v>#REF!</v>
      </c>
      <c r="ES478" t="e">
        <f>AND(#REF!,"AAAAAF5r+ZQ=")</f>
        <v>#REF!</v>
      </c>
      <c r="ET478" t="e">
        <f>AND(#REF!,"AAAAAF5r+ZU=")</f>
        <v>#REF!</v>
      </c>
      <c r="EU478" t="e">
        <f>AND(#REF!,"AAAAAF5r+ZY=")</f>
        <v>#REF!</v>
      </c>
      <c r="EV478" t="e">
        <f>AND(#REF!,"AAAAAF5r+Zc=")</f>
        <v>#REF!</v>
      </c>
      <c r="EW478" t="e">
        <f>AND(#REF!,"AAAAAF5r+Zg=")</f>
        <v>#REF!</v>
      </c>
      <c r="EX478" t="e">
        <f>AND(#REF!,"AAAAAF5r+Zk=")</f>
        <v>#REF!</v>
      </c>
      <c r="EY478" t="e">
        <f>AND(#REF!,"AAAAAF5r+Zo=")</f>
        <v>#REF!</v>
      </c>
      <c r="EZ478" t="e">
        <f>AND(#REF!,"AAAAAF5r+Zs=")</f>
        <v>#REF!</v>
      </c>
      <c r="FA478" t="e">
        <f>IF(#REF!,"AAAAAF5r+Zw=",0)</f>
        <v>#REF!</v>
      </c>
      <c r="FB478" t="e">
        <f>AND(#REF!,"AAAAAF5r+Z0=")</f>
        <v>#REF!</v>
      </c>
      <c r="FC478" t="e">
        <f>AND(#REF!,"AAAAAF5r+Z4=")</f>
        <v>#REF!</v>
      </c>
      <c r="FD478" t="e">
        <f>AND(#REF!,"AAAAAF5r+Z8=")</f>
        <v>#REF!</v>
      </c>
      <c r="FE478" t="e">
        <f>AND(#REF!,"AAAAAF5r+aA=")</f>
        <v>#REF!</v>
      </c>
      <c r="FF478" t="e">
        <f>AND(#REF!,"AAAAAF5r+aE=")</f>
        <v>#REF!</v>
      </c>
      <c r="FG478" t="e">
        <f>AND(#REF!,"AAAAAF5r+aI=")</f>
        <v>#REF!</v>
      </c>
      <c r="FH478" t="e">
        <f>AND(#REF!,"AAAAAF5r+aM=")</f>
        <v>#REF!</v>
      </c>
      <c r="FI478" t="e">
        <f>AND(#REF!,"AAAAAF5r+aQ=")</f>
        <v>#REF!</v>
      </c>
      <c r="FJ478" t="e">
        <f>AND(#REF!,"AAAAAF5r+aU=")</f>
        <v>#REF!</v>
      </c>
      <c r="FK478" t="e">
        <f>AND(#REF!,"AAAAAF5r+aY=")</f>
        <v>#REF!</v>
      </c>
      <c r="FL478" t="e">
        <f>IF(#REF!,"AAAAAF5r+ac=",0)</f>
        <v>#REF!</v>
      </c>
      <c r="FM478" t="e">
        <f>AND(#REF!,"AAAAAF5r+ag=")</f>
        <v>#REF!</v>
      </c>
      <c r="FN478" t="e">
        <f>AND(#REF!,"AAAAAF5r+ak=")</f>
        <v>#REF!</v>
      </c>
      <c r="FO478" t="e">
        <f>AND(#REF!,"AAAAAF5r+ao=")</f>
        <v>#REF!</v>
      </c>
      <c r="FP478" t="e">
        <f>AND(#REF!,"AAAAAF5r+as=")</f>
        <v>#REF!</v>
      </c>
      <c r="FQ478" t="e">
        <f>AND(#REF!,"AAAAAF5r+aw=")</f>
        <v>#REF!</v>
      </c>
      <c r="FR478" t="e">
        <f>AND(#REF!,"AAAAAF5r+a0=")</f>
        <v>#REF!</v>
      </c>
      <c r="FS478" t="e">
        <f>AND(#REF!,"AAAAAF5r+a4=")</f>
        <v>#REF!</v>
      </c>
      <c r="FT478" t="e">
        <f>AND(#REF!,"AAAAAF5r+a8=")</f>
        <v>#REF!</v>
      </c>
      <c r="FU478" t="e">
        <f>AND(#REF!,"AAAAAF5r+bA=")</f>
        <v>#REF!</v>
      </c>
      <c r="FV478" t="e">
        <f>AND(#REF!,"AAAAAF5r+bE=")</f>
        <v>#REF!</v>
      </c>
      <c r="FW478" t="e">
        <f>IF(#REF!,"AAAAAF5r+bI=",0)</f>
        <v>#REF!</v>
      </c>
      <c r="FX478" t="e">
        <f>AND(#REF!,"AAAAAF5r+bM=")</f>
        <v>#REF!</v>
      </c>
      <c r="FY478" t="e">
        <f>AND(#REF!,"AAAAAF5r+bQ=")</f>
        <v>#REF!</v>
      </c>
      <c r="FZ478" t="e">
        <f>AND(#REF!,"AAAAAF5r+bU=")</f>
        <v>#REF!</v>
      </c>
      <c r="GA478" t="e">
        <f>AND(#REF!,"AAAAAF5r+bY=")</f>
        <v>#REF!</v>
      </c>
      <c r="GB478" t="e">
        <f>AND(#REF!,"AAAAAF5r+bc=")</f>
        <v>#REF!</v>
      </c>
      <c r="GC478" t="e">
        <f>AND(#REF!,"AAAAAF5r+bg=")</f>
        <v>#REF!</v>
      </c>
      <c r="GD478" t="e">
        <f>AND(#REF!,"AAAAAF5r+bk=")</f>
        <v>#REF!</v>
      </c>
      <c r="GE478" t="e">
        <f>AND(#REF!,"AAAAAF5r+bo=")</f>
        <v>#REF!</v>
      </c>
      <c r="GF478" t="e">
        <f>AND(#REF!,"AAAAAF5r+bs=")</f>
        <v>#REF!</v>
      </c>
      <c r="GG478" t="e">
        <f>AND(#REF!,"AAAAAF5r+bw=")</f>
        <v>#REF!</v>
      </c>
      <c r="GH478" t="e">
        <f>IF(#REF!,"AAAAAF5r+b0=",0)</f>
        <v>#REF!</v>
      </c>
      <c r="GI478" t="e">
        <f>AND(#REF!,"AAAAAF5r+b4=")</f>
        <v>#REF!</v>
      </c>
      <c r="GJ478" t="e">
        <f>AND(#REF!,"AAAAAF5r+b8=")</f>
        <v>#REF!</v>
      </c>
      <c r="GK478" t="e">
        <f>AND(#REF!,"AAAAAF5r+cA=")</f>
        <v>#REF!</v>
      </c>
      <c r="GL478" t="e">
        <f>AND(#REF!,"AAAAAF5r+cE=")</f>
        <v>#REF!</v>
      </c>
      <c r="GM478" t="e">
        <f>AND(#REF!,"AAAAAF5r+cI=")</f>
        <v>#REF!</v>
      </c>
      <c r="GN478" t="e">
        <f>AND(#REF!,"AAAAAF5r+cM=")</f>
        <v>#REF!</v>
      </c>
      <c r="GO478" t="e">
        <f>AND(#REF!,"AAAAAF5r+cQ=")</f>
        <v>#REF!</v>
      </c>
      <c r="GP478" t="e">
        <f>AND(#REF!,"AAAAAF5r+cU=")</f>
        <v>#REF!</v>
      </c>
      <c r="GQ478" t="e">
        <f>AND(#REF!,"AAAAAF5r+cY=")</f>
        <v>#REF!</v>
      </c>
      <c r="GR478" t="e">
        <f>AND(#REF!,"AAAAAF5r+cc=")</f>
        <v>#REF!</v>
      </c>
      <c r="GS478" t="e">
        <f>IF(#REF!,"AAAAAF5r+cg=",0)</f>
        <v>#REF!</v>
      </c>
      <c r="GT478" t="e">
        <f>AND(#REF!,"AAAAAF5r+ck=")</f>
        <v>#REF!</v>
      </c>
      <c r="GU478" t="e">
        <f>AND(#REF!,"AAAAAF5r+co=")</f>
        <v>#REF!</v>
      </c>
      <c r="GV478" t="e">
        <f>AND(#REF!,"AAAAAF5r+cs=")</f>
        <v>#REF!</v>
      </c>
      <c r="GW478" t="e">
        <f>AND(#REF!,"AAAAAF5r+cw=")</f>
        <v>#REF!</v>
      </c>
      <c r="GX478" t="e">
        <f>AND(#REF!,"AAAAAF5r+c0=")</f>
        <v>#REF!</v>
      </c>
      <c r="GY478" t="e">
        <f>AND(#REF!,"AAAAAF5r+c4=")</f>
        <v>#REF!</v>
      </c>
      <c r="GZ478" t="e">
        <f>AND(#REF!,"AAAAAF5r+c8=")</f>
        <v>#REF!</v>
      </c>
      <c r="HA478" t="e">
        <f>AND(#REF!,"AAAAAF5r+dA=")</f>
        <v>#REF!</v>
      </c>
      <c r="HB478" t="e">
        <f>AND(#REF!,"AAAAAF5r+dE=")</f>
        <v>#REF!</v>
      </c>
      <c r="HC478" t="e">
        <f>AND(#REF!,"AAAAAF5r+dI=")</f>
        <v>#REF!</v>
      </c>
      <c r="HD478" t="e">
        <f>IF(#REF!,"AAAAAF5r+dM=",0)</f>
        <v>#REF!</v>
      </c>
      <c r="HE478" t="e">
        <f>AND(#REF!,"AAAAAF5r+dQ=")</f>
        <v>#REF!</v>
      </c>
      <c r="HF478" t="e">
        <f>AND(#REF!,"AAAAAF5r+dU=")</f>
        <v>#REF!</v>
      </c>
      <c r="HG478" t="e">
        <f>AND(#REF!,"AAAAAF5r+dY=")</f>
        <v>#REF!</v>
      </c>
      <c r="HH478" t="e">
        <f>AND(#REF!,"AAAAAF5r+dc=")</f>
        <v>#REF!</v>
      </c>
      <c r="HI478" t="e">
        <f>AND(#REF!,"AAAAAF5r+dg=")</f>
        <v>#REF!</v>
      </c>
      <c r="HJ478" t="e">
        <f>AND(#REF!,"AAAAAF5r+dk=")</f>
        <v>#REF!</v>
      </c>
      <c r="HK478" t="e">
        <f>AND(#REF!,"AAAAAF5r+do=")</f>
        <v>#REF!</v>
      </c>
      <c r="HL478" t="e">
        <f>AND(#REF!,"AAAAAF5r+ds=")</f>
        <v>#REF!</v>
      </c>
      <c r="HM478" t="e">
        <f>AND(#REF!,"AAAAAF5r+dw=")</f>
        <v>#REF!</v>
      </c>
      <c r="HN478" t="e">
        <f>AND(#REF!,"AAAAAF5r+d0=")</f>
        <v>#REF!</v>
      </c>
      <c r="HO478" t="e">
        <f>IF(#REF!,"AAAAAF5r+d4=",0)</f>
        <v>#REF!</v>
      </c>
      <c r="HP478" t="e">
        <f>AND(#REF!,"AAAAAF5r+d8=")</f>
        <v>#REF!</v>
      </c>
      <c r="HQ478" t="e">
        <f>AND(#REF!,"AAAAAF5r+eA=")</f>
        <v>#REF!</v>
      </c>
      <c r="HR478" t="e">
        <f>AND(#REF!,"AAAAAF5r+eE=")</f>
        <v>#REF!</v>
      </c>
      <c r="HS478" t="e">
        <f>AND(#REF!,"AAAAAF5r+eI=")</f>
        <v>#REF!</v>
      </c>
      <c r="HT478" t="e">
        <f>AND(#REF!,"AAAAAF5r+eM=")</f>
        <v>#REF!</v>
      </c>
      <c r="HU478" t="e">
        <f>AND(#REF!,"AAAAAF5r+eQ=")</f>
        <v>#REF!</v>
      </c>
      <c r="HV478" t="e">
        <f>AND(#REF!,"AAAAAF5r+eU=")</f>
        <v>#REF!</v>
      </c>
      <c r="HW478" t="e">
        <f>AND(#REF!,"AAAAAF5r+eY=")</f>
        <v>#REF!</v>
      </c>
      <c r="HX478" t="e">
        <f>AND(#REF!,"AAAAAF5r+ec=")</f>
        <v>#REF!</v>
      </c>
      <c r="HY478" t="e">
        <f>AND(#REF!,"AAAAAF5r+eg=")</f>
        <v>#REF!</v>
      </c>
      <c r="HZ478" t="e">
        <f>IF(#REF!,"AAAAAF5r+ek=",0)</f>
        <v>#REF!</v>
      </c>
      <c r="IA478" t="e">
        <f>AND(#REF!,"AAAAAF5r+eo=")</f>
        <v>#REF!</v>
      </c>
      <c r="IB478" t="e">
        <f>AND(#REF!,"AAAAAF5r+es=")</f>
        <v>#REF!</v>
      </c>
      <c r="IC478" t="e">
        <f>AND(#REF!,"AAAAAF5r+ew=")</f>
        <v>#REF!</v>
      </c>
      <c r="ID478" t="e">
        <f>AND(#REF!,"AAAAAF5r+e0=")</f>
        <v>#REF!</v>
      </c>
      <c r="IE478" t="e">
        <f>AND(#REF!,"AAAAAF5r+e4=")</f>
        <v>#REF!</v>
      </c>
      <c r="IF478" t="e">
        <f>AND(#REF!,"AAAAAF5r+e8=")</f>
        <v>#REF!</v>
      </c>
      <c r="IG478" t="e">
        <f>AND(#REF!,"AAAAAF5r+fA=")</f>
        <v>#REF!</v>
      </c>
      <c r="IH478" t="e">
        <f>AND(#REF!,"AAAAAF5r+fE=")</f>
        <v>#REF!</v>
      </c>
      <c r="II478" t="e">
        <f>AND(#REF!,"AAAAAF5r+fI=")</f>
        <v>#REF!</v>
      </c>
      <c r="IJ478" t="e">
        <f>AND(#REF!,"AAAAAF5r+fM=")</f>
        <v>#REF!</v>
      </c>
      <c r="IK478" t="e">
        <f>IF(#REF!,"AAAAAF5r+fQ=",0)</f>
        <v>#REF!</v>
      </c>
      <c r="IL478" t="e">
        <f>AND(#REF!,"AAAAAF5r+fU=")</f>
        <v>#REF!</v>
      </c>
      <c r="IM478" t="e">
        <f>AND(#REF!,"AAAAAF5r+fY=")</f>
        <v>#REF!</v>
      </c>
      <c r="IN478" t="e">
        <f>AND(#REF!,"AAAAAF5r+fc=")</f>
        <v>#REF!</v>
      </c>
      <c r="IO478" t="e">
        <f>AND(#REF!,"AAAAAF5r+fg=")</f>
        <v>#REF!</v>
      </c>
      <c r="IP478" t="e">
        <f>AND(#REF!,"AAAAAF5r+fk=")</f>
        <v>#REF!</v>
      </c>
      <c r="IQ478" t="e">
        <f>AND(#REF!,"AAAAAF5r+fo=")</f>
        <v>#REF!</v>
      </c>
      <c r="IR478" t="e">
        <f>AND(#REF!,"AAAAAF5r+fs=")</f>
        <v>#REF!</v>
      </c>
      <c r="IS478" t="e">
        <f>AND(#REF!,"AAAAAF5r+fw=")</f>
        <v>#REF!</v>
      </c>
      <c r="IT478" t="e">
        <f>AND(#REF!,"AAAAAF5r+f0=")</f>
        <v>#REF!</v>
      </c>
      <c r="IU478" t="e">
        <f>AND(#REF!,"AAAAAF5r+f4=")</f>
        <v>#REF!</v>
      </c>
      <c r="IV478" t="e">
        <f>IF(#REF!,"AAAAAF5r+f8=",0)</f>
        <v>#REF!</v>
      </c>
    </row>
    <row r="479" spans="1:256" x14ac:dyDescent="0.25">
      <c r="A479" t="e">
        <f>AND(#REF!,"AAAAAG2vewA=")</f>
        <v>#REF!</v>
      </c>
      <c r="B479" t="e">
        <f>AND(#REF!,"AAAAAG2vewE=")</f>
        <v>#REF!</v>
      </c>
      <c r="C479" t="e">
        <f>AND(#REF!,"AAAAAG2vewI=")</f>
        <v>#REF!</v>
      </c>
      <c r="D479" t="e">
        <f>AND(#REF!,"AAAAAG2vewM=")</f>
        <v>#REF!</v>
      </c>
      <c r="E479" t="e">
        <f>AND(#REF!,"AAAAAG2vewQ=")</f>
        <v>#REF!</v>
      </c>
      <c r="F479" t="e">
        <f>AND(#REF!,"AAAAAG2vewU=")</f>
        <v>#REF!</v>
      </c>
      <c r="G479" t="e">
        <f>AND(#REF!,"AAAAAG2vewY=")</f>
        <v>#REF!</v>
      </c>
      <c r="H479" t="e">
        <f>AND(#REF!,"AAAAAG2vewc=")</f>
        <v>#REF!</v>
      </c>
      <c r="I479" t="e">
        <f>AND(#REF!,"AAAAAG2vewg=")</f>
        <v>#REF!</v>
      </c>
      <c r="J479" t="e">
        <f>AND(#REF!,"AAAAAG2vewk=")</f>
        <v>#REF!</v>
      </c>
      <c r="K479" t="e">
        <f>IF(#REF!,"AAAAAG2vewo=",0)</f>
        <v>#REF!</v>
      </c>
      <c r="L479" t="e">
        <f>AND(#REF!,"AAAAAG2vews=")</f>
        <v>#REF!</v>
      </c>
      <c r="M479" t="e">
        <f>AND(#REF!,"AAAAAG2veww=")</f>
        <v>#REF!</v>
      </c>
      <c r="N479" t="e">
        <f>AND(#REF!,"AAAAAG2vew0=")</f>
        <v>#REF!</v>
      </c>
      <c r="O479" t="e">
        <f>AND(#REF!,"AAAAAG2vew4=")</f>
        <v>#REF!</v>
      </c>
      <c r="P479" t="e">
        <f>AND(#REF!,"AAAAAG2vew8=")</f>
        <v>#REF!</v>
      </c>
      <c r="Q479" t="e">
        <f>AND(#REF!,"AAAAAG2vexA=")</f>
        <v>#REF!</v>
      </c>
      <c r="R479" t="e">
        <f>AND(#REF!,"AAAAAG2vexE=")</f>
        <v>#REF!</v>
      </c>
      <c r="S479" t="e">
        <f>AND(#REF!,"AAAAAG2vexI=")</f>
        <v>#REF!</v>
      </c>
      <c r="T479" t="e">
        <f>AND(#REF!,"AAAAAG2vexM=")</f>
        <v>#REF!</v>
      </c>
      <c r="U479" t="e">
        <f>AND(#REF!,"AAAAAG2vexQ=")</f>
        <v>#REF!</v>
      </c>
      <c r="V479" t="e">
        <f>IF(#REF!,"AAAAAG2vexU=",0)</f>
        <v>#REF!</v>
      </c>
      <c r="W479" t="e">
        <f>AND(#REF!,"AAAAAG2vexY=")</f>
        <v>#REF!</v>
      </c>
      <c r="X479" t="e">
        <f>AND(#REF!,"AAAAAG2vexc=")</f>
        <v>#REF!</v>
      </c>
      <c r="Y479" t="e">
        <f>AND(#REF!,"AAAAAG2vexg=")</f>
        <v>#REF!</v>
      </c>
      <c r="Z479" t="e">
        <f>AND(#REF!,"AAAAAG2vexk=")</f>
        <v>#REF!</v>
      </c>
      <c r="AA479" t="e">
        <f>AND(#REF!,"AAAAAG2vexo=")</f>
        <v>#REF!</v>
      </c>
      <c r="AB479" t="e">
        <f>AND(#REF!,"AAAAAG2vexs=")</f>
        <v>#REF!</v>
      </c>
      <c r="AC479" t="e">
        <f>AND(#REF!,"AAAAAG2vexw=")</f>
        <v>#REF!</v>
      </c>
      <c r="AD479" t="e">
        <f>AND(#REF!,"AAAAAG2vex0=")</f>
        <v>#REF!</v>
      </c>
      <c r="AE479" t="e">
        <f>AND(#REF!,"AAAAAG2vex4=")</f>
        <v>#REF!</v>
      </c>
      <c r="AF479" t="e">
        <f>AND(#REF!,"AAAAAG2vex8=")</f>
        <v>#REF!</v>
      </c>
      <c r="AG479" t="e">
        <f>IF(#REF!,"AAAAAG2veyA=",0)</f>
        <v>#REF!</v>
      </c>
      <c r="AH479" t="e">
        <f>AND(#REF!,"AAAAAG2veyE=")</f>
        <v>#REF!</v>
      </c>
      <c r="AI479" t="e">
        <f>AND(#REF!,"AAAAAG2veyI=")</f>
        <v>#REF!</v>
      </c>
      <c r="AJ479" t="e">
        <f>AND(#REF!,"AAAAAG2veyM=")</f>
        <v>#REF!</v>
      </c>
      <c r="AK479" t="e">
        <f>AND(#REF!,"AAAAAG2veyQ=")</f>
        <v>#REF!</v>
      </c>
      <c r="AL479" t="e">
        <f>AND(#REF!,"AAAAAG2veyU=")</f>
        <v>#REF!</v>
      </c>
      <c r="AM479" t="e">
        <f>AND(#REF!,"AAAAAG2veyY=")</f>
        <v>#REF!</v>
      </c>
      <c r="AN479" t="e">
        <f>AND(#REF!,"AAAAAG2veyc=")</f>
        <v>#REF!</v>
      </c>
      <c r="AO479" t="e">
        <f>AND(#REF!,"AAAAAG2veyg=")</f>
        <v>#REF!</v>
      </c>
      <c r="AP479" t="e">
        <f>AND(#REF!,"AAAAAG2veyk=")</f>
        <v>#REF!</v>
      </c>
      <c r="AQ479" t="e">
        <f>AND(#REF!,"AAAAAG2veyo=")</f>
        <v>#REF!</v>
      </c>
      <c r="AR479" t="e">
        <f>IF(#REF!,"AAAAAG2veys=",0)</f>
        <v>#REF!</v>
      </c>
      <c r="AS479" t="e">
        <f>AND(#REF!,"AAAAAG2veyw=")</f>
        <v>#REF!</v>
      </c>
      <c r="AT479" t="e">
        <f>AND(#REF!,"AAAAAG2vey0=")</f>
        <v>#REF!</v>
      </c>
      <c r="AU479" t="e">
        <f>AND(#REF!,"AAAAAG2vey4=")</f>
        <v>#REF!</v>
      </c>
      <c r="AV479" t="e">
        <f>AND(#REF!,"AAAAAG2vey8=")</f>
        <v>#REF!</v>
      </c>
      <c r="AW479" t="e">
        <f>AND(#REF!,"AAAAAG2vezA=")</f>
        <v>#REF!</v>
      </c>
      <c r="AX479" t="e">
        <f>AND(#REF!,"AAAAAG2vezE=")</f>
        <v>#REF!</v>
      </c>
      <c r="AY479" t="e">
        <f>AND(#REF!,"AAAAAG2vezI=")</f>
        <v>#REF!</v>
      </c>
      <c r="AZ479" t="e">
        <f>AND(#REF!,"AAAAAG2vezM=")</f>
        <v>#REF!</v>
      </c>
      <c r="BA479" t="e">
        <f>AND(#REF!,"AAAAAG2vezQ=")</f>
        <v>#REF!</v>
      </c>
      <c r="BB479" t="e">
        <f>AND(#REF!,"AAAAAG2vezU=")</f>
        <v>#REF!</v>
      </c>
      <c r="BC479" t="e">
        <f>IF(#REF!,"AAAAAG2vezY=",0)</f>
        <v>#REF!</v>
      </c>
      <c r="BD479" t="e">
        <f>AND(#REF!,"AAAAAG2vezc=")</f>
        <v>#REF!</v>
      </c>
      <c r="BE479" t="e">
        <f>AND(#REF!,"AAAAAG2vezg=")</f>
        <v>#REF!</v>
      </c>
      <c r="BF479" t="e">
        <f>AND(#REF!,"AAAAAG2vezk=")</f>
        <v>#REF!</v>
      </c>
      <c r="BG479" t="e">
        <f>AND(#REF!,"AAAAAG2vezo=")</f>
        <v>#REF!</v>
      </c>
      <c r="BH479" t="e">
        <f>AND(#REF!,"AAAAAG2vezs=")</f>
        <v>#REF!</v>
      </c>
      <c r="BI479" t="e">
        <f>AND(#REF!,"AAAAAG2vezw=")</f>
        <v>#REF!</v>
      </c>
      <c r="BJ479" t="e">
        <f>AND(#REF!,"AAAAAG2vez0=")</f>
        <v>#REF!</v>
      </c>
      <c r="BK479" t="e">
        <f>AND(#REF!,"AAAAAG2vez4=")</f>
        <v>#REF!</v>
      </c>
      <c r="BL479" t="e">
        <f>AND(#REF!,"AAAAAG2vez8=")</f>
        <v>#REF!</v>
      </c>
      <c r="BM479" t="e">
        <f>AND(#REF!,"AAAAAG2ve0A=")</f>
        <v>#REF!</v>
      </c>
      <c r="BN479" t="e">
        <f>IF(#REF!,"AAAAAG2ve0E=",0)</f>
        <v>#REF!</v>
      </c>
      <c r="BO479" t="e">
        <f>AND(#REF!,"AAAAAG2ve0I=")</f>
        <v>#REF!</v>
      </c>
      <c r="BP479" t="e">
        <f>AND(#REF!,"AAAAAG2ve0M=")</f>
        <v>#REF!</v>
      </c>
      <c r="BQ479" t="e">
        <f>AND(#REF!,"AAAAAG2ve0Q=")</f>
        <v>#REF!</v>
      </c>
      <c r="BR479" t="e">
        <f>AND(#REF!,"AAAAAG2ve0U=")</f>
        <v>#REF!</v>
      </c>
      <c r="BS479" t="e">
        <f>AND(#REF!,"AAAAAG2ve0Y=")</f>
        <v>#REF!</v>
      </c>
      <c r="BT479" t="e">
        <f>AND(#REF!,"AAAAAG2ve0c=")</f>
        <v>#REF!</v>
      </c>
      <c r="BU479" t="e">
        <f>AND(#REF!,"AAAAAG2ve0g=")</f>
        <v>#REF!</v>
      </c>
      <c r="BV479" t="e">
        <f>AND(#REF!,"AAAAAG2ve0k=")</f>
        <v>#REF!</v>
      </c>
      <c r="BW479" t="e">
        <f>AND(#REF!,"AAAAAG2ve0o=")</f>
        <v>#REF!</v>
      </c>
      <c r="BX479" t="e">
        <f>AND(#REF!,"AAAAAG2ve0s=")</f>
        <v>#REF!</v>
      </c>
      <c r="BY479" t="e">
        <f>IF(#REF!,"AAAAAG2ve0w=",0)</f>
        <v>#REF!</v>
      </c>
      <c r="BZ479" t="e">
        <f>AND(#REF!,"AAAAAG2ve00=")</f>
        <v>#REF!</v>
      </c>
      <c r="CA479" t="e">
        <f>AND(#REF!,"AAAAAG2ve04=")</f>
        <v>#REF!</v>
      </c>
      <c r="CB479" t="e">
        <f>AND(#REF!,"AAAAAG2ve08=")</f>
        <v>#REF!</v>
      </c>
      <c r="CC479" t="e">
        <f>AND(#REF!,"AAAAAG2ve1A=")</f>
        <v>#REF!</v>
      </c>
      <c r="CD479" t="e">
        <f>AND(#REF!,"AAAAAG2ve1E=")</f>
        <v>#REF!</v>
      </c>
      <c r="CE479" t="e">
        <f>AND(#REF!,"AAAAAG2ve1I=")</f>
        <v>#REF!</v>
      </c>
      <c r="CF479" t="e">
        <f>AND(#REF!,"AAAAAG2ve1M=")</f>
        <v>#REF!</v>
      </c>
      <c r="CG479" t="e">
        <f>AND(#REF!,"AAAAAG2ve1Q=")</f>
        <v>#REF!</v>
      </c>
      <c r="CH479" t="e">
        <f>AND(#REF!,"AAAAAG2ve1U=")</f>
        <v>#REF!</v>
      </c>
      <c r="CI479" t="e">
        <f>AND(#REF!,"AAAAAG2ve1Y=")</f>
        <v>#REF!</v>
      </c>
      <c r="CJ479" t="e">
        <f>IF(#REF!,"AAAAAG2ve1c=",0)</f>
        <v>#REF!</v>
      </c>
      <c r="CK479" t="e">
        <f>AND(#REF!,"AAAAAG2ve1g=")</f>
        <v>#REF!</v>
      </c>
      <c r="CL479" t="e">
        <f>AND(#REF!,"AAAAAG2ve1k=")</f>
        <v>#REF!</v>
      </c>
      <c r="CM479" t="e">
        <f>AND(#REF!,"AAAAAG2ve1o=")</f>
        <v>#REF!</v>
      </c>
      <c r="CN479" t="e">
        <f>AND(#REF!,"AAAAAG2ve1s=")</f>
        <v>#REF!</v>
      </c>
      <c r="CO479" t="e">
        <f>AND(#REF!,"AAAAAG2ve1w=")</f>
        <v>#REF!</v>
      </c>
      <c r="CP479" t="e">
        <f>AND(#REF!,"AAAAAG2ve10=")</f>
        <v>#REF!</v>
      </c>
      <c r="CQ479" t="e">
        <f>AND(#REF!,"AAAAAG2ve14=")</f>
        <v>#REF!</v>
      </c>
      <c r="CR479" t="e">
        <f>AND(#REF!,"AAAAAG2ve18=")</f>
        <v>#REF!</v>
      </c>
      <c r="CS479" t="e">
        <f>AND(#REF!,"AAAAAG2ve2A=")</f>
        <v>#REF!</v>
      </c>
      <c r="CT479" t="e">
        <f>AND(#REF!,"AAAAAG2ve2E=")</f>
        <v>#REF!</v>
      </c>
      <c r="CU479" t="e">
        <f>IF(#REF!,"AAAAAG2ve2I=",0)</f>
        <v>#REF!</v>
      </c>
      <c r="CV479" t="e">
        <f>AND(#REF!,"AAAAAG2ve2M=")</f>
        <v>#REF!</v>
      </c>
      <c r="CW479" t="e">
        <f>AND(#REF!,"AAAAAG2ve2Q=")</f>
        <v>#REF!</v>
      </c>
      <c r="CX479" t="e">
        <f>AND(#REF!,"AAAAAG2ve2U=")</f>
        <v>#REF!</v>
      </c>
      <c r="CY479" t="e">
        <f>AND(#REF!,"AAAAAG2ve2Y=")</f>
        <v>#REF!</v>
      </c>
      <c r="CZ479" t="e">
        <f>AND(#REF!,"AAAAAG2ve2c=")</f>
        <v>#REF!</v>
      </c>
      <c r="DA479" t="e">
        <f>AND(#REF!,"AAAAAG2ve2g=")</f>
        <v>#REF!</v>
      </c>
      <c r="DB479" t="e">
        <f>AND(#REF!,"AAAAAG2ve2k=")</f>
        <v>#REF!</v>
      </c>
      <c r="DC479" t="e">
        <f>AND(#REF!,"AAAAAG2ve2o=")</f>
        <v>#REF!</v>
      </c>
      <c r="DD479" t="e">
        <f>AND(#REF!,"AAAAAG2ve2s=")</f>
        <v>#REF!</v>
      </c>
      <c r="DE479" t="e">
        <f>AND(#REF!,"AAAAAG2ve2w=")</f>
        <v>#REF!</v>
      </c>
      <c r="DF479" t="e">
        <f>IF(#REF!,"AAAAAG2ve20=",0)</f>
        <v>#REF!</v>
      </c>
      <c r="DG479" t="e">
        <f>AND(#REF!,"AAAAAG2ve24=")</f>
        <v>#REF!</v>
      </c>
      <c r="DH479" t="e">
        <f>AND(#REF!,"AAAAAG2ve28=")</f>
        <v>#REF!</v>
      </c>
      <c r="DI479" t="e">
        <f>AND(#REF!,"AAAAAG2ve3A=")</f>
        <v>#REF!</v>
      </c>
      <c r="DJ479" t="e">
        <f>AND(#REF!,"AAAAAG2ve3E=")</f>
        <v>#REF!</v>
      </c>
      <c r="DK479" t="e">
        <f>AND(#REF!,"AAAAAG2ve3I=")</f>
        <v>#REF!</v>
      </c>
      <c r="DL479" t="e">
        <f>AND(#REF!,"AAAAAG2ve3M=")</f>
        <v>#REF!</v>
      </c>
      <c r="DM479" t="e">
        <f>AND(#REF!,"AAAAAG2ve3Q=")</f>
        <v>#REF!</v>
      </c>
      <c r="DN479" t="e">
        <f>AND(#REF!,"AAAAAG2ve3U=")</f>
        <v>#REF!</v>
      </c>
      <c r="DO479" t="e">
        <f>AND(#REF!,"AAAAAG2ve3Y=")</f>
        <v>#REF!</v>
      </c>
      <c r="DP479" t="e">
        <f>AND(#REF!,"AAAAAG2ve3c=")</f>
        <v>#REF!</v>
      </c>
      <c r="DQ479" t="e">
        <f>IF(#REF!,"AAAAAG2ve3g=",0)</f>
        <v>#REF!</v>
      </c>
      <c r="DR479" t="e">
        <f>AND(#REF!,"AAAAAG2ve3k=")</f>
        <v>#REF!</v>
      </c>
      <c r="DS479" t="e">
        <f>AND(#REF!,"AAAAAG2ve3o=")</f>
        <v>#REF!</v>
      </c>
      <c r="DT479" t="e">
        <f>AND(#REF!,"AAAAAG2ve3s=")</f>
        <v>#REF!</v>
      </c>
      <c r="DU479" t="e">
        <f>AND(#REF!,"AAAAAG2ve3w=")</f>
        <v>#REF!</v>
      </c>
      <c r="DV479" t="e">
        <f>AND(#REF!,"AAAAAG2ve30=")</f>
        <v>#REF!</v>
      </c>
      <c r="DW479" t="e">
        <f>AND(#REF!,"AAAAAG2ve34=")</f>
        <v>#REF!</v>
      </c>
      <c r="DX479" t="e">
        <f>AND(#REF!,"AAAAAG2ve38=")</f>
        <v>#REF!</v>
      </c>
      <c r="DY479" t="e">
        <f>AND(#REF!,"AAAAAG2ve4A=")</f>
        <v>#REF!</v>
      </c>
      <c r="DZ479" t="e">
        <f>AND(#REF!,"AAAAAG2ve4E=")</f>
        <v>#REF!</v>
      </c>
      <c r="EA479" t="e">
        <f>AND(#REF!,"AAAAAG2ve4I=")</f>
        <v>#REF!</v>
      </c>
      <c r="EB479" t="e">
        <f>IF(#REF!,"AAAAAG2ve4M=",0)</f>
        <v>#REF!</v>
      </c>
      <c r="EC479" t="e">
        <f>AND(#REF!,"AAAAAG2ve4Q=")</f>
        <v>#REF!</v>
      </c>
      <c r="ED479" t="e">
        <f>AND(#REF!,"AAAAAG2ve4U=")</f>
        <v>#REF!</v>
      </c>
      <c r="EE479" t="e">
        <f>AND(#REF!,"AAAAAG2ve4Y=")</f>
        <v>#REF!</v>
      </c>
      <c r="EF479" t="e">
        <f>AND(#REF!,"AAAAAG2ve4c=")</f>
        <v>#REF!</v>
      </c>
      <c r="EG479" t="e">
        <f>AND(#REF!,"AAAAAG2ve4g=")</f>
        <v>#REF!</v>
      </c>
      <c r="EH479" t="e">
        <f>AND(#REF!,"AAAAAG2ve4k=")</f>
        <v>#REF!</v>
      </c>
      <c r="EI479" t="e">
        <f>AND(#REF!,"AAAAAG2ve4o=")</f>
        <v>#REF!</v>
      </c>
      <c r="EJ479" t="e">
        <f>AND(#REF!,"AAAAAG2ve4s=")</f>
        <v>#REF!</v>
      </c>
      <c r="EK479" t="e">
        <f>AND(#REF!,"AAAAAG2ve4w=")</f>
        <v>#REF!</v>
      </c>
      <c r="EL479" t="e">
        <f>AND(#REF!,"AAAAAG2ve40=")</f>
        <v>#REF!</v>
      </c>
      <c r="EM479" t="e">
        <f>IF(#REF!,"AAAAAG2ve44=",0)</f>
        <v>#REF!</v>
      </c>
      <c r="EN479" t="e">
        <f>AND(#REF!,"AAAAAG2ve48=")</f>
        <v>#REF!</v>
      </c>
      <c r="EO479" t="e">
        <f>AND(#REF!,"AAAAAG2ve5A=")</f>
        <v>#REF!</v>
      </c>
      <c r="EP479" t="e">
        <f>AND(#REF!,"AAAAAG2ve5E=")</f>
        <v>#REF!</v>
      </c>
      <c r="EQ479" t="e">
        <f>AND(#REF!,"AAAAAG2ve5I=")</f>
        <v>#REF!</v>
      </c>
      <c r="ER479" t="e">
        <f>AND(#REF!,"AAAAAG2ve5M=")</f>
        <v>#REF!</v>
      </c>
      <c r="ES479" t="e">
        <f>AND(#REF!,"AAAAAG2ve5Q=")</f>
        <v>#REF!</v>
      </c>
      <c r="ET479" t="e">
        <f>AND(#REF!,"AAAAAG2ve5U=")</f>
        <v>#REF!</v>
      </c>
      <c r="EU479" t="e">
        <f>AND(#REF!,"AAAAAG2ve5Y=")</f>
        <v>#REF!</v>
      </c>
      <c r="EV479" t="e">
        <f>AND(#REF!,"AAAAAG2ve5c=")</f>
        <v>#REF!</v>
      </c>
      <c r="EW479" t="e">
        <f>AND(#REF!,"AAAAAG2ve5g=")</f>
        <v>#REF!</v>
      </c>
      <c r="EX479" t="e">
        <f>IF(#REF!,"AAAAAG2ve5k=",0)</f>
        <v>#REF!</v>
      </c>
      <c r="EY479" t="e">
        <f>AND(#REF!,"AAAAAG2ve5o=")</f>
        <v>#REF!</v>
      </c>
      <c r="EZ479" t="e">
        <f>AND(#REF!,"AAAAAG2ve5s=")</f>
        <v>#REF!</v>
      </c>
      <c r="FA479" t="e">
        <f>AND(#REF!,"AAAAAG2ve5w=")</f>
        <v>#REF!</v>
      </c>
      <c r="FB479" t="e">
        <f>AND(#REF!,"AAAAAG2ve50=")</f>
        <v>#REF!</v>
      </c>
      <c r="FC479" t="e">
        <f>AND(#REF!,"AAAAAG2ve54=")</f>
        <v>#REF!</v>
      </c>
      <c r="FD479" t="e">
        <f>AND(#REF!,"AAAAAG2ve58=")</f>
        <v>#REF!</v>
      </c>
      <c r="FE479" t="e">
        <f>AND(#REF!,"AAAAAG2ve6A=")</f>
        <v>#REF!</v>
      </c>
      <c r="FF479" t="e">
        <f>AND(#REF!,"AAAAAG2ve6E=")</f>
        <v>#REF!</v>
      </c>
      <c r="FG479" t="e">
        <f>AND(#REF!,"AAAAAG2ve6I=")</f>
        <v>#REF!</v>
      </c>
      <c r="FH479" t="e">
        <f>AND(#REF!,"AAAAAG2ve6M=")</f>
        <v>#REF!</v>
      </c>
      <c r="FI479" t="e">
        <f>IF(#REF!,"AAAAAG2ve6Q=",0)</f>
        <v>#REF!</v>
      </c>
      <c r="FJ479" t="e">
        <f>AND(#REF!,"AAAAAG2ve6U=")</f>
        <v>#REF!</v>
      </c>
      <c r="FK479" t="e">
        <f>AND(#REF!,"AAAAAG2ve6Y=")</f>
        <v>#REF!</v>
      </c>
      <c r="FL479" t="e">
        <f>AND(#REF!,"AAAAAG2ve6c=")</f>
        <v>#REF!</v>
      </c>
      <c r="FM479" t="e">
        <f>AND(#REF!,"AAAAAG2ve6g=")</f>
        <v>#REF!</v>
      </c>
      <c r="FN479" t="e">
        <f>AND(#REF!,"AAAAAG2ve6k=")</f>
        <v>#REF!</v>
      </c>
      <c r="FO479" t="e">
        <f>AND(#REF!,"AAAAAG2ve6o=")</f>
        <v>#REF!</v>
      </c>
      <c r="FP479" t="e">
        <f>AND(#REF!,"AAAAAG2ve6s=")</f>
        <v>#REF!</v>
      </c>
      <c r="FQ479" t="e">
        <f>AND(#REF!,"AAAAAG2ve6w=")</f>
        <v>#REF!</v>
      </c>
      <c r="FR479" t="e">
        <f>AND(#REF!,"AAAAAG2ve60=")</f>
        <v>#REF!</v>
      </c>
      <c r="FS479" t="e">
        <f>AND(#REF!,"AAAAAG2ve64=")</f>
        <v>#REF!</v>
      </c>
      <c r="FT479" t="e">
        <f>IF(#REF!,"AAAAAG2ve68=",0)</f>
        <v>#REF!</v>
      </c>
      <c r="FU479" t="e">
        <f>AND(#REF!,"AAAAAG2ve7A=")</f>
        <v>#REF!</v>
      </c>
      <c r="FV479" t="e">
        <f>AND(#REF!,"AAAAAG2ve7E=")</f>
        <v>#REF!</v>
      </c>
      <c r="FW479" t="e">
        <f>AND(#REF!,"AAAAAG2ve7I=")</f>
        <v>#REF!</v>
      </c>
      <c r="FX479" t="e">
        <f>AND(#REF!,"AAAAAG2ve7M=")</f>
        <v>#REF!</v>
      </c>
      <c r="FY479" t="e">
        <f>AND(#REF!,"AAAAAG2ve7Q=")</f>
        <v>#REF!</v>
      </c>
      <c r="FZ479" t="e">
        <f>AND(#REF!,"AAAAAG2ve7U=")</f>
        <v>#REF!</v>
      </c>
      <c r="GA479" t="e">
        <f>AND(#REF!,"AAAAAG2ve7Y=")</f>
        <v>#REF!</v>
      </c>
      <c r="GB479" t="e">
        <f>AND(#REF!,"AAAAAG2ve7c=")</f>
        <v>#REF!</v>
      </c>
      <c r="GC479" t="e">
        <f>AND(#REF!,"AAAAAG2ve7g=")</f>
        <v>#REF!</v>
      </c>
      <c r="GD479" t="e">
        <f>AND(#REF!,"AAAAAG2ve7k=")</f>
        <v>#REF!</v>
      </c>
      <c r="GE479" t="e">
        <f>IF(#REF!,"AAAAAG2ve7o=",0)</f>
        <v>#REF!</v>
      </c>
      <c r="GF479" t="e">
        <f>AND(#REF!,"AAAAAG2ve7s=")</f>
        <v>#REF!</v>
      </c>
      <c r="GG479" t="e">
        <f>AND(#REF!,"AAAAAG2ve7w=")</f>
        <v>#REF!</v>
      </c>
      <c r="GH479" t="e">
        <f>AND(#REF!,"AAAAAG2ve70=")</f>
        <v>#REF!</v>
      </c>
      <c r="GI479" t="e">
        <f>AND(#REF!,"AAAAAG2ve74=")</f>
        <v>#REF!</v>
      </c>
      <c r="GJ479" t="e">
        <f>AND(#REF!,"AAAAAG2ve78=")</f>
        <v>#REF!</v>
      </c>
      <c r="GK479" t="e">
        <f>AND(#REF!,"AAAAAG2ve8A=")</f>
        <v>#REF!</v>
      </c>
      <c r="GL479" t="e">
        <f>AND(#REF!,"AAAAAG2ve8E=")</f>
        <v>#REF!</v>
      </c>
      <c r="GM479" t="e">
        <f>AND(#REF!,"AAAAAG2ve8I=")</f>
        <v>#REF!</v>
      </c>
      <c r="GN479" t="e">
        <f>AND(#REF!,"AAAAAG2ve8M=")</f>
        <v>#REF!</v>
      </c>
      <c r="GO479" t="e">
        <f>AND(#REF!,"AAAAAG2ve8Q=")</f>
        <v>#REF!</v>
      </c>
      <c r="GP479" t="e">
        <f>IF(#REF!,"AAAAAG2ve8U=",0)</f>
        <v>#REF!</v>
      </c>
      <c r="GQ479" t="e">
        <f>AND(#REF!,"AAAAAG2ve8Y=")</f>
        <v>#REF!</v>
      </c>
      <c r="GR479" t="e">
        <f>AND(#REF!,"AAAAAG2ve8c=")</f>
        <v>#REF!</v>
      </c>
      <c r="GS479" t="e">
        <f>AND(#REF!,"AAAAAG2ve8g=")</f>
        <v>#REF!</v>
      </c>
      <c r="GT479" t="e">
        <f>AND(#REF!,"AAAAAG2ve8k=")</f>
        <v>#REF!</v>
      </c>
      <c r="GU479" t="e">
        <f>AND(#REF!,"AAAAAG2ve8o=")</f>
        <v>#REF!</v>
      </c>
      <c r="GV479" t="e">
        <f>AND(#REF!,"AAAAAG2ve8s=")</f>
        <v>#REF!</v>
      </c>
      <c r="GW479" t="e">
        <f>AND(#REF!,"AAAAAG2ve8w=")</f>
        <v>#REF!</v>
      </c>
      <c r="GX479" t="e">
        <f>AND(#REF!,"AAAAAG2ve80=")</f>
        <v>#REF!</v>
      </c>
      <c r="GY479" t="e">
        <f>AND(#REF!,"AAAAAG2ve84=")</f>
        <v>#REF!</v>
      </c>
      <c r="GZ479" t="e">
        <f>AND(#REF!,"AAAAAG2ve88=")</f>
        <v>#REF!</v>
      </c>
      <c r="HA479" t="e">
        <f>IF(#REF!,"AAAAAG2ve9A=",0)</f>
        <v>#REF!</v>
      </c>
      <c r="HB479" t="e">
        <f>AND(#REF!,"AAAAAG2ve9E=")</f>
        <v>#REF!</v>
      </c>
      <c r="HC479" t="e">
        <f>AND(#REF!,"AAAAAG2ve9I=")</f>
        <v>#REF!</v>
      </c>
      <c r="HD479" t="e">
        <f>AND(#REF!,"AAAAAG2ve9M=")</f>
        <v>#REF!</v>
      </c>
      <c r="HE479" t="e">
        <f>AND(#REF!,"AAAAAG2ve9Q=")</f>
        <v>#REF!</v>
      </c>
      <c r="HF479" t="e">
        <f>AND(#REF!,"AAAAAG2ve9U=")</f>
        <v>#REF!</v>
      </c>
      <c r="HG479" t="e">
        <f>AND(#REF!,"AAAAAG2ve9Y=")</f>
        <v>#REF!</v>
      </c>
      <c r="HH479" t="e">
        <f>AND(#REF!,"AAAAAG2ve9c=")</f>
        <v>#REF!</v>
      </c>
      <c r="HI479" t="e">
        <f>AND(#REF!,"AAAAAG2ve9g=")</f>
        <v>#REF!</v>
      </c>
      <c r="HJ479" t="e">
        <f>AND(#REF!,"AAAAAG2ve9k=")</f>
        <v>#REF!</v>
      </c>
      <c r="HK479" t="e">
        <f>AND(#REF!,"AAAAAG2ve9o=")</f>
        <v>#REF!</v>
      </c>
      <c r="HL479" t="e">
        <f>IF(#REF!,"AAAAAG2ve9s=",0)</f>
        <v>#REF!</v>
      </c>
      <c r="HM479" t="e">
        <f>AND(#REF!,"AAAAAG2ve9w=")</f>
        <v>#REF!</v>
      </c>
      <c r="HN479" t="e">
        <f>AND(#REF!,"AAAAAG2ve90=")</f>
        <v>#REF!</v>
      </c>
      <c r="HO479" t="e">
        <f>AND(#REF!,"AAAAAG2ve94=")</f>
        <v>#REF!</v>
      </c>
      <c r="HP479" t="e">
        <f>AND(#REF!,"AAAAAG2ve98=")</f>
        <v>#REF!</v>
      </c>
      <c r="HQ479" t="e">
        <f>AND(#REF!,"AAAAAG2ve+A=")</f>
        <v>#REF!</v>
      </c>
      <c r="HR479" t="e">
        <f>AND(#REF!,"AAAAAG2ve+E=")</f>
        <v>#REF!</v>
      </c>
      <c r="HS479" t="e">
        <f>AND(#REF!,"AAAAAG2ve+I=")</f>
        <v>#REF!</v>
      </c>
      <c r="HT479" t="e">
        <f>AND(#REF!,"AAAAAG2ve+M=")</f>
        <v>#REF!</v>
      </c>
      <c r="HU479" t="e">
        <f>AND(#REF!,"AAAAAG2ve+Q=")</f>
        <v>#REF!</v>
      </c>
      <c r="HV479" t="e">
        <f>AND(#REF!,"AAAAAG2ve+U=")</f>
        <v>#REF!</v>
      </c>
      <c r="HW479" t="e">
        <f>IF(#REF!,"AAAAAG2ve+Y=",0)</f>
        <v>#REF!</v>
      </c>
      <c r="HX479" t="e">
        <f>AND(#REF!,"AAAAAG2ve+c=")</f>
        <v>#REF!</v>
      </c>
      <c r="HY479" t="e">
        <f>AND(#REF!,"AAAAAG2ve+g=")</f>
        <v>#REF!</v>
      </c>
      <c r="HZ479" t="e">
        <f>AND(#REF!,"AAAAAG2ve+k=")</f>
        <v>#REF!</v>
      </c>
      <c r="IA479" t="e">
        <f>AND(#REF!,"AAAAAG2ve+o=")</f>
        <v>#REF!</v>
      </c>
      <c r="IB479" t="e">
        <f>AND(#REF!,"AAAAAG2ve+s=")</f>
        <v>#REF!</v>
      </c>
      <c r="IC479" t="e">
        <f>AND(#REF!,"AAAAAG2ve+w=")</f>
        <v>#REF!</v>
      </c>
      <c r="ID479" t="e">
        <f>AND(#REF!,"AAAAAG2ve+0=")</f>
        <v>#REF!</v>
      </c>
      <c r="IE479" t="e">
        <f>AND(#REF!,"AAAAAG2ve+4=")</f>
        <v>#REF!</v>
      </c>
      <c r="IF479" t="e">
        <f>AND(#REF!,"AAAAAG2ve+8=")</f>
        <v>#REF!</v>
      </c>
      <c r="IG479" t="e">
        <f>AND(#REF!,"AAAAAG2ve/A=")</f>
        <v>#REF!</v>
      </c>
      <c r="IH479" t="e">
        <f>IF(#REF!,"AAAAAG2ve/E=",0)</f>
        <v>#REF!</v>
      </c>
      <c r="II479" t="e">
        <f>AND(#REF!,"AAAAAG2ve/I=")</f>
        <v>#REF!</v>
      </c>
      <c r="IJ479" t="e">
        <f>AND(#REF!,"AAAAAG2ve/M=")</f>
        <v>#REF!</v>
      </c>
      <c r="IK479" t="e">
        <f>AND(#REF!,"AAAAAG2ve/Q=")</f>
        <v>#REF!</v>
      </c>
      <c r="IL479" t="e">
        <f>AND(#REF!,"AAAAAG2ve/U=")</f>
        <v>#REF!</v>
      </c>
      <c r="IM479" t="e">
        <f>AND(#REF!,"AAAAAG2ve/Y=")</f>
        <v>#REF!</v>
      </c>
      <c r="IN479" t="e">
        <f>AND(#REF!,"AAAAAG2ve/c=")</f>
        <v>#REF!</v>
      </c>
      <c r="IO479" t="e">
        <f>AND(#REF!,"AAAAAG2ve/g=")</f>
        <v>#REF!</v>
      </c>
      <c r="IP479" t="e">
        <f>AND(#REF!,"AAAAAG2ve/k=")</f>
        <v>#REF!</v>
      </c>
      <c r="IQ479" t="e">
        <f>AND(#REF!,"AAAAAG2ve/o=")</f>
        <v>#REF!</v>
      </c>
      <c r="IR479" t="e">
        <f>AND(#REF!,"AAAAAG2ve/s=")</f>
        <v>#REF!</v>
      </c>
      <c r="IS479" t="e">
        <f>IF(#REF!,"AAAAAG2ve/w=",0)</f>
        <v>#REF!</v>
      </c>
      <c r="IT479" t="e">
        <f>AND(#REF!,"AAAAAG2ve/0=")</f>
        <v>#REF!</v>
      </c>
      <c r="IU479" t="e">
        <f>AND(#REF!,"AAAAAG2ve/4=")</f>
        <v>#REF!</v>
      </c>
      <c r="IV479" t="e">
        <f>AND(#REF!,"AAAAAG2ve/8=")</f>
        <v>#REF!</v>
      </c>
    </row>
    <row r="480" spans="1:256" x14ac:dyDescent="0.25">
      <c r="A480" t="e">
        <f>AND(#REF!,"AAAAAG3b/QA=")</f>
        <v>#REF!</v>
      </c>
      <c r="B480" t="e">
        <f>AND(#REF!,"AAAAAG3b/QE=")</f>
        <v>#REF!</v>
      </c>
      <c r="C480" t="e">
        <f>AND(#REF!,"AAAAAG3b/QI=")</f>
        <v>#REF!</v>
      </c>
      <c r="D480" t="e">
        <f>AND(#REF!,"AAAAAG3b/QM=")</f>
        <v>#REF!</v>
      </c>
      <c r="E480" t="e">
        <f>AND(#REF!,"AAAAAG3b/QQ=")</f>
        <v>#REF!</v>
      </c>
      <c r="F480" t="e">
        <f>AND(#REF!,"AAAAAG3b/QU=")</f>
        <v>#REF!</v>
      </c>
      <c r="G480" t="e">
        <f>AND(#REF!,"AAAAAG3b/QY=")</f>
        <v>#REF!</v>
      </c>
      <c r="H480" t="e">
        <f>IF(#REF!,"AAAAAG3b/Qc=",0)</f>
        <v>#REF!</v>
      </c>
      <c r="I480" t="e">
        <f>AND(#REF!,"AAAAAG3b/Qg=")</f>
        <v>#REF!</v>
      </c>
      <c r="J480" t="e">
        <f>AND(#REF!,"AAAAAG3b/Qk=")</f>
        <v>#REF!</v>
      </c>
      <c r="K480" t="e">
        <f>AND(#REF!,"AAAAAG3b/Qo=")</f>
        <v>#REF!</v>
      </c>
      <c r="L480" t="e">
        <f>AND(#REF!,"AAAAAG3b/Qs=")</f>
        <v>#REF!</v>
      </c>
      <c r="M480" t="e">
        <f>AND(#REF!,"AAAAAG3b/Qw=")</f>
        <v>#REF!</v>
      </c>
      <c r="N480" t="e">
        <f>AND(#REF!,"AAAAAG3b/Q0=")</f>
        <v>#REF!</v>
      </c>
      <c r="O480" t="e">
        <f>AND(#REF!,"AAAAAG3b/Q4=")</f>
        <v>#REF!</v>
      </c>
      <c r="P480" t="e">
        <f>AND(#REF!,"AAAAAG3b/Q8=")</f>
        <v>#REF!</v>
      </c>
      <c r="Q480" t="e">
        <f>AND(#REF!,"AAAAAG3b/RA=")</f>
        <v>#REF!</v>
      </c>
      <c r="R480" t="e">
        <f>AND(#REF!,"AAAAAG3b/RE=")</f>
        <v>#REF!</v>
      </c>
      <c r="S480" t="e">
        <f>IF(#REF!,"AAAAAG3b/RI=",0)</f>
        <v>#REF!</v>
      </c>
      <c r="T480" t="e">
        <f>AND(#REF!,"AAAAAG3b/RM=")</f>
        <v>#REF!</v>
      </c>
      <c r="U480" t="e">
        <f>AND(#REF!,"AAAAAG3b/RQ=")</f>
        <v>#REF!</v>
      </c>
      <c r="V480" t="e">
        <f>AND(#REF!,"AAAAAG3b/RU=")</f>
        <v>#REF!</v>
      </c>
      <c r="W480" t="e">
        <f>AND(#REF!,"AAAAAG3b/RY=")</f>
        <v>#REF!</v>
      </c>
      <c r="X480" t="e">
        <f>AND(#REF!,"AAAAAG3b/Rc=")</f>
        <v>#REF!</v>
      </c>
      <c r="Y480" t="e">
        <f>AND(#REF!,"AAAAAG3b/Rg=")</f>
        <v>#REF!</v>
      </c>
      <c r="Z480" t="e">
        <f>AND(#REF!,"AAAAAG3b/Rk=")</f>
        <v>#REF!</v>
      </c>
      <c r="AA480" t="e">
        <f>AND(#REF!,"AAAAAG3b/Ro=")</f>
        <v>#REF!</v>
      </c>
      <c r="AB480" t="e">
        <f>AND(#REF!,"AAAAAG3b/Rs=")</f>
        <v>#REF!</v>
      </c>
      <c r="AC480" t="e">
        <f>AND(#REF!,"AAAAAG3b/Rw=")</f>
        <v>#REF!</v>
      </c>
      <c r="AD480" t="e">
        <f>IF(#REF!,"AAAAAG3b/R0=",0)</f>
        <v>#REF!</v>
      </c>
      <c r="AE480" t="e">
        <f>AND(#REF!,"AAAAAG3b/R4=")</f>
        <v>#REF!</v>
      </c>
      <c r="AF480" t="e">
        <f>AND(#REF!,"AAAAAG3b/R8=")</f>
        <v>#REF!</v>
      </c>
      <c r="AG480" t="e">
        <f>AND(#REF!,"AAAAAG3b/SA=")</f>
        <v>#REF!</v>
      </c>
      <c r="AH480" t="e">
        <f>AND(#REF!,"AAAAAG3b/SE=")</f>
        <v>#REF!</v>
      </c>
      <c r="AI480" t="e">
        <f>AND(#REF!,"AAAAAG3b/SI=")</f>
        <v>#REF!</v>
      </c>
      <c r="AJ480" t="e">
        <f>AND(#REF!,"AAAAAG3b/SM=")</f>
        <v>#REF!</v>
      </c>
      <c r="AK480" t="e">
        <f>AND(#REF!,"AAAAAG3b/SQ=")</f>
        <v>#REF!</v>
      </c>
      <c r="AL480" t="e">
        <f>AND(#REF!,"AAAAAG3b/SU=")</f>
        <v>#REF!</v>
      </c>
      <c r="AM480" t="e">
        <f>AND(#REF!,"AAAAAG3b/SY=")</f>
        <v>#REF!</v>
      </c>
      <c r="AN480" t="e">
        <f>AND(#REF!,"AAAAAG3b/Sc=")</f>
        <v>#REF!</v>
      </c>
      <c r="AO480" t="e">
        <f>IF(#REF!,"AAAAAG3b/Sg=",0)</f>
        <v>#REF!</v>
      </c>
      <c r="AP480" t="e">
        <f>AND(#REF!,"AAAAAG3b/Sk=")</f>
        <v>#REF!</v>
      </c>
      <c r="AQ480" t="e">
        <f>AND(#REF!,"AAAAAG3b/So=")</f>
        <v>#REF!</v>
      </c>
      <c r="AR480" t="e">
        <f>AND(#REF!,"AAAAAG3b/Ss=")</f>
        <v>#REF!</v>
      </c>
      <c r="AS480" t="e">
        <f>AND(#REF!,"AAAAAG3b/Sw=")</f>
        <v>#REF!</v>
      </c>
      <c r="AT480" t="e">
        <f>AND(#REF!,"AAAAAG3b/S0=")</f>
        <v>#REF!</v>
      </c>
      <c r="AU480" t="e">
        <f>AND(#REF!,"AAAAAG3b/S4=")</f>
        <v>#REF!</v>
      </c>
      <c r="AV480" t="e">
        <f>AND(#REF!,"AAAAAG3b/S8=")</f>
        <v>#REF!</v>
      </c>
      <c r="AW480" t="e">
        <f>AND(#REF!,"AAAAAG3b/TA=")</f>
        <v>#REF!</v>
      </c>
      <c r="AX480" t="e">
        <f>AND(#REF!,"AAAAAG3b/TE=")</f>
        <v>#REF!</v>
      </c>
      <c r="AY480" t="e">
        <f>AND(#REF!,"AAAAAG3b/TI=")</f>
        <v>#REF!</v>
      </c>
      <c r="AZ480" t="e">
        <f>IF(#REF!,"AAAAAG3b/TM=",0)</f>
        <v>#REF!</v>
      </c>
      <c r="BA480" t="e">
        <f>AND(#REF!,"AAAAAG3b/TQ=")</f>
        <v>#REF!</v>
      </c>
      <c r="BB480" t="e">
        <f>AND(#REF!,"AAAAAG3b/TU=")</f>
        <v>#REF!</v>
      </c>
      <c r="BC480" t="e">
        <f>AND(#REF!,"AAAAAG3b/TY=")</f>
        <v>#REF!</v>
      </c>
      <c r="BD480" t="e">
        <f>AND(#REF!,"AAAAAG3b/Tc=")</f>
        <v>#REF!</v>
      </c>
      <c r="BE480" t="e">
        <f>AND(#REF!,"AAAAAG3b/Tg=")</f>
        <v>#REF!</v>
      </c>
      <c r="BF480" t="e">
        <f>AND(#REF!,"AAAAAG3b/Tk=")</f>
        <v>#REF!</v>
      </c>
      <c r="BG480" t="e">
        <f>AND(#REF!,"AAAAAG3b/To=")</f>
        <v>#REF!</v>
      </c>
      <c r="BH480" t="e">
        <f>AND(#REF!,"AAAAAG3b/Ts=")</f>
        <v>#REF!</v>
      </c>
      <c r="BI480" t="e">
        <f>AND(#REF!,"AAAAAG3b/Tw=")</f>
        <v>#REF!</v>
      </c>
      <c r="BJ480" t="e">
        <f>AND(#REF!,"AAAAAG3b/T0=")</f>
        <v>#REF!</v>
      </c>
      <c r="BK480" t="e">
        <f>IF(#REF!,"AAAAAG3b/T4=",0)</f>
        <v>#REF!</v>
      </c>
      <c r="BL480" t="e">
        <f>AND(#REF!,"AAAAAG3b/T8=")</f>
        <v>#REF!</v>
      </c>
      <c r="BM480" t="e">
        <f>AND(#REF!,"AAAAAG3b/UA=")</f>
        <v>#REF!</v>
      </c>
      <c r="BN480" t="e">
        <f>AND(#REF!,"AAAAAG3b/UE=")</f>
        <v>#REF!</v>
      </c>
      <c r="BO480" t="e">
        <f>AND(#REF!,"AAAAAG3b/UI=")</f>
        <v>#REF!</v>
      </c>
      <c r="BP480" t="e">
        <f>AND(#REF!,"AAAAAG3b/UM=")</f>
        <v>#REF!</v>
      </c>
      <c r="BQ480" t="e">
        <f>AND(#REF!,"AAAAAG3b/UQ=")</f>
        <v>#REF!</v>
      </c>
      <c r="BR480" t="e">
        <f>AND(#REF!,"AAAAAG3b/UU=")</f>
        <v>#REF!</v>
      </c>
      <c r="BS480" t="e">
        <f>AND(#REF!,"AAAAAG3b/UY=")</f>
        <v>#REF!</v>
      </c>
      <c r="BT480" t="e">
        <f>AND(#REF!,"AAAAAG3b/Uc=")</f>
        <v>#REF!</v>
      </c>
      <c r="BU480" t="e">
        <f>AND(#REF!,"AAAAAG3b/Ug=")</f>
        <v>#REF!</v>
      </c>
      <c r="BV480" t="e">
        <f>IF(#REF!,"AAAAAG3b/Uk=",0)</f>
        <v>#REF!</v>
      </c>
      <c r="BW480" t="e">
        <f>AND(#REF!,"AAAAAG3b/Uo=")</f>
        <v>#REF!</v>
      </c>
      <c r="BX480" t="e">
        <f>AND(#REF!,"AAAAAG3b/Us=")</f>
        <v>#REF!</v>
      </c>
      <c r="BY480" t="e">
        <f>AND(#REF!,"AAAAAG3b/Uw=")</f>
        <v>#REF!</v>
      </c>
      <c r="BZ480" t="e">
        <f>AND(#REF!,"AAAAAG3b/U0=")</f>
        <v>#REF!</v>
      </c>
      <c r="CA480" t="e">
        <f>AND(#REF!,"AAAAAG3b/U4=")</f>
        <v>#REF!</v>
      </c>
      <c r="CB480" t="e">
        <f>AND(#REF!,"AAAAAG3b/U8=")</f>
        <v>#REF!</v>
      </c>
      <c r="CC480" t="e">
        <f>AND(#REF!,"AAAAAG3b/VA=")</f>
        <v>#REF!</v>
      </c>
      <c r="CD480" t="e">
        <f>AND(#REF!,"AAAAAG3b/VE=")</f>
        <v>#REF!</v>
      </c>
      <c r="CE480" t="e">
        <f>AND(#REF!,"AAAAAG3b/VI=")</f>
        <v>#REF!</v>
      </c>
      <c r="CF480" t="e">
        <f>AND(#REF!,"AAAAAG3b/VM=")</f>
        <v>#REF!</v>
      </c>
      <c r="CG480" t="e">
        <f>IF(#REF!,"AAAAAG3b/VQ=",0)</f>
        <v>#REF!</v>
      </c>
      <c r="CH480" t="e">
        <f>AND(#REF!,"AAAAAG3b/VU=")</f>
        <v>#REF!</v>
      </c>
      <c r="CI480" t="e">
        <f>AND(#REF!,"AAAAAG3b/VY=")</f>
        <v>#REF!</v>
      </c>
      <c r="CJ480" t="e">
        <f>AND(#REF!,"AAAAAG3b/Vc=")</f>
        <v>#REF!</v>
      </c>
      <c r="CK480" t="e">
        <f>AND(#REF!,"AAAAAG3b/Vg=")</f>
        <v>#REF!</v>
      </c>
      <c r="CL480" t="e">
        <f>AND(#REF!,"AAAAAG3b/Vk=")</f>
        <v>#REF!</v>
      </c>
      <c r="CM480" t="e">
        <f>AND(#REF!,"AAAAAG3b/Vo=")</f>
        <v>#REF!</v>
      </c>
      <c r="CN480" t="e">
        <f>AND(#REF!,"AAAAAG3b/Vs=")</f>
        <v>#REF!</v>
      </c>
      <c r="CO480" t="e">
        <f>AND(#REF!,"AAAAAG3b/Vw=")</f>
        <v>#REF!</v>
      </c>
      <c r="CP480" t="e">
        <f>AND(#REF!,"AAAAAG3b/V0=")</f>
        <v>#REF!</v>
      </c>
      <c r="CQ480" t="e">
        <f>AND(#REF!,"AAAAAG3b/V4=")</f>
        <v>#REF!</v>
      </c>
      <c r="CR480" t="e">
        <f>IF(#REF!,"AAAAAG3b/V8=",0)</f>
        <v>#REF!</v>
      </c>
      <c r="CS480" t="e">
        <f>AND(#REF!,"AAAAAG3b/WA=")</f>
        <v>#REF!</v>
      </c>
      <c r="CT480" t="e">
        <f>AND(#REF!,"AAAAAG3b/WE=")</f>
        <v>#REF!</v>
      </c>
      <c r="CU480" t="e">
        <f>AND(#REF!,"AAAAAG3b/WI=")</f>
        <v>#REF!</v>
      </c>
      <c r="CV480" t="e">
        <f>AND(#REF!,"AAAAAG3b/WM=")</f>
        <v>#REF!</v>
      </c>
      <c r="CW480" t="e">
        <f>AND(#REF!,"AAAAAG3b/WQ=")</f>
        <v>#REF!</v>
      </c>
      <c r="CX480" t="e">
        <f>AND(#REF!,"AAAAAG3b/WU=")</f>
        <v>#REF!</v>
      </c>
      <c r="CY480" t="e">
        <f>AND(#REF!,"AAAAAG3b/WY=")</f>
        <v>#REF!</v>
      </c>
      <c r="CZ480" t="e">
        <f>AND(#REF!,"AAAAAG3b/Wc=")</f>
        <v>#REF!</v>
      </c>
      <c r="DA480" t="e">
        <f>AND(#REF!,"AAAAAG3b/Wg=")</f>
        <v>#REF!</v>
      </c>
      <c r="DB480" t="e">
        <f>AND(#REF!,"AAAAAG3b/Wk=")</f>
        <v>#REF!</v>
      </c>
      <c r="DC480" t="e">
        <f>IF(#REF!,"AAAAAG3b/Wo=",0)</f>
        <v>#REF!</v>
      </c>
      <c r="DD480" t="e">
        <f>AND(#REF!,"AAAAAG3b/Ws=")</f>
        <v>#REF!</v>
      </c>
      <c r="DE480" t="e">
        <f>AND(#REF!,"AAAAAG3b/Ww=")</f>
        <v>#REF!</v>
      </c>
      <c r="DF480" t="e">
        <f>AND(#REF!,"AAAAAG3b/W0=")</f>
        <v>#REF!</v>
      </c>
      <c r="DG480" t="e">
        <f>AND(#REF!,"AAAAAG3b/W4=")</f>
        <v>#REF!</v>
      </c>
      <c r="DH480" t="e">
        <f>AND(#REF!,"AAAAAG3b/W8=")</f>
        <v>#REF!</v>
      </c>
      <c r="DI480" t="e">
        <f>AND(#REF!,"AAAAAG3b/XA=")</f>
        <v>#REF!</v>
      </c>
      <c r="DJ480" t="e">
        <f>AND(#REF!,"AAAAAG3b/XE=")</f>
        <v>#REF!</v>
      </c>
      <c r="DK480" t="e">
        <f>AND(#REF!,"AAAAAG3b/XI=")</f>
        <v>#REF!</v>
      </c>
      <c r="DL480" t="e">
        <f>AND(#REF!,"AAAAAG3b/XM=")</f>
        <v>#REF!</v>
      </c>
      <c r="DM480" t="e">
        <f>AND(#REF!,"AAAAAG3b/XQ=")</f>
        <v>#REF!</v>
      </c>
      <c r="DN480" t="e">
        <f>IF(#REF!,"AAAAAG3b/XU=",0)</f>
        <v>#REF!</v>
      </c>
      <c r="DO480" t="e">
        <f>AND(#REF!,"AAAAAG3b/XY=")</f>
        <v>#REF!</v>
      </c>
      <c r="DP480" t="e">
        <f>AND(#REF!,"AAAAAG3b/Xc=")</f>
        <v>#REF!</v>
      </c>
      <c r="DQ480" t="e">
        <f>AND(#REF!,"AAAAAG3b/Xg=")</f>
        <v>#REF!</v>
      </c>
      <c r="DR480" t="e">
        <f>AND(#REF!,"AAAAAG3b/Xk=")</f>
        <v>#REF!</v>
      </c>
      <c r="DS480" t="e">
        <f>AND(#REF!,"AAAAAG3b/Xo=")</f>
        <v>#REF!</v>
      </c>
      <c r="DT480" t="e">
        <f>AND(#REF!,"AAAAAG3b/Xs=")</f>
        <v>#REF!</v>
      </c>
      <c r="DU480" t="e">
        <f>AND(#REF!,"AAAAAG3b/Xw=")</f>
        <v>#REF!</v>
      </c>
      <c r="DV480" t="e">
        <f>AND(#REF!,"AAAAAG3b/X0=")</f>
        <v>#REF!</v>
      </c>
      <c r="DW480" t="e">
        <f>AND(#REF!,"AAAAAG3b/X4=")</f>
        <v>#REF!</v>
      </c>
      <c r="DX480" t="e">
        <f>AND(#REF!,"AAAAAG3b/X8=")</f>
        <v>#REF!</v>
      </c>
      <c r="DY480" t="e">
        <f>IF(#REF!,"AAAAAG3b/YA=",0)</f>
        <v>#REF!</v>
      </c>
      <c r="DZ480" t="e">
        <f>AND(#REF!,"AAAAAG3b/YE=")</f>
        <v>#REF!</v>
      </c>
      <c r="EA480" t="e">
        <f>AND(#REF!,"AAAAAG3b/YI=")</f>
        <v>#REF!</v>
      </c>
      <c r="EB480" t="e">
        <f>AND(#REF!,"AAAAAG3b/YM=")</f>
        <v>#REF!</v>
      </c>
      <c r="EC480" t="e">
        <f>AND(#REF!,"AAAAAG3b/YQ=")</f>
        <v>#REF!</v>
      </c>
      <c r="ED480" t="e">
        <f>AND(#REF!,"AAAAAG3b/YU=")</f>
        <v>#REF!</v>
      </c>
      <c r="EE480" t="e">
        <f>AND(#REF!,"AAAAAG3b/YY=")</f>
        <v>#REF!</v>
      </c>
      <c r="EF480" t="e">
        <f>AND(#REF!,"AAAAAG3b/Yc=")</f>
        <v>#REF!</v>
      </c>
      <c r="EG480" t="e">
        <f>AND(#REF!,"AAAAAG3b/Yg=")</f>
        <v>#REF!</v>
      </c>
      <c r="EH480" t="e">
        <f>AND(#REF!,"AAAAAG3b/Yk=")</f>
        <v>#REF!</v>
      </c>
      <c r="EI480" t="e">
        <f>AND(#REF!,"AAAAAG3b/Yo=")</f>
        <v>#REF!</v>
      </c>
      <c r="EJ480" t="e">
        <f>IF(#REF!,"AAAAAG3b/Ys=",0)</f>
        <v>#REF!</v>
      </c>
      <c r="EK480" t="e">
        <f>AND(#REF!,"AAAAAG3b/Yw=")</f>
        <v>#REF!</v>
      </c>
      <c r="EL480" t="e">
        <f>AND(#REF!,"AAAAAG3b/Y0=")</f>
        <v>#REF!</v>
      </c>
      <c r="EM480" t="e">
        <f>AND(#REF!,"AAAAAG3b/Y4=")</f>
        <v>#REF!</v>
      </c>
      <c r="EN480" t="e">
        <f>AND(#REF!,"AAAAAG3b/Y8=")</f>
        <v>#REF!</v>
      </c>
      <c r="EO480" t="e">
        <f>AND(#REF!,"AAAAAG3b/ZA=")</f>
        <v>#REF!</v>
      </c>
      <c r="EP480" t="e">
        <f>AND(#REF!,"AAAAAG3b/ZE=")</f>
        <v>#REF!</v>
      </c>
      <c r="EQ480" t="e">
        <f>AND(#REF!,"AAAAAG3b/ZI=")</f>
        <v>#REF!</v>
      </c>
      <c r="ER480" t="e">
        <f>AND(#REF!,"AAAAAG3b/ZM=")</f>
        <v>#REF!</v>
      </c>
      <c r="ES480" t="e">
        <f>AND(#REF!,"AAAAAG3b/ZQ=")</f>
        <v>#REF!</v>
      </c>
      <c r="ET480" t="e">
        <f>AND(#REF!,"AAAAAG3b/ZU=")</f>
        <v>#REF!</v>
      </c>
      <c r="EU480" t="e">
        <f>IF(#REF!,"AAAAAG3b/ZY=",0)</f>
        <v>#REF!</v>
      </c>
      <c r="EV480" t="e">
        <f>AND(#REF!,"AAAAAG3b/Zc=")</f>
        <v>#REF!</v>
      </c>
      <c r="EW480" t="e">
        <f>AND(#REF!,"AAAAAG3b/Zg=")</f>
        <v>#REF!</v>
      </c>
      <c r="EX480" t="e">
        <f>AND(#REF!,"AAAAAG3b/Zk=")</f>
        <v>#REF!</v>
      </c>
      <c r="EY480" t="e">
        <f>AND(#REF!,"AAAAAG3b/Zo=")</f>
        <v>#REF!</v>
      </c>
      <c r="EZ480" t="e">
        <f>AND(#REF!,"AAAAAG3b/Zs=")</f>
        <v>#REF!</v>
      </c>
      <c r="FA480" t="e">
        <f>AND(#REF!,"AAAAAG3b/Zw=")</f>
        <v>#REF!</v>
      </c>
      <c r="FB480" t="e">
        <f>AND(#REF!,"AAAAAG3b/Z0=")</f>
        <v>#REF!</v>
      </c>
      <c r="FC480" t="e">
        <f>AND(#REF!,"AAAAAG3b/Z4=")</f>
        <v>#REF!</v>
      </c>
      <c r="FD480" t="e">
        <f>AND(#REF!,"AAAAAG3b/Z8=")</f>
        <v>#REF!</v>
      </c>
      <c r="FE480" t="e">
        <f>AND(#REF!,"AAAAAG3b/aA=")</f>
        <v>#REF!</v>
      </c>
      <c r="FF480" t="e">
        <f>IF(#REF!,"AAAAAG3b/aE=",0)</f>
        <v>#REF!</v>
      </c>
      <c r="FG480" t="e">
        <f>AND(#REF!,"AAAAAG3b/aI=")</f>
        <v>#REF!</v>
      </c>
      <c r="FH480" t="e">
        <f>AND(#REF!,"AAAAAG3b/aM=")</f>
        <v>#REF!</v>
      </c>
      <c r="FI480" t="e">
        <f>AND(#REF!,"AAAAAG3b/aQ=")</f>
        <v>#REF!</v>
      </c>
      <c r="FJ480" t="e">
        <f>AND(#REF!,"AAAAAG3b/aU=")</f>
        <v>#REF!</v>
      </c>
      <c r="FK480" t="e">
        <f>AND(#REF!,"AAAAAG3b/aY=")</f>
        <v>#REF!</v>
      </c>
      <c r="FL480" t="e">
        <f>AND(#REF!,"AAAAAG3b/ac=")</f>
        <v>#REF!</v>
      </c>
      <c r="FM480" t="e">
        <f>AND(#REF!,"AAAAAG3b/ag=")</f>
        <v>#REF!</v>
      </c>
      <c r="FN480" t="e">
        <f>AND(#REF!,"AAAAAG3b/ak=")</f>
        <v>#REF!</v>
      </c>
      <c r="FO480" t="e">
        <f>AND(#REF!,"AAAAAG3b/ao=")</f>
        <v>#REF!</v>
      </c>
      <c r="FP480" t="e">
        <f>AND(#REF!,"AAAAAG3b/as=")</f>
        <v>#REF!</v>
      </c>
      <c r="FQ480" t="e">
        <f>IF(#REF!,"AAAAAG3b/aw=",0)</f>
        <v>#REF!</v>
      </c>
      <c r="FR480" t="e">
        <f>AND(#REF!,"AAAAAG3b/a0=")</f>
        <v>#REF!</v>
      </c>
      <c r="FS480" t="e">
        <f>AND(#REF!,"AAAAAG3b/a4=")</f>
        <v>#REF!</v>
      </c>
      <c r="FT480" t="e">
        <f>AND(#REF!,"AAAAAG3b/a8=")</f>
        <v>#REF!</v>
      </c>
      <c r="FU480" t="e">
        <f>AND(#REF!,"AAAAAG3b/bA=")</f>
        <v>#REF!</v>
      </c>
      <c r="FV480" t="e">
        <f>AND(#REF!,"AAAAAG3b/bE=")</f>
        <v>#REF!</v>
      </c>
      <c r="FW480" t="e">
        <f>AND(#REF!,"AAAAAG3b/bI=")</f>
        <v>#REF!</v>
      </c>
      <c r="FX480" t="e">
        <f>AND(#REF!,"AAAAAG3b/bM=")</f>
        <v>#REF!</v>
      </c>
      <c r="FY480" t="e">
        <f>AND(#REF!,"AAAAAG3b/bQ=")</f>
        <v>#REF!</v>
      </c>
      <c r="FZ480" t="e">
        <f>AND(#REF!,"AAAAAG3b/bU=")</f>
        <v>#REF!</v>
      </c>
      <c r="GA480" t="e">
        <f>AND(#REF!,"AAAAAG3b/bY=")</f>
        <v>#REF!</v>
      </c>
      <c r="GB480" t="e">
        <f>IF(#REF!,"AAAAAG3b/bc=",0)</f>
        <v>#REF!</v>
      </c>
      <c r="GC480" t="e">
        <f>AND(#REF!,"AAAAAG3b/bg=")</f>
        <v>#REF!</v>
      </c>
      <c r="GD480" t="e">
        <f>AND(#REF!,"AAAAAG3b/bk=")</f>
        <v>#REF!</v>
      </c>
      <c r="GE480" t="e">
        <f>AND(#REF!,"AAAAAG3b/bo=")</f>
        <v>#REF!</v>
      </c>
      <c r="GF480" t="e">
        <f>AND(#REF!,"AAAAAG3b/bs=")</f>
        <v>#REF!</v>
      </c>
      <c r="GG480" t="e">
        <f>AND(#REF!,"AAAAAG3b/bw=")</f>
        <v>#REF!</v>
      </c>
      <c r="GH480" t="e">
        <f>AND(#REF!,"AAAAAG3b/b0=")</f>
        <v>#REF!</v>
      </c>
      <c r="GI480" t="e">
        <f>AND(#REF!,"AAAAAG3b/b4=")</f>
        <v>#REF!</v>
      </c>
      <c r="GJ480" t="e">
        <f>AND(#REF!,"AAAAAG3b/b8=")</f>
        <v>#REF!</v>
      </c>
      <c r="GK480" t="e">
        <f>AND(#REF!,"AAAAAG3b/cA=")</f>
        <v>#REF!</v>
      </c>
      <c r="GL480" t="e">
        <f>AND(#REF!,"AAAAAG3b/cE=")</f>
        <v>#REF!</v>
      </c>
      <c r="GM480" t="e">
        <f>IF(#REF!,"AAAAAG3b/cI=",0)</f>
        <v>#REF!</v>
      </c>
      <c r="GN480" t="e">
        <f>AND(#REF!,"AAAAAG3b/cM=")</f>
        <v>#REF!</v>
      </c>
      <c r="GO480" t="e">
        <f>AND(#REF!,"AAAAAG3b/cQ=")</f>
        <v>#REF!</v>
      </c>
      <c r="GP480" t="e">
        <f>AND(#REF!,"AAAAAG3b/cU=")</f>
        <v>#REF!</v>
      </c>
      <c r="GQ480" t="e">
        <f>AND(#REF!,"AAAAAG3b/cY=")</f>
        <v>#REF!</v>
      </c>
      <c r="GR480" t="e">
        <f>AND(#REF!,"AAAAAG3b/cc=")</f>
        <v>#REF!</v>
      </c>
      <c r="GS480" t="e">
        <f>AND(#REF!,"AAAAAG3b/cg=")</f>
        <v>#REF!</v>
      </c>
      <c r="GT480" t="e">
        <f>AND(#REF!,"AAAAAG3b/ck=")</f>
        <v>#REF!</v>
      </c>
      <c r="GU480" t="e">
        <f>AND(#REF!,"AAAAAG3b/co=")</f>
        <v>#REF!</v>
      </c>
      <c r="GV480" t="e">
        <f>AND(#REF!,"AAAAAG3b/cs=")</f>
        <v>#REF!</v>
      </c>
      <c r="GW480" t="e">
        <f>AND(#REF!,"AAAAAG3b/cw=")</f>
        <v>#REF!</v>
      </c>
      <c r="GX480" t="e">
        <f>IF(#REF!,"AAAAAG3b/c0=",0)</f>
        <v>#REF!</v>
      </c>
      <c r="GY480" t="e">
        <f>AND(#REF!,"AAAAAG3b/c4=")</f>
        <v>#REF!</v>
      </c>
      <c r="GZ480" t="e">
        <f>AND(#REF!,"AAAAAG3b/c8=")</f>
        <v>#REF!</v>
      </c>
      <c r="HA480" t="e">
        <f>AND(#REF!,"AAAAAG3b/dA=")</f>
        <v>#REF!</v>
      </c>
      <c r="HB480" t="e">
        <f>AND(#REF!,"AAAAAG3b/dE=")</f>
        <v>#REF!</v>
      </c>
      <c r="HC480" t="e">
        <f>AND(#REF!,"AAAAAG3b/dI=")</f>
        <v>#REF!</v>
      </c>
      <c r="HD480" t="e">
        <f>AND(#REF!,"AAAAAG3b/dM=")</f>
        <v>#REF!</v>
      </c>
      <c r="HE480" t="e">
        <f>AND(#REF!,"AAAAAG3b/dQ=")</f>
        <v>#REF!</v>
      </c>
      <c r="HF480" t="e">
        <f>AND(#REF!,"AAAAAG3b/dU=")</f>
        <v>#REF!</v>
      </c>
      <c r="HG480" t="e">
        <f>AND(#REF!,"AAAAAG3b/dY=")</f>
        <v>#REF!</v>
      </c>
      <c r="HH480" t="e">
        <f>AND(#REF!,"AAAAAG3b/dc=")</f>
        <v>#REF!</v>
      </c>
      <c r="HI480" t="e">
        <f>IF(#REF!,"AAAAAG3b/dg=",0)</f>
        <v>#REF!</v>
      </c>
      <c r="HJ480" t="e">
        <f>AND(#REF!,"AAAAAG3b/dk=")</f>
        <v>#REF!</v>
      </c>
      <c r="HK480" t="e">
        <f>AND(#REF!,"AAAAAG3b/do=")</f>
        <v>#REF!</v>
      </c>
      <c r="HL480" t="e">
        <f>AND(#REF!,"AAAAAG3b/ds=")</f>
        <v>#REF!</v>
      </c>
      <c r="HM480" t="e">
        <f>AND(#REF!,"AAAAAG3b/dw=")</f>
        <v>#REF!</v>
      </c>
      <c r="HN480" t="e">
        <f>AND(#REF!,"AAAAAG3b/d0=")</f>
        <v>#REF!</v>
      </c>
      <c r="HO480" t="e">
        <f>AND(#REF!,"AAAAAG3b/d4=")</f>
        <v>#REF!</v>
      </c>
      <c r="HP480" t="e">
        <f>AND(#REF!,"AAAAAG3b/d8=")</f>
        <v>#REF!</v>
      </c>
      <c r="HQ480" t="e">
        <f>AND(#REF!,"AAAAAG3b/eA=")</f>
        <v>#REF!</v>
      </c>
      <c r="HR480" t="e">
        <f>AND(#REF!,"AAAAAG3b/eE=")</f>
        <v>#REF!</v>
      </c>
      <c r="HS480" t="e">
        <f>AND(#REF!,"AAAAAG3b/eI=")</f>
        <v>#REF!</v>
      </c>
      <c r="HT480" t="e">
        <f>IF(#REF!,"AAAAAG3b/eM=",0)</f>
        <v>#REF!</v>
      </c>
      <c r="HU480" t="e">
        <f>AND(#REF!,"AAAAAG3b/eQ=")</f>
        <v>#REF!</v>
      </c>
      <c r="HV480" t="e">
        <f>AND(#REF!,"AAAAAG3b/eU=")</f>
        <v>#REF!</v>
      </c>
      <c r="HW480" t="e">
        <f>AND(#REF!,"AAAAAG3b/eY=")</f>
        <v>#REF!</v>
      </c>
      <c r="HX480" t="e">
        <f>AND(#REF!,"AAAAAG3b/ec=")</f>
        <v>#REF!</v>
      </c>
      <c r="HY480" t="e">
        <f>AND(#REF!,"AAAAAG3b/eg=")</f>
        <v>#REF!</v>
      </c>
      <c r="HZ480" t="e">
        <f>AND(#REF!,"AAAAAG3b/ek=")</f>
        <v>#REF!</v>
      </c>
      <c r="IA480" t="e">
        <f>AND(#REF!,"AAAAAG3b/eo=")</f>
        <v>#REF!</v>
      </c>
      <c r="IB480" t="e">
        <f>AND(#REF!,"AAAAAG3b/es=")</f>
        <v>#REF!</v>
      </c>
      <c r="IC480" t="e">
        <f>AND(#REF!,"AAAAAG3b/ew=")</f>
        <v>#REF!</v>
      </c>
      <c r="ID480" t="e">
        <f>AND(#REF!,"AAAAAG3b/e0=")</f>
        <v>#REF!</v>
      </c>
      <c r="IE480" t="e">
        <f>IF(#REF!,"AAAAAG3b/e4=",0)</f>
        <v>#REF!</v>
      </c>
      <c r="IF480" t="e">
        <f>AND(#REF!,"AAAAAG3b/e8=")</f>
        <v>#REF!</v>
      </c>
      <c r="IG480" t="e">
        <f>AND(#REF!,"AAAAAG3b/fA=")</f>
        <v>#REF!</v>
      </c>
      <c r="IH480" t="e">
        <f>AND(#REF!,"AAAAAG3b/fE=")</f>
        <v>#REF!</v>
      </c>
      <c r="II480" t="e">
        <f>AND(#REF!,"AAAAAG3b/fI=")</f>
        <v>#REF!</v>
      </c>
      <c r="IJ480" t="e">
        <f>AND(#REF!,"AAAAAG3b/fM=")</f>
        <v>#REF!</v>
      </c>
      <c r="IK480" t="e">
        <f>AND(#REF!,"AAAAAG3b/fQ=")</f>
        <v>#REF!</v>
      </c>
      <c r="IL480" t="e">
        <f>AND(#REF!,"AAAAAG3b/fU=")</f>
        <v>#REF!</v>
      </c>
      <c r="IM480" t="e">
        <f>AND(#REF!,"AAAAAG3b/fY=")</f>
        <v>#REF!</v>
      </c>
      <c r="IN480" t="e">
        <f>AND(#REF!,"AAAAAG3b/fc=")</f>
        <v>#REF!</v>
      </c>
      <c r="IO480" t="e">
        <f>AND(#REF!,"AAAAAG3b/fg=")</f>
        <v>#REF!</v>
      </c>
      <c r="IP480" t="e">
        <f>IF(#REF!,"AAAAAG3b/fk=",0)</f>
        <v>#REF!</v>
      </c>
      <c r="IQ480" t="e">
        <f>AND(#REF!,"AAAAAG3b/fo=")</f>
        <v>#REF!</v>
      </c>
      <c r="IR480" t="e">
        <f>AND(#REF!,"AAAAAG3b/fs=")</f>
        <v>#REF!</v>
      </c>
      <c r="IS480" t="e">
        <f>AND(#REF!,"AAAAAG3b/fw=")</f>
        <v>#REF!</v>
      </c>
      <c r="IT480" t="e">
        <f>AND(#REF!,"AAAAAG3b/f0=")</f>
        <v>#REF!</v>
      </c>
      <c r="IU480" t="e">
        <f>AND(#REF!,"AAAAAG3b/f4=")</f>
        <v>#REF!</v>
      </c>
      <c r="IV480" t="e">
        <f>AND(#REF!,"AAAAAG3b/f8=")</f>
        <v>#REF!</v>
      </c>
    </row>
    <row r="481" spans="1:256" x14ac:dyDescent="0.25">
      <c r="A481" t="e">
        <f>AND(#REF!,"AAAAAG9P7wA=")</f>
        <v>#REF!</v>
      </c>
      <c r="B481" t="e">
        <f>AND(#REF!,"AAAAAG9P7wE=")</f>
        <v>#REF!</v>
      </c>
      <c r="C481" t="e">
        <f>AND(#REF!,"AAAAAG9P7wI=")</f>
        <v>#REF!</v>
      </c>
      <c r="D481" t="e">
        <f>AND(#REF!,"AAAAAG9P7wM=")</f>
        <v>#REF!</v>
      </c>
      <c r="E481" t="e">
        <f>IF(#REF!,"AAAAAG9P7wQ=",0)</f>
        <v>#REF!</v>
      </c>
      <c r="F481" t="e">
        <f>AND(#REF!,"AAAAAG9P7wU=")</f>
        <v>#REF!</v>
      </c>
      <c r="G481" t="e">
        <f>AND(#REF!,"AAAAAG9P7wY=")</f>
        <v>#REF!</v>
      </c>
      <c r="H481" t="e">
        <f>AND(#REF!,"AAAAAG9P7wc=")</f>
        <v>#REF!</v>
      </c>
      <c r="I481" t="e">
        <f>AND(#REF!,"AAAAAG9P7wg=")</f>
        <v>#REF!</v>
      </c>
      <c r="J481" t="e">
        <f>AND(#REF!,"AAAAAG9P7wk=")</f>
        <v>#REF!</v>
      </c>
      <c r="K481" t="e">
        <f>AND(#REF!,"AAAAAG9P7wo=")</f>
        <v>#REF!</v>
      </c>
      <c r="L481" t="e">
        <f>AND(#REF!,"AAAAAG9P7ws=")</f>
        <v>#REF!</v>
      </c>
      <c r="M481" t="e">
        <f>AND(#REF!,"AAAAAG9P7ww=")</f>
        <v>#REF!</v>
      </c>
      <c r="N481" t="e">
        <f>AND(#REF!,"AAAAAG9P7w0=")</f>
        <v>#REF!</v>
      </c>
      <c r="O481" t="e">
        <f>AND(#REF!,"AAAAAG9P7w4=")</f>
        <v>#REF!</v>
      </c>
      <c r="P481" t="e">
        <f>IF(#REF!,"AAAAAG9P7w8=",0)</f>
        <v>#REF!</v>
      </c>
      <c r="Q481" t="e">
        <f>AND(#REF!,"AAAAAG9P7xA=")</f>
        <v>#REF!</v>
      </c>
      <c r="R481" t="e">
        <f>AND(#REF!,"AAAAAG9P7xE=")</f>
        <v>#REF!</v>
      </c>
      <c r="S481" t="e">
        <f>AND(#REF!,"AAAAAG9P7xI=")</f>
        <v>#REF!</v>
      </c>
      <c r="T481" t="e">
        <f>AND(#REF!,"AAAAAG9P7xM=")</f>
        <v>#REF!</v>
      </c>
      <c r="U481" t="e">
        <f>AND(#REF!,"AAAAAG9P7xQ=")</f>
        <v>#REF!</v>
      </c>
      <c r="V481" t="e">
        <f>AND(#REF!,"AAAAAG9P7xU=")</f>
        <v>#REF!</v>
      </c>
      <c r="W481" t="e">
        <f>AND(#REF!,"AAAAAG9P7xY=")</f>
        <v>#REF!</v>
      </c>
      <c r="X481" t="e">
        <f>AND(#REF!,"AAAAAG9P7xc=")</f>
        <v>#REF!</v>
      </c>
      <c r="Y481" t="e">
        <f>AND(#REF!,"AAAAAG9P7xg=")</f>
        <v>#REF!</v>
      </c>
      <c r="Z481" t="e">
        <f>AND(#REF!,"AAAAAG9P7xk=")</f>
        <v>#REF!</v>
      </c>
      <c r="AA481" t="e">
        <f>IF(#REF!,"AAAAAG9P7xo=",0)</f>
        <v>#REF!</v>
      </c>
      <c r="AB481" t="e">
        <f>AND(#REF!,"AAAAAG9P7xs=")</f>
        <v>#REF!</v>
      </c>
      <c r="AC481" t="e">
        <f>AND(#REF!,"AAAAAG9P7xw=")</f>
        <v>#REF!</v>
      </c>
      <c r="AD481" t="e">
        <f>AND(#REF!,"AAAAAG9P7x0=")</f>
        <v>#REF!</v>
      </c>
      <c r="AE481" t="e">
        <f>AND(#REF!,"AAAAAG9P7x4=")</f>
        <v>#REF!</v>
      </c>
      <c r="AF481" t="e">
        <f>AND(#REF!,"AAAAAG9P7x8=")</f>
        <v>#REF!</v>
      </c>
      <c r="AG481" t="e">
        <f>AND(#REF!,"AAAAAG9P7yA=")</f>
        <v>#REF!</v>
      </c>
      <c r="AH481" t="e">
        <f>AND(#REF!,"AAAAAG9P7yE=")</f>
        <v>#REF!</v>
      </c>
      <c r="AI481" t="e">
        <f>AND(#REF!,"AAAAAG9P7yI=")</f>
        <v>#REF!</v>
      </c>
      <c r="AJ481" t="e">
        <f>AND(#REF!,"AAAAAG9P7yM=")</f>
        <v>#REF!</v>
      </c>
      <c r="AK481" t="e">
        <f>AND(#REF!,"AAAAAG9P7yQ=")</f>
        <v>#REF!</v>
      </c>
      <c r="AL481" t="e">
        <f>IF(#REF!,"AAAAAG9P7yU=",0)</f>
        <v>#REF!</v>
      </c>
      <c r="AM481" t="e">
        <f>AND(#REF!,"AAAAAG9P7yY=")</f>
        <v>#REF!</v>
      </c>
      <c r="AN481" t="e">
        <f>AND(#REF!,"AAAAAG9P7yc=")</f>
        <v>#REF!</v>
      </c>
      <c r="AO481" t="e">
        <f>AND(#REF!,"AAAAAG9P7yg=")</f>
        <v>#REF!</v>
      </c>
      <c r="AP481" t="e">
        <f>AND(#REF!,"AAAAAG9P7yk=")</f>
        <v>#REF!</v>
      </c>
      <c r="AQ481" t="e">
        <f>AND(#REF!,"AAAAAG9P7yo=")</f>
        <v>#REF!</v>
      </c>
      <c r="AR481" t="e">
        <f>AND(#REF!,"AAAAAG9P7ys=")</f>
        <v>#REF!</v>
      </c>
      <c r="AS481" t="e">
        <f>AND(#REF!,"AAAAAG9P7yw=")</f>
        <v>#REF!</v>
      </c>
      <c r="AT481" t="e">
        <f>AND(#REF!,"AAAAAG9P7y0=")</f>
        <v>#REF!</v>
      </c>
      <c r="AU481" t="e">
        <f>AND(#REF!,"AAAAAG9P7y4=")</f>
        <v>#REF!</v>
      </c>
      <c r="AV481" t="e">
        <f>AND(#REF!,"AAAAAG9P7y8=")</f>
        <v>#REF!</v>
      </c>
      <c r="AW481" t="e">
        <f>IF(#REF!,"AAAAAG9P7zA=",0)</f>
        <v>#REF!</v>
      </c>
      <c r="AX481" t="e">
        <f>AND(#REF!,"AAAAAG9P7zE=")</f>
        <v>#REF!</v>
      </c>
      <c r="AY481" t="e">
        <f>AND(#REF!,"AAAAAG9P7zI=")</f>
        <v>#REF!</v>
      </c>
      <c r="AZ481" t="e">
        <f>AND(#REF!,"AAAAAG9P7zM=")</f>
        <v>#REF!</v>
      </c>
      <c r="BA481" t="e">
        <f>AND(#REF!,"AAAAAG9P7zQ=")</f>
        <v>#REF!</v>
      </c>
      <c r="BB481" t="e">
        <f>AND(#REF!,"AAAAAG9P7zU=")</f>
        <v>#REF!</v>
      </c>
      <c r="BC481" t="e">
        <f>AND(#REF!,"AAAAAG9P7zY=")</f>
        <v>#REF!</v>
      </c>
      <c r="BD481" t="e">
        <f>AND(#REF!,"AAAAAG9P7zc=")</f>
        <v>#REF!</v>
      </c>
      <c r="BE481" t="e">
        <f>AND(#REF!,"AAAAAG9P7zg=")</f>
        <v>#REF!</v>
      </c>
      <c r="BF481" t="e">
        <f>AND(#REF!,"AAAAAG9P7zk=")</f>
        <v>#REF!</v>
      </c>
      <c r="BG481" t="e">
        <f>AND(#REF!,"AAAAAG9P7zo=")</f>
        <v>#REF!</v>
      </c>
      <c r="BH481" t="e">
        <f>IF(#REF!,"AAAAAG9P7zs=",0)</f>
        <v>#REF!</v>
      </c>
      <c r="BI481" t="e">
        <f>AND(#REF!,"AAAAAG9P7zw=")</f>
        <v>#REF!</v>
      </c>
      <c r="BJ481" t="e">
        <f>AND(#REF!,"AAAAAG9P7z0=")</f>
        <v>#REF!</v>
      </c>
      <c r="BK481" t="e">
        <f>AND(#REF!,"AAAAAG9P7z4=")</f>
        <v>#REF!</v>
      </c>
      <c r="BL481" t="e">
        <f>AND(#REF!,"AAAAAG9P7z8=")</f>
        <v>#REF!</v>
      </c>
      <c r="BM481" t="e">
        <f>AND(#REF!,"AAAAAG9P70A=")</f>
        <v>#REF!</v>
      </c>
      <c r="BN481" t="e">
        <f>AND(#REF!,"AAAAAG9P70E=")</f>
        <v>#REF!</v>
      </c>
      <c r="BO481" t="e">
        <f>AND(#REF!,"AAAAAG9P70I=")</f>
        <v>#REF!</v>
      </c>
      <c r="BP481" t="e">
        <f>AND(#REF!,"AAAAAG9P70M=")</f>
        <v>#REF!</v>
      </c>
      <c r="BQ481" t="e">
        <f>AND(#REF!,"AAAAAG9P70Q=")</f>
        <v>#REF!</v>
      </c>
      <c r="BR481" t="e">
        <f>AND(#REF!,"AAAAAG9P70U=")</f>
        <v>#REF!</v>
      </c>
      <c r="BS481" t="e">
        <f>IF(#REF!,"AAAAAG9P70Y=",0)</f>
        <v>#REF!</v>
      </c>
      <c r="BT481" t="e">
        <f>AND(#REF!,"AAAAAG9P70c=")</f>
        <v>#REF!</v>
      </c>
      <c r="BU481" t="e">
        <f>AND(#REF!,"AAAAAG9P70g=")</f>
        <v>#REF!</v>
      </c>
      <c r="BV481" t="e">
        <f>AND(#REF!,"AAAAAG9P70k=")</f>
        <v>#REF!</v>
      </c>
      <c r="BW481" t="e">
        <f>AND(#REF!,"AAAAAG9P70o=")</f>
        <v>#REF!</v>
      </c>
      <c r="BX481" t="e">
        <f>AND(#REF!,"AAAAAG9P70s=")</f>
        <v>#REF!</v>
      </c>
      <c r="BY481" t="e">
        <f>AND(#REF!,"AAAAAG9P70w=")</f>
        <v>#REF!</v>
      </c>
      <c r="BZ481" t="e">
        <f>AND(#REF!,"AAAAAG9P700=")</f>
        <v>#REF!</v>
      </c>
      <c r="CA481" t="e">
        <f>AND(#REF!,"AAAAAG9P704=")</f>
        <v>#REF!</v>
      </c>
      <c r="CB481" t="e">
        <f>AND(#REF!,"AAAAAG9P708=")</f>
        <v>#REF!</v>
      </c>
      <c r="CC481" t="e">
        <f>AND(#REF!,"AAAAAG9P71A=")</f>
        <v>#REF!</v>
      </c>
      <c r="CD481" t="e">
        <f>IF(#REF!,"AAAAAG9P71E=",0)</f>
        <v>#REF!</v>
      </c>
      <c r="CE481" t="e">
        <f>AND(#REF!,"AAAAAG9P71I=")</f>
        <v>#REF!</v>
      </c>
      <c r="CF481" t="e">
        <f>AND(#REF!,"AAAAAG9P71M=")</f>
        <v>#REF!</v>
      </c>
      <c r="CG481" t="e">
        <f>AND(#REF!,"AAAAAG9P71Q=")</f>
        <v>#REF!</v>
      </c>
      <c r="CH481" t="e">
        <f>AND(#REF!,"AAAAAG9P71U=")</f>
        <v>#REF!</v>
      </c>
      <c r="CI481" t="e">
        <f>AND(#REF!,"AAAAAG9P71Y=")</f>
        <v>#REF!</v>
      </c>
      <c r="CJ481" t="e">
        <f>AND(#REF!,"AAAAAG9P71c=")</f>
        <v>#REF!</v>
      </c>
      <c r="CK481" t="e">
        <f>AND(#REF!,"AAAAAG9P71g=")</f>
        <v>#REF!</v>
      </c>
      <c r="CL481" t="e">
        <f>AND(#REF!,"AAAAAG9P71k=")</f>
        <v>#REF!</v>
      </c>
      <c r="CM481" t="e">
        <f>AND(#REF!,"AAAAAG9P71o=")</f>
        <v>#REF!</v>
      </c>
      <c r="CN481" t="e">
        <f>AND(#REF!,"AAAAAG9P71s=")</f>
        <v>#REF!</v>
      </c>
      <c r="CO481" t="e">
        <f>IF(#REF!,"AAAAAG9P71w=",0)</f>
        <v>#REF!</v>
      </c>
      <c r="CP481" t="e">
        <f>AND(#REF!,"AAAAAG9P710=")</f>
        <v>#REF!</v>
      </c>
      <c r="CQ481" t="e">
        <f>AND(#REF!,"AAAAAG9P714=")</f>
        <v>#REF!</v>
      </c>
      <c r="CR481" t="e">
        <f>AND(#REF!,"AAAAAG9P718=")</f>
        <v>#REF!</v>
      </c>
      <c r="CS481" t="e">
        <f>AND(#REF!,"AAAAAG9P72A=")</f>
        <v>#REF!</v>
      </c>
      <c r="CT481" t="e">
        <f>AND(#REF!,"AAAAAG9P72E=")</f>
        <v>#REF!</v>
      </c>
      <c r="CU481" t="e">
        <f>AND(#REF!,"AAAAAG9P72I=")</f>
        <v>#REF!</v>
      </c>
      <c r="CV481" t="e">
        <f>AND(#REF!,"AAAAAG9P72M=")</f>
        <v>#REF!</v>
      </c>
      <c r="CW481" t="e">
        <f>AND(#REF!,"AAAAAG9P72Q=")</f>
        <v>#REF!</v>
      </c>
      <c r="CX481" t="e">
        <f>AND(#REF!,"AAAAAG9P72U=")</f>
        <v>#REF!</v>
      </c>
      <c r="CY481" t="e">
        <f>AND(#REF!,"AAAAAG9P72Y=")</f>
        <v>#REF!</v>
      </c>
      <c r="CZ481" t="e">
        <f>IF(#REF!,"AAAAAG9P72c=",0)</f>
        <v>#REF!</v>
      </c>
      <c r="DA481" t="e">
        <f>AND(#REF!,"AAAAAG9P72g=")</f>
        <v>#REF!</v>
      </c>
      <c r="DB481" t="e">
        <f>AND(#REF!,"AAAAAG9P72k=")</f>
        <v>#REF!</v>
      </c>
      <c r="DC481" t="e">
        <f>AND(#REF!,"AAAAAG9P72o=")</f>
        <v>#REF!</v>
      </c>
      <c r="DD481" t="e">
        <f>AND(#REF!,"AAAAAG9P72s=")</f>
        <v>#REF!</v>
      </c>
      <c r="DE481" t="e">
        <f>AND(#REF!,"AAAAAG9P72w=")</f>
        <v>#REF!</v>
      </c>
      <c r="DF481" t="e">
        <f>AND(#REF!,"AAAAAG9P720=")</f>
        <v>#REF!</v>
      </c>
      <c r="DG481" t="e">
        <f>AND(#REF!,"AAAAAG9P724=")</f>
        <v>#REF!</v>
      </c>
      <c r="DH481" t="e">
        <f>AND(#REF!,"AAAAAG9P728=")</f>
        <v>#REF!</v>
      </c>
      <c r="DI481" t="e">
        <f>AND(#REF!,"AAAAAG9P73A=")</f>
        <v>#REF!</v>
      </c>
      <c r="DJ481" t="e">
        <f>AND(#REF!,"AAAAAG9P73E=")</f>
        <v>#REF!</v>
      </c>
      <c r="DK481" t="e">
        <f>IF(#REF!,"AAAAAG9P73I=",0)</f>
        <v>#REF!</v>
      </c>
      <c r="DL481" t="e">
        <f>AND(#REF!,"AAAAAG9P73M=")</f>
        <v>#REF!</v>
      </c>
      <c r="DM481" t="e">
        <f>AND(#REF!,"AAAAAG9P73Q=")</f>
        <v>#REF!</v>
      </c>
      <c r="DN481" t="e">
        <f>AND(#REF!,"AAAAAG9P73U=")</f>
        <v>#REF!</v>
      </c>
      <c r="DO481" t="e">
        <f>AND(#REF!,"AAAAAG9P73Y=")</f>
        <v>#REF!</v>
      </c>
      <c r="DP481" t="e">
        <f>AND(#REF!,"AAAAAG9P73c=")</f>
        <v>#REF!</v>
      </c>
      <c r="DQ481" t="e">
        <f>AND(#REF!,"AAAAAG9P73g=")</f>
        <v>#REF!</v>
      </c>
      <c r="DR481" t="e">
        <f>AND(#REF!,"AAAAAG9P73k=")</f>
        <v>#REF!</v>
      </c>
      <c r="DS481" t="e">
        <f>AND(#REF!,"AAAAAG9P73o=")</f>
        <v>#REF!</v>
      </c>
      <c r="DT481" t="e">
        <f>AND(#REF!,"AAAAAG9P73s=")</f>
        <v>#REF!</v>
      </c>
      <c r="DU481" t="e">
        <f>AND(#REF!,"AAAAAG9P73w=")</f>
        <v>#REF!</v>
      </c>
      <c r="DV481" t="e">
        <f>IF(#REF!,"AAAAAG9P730=",0)</f>
        <v>#REF!</v>
      </c>
      <c r="DW481" t="e">
        <f>AND(#REF!,"AAAAAG9P734=")</f>
        <v>#REF!</v>
      </c>
      <c r="DX481" t="e">
        <f>AND(#REF!,"AAAAAG9P738=")</f>
        <v>#REF!</v>
      </c>
      <c r="DY481" t="e">
        <f>AND(#REF!,"AAAAAG9P74A=")</f>
        <v>#REF!</v>
      </c>
      <c r="DZ481" t="e">
        <f>AND(#REF!,"AAAAAG9P74E=")</f>
        <v>#REF!</v>
      </c>
      <c r="EA481" t="e">
        <f>AND(#REF!,"AAAAAG9P74I=")</f>
        <v>#REF!</v>
      </c>
      <c r="EB481" t="e">
        <f>AND(#REF!,"AAAAAG9P74M=")</f>
        <v>#REF!</v>
      </c>
      <c r="EC481" t="e">
        <f>AND(#REF!,"AAAAAG9P74Q=")</f>
        <v>#REF!</v>
      </c>
      <c r="ED481" t="e">
        <f>AND(#REF!,"AAAAAG9P74U=")</f>
        <v>#REF!</v>
      </c>
      <c r="EE481" t="e">
        <f>AND(#REF!,"AAAAAG9P74Y=")</f>
        <v>#REF!</v>
      </c>
      <c r="EF481" t="e">
        <f>AND(#REF!,"AAAAAG9P74c=")</f>
        <v>#REF!</v>
      </c>
      <c r="EG481" t="e">
        <f>IF(#REF!,"AAAAAG9P74g=",0)</f>
        <v>#REF!</v>
      </c>
      <c r="EH481" t="e">
        <f>AND(#REF!,"AAAAAG9P74k=")</f>
        <v>#REF!</v>
      </c>
      <c r="EI481" t="e">
        <f>AND(#REF!,"AAAAAG9P74o=")</f>
        <v>#REF!</v>
      </c>
      <c r="EJ481" t="e">
        <f>AND(#REF!,"AAAAAG9P74s=")</f>
        <v>#REF!</v>
      </c>
      <c r="EK481" t="e">
        <f>AND(#REF!,"AAAAAG9P74w=")</f>
        <v>#REF!</v>
      </c>
      <c r="EL481" t="e">
        <f>AND(#REF!,"AAAAAG9P740=")</f>
        <v>#REF!</v>
      </c>
      <c r="EM481" t="e">
        <f>AND(#REF!,"AAAAAG9P744=")</f>
        <v>#REF!</v>
      </c>
      <c r="EN481" t="e">
        <f>AND(#REF!,"AAAAAG9P748=")</f>
        <v>#REF!</v>
      </c>
      <c r="EO481" t="e">
        <f>AND(#REF!,"AAAAAG9P75A=")</f>
        <v>#REF!</v>
      </c>
      <c r="EP481" t="e">
        <f>AND(#REF!,"AAAAAG9P75E=")</f>
        <v>#REF!</v>
      </c>
      <c r="EQ481" t="e">
        <f>AND(#REF!,"AAAAAG9P75I=")</f>
        <v>#REF!</v>
      </c>
      <c r="ER481" t="e">
        <f>IF(#REF!,"AAAAAG9P75M=",0)</f>
        <v>#REF!</v>
      </c>
      <c r="ES481" t="e">
        <f>AND(#REF!,"AAAAAG9P75Q=")</f>
        <v>#REF!</v>
      </c>
      <c r="ET481" t="e">
        <f>AND(#REF!,"AAAAAG9P75U=")</f>
        <v>#REF!</v>
      </c>
      <c r="EU481" t="e">
        <f>AND(#REF!,"AAAAAG9P75Y=")</f>
        <v>#REF!</v>
      </c>
      <c r="EV481" t="e">
        <f>AND(#REF!,"AAAAAG9P75c=")</f>
        <v>#REF!</v>
      </c>
      <c r="EW481" t="e">
        <f>AND(#REF!,"AAAAAG9P75g=")</f>
        <v>#REF!</v>
      </c>
      <c r="EX481" t="e">
        <f>AND(#REF!,"AAAAAG9P75k=")</f>
        <v>#REF!</v>
      </c>
      <c r="EY481" t="e">
        <f>AND(#REF!,"AAAAAG9P75o=")</f>
        <v>#REF!</v>
      </c>
      <c r="EZ481" t="e">
        <f>AND(#REF!,"AAAAAG9P75s=")</f>
        <v>#REF!</v>
      </c>
      <c r="FA481" t="e">
        <f>AND(#REF!,"AAAAAG9P75w=")</f>
        <v>#REF!</v>
      </c>
      <c r="FB481" t="e">
        <f>AND(#REF!,"AAAAAG9P750=")</f>
        <v>#REF!</v>
      </c>
      <c r="FC481" t="e">
        <f>IF(#REF!,"AAAAAG9P754=",0)</f>
        <v>#REF!</v>
      </c>
      <c r="FD481" t="e">
        <f>AND(#REF!,"AAAAAG9P758=")</f>
        <v>#REF!</v>
      </c>
      <c r="FE481" t="e">
        <f>AND(#REF!,"AAAAAG9P76A=")</f>
        <v>#REF!</v>
      </c>
      <c r="FF481" t="e">
        <f>AND(#REF!,"AAAAAG9P76E=")</f>
        <v>#REF!</v>
      </c>
      <c r="FG481" t="e">
        <f>AND(#REF!,"AAAAAG9P76I=")</f>
        <v>#REF!</v>
      </c>
      <c r="FH481" t="e">
        <f>AND(#REF!,"AAAAAG9P76M=")</f>
        <v>#REF!</v>
      </c>
      <c r="FI481" t="e">
        <f>AND(#REF!,"AAAAAG9P76Q=")</f>
        <v>#REF!</v>
      </c>
      <c r="FJ481" t="e">
        <f>AND(#REF!,"AAAAAG9P76U=")</f>
        <v>#REF!</v>
      </c>
      <c r="FK481" t="e">
        <f>AND(#REF!,"AAAAAG9P76Y=")</f>
        <v>#REF!</v>
      </c>
      <c r="FL481" t="e">
        <f>AND(#REF!,"AAAAAG9P76c=")</f>
        <v>#REF!</v>
      </c>
      <c r="FM481" t="e">
        <f>AND(#REF!,"AAAAAG9P76g=")</f>
        <v>#REF!</v>
      </c>
      <c r="FN481" t="e">
        <f>IF(#REF!,"AAAAAG9P76k=",0)</f>
        <v>#REF!</v>
      </c>
      <c r="FO481" t="e">
        <f>AND(#REF!,"AAAAAG9P76o=")</f>
        <v>#REF!</v>
      </c>
      <c r="FP481" t="e">
        <f>AND(#REF!,"AAAAAG9P76s=")</f>
        <v>#REF!</v>
      </c>
      <c r="FQ481" t="e">
        <f>AND(#REF!,"AAAAAG9P76w=")</f>
        <v>#REF!</v>
      </c>
      <c r="FR481" t="e">
        <f>AND(#REF!,"AAAAAG9P760=")</f>
        <v>#REF!</v>
      </c>
      <c r="FS481" t="e">
        <f>AND(#REF!,"AAAAAG9P764=")</f>
        <v>#REF!</v>
      </c>
      <c r="FT481" t="e">
        <f>AND(#REF!,"AAAAAG9P768=")</f>
        <v>#REF!</v>
      </c>
      <c r="FU481" t="e">
        <f>AND(#REF!,"AAAAAG9P77A=")</f>
        <v>#REF!</v>
      </c>
      <c r="FV481" t="e">
        <f>AND(#REF!,"AAAAAG9P77E=")</f>
        <v>#REF!</v>
      </c>
      <c r="FW481" t="e">
        <f>AND(#REF!,"AAAAAG9P77I=")</f>
        <v>#REF!</v>
      </c>
      <c r="FX481" t="e">
        <f>AND(#REF!,"AAAAAG9P77M=")</f>
        <v>#REF!</v>
      </c>
      <c r="FY481" t="e">
        <f>IF(#REF!,"AAAAAG9P77Q=",0)</f>
        <v>#REF!</v>
      </c>
      <c r="FZ481" t="e">
        <f>AND(#REF!,"AAAAAG9P77U=")</f>
        <v>#REF!</v>
      </c>
      <c r="GA481" t="e">
        <f>AND(#REF!,"AAAAAG9P77Y=")</f>
        <v>#REF!</v>
      </c>
      <c r="GB481" t="e">
        <f>AND(#REF!,"AAAAAG9P77c=")</f>
        <v>#REF!</v>
      </c>
      <c r="GC481" t="e">
        <f>AND(#REF!,"AAAAAG9P77g=")</f>
        <v>#REF!</v>
      </c>
      <c r="GD481" t="e">
        <f>AND(#REF!,"AAAAAG9P77k=")</f>
        <v>#REF!</v>
      </c>
      <c r="GE481" t="e">
        <f>AND(#REF!,"AAAAAG9P77o=")</f>
        <v>#REF!</v>
      </c>
      <c r="GF481" t="e">
        <f>AND(#REF!,"AAAAAG9P77s=")</f>
        <v>#REF!</v>
      </c>
      <c r="GG481" t="e">
        <f>AND(#REF!,"AAAAAG9P77w=")</f>
        <v>#REF!</v>
      </c>
      <c r="GH481" t="e">
        <f>AND(#REF!,"AAAAAG9P770=")</f>
        <v>#REF!</v>
      </c>
      <c r="GI481" t="e">
        <f>AND(#REF!,"AAAAAG9P774=")</f>
        <v>#REF!</v>
      </c>
      <c r="GJ481" t="e">
        <f>IF(#REF!,"AAAAAG9P778=",0)</f>
        <v>#REF!</v>
      </c>
      <c r="GK481" t="e">
        <f>AND(#REF!,"AAAAAG9P78A=")</f>
        <v>#REF!</v>
      </c>
      <c r="GL481" t="e">
        <f>AND(#REF!,"AAAAAG9P78E=")</f>
        <v>#REF!</v>
      </c>
      <c r="GM481" t="e">
        <f>AND(#REF!,"AAAAAG9P78I=")</f>
        <v>#REF!</v>
      </c>
      <c r="GN481" t="e">
        <f>AND(#REF!,"AAAAAG9P78M=")</f>
        <v>#REF!</v>
      </c>
      <c r="GO481" t="e">
        <f>AND(#REF!,"AAAAAG9P78Q=")</f>
        <v>#REF!</v>
      </c>
      <c r="GP481" t="e">
        <f>AND(#REF!,"AAAAAG9P78U=")</f>
        <v>#REF!</v>
      </c>
      <c r="GQ481" t="e">
        <f>AND(#REF!,"AAAAAG9P78Y=")</f>
        <v>#REF!</v>
      </c>
      <c r="GR481" t="e">
        <f>AND(#REF!,"AAAAAG9P78c=")</f>
        <v>#REF!</v>
      </c>
      <c r="GS481" t="e">
        <f>AND(#REF!,"AAAAAG9P78g=")</f>
        <v>#REF!</v>
      </c>
      <c r="GT481" t="e">
        <f>AND(#REF!,"AAAAAG9P78k=")</f>
        <v>#REF!</v>
      </c>
      <c r="GU481" t="e">
        <f>IF(#REF!,"AAAAAG9P78o=",0)</f>
        <v>#REF!</v>
      </c>
      <c r="GV481" t="e">
        <f>AND(#REF!,"AAAAAG9P78s=")</f>
        <v>#REF!</v>
      </c>
      <c r="GW481" t="e">
        <f>AND(#REF!,"AAAAAG9P78w=")</f>
        <v>#REF!</v>
      </c>
      <c r="GX481" t="e">
        <f>AND(#REF!,"AAAAAG9P780=")</f>
        <v>#REF!</v>
      </c>
      <c r="GY481" t="e">
        <f>AND(#REF!,"AAAAAG9P784=")</f>
        <v>#REF!</v>
      </c>
      <c r="GZ481" t="e">
        <f>AND(#REF!,"AAAAAG9P788=")</f>
        <v>#REF!</v>
      </c>
      <c r="HA481" t="e">
        <f>AND(#REF!,"AAAAAG9P79A=")</f>
        <v>#REF!</v>
      </c>
      <c r="HB481" t="e">
        <f>AND(#REF!,"AAAAAG9P79E=")</f>
        <v>#REF!</v>
      </c>
      <c r="HC481" t="e">
        <f>AND(#REF!,"AAAAAG9P79I=")</f>
        <v>#REF!</v>
      </c>
      <c r="HD481" t="e">
        <f>AND(#REF!,"AAAAAG9P79M=")</f>
        <v>#REF!</v>
      </c>
      <c r="HE481" t="e">
        <f>AND(#REF!,"AAAAAG9P79Q=")</f>
        <v>#REF!</v>
      </c>
      <c r="HF481" t="e">
        <f>IF(#REF!,"AAAAAG9P79U=",0)</f>
        <v>#REF!</v>
      </c>
      <c r="HG481" t="e">
        <f>AND(#REF!,"AAAAAG9P79Y=")</f>
        <v>#REF!</v>
      </c>
      <c r="HH481" t="e">
        <f>AND(#REF!,"AAAAAG9P79c=")</f>
        <v>#REF!</v>
      </c>
      <c r="HI481" t="e">
        <f>AND(#REF!,"AAAAAG9P79g=")</f>
        <v>#REF!</v>
      </c>
      <c r="HJ481" t="e">
        <f>AND(#REF!,"AAAAAG9P79k=")</f>
        <v>#REF!</v>
      </c>
      <c r="HK481" t="e">
        <f>AND(#REF!,"AAAAAG9P79o=")</f>
        <v>#REF!</v>
      </c>
      <c r="HL481" t="e">
        <f>AND(#REF!,"AAAAAG9P79s=")</f>
        <v>#REF!</v>
      </c>
      <c r="HM481" t="e">
        <f>AND(#REF!,"AAAAAG9P79w=")</f>
        <v>#REF!</v>
      </c>
      <c r="HN481" t="e">
        <f>AND(#REF!,"AAAAAG9P790=")</f>
        <v>#REF!</v>
      </c>
      <c r="HO481" t="e">
        <f>AND(#REF!,"AAAAAG9P794=")</f>
        <v>#REF!</v>
      </c>
      <c r="HP481" t="e">
        <f>AND(#REF!,"AAAAAG9P798=")</f>
        <v>#REF!</v>
      </c>
      <c r="HQ481" t="e">
        <f>IF(#REF!,"AAAAAG9P7+A=",0)</f>
        <v>#REF!</v>
      </c>
      <c r="HR481" t="e">
        <f>AND(#REF!,"AAAAAG9P7+E=")</f>
        <v>#REF!</v>
      </c>
      <c r="HS481" t="e">
        <f>AND(#REF!,"AAAAAG9P7+I=")</f>
        <v>#REF!</v>
      </c>
      <c r="HT481" t="e">
        <f>AND(#REF!,"AAAAAG9P7+M=")</f>
        <v>#REF!</v>
      </c>
      <c r="HU481" t="e">
        <f>AND(#REF!,"AAAAAG9P7+Q=")</f>
        <v>#REF!</v>
      </c>
      <c r="HV481" t="e">
        <f>AND(#REF!,"AAAAAG9P7+U=")</f>
        <v>#REF!</v>
      </c>
      <c r="HW481" t="e">
        <f>AND(#REF!,"AAAAAG9P7+Y=")</f>
        <v>#REF!</v>
      </c>
      <c r="HX481" t="e">
        <f>AND(#REF!,"AAAAAG9P7+c=")</f>
        <v>#REF!</v>
      </c>
      <c r="HY481" t="e">
        <f>AND(#REF!,"AAAAAG9P7+g=")</f>
        <v>#REF!</v>
      </c>
      <c r="HZ481" t="e">
        <f>AND(#REF!,"AAAAAG9P7+k=")</f>
        <v>#REF!</v>
      </c>
      <c r="IA481" t="e">
        <f>AND(#REF!,"AAAAAG9P7+o=")</f>
        <v>#REF!</v>
      </c>
      <c r="IB481" t="e">
        <f>IF(#REF!,"AAAAAG9P7+s=",0)</f>
        <v>#REF!</v>
      </c>
      <c r="IC481" t="e">
        <f>AND(#REF!,"AAAAAG9P7+w=")</f>
        <v>#REF!</v>
      </c>
      <c r="ID481" t="e">
        <f>AND(#REF!,"AAAAAG9P7+0=")</f>
        <v>#REF!</v>
      </c>
      <c r="IE481" t="e">
        <f>AND(#REF!,"AAAAAG9P7+4=")</f>
        <v>#REF!</v>
      </c>
      <c r="IF481" t="e">
        <f>AND(#REF!,"AAAAAG9P7+8=")</f>
        <v>#REF!</v>
      </c>
      <c r="IG481" t="e">
        <f>AND(#REF!,"AAAAAG9P7/A=")</f>
        <v>#REF!</v>
      </c>
      <c r="IH481" t="e">
        <f>AND(#REF!,"AAAAAG9P7/E=")</f>
        <v>#REF!</v>
      </c>
      <c r="II481" t="e">
        <f>AND(#REF!,"AAAAAG9P7/I=")</f>
        <v>#REF!</v>
      </c>
      <c r="IJ481" t="e">
        <f>AND(#REF!,"AAAAAG9P7/M=")</f>
        <v>#REF!</v>
      </c>
      <c r="IK481" t="e">
        <f>AND(#REF!,"AAAAAG9P7/Q=")</f>
        <v>#REF!</v>
      </c>
      <c r="IL481" t="e">
        <f>AND(#REF!,"AAAAAG9P7/U=")</f>
        <v>#REF!</v>
      </c>
      <c r="IM481" t="e">
        <f>IF(#REF!,"AAAAAG9P7/Y=",0)</f>
        <v>#REF!</v>
      </c>
      <c r="IN481" t="e">
        <f>AND(#REF!,"AAAAAG9P7/c=")</f>
        <v>#REF!</v>
      </c>
      <c r="IO481" t="e">
        <f>AND(#REF!,"AAAAAG9P7/g=")</f>
        <v>#REF!</v>
      </c>
      <c r="IP481" t="e">
        <f>AND(#REF!,"AAAAAG9P7/k=")</f>
        <v>#REF!</v>
      </c>
      <c r="IQ481" t="e">
        <f>AND(#REF!,"AAAAAG9P7/o=")</f>
        <v>#REF!</v>
      </c>
      <c r="IR481" t="e">
        <f>AND(#REF!,"AAAAAG9P7/s=")</f>
        <v>#REF!</v>
      </c>
      <c r="IS481" t="e">
        <f>AND(#REF!,"AAAAAG9P7/w=")</f>
        <v>#REF!</v>
      </c>
      <c r="IT481" t="e">
        <f>AND(#REF!,"AAAAAG9P7/0=")</f>
        <v>#REF!</v>
      </c>
      <c r="IU481" t="e">
        <f>AND(#REF!,"AAAAAG9P7/4=")</f>
        <v>#REF!</v>
      </c>
      <c r="IV481" t="e">
        <f>AND(#REF!,"AAAAAG9P7/8=")</f>
        <v>#REF!</v>
      </c>
    </row>
    <row r="482" spans="1:256" x14ac:dyDescent="0.25">
      <c r="A482" t="e">
        <f>AND(#REF!,"AAAAAEs1WgA=")</f>
        <v>#REF!</v>
      </c>
      <c r="B482" t="e">
        <f>IF(#REF!,"AAAAAEs1WgE=",0)</f>
        <v>#REF!</v>
      </c>
      <c r="C482" t="e">
        <f>AND(#REF!,"AAAAAEs1WgI=")</f>
        <v>#REF!</v>
      </c>
      <c r="D482" t="e">
        <f>AND(#REF!,"AAAAAEs1WgM=")</f>
        <v>#REF!</v>
      </c>
      <c r="E482" t="e">
        <f>AND(#REF!,"AAAAAEs1WgQ=")</f>
        <v>#REF!</v>
      </c>
      <c r="F482" t="e">
        <f>AND(#REF!,"AAAAAEs1WgU=")</f>
        <v>#REF!</v>
      </c>
      <c r="G482" t="e">
        <f>AND(#REF!,"AAAAAEs1WgY=")</f>
        <v>#REF!</v>
      </c>
      <c r="H482" t="e">
        <f>AND(#REF!,"AAAAAEs1Wgc=")</f>
        <v>#REF!</v>
      </c>
      <c r="I482" t="e">
        <f>AND(#REF!,"AAAAAEs1Wgg=")</f>
        <v>#REF!</v>
      </c>
      <c r="J482" t="e">
        <f>AND(#REF!,"AAAAAEs1Wgk=")</f>
        <v>#REF!</v>
      </c>
      <c r="K482" t="e">
        <f>AND(#REF!,"AAAAAEs1Wgo=")</f>
        <v>#REF!</v>
      </c>
      <c r="L482" t="e">
        <f>AND(#REF!,"AAAAAEs1Wgs=")</f>
        <v>#REF!</v>
      </c>
      <c r="M482" t="e">
        <f>IF(#REF!,"AAAAAEs1Wgw=",0)</f>
        <v>#REF!</v>
      </c>
      <c r="N482" t="e">
        <f>AND(#REF!,"AAAAAEs1Wg0=")</f>
        <v>#REF!</v>
      </c>
      <c r="O482" t="e">
        <f>AND(#REF!,"AAAAAEs1Wg4=")</f>
        <v>#REF!</v>
      </c>
      <c r="P482" t="e">
        <f>AND(#REF!,"AAAAAEs1Wg8=")</f>
        <v>#REF!</v>
      </c>
      <c r="Q482" t="e">
        <f>AND(#REF!,"AAAAAEs1WhA=")</f>
        <v>#REF!</v>
      </c>
      <c r="R482" t="e">
        <f>AND(#REF!,"AAAAAEs1WhE=")</f>
        <v>#REF!</v>
      </c>
      <c r="S482" t="e">
        <f>AND(#REF!,"AAAAAEs1WhI=")</f>
        <v>#REF!</v>
      </c>
      <c r="T482" t="e">
        <f>AND(#REF!,"AAAAAEs1WhM=")</f>
        <v>#REF!</v>
      </c>
      <c r="U482" t="e">
        <f>AND(#REF!,"AAAAAEs1WhQ=")</f>
        <v>#REF!</v>
      </c>
      <c r="V482" t="e">
        <f>AND(#REF!,"AAAAAEs1WhU=")</f>
        <v>#REF!</v>
      </c>
      <c r="W482" t="e">
        <f>AND(#REF!,"AAAAAEs1WhY=")</f>
        <v>#REF!</v>
      </c>
      <c r="X482" t="e">
        <f>IF(#REF!,"AAAAAEs1Whc=",0)</f>
        <v>#REF!</v>
      </c>
      <c r="Y482" t="e">
        <f>AND(#REF!,"AAAAAEs1Whg=")</f>
        <v>#REF!</v>
      </c>
      <c r="Z482" t="e">
        <f>AND(#REF!,"AAAAAEs1Whk=")</f>
        <v>#REF!</v>
      </c>
      <c r="AA482" t="e">
        <f>AND(#REF!,"AAAAAEs1Who=")</f>
        <v>#REF!</v>
      </c>
      <c r="AB482" t="e">
        <f>AND(#REF!,"AAAAAEs1Whs=")</f>
        <v>#REF!</v>
      </c>
      <c r="AC482" t="e">
        <f>AND(#REF!,"AAAAAEs1Whw=")</f>
        <v>#REF!</v>
      </c>
      <c r="AD482" t="e">
        <f>AND(#REF!,"AAAAAEs1Wh0=")</f>
        <v>#REF!</v>
      </c>
      <c r="AE482" t="e">
        <f>AND(#REF!,"AAAAAEs1Wh4=")</f>
        <v>#REF!</v>
      </c>
      <c r="AF482" t="e">
        <f>AND(#REF!,"AAAAAEs1Wh8=")</f>
        <v>#REF!</v>
      </c>
      <c r="AG482" t="e">
        <f>AND(#REF!,"AAAAAEs1WiA=")</f>
        <v>#REF!</v>
      </c>
      <c r="AH482" t="e">
        <f>AND(#REF!,"AAAAAEs1WiE=")</f>
        <v>#REF!</v>
      </c>
      <c r="AI482" t="e">
        <f>IF(#REF!,"AAAAAEs1WiI=",0)</f>
        <v>#REF!</v>
      </c>
      <c r="AJ482" t="e">
        <f>AND(#REF!,"AAAAAEs1WiM=")</f>
        <v>#REF!</v>
      </c>
      <c r="AK482" t="e">
        <f>AND(#REF!,"AAAAAEs1WiQ=")</f>
        <v>#REF!</v>
      </c>
      <c r="AL482" t="e">
        <f>AND(#REF!,"AAAAAEs1WiU=")</f>
        <v>#REF!</v>
      </c>
      <c r="AM482" t="e">
        <f>AND(#REF!,"AAAAAEs1WiY=")</f>
        <v>#REF!</v>
      </c>
      <c r="AN482" t="e">
        <f>AND(#REF!,"AAAAAEs1Wic=")</f>
        <v>#REF!</v>
      </c>
      <c r="AO482" t="e">
        <f>AND(#REF!,"AAAAAEs1Wig=")</f>
        <v>#REF!</v>
      </c>
      <c r="AP482" t="e">
        <f>AND(#REF!,"AAAAAEs1Wik=")</f>
        <v>#REF!</v>
      </c>
      <c r="AQ482" t="e">
        <f>AND(#REF!,"AAAAAEs1Wio=")</f>
        <v>#REF!</v>
      </c>
      <c r="AR482" t="e">
        <f>AND(#REF!,"AAAAAEs1Wis=")</f>
        <v>#REF!</v>
      </c>
      <c r="AS482" t="e">
        <f>AND(#REF!,"AAAAAEs1Wiw=")</f>
        <v>#REF!</v>
      </c>
      <c r="AT482" t="e">
        <f>IF(#REF!,"AAAAAEs1Wi0=",0)</f>
        <v>#REF!</v>
      </c>
      <c r="AU482" t="e">
        <f>AND(#REF!,"AAAAAEs1Wi4=")</f>
        <v>#REF!</v>
      </c>
      <c r="AV482" t="e">
        <f>AND(#REF!,"AAAAAEs1Wi8=")</f>
        <v>#REF!</v>
      </c>
      <c r="AW482" t="e">
        <f>AND(#REF!,"AAAAAEs1WjA=")</f>
        <v>#REF!</v>
      </c>
      <c r="AX482" t="e">
        <f>AND(#REF!,"AAAAAEs1WjE=")</f>
        <v>#REF!</v>
      </c>
      <c r="AY482" t="e">
        <f>AND(#REF!,"AAAAAEs1WjI=")</f>
        <v>#REF!</v>
      </c>
      <c r="AZ482" t="e">
        <f>AND(#REF!,"AAAAAEs1WjM=")</f>
        <v>#REF!</v>
      </c>
      <c r="BA482" t="e">
        <f>AND(#REF!,"AAAAAEs1WjQ=")</f>
        <v>#REF!</v>
      </c>
      <c r="BB482" t="e">
        <f>AND(#REF!,"AAAAAEs1WjU=")</f>
        <v>#REF!</v>
      </c>
      <c r="BC482" t="e">
        <f>AND(#REF!,"AAAAAEs1WjY=")</f>
        <v>#REF!</v>
      </c>
      <c r="BD482" t="e">
        <f>AND(#REF!,"AAAAAEs1Wjc=")</f>
        <v>#REF!</v>
      </c>
      <c r="BE482" t="e">
        <f>IF(#REF!,"AAAAAEs1Wjg=",0)</f>
        <v>#REF!</v>
      </c>
      <c r="BF482" t="e">
        <f>AND(#REF!,"AAAAAEs1Wjk=")</f>
        <v>#REF!</v>
      </c>
      <c r="BG482" t="e">
        <f>AND(#REF!,"AAAAAEs1Wjo=")</f>
        <v>#REF!</v>
      </c>
      <c r="BH482" t="e">
        <f>AND(#REF!,"AAAAAEs1Wjs=")</f>
        <v>#REF!</v>
      </c>
      <c r="BI482" t="e">
        <f>AND(#REF!,"AAAAAEs1Wjw=")</f>
        <v>#REF!</v>
      </c>
      <c r="BJ482" t="e">
        <f>AND(#REF!,"AAAAAEs1Wj0=")</f>
        <v>#REF!</v>
      </c>
      <c r="BK482" t="e">
        <f>AND(#REF!,"AAAAAEs1Wj4=")</f>
        <v>#REF!</v>
      </c>
      <c r="BL482" t="e">
        <f>AND(#REF!,"AAAAAEs1Wj8=")</f>
        <v>#REF!</v>
      </c>
      <c r="BM482" t="e">
        <f>AND(#REF!,"AAAAAEs1WkA=")</f>
        <v>#REF!</v>
      </c>
      <c r="BN482" t="e">
        <f>AND(#REF!,"AAAAAEs1WkE=")</f>
        <v>#REF!</v>
      </c>
      <c r="BO482" t="e">
        <f>AND(#REF!,"AAAAAEs1WkI=")</f>
        <v>#REF!</v>
      </c>
      <c r="BP482" t="e">
        <f>IF(#REF!,"AAAAAEs1WkM=",0)</f>
        <v>#REF!</v>
      </c>
      <c r="BQ482" t="e">
        <f>AND(#REF!,"AAAAAEs1WkQ=")</f>
        <v>#REF!</v>
      </c>
      <c r="BR482" t="e">
        <f>AND(#REF!,"AAAAAEs1WkU=")</f>
        <v>#REF!</v>
      </c>
      <c r="BS482" t="e">
        <f>AND(#REF!,"AAAAAEs1WkY=")</f>
        <v>#REF!</v>
      </c>
      <c r="BT482" t="e">
        <f>AND(#REF!,"AAAAAEs1Wkc=")</f>
        <v>#REF!</v>
      </c>
      <c r="BU482" t="e">
        <f>AND(#REF!,"AAAAAEs1Wkg=")</f>
        <v>#REF!</v>
      </c>
      <c r="BV482" t="e">
        <f>AND(#REF!,"AAAAAEs1Wkk=")</f>
        <v>#REF!</v>
      </c>
      <c r="BW482" t="e">
        <f>AND(#REF!,"AAAAAEs1Wko=")</f>
        <v>#REF!</v>
      </c>
      <c r="BX482" t="e">
        <f>AND(#REF!,"AAAAAEs1Wks=")</f>
        <v>#REF!</v>
      </c>
      <c r="BY482" t="e">
        <f>AND(#REF!,"AAAAAEs1Wkw=")</f>
        <v>#REF!</v>
      </c>
      <c r="BZ482" t="e">
        <f>AND(#REF!,"AAAAAEs1Wk0=")</f>
        <v>#REF!</v>
      </c>
      <c r="CA482" t="e">
        <f>IF(#REF!,"AAAAAEs1Wk4=",0)</f>
        <v>#REF!</v>
      </c>
      <c r="CB482" t="e">
        <f>AND(#REF!,"AAAAAEs1Wk8=")</f>
        <v>#REF!</v>
      </c>
      <c r="CC482" t="e">
        <f>AND(#REF!,"AAAAAEs1WlA=")</f>
        <v>#REF!</v>
      </c>
      <c r="CD482" t="e">
        <f>AND(#REF!,"AAAAAEs1WlE=")</f>
        <v>#REF!</v>
      </c>
      <c r="CE482" t="e">
        <f>AND(#REF!,"AAAAAEs1WlI=")</f>
        <v>#REF!</v>
      </c>
      <c r="CF482" t="e">
        <f>AND(#REF!,"AAAAAEs1WlM=")</f>
        <v>#REF!</v>
      </c>
      <c r="CG482" t="e">
        <f>AND(#REF!,"AAAAAEs1WlQ=")</f>
        <v>#REF!</v>
      </c>
      <c r="CH482" t="e">
        <f>AND(#REF!,"AAAAAEs1WlU=")</f>
        <v>#REF!</v>
      </c>
      <c r="CI482" t="e">
        <f>AND(#REF!,"AAAAAEs1WlY=")</f>
        <v>#REF!</v>
      </c>
      <c r="CJ482" t="e">
        <f>AND(#REF!,"AAAAAEs1Wlc=")</f>
        <v>#REF!</v>
      </c>
      <c r="CK482" t="e">
        <f>AND(#REF!,"AAAAAEs1Wlg=")</f>
        <v>#REF!</v>
      </c>
      <c r="CL482" t="e">
        <f>IF(#REF!,"AAAAAEs1Wlk=",0)</f>
        <v>#REF!</v>
      </c>
      <c r="CM482" t="e">
        <f>AND(#REF!,"AAAAAEs1Wlo=")</f>
        <v>#REF!</v>
      </c>
      <c r="CN482" t="e">
        <f>AND(#REF!,"AAAAAEs1Wls=")</f>
        <v>#REF!</v>
      </c>
      <c r="CO482" t="e">
        <f>AND(#REF!,"AAAAAEs1Wlw=")</f>
        <v>#REF!</v>
      </c>
      <c r="CP482" t="e">
        <f>AND(#REF!,"AAAAAEs1Wl0=")</f>
        <v>#REF!</v>
      </c>
      <c r="CQ482" t="e">
        <f>AND(#REF!,"AAAAAEs1Wl4=")</f>
        <v>#REF!</v>
      </c>
      <c r="CR482" t="e">
        <f>AND(#REF!,"AAAAAEs1Wl8=")</f>
        <v>#REF!</v>
      </c>
      <c r="CS482" t="e">
        <f>AND(#REF!,"AAAAAEs1WmA=")</f>
        <v>#REF!</v>
      </c>
      <c r="CT482" t="e">
        <f>AND(#REF!,"AAAAAEs1WmE=")</f>
        <v>#REF!</v>
      </c>
      <c r="CU482" t="e">
        <f>AND(#REF!,"AAAAAEs1WmI=")</f>
        <v>#REF!</v>
      </c>
      <c r="CV482" t="e">
        <f>AND(#REF!,"AAAAAEs1WmM=")</f>
        <v>#REF!</v>
      </c>
      <c r="CW482" t="e">
        <f>IF(#REF!,"AAAAAEs1WmQ=",0)</f>
        <v>#REF!</v>
      </c>
      <c r="CX482" t="e">
        <f>AND(#REF!,"AAAAAEs1WmU=")</f>
        <v>#REF!</v>
      </c>
      <c r="CY482" t="e">
        <f>AND(#REF!,"AAAAAEs1WmY=")</f>
        <v>#REF!</v>
      </c>
      <c r="CZ482" t="e">
        <f>AND(#REF!,"AAAAAEs1Wmc=")</f>
        <v>#REF!</v>
      </c>
      <c r="DA482" t="e">
        <f>AND(#REF!,"AAAAAEs1Wmg=")</f>
        <v>#REF!</v>
      </c>
      <c r="DB482" t="e">
        <f>AND(#REF!,"AAAAAEs1Wmk=")</f>
        <v>#REF!</v>
      </c>
      <c r="DC482" t="e">
        <f>AND(#REF!,"AAAAAEs1Wmo=")</f>
        <v>#REF!</v>
      </c>
      <c r="DD482" t="e">
        <f>AND(#REF!,"AAAAAEs1Wms=")</f>
        <v>#REF!</v>
      </c>
      <c r="DE482" t="e">
        <f>AND(#REF!,"AAAAAEs1Wmw=")</f>
        <v>#REF!</v>
      </c>
      <c r="DF482" t="e">
        <f>AND(#REF!,"AAAAAEs1Wm0=")</f>
        <v>#REF!</v>
      </c>
      <c r="DG482" t="e">
        <f>AND(#REF!,"AAAAAEs1Wm4=")</f>
        <v>#REF!</v>
      </c>
      <c r="DH482" t="e">
        <f>IF(#REF!,"AAAAAEs1Wm8=",0)</f>
        <v>#REF!</v>
      </c>
      <c r="DI482" t="e">
        <f>AND(#REF!,"AAAAAEs1WnA=")</f>
        <v>#REF!</v>
      </c>
      <c r="DJ482" t="e">
        <f>AND(#REF!,"AAAAAEs1WnE=")</f>
        <v>#REF!</v>
      </c>
      <c r="DK482" t="e">
        <f>AND(#REF!,"AAAAAEs1WnI=")</f>
        <v>#REF!</v>
      </c>
      <c r="DL482" t="e">
        <f>AND(#REF!,"AAAAAEs1WnM=")</f>
        <v>#REF!</v>
      </c>
      <c r="DM482" t="e">
        <f>AND(#REF!,"AAAAAEs1WnQ=")</f>
        <v>#REF!</v>
      </c>
      <c r="DN482" t="e">
        <f>AND(#REF!,"AAAAAEs1WnU=")</f>
        <v>#REF!</v>
      </c>
      <c r="DO482" t="e">
        <f>AND(#REF!,"AAAAAEs1WnY=")</f>
        <v>#REF!</v>
      </c>
      <c r="DP482" t="e">
        <f>AND(#REF!,"AAAAAEs1Wnc=")</f>
        <v>#REF!</v>
      </c>
      <c r="DQ482" t="e">
        <f>AND(#REF!,"AAAAAEs1Wng=")</f>
        <v>#REF!</v>
      </c>
      <c r="DR482" t="e">
        <f>AND(#REF!,"AAAAAEs1Wnk=")</f>
        <v>#REF!</v>
      </c>
      <c r="DS482" t="e">
        <f>IF(#REF!,"AAAAAEs1Wno=",0)</f>
        <v>#REF!</v>
      </c>
      <c r="DT482" t="e">
        <f>AND(#REF!,"AAAAAEs1Wns=")</f>
        <v>#REF!</v>
      </c>
      <c r="DU482" t="e">
        <f>AND(#REF!,"AAAAAEs1Wnw=")</f>
        <v>#REF!</v>
      </c>
      <c r="DV482" t="e">
        <f>AND(#REF!,"AAAAAEs1Wn0=")</f>
        <v>#REF!</v>
      </c>
      <c r="DW482" t="e">
        <f>AND(#REF!,"AAAAAEs1Wn4=")</f>
        <v>#REF!</v>
      </c>
      <c r="DX482" t="e">
        <f>AND(#REF!,"AAAAAEs1Wn8=")</f>
        <v>#REF!</v>
      </c>
      <c r="DY482" t="e">
        <f>AND(#REF!,"AAAAAEs1WoA=")</f>
        <v>#REF!</v>
      </c>
      <c r="DZ482" t="e">
        <f>AND(#REF!,"AAAAAEs1WoE=")</f>
        <v>#REF!</v>
      </c>
      <c r="EA482" t="e">
        <f>AND(#REF!,"AAAAAEs1WoI=")</f>
        <v>#REF!</v>
      </c>
      <c r="EB482" t="e">
        <f>AND(#REF!,"AAAAAEs1WoM=")</f>
        <v>#REF!</v>
      </c>
      <c r="EC482" t="e">
        <f>AND(#REF!,"AAAAAEs1WoQ=")</f>
        <v>#REF!</v>
      </c>
      <c r="ED482" t="e">
        <f>IF(#REF!,"AAAAAEs1WoU=",0)</f>
        <v>#REF!</v>
      </c>
      <c r="EE482" t="e">
        <f>AND(#REF!,"AAAAAEs1WoY=")</f>
        <v>#REF!</v>
      </c>
      <c r="EF482" t="e">
        <f>AND(#REF!,"AAAAAEs1Woc=")</f>
        <v>#REF!</v>
      </c>
      <c r="EG482" t="e">
        <f>AND(#REF!,"AAAAAEs1Wog=")</f>
        <v>#REF!</v>
      </c>
      <c r="EH482" t="e">
        <f>AND(#REF!,"AAAAAEs1Wok=")</f>
        <v>#REF!</v>
      </c>
      <c r="EI482" t="e">
        <f>AND(#REF!,"AAAAAEs1Woo=")</f>
        <v>#REF!</v>
      </c>
      <c r="EJ482" t="e">
        <f>AND(#REF!,"AAAAAEs1Wos=")</f>
        <v>#REF!</v>
      </c>
      <c r="EK482" t="e">
        <f>AND(#REF!,"AAAAAEs1Wow=")</f>
        <v>#REF!</v>
      </c>
      <c r="EL482" t="e">
        <f>AND(#REF!,"AAAAAEs1Wo0=")</f>
        <v>#REF!</v>
      </c>
      <c r="EM482" t="e">
        <f>AND(#REF!,"AAAAAEs1Wo4=")</f>
        <v>#REF!</v>
      </c>
      <c r="EN482" t="e">
        <f>AND(#REF!,"AAAAAEs1Wo8=")</f>
        <v>#REF!</v>
      </c>
      <c r="EO482" t="e">
        <f>IF(#REF!,"AAAAAEs1WpA=",0)</f>
        <v>#REF!</v>
      </c>
      <c r="EP482" t="e">
        <f>AND(#REF!,"AAAAAEs1WpE=")</f>
        <v>#REF!</v>
      </c>
      <c r="EQ482" t="e">
        <f>AND(#REF!,"AAAAAEs1WpI=")</f>
        <v>#REF!</v>
      </c>
      <c r="ER482" t="e">
        <f>AND(#REF!,"AAAAAEs1WpM=")</f>
        <v>#REF!</v>
      </c>
      <c r="ES482" t="e">
        <f>AND(#REF!,"AAAAAEs1WpQ=")</f>
        <v>#REF!</v>
      </c>
      <c r="ET482" t="e">
        <f>AND(#REF!,"AAAAAEs1WpU=")</f>
        <v>#REF!</v>
      </c>
      <c r="EU482" t="e">
        <f>AND(#REF!,"AAAAAEs1WpY=")</f>
        <v>#REF!</v>
      </c>
      <c r="EV482" t="e">
        <f>AND(#REF!,"AAAAAEs1Wpc=")</f>
        <v>#REF!</v>
      </c>
      <c r="EW482" t="e">
        <f>AND(#REF!,"AAAAAEs1Wpg=")</f>
        <v>#REF!</v>
      </c>
      <c r="EX482" t="e">
        <f>AND(#REF!,"AAAAAEs1Wpk=")</f>
        <v>#REF!</v>
      </c>
      <c r="EY482" t="e">
        <f>AND(#REF!,"AAAAAEs1Wpo=")</f>
        <v>#REF!</v>
      </c>
      <c r="EZ482" t="e">
        <f>IF(#REF!,"AAAAAEs1Wps=",0)</f>
        <v>#REF!</v>
      </c>
      <c r="FA482" t="e">
        <f>AND(#REF!,"AAAAAEs1Wpw=")</f>
        <v>#REF!</v>
      </c>
      <c r="FB482" t="e">
        <f>AND(#REF!,"AAAAAEs1Wp0=")</f>
        <v>#REF!</v>
      </c>
      <c r="FC482" t="e">
        <f>AND(#REF!,"AAAAAEs1Wp4=")</f>
        <v>#REF!</v>
      </c>
      <c r="FD482" t="e">
        <f>AND(#REF!,"AAAAAEs1Wp8=")</f>
        <v>#REF!</v>
      </c>
      <c r="FE482" t="e">
        <f>AND(#REF!,"AAAAAEs1WqA=")</f>
        <v>#REF!</v>
      </c>
      <c r="FF482" t="e">
        <f>AND(#REF!,"AAAAAEs1WqE=")</f>
        <v>#REF!</v>
      </c>
      <c r="FG482" t="e">
        <f>AND(#REF!,"AAAAAEs1WqI=")</f>
        <v>#REF!</v>
      </c>
      <c r="FH482" t="e">
        <f>AND(#REF!,"AAAAAEs1WqM=")</f>
        <v>#REF!</v>
      </c>
      <c r="FI482" t="e">
        <f>AND(#REF!,"AAAAAEs1WqQ=")</f>
        <v>#REF!</v>
      </c>
      <c r="FJ482" t="e">
        <f>AND(#REF!,"AAAAAEs1WqU=")</f>
        <v>#REF!</v>
      </c>
      <c r="FK482" t="e">
        <f>IF(#REF!,"AAAAAEs1WqY=",0)</f>
        <v>#REF!</v>
      </c>
      <c r="FL482" t="e">
        <f>AND(#REF!,"AAAAAEs1Wqc=")</f>
        <v>#REF!</v>
      </c>
      <c r="FM482" t="e">
        <f>AND(#REF!,"AAAAAEs1Wqg=")</f>
        <v>#REF!</v>
      </c>
      <c r="FN482" t="e">
        <f>AND(#REF!,"AAAAAEs1Wqk=")</f>
        <v>#REF!</v>
      </c>
      <c r="FO482" t="e">
        <f>AND(#REF!,"AAAAAEs1Wqo=")</f>
        <v>#REF!</v>
      </c>
      <c r="FP482" t="e">
        <f>AND(#REF!,"AAAAAEs1Wqs=")</f>
        <v>#REF!</v>
      </c>
      <c r="FQ482" t="e">
        <f>AND(#REF!,"AAAAAEs1Wqw=")</f>
        <v>#REF!</v>
      </c>
      <c r="FR482" t="e">
        <f>AND(#REF!,"AAAAAEs1Wq0=")</f>
        <v>#REF!</v>
      </c>
      <c r="FS482" t="e">
        <f>AND(#REF!,"AAAAAEs1Wq4=")</f>
        <v>#REF!</v>
      </c>
      <c r="FT482" t="e">
        <f>AND(#REF!,"AAAAAEs1Wq8=")</f>
        <v>#REF!</v>
      </c>
      <c r="FU482" t="e">
        <f>AND(#REF!,"AAAAAEs1WrA=")</f>
        <v>#REF!</v>
      </c>
      <c r="FV482" t="e">
        <f>IF(#REF!,"AAAAAEs1WrE=",0)</f>
        <v>#REF!</v>
      </c>
      <c r="FW482" t="e">
        <f>AND(#REF!,"AAAAAEs1WrI=")</f>
        <v>#REF!</v>
      </c>
      <c r="FX482" t="e">
        <f>AND(#REF!,"AAAAAEs1WrM=")</f>
        <v>#REF!</v>
      </c>
      <c r="FY482" t="e">
        <f>AND(#REF!,"AAAAAEs1WrQ=")</f>
        <v>#REF!</v>
      </c>
      <c r="FZ482" t="e">
        <f>AND(#REF!,"AAAAAEs1WrU=")</f>
        <v>#REF!</v>
      </c>
      <c r="GA482" t="e">
        <f>AND(#REF!,"AAAAAEs1WrY=")</f>
        <v>#REF!</v>
      </c>
      <c r="GB482" t="e">
        <f>AND(#REF!,"AAAAAEs1Wrc=")</f>
        <v>#REF!</v>
      </c>
      <c r="GC482" t="e">
        <f>AND(#REF!,"AAAAAEs1Wrg=")</f>
        <v>#REF!</v>
      </c>
      <c r="GD482" t="e">
        <f>AND(#REF!,"AAAAAEs1Wrk=")</f>
        <v>#REF!</v>
      </c>
      <c r="GE482" t="e">
        <f>AND(#REF!,"AAAAAEs1Wro=")</f>
        <v>#REF!</v>
      </c>
      <c r="GF482" t="e">
        <f>AND(#REF!,"AAAAAEs1Wrs=")</f>
        <v>#REF!</v>
      </c>
      <c r="GG482" t="e">
        <f>IF(#REF!,"AAAAAEs1Wrw=",0)</f>
        <v>#REF!</v>
      </c>
      <c r="GH482" t="e">
        <f>AND(#REF!,"AAAAAEs1Wr0=")</f>
        <v>#REF!</v>
      </c>
      <c r="GI482" t="e">
        <f>AND(#REF!,"AAAAAEs1Wr4=")</f>
        <v>#REF!</v>
      </c>
      <c r="GJ482" t="e">
        <f>AND(#REF!,"AAAAAEs1Wr8=")</f>
        <v>#REF!</v>
      </c>
      <c r="GK482" t="e">
        <f>AND(#REF!,"AAAAAEs1WsA=")</f>
        <v>#REF!</v>
      </c>
      <c r="GL482" t="e">
        <f>AND(#REF!,"AAAAAEs1WsE=")</f>
        <v>#REF!</v>
      </c>
      <c r="GM482" t="e">
        <f>AND(#REF!,"AAAAAEs1WsI=")</f>
        <v>#REF!</v>
      </c>
      <c r="GN482" t="e">
        <f>AND(#REF!,"AAAAAEs1WsM=")</f>
        <v>#REF!</v>
      </c>
      <c r="GO482" t="e">
        <f>AND(#REF!,"AAAAAEs1WsQ=")</f>
        <v>#REF!</v>
      </c>
      <c r="GP482" t="e">
        <f>AND(#REF!,"AAAAAEs1WsU=")</f>
        <v>#REF!</v>
      </c>
      <c r="GQ482" t="e">
        <f>AND(#REF!,"AAAAAEs1WsY=")</f>
        <v>#REF!</v>
      </c>
      <c r="GR482" t="e">
        <f>IF(#REF!,"AAAAAEs1Wsc=",0)</f>
        <v>#REF!</v>
      </c>
      <c r="GS482" t="e">
        <f>AND(#REF!,"AAAAAEs1Wsg=")</f>
        <v>#REF!</v>
      </c>
      <c r="GT482" t="e">
        <f>AND(#REF!,"AAAAAEs1Wsk=")</f>
        <v>#REF!</v>
      </c>
      <c r="GU482" t="e">
        <f>AND(#REF!,"AAAAAEs1Wso=")</f>
        <v>#REF!</v>
      </c>
      <c r="GV482" t="e">
        <f>AND(#REF!,"AAAAAEs1Wss=")</f>
        <v>#REF!</v>
      </c>
      <c r="GW482" t="e">
        <f>AND(#REF!,"AAAAAEs1Wsw=")</f>
        <v>#REF!</v>
      </c>
      <c r="GX482" t="e">
        <f>AND(#REF!,"AAAAAEs1Ws0=")</f>
        <v>#REF!</v>
      </c>
      <c r="GY482" t="e">
        <f>AND(#REF!,"AAAAAEs1Ws4=")</f>
        <v>#REF!</v>
      </c>
      <c r="GZ482" t="e">
        <f>AND(#REF!,"AAAAAEs1Ws8=")</f>
        <v>#REF!</v>
      </c>
      <c r="HA482" t="e">
        <f>AND(#REF!,"AAAAAEs1WtA=")</f>
        <v>#REF!</v>
      </c>
      <c r="HB482" t="e">
        <f>AND(#REF!,"AAAAAEs1WtE=")</f>
        <v>#REF!</v>
      </c>
      <c r="HC482" t="e">
        <f>IF(#REF!,"AAAAAEs1WtI=",0)</f>
        <v>#REF!</v>
      </c>
      <c r="HD482" t="e">
        <f>AND(#REF!,"AAAAAEs1WtM=")</f>
        <v>#REF!</v>
      </c>
      <c r="HE482" t="e">
        <f>AND(#REF!,"AAAAAEs1WtQ=")</f>
        <v>#REF!</v>
      </c>
      <c r="HF482" t="e">
        <f>AND(#REF!,"AAAAAEs1WtU=")</f>
        <v>#REF!</v>
      </c>
      <c r="HG482" t="e">
        <f>AND(#REF!,"AAAAAEs1WtY=")</f>
        <v>#REF!</v>
      </c>
      <c r="HH482" t="e">
        <f>AND(#REF!,"AAAAAEs1Wtc=")</f>
        <v>#REF!</v>
      </c>
      <c r="HI482" t="e">
        <f>AND(#REF!,"AAAAAEs1Wtg=")</f>
        <v>#REF!</v>
      </c>
      <c r="HJ482" t="e">
        <f>AND(#REF!,"AAAAAEs1Wtk=")</f>
        <v>#REF!</v>
      </c>
      <c r="HK482" t="e">
        <f>AND(#REF!,"AAAAAEs1Wto=")</f>
        <v>#REF!</v>
      </c>
      <c r="HL482" t="e">
        <f>AND(#REF!,"AAAAAEs1Wts=")</f>
        <v>#REF!</v>
      </c>
      <c r="HM482" t="e">
        <f>AND(#REF!,"AAAAAEs1Wtw=")</f>
        <v>#REF!</v>
      </c>
      <c r="HN482" t="e">
        <f>IF(#REF!,"AAAAAEs1Wt0=",0)</f>
        <v>#REF!</v>
      </c>
      <c r="HO482" t="e">
        <f>AND(#REF!,"AAAAAEs1Wt4=")</f>
        <v>#REF!</v>
      </c>
      <c r="HP482" t="e">
        <f>AND(#REF!,"AAAAAEs1Wt8=")</f>
        <v>#REF!</v>
      </c>
      <c r="HQ482" t="e">
        <f>AND(#REF!,"AAAAAEs1WuA=")</f>
        <v>#REF!</v>
      </c>
      <c r="HR482" t="e">
        <f>AND(#REF!,"AAAAAEs1WuE=")</f>
        <v>#REF!</v>
      </c>
      <c r="HS482" t="e">
        <f>AND(#REF!,"AAAAAEs1WuI=")</f>
        <v>#REF!</v>
      </c>
      <c r="HT482" t="e">
        <f>AND(#REF!,"AAAAAEs1WuM=")</f>
        <v>#REF!</v>
      </c>
      <c r="HU482" t="e">
        <f>AND(#REF!,"AAAAAEs1WuQ=")</f>
        <v>#REF!</v>
      </c>
      <c r="HV482" t="e">
        <f>AND(#REF!,"AAAAAEs1WuU=")</f>
        <v>#REF!</v>
      </c>
      <c r="HW482" t="e">
        <f>AND(#REF!,"AAAAAEs1WuY=")</f>
        <v>#REF!</v>
      </c>
      <c r="HX482" t="e">
        <f>AND(#REF!,"AAAAAEs1Wuc=")</f>
        <v>#REF!</v>
      </c>
      <c r="HY482" t="e">
        <f>IF(#REF!,"AAAAAEs1Wug=",0)</f>
        <v>#REF!</v>
      </c>
      <c r="HZ482" t="e">
        <f>AND(#REF!,"AAAAAEs1Wuk=")</f>
        <v>#REF!</v>
      </c>
      <c r="IA482" t="e">
        <f>AND(#REF!,"AAAAAEs1Wuo=")</f>
        <v>#REF!</v>
      </c>
      <c r="IB482" t="e">
        <f>AND(#REF!,"AAAAAEs1Wus=")</f>
        <v>#REF!</v>
      </c>
      <c r="IC482" t="e">
        <f>AND(#REF!,"AAAAAEs1Wuw=")</f>
        <v>#REF!</v>
      </c>
      <c r="ID482" t="e">
        <f>AND(#REF!,"AAAAAEs1Wu0=")</f>
        <v>#REF!</v>
      </c>
      <c r="IE482" t="e">
        <f>AND(#REF!,"AAAAAEs1Wu4=")</f>
        <v>#REF!</v>
      </c>
      <c r="IF482" t="e">
        <f>AND(#REF!,"AAAAAEs1Wu8=")</f>
        <v>#REF!</v>
      </c>
      <c r="IG482" t="e">
        <f>AND(#REF!,"AAAAAEs1WvA=")</f>
        <v>#REF!</v>
      </c>
      <c r="IH482" t="e">
        <f>AND(#REF!,"AAAAAEs1WvE=")</f>
        <v>#REF!</v>
      </c>
      <c r="II482" t="e">
        <f>AND(#REF!,"AAAAAEs1WvI=")</f>
        <v>#REF!</v>
      </c>
      <c r="IJ482" t="e">
        <f>IF(#REF!,"AAAAAEs1WvM=",0)</f>
        <v>#REF!</v>
      </c>
      <c r="IK482" t="e">
        <f>AND(#REF!,"AAAAAEs1WvQ=")</f>
        <v>#REF!</v>
      </c>
      <c r="IL482" t="e">
        <f>AND(#REF!,"AAAAAEs1WvU=")</f>
        <v>#REF!</v>
      </c>
      <c r="IM482" t="e">
        <f>AND(#REF!,"AAAAAEs1WvY=")</f>
        <v>#REF!</v>
      </c>
      <c r="IN482" t="e">
        <f>AND(#REF!,"AAAAAEs1Wvc=")</f>
        <v>#REF!</v>
      </c>
      <c r="IO482" t="e">
        <f>AND(#REF!,"AAAAAEs1Wvg=")</f>
        <v>#REF!</v>
      </c>
      <c r="IP482" t="e">
        <f>AND(#REF!,"AAAAAEs1Wvk=")</f>
        <v>#REF!</v>
      </c>
      <c r="IQ482" t="e">
        <f>AND(#REF!,"AAAAAEs1Wvo=")</f>
        <v>#REF!</v>
      </c>
      <c r="IR482" t="e">
        <f>AND(#REF!,"AAAAAEs1Wvs=")</f>
        <v>#REF!</v>
      </c>
      <c r="IS482" t="e">
        <f>AND(#REF!,"AAAAAEs1Wvw=")</f>
        <v>#REF!</v>
      </c>
      <c r="IT482" t="e">
        <f>AND(#REF!,"AAAAAEs1Wv0=")</f>
        <v>#REF!</v>
      </c>
      <c r="IU482" t="e">
        <f>IF(#REF!,"AAAAAEs1Wv4=",0)</f>
        <v>#REF!</v>
      </c>
      <c r="IV482" t="e">
        <f>AND(#REF!,"AAAAAEs1Wv8=")</f>
        <v>#REF!</v>
      </c>
    </row>
    <row r="483" spans="1:256" x14ac:dyDescent="0.25">
      <c r="A483" t="e">
        <f>AND(#REF!,"AAAAAFh9NwA=")</f>
        <v>#REF!</v>
      </c>
      <c r="B483" t="e">
        <f>AND(#REF!,"AAAAAFh9NwE=")</f>
        <v>#REF!</v>
      </c>
      <c r="C483" t="e">
        <f>AND(#REF!,"AAAAAFh9NwI=")</f>
        <v>#REF!</v>
      </c>
      <c r="D483" t="e">
        <f>AND(#REF!,"AAAAAFh9NwM=")</f>
        <v>#REF!</v>
      </c>
      <c r="E483" t="e">
        <f>AND(#REF!,"AAAAAFh9NwQ=")</f>
        <v>#REF!</v>
      </c>
      <c r="F483" t="e">
        <f>AND(#REF!,"AAAAAFh9NwU=")</f>
        <v>#REF!</v>
      </c>
      <c r="G483" t="e">
        <f>AND(#REF!,"AAAAAFh9NwY=")</f>
        <v>#REF!</v>
      </c>
      <c r="H483" t="e">
        <f>AND(#REF!,"AAAAAFh9Nwc=")</f>
        <v>#REF!</v>
      </c>
      <c r="I483" t="e">
        <f>AND(#REF!,"AAAAAFh9Nwg=")</f>
        <v>#REF!</v>
      </c>
      <c r="J483" t="e">
        <f>IF(#REF!,"AAAAAFh9Nwk=",0)</f>
        <v>#REF!</v>
      </c>
      <c r="K483" t="e">
        <f>AND(#REF!,"AAAAAFh9Nwo=")</f>
        <v>#REF!</v>
      </c>
      <c r="L483" t="e">
        <f>AND(#REF!,"AAAAAFh9Nws=")</f>
        <v>#REF!</v>
      </c>
      <c r="M483" t="e">
        <f>AND(#REF!,"AAAAAFh9Nww=")</f>
        <v>#REF!</v>
      </c>
      <c r="N483" t="e">
        <f>AND(#REF!,"AAAAAFh9Nw0=")</f>
        <v>#REF!</v>
      </c>
      <c r="O483" t="e">
        <f>AND(#REF!,"AAAAAFh9Nw4=")</f>
        <v>#REF!</v>
      </c>
      <c r="P483" t="e">
        <f>AND(#REF!,"AAAAAFh9Nw8=")</f>
        <v>#REF!</v>
      </c>
      <c r="Q483" t="e">
        <f>AND(#REF!,"AAAAAFh9NxA=")</f>
        <v>#REF!</v>
      </c>
      <c r="R483" t="e">
        <f>AND(#REF!,"AAAAAFh9NxE=")</f>
        <v>#REF!</v>
      </c>
      <c r="S483" t="e">
        <f>AND(#REF!,"AAAAAFh9NxI=")</f>
        <v>#REF!</v>
      </c>
      <c r="T483" t="e">
        <f>AND(#REF!,"AAAAAFh9NxM=")</f>
        <v>#REF!</v>
      </c>
      <c r="U483" t="e">
        <f>IF(#REF!,"AAAAAFh9NxQ=",0)</f>
        <v>#REF!</v>
      </c>
      <c r="V483" t="e">
        <f>AND(#REF!,"AAAAAFh9NxU=")</f>
        <v>#REF!</v>
      </c>
      <c r="W483" t="e">
        <f>AND(#REF!,"AAAAAFh9NxY=")</f>
        <v>#REF!</v>
      </c>
      <c r="X483" t="e">
        <f>AND(#REF!,"AAAAAFh9Nxc=")</f>
        <v>#REF!</v>
      </c>
      <c r="Y483" t="e">
        <f>AND(#REF!,"AAAAAFh9Nxg=")</f>
        <v>#REF!</v>
      </c>
      <c r="Z483" t="e">
        <f>AND(#REF!,"AAAAAFh9Nxk=")</f>
        <v>#REF!</v>
      </c>
      <c r="AA483" t="e">
        <f>AND(#REF!,"AAAAAFh9Nxo=")</f>
        <v>#REF!</v>
      </c>
      <c r="AB483" t="e">
        <f>AND(#REF!,"AAAAAFh9Nxs=")</f>
        <v>#REF!</v>
      </c>
      <c r="AC483" t="e">
        <f>AND(#REF!,"AAAAAFh9Nxw=")</f>
        <v>#REF!</v>
      </c>
      <c r="AD483" t="e">
        <f>AND(#REF!,"AAAAAFh9Nx0=")</f>
        <v>#REF!</v>
      </c>
      <c r="AE483" t="e">
        <f>AND(#REF!,"AAAAAFh9Nx4=")</f>
        <v>#REF!</v>
      </c>
      <c r="AF483" t="e">
        <f>IF(#REF!,"AAAAAFh9Nx8=",0)</f>
        <v>#REF!</v>
      </c>
      <c r="AG483" t="e">
        <f>AND(#REF!,"AAAAAFh9NyA=")</f>
        <v>#REF!</v>
      </c>
      <c r="AH483" t="e">
        <f>AND(#REF!,"AAAAAFh9NyE=")</f>
        <v>#REF!</v>
      </c>
      <c r="AI483" t="e">
        <f>AND(#REF!,"AAAAAFh9NyI=")</f>
        <v>#REF!</v>
      </c>
      <c r="AJ483" t="e">
        <f>AND(#REF!,"AAAAAFh9NyM=")</f>
        <v>#REF!</v>
      </c>
      <c r="AK483" t="e">
        <f>AND(#REF!,"AAAAAFh9NyQ=")</f>
        <v>#REF!</v>
      </c>
      <c r="AL483" t="e">
        <f>AND(#REF!,"AAAAAFh9NyU=")</f>
        <v>#REF!</v>
      </c>
      <c r="AM483" t="e">
        <f>AND(#REF!,"AAAAAFh9NyY=")</f>
        <v>#REF!</v>
      </c>
      <c r="AN483" t="e">
        <f>AND(#REF!,"AAAAAFh9Nyc=")</f>
        <v>#REF!</v>
      </c>
      <c r="AO483" t="e">
        <f>AND(#REF!,"AAAAAFh9Nyg=")</f>
        <v>#REF!</v>
      </c>
      <c r="AP483" t="e">
        <f>AND(#REF!,"AAAAAFh9Nyk=")</f>
        <v>#REF!</v>
      </c>
      <c r="AQ483" t="e">
        <f>IF(#REF!,"AAAAAFh9Nyo=",0)</f>
        <v>#REF!</v>
      </c>
      <c r="AR483" t="e">
        <f>AND(#REF!,"AAAAAFh9Nys=")</f>
        <v>#REF!</v>
      </c>
      <c r="AS483" t="e">
        <f>AND(#REF!,"AAAAAFh9Nyw=")</f>
        <v>#REF!</v>
      </c>
      <c r="AT483" t="e">
        <f>AND(#REF!,"AAAAAFh9Ny0=")</f>
        <v>#REF!</v>
      </c>
      <c r="AU483" t="e">
        <f>AND(#REF!,"AAAAAFh9Ny4=")</f>
        <v>#REF!</v>
      </c>
      <c r="AV483" t="e">
        <f>AND(#REF!,"AAAAAFh9Ny8=")</f>
        <v>#REF!</v>
      </c>
      <c r="AW483" t="e">
        <f>AND(#REF!,"AAAAAFh9NzA=")</f>
        <v>#REF!</v>
      </c>
      <c r="AX483" t="e">
        <f>AND(#REF!,"AAAAAFh9NzE=")</f>
        <v>#REF!</v>
      </c>
      <c r="AY483" t="e">
        <f>AND(#REF!,"AAAAAFh9NzI=")</f>
        <v>#REF!</v>
      </c>
      <c r="AZ483" t="e">
        <f>AND(#REF!,"AAAAAFh9NzM=")</f>
        <v>#REF!</v>
      </c>
      <c r="BA483" t="e">
        <f>AND(#REF!,"AAAAAFh9NzQ=")</f>
        <v>#REF!</v>
      </c>
      <c r="BB483" t="e">
        <f>IF(#REF!,"AAAAAFh9NzU=",0)</f>
        <v>#REF!</v>
      </c>
      <c r="BC483" t="e">
        <f>AND(#REF!,"AAAAAFh9NzY=")</f>
        <v>#REF!</v>
      </c>
      <c r="BD483" t="e">
        <f>AND(#REF!,"AAAAAFh9Nzc=")</f>
        <v>#REF!</v>
      </c>
      <c r="BE483" t="e">
        <f>AND(#REF!,"AAAAAFh9Nzg=")</f>
        <v>#REF!</v>
      </c>
      <c r="BF483" t="e">
        <f>AND(#REF!,"AAAAAFh9Nzk=")</f>
        <v>#REF!</v>
      </c>
      <c r="BG483" t="e">
        <f>AND(#REF!,"AAAAAFh9Nzo=")</f>
        <v>#REF!</v>
      </c>
      <c r="BH483" t="e">
        <f>AND(#REF!,"AAAAAFh9Nzs=")</f>
        <v>#REF!</v>
      </c>
      <c r="BI483" t="e">
        <f>AND(#REF!,"AAAAAFh9Nzw=")</f>
        <v>#REF!</v>
      </c>
      <c r="BJ483" t="e">
        <f>AND(#REF!,"AAAAAFh9Nz0=")</f>
        <v>#REF!</v>
      </c>
      <c r="BK483" t="e">
        <f>AND(#REF!,"AAAAAFh9Nz4=")</f>
        <v>#REF!</v>
      </c>
      <c r="BL483" t="e">
        <f>AND(#REF!,"AAAAAFh9Nz8=")</f>
        <v>#REF!</v>
      </c>
      <c r="BM483" t="e">
        <f>IF(#REF!,"AAAAAFh9N0A=",0)</f>
        <v>#REF!</v>
      </c>
      <c r="BN483" t="e">
        <f>AND(#REF!,"AAAAAFh9N0E=")</f>
        <v>#REF!</v>
      </c>
      <c r="BO483" t="e">
        <f>AND(#REF!,"AAAAAFh9N0I=")</f>
        <v>#REF!</v>
      </c>
      <c r="BP483" t="e">
        <f>AND(#REF!,"AAAAAFh9N0M=")</f>
        <v>#REF!</v>
      </c>
      <c r="BQ483" t="e">
        <f>AND(#REF!,"AAAAAFh9N0Q=")</f>
        <v>#REF!</v>
      </c>
      <c r="BR483" t="e">
        <f>AND(#REF!,"AAAAAFh9N0U=")</f>
        <v>#REF!</v>
      </c>
      <c r="BS483" t="e">
        <f>AND(#REF!,"AAAAAFh9N0Y=")</f>
        <v>#REF!</v>
      </c>
      <c r="BT483" t="e">
        <f>AND(#REF!,"AAAAAFh9N0c=")</f>
        <v>#REF!</v>
      </c>
      <c r="BU483" t="e">
        <f>AND(#REF!,"AAAAAFh9N0g=")</f>
        <v>#REF!</v>
      </c>
      <c r="BV483" t="e">
        <f>AND(#REF!,"AAAAAFh9N0k=")</f>
        <v>#REF!</v>
      </c>
      <c r="BW483" t="e">
        <f>AND(#REF!,"AAAAAFh9N0o=")</f>
        <v>#REF!</v>
      </c>
      <c r="BX483" t="e">
        <f>IF(#REF!,"AAAAAFh9N0s=",0)</f>
        <v>#REF!</v>
      </c>
      <c r="BY483" t="e">
        <f>AND(#REF!,"AAAAAFh9N0w=")</f>
        <v>#REF!</v>
      </c>
      <c r="BZ483" t="e">
        <f>AND(#REF!,"AAAAAFh9N00=")</f>
        <v>#REF!</v>
      </c>
      <c r="CA483" t="e">
        <f>AND(#REF!,"AAAAAFh9N04=")</f>
        <v>#REF!</v>
      </c>
      <c r="CB483" t="e">
        <f>AND(#REF!,"AAAAAFh9N08=")</f>
        <v>#REF!</v>
      </c>
      <c r="CC483" t="e">
        <f>AND(#REF!,"AAAAAFh9N1A=")</f>
        <v>#REF!</v>
      </c>
      <c r="CD483" t="e">
        <f>AND(#REF!,"AAAAAFh9N1E=")</f>
        <v>#REF!</v>
      </c>
      <c r="CE483" t="e">
        <f>AND(#REF!,"AAAAAFh9N1I=")</f>
        <v>#REF!</v>
      </c>
      <c r="CF483" t="e">
        <f>AND(#REF!,"AAAAAFh9N1M=")</f>
        <v>#REF!</v>
      </c>
      <c r="CG483" t="e">
        <f>AND(#REF!,"AAAAAFh9N1Q=")</f>
        <v>#REF!</v>
      </c>
      <c r="CH483" t="e">
        <f>AND(#REF!,"AAAAAFh9N1U=")</f>
        <v>#REF!</v>
      </c>
      <c r="CI483" t="e">
        <f>IF(#REF!,"AAAAAFh9N1Y=",0)</f>
        <v>#REF!</v>
      </c>
      <c r="CJ483" t="e">
        <f>AND(#REF!,"AAAAAFh9N1c=")</f>
        <v>#REF!</v>
      </c>
      <c r="CK483" t="e">
        <f>AND(#REF!,"AAAAAFh9N1g=")</f>
        <v>#REF!</v>
      </c>
      <c r="CL483" t="e">
        <f>AND(#REF!,"AAAAAFh9N1k=")</f>
        <v>#REF!</v>
      </c>
      <c r="CM483" t="e">
        <f>AND(#REF!,"AAAAAFh9N1o=")</f>
        <v>#REF!</v>
      </c>
      <c r="CN483" t="e">
        <f>AND(#REF!,"AAAAAFh9N1s=")</f>
        <v>#REF!</v>
      </c>
      <c r="CO483" t="e">
        <f>AND(#REF!,"AAAAAFh9N1w=")</f>
        <v>#REF!</v>
      </c>
      <c r="CP483" t="e">
        <f>AND(#REF!,"AAAAAFh9N10=")</f>
        <v>#REF!</v>
      </c>
      <c r="CQ483" t="e">
        <f>AND(#REF!,"AAAAAFh9N14=")</f>
        <v>#REF!</v>
      </c>
      <c r="CR483" t="e">
        <f>AND(#REF!,"AAAAAFh9N18=")</f>
        <v>#REF!</v>
      </c>
      <c r="CS483" t="e">
        <f>AND(#REF!,"AAAAAFh9N2A=")</f>
        <v>#REF!</v>
      </c>
      <c r="CT483" t="e">
        <f>IF(#REF!,"AAAAAFh9N2E=",0)</f>
        <v>#REF!</v>
      </c>
      <c r="CU483" t="e">
        <f>AND(#REF!,"AAAAAFh9N2I=")</f>
        <v>#REF!</v>
      </c>
      <c r="CV483" t="e">
        <f>AND(#REF!,"AAAAAFh9N2M=")</f>
        <v>#REF!</v>
      </c>
      <c r="CW483" t="e">
        <f>AND(#REF!,"AAAAAFh9N2Q=")</f>
        <v>#REF!</v>
      </c>
      <c r="CX483" t="e">
        <f>AND(#REF!,"AAAAAFh9N2U=")</f>
        <v>#REF!</v>
      </c>
      <c r="CY483" t="e">
        <f>AND(#REF!,"AAAAAFh9N2Y=")</f>
        <v>#REF!</v>
      </c>
      <c r="CZ483" t="e">
        <f>AND(#REF!,"AAAAAFh9N2c=")</f>
        <v>#REF!</v>
      </c>
      <c r="DA483" t="e">
        <f>AND(#REF!,"AAAAAFh9N2g=")</f>
        <v>#REF!</v>
      </c>
      <c r="DB483" t="e">
        <f>AND(#REF!,"AAAAAFh9N2k=")</f>
        <v>#REF!</v>
      </c>
      <c r="DC483" t="e">
        <f>AND(#REF!,"AAAAAFh9N2o=")</f>
        <v>#REF!</v>
      </c>
      <c r="DD483" t="e">
        <f>AND(#REF!,"AAAAAFh9N2s=")</f>
        <v>#REF!</v>
      </c>
      <c r="DE483" t="e">
        <f>IF(#REF!,"AAAAAFh9N2w=",0)</f>
        <v>#REF!</v>
      </c>
      <c r="DF483" t="e">
        <f>AND(#REF!,"AAAAAFh9N20=")</f>
        <v>#REF!</v>
      </c>
      <c r="DG483" t="e">
        <f>AND(#REF!,"AAAAAFh9N24=")</f>
        <v>#REF!</v>
      </c>
      <c r="DH483" t="e">
        <f>AND(#REF!,"AAAAAFh9N28=")</f>
        <v>#REF!</v>
      </c>
      <c r="DI483" t="e">
        <f>AND(#REF!,"AAAAAFh9N3A=")</f>
        <v>#REF!</v>
      </c>
      <c r="DJ483" t="e">
        <f>AND(#REF!,"AAAAAFh9N3E=")</f>
        <v>#REF!</v>
      </c>
      <c r="DK483" t="e">
        <f>AND(#REF!,"AAAAAFh9N3I=")</f>
        <v>#REF!</v>
      </c>
      <c r="DL483" t="e">
        <f>AND(#REF!,"AAAAAFh9N3M=")</f>
        <v>#REF!</v>
      </c>
      <c r="DM483" t="e">
        <f>AND(#REF!,"AAAAAFh9N3Q=")</f>
        <v>#REF!</v>
      </c>
      <c r="DN483" t="e">
        <f>AND(#REF!,"AAAAAFh9N3U=")</f>
        <v>#REF!</v>
      </c>
      <c r="DO483" t="e">
        <f>AND(#REF!,"AAAAAFh9N3Y=")</f>
        <v>#REF!</v>
      </c>
      <c r="DP483" t="e">
        <f>IF(#REF!,"AAAAAFh9N3c=",0)</f>
        <v>#REF!</v>
      </c>
      <c r="DQ483" t="e">
        <f>AND(#REF!,"AAAAAFh9N3g=")</f>
        <v>#REF!</v>
      </c>
      <c r="DR483" t="e">
        <f>AND(#REF!,"AAAAAFh9N3k=")</f>
        <v>#REF!</v>
      </c>
      <c r="DS483" t="e">
        <f>AND(#REF!,"AAAAAFh9N3o=")</f>
        <v>#REF!</v>
      </c>
      <c r="DT483" t="e">
        <f>AND(#REF!,"AAAAAFh9N3s=")</f>
        <v>#REF!</v>
      </c>
      <c r="DU483" t="e">
        <f>AND(#REF!,"AAAAAFh9N3w=")</f>
        <v>#REF!</v>
      </c>
      <c r="DV483" t="e">
        <f>AND(#REF!,"AAAAAFh9N30=")</f>
        <v>#REF!</v>
      </c>
      <c r="DW483" t="e">
        <f>AND(#REF!,"AAAAAFh9N34=")</f>
        <v>#REF!</v>
      </c>
      <c r="DX483" t="e">
        <f>AND(#REF!,"AAAAAFh9N38=")</f>
        <v>#REF!</v>
      </c>
      <c r="DY483" t="e">
        <f>AND(#REF!,"AAAAAFh9N4A=")</f>
        <v>#REF!</v>
      </c>
      <c r="DZ483" t="e">
        <f>AND(#REF!,"AAAAAFh9N4E=")</f>
        <v>#REF!</v>
      </c>
      <c r="EA483" t="e">
        <f>IF(#REF!,"AAAAAFh9N4I=",0)</f>
        <v>#REF!</v>
      </c>
      <c r="EB483" t="e">
        <f>AND(#REF!,"AAAAAFh9N4M=")</f>
        <v>#REF!</v>
      </c>
      <c r="EC483" t="e">
        <f>AND(#REF!,"AAAAAFh9N4Q=")</f>
        <v>#REF!</v>
      </c>
      <c r="ED483" t="e">
        <f>AND(#REF!,"AAAAAFh9N4U=")</f>
        <v>#REF!</v>
      </c>
      <c r="EE483" t="e">
        <f>AND(#REF!,"AAAAAFh9N4Y=")</f>
        <v>#REF!</v>
      </c>
      <c r="EF483" t="e">
        <f>AND(#REF!,"AAAAAFh9N4c=")</f>
        <v>#REF!</v>
      </c>
      <c r="EG483" t="e">
        <f>AND(#REF!,"AAAAAFh9N4g=")</f>
        <v>#REF!</v>
      </c>
      <c r="EH483" t="e">
        <f>AND(#REF!,"AAAAAFh9N4k=")</f>
        <v>#REF!</v>
      </c>
      <c r="EI483" t="e">
        <f>AND(#REF!,"AAAAAFh9N4o=")</f>
        <v>#REF!</v>
      </c>
      <c r="EJ483" t="e">
        <f>AND(#REF!,"AAAAAFh9N4s=")</f>
        <v>#REF!</v>
      </c>
      <c r="EK483" t="e">
        <f>AND(#REF!,"AAAAAFh9N4w=")</f>
        <v>#REF!</v>
      </c>
      <c r="EL483" t="e">
        <f>IF(#REF!,"AAAAAFh9N40=",0)</f>
        <v>#REF!</v>
      </c>
      <c r="EM483" t="e">
        <f>AND(#REF!,"AAAAAFh9N44=")</f>
        <v>#REF!</v>
      </c>
      <c r="EN483" t="e">
        <f>AND(#REF!,"AAAAAFh9N48=")</f>
        <v>#REF!</v>
      </c>
      <c r="EO483" t="e">
        <f>AND(#REF!,"AAAAAFh9N5A=")</f>
        <v>#REF!</v>
      </c>
      <c r="EP483" t="e">
        <f>AND(#REF!,"AAAAAFh9N5E=")</f>
        <v>#REF!</v>
      </c>
      <c r="EQ483" t="e">
        <f>AND(#REF!,"AAAAAFh9N5I=")</f>
        <v>#REF!</v>
      </c>
      <c r="ER483" t="e">
        <f>AND(#REF!,"AAAAAFh9N5M=")</f>
        <v>#REF!</v>
      </c>
      <c r="ES483" t="e">
        <f>AND(#REF!,"AAAAAFh9N5Q=")</f>
        <v>#REF!</v>
      </c>
      <c r="ET483" t="e">
        <f>AND(#REF!,"AAAAAFh9N5U=")</f>
        <v>#REF!</v>
      </c>
      <c r="EU483" t="e">
        <f>AND(#REF!,"AAAAAFh9N5Y=")</f>
        <v>#REF!</v>
      </c>
      <c r="EV483" t="e">
        <f>AND(#REF!,"AAAAAFh9N5c=")</f>
        <v>#REF!</v>
      </c>
      <c r="EW483" t="e">
        <f>IF(#REF!,"AAAAAFh9N5g=",0)</f>
        <v>#REF!</v>
      </c>
      <c r="EX483" t="e">
        <f>AND(#REF!,"AAAAAFh9N5k=")</f>
        <v>#REF!</v>
      </c>
      <c r="EY483" t="e">
        <f>AND(#REF!,"AAAAAFh9N5o=")</f>
        <v>#REF!</v>
      </c>
      <c r="EZ483" t="e">
        <f>AND(#REF!,"AAAAAFh9N5s=")</f>
        <v>#REF!</v>
      </c>
      <c r="FA483" t="e">
        <f>AND(#REF!,"AAAAAFh9N5w=")</f>
        <v>#REF!</v>
      </c>
      <c r="FB483" t="e">
        <f>AND(#REF!,"AAAAAFh9N50=")</f>
        <v>#REF!</v>
      </c>
      <c r="FC483" t="e">
        <f>AND(#REF!,"AAAAAFh9N54=")</f>
        <v>#REF!</v>
      </c>
      <c r="FD483" t="e">
        <f>AND(#REF!,"AAAAAFh9N58=")</f>
        <v>#REF!</v>
      </c>
      <c r="FE483" t="e">
        <f>AND(#REF!,"AAAAAFh9N6A=")</f>
        <v>#REF!</v>
      </c>
      <c r="FF483" t="e">
        <f>AND(#REF!,"AAAAAFh9N6E=")</f>
        <v>#REF!</v>
      </c>
      <c r="FG483" t="e">
        <f>AND(#REF!,"AAAAAFh9N6I=")</f>
        <v>#REF!</v>
      </c>
      <c r="FH483" t="e">
        <f>IF(#REF!,"AAAAAFh9N6M=",0)</f>
        <v>#REF!</v>
      </c>
      <c r="FI483" t="e">
        <f>AND(#REF!,"AAAAAFh9N6Q=")</f>
        <v>#REF!</v>
      </c>
      <c r="FJ483" t="e">
        <f>AND(#REF!,"AAAAAFh9N6U=")</f>
        <v>#REF!</v>
      </c>
      <c r="FK483" t="e">
        <f>AND(#REF!,"AAAAAFh9N6Y=")</f>
        <v>#REF!</v>
      </c>
      <c r="FL483" t="e">
        <f>AND(#REF!,"AAAAAFh9N6c=")</f>
        <v>#REF!</v>
      </c>
      <c r="FM483" t="e">
        <f>AND(#REF!,"AAAAAFh9N6g=")</f>
        <v>#REF!</v>
      </c>
      <c r="FN483" t="e">
        <f>AND(#REF!,"AAAAAFh9N6k=")</f>
        <v>#REF!</v>
      </c>
      <c r="FO483" t="e">
        <f>AND(#REF!,"AAAAAFh9N6o=")</f>
        <v>#REF!</v>
      </c>
      <c r="FP483" t="e">
        <f>AND(#REF!,"AAAAAFh9N6s=")</f>
        <v>#REF!</v>
      </c>
      <c r="FQ483" t="e">
        <f>AND(#REF!,"AAAAAFh9N6w=")</f>
        <v>#REF!</v>
      </c>
      <c r="FR483" t="e">
        <f>AND(#REF!,"AAAAAFh9N60=")</f>
        <v>#REF!</v>
      </c>
      <c r="FS483" t="e">
        <f>IF(#REF!,"AAAAAFh9N64=",0)</f>
        <v>#REF!</v>
      </c>
      <c r="FT483" t="e">
        <f>AND(#REF!,"AAAAAFh9N68=")</f>
        <v>#REF!</v>
      </c>
      <c r="FU483" t="e">
        <f>AND(#REF!,"AAAAAFh9N7A=")</f>
        <v>#REF!</v>
      </c>
      <c r="FV483" t="e">
        <f>AND(#REF!,"AAAAAFh9N7E=")</f>
        <v>#REF!</v>
      </c>
      <c r="FW483" t="e">
        <f>AND(#REF!,"AAAAAFh9N7I=")</f>
        <v>#REF!</v>
      </c>
      <c r="FX483" t="e">
        <f>AND(#REF!,"AAAAAFh9N7M=")</f>
        <v>#REF!</v>
      </c>
      <c r="FY483" t="e">
        <f>AND(#REF!,"AAAAAFh9N7Q=")</f>
        <v>#REF!</v>
      </c>
      <c r="FZ483" t="e">
        <f>AND(#REF!,"AAAAAFh9N7U=")</f>
        <v>#REF!</v>
      </c>
      <c r="GA483" t="e">
        <f>AND(#REF!,"AAAAAFh9N7Y=")</f>
        <v>#REF!</v>
      </c>
      <c r="GB483" t="e">
        <f>AND(#REF!,"AAAAAFh9N7c=")</f>
        <v>#REF!</v>
      </c>
      <c r="GC483" t="e">
        <f>AND(#REF!,"AAAAAFh9N7g=")</f>
        <v>#REF!</v>
      </c>
      <c r="GD483" t="e">
        <f>IF(#REF!,"AAAAAFh9N7k=",0)</f>
        <v>#REF!</v>
      </c>
      <c r="GE483" t="e">
        <f>AND(#REF!,"AAAAAFh9N7o=")</f>
        <v>#REF!</v>
      </c>
      <c r="GF483" t="e">
        <f>AND(#REF!,"AAAAAFh9N7s=")</f>
        <v>#REF!</v>
      </c>
      <c r="GG483" t="e">
        <f>AND(#REF!,"AAAAAFh9N7w=")</f>
        <v>#REF!</v>
      </c>
      <c r="GH483" t="e">
        <f>AND(#REF!,"AAAAAFh9N70=")</f>
        <v>#REF!</v>
      </c>
      <c r="GI483" t="e">
        <f>AND(#REF!,"AAAAAFh9N74=")</f>
        <v>#REF!</v>
      </c>
      <c r="GJ483" t="e">
        <f>AND(#REF!,"AAAAAFh9N78=")</f>
        <v>#REF!</v>
      </c>
      <c r="GK483" t="e">
        <f>AND(#REF!,"AAAAAFh9N8A=")</f>
        <v>#REF!</v>
      </c>
      <c r="GL483" t="e">
        <f>AND(#REF!,"AAAAAFh9N8E=")</f>
        <v>#REF!</v>
      </c>
      <c r="GM483" t="e">
        <f>AND(#REF!,"AAAAAFh9N8I=")</f>
        <v>#REF!</v>
      </c>
      <c r="GN483" t="e">
        <f>AND(#REF!,"AAAAAFh9N8M=")</f>
        <v>#REF!</v>
      </c>
      <c r="GO483" t="e">
        <f>IF(#REF!,"AAAAAFh9N8Q=",0)</f>
        <v>#REF!</v>
      </c>
      <c r="GP483" t="e">
        <f>AND(#REF!,"AAAAAFh9N8U=")</f>
        <v>#REF!</v>
      </c>
      <c r="GQ483" t="e">
        <f>AND(#REF!,"AAAAAFh9N8Y=")</f>
        <v>#REF!</v>
      </c>
      <c r="GR483" t="e">
        <f>AND(#REF!,"AAAAAFh9N8c=")</f>
        <v>#REF!</v>
      </c>
      <c r="GS483" t="e">
        <f>AND(#REF!,"AAAAAFh9N8g=")</f>
        <v>#REF!</v>
      </c>
      <c r="GT483" t="e">
        <f>AND(#REF!,"AAAAAFh9N8k=")</f>
        <v>#REF!</v>
      </c>
      <c r="GU483" t="e">
        <f>AND(#REF!,"AAAAAFh9N8o=")</f>
        <v>#REF!</v>
      </c>
      <c r="GV483" t="e">
        <f>AND(#REF!,"AAAAAFh9N8s=")</f>
        <v>#REF!</v>
      </c>
      <c r="GW483" t="e">
        <f>AND(#REF!,"AAAAAFh9N8w=")</f>
        <v>#REF!</v>
      </c>
      <c r="GX483" t="e">
        <f>AND(#REF!,"AAAAAFh9N80=")</f>
        <v>#REF!</v>
      </c>
      <c r="GY483" t="e">
        <f>AND(#REF!,"AAAAAFh9N84=")</f>
        <v>#REF!</v>
      </c>
      <c r="GZ483" t="e">
        <f>IF(#REF!,"AAAAAFh9N88=",0)</f>
        <v>#REF!</v>
      </c>
      <c r="HA483" t="e">
        <f>AND(#REF!,"AAAAAFh9N9A=")</f>
        <v>#REF!</v>
      </c>
      <c r="HB483" t="e">
        <f>AND(#REF!,"AAAAAFh9N9E=")</f>
        <v>#REF!</v>
      </c>
      <c r="HC483" t="e">
        <f>AND(#REF!,"AAAAAFh9N9I=")</f>
        <v>#REF!</v>
      </c>
      <c r="HD483" t="e">
        <f>AND(#REF!,"AAAAAFh9N9M=")</f>
        <v>#REF!</v>
      </c>
      <c r="HE483" t="e">
        <f>AND(#REF!,"AAAAAFh9N9Q=")</f>
        <v>#REF!</v>
      </c>
      <c r="HF483" t="e">
        <f>AND(#REF!,"AAAAAFh9N9U=")</f>
        <v>#REF!</v>
      </c>
      <c r="HG483" t="e">
        <f>AND(#REF!,"AAAAAFh9N9Y=")</f>
        <v>#REF!</v>
      </c>
      <c r="HH483" t="e">
        <f>AND(#REF!,"AAAAAFh9N9c=")</f>
        <v>#REF!</v>
      </c>
      <c r="HI483" t="e">
        <f>AND(#REF!,"AAAAAFh9N9g=")</f>
        <v>#REF!</v>
      </c>
      <c r="HJ483" t="e">
        <f>AND(#REF!,"AAAAAFh9N9k=")</f>
        <v>#REF!</v>
      </c>
      <c r="HK483" t="e">
        <f>IF(#REF!,"AAAAAFh9N9o=",0)</f>
        <v>#REF!</v>
      </c>
      <c r="HL483" t="e">
        <f>AND(#REF!,"AAAAAFh9N9s=")</f>
        <v>#REF!</v>
      </c>
      <c r="HM483" t="e">
        <f>AND(#REF!,"AAAAAFh9N9w=")</f>
        <v>#REF!</v>
      </c>
      <c r="HN483" t="e">
        <f>AND(#REF!,"AAAAAFh9N90=")</f>
        <v>#REF!</v>
      </c>
      <c r="HO483" t="e">
        <f>AND(#REF!,"AAAAAFh9N94=")</f>
        <v>#REF!</v>
      </c>
      <c r="HP483" t="e">
        <f>AND(#REF!,"AAAAAFh9N98=")</f>
        <v>#REF!</v>
      </c>
      <c r="HQ483" t="e">
        <f>AND(#REF!,"AAAAAFh9N+A=")</f>
        <v>#REF!</v>
      </c>
      <c r="HR483" t="e">
        <f>AND(#REF!,"AAAAAFh9N+E=")</f>
        <v>#REF!</v>
      </c>
      <c r="HS483" t="e">
        <f>AND(#REF!,"AAAAAFh9N+I=")</f>
        <v>#REF!</v>
      </c>
      <c r="HT483" t="e">
        <f>AND(#REF!,"AAAAAFh9N+M=")</f>
        <v>#REF!</v>
      </c>
      <c r="HU483" t="e">
        <f>AND(#REF!,"AAAAAFh9N+Q=")</f>
        <v>#REF!</v>
      </c>
      <c r="HV483" t="e">
        <f>IF(#REF!,"AAAAAFh9N+U=",0)</f>
        <v>#REF!</v>
      </c>
      <c r="HW483" t="e">
        <f>AND(#REF!,"AAAAAFh9N+Y=")</f>
        <v>#REF!</v>
      </c>
      <c r="HX483" t="e">
        <f>AND(#REF!,"AAAAAFh9N+c=")</f>
        <v>#REF!</v>
      </c>
      <c r="HY483" t="e">
        <f>AND(#REF!,"AAAAAFh9N+g=")</f>
        <v>#REF!</v>
      </c>
      <c r="HZ483" t="e">
        <f>AND(#REF!,"AAAAAFh9N+k=")</f>
        <v>#REF!</v>
      </c>
      <c r="IA483" t="e">
        <f>AND(#REF!,"AAAAAFh9N+o=")</f>
        <v>#REF!</v>
      </c>
      <c r="IB483" t="e">
        <f>AND(#REF!,"AAAAAFh9N+s=")</f>
        <v>#REF!</v>
      </c>
      <c r="IC483" t="e">
        <f>AND(#REF!,"AAAAAFh9N+w=")</f>
        <v>#REF!</v>
      </c>
      <c r="ID483" t="e">
        <f>AND(#REF!,"AAAAAFh9N+0=")</f>
        <v>#REF!</v>
      </c>
      <c r="IE483" t="e">
        <f>AND(#REF!,"AAAAAFh9N+4=")</f>
        <v>#REF!</v>
      </c>
      <c r="IF483" t="e">
        <f>AND(#REF!,"AAAAAFh9N+8=")</f>
        <v>#REF!</v>
      </c>
      <c r="IG483" t="e">
        <f>IF(#REF!,"AAAAAFh9N/A=",0)</f>
        <v>#REF!</v>
      </c>
      <c r="IH483" t="e">
        <f>AND(#REF!,"AAAAAFh9N/E=")</f>
        <v>#REF!</v>
      </c>
      <c r="II483" t="e">
        <f>AND(#REF!,"AAAAAFh9N/I=")</f>
        <v>#REF!</v>
      </c>
      <c r="IJ483" t="e">
        <f>AND(#REF!,"AAAAAFh9N/M=")</f>
        <v>#REF!</v>
      </c>
      <c r="IK483" t="e">
        <f>AND(#REF!,"AAAAAFh9N/Q=")</f>
        <v>#REF!</v>
      </c>
      <c r="IL483" t="e">
        <f>AND(#REF!,"AAAAAFh9N/U=")</f>
        <v>#REF!</v>
      </c>
      <c r="IM483" t="e">
        <f>AND(#REF!,"AAAAAFh9N/Y=")</f>
        <v>#REF!</v>
      </c>
      <c r="IN483" t="e">
        <f>AND(#REF!,"AAAAAFh9N/c=")</f>
        <v>#REF!</v>
      </c>
      <c r="IO483" t="e">
        <f>AND(#REF!,"AAAAAFh9N/g=")</f>
        <v>#REF!</v>
      </c>
      <c r="IP483" t="e">
        <f>AND(#REF!,"AAAAAFh9N/k=")</f>
        <v>#REF!</v>
      </c>
      <c r="IQ483" t="e">
        <f>AND(#REF!,"AAAAAFh9N/o=")</f>
        <v>#REF!</v>
      </c>
      <c r="IR483" t="e">
        <f>IF(#REF!,"AAAAAFh9N/s=",0)</f>
        <v>#REF!</v>
      </c>
      <c r="IS483" t="e">
        <f>AND(#REF!,"AAAAAFh9N/w=")</f>
        <v>#REF!</v>
      </c>
      <c r="IT483" t="e">
        <f>AND(#REF!,"AAAAAFh9N/0=")</f>
        <v>#REF!</v>
      </c>
      <c r="IU483" t="e">
        <f>AND(#REF!,"AAAAAFh9N/4=")</f>
        <v>#REF!</v>
      </c>
      <c r="IV483" t="e">
        <f>AND(#REF!,"AAAAAFh9N/8=")</f>
        <v>#REF!</v>
      </c>
    </row>
    <row r="484" spans="1:256" x14ac:dyDescent="0.25">
      <c r="A484" t="e">
        <f>AND(#REF!,"AAAAAG5/RQA=")</f>
        <v>#REF!</v>
      </c>
      <c r="B484" t="e">
        <f>AND(#REF!,"AAAAAG5/RQE=")</f>
        <v>#REF!</v>
      </c>
      <c r="C484" t="e">
        <f>AND(#REF!,"AAAAAG5/RQI=")</f>
        <v>#REF!</v>
      </c>
      <c r="D484" t="e">
        <f>AND(#REF!,"AAAAAG5/RQM=")</f>
        <v>#REF!</v>
      </c>
      <c r="E484" t="e">
        <f>AND(#REF!,"AAAAAG5/RQQ=")</f>
        <v>#REF!</v>
      </c>
      <c r="F484" t="e">
        <f>AND(#REF!,"AAAAAG5/RQU=")</f>
        <v>#REF!</v>
      </c>
      <c r="G484" t="e">
        <f>IF(#REF!,"AAAAAG5/RQY=",0)</f>
        <v>#REF!</v>
      </c>
      <c r="H484" t="e">
        <f>AND(#REF!,"AAAAAG5/RQc=")</f>
        <v>#REF!</v>
      </c>
      <c r="I484" t="e">
        <f>AND(#REF!,"AAAAAG5/RQg=")</f>
        <v>#REF!</v>
      </c>
      <c r="J484" t="e">
        <f>AND(#REF!,"AAAAAG5/RQk=")</f>
        <v>#REF!</v>
      </c>
      <c r="K484" t="e">
        <f>AND(#REF!,"AAAAAG5/RQo=")</f>
        <v>#REF!</v>
      </c>
      <c r="L484" t="e">
        <f>AND(#REF!,"AAAAAG5/RQs=")</f>
        <v>#REF!</v>
      </c>
      <c r="M484" t="e">
        <f>AND(#REF!,"AAAAAG5/RQw=")</f>
        <v>#REF!</v>
      </c>
      <c r="N484" t="e">
        <f>AND(#REF!,"AAAAAG5/RQ0=")</f>
        <v>#REF!</v>
      </c>
      <c r="O484" t="e">
        <f>AND(#REF!,"AAAAAG5/RQ4=")</f>
        <v>#REF!</v>
      </c>
      <c r="P484" t="e">
        <f>AND(#REF!,"AAAAAG5/RQ8=")</f>
        <v>#REF!</v>
      </c>
      <c r="Q484" t="e">
        <f>AND(#REF!,"AAAAAG5/RRA=")</f>
        <v>#REF!</v>
      </c>
      <c r="R484" t="e">
        <f>IF(#REF!,"AAAAAG5/RRE=",0)</f>
        <v>#REF!</v>
      </c>
      <c r="S484" t="e">
        <f>AND(#REF!,"AAAAAG5/RRI=")</f>
        <v>#REF!</v>
      </c>
      <c r="T484" t="e">
        <f>AND(#REF!,"AAAAAG5/RRM=")</f>
        <v>#REF!</v>
      </c>
      <c r="U484" t="e">
        <f>AND(#REF!,"AAAAAG5/RRQ=")</f>
        <v>#REF!</v>
      </c>
      <c r="V484" t="e">
        <f>AND(#REF!,"AAAAAG5/RRU=")</f>
        <v>#REF!</v>
      </c>
      <c r="W484" t="e">
        <f>AND(#REF!,"AAAAAG5/RRY=")</f>
        <v>#REF!</v>
      </c>
      <c r="X484" t="e">
        <f>AND(#REF!,"AAAAAG5/RRc=")</f>
        <v>#REF!</v>
      </c>
      <c r="Y484" t="e">
        <f>AND(#REF!,"AAAAAG5/RRg=")</f>
        <v>#REF!</v>
      </c>
      <c r="Z484" t="e">
        <f>AND(#REF!,"AAAAAG5/RRk=")</f>
        <v>#REF!</v>
      </c>
      <c r="AA484" t="e">
        <f>AND(#REF!,"AAAAAG5/RRo=")</f>
        <v>#REF!</v>
      </c>
      <c r="AB484" t="e">
        <f>AND(#REF!,"AAAAAG5/RRs=")</f>
        <v>#REF!</v>
      </c>
      <c r="AC484" t="e">
        <f>IF(#REF!,"AAAAAG5/RRw=",0)</f>
        <v>#REF!</v>
      </c>
      <c r="AD484" t="e">
        <f>AND(#REF!,"AAAAAG5/RR0=")</f>
        <v>#REF!</v>
      </c>
      <c r="AE484" t="e">
        <f>AND(#REF!,"AAAAAG5/RR4=")</f>
        <v>#REF!</v>
      </c>
      <c r="AF484" t="e">
        <f>AND(#REF!,"AAAAAG5/RR8=")</f>
        <v>#REF!</v>
      </c>
      <c r="AG484" t="e">
        <f>AND(#REF!,"AAAAAG5/RSA=")</f>
        <v>#REF!</v>
      </c>
      <c r="AH484" t="e">
        <f>AND(#REF!,"AAAAAG5/RSE=")</f>
        <v>#REF!</v>
      </c>
      <c r="AI484" t="e">
        <f>AND(#REF!,"AAAAAG5/RSI=")</f>
        <v>#REF!</v>
      </c>
      <c r="AJ484" t="e">
        <f>AND(#REF!,"AAAAAG5/RSM=")</f>
        <v>#REF!</v>
      </c>
      <c r="AK484" t="e">
        <f>AND(#REF!,"AAAAAG5/RSQ=")</f>
        <v>#REF!</v>
      </c>
      <c r="AL484" t="e">
        <f>AND(#REF!,"AAAAAG5/RSU=")</f>
        <v>#REF!</v>
      </c>
      <c r="AM484" t="e">
        <f>AND(#REF!,"AAAAAG5/RSY=")</f>
        <v>#REF!</v>
      </c>
      <c r="AN484" t="e">
        <f>IF(#REF!,"AAAAAG5/RSc=",0)</f>
        <v>#REF!</v>
      </c>
      <c r="AO484" t="e">
        <f>AND(#REF!,"AAAAAG5/RSg=")</f>
        <v>#REF!</v>
      </c>
      <c r="AP484" t="e">
        <f>AND(#REF!,"AAAAAG5/RSk=")</f>
        <v>#REF!</v>
      </c>
      <c r="AQ484" t="e">
        <f>AND(#REF!,"AAAAAG5/RSo=")</f>
        <v>#REF!</v>
      </c>
      <c r="AR484" t="e">
        <f>AND(#REF!,"AAAAAG5/RSs=")</f>
        <v>#REF!</v>
      </c>
      <c r="AS484" t="e">
        <f>AND(#REF!,"AAAAAG5/RSw=")</f>
        <v>#REF!</v>
      </c>
      <c r="AT484" t="e">
        <f>AND(#REF!,"AAAAAG5/RS0=")</f>
        <v>#REF!</v>
      </c>
      <c r="AU484" t="e">
        <f>AND(#REF!,"AAAAAG5/RS4=")</f>
        <v>#REF!</v>
      </c>
      <c r="AV484" t="e">
        <f>AND(#REF!,"AAAAAG5/RS8=")</f>
        <v>#REF!</v>
      </c>
      <c r="AW484" t="e">
        <f>AND(#REF!,"AAAAAG5/RTA=")</f>
        <v>#REF!</v>
      </c>
      <c r="AX484" t="e">
        <f>AND(#REF!,"AAAAAG5/RTE=")</f>
        <v>#REF!</v>
      </c>
      <c r="AY484" t="e">
        <f>IF(#REF!,"AAAAAG5/RTI=",0)</f>
        <v>#REF!</v>
      </c>
      <c r="AZ484" t="e">
        <f>AND(#REF!,"AAAAAG5/RTM=")</f>
        <v>#REF!</v>
      </c>
      <c r="BA484" t="e">
        <f>AND(#REF!,"AAAAAG5/RTQ=")</f>
        <v>#REF!</v>
      </c>
      <c r="BB484" t="e">
        <f>AND(#REF!,"AAAAAG5/RTU=")</f>
        <v>#REF!</v>
      </c>
      <c r="BC484" t="e">
        <f>AND(#REF!,"AAAAAG5/RTY=")</f>
        <v>#REF!</v>
      </c>
      <c r="BD484" t="e">
        <f>AND(#REF!,"AAAAAG5/RTc=")</f>
        <v>#REF!</v>
      </c>
      <c r="BE484" t="e">
        <f>AND(#REF!,"AAAAAG5/RTg=")</f>
        <v>#REF!</v>
      </c>
      <c r="BF484" t="e">
        <f>AND(#REF!,"AAAAAG5/RTk=")</f>
        <v>#REF!</v>
      </c>
      <c r="BG484" t="e">
        <f>AND(#REF!,"AAAAAG5/RTo=")</f>
        <v>#REF!</v>
      </c>
      <c r="BH484" t="e">
        <f>AND(#REF!,"AAAAAG5/RTs=")</f>
        <v>#REF!</v>
      </c>
      <c r="BI484" t="e">
        <f>AND(#REF!,"AAAAAG5/RTw=")</f>
        <v>#REF!</v>
      </c>
      <c r="BJ484" t="e">
        <f>IF(#REF!,"AAAAAG5/RT0=",0)</f>
        <v>#REF!</v>
      </c>
      <c r="BK484" t="e">
        <f>AND(#REF!,"AAAAAG5/RT4=")</f>
        <v>#REF!</v>
      </c>
      <c r="BL484" t="e">
        <f>AND(#REF!,"AAAAAG5/RT8=")</f>
        <v>#REF!</v>
      </c>
      <c r="BM484" t="e">
        <f>AND(#REF!,"AAAAAG5/RUA=")</f>
        <v>#REF!</v>
      </c>
      <c r="BN484" t="e">
        <f>AND(#REF!,"AAAAAG5/RUE=")</f>
        <v>#REF!</v>
      </c>
      <c r="BO484" t="e">
        <f>AND(#REF!,"AAAAAG5/RUI=")</f>
        <v>#REF!</v>
      </c>
      <c r="BP484" t="e">
        <f>AND(#REF!,"AAAAAG5/RUM=")</f>
        <v>#REF!</v>
      </c>
      <c r="BQ484" t="e">
        <f>AND(#REF!,"AAAAAG5/RUQ=")</f>
        <v>#REF!</v>
      </c>
      <c r="BR484" t="e">
        <f>AND(#REF!,"AAAAAG5/RUU=")</f>
        <v>#REF!</v>
      </c>
      <c r="BS484" t="e">
        <f>AND(#REF!,"AAAAAG5/RUY=")</f>
        <v>#REF!</v>
      </c>
      <c r="BT484" t="e">
        <f>AND(#REF!,"AAAAAG5/RUc=")</f>
        <v>#REF!</v>
      </c>
      <c r="BU484" t="e">
        <f>IF(#REF!,"AAAAAG5/RUg=",0)</f>
        <v>#REF!</v>
      </c>
      <c r="BV484" t="e">
        <f>AND(#REF!,"AAAAAG5/RUk=")</f>
        <v>#REF!</v>
      </c>
      <c r="BW484" t="e">
        <f>AND(#REF!,"AAAAAG5/RUo=")</f>
        <v>#REF!</v>
      </c>
      <c r="BX484" t="e">
        <f>AND(#REF!,"AAAAAG5/RUs=")</f>
        <v>#REF!</v>
      </c>
      <c r="BY484" t="e">
        <f>AND(#REF!,"AAAAAG5/RUw=")</f>
        <v>#REF!</v>
      </c>
      <c r="BZ484" t="e">
        <f>AND(#REF!,"AAAAAG5/RU0=")</f>
        <v>#REF!</v>
      </c>
      <c r="CA484" t="e">
        <f>AND(#REF!,"AAAAAG5/RU4=")</f>
        <v>#REF!</v>
      </c>
      <c r="CB484" t="e">
        <f>AND(#REF!,"AAAAAG5/RU8=")</f>
        <v>#REF!</v>
      </c>
      <c r="CC484" t="e">
        <f>AND(#REF!,"AAAAAG5/RVA=")</f>
        <v>#REF!</v>
      </c>
      <c r="CD484" t="e">
        <f>AND(#REF!,"AAAAAG5/RVE=")</f>
        <v>#REF!</v>
      </c>
      <c r="CE484" t="e">
        <f>AND(#REF!,"AAAAAG5/RVI=")</f>
        <v>#REF!</v>
      </c>
      <c r="CF484" t="e">
        <f>IF(#REF!,"AAAAAG5/RVM=",0)</f>
        <v>#REF!</v>
      </c>
      <c r="CG484" t="e">
        <f>AND(#REF!,"AAAAAG5/RVQ=")</f>
        <v>#REF!</v>
      </c>
      <c r="CH484" t="e">
        <f>AND(#REF!,"AAAAAG5/RVU=")</f>
        <v>#REF!</v>
      </c>
      <c r="CI484" t="e">
        <f>AND(#REF!,"AAAAAG5/RVY=")</f>
        <v>#REF!</v>
      </c>
      <c r="CJ484" t="e">
        <f>AND(#REF!,"AAAAAG5/RVc=")</f>
        <v>#REF!</v>
      </c>
      <c r="CK484" t="e">
        <f>AND(#REF!,"AAAAAG5/RVg=")</f>
        <v>#REF!</v>
      </c>
      <c r="CL484" t="e">
        <f>AND(#REF!,"AAAAAG5/RVk=")</f>
        <v>#REF!</v>
      </c>
      <c r="CM484" t="e">
        <f>AND(#REF!,"AAAAAG5/RVo=")</f>
        <v>#REF!</v>
      </c>
      <c r="CN484" t="e">
        <f>AND(#REF!,"AAAAAG5/RVs=")</f>
        <v>#REF!</v>
      </c>
      <c r="CO484" t="e">
        <f>AND(#REF!,"AAAAAG5/RVw=")</f>
        <v>#REF!</v>
      </c>
      <c r="CP484" t="e">
        <f>AND(#REF!,"AAAAAG5/RV0=")</f>
        <v>#REF!</v>
      </c>
      <c r="CQ484" t="e">
        <f>IF(#REF!,"AAAAAG5/RV4=",0)</f>
        <v>#REF!</v>
      </c>
      <c r="CR484" t="e">
        <f>AND(#REF!,"AAAAAG5/RV8=")</f>
        <v>#REF!</v>
      </c>
      <c r="CS484" t="e">
        <f>AND(#REF!,"AAAAAG5/RWA=")</f>
        <v>#REF!</v>
      </c>
      <c r="CT484" t="e">
        <f>AND(#REF!,"AAAAAG5/RWE=")</f>
        <v>#REF!</v>
      </c>
      <c r="CU484" t="e">
        <f>AND(#REF!,"AAAAAG5/RWI=")</f>
        <v>#REF!</v>
      </c>
      <c r="CV484" t="e">
        <f>AND(#REF!,"AAAAAG5/RWM=")</f>
        <v>#REF!</v>
      </c>
      <c r="CW484" t="e">
        <f>AND(#REF!,"AAAAAG5/RWQ=")</f>
        <v>#REF!</v>
      </c>
      <c r="CX484" t="e">
        <f>AND(#REF!,"AAAAAG5/RWU=")</f>
        <v>#REF!</v>
      </c>
      <c r="CY484" t="e">
        <f>AND(#REF!,"AAAAAG5/RWY=")</f>
        <v>#REF!</v>
      </c>
      <c r="CZ484" t="e">
        <f>AND(#REF!,"AAAAAG5/RWc=")</f>
        <v>#REF!</v>
      </c>
      <c r="DA484" t="e">
        <f>AND(#REF!,"AAAAAG5/RWg=")</f>
        <v>#REF!</v>
      </c>
      <c r="DB484" t="e">
        <f>IF(#REF!,"AAAAAG5/RWk=",0)</f>
        <v>#REF!</v>
      </c>
      <c r="DC484" t="e">
        <f>AND(#REF!,"AAAAAG5/RWo=")</f>
        <v>#REF!</v>
      </c>
      <c r="DD484" t="e">
        <f>AND(#REF!,"AAAAAG5/RWs=")</f>
        <v>#REF!</v>
      </c>
      <c r="DE484" t="e">
        <f>AND(#REF!,"AAAAAG5/RWw=")</f>
        <v>#REF!</v>
      </c>
      <c r="DF484" t="e">
        <f>AND(#REF!,"AAAAAG5/RW0=")</f>
        <v>#REF!</v>
      </c>
      <c r="DG484" t="e">
        <f>AND(#REF!,"AAAAAG5/RW4=")</f>
        <v>#REF!</v>
      </c>
      <c r="DH484" t="e">
        <f>AND(#REF!,"AAAAAG5/RW8=")</f>
        <v>#REF!</v>
      </c>
      <c r="DI484" t="e">
        <f>AND(#REF!,"AAAAAG5/RXA=")</f>
        <v>#REF!</v>
      </c>
      <c r="DJ484" t="e">
        <f>AND(#REF!,"AAAAAG5/RXE=")</f>
        <v>#REF!</v>
      </c>
      <c r="DK484" t="e">
        <f>AND(#REF!,"AAAAAG5/RXI=")</f>
        <v>#REF!</v>
      </c>
      <c r="DL484" t="e">
        <f>AND(#REF!,"AAAAAG5/RXM=")</f>
        <v>#REF!</v>
      </c>
      <c r="DM484" t="e">
        <f>IF(#REF!,"AAAAAG5/RXQ=",0)</f>
        <v>#REF!</v>
      </c>
      <c r="DN484" t="e">
        <f>AND(#REF!,"AAAAAG5/RXU=")</f>
        <v>#REF!</v>
      </c>
      <c r="DO484" t="e">
        <f>AND(#REF!,"AAAAAG5/RXY=")</f>
        <v>#REF!</v>
      </c>
      <c r="DP484" t="e">
        <f>AND(#REF!,"AAAAAG5/RXc=")</f>
        <v>#REF!</v>
      </c>
      <c r="DQ484" t="e">
        <f>AND(#REF!,"AAAAAG5/RXg=")</f>
        <v>#REF!</v>
      </c>
      <c r="DR484" t="e">
        <f>AND(#REF!,"AAAAAG5/RXk=")</f>
        <v>#REF!</v>
      </c>
      <c r="DS484" t="e">
        <f>AND(#REF!,"AAAAAG5/RXo=")</f>
        <v>#REF!</v>
      </c>
      <c r="DT484" t="e">
        <f>AND(#REF!,"AAAAAG5/RXs=")</f>
        <v>#REF!</v>
      </c>
      <c r="DU484" t="e">
        <f>AND(#REF!,"AAAAAG5/RXw=")</f>
        <v>#REF!</v>
      </c>
      <c r="DV484" t="e">
        <f>AND(#REF!,"AAAAAG5/RX0=")</f>
        <v>#REF!</v>
      </c>
      <c r="DW484" t="e">
        <f>AND(#REF!,"AAAAAG5/RX4=")</f>
        <v>#REF!</v>
      </c>
      <c r="DX484" t="e">
        <f>IF(#REF!,"AAAAAG5/RX8=",0)</f>
        <v>#REF!</v>
      </c>
      <c r="DY484" t="e">
        <f>AND(#REF!,"AAAAAG5/RYA=")</f>
        <v>#REF!</v>
      </c>
      <c r="DZ484" t="e">
        <f>AND(#REF!,"AAAAAG5/RYE=")</f>
        <v>#REF!</v>
      </c>
      <c r="EA484" t="e">
        <f>AND(#REF!,"AAAAAG5/RYI=")</f>
        <v>#REF!</v>
      </c>
      <c r="EB484" t="e">
        <f>AND(#REF!,"AAAAAG5/RYM=")</f>
        <v>#REF!</v>
      </c>
      <c r="EC484" t="e">
        <f>AND(#REF!,"AAAAAG5/RYQ=")</f>
        <v>#REF!</v>
      </c>
      <c r="ED484" t="e">
        <f>AND(#REF!,"AAAAAG5/RYU=")</f>
        <v>#REF!</v>
      </c>
      <c r="EE484" t="e">
        <f>AND(#REF!,"AAAAAG5/RYY=")</f>
        <v>#REF!</v>
      </c>
      <c r="EF484" t="e">
        <f>AND(#REF!,"AAAAAG5/RYc=")</f>
        <v>#REF!</v>
      </c>
      <c r="EG484" t="e">
        <f>AND(#REF!,"AAAAAG5/RYg=")</f>
        <v>#REF!</v>
      </c>
      <c r="EH484" t="e">
        <f>AND(#REF!,"AAAAAG5/RYk=")</f>
        <v>#REF!</v>
      </c>
      <c r="EI484" t="e">
        <f>IF(#REF!,"AAAAAG5/RYo=",0)</f>
        <v>#REF!</v>
      </c>
      <c r="EJ484" t="e">
        <f>AND(#REF!,"AAAAAG5/RYs=")</f>
        <v>#REF!</v>
      </c>
      <c r="EK484" t="e">
        <f>AND(#REF!,"AAAAAG5/RYw=")</f>
        <v>#REF!</v>
      </c>
      <c r="EL484" t="e">
        <f>AND(#REF!,"AAAAAG5/RY0=")</f>
        <v>#REF!</v>
      </c>
      <c r="EM484" t="e">
        <f>AND(#REF!,"AAAAAG5/RY4=")</f>
        <v>#REF!</v>
      </c>
      <c r="EN484" t="e">
        <f>AND(#REF!,"AAAAAG5/RY8=")</f>
        <v>#REF!</v>
      </c>
      <c r="EO484" t="e">
        <f>AND(#REF!,"AAAAAG5/RZA=")</f>
        <v>#REF!</v>
      </c>
      <c r="EP484" t="e">
        <f>AND(#REF!,"AAAAAG5/RZE=")</f>
        <v>#REF!</v>
      </c>
      <c r="EQ484" t="e">
        <f>AND(#REF!,"AAAAAG5/RZI=")</f>
        <v>#REF!</v>
      </c>
      <c r="ER484" t="e">
        <f>AND(#REF!,"AAAAAG5/RZM=")</f>
        <v>#REF!</v>
      </c>
      <c r="ES484" t="e">
        <f>AND(#REF!,"AAAAAG5/RZQ=")</f>
        <v>#REF!</v>
      </c>
      <c r="ET484" t="e">
        <f>IF(#REF!,"AAAAAG5/RZU=",0)</f>
        <v>#REF!</v>
      </c>
      <c r="EU484" t="e">
        <f>AND(#REF!,"AAAAAG5/RZY=")</f>
        <v>#REF!</v>
      </c>
      <c r="EV484" t="e">
        <f>AND(#REF!,"AAAAAG5/RZc=")</f>
        <v>#REF!</v>
      </c>
      <c r="EW484" t="e">
        <f>AND(#REF!,"AAAAAG5/RZg=")</f>
        <v>#REF!</v>
      </c>
      <c r="EX484" t="e">
        <f>AND(#REF!,"AAAAAG5/RZk=")</f>
        <v>#REF!</v>
      </c>
      <c r="EY484" t="e">
        <f>AND(#REF!,"AAAAAG5/RZo=")</f>
        <v>#REF!</v>
      </c>
      <c r="EZ484" t="e">
        <f>AND(#REF!,"AAAAAG5/RZs=")</f>
        <v>#REF!</v>
      </c>
      <c r="FA484" t="e">
        <f>AND(#REF!,"AAAAAG5/RZw=")</f>
        <v>#REF!</v>
      </c>
      <c r="FB484" t="e">
        <f>AND(#REF!,"AAAAAG5/RZ0=")</f>
        <v>#REF!</v>
      </c>
      <c r="FC484" t="e">
        <f>AND(#REF!,"AAAAAG5/RZ4=")</f>
        <v>#REF!</v>
      </c>
      <c r="FD484" t="e">
        <f>AND(#REF!,"AAAAAG5/RZ8=")</f>
        <v>#REF!</v>
      </c>
      <c r="FE484" t="e">
        <f>IF(#REF!,"AAAAAG5/RaA=",0)</f>
        <v>#REF!</v>
      </c>
      <c r="FF484" t="e">
        <f>AND(#REF!,"AAAAAG5/RaE=")</f>
        <v>#REF!</v>
      </c>
      <c r="FG484" t="e">
        <f>AND(#REF!,"AAAAAG5/RaI=")</f>
        <v>#REF!</v>
      </c>
      <c r="FH484" t="e">
        <f>AND(#REF!,"AAAAAG5/RaM=")</f>
        <v>#REF!</v>
      </c>
      <c r="FI484" t="e">
        <f>AND(#REF!,"AAAAAG5/RaQ=")</f>
        <v>#REF!</v>
      </c>
      <c r="FJ484" t="e">
        <f>AND(#REF!,"AAAAAG5/RaU=")</f>
        <v>#REF!</v>
      </c>
      <c r="FK484" t="e">
        <f>AND(#REF!,"AAAAAG5/RaY=")</f>
        <v>#REF!</v>
      </c>
      <c r="FL484" t="e">
        <f>AND(#REF!,"AAAAAG5/Rac=")</f>
        <v>#REF!</v>
      </c>
      <c r="FM484" t="e">
        <f>AND(#REF!,"AAAAAG5/Rag=")</f>
        <v>#REF!</v>
      </c>
      <c r="FN484" t="e">
        <f>AND(#REF!,"AAAAAG5/Rak=")</f>
        <v>#REF!</v>
      </c>
      <c r="FO484" t="e">
        <f>AND(#REF!,"AAAAAG5/Rao=")</f>
        <v>#REF!</v>
      </c>
      <c r="FP484" t="e">
        <f>IF(#REF!,"AAAAAG5/Ras=",0)</f>
        <v>#REF!</v>
      </c>
      <c r="FQ484" t="e">
        <f>AND(#REF!,"AAAAAG5/Raw=")</f>
        <v>#REF!</v>
      </c>
      <c r="FR484" t="e">
        <f>AND(#REF!,"AAAAAG5/Ra0=")</f>
        <v>#REF!</v>
      </c>
      <c r="FS484" t="e">
        <f>AND(#REF!,"AAAAAG5/Ra4=")</f>
        <v>#REF!</v>
      </c>
      <c r="FT484" t="e">
        <f>AND(#REF!,"AAAAAG5/Ra8=")</f>
        <v>#REF!</v>
      </c>
      <c r="FU484" t="e">
        <f>AND(#REF!,"AAAAAG5/RbA=")</f>
        <v>#REF!</v>
      </c>
      <c r="FV484" t="e">
        <f>AND(#REF!,"AAAAAG5/RbE=")</f>
        <v>#REF!</v>
      </c>
      <c r="FW484" t="e">
        <f>AND(#REF!,"AAAAAG5/RbI=")</f>
        <v>#REF!</v>
      </c>
      <c r="FX484" t="e">
        <f>AND(#REF!,"AAAAAG5/RbM=")</f>
        <v>#REF!</v>
      </c>
      <c r="FY484" t="e">
        <f>AND(#REF!,"AAAAAG5/RbQ=")</f>
        <v>#REF!</v>
      </c>
      <c r="FZ484" t="e">
        <f>AND(#REF!,"AAAAAG5/RbU=")</f>
        <v>#REF!</v>
      </c>
      <c r="GA484" t="e">
        <f>IF(#REF!,"AAAAAG5/RbY=",0)</f>
        <v>#REF!</v>
      </c>
      <c r="GB484" t="e">
        <f>AND(#REF!,"AAAAAG5/Rbc=")</f>
        <v>#REF!</v>
      </c>
      <c r="GC484" t="e">
        <f>AND(#REF!,"AAAAAG5/Rbg=")</f>
        <v>#REF!</v>
      </c>
      <c r="GD484" t="e">
        <f>AND(#REF!,"AAAAAG5/Rbk=")</f>
        <v>#REF!</v>
      </c>
      <c r="GE484" t="e">
        <f>AND(#REF!,"AAAAAG5/Rbo=")</f>
        <v>#REF!</v>
      </c>
      <c r="GF484" t="e">
        <f>AND(#REF!,"AAAAAG5/Rbs=")</f>
        <v>#REF!</v>
      </c>
      <c r="GG484" t="e">
        <f>AND(#REF!,"AAAAAG5/Rbw=")</f>
        <v>#REF!</v>
      </c>
      <c r="GH484" t="e">
        <f>AND(#REF!,"AAAAAG5/Rb0=")</f>
        <v>#REF!</v>
      </c>
      <c r="GI484" t="e">
        <f>AND(#REF!,"AAAAAG5/Rb4=")</f>
        <v>#REF!</v>
      </c>
      <c r="GJ484" t="e">
        <f>AND(#REF!,"AAAAAG5/Rb8=")</f>
        <v>#REF!</v>
      </c>
      <c r="GK484" t="e">
        <f>AND(#REF!,"AAAAAG5/RcA=")</f>
        <v>#REF!</v>
      </c>
      <c r="GL484" t="e">
        <f>IF(#REF!,"AAAAAG5/RcE=",0)</f>
        <v>#REF!</v>
      </c>
      <c r="GM484" t="e">
        <f>AND(#REF!,"AAAAAG5/RcI=")</f>
        <v>#REF!</v>
      </c>
      <c r="GN484" t="e">
        <f>AND(#REF!,"AAAAAG5/RcM=")</f>
        <v>#REF!</v>
      </c>
      <c r="GO484" t="e">
        <f>AND(#REF!,"AAAAAG5/RcQ=")</f>
        <v>#REF!</v>
      </c>
      <c r="GP484" t="e">
        <f>AND(#REF!,"AAAAAG5/RcU=")</f>
        <v>#REF!</v>
      </c>
      <c r="GQ484" t="e">
        <f>AND(#REF!,"AAAAAG5/RcY=")</f>
        <v>#REF!</v>
      </c>
      <c r="GR484" t="e">
        <f>AND(#REF!,"AAAAAG5/Rcc=")</f>
        <v>#REF!</v>
      </c>
      <c r="GS484" t="e">
        <f>AND(#REF!,"AAAAAG5/Rcg=")</f>
        <v>#REF!</v>
      </c>
      <c r="GT484" t="e">
        <f>AND(#REF!,"AAAAAG5/Rck=")</f>
        <v>#REF!</v>
      </c>
      <c r="GU484" t="e">
        <f>AND(#REF!,"AAAAAG5/Rco=")</f>
        <v>#REF!</v>
      </c>
      <c r="GV484" t="e">
        <f>AND(#REF!,"AAAAAG5/Rcs=")</f>
        <v>#REF!</v>
      </c>
      <c r="GW484" t="e">
        <f>IF(#REF!,"AAAAAG5/Rcw=",0)</f>
        <v>#REF!</v>
      </c>
      <c r="GX484" t="e">
        <f>AND(#REF!,"AAAAAG5/Rc0=")</f>
        <v>#REF!</v>
      </c>
      <c r="GY484" t="e">
        <f>AND(#REF!,"AAAAAG5/Rc4=")</f>
        <v>#REF!</v>
      </c>
      <c r="GZ484" t="e">
        <f>AND(#REF!,"AAAAAG5/Rc8=")</f>
        <v>#REF!</v>
      </c>
      <c r="HA484" t="e">
        <f>AND(#REF!,"AAAAAG5/RdA=")</f>
        <v>#REF!</v>
      </c>
      <c r="HB484" t="e">
        <f>AND(#REF!,"AAAAAG5/RdE=")</f>
        <v>#REF!</v>
      </c>
      <c r="HC484" t="e">
        <f>AND(#REF!,"AAAAAG5/RdI=")</f>
        <v>#REF!</v>
      </c>
      <c r="HD484" t="e">
        <f>AND(#REF!,"AAAAAG5/RdM=")</f>
        <v>#REF!</v>
      </c>
      <c r="HE484" t="e">
        <f>AND(#REF!,"AAAAAG5/RdQ=")</f>
        <v>#REF!</v>
      </c>
      <c r="HF484" t="e">
        <f>AND(#REF!,"AAAAAG5/RdU=")</f>
        <v>#REF!</v>
      </c>
      <c r="HG484" t="e">
        <f>AND(#REF!,"AAAAAG5/RdY=")</f>
        <v>#REF!</v>
      </c>
      <c r="HH484" t="e">
        <f>IF(#REF!,"AAAAAG5/Rdc=",0)</f>
        <v>#REF!</v>
      </c>
      <c r="HI484" t="e">
        <f>AND(#REF!,"AAAAAG5/Rdg=")</f>
        <v>#REF!</v>
      </c>
      <c r="HJ484" t="e">
        <f>AND(#REF!,"AAAAAG5/Rdk=")</f>
        <v>#REF!</v>
      </c>
      <c r="HK484" t="e">
        <f>AND(#REF!,"AAAAAG5/Rdo=")</f>
        <v>#REF!</v>
      </c>
      <c r="HL484" t="e">
        <f>AND(#REF!,"AAAAAG5/Rds=")</f>
        <v>#REF!</v>
      </c>
      <c r="HM484" t="e">
        <f>AND(#REF!,"AAAAAG5/Rdw=")</f>
        <v>#REF!</v>
      </c>
      <c r="HN484" t="e">
        <f>AND(#REF!,"AAAAAG5/Rd0=")</f>
        <v>#REF!</v>
      </c>
      <c r="HO484" t="e">
        <f>AND(#REF!,"AAAAAG5/Rd4=")</f>
        <v>#REF!</v>
      </c>
      <c r="HP484" t="e">
        <f>AND(#REF!,"AAAAAG5/Rd8=")</f>
        <v>#REF!</v>
      </c>
      <c r="HQ484" t="e">
        <f>AND(#REF!,"AAAAAG5/ReA=")</f>
        <v>#REF!</v>
      </c>
      <c r="HR484" t="e">
        <f>AND(#REF!,"AAAAAG5/ReE=")</f>
        <v>#REF!</v>
      </c>
      <c r="HS484" t="e">
        <f>IF(#REF!,"AAAAAG5/ReI=",0)</f>
        <v>#REF!</v>
      </c>
      <c r="HT484" t="e">
        <f>AND(#REF!,"AAAAAG5/ReM=")</f>
        <v>#REF!</v>
      </c>
      <c r="HU484" t="e">
        <f>AND(#REF!,"AAAAAG5/ReQ=")</f>
        <v>#REF!</v>
      </c>
      <c r="HV484" t="e">
        <f>AND(#REF!,"AAAAAG5/ReU=")</f>
        <v>#REF!</v>
      </c>
      <c r="HW484" t="e">
        <f>AND(#REF!,"AAAAAG5/ReY=")</f>
        <v>#REF!</v>
      </c>
      <c r="HX484" t="e">
        <f>AND(#REF!,"AAAAAG5/Rec=")</f>
        <v>#REF!</v>
      </c>
      <c r="HY484" t="e">
        <f>AND(#REF!,"AAAAAG5/Reg=")</f>
        <v>#REF!</v>
      </c>
      <c r="HZ484" t="e">
        <f>AND(#REF!,"AAAAAG5/Rek=")</f>
        <v>#REF!</v>
      </c>
      <c r="IA484" t="e">
        <f>AND(#REF!,"AAAAAG5/Reo=")</f>
        <v>#REF!</v>
      </c>
      <c r="IB484" t="e">
        <f>AND(#REF!,"AAAAAG5/Res=")</f>
        <v>#REF!</v>
      </c>
      <c r="IC484" t="e">
        <f>AND(#REF!,"AAAAAG5/Rew=")</f>
        <v>#REF!</v>
      </c>
      <c r="ID484" t="e">
        <f>IF(#REF!,"AAAAAG5/Re0=",0)</f>
        <v>#REF!</v>
      </c>
      <c r="IE484" t="e">
        <f>AND(#REF!,"AAAAAG5/Re4=")</f>
        <v>#REF!</v>
      </c>
      <c r="IF484" t="e">
        <f>AND(#REF!,"AAAAAG5/Re8=")</f>
        <v>#REF!</v>
      </c>
      <c r="IG484" t="e">
        <f>AND(#REF!,"AAAAAG5/RfA=")</f>
        <v>#REF!</v>
      </c>
      <c r="IH484" t="e">
        <f>AND(#REF!,"AAAAAG5/RfE=")</f>
        <v>#REF!</v>
      </c>
      <c r="II484" t="e">
        <f>AND(#REF!,"AAAAAG5/RfI=")</f>
        <v>#REF!</v>
      </c>
      <c r="IJ484" t="e">
        <f>AND(#REF!,"AAAAAG5/RfM=")</f>
        <v>#REF!</v>
      </c>
      <c r="IK484" t="e">
        <f>AND(#REF!,"AAAAAG5/RfQ=")</f>
        <v>#REF!</v>
      </c>
      <c r="IL484" t="e">
        <f>AND(#REF!,"AAAAAG5/RfU=")</f>
        <v>#REF!</v>
      </c>
      <c r="IM484" t="e">
        <f>AND(#REF!,"AAAAAG5/RfY=")</f>
        <v>#REF!</v>
      </c>
      <c r="IN484" t="e">
        <f>AND(#REF!,"AAAAAG5/Rfc=")</f>
        <v>#REF!</v>
      </c>
      <c r="IO484" t="e">
        <f>IF(#REF!,"AAAAAG5/Rfg=",0)</f>
        <v>#REF!</v>
      </c>
      <c r="IP484" t="e">
        <f>AND(#REF!,"AAAAAG5/Rfk=")</f>
        <v>#REF!</v>
      </c>
      <c r="IQ484" t="e">
        <f>AND(#REF!,"AAAAAG5/Rfo=")</f>
        <v>#REF!</v>
      </c>
      <c r="IR484" t="e">
        <f>AND(#REF!,"AAAAAG5/Rfs=")</f>
        <v>#REF!</v>
      </c>
      <c r="IS484" t="e">
        <f>AND(#REF!,"AAAAAG5/Rfw=")</f>
        <v>#REF!</v>
      </c>
      <c r="IT484" t="e">
        <f>AND(#REF!,"AAAAAG5/Rf0=")</f>
        <v>#REF!</v>
      </c>
      <c r="IU484" t="e">
        <f>AND(#REF!,"AAAAAG5/Rf4=")</f>
        <v>#REF!</v>
      </c>
      <c r="IV484" t="e">
        <f>AND(#REF!,"AAAAAG5/Rf8=")</f>
        <v>#REF!</v>
      </c>
    </row>
    <row r="485" spans="1:256" x14ac:dyDescent="0.25">
      <c r="A485" t="e">
        <f>AND(#REF!,"AAAAAFXaqwA=")</f>
        <v>#REF!</v>
      </c>
      <c r="B485" t="e">
        <f>AND(#REF!,"AAAAAFXaqwE=")</f>
        <v>#REF!</v>
      </c>
      <c r="C485" t="e">
        <f>AND(#REF!,"AAAAAFXaqwI=")</f>
        <v>#REF!</v>
      </c>
      <c r="D485" t="e">
        <f>IF(#REF!,"AAAAAFXaqwM=",0)</f>
        <v>#REF!</v>
      </c>
      <c r="E485" t="e">
        <f>AND(#REF!,"AAAAAFXaqwQ=")</f>
        <v>#REF!</v>
      </c>
      <c r="F485" t="e">
        <f>AND(#REF!,"AAAAAFXaqwU=")</f>
        <v>#REF!</v>
      </c>
      <c r="G485" t="e">
        <f>AND(#REF!,"AAAAAFXaqwY=")</f>
        <v>#REF!</v>
      </c>
      <c r="H485" t="e">
        <f>AND(#REF!,"AAAAAFXaqwc=")</f>
        <v>#REF!</v>
      </c>
      <c r="I485" t="e">
        <f>AND(#REF!,"AAAAAFXaqwg=")</f>
        <v>#REF!</v>
      </c>
      <c r="J485" t="e">
        <f>AND(#REF!,"AAAAAFXaqwk=")</f>
        <v>#REF!</v>
      </c>
      <c r="K485" t="e">
        <f>AND(#REF!,"AAAAAFXaqwo=")</f>
        <v>#REF!</v>
      </c>
      <c r="L485" t="e">
        <f>AND(#REF!,"AAAAAFXaqws=")</f>
        <v>#REF!</v>
      </c>
      <c r="M485" t="e">
        <f>AND(#REF!,"AAAAAFXaqww=")</f>
        <v>#REF!</v>
      </c>
      <c r="N485" t="e">
        <f>AND(#REF!,"AAAAAFXaqw0=")</f>
        <v>#REF!</v>
      </c>
      <c r="O485" t="e">
        <f>IF(#REF!,"AAAAAFXaqw4=",0)</f>
        <v>#REF!</v>
      </c>
      <c r="P485" t="e">
        <f>AND(#REF!,"AAAAAFXaqw8=")</f>
        <v>#REF!</v>
      </c>
      <c r="Q485" t="e">
        <f>AND(#REF!,"AAAAAFXaqxA=")</f>
        <v>#REF!</v>
      </c>
      <c r="R485" t="e">
        <f>AND(#REF!,"AAAAAFXaqxE=")</f>
        <v>#REF!</v>
      </c>
      <c r="S485" t="e">
        <f>AND(#REF!,"AAAAAFXaqxI=")</f>
        <v>#REF!</v>
      </c>
      <c r="T485" t="e">
        <f>AND(#REF!,"AAAAAFXaqxM=")</f>
        <v>#REF!</v>
      </c>
      <c r="U485" t="e">
        <f>AND(#REF!,"AAAAAFXaqxQ=")</f>
        <v>#REF!</v>
      </c>
      <c r="V485" t="e">
        <f>AND(#REF!,"AAAAAFXaqxU=")</f>
        <v>#REF!</v>
      </c>
      <c r="W485" t="e">
        <f>AND(#REF!,"AAAAAFXaqxY=")</f>
        <v>#REF!</v>
      </c>
      <c r="X485" t="e">
        <f>AND(#REF!,"AAAAAFXaqxc=")</f>
        <v>#REF!</v>
      </c>
      <c r="Y485" t="e">
        <f>AND(#REF!,"AAAAAFXaqxg=")</f>
        <v>#REF!</v>
      </c>
      <c r="Z485" t="e">
        <f>IF(#REF!,"AAAAAFXaqxk=",0)</f>
        <v>#REF!</v>
      </c>
      <c r="AA485" t="e">
        <f>AND(#REF!,"AAAAAFXaqxo=")</f>
        <v>#REF!</v>
      </c>
      <c r="AB485" t="e">
        <f>AND(#REF!,"AAAAAFXaqxs=")</f>
        <v>#REF!</v>
      </c>
      <c r="AC485" t="e">
        <f>AND(#REF!,"AAAAAFXaqxw=")</f>
        <v>#REF!</v>
      </c>
      <c r="AD485" t="e">
        <f>AND(#REF!,"AAAAAFXaqx0=")</f>
        <v>#REF!</v>
      </c>
      <c r="AE485" t="e">
        <f>AND(#REF!,"AAAAAFXaqx4=")</f>
        <v>#REF!</v>
      </c>
      <c r="AF485" t="e">
        <f>AND(#REF!,"AAAAAFXaqx8=")</f>
        <v>#REF!</v>
      </c>
      <c r="AG485" t="e">
        <f>AND(#REF!,"AAAAAFXaqyA=")</f>
        <v>#REF!</v>
      </c>
      <c r="AH485" t="e">
        <f>AND(#REF!,"AAAAAFXaqyE=")</f>
        <v>#REF!</v>
      </c>
      <c r="AI485" t="e">
        <f>AND(#REF!,"AAAAAFXaqyI=")</f>
        <v>#REF!</v>
      </c>
      <c r="AJ485" t="e">
        <f>AND(#REF!,"AAAAAFXaqyM=")</f>
        <v>#REF!</v>
      </c>
      <c r="AK485" t="e">
        <f>IF(#REF!,"AAAAAFXaqyQ=",0)</f>
        <v>#REF!</v>
      </c>
      <c r="AL485" t="e">
        <f>AND(#REF!,"AAAAAFXaqyU=")</f>
        <v>#REF!</v>
      </c>
      <c r="AM485" t="e">
        <f>AND(#REF!,"AAAAAFXaqyY=")</f>
        <v>#REF!</v>
      </c>
      <c r="AN485" t="e">
        <f>AND(#REF!,"AAAAAFXaqyc=")</f>
        <v>#REF!</v>
      </c>
      <c r="AO485" t="e">
        <f>AND(#REF!,"AAAAAFXaqyg=")</f>
        <v>#REF!</v>
      </c>
      <c r="AP485" t="e">
        <f>AND(#REF!,"AAAAAFXaqyk=")</f>
        <v>#REF!</v>
      </c>
      <c r="AQ485" t="e">
        <f>AND(#REF!,"AAAAAFXaqyo=")</f>
        <v>#REF!</v>
      </c>
      <c r="AR485" t="e">
        <f>AND(#REF!,"AAAAAFXaqys=")</f>
        <v>#REF!</v>
      </c>
      <c r="AS485" t="e">
        <f>AND(#REF!,"AAAAAFXaqyw=")</f>
        <v>#REF!</v>
      </c>
      <c r="AT485" t="e">
        <f>AND(#REF!,"AAAAAFXaqy0=")</f>
        <v>#REF!</v>
      </c>
      <c r="AU485" t="e">
        <f>AND(#REF!,"AAAAAFXaqy4=")</f>
        <v>#REF!</v>
      </c>
      <c r="AV485" t="e">
        <f>IF(#REF!,"AAAAAFXaqy8=",0)</f>
        <v>#REF!</v>
      </c>
      <c r="AW485" t="e">
        <f>AND(#REF!,"AAAAAFXaqzA=")</f>
        <v>#REF!</v>
      </c>
      <c r="AX485" t="e">
        <f>AND(#REF!,"AAAAAFXaqzE=")</f>
        <v>#REF!</v>
      </c>
      <c r="AY485" t="e">
        <f>AND(#REF!,"AAAAAFXaqzI=")</f>
        <v>#REF!</v>
      </c>
      <c r="AZ485" t="e">
        <f>AND(#REF!,"AAAAAFXaqzM=")</f>
        <v>#REF!</v>
      </c>
      <c r="BA485" t="e">
        <f>AND(#REF!,"AAAAAFXaqzQ=")</f>
        <v>#REF!</v>
      </c>
      <c r="BB485" t="e">
        <f>AND(#REF!,"AAAAAFXaqzU=")</f>
        <v>#REF!</v>
      </c>
      <c r="BC485" t="e">
        <f>AND(#REF!,"AAAAAFXaqzY=")</f>
        <v>#REF!</v>
      </c>
      <c r="BD485" t="e">
        <f>AND(#REF!,"AAAAAFXaqzc=")</f>
        <v>#REF!</v>
      </c>
      <c r="BE485" t="e">
        <f>AND(#REF!,"AAAAAFXaqzg=")</f>
        <v>#REF!</v>
      </c>
      <c r="BF485" t="e">
        <f>AND(#REF!,"AAAAAFXaqzk=")</f>
        <v>#REF!</v>
      </c>
      <c r="BG485" t="e">
        <f>IF(#REF!,"AAAAAFXaqzo=",0)</f>
        <v>#REF!</v>
      </c>
      <c r="BH485" t="e">
        <f>AND(#REF!,"AAAAAFXaqzs=")</f>
        <v>#REF!</v>
      </c>
      <c r="BI485" t="e">
        <f>AND(#REF!,"AAAAAFXaqzw=")</f>
        <v>#REF!</v>
      </c>
      <c r="BJ485" t="e">
        <f>AND(#REF!,"AAAAAFXaqz0=")</f>
        <v>#REF!</v>
      </c>
      <c r="BK485" t="e">
        <f>AND(#REF!,"AAAAAFXaqz4=")</f>
        <v>#REF!</v>
      </c>
      <c r="BL485" t="e">
        <f>AND(#REF!,"AAAAAFXaqz8=")</f>
        <v>#REF!</v>
      </c>
      <c r="BM485" t="e">
        <f>AND(#REF!,"AAAAAFXaq0A=")</f>
        <v>#REF!</v>
      </c>
      <c r="BN485" t="e">
        <f>AND(#REF!,"AAAAAFXaq0E=")</f>
        <v>#REF!</v>
      </c>
      <c r="BO485" t="e">
        <f>AND(#REF!,"AAAAAFXaq0I=")</f>
        <v>#REF!</v>
      </c>
      <c r="BP485" t="e">
        <f>AND(#REF!,"AAAAAFXaq0M=")</f>
        <v>#REF!</v>
      </c>
      <c r="BQ485" t="e">
        <f>AND(#REF!,"AAAAAFXaq0Q=")</f>
        <v>#REF!</v>
      </c>
      <c r="BR485" t="e">
        <f>IF(#REF!,"AAAAAFXaq0U=",0)</f>
        <v>#REF!</v>
      </c>
      <c r="BS485" t="e">
        <f>AND(#REF!,"AAAAAFXaq0Y=")</f>
        <v>#REF!</v>
      </c>
      <c r="BT485" t="e">
        <f>AND(#REF!,"AAAAAFXaq0c=")</f>
        <v>#REF!</v>
      </c>
      <c r="BU485" t="e">
        <f>AND(#REF!,"AAAAAFXaq0g=")</f>
        <v>#REF!</v>
      </c>
      <c r="BV485" t="e">
        <f>AND(#REF!,"AAAAAFXaq0k=")</f>
        <v>#REF!</v>
      </c>
      <c r="BW485" t="e">
        <f>AND(#REF!,"AAAAAFXaq0o=")</f>
        <v>#REF!</v>
      </c>
      <c r="BX485" t="e">
        <f>AND(#REF!,"AAAAAFXaq0s=")</f>
        <v>#REF!</v>
      </c>
      <c r="BY485" t="e">
        <f>AND(#REF!,"AAAAAFXaq0w=")</f>
        <v>#REF!</v>
      </c>
      <c r="BZ485" t="e">
        <f>AND(#REF!,"AAAAAFXaq00=")</f>
        <v>#REF!</v>
      </c>
      <c r="CA485" t="e">
        <f>AND(#REF!,"AAAAAFXaq04=")</f>
        <v>#REF!</v>
      </c>
      <c r="CB485" t="e">
        <f>AND(#REF!,"AAAAAFXaq08=")</f>
        <v>#REF!</v>
      </c>
      <c r="CC485" t="e">
        <f>IF(#REF!,"AAAAAFXaq1A=",0)</f>
        <v>#REF!</v>
      </c>
      <c r="CD485" t="e">
        <f>AND(#REF!,"AAAAAFXaq1E=")</f>
        <v>#REF!</v>
      </c>
      <c r="CE485" t="e">
        <f>AND(#REF!,"AAAAAFXaq1I=")</f>
        <v>#REF!</v>
      </c>
      <c r="CF485" t="e">
        <f>AND(#REF!,"AAAAAFXaq1M=")</f>
        <v>#REF!</v>
      </c>
      <c r="CG485" t="e">
        <f>AND(#REF!,"AAAAAFXaq1Q=")</f>
        <v>#REF!</v>
      </c>
      <c r="CH485" t="e">
        <f>AND(#REF!,"AAAAAFXaq1U=")</f>
        <v>#REF!</v>
      </c>
      <c r="CI485" t="e">
        <f>AND(#REF!,"AAAAAFXaq1Y=")</f>
        <v>#REF!</v>
      </c>
      <c r="CJ485" t="e">
        <f>AND(#REF!,"AAAAAFXaq1c=")</f>
        <v>#REF!</v>
      </c>
      <c r="CK485" t="e">
        <f>AND(#REF!,"AAAAAFXaq1g=")</f>
        <v>#REF!</v>
      </c>
      <c r="CL485" t="e">
        <f>AND(#REF!,"AAAAAFXaq1k=")</f>
        <v>#REF!</v>
      </c>
      <c r="CM485" t="e">
        <f>AND(#REF!,"AAAAAFXaq1o=")</f>
        <v>#REF!</v>
      </c>
      <c r="CN485" t="e">
        <f>IF(#REF!,"AAAAAFXaq1s=",0)</f>
        <v>#REF!</v>
      </c>
      <c r="CO485" t="e">
        <f>AND(#REF!,"AAAAAFXaq1w=")</f>
        <v>#REF!</v>
      </c>
      <c r="CP485" t="e">
        <f>AND(#REF!,"AAAAAFXaq10=")</f>
        <v>#REF!</v>
      </c>
      <c r="CQ485" t="e">
        <f>AND(#REF!,"AAAAAFXaq14=")</f>
        <v>#REF!</v>
      </c>
      <c r="CR485" t="e">
        <f>AND(#REF!,"AAAAAFXaq18=")</f>
        <v>#REF!</v>
      </c>
      <c r="CS485" t="e">
        <f>AND(#REF!,"AAAAAFXaq2A=")</f>
        <v>#REF!</v>
      </c>
      <c r="CT485" t="e">
        <f>AND(#REF!,"AAAAAFXaq2E=")</f>
        <v>#REF!</v>
      </c>
      <c r="CU485" t="e">
        <f>AND(#REF!,"AAAAAFXaq2I=")</f>
        <v>#REF!</v>
      </c>
      <c r="CV485" t="e">
        <f>AND(#REF!,"AAAAAFXaq2M=")</f>
        <v>#REF!</v>
      </c>
      <c r="CW485" t="e">
        <f>AND(#REF!,"AAAAAFXaq2Q=")</f>
        <v>#REF!</v>
      </c>
      <c r="CX485" t="e">
        <f>AND(#REF!,"AAAAAFXaq2U=")</f>
        <v>#REF!</v>
      </c>
      <c r="CY485" t="e">
        <f>IF(#REF!,"AAAAAFXaq2Y=",0)</f>
        <v>#REF!</v>
      </c>
      <c r="CZ485" t="e">
        <f>AND(#REF!,"AAAAAFXaq2c=")</f>
        <v>#REF!</v>
      </c>
      <c r="DA485" t="e">
        <f>AND(#REF!,"AAAAAFXaq2g=")</f>
        <v>#REF!</v>
      </c>
      <c r="DB485" t="e">
        <f>AND(#REF!,"AAAAAFXaq2k=")</f>
        <v>#REF!</v>
      </c>
      <c r="DC485" t="e">
        <f>AND(#REF!,"AAAAAFXaq2o=")</f>
        <v>#REF!</v>
      </c>
      <c r="DD485" t="e">
        <f>AND(#REF!,"AAAAAFXaq2s=")</f>
        <v>#REF!</v>
      </c>
      <c r="DE485" t="e">
        <f>AND(#REF!,"AAAAAFXaq2w=")</f>
        <v>#REF!</v>
      </c>
      <c r="DF485" t="e">
        <f>AND(#REF!,"AAAAAFXaq20=")</f>
        <v>#REF!</v>
      </c>
      <c r="DG485" t="e">
        <f>AND(#REF!,"AAAAAFXaq24=")</f>
        <v>#REF!</v>
      </c>
      <c r="DH485" t="e">
        <f>AND(#REF!,"AAAAAFXaq28=")</f>
        <v>#REF!</v>
      </c>
      <c r="DI485" t="e">
        <f>AND(#REF!,"AAAAAFXaq3A=")</f>
        <v>#REF!</v>
      </c>
      <c r="DJ485" t="e">
        <f>IF(#REF!,"AAAAAFXaq3E=",0)</f>
        <v>#REF!</v>
      </c>
      <c r="DK485" t="e">
        <f>AND(#REF!,"AAAAAFXaq3I=")</f>
        <v>#REF!</v>
      </c>
      <c r="DL485" t="e">
        <f>AND(#REF!,"AAAAAFXaq3M=")</f>
        <v>#REF!</v>
      </c>
      <c r="DM485" t="e">
        <f>AND(#REF!,"AAAAAFXaq3Q=")</f>
        <v>#REF!</v>
      </c>
      <c r="DN485" t="e">
        <f>AND(#REF!,"AAAAAFXaq3U=")</f>
        <v>#REF!</v>
      </c>
      <c r="DO485" t="e">
        <f>AND(#REF!,"AAAAAFXaq3Y=")</f>
        <v>#REF!</v>
      </c>
      <c r="DP485" t="e">
        <f>AND(#REF!,"AAAAAFXaq3c=")</f>
        <v>#REF!</v>
      </c>
      <c r="DQ485" t="e">
        <f>AND(#REF!,"AAAAAFXaq3g=")</f>
        <v>#REF!</v>
      </c>
      <c r="DR485" t="e">
        <f>AND(#REF!,"AAAAAFXaq3k=")</f>
        <v>#REF!</v>
      </c>
      <c r="DS485" t="e">
        <f>AND(#REF!,"AAAAAFXaq3o=")</f>
        <v>#REF!</v>
      </c>
      <c r="DT485" t="e">
        <f>AND(#REF!,"AAAAAFXaq3s=")</f>
        <v>#REF!</v>
      </c>
      <c r="DU485" t="e">
        <f>IF(#REF!,"AAAAAFXaq3w=",0)</f>
        <v>#REF!</v>
      </c>
      <c r="DV485" t="e">
        <f>AND(#REF!,"AAAAAFXaq30=")</f>
        <v>#REF!</v>
      </c>
      <c r="DW485" t="e">
        <f>AND(#REF!,"AAAAAFXaq34=")</f>
        <v>#REF!</v>
      </c>
      <c r="DX485" t="e">
        <f>AND(#REF!,"AAAAAFXaq38=")</f>
        <v>#REF!</v>
      </c>
      <c r="DY485" t="e">
        <f>AND(#REF!,"AAAAAFXaq4A=")</f>
        <v>#REF!</v>
      </c>
      <c r="DZ485" t="e">
        <f>AND(#REF!,"AAAAAFXaq4E=")</f>
        <v>#REF!</v>
      </c>
      <c r="EA485" t="e">
        <f>AND(#REF!,"AAAAAFXaq4I=")</f>
        <v>#REF!</v>
      </c>
      <c r="EB485" t="e">
        <f>AND(#REF!,"AAAAAFXaq4M=")</f>
        <v>#REF!</v>
      </c>
      <c r="EC485" t="e">
        <f>AND(#REF!,"AAAAAFXaq4Q=")</f>
        <v>#REF!</v>
      </c>
      <c r="ED485" t="e">
        <f>AND(#REF!,"AAAAAFXaq4U=")</f>
        <v>#REF!</v>
      </c>
      <c r="EE485" t="e">
        <f>AND(#REF!,"AAAAAFXaq4Y=")</f>
        <v>#REF!</v>
      </c>
      <c r="EF485" t="e">
        <f>IF(#REF!,"AAAAAFXaq4c=",0)</f>
        <v>#REF!</v>
      </c>
      <c r="EG485" t="e">
        <f>AND(#REF!,"AAAAAFXaq4g=")</f>
        <v>#REF!</v>
      </c>
      <c r="EH485" t="e">
        <f>AND(#REF!,"AAAAAFXaq4k=")</f>
        <v>#REF!</v>
      </c>
      <c r="EI485" t="e">
        <f>AND(#REF!,"AAAAAFXaq4o=")</f>
        <v>#REF!</v>
      </c>
      <c r="EJ485" t="e">
        <f>AND(#REF!,"AAAAAFXaq4s=")</f>
        <v>#REF!</v>
      </c>
      <c r="EK485" t="e">
        <f>AND(#REF!,"AAAAAFXaq4w=")</f>
        <v>#REF!</v>
      </c>
      <c r="EL485" t="e">
        <f>AND(#REF!,"AAAAAFXaq40=")</f>
        <v>#REF!</v>
      </c>
      <c r="EM485" t="e">
        <f>AND(#REF!,"AAAAAFXaq44=")</f>
        <v>#REF!</v>
      </c>
      <c r="EN485" t="e">
        <f>AND(#REF!,"AAAAAFXaq48=")</f>
        <v>#REF!</v>
      </c>
      <c r="EO485" t="e">
        <f>AND(#REF!,"AAAAAFXaq5A=")</f>
        <v>#REF!</v>
      </c>
      <c r="EP485" t="e">
        <f>AND(#REF!,"AAAAAFXaq5E=")</f>
        <v>#REF!</v>
      </c>
      <c r="EQ485" t="e">
        <f>IF(#REF!,"AAAAAFXaq5I=",0)</f>
        <v>#REF!</v>
      </c>
      <c r="ER485" t="e">
        <f>AND(#REF!,"AAAAAFXaq5M=")</f>
        <v>#REF!</v>
      </c>
      <c r="ES485" t="e">
        <f>AND(#REF!,"AAAAAFXaq5Q=")</f>
        <v>#REF!</v>
      </c>
      <c r="ET485" t="e">
        <f>AND(#REF!,"AAAAAFXaq5U=")</f>
        <v>#REF!</v>
      </c>
      <c r="EU485" t="e">
        <f>AND(#REF!,"AAAAAFXaq5Y=")</f>
        <v>#REF!</v>
      </c>
      <c r="EV485" t="e">
        <f>AND(#REF!,"AAAAAFXaq5c=")</f>
        <v>#REF!</v>
      </c>
      <c r="EW485" t="e">
        <f>AND(#REF!,"AAAAAFXaq5g=")</f>
        <v>#REF!</v>
      </c>
      <c r="EX485" t="e">
        <f>AND(#REF!,"AAAAAFXaq5k=")</f>
        <v>#REF!</v>
      </c>
      <c r="EY485" t="e">
        <f>AND(#REF!,"AAAAAFXaq5o=")</f>
        <v>#REF!</v>
      </c>
      <c r="EZ485" t="e">
        <f>AND(#REF!,"AAAAAFXaq5s=")</f>
        <v>#REF!</v>
      </c>
      <c r="FA485" t="e">
        <f>AND(#REF!,"AAAAAFXaq5w=")</f>
        <v>#REF!</v>
      </c>
      <c r="FB485" t="e">
        <f>IF(#REF!,"AAAAAFXaq50=",0)</f>
        <v>#REF!</v>
      </c>
      <c r="FC485" t="e">
        <f>AND(#REF!,"AAAAAFXaq54=")</f>
        <v>#REF!</v>
      </c>
      <c r="FD485" t="e">
        <f>AND(#REF!,"AAAAAFXaq58=")</f>
        <v>#REF!</v>
      </c>
      <c r="FE485" t="e">
        <f>AND(#REF!,"AAAAAFXaq6A=")</f>
        <v>#REF!</v>
      </c>
      <c r="FF485" t="e">
        <f>AND(#REF!,"AAAAAFXaq6E=")</f>
        <v>#REF!</v>
      </c>
      <c r="FG485" t="e">
        <f>AND(#REF!,"AAAAAFXaq6I=")</f>
        <v>#REF!</v>
      </c>
      <c r="FH485" t="e">
        <f>AND(#REF!,"AAAAAFXaq6M=")</f>
        <v>#REF!</v>
      </c>
      <c r="FI485" t="e">
        <f>AND(#REF!,"AAAAAFXaq6Q=")</f>
        <v>#REF!</v>
      </c>
      <c r="FJ485" t="e">
        <f>AND(#REF!,"AAAAAFXaq6U=")</f>
        <v>#REF!</v>
      </c>
      <c r="FK485" t="e">
        <f>AND(#REF!,"AAAAAFXaq6Y=")</f>
        <v>#REF!</v>
      </c>
      <c r="FL485" t="e">
        <f>AND(#REF!,"AAAAAFXaq6c=")</f>
        <v>#REF!</v>
      </c>
      <c r="FM485" t="e">
        <f>IF(#REF!,"AAAAAFXaq6g=",0)</f>
        <v>#REF!</v>
      </c>
      <c r="FN485" t="e">
        <f>AND(#REF!,"AAAAAFXaq6k=")</f>
        <v>#REF!</v>
      </c>
      <c r="FO485" t="e">
        <f>AND(#REF!,"AAAAAFXaq6o=")</f>
        <v>#REF!</v>
      </c>
      <c r="FP485" t="e">
        <f>AND(#REF!,"AAAAAFXaq6s=")</f>
        <v>#REF!</v>
      </c>
      <c r="FQ485" t="e">
        <f>AND(#REF!,"AAAAAFXaq6w=")</f>
        <v>#REF!</v>
      </c>
      <c r="FR485" t="e">
        <f>AND(#REF!,"AAAAAFXaq60=")</f>
        <v>#REF!</v>
      </c>
      <c r="FS485" t="e">
        <f>AND(#REF!,"AAAAAFXaq64=")</f>
        <v>#REF!</v>
      </c>
      <c r="FT485" t="e">
        <f>AND(#REF!,"AAAAAFXaq68=")</f>
        <v>#REF!</v>
      </c>
      <c r="FU485" t="e">
        <f>AND(#REF!,"AAAAAFXaq7A=")</f>
        <v>#REF!</v>
      </c>
      <c r="FV485" t="e">
        <f>AND(#REF!,"AAAAAFXaq7E=")</f>
        <v>#REF!</v>
      </c>
      <c r="FW485" t="e">
        <f>AND(#REF!,"AAAAAFXaq7I=")</f>
        <v>#REF!</v>
      </c>
      <c r="FX485" t="e">
        <f>IF(#REF!,"AAAAAFXaq7M=",0)</f>
        <v>#REF!</v>
      </c>
      <c r="FY485" t="e">
        <f>AND(#REF!,"AAAAAFXaq7Q=")</f>
        <v>#REF!</v>
      </c>
      <c r="FZ485" t="e">
        <f>AND(#REF!,"AAAAAFXaq7U=")</f>
        <v>#REF!</v>
      </c>
      <c r="GA485" t="e">
        <f>AND(#REF!,"AAAAAFXaq7Y=")</f>
        <v>#REF!</v>
      </c>
      <c r="GB485" t="e">
        <f>AND(#REF!,"AAAAAFXaq7c=")</f>
        <v>#REF!</v>
      </c>
      <c r="GC485" t="e">
        <f>AND(#REF!,"AAAAAFXaq7g=")</f>
        <v>#REF!</v>
      </c>
      <c r="GD485" t="e">
        <f>AND(#REF!,"AAAAAFXaq7k=")</f>
        <v>#REF!</v>
      </c>
      <c r="GE485" t="e">
        <f>AND(#REF!,"AAAAAFXaq7o=")</f>
        <v>#REF!</v>
      </c>
      <c r="GF485" t="e">
        <f>AND(#REF!,"AAAAAFXaq7s=")</f>
        <v>#REF!</v>
      </c>
      <c r="GG485" t="e">
        <f>AND(#REF!,"AAAAAFXaq7w=")</f>
        <v>#REF!</v>
      </c>
      <c r="GH485" t="e">
        <f>AND(#REF!,"AAAAAFXaq70=")</f>
        <v>#REF!</v>
      </c>
      <c r="GI485" t="e">
        <f>IF(#REF!,"AAAAAFXaq74=",0)</f>
        <v>#REF!</v>
      </c>
      <c r="GJ485" t="e">
        <f>AND(#REF!,"AAAAAFXaq78=")</f>
        <v>#REF!</v>
      </c>
      <c r="GK485" t="e">
        <f>AND(#REF!,"AAAAAFXaq8A=")</f>
        <v>#REF!</v>
      </c>
      <c r="GL485" t="e">
        <f>AND(#REF!,"AAAAAFXaq8E=")</f>
        <v>#REF!</v>
      </c>
      <c r="GM485" t="e">
        <f>AND(#REF!,"AAAAAFXaq8I=")</f>
        <v>#REF!</v>
      </c>
      <c r="GN485" t="e">
        <f>AND(#REF!,"AAAAAFXaq8M=")</f>
        <v>#REF!</v>
      </c>
      <c r="GO485" t="e">
        <f>AND(#REF!,"AAAAAFXaq8Q=")</f>
        <v>#REF!</v>
      </c>
      <c r="GP485" t="e">
        <f>AND(#REF!,"AAAAAFXaq8U=")</f>
        <v>#REF!</v>
      </c>
      <c r="GQ485" t="e">
        <f>AND(#REF!,"AAAAAFXaq8Y=")</f>
        <v>#REF!</v>
      </c>
      <c r="GR485" t="e">
        <f>AND(#REF!,"AAAAAFXaq8c=")</f>
        <v>#REF!</v>
      </c>
      <c r="GS485" t="e">
        <f>AND(#REF!,"AAAAAFXaq8g=")</f>
        <v>#REF!</v>
      </c>
      <c r="GT485" t="e">
        <f>IF(#REF!,"AAAAAFXaq8k=",0)</f>
        <v>#REF!</v>
      </c>
      <c r="GU485" t="e">
        <f>AND(#REF!,"AAAAAFXaq8o=")</f>
        <v>#REF!</v>
      </c>
      <c r="GV485" t="e">
        <f>AND(#REF!,"AAAAAFXaq8s=")</f>
        <v>#REF!</v>
      </c>
      <c r="GW485" t="e">
        <f>AND(#REF!,"AAAAAFXaq8w=")</f>
        <v>#REF!</v>
      </c>
      <c r="GX485" t="e">
        <f>AND(#REF!,"AAAAAFXaq80=")</f>
        <v>#REF!</v>
      </c>
      <c r="GY485" t="e">
        <f>AND(#REF!,"AAAAAFXaq84=")</f>
        <v>#REF!</v>
      </c>
      <c r="GZ485" t="e">
        <f>AND(#REF!,"AAAAAFXaq88=")</f>
        <v>#REF!</v>
      </c>
      <c r="HA485" t="e">
        <f>AND(#REF!,"AAAAAFXaq9A=")</f>
        <v>#REF!</v>
      </c>
      <c r="HB485" t="e">
        <f>AND(#REF!,"AAAAAFXaq9E=")</f>
        <v>#REF!</v>
      </c>
      <c r="HC485" t="e">
        <f>AND(#REF!,"AAAAAFXaq9I=")</f>
        <v>#REF!</v>
      </c>
      <c r="HD485" t="e">
        <f>AND(#REF!,"AAAAAFXaq9M=")</f>
        <v>#REF!</v>
      </c>
      <c r="HE485" t="e">
        <f>IF(#REF!,"AAAAAFXaq9Q=",0)</f>
        <v>#REF!</v>
      </c>
      <c r="HF485" t="e">
        <f>AND(#REF!,"AAAAAFXaq9U=")</f>
        <v>#REF!</v>
      </c>
      <c r="HG485" t="e">
        <f>AND(#REF!,"AAAAAFXaq9Y=")</f>
        <v>#REF!</v>
      </c>
      <c r="HH485" t="e">
        <f>AND(#REF!,"AAAAAFXaq9c=")</f>
        <v>#REF!</v>
      </c>
      <c r="HI485" t="e">
        <f>AND(#REF!,"AAAAAFXaq9g=")</f>
        <v>#REF!</v>
      </c>
      <c r="HJ485" t="e">
        <f>AND(#REF!,"AAAAAFXaq9k=")</f>
        <v>#REF!</v>
      </c>
      <c r="HK485" t="e">
        <f>AND(#REF!,"AAAAAFXaq9o=")</f>
        <v>#REF!</v>
      </c>
      <c r="HL485" t="e">
        <f>AND(#REF!,"AAAAAFXaq9s=")</f>
        <v>#REF!</v>
      </c>
      <c r="HM485" t="e">
        <f>AND(#REF!,"AAAAAFXaq9w=")</f>
        <v>#REF!</v>
      </c>
      <c r="HN485" t="e">
        <f>AND(#REF!,"AAAAAFXaq90=")</f>
        <v>#REF!</v>
      </c>
      <c r="HO485" t="e">
        <f>AND(#REF!,"AAAAAFXaq94=")</f>
        <v>#REF!</v>
      </c>
      <c r="HP485" t="e">
        <f>IF(#REF!,"AAAAAFXaq98=",0)</f>
        <v>#REF!</v>
      </c>
      <c r="HQ485" t="e">
        <f>AND(#REF!,"AAAAAFXaq+A=")</f>
        <v>#REF!</v>
      </c>
      <c r="HR485" t="e">
        <f>AND(#REF!,"AAAAAFXaq+E=")</f>
        <v>#REF!</v>
      </c>
      <c r="HS485" t="e">
        <f>AND(#REF!,"AAAAAFXaq+I=")</f>
        <v>#REF!</v>
      </c>
      <c r="HT485" t="e">
        <f>AND(#REF!,"AAAAAFXaq+M=")</f>
        <v>#REF!</v>
      </c>
      <c r="HU485" t="e">
        <f>AND(#REF!,"AAAAAFXaq+Q=")</f>
        <v>#REF!</v>
      </c>
      <c r="HV485" t="e">
        <f>AND(#REF!,"AAAAAFXaq+U=")</f>
        <v>#REF!</v>
      </c>
      <c r="HW485" t="e">
        <f>AND(#REF!,"AAAAAFXaq+Y=")</f>
        <v>#REF!</v>
      </c>
      <c r="HX485" t="e">
        <f>AND(#REF!,"AAAAAFXaq+c=")</f>
        <v>#REF!</v>
      </c>
      <c r="HY485" t="e">
        <f>AND(#REF!,"AAAAAFXaq+g=")</f>
        <v>#REF!</v>
      </c>
      <c r="HZ485" t="e">
        <f>AND(#REF!,"AAAAAFXaq+k=")</f>
        <v>#REF!</v>
      </c>
      <c r="IA485" t="e">
        <f>IF(#REF!,"AAAAAFXaq+o=",0)</f>
        <v>#REF!</v>
      </c>
      <c r="IB485" t="e">
        <f>AND(#REF!,"AAAAAFXaq+s=")</f>
        <v>#REF!</v>
      </c>
      <c r="IC485" t="e">
        <f>AND(#REF!,"AAAAAFXaq+w=")</f>
        <v>#REF!</v>
      </c>
      <c r="ID485" t="e">
        <f>AND(#REF!,"AAAAAFXaq+0=")</f>
        <v>#REF!</v>
      </c>
      <c r="IE485" t="e">
        <f>AND(#REF!,"AAAAAFXaq+4=")</f>
        <v>#REF!</v>
      </c>
      <c r="IF485" t="e">
        <f>AND(#REF!,"AAAAAFXaq+8=")</f>
        <v>#REF!</v>
      </c>
      <c r="IG485" t="e">
        <f>AND(#REF!,"AAAAAFXaq/A=")</f>
        <v>#REF!</v>
      </c>
      <c r="IH485" t="e">
        <f>AND(#REF!,"AAAAAFXaq/E=")</f>
        <v>#REF!</v>
      </c>
      <c r="II485" t="e">
        <f>AND(#REF!,"AAAAAFXaq/I=")</f>
        <v>#REF!</v>
      </c>
      <c r="IJ485" t="e">
        <f>AND(#REF!,"AAAAAFXaq/M=")</f>
        <v>#REF!</v>
      </c>
      <c r="IK485" t="e">
        <f>AND(#REF!,"AAAAAFXaq/Q=")</f>
        <v>#REF!</v>
      </c>
      <c r="IL485" t="e">
        <f>IF(#REF!,"AAAAAFXaq/U=",0)</f>
        <v>#REF!</v>
      </c>
      <c r="IM485" t="e">
        <f>AND(#REF!,"AAAAAFXaq/Y=")</f>
        <v>#REF!</v>
      </c>
      <c r="IN485" t="e">
        <f>AND(#REF!,"AAAAAFXaq/c=")</f>
        <v>#REF!</v>
      </c>
      <c r="IO485" t="e">
        <f>AND(#REF!,"AAAAAFXaq/g=")</f>
        <v>#REF!</v>
      </c>
      <c r="IP485" t="e">
        <f>AND(#REF!,"AAAAAFXaq/k=")</f>
        <v>#REF!</v>
      </c>
      <c r="IQ485" t="e">
        <f>AND(#REF!,"AAAAAFXaq/o=")</f>
        <v>#REF!</v>
      </c>
      <c r="IR485" t="e">
        <f>AND(#REF!,"AAAAAFXaq/s=")</f>
        <v>#REF!</v>
      </c>
      <c r="IS485" t="e">
        <f>AND(#REF!,"AAAAAFXaq/w=")</f>
        <v>#REF!</v>
      </c>
      <c r="IT485" t="e">
        <f>AND(#REF!,"AAAAAFXaq/0=")</f>
        <v>#REF!</v>
      </c>
      <c r="IU485" t="e">
        <f>AND(#REF!,"AAAAAFXaq/4=")</f>
        <v>#REF!</v>
      </c>
      <c r="IV485" t="e">
        <f>AND(#REF!,"AAAAAFXaq/8=")</f>
        <v>#REF!</v>
      </c>
    </row>
    <row r="486" spans="1:256" x14ac:dyDescent="0.25">
      <c r="A486" t="e">
        <f>IF(#REF!,"AAAAAHf33QA=",0)</f>
        <v>#REF!</v>
      </c>
      <c r="B486" t="e">
        <f>AND(#REF!,"AAAAAHf33QE=")</f>
        <v>#REF!</v>
      </c>
      <c r="C486" t="e">
        <f>AND(#REF!,"AAAAAHf33QI=")</f>
        <v>#REF!</v>
      </c>
      <c r="D486" t="e">
        <f>AND(#REF!,"AAAAAHf33QM=")</f>
        <v>#REF!</v>
      </c>
      <c r="E486" t="e">
        <f>AND(#REF!,"AAAAAHf33QQ=")</f>
        <v>#REF!</v>
      </c>
      <c r="F486" t="e">
        <f>AND(#REF!,"AAAAAHf33QU=")</f>
        <v>#REF!</v>
      </c>
      <c r="G486" t="e">
        <f>AND(#REF!,"AAAAAHf33QY=")</f>
        <v>#REF!</v>
      </c>
      <c r="H486" t="e">
        <f>AND(#REF!,"AAAAAHf33Qc=")</f>
        <v>#REF!</v>
      </c>
      <c r="I486" t="e">
        <f>AND(#REF!,"AAAAAHf33Qg=")</f>
        <v>#REF!</v>
      </c>
      <c r="J486" t="e">
        <f>AND(#REF!,"AAAAAHf33Qk=")</f>
        <v>#REF!</v>
      </c>
      <c r="K486" t="e">
        <f>AND(#REF!,"AAAAAHf33Qo=")</f>
        <v>#REF!</v>
      </c>
      <c r="L486" t="e">
        <f>IF(#REF!,"AAAAAHf33Qs=",0)</f>
        <v>#REF!</v>
      </c>
      <c r="M486" t="e">
        <f>AND(#REF!,"AAAAAHf33Qw=")</f>
        <v>#REF!</v>
      </c>
      <c r="N486" t="e">
        <f>AND(#REF!,"AAAAAHf33Q0=")</f>
        <v>#REF!</v>
      </c>
      <c r="O486" t="e">
        <f>AND(#REF!,"AAAAAHf33Q4=")</f>
        <v>#REF!</v>
      </c>
      <c r="P486" t="e">
        <f>AND(#REF!,"AAAAAHf33Q8=")</f>
        <v>#REF!</v>
      </c>
      <c r="Q486" t="e">
        <f>AND(#REF!,"AAAAAHf33RA=")</f>
        <v>#REF!</v>
      </c>
      <c r="R486" t="e">
        <f>AND(#REF!,"AAAAAHf33RE=")</f>
        <v>#REF!</v>
      </c>
      <c r="S486" t="e">
        <f>AND(#REF!,"AAAAAHf33RI=")</f>
        <v>#REF!</v>
      </c>
      <c r="T486" t="e">
        <f>AND(#REF!,"AAAAAHf33RM=")</f>
        <v>#REF!</v>
      </c>
      <c r="U486" t="e">
        <f>AND(#REF!,"AAAAAHf33RQ=")</f>
        <v>#REF!</v>
      </c>
      <c r="V486" t="e">
        <f>AND(#REF!,"AAAAAHf33RU=")</f>
        <v>#REF!</v>
      </c>
      <c r="W486" t="e">
        <f>IF(#REF!,"AAAAAHf33RY=",0)</f>
        <v>#REF!</v>
      </c>
      <c r="X486" t="e">
        <f>AND(#REF!,"AAAAAHf33Rc=")</f>
        <v>#REF!</v>
      </c>
      <c r="Y486" t="e">
        <f>AND(#REF!,"AAAAAHf33Rg=")</f>
        <v>#REF!</v>
      </c>
      <c r="Z486" t="e">
        <f>AND(#REF!,"AAAAAHf33Rk=")</f>
        <v>#REF!</v>
      </c>
      <c r="AA486" t="e">
        <f>AND(#REF!,"AAAAAHf33Ro=")</f>
        <v>#REF!</v>
      </c>
      <c r="AB486" t="e">
        <f>AND(#REF!,"AAAAAHf33Rs=")</f>
        <v>#REF!</v>
      </c>
      <c r="AC486" t="e">
        <f>AND(#REF!,"AAAAAHf33Rw=")</f>
        <v>#REF!</v>
      </c>
      <c r="AD486" t="e">
        <f>AND(#REF!,"AAAAAHf33R0=")</f>
        <v>#REF!</v>
      </c>
      <c r="AE486" t="e">
        <f>AND(#REF!,"AAAAAHf33R4=")</f>
        <v>#REF!</v>
      </c>
      <c r="AF486" t="e">
        <f>AND(#REF!,"AAAAAHf33R8=")</f>
        <v>#REF!</v>
      </c>
      <c r="AG486" t="e">
        <f>AND(#REF!,"AAAAAHf33SA=")</f>
        <v>#REF!</v>
      </c>
      <c r="AH486" t="e">
        <f>IF(#REF!,"AAAAAHf33SE=",0)</f>
        <v>#REF!</v>
      </c>
      <c r="AI486" t="e">
        <f>AND(#REF!,"AAAAAHf33SI=")</f>
        <v>#REF!</v>
      </c>
      <c r="AJ486" t="e">
        <f>AND(#REF!,"AAAAAHf33SM=")</f>
        <v>#REF!</v>
      </c>
      <c r="AK486" t="e">
        <f>AND(#REF!,"AAAAAHf33SQ=")</f>
        <v>#REF!</v>
      </c>
      <c r="AL486" t="e">
        <f>AND(#REF!,"AAAAAHf33SU=")</f>
        <v>#REF!</v>
      </c>
      <c r="AM486" t="e">
        <f>AND(#REF!,"AAAAAHf33SY=")</f>
        <v>#REF!</v>
      </c>
      <c r="AN486" t="e">
        <f>AND(#REF!,"AAAAAHf33Sc=")</f>
        <v>#REF!</v>
      </c>
      <c r="AO486" t="e">
        <f>AND(#REF!,"AAAAAHf33Sg=")</f>
        <v>#REF!</v>
      </c>
      <c r="AP486" t="e">
        <f>AND(#REF!,"AAAAAHf33Sk=")</f>
        <v>#REF!</v>
      </c>
      <c r="AQ486" t="e">
        <f>AND(#REF!,"AAAAAHf33So=")</f>
        <v>#REF!</v>
      </c>
      <c r="AR486" t="e">
        <f>AND(#REF!,"AAAAAHf33Ss=")</f>
        <v>#REF!</v>
      </c>
      <c r="AS486" t="e">
        <f>IF(#REF!,"AAAAAHf33Sw=",0)</f>
        <v>#REF!</v>
      </c>
      <c r="AT486" t="e">
        <f>AND(#REF!,"AAAAAHf33S0=")</f>
        <v>#REF!</v>
      </c>
      <c r="AU486" t="e">
        <f>AND(#REF!,"AAAAAHf33S4=")</f>
        <v>#REF!</v>
      </c>
      <c r="AV486" t="e">
        <f>AND(#REF!,"AAAAAHf33S8=")</f>
        <v>#REF!</v>
      </c>
      <c r="AW486" t="e">
        <f>AND(#REF!,"AAAAAHf33TA=")</f>
        <v>#REF!</v>
      </c>
      <c r="AX486" t="e">
        <f>AND(#REF!,"AAAAAHf33TE=")</f>
        <v>#REF!</v>
      </c>
      <c r="AY486" t="e">
        <f>AND(#REF!,"AAAAAHf33TI=")</f>
        <v>#REF!</v>
      </c>
      <c r="AZ486" t="e">
        <f>AND(#REF!,"AAAAAHf33TM=")</f>
        <v>#REF!</v>
      </c>
      <c r="BA486" t="e">
        <f>AND(#REF!,"AAAAAHf33TQ=")</f>
        <v>#REF!</v>
      </c>
      <c r="BB486" t="e">
        <f>AND(#REF!,"AAAAAHf33TU=")</f>
        <v>#REF!</v>
      </c>
      <c r="BC486" t="e">
        <f>AND(#REF!,"AAAAAHf33TY=")</f>
        <v>#REF!</v>
      </c>
      <c r="BD486" t="e">
        <f>IF(#REF!,"AAAAAHf33Tc=",0)</f>
        <v>#REF!</v>
      </c>
      <c r="BE486" t="e">
        <f>AND(#REF!,"AAAAAHf33Tg=")</f>
        <v>#REF!</v>
      </c>
      <c r="BF486" t="e">
        <f>AND(#REF!,"AAAAAHf33Tk=")</f>
        <v>#REF!</v>
      </c>
      <c r="BG486" t="e">
        <f>AND(#REF!,"AAAAAHf33To=")</f>
        <v>#REF!</v>
      </c>
      <c r="BH486" t="e">
        <f>AND(#REF!,"AAAAAHf33Ts=")</f>
        <v>#REF!</v>
      </c>
      <c r="BI486" t="e">
        <f>AND(#REF!,"AAAAAHf33Tw=")</f>
        <v>#REF!</v>
      </c>
      <c r="BJ486" t="e">
        <f>AND(#REF!,"AAAAAHf33T0=")</f>
        <v>#REF!</v>
      </c>
      <c r="BK486" t="e">
        <f>AND(#REF!,"AAAAAHf33T4=")</f>
        <v>#REF!</v>
      </c>
      <c r="BL486" t="e">
        <f>AND(#REF!,"AAAAAHf33T8=")</f>
        <v>#REF!</v>
      </c>
      <c r="BM486" t="e">
        <f>AND(#REF!,"AAAAAHf33UA=")</f>
        <v>#REF!</v>
      </c>
      <c r="BN486" t="e">
        <f>AND(#REF!,"AAAAAHf33UE=")</f>
        <v>#REF!</v>
      </c>
      <c r="BO486" t="e">
        <f>IF(#REF!,"AAAAAHf33UI=",0)</f>
        <v>#REF!</v>
      </c>
      <c r="BP486" t="e">
        <f>AND(#REF!,"AAAAAHf33UM=")</f>
        <v>#REF!</v>
      </c>
      <c r="BQ486" t="e">
        <f>AND(#REF!,"AAAAAHf33UQ=")</f>
        <v>#REF!</v>
      </c>
      <c r="BR486" t="e">
        <f>AND(#REF!,"AAAAAHf33UU=")</f>
        <v>#REF!</v>
      </c>
      <c r="BS486" t="e">
        <f>AND(#REF!,"AAAAAHf33UY=")</f>
        <v>#REF!</v>
      </c>
      <c r="BT486" t="e">
        <f>AND(#REF!,"AAAAAHf33Uc=")</f>
        <v>#REF!</v>
      </c>
      <c r="BU486" t="e">
        <f>AND(#REF!,"AAAAAHf33Ug=")</f>
        <v>#REF!</v>
      </c>
      <c r="BV486" t="e">
        <f>AND(#REF!,"AAAAAHf33Uk=")</f>
        <v>#REF!</v>
      </c>
      <c r="BW486" t="e">
        <f>AND(#REF!,"AAAAAHf33Uo=")</f>
        <v>#REF!</v>
      </c>
      <c r="BX486" t="e">
        <f>AND(#REF!,"AAAAAHf33Us=")</f>
        <v>#REF!</v>
      </c>
      <c r="BY486" t="e">
        <f>AND(#REF!,"AAAAAHf33Uw=")</f>
        <v>#REF!</v>
      </c>
      <c r="BZ486" t="e">
        <f>IF(#REF!,"AAAAAHf33U0=",0)</f>
        <v>#REF!</v>
      </c>
      <c r="CA486" t="e">
        <f>AND(#REF!,"AAAAAHf33U4=")</f>
        <v>#REF!</v>
      </c>
      <c r="CB486" t="e">
        <f>AND(#REF!,"AAAAAHf33U8=")</f>
        <v>#REF!</v>
      </c>
      <c r="CC486" t="e">
        <f>AND(#REF!,"AAAAAHf33VA=")</f>
        <v>#REF!</v>
      </c>
      <c r="CD486" t="e">
        <f>AND(#REF!,"AAAAAHf33VE=")</f>
        <v>#REF!</v>
      </c>
      <c r="CE486" t="e">
        <f>AND(#REF!,"AAAAAHf33VI=")</f>
        <v>#REF!</v>
      </c>
      <c r="CF486" t="e">
        <f>AND(#REF!,"AAAAAHf33VM=")</f>
        <v>#REF!</v>
      </c>
      <c r="CG486" t="e">
        <f>AND(#REF!,"AAAAAHf33VQ=")</f>
        <v>#REF!</v>
      </c>
      <c r="CH486" t="e">
        <f>AND(#REF!,"AAAAAHf33VU=")</f>
        <v>#REF!</v>
      </c>
      <c r="CI486" t="e">
        <f>AND(#REF!,"AAAAAHf33VY=")</f>
        <v>#REF!</v>
      </c>
      <c r="CJ486" t="e">
        <f>AND(#REF!,"AAAAAHf33Vc=")</f>
        <v>#REF!</v>
      </c>
      <c r="CK486" t="e">
        <f>IF(#REF!,"AAAAAHf33Vg=",0)</f>
        <v>#REF!</v>
      </c>
      <c r="CL486" t="e">
        <f>AND(#REF!,"AAAAAHf33Vk=")</f>
        <v>#REF!</v>
      </c>
      <c r="CM486" t="e">
        <f>AND(#REF!,"AAAAAHf33Vo=")</f>
        <v>#REF!</v>
      </c>
      <c r="CN486" t="e">
        <f>AND(#REF!,"AAAAAHf33Vs=")</f>
        <v>#REF!</v>
      </c>
      <c r="CO486" t="e">
        <f>AND(#REF!,"AAAAAHf33Vw=")</f>
        <v>#REF!</v>
      </c>
      <c r="CP486" t="e">
        <f>AND(#REF!,"AAAAAHf33V0=")</f>
        <v>#REF!</v>
      </c>
      <c r="CQ486" t="e">
        <f>AND(#REF!,"AAAAAHf33V4=")</f>
        <v>#REF!</v>
      </c>
      <c r="CR486" t="e">
        <f>AND(#REF!,"AAAAAHf33V8=")</f>
        <v>#REF!</v>
      </c>
      <c r="CS486" t="e">
        <f>AND(#REF!,"AAAAAHf33WA=")</f>
        <v>#REF!</v>
      </c>
      <c r="CT486" t="e">
        <f>AND(#REF!,"AAAAAHf33WE=")</f>
        <v>#REF!</v>
      </c>
      <c r="CU486" t="e">
        <f>AND(#REF!,"AAAAAHf33WI=")</f>
        <v>#REF!</v>
      </c>
      <c r="CV486" t="e">
        <f>IF(#REF!,"AAAAAHf33WM=",0)</f>
        <v>#REF!</v>
      </c>
      <c r="CW486" t="e">
        <f>AND(#REF!,"AAAAAHf33WQ=")</f>
        <v>#REF!</v>
      </c>
      <c r="CX486" t="e">
        <f>AND(#REF!,"AAAAAHf33WU=")</f>
        <v>#REF!</v>
      </c>
      <c r="CY486" t="e">
        <f>AND(#REF!,"AAAAAHf33WY=")</f>
        <v>#REF!</v>
      </c>
      <c r="CZ486" t="e">
        <f>AND(#REF!,"AAAAAHf33Wc=")</f>
        <v>#REF!</v>
      </c>
      <c r="DA486" t="e">
        <f>AND(#REF!,"AAAAAHf33Wg=")</f>
        <v>#REF!</v>
      </c>
      <c r="DB486" t="e">
        <f>AND(#REF!,"AAAAAHf33Wk=")</f>
        <v>#REF!</v>
      </c>
      <c r="DC486" t="e">
        <f>AND(#REF!,"AAAAAHf33Wo=")</f>
        <v>#REF!</v>
      </c>
      <c r="DD486" t="e">
        <f>AND(#REF!,"AAAAAHf33Ws=")</f>
        <v>#REF!</v>
      </c>
      <c r="DE486" t="e">
        <f>AND(#REF!,"AAAAAHf33Ww=")</f>
        <v>#REF!</v>
      </c>
      <c r="DF486" t="e">
        <f>AND(#REF!,"AAAAAHf33W0=")</f>
        <v>#REF!</v>
      </c>
      <c r="DG486" t="e">
        <f>IF(#REF!,"AAAAAHf33W4=",0)</f>
        <v>#REF!</v>
      </c>
      <c r="DH486" t="e">
        <f>AND(#REF!,"AAAAAHf33W8=")</f>
        <v>#REF!</v>
      </c>
      <c r="DI486" t="e">
        <f>AND(#REF!,"AAAAAHf33XA=")</f>
        <v>#REF!</v>
      </c>
      <c r="DJ486" t="e">
        <f>AND(#REF!,"AAAAAHf33XE=")</f>
        <v>#REF!</v>
      </c>
      <c r="DK486" t="e">
        <f>AND(#REF!,"AAAAAHf33XI=")</f>
        <v>#REF!</v>
      </c>
      <c r="DL486" t="e">
        <f>AND(#REF!,"AAAAAHf33XM=")</f>
        <v>#REF!</v>
      </c>
      <c r="DM486" t="e">
        <f>AND(#REF!,"AAAAAHf33XQ=")</f>
        <v>#REF!</v>
      </c>
      <c r="DN486" t="e">
        <f>AND(#REF!,"AAAAAHf33XU=")</f>
        <v>#REF!</v>
      </c>
      <c r="DO486" t="e">
        <f>AND(#REF!,"AAAAAHf33XY=")</f>
        <v>#REF!</v>
      </c>
      <c r="DP486" t="e">
        <f>AND(#REF!,"AAAAAHf33Xc=")</f>
        <v>#REF!</v>
      </c>
      <c r="DQ486" t="e">
        <f>AND(#REF!,"AAAAAHf33Xg=")</f>
        <v>#REF!</v>
      </c>
      <c r="DR486" t="e">
        <f>IF(#REF!,"AAAAAHf33Xk=",0)</f>
        <v>#REF!</v>
      </c>
      <c r="DS486" t="e">
        <f>AND(#REF!,"AAAAAHf33Xo=")</f>
        <v>#REF!</v>
      </c>
      <c r="DT486" t="e">
        <f>AND(#REF!,"AAAAAHf33Xs=")</f>
        <v>#REF!</v>
      </c>
      <c r="DU486" t="e">
        <f>AND(#REF!,"AAAAAHf33Xw=")</f>
        <v>#REF!</v>
      </c>
      <c r="DV486" t="e">
        <f>AND(#REF!,"AAAAAHf33X0=")</f>
        <v>#REF!</v>
      </c>
      <c r="DW486" t="e">
        <f>AND(#REF!,"AAAAAHf33X4=")</f>
        <v>#REF!</v>
      </c>
      <c r="DX486" t="e">
        <f>AND(#REF!,"AAAAAHf33X8=")</f>
        <v>#REF!</v>
      </c>
      <c r="DY486" t="e">
        <f>AND(#REF!,"AAAAAHf33YA=")</f>
        <v>#REF!</v>
      </c>
      <c r="DZ486" t="e">
        <f>AND(#REF!,"AAAAAHf33YE=")</f>
        <v>#REF!</v>
      </c>
      <c r="EA486" t="e">
        <f>AND(#REF!,"AAAAAHf33YI=")</f>
        <v>#REF!</v>
      </c>
      <c r="EB486" t="e">
        <f>AND(#REF!,"AAAAAHf33YM=")</f>
        <v>#REF!</v>
      </c>
      <c r="EC486" t="e">
        <f>IF(#REF!,"AAAAAHf33YQ=",0)</f>
        <v>#REF!</v>
      </c>
      <c r="ED486" t="e">
        <f>AND(#REF!,"AAAAAHf33YU=")</f>
        <v>#REF!</v>
      </c>
      <c r="EE486" t="e">
        <f>AND(#REF!,"AAAAAHf33YY=")</f>
        <v>#REF!</v>
      </c>
      <c r="EF486" t="e">
        <f>AND(#REF!,"AAAAAHf33Yc=")</f>
        <v>#REF!</v>
      </c>
      <c r="EG486" t="e">
        <f>AND(#REF!,"AAAAAHf33Yg=")</f>
        <v>#REF!</v>
      </c>
      <c r="EH486" t="e">
        <f>AND(#REF!,"AAAAAHf33Yk=")</f>
        <v>#REF!</v>
      </c>
      <c r="EI486" t="e">
        <f>AND(#REF!,"AAAAAHf33Yo=")</f>
        <v>#REF!</v>
      </c>
      <c r="EJ486" t="e">
        <f>AND(#REF!,"AAAAAHf33Ys=")</f>
        <v>#REF!</v>
      </c>
      <c r="EK486" t="e">
        <f>AND(#REF!,"AAAAAHf33Yw=")</f>
        <v>#REF!</v>
      </c>
      <c r="EL486" t="e">
        <f>AND(#REF!,"AAAAAHf33Y0=")</f>
        <v>#REF!</v>
      </c>
      <c r="EM486" t="e">
        <f>AND(#REF!,"AAAAAHf33Y4=")</f>
        <v>#REF!</v>
      </c>
      <c r="EN486" t="e">
        <f>IF(#REF!,"AAAAAHf33Y8=",0)</f>
        <v>#REF!</v>
      </c>
      <c r="EO486" t="e">
        <f>AND(#REF!,"AAAAAHf33ZA=")</f>
        <v>#REF!</v>
      </c>
      <c r="EP486" t="e">
        <f>AND(#REF!,"AAAAAHf33ZE=")</f>
        <v>#REF!</v>
      </c>
      <c r="EQ486" t="e">
        <f>AND(#REF!,"AAAAAHf33ZI=")</f>
        <v>#REF!</v>
      </c>
      <c r="ER486" t="e">
        <f>AND(#REF!,"AAAAAHf33ZM=")</f>
        <v>#REF!</v>
      </c>
      <c r="ES486" t="e">
        <f>AND(#REF!,"AAAAAHf33ZQ=")</f>
        <v>#REF!</v>
      </c>
      <c r="ET486" t="e">
        <f>AND(#REF!,"AAAAAHf33ZU=")</f>
        <v>#REF!</v>
      </c>
      <c r="EU486" t="e">
        <f>AND(#REF!,"AAAAAHf33ZY=")</f>
        <v>#REF!</v>
      </c>
      <c r="EV486" t="e">
        <f>AND(#REF!,"AAAAAHf33Zc=")</f>
        <v>#REF!</v>
      </c>
      <c r="EW486" t="e">
        <f>AND(#REF!,"AAAAAHf33Zg=")</f>
        <v>#REF!</v>
      </c>
      <c r="EX486" t="e">
        <f>AND(#REF!,"AAAAAHf33Zk=")</f>
        <v>#REF!</v>
      </c>
      <c r="EY486" t="e">
        <f>IF(#REF!,"AAAAAHf33Zo=",0)</f>
        <v>#REF!</v>
      </c>
      <c r="EZ486" t="e">
        <f>AND(#REF!,"AAAAAHf33Zs=")</f>
        <v>#REF!</v>
      </c>
      <c r="FA486" t="e">
        <f>AND(#REF!,"AAAAAHf33Zw=")</f>
        <v>#REF!</v>
      </c>
      <c r="FB486" t="e">
        <f>AND(#REF!,"AAAAAHf33Z0=")</f>
        <v>#REF!</v>
      </c>
      <c r="FC486" t="e">
        <f>AND(#REF!,"AAAAAHf33Z4=")</f>
        <v>#REF!</v>
      </c>
      <c r="FD486" t="e">
        <f>AND(#REF!,"AAAAAHf33Z8=")</f>
        <v>#REF!</v>
      </c>
      <c r="FE486" t="e">
        <f>AND(#REF!,"AAAAAHf33aA=")</f>
        <v>#REF!</v>
      </c>
      <c r="FF486" t="e">
        <f>AND(#REF!,"AAAAAHf33aE=")</f>
        <v>#REF!</v>
      </c>
      <c r="FG486" t="e">
        <f>AND(#REF!,"AAAAAHf33aI=")</f>
        <v>#REF!</v>
      </c>
      <c r="FH486" t="e">
        <f>AND(#REF!,"AAAAAHf33aM=")</f>
        <v>#REF!</v>
      </c>
      <c r="FI486" t="e">
        <f>AND(#REF!,"AAAAAHf33aQ=")</f>
        <v>#REF!</v>
      </c>
      <c r="FJ486" t="e">
        <f>IF(#REF!,"AAAAAHf33aU=",0)</f>
        <v>#REF!</v>
      </c>
      <c r="FK486" t="e">
        <f>AND(#REF!,"AAAAAHf33aY=")</f>
        <v>#REF!</v>
      </c>
      <c r="FL486" t="e">
        <f>AND(#REF!,"AAAAAHf33ac=")</f>
        <v>#REF!</v>
      </c>
      <c r="FM486" t="e">
        <f>AND(#REF!,"AAAAAHf33ag=")</f>
        <v>#REF!</v>
      </c>
      <c r="FN486" t="e">
        <f>AND(#REF!,"AAAAAHf33ak=")</f>
        <v>#REF!</v>
      </c>
      <c r="FO486" t="e">
        <f>AND(#REF!,"AAAAAHf33ao=")</f>
        <v>#REF!</v>
      </c>
      <c r="FP486" t="e">
        <f>AND(#REF!,"AAAAAHf33as=")</f>
        <v>#REF!</v>
      </c>
      <c r="FQ486" t="e">
        <f>AND(#REF!,"AAAAAHf33aw=")</f>
        <v>#REF!</v>
      </c>
      <c r="FR486" t="e">
        <f>AND(#REF!,"AAAAAHf33a0=")</f>
        <v>#REF!</v>
      </c>
      <c r="FS486" t="e">
        <f>AND(#REF!,"AAAAAHf33a4=")</f>
        <v>#REF!</v>
      </c>
      <c r="FT486" t="e">
        <f>AND(#REF!,"AAAAAHf33a8=")</f>
        <v>#REF!</v>
      </c>
      <c r="FU486" t="e">
        <f>IF(#REF!,"AAAAAHf33bA=",0)</f>
        <v>#REF!</v>
      </c>
      <c r="FV486" t="e">
        <f>AND(#REF!,"AAAAAHf33bE=")</f>
        <v>#REF!</v>
      </c>
      <c r="FW486" t="e">
        <f>AND(#REF!,"AAAAAHf33bI=")</f>
        <v>#REF!</v>
      </c>
      <c r="FX486" t="e">
        <f>AND(#REF!,"AAAAAHf33bM=")</f>
        <v>#REF!</v>
      </c>
      <c r="FY486" t="e">
        <f>AND(#REF!,"AAAAAHf33bQ=")</f>
        <v>#REF!</v>
      </c>
      <c r="FZ486" t="e">
        <f>AND(#REF!,"AAAAAHf33bU=")</f>
        <v>#REF!</v>
      </c>
      <c r="GA486" t="e">
        <f>AND(#REF!,"AAAAAHf33bY=")</f>
        <v>#REF!</v>
      </c>
      <c r="GB486" t="e">
        <f>AND(#REF!,"AAAAAHf33bc=")</f>
        <v>#REF!</v>
      </c>
      <c r="GC486" t="e">
        <f>AND(#REF!,"AAAAAHf33bg=")</f>
        <v>#REF!</v>
      </c>
      <c r="GD486" t="e">
        <f>AND(#REF!,"AAAAAHf33bk=")</f>
        <v>#REF!</v>
      </c>
      <c r="GE486" t="e">
        <f>AND(#REF!,"AAAAAHf33bo=")</f>
        <v>#REF!</v>
      </c>
      <c r="GF486" t="e">
        <f>IF(#REF!,"AAAAAHf33bs=",0)</f>
        <v>#REF!</v>
      </c>
      <c r="GG486" t="e">
        <f>AND(#REF!,"AAAAAHf33bw=")</f>
        <v>#REF!</v>
      </c>
      <c r="GH486" t="e">
        <f>AND(#REF!,"AAAAAHf33b0=")</f>
        <v>#REF!</v>
      </c>
      <c r="GI486" t="e">
        <f>AND(#REF!,"AAAAAHf33b4=")</f>
        <v>#REF!</v>
      </c>
      <c r="GJ486" t="e">
        <f>AND(#REF!,"AAAAAHf33b8=")</f>
        <v>#REF!</v>
      </c>
      <c r="GK486" t="e">
        <f>AND(#REF!,"AAAAAHf33cA=")</f>
        <v>#REF!</v>
      </c>
      <c r="GL486" t="e">
        <f>AND(#REF!,"AAAAAHf33cE=")</f>
        <v>#REF!</v>
      </c>
      <c r="GM486" t="e">
        <f>AND(#REF!,"AAAAAHf33cI=")</f>
        <v>#REF!</v>
      </c>
      <c r="GN486" t="e">
        <f>AND(#REF!,"AAAAAHf33cM=")</f>
        <v>#REF!</v>
      </c>
      <c r="GO486" t="e">
        <f>AND(#REF!,"AAAAAHf33cQ=")</f>
        <v>#REF!</v>
      </c>
      <c r="GP486" t="e">
        <f>AND(#REF!,"AAAAAHf33cU=")</f>
        <v>#REF!</v>
      </c>
      <c r="GQ486" t="e">
        <f>IF(#REF!,"AAAAAHf33cY=",0)</f>
        <v>#REF!</v>
      </c>
      <c r="GR486" t="e">
        <f>AND(#REF!,"AAAAAHf33cc=")</f>
        <v>#REF!</v>
      </c>
      <c r="GS486" t="e">
        <f>AND(#REF!,"AAAAAHf33cg=")</f>
        <v>#REF!</v>
      </c>
      <c r="GT486" t="e">
        <f>AND(#REF!,"AAAAAHf33ck=")</f>
        <v>#REF!</v>
      </c>
      <c r="GU486" t="e">
        <f>AND(#REF!,"AAAAAHf33co=")</f>
        <v>#REF!</v>
      </c>
      <c r="GV486" t="e">
        <f>AND(#REF!,"AAAAAHf33cs=")</f>
        <v>#REF!</v>
      </c>
      <c r="GW486" t="e">
        <f>AND(#REF!,"AAAAAHf33cw=")</f>
        <v>#REF!</v>
      </c>
      <c r="GX486" t="e">
        <f>AND(#REF!,"AAAAAHf33c0=")</f>
        <v>#REF!</v>
      </c>
      <c r="GY486" t="e">
        <f>AND(#REF!,"AAAAAHf33c4=")</f>
        <v>#REF!</v>
      </c>
      <c r="GZ486" t="e">
        <f>AND(#REF!,"AAAAAHf33c8=")</f>
        <v>#REF!</v>
      </c>
      <c r="HA486" t="e">
        <f>AND(#REF!,"AAAAAHf33dA=")</f>
        <v>#REF!</v>
      </c>
      <c r="HB486" t="e">
        <f>IF(#REF!,"AAAAAHf33dE=",0)</f>
        <v>#REF!</v>
      </c>
      <c r="HC486" t="e">
        <f>AND(#REF!,"AAAAAHf33dI=")</f>
        <v>#REF!</v>
      </c>
      <c r="HD486" t="e">
        <f>AND(#REF!,"AAAAAHf33dM=")</f>
        <v>#REF!</v>
      </c>
      <c r="HE486" t="e">
        <f>AND(#REF!,"AAAAAHf33dQ=")</f>
        <v>#REF!</v>
      </c>
      <c r="HF486" t="e">
        <f>AND(#REF!,"AAAAAHf33dU=")</f>
        <v>#REF!</v>
      </c>
      <c r="HG486" t="e">
        <f>AND(#REF!,"AAAAAHf33dY=")</f>
        <v>#REF!</v>
      </c>
      <c r="HH486" t="e">
        <f>AND(#REF!,"AAAAAHf33dc=")</f>
        <v>#REF!</v>
      </c>
      <c r="HI486" t="e">
        <f>AND(#REF!,"AAAAAHf33dg=")</f>
        <v>#REF!</v>
      </c>
      <c r="HJ486" t="e">
        <f>AND(#REF!,"AAAAAHf33dk=")</f>
        <v>#REF!</v>
      </c>
      <c r="HK486" t="e">
        <f>AND(#REF!,"AAAAAHf33do=")</f>
        <v>#REF!</v>
      </c>
      <c r="HL486" t="e">
        <f>AND(#REF!,"AAAAAHf33ds=")</f>
        <v>#REF!</v>
      </c>
      <c r="HM486" t="e">
        <f>IF(#REF!,"AAAAAHf33dw=",0)</f>
        <v>#REF!</v>
      </c>
      <c r="HN486" t="e">
        <f>AND(#REF!,"AAAAAHf33d0=")</f>
        <v>#REF!</v>
      </c>
      <c r="HO486" t="e">
        <f>AND(#REF!,"AAAAAHf33d4=")</f>
        <v>#REF!</v>
      </c>
      <c r="HP486" t="e">
        <f>AND(#REF!,"AAAAAHf33d8=")</f>
        <v>#REF!</v>
      </c>
      <c r="HQ486" t="e">
        <f>AND(#REF!,"AAAAAHf33eA=")</f>
        <v>#REF!</v>
      </c>
      <c r="HR486" t="e">
        <f>AND(#REF!,"AAAAAHf33eE=")</f>
        <v>#REF!</v>
      </c>
      <c r="HS486" t="e">
        <f>AND(#REF!,"AAAAAHf33eI=")</f>
        <v>#REF!</v>
      </c>
      <c r="HT486" t="e">
        <f>AND(#REF!,"AAAAAHf33eM=")</f>
        <v>#REF!</v>
      </c>
      <c r="HU486" t="e">
        <f>AND(#REF!,"AAAAAHf33eQ=")</f>
        <v>#REF!</v>
      </c>
      <c r="HV486" t="e">
        <f>AND(#REF!,"AAAAAHf33eU=")</f>
        <v>#REF!</v>
      </c>
      <c r="HW486" t="e">
        <f>AND(#REF!,"AAAAAHf33eY=")</f>
        <v>#REF!</v>
      </c>
      <c r="HX486" t="e">
        <f>IF(#REF!,"AAAAAHf33ec=",0)</f>
        <v>#REF!</v>
      </c>
      <c r="HY486" t="e">
        <f>AND(#REF!,"AAAAAHf33eg=")</f>
        <v>#REF!</v>
      </c>
      <c r="HZ486" t="e">
        <f>AND(#REF!,"AAAAAHf33ek=")</f>
        <v>#REF!</v>
      </c>
      <c r="IA486" t="e">
        <f>AND(#REF!,"AAAAAHf33eo=")</f>
        <v>#REF!</v>
      </c>
      <c r="IB486" t="e">
        <f>AND(#REF!,"AAAAAHf33es=")</f>
        <v>#REF!</v>
      </c>
      <c r="IC486" t="e">
        <f>AND(#REF!,"AAAAAHf33ew=")</f>
        <v>#REF!</v>
      </c>
      <c r="ID486" t="e">
        <f>AND(#REF!,"AAAAAHf33e0=")</f>
        <v>#REF!</v>
      </c>
      <c r="IE486" t="e">
        <f>AND(#REF!,"AAAAAHf33e4=")</f>
        <v>#REF!</v>
      </c>
      <c r="IF486" t="e">
        <f>AND(#REF!,"AAAAAHf33e8=")</f>
        <v>#REF!</v>
      </c>
      <c r="IG486" t="e">
        <f>AND(#REF!,"AAAAAHf33fA=")</f>
        <v>#REF!</v>
      </c>
      <c r="IH486" t="e">
        <f>AND(#REF!,"AAAAAHf33fE=")</f>
        <v>#REF!</v>
      </c>
      <c r="II486" t="e">
        <f>IF(#REF!,"AAAAAHf33fI=",0)</f>
        <v>#REF!</v>
      </c>
      <c r="IJ486" t="e">
        <f>AND(#REF!,"AAAAAHf33fM=")</f>
        <v>#REF!</v>
      </c>
      <c r="IK486" t="e">
        <f>AND(#REF!,"AAAAAHf33fQ=")</f>
        <v>#REF!</v>
      </c>
      <c r="IL486" t="e">
        <f>AND(#REF!,"AAAAAHf33fU=")</f>
        <v>#REF!</v>
      </c>
      <c r="IM486" t="e">
        <f>AND(#REF!,"AAAAAHf33fY=")</f>
        <v>#REF!</v>
      </c>
      <c r="IN486" t="e">
        <f>AND(#REF!,"AAAAAHf33fc=")</f>
        <v>#REF!</v>
      </c>
      <c r="IO486" t="e">
        <f>AND(#REF!,"AAAAAHf33fg=")</f>
        <v>#REF!</v>
      </c>
      <c r="IP486" t="e">
        <f>AND(#REF!,"AAAAAHf33fk=")</f>
        <v>#REF!</v>
      </c>
      <c r="IQ486" t="e">
        <f>AND(#REF!,"AAAAAHf33fo=")</f>
        <v>#REF!</v>
      </c>
      <c r="IR486" t="e">
        <f>AND(#REF!,"AAAAAHf33fs=")</f>
        <v>#REF!</v>
      </c>
      <c r="IS486" t="e">
        <f>AND(#REF!,"AAAAAHf33fw=")</f>
        <v>#REF!</v>
      </c>
      <c r="IT486" t="e">
        <f>IF(#REF!,"AAAAAHf33f0=",0)</f>
        <v>#REF!</v>
      </c>
      <c r="IU486" t="e">
        <f>AND(#REF!,"AAAAAHf33f4=")</f>
        <v>#REF!</v>
      </c>
      <c r="IV486" t="e">
        <f>AND(#REF!,"AAAAAHf33f8=")</f>
        <v>#REF!</v>
      </c>
    </row>
    <row r="487" spans="1:256" x14ac:dyDescent="0.25">
      <c r="A487" t="e">
        <f>AND(#REF!,"AAAAAH8nfwA=")</f>
        <v>#REF!</v>
      </c>
      <c r="B487" t="e">
        <f>AND(#REF!,"AAAAAH8nfwE=")</f>
        <v>#REF!</v>
      </c>
      <c r="C487" t="e">
        <f>AND(#REF!,"AAAAAH8nfwI=")</f>
        <v>#REF!</v>
      </c>
      <c r="D487" t="e">
        <f>AND(#REF!,"AAAAAH8nfwM=")</f>
        <v>#REF!</v>
      </c>
      <c r="E487" t="e">
        <f>AND(#REF!,"AAAAAH8nfwQ=")</f>
        <v>#REF!</v>
      </c>
      <c r="F487" t="e">
        <f>AND(#REF!,"AAAAAH8nfwU=")</f>
        <v>#REF!</v>
      </c>
      <c r="G487" t="e">
        <f>AND(#REF!,"AAAAAH8nfwY=")</f>
        <v>#REF!</v>
      </c>
      <c r="H487" t="e">
        <f>AND(#REF!,"AAAAAH8nfwc=")</f>
        <v>#REF!</v>
      </c>
      <c r="I487" t="e">
        <f>IF(#REF!,"AAAAAH8nfwg=",0)</f>
        <v>#REF!</v>
      </c>
      <c r="J487" t="e">
        <f>AND(#REF!,"AAAAAH8nfwk=")</f>
        <v>#REF!</v>
      </c>
      <c r="K487" t="e">
        <f>AND(#REF!,"AAAAAH8nfwo=")</f>
        <v>#REF!</v>
      </c>
      <c r="L487" t="e">
        <f>AND(#REF!,"AAAAAH8nfws=")</f>
        <v>#REF!</v>
      </c>
      <c r="M487" t="e">
        <f>AND(#REF!,"AAAAAH8nfww=")</f>
        <v>#REF!</v>
      </c>
      <c r="N487" t="e">
        <f>AND(#REF!,"AAAAAH8nfw0=")</f>
        <v>#REF!</v>
      </c>
      <c r="O487" t="e">
        <f>AND(#REF!,"AAAAAH8nfw4=")</f>
        <v>#REF!</v>
      </c>
      <c r="P487" t="e">
        <f>AND(#REF!,"AAAAAH8nfw8=")</f>
        <v>#REF!</v>
      </c>
      <c r="Q487" t="e">
        <f>AND(#REF!,"AAAAAH8nfxA=")</f>
        <v>#REF!</v>
      </c>
      <c r="R487" t="e">
        <f>AND(#REF!,"AAAAAH8nfxE=")</f>
        <v>#REF!</v>
      </c>
      <c r="S487" t="e">
        <f>AND(#REF!,"AAAAAH8nfxI=")</f>
        <v>#REF!</v>
      </c>
      <c r="T487" t="e">
        <f>IF(#REF!,"AAAAAH8nfxM=",0)</f>
        <v>#REF!</v>
      </c>
      <c r="U487" t="e">
        <f>AND(#REF!,"AAAAAH8nfxQ=")</f>
        <v>#REF!</v>
      </c>
      <c r="V487" t="e">
        <f>AND(#REF!,"AAAAAH8nfxU=")</f>
        <v>#REF!</v>
      </c>
      <c r="W487" t="e">
        <f>AND(#REF!,"AAAAAH8nfxY=")</f>
        <v>#REF!</v>
      </c>
      <c r="X487" t="e">
        <f>AND(#REF!,"AAAAAH8nfxc=")</f>
        <v>#REF!</v>
      </c>
      <c r="Y487" t="e">
        <f>AND(#REF!,"AAAAAH8nfxg=")</f>
        <v>#REF!</v>
      </c>
      <c r="Z487" t="e">
        <f>AND(#REF!,"AAAAAH8nfxk=")</f>
        <v>#REF!</v>
      </c>
      <c r="AA487" t="e">
        <f>AND(#REF!,"AAAAAH8nfxo=")</f>
        <v>#REF!</v>
      </c>
      <c r="AB487" t="e">
        <f>AND(#REF!,"AAAAAH8nfxs=")</f>
        <v>#REF!</v>
      </c>
      <c r="AC487" t="e">
        <f>AND(#REF!,"AAAAAH8nfxw=")</f>
        <v>#REF!</v>
      </c>
      <c r="AD487" t="e">
        <f>AND(#REF!,"AAAAAH8nfx0=")</f>
        <v>#REF!</v>
      </c>
      <c r="AE487" t="e">
        <f>IF(#REF!,"AAAAAH8nfx4=",0)</f>
        <v>#REF!</v>
      </c>
      <c r="AF487" t="e">
        <f>AND(#REF!,"AAAAAH8nfx8=")</f>
        <v>#REF!</v>
      </c>
      <c r="AG487" t="e">
        <f>AND(#REF!,"AAAAAH8nfyA=")</f>
        <v>#REF!</v>
      </c>
      <c r="AH487" t="e">
        <f>AND(#REF!,"AAAAAH8nfyE=")</f>
        <v>#REF!</v>
      </c>
      <c r="AI487" t="e">
        <f>AND(#REF!,"AAAAAH8nfyI=")</f>
        <v>#REF!</v>
      </c>
      <c r="AJ487" t="e">
        <f>AND(#REF!,"AAAAAH8nfyM=")</f>
        <v>#REF!</v>
      </c>
      <c r="AK487" t="e">
        <f>AND(#REF!,"AAAAAH8nfyQ=")</f>
        <v>#REF!</v>
      </c>
      <c r="AL487" t="e">
        <f>AND(#REF!,"AAAAAH8nfyU=")</f>
        <v>#REF!</v>
      </c>
      <c r="AM487" t="e">
        <f>AND(#REF!,"AAAAAH8nfyY=")</f>
        <v>#REF!</v>
      </c>
      <c r="AN487" t="e">
        <f>AND(#REF!,"AAAAAH8nfyc=")</f>
        <v>#REF!</v>
      </c>
      <c r="AO487" t="e">
        <f>AND(#REF!,"AAAAAH8nfyg=")</f>
        <v>#REF!</v>
      </c>
      <c r="AP487" t="e">
        <f>IF(#REF!,"AAAAAH8nfyk=",0)</f>
        <v>#REF!</v>
      </c>
      <c r="AQ487" t="e">
        <f>AND(#REF!,"AAAAAH8nfyo=")</f>
        <v>#REF!</v>
      </c>
      <c r="AR487" t="e">
        <f>AND(#REF!,"AAAAAH8nfys=")</f>
        <v>#REF!</v>
      </c>
      <c r="AS487" t="e">
        <f>AND(#REF!,"AAAAAH8nfyw=")</f>
        <v>#REF!</v>
      </c>
      <c r="AT487" t="e">
        <f>AND(#REF!,"AAAAAH8nfy0=")</f>
        <v>#REF!</v>
      </c>
      <c r="AU487" t="e">
        <f>AND(#REF!,"AAAAAH8nfy4=")</f>
        <v>#REF!</v>
      </c>
      <c r="AV487" t="e">
        <f>AND(#REF!,"AAAAAH8nfy8=")</f>
        <v>#REF!</v>
      </c>
      <c r="AW487" t="e">
        <f>AND(#REF!,"AAAAAH8nfzA=")</f>
        <v>#REF!</v>
      </c>
      <c r="AX487" t="e">
        <f>AND(#REF!,"AAAAAH8nfzE=")</f>
        <v>#REF!</v>
      </c>
      <c r="AY487" t="e">
        <f>AND(#REF!,"AAAAAH8nfzI=")</f>
        <v>#REF!</v>
      </c>
      <c r="AZ487" t="e">
        <f>AND(#REF!,"AAAAAH8nfzM=")</f>
        <v>#REF!</v>
      </c>
      <c r="BA487" t="e">
        <f>IF(#REF!,"AAAAAH8nfzQ=",0)</f>
        <v>#REF!</v>
      </c>
      <c r="BB487" t="e">
        <f>AND(#REF!,"AAAAAH8nfzU=")</f>
        <v>#REF!</v>
      </c>
      <c r="BC487" t="e">
        <f>AND(#REF!,"AAAAAH8nfzY=")</f>
        <v>#REF!</v>
      </c>
      <c r="BD487" t="e">
        <f>AND(#REF!,"AAAAAH8nfzc=")</f>
        <v>#REF!</v>
      </c>
      <c r="BE487" t="e">
        <f>AND(#REF!,"AAAAAH8nfzg=")</f>
        <v>#REF!</v>
      </c>
      <c r="BF487" t="e">
        <f>AND(#REF!,"AAAAAH8nfzk=")</f>
        <v>#REF!</v>
      </c>
      <c r="BG487" t="e">
        <f>AND(#REF!,"AAAAAH8nfzo=")</f>
        <v>#REF!</v>
      </c>
      <c r="BH487" t="e">
        <f>AND(#REF!,"AAAAAH8nfzs=")</f>
        <v>#REF!</v>
      </c>
      <c r="BI487" t="e">
        <f>AND(#REF!,"AAAAAH8nfzw=")</f>
        <v>#REF!</v>
      </c>
      <c r="BJ487" t="e">
        <f>AND(#REF!,"AAAAAH8nfz0=")</f>
        <v>#REF!</v>
      </c>
      <c r="BK487" t="e">
        <f>AND(#REF!,"AAAAAH8nfz4=")</f>
        <v>#REF!</v>
      </c>
      <c r="BL487" t="e">
        <f>IF(#REF!,"AAAAAH8nfz8=",0)</f>
        <v>#REF!</v>
      </c>
      <c r="BM487" t="e">
        <f>AND(#REF!,"AAAAAH8nf0A=")</f>
        <v>#REF!</v>
      </c>
      <c r="BN487" t="e">
        <f>AND(#REF!,"AAAAAH8nf0E=")</f>
        <v>#REF!</v>
      </c>
      <c r="BO487" t="e">
        <f>AND(#REF!,"AAAAAH8nf0I=")</f>
        <v>#REF!</v>
      </c>
      <c r="BP487" t="e">
        <f>AND(#REF!,"AAAAAH8nf0M=")</f>
        <v>#REF!</v>
      </c>
      <c r="BQ487" t="e">
        <f>AND(#REF!,"AAAAAH8nf0Q=")</f>
        <v>#REF!</v>
      </c>
      <c r="BR487" t="e">
        <f>AND(#REF!,"AAAAAH8nf0U=")</f>
        <v>#REF!</v>
      </c>
      <c r="BS487" t="e">
        <f>AND(#REF!,"AAAAAH8nf0Y=")</f>
        <v>#REF!</v>
      </c>
      <c r="BT487" t="e">
        <f>AND(#REF!,"AAAAAH8nf0c=")</f>
        <v>#REF!</v>
      </c>
      <c r="BU487" t="e">
        <f>AND(#REF!,"AAAAAH8nf0g=")</f>
        <v>#REF!</v>
      </c>
      <c r="BV487" t="e">
        <f>AND(#REF!,"AAAAAH8nf0k=")</f>
        <v>#REF!</v>
      </c>
      <c r="BW487" t="e">
        <f>IF(#REF!,"AAAAAH8nf0o=",0)</f>
        <v>#REF!</v>
      </c>
      <c r="BX487" t="e">
        <f>AND(#REF!,"AAAAAH8nf0s=")</f>
        <v>#REF!</v>
      </c>
      <c r="BY487" t="e">
        <f>AND(#REF!,"AAAAAH8nf0w=")</f>
        <v>#REF!</v>
      </c>
      <c r="BZ487" t="e">
        <f>AND(#REF!,"AAAAAH8nf00=")</f>
        <v>#REF!</v>
      </c>
      <c r="CA487" t="e">
        <f>AND(#REF!,"AAAAAH8nf04=")</f>
        <v>#REF!</v>
      </c>
      <c r="CB487" t="e">
        <f>AND(#REF!,"AAAAAH8nf08=")</f>
        <v>#REF!</v>
      </c>
      <c r="CC487" t="e">
        <f>AND(#REF!,"AAAAAH8nf1A=")</f>
        <v>#REF!</v>
      </c>
      <c r="CD487" t="e">
        <f>AND(#REF!,"AAAAAH8nf1E=")</f>
        <v>#REF!</v>
      </c>
      <c r="CE487" t="e">
        <f>AND(#REF!,"AAAAAH8nf1I=")</f>
        <v>#REF!</v>
      </c>
      <c r="CF487" t="e">
        <f>AND(#REF!,"AAAAAH8nf1M=")</f>
        <v>#REF!</v>
      </c>
      <c r="CG487" t="e">
        <f>AND(#REF!,"AAAAAH8nf1Q=")</f>
        <v>#REF!</v>
      </c>
      <c r="CH487" t="e">
        <f>IF(#REF!,"AAAAAH8nf1U=",0)</f>
        <v>#REF!</v>
      </c>
      <c r="CI487" t="e">
        <f>AND(#REF!,"AAAAAH8nf1Y=")</f>
        <v>#REF!</v>
      </c>
      <c r="CJ487" t="e">
        <f>AND(#REF!,"AAAAAH8nf1c=")</f>
        <v>#REF!</v>
      </c>
      <c r="CK487" t="e">
        <f>AND(#REF!,"AAAAAH8nf1g=")</f>
        <v>#REF!</v>
      </c>
      <c r="CL487" t="e">
        <f>AND(#REF!,"AAAAAH8nf1k=")</f>
        <v>#REF!</v>
      </c>
      <c r="CM487" t="e">
        <f>AND(#REF!,"AAAAAH8nf1o=")</f>
        <v>#REF!</v>
      </c>
      <c r="CN487" t="e">
        <f>AND(#REF!,"AAAAAH8nf1s=")</f>
        <v>#REF!</v>
      </c>
      <c r="CO487" t="e">
        <f>AND(#REF!,"AAAAAH8nf1w=")</f>
        <v>#REF!</v>
      </c>
      <c r="CP487" t="e">
        <f>AND(#REF!,"AAAAAH8nf10=")</f>
        <v>#REF!</v>
      </c>
      <c r="CQ487" t="e">
        <f>AND(#REF!,"AAAAAH8nf14=")</f>
        <v>#REF!</v>
      </c>
      <c r="CR487" t="e">
        <f>AND(#REF!,"AAAAAH8nf18=")</f>
        <v>#REF!</v>
      </c>
      <c r="CS487" t="e">
        <f>IF(#REF!,"AAAAAH8nf2A=",0)</f>
        <v>#REF!</v>
      </c>
      <c r="CT487" t="e">
        <f>AND(#REF!,"AAAAAH8nf2E=")</f>
        <v>#REF!</v>
      </c>
      <c r="CU487" t="e">
        <f>AND(#REF!,"AAAAAH8nf2I=")</f>
        <v>#REF!</v>
      </c>
      <c r="CV487" t="e">
        <f>AND(#REF!,"AAAAAH8nf2M=")</f>
        <v>#REF!</v>
      </c>
      <c r="CW487" t="e">
        <f>AND(#REF!,"AAAAAH8nf2Q=")</f>
        <v>#REF!</v>
      </c>
      <c r="CX487" t="e">
        <f>AND(#REF!,"AAAAAH8nf2U=")</f>
        <v>#REF!</v>
      </c>
      <c r="CY487" t="e">
        <f>AND(#REF!,"AAAAAH8nf2Y=")</f>
        <v>#REF!</v>
      </c>
      <c r="CZ487" t="e">
        <f>AND(#REF!,"AAAAAH8nf2c=")</f>
        <v>#REF!</v>
      </c>
      <c r="DA487" t="e">
        <f>AND(#REF!,"AAAAAH8nf2g=")</f>
        <v>#REF!</v>
      </c>
      <c r="DB487" t="e">
        <f>AND(#REF!,"AAAAAH8nf2k=")</f>
        <v>#REF!</v>
      </c>
      <c r="DC487" t="e">
        <f>AND(#REF!,"AAAAAH8nf2o=")</f>
        <v>#REF!</v>
      </c>
      <c r="DD487" t="e">
        <f>IF(#REF!,"AAAAAH8nf2s=",0)</f>
        <v>#REF!</v>
      </c>
      <c r="DE487" t="e">
        <f>AND(#REF!,"AAAAAH8nf2w=")</f>
        <v>#REF!</v>
      </c>
      <c r="DF487" t="e">
        <f>AND(#REF!,"AAAAAH8nf20=")</f>
        <v>#REF!</v>
      </c>
      <c r="DG487" t="e">
        <f>AND(#REF!,"AAAAAH8nf24=")</f>
        <v>#REF!</v>
      </c>
      <c r="DH487" t="e">
        <f>AND(#REF!,"AAAAAH8nf28=")</f>
        <v>#REF!</v>
      </c>
      <c r="DI487" t="e">
        <f>AND(#REF!,"AAAAAH8nf3A=")</f>
        <v>#REF!</v>
      </c>
      <c r="DJ487" t="e">
        <f>AND(#REF!,"AAAAAH8nf3E=")</f>
        <v>#REF!</v>
      </c>
      <c r="DK487" t="e">
        <f>AND(#REF!,"AAAAAH8nf3I=")</f>
        <v>#REF!</v>
      </c>
      <c r="DL487" t="e">
        <f>AND(#REF!,"AAAAAH8nf3M=")</f>
        <v>#REF!</v>
      </c>
      <c r="DM487" t="e">
        <f>AND(#REF!,"AAAAAH8nf3Q=")</f>
        <v>#REF!</v>
      </c>
      <c r="DN487" t="e">
        <f>AND(#REF!,"AAAAAH8nf3U=")</f>
        <v>#REF!</v>
      </c>
      <c r="DO487" t="e">
        <f>IF(#REF!,"AAAAAH8nf3Y=",0)</f>
        <v>#REF!</v>
      </c>
      <c r="DP487" t="e">
        <f>AND(#REF!,"AAAAAH8nf3c=")</f>
        <v>#REF!</v>
      </c>
      <c r="DQ487" t="e">
        <f>AND(#REF!,"AAAAAH8nf3g=")</f>
        <v>#REF!</v>
      </c>
      <c r="DR487" t="e">
        <f>AND(#REF!,"AAAAAH8nf3k=")</f>
        <v>#REF!</v>
      </c>
      <c r="DS487" t="e">
        <f>AND(#REF!,"AAAAAH8nf3o=")</f>
        <v>#REF!</v>
      </c>
      <c r="DT487" t="e">
        <f>AND(#REF!,"AAAAAH8nf3s=")</f>
        <v>#REF!</v>
      </c>
      <c r="DU487" t="e">
        <f>AND(#REF!,"AAAAAH8nf3w=")</f>
        <v>#REF!</v>
      </c>
      <c r="DV487" t="e">
        <f>AND(#REF!,"AAAAAH8nf30=")</f>
        <v>#REF!</v>
      </c>
      <c r="DW487" t="e">
        <f>AND(#REF!,"AAAAAH8nf34=")</f>
        <v>#REF!</v>
      </c>
      <c r="DX487" t="e">
        <f>AND(#REF!,"AAAAAH8nf38=")</f>
        <v>#REF!</v>
      </c>
      <c r="DY487" t="e">
        <f>AND(#REF!,"AAAAAH8nf4A=")</f>
        <v>#REF!</v>
      </c>
      <c r="DZ487" t="e">
        <f>IF(#REF!,"AAAAAH8nf4E=",0)</f>
        <v>#REF!</v>
      </c>
      <c r="EA487" t="e">
        <f>AND(#REF!,"AAAAAH8nf4I=")</f>
        <v>#REF!</v>
      </c>
      <c r="EB487" t="e">
        <f>AND(#REF!,"AAAAAH8nf4M=")</f>
        <v>#REF!</v>
      </c>
      <c r="EC487" t="e">
        <f>AND(#REF!,"AAAAAH8nf4Q=")</f>
        <v>#REF!</v>
      </c>
      <c r="ED487" t="e">
        <f>AND(#REF!,"AAAAAH8nf4U=")</f>
        <v>#REF!</v>
      </c>
      <c r="EE487" t="e">
        <f>AND(#REF!,"AAAAAH8nf4Y=")</f>
        <v>#REF!</v>
      </c>
      <c r="EF487" t="e">
        <f>AND(#REF!,"AAAAAH8nf4c=")</f>
        <v>#REF!</v>
      </c>
      <c r="EG487" t="e">
        <f>AND(#REF!,"AAAAAH8nf4g=")</f>
        <v>#REF!</v>
      </c>
      <c r="EH487" t="e">
        <f>AND(#REF!,"AAAAAH8nf4k=")</f>
        <v>#REF!</v>
      </c>
      <c r="EI487" t="e">
        <f>AND(#REF!,"AAAAAH8nf4o=")</f>
        <v>#REF!</v>
      </c>
      <c r="EJ487" t="e">
        <f>AND(#REF!,"AAAAAH8nf4s=")</f>
        <v>#REF!</v>
      </c>
      <c r="EK487" t="e">
        <f>IF(#REF!,"AAAAAH8nf4w=",0)</f>
        <v>#REF!</v>
      </c>
      <c r="EL487" t="e">
        <f>AND(#REF!,"AAAAAH8nf40=")</f>
        <v>#REF!</v>
      </c>
      <c r="EM487" t="e">
        <f>AND(#REF!,"AAAAAH8nf44=")</f>
        <v>#REF!</v>
      </c>
      <c r="EN487" t="e">
        <f>AND(#REF!,"AAAAAH8nf48=")</f>
        <v>#REF!</v>
      </c>
      <c r="EO487" t="e">
        <f>AND(#REF!,"AAAAAH8nf5A=")</f>
        <v>#REF!</v>
      </c>
      <c r="EP487" t="e">
        <f>AND(#REF!,"AAAAAH8nf5E=")</f>
        <v>#REF!</v>
      </c>
      <c r="EQ487" t="e">
        <f>AND(#REF!,"AAAAAH8nf5I=")</f>
        <v>#REF!</v>
      </c>
      <c r="ER487" t="e">
        <f>AND(#REF!,"AAAAAH8nf5M=")</f>
        <v>#REF!</v>
      </c>
      <c r="ES487" t="e">
        <f>AND(#REF!,"AAAAAH8nf5Q=")</f>
        <v>#REF!</v>
      </c>
      <c r="ET487" t="e">
        <f>AND(#REF!,"AAAAAH8nf5U=")</f>
        <v>#REF!</v>
      </c>
      <c r="EU487" t="e">
        <f>AND(#REF!,"AAAAAH8nf5Y=")</f>
        <v>#REF!</v>
      </c>
      <c r="EV487" t="e">
        <f>IF(#REF!,"AAAAAH8nf5c=",0)</f>
        <v>#REF!</v>
      </c>
      <c r="EW487" t="e">
        <f>AND(#REF!,"AAAAAH8nf5g=")</f>
        <v>#REF!</v>
      </c>
      <c r="EX487" t="e">
        <f>AND(#REF!,"AAAAAH8nf5k=")</f>
        <v>#REF!</v>
      </c>
      <c r="EY487" t="e">
        <f>AND(#REF!,"AAAAAH8nf5o=")</f>
        <v>#REF!</v>
      </c>
      <c r="EZ487" t="e">
        <f>AND(#REF!,"AAAAAH8nf5s=")</f>
        <v>#REF!</v>
      </c>
      <c r="FA487" t="e">
        <f>AND(#REF!,"AAAAAH8nf5w=")</f>
        <v>#REF!</v>
      </c>
      <c r="FB487" t="e">
        <f>AND(#REF!,"AAAAAH8nf50=")</f>
        <v>#REF!</v>
      </c>
      <c r="FC487" t="e">
        <f>AND(#REF!,"AAAAAH8nf54=")</f>
        <v>#REF!</v>
      </c>
      <c r="FD487" t="e">
        <f>AND(#REF!,"AAAAAH8nf58=")</f>
        <v>#REF!</v>
      </c>
      <c r="FE487" t="e">
        <f>AND(#REF!,"AAAAAH8nf6A=")</f>
        <v>#REF!</v>
      </c>
      <c r="FF487" t="e">
        <f>AND(#REF!,"AAAAAH8nf6E=")</f>
        <v>#REF!</v>
      </c>
      <c r="FG487" t="e">
        <f>IF(#REF!,"AAAAAH8nf6I=",0)</f>
        <v>#REF!</v>
      </c>
      <c r="FH487" t="e">
        <f>AND(#REF!,"AAAAAH8nf6M=")</f>
        <v>#REF!</v>
      </c>
      <c r="FI487" t="e">
        <f>AND(#REF!,"AAAAAH8nf6Q=")</f>
        <v>#REF!</v>
      </c>
      <c r="FJ487" t="e">
        <f>AND(#REF!,"AAAAAH8nf6U=")</f>
        <v>#REF!</v>
      </c>
      <c r="FK487" t="e">
        <f>AND(#REF!,"AAAAAH8nf6Y=")</f>
        <v>#REF!</v>
      </c>
      <c r="FL487" t="e">
        <f>AND(#REF!,"AAAAAH8nf6c=")</f>
        <v>#REF!</v>
      </c>
      <c r="FM487" t="e">
        <f>AND(#REF!,"AAAAAH8nf6g=")</f>
        <v>#REF!</v>
      </c>
      <c r="FN487" t="e">
        <f>AND(#REF!,"AAAAAH8nf6k=")</f>
        <v>#REF!</v>
      </c>
      <c r="FO487" t="e">
        <f>AND(#REF!,"AAAAAH8nf6o=")</f>
        <v>#REF!</v>
      </c>
      <c r="FP487" t="e">
        <f>AND(#REF!,"AAAAAH8nf6s=")</f>
        <v>#REF!</v>
      </c>
      <c r="FQ487" t="e">
        <f>AND(#REF!,"AAAAAH8nf6w=")</f>
        <v>#REF!</v>
      </c>
      <c r="FR487" t="e">
        <f>IF(#REF!,"AAAAAH8nf60=",0)</f>
        <v>#REF!</v>
      </c>
      <c r="FS487" t="e">
        <f>AND(#REF!,"AAAAAH8nf64=")</f>
        <v>#REF!</v>
      </c>
      <c r="FT487" t="e">
        <f>AND(#REF!,"AAAAAH8nf68=")</f>
        <v>#REF!</v>
      </c>
      <c r="FU487" t="e">
        <f>AND(#REF!,"AAAAAH8nf7A=")</f>
        <v>#REF!</v>
      </c>
      <c r="FV487" t="e">
        <f>AND(#REF!,"AAAAAH8nf7E=")</f>
        <v>#REF!</v>
      </c>
      <c r="FW487" t="e">
        <f>AND(#REF!,"AAAAAH8nf7I=")</f>
        <v>#REF!</v>
      </c>
      <c r="FX487" t="e">
        <f>AND(#REF!,"AAAAAH8nf7M=")</f>
        <v>#REF!</v>
      </c>
      <c r="FY487" t="e">
        <f>AND(#REF!,"AAAAAH8nf7Q=")</f>
        <v>#REF!</v>
      </c>
      <c r="FZ487" t="e">
        <f>AND(#REF!,"AAAAAH8nf7U=")</f>
        <v>#REF!</v>
      </c>
      <c r="GA487" t="e">
        <f>AND(#REF!,"AAAAAH8nf7Y=")</f>
        <v>#REF!</v>
      </c>
      <c r="GB487" t="e">
        <f>AND(#REF!,"AAAAAH8nf7c=")</f>
        <v>#REF!</v>
      </c>
      <c r="GC487" t="e">
        <f>IF(#REF!,"AAAAAH8nf7g=",0)</f>
        <v>#REF!</v>
      </c>
      <c r="GD487" t="e">
        <f>AND(#REF!,"AAAAAH8nf7k=")</f>
        <v>#REF!</v>
      </c>
      <c r="GE487" t="e">
        <f>AND(#REF!,"AAAAAH8nf7o=")</f>
        <v>#REF!</v>
      </c>
      <c r="GF487" t="e">
        <f>AND(#REF!,"AAAAAH8nf7s=")</f>
        <v>#REF!</v>
      </c>
      <c r="GG487" t="e">
        <f>AND(#REF!,"AAAAAH8nf7w=")</f>
        <v>#REF!</v>
      </c>
      <c r="GH487" t="e">
        <f>AND(#REF!,"AAAAAH8nf70=")</f>
        <v>#REF!</v>
      </c>
      <c r="GI487" t="e">
        <f>AND(#REF!,"AAAAAH8nf74=")</f>
        <v>#REF!</v>
      </c>
      <c r="GJ487" t="e">
        <f>AND(#REF!,"AAAAAH8nf78=")</f>
        <v>#REF!</v>
      </c>
      <c r="GK487" t="e">
        <f>AND(#REF!,"AAAAAH8nf8A=")</f>
        <v>#REF!</v>
      </c>
      <c r="GL487" t="e">
        <f>AND(#REF!,"AAAAAH8nf8E=")</f>
        <v>#REF!</v>
      </c>
      <c r="GM487" t="e">
        <f>AND(#REF!,"AAAAAH8nf8I=")</f>
        <v>#REF!</v>
      </c>
      <c r="GN487" t="e">
        <f>IF(#REF!,"AAAAAH8nf8M=",0)</f>
        <v>#REF!</v>
      </c>
      <c r="GO487" t="e">
        <f>AND(#REF!,"AAAAAH8nf8Q=")</f>
        <v>#REF!</v>
      </c>
      <c r="GP487" t="e">
        <f>AND(#REF!,"AAAAAH8nf8U=")</f>
        <v>#REF!</v>
      </c>
      <c r="GQ487" t="e">
        <f>AND(#REF!,"AAAAAH8nf8Y=")</f>
        <v>#REF!</v>
      </c>
      <c r="GR487" t="e">
        <f>AND(#REF!,"AAAAAH8nf8c=")</f>
        <v>#REF!</v>
      </c>
      <c r="GS487" t="e">
        <f>AND(#REF!,"AAAAAH8nf8g=")</f>
        <v>#REF!</v>
      </c>
      <c r="GT487" t="e">
        <f>AND(#REF!,"AAAAAH8nf8k=")</f>
        <v>#REF!</v>
      </c>
      <c r="GU487" t="e">
        <f>AND(#REF!,"AAAAAH8nf8o=")</f>
        <v>#REF!</v>
      </c>
      <c r="GV487" t="e">
        <f>AND(#REF!,"AAAAAH8nf8s=")</f>
        <v>#REF!</v>
      </c>
      <c r="GW487" t="e">
        <f>AND(#REF!,"AAAAAH8nf8w=")</f>
        <v>#REF!</v>
      </c>
      <c r="GX487" t="e">
        <f>AND(#REF!,"AAAAAH8nf80=")</f>
        <v>#REF!</v>
      </c>
      <c r="GY487" t="e">
        <f>IF(#REF!,"AAAAAH8nf84=",0)</f>
        <v>#REF!</v>
      </c>
      <c r="GZ487" t="e">
        <f>AND(#REF!,"AAAAAH8nf88=")</f>
        <v>#REF!</v>
      </c>
      <c r="HA487" t="e">
        <f>AND(#REF!,"AAAAAH8nf9A=")</f>
        <v>#REF!</v>
      </c>
      <c r="HB487" t="e">
        <f>AND(#REF!,"AAAAAH8nf9E=")</f>
        <v>#REF!</v>
      </c>
      <c r="HC487" t="e">
        <f>AND(#REF!,"AAAAAH8nf9I=")</f>
        <v>#REF!</v>
      </c>
      <c r="HD487" t="e">
        <f>AND(#REF!,"AAAAAH8nf9M=")</f>
        <v>#REF!</v>
      </c>
      <c r="HE487" t="e">
        <f>AND(#REF!,"AAAAAH8nf9Q=")</f>
        <v>#REF!</v>
      </c>
      <c r="HF487" t="e">
        <f>AND(#REF!,"AAAAAH8nf9U=")</f>
        <v>#REF!</v>
      </c>
      <c r="HG487" t="e">
        <f>AND(#REF!,"AAAAAH8nf9Y=")</f>
        <v>#REF!</v>
      </c>
      <c r="HH487" t="e">
        <f>AND(#REF!,"AAAAAH8nf9c=")</f>
        <v>#REF!</v>
      </c>
      <c r="HI487" t="e">
        <f>AND(#REF!,"AAAAAH8nf9g=")</f>
        <v>#REF!</v>
      </c>
      <c r="HJ487" t="e">
        <f>IF(#REF!,"AAAAAH8nf9k=",0)</f>
        <v>#REF!</v>
      </c>
      <c r="HK487" t="e">
        <f>AND(#REF!,"AAAAAH8nf9o=")</f>
        <v>#REF!</v>
      </c>
      <c r="HL487" t="e">
        <f>AND(#REF!,"AAAAAH8nf9s=")</f>
        <v>#REF!</v>
      </c>
      <c r="HM487" t="e">
        <f>AND(#REF!,"AAAAAH8nf9w=")</f>
        <v>#REF!</v>
      </c>
      <c r="HN487" t="e">
        <f>AND(#REF!,"AAAAAH8nf90=")</f>
        <v>#REF!</v>
      </c>
      <c r="HO487" t="e">
        <f>AND(#REF!,"AAAAAH8nf94=")</f>
        <v>#REF!</v>
      </c>
      <c r="HP487" t="e">
        <f>AND(#REF!,"AAAAAH8nf98=")</f>
        <v>#REF!</v>
      </c>
      <c r="HQ487" t="e">
        <f>AND(#REF!,"AAAAAH8nf+A=")</f>
        <v>#REF!</v>
      </c>
      <c r="HR487" t="e">
        <f>AND(#REF!,"AAAAAH8nf+E=")</f>
        <v>#REF!</v>
      </c>
      <c r="HS487" t="e">
        <f>AND(#REF!,"AAAAAH8nf+I=")</f>
        <v>#REF!</v>
      </c>
      <c r="HT487" t="e">
        <f>AND(#REF!,"AAAAAH8nf+M=")</f>
        <v>#REF!</v>
      </c>
      <c r="HU487" t="e">
        <f>IF(#REF!,"AAAAAH8nf+Q=",0)</f>
        <v>#REF!</v>
      </c>
      <c r="HV487" t="e">
        <f>AND(#REF!,"AAAAAH8nf+U=")</f>
        <v>#REF!</v>
      </c>
      <c r="HW487" t="e">
        <f>AND(#REF!,"AAAAAH8nf+Y=")</f>
        <v>#REF!</v>
      </c>
      <c r="HX487" t="e">
        <f>AND(#REF!,"AAAAAH8nf+c=")</f>
        <v>#REF!</v>
      </c>
      <c r="HY487" t="e">
        <f>AND(#REF!,"AAAAAH8nf+g=")</f>
        <v>#REF!</v>
      </c>
      <c r="HZ487" t="e">
        <f>AND(#REF!,"AAAAAH8nf+k=")</f>
        <v>#REF!</v>
      </c>
      <c r="IA487" t="e">
        <f>AND(#REF!,"AAAAAH8nf+o=")</f>
        <v>#REF!</v>
      </c>
      <c r="IB487" t="e">
        <f>AND(#REF!,"AAAAAH8nf+s=")</f>
        <v>#REF!</v>
      </c>
      <c r="IC487" t="e">
        <f>AND(#REF!,"AAAAAH8nf+w=")</f>
        <v>#REF!</v>
      </c>
      <c r="ID487" t="e">
        <f>AND(#REF!,"AAAAAH8nf+0=")</f>
        <v>#REF!</v>
      </c>
      <c r="IE487" t="e">
        <f>AND(#REF!,"AAAAAH8nf+4=")</f>
        <v>#REF!</v>
      </c>
      <c r="IF487" t="e">
        <f>IF(#REF!,"AAAAAH8nf+8=",0)</f>
        <v>#REF!</v>
      </c>
      <c r="IG487" t="e">
        <f>AND(#REF!,"AAAAAH8nf/A=")</f>
        <v>#REF!</v>
      </c>
      <c r="IH487" t="e">
        <f>AND(#REF!,"AAAAAH8nf/E=")</f>
        <v>#REF!</v>
      </c>
      <c r="II487" t="e">
        <f>AND(#REF!,"AAAAAH8nf/I=")</f>
        <v>#REF!</v>
      </c>
      <c r="IJ487" t="e">
        <f>AND(#REF!,"AAAAAH8nf/M=")</f>
        <v>#REF!</v>
      </c>
      <c r="IK487" t="e">
        <f>AND(#REF!,"AAAAAH8nf/Q=")</f>
        <v>#REF!</v>
      </c>
      <c r="IL487" t="e">
        <f>AND(#REF!,"AAAAAH8nf/U=")</f>
        <v>#REF!</v>
      </c>
      <c r="IM487" t="e">
        <f>AND(#REF!,"AAAAAH8nf/Y=")</f>
        <v>#REF!</v>
      </c>
      <c r="IN487" t="e">
        <f>AND(#REF!,"AAAAAH8nf/c=")</f>
        <v>#REF!</v>
      </c>
      <c r="IO487" t="e">
        <f>AND(#REF!,"AAAAAH8nf/g=")</f>
        <v>#REF!</v>
      </c>
      <c r="IP487" t="e">
        <f>AND(#REF!,"AAAAAH8nf/k=")</f>
        <v>#REF!</v>
      </c>
      <c r="IQ487" t="e">
        <f>IF(#REF!,"AAAAAH8nf/o=",0)</f>
        <v>#REF!</v>
      </c>
      <c r="IR487" t="e">
        <f>AND(#REF!,"AAAAAH8nf/s=")</f>
        <v>#REF!</v>
      </c>
      <c r="IS487" t="e">
        <f>AND(#REF!,"AAAAAH8nf/w=")</f>
        <v>#REF!</v>
      </c>
      <c r="IT487" t="e">
        <f>AND(#REF!,"AAAAAH8nf/0=")</f>
        <v>#REF!</v>
      </c>
      <c r="IU487" t="e">
        <f>AND(#REF!,"AAAAAH8nf/4=")</f>
        <v>#REF!</v>
      </c>
      <c r="IV487" t="e">
        <f>AND(#REF!,"AAAAAH8nf/8=")</f>
        <v>#REF!</v>
      </c>
    </row>
    <row r="488" spans="1:256" x14ac:dyDescent="0.25">
      <c r="A488" t="e">
        <f>AND(#REF!,"AAAAADX2fwA=")</f>
        <v>#REF!</v>
      </c>
      <c r="B488" t="e">
        <f>AND(#REF!,"AAAAADX2fwE=")</f>
        <v>#REF!</v>
      </c>
      <c r="C488" t="e">
        <f>AND(#REF!,"AAAAADX2fwI=")</f>
        <v>#REF!</v>
      </c>
      <c r="D488" t="e">
        <f>AND(#REF!,"AAAAADX2fwM=")</f>
        <v>#REF!</v>
      </c>
      <c r="E488" t="e">
        <f>AND(#REF!,"AAAAADX2fwQ=")</f>
        <v>#REF!</v>
      </c>
      <c r="F488" t="e">
        <f>IF(#REF!,"AAAAADX2fwU=",0)</f>
        <v>#REF!</v>
      </c>
      <c r="G488" t="e">
        <f>AND(#REF!,"AAAAADX2fwY=")</f>
        <v>#REF!</v>
      </c>
      <c r="H488" t="e">
        <f>AND(#REF!,"AAAAADX2fwc=")</f>
        <v>#REF!</v>
      </c>
      <c r="I488" t="e">
        <f>AND(#REF!,"AAAAADX2fwg=")</f>
        <v>#REF!</v>
      </c>
      <c r="J488" t="e">
        <f>AND(#REF!,"AAAAADX2fwk=")</f>
        <v>#REF!</v>
      </c>
      <c r="K488" t="e">
        <f>AND(#REF!,"AAAAADX2fwo=")</f>
        <v>#REF!</v>
      </c>
      <c r="L488" t="e">
        <f>AND(#REF!,"AAAAADX2fws=")</f>
        <v>#REF!</v>
      </c>
      <c r="M488" t="e">
        <f>AND(#REF!,"AAAAADX2fww=")</f>
        <v>#REF!</v>
      </c>
      <c r="N488" t="e">
        <f>AND(#REF!,"AAAAADX2fw0=")</f>
        <v>#REF!</v>
      </c>
      <c r="O488" t="e">
        <f>AND(#REF!,"AAAAADX2fw4=")</f>
        <v>#REF!</v>
      </c>
      <c r="P488" t="e">
        <f>AND(#REF!,"AAAAADX2fw8=")</f>
        <v>#REF!</v>
      </c>
      <c r="Q488" t="e">
        <f>IF(#REF!,"AAAAADX2fxA=",0)</f>
        <v>#REF!</v>
      </c>
      <c r="R488" t="e">
        <f>AND(#REF!,"AAAAADX2fxE=")</f>
        <v>#REF!</v>
      </c>
      <c r="S488" t="e">
        <f>AND(#REF!,"AAAAADX2fxI=")</f>
        <v>#REF!</v>
      </c>
      <c r="T488" t="e">
        <f>AND(#REF!,"AAAAADX2fxM=")</f>
        <v>#REF!</v>
      </c>
      <c r="U488" t="e">
        <f>AND(#REF!,"AAAAADX2fxQ=")</f>
        <v>#REF!</v>
      </c>
      <c r="V488" t="e">
        <f>AND(#REF!,"AAAAADX2fxU=")</f>
        <v>#REF!</v>
      </c>
      <c r="W488" t="e">
        <f>AND(#REF!,"AAAAADX2fxY=")</f>
        <v>#REF!</v>
      </c>
      <c r="X488" t="e">
        <f>AND(#REF!,"AAAAADX2fxc=")</f>
        <v>#REF!</v>
      </c>
      <c r="Y488" t="e">
        <f>AND(#REF!,"AAAAADX2fxg=")</f>
        <v>#REF!</v>
      </c>
      <c r="Z488" t="e">
        <f>AND(#REF!,"AAAAADX2fxk=")</f>
        <v>#REF!</v>
      </c>
      <c r="AA488" t="e">
        <f>AND(#REF!,"AAAAADX2fxo=")</f>
        <v>#REF!</v>
      </c>
      <c r="AB488" t="e">
        <f>IF(#REF!,"AAAAADX2fxs=",0)</f>
        <v>#REF!</v>
      </c>
      <c r="AC488" t="e">
        <f>AND(#REF!,"AAAAADX2fxw=")</f>
        <v>#REF!</v>
      </c>
      <c r="AD488" t="e">
        <f>AND(#REF!,"AAAAADX2fx0=")</f>
        <v>#REF!</v>
      </c>
      <c r="AE488" t="e">
        <f>AND(#REF!,"AAAAADX2fx4=")</f>
        <v>#REF!</v>
      </c>
      <c r="AF488" t="e">
        <f>AND(#REF!,"AAAAADX2fx8=")</f>
        <v>#REF!</v>
      </c>
      <c r="AG488" t="e">
        <f>AND(#REF!,"AAAAADX2fyA=")</f>
        <v>#REF!</v>
      </c>
      <c r="AH488" t="e">
        <f>AND(#REF!,"AAAAADX2fyE=")</f>
        <v>#REF!</v>
      </c>
      <c r="AI488" t="e">
        <f>AND(#REF!,"AAAAADX2fyI=")</f>
        <v>#REF!</v>
      </c>
      <c r="AJ488" t="e">
        <f>AND(#REF!,"AAAAADX2fyM=")</f>
        <v>#REF!</v>
      </c>
      <c r="AK488" t="e">
        <f>AND(#REF!,"AAAAADX2fyQ=")</f>
        <v>#REF!</v>
      </c>
      <c r="AL488" t="e">
        <f>AND(#REF!,"AAAAADX2fyU=")</f>
        <v>#REF!</v>
      </c>
      <c r="AM488" t="e">
        <f>IF(#REF!,"AAAAADX2fyY=",0)</f>
        <v>#REF!</v>
      </c>
      <c r="AN488" t="e">
        <f>AND(#REF!,"AAAAADX2fyc=")</f>
        <v>#REF!</v>
      </c>
      <c r="AO488" t="e">
        <f>AND(#REF!,"AAAAADX2fyg=")</f>
        <v>#REF!</v>
      </c>
      <c r="AP488" t="e">
        <f>AND(#REF!,"AAAAADX2fyk=")</f>
        <v>#REF!</v>
      </c>
      <c r="AQ488" t="e">
        <f>AND(#REF!,"AAAAADX2fyo=")</f>
        <v>#REF!</v>
      </c>
      <c r="AR488" t="e">
        <f>AND(#REF!,"AAAAADX2fys=")</f>
        <v>#REF!</v>
      </c>
      <c r="AS488" t="e">
        <f>AND(#REF!,"AAAAADX2fyw=")</f>
        <v>#REF!</v>
      </c>
      <c r="AT488" t="e">
        <f>AND(#REF!,"AAAAADX2fy0=")</f>
        <v>#REF!</v>
      </c>
      <c r="AU488" t="e">
        <f>AND(#REF!,"AAAAADX2fy4=")</f>
        <v>#REF!</v>
      </c>
      <c r="AV488" t="e">
        <f>AND(#REF!,"AAAAADX2fy8=")</f>
        <v>#REF!</v>
      </c>
      <c r="AW488" t="e">
        <f>AND(#REF!,"AAAAADX2fzA=")</f>
        <v>#REF!</v>
      </c>
      <c r="AX488" t="e">
        <f>IF(#REF!,"AAAAADX2fzE=",0)</f>
        <v>#REF!</v>
      </c>
      <c r="AY488" t="e">
        <f>AND(#REF!,"AAAAADX2fzI=")</f>
        <v>#REF!</v>
      </c>
      <c r="AZ488" t="e">
        <f>AND(#REF!,"AAAAADX2fzM=")</f>
        <v>#REF!</v>
      </c>
      <c r="BA488" t="e">
        <f>AND(#REF!,"AAAAADX2fzQ=")</f>
        <v>#REF!</v>
      </c>
      <c r="BB488" t="e">
        <f>AND(#REF!,"AAAAADX2fzU=")</f>
        <v>#REF!</v>
      </c>
      <c r="BC488" t="e">
        <f>AND(#REF!,"AAAAADX2fzY=")</f>
        <v>#REF!</v>
      </c>
      <c r="BD488" t="e">
        <f>AND(#REF!,"AAAAADX2fzc=")</f>
        <v>#REF!</v>
      </c>
      <c r="BE488" t="e">
        <f>AND(#REF!,"AAAAADX2fzg=")</f>
        <v>#REF!</v>
      </c>
      <c r="BF488" t="e">
        <f>AND(#REF!,"AAAAADX2fzk=")</f>
        <v>#REF!</v>
      </c>
      <c r="BG488" t="e">
        <f>AND(#REF!,"AAAAADX2fzo=")</f>
        <v>#REF!</v>
      </c>
      <c r="BH488" t="e">
        <f>AND(#REF!,"AAAAADX2fzs=")</f>
        <v>#REF!</v>
      </c>
      <c r="BI488" t="e">
        <f>IF(#REF!,"AAAAADX2fzw=",0)</f>
        <v>#REF!</v>
      </c>
      <c r="BJ488" t="e">
        <f>AND(#REF!,"AAAAADX2fz0=")</f>
        <v>#REF!</v>
      </c>
      <c r="BK488" t="e">
        <f>AND(#REF!,"AAAAADX2fz4=")</f>
        <v>#REF!</v>
      </c>
      <c r="BL488" t="e">
        <f>AND(#REF!,"AAAAADX2fz8=")</f>
        <v>#REF!</v>
      </c>
      <c r="BM488" t="e">
        <f>AND(#REF!,"AAAAADX2f0A=")</f>
        <v>#REF!</v>
      </c>
      <c r="BN488" t="e">
        <f>AND(#REF!,"AAAAADX2f0E=")</f>
        <v>#REF!</v>
      </c>
      <c r="BO488" t="e">
        <f>AND(#REF!,"AAAAADX2f0I=")</f>
        <v>#REF!</v>
      </c>
      <c r="BP488" t="e">
        <f>AND(#REF!,"AAAAADX2f0M=")</f>
        <v>#REF!</v>
      </c>
      <c r="BQ488" t="e">
        <f>AND(#REF!,"AAAAADX2f0Q=")</f>
        <v>#REF!</v>
      </c>
      <c r="BR488" t="e">
        <f>AND(#REF!,"AAAAADX2f0U=")</f>
        <v>#REF!</v>
      </c>
      <c r="BS488" t="e">
        <f>AND(#REF!,"AAAAADX2f0Y=")</f>
        <v>#REF!</v>
      </c>
      <c r="BT488" t="e">
        <f>IF(#REF!,"AAAAADX2f0c=",0)</f>
        <v>#REF!</v>
      </c>
      <c r="BU488" t="e">
        <f>AND(#REF!,"AAAAADX2f0g=")</f>
        <v>#REF!</v>
      </c>
      <c r="BV488" t="e">
        <f>AND(#REF!,"AAAAADX2f0k=")</f>
        <v>#REF!</v>
      </c>
      <c r="BW488" t="e">
        <f>AND(#REF!,"AAAAADX2f0o=")</f>
        <v>#REF!</v>
      </c>
      <c r="BX488" t="e">
        <f>AND(#REF!,"AAAAADX2f0s=")</f>
        <v>#REF!</v>
      </c>
      <c r="BY488" t="e">
        <f>AND(#REF!,"AAAAADX2f0w=")</f>
        <v>#REF!</v>
      </c>
      <c r="BZ488" t="e">
        <f>AND(#REF!,"AAAAADX2f00=")</f>
        <v>#REF!</v>
      </c>
      <c r="CA488" t="e">
        <f>AND(#REF!,"AAAAADX2f04=")</f>
        <v>#REF!</v>
      </c>
      <c r="CB488" t="e">
        <f>AND(#REF!,"AAAAADX2f08=")</f>
        <v>#REF!</v>
      </c>
      <c r="CC488" t="e">
        <f>AND(#REF!,"AAAAADX2f1A=")</f>
        <v>#REF!</v>
      </c>
      <c r="CD488" t="e">
        <f>AND(#REF!,"AAAAADX2f1E=")</f>
        <v>#REF!</v>
      </c>
      <c r="CE488" t="e">
        <f>IF(#REF!,"AAAAADX2f1I=",0)</f>
        <v>#REF!</v>
      </c>
      <c r="CF488" t="e">
        <f>AND(#REF!,"AAAAADX2f1M=")</f>
        <v>#REF!</v>
      </c>
      <c r="CG488" t="e">
        <f>AND(#REF!,"AAAAADX2f1Q=")</f>
        <v>#REF!</v>
      </c>
      <c r="CH488" t="e">
        <f>AND(#REF!,"AAAAADX2f1U=")</f>
        <v>#REF!</v>
      </c>
      <c r="CI488" t="e">
        <f>AND(#REF!,"AAAAADX2f1Y=")</f>
        <v>#REF!</v>
      </c>
      <c r="CJ488" t="e">
        <f>AND(#REF!,"AAAAADX2f1c=")</f>
        <v>#REF!</v>
      </c>
      <c r="CK488" t="e">
        <f>AND(#REF!,"AAAAADX2f1g=")</f>
        <v>#REF!</v>
      </c>
      <c r="CL488" t="e">
        <f>AND(#REF!,"AAAAADX2f1k=")</f>
        <v>#REF!</v>
      </c>
      <c r="CM488" t="e">
        <f>AND(#REF!,"AAAAADX2f1o=")</f>
        <v>#REF!</v>
      </c>
      <c r="CN488" t="e">
        <f>AND(#REF!,"AAAAADX2f1s=")</f>
        <v>#REF!</v>
      </c>
      <c r="CO488" t="e">
        <f>AND(#REF!,"AAAAADX2f1w=")</f>
        <v>#REF!</v>
      </c>
      <c r="CP488" t="e">
        <f>IF(#REF!,"AAAAADX2f10=",0)</f>
        <v>#REF!</v>
      </c>
      <c r="CQ488" t="e">
        <f>AND(#REF!,"AAAAADX2f14=")</f>
        <v>#REF!</v>
      </c>
      <c r="CR488" t="e">
        <f>AND(#REF!,"AAAAADX2f18=")</f>
        <v>#REF!</v>
      </c>
      <c r="CS488" t="e">
        <f>AND(#REF!,"AAAAADX2f2A=")</f>
        <v>#REF!</v>
      </c>
      <c r="CT488" t="e">
        <f>AND(#REF!,"AAAAADX2f2E=")</f>
        <v>#REF!</v>
      </c>
      <c r="CU488" t="e">
        <f>AND(#REF!,"AAAAADX2f2I=")</f>
        <v>#REF!</v>
      </c>
      <c r="CV488" t="e">
        <f>AND(#REF!,"AAAAADX2f2M=")</f>
        <v>#REF!</v>
      </c>
      <c r="CW488" t="e">
        <f>AND(#REF!,"AAAAADX2f2Q=")</f>
        <v>#REF!</v>
      </c>
      <c r="CX488" t="e">
        <f>AND(#REF!,"AAAAADX2f2U=")</f>
        <v>#REF!</v>
      </c>
      <c r="CY488" t="e">
        <f>AND(#REF!,"AAAAADX2f2Y=")</f>
        <v>#REF!</v>
      </c>
      <c r="CZ488" t="e">
        <f>AND(#REF!,"AAAAADX2f2c=")</f>
        <v>#REF!</v>
      </c>
      <c r="DA488" t="e">
        <f>IF(#REF!,"AAAAADX2f2g=",0)</f>
        <v>#REF!</v>
      </c>
      <c r="DB488" t="e">
        <f>AND(#REF!,"AAAAADX2f2k=")</f>
        <v>#REF!</v>
      </c>
      <c r="DC488" t="e">
        <f>AND(#REF!,"AAAAADX2f2o=")</f>
        <v>#REF!</v>
      </c>
      <c r="DD488" t="e">
        <f>AND(#REF!,"AAAAADX2f2s=")</f>
        <v>#REF!</v>
      </c>
      <c r="DE488" t="e">
        <f>AND(#REF!,"AAAAADX2f2w=")</f>
        <v>#REF!</v>
      </c>
      <c r="DF488" t="e">
        <f>AND(#REF!,"AAAAADX2f20=")</f>
        <v>#REF!</v>
      </c>
      <c r="DG488" t="e">
        <f>AND(#REF!,"AAAAADX2f24=")</f>
        <v>#REF!</v>
      </c>
      <c r="DH488" t="e">
        <f>AND(#REF!,"AAAAADX2f28=")</f>
        <v>#REF!</v>
      </c>
      <c r="DI488" t="e">
        <f>AND(#REF!,"AAAAADX2f3A=")</f>
        <v>#REF!</v>
      </c>
      <c r="DJ488" t="e">
        <f>AND(#REF!,"AAAAADX2f3E=")</f>
        <v>#REF!</v>
      </c>
      <c r="DK488" t="e">
        <f>AND(#REF!,"AAAAADX2f3I=")</f>
        <v>#REF!</v>
      </c>
      <c r="DL488" t="e">
        <f>IF(#REF!,"AAAAADX2f3M=",0)</f>
        <v>#REF!</v>
      </c>
      <c r="DM488" t="e">
        <f>AND(#REF!,"AAAAADX2f3Q=")</f>
        <v>#REF!</v>
      </c>
      <c r="DN488" t="e">
        <f>AND(#REF!,"AAAAADX2f3U=")</f>
        <v>#REF!</v>
      </c>
      <c r="DO488" t="e">
        <f>AND(#REF!,"AAAAADX2f3Y=")</f>
        <v>#REF!</v>
      </c>
      <c r="DP488" t="e">
        <f>AND(#REF!,"AAAAADX2f3c=")</f>
        <v>#REF!</v>
      </c>
      <c r="DQ488" t="e">
        <f>AND(#REF!,"AAAAADX2f3g=")</f>
        <v>#REF!</v>
      </c>
      <c r="DR488" t="e">
        <f>AND(#REF!,"AAAAADX2f3k=")</f>
        <v>#REF!</v>
      </c>
      <c r="DS488" t="e">
        <f>AND(#REF!,"AAAAADX2f3o=")</f>
        <v>#REF!</v>
      </c>
      <c r="DT488" t="e">
        <f>AND(#REF!,"AAAAADX2f3s=")</f>
        <v>#REF!</v>
      </c>
      <c r="DU488" t="e">
        <f>AND(#REF!,"AAAAADX2f3w=")</f>
        <v>#REF!</v>
      </c>
      <c r="DV488" t="e">
        <f>AND(#REF!,"AAAAADX2f30=")</f>
        <v>#REF!</v>
      </c>
      <c r="DW488" t="e">
        <f>IF(#REF!,"AAAAADX2f34=",0)</f>
        <v>#REF!</v>
      </c>
      <c r="DX488" t="e">
        <f>AND(#REF!,"AAAAADX2f38=")</f>
        <v>#REF!</v>
      </c>
      <c r="DY488" t="e">
        <f>AND(#REF!,"AAAAADX2f4A=")</f>
        <v>#REF!</v>
      </c>
      <c r="DZ488" t="e">
        <f>AND(#REF!,"AAAAADX2f4E=")</f>
        <v>#REF!</v>
      </c>
      <c r="EA488" t="e">
        <f>AND(#REF!,"AAAAADX2f4I=")</f>
        <v>#REF!</v>
      </c>
      <c r="EB488" t="e">
        <f>AND(#REF!,"AAAAADX2f4M=")</f>
        <v>#REF!</v>
      </c>
      <c r="EC488" t="e">
        <f>AND(#REF!,"AAAAADX2f4Q=")</f>
        <v>#REF!</v>
      </c>
      <c r="ED488" t="e">
        <f>AND(#REF!,"AAAAADX2f4U=")</f>
        <v>#REF!</v>
      </c>
      <c r="EE488" t="e">
        <f>AND(#REF!,"AAAAADX2f4Y=")</f>
        <v>#REF!</v>
      </c>
      <c r="EF488" t="e">
        <f>AND(#REF!,"AAAAADX2f4c=")</f>
        <v>#REF!</v>
      </c>
      <c r="EG488" t="e">
        <f>AND(#REF!,"AAAAADX2f4g=")</f>
        <v>#REF!</v>
      </c>
      <c r="EH488" t="e">
        <f>IF(#REF!,"AAAAADX2f4k=",0)</f>
        <v>#REF!</v>
      </c>
      <c r="EI488" t="e">
        <f>AND(#REF!,"AAAAADX2f4o=")</f>
        <v>#REF!</v>
      </c>
      <c r="EJ488" t="e">
        <f>AND(#REF!,"AAAAADX2f4s=")</f>
        <v>#REF!</v>
      </c>
      <c r="EK488" t="e">
        <f>AND(#REF!,"AAAAADX2f4w=")</f>
        <v>#REF!</v>
      </c>
      <c r="EL488" t="e">
        <f>AND(#REF!,"AAAAADX2f40=")</f>
        <v>#REF!</v>
      </c>
      <c r="EM488" t="e">
        <f>AND(#REF!,"AAAAADX2f44=")</f>
        <v>#REF!</v>
      </c>
      <c r="EN488" t="e">
        <f>AND(#REF!,"AAAAADX2f48=")</f>
        <v>#REF!</v>
      </c>
      <c r="EO488" t="e">
        <f>AND(#REF!,"AAAAADX2f5A=")</f>
        <v>#REF!</v>
      </c>
      <c r="EP488" t="e">
        <f>AND(#REF!,"AAAAADX2f5E=")</f>
        <v>#REF!</v>
      </c>
      <c r="EQ488" t="e">
        <f>AND(#REF!,"AAAAADX2f5I=")</f>
        <v>#REF!</v>
      </c>
      <c r="ER488" t="e">
        <f>AND(#REF!,"AAAAADX2f5M=")</f>
        <v>#REF!</v>
      </c>
      <c r="ES488" t="e">
        <f>IF(#REF!,"AAAAADX2f5Q=",0)</f>
        <v>#REF!</v>
      </c>
      <c r="ET488" t="e">
        <f>AND(#REF!,"AAAAADX2f5U=")</f>
        <v>#REF!</v>
      </c>
      <c r="EU488" t="e">
        <f>AND(#REF!,"AAAAADX2f5Y=")</f>
        <v>#REF!</v>
      </c>
      <c r="EV488" t="e">
        <f>AND(#REF!,"AAAAADX2f5c=")</f>
        <v>#REF!</v>
      </c>
      <c r="EW488" t="e">
        <f>AND(#REF!,"AAAAADX2f5g=")</f>
        <v>#REF!</v>
      </c>
      <c r="EX488" t="e">
        <f>AND(#REF!,"AAAAADX2f5k=")</f>
        <v>#REF!</v>
      </c>
      <c r="EY488" t="e">
        <f>AND(#REF!,"AAAAADX2f5o=")</f>
        <v>#REF!</v>
      </c>
      <c r="EZ488" t="e">
        <f>AND(#REF!,"AAAAADX2f5s=")</f>
        <v>#REF!</v>
      </c>
      <c r="FA488" t="e">
        <f>AND(#REF!,"AAAAADX2f5w=")</f>
        <v>#REF!</v>
      </c>
      <c r="FB488" t="e">
        <f>AND(#REF!,"AAAAADX2f50=")</f>
        <v>#REF!</v>
      </c>
      <c r="FC488" t="e">
        <f>AND(#REF!,"AAAAADX2f54=")</f>
        <v>#REF!</v>
      </c>
      <c r="FD488" t="e">
        <f>IF(#REF!,"AAAAADX2f58=",0)</f>
        <v>#REF!</v>
      </c>
      <c r="FE488" t="e">
        <f>AND(#REF!,"AAAAADX2f6A=")</f>
        <v>#REF!</v>
      </c>
      <c r="FF488" t="e">
        <f>AND(#REF!,"AAAAADX2f6E=")</f>
        <v>#REF!</v>
      </c>
      <c r="FG488" t="e">
        <f>AND(#REF!,"AAAAADX2f6I=")</f>
        <v>#REF!</v>
      </c>
      <c r="FH488" t="e">
        <f>AND(#REF!,"AAAAADX2f6M=")</f>
        <v>#REF!</v>
      </c>
      <c r="FI488" t="e">
        <f>AND(#REF!,"AAAAADX2f6Q=")</f>
        <v>#REF!</v>
      </c>
      <c r="FJ488" t="e">
        <f>AND(#REF!,"AAAAADX2f6U=")</f>
        <v>#REF!</v>
      </c>
      <c r="FK488" t="e">
        <f>AND(#REF!,"AAAAADX2f6Y=")</f>
        <v>#REF!</v>
      </c>
      <c r="FL488" t="e">
        <f>AND(#REF!,"AAAAADX2f6c=")</f>
        <v>#REF!</v>
      </c>
      <c r="FM488" t="e">
        <f>AND(#REF!,"AAAAADX2f6g=")</f>
        <v>#REF!</v>
      </c>
      <c r="FN488" t="e">
        <f>AND(#REF!,"AAAAADX2f6k=")</f>
        <v>#REF!</v>
      </c>
      <c r="FO488" t="e">
        <f>IF(#REF!,"AAAAADX2f6o=",0)</f>
        <v>#REF!</v>
      </c>
      <c r="FP488" t="e">
        <f>AND(#REF!,"AAAAADX2f6s=")</f>
        <v>#REF!</v>
      </c>
      <c r="FQ488" t="e">
        <f>AND(#REF!,"AAAAADX2f6w=")</f>
        <v>#REF!</v>
      </c>
      <c r="FR488" t="e">
        <f>AND(#REF!,"AAAAADX2f60=")</f>
        <v>#REF!</v>
      </c>
      <c r="FS488" t="e">
        <f>AND(#REF!,"AAAAADX2f64=")</f>
        <v>#REF!</v>
      </c>
      <c r="FT488" t="e">
        <f>AND(#REF!,"AAAAADX2f68=")</f>
        <v>#REF!</v>
      </c>
      <c r="FU488" t="e">
        <f>AND(#REF!,"AAAAADX2f7A=")</f>
        <v>#REF!</v>
      </c>
      <c r="FV488" t="e">
        <f>AND(#REF!,"AAAAADX2f7E=")</f>
        <v>#REF!</v>
      </c>
      <c r="FW488" t="e">
        <f>AND(#REF!,"AAAAADX2f7I=")</f>
        <v>#REF!</v>
      </c>
      <c r="FX488" t="e">
        <f>AND(#REF!,"AAAAADX2f7M=")</f>
        <v>#REF!</v>
      </c>
      <c r="FY488" t="e">
        <f>AND(#REF!,"AAAAADX2f7Q=")</f>
        <v>#REF!</v>
      </c>
      <c r="FZ488" t="e">
        <f>IF(#REF!,"AAAAADX2f7U=",0)</f>
        <v>#REF!</v>
      </c>
      <c r="GA488" t="e">
        <f>AND(#REF!,"AAAAADX2f7Y=")</f>
        <v>#REF!</v>
      </c>
      <c r="GB488" t="e">
        <f>AND(#REF!,"AAAAADX2f7c=")</f>
        <v>#REF!</v>
      </c>
      <c r="GC488" t="e">
        <f>AND(#REF!,"AAAAADX2f7g=")</f>
        <v>#REF!</v>
      </c>
      <c r="GD488" t="e">
        <f>AND(#REF!,"AAAAADX2f7k=")</f>
        <v>#REF!</v>
      </c>
      <c r="GE488" t="e">
        <f>AND(#REF!,"AAAAADX2f7o=")</f>
        <v>#REF!</v>
      </c>
      <c r="GF488" t="e">
        <f>AND(#REF!,"AAAAADX2f7s=")</f>
        <v>#REF!</v>
      </c>
      <c r="GG488" t="e">
        <f>AND(#REF!,"AAAAADX2f7w=")</f>
        <v>#REF!</v>
      </c>
      <c r="GH488" t="e">
        <f>AND(#REF!,"AAAAADX2f70=")</f>
        <v>#REF!</v>
      </c>
      <c r="GI488" t="e">
        <f>AND(#REF!,"AAAAADX2f74=")</f>
        <v>#REF!</v>
      </c>
      <c r="GJ488" t="e">
        <f>AND(#REF!,"AAAAADX2f78=")</f>
        <v>#REF!</v>
      </c>
      <c r="GK488" t="e">
        <f>IF(#REF!,"AAAAADX2f8A=",0)</f>
        <v>#REF!</v>
      </c>
      <c r="GL488" t="e">
        <f>AND(#REF!,"AAAAADX2f8E=")</f>
        <v>#REF!</v>
      </c>
      <c r="GM488" t="e">
        <f>AND(#REF!,"AAAAADX2f8I=")</f>
        <v>#REF!</v>
      </c>
      <c r="GN488" t="e">
        <f>AND(#REF!,"AAAAADX2f8M=")</f>
        <v>#REF!</v>
      </c>
      <c r="GO488" t="e">
        <f>AND(#REF!,"AAAAADX2f8Q=")</f>
        <v>#REF!</v>
      </c>
      <c r="GP488" t="e">
        <f>AND(#REF!,"AAAAADX2f8U=")</f>
        <v>#REF!</v>
      </c>
      <c r="GQ488" t="e">
        <f>AND(#REF!,"AAAAADX2f8Y=")</f>
        <v>#REF!</v>
      </c>
      <c r="GR488" t="e">
        <f>AND(#REF!,"AAAAADX2f8c=")</f>
        <v>#REF!</v>
      </c>
      <c r="GS488" t="e">
        <f>AND(#REF!,"AAAAADX2f8g=")</f>
        <v>#REF!</v>
      </c>
      <c r="GT488" t="e">
        <f>AND(#REF!,"AAAAADX2f8k=")</f>
        <v>#REF!</v>
      </c>
      <c r="GU488" t="e">
        <f>AND(#REF!,"AAAAADX2f8o=")</f>
        <v>#REF!</v>
      </c>
      <c r="GV488" t="e">
        <f>IF(#REF!,"AAAAADX2f8s=",0)</f>
        <v>#REF!</v>
      </c>
      <c r="GW488" t="e">
        <f>AND(#REF!,"AAAAADX2f8w=")</f>
        <v>#REF!</v>
      </c>
      <c r="GX488" t="e">
        <f>AND(#REF!,"AAAAADX2f80=")</f>
        <v>#REF!</v>
      </c>
      <c r="GY488" t="e">
        <f>AND(#REF!,"AAAAADX2f84=")</f>
        <v>#REF!</v>
      </c>
      <c r="GZ488" t="e">
        <f>AND(#REF!,"AAAAADX2f88=")</f>
        <v>#REF!</v>
      </c>
      <c r="HA488" t="e">
        <f>AND(#REF!,"AAAAADX2f9A=")</f>
        <v>#REF!</v>
      </c>
      <c r="HB488" t="e">
        <f>AND(#REF!,"AAAAADX2f9E=")</f>
        <v>#REF!</v>
      </c>
      <c r="HC488" t="e">
        <f>AND(#REF!,"AAAAADX2f9I=")</f>
        <v>#REF!</v>
      </c>
      <c r="HD488" t="e">
        <f>AND(#REF!,"AAAAADX2f9M=")</f>
        <v>#REF!</v>
      </c>
      <c r="HE488" t="e">
        <f>AND(#REF!,"AAAAADX2f9Q=")</f>
        <v>#REF!</v>
      </c>
      <c r="HF488" t="e">
        <f>AND(#REF!,"AAAAADX2f9U=")</f>
        <v>#REF!</v>
      </c>
      <c r="HG488" t="e">
        <f>IF(#REF!,"AAAAADX2f9Y=",0)</f>
        <v>#REF!</v>
      </c>
      <c r="HH488" t="e">
        <f>AND(#REF!,"AAAAADX2f9c=")</f>
        <v>#REF!</v>
      </c>
      <c r="HI488" t="e">
        <f>AND(#REF!,"AAAAADX2f9g=")</f>
        <v>#REF!</v>
      </c>
      <c r="HJ488" t="e">
        <f>AND(#REF!,"AAAAADX2f9k=")</f>
        <v>#REF!</v>
      </c>
      <c r="HK488" t="e">
        <f>AND(#REF!,"AAAAADX2f9o=")</f>
        <v>#REF!</v>
      </c>
      <c r="HL488" t="e">
        <f>AND(#REF!,"AAAAADX2f9s=")</f>
        <v>#REF!</v>
      </c>
      <c r="HM488" t="e">
        <f>AND(#REF!,"AAAAADX2f9w=")</f>
        <v>#REF!</v>
      </c>
      <c r="HN488" t="e">
        <f>AND(#REF!,"AAAAADX2f90=")</f>
        <v>#REF!</v>
      </c>
      <c r="HO488" t="e">
        <f>AND(#REF!,"AAAAADX2f94=")</f>
        <v>#REF!</v>
      </c>
      <c r="HP488" t="e">
        <f>AND(#REF!,"AAAAADX2f98=")</f>
        <v>#REF!</v>
      </c>
      <c r="HQ488" t="e">
        <f>AND(#REF!,"AAAAADX2f+A=")</f>
        <v>#REF!</v>
      </c>
      <c r="HR488" t="e">
        <f>IF(#REF!,"AAAAADX2f+E=",0)</f>
        <v>#REF!</v>
      </c>
      <c r="HS488" t="e">
        <f>AND(#REF!,"AAAAADX2f+I=")</f>
        <v>#REF!</v>
      </c>
      <c r="HT488" t="e">
        <f>AND(#REF!,"AAAAADX2f+M=")</f>
        <v>#REF!</v>
      </c>
      <c r="HU488" t="e">
        <f>AND(#REF!,"AAAAADX2f+Q=")</f>
        <v>#REF!</v>
      </c>
      <c r="HV488" t="e">
        <f>AND(#REF!,"AAAAADX2f+U=")</f>
        <v>#REF!</v>
      </c>
      <c r="HW488" t="e">
        <f>AND(#REF!,"AAAAADX2f+Y=")</f>
        <v>#REF!</v>
      </c>
      <c r="HX488" t="e">
        <f>AND(#REF!,"AAAAADX2f+c=")</f>
        <v>#REF!</v>
      </c>
      <c r="HY488" t="e">
        <f>AND(#REF!,"AAAAADX2f+g=")</f>
        <v>#REF!</v>
      </c>
      <c r="HZ488" t="e">
        <f>AND(#REF!,"AAAAADX2f+k=")</f>
        <v>#REF!</v>
      </c>
      <c r="IA488" t="e">
        <f>AND(#REF!,"AAAAADX2f+o=")</f>
        <v>#REF!</v>
      </c>
      <c r="IB488" t="e">
        <f>AND(#REF!,"AAAAADX2f+s=")</f>
        <v>#REF!</v>
      </c>
      <c r="IC488" t="e">
        <f>IF(#REF!,"AAAAADX2f+w=",0)</f>
        <v>#REF!</v>
      </c>
      <c r="ID488" t="e">
        <f>AND(#REF!,"AAAAADX2f+0=")</f>
        <v>#REF!</v>
      </c>
      <c r="IE488" t="e">
        <f>AND(#REF!,"AAAAADX2f+4=")</f>
        <v>#REF!</v>
      </c>
      <c r="IF488" t="e">
        <f>AND(#REF!,"AAAAADX2f+8=")</f>
        <v>#REF!</v>
      </c>
      <c r="IG488" t="e">
        <f>AND(#REF!,"AAAAADX2f/A=")</f>
        <v>#REF!</v>
      </c>
      <c r="IH488" t="e">
        <f>AND(#REF!,"AAAAADX2f/E=")</f>
        <v>#REF!</v>
      </c>
      <c r="II488" t="e">
        <f>AND(#REF!,"AAAAADX2f/I=")</f>
        <v>#REF!</v>
      </c>
      <c r="IJ488" t="e">
        <f>AND(#REF!,"AAAAADX2f/M=")</f>
        <v>#REF!</v>
      </c>
      <c r="IK488" t="e">
        <f>AND(#REF!,"AAAAADX2f/Q=")</f>
        <v>#REF!</v>
      </c>
      <c r="IL488" t="e">
        <f>AND(#REF!,"AAAAADX2f/U=")</f>
        <v>#REF!</v>
      </c>
      <c r="IM488" t="e">
        <f>AND(#REF!,"AAAAADX2f/Y=")</f>
        <v>#REF!</v>
      </c>
      <c r="IN488" t="e">
        <f>IF(#REF!,"AAAAADX2f/c=",0)</f>
        <v>#REF!</v>
      </c>
      <c r="IO488" t="e">
        <f>AND(#REF!,"AAAAADX2f/g=")</f>
        <v>#REF!</v>
      </c>
      <c r="IP488" t="e">
        <f>AND(#REF!,"AAAAADX2f/k=")</f>
        <v>#REF!</v>
      </c>
      <c r="IQ488" t="e">
        <f>AND(#REF!,"AAAAADX2f/o=")</f>
        <v>#REF!</v>
      </c>
      <c r="IR488" t="e">
        <f>AND(#REF!,"AAAAADX2f/s=")</f>
        <v>#REF!</v>
      </c>
      <c r="IS488" t="e">
        <f>AND(#REF!,"AAAAADX2f/w=")</f>
        <v>#REF!</v>
      </c>
      <c r="IT488" t="e">
        <f>AND(#REF!,"AAAAADX2f/0=")</f>
        <v>#REF!</v>
      </c>
      <c r="IU488" t="e">
        <f>AND(#REF!,"AAAAADX2f/4=")</f>
        <v>#REF!</v>
      </c>
      <c r="IV488" t="e">
        <f>AND(#REF!,"AAAAADX2f/8=")</f>
        <v>#REF!</v>
      </c>
    </row>
    <row r="489" spans="1:256" x14ac:dyDescent="0.25">
      <c r="A489" t="e">
        <f>AND(#REF!,"AAAAAH+/bwA=")</f>
        <v>#REF!</v>
      </c>
      <c r="B489" t="e">
        <f>AND(#REF!,"AAAAAH+/bwE=")</f>
        <v>#REF!</v>
      </c>
      <c r="C489" t="e">
        <f>IF(#REF!,"AAAAAH+/bwI=",0)</f>
        <v>#REF!</v>
      </c>
      <c r="D489" t="e">
        <f>AND(#REF!,"AAAAAH+/bwM=")</f>
        <v>#REF!</v>
      </c>
      <c r="E489" t="e">
        <f>AND(#REF!,"AAAAAH+/bwQ=")</f>
        <v>#REF!</v>
      </c>
      <c r="F489" t="e">
        <f>AND(#REF!,"AAAAAH+/bwU=")</f>
        <v>#REF!</v>
      </c>
      <c r="G489" t="e">
        <f>AND(#REF!,"AAAAAH+/bwY=")</f>
        <v>#REF!</v>
      </c>
      <c r="H489" t="e">
        <f>AND(#REF!,"AAAAAH+/bwc=")</f>
        <v>#REF!</v>
      </c>
      <c r="I489" t="e">
        <f>AND(#REF!,"AAAAAH+/bwg=")</f>
        <v>#REF!</v>
      </c>
      <c r="J489" t="e">
        <f>AND(#REF!,"AAAAAH+/bwk=")</f>
        <v>#REF!</v>
      </c>
      <c r="K489" t="e">
        <f>AND(#REF!,"AAAAAH+/bwo=")</f>
        <v>#REF!</v>
      </c>
      <c r="L489" t="e">
        <f>AND(#REF!,"AAAAAH+/bws=")</f>
        <v>#REF!</v>
      </c>
      <c r="M489" t="e">
        <f>AND(#REF!,"AAAAAH+/bww=")</f>
        <v>#REF!</v>
      </c>
      <c r="N489" t="e">
        <f>IF(#REF!,"AAAAAH+/bw0=",0)</f>
        <v>#REF!</v>
      </c>
      <c r="O489" t="e">
        <f>AND(#REF!,"AAAAAH+/bw4=")</f>
        <v>#REF!</v>
      </c>
      <c r="P489" t="e">
        <f>AND(#REF!,"AAAAAH+/bw8=")</f>
        <v>#REF!</v>
      </c>
      <c r="Q489" t="e">
        <f>AND(#REF!,"AAAAAH+/bxA=")</f>
        <v>#REF!</v>
      </c>
      <c r="R489" t="e">
        <f>AND(#REF!,"AAAAAH+/bxE=")</f>
        <v>#REF!</v>
      </c>
      <c r="S489" t="e">
        <f>AND(#REF!,"AAAAAH+/bxI=")</f>
        <v>#REF!</v>
      </c>
      <c r="T489" t="e">
        <f>AND(#REF!,"AAAAAH+/bxM=")</f>
        <v>#REF!</v>
      </c>
      <c r="U489" t="e">
        <f>AND(#REF!,"AAAAAH+/bxQ=")</f>
        <v>#REF!</v>
      </c>
      <c r="V489" t="e">
        <f>AND(#REF!,"AAAAAH+/bxU=")</f>
        <v>#REF!</v>
      </c>
      <c r="W489" t="e">
        <f>AND(#REF!,"AAAAAH+/bxY=")</f>
        <v>#REF!</v>
      </c>
      <c r="X489" t="e">
        <f>AND(#REF!,"AAAAAH+/bxc=")</f>
        <v>#REF!</v>
      </c>
      <c r="Y489" t="e">
        <f>IF(#REF!,"AAAAAH+/bxg=",0)</f>
        <v>#REF!</v>
      </c>
      <c r="Z489" t="e">
        <f>AND(#REF!,"AAAAAH+/bxk=")</f>
        <v>#REF!</v>
      </c>
      <c r="AA489" t="e">
        <f>AND(#REF!,"AAAAAH+/bxo=")</f>
        <v>#REF!</v>
      </c>
      <c r="AB489" t="e">
        <f>AND(#REF!,"AAAAAH+/bxs=")</f>
        <v>#REF!</v>
      </c>
      <c r="AC489" t="e">
        <f>AND(#REF!,"AAAAAH+/bxw=")</f>
        <v>#REF!</v>
      </c>
      <c r="AD489" t="e">
        <f>AND(#REF!,"AAAAAH+/bx0=")</f>
        <v>#REF!</v>
      </c>
      <c r="AE489" t="e">
        <f>AND(#REF!,"AAAAAH+/bx4=")</f>
        <v>#REF!</v>
      </c>
      <c r="AF489" t="e">
        <f>AND(#REF!,"AAAAAH+/bx8=")</f>
        <v>#REF!</v>
      </c>
      <c r="AG489" t="e">
        <f>AND(#REF!,"AAAAAH+/byA=")</f>
        <v>#REF!</v>
      </c>
      <c r="AH489" t="e">
        <f>AND(#REF!,"AAAAAH+/byE=")</f>
        <v>#REF!</v>
      </c>
      <c r="AI489" t="e">
        <f>AND(#REF!,"AAAAAH+/byI=")</f>
        <v>#REF!</v>
      </c>
      <c r="AJ489" t="e">
        <f>IF(#REF!,"AAAAAH+/byM=",0)</f>
        <v>#REF!</v>
      </c>
      <c r="AK489" t="e">
        <f>AND(#REF!,"AAAAAH+/byQ=")</f>
        <v>#REF!</v>
      </c>
      <c r="AL489" t="e">
        <f>AND(#REF!,"AAAAAH+/byU=")</f>
        <v>#REF!</v>
      </c>
      <c r="AM489" t="e">
        <f>AND(#REF!,"AAAAAH+/byY=")</f>
        <v>#REF!</v>
      </c>
      <c r="AN489" t="e">
        <f>AND(#REF!,"AAAAAH+/byc=")</f>
        <v>#REF!</v>
      </c>
      <c r="AO489" t="e">
        <f>AND(#REF!,"AAAAAH+/byg=")</f>
        <v>#REF!</v>
      </c>
      <c r="AP489" t="e">
        <f>AND(#REF!,"AAAAAH+/byk=")</f>
        <v>#REF!</v>
      </c>
      <c r="AQ489" t="e">
        <f>AND(#REF!,"AAAAAH+/byo=")</f>
        <v>#REF!</v>
      </c>
      <c r="AR489" t="e">
        <f>AND(#REF!,"AAAAAH+/bys=")</f>
        <v>#REF!</v>
      </c>
      <c r="AS489" t="e">
        <f>AND(#REF!,"AAAAAH+/byw=")</f>
        <v>#REF!</v>
      </c>
      <c r="AT489" t="e">
        <f>AND(#REF!,"AAAAAH+/by0=")</f>
        <v>#REF!</v>
      </c>
      <c r="AU489" t="e">
        <f>IF(#REF!,"AAAAAH+/by4=",0)</f>
        <v>#REF!</v>
      </c>
      <c r="AV489" t="e">
        <f>AND(#REF!,"AAAAAH+/by8=")</f>
        <v>#REF!</v>
      </c>
      <c r="AW489" t="e">
        <f>AND(#REF!,"AAAAAH+/bzA=")</f>
        <v>#REF!</v>
      </c>
      <c r="AX489" t="e">
        <f>AND(#REF!,"AAAAAH+/bzE=")</f>
        <v>#REF!</v>
      </c>
      <c r="AY489" t="e">
        <f>AND(#REF!,"AAAAAH+/bzI=")</f>
        <v>#REF!</v>
      </c>
      <c r="AZ489" t="e">
        <f>AND(#REF!,"AAAAAH+/bzM=")</f>
        <v>#REF!</v>
      </c>
      <c r="BA489" t="e">
        <f>AND(#REF!,"AAAAAH+/bzQ=")</f>
        <v>#REF!</v>
      </c>
      <c r="BB489" t="e">
        <f>AND(#REF!,"AAAAAH+/bzU=")</f>
        <v>#REF!</v>
      </c>
      <c r="BC489" t="e">
        <f>AND(#REF!,"AAAAAH+/bzY=")</f>
        <v>#REF!</v>
      </c>
      <c r="BD489" t="e">
        <f>AND(#REF!,"AAAAAH+/bzc=")</f>
        <v>#REF!</v>
      </c>
      <c r="BE489" t="e">
        <f>AND(#REF!,"AAAAAH+/bzg=")</f>
        <v>#REF!</v>
      </c>
      <c r="BF489" t="e">
        <f>IF(#REF!,"AAAAAH+/bzk=",0)</f>
        <v>#REF!</v>
      </c>
      <c r="BG489" t="e">
        <f>AND(#REF!,"AAAAAH+/bzo=")</f>
        <v>#REF!</v>
      </c>
      <c r="BH489" t="e">
        <f>AND(#REF!,"AAAAAH+/bzs=")</f>
        <v>#REF!</v>
      </c>
      <c r="BI489" t="e">
        <f>AND(#REF!,"AAAAAH+/bzw=")</f>
        <v>#REF!</v>
      </c>
      <c r="BJ489" t="e">
        <f>AND(#REF!,"AAAAAH+/bz0=")</f>
        <v>#REF!</v>
      </c>
      <c r="BK489" t="e">
        <f>AND(#REF!,"AAAAAH+/bz4=")</f>
        <v>#REF!</v>
      </c>
      <c r="BL489" t="e">
        <f>AND(#REF!,"AAAAAH+/bz8=")</f>
        <v>#REF!</v>
      </c>
      <c r="BM489" t="e">
        <f>AND(#REF!,"AAAAAH+/b0A=")</f>
        <v>#REF!</v>
      </c>
      <c r="BN489" t="e">
        <f>AND(#REF!,"AAAAAH+/b0E=")</f>
        <v>#REF!</v>
      </c>
      <c r="BO489" t="e">
        <f>AND(#REF!,"AAAAAH+/b0I=")</f>
        <v>#REF!</v>
      </c>
      <c r="BP489" t="e">
        <f>AND(#REF!,"AAAAAH+/b0M=")</f>
        <v>#REF!</v>
      </c>
      <c r="BQ489" t="e">
        <f>IF(#REF!,"AAAAAH+/b0Q=",0)</f>
        <v>#REF!</v>
      </c>
      <c r="BR489" t="e">
        <f>AND(#REF!,"AAAAAH+/b0U=")</f>
        <v>#REF!</v>
      </c>
      <c r="BS489" t="e">
        <f>AND(#REF!,"AAAAAH+/b0Y=")</f>
        <v>#REF!</v>
      </c>
      <c r="BT489" t="e">
        <f>AND(#REF!,"AAAAAH+/b0c=")</f>
        <v>#REF!</v>
      </c>
      <c r="BU489" t="e">
        <f>AND(#REF!,"AAAAAH+/b0g=")</f>
        <v>#REF!</v>
      </c>
      <c r="BV489" t="e">
        <f>AND(#REF!,"AAAAAH+/b0k=")</f>
        <v>#REF!</v>
      </c>
      <c r="BW489" t="e">
        <f>AND(#REF!,"AAAAAH+/b0o=")</f>
        <v>#REF!</v>
      </c>
      <c r="BX489" t="e">
        <f>AND(#REF!,"AAAAAH+/b0s=")</f>
        <v>#REF!</v>
      </c>
      <c r="BY489" t="e">
        <f>AND(#REF!,"AAAAAH+/b0w=")</f>
        <v>#REF!</v>
      </c>
      <c r="BZ489" t="e">
        <f>AND(#REF!,"AAAAAH+/b00=")</f>
        <v>#REF!</v>
      </c>
      <c r="CA489" t="e">
        <f>AND(#REF!,"AAAAAH+/b04=")</f>
        <v>#REF!</v>
      </c>
      <c r="CB489" t="e">
        <f>IF(#REF!,"AAAAAH+/b08=",0)</f>
        <v>#REF!</v>
      </c>
      <c r="CC489" t="e">
        <f>AND(#REF!,"AAAAAH+/b1A=")</f>
        <v>#REF!</v>
      </c>
      <c r="CD489" t="e">
        <f>AND(#REF!,"AAAAAH+/b1E=")</f>
        <v>#REF!</v>
      </c>
      <c r="CE489" t="e">
        <f>AND(#REF!,"AAAAAH+/b1I=")</f>
        <v>#REF!</v>
      </c>
      <c r="CF489" t="e">
        <f>AND(#REF!,"AAAAAH+/b1M=")</f>
        <v>#REF!</v>
      </c>
      <c r="CG489" t="e">
        <f>AND(#REF!,"AAAAAH+/b1Q=")</f>
        <v>#REF!</v>
      </c>
      <c r="CH489" t="e">
        <f>AND(#REF!,"AAAAAH+/b1U=")</f>
        <v>#REF!</v>
      </c>
      <c r="CI489" t="e">
        <f>AND(#REF!,"AAAAAH+/b1Y=")</f>
        <v>#REF!</v>
      </c>
      <c r="CJ489" t="e">
        <f>AND(#REF!,"AAAAAH+/b1c=")</f>
        <v>#REF!</v>
      </c>
      <c r="CK489" t="e">
        <f>AND(#REF!,"AAAAAH+/b1g=")</f>
        <v>#REF!</v>
      </c>
      <c r="CL489" t="e">
        <f>AND(#REF!,"AAAAAH+/b1k=")</f>
        <v>#REF!</v>
      </c>
      <c r="CM489" t="e">
        <f>IF(#REF!,"AAAAAH+/b1o=",0)</f>
        <v>#REF!</v>
      </c>
      <c r="CN489" t="e">
        <f>AND(#REF!,"AAAAAH+/b1s=")</f>
        <v>#REF!</v>
      </c>
      <c r="CO489" t="e">
        <f>AND(#REF!,"AAAAAH+/b1w=")</f>
        <v>#REF!</v>
      </c>
      <c r="CP489" t="e">
        <f>AND(#REF!,"AAAAAH+/b10=")</f>
        <v>#REF!</v>
      </c>
      <c r="CQ489" t="e">
        <f>AND(#REF!,"AAAAAH+/b14=")</f>
        <v>#REF!</v>
      </c>
      <c r="CR489" t="e">
        <f>AND(#REF!,"AAAAAH+/b18=")</f>
        <v>#REF!</v>
      </c>
      <c r="CS489" t="e">
        <f>AND(#REF!,"AAAAAH+/b2A=")</f>
        <v>#REF!</v>
      </c>
      <c r="CT489" t="e">
        <f>AND(#REF!,"AAAAAH+/b2E=")</f>
        <v>#REF!</v>
      </c>
      <c r="CU489" t="e">
        <f>AND(#REF!,"AAAAAH+/b2I=")</f>
        <v>#REF!</v>
      </c>
      <c r="CV489" t="e">
        <f>AND(#REF!,"AAAAAH+/b2M=")</f>
        <v>#REF!</v>
      </c>
      <c r="CW489" t="e">
        <f>AND(#REF!,"AAAAAH+/b2Q=")</f>
        <v>#REF!</v>
      </c>
      <c r="CX489" t="e">
        <f>IF(#REF!,"AAAAAH+/b2U=",0)</f>
        <v>#REF!</v>
      </c>
      <c r="CY489" t="e">
        <f>AND(#REF!,"AAAAAH+/b2Y=")</f>
        <v>#REF!</v>
      </c>
      <c r="CZ489" t="e">
        <f>AND(#REF!,"AAAAAH+/b2c=")</f>
        <v>#REF!</v>
      </c>
      <c r="DA489" t="e">
        <f>AND(#REF!,"AAAAAH+/b2g=")</f>
        <v>#REF!</v>
      </c>
      <c r="DB489" t="e">
        <f>AND(#REF!,"AAAAAH+/b2k=")</f>
        <v>#REF!</v>
      </c>
      <c r="DC489" t="e">
        <f>AND(#REF!,"AAAAAH+/b2o=")</f>
        <v>#REF!</v>
      </c>
      <c r="DD489" t="e">
        <f>AND(#REF!,"AAAAAH+/b2s=")</f>
        <v>#REF!</v>
      </c>
      <c r="DE489" t="e">
        <f>AND(#REF!,"AAAAAH+/b2w=")</f>
        <v>#REF!</v>
      </c>
      <c r="DF489" t="e">
        <f>AND(#REF!,"AAAAAH+/b20=")</f>
        <v>#REF!</v>
      </c>
      <c r="DG489" t="e">
        <f>AND(#REF!,"AAAAAH+/b24=")</f>
        <v>#REF!</v>
      </c>
      <c r="DH489" t="e">
        <f>AND(#REF!,"AAAAAH+/b28=")</f>
        <v>#REF!</v>
      </c>
      <c r="DI489" t="e">
        <f>IF(#REF!,"AAAAAH+/b3A=",0)</f>
        <v>#REF!</v>
      </c>
      <c r="DJ489" t="e">
        <f>AND(#REF!,"AAAAAH+/b3E=")</f>
        <v>#REF!</v>
      </c>
      <c r="DK489" t="e">
        <f>AND(#REF!,"AAAAAH+/b3I=")</f>
        <v>#REF!</v>
      </c>
      <c r="DL489" t="e">
        <f>AND(#REF!,"AAAAAH+/b3M=")</f>
        <v>#REF!</v>
      </c>
      <c r="DM489" t="e">
        <f>AND(#REF!,"AAAAAH+/b3Q=")</f>
        <v>#REF!</v>
      </c>
      <c r="DN489" t="e">
        <f>AND(#REF!,"AAAAAH+/b3U=")</f>
        <v>#REF!</v>
      </c>
      <c r="DO489" t="e">
        <f>AND(#REF!,"AAAAAH+/b3Y=")</f>
        <v>#REF!</v>
      </c>
      <c r="DP489" t="e">
        <f>AND(#REF!,"AAAAAH+/b3c=")</f>
        <v>#REF!</v>
      </c>
      <c r="DQ489" t="e">
        <f>AND(#REF!,"AAAAAH+/b3g=")</f>
        <v>#REF!</v>
      </c>
      <c r="DR489" t="e">
        <f>AND(#REF!,"AAAAAH+/b3k=")</f>
        <v>#REF!</v>
      </c>
      <c r="DS489" t="e">
        <f>AND(#REF!,"AAAAAH+/b3o=")</f>
        <v>#REF!</v>
      </c>
      <c r="DT489" t="e">
        <f>IF(#REF!,"AAAAAH+/b3s=",0)</f>
        <v>#REF!</v>
      </c>
      <c r="DU489" t="e">
        <f>AND(#REF!,"AAAAAH+/b3w=")</f>
        <v>#REF!</v>
      </c>
      <c r="DV489" t="e">
        <f>AND(#REF!,"AAAAAH+/b30=")</f>
        <v>#REF!</v>
      </c>
      <c r="DW489" t="e">
        <f>AND(#REF!,"AAAAAH+/b34=")</f>
        <v>#REF!</v>
      </c>
      <c r="DX489" t="e">
        <f>AND(#REF!,"AAAAAH+/b38=")</f>
        <v>#REF!</v>
      </c>
      <c r="DY489" t="e">
        <f>AND(#REF!,"AAAAAH+/b4A=")</f>
        <v>#REF!</v>
      </c>
      <c r="DZ489" t="e">
        <f>AND(#REF!,"AAAAAH+/b4E=")</f>
        <v>#REF!</v>
      </c>
      <c r="EA489" t="e">
        <f>AND(#REF!,"AAAAAH+/b4I=")</f>
        <v>#REF!</v>
      </c>
      <c r="EB489" t="e">
        <f>AND(#REF!,"AAAAAH+/b4M=")</f>
        <v>#REF!</v>
      </c>
      <c r="EC489" t="e">
        <f>AND(#REF!,"AAAAAH+/b4Q=")</f>
        <v>#REF!</v>
      </c>
      <c r="ED489" t="e">
        <f>AND(#REF!,"AAAAAH+/b4U=")</f>
        <v>#REF!</v>
      </c>
      <c r="EE489" t="e">
        <f>IF(#REF!,"AAAAAH+/b4Y=",0)</f>
        <v>#REF!</v>
      </c>
      <c r="EF489" t="e">
        <f>AND(#REF!,"AAAAAH+/b4c=")</f>
        <v>#REF!</v>
      </c>
      <c r="EG489" t="e">
        <f>AND(#REF!,"AAAAAH+/b4g=")</f>
        <v>#REF!</v>
      </c>
      <c r="EH489" t="e">
        <f>AND(#REF!,"AAAAAH+/b4k=")</f>
        <v>#REF!</v>
      </c>
      <c r="EI489" t="e">
        <f>AND(#REF!,"AAAAAH+/b4o=")</f>
        <v>#REF!</v>
      </c>
      <c r="EJ489" t="e">
        <f>AND(#REF!,"AAAAAH+/b4s=")</f>
        <v>#REF!</v>
      </c>
      <c r="EK489" t="e">
        <f>AND(#REF!,"AAAAAH+/b4w=")</f>
        <v>#REF!</v>
      </c>
      <c r="EL489" t="e">
        <f>AND(#REF!,"AAAAAH+/b40=")</f>
        <v>#REF!</v>
      </c>
      <c r="EM489" t="e">
        <f>AND(#REF!,"AAAAAH+/b44=")</f>
        <v>#REF!</v>
      </c>
      <c r="EN489" t="e">
        <f>AND(#REF!,"AAAAAH+/b48=")</f>
        <v>#REF!</v>
      </c>
      <c r="EO489" t="e">
        <f>AND(#REF!,"AAAAAH+/b5A=")</f>
        <v>#REF!</v>
      </c>
      <c r="EP489" t="e">
        <f>IF(#REF!,"AAAAAH+/b5E=",0)</f>
        <v>#REF!</v>
      </c>
      <c r="EQ489" t="e">
        <f>AND(#REF!,"AAAAAH+/b5I=")</f>
        <v>#REF!</v>
      </c>
      <c r="ER489" t="e">
        <f>AND(#REF!,"AAAAAH+/b5M=")</f>
        <v>#REF!</v>
      </c>
      <c r="ES489" t="e">
        <f>AND(#REF!,"AAAAAH+/b5Q=")</f>
        <v>#REF!</v>
      </c>
      <c r="ET489" t="e">
        <f>AND(#REF!,"AAAAAH+/b5U=")</f>
        <v>#REF!</v>
      </c>
      <c r="EU489" t="e">
        <f>AND(#REF!,"AAAAAH+/b5Y=")</f>
        <v>#REF!</v>
      </c>
      <c r="EV489" t="e">
        <f>AND(#REF!,"AAAAAH+/b5c=")</f>
        <v>#REF!</v>
      </c>
      <c r="EW489" t="e">
        <f>AND(#REF!,"AAAAAH+/b5g=")</f>
        <v>#REF!</v>
      </c>
      <c r="EX489" t="e">
        <f>AND(#REF!,"AAAAAH+/b5k=")</f>
        <v>#REF!</v>
      </c>
      <c r="EY489" t="e">
        <f>AND(#REF!,"AAAAAH+/b5o=")</f>
        <v>#REF!</v>
      </c>
      <c r="EZ489" t="e">
        <f>AND(#REF!,"AAAAAH+/b5s=")</f>
        <v>#REF!</v>
      </c>
      <c r="FA489" t="e">
        <f>IF(#REF!,"AAAAAH+/b5w=",0)</f>
        <v>#REF!</v>
      </c>
      <c r="FB489" t="e">
        <f>AND(#REF!,"AAAAAH+/b50=")</f>
        <v>#REF!</v>
      </c>
      <c r="FC489" t="e">
        <f>AND(#REF!,"AAAAAH+/b54=")</f>
        <v>#REF!</v>
      </c>
      <c r="FD489" t="e">
        <f>AND(#REF!,"AAAAAH+/b58=")</f>
        <v>#REF!</v>
      </c>
      <c r="FE489" t="e">
        <f>AND(#REF!,"AAAAAH+/b6A=")</f>
        <v>#REF!</v>
      </c>
      <c r="FF489" t="e">
        <f>AND(#REF!,"AAAAAH+/b6E=")</f>
        <v>#REF!</v>
      </c>
      <c r="FG489" t="e">
        <f>AND(#REF!,"AAAAAH+/b6I=")</f>
        <v>#REF!</v>
      </c>
      <c r="FH489" t="e">
        <f>AND(#REF!,"AAAAAH+/b6M=")</f>
        <v>#REF!</v>
      </c>
      <c r="FI489" t="e">
        <f>AND(#REF!,"AAAAAH+/b6Q=")</f>
        <v>#REF!</v>
      </c>
      <c r="FJ489" t="e">
        <f>AND(#REF!,"AAAAAH+/b6U=")</f>
        <v>#REF!</v>
      </c>
      <c r="FK489" t="e">
        <f>AND(#REF!,"AAAAAH+/b6Y=")</f>
        <v>#REF!</v>
      </c>
      <c r="FL489" t="e">
        <f>IF(#REF!,"AAAAAH+/b6c=",0)</f>
        <v>#REF!</v>
      </c>
      <c r="FM489" t="e">
        <f>AND(#REF!,"AAAAAH+/b6g=")</f>
        <v>#REF!</v>
      </c>
      <c r="FN489" t="e">
        <f>AND(#REF!,"AAAAAH+/b6k=")</f>
        <v>#REF!</v>
      </c>
      <c r="FO489" t="e">
        <f>AND(#REF!,"AAAAAH+/b6o=")</f>
        <v>#REF!</v>
      </c>
      <c r="FP489" t="e">
        <f>AND(#REF!,"AAAAAH+/b6s=")</f>
        <v>#REF!</v>
      </c>
      <c r="FQ489" t="e">
        <f>AND(#REF!,"AAAAAH+/b6w=")</f>
        <v>#REF!</v>
      </c>
      <c r="FR489" t="e">
        <f>AND(#REF!,"AAAAAH+/b60=")</f>
        <v>#REF!</v>
      </c>
      <c r="FS489" t="e">
        <f>AND(#REF!,"AAAAAH+/b64=")</f>
        <v>#REF!</v>
      </c>
      <c r="FT489" t="e">
        <f>AND(#REF!,"AAAAAH+/b68=")</f>
        <v>#REF!</v>
      </c>
      <c r="FU489" t="e">
        <f>AND(#REF!,"AAAAAH+/b7A=")</f>
        <v>#REF!</v>
      </c>
      <c r="FV489" t="e">
        <f>AND(#REF!,"AAAAAH+/b7E=")</f>
        <v>#REF!</v>
      </c>
      <c r="FW489" t="e">
        <f>IF(#REF!,"AAAAAH+/b7I=",0)</f>
        <v>#REF!</v>
      </c>
      <c r="FX489" t="e">
        <f>AND(#REF!,"AAAAAH+/b7M=")</f>
        <v>#REF!</v>
      </c>
      <c r="FY489" t="e">
        <f>AND(#REF!,"AAAAAH+/b7Q=")</f>
        <v>#REF!</v>
      </c>
      <c r="FZ489" t="e">
        <f>AND(#REF!,"AAAAAH+/b7U=")</f>
        <v>#REF!</v>
      </c>
      <c r="GA489" t="e">
        <f>AND(#REF!,"AAAAAH+/b7Y=")</f>
        <v>#REF!</v>
      </c>
      <c r="GB489" t="e">
        <f>AND(#REF!,"AAAAAH+/b7c=")</f>
        <v>#REF!</v>
      </c>
      <c r="GC489" t="e">
        <f>AND(#REF!,"AAAAAH+/b7g=")</f>
        <v>#REF!</v>
      </c>
      <c r="GD489" t="e">
        <f>AND(#REF!,"AAAAAH+/b7k=")</f>
        <v>#REF!</v>
      </c>
      <c r="GE489" t="e">
        <f>AND(#REF!,"AAAAAH+/b7o=")</f>
        <v>#REF!</v>
      </c>
      <c r="GF489" t="e">
        <f>AND(#REF!,"AAAAAH+/b7s=")</f>
        <v>#REF!</v>
      </c>
      <c r="GG489" t="e">
        <f>AND(#REF!,"AAAAAH+/b7w=")</f>
        <v>#REF!</v>
      </c>
      <c r="GH489" t="e">
        <f>IF(#REF!,"AAAAAH+/b70=",0)</f>
        <v>#REF!</v>
      </c>
      <c r="GI489" t="e">
        <f>AND(#REF!,"AAAAAH+/b74=")</f>
        <v>#REF!</v>
      </c>
      <c r="GJ489" t="e">
        <f>AND(#REF!,"AAAAAH+/b78=")</f>
        <v>#REF!</v>
      </c>
      <c r="GK489" t="e">
        <f>AND(#REF!,"AAAAAH+/b8A=")</f>
        <v>#REF!</v>
      </c>
      <c r="GL489" t="e">
        <f>AND(#REF!,"AAAAAH+/b8E=")</f>
        <v>#REF!</v>
      </c>
      <c r="GM489" t="e">
        <f>AND(#REF!,"AAAAAH+/b8I=")</f>
        <v>#REF!</v>
      </c>
      <c r="GN489" t="e">
        <f>AND(#REF!,"AAAAAH+/b8M=")</f>
        <v>#REF!</v>
      </c>
      <c r="GO489" t="e">
        <f>AND(#REF!,"AAAAAH+/b8Q=")</f>
        <v>#REF!</v>
      </c>
      <c r="GP489" t="e">
        <f>AND(#REF!,"AAAAAH+/b8U=")</f>
        <v>#REF!</v>
      </c>
      <c r="GQ489" t="e">
        <f>AND(#REF!,"AAAAAH+/b8Y=")</f>
        <v>#REF!</v>
      </c>
      <c r="GR489" t="e">
        <f>AND(#REF!,"AAAAAH+/b8c=")</f>
        <v>#REF!</v>
      </c>
      <c r="GS489" t="e">
        <f>IF(#REF!,"AAAAAH+/b8g=",0)</f>
        <v>#REF!</v>
      </c>
      <c r="GT489" t="e">
        <f>AND(#REF!,"AAAAAH+/b8k=")</f>
        <v>#REF!</v>
      </c>
      <c r="GU489" t="e">
        <f>AND(#REF!,"AAAAAH+/b8o=")</f>
        <v>#REF!</v>
      </c>
      <c r="GV489" t="e">
        <f>AND(#REF!,"AAAAAH+/b8s=")</f>
        <v>#REF!</v>
      </c>
      <c r="GW489" t="e">
        <f>AND(#REF!,"AAAAAH+/b8w=")</f>
        <v>#REF!</v>
      </c>
      <c r="GX489" t="e">
        <f>AND(#REF!,"AAAAAH+/b80=")</f>
        <v>#REF!</v>
      </c>
      <c r="GY489" t="e">
        <f>AND(#REF!,"AAAAAH+/b84=")</f>
        <v>#REF!</v>
      </c>
      <c r="GZ489" t="e">
        <f>AND(#REF!,"AAAAAH+/b88=")</f>
        <v>#REF!</v>
      </c>
      <c r="HA489" t="e">
        <f>AND(#REF!,"AAAAAH+/b9A=")</f>
        <v>#REF!</v>
      </c>
      <c r="HB489" t="e">
        <f>AND(#REF!,"AAAAAH+/b9E=")</f>
        <v>#REF!</v>
      </c>
      <c r="HC489" t="e">
        <f>AND(#REF!,"AAAAAH+/b9I=")</f>
        <v>#REF!</v>
      </c>
      <c r="HD489" t="e">
        <f>IF(#REF!,"AAAAAH+/b9M=",0)</f>
        <v>#REF!</v>
      </c>
      <c r="HE489" t="e">
        <f>AND(#REF!,"AAAAAH+/b9Q=")</f>
        <v>#REF!</v>
      </c>
      <c r="HF489" t="e">
        <f>AND(#REF!,"AAAAAH+/b9U=")</f>
        <v>#REF!</v>
      </c>
      <c r="HG489" t="e">
        <f>AND(#REF!,"AAAAAH+/b9Y=")</f>
        <v>#REF!</v>
      </c>
      <c r="HH489" t="e">
        <f>AND(#REF!,"AAAAAH+/b9c=")</f>
        <v>#REF!</v>
      </c>
      <c r="HI489" t="e">
        <f>AND(#REF!,"AAAAAH+/b9g=")</f>
        <v>#REF!</v>
      </c>
      <c r="HJ489" t="e">
        <f>AND(#REF!,"AAAAAH+/b9k=")</f>
        <v>#REF!</v>
      </c>
      <c r="HK489" t="e">
        <f>AND(#REF!,"AAAAAH+/b9o=")</f>
        <v>#REF!</v>
      </c>
      <c r="HL489" t="e">
        <f>AND(#REF!,"AAAAAH+/b9s=")</f>
        <v>#REF!</v>
      </c>
      <c r="HM489" t="e">
        <f>AND(#REF!,"AAAAAH+/b9w=")</f>
        <v>#REF!</v>
      </c>
      <c r="HN489" t="e">
        <f>AND(#REF!,"AAAAAH+/b90=")</f>
        <v>#REF!</v>
      </c>
      <c r="HO489" t="e">
        <f>IF(#REF!,"AAAAAH+/b94=",0)</f>
        <v>#REF!</v>
      </c>
      <c r="HP489" t="e">
        <f>AND(#REF!,"AAAAAH+/b98=")</f>
        <v>#REF!</v>
      </c>
      <c r="HQ489" t="e">
        <f>AND(#REF!,"AAAAAH+/b+A=")</f>
        <v>#REF!</v>
      </c>
      <c r="HR489" t="e">
        <f>AND(#REF!,"AAAAAH+/b+E=")</f>
        <v>#REF!</v>
      </c>
      <c r="HS489" t="e">
        <f>AND(#REF!,"AAAAAH+/b+I=")</f>
        <v>#REF!</v>
      </c>
      <c r="HT489" t="e">
        <f>AND(#REF!,"AAAAAH+/b+M=")</f>
        <v>#REF!</v>
      </c>
      <c r="HU489" t="e">
        <f>AND(#REF!,"AAAAAH+/b+Q=")</f>
        <v>#REF!</v>
      </c>
      <c r="HV489" t="e">
        <f>AND(#REF!,"AAAAAH+/b+U=")</f>
        <v>#REF!</v>
      </c>
      <c r="HW489" t="e">
        <f>AND(#REF!,"AAAAAH+/b+Y=")</f>
        <v>#REF!</v>
      </c>
      <c r="HX489" t="e">
        <f>AND(#REF!,"AAAAAH+/b+c=")</f>
        <v>#REF!</v>
      </c>
      <c r="HY489" t="e">
        <f>AND(#REF!,"AAAAAH+/b+g=")</f>
        <v>#REF!</v>
      </c>
      <c r="HZ489" t="e">
        <f>IF(#REF!,"AAAAAH+/b+k=",0)</f>
        <v>#REF!</v>
      </c>
      <c r="IA489" t="e">
        <f>AND(#REF!,"AAAAAH+/b+o=")</f>
        <v>#REF!</v>
      </c>
      <c r="IB489" t="e">
        <f>AND(#REF!,"AAAAAH+/b+s=")</f>
        <v>#REF!</v>
      </c>
      <c r="IC489" t="e">
        <f>AND(#REF!,"AAAAAH+/b+w=")</f>
        <v>#REF!</v>
      </c>
      <c r="ID489" t="e">
        <f>AND(#REF!,"AAAAAH+/b+0=")</f>
        <v>#REF!</v>
      </c>
      <c r="IE489" t="e">
        <f>AND(#REF!,"AAAAAH+/b+4=")</f>
        <v>#REF!</v>
      </c>
      <c r="IF489" t="e">
        <f>AND(#REF!,"AAAAAH+/b+8=")</f>
        <v>#REF!</v>
      </c>
      <c r="IG489" t="e">
        <f>AND(#REF!,"AAAAAH+/b/A=")</f>
        <v>#REF!</v>
      </c>
      <c r="IH489" t="e">
        <f>AND(#REF!,"AAAAAH+/b/E=")</f>
        <v>#REF!</v>
      </c>
      <c r="II489" t="e">
        <f>AND(#REF!,"AAAAAH+/b/I=")</f>
        <v>#REF!</v>
      </c>
      <c r="IJ489" t="e">
        <f>AND(#REF!,"AAAAAH+/b/M=")</f>
        <v>#REF!</v>
      </c>
      <c r="IK489" t="e">
        <f>IF(#REF!,"AAAAAH+/b/Q=",0)</f>
        <v>#REF!</v>
      </c>
      <c r="IL489" t="e">
        <f>AND(#REF!,"AAAAAH+/b/U=")</f>
        <v>#REF!</v>
      </c>
      <c r="IM489" t="e">
        <f>AND(#REF!,"AAAAAH+/b/Y=")</f>
        <v>#REF!</v>
      </c>
      <c r="IN489" t="e">
        <f>AND(#REF!,"AAAAAH+/b/c=")</f>
        <v>#REF!</v>
      </c>
      <c r="IO489" t="e">
        <f>AND(#REF!,"AAAAAH+/b/g=")</f>
        <v>#REF!</v>
      </c>
      <c r="IP489" t="e">
        <f>AND(#REF!,"AAAAAH+/b/k=")</f>
        <v>#REF!</v>
      </c>
      <c r="IQ489" t="e">
        <f>AND(#REF!,"AAAAAH+/b/o=")</f>
        <v>#REF!</v>
      </c>
      <c r="IR489" t="e">
        <f>AND(#REF!,"AAAAAH+/b/s=")</f>
        <v>#REF!</v>
      </c>
      <c r="IS489" t="e">
        <f>AND(#REF!,"AAAAAH+/b/w=")</f>
        <v>#REF!</v>
      </c>
      <c r="IT489" t="e">
        <f>AND(#REF!,"AAAAAH+/b/0=")</f>
        <v>#REF!</v>
      </c>
      <c r="IU489" t="e">
        <f>AND(#REF!,"AAAAAH+/b/4=")</f>
        <v>#REF!</v>
      </c>
      <c r="IV489" t="e">
        <f>IF(#REF!,"AAAAAH+/b/8=",0)</f>
        <v>#REF!</v>
      </c>
    </row>
    <row r="490" spans="1:256" x14ac:dyDescent="0.25">
      <c r="A490" t="e">
        <f>AND(#REF!,"AAAAAF578QA=")</f>
        <v>#REF!</v>
      </c>
      <c r="B490" t="e">
        <f>AND(#REF!,"AAAAAF578QE=")</f>
        <v>#REF!</v>
      </c>
      <c r="C490" t="e">
        <f>AND(#REF!,"AAAAAF578QI=")</f>
        <v>#REF!</v>
      </c>
      <c r="D490" t="e">
        <f>AND(#REF!,"AAAAAF578QM=")</f>
        <v>#REF!</v>
      </c>
      <c r="E490" t="e">
        <f>AND(#REF!,"AAAAAF578QQ=")</f>
        <v>#REF!</v>
      </c>
      <c r="F490" t="e">
        <f>AND(#REF!,"AAAAAF578QU=")</f>
        <v>#REF!</v>
      </c>
      <c r="G490" t="e">
        <f>AND(#REF!,"AAAAAF578QY=")</f>
        <v>#REF!</v>
      </c>
      <c r="H490" t="e">
        <f>AND(#REF!,"AAAAAF578Qc=")</f>
        <v>#REF!</v>
      </c>
      <c r="I490" t="e">
        <f>AND(#REF!,"AAAAAF578Qg=")</f>
        <v>#REF!</v>
      </c>
      <c r="J490" t="e">
        <f>AND(#REF!,"AAAAAF578Qk=")</f>
        <v>#REF!</v>
      </c>
      <c r="K490" t="e">
        <f>IF(#REF!,"AAAAAF578Qo=",0)</f>
        <v>#REF!</v>
      </c>
      <c r="L490" t="e">
        <f>AND(#REF!,"AAAAAF578Qs=")</f>
        <v>#REF!</v>
      </c>
      <c r="M490" t="e">
        <f>AND(#REF!,"AAAAAF578Qw=")</f>
        <v>#REF!</v>
      </c>
      <c r="N490" t="e">
        <f>AND(#REF!,"AAAAAF578Q0=")</f>
        <v>#REF!</v>
      </c>
      <c r="O490" t="e">
        <f>AND(#REF!,"AAAAAF578Q4=")</f>
        <v>#REF!</v>
      </c>
      <c r="P490" t="e">
        <f>AND(#REF!,"AAAAAF578Q8=")</f>
        <v>#REF!</v>
      </c>
      <c r="Q490" t="e">
        <f>AND(#REF!,"AAAAAF578RA=")</f>
        <v>#REF!</v>
      </c>
      <c r="R490" t="e">
        <f>AND(#REF!,"AAAAAF578RE=")</f>
        <v>#REF!</v>
      </c>
      <c r="S490" t="e">
        <f>AND(#REF!,"AAAAAF578RI=")</f>
        <v>#REF!</v>
      </c>
      <c r="T490" t="e">
        <f>AND(#REF!,"AAAAAF578RM=")</f>
        <v>#REF!</v>
      </c>
      <c r="U490" t="e">
        <f>AND(#REF!,"AAAAAF578RQ=")</f>
        <v>#REF!</v>
      </c>
      <c r="V490" t="e">
        <f>IF(#REF!,"AAAAAF578RU=",0)</f>
        <v>#REF!</v>
      </c>
      <c r="W490" t="e">
        <f>AND(#REF!,"AAAAAF578RY=")</f>
        <v>#REF!</v>
      </c>
      <c r="X490" t="e">
        <f>AND(#REF!,"AAAAAF578Rc=")</f>
        <v>#REF!</v>
      </c>
      <c r="Y490" t="e">
        <f>AND(#REF!,"AAAAAF578Rg=")</f>
        <v>#REF!</v>
      </c>
      <c r="Z490" t="e">
        <f>AND(#REF!,"AAAAAF578Rk=")</f>
        <v>#REF!</v>
      </c>
      <c r="AA490" t="e">
        <f>AND(#REF!,"AAAAAF578Ro=")</f>
        <v>#REF!</v>
      </c>
      <c r="AB490" t="e">
        <f>AND(#REF!,"AAAAAF578Rs=")</f>
        <v>#REF!</v>
      </c>
      <c r="AC490" t="e">
        <f>AND(#REF!,"AAAAAF578Rw=")</f>
        <v>#REF!</v>
      </c>
      <c r="AD490" t="e">
        <f>AND(#REF!,"AAAAAF578R0=")</f>
        <v>#REF!</v>
      </c>
      <c r="AE490" t="e">
        <f>AND(#REF!,"AAAAAF578R4=")</f>
        <v>#REF!</v>
      </c>
      <c r="AF490" t="e">
        <f>AND(#REF!,"AAAAAF578R8=")</f>
        <v>#REF!</v>
      </c>
      <c r="AG490" t="e">
        <f>IF(#REF!,"AAAAAF578SA=",0)</f>
        <v>#REF!</v>
      </c>
      <c r="AH490" t="e">
        <f>AND(#REF!,"AAAAAF578SE=")</f>
        <v>#REF!</v>
      </c>
      <c r="AI490" t="e">
        <f>AND(#REF!,"AAAAAF578SI=")</f>
        <v>#REF!</v>
      </c>
      <c r="AJ490" t="e">
        <f>AND(#REF!,"AAAAAF578SM=")</f>
        <v>#REF!</v>
      </c>
      <c r="AK490" t="e">
        <f>AND(#REF!,"AAAAAF578SQ=")</f>
        <v>#REF!</v>
      </c>
      <c r="AL490" t="e">
        <f>AND(#REF!,"AAAAAF578SU=")</f>
        <v>#REF!</v>
      </c>
      <c r="AM490" t="e">
        <f>AND(#REF!,"AAAAAF578SY=")</f>
        <v>#REF!</v>
      </c>
      <c r="AN490" t="e">
        <f>AND(#REF!,"AAAAAF578Sc=")</f>
        <v>#REF!</v>
      </c>
      <c r="AO490" t="e">
        <f>AND(#REF!,"AAAAAF578Sg=")</f>
        <v>#REF!</v>
      </c>
      <c r="AP490" t="e">
        <f>AND(#REF!,"AAAAAF578Sk=")</f>
        <v>#REF!</v>
      </c>
      <c r="AQ490" t="e">
        <f>AND(#REF!,"AAAAAF578So=")</f>
        <v>#REF!</v>
      </c>
      <c r="AR490" t="e">
        <f>IF(#REF!,"AAAAAF578Ss=",0)</f>
        <v>#REF!</v>
      </c>
      <c r="AS490" t="e">
        <f>AND(#REF!,"AAAAAF578Sw=")</f>
        <v>#REF!</v>
      </c>
      <c r="AT490" t="e">
        <f>AND(#REF!,"AAAAAF578S0=")</f>
        <v>#REF!</v>
      </c>
      <c r="AU490" t="e">
        <f>AND(#REF!,"AAAAAF578S4=")</f>
        <v>#REF!</v>
      </c>
      <c r="AV490" t="e">
        <f>AND(#REF!,"AAAAAF578S8=")</f>
        <v>#REF!</v>
      </c>
      <c r="AW490" t="e">
        <f>AND(#REF!,"AAAAAF578TA=")</f>
        <v>#REF!</v>
      </c>
      <c r="AX490" t="e">
        <f>AND(#REF!,"AAAAAF578TE=")</f>
        <v>#REF!</v>
      </c>
      <c r="AY490" t="e">
        <f>AND(#REF!,"AAAAAF578TI=")</f>
        <v>#REF!</v>
      </c>
      <c r="AZ490" t="e">
        <f>AND(#REF!,"AAAAAF578TM=")</f>
        <v>#REF!</v>
      </c>
      <c r="BA490" t="e">
        <f>AND(#REF!,"AAAAAF578TQ=")</f>
        <v>#REF!</v>
      </c>
      <c r="BB490" t="e">
        <f>AND(#REF!,"AAAAAF578TU=")</f>
        <v>#REF!</v>
      </c>
      <c r="BC490" t="e">
        <f>IF(#REF!,"AAAAAF578TY=",0)</f>
        <v>#REF!</v>
      </c>
      <c r="BD490" t="e">
        <f>AND(#REF!,"AAAAAF578Tc=")</f>
        <v>#REF!</v>
      </c>
      <c r="BE490" t="e">
        <f>AND(#REF!,"AAAAAF578Tg=")</f>
        <v>#REF!</v>
      </c>
      <c r="BF490" t="e">
        <f>AND(#REF!,"AAAAAF578Tk=")</f>
        <v>#REF!</v>
      </c>
      <c r="BG490" t="e">
        <f>AND(#REF!,"AAAAAF578To=")</f>
        <v>#REF!</v>
      </c>
      <c r="BH490" t="e">
        <f>AND(#REF!,"AAAAAF578Ts=")</f>
        <v>#REF!</v>
      </c>
      <c r="BI490" t="e">
        <f>AND(#REF!,"AAAAAF578Tw=")</f>
        <v>#REF!</v>
      </c>
      <c r="BJ490" t="e">
        <f>AND(#REF!,"AAAAAF578T0=")</f>
        <v>#REF!</v>
      </c>
      <c r="BK490" t="e">
        <f>AND(#REF!,"AAAAAF578T4=")</f>
        <v>#REF!</v>
      </c>
      <c r="BL490" t="e">
        <f>AND(#REF!,"AAAAAF578T8=")</f>
        <v>#REF!</v>
      </c>
      <c r="BM490" t="e">
        <f>AND(#REF!,"AAAAAF578UA=")</f>
        <v>#REF!</v>
      </c>
      <c r="BN490" t="e">
        <f>IF(#REF!,"AAAAAF578UE=",0)</f>
        <v>#REF!</v>
      </c>
      <c r="BO490" t="e">
        <f>AND(#REF!,"AAAAAF578UI=")</f>
        <v>#REF!</v>
      </c>
      <c r="BP490" t="e">
        <f>AND(#REF!,"AAAAAF578UM=")</f>
        <v>#REF!</v>
      </c>
      <c r="BQ490" t="e">
        <f>AND(#REF!,"AAAAAF578UQ=")</f>
        <v>#REF!</v>
      </c>
      <c r="BR490" t="e">
        <f>AND(#REF!,"AAAAAF578UU=")</f>
        <v>#REF!</v>
      </c>
      <c r="BS490" t="e">
        <f>AND(#REF!,"AAAAAF578UY=")</f>
        <v>#REF!</v>
      </c>
      <c r="BT490" t="e">
        <f>AND(#REF!,"AAAAAF578Uc=")</f>
        <v>#REF!</v>
      </c>
      <c r="BU490" t="e">
        <f>AND(#REF!,"AAAAAF578Ug=")</f>
        <v>#REF!</v>
      </c>
      <c r="BV490" t="e">
        <f>AND(#REF!,"AAAAAF578Uk=")</f>
        <v>#REF!</v>
      </c>
      <c r="BW490" t="e">
        <f>AND(#REF!,"AAAAAF578Uo=")</f>
        <v>#REF!</v>
      </c>
      <c r="BX490" t="e">
        <f>AND(#REF!,"AAAAAF578Us=")</f>
        <v>#REF!</v>
      </c>
      <c r="BY490" t="e">
        <f>IF(#REF!,"AAAAAF578Uw=",0)</f>
        <v>#REF!</v>
      </c>
      <c r="BZ490" t="e">
        <f>AND(#REF!,"AAAAAF578U0=")</f>
        <v>#REF!</v>
      </c>
      <c r="CA490" t="e">
        <f>AND(#REF!,"AAAAAF578U4=")</f>
        <v>#REF!</v>
      </c>
      <c r="CB490" t="e">
        <f>AND(#REF!,"AAAAAF578U8=")</f>
        <v>#REF!</v>
      </c>
      <c r="CC490" t="e">
        <f>AND(#REF!,"AAAAAF578VA=")</f>
        <v>#REF!</v>
      </c>
      <c r="CD490" t="e">
        <f>AND(#REF!,"AAAAAF578VE=")</f>
        <v>#REF!</v>
      </c>
      <c r="CE490" t="e">
        <f>AND(#REF!,"AAAAAF578VI=")</f>
        <v>#REF!</v>
      </c>
      <c r="CF490" t="e">
        <f>AND(#REF!,"AAAAAF578VM=")</f>
        <v>#REF!</v>
      </c>
      <c r="CG490" t="e">
        <f>AND(#REF!,"AAAAAF578VQ=")</f>
        <v>#REF!</v>
      </c>
      <c r="CH490" t="e">
        <f>AND(#REF!,"AAAAAF578VU=")</f>
        <v>#REF!</v>
      </c>
      <c r="CI490" t="e">
        <f>AND(#REF!,"AAAAAF578VY=")</f>
        <v>#REF!</v>
      </c>
      <c r="CJ490" t="e">
        <f>IF(#REF!,"AAAAAF578Vc=",0)</f>
        <v>#REF!</v>
      </c>
      <c r="CK490" t="e">
        <f>AND(#REF!,"AAAAAF578Vg=")</f>
        <v>#REF!</v>
      </c>
      <c r="CL490" t="e">
        <f>AND(#REF!,"AAAAAF578Vk=")</f>
        <v>#REF!</v>
      </c>
      <c r="CM490" t="e">
        <f>AND(#REF!,"AAAAAF578Vo=")</f>
        <v>#REF!</v>
      </c>
      <c r="CN490" t="e">
        <f>AND(#REF!,"AAAAAF578Vs=")</f>
        <v>#REF!</v>
      </c>
      <c r="CO490" t="e">
        <f>AND(#REF!,"AAAAAF578Vw=")</f>
        <v>#REF!</v>
      </c>
      <c r="CP490" t="e">
        <f>AND(#REF!,"AAAAAF578V0=")</f>
        <v>#REF!</v>
      </c>
      <c r="CQ490" t="e">
        <f>AND(#REF!,"AAAAAF578V4=")</f>
        <v>#REF!</v>
      </c>
      <c r="CR490" t="e">
        <f>AND(#REF!,"AAAAAF578V8=")</f>
        <v>#REF!</v>
      </c>
      <c r="CS490" t="e">
        <f>AND(#REF!,"AAAAAF578WA=")</f>
        <v>#REF!</v>
      </c>
      <c r="CT490" t="e">
        <f>AND(#REF!,"AAAAAF578WE=")</f>
        <v>#REF!</v>
      </c>
      <c r="CU490" t="e">
        <f>IF(#REF!,"AAAAAF578WI=",0)</f>
        <v>#REF!</v>
      </c>
      <c r="CV490" t="e">
        <f>AND(#REF!,"AAAAAF578WM=")</f>
        <v>#REF!</v>
      </c>
      <c r="CW490" t="e">
        <f>AND(#REF!,"AAAAAF578WQ=")</f>
        <v>#REF!</v>
      </c>
      <c r="CX490" t="e">
        <f>AND(#REF!,"AAAAAF578WU=")</f>
        <v>#REF!</v>
      </c>
      <c r="CY490" t="e">
        <f>AND(#REF!,"AAAAAF578WY=")</f>
        <v>#REF!</v>
      </c>
      <c r="CZ490" t="e">
        <f>AND(#REF!,"AAAAAF578Wc=")</f>
        <v>#REF!</v>
      </c>
      <c r="DA490" t="e">
        <f>AND(#REF!,"AAAAAF578Wg=")</f>
        <v>#REF!</v>
      </c>
      <c r="DB490" t="e">
        <f>AND(#REF!,"AAAAAF578Wk=")</f>
        <v>#REF!</v>
      </c>
      <c r="DC490" t="e">
        <f>AND(#REF!,"AAAAAF578Wo=")</f>
        <v>#REF!</v>
      </c>
      <c r="DD490" t="e">
        <f>AND(#REF!,"AAAAAF578Ws=")</f>
        <v>#REF!</v>
      </c>
      <c r="DE490" t="e">
        <f>AND(#REF!,"AAAAAF578Ww=")</f>
        <v>#REF!</v>
      </c>
      <c r="DF490" t="e">
        <f>IF(#REF!,"AAAAAF578W0=",0)</f>
        <v>#REF!</v>
      </c>
      <c r="DG490" t="e">
        <f>AND(#REF!,"AAAAAF578W4=")</f>
        <v>#REF!</v>
      </c>
      <c r="DH490" t="e">
        <f>AND(#REF!,"AAAAAF578W8=")</f>
        <v>#REF!</v>
      </c>
      <c r="DI490" t="e">
        <f>AND(#REF!,"AAAAAF578XA=")</f>
        <v>#REF!</v>
      </c>
      <c r="DJ490" t="e">
        <f>AND(#REF!,"AAAAAF578XE=")</f>
        <v>#REF!</v>
      </c>
      <c r="DK490" t="e">
        <f>AND(#REF!,"AAAAAF578XI=")</f>
        <v>#REF!</v>
      </c>
      <c r="DL490" t="e">
        <f>AND(#REF!,"AAAAAF578XM=")</f>
        <v>#REF!</v>
      </c>
      <c r="DM490" t="e">
        <f>AND(#REF!,"AAAAAF578XQ=")</f>
        <v>#REF!</v>
      </c>
      <c r="DN490" t="e">
        <f>AND(#REF!,"AAAAAF578XU=")</f>
        <v>#REF!</v>
      </c>
      <c r="DO490" t="e">
        <f>AND(#REF!,"AAAAAF578XY=")</f>
        <v>#REF!</v>
      </c>
      <c r="DP490" t="e">
        <f>AND(#REF!,"AAAAAF578Xc=")</f>
        <v>#REF!</v>
      </c>
      <c r="DQ490" t="e">
        <f>IF(#REF!,"AAAAAF578Xg=",0)</f>
        <v>#REF!</v>
      </c>
      <c r="DR490" t="e">
        <f>AND(#REF!,"AAAAAF578Xk=")</f>
        <v>#REF!</v>
      </c>
      <c r="DS490" t="e">
        <f>AND(#REF!,"AAAAAF578Xo=")</f>
        <v>#REF!</v>
      </c>
      <c r="DT490" t="e">
        <f>AND(#REF!,"AAAAAF578Xs=")</f>
        <v>#REF!</v>
      </c>
      <c r="DU490" t="e">
        <f>AND(#REF!,"AAAAAF578Xw=")</f>
        <v>#REF!</v>
      </c>
      <c r="DV490" t="e">
        <f>AND(#REF!,"AAAAAF578X0=")</f>
        <v>#REF!</v>
      </c>
      <c r="DW490" t="e">
        <f>AND(#REF!,"AAAAAF578X4=")</f>
        <v>#REF!</v>
      </c>
      <c r="DX490" t="e">
        <f>AND(#REF!,"AAAAAF578X8=")</f>
        <v>#REF!</v>
      </c>
      <c r="DY490" t="e">
        <f>AND(#REF!,"AAAAAF578YA=")</f>
        <v>#REF!</v>
      </c>
      <c r="DZ490" t="e">
        <f>AND(#REF!,"AAAAAF578YE=")</f>
        <v>#REF!</v>
      </c>
      <c r="EA490" t="e">
        <f>AND(#REF!,"AAAAAF578YI=")</f>
        <v>#REF!</v>
      </c>
      <c r="EB490" t="e">
        <f>IF(#REF!,"AAAAAF578YM=",0)</f>
        <v>#REF!</v>
      </c>
      <c r="EC490" t="e">
        <f>AND(#REF!,"AAAAAF578YQ=")</f>
        <v>#REF!</v>
      </c>
      <c r="ED490" t="e">
        <f>AND(#REF!,"AAAAAF578YU=")</f>
        <v>#REF!</v>
      </c>
      <c r="EE490" t="e">
        <f>AND(#REF!,"AAAAAF578YY=")</f>
        <v>#REF!</v>
      </c>
      <c r="EF490" t="e">
        <f>AND(#REF!,"AAAAAF578Yc=")</f>
        <v>#REF!</v>
      </c>
      <c r="EG490" t="e">
        <f>AND(#REF!,"AAAAAF578Yg=")</f>
        <v>#REF!</v>
      </c>
      <c r="EH490" t="e">
        <f>AND(#REF!,"AAAAAF578Yk=")</f>
        <v>#REF!</v>
      </c>
      <c r="EI490" t="e">
        <f>AND(#REF!,"AAAAAF578Yo=")</f>
        <v>#REF!</v>
      </c>
      <c r="EJ490" t="e">
        <f>AND(#REF!,"AAAAAF578Ys=")</f>
        <v>#REF!</v>
      </c>
      <c r="EK490" t="e">
        <f>AND(#REF!,"AAAAAF578Yw=")</f>
        <v>#REF!</v>
      </c>
      <c r="EL490" t="e">
        <f>AND(#REF!,"AAAAAF578Y0=")</f>
        <v>#REF!</v>
      </c>
      <c r="EM490" t="e">
        <f>IF(#REF!,"AAAAAF578Y4=",0)</f>
        <v>#REF!</v>
      </c>
      <c r="EN490" t="e">
        <f>AND(#REF!,"AAAAAF578Y8=")</f>
        <v>#REF!</v>
      </c>
      <c r="EO490" t="e">
        <f>AND(#REF!,"AAAAAF578ZA=")</f>
        <v>#REF!</v>
      </c>
      <c r="EP490" t="e">
        <f>AND(#REF!,"AAAAAF578ZE=")</f>
        <v>#REF!</v>
      </c>
      <c r="EQ490" t="e">
        <f>AND(#REF!,"AAAAAF578ZI=")</f>
        <v>#REF!</v>
      </c>
      <c r="ER490" t="e">
        <f>AND(#REF!,"AAAAAF578ZM=")</f>
        <v>#REF!</v>
      </c>
      <c r="ES490" t="e">
        <f>AND(#REF!,"AAAAAF578ZQ=")</f>
        <v>#REF!</v>
      </c>
      <c r="ET490" t="e">
        <f>AND(#REF!,"AAAAAF578ZU=")</f>
        <v>#REF!</v>
      </c>
      <c r="EU490" t="e">
        <f>AND(#REF!,"AAAAAF578ZY=")</f>
        <v>#REF!</v>
      </c>
      <c r="EV490" t="e">
        <f>AND(#REF!,"AAAAAF578Zc=")</f>
        <v>#REF!</v>
      </c>
      <c r="EW490" t="e">
        <f>AND(#REF!,"AAAAAF578Zg=")</f>
        <v>#REF!</v>
      </c>
      <c r="EX490" t="e">
        <f>IF(#REF!,"AAAAAF578Zk=",0)</f>
        <v>#REF!</v>
      </c>
      <c r="EY490" t="e">
        <f>AND(#REF!,"AAAAAF578Zo=")</f>
        <v>#REF!</v>
      </c>
      <c r="EZ490" t="e">
        <f>AND(#REF!,"AAAAAF578Zs=")</f>
        <v>#REF!</v>
      </c>
      <c r="FA490" t="e">
        <f>AND(#REF!,"AAAAAF578Zw=")</f>
        <v>#REF!</v>
      </c>
      <c r="FB490" t="e">
        <f>AND(#REF!,"AAAAAF578Z0=")</f>
        <v>#REF!</v>
      </c>
      <c r="FC490" t="e">
        <f>AND(#REF!,"AAAAAF578Z4=")</f>
        <v>#REF!</v>
      </c>
      <c r="FD490" t="e">
        <f>AND(#REF!,"AAAAAF578Z8=")</f>
        <v>#REF!</v>
      </c>
      <c r="FE490" t="e">
        <f>AND(#REF!,"AAAAAF578aA=")</f>
        <v>#REF!</v>
      </c>
      <c r="FF490" t="e">
        <f>AND(#REF!,"AAAAAF578aE=")</f>
        <v>#REF!</v>
      </c>
      <c r="FG490" t="e">
        <f>AND(#REF!,"AAAAAF578aI=")</f>
        <v>#REF!</v>
      </c>
      <c r="FH490" t="e">
        <f>AND(#REF!,"AAAAAF578aM=")</f>
        <v>#REF!</v>
      </c>
      <c r="FI490" t="e">
        <f>IF(#REF!,"AAAAAF578aQ=",0)</f>
        <v>#REF!</v>
      </c>
      <c r="FJ490" t="e">
        <f>AND(#REF!,"AAAAAF578aU=")</f>
        <v>#REF!</v>
      </c>
      <c r="FK490" t="e">
        <f>AND(#REF!,"AAAAAF578aY=")</f>
        <v>#REF!</v>
      </c>
      <c r="FL490" t="e">
        <f>AND(#REF!,"AAAAAF578ac=")</f>
        <v>#REF!</v>
      </c>
      <c r="FM490" t="e">
        <f>AND(#REF!,"AAAAAF578ag=")</f>
        <v>#REF!</v>
      </c>
      <c r="FN490" t="e">
        <f>AND(#REF!,"AAAAAF578ak=")</f>
        <v>#REF!</v>
      </c>
      <c r="FO490" t="e">
        <f>AND(#REF!,"AAAAAF578ao=")</f>
        <v>#REF!</v>
      </c>
      <c r="FP490" t="e">
        <f>AND(#REF!,"AAAAAF578as=")</f>
        <v>#REF!</v>
      </c>
      <c r="FQ490" t="e">
        <f>AND(#REF!,"AAAAAF578aw=")</f>
        <v>#REF!</v>
      </c>
      <c r="FR490" t="e">
        <f>AND(#REF!,"AAAAAF578a0=")</f>
        <v>#REF!</v>
      </c>
      <c r="FS490" t="e">
        <f>AND(#REF!,"AAAAAF578a4=")</f>
        <v>#REF!</v>
      </c>
      <c r="FT490" t="e">
        <f>IF(#REF!,"AAAAAF578a8=",0)</f>
        <v>#REF!</v>
      </c>
      <c r="FU490" t="e">
        <f>AND(#REF!,"AAAAAF578bA=")</f>
        <v>#REF!</v>
      </c>
      <c r="FV490" t="e">
        <f>AND(#REF!,"AAAAAF578bE=")</f>
        <v>#REF!</v>
      </c>
      <c r="FW490" t="e">
        <f>AND(#REF!,"AAAAAF578bI=")</f>
        <v>#REF!</v>
      </c>
      <c r="FX490" t="e">
        <f>AND(#REF!,"AAAAAF578bM=")</f>
        <v>#REF!</v>
      </c>
      <c r="FY490" t="e">
        <f>AND(#REF!,"AAAAAF578bQ=")</f>
        <v>#REF!</v>
      </c>
      <c r="FZ490" t="e">
        <f>AND(#REF!,"AAAAAF578bU=")</f>
        <v>#REF!</v>
      </c>
      <c r="GA490" t="e">
        <f>AND(#REF!,"AAAAAF578bY=")</f>
        <v>#REF!</v>
      </c>
      <c r="GB490" t="e">
        <f>AND(#REF!,"AAAAAF578bc=")</f>
        <v>#REF!</v>
      </c>
      <c r="GC490" t="e">
        <f>AND(#REF!,"AAAAAF578bg=")</f>
        <v>#REF!</v>
      </c>
      <c r="GD490" t="e">
        <f>AND(#REF!,"AAAAAF578bk=")</f>
        <v>#REF!</v>
      </c>
      <c r="GE490" t="e">
        <f>IF(#REF!,"AAAAAF578bo=",0)</f>
        <v>#REF!</v>
      </c>
      <c r="GF490" t="e">
        <f>AND(#REF!,"AAAAAF578bs=")</f>
        <v>#REF!</v>
      </c>
      <c r="GG490" t="e">
        <f>AND(#REF!,"AAAAAF578bw=")</f>
        <v>#REF!</v>
      </c>
      <c r="GH490" t="e">
        <f>AND(#REF!,"AAAAAF578b0=")</f>
        <v>#REF!</v>
      </c>
      <c r="GI490" t="e">
        <f>AND(#REF!,"AAAAAF578b4=")</f>
        <v>#REF!</v>
      </c>
      <c r="GJ490" t="e">
        <f>AND(#REF!,"AAAAAF578b8=")</f>
        <v>#REF!</v>
      </c>
      <c r="GK490" t="e">
        <f>AND(#REF!,"AAAAAF578cA=")</f>
        <v>#REF!</v>
      </c>
      <c r="GL490" t="e">
        <f>AND(#REF!,"AAAAAF578cE=")</f>
        <v>#REF!</v>
      </c>
      <c r="GM490" t="e">
        <f>AND(#REF!,"AAAAAF578cI=")</f>
        <v>#REF!</v>
      </c>
      <c r="GN490" t="e">
        <f>AND(#REF!,"AAAAAF578cM=")</f>
        <v>#REF!</v>
      </c>
      <c r="GO490" t="e">
        <f>AND(#REF!,"AAAAAF578cQ=")</f>
        <v>#REF!</v>
      </c>
      <c r="GP490" t="e">
        <f>IF(#REF!,"AAAAAF578cU=",0)</f>
        <v>#REF!</v>
      </c>
      <c r="GQ490" t="e">
        <f>AND(#REF!,"AAAAAF578cY=")</f>
        <v>#REF!</v>
      </c>
      <c r="GR490" t="e">
        <f>AND(#REF!,"AAAAAF578cc=")</f>
        <v>#REF!</v>
      </c>
      <c r="GS490" t="e">
        <f>AND(#REF!,"AAAAAF578cg=")</f>
        <v>#REF!</v>
      </c>
      <c r="GT490" t="e">
        <f>AND(#REF!,"AAAAAF578ck=")</f>
        <v>#REF!</v>
      </c>
      <c r="GU490" t="e">
        <f>AND(#REF!,"AAAAAF578co=")</f>
        <v>#REF!</v>
      </c>
      <c r="GV490" t="e">
        <f>AND(#REF!,"AAAAAF578cs=")</f>
        <v>#REF!</v>
      </c>
      <c r="GW490" t="e">
        <f>AND(#REF!,"AAAAAF578cw=")</f>
        <v>#REF!</v>
      </c>
      <c r="GX490" t="e">
        <f>AND(#REF!,"AAAAAF578c0=")</f>
        <v>#REF!</v>
      </c>
      <c r="GY490" t="e">
        <f>AND(#REF!,"AAAAAF578c4=")</f>
        <v>#REF!</v>
      </c>
      <c r="GZ490" t="e">
        <f>AND(#REF!,"AAAAAF578c8=")</f>
        <v>#REF!</v>
      </c>
      <c r="HA490" t="e">
        <f>IF(#REF!,"AAAAAF578dA=",0)</f>
        <v>#REF!</v>
      </c>
      <c r="HB490" t="e">
        <f>AND(#REF!,"AAAAAF578dE=")</f>
        <v>#REF!</v>
      </c>
      <c r="HC490" t="e">
        <f>AND(#REF!,"AAAAAF578dI=")</f>
        <v>#REF!</v>
      </c>
      <c r="HD490" t="e">
        <f>AND(#REF!,"AAAAAF578dM=")</f>
        <v>#REF!</v>
      </c>
      <c r="HE490" t="e">
        <f>AND(#REF!,"AAAAAF578dQ=")</f>
        <v>#REF!</v>
      </c>
      <c r="HF490" t="e">
        <f>AND(#REF!,"AAAAAF578dU=")</f>
        <v>#REF!</v>
      </c>
      <c r="HG490" t="e">
        <f>AND(#REF!,"AAAAAF578dY=")</f>
        <v>#REF!</v>
      </c>
      <c r="HH490" t="e">
        <f>AND(#REF!,"AAAAAF578dc=")</f>
        <v>#REF!</v>
      </c>
      <c r="HI490" t="e">
        <f>AND(#REF!,"AAAAAF578dg=")</f>
        <v>#REF!</v>
      </c>
      <c r="HJ490" t="e">
        <f>AND(#REF!,"AAAAAF578dk=")</f>
        <v>#REF!</v>
      </c>
      <c r="HK490" t="e">
        <f>AND(#REF!,"AAAAAF578do=")</f>
        <v>#REF!</v>
      </c>
      <c r="HL490" t="e">
        <f>IF(#REF!,"AAAAAF578ds=",0)</f>
        <v>#REF!</v>
      </c>
      <c r="HM490" t="e">
        <f>AND(#REF!,"AAAAAF578dw=")</f>
        <v>#REF!</v>
      </c>
      <c r="HN490" t="e">
        <f>AND(#REF!,"AAAAAF578d0=")</f>
        <v>#REF!</v>
      </c>
      <c r="HO490" t="e">
        <f>AND(#REF!,"AAAAAF578d4=")</f>
        <v>#REF!</v>
      </c>
      <c r="HP490" t="e">
        <f>AND(#REF!,"AAAAAF578d8=")</f>
        <v>#REF!</v>
      </c>
      <c r="HQ490" t="e">
        <f>AND(#REF!,"AAAAAF578eA=")</f>
        <v>#REF!</v>
      </c>
      <c r="HR490" t="e">
        <f>AND(#REF!,"AAAAAF578eE=")</f>
        <v>#REF!</v>
      </c>
      <c r="HS490" t="e">
        <f>AND(#REF!,"AAAAAF578eI=")</f>
        <v>#REF!</v>
      </c>
      <c r="HT490" t="e">
        <f>AND(#REF!,"AAAAAF578eM=")</f>
        <v>#REF!</v>
      </c>
      <c r="HU490" t="e">
        <f>AND(#REF!,"AAAAAF578eQ=")</f>
        <v>#REF!</v>
      </c>
      <c r="HV490" t="e">
        <f>AND(#REF!,"AAAAAF578eU=")</f>
        <v>#REF!</v>
      </c>
      <c r="HW490" t="e">
        <f>IF(#REF!,"AAAAAF578eY=",0)</f>
        <v>#REF!</v>
      </c>
      <c r="HX490" t="e">
        <f>AND(#REF!,"AAAAAF578ec=")</f>
        <v>#REF!</v>
      </c>
      <c r="HY490" t="e">
        <f>AND(#REF!,"AAAAAF578eg=")</f>
        <v>#REF!</v>
      </c>
      <c r="HZ490" t="e">
        <f>AND(#REF!,"AAAAAF578ek=")</f>
        <v>#REF!</v>
      </c>
      <c r="IA490" t="e">
        <f>AND(#REF!,"AAAAAF578eo=")</f>
        <v>#REF!</v>
      </c>
      <c r="IB490" t="e">
        <f>AND(#REF!,"AAAAAF578es=")</f>
        <v>#REF!</v>
      </c>
      <c r="IC490" t="e">
        <f>AND(#REF!,"AAAAAF578ew=")</f>
        <v>#REF!</v>
      </c>
      <c r="ID490" t="e">
        <f>AND(#REF!,"AAAAAF578e0=")</f>
        <v>#REF!</v>
      </c>
      <c r="IE490" t="e">
        <f>AND(#REF!,"AAAAAF578e4=")</f>
        <v>#REF!</v>
      </c>
      <c r="IF490" t="e">
        <f>AND(#REF!,"AAAAAF578e8=")</f>
        <v>#REF!</v>
      </c>
      <c r="IG490" t="e">
        <f>AND(#REF!,"AAAAAF578fA=")</f>
        <v>#REF!</v>
      </c>
      <c r="IH490" t="e">
        <f>IF(#REF!,"AAAAAF578fE=",0)</f>
        <v>#REF!</v>
      </c>
      <c r="II490" t="e">
        <f>AND(#REF!,"AAAAAF578fI=")</f>
        <v>#REF!</v>
      </c>
      <c r="IJ490" t="e">
        <f>AND(#REF!,"AAAAAF578fM=")</f>
        <v>#REF!</v>
      </c>
      <c r="IK490" t="e">
        <f>AND(#REF!,"AAAAAF578fQ=")</f>
        <v>#REF!</v>
      </c>
      <c r="IL490" t="e">
        <f>AND(#REF!,"AAAAAF578fU=")</f>
        <v>#REF!</v>
      </c>
      <c r="IM490" t="e">
        <f>AND(#REF!,"AAAAAF578fY=")</f>
        <v>#REF!</v>
      </c>
      <c r="IN490" t="e">
        <f>AND(#REF!,"AAAAAF578fc=")</f>
        <v>#REF!</v>
      </c>
      <c r="IO490" t="e">
        <f>AND(#REF!,"AAAAAF578fg=")</f>
        <v>#REF!</v>
      </c>
      <c r="IP490" t="e">
        <f>AND(#REF!,"AAAAAF578fk=")</f>
        <v>#REF!</v>
      </c>
      <c r="IQ490" t="e">
        <f>AND(#REF!,"AAAAAF578fo=")</f>
        <v>#REF!</v>
      </c>
      <c r="IR490" t="e">
        <f>AND(#REF!,"AAAAAF578fs=")</f>
        <v>#REF!</v>
      </c>
      <c r="IS490" t="e">
        <f>IF(#REF!,"AAAAAF578fw=",0)</f>
        <v>#REF!</v>
      </c>
      <c r="IT490" t="e">
        <f>AND(#REF!,"AAAAAF578f0=")</f>
        <v>#REF!</v>
      </c>
      <c r="IU490" t="e">
        <f>AND(#REF!,"AAAAAF578f4=")</f>
        <v>#REF!</v>
      </c>
      <c r="IV490" t="e">
        <f>AND(#REF!,"AAAAAF578f8=")</f>
        <v>#REF!</v>
      </c>
    </row>
    <row r="491" spans="1:256" x14ac:dyDescent="0.25">
      <c r="A491" t="e">
        <f>AND(#REF!,"AAAAAH//7wA=")</f>
        <v>#REF!</v>
      </c>
      <c r="B491" t="e">
        <f>AND(#REF!,"AAAAAH//7wE=")</f>
        <v>#REF!</v>
      </c>
      <c r="C491" t="e">
        <f>AND(#REF!,"AAAAAH//7wI=")</f>
        <v>#REF!</v>
      </c>
      <c r="D491" t="e">
        <f>AND(#REF!,"AAAAAH//7wM=")</f>
        <v>#REF!</v>
      </c>
      <c r="E491" t="e">
        <f>AND(#REF!,"AAAAAH//7wQ=")</f>
        <v>#REF!</v>
      </c>
      <c r="F491" t="e">
        <f>AND(#REF!,"AAAAAH//7wU=")</f>
        <v>#REF!</v>
      </c>
      <c r="G491" t="e">
        <f>AND(#REF!,"AAAAAH//7wY=")</f>
        <v>#REF!</v>
      </c>
      <c r="H491" t="e">
        <f>IF(#REF!,"AAAAAH//7wc=",0)</f>
        <v>#REF!</v>
      </c>
      <c r="I491" t="e">
        <f>AND(#REF!,"AAAAAH//7wg=")</f>
        <v>#REF!</v>
      </c>
      <c r="J491" t="e">
        <f>AND(#REF!,"AAAAAH//7wk=")</f>
        <v>#REF!</v>
      </c>
      <c r="K491" t="e">
        <f>AND(#REF!,"AAAAAH//7wo=")</f>
        <v>#REF!</v>
      </c>
      <c r="L491" t="e">
        <f>AND(#REF!,"AAAAAH//7ws=")</f>
        <v>#REF!</v>
      </c>
      <c r="M491" t="e">
        <f>AND(#REF!,"AAAAAH//7ww=")</f>
        <v>#REF!</v>
      </c>
      <c r="N491" t="e">
        <f>AND(#REF!,"AAAAAH//7w0=")</f>
        <v>#REF!</v>
      </c>
      <c r="O491" t="e">
        <f>AND(#REF!,"AAAAAH//7w4=")</f>
        <v>#REF!</v>
      </c>
      <c r="P491" t="e">
        <f>AND(#REF!,"AAAAAH//7w8=")</f>
        <v>#REF!</v>
      </c>
      <c r="Q491" t="e">
        <f>AND(#REF!,"AAAAAH//7xA=")</f>
        <v>#REF!</v>
      </c>
      <c r="R491" t="e">
        <f>AND(#REF!,"AAAAAH//7xE=")</f>
        <v>#REF!</v>
      </c>
      <c r="S491" t="e">
        <f>IF(#REF!,"AAAAAH//7xI=",0)</f>
        <v>#REF!</v>
      </c>
      <c r="T491" t="e">
        <f>AND(#REF!,"AAAAAH//7xM=")</f>
        <v>#REF!</v>
      </c>
      <c r="U491" t="e">
        <f>AND(#REF!,"AAAAAH//7xQ=")</f>
        <v>#REF!</v>
      </c>
      <c r="V491" t="e">
        <f>AND(#REF!,"AAAAAH//7xU=")</f>
        <v>#REF!</v>
      </c>
      <c r="W491" t="e">
        <f>AND(#REF!,"AAAAAH//7xY=")</f>
        <v>#REF!</v>
      </c>
      <c r="X491" t="e">
        <f>AND(#REF!,"AAAAAH//7xc=")</f>
        <v>#REF!</v>
      </c>
      <c r="Y491" t="e">
        <f>AND(#REF!,"AAAAAH//7xg=")</f>
        <v>#REF!</v>
      </c>
      <c r="Z491" t="e">
        <f>AND(#REF!,"AAAAAH//7xk=")</f>
        <v>#REF!</v>
      </c>
      <c r="AA491" t="e">
        <f>AND(#REF!,"AAAAAH//7xo=")</f>
        <v>#REF!</v>
      </c>
      <c r="AB491" t="e">
        <f>AND(#REF!,"AAAAAH//7xs=")</f>
        <v>#REF!</v>
      </c>
      <c r="AC491" t="e">
        <f>AND(#REF!,"AAAAAH//7xw=")</f>
        <v>#REF!</v>
      </c>
      <c r="AD491" t="e">
        <f>IF(#REF!,"AAAAAH//7x0=",0)</f>
        <v>#REF!</v>
      </c>
      <c r="AE491" t="e">
        <f>AND(#REF!,"AAAAAH//7x4=")</f>
        <v>#REF!</v>
      </c>
      <c r="AF491" t="e">
        <f>AND(#REF!,"AAAAAH//7x8=")</f>
        <v>#REF!</v>
      </c>
      <c r="AG491" t="e">
        <f>AND(#REF!,"AAAAAH//7yA=")</f>
        <v>#REF!</v>
      </c>
      <c r="AH491" t="e">
        <f>AND(#REF!,"AAAAAH//7yE=")</f>
        <v>#REF!</v>
      </c>
      <c r="AI491" t="e">
        <f>AND(#REF!,"AAAAAH//7yI=")</f>
        <v>#REF!</v>
      </c>
      <c r="AJ491" t="e">
        <f>AND(#REF!,"AAAAAH//7yM=")</f>
        <v>#REF!</v>
      </c>
      <c r="AK491" t="e">
        <f>AND(#REF!,"AAAAAH//7yQ=")</f>
        <v>#REF!</v>
      </c>
      <c r="AL491" t="e">
        <f>AND(#REF!,"AAAAAH//7yU=")</f>
        <v>#REF!</v>
      </c>
      <c r="AM491" t="e">
        <f>AND(#REF!,"AAAAAH//7yY=")</f>
        <v>#REF!</v>
      </c>
      <c r="AN491" t="e">
        <f>AND(#REF!,"AAAAAH//7yc=")</f>
        <v>#REF!</v>
      </c>
      <c r="AO491" t="e">
        <f>IF(#REF!,"AAAAAH//7yg=",0)</f>
        <v>#REF!</v>
      </c>
      <c r="AP491" t="e">
        <f>AND(#REF!,"AAAAAH//7yk=")</f>
        <v>#REF!</v>
      </c>
      <c r="AQ491" t="e">
        <f>AND(#REF!,"AAAAAH//7yo=")</f>
        <v>#REF!</v>
      </c>
      <c r="AR491" t="e">
        <f>AND(#REF!,"AAAAAH//7ys=")</f>
        <v>#REF!</v>
      </c>
      <c r="AS491" t="e">
        <f>AND(#REF!,"AAAAAH//7yw=")</f>
        <v>#REF!</v>
      </c>
      <c r="AT491" t="e">
        <f>AND(#REF!,"AAAAAH//7y0=")</f>
        <v>#REF!</v>
      </c>
      <c r="AU491" t="e">
        <f>AND(#REF!,"AAAAAH//7y4=")</f>
        <v>#REF!</v>
      </c>
      <c r="AV491" t="e">
        <f>AND(#REF!,"AAAAAH//7y8=")</f>
        <v>#REF!</v>
      </c>
      <c r="AW491" t="e">
        <f>AND(#REF!,"AAAAAH//7zA=")</f>
        <v>#REF!</v>
      </c>
      <c r="AX491" t="e">
        <f>AND(#REF!,"AAAAAH//7zE=")</f>
        <v>#REF!</v>
      </c>
      <c r="AY491" t="e">
        <f>AND(#REF!,"AAAAAH//7zI=")</f>
        <v>#REF!</v>
      </c>
      <c r="AZ491" t="e">
        <f>IF(#REF!,"AAAAAH//7zM=",0)</f>
        <v>#REF!</v>
      </c>
      <c r="BA491" t="e">
        <f>AND(#REF!,"AAAAAH//7zQ=")</f>
        <v>#REF!</v>
      </c>
      <c r="BB491" t="e">
        <f>AND(#REF!,"AAAAAH//7zU=")</f>
        <v>#REF!</v>
      </c>
      <c r="BC491" t="e">
        <f>AND(#REF!,"AAAAAH//7zY=")</f>
        <v>#REF!</v>
      </c>
      <c r="BD491" t="e">
        <f>AND(#REF!,"AAAAAH//7zc=")</f>
        <v>#REF!</v>
      </c>
      <c r="BE491" t="e">
        <f>AND(#REF!,"AAAAAH//7zg=")</f>
        <v>#REF!</v>
      </c>
      <c r="BF491" t="e">
        <f>AND(#REF!,"AAAAAH//7zk=")</f>
        <v>#REF!</v>
      </c>
      <c r="BG491" t="e">
        <f>AND(#REF!,"AAAAAH//7zo=")</f>
        <v>#REF!</v>
      </c>
      <c r="BH491" t="e">
        <f>AND(#REF!,"AAAAAH//7zs=")</f>
        <v>#REF!</v>
      </c>
      <c r="BI491" t="e">
        <f>AND(#REF!,"AAAAAH//7zw=")</f>
        <v>#REF!</v>
      </c>
      <c r="BJ491" t="e">
        <f>AND(#REF!,"AAAAAH//7z0=")</f>
        <v>#REF!</v>
      </c>
      <c r="BK491" t="e">
        <f>IF(#REF!,"AAAAAH//7z4=",0)</f>
        <v>#REF!</v>
      </c>
      <c r="BL491" t="e">
        <f>AND(#REF!,"AAAAAH//7z8=")</f>
        <v>#REF!</v>
      </c>
      <c r="BM491" t="e">
        <f>AND(#REF!,"AAAAAH//70A=")</f>
        <v>#REF!</v>
      </c>
      <c r="BN491" t="e">
        <f>AND(#REF!,"AAAAAH//70E=")</f>
        <v>#REF!</v>
      </c>
      <c r="BO491" t="e">
        <f>AND(#REF!,"AAAAAH//70I=")</f>
        <v>#REF!</v>
      </c>
      <c r="BP491" t="e">
        <f>AND(#REF!,"AAAAAH//70M=")</f>
        <v>#REF!</v>
      </c>
      <c r="BQ491" t="e">
        <f>AND(#REF!,"AAAAAH//70Q=")</f>
        <v>#REF!</v>
      </c>
      <c r="BR491" t="e">
        <f>AND(#REF!,"AAAAAH//70U=")</f>
        <v>#REF!</v>
      </c>
      <c r="BS491" t="e">
        <f>AND(#REF!,"AAAAAH//70Y=")</f>
        <v>#REF!</v>
      </c>
      <c r="BT491" t="e">
        <f>AND(#REF!,"AAAAAH//70c=")</f>
        <v>#REF!</v>
      </c>
      <c r="BU491" t="e">
        <f>AND(#REF!,"AAAAAH//70g=")</f>
        <v>#REF!</v>
      </c>
      <c r="BV491" t="e">
        <f>IF(#REF!,"AAAAAH//70k=",0)</f>
        <v>#REF!</v>
      </c>
      <c r="BW491" t="e">
        <f>AND(#REF!,"AAAAAH//70o=")</f>
        <v>#REF!</v>
      </c>
      <c r="BX491" t="e">
        <f>AND(#REF!,"AAAAAH//70s=")</f>
        <v>#REF!</v>
      </c>
      <c r="BY491" t="e">
        <f>AND(#REF!,"AAAAAH//70w=")</f>
        <v>#REF!</v>
      </c>
      <c r="BZ491" t="e">
        <f>AND(#REF!,"AAAAAH//700=")</f>
        <v>#REF!</v>
      </c>
      <c r="CA491" t="e">
        <f>AND(#REF!,"AAAAAH//704=")</f>
        <v>#REF!</v>
      </c>
      <c r="CB491" t="e">
        <f>AND(#REF!,"AAAAAH//708=")</f>
        <v>#REF!</v>
      </c>
      <c r="CC491" t="e">
        <f>AND(#REF!,"AAAAAH//71A=")</f>
        <v>#REF!</v>
      </c>
      <c r="CD491" t="e">
        <f>AND(#REF!,"AAAAAH//71E=")</f>
        <v>#REF!</v>
      </c>
      <c r="CE491" t="e">
        <f>AND(#REF!,"AAAAAH//71I=")</f>
        <v>#REF!</v>
      </c>
      <c r="CF491" t="e">
        <f>AND(#REF!,"AAAAAH//71M=")</f>
        <v>#REF!</v>
      </c>
      <c r="CG491" t="e">
        <f>IF(#REF!,"AAAAAH//71Q=",0)</f>
        <v>#REF!</v>
      </c>
      <c r="CH491" t="e">
        <f>AND(#REF!,"AAAAAH//71U=")</f>
        <v>#REF!</v>
      </c>
      <c r="CI491" t="e">
        <f>AND(#REF!,"AAAAAH//71Y=")</f>
        <v>#REF!</v>
      </c>
      <c r="CJ491" t="e">
        <f>AND(#REF!,"AAAAAH//71c=")</f>
        <v>#REF!</v>
      </c>
      <c r="CK491" t="e">
        <f>AND(#REF!,"AAAAAH//71g=")</f>
        <v>#REF!</v>
      </c>
      <c r="CL491" t="e">
        <f>AND(#REF!,"AAAAAH//71k=")</f>
        <v>#REF!</v>
      </c>
      <c r="CM491" t="e">
        <f>AND(#REF!,"AAAAAH//71o=")</f>
        <v>#REF!</v>
      </c>
      <c r="CN491" t="e">
        <f>AND(#REF!,"AAAAAH//71s=")</f>
        <v>#REF!</v>
      </c>
      <c r="CO491" t="e">
        <f>AND(#REF!,"AAAAAH//71w=")</f>
        <v>#REF!</v>
      </c>
      <c r="CP491" t="e">
        <f>AND(#REF!,"AAAAAH//710=")</f>
        <v>#REF!</v>
      </c>
      <c r="CQ491" t="e">
        <f>AND(#REF!,"AAAAAH//714=")</f>
        <v>#REF!</v>
      </c>
      <c r="CR491" t="e">
        <f>IF(#REF!,"AAAAAH//718=",0)</f>
        <v>#REF!</v>
      </c>
      <c r="CS491" t="e">
        <f>AND(#REF!,"AAAAAH//72A=")</f>
        <v>#REF!</v>
      </c>
      <c r="CT491" t="e">
        <f>AND(#REF!,"AAAAAH//72E=")</f>
        <v>#REF!</v>
      </c>
      <c r="CU491" t="e">
        <f>AND(#REF!,"AAAAAH//72I=")</f>
        <v>#REF!</v>
      </c>
      <c r="CV491" t="e">
        <f>AND(#REF!,"AAAAAH//72M=")</f>
        <v>#REF!</v>
      </c>
      <c r="CW491" t="e">
        <f>AND(#REF!,"AAAAAH//72Q=")</f>
        <v>#REF!</v>
      </c>
      <c r="CX491" t="e">
        <f>AND(#REF!,"AAAAAH//72U=")</f>
        <v>#REF!</v>
      </c>
      <c r="CY491" t="e">
        <f>AND(#REF!,"AAAAAH//72Y=")</f>
        <v>#REF!</v>
      </c>
      <c r="CZ491" t="e">
        <f>AND(#REF!,"AAAAAH//72c=")</f>
        <v>#REF!</v>
      </c>
      <c r="DA491" t="e">
        <f>AND(#REF!,"AAAAAH//72g=")</f>
        <v>#REF!</v>
      </c>
      <c r="DB491" t="e">
        <f>AND(#REF!,"AAAAAH//72k=")</f>
        <v>#REF!</v>
      </c>
      <c r="DC491" t="e">
        <f>IF(#REF!,"AAAAAH//72o=",0)</f>
        <v>#REF!</v>
      </c>
      <c r="DD491" t="e">
        <f>AND(#REF!,"AAAAAH//72s=")</f>
        <v>#REF!</v>
      </c>
      <c r="DE491" t="e">
        <f>AND(#REF!,"AAAAAH//72w=")</f>
        <v>#REF!</v>
      </c>
      <c r="DF491" t="e">
        <f>AND(#REF!,"AAAAAH//720=")</f>
        <v>#REF!</v>
      </c>
      <c r="DG491" t="e">
        <f>AND(#REF!,"AAAAAH//724=")</f>
        <v>#REF!</v>
      </c>
      <c r="DH491" t="e">
        <f>AND(#REF!,"AAAAAH//728=")</f>
        <v>#REF!</v>
      </c>
      <c r="DI491" t="e">
        <f>AND(#REF!,"AAAAAH//73A=")</f>
        <v>#REF!</v>
      </c>
      <c r="DJ491" t="e">
        <f>AND(#REF!,"AAAAAH//73E=")</f>
        <v>#REF!</v>
      </c>
      <c r="DK491" t="e">
        <f>AND(#REF!,"AAAAAH//73I=")</f>
        <v>#REF!</v>
      </c>
      <c r="DL491" t="e">
        <f>AND(#REF!,"AAAAAH//73M=")</f>
        <v>#REF!</v>
      </c>
      <c r="DM491" t="e">
        <f>AND(#REF!,"AAAAAH//73Q=")</f>
        <v>#REF!</v>
      </c>
      <c r="DN491" t="e">
        <f>IF(#REF!,"AAAAAH//73U=",0)</f>
        <v>#REF!</v>
      </c>
      <c r="DO491" t="e">
        <f>AND(#REF!,"AAAAAH//73Y=")</f>
        <v>#REF!</v>
      </c>
      <c r="DP491" t="e">
        <f>AND(#REF!,"AAAAAH//73c=")</f>
        <v>#REF!</v>
      </c>
      <c r="DQ491" t="e">
        <f>AND(#REF!,"AAAAAH//73g=")</f>
        <v>#REF!</v>
      </c>
      <c r="DR491" t="e">
        <f>AND(#REF!,"AAAAAH//73k=")</f>
        <v>#REF!</v>
      </c>
      <c r="DS491" t="e">
        <f>AND(#REF!,"AAAAAH//73o=")</f>
        <v>#REF!</v>
      </c>
      <c r="DT491" t="e">
        <f>AND(#REF!,"AAAAAH//73s=")</f>
        <v>#REF!</v>
      </c>
      <c r="DU491" t="e">
        <f>AND(#REF!,"AAAAAH//73w=")</f>
        <v>#REF!</v>
      </c>
      <c r="DV491" t="e">
        <f>AND(#REF!,"AAAAAH//730=")</f>
        <v>#REF!</v>
      </c>
      <c r="DW491" t="e">
        <f>AND(#REF!,"AAAAAH//734=")</f>
        <v>#REF!</v>
      </c>
      <c r="DX491" t="e">
        <f>AND(#REF!,"AAAAAH//738=")</f>
        <v>#REF!</v>
      </c>
      <c r="DY491" t="e">
        <f>IF(#REF!,"AAAAAH//74A=",0)</f>
        <v>#REF!</v>
      </c>
      <c r="DZ491" t="e">
        <f>AND(#REF!,"AAAAAH//74E=")</f>
        <v>#REF!</v>
      </c>
      <c r="EA491" t="e">
        <f>AND(#REF!,"AAAAAH//74I=")</f>
        <v>#REF!</v>
      </c>
      <c r="EB491" t="e">
        <f>AND(#REF!,"AAAAAH//74M=")</f>
        <v>#REF!</v>
      </c>
      <c r="EC491" t="e">
        <f>AND(#REF!,"AAAAAH//74Q=")</f>
        <v>#REF!</v>
      </c>
      <c r="ED491" t="e">
        <f>AND(#REF!,"AAAAAH//74U=")</f>
        <v>#REF!</v>
      </c>
      <c r="EE491" t="e">
        <f>AND(#REF!,"AAAAAH//74Y=")</f>
        <v>#REF!</v>
      </c>
      <c r="EF491" t="e">
        <f>AND(#REF!,"AAAAAH//74c=")</f>
        <v>#REF!</v>
      </c>
      <c r="EG491" t="e">
        <f>AND(#REF!,"AAAAAH//74g=")</f>
        <v>#REF!</v>
      </c>
      <c r="EH491" t="e">
        <f>AND(#REF!,"AAAAAH//74k=")</f>
        <v>#REF!</v>
      </c>
      <c r="EI491" t="e">
        <f>AND(#REF!,"AAAAAH//74o=")</f>
        <v>#REF!</v>
      </c>
      <c r="EJ491" t="e">
        <f>IF(#REF!,"AAAAAH//74s=",0)</f>
        <v>#REF!</v>
      </c>
      <c r="EK491" t="e">
        <f>AND(#REF!,"AAAAAH//74w=")</f>
        <v>#REF!</v>
      </c>
      <c r="EL491" t="e">
        <f>AND(#REF!,"AAAAAH//740=")</f>
        <v>#REF!</v>
      </c>
      <c r="EM491" t="e">
        <f>AND(#REF!,"AAAAAH//744=")</f>
        <v>#REF!</v>
      </c>
      <c r="EN491" t="e">
        <f>AND(#REF!,"AAAAAH//748=")</f>
        <v>#REF!</v>
      </c>
      <c r="EO491" t="e">
        <f>AND(#REF!,"AAAAAH//75A=")</f>
        <v>#REF!</v>
      </c>
      <c r="EP491" t="e">
        <f>AND(#REF!,"AAAAAH//75E=")</f>
        <v>#REF!</v>
      </c>
      <c r="EQ491" t="e">
        <f>AND(#REF!,"AAAAAH//75I=")</f>
        <v>#REF!</v>
      </c>
      <c r="ER491" t="e">
        <f>AND(#REF!,"AAAAAH//75M=")</f>
        <v>#REF!</v>
      </c>
      <c r="ES491" t="e">
        <f>AND(#REF!,"AAAAAH//75Q=")</f>
        <v>#REF!</v>
      </c>
      <c r="ET491" t="e">
        <f>AND(#REF!,"AAAAAH//75U=")</f>
        <v>#REF!</v>
      </c>
      <c r="EU491" t="e">
        <f>IF(#REF!,"AAAAAH//75Y=",0)</f>
        <v>#REF!</v>
      </c>
      <c r="EV491" t="e">
        <f>AND(#REF!,"AAAAAH//75c=")</f>
        <v>#REF!</v>
      </c>
      <c r="EW491" t="e">
        <f>AND(#REF!,"AAAAAH//75g=")</f>
        <v>#REF!</v>
      </c>
      <c r="EX491" t="e">
        <f>AND(#REF!,"AAAAAH//75k=")</f>
        <v>#REF!</v>
      </c>
      <c r="EY491" t="e">
        <f>AND(#REF!,"AAAAAH//75o=")</f>
        <v>#REF!</v>
      </c>
      <c r="EZ491" t="e">
        <f>AND(#REF!,"AAAAAH//75s=")</f>
        <v>#REF!</v>
      </c>
      <c r="FA491" t="e">
        <f>AND(#REF!,"AAAAAH//75w=")</f>
        <v>#REF!</v>
      </c>
      <c r="FB491" t="e">
        <f>AND(#REF!,"AAAAAH//750=")</f>
        <v>#REF!</v>
      </c>
      <c r="FC491" t="e">
        <f>AND(#REF!,"AAAAAH//754=")</f>
        <v>#REF!</v>
      </c>
      <c r="FD491" t="e">
        <f>AND(#REF!,"AAAAAH//758=")</f>
        <v>#REF!</v>
      </c>
      <c r="FE491" t="e">
        <f>AND(#REF!,"AAAAAH//76A=")</f>
        <v>#REF!</v>
      </c>
      <c r="FF491" t="e">
        <f>IF(#REF!,"AAAAAH//76E=",0)</f>
        <v>#REF!</v>
      </c>
      <c r="FG491" t="e">
        <f>AND(#REF!,"AAAAAH//76I=")</f>
        <v>#REF!</v>
      </c>
      <c r="FH491" t="e">
        <f>AND(#REF!,"AAAAAH//76M=")</f>
        <v>#REF!</v>
      </c>
      <c r="FI491" t="e">
        <f>AND(#REF!,"AAAAAH//76Q=")</f>
        <v>#REF!</v>
      </c>
      <c r="FJ491" t="e">
        <f>AND(#REF!,"AAAAAH//76U=")</f>
        <v>#REF!</v>
      </c>
      <c r="FK491" t="e">
        <f>AND(#REF!,"AAAAAH//76Y=")</f>
        <v>#REF!</v>
      </c>
      <c r="FL491" t="e">
        <f>AND(#REF!,"AAAAAH//76c=")</f>
        <v>#REF!</v>
      </c>
      <c r="FM491" t="e">
        <f>AND(#REF!,"AAAAAH//76g=")</f>
        <v>#REF!</v>
      </c>
      <c r="FN491" t="e">
        <f>AND(#REF!,"AAAAAH//76k=")</f>
        <v>#REF!</v>
      </c>
      <c r="FO491" t="e">
        <f>AND(#REF!,"AAAAAH//76o=")</f>
        <v>#REF!</v>
      </c>
      <c r="FP491" t="e">
        <f>AND(#REF!,"AAAAAH//76s=")</f>
        <v>#REF!</v>
      </c>
      <c r="FQ491" t="e">
        <f>IF(#REF!,"AAAAAH//76w=",0)</f>
        <v>#REF!</v>
      </c>
      <c r="FR491" t="e">
        <f>AND(#REF!,"AAAAAH//760=")</f>
        <v>#REF!</v>
      </c>
      <c r="FS491" t="e">
        <f>AND(#REF!,"AAAAAH//764=")</f>
        <v>#REF!</v>
      </c>
      <c r="FT491" t="e">
        <f>AND(#REF!,"AAAAAH//768=")</f>
        <v>#REF!</v>
      </c>
      <c r="FU491" t="e">
        <f>AND(#REF!,"AAAAAH//77A=")</f>
        <v>#REF!</v>
      </c>
      <c r="FV491" t="e">
        <f>AND(#REF!,"AAAAAH//77E=")</f>
        <v>#REF!</v>
      </c>
      <c r="FW491" t="e">
        <f>AND(#REF!,"AAAAAH//77I=")</f>
        <v>#REF!</v>
      </c>
      <c r="FX491" t="e">
        <f>AND(#REF!,"AAAAAH//77M=")</f>
        <v>#REF!</v>
      </c>
      <c r="FY491" t="e">
        <f>AND(#REF!,"AAAAAH//77Q=")</f>
        <v>#REF!</v>
      </c>
      <c r="FZ491" t="e">
        <f>AND(#REF!,"AAAAAH//77U=")</f>
        <v>#REF!</v>
      </c>
      <c r="GA491" t="e">
        <f>AND(#REF!,"AAAAAH//77Y=")</f>
        <v>#REF!</v>
      </c>
      <c r="GB491" t="e">
        <f>IF(#REF!,"AAAAAH//77c=",0)</f>
        <v>#REF!</v>
      </c>
      <c r="GC491" t="e">
        <f>AND(#REF!,"AAAAAH//77g=")</f>
        <v>#REF!</v>
      </c>
      <c r="GD491" t="e">
        <f>AND(#REF!,"AAAAAH//77k=")</f>
        <v>#REF!</v>
      </c>
      <c r="GE491" t="e">
        <f>AND(#REF!,"AAAAAH//77o=")</f>
        <v>#REF!</v>
      </c>
      <c r="GF491" t="e">
        <f>AND(#REF!,"AAAAAH//77s=")</f>
        <v>#REF!</v>
      </c>
      <c r="GG491" t="e">
        <f>AND(#REF!,"AAAAAH//77w=")</f>
        <v>#REF!</v>
      </c>
      <c r="GH491" t="e">
        <f>AND(#REF!,"AAAAAH//770=")</f>
        <v>#REF!</v>
      </c>
      <c r="GI491" t="e">
        <f>AND(#REF!,"AAAAAH//774=")</f>
        <v>#REF!</v>
      </c>
      <c r="GJ491" t="e">
        <f>AND(#REF!,"AAAAAH//778=")</f>
        <v>#REF!</v>
      </c>
      <c r="GK491" t="e">
        <f>AND(#REF!,"AAAAAH//78A=")</f>
        <v>#REF!</v>
      </c>
      <c r="GL491" t="e">
        <f>AND(#REF!,"AAAAAH//78E=")</f>
        <v>#REF!</v>
      </c>
      <c r="GM491" t="e">
        <f>IF(#REF!,"AAAAAH//78I=",0)</f>
        <v>#REF!</v>
      </c>
      <c r="GN491" t="e">
        <f>AND(#REF!,"AAAAAH//78M=")</f>
        <v>#REF!</v>
      </c>
      <c r="GO491" t="e">
        <f>AND(#REF!,"AAAAAH//78Q=")</f>
        <v>#REF!</v>
      </c>
      <c r="GP491" t="e">
        <f>AND(#REF!,"AAAAAH//78U=")</f>
        <v>#REF!</v>
      </c>
      <c r="GQ491" t="e">
        <f>AND(#REF!,"AAAAAH//78Y=")</f>
        <v>#REF!</v>
      </c>
      <c r="GR491" t="e">
        <f>AND(#REF!,"AAAAAH//78c=")</f>
        <v>#REF!</v>
      </c>
      <c r="GS491" t="e">
        <f>AND(#REF!,"AAAAAH//78g=")</f>
        <v>#REF!</v>
      </c>
      <c r="GT491" t="e">
        <f>AND(#REF!,"AAAAAH//78k=")</f>
        <v>#REF!</v>
      </c>
      <c r="GU491" t="e">
        <f>AND(#REF!,"AAAAAH//78o=")</f>
        <v>#REF!</v>
      </c>
      <c r="GV491" t="e">
        <f>AND(#REF!,"AAAAAH//78s=")</f>
        <v>#REF!</v>
      </c>
      <c r="GW491" t="e">
        <f>AND(#REF!,"AAAAAH//78w=")</f>
        <v>#REF!</v>
      </c>
      <c r="GX491" t="e">
        <f>IF(#REF!,"AAAAAH//780=",0)</f>
        <v>#REF!</v>
      </c>
      <c r="GY491" t="e">
        <f>AND(#REF!,"AAAAAH//784=")</f>
        <v>#REF!</v>
      </c>
      <c r="GZ491" t="e">
        <f>AND(#REF!,"AAAAAH//788=")</f>
        <v>#REF!</v>
      </c>
      <c r="HA491" t="e">
        <f>AND(#REF!,"AAAAAH//79A=")</f>
        <v>#REF!</v>
      </c>
      <c r="HB491" t="e">
        <f>AND(#REF!,"AAAAAH//79E=")</f>
        <v>#REF!</v>
      </c>
      <c r="HC491" t="e">
        <f>AND(#REF!,"AAAAAH//79I=")</f>
        <v>#REF!</v>
      </c>
      <c r="HD491" t="e">
        <f>AND(#REF!,"AAAAAH//79M=")</f>
        <v>#REF!</v>
      </c>
      <c r="HE491" t="e">
        <f>AND(#REF!,"AAAAAH//79Q=")</f>
        <v>#REF!</v>
      </c>
      <c r="HF491" t="e">
        <f>AND(#REF!,"AAAAAH//79U=")</f>
        <v>#REF!</v>
      </c>
      <c r="HG491" t="e">
        <f>AND(#REF!,"AAAAAH//79Y=")</f>
        <v>#REF!</v>
      </c>
      <c r="HH491" t="e">
        <f>AND(#REF!,"AAAAAH//79c=")</f>
        <v>#REF!</v>
      </c>
      <c r="HI491" t="e">
        <f>IF(#REF!,"AAAAAH//79g=",0)</f>
        <v>#REF!</v>
      </c>
      <c r="HJ491" t="e">
        <f>AND(#REF!,"AAAAAH//79k=")</f>
        <v>#REF!</v>
      </c>
      <c r="HK491" t="e">
        <f>AND(#REF!,"AAAAAH//79o=")</f>
        <v>#REF!</v>
      </c>
      <c r="HL491" t="e">
        <f>AND(#REF!,"AAAAAH//79s=")</f>
        <v>#REF!</v>
      </c>
      <c r="HM491" t="e">
        <f>AND(#REF!,"AAAAAH//79w=")</f>
        <v>#REF!</v>
      </c>
      <c r="HN491" t="e">
        <f>AND(#REF!,"AAAAAH//790=")</f>
        <v>#REF!</v>
      </c>
      <c r="HO491" t="e">
        <f>AND(#REF!,"AAAAAH//794=")</f>
        <v>#REF!</v>
      </c>
      <c r="HP491" t="e">
        <f>AND(#REF!,"AAAAAH//798=")</f>
        <v>#REF!</v>
      </c>
      <c r="HQ491" t="e">
        <f>AND(#REF!,"AAAAAH//7+A=")</f>
        <v>#REF!</v>
      </c>
      <c r="HR491" t="e">
        <f>AND(#REF!,"AAAAAH//7+E=")</f>
        <v>#REF!</v>
      </c>
      <c r="HS491" t="e">
        <f>AND(#REF!,"AAAAAH//7+I=")</f>
        <v>#REF!</v>
      </c>
      <c r="HT491" t="e">
        <f>IF(#REF!,"AAAAAH//7+M=",0)</f>
        <v>#REF!</v>
      </c>
      <c r="HU491" t="e">
        <f>AND(#REF!,"AAAAAH//7+Q=")</f>
        <v>#REF!</v>
      </c>
      <c r="HV491" t="e">
        <f>AND(#REF!,"AAAAAH//7+U=")</f>
        <v>#REF!</v>
      </c>
      <c r="HW491" t="e">
        <f>AND(#REF!,"AAAAAH//7+Y=")</f>
        <v>#REF!</v>
      </c>
      <c r="HX491" t="e">
        <f>AND(#REF!,"AAAAAH//7+c=")</f>
        <v>#REF!</v>
      </c>
      <c r="HY491" t="e">
        <f>AND(#REF!,"AAAAAH//7+g=")</f>
        <v>#REF!</v>
      </c>
      <c r="HZ491" t="e">
        <f>AND(#REF!,"AAAAAH//7+k=")</f>
        <v>#REF!</v>
      </c>
      <c r="IA491" t="e">
        <f>AND(#REF!,"AAAAAH//7+o=")</f>
        <v>#REF!</v>
      </c>
      <c r="IB491" t="e">
        <f>AND(#REF!,"AAAAAH//7+s=")</f>
        <v>#REF!</v>
      </c>
      <c r="IC491" t="e">
        <f>AND(#REF!,"AAAAAH//7+w=")</f>
        <v>#REF!</v>
      </c>
      <c r="ID491" t="e">
        <f>AND(#REF!,"AAAAAH//7+0=")</f>
        <v>#REF!</v>
      </c>
      <c r="IE491" t="e">
        <f>IF(#REF!,"AAAAAH//7+4=",0)</f>
        <v>#REF!</v>
      </c>
      <c r="IF491" t="e">
        <f>AND(#REF!,"AAAAAH//7+8=")</f>
        <v>#REF!</v>
      </c>
      <c r="IG491" t="e">
        <f>AND(#REF!,"AAAAAH//7/A=")</f>
        <v>#REF!</v>
      </c>
      <c r="IH491" t="e">
        <f>AND(#REF!,"AAAAAH//7/E=")</f>
        <v>#REF!</v>
      </c>
      <c r="II491" t="e">
        <f>AND(#REF!,"AAAAAH//7/I=")</f>
        <v>#REF!</v>
      </c>
      <c r="IJ491" t="e">
        <f>AND(#REF!,"AAAAAH//7/M=")</f>
        <v>#REF!</v>
      </c>
      <c r="IK491" t="e">
        <f>AND(#REF!,"AAAAAH//7/Q=")</f>
        <v>#REF!</v>
      </c>
      <c r="IL491" t="e">
        <f>AND(#REF!,"AAAAAH//7/U=")</f>
        <v>#REF!</v>
      </c>
      <c r="IM491" t="e">
        <f>AND(#REF!,"AAAAAH//7/Y=")</f>
        <v>#REF!</v>
      </c>
      <c r="IN491" t="e">
        <f>AND(#REF!,"AAAAAH//7/c=")</f>
        <v>#REF!</v>
      </c>
      <c r="IO491" t="e">
        <f>AND(#REF!,"AAAAAH//7/g=")</f>
        <v>#REF!</v>
      </c>
      <c r="IP491" t="e">
        <f>IF(#REF!,"AAAAAH//7/k=",0)</f>
        <v>#REF!</v>
      </c>
      <c r="IQ491" t="e">
        <f>AND(#REF!,"AAAAAH//7/o=")</f>
        <v>#REF!</v>
      </c>
      <c r="IR491" t="e">
        <f>AND(#REF!,"AAAAAH//7/s=")</f>
        <v>#REF!</v>
      </c>
      <c r="IS491" t="e">
        <f>AND(#REF!,"AAAAAH//7/w=")</f>
        <v>#REF!</v>
      </c>
      <c r="IT491" t="e">
        <f>AND(#REF!,"AAAAAH//7/0=")</f>
        <v>#REF!</v>
      </c>
      <c r="IU491" t="e">
        <f>AND(#REF!,"AAAAAH//7/4=")</f>
        <v>#REF!</v>
      </c>
      <c r="IV491" t="e">
        <f>AND(#REF!,"AAAAAH//7/8=")</f>
        <v>#REF!</v>
      </c>
    </row>
    <row r="492" spans="1:256" x14ac:dyDescent="0.25">
      <c r="A492" t="e">
        <f>AND(#REF!,"AAAAAF/+6QA=")</f>
        <v>#REF!</v>
      </c>
      <c r="B492" t="e">
        <f>AND(#REF!,"AAAAAF/+6QE=")</f>
        <v>#REF!</v>
      </c>
      <c r="C492" t="e">
        <f>AND(#REF!,"AAAAAF/+6QI=")</f>
        <v>#REF!</v>
      </c>
      <c r="D492" t="e">
        <f>AND(#REF!,"AAAAAF/+6QM=")</f>
        <v>#REF!</v>
      </c>
      <c r="E492" t="e">
        <f>IF(#REF!,"AAAAAF/+6QQ=",0)</f>
        <v>#REF!</v>
      </c>
      <c r="F492" t="e">
        <f>AND(#REF!,"AAAAAF/+6QU=")</f>
        <v>#REF!</v>
      </c>
      <c r="G492" t="e">
        <f>AND(#REF!,"AAAAAF/+6QY=")</f>
        <v>#REF!</v>
      </c>
      <c r="H492" t="e">
        <f>AND(#REF!,"AAAAAF/+6Qc=")</f>
        <v>#REF!</v>
      </c>
      <c r="I492" t="e">
        <f>AND(#REF!,"AAAAAF/+6Qg=")</f>
        <v>#REF!</v>
      </c>
      <c r="J492" t="e">
        <f>AND(#REF!,"AAAAAF/+6Qk=")</f>
        <v>#REF!</v>
      </c>
      <c r="K492" t="e">
        <f>AND(#REF!,"AAAAAF/+6Qo=")</f>
        <v>#REF!</v>
      </c>
      <c r="L492" t="e">
        <f>AND(#REF!,"AAAAAF/+6Qs=")</f>
        <v>#REF!</v>
      </c>
      <c r="M492" t="e">
        <f>AND(#REF!,"AAAAAF/+6Qw=")</f>
        <v>#REF!</v>
      </c>
      <c r="N492" t="e">
        <f>AND(#REF!,"AAAAAF/+6Q0=")</f>
        <v>#REF!</v>
      </c>
      <c r="O492" t="e">
        <f>AND(#REF!,"AAAAAF/+6Q4=")</f>
        <v>#REF!</v>
      </c>
      <c r="P492" t="e">
        <f>IF(#REF!,"AAAAAF/+6Q8=",0)</f>
        <v>#REF!</v>
      </c>
      <c r="Q492" t="e">
        <f>AND(#REF!,"AAAAAF/+6RA=")</f>
        <v>#REF!</v>
      </c>
      <c r="R492" t="e">
        <f>AND(#REF!,"AAAAAF/+6RE=")</f>
        <v>#REF!</v>
      </c>
      <c r="S492" t="e">
        <f>AND(#REF!,"AAAAAF/+6RI=")</f>
        <v>#REF!</v>
      </c>
      <c r="T492" t="e">
        <f>AND(#REF!,"AAAAAF/+6RM=")</f>
        <v>#REF!</v>
      </c>
      <c r="U492" t="e">
        <f>AND(#REF!,"AAAAAF/+6RQ=")</f>
        <v>#REF!</v>
      </c>
      <c r="V492" t="e">
        <f>AND(#REF!,"AAAAAF/+6RU=")</f>
        <v>#REF!</v>
      </c>
      <c r="W492" t="e">
        <f>AND(#REF!,"AAAAAF/+6RY=")</f>
        <v>#REF!</v>
      </c>
      <c r="X492" t="e">
        <f>AND(#REF!,"AAAAAF/+6Rc=")</f>
        <v>#REF!</v>
      </c>
      <c r="Y492" t="e">
        <f>AND(#REF!,"AAAAAF/+6Rg=")</f>
        <v>#REF!</v>
      </c>
      <c r="Z492" t="e">
        <f>AND(#REF!,"AAAAAF/+6Rk=")</f>
        <v>#REF!</v>
      </c>
      <c r="AA492" t="e">
        <f>IF(#REF!,"AAAAAF/+6Ro=",0)</f>
        <v>#REF!</v>
      </c>
      <c r="AB492" t="e">
        <f>AND(#REF!,"AAAAAF/+6Rs=")</f>
        <v>#REF!</v>
      </c>
      <c r="AC492" t="e">
        <f>AND(#REF!,"AAAAAF/+6Rw=")</f>
        <v>#REF!</v>
      </c>
      <c r="AD492" t="e">
        <f>AND(#REF!,"AAAAAF/+6R0=")</f>
        <v>#REF!</v>
      </c>
      <c r="AE492" t="e">
        <f>AND(#REF!,"AAAAAF/+6R4=")</f>
        <v>#REF!</v>
      </c>
      <c r="AF492" t="e">
        <f>AND(#REF!,"AAAAAF/+6R8=")</f>
        <v>#REF!</v>
      </c>
      <c r="AG492" t="e">
        <f>AND(#REF!,"AAAAAF/+6SA=")</f>
        <v>#REF!</v>
      </c>
      <c r="AH492" t="e">
        <f>AND(#REF!,"AAAAAF/+6SE=")</f>
        <v>#REF!</v>
      </c>
      <c r="AI492" t="e">
        <f>AND(#REF!,"AAAAAF/+6SI=")</f>
        <v>#REF!</v>
      </c>
      <c r="AJ492" t="e">
        <f>AND(#REF!,"AAAAAF/+6SM=")</f>
        <v>#REF!</v>
      </c>
      <c r="AK492" t="e">
        <f>AND(#REF!,"AAAAAF/+6SQ=")</f>
        <v>#REF!</v>
      </c>
      <c r="AL492" t="e">
        <f>IF(#REF!,"AAAAAF/+6SU=",0)</f>
        <v>#REF!</v>
      </c>
      <c r="AM492" t="e">
        <f>AND(#REF!,"AAAAAF/+6SY=")</f>
        <v>#REF!</v>
      </c>
      <c r="AN492" t="e">
        <f>AND(#REF!,"AAAAAF/+6Sc=")</f>
        <v>#REF!</v>
      </c>
      <c r="AO492" t="e">
        <f>AND(#REF!,"AAAAAF/+6Sg=")</f>
        <v>#REF!</v>
      </c>
      <c r="AP492" t="e">
        <f>AND(#REF!,"AAAAAF/+6Sk=")</f>
        <v>#REF!</v>
      </c>
      <c r="AQ492" t="e">
        <f>AND(#REF!,"AAAAAF/+6So=")</f>
        <v>#REF!</v>
      </c>
      <c r="AR492" t="e">
        <f>AND(#REF!,"AAAAAF/+6Ss=")</f>
        <v>#REF!</v>
      </c>
      <c r="AS492" t="e">
        <f>AND(#REF!,"AAAAAF/+6Sw=")</f>
        <v>#REF!</v>
      </c>
      <c r="AT492" t="e">
        <f>AND(#REF!,"AAAAAF/+6S0=")</f>
        <v>#REF!</v>
      </c>
      <c r="AU492" t="e">
        <f>AND(#REF!,"AAAAAF/+6S4=")</f>
        <v>#REF!</v>
      </c>
      <c r="AV492" t="e">
        <f>AND(#REF!,"AAAAAF/+6S8=")</f>
        <v>#REF!</v>
      </c>
      <c r="AW492" t="e">
        <f>IF(#REF!,"AAAAAF/+6TA=",0)</f>
        <v>#REF!</v>
      </c>
      <c r="AX492" t="e">
        <f>AND(#REF!,"AAAAAF/+6TE=")</f>
        <v>#REF!</v>
      </c>
      <c r="AY492" t="e">
        <f>AND(#REF!,"AAAAAF/+6TI=")</f>
        <v>#REF!</v>
      </c>
      <c r="AZ492" t="e">
        <f>AND(#REF!,"AAAAAF/+6TM=")</f>
        <v>#REF!</v>
      </c>
      <c r="BA492" t="e">
        <f>AND(#REF!,"AAAAAF/+6TQ=")</f>
        <v>#REF!</v>
      </c>
      <c r="BB492" t="e">
        <f>AND(#REF!,"AAAAAF/+6TU=")</f>
        <v>#REF!</v>
      </c>
      <c r="BC492" t="e">
        <f>AND(#REF!,"AAAAAF/+6TY=")</f>
        <v>#REF!</v>
      </c>
      <c r="BD492" t="e">
        <f>AND(#REF!,"AAAAAF/+6Tc=")</f>
        <v>#REF!</v>
      </c>
      <c r="BE492" t="e">
        <f>AND(#REF!,"AAAAAF/+6Tg=")</f>
        <v>#REF!</v>
      </c>
      <c r="BF492" t="e">
        <f>AND(#REF!,"AAAAAF/+6Tk=")</f>
        <v>#REF!</v>
      </c>
      <c r="BG492" t="e">
        <f>AND(#REF!,"AAAAAF/+6To=")</f>
        <v>#REF!</v>
      </c>
      <c r="BH492" t="e">
        <f>IF(#REF!,"AAAAAF/+6Ts=",0)</f>
        <v>#REF!</v>
      </c>
      <c r="BI492" t="e">
        <f>AND(#REF!,"AAAAAF/+6Tw=")</f>
        <v>#REF!</v>
      </c>
      <c r="BJ492" t="e">
        <f>AND(#REF!,"AAAAAF/+6T0=")</f>
        <v>#REF!</v>
      </c>
      <c r="BK492" t="e">
        <f>AND(#REF!,"AAAAAF/+6T4=")</f>
        <v>#REF!</v>
      </c>
      <c r="BL492" t="e">
        <f>AND(#REF!,"AAAAAF/+6T8=")</f>
        <v>#REF!</v>
      </c>
      <c r="BM492" t="e">
        <f>AND(#REF!,"AAAAAF/+6UA=")</f>
        <v>#REF!</v>
      </c>
      <c r="BN492" t="e">
        <f>AND(#REF!,"AAAAAF/+6UE=")</f>
        <v>#REF!</v>
      </c>
      <c r="BO492" t="e">
        <f>AND(#REF!,"AAAAAF/+6UI=")</f>
        <v>#REF!</v>
      </c>
      <c r="BP492" t="e">
        <f>AND(#REF!,"AAAAAF/+6UM=")</f>
        <v>#REF!</v>
      </c>
      <c r="BQ492" t="e">
        <f>AND(#REF!,"AAAAAF/+6UQ=")</f>
        <v>#REF!</v>
      </c>
      <c r="BR492" t="e">
        <f>AND(#REF!,"AAAAAF/+6UU=")</f>
        <v>#REF!</v>
      </c>
      <c r="BS492" t="e">
        <f>IF(#REF!,"AAAAAF/+6UY=",0)</f>
        <v>#REF!</v>
      </c>
      <c r="BT492" t="e">
        <f>AND(#REF!,"AAAAAF/+6Uc=")</f>
        <v>#REF!</v>
      </c>
      <c r="BU492" t="e">
        <f>AND(#REF!,"AAAAAF/+6Ug=")</f>
        <v>#REF!</v>
      </c>
      <c r="BV492" t="e">
        <f>AND(#REF!,"AAAAAF/+6Uk=")</f>
        <v>#REF!</v>
      </c>
      <c r="BW492" t="e">
        <f>AND(#REF!,"AAAAAF/+6Uo=")</f>
        <v>#REF!</v>
      </c>
      <c r="BX492" t="e">
        <f>AND(#REF!,"AAAAAF/+6Us=")</f>
        <v>#REF!</v>
      </c>
      <c r="BY492" t="e">
        <f>AND(#REF!,"AAAAAF/+6Uw=")</f>
        <v>#REF!</v>
      </c>
      <c r="BZ492" t="e">
        <f>AND(#REF!,"AAAAAF/+6U0=")</f>
        <v>#REF!</v>
      </c>
      <c r="CA492" t="e">
        <f>AND(#REF!,"AAAAAF/+6U4=")</f>
        <v>#REF!</v>
      </c>
      <c r="CB492" t="e">
        <f>AND(#REF!,"AAAAAF/+6U8=")</f>
        <v>#REF!</v>
      </c>
      <c r="CC492" t="e">
        <f>AND(#REF!,"AAAAAF/+6VA=")</f>
        <v>#REF!</v>
      </c>
      <c r="CD492" t="e">
        <f>IF(#REF!,"AAAAAF/+6VE=",0)</f>
        <v>#REF!</v>
      </c>
      <c r="CE492" t="e">
        <f>AND(#REF!,"AAAAAF/+6VI=")</f>
        <v>#REF!</v>
      </c>
      <c r="CF492" t="e">
        <f>AND(#REF!,"AAAAAF/+6VM=")</f>
        <v>#REF!</v>
      </c>
      <c r="CG492" t="e">
        <f>AND(#REF!,"AAAAAF/+6VQ=")</f>
        <v>#REF!</v>
      </c>
      <c r="CH492" t="e">
        <f>AND(#REF!,"AAAAAF/+6VU=")</f>
        <v>#REF!</v>
      </c>
      <c r="CI492" t="e">
        <f>AND(#REF!,"AAAAAF/+6VY=")</f>
        <v>#REF!</v>
      </c>
      <c r="CJ492" t="e">
        <f>AND(#REF!,"AAAAAF/+6Vc=")</f>
        <v>#REF!</v>
      </c>
      <c r="CK492" t="e">
        <f>AND(#REF!,"AAAAAF/+6Vg=")</f>
        <v>#REF!</v>
      </c>
      <c r="CL492" t="e">
        <f>AND(#REF!,"AAAAAF/+6Vk=")</f>
        <v>#REF!</v>
      </c>
      <c r="CM492" t="e">
        <f>AND(#REF!,"AAAAAF/+6Vo=")</f>
        <v>#REF!</v>
      </c>
      <c r="CN492" t="e">
        <f>AND(#REF!,"AAAAAF/+6Vs=")</f>
        <v>#REF!</v>
      </c>
      <c r="CO492" t="e">
        <f>IF(#REF!,"AAAAAF/+6Vw=",0)</f>
        <v>#REF!</v>
      </c>
      <c r="CP492" t="e">
        <f>AND(#REF!,"AAAAAF/+6V0=")</f>
        <v>#REF!</v>
      </c>
      <c r="CQ492" t="e">
        <f>AND(#REF!,"AAAAAF/+6V4=")</f>
        <v>#REF!</v>
      </c>
      <c r="CR492" t="e">
        <f>AND(#REF!,"AAAAAF/+6V8=")</f>
        <v>#REF!</v>
      </c>
      <c r="CS492" t="e">
        <f>AND(#REF!,"AAAAAF/+6WA=")</f>
        <v>#REF!</v>
      </c>
      <c r="CT492" t="e">
        <f>AND(#REF!,"AAAAAF/+6WE=")</f>
        <v>#REF!</v>
      </c>
      <c r="CU492" t="e">
        <f>AND(#REF!,"AAAAAF/+6WI=")</f>
        <v>#REF!</v>
      </c>
      <c r="CV492" t="e">
        <f>AND(#REF!,"AAAAAF/+6WM=")</f>
        <v>#REF!</v>
      </c>
      <c r="CW492" t="e">
        <f>AND(#REF!,"AAAAAF/+6WQ=")</f>
        <v>#REF!</v>
      </c>
      <c r="CX492" t="e">
        <f>AND(#REF!,"AAAAAF/+6WU=")</f>
        <v>#REF!</v>
      </c>
      <c r="CY492" t="e">
        <f>AND(#REF!,"AAAAAF/+6WY=")</f>
        <v>#REF!</v>
      </c>
      <c r="CZ492" t="e">
        <f>IF(#REF!,"AAAAAF/+6Wc=",0)</f>
        <v>#REF!</v>
      </c>
      <c r="DA492" t="e">
        <f>AND(#REF!,"AAAAAF/+6Wg=")</f>
        <v>#REF!</v>
      </c>
      <c r="DB492" t="e">
        <f>AND(#REF!,"AAAAAF/+6Wk=")</f>
        <v>#REF!</v>
      </c>
      <c r="DC492" t="e">
        <f>AND(#REF!,"AAAAAF/+6Wo=")</f>
        <v>#REF!</v>
      </c>
      <c r="DD492" t="e">
        <f>AND(#REF!,"AAAAAF/+6Ws=")</f>
        <v>#REF!</v>
      </c>
      <c r="DE492" t="e">
        <f>AND(#REF!,"AAAAAF/+6Ww=")</f>
        <v>#REF!</v>
      </c>
      <c r="DF492" t="e">
        <f>AND(#REF!,"AAAAAF/+6W0=")</f>
        <v>#REF!</v>
      </c>
      <c r="DG492" t="e">
        <f>AND(#REF!,"AAAAAF/+6W4=")</f>
        <v>#REF!</v>
      </c>
      <c r="DH492" t="e">
        <f>AND(#REF!,"AAAAAF/+6W8=")</f>
        <v>#REF!</v>
      </c>
      <c r="DI492" t="e">
        <f>AND(#REF!,"AAAAAF/+6XA=")</f>
        <v>#REF!</v>
      </c>
      <c r="DJ492" t="e">
        <f>AND(#REF!,"AAAAAF/+6XE=")</f>
        <v>#REF!</v>
      </c>
      <c r="DK492" t="e">
        <f>IF(#REF!,"AAAAAF/+6XI=",0)</f>
        <v>#REF!</v>
      </c>
      <c r="DL492" t="e">
        <f>AND(#REF!,"AAAAAF/+6XM=")</f>
        <v>#REF!</v>
      </c>
      <c r="DM492" t="e">
        <f>AND(#REF!,"AAAAAF/+6XQ=")</f>
        <v>#REF!</v>
      </c>
      <c r="DN492" t="e">
        <f>AND(#REF!,"AAAAAF/+6XU=")</f>
        <v>#REF!</v>
      </c>
      <c r="DO492" t="e">
        <f>AND(#REF!,"AAAAAF/+6XY=")</f>
        <v>#REF!</v>
      </c>
      <c r="DP492" t="e">
        <f>AND(#REF!,"AAAAAF/+6Xc=")</f>
        <v>#REF!</v>
      </c>
      <c r="DQ492" t="e">
        <f>AND(#REF!,"AAAAAF/+6Xg=")</f>
        <v>#REF!</v>
      </c>
      <c r="DR492" t="e">
        <f>AND(#REF!,"AAAAAF/+6Xk=")</f>
        <v>#REF!</v>
      </c>
      <c r="DS492" t="e">
        <f>AND(#REF!,"AAAAAF/+6Xo=")</f>
        <v>#REF!</v>
      </c>
      <c r="DT492" t="e">
        <f>AND(#REF!,"AAAAAF/+6Xs=")</f>
        <v>#REF!</v>
      </c>
      <c r="DU492" t="e">
        <f>AND(#REF!,"AAAAAF/+6Xw=")</f>
        <v>#REF!</v>
      </c>
      <c r="DV492" t="e">
        <f>IF(#REF!,"AAAAAF/+6X0=",0)</f>
        <v>#REF!</v>
      </c>
      <c r="DW492" t="e">
        <f>AND(#REF!,"AAAAAF/+6X4=")</f>
        <v>#REF!</v>
      </c>
      <c r="DX492" t="e">
        <f>AND(#REF!,"AAAAAF/+6X8=")</f>
        <v>#REF!</v>
      </c>
      <c r="DY492" t="e">
        <f>AND(#REF!,"AAAAAF/+6YA=")</f>
        <v>#REF!</v>
      </c>
      <c r="DZ492" t="e">
        <f>AND(#REF!,"AAAAAF/+6YE=")</f>
        <v>#REF!</v>
      </c>
      <c r="EA492" t="e">
        <f>AND(#REF!,"AAAAAF/+6YI=")</f>
        <v>#REF!</v>
      </c>
      <c r="EB492" t="e">
        <f>AND(#REF!,"AAAAAF/+6YM=")</f>
        <v>#REF!</v>
      </c>
      <c r="EC492" t="e">
        <f>AND(#REF!,"AAAAAF/+6YQ=")</f>
        <v>#REF!</v>
      </c>
      <c r="ED492" t="e">
        <f>AND(#REF!,"AAAAAF/+6YU=")</f>
        <v>#REF!</v>
      </c>
      <c r="EE492" t="e">
        <f>AND(#REF!,"AAAAAF/+6YY=")</f>
        <v>#REF!</v>
      </c>
      <c r="EF492" t="e">
        <f>AND(#REF!,"AAAAAF/+6Yc=")</f>
        <v>#REF!</v>
      </c>
      <c r="EG492" t="e">
        <f>IF(#REF!,"AAAAAF/+6Yg=",0)</f>
        <v>#REF!</v>
      </c>
      <c r="EH492" t="e">
        <f>AND(#REF!,"AAAAAF/+6Yk=")</f>
        <v>#REF!</v>
      </c>
      <c r="EI492" t="e">
        <f>AND(#REF!,"AAAAAF/+6Yo=")</f>
        <v>#REF!</v>
      </c>
      <c r="EJ492" t="e">
        <f>AND(#REF!,"AAAAAF/+6Ys=")</f>
        <v>#REF!</v>
      </c>
      <c r="EK492" t="e">
        <f>AND(#REF!,"AAAAAF/+6Yw=")</f>
        <v>#REF!</v>
      </c>
      <c r="EL492" t="e">
        <f>AND(#REF!,"AAAAAF/+6Y0=")</f>
        <v>#REF!</v>
      </c>
      <c r="EM492" t="e">
        <f>AND(#REF!,"AAAAAF/+6Y4=")</f>
        <v>#REF!</v>
      </c>
      <c r="EN492" t="e">
        <f>AND(#REF!,"AAAAAF/+6Y8=")</f>
        <v>#REF!</v>
      </c>
      <c r="EO492" t="e">
        <f>AND(#REF!,"AAAAAF/+6ZA=")</f>
        <v>#REF!</v>
      </c>
      <c r="EP492" t="e">
        <f>AND(#REF!,"AAAAAF/+6ZE=")</f>
        <v>#REF!</v>
      </c>
      <c r="EQ492" t="e">
        <f>AND(#REF!,"AAAAAF/+6ZI=")</f>
        <v>#REF!</v>
      </c>
      <c r="ER492" t="e">
        <f>IF(#REF!,"AAAAAF/+6ZM=",0)</f>
        <v>#REF!</v>
      </c>
      <c r="ES492" t="e">
        <f>AND(#REF!,"AAAAAF/+6ZQ=")</f>
        <v>#REF!</v>
      </c>
      <c r="ET492" t="e">
        <f>AND(#REF!,"AAAAAF/+6ZU=")</f>
        <v>#REF!</v>
      </c>
      <c r="EU492" t="e">
        <f>AND(#REF!,"AAAAAF/+6ZY=")</f>
        <v>#REF!</v>
      </c>
      <c r="EV492" t="e">
        <f>AND(#REF!,"AAAAAF/+6Zc=")</f>
        <v>#REF!</v>
      </c>
      <c r="EW492" t="e">
        <f>AND(#REF!,"AAAAAF/+6Zg=")</f>
        <v>#REF!</v>
      </c>
      <c r="EX492" t="e">
        <f>AND(#REF!,"AAAAAF/+6Zk=")</f>
        <v>#REF!</v>
      </c>
      <c r="EY492" t="e">
        <f>AND(#REF!,"AAAAAF/+6Zo=")</f>
        <v>#REF!</v>
      </c>
      <c r="EZ492" t="e">
        <f>AND(#REF!,"AAAAAF/+6Zs=")</f>
        <v>#REF!</v>
      </c>
      <c r="FA492" t="e">
        <f>AND(#REF!,"AAAAAF/+6Zw=")</f>
        <v>#REF!</v>
      </c>
      <c r="FB492" t="e">
        <f>AND(#REF!,"AAAAAF/+6Z0=")</f>
        <v>#REF!</v>
      </c>
      <c r="FC492" t="e">
        <f>IF(#REF!,"AAAAAF/+6Z4=",0)</f>
        <v>#REF!</v>
      </c>
      <c r="FD492" t="e">
        <f>AND(#REF!,"AAAAAF/+6Z8=")</f>
        <v>#REF!</v>
      </c>
      <c r="FE492" t="e">
        <f>AND(#REF!,"AAAAAF/+6aA=")</f>
        <v>#REF!</v>
      </c>
      <c r="FF492" t="e">
        <f>AND(#REF!,"AAAAAF/+6aE=")</f>
        <v>#REF!</v>
      </c>
      <c r="FG492" t="e">
        <f>AND(#REF!,"AAAAAF/+6aI=")</f>
        <v>#REF!</v>
      </c>
      <c r="FH492" t="e">
        <f>AND(#REF!,"AAAAAF/+6aM=")</f>
        <v>#REF!</v>
      </c>
      <c r="FI492" t="e">
        <f>AND(#REF!,"AAAAAF/+6aQ=")</f>
        <v>#REF!</v>
      </c>
      <c r="FJ492" t="e">
        <f>AND(#REF!,"AAAAAF/+6aU=")</f>
        <v>#REF!</v>
      </c>
      <c r="FK492" t="e">
        <f>AND(#REF!,"AAAAAF/+6aY=")</f>
        <v>#REF!</v>
      </c>
      <c r="FL492" t="e">
        <f>AND(#REF!,"AAAAAF/+6ac=")</f>
        <v>#REF!</v>
      </c>
      <c r="FM492" t="e">
        <f>AND(#REF!,"AAAAAF/+6ag=")</f>
        <v>#REF!</v>
      </c>
      <c r="FN492" t="e">
        <f>IF(#REF!,"AAAAAF/+6ak=",0)</f>
        <v>#REF!</v>
      </c>
      <c r="FO492" t="e">
        <f>AND(#REF!,"AAAAAF/+6ao=")</f>
        <v>#REF!</v>
      </c>
      <c r="FP492" t="e">
        <f>AND(#REF!,"AAAAAF/+6as=")</f>
        <v>#REF!</v>
      </c>
      <c r="FQ492" t="e">
        <f>AND(#REF!,"AAAAAF/+6aw=")</f>
        <v>#REF!</v>
      </c>
      <c r="FR492" t="e">
        <f>AND(#REF!,"AAAAAF/+6a0=")</f>
        <v>#REF!</v>
      </c>
      <c r="FS492" t="e">
        <f>AND(#REF!,"AAAAAF/+6a4=")</f>
        <v>#REF!</v>
      </c>
      <c r="FT492" t="e">
        <f>AND(#REF!,"AAAAAF/+6a8=")</f>
        <v>#REF!</v>
      </c>
      <c r="FU492" t="e">
        <f>AND(#REF!,"AAAAAF/+6bA=")</f>
        <v>#REF!</v>
      </c>
      <c r="FV492" t="e">
        <f>AND(#REF!,"AAAAAF/+6bE=")</f>
        <v>#REF!</v>
      </c>
      <c r="FW492" t="e">
        <f>AND(#REF!,"AAAAAF/+6bI=")</f>
        <v>#REF!</v>
      </c>
      <c r="FX492" t="e">
        <f>AND(#REF!,"AAAAAF/+6bM=")</f>
        <v>#REF!</v>
      </c>
      <c r="FY492" t="e">
        <f>IF(#REF!,"AAAAAF/+6bQ=",0)</f>
        <v>#REF!</v>
      </c>
      <c r="FZ492" t="e">
        <f>AND(#REF!,"AAAAAF/+6bU=")</f>
        <v>#REF!</v>
      </c>
      <c r="GA492" t="e">
        <f>AND(#REF!,"AAAAAF/+6bY=")</f>
        <v>#REF!</v>
      </c>
      <c r="GB492" t="e">
        <f>AND(#REF!,"AAAAAF/+6bc=")</f>
        <v>#REF!</v>
      </c>
      <c r="GC492" t="e">
        <f>AND(#REF!,"AAAAAF/+6bg=")</f>
        <v>#REF!</v>
      </c>
      <c r="GD492" t="e">
        <f>AND(#REF!,"AAAAAF/+6bk=")</f>
        <v>#REF!</v>
      </c>
      <c r="GE492" t="e">
        <f>AND(#REF!,"AAAAAF/+6bo=")</f>
        <v>#REF!</v>
      </c>
      <c r="GF492" t="e">
        <f>AND(#REF!,"AAAAAF/+6bs=")</f>
        <v>#REF!</v>
      </c>
      <c r="GG492" t="e">
        <f>AND(#REF!,"AAAAAF/+6bw=")</f>
        <v>#REF!</v>
      </c>
      <c r="GH492" t="e">
        <f>AND(#REF!,"AAAAAF/+6b0=")</f>
        <v>#REF!</v>
      </c>
      <c r="GI492" t="e">
        <f>AND(#REF!,"AAAAAF/+6b4=")</f>
        <v>#REF!</v>
      </c>
      <c r="GJ492" t="e">
        <f>IF(#REF!,"AAAAAF/+6b8=",0)</f>
        <v>#REF!</v>
      </c>
      <c r="GK492" t="e">
        <f>AND(#REF!,"AAAAAF/+6cA=")</f>
        <v>#REF!</v>
      </c>
      <c r="GL492" t="e">
        <f>AND(#REF!,"AAAAAF/+6cE=")</f>
        <v>#REF!</v>
      </c>
      <c r="GM492" t="e">
        <f>AND(#REF!,"AAAAAF/+6cI=")</f>
        <v>#REF!</v>
      </c>
      <c r="GN492" t="e">
        <f>AND(#REF!,"AAAAAF/+6cM=")</f>
        <v>#REF!</v>
      </c>
      <c r="GO492" t="e">
        <f>AND(#REF!,"AAAAAF/+6cQ=")</f>
        <v>#REF!</v>
      </c>
      <c r="GP492" t="e">
        <f>AND(#REF!,"AAAAAF/+6cU=")</f>
        <v>#REF!</v>
      </c>
      <c r="GQ492" t="e">
        <f>AND(#REF!,"AAAAAF/+6cY=")</f>
        <v>#REF!</v>
      </c>
      <c r="GR492" t="e">
        <f>AND(#REF!,"AAAAAF/+6cc=")</f>
        <v>#REF!</v>
      </c>
      <c r="GS492" t="e">
        <f>AND(#REF!,"AAAAAF/+6cg=")</f>
        <v>#REF!</v>
      </c>
      <c r="GT492" t="e">
        <f>AND(#REF!,"AAAAAF/+6ck=")</f>
        <v>#REF!</v>
      </c>
      <c r="GU492" t="e">
        <f>IF(#REF!,"AAAAAF/+6co=",0)</f>
        <v>#REF!</v>
      </c>
      <c r="GV492" t="e">
        <f>AND(#REF!,"AAAAAF/+6cs=")</f>
        <v>#REF!</v>
      </c>
      <c r="GW492" t="e">
        <f>AND(#REF!,"AAAAAF/+6cw=")</f>
        <v>#REF!</v>
      </c>
      <c r="GX492" t="e">
        <f>AND(#REF!,"AAAAAF/+6c0=")</f>
        <v>#REF!</v>
      </c>
      <c r="GY492" t="e">
        <f>AND(#REF!,"AAAAAF/+6c4=")</f>
        <v>#REF!</v>
      </c>
      <c r="GZ492" t="e">
        <f>AND(#REF!,"AAAAAF/+6c8=")</f>
        <v>#REF!</v>
      </c>
      <c r="HA492" t="e">
        <f>AND(#REF!,"AAAAAF/+6dA=")</f>
        <v>#REF!</v>
      </c>
      <c r="HB492" t="e">
        <f>AND(#REF!,"AAAAAF/+6dE=")</f>
        <v>#REF!</v>
      </c>
      <c r="HC492" t="e">
        <f>AND(#REF!,"AAAAAF/+6dI=")</f>
        <v>#REF!</v>
      </c>
      <c r="HD492" t="e">
        <f>AND(#REF!,"AAAAAF/+6dM=")</f>
        <v>#REF!</v>
      </c>
      <c r="HE492" t="e">
        <f>AND(#REF!,"AAAAAF/+6dQ=")</f>
        <v>#REF!</v>
      </c>
      <c r="HF492" t="e">
        <f>IF(#REF!,"AAAAAF/+6dU=",0)</f>
        <v>#REF!</v>
      </c>
      <c r="HG492" t="e">
        <f>AND(#REF!,"AAAAAF/+6dY=")</f>
        <v>#REF!</v>
      </c>
      <c r="HH492" t="e">
        <f>AND(#REF!,"AAAAAF/+6dc=")</f>
        <v>#REF!</v>
      </c>
      <c r="HI492" t="e">
        <f>AND(#REF!,"AAAAAF/+6dg=")</f>
        <v>#REF!</v>
      </c>
      <c r="HJ492" t="e">
        <f>AND(#REF!,"AAAAAF/+6dk=")</f>
        <v>#REF!</v>
      </c>
      <c r="HK492" t="e">
        <f>AND(#REF!,"AAAAAF/+6do=")</f>
        <v>#REF!</v>
      </c>
      <c r="HL492" t="e">
        <f>AND(#REF!,"AAAAAF/+6ds=")</f>
        <v>#REF!</v>
      </c>
      <c r="HM492" t="e">
        <f>AND(#REF!,"AAAAAF/+6dw=")</f>
        <v>#REF!</v>
      </c>
      <c r="HN492" t="e">
        <f>AND(#REF!,"AAAAAF/+6d0=")</f>
        <v>#REF!</v>
      </c>
      <c r="HO492" t="e">
        <f>AND(#REF!,"AAAAAF/+6d4=")</f>
        <v>#REF!</v>
      </c>
      <c r="HP492" t="e">
        <f>AND(#REF!,"AAAAAF/+6d8=")</f>
        <v>#REF!</v>
      </c>
      <c r="HQ492" t="e">
        <f>IF(#REF!,"AAAAAF/+6eA=",0)</f>
        <v>#REF!</v>
      </c>
      <c r="HR492" t="e">
        <f>AND(#REF!,"AAAAAF/+6eE=")</f>
        <v>#REF!</v>
      </c>
      <c r="HS492" t="e">
        <f>AND(#REF!,"AAAAAF/+6eI=")</f>
        <v>#REF!</v>
      </c>
      <c r="HT492" t="e">
        <f>AND(#REF!,"AAAAAF/+6eM=")</f>
        <v>#REF!</v>
      </c>
      <c r="HU492" t="e">
        <f>AND(#REF!,"AAAAAF/+6eQ=")</f>
        <v>#REF!</v>
      </c>
      <c r="HV492" t="e">
        <f>AND(#REF!,"AAAAAF/+6eU=")</f>
        <v>#REF!</v>
      </c>
      <c r="HW492" t="e">
        <f>AND(#REF!,"AAAAAF/+6eY=")</f>
        <v>#REF!</v>
      </c>
      <c r="HX492" t="e">
        <f>AND(#REF!,"AAAAAF/+6ec=")</f>
        <v>#REF!</v>
      </c>
      <c r="HY492" t="e">
        <f>AND(#REF!,"AAAAAF/+6eg=")</f>
        <v>#REF!</v>
      </c>
      <c r="HZ492" t="e">
        <f>AND(#REF!,"AAAAAF/+6ek=")</f>
        <v>#REF!</v>
      </c>
      <c r="IA492" t="e">
        <f>AND(#REF!,"AAAAAF/+6eo=")</f>
        <v>#REF!</v>
      </c>
      <c r="IB492" t="e">
        <f>IF(#REF!,"AAAAAF/+6es=",0)</f>
        <v>#REF!</v>
      </c>
      <c r="IC492" t="e">
        <f>AND(#REF!,"AAAAAF/+6ew=")</f>
        <v>#REF!</v>
      </c>
      <c r="ID492" t="e">
        <f>AND(#REF!,"AAAAAF/+6e0=")</f>
        <v>#REF!</v>
      </c>
      <c r="IE492" t="e">
        <f>AND(#REF!,"AAAAAF/+6e4=")</f>
        <v>#REF!</v>
      </c>
      <c r="IF492" t="e">
        <f>AND(#REF!,"AAAAAF/+6e8=")</f>
        <v>#REF!</v>
      </c>
      <c r="IG492" t="e">
        <f>AND(#REF!,"AAAAAF/+6fA=")</f>
        <v>#REF!</v>
      </c>
      <c r="IH492" t="e">
        <f>AND(#REF!,"AAAAAF/+6fE=")</f>
        <v>#REF!</v>
      </c>
      <c r="II492" t="e">
        <f>AND(#REF!,"AAAAAF/+6fI=")</f>
        <v>#REF!</v>
      </c>
      <c r="IJ492" t="e">
        <f>AND(#REF!,"AAAAAF/+6fM=")</f>
        <v>#REF!</v>
      </c>
      <c r="IK492" t="e">
        <f>AND(#REF!,"AAAAAF/+6fQ=")</f>
        <v>#REF!</v>
      </c>
      <c r="IL492" t="e">
        <f>AND(#REF!,"AAAAAF/+6fU=")</f>
        <v>#REF!</v>
      </c>
      <c r="IM492" t="e">
        <f>IF(#REF!,"AAAAAF/+6fY=",0)</f>
        <v>#REF!</v>
      </c>
      <c r="IN492" t="e">
        <f>AND(#REF!,"AAAAAF/+6fc=")</f>
        <v>#REF!</v>
      </c>
      <c r="IO492" t="e">
        <f>AND(#REF!,"AAAAAF/+6fg=")</f>
        <v>#REF!</v>
      </c>
      <c r="IP492" t="e">
        <f>AND(#REF!,"AAAAAF/+6fk=")</f>
        <v>#REF!</v>
      </c>
      <c r="IQ492" t="e">
        <f>AND(#REF!,"AAAAAF/+6fo=")</f>
        <v>#REF!</v>
      </c>
      <c r="IR492" t="e">
        <f>AND(#REF!,"AAAAAF/+6fs=")</f>
        <v>#REF!</v>
      </c>
      <c r="IS492" t="e">
        <f>AND(#REF!,"AAAAAF/+6fw=")</f>
        <v>#REF!</v>
      </c>
      <c r="IT492" t="e">
        <f>AND(#REF!,"AAAAAF/+6f0=")</f>
        <v>#REF!</v>
      </c>
      <c r="IU492" t="e">
        <f>AND(#REF!,"AAAAAF/+6f4=")</f>
        <v>#REF!</v>
      </c>
      <c r="IV492" t="e">
        <f>AND(#REF!,"AAAAAF/+6f8=")</f>
        <v>#REF!</v>
      </c>
    </row>
    <row r="493" spans="1:256" x14ac:dyDescent="0.25">
      <c r="A493" t="e">
        <f>AND(#REF!,"AAAAADfq3wA=")</f>
        <v>#REF!</v>
      </c>
      <c r="B493" t="e">
        <f>IF(#REF!,"AAAAADfq3wE=",0)</f>
        <v>#REF!</v>
      </c>
      <c r="C493" t="e">
        <f>AND(#REF!,"AAAAADfq3wI=")</f>
        <v>#REF!</v>
      </c>
      <c r="D493" t="e">
        <f>AND(#REF!,"AAAAADfq3wM=")</f>
        <v>#REF!</v>
      </c>
      <c r="E493" t="e">
        <f>AND(#REF!,"AAAAADfq3wQ=")</f>
        <v>#REF!</v>
      </c>
      <c r="F493" t="e">
        <f>AND(#REF!,"AAAAADfq3wU=")</f>
        <v>#REF!</v>
      </c>
      <c r="G493" t="e">
        <f>AND(#REF!,"AAAAADfq3wY=")</f>
        <v>#REF!</v>
      </c>
      <c r="H493" t="e">
        <f>AND(#REF!,"AAAAADfq3wc=")</f>
        <v>#REF!</v>
      </c>
      <c r="I493" t="e">
        <f>AND(#REF!,"AAAAADfq3wg=")</f>
        <v>#REF!</v>
      </c>
      <c r="J493" t="e">
        <f>AND(#REF!,"AAAAADfq3wk=")</f>
        <v>#REF!</v>
      </c>
      <c r="K493" t="e">
        <f>AND(#REF!,"AAAAADfq3wo=")</f>
        <v>#REF!</v>
      </c>
      <c r="L493" t="e">
        <f>AND(#REF!,"AAAAADfq3ws=")</f>
        <v>#REF!</v>
      </c>
      <c r="M493" t="e">
        <f>IF(#REF!,"AAAAADfq3ww=",0)</f>
        <v>#REF!</v>
      </c>
      <c r="N493" t="e">
        <f>AND(#REF!,"AAAAADfq3w0=")</f>
        <v>#REF!</v>
      </c>
      <c r="O493" t="e">
        <f>AND(#REF!,"AAAAADfq3w4=")</f>
        <v>#REF!</v>
      </c>
      <c r="P493" t="e">
        <f>AND(#REF!,"AAAAADfq3w8=")</f>
        <v>#REF!</v>
      </c>
      <c r="Q493" t="e">
        <f>AND(#REF!,"AAAAADfq3xA=")</f>
        <v>#REF!</v>
      </c>
      <c r="R493" t="e">
        <f>AND(#REF!,"AAAAADfq3xE=")</f>
        <v>#REF!</v>
      </c>
      <c r="S493" t="e">
        <f>AND(#REF!,"AAAAADfq3xI=")</f>
        <v>#REF!</v>
      </c>
      <c r="T493" t="e">
        <f>AND(#REF!,"AAAAADfq3xM=")</f>
        <v>#REF!</v>
      </c>
      <c r="U493" t="e">
        <f>AND(#REF!,"AAAAADfq3xQ=")</f>
        <v>#REF!</v>
      </c>
      <c r="V493" t="e">
        <f>AND(#REF!,"AAAAADfq3xU=")</f>
        <v>#REF!</v>
      </c>
      <c r="W493" t="e">
        <f>AND(#REF!,"AAAAADfq3xY=")</f>
        <v>#REF!</v>
      </c>
      <c r="X493" t="e">
        <f>IF(#REF!,"AAAAADfq3xc=",0)</f>
        <v>#REF!</v>
      </c>
      <c r="Y493" t="e">
        <f>AND(#REF!,"AAAAADfq3xg=")</f>
        <v>#REF!</v>
      </c>
      <c r="Z493" t="e">
        <f>AND(#REF!,"AAAAADfq3xk=")</f>
        <v>#REF!</v>
      </c>
      <c r="AA493" t="e">
        <f>AND(#REF!,"AAAAADfq3xo=")</f>
        <v>#REF!</v>
      </c>
      <c r="AB493" t="e">
        <f>AND(#REF!,"AAAAADfq3xs=")</f>
        <v>#REF!</v>
      </c>
      <c r="AC493" t="e">
        <f>AND(#REF!,"AAAAADfq3xw=")</f>
        <v>#REF!</v>
      </c>
      <c r="AD493" t="e">
        <f>AND(#REF!,"AAAAADfq3x0=")</f>
        <v>#REF!</v>
      </c>
      <c r="AE493" t="e">
        <f>AND(#REF!,"AAAAADfq3x4=")</f>
        <v>#REF!</v>
      </c>
      <c r="AF493" t="e">
        <f>AND(#REF!,"AAAAADfq3x8=")</f>
        <v>#REF!</v>
      </c>
      <c r="AG493" t="e">
        <f>AND(#REF!,"AAAAADfq3yA=")</f>
        <v>#REF!</v>
      </c>
      <c r="AH493" t="e">
        <f>AND(#REF!,"AAAAADfq3yE=")</f>
        <v>#REF!</v>
      </c>
      <c r="AI493" t="e">
        <f>IF(#REF!,"AAAAADfq3yI=",0)</f>
        <v>#REF!</v>
      </c>
      <c r="AJ493" t="e">
        <f>AND(#REF!,"AAAAADfq3yM=")</f>
        <v>#REF!</v>
      </c>
      <c r="AK493" t="e">
        <f>AND(#REF!,"AAAAADfq3yQ=")</f>
        <v>#REF!</v>
      </c>
      <c r="AL493" t="e">
        <f>AND(#REF!,"AAAAADfq3yU=")</f>
        <v>#REF!</v>
      </c>
      <c r="AM493" t="e">
        <f>AND(#REF!,"AAAAADfq3yY=")</f>
        <v>#REF!</v>
      </c>
      <c r="AN493" t="e">
        <f>AND(#REF!,"AAAAADfq3yc=")</f>
        <v>#REF!</v>
      </c>
      <c r="AO493" t="e">
        <f>AND(#REF!,"AAAAADfq3yg=")</f>
        <v>#REF!</v>
      </c>
      <c r="AP493" t="e">
        <f>AND(#REF!,"AAAAADfq3yk=")</f>
        <v>#REF!</v>
      </c>
      <c r="AQ493" t="e">
        <f>AND(#REF!,"AAAAADfq3yo=")</f>
        <v>#REF!</v>
      </c>
      <c r="AR493" t="e">
        <f>AND(#REF!,"AAAAADfq3ys=")</f>
        <v>#REF!</v>
      </c>
      <c r="AS493" t="e">
        <f>AND(#REF!,"AAAAADfq3yw=")</f>
        <v>#REF!</v>
      </c>
      <c r="AT493" t="e">
        <f>IF(#REF!,"AAAAADfq3y0=",0)</f>
        <v>#REF!</v>
      </c>
      <c r="AU493" t="e">
        <f>AND(#REF!,"AAAAADfq3y4=")</f>
        <v>#REF!</v>
      </c>
      <c r="AV493" t="e">
        <f>AND(#REF!,"AAAAADfq3y8=")</f>
        <v>#REF!</v>
      </c>
      <c r="AW493" t="e">
        <f>AND(#REF!,"AAAAADfq3zA=")</f>
        <v>#REF!</v>
      </c>
      <c r="AX493" t="e">
        <f>AND(#REF!,"AAAAADfq3zE=")</f>
        <v>#REF!</v>
      </c>
      <c r="AY493" t="e">
        <f>AND(#REF!,"AAAAADfq3zI=")</f>
        <v>#REF!</v>
      </c>
      <c r="AZ493" t="e">
        <f>AND(#REF!,"AAAAADfq3zM=")</f>
        <v>#REF!</v>
      </c>
      <c r="BA493" t="e">
        <f>AND(#REF!,"AAAAADfq3zQ=")</f>
        <v>#REF!</v>
      </c>
      <c r="BB493" t="e">
        <f>AND(#REF!,"AAAAADfq3zU=")</f>
        <v>#REF!</v>
      </c>
      <c r="BC493" t="e">
        <f>AND(#REF!,"AAAAADfq3zY=")</f>
        <v>#REF!</v>
      </c>
      <c r="BD493" t="e">
        <f>AND(#REF!,"AAAAADfq3zc=")</f>
        <v>#REF!</v>
      </c>
      <c r="BE493" t="e">
        <f>IF(#REF!,"AAAAADfq3zg=",0)</f>
        <v>#REF!</v>
      </c>
      <c r="BF493" t="e">
        <f>AND(#REF!,"AAAAADfq3zk=")</f>
        <v>#REF!</v>
      </c>
      <c r="BG493" t="e">
        <f>AND(#REF!,"AAAAADfq3zo=")</f>
        <v>#REF!</v>
      </c>
      <c r="BH493" t="e">
        <f>AND(#REF!,"AAAAADfq3zs=")</f>
        <v>#REF!</v>
      </c>
      <c r="BI493" t="e">
        <f>AND(#REF!,"AAAAADfq3zw=")</f>
        <v>#REF!</v>
      </c>
      <c r="BJ493" t="e">
        <f>AND(#REF!,"AAAAADfq3z0=")</f>
        <v>#REF!</v>
      </c>
      <c r="BK493" t="e">
        <f>AND(#REF!,"AAAAADfq3z4=")</f>
        <v>#REF!</v>
      </c>
      <c r="BL493" t="e">
        <f>AND(#REF!,"AAAAADfq3z8=")</f>
        <v>#REF!</v>
      </c>
      <c r="BM493" t="e">
        <f>AND(#REF!,"AAAAADfq30A=")</f>
        <v>#REF!</v>
      </c>
      <c r="BN493" t="e">
        <f>AND(#REF!,"AAAAADfq30E=")</f>
        <v>#REF!</v>
      </c>
      <c r="BO493" t="e">
        <f>AND(#REF!,"AAAAADfq30I=")</f>
        <v>#REF!</v>
      </c>
      <c r="BP493" t="e">
        <f>IF(#REF!,"AAAAADfq30M=",0)</f>
        <v>#REF!</v>
      </c>
      <c r="BQ493" t="e">
        <f>AND(#REF!,"AAAAADfq30Q=")</f>
        <v>#REF!</v>
      </c>
      <c r="BR493" t="e">
        <f>AND(#REF!,"AAAAADfq30U=")</f>
        <v>#REF!</v>
      </c>
      <c r="BS493" t="e">
        <f>AND(#REF!,"AAAAADfq30Y=")</f>
        <v>#REF!</v>
      </c>
      <c r="BT493" t="e">
        <f>AND(#REF!,"AAAAADfq30c=")</f>
        <v>#REF!</v>
      </c>
      <c r="BU493" t="e">
        <f>AND(#REF!,"AAAAADfq30g=")</f>
        <v>#REF!</v>
      </c>
      <c r="BV493" t="e">
        <f>AND(#REF!,"AAAAADfq30k=")</f>
        <v>#REF!</v>
      </c>
      <c r="BW493" t="e">
        <f>AND(#REF!,"AAAAADfq30o=")</f>
        <v>#REF!</v>
      </c>
      <c r="BX493" t="e">
        <f>AND(#REF!,"AAAAADfq30s=")</f>
        <v>#REF!</v>
      </c>
      <c r="BY493" t="e">
        <f>AND(#REF!,"AAAAADfq30w=")</f>
        <v>#REF!</v>
      </c>
      <c r="BZ493" t="e">
        <f>AND(#REF!,"AAAAADfq300=")</f>
        <v>#REF!</v>
      </c>
      <c r="CA493" t="e">
        <f>IF(#REF!,"AAAAADfq304=",0)</f>
        <v>#REF!</v>
      </c>
      <c r="CB493" t="e">
        <f>AND(#REF!,"AAAAADfq308=")</f>
        <v>#REF!</v>
      </c>
      <c r="CC493" t="e">
        <f>AND(#REF!,"AAAAADfq31A=")</f>
        <v>#REF!</v>
      </c>
      <c r="CD493" t="e">
        <f>AND(#REF!,"AAAAADfq31E=")</f>
        <v>#REF!</v>
      </c>
      <c r="CE493" t="e">
        <f>AND(#REF!,"AAAAADfq31I=")</f>
        <v>#REF!</v>
      </c>
      <c r="CF493" t="e">
        <f>AND(#REF!,"AAAAADfq31M=")</f>
        <v>#REF!</v>
      </c>
      <c r="CG493" t="e">
        <f>AND(#REF!,"AAAAADfq31Q=")</f>
        <v>#REF!</v>
      </c>
      <c r="CH493" t="e">
        <f>AND(#REF!,"AAAAADfq31U=")</f>
        <v>#REF!</v>
      </c>
      <c r="CI493" t="e">
        <f>AND(#REF!,"AAAAADfq31Y=")</f>
        <v>#REF!</v>
      </c>
      <c r="CJ493" t="e">
        <f>AND(#REF!,"AAAAADfq31c=")</f>
        <v>#REF!</v>
      </c>
      <c r="CK493" t="e">
        <f>AND(#REF!,"AAAAADfq31g=")</f>
        <v>#REF!</v>
      </c>
      <c r="CL493" t="e">
        <f>IF(#REF!,"AAAAADfq31k=",0)</f>
        <v>#REF!</v>
      </c>
      <c r="CM493" t="e">
        <f>AND(#REF!,"AAAAADfq31o=")</f>
        <v>#REF!</v>
      </c>
      <c r="CN493" t="e">
        <f>AND(#REF!,"AAAAADfq31s=")</f>
        <v>#REF!</v>
      </c>
      <c r="CO493" t="e">
        <f>AND(#REF!,"AAAAADfq31w=")</f>
        <v>#REF!</v>
      </c>
      <c r="CP493" t="e">
        <f>AND(#REF!,"AAAAADfq310=")</f>
        <v>#REF!</v>
      </c>
      <c r="CQ493" t="e">
        <f>AND(#REF!,"AAAAADfq314=")</f>
        <v>#REF!</v>
      </c>
      <c r="CR493" t="e">
        <f>AND(#REF!,"AAAAADfq318=")</f>
        <v>#REF!</v>
      </c>
      <c r="CS493" t="e">
        <f>AND(#REF!,"AAAAADfq32A=")</f>
        <v>#REF!</v>
      </c>
      <c r="CT493" t="e">
        <f>AND(#REF!,"AAAAADfq32E=")</f>
        <v>#REF!</v>
      </c>
      <c r="CU493" t="e">
        <f>AND(#REF!,"AAAAADfq32I=")</f>
        <v>#REF!</v>
      </c>
      <c r="CV493" t="e">
        <f>AND(#REF!,"AAAAADfq32M=")</f>
        <v>#REF!</v>
      </c>
      <c r="CW493" t="e">
        <f>IF(#REF!,"AAAAADfq32Q=",0)</f>
        <v>#REF!</v>
      </c>
      <c r="CX493" t="e">
        <f>AND(#REF!,"AAAAADfq32U=")</f>
        <v>#REF!</v>
      </c>
      <c r="CY493" t="e">
        <f>AND(#REF!,"AAAAADfq32Y=")</f>
        <v>#REF!</v>
      </c>
      <c r="CZ493" t="e">
        <f>AND(#REF!,"AAAAADfq32c=")</f>
        <v>#REF!</v>
      </c>
      <c r="DA493" t="e">
        <f>AND(#REF!,"AAAAADfq32g=")</f>
        <v>#REF!</v>
      </c>
      <c r="DB493" t="e">
        <f>AND(#REF!,"AAAAADfq32k=")</f>
        <v>#REF!</v>
      </c>
      <c r="DC493" t="e">
        <f>AND(#REF!,"AAAAADfq32o=")</f>
        <v>#REF!</v>
      </c>
      <c r="DD493" t="e">
        <f>AND(#REF!,"AAAAADfq32s=")</f>
        <v>#REF!</v>
      </c>
      <c r="DE493" t="e">
        <f>AND(#REF!,"AAAAADfq32w=")</f>
        <v>#REF!</v>
      </c>
      <c r="DF493" t="e">
        <f>AND(#REF!,"AAAAADfq320=")</f>
        <v>#REF!</v>
      </c>
      <c r="DG493" t="e">
        <f>AND(#REF!,"AAAAADfq324=")</f>
        <v>#REF!</v>
      </c>
      <c r="DH493" t="e">
        <f>IF(#REF!,"AAAAADfq328=",0)</f>
        <v>#REF!</v>
      </c>
      <c r="DI493" t="e">
        <f>AND(#REF!,"AAAAADfq33A=")</f>
        <v>#REF!</v>
      </c>
      <c r="DJ493" t="e">
        <f>AND(#REF!,"AAAAADfq33E=")</f>
        <v>#REF!</v>
      </c>
      <c r="DK493" t="e">
        <f>AND(#REF!,"AAAAADfq33I=")</f>
        <v>#REF!</v>
      </c>
      <c r="DL493" t="e">
        <f>AND(#REF!,"AAAAADfq33M=")</f>
        <v>#REF!</v>
      </c>
      <c r="DM493" t="e">
        <f>AND(#REF!,"AAAAADfq33Q=")</f>
        <v>#REF!</v>
      </c>
      <c r="DN493" t="e">
        <f>AND(#REF!,"AAAAADfq33U=")</f>
        <v>#REF!</v>
      </c>
      <c r="DO493" t="e">
        <f>AND(#REF!,"AAAAADfq33Y=")</f>
        <v>#REF!</v>
      </c>
      <c r="DP493" t="e">
        <f>AND(#REF!,"AAAAADfq33c=")</f>
        <v>#REF!</v>
      </c>
      <c r="DQ493" t="e">
        <f>AND(#REF!,"AAAAADfq33g=")</f>
        <v>#REF!</v>
      </c>
      <c r="DR493" t="e">
        <f>AND(#REF!,"AAAAADfq33k=")</f>
        <v>#REF!</v>
      </c>
      <c r="DS493" t="e">
        <f>IF(#REF!,"AAAAADfq33o=",0)</f>
        <v>#REF!</v>
      </c>
      <c r="DT493" t="e">
        <f>AND(#REF!,"AAAAADfq33s=")</f>
        <v>#REF!</v>
      </c>
      <c r="DU493" t="e">
        <f>AND(#REF!,"AAAAADfq33w=")</f>
        <v>#REF!</v>
      </c>
      <c r="DV493" t="e">
        <f>AND(#REF!,"AAAAADfq330=")</f>
        <v>#REF!</v>
      </c>
      <c r="DW493" t="e">
        <f>AND(#REF!,"AAAAADfq334=")</f>
        <v>#REF!</v>
      </c>
      <c r="DX493" t="e">
        <f>AND(#REF!,"AAAAADfq338=")</f>
        <v>#REF!</v>
      </c>
      <c r="DY493" t="e">
        <f>AND(#REF!,"AAAAADfq34A=")</f>
        <v>#REF!</v>
      </c>
      <c r="DZ493" t="e">
        <f>AND(#REF!,"AAAAADfq34E=")</f>
        <v>#REF!</v>
      </c>
      <c r="EA493" t="e">
        <f>AND(#REF!,"AAAAADfq34I=")</f>
        <v>#REF!</v>
      </c>
      <c r="EB493" t="e">
        <f>AND(#REF!,"AAAAADfq34M=")</f>
        <v>#REF!</v>
      </c>
      <c r="EC493" t="e">
        <f>AND(#REF!,"AAAAADfq34Q=")</f>
        <v>#REF!</v>
      </c>
      <c r="ED493" t="e">
        <f>IF(#REF!,"AAAAADfq34U=",0)</f>
        <v>#REF!</v>
      </c>
      <c r="EE493" t="e">
        <f>AND(#REF!,"AAAAADfq34Y=")</f>
        <v>#REF!</v>
      </c>
      <c r="EF493" t="e">
        <f>AND(#REF!,"AAAAADfq34c=")</f>
        <v>#REF!</v>
      </c>
      <c r="EG493" t="e">
        <f>AND(#REF!,"AAAAADfq34g=")</f>
        <v>#REF!</v>
      </c>
      <c r="EH493" t="e">
        <f>AND(#REF!,"AAAAADfq34k=")</f>
        <v>#REF!</v>
      </c>
      <c r="EI493" t="e">
        <f>AND(#REF!,"AAAAADfq34o=")</f>
        <v>#REF!</v>
      </c>
      <c r="EJ493" t="e">
        <f>AND(#REF!,"AAAAADfq34s=")</f>
        <v>#REF!</v>
      </c>
      <c r="EK493" t="e">
        <f>AND(#REF!,"AAAAADfq34w=")</f>
        <v>#REF!</v>
      </c>
      <c r="EL493" t="e">
        <f>AND(#REF!,"AAAAADfq340=")</f>
        <v>#REF!</v>
      </c>
      <c r="EM493" t="e">
        <f>AND(#REF!,"AAAAADfq344=")</f>
        <v>#REF!</v>
      </c>
      <c r="EN493" t="e">
        <f>AND(#REF!,"AAAAADfq348=")</f>
        <v>#REF!</v>
      </c>
      <c r="EO493" t="e">
        <f>IF(#REF!,"AAAAADfq35A=",0)</f>
        <v>#REF!</v>
      </c>
      <c r="EP493" t="e">
        <f>AND(#REF!,"AAAAADfq35E=")</f>
        <v>#REF!</v>
      </c>
      <c r="EQ493" t="e">
        <f>AND(#REF!,"AAAAADfq35I=")</f>
        <v>#REF!</v>
      </c>
      <c r="ER493" t="e">
        <f>AND(#REF!,"AAAAADfq35M=")</f>
        <v>#REF!</v>
      </c>
      <c r="ES493" t="e">
        <f>AND(#REF!,"AAAAADfq35Q=")</f>
        <v>#REF!</v>
      </c>
      <c r="ET493" t="e">
        <f>AND(#REF!,"AAAAADfq35U=")</f>
        <v>#REF!</v>
      </c>
      <c r="EU493" t="e">
        <f>AND(#REF!,"AAAAADfq35Y=")</f>
        <v>#REF!</v>
      </c>
      <c r="EV493" t="e">
        <f>AND(#REF!,"AAAAADfq35c=")</f>
        <v>#REF!</v>
      </c>
      <c r="EW493" t="e">
        <f>AND(#REF!,"AAAAADfq35g=")</f>
        <v>#REF!</v>
      </c>
      <c r="EX493" t="e">
        <f>AND(#REF!,"AAAAADfq35k=")</f>
        <v>#REF!</v>
      </c>
      <c r="EY493" t="e">
        <f>AND(#REF!,"AAAAADfq35o=")</f>
        <v>#REF!</v>
      </c>
      <c r="EZ493" t="e">
        <f>IF(#REF!,"AAAAADfq35s=",0)</f>
        <v>#REF!</v>
      </c>
      <c r="FA493" t="e">
        <f>AND(#REF!,"AAAAADfq35w=")</f>
        <v>#REF!</v>
      </c>
      <c r="FB493" t="e">
        <f>AND(#REF!,"AAAAADfq350=")</f>
        <v>#REF!</v>
      </c>
      <c r="FC493" t="e">
        <f>AND(#REF!,"AAAAADfq354=")</f>
        <v>#REF!</v>
      </c>
      <c r="FD493" t="e">
        <f>AND(#REF!,"AAAAADfq358=")</f>
        <v>#REF!</v>
      </c>
      <c r="FE493" t="e">
        <f>AND(#REF!,"AAAAADfq36A=")</f>
        <v>#REF!</v>
      </c>
      <c r="FF493" t="e">
        <f>AND(#REF!,"AAAAADfq36E=")</f>
        <v>#REF!</v>
      </c>
      <c r="FG493" t="e">
        <f>AND(#REF!,"AAAAADfq36I=")</f>
        <v>#REF!</v>
      </c>
      <c r="FH493" t="e">
        <f>AND(#REF!,"AAAAADfq36M=")</f>
        <v>#REF!</v>
      </c>
      <c r="FI493" t="e">
        <f>AND(#REF!,"AAAAADfq36Q=")</f>
        <v>#REF!</v>
      </c>
      <c r="FJ493" t="e">
        <f>AND(#REF!,"AAAAADfq36U=")</f>
        <v>#REF!</v>
      </c>
      <c r="FK493" t="e">
        <f>IF(#REF!,"AAAAADfq36Y=",0)</f>
        <v>#REF!</v>
      </c>
      <c r="FL493" t="e">
        <f>AND(#REF!,"AAAAADfq36c=")</f>
        <v>#REF!</v>
      </c>
      <c r="FM493" t="e">
        <f>AND(#REF!,"AAAAADfq36g=")</f>
        <v>#REF!</v>
      </c>
      <c r="FN493" t="e">
        <f>AND(#REF!,"AAAAADfq36k=")</f>
        <v>#REF!</v>
      </c>
      <c r="FO493" t="e">
        <f>AND(#REF!,"AAAAADfq36o=")</f>
        <v>#REF!</v>
      </c>
      <c r="FP493" t="e">
        <f>AND(#REF!,"AAAAADfq36s=")</f>
        <v>#REF!</v>
      </c>
      <c r="FQ493" t="e">
        <f>AND(#REF!,"AAAAADfq36w=")</f>
        <v>#REF!</v>
      </c>
      <c r="FR493" t="e">
        <f>AND(#REF!,"AAAAADfq360=")</f>
        <v>#REF!</v>
      </c>
      <c r="FS493" t="e">
        <f>AND(#REF!,"AAAAADfq364=")</f>
        <v>#REF!</v>
      </c>
      <c r="FT493" t="e">
        <f>AND(#REF!,"AAAAADfq368=")</f>
        <v>#REF!</v>
      </c>
      <c r="FU493" t="e">
        <f>AND(#REF!,"AAAAADfq37A=")</f>
        <v>#REF!</v>
      </c>
      <c r="FV493" t="e">
        <f>IF(#REF!,"AAAAADfq37E=",0)</f>
        <v>#REF!</v>
      </c>
      <c r="FW493" t="e">
        <f>AND(#REF!,"AAAAADfq37I=")</f>
        <v>#REF!</v>
      </c>
      <c r="FX493" t="e">
        <f>AND(#REF!,"AAAAADfq37M=")</f>
        <v>#REF!</v>
      </c>
      <c r="FY493" t="e">
        <f>AND(#REF!,"AAAAADfq37Q=")</f>
        <v>#REF!</v>
      </c>
      <c r="FZ493" t="e">
        <f>AND(#REF!,"AAAAADfq37U=")</f>
        <v>#REF!</v>
      </c>
      <c r="GA493" t="e">
        <f>AND(#REF!,"AAAAADfq37Y=")</f>
        <v>#REF!</v>
      </c>
      <c r="GB493" t="e">
        <f>AND(#REF!,"AAAAADfq37c=")</f>
        <v>#REF!</v>
      </c>
      <c r="GC493" t="e">
        <f>AND(#REF!,"AAAAADfq37g=")</f>
        <v>#REF!</v>
      </c>
      <c r="GD493" t="e">
        <f>AND(#REF!,"AAAAADfq37k=")</f>
        <v>#REF!</v>
      </c>
      <c r="GE493" t="e">
        <f>AND(#REF!,"AAAAADfq37o=")</f>
        <v>#REF!</v>
      </c>
      <c r="GF493" t="e">
        <f>AND(#REF!,"AAAAADfq37s=")</f>
        <v>#REF!</v>
      </c>
      <c r="GG493" t="e">
        <f>IF(#REF!,"AAAAADfq37w=",0)</f>
        <v>#REF!</v>
      </c>
      <c r="GH493" t="e">
        <f>AND(#REF!,"AAAAADfq370=")</f>
        <v>#REF!</v>
      </c>
      <c r="GI493" t="e">
        <f>AND(#REF!,"AAAAADfq374=")</f>
        <v>#REF!</v>
      </c>
      <c r="GJ493" t="e">
        <f>AND(#REF!,"AAAAADfq378=")</f>
        <v>#REF!</v>
      </c>
      <c r="GK493" t="e">
        <f>AND(#REF!,"AAAAADfq38A=")</f>
        <v>#REF!</v>
      </c>
      <c r="GL493" t="e">
        <f>AND(#REF!,"AAAAADfq38E=")</f>
        <v>#REF!</v>
      </c>
      <c r="GM493" t="e">
        <f>AND(#REF!,"AAAAADfq38I=")</f>
        <v>#REF!</v>
      </c>
      <c r="GN493" t="e">
        <f>AND(#REF!,"AAAAADfq38M=")</f>
        <v>#REF!</v>
      </c>
      <c r="GO493" t="e">
        <f>AND(#REF!,"AAAAADfq38Q=")</f>
        <v>#REF!</v>
      </c>
      <c r="GP493" t="e">
        <f>AND(#REF!,"AAAAADfq38U=")</f>
        <v>#REF!</v>
      </c>
      <c r="GQ493" t="e">
        <f>AND(#REF!,"AAAAADfq38Y=")</f>
        <v>#REF!</v>
      </c>
      <c r="GR493" t="e">
        <f>IF(#REF!,"AAAAADfq38c=",0)</f>
        <v>#REF!</v>
      </c>
      <c r="GS493" t="e">
        <f>AND(#REF!,"AAAAADfq38g=")</f>
        <v>#REF!</v>
      </c>
      <c r="GT493" t="e">
        <f>AND(#REF!,"AAAAADfq38k=")</f>
        <v>#REF!</v>
      </c>
      <c r="GU493" t="e">
        <f>AND(#REF!,"AAAAADfq38o=")</f>
        <v>#REF!</v>
      </c>
      <c r="GV493" t="e">
        <f>AND(#REF!,"AAAAADfq38s=")</f>
        <v>#REF!</v>
      </c>
      <c r="GW493" t="e">
        <f>AND(#REF!,"AAAAADfq38w=")</f>
        <v>#REF!</v>
      </c>
      <c r="GX493" t="e">
        <f>AND(#REF!,"AAAAADfq380=")</f>
        <v>#REF!</v>
      </c>
      <c r="GY493" t="e">
        <f>AND(#REF!,"AAAAADfq384=")</f>
        <v>#REF!</v>
      </c>
      <c r="GZ493" t="e">
        <f>AND(#REF!,"AAAAADfq388=")</f>
        <v>#REF!</v>
      </c>
      <c r="HA493" t="e">
        <f>AND(#REF!,"AAAAADfq39A=")</f>
        <v>#REF!</v>
      </c>
      <c r="HB493" t="e">
        <f>AND(#REF!,"AAAAADfq39E=")</f>
        <v>#REF!</v>
      </c>
      <c r="HC493" t="e">
        <f>IF(#REF!,"AAAAADfq39I=",0)</f>
        <v>#REF!</v>
      </c>
      <c r="HD493" t="e">
        <f>AND(#REF!,"AAAAADfq39M=")</f>
        <v>#REF!</v>
      </c>
      <c r="HE493" t="e">
        <f>AND(#REF!,"AAAAADfq39Q=")</f>
        <v>#REF!</v>
      </c>
      <c r="HF493" t="e">
        <f>AND(#REF!,"AAAAADfq39U=")</f>
        <v>#REF!</v>
      </c>
      <c r="HG493" t="e">
        <f>AND(#REF!,"AAAAADfq39Y=")</f>
        <v>#REF!</v>
      </c>
      <c r="HH493" t="e">
        <f>AND(#REF!,"AAAAADfq39c=")</f>
        <v>#REF!</v>
      </c>
      <c r="HI493" t="e">
        <f>AND(#REF!,"AAAAADfq39g=")</f>
        <v>#REF!</v>
      </c>
      <c r="HJ493" t="e">
        <f>AND(#REF!,"AAAAADfq39k=")</f>
        <v>#REF!</v>
      </c>
      <c r="HK493" t="e">
        <f>AND(#REF!,"AAAAADfq39o=")</f>
        <v>#REF!</v>
      </c>
      <c r="HL493" t="e">
        <f>AND(#REF!,"AAAAADfq39s=")</f>
        <v>#REF!</v>
      </c>
      <c r="HM493" t="e">
        <f>AND(#REF!,"AAAAADfq39w=")</f>
        <v>#REF!</v>
      </c>
      <c r="HN493" t="e">
        <f>IF(#REF!,"AAAAADfq390=",0)</f>
        <v>#REF!</v>
      </c>
      <c r="HO493" t="e">
        <f>AND(#REF!,"AAAAADfq394=")</f>
        <v>#REF!</v>
      </c>
      <c r="HP493" t="e">
        <f>AND(#REF!,"AAAAADfq398=")</f>
        <v>#REF!</v>
      </c>
      <c r="HQ493" t="e">
        <f>AND(#REF!,"AAAAADfq3+A=")</f>
        <v>#REF!</v>
      </c>
      <c r="HR493" t="e">
        <f>AND(#REF!,"AAAAADfq3+E=")</f>
        <v>#REF!</v>
      </c>
      <c r="HS493" t="e">
        <f>AND(#REF!,"AAAAADfq3+I=")</f>
        <v>#REF!</v>
      </c>
      <c r="HT493" t="e">
        <f>AND(#REF!,"AAAAADfq3+M=")</f>
        <v>#REF!</v>
      </c>
      <c r="HU493" t="e">
        <f>AND(#REF!,"AAAAADfq3+Q=")</f>
        <v>#REF!</v>
      </c>
      <c r="HV493" t="e">
        <f>AND(#REF!,"AAAAADfq3+U=")</f>
        <v>#REF!</v>
      </c>
      <c r="HW493" t="e">
        <f>AND(#REF!,"AAAAADfq3+Y=")</f>
        <v>#REF!</v>
      </c>
      <c r="HX493" t="e">
        <f>AND(#REF!,"AAAAADfq3+c=")</f>
        <v>#REF!</v>
      </c>
      <c r="HY493" t="e">
        <f>IF(#REF!,"AAAAADfq3+g=",0)</f>
        <v>#REF!</v>
      </c>
      <c r="HZ493" t="e">
        <f>AND(#REF!,"AAAAADfq3+k=")</f>
        <v>#REF!</v>
      </c>
      <c r="IA493" t="e">
        <f>AND(#REF!,"AAAAADfq3+o=")</f>
        <v>#REF!</v>
      </c>
      <c r="IB493" t="e">
        <f>AND(#REF!,"AAAAADfq3+s=")</f>
        <v>#REF!</v>
      </c>
      <c r="IC493" t="e">
        <f>AND(#REF!,"AAAAADfq3+w=")</f>
        <v>#REF!</v>
      </c>
      <c r="ID493" t="e">
        <f>AND(#REF!,"AAAAADfq3+0=")</f>
        <v>#REF!</v>
      </c>
      <c r="IE493" t="e">
        <f>AND(#REF!,"AAAAADfq3+4=")</f>
        <v>#REF!</v>
      </c>
      <c r="IF493" t="e">
        <f>AND(#REF!,"AAAAADfq3+8=")</f>
        <v>#REF!</v>
      </c>
      <c r="IG493" t="e">
        <f>AND(#REF!,"AAAAADfq3/A=")</f>
        <v>#REF!</v>
      </c>
      <c r="IH493" t="e">
        <f>AND(#REF!,"AAAAADfq3/E=")</f>
        <v>#REF!</v>
      </c>
      <c r="II493" t="e">
        <f>AND(#REF!,"AAAAADfq3/I=")</f>
        <v>#REF!</v>
      </c>
      <c r="IJ493" t="e">
        <f>IF(#REF!,"AAAAADfq3/M=",0)</f>
        <v>#REF!</v>
      </c>
      <c r="IK493" t="e">
        <f>AND(#REF!,"AAAAADfq3/Q=")</f>
        <v>#REF!</v>
      </c>
      <c r="IL493" t="e">
        <f>AND(#REF!,"AAAAADfq3/U=")</f>
        <v>#REF!</v>
      </c>
      <c r="IM493" t="e">
        <f>AND(#REF!,"AAAAADfq3/Y=")</f>
        <v>#REF!</v>
      </c>
      <c r="IN493" t="e">
        <f>AND(#REF!,"AAAAADfq3/c=")</f>
        <v>#REF!</v>
      </c>
      <c r="IO493" t="e">
        <f>AND(#REF!,"AAAAADfq3/g=")</f>
        <v>#REF!</v>
      </c>
      <c r="IP493" t="e">
        <f>AND(#REF!,"AAAAADfq3/k=")</f>
        <v>#REF!</v>
      </c>
      <c r="IQ493" t="e">
        <f>AND(#REF!,"AAAAADfq3/o=")</f>
        <v>#REF!</v>
      </c>
      <c r="IR493" t="e">
        <f>AND(#REF!,"AAAAADfq3/s=")</f>
        <v>#REF!</v>
      </c>
      <c r="IS493" t="e">
        <f>AND(#REF!,"AAAAADfq3/w=")</f>
        <v>#REF!</v>
      </c>
      <c r="IT493" t="e">
        <f>AND(#REF!,"AAAAADfq3/0=")</f>
        <v>#REF!</v>
      </c>
      <c r="IU493" t="e">
        <f>IF(#REF!,"AAAAADfq3/4=",0)</f>
        <v>#REF!</v>
      </c>
      <c r="IV493" t="e">
        <f>AND(#REF!,"AAAAADfq3/8=")</f>
        <v>#REF!</v>
      </c>
    </row>
    <row r="494" spans="1:256" x14ac:dyDescent="0.25">
      <c r="A494" t="e">
        <f>AND(#REF!,"AAAAAC7f4wA=")</f>
        <v>#REF!</v>
      </c>
      <c r="B494" t="e">
        <f>AND(#REF!,"AAAAAC7f4wE=")</f>
        <v>#REF!</v>
      </c>
      <c r="C494" t="e">
        <f>AND(#REF!,"AAAAAC7f4wI=")</f>
        <v>#REF!</v>
      </c>
      <c r="D494" t="e">
        <f>AND(#REF!,"AAAAAC7f4wM=")</f>
        <v>#REF!</v>
      </c>
      <c r="E494" t="e">
        <f>AND(#REF!,"AAAAAC7f4wQ=")</f>
        <v>#REF!</v>
      </c>
      <c r="F494" t="e">
        <f>AND(#REF!,"AAAAAC7f4wU=")</f>
        <v>#REF!</v>
      </c>
      <c r="G494" t="e">
        <f>AND(#REF!,"AAAAAC7f4wY=")</f>
        <v>#REF!</v>
      </c>
      <c r="H494" t="e">
        <f>AND(#REF!,"AAAAAC7f4wc=")</f>
        <v>#REF!</v>
      </c>
      <c r="I494" t="e">
        <f>AND(#REF!,"AAAAAC7f4wg=")</f>
        <v>#REF!</v>
      </c>
      <c r="J494" t="e">
        <f>IF(#REF!,"AAAAAC7f4wk=",0)</f>
        <v>#REF!</v>
      </c>
      <c r="K494" t="e">
        <f>AND(#REF!,"AAAAAC7f4wo=")</f>
        <v>#REF!</v>
      </c>
      <c r="L494" t="e">
        <f>AND(#REF!,"AAAAAC7f4ws=")</f>
        <v>#REF!</v>
      </c>
      <c r="M494" t="e">
        <f>AND(#REF!,"AAAAAC7f4ww=")</f>
        <v>#REF!</v>
      </c>
      <c r="N494" t="e">
        <f>AND(#REF!,"AAAAAC7f4w0=")</f>
        <v>#REF!</v>
      </c>
      <c r="O494" t="e">
        <f>AND(#REF!,"AAAAAC7f4w4=")</f>
        <v>#REF!</v>
      </c>
      <c r="P494" t="e">
        <f>AND(#REF!,"AAAAAC7f4w8=")</f>
        <v>#REF!</v>
      </c>
      <c r="Q494" t="e">
        <f>AND(#REF!,"AAAAAC7f4xA=")</f>
        <v>#REF!</v>
      </c>
      <c r="R494" t="e">
        <f>AND(#REF!,"AAAAAC7f4xE=")</f>
        <v>#REF!</v>
      </c>
      <c r="S494" t="e">
        <f>AND(#REF!,"AAAAAC7f4xI=")</f>
        <v>#REF!</v>
      </c>
      <c r="T494" t="e">
        <f>AND(#REF!,"AAAAAC7f4xM=")</f>
        <v>#REF!</v>
      </c>
      <c r="U494" t="e">
        <f>IF(#REF!,"AAAAAC7f4xQ=",0)</f>
        <v>#REF!</v>
      </c>
      <c r="V494" t="e">
        <f>AND(#REF!,"AAAAAC7f4xU=")</f>
        <v>#REF!</v>
      </c>
      <c r="W494" t="e">
        <f>AND(#REF!,"AAAAAC7f4xY=")</f>
        <v>#REF!</v>
      </c>
      <c r="X494" t="e">
        <f>AND(#REF!,"AAAAAC7f4xc=")</f>
        <v>#REF!</v>
      </c>
      <c r="Y494" t="e">
        <f>AND(#REF!,"AAAAAC7f4xg=")</f>
        <v>#REF!</v>
      </c>
      <c r="Z494" t="e">
        <f>AND(#REF!,"AAAAAC7f4xk=")</f>
        <v>#REF!</v>
      </c>
      <c r="AA494" t="e">
        <f>AND(#REF!,"AAAAAC7f4xo=")</f>
        <v>#REF!</v>
      </c>
      <c r="AB494" t="e">
        <f>AND(#REF!,"AAAAAC7f4xs=")</f>
        <v>#REF!</v>
      </c>
      <c r="AC494" t="e">
        <f>AND(#REF!,"AAAAAC7f4xw=")</f>
        <v>#REF!</v>
      </c>
      <c r="AD494" t="e">
        <f>AND(#REF!,"AAAAAC7f4x0=")</f>
        <v>#REF!</v>
      </c>
      <c r="AE494" t="e">
        <f>AND(#REF!,"AAAAAC7f4x4=")</f>
        <v>#REF!</v>
      </c>
      <c r="AF494" t="e">
        <f>IF(#REF!,"AAAAAC7f4x8=",0)</f>
        <v>#REF!</v>
      </c>
      <c r="AG494" t="e">
        <f>AND(#REF!,"AAAAAC7f4yA=")</f>
        <v>#REF!</v>
      </c>
      <c r="AH494" t="e">
        <f>AND(#REF!,"AAAAAC7f4yE=")</f>
        <v>#REF!</v>
      </c>
      <c r="AI494" t="e">
        <f>AND(#REF!,"AAAAAC7f4yI=")</f>
        <v>#REF!</v>
      </c>
      <c r="AJ494" t="e">
        <f>AND(#REF!,"AAAAAC7f4yM=")</f>
        <v>#REF!</v>
      </c>
      <c r="AK494" t="e">
        <f>AND(#REF!,"AAAAAC7f4yQ=")</f>
        <v>#REF!</v>
      </c>
      <c r="AL494" t="e">
        <f>AND(#REF!,"AAAAAC7f4yU=")</f>
        <v>#REF!</v>
      </c>
      <c r="AM494" t="e">
        <f>AND(#REF!,"AAAAAC7f4yY=")</f>
        <v>#REF!</v>
      </c>
      <c r="AN494" t="e">
        <f>AND(#REF!,"AAAAAC7f4yc=")</f>
        <v>#REF!</v>
      </c>
      <c r="AO494" t="e">
        <f>AND(#REF!,"AAAAAC7f4yg=")</f>
        <v>#REF!</v>
      </c>
      <c r="AP494" t="e">
        <f>AND(#REF!,"AAAAAC7f4yk=")</f>
        <v>#REF!</v>
      </c>
      <c r="AQ494" t="e">
        <f>IF(#REF!,"AAAAAC7f4yo=",0)</f>
        <v>#REF!</v>
      </c>
      <c r="AR494" t="e">
        <f>AND(#REF!,"AAAAAC7f4ys=")</f>
        <v>#REF!</v>
      </c>
      <c r="AS494" t="e">
        <f>AND(#REF!,"AAAAAC7f4yw=")</f>
        <v>#REF!</v>
      </c>
      <c r="AT494" t="e">
        <f>AND(#REF!,"AAAAAC7f4y0=")</f>
        <v>#REF!</v>
      </c>
      <c r="AU494" t="e">
        <f>AND(#REF!,"AAAAAC7f4y4=")</f>
        <v>#REF!</v>
      </c>
      <c r="AV494" t="e">
        <f>AND(#REF!,"AAAAAC7f4y8=")</f>
        <v>#REF!</v>
      </c>
      <c r="AW494" t="e">
        <f>AND(#REF!,"AAAAAC7f4zA=")</f>
        <v>#REF!</v>
      </c>
      <c r="AX494" t="e">
        <f>AND(#REF!,"AAAAAC7f4zE=")</f>
        <v>#REF!</v>
      </c>
      <c r="AY494" t="e">
        <f>AND(#REF!,"AAAAAC7f4zI=")</f>
        <v>#REF!</v>
      </c>
      <c r="AZ494" t="e">
        <f>AND(#REF!,"AAAAAC7f4zM=")</f>
        <v>#REF!</v>
      </c>
      <c r="BA494" t="e">
        <f>AND(#REF!,"AAAAAC7f4zQ=")</f>
        <v>#REF!</v>
      </c>
      <c r="BB494" t="e">
        <f>IF(#REF!,"AAAAAC7f4zU=",0)</f>
        <v>#REF!</v>
      </c>
      <c r="BC494" t="e">
        <f>AND(#REF!,"AAAAAC7f4zY=")</f>
        <v>#REF!</v>
      </c>
      <c r="BD494" t="e">
        <f>AND(#REF!,"AAAAAC7f4zc=")</f>
        <v>#REF!</v>
      </c>
      <c r="BE494" t="e">
        <f>AND(#REF!,"AAAAAC7f4zg=")</f>
        <v>#REF!</v>
      </c>
      <c r="BF494" t="e">
        <f>AND(#REF!,"AAAAAC7f4zk=")</f>
        <v>#REF!</v>
      </c>
      <c r="BG494" t="e">
        <f>AND(#REF!,"AAAAAC7f4zo=")</f>
        <v>#REF!</v>
      </c>
      <c r="BH494" t="e">
        <f>AND(#REF!,"AAAAAC7f4zs=")</f>
        <v>#REF!</v>
      </c>
      <c r="BI494" t="e">
        <f>AND(#REF!,"AAAAAC7f4zw=")</f>
        <v>#REF!</v>
      </c>
      <c r="BJ494" t="e">
        <f>AND(#REF!,"AAAAAC7f4z0=")</f>
        <v>#REF!</v>
      </c>
      <c r="BK494" t="e">
        <f>AND(#REF!,"AAAAAC7f4z4=")</f>
        <v>#REF!</v>
      </c>
      <c r="BL494" t="e">
        <f>AND(#REF!,"AAAAAC7f4z8=")</f>
        <v>#REF!</v>
      </c>
      <c r="BM494" t="e">
        <f>IF(#REF!,"AAAAAC7f40A=",0)</f>
        <v>#REF!</v>
      </c>
      <c r="BN494" t="e">
        <f>AND(#REF!,"AAAAAC7f40E=")</f>
        <v>#REF!</v>
      </c>
      <c r="BO494" t="e">
        <f>AND(#REF!,"AAAAAC7f40I=")</f>
        <v>#REF!</v>
      </c>
      <c r="BP494" t="e">
        <f>AND(#REF!,"AAAAAC7f40M=")</f>
        <v>#REF!</v>
      </c>
      <c r="BQ494" t="e">
        <f>AND(#REF!,"AAAAAC7f40Q=")</f>
        <v>#REF!</v>
      </c>
      <c r="BR494" t="e">
        <f>AND(#REF!,"AAAAAC7f40U=")</f>
        <v>#REF!</v>
      </c>
      <c r="BS494" t="e">
        <f>AND(#REF!,"AAAAAC7f40Y=")</f>
        <v>#REF!</v>
      </c>
      <c r="BT494" t="e">
        <f>AND(#REF!,"AAAAAC7f40c=")</f>
        <v>#REF!</v>
      </c>
      <c r="BU494" t="e">
        <f>AND(#REF!,"AAAAAC7f40g=")</f>
        <v>#REF!</v>
      </c>
      <c r="BV494" t="e">
        <f>AND(#REF!,"AAAAAC7f40k=")</f>
        <v>#REF!</v>
      </c>
      <c r="BW494" t="e">
        <f>AND(#REF!,"AAAAAC7f40o=")</f>
        <v>#REF!</v>
      </c>
      <c r="BX494" t="e">
        <f>IF(#REF!,"AAAAAC7f40s=",0)</f>
        <v>#REF!</v>
      </c>
      <c r="BY494" t="e">
        <f>AND(#REF!,"AAAAAC7f40w=")</f>
        <v>#REF!</v>
      </c>
      <c r="BZ494" t="e">
        <f>AND(#REF!,"AAAAAC7f400=")</f>
        <v>#REF!</v>
      </c>
      <c r="CA494" t="e">
        <f>AND(#REF!,"AAAAAC7f404=")</f>
        <v>#REF!</v>
      </c>
      <c r="CB494" t="e">
        <f>AND(#REF!,"AAAAAC7f408=")</f>
        <v>#REF!</v>
      </c>
      <c r="CC494" t="e">
        <f>AND(#REF!,"AAAAAC7f41A=")</f>
        <v>#REF!</v>
      </c>
      <c r="CD494" t="e">
        <f>AND(#REF!,"AAAAAC7f41E=")</f>
        <v>#REF!</v>
      </c>
      <c r="CE494" t="e">
        <f>AND(#REF!,"AAAAAC7f41I=")</f>
        <v>#REF!</v>
      </c>
      <c r="CF494" t="e">
        <f>AND(#REF!,"AAAAAC7f41M=")</f>
        <v>#REF!</v>
      </c>
      <c r="CG494" t="e">
        <f>AND(#REF!,"AAAAAC7f41Q=")</f>
        <v>#REF!</v>
      </c>
      <c r="CH494" t="e">
        <f>AND(#REF!,"AAAAAC7f41U=")</f>
        <v>#REF!</v>
      </c>
      <c r="CI494" t="e">
        <f>IF(#REF!,"AAAAAC7f41Y=",0)</f>
        <v>#REF!</v>
      </c>
      <c r="CJ494" t="e">
        <f>AND(#REF!,"AAAAAC7f41c=")</f>
        <v>#REF!</v>
      </c>
      <c r="CK494" t="e">
        <f>AND(#REF!,"AAAAAC7f41g=")</f>
        <v>#REF!</v>
      </c>
      <c r="CL494" t="e">
        <f>AND(#REF!,"AAAAAC7f41k=")</f>
        <v>#REF!</v>
      </c>
      <c r="CM494" t="e">
        <f>AND(#REF!,"AAAAAC7f41o=")</f>
        <v>#REF!</v>
      </c>
      <c r="CN494" t="e">
        <f>AND(#REF!,"AAAAAC7f41s=")</f>
        <v>#REF!</v>
      </c>
      <c r="CO494" t="e">
        <f>AND(#REF!,"AAAAAC7f41w=")</f>
        <v>#REF!</v>
      </c>
      <c r="CP494" t="e">
        <f>AND(#REF!,"AAAAAC7f410=")</f>
        <v>#REF!</v>
      </c>
      <c r="CQ494" t="e">
        <f>AND(#REF!,"AAAAAC7f414=")</f>
        <v>#REF!</v>
      </c>
      <c r="CR494" t="e">
        <f>AND(#REF!,"AAAAAC7f418=")</f>
        <v>#REF!</v>
      </c>
      <c r="CS494" t="e">
        <f>AND(#REF!,"AAAAAC7f42A=")</f>
        <v>#REF!</v>
      </c>
      <c r="CT494" t="e">
        <f>IF(#REF!,"AAAAAC7f42E=",0)</f>
        <v>#REF!</v>
      </c>
      <c r="CU494" t="e">
        <f>AND(#REF!,"AAAAAC7f42I=")</f>
        <v>#REF!</v>
      </c>
      <c r="CV494" t="e">
        <f>AND(#REF!,"AAAAAC7f42M=")</f>
        <v>#REF!</v>
      </c>
      <c r="CW494" t="e">
        <f>AND(#REF!,"AAAAAC7f42Q=")</f>
        <v>#REF!</v>
      </c>
      <c r="CX494" t="e">
        <f>AND(#REF!,"AAAAAC7f42U=")</f>
        <v>#REF!</v>
      </c>
      <c r="CY494" t="e">
        <f>AND(#REF!,"AAAAAC7f42Y=")</f>
        <v>#REF!</v>
      </c>
      <c r="CZ494" t="e">
        <f>AND(#REF!,"AAAAAC7f42c=")</f>
        <v>#REF!</v>
      </c>
      <c r="DA494" t="e">
        <f>AND(#REF!,"AAAAAC7f42g=")</f>
        <v>#REF!</v>
      </c>
      <c r="DB494" t="e">
        <f>AND(#REF!,"AAAAAC7f42k=")</f>
        <v>#REF!</v>
      </c>
      <c r="DC494" t="e">
        <f>AND(#REF!,"AAAAAC7f42o=")</f>
        <v>#REF!</v>
      </c>
      <c r="DD494" t="e">
        <f>AND(#REF!,"AAAAAC7f42s=")</f>
        <v>#REF!</v>
      </c>
      <c r="DE494" t="e">
        <f>IF(#REF!,"AAAAAC7f42w=",0)</f>
        <v>#REF!</v>
      </c>
      <c r="DF494" t="e">
        <f>AND(#REF!,"AAAAAC7f420=")</f>
        <v>#REF!</v>
      </c>
      <c r="DG494" t="e">
        <f>AND(#REF!,"AAAAAC7f424=")</f>
        <v>#REF!</v>
      </c>
      <c r="DH494" t="e">
        <f>AND(#REF!,"AAAAAC7f428=")</f>
        <v>#REF!</v>
      </c>
      <c r="DI494" t="e">
        <f>AND(#REF!,"AAAAAC7f43A=")</f>
        <v>#REF!</v>
      </c>
      <c r="DJ494" t="e">
        <f>AND(#REF!,"AAAAAC7f43E=")</f>
        <v>#REF!</v>
      </c>
      <c r="DK494" t="e">
        <f>AND(#REF!,"AAAAAC7f43I=")</f>
        <v>#REF!</v>
      </c>
      <c r="DL494" t="e">
        <f>AND(#REF!,"AAAAAC7f43M=")</f>
        <v>#REF!</v>
      </c>
      <c r="DM494" t="e">
        <f>AND(#REF!,"AAAAAC7f43Q=")</f>
        <v>#REF!</v>
      </c>
      <c r="DN494" t="e">
        <f>AND(#REF!,"AAAAAC7f43U=")</f>
        <v>#REF!</v>
      </c>
      <c r="DO494" t="e">
        <f>AND(#REF!,"AAAAAC7f43Y=")</f>
        <v>#REF!</v>
      </c>
      <c r="DP494" t="e">
        <f>IF(#REF!,"AAAAAC7f43c=",0)</f>
        <v>#REF!</v>
      </c>
      <c r="DQ494" t="e">
        <f>AND(#REF!,"AAAAAC7f43g=")</f>
        <v>#REF!</v>
      </c>
      <c r="DR494" t="e">
        <f>AND(#REF!,"AAAAAC7f43k=")</f>
        <v>#REF!</v>
      </c>
      <c r="DS494" t="e">
        <f>AND(#REF!,"AAAAAC7f43o=")</f>
        <v>#REF!</v>
      </c>
      <c r="DT494" t="e">
        <f>AND(#REF!,"AAAAAC7f43s=")</f>
        <v>#REF!</v>
      </c>
      <c r="DU494" t="e">
        <f>AND(#REF!,"AAAAAC7f43w=")</f>
        <v>#REF!</v>
      </c>
      <c r="DV494" t="e">
        <f>AND(#REF!,"AAAAAC7f430=")</f>
        <v>#REF!</v>
      </c>
      <c r="DW494" t="e">
        <f>AND(#REF!,"AAAAAC7f434=")</f>
        <v>#REF!</v>
      </c>
      <c r="DX494" t="e">
        <f>AND(#REF!,"AAAAAC7f438=")</f>
        <v>#REF!</v>
      </c>
      <c r="DY494" t="e">
        <f>AND(#REF!,"AAAAAC7f44A=")</f>
        <v>#REF!</v>
      </c>
      <c r="DZ494" t="e">
        <f>AND(#REF!,"AAAAAC7f44E=")</f>
        <v>#REF!</v>
      </c>
      <c r="EA494" t="e">
        <f>IF(#REF!,"AAAAAC7f44I=",0)</f>
        <v>#REF!</v>
      </c>
      <c r="EB494" t="e">
        <f>AND(#REF!,"AAAAAC7f44M=")</f>
        <v>#REF!</v>
      </c>
      <c r="EC494" t="e">
        <f>AND(#REF!,"AAAAAC7f44Q=")</f>
        <v>#REF!</v>
      </c>
      <c r="ED494" t="e">
        <f>AND(#REF!,"AAAAAC7f44U=")</f>
        <v>#REF!</v>
      </c>
      <c r="EE494" t="e">
        <f>AND(#REF!,"AAAAAC7f44Y=")</f>
        <v>#REF!</v>
      </c>
      <c r="EF494" t="e">
        <f>AND(#REF!,"AAAAAC7f44c=")</f>
        <v>#REF!</v>
      </c>
      <c r="EG494" t="e">
        <f>AND(#REF!,"AAAAAC7f44g=")</f>
        <v>#REF!</v>
      </c>
      <c r="EH494" t="e">
        <f>AND(#REF!,"AAAAAC7f44k=")</f>
        <v>#REF!</v>
      </c>
      <c r="EI494" t="e">
        <f>AND(#REF!,"AAAAAC7f44o=")</f>
        <v>#REF!</v>
      </c>
      <c r="EJ494" t="e">
        <f>AND(#REF!,"AAAAAC7f44s=")</f>
        <v>#REF!</v>
      </c>
      <c r="EK494" t="e">
        <f>AND(#REF!,"AAAAAC7f44w=")</f>
        <v>#REF!</v>
      </c>
      <c r="EL494" t="e">
        <f>IF(#REF!,"AAAAAC7f440=",0)</f>
        <v>#REF!</v>
      </c>
      <c r="EM494" t="e">
        <f>AND(#REF!,"AAAAAC7f444=")</f>
        <v>#REF!</v>
      </c>
      <c r="EN494" t="e">
        <f>AND(#REF!,"AAAAAC7f448=")</f>
        <v>#REF!</v>
      </c>
      <c r="EO494" t="e">
        <f>AND(#REF!,"AAAAAC7f45A=")</f>
        <v>#REF!</v>
      </c>
      <c r="EP494" t="e">
        <f>AND(#REF!,"AAAAAC7f45E=")</f>
        <v>#REF!</v>
      </c>
      <c r="EQ494" t="e">
        <f>AND(#REF!,"AAAAAC7f45I=")</f>
        <v>#REF!</v>
      </c>
      <c r="ER494" t="e">
        <f>AND(#REF!,"AAAAAC7f45M=")</f>
        <v>#REF!</v>
      </c>
      <c r="ES494" t="e">
        <f>AND(#REF!,"AAAAAC7f45Q=")</f>
        <v>#REF!</v>
      </c>
      <c r="ET494" t="e">
        <f>AND(#REF!,"AAAAAC7f45U=")</f>
        <v>#REF!</v>
      </c>
      <c r="EU494" t="e">
        <f>AND(#REF!,"AAAAAC7f45Y=")</f>
        <v>#REF!</v>
      </c>
      <c r="EV494" t="e">
        <f>AND(#REF!,"AAAAAC7f45c=")</f>
        <v>#REF!</v>
      </c>
      <c r="EW494" t="e">
        <f>IF(#REF!,"AAAAAC7f45g=",0)</f>
        <v>#REF!</v>
      </c>
      <c r="EX494" t="e">
        <f>AND(#REF!,"AAAAAC7f45k=")</f>
        <v>#REF!</v>
      </c>
      <c r="EY494" t="e">
        <f>AND(#REF!,"AAAAAC7f45o=")</f>
        <v>#REF!</v>
      </c>
      <c r="EZ494" t="e">
        <f>AND(#REF!,"AAAAAC7f45s=")</f>
        <v>#REF!</v>
      </c>
      <c r="FA494" t="e">
        <f>AND(#REF!,"AAAAAC7f45w=")</f>
        <v>#REF!</v>
      </c>
      <c r="FB494" t="e">
        <f>AND(#REF!,"AAAAAC7f450=")</f>
        <v>#REF!</v>
      </c>
      <c r="FC494" t="e">
        <f>AND(#REF!,"AAAAAC7f454=")</f>
        <v>#REF!</v>
      </c>
      <c r="FD494" t="e">
        <f>AND(#REF!,"AAAAAC7f458=")</f>
        <v>#REF!</v>
      </c>
      <c r="FE494" t="e">
        <f>AND(#REF!,"AAAAAC7f46A=")</f>
        <v>#REF!</v>
      </c>
      <c r="FF494" t="e">
        <f>AND(#REF!,"AAAAAC7f46E=")</f>
        <v>#REF!</v>
      </c>
      <c r="FG494" t="e">
        <f>AND(#REF!,"AAAAAC7f46I=")</f>
        <v>#REF!</v>
      </c>
      <c r="FH494" t="e">
        <f>IF(#REF!,"AAAAAC7f46M=",0)</f>
        <v>#REF!</v>
      </c>
      <c r="FI494" t="e">
        <f>AND(#REF!,"AAAAAC7f46Q=")</f>
        <v>#REF!</v>
      </c>
      <c r="FJ494" t="e">
        <f>AND(#REF!,"AAAAAC7f46U=")</f>
        <v>#REF!</v>
      </c>
      <c r="FK494" t="e">
        <f>AND(#REF!,"AAAAAC7f46Y=")</f>
        <v>#REF!</v>
      </c>
      <c r="FL494" t="e">
        <f>AND(#REF!,"AAAAAC7f46c=")</f>
        <v>#REF!</v>
      </c>
      <c r="FM494" t="e">
        <f>AND(#REF!,"AAAAAC7f46g=")</f>
        <v>#REF!</v>
      </c>
      <c r="FN494" t="e">
        <f>AND(#REF!,"AAAAAC7f46k=")</f>
        <v>#REF!</v>
      </c>
      <c r="FO494" t="e">
        <f>AND(#REF!,"AAAAAC7f46o=")</f>
        <v>#REF!</v>
      </c>
      <c r="FP494" t="e">
        <f>AND(#REF!,"AAAAAC7f46s=")</f>
        <v>#REF!</v>
      </c>
      <c r="FQ494" t="e">
        <f>AND(#REF!,"AAAAAC7f46w=")</f>
        <v>#REF!</v>
      </c>
      <c r="FR494" t="e">
        <f>AND(#REF!,"AAAAAC7f460=")</f>
        <v>#REF!</v>
      </c>
      <c r="FS494" t="e">
        <f>IF(#REF!,"AAAAAC7f464=",0)</f>
        <v>#REF!</v>
      </c>
      <c r="FT494" t="e">
        <f>AND(#REF!,"AAAAAC7f468=")</f>
        <v>#REF!</v>
      </c>
      <c r="FU494" t="e">
        <f>AND(#REF!,"AAAAAC7f47A=")</f>
        <v>#REF!</v>
      </c>
      <c r="FV494" t="e">
        <f>AND(#REF!,"AAAAAC7f47E=")</f>
        <v>#REF!</v>
      </c>
      <c r="FW494" t="e">
        <f>AND(#REF!,"AAAAAC7f47I=")</f>
        <v>#REF!</v>
      </c>
      <c r="FX494" t="e">
        <f>AND(#REF!,"AAAAAC7f47M=")</f>
        <v>#REF!</v>
      </c>
      <c r="FY494" t="e">
        <f>AND(#REF!,"AAAAAC7f47Q=")</f>
        <v>#REF!</v>
      </c>
      <c r="FZ494" t="e">
        <f>AND(#REF!,"AAAAAC7f47U=")</f>
        <v>#REF!</v>
      </c>
      <c r="GA494" t="e">
        <f>AND(#REF!,"AAAAAC7f47Y=")</f>
        <v>#REF!</v>
      </c>
      <c r="GB494" t="e">
        <f>AND(#REF!,"AAAAAC7f47c=")</f>
        <v>#REF!</v>
      </c>
      <c r="GC494" t="e">
        <f>AND(#REF!,"AAAAAC7f47g=")</f>
        <v>#REF!</v>
      </c>
      <c r="GD494" t="e">
        <f>IF(#REF!,"AAAAAC7f47k=",0)</f>
        <v>#REF!</v>
      </c>
      <c r="GE494" t="e">
        <f>AND(#REF!,"AAAAAC7f47o=")</f>
        <v>#REF!</v>
      </c>
      <c r="GF494" t="e">
        <f>AND(#REF!,"AAAAAC7f47s=")</f>
        <v>#REF!</v>
      </c>
      <c r="GG494" t="e">
        <f>AND(#REF!,"AAAAAC7f47w=")</f>
        <v>#REF!</v>
      </c>
      <c r="GH494" t="e">
        <f>AND(#REF!,"AAAAAC7f470=")</f>
        <v>#REF!</v>
      </c>
      <c r="GI494" t="e">
        <f>AND(#REF!,"AAAAAC7f474=")</f>
        <v>#REF!</v>
      </c>
      <c r="GJ494" t="e">
        <f>AND(#REF!,"AAAAAC7f478=")</f>
        <v>#REF!</v>
      </c>
      <c r="GK494" t="e">
        <f>AND(#REF!,"AAAAAC7f48A=")</f>
        <v>#REF!</v>
      </c>
      <c r="GL494" t="e">
        <f>AND(#REF!,"AAAAAC7f48E=")</f>
        <v>#REF!</v>
      </c>
      <c r="GM494" t="e">
        <f>AND(#REF!,"AAAAAC7f48I=")</f>
        <v>#REF!</v>
      </c>
      <c r="GN494" t="e">
        <f>AND(#REF!,"AAAAAC7f48M=")</f>
        <v>#REF!</v>
      </c>
      <c r="GO494" t="e">
        <f>IF(#REF!,"AAAAAC7f48Q=",0)</f>
        <v>#REF!</v>
      </c>
      <c r="GP494" t="e">
        <f>AND(#REF!,"AAAAAC7f48U=")</f>
        <v>#REF!</v>
      </c>
      <c r="GQ494" t="e">
        <f>AND(#REF!,"AAAAAC7f48Y=")</f>
        <v>#REF!</v>
      </c>
      <c r="GR494" t="e">
        <f>AND(#REF!,"AAAAAC7f48c=")</f>
        <v>#REF!</v>
      </c>
      <c r="GS494" t="e">
        <f>AND(#REF!,"AAAAAC7f48g=")</f>
        <v>#REF!</v>
      </c>
      <c r="GT494" t="e">
        <f>AND(#REF!,"AAAAAC7f48k=")</f>
        <v>#REF!</v>
      </c>
      <c r="GU494" t="e">
        <f>AND(#REF!,"AAAAAC7f48o=")</f>
        <v>#REF!</v>
      </c>
      <c r="GV494" t="e">
        <f>AND(#REF!,"AAAAAC7f48s=")</f>
        <v>#REF!</v>
      </c>
      <c r="GW494" t="e">
        <f>AND(#REF!,"AAAAAC7f48w=")</f>
        <v>#REF!</v>
      </c>
      <c r="GX494" t="e">
        <f>AND(#REF!,"AAAAAC7f480=")</f>
        <v>#REF!</v>
      </c>
      <c r="GY494" t="e">
        <f>AND(#REF!,"AAAAAC7f484=")</f>
        <v>#REF!</v>
      </c>
      <c r="GZ494" t="e">
        <f>IF(#REF!,"AAAAAC7f488=",0)</f>
        <v>#REF!</v>
      </c>
      <c r="HA494" t="e">
        <f>AND(#REF!,"AAAAAC7f49A=")</f>
        <v>#REF!</v>
      </c>
      <c r="HB494" t="e">
        <f>AND(#REF!,"AAAAAC7f49E=")</f>
        <v>#REF!</v>
      </c>
      <c r="HC494" t="e">
        <f>AND(#REF!,"AAAAAC7f49I=")</f>
        <v>#REF!</v>
      </c>
      <c r="HD494" t="e">
        <f>AND(#REF!,"AAAAAC7f49M=")</f>
        <v>#REF!</v>
      </c>
      <c r="HE494" t="e">
        <f>AND(#REF!,"AAAAAC7f49Q=")</f>
        <v>#REF!</v>
      </c>
      <c r="HF494" t="e">
        <f>AND(#REF!,"AAAAAC7f49U=")</f>
        <v>#REF!</v>
      </c>
      <c r="HG494" t="e">
        <f>AND(#REF!,"AAAAAC7f49Y=")</f>
        <v>#REF!</v>
      </c>
      <c r="HH494" t="e">
        <f>AND(#REF!,"AAAAAC7f49c=")</f>
        <v>#REF!</v>
      </c>
      <c r="HI494" t="e">
        <f>AND(#REF!,"AAAAAC7f49g=")</f>
        <v>#REF!</v>
      </c>
      <c r="HJ494" t="e">
        <f>AND(#REF!,"AAAAAC7f49k=")</f>
        <v>#REF!</v>
      </c>
      <c r="HK494" t="e">
        <f>IF(#REF!,"AAAAAC7f49o=",0)</f>
        <v>#REF!</v>
      </c>
      <c r="HL494" t="e">
        <f>AND(#REF!,"AAAAAC7f49s=")</f>
        <v>#REF!</v>
      </c>
      <c r="HM494" t="e">
        <f>AND(#REF!,"AAAAAC7f49w=")</f>
        <v>#REF!</v>
      </c>
      <c r="HN494" t="e">
        <f>AND(#REF!,"AAAAAC7f490=")</f>
        <v>#REF!</v>
      </c>
      <c r="HO494" t="e">
        <f>AND(#REF!,"AAAAAC7f494=")</f>
        <v>#REF!</v>
      </c>
      <c r="HP494" t="e">
        <f>AND(#REF!,"AAAAAC7f498=")</f>
        <v>#REF!</v>
      </c>
      <c r="HQ494" t="e">
        <f>AND(#REF!,"AAAAAC7f4+A=")</f>
        <v>#REF!</v>
      </c>
      <c r="HR494" t="e">
        <f>AND(#REF!,"AAAAAC7f4+E=")</f>
        <v>#REF!</v>
      </c>
      <c r="HS494" t="e">
        <f>AND(#REF!,"AAAAAC7f4+I=")</f>
        <v>#REF!</v>
      </c>
      <c r="HT494" t="e">
        <f>AND(#REF!,"AAAAAC7f4+M=")</f>
        <v>#REF!</v>
      </c>
      <c r="HU494" t="e">
        <f>AND(#REF!,"AAAAAC7f4+Q=")</f>
        <v>#REF!</v>
      </c>
      <c r="HV494" t="e">
        <f>IF(#REF!,"AAAAAC7f4+U=",0)</f>
        <v>#REF!</v>
      </c>
      <c r="HW494" t="e">
        <f>AND(#REF!,"AAAAAC7f4+Y=")</f>
        <v>#REF!</v>
      </c>
      <c r="HX494" t="e">
        <f>AND(#REF!,"AAAAAC7f4+c=")</f>
        <v>#REF!</v>
      </c>
      <c r="HY494" t="e">
        <f>AND(#REF!,"AAAAAC7f4+g=")</f>
        <v>#REF!</v>
      </c>
      <c r="HZ494" t="e">
        <f>AND(#REF!,"AAAAAC7f4+k=")</f>
        <v>#REF!</v>
      </c>
      <c r="IA494" t="e">
        <f>AND(#REF!,"AAAAAC7f4+o=")</f>
        <v>#REF!</v>
      </c>
      <c r="IB494" t="e">
        <f>AND(#REF!,"AAAAAC7f4+s=")</f>
        <v>#REF!</v>
      </c>
      <c r="IC494" t="e">
        <f>AND(#REF!,"AAAAAC7f4+w=")</f>
        <v>#REF!</v>
      </c>
      <c r="ID494" t="e">
        <f>AND(#REF!,"AAAAAC7f4+0=")</f>
        <v>#REF!</v>
      </c>
      <c r="IE494" t="e">
        <f>AND(#REF!,"AAAAAC7f4+4=")</f>
        <v>#REF!</v>
      </c>
      <c r="IF494" t="e">
        <f>AND(#REF!,"AAAAAC7f4+8=")</f>
        <v>#REF!</v>
      </c>
      <c r="IG494" t="e">
        <f>IF(#REF!,"AAAAAC7f4/A=",0)</f>
        <v>#REF!</v>
      </c>
      <c r="IH494" t="e">
        <f>AND(#REF!,"AAAAAC7f4/E=")</f>
        <v>#REF!</v>
      </c>
      <c r="II494" t="e">
        <f>AND(#REF!,"AAAAAC7f4/I=")</f>
        <v>#REF!</v>
      </c>
      <c r="IJ494" t="e">
        <f>AND(#REF!,"AAAAAC7f4/M=")</f>
        <v>#REF!</v>
      </c>
      <c r="IK494" t="e">
        <f>AND(#REF!,"AAAAAC7f4/Q=")</f>
        <v>#REF!</v>
      </c>
      <c r="IL494" t="e">
        <f>AND(#REF!,"AAAAAC7f4/U=")</f>
        <v>#REF!</v>
      </c>
      <c r="IM494" t="e">
        <f>AND(#REF!,"AAAAAC7f4/Y=")</f>
        <v>#REF!</v>
      </c>
      <c r="IN494" t="e">
        <f>AND(#REF!,"AAAAAC7f4/c=")</f>
        <v>#REF!</v>
      </c>
      <c r="IO494" t="e">
        <f>AND(#REF!,"AAAAAC7f4/g=")</f>
        <v>#REF!</v>
      </c>
      <c r="IP494" t="e">
        <f>AND(#REF!,"AAAAAC7f4/k=")</f>
        <v>#REF!</v>
      </c>
      <c r="IQ494" t="e">
        <f>AND(#REF!,"AAAAAC7f4/o=")</f>
        <v>#REF!</v>
      </c>
      <c r="IR494" t="e">
        <f>IF(#REF!,"AAAAAC7f4/s=",0)</f>
        <v>#REF!</v>
      </c>
      <c r="IS494" t="e">
        <f>AND(#REF!,"AAAAAC7f4/w=")</f>
        <v>#REF!</v>
      </c>
      <c r="IT494" t="e">
        <f>AND(#REF!,"AAAAAC7f4/0=")</f>
        <v>#REF!</v>
      </c>
      <c r="IU494" t="e">
        <f>AND(#REF!,"AAAAAC7f4/4=")</f>
        <v>#REF!</v>
      </c>
      <c r="IV494" t="e">
        <f>AND(#REF!,"AAAAAC7f4/8=")</f>
        <v>#REF!</v>
      </c>
    </row>
    <row r="495" spans="1:256" x14ac:dyDescent="0.25">
      <c r="A495" t="e">
        <f>AND(#REF!,"AAAAAFtu7wA=")</f>
        <v>#REF!</v>
      </c>
      <c r="B495" t="e">
        <f>AND(#REF!,"AAAAAFtu7wE=")</f>
        <v>#REF!</v>
      </c>
      <c r="C495" t="e">
        <f>AND(#REF!,"AAAAAFtu7wI=")</f>
        <v>#REF!</v>
      </c>
      <c r="D495" t="e">
        <f>AND(#REF!,"AAAAAFtu7wM=")</f>
        <v>#REF!</v>
      </c>
      <c r="E495" t="e">
        <f>AND(#REF!,"AAAAAFtu7wQ=")</f>
        <v>#REF!</v>
      </c>
      <c r="F495" t="e">
        <f>AND(#REF!,"AAAAAFtu7wU=")</f>
        <v>#REF!</v>
      </c>
      <c r="G495" t="e">
        <f>IF(#REF!,"AAAAAFtu7wY=",0)</f>
        <v>#REF!</v>
      </c>
      <c r="H495" t="e">
        <f>AND(#REF!,"AAAAAFtu7wc=")</f>
        <v>#REF!</v>
      </c>
      <c r="I495" t="e">
        <f>AND(#REF!,"AAAAAFtu7wg=")</f>
        <v>#REF!</v>
      </c>
      <c r="J495" t="e">
        <f>AND(#REF!,"AAAAAFtu7wk=")</f>
        <v>#REF!</v>
      </c>
      <c r="K495" t="e">
        <f>AND(#REF!,"AAAAAFtu7wo=")</f>
        <v>#REF!</v>
      </c>
      <c r="L495" t="e">
        <f>AND(#REF!,"AAAAAFtu7ws=")</f>
        <v>#REF!</v>
      </c>
      <c r="M495" t="e">
        <f>AND(#REF!,"AAAAAFtu7ww=")</f>
        <v>#REF!</v>
      </c>
      <c r="N495" t="e">
        <f>AND(#REF!,"AAAAAFtu7w0=")</f>
        <v>#REF!</v>
      </c>
      <c r="O495" t="e">
        <f>AND(#REF!,"AAAAAFtu7w4=")</f>
        <v>#REF!</v>
      </c>
      <c r="P495" t="e">
        <f>AND(#REF!,"AAAAAFtu7w8=")</f>
        <v>#REF!</v>
      </c>
      <c r="Q495" t="e">
        <f>AND(#REF!,"AAAAAFtu7xA=")</f>
        <v>#REF!</v>
      </c>
      <c r="R495" t="e">
        <f>IF(#REF!,"AAAAAFtu7xE=",0)</f>
        <v>#REF!</v>
      </c>
      <c r="S495" t="e">
        <f>AND(#REF!,"AAAAAFtu7xI=")</f>
        <v>#REF!</v>
      </c>
      <c r="T495" t="e">
        <f>AND(#REF!,"AAAAAFtu7xM=")</f>
        <v>#REF!</v>
      </c>
      <c r="U495" t="e">
        <f>AND(#REF!,"AAAAAFtu7xQ=")</f>
        <v>#REF!</v>
      </c>
      <c r="V495" t="e">
        <f>AND(#REF!,"AAAAAFtu7xU=")</f>
        <v>#REF!</v>
      </c>
      <c r="W495" t="e">
        <f>AND(#REF!,"AAAAAFtu7xY=")</f>
        <v>#REF!</v>
      </c>
      <c r="X495" t="e">
        <f>AND(#REF!,"AAAAAFtu7xc=")</f>
        <v>#REF!</v>
      </c>
      <c r="Y495" t="e">
        <f>AND(#REF!,"AAAAAFtu7xg=")</f>
        <v>#REF!</v>
      </c>
      <c r="Z495" t="e">
        <f>AND(#REF!,"AAAAAFtu7xk=")</f>
        <v>#REF!</v>
      </c>
      <c r="AA495" t="e">
        <f>AND(#REF!,"AAAAAFtu7xo=")</f>
        <v>#REF!</v>
      </c>
      <c r="AB495" t="e">
        <f>AND(#REF!,"AAAAAFtu7xs=")</f>
        <v>#REF!</v>
      </c>
      <c r="AC495" t="e">
        <f>IF(#REF!,"AAAAAFtu7xw=",0)</f>
        <v>#REF!</v>
      </c>
      <c r="AD495" t="e">
        <f>AND(#REF!,"AAAAAFtu7x0=")</f>
        <v>#REF!</v>
      </c>
      <c r="AE495" t="e">
        <f>AND(#REF!,"AAAAAFtu7x4=")</f>
        <v>#REF!</v>
      </c>
      <c r="AF495" t="e">
        <f>AND(#REF!,"AAAAAFtu7x8=")</f>
        <v>#REF!</v>
      </c>
      <c r="AG495" t="e">
        <f>AND(#REF!,"AAAAAFtu7yA=")</f>
        <v>#REF!</v>
      </c>
      <c r="AH495" t="e">
        <f>AND(#REF!,"AAAAAFtu7yE=")</f>
        <v>#REF!</v>
      </c>
      <c r="AI495" t="e">
        <f>AND(#REF!,"AAAAAFtu7yI=")</f>
        <v>#REF!</v>
      </c>
      <c r="AJ495" t="e">
        <f>AND(#REF!,"AAAAAFtu7yM=")</f>
        <v>#REF!</v>
      </c>
      <c r="AK495" t="e">
        <f>AND(#REF!,"AAAAAFtu7yQ=")</f>
        <v>#REF!</v>
      </c>
      <c r="AL495" t="e">
        <f>AND(#REF!,"AAAAAFtu7yU=")</f>
        <v>#REF!</v>
      </c>
      <c r="AM495" t="e">
        <f>AND(#REF!,"AAAAAFtu7yY=")</f>
        <v>#REF!</v>
      </c>
      <c r="AN495" t="e">
        <f>IF(#REF!,"AAAAAFtu7yc=",0)</f>
        <v>#REF!</v>
      </c>
      <c r="AO495" t="e">
        <f>AND(#REF!,"AAAAAFtu7yg=")</f>
        <v>#REF!</v>
      </c>
      <c r="AP495" t="e">
        <f>AND(#REF!,"AAAAAFtu7yk=")</f>
        <v>#REF!</v>
      </c>
      <c r="AQ495" t="e">
        <f>AND(#REF!,"AAAAAFtu7yo=")</f>
        <v>#REF!</v>
      </c>
      <c r="AR495" t="e">
        <f>AND(#REF!,"AAAAAFtu7ys=")</f>
        <v>#REF!</v>
      </c>
      <c r="AS495" t="e">
        <f>AND(#REF!,"AAAAAFtu7yw=")</f>
        <v>#REF!</v>
      </c>
      <c r="AT495" t="e">
        <f>AND(#REF!,"AAAAAFtu7y0=")</f>
        <v>#REF!</v>
      </c>
      <c r="AU495" t="e">
        <f>AND(#REF!,"AAAAAFtu7y4=")</f>
        <v>#REF!</v>
      </c>
      <c r="AV495" t="e">
        <f>AND(#REF!,"AAAAAFtu7y8=")</f>
        <v>#REF!</v>
      </c>
      <c r="AW495" t="e">
        <f>AND(#REF!,"AAAAAFtu7zA=")</f>
        <v>#REF!</v>
      </c>
      <c r="AX495" t="e">
        <f>AND(#REF!,"AAAAAFtu7zE=")</f>
        <v>#REF!</v>
      </c>
      <c r="AY495" t="e">
        <f>IF(#REF!,"AAAAAFtu7zI=",0)</f>
        <v>#REF!</v>
      </c>
      <c r="AZ495" t="e">
        <f>AND(#REF!,"AAAAAFtu7zM=")</f>
        <v>#REF!</v>
      </c>
      <c r="BA495" t="e">
        <f>AND(#REF!,"AAAAAFtu7zQ=")</f>
        <v>#REF!</v>
      </c>
      <c r="BB495" t="e">
        <f>AND(#REF!,"AAAAAFtu7zU=")</f>
        <v>#REF!</v>
      </c>
      <c r="BC495" t="e">
        <f>AND(#REF!,"AAAAAFtu7zY=")</f>
        <v>#REF!</v>
      </c>
      <c r="BD495" t="e">
        <f>AND(#REF!,"AAAAAFtu7zc=")</f>
        <v>#REF!</v>
      </c>
      <c r="BE495" t="e">
        <f>AND(#REF!,"AAAAAFtu7zg=")</f>
        <v>#REF!</v>
      </c>
      <c r="BF495" t="e">
        <f>AND(#REF!,"AAAAAFtu7zk=")</f>
        <v>#REF!</v>
      </c>
      <c r="BG495" t="e">
        <f>AND(#REF!,"AAAAAFtu7zo=")</f>
        <v>#REF!</v>
      </c>
      <c r="BH495" t="e">
        <f>AND(#REF!,"AAAAAFtu7zs=")</f>
        <v>#REF!</v>
      </c>
      <c r="BI495" t="e">
        <f>AND(#REF!,"AAAAAFtu7zw=")</f>
        <v>#REF!</v>
      </c>
      <c r="BJ495" t="e">
        <f>IF(#REF!,"AAAAAFtu7z0=",0)</f>
        <v>#REF!</v>
      </c>
      <c r="BK495" t="e">
        <f>AND(#REF!,"AAAAAFtu7z4=")</f>
        <v>#REF!</v>
      </c>
      <c r="BL495" t="e">
        <f>AND(#REF!,"AAAAAFtu7z8=")</f>
        <v>#REF!</v>
      </c>
      <c r="BM495" t="e">
        <f>AND(#REF!,"AAAAAFtu70A=")</f>
        <v>#REF!</v>
      </c>
      <c r="BN495" t="e">
        <f>AND(#REF!,"AAAAAFtu70E=")</f>
        <v>#REF!</v>
      </c>
      <c r="BO495" t="e">
        <f>AND(#REF!,"AAAAAFtu70I=")</f>
        <v>#REF!</v>
      </c>
      <c r="BP495" t="e">
        <f>AND(#REF!,"AAAAAFtu70M=")</f>
        <v>#REF!</v>
      </c>
      <c r="BQ495" t="e">
        <f>AND(#REF!,"AAAAAFtu70Q=")</f>
        <v>#REF!</v>
      </c>
      <c r="BR495" t="e">
        <f>AND(#REF!,"AAAAAFtu70U=")</f>
        <v>#REF!</v>
      </c>
      <c r="BS495" t="e">
        <f>AND(#REF!,"AAAAAFtu70Y=")</f>
        <v>#REF!</v>
      </c>
      <c r="BT495" t="e">
        <f>AND(#REF!,"AAAAAFtu70c=")</f>
        <v>#REF!</v>
      </c>
      <c r="BU495" t="e">
        <f>IF(#REF!,"AAAAAFtu70g=",0)</f>
        <v>#REF!</v>
      </c>
      <c r="BV495" t="e">
        <f>AND(#REF!,"AAAAAFtu70k=")</f>
        <v>#REF!</v>
      </c>
      <c r="BW495" t="e">
        <f>AND(#REF!,"AAAAAFtu70o=")</f>
        <v>#REF!</v>
      </c>
      <c r="BX495" t="e">
        <f>AND(#REF!,"AAAAAFtu70s=")</f>
        <v>#REF!</v>
      </c>
      <c r="BY495" t="e">
        <f>AND(#REF!,"AAAAAFtu70w=")</f>
        <v>#REF!</v>
      </c>
      <c r="BZ495" t="e">
        <f>AND(#REF!,"AAAAAFtu700=")</f>
        <v>#REF!</v>
      </c>
      <c r="CA495" t="e">
        <f>AND(#REF!,"AAAAAFtu704=")</f>
        <v>#REF!</v>
      </c>
      <c r="CB495" t="e">
        <f>AND(#REF!,"AAAAAFtu708=")</f>
        <v>#REF!</v>
      </c>
      <c r="CC495" t="e">
        <f>AND(#REF!,"AAAAAFtu71A=")</f>
        <v>#REF!</v>
      </c>
      <c r="CD495" t="e">
        <f>AND(#REF!,"AAAAAFtu71E=")</f>
        <v>#REF!</v>
      </c>
      <c r="CE495" t="e">
        <f>AND(#REF!,"AAAAAFtu71I=")</f>
        <v>#REF!</v>
      </c>
      <c r="CF495" t="e">
        <f>IF(#REF!,"AAAAAFtu71M=",0)</f>
        <v>#REF!</v>
      </c>
      <c r="CG495" t="e">
        <f>AND(#REF!,"AAAAAFtu71Q=")</f>
        <v>#REF!</v>
      </c>
      <c r="CH495" t="e">
        <f>AND(#REF!,"AAAAAFtu71U=")</f>
        <v>#REF!</v>
      </c>
      <c r="CI495" t="e">
        <f>AND(#REF!,"AAAAAFtu71Y=")</f>
        <v>#REF!</v>
      </c>
      <c r="CJ495" t="e">
        <f>AND(#REF!,"AAAAAFtu71c=")</f>
        <v>#REF!</v>
      </c>
      <c r="CK495" t="e">
        <f>AND(#REF!,"AAAAAFtu71g=")</f>
        <v>#REF!</v>
      </c>
      <c r="CL495" t="e">
        <f>AND(#REF!,"AAAAAFtu71k=")</f>
        <v>#REF!</v>
      </c>
      <c r="CM495" t="e">
        <f>AND(#REF!,"AAAAAFtu71o=")</f>
        <v>#REF!</v>
      </c>
      <c r="CN495" t="e">
        <f>AND(#REF!,"AAAAAFtu71s=")</f>
        <v>#REF!</v>
      </c>
      <c r="CO495" t="e">
        <f>AND(#REF!,"AAAAAFtu71w=")</f>
        <v>#REF!</v>
      </c>
      <c r="CP495" t="e">
        <f>AND(#REF!,"AAAAAFtu710=")</f>
        <v>#REF!</v>
      </c>
      <c r="CQ495" t="e">
        <f>IF(#REF!,"AAAAAFtu714=",0)</f>
        <v>#REF!</v>
      </c>
      <c r="CR495" t="e">
        <f>AND(#REF!,"AAAAAFtu718=")</f>
        <v>#REF!</v>
      </c>
      <c r="CS495" t="e">
        <f>AND(#REF!,"AAAAAFtu72A=")</f>
        <v>#REF!</v>
      </c>
      <c r="CT495" t="e">
        <f>AND(#REF!,"AAAAAFtu72E=")</f>
        <v>#REF!</v>
      </c>
      <c r="CU495" t="e">
        <f>AND(#REF!,"AAAAAFtu72I=")</f>
        <v>#REF!</v>
      </c>
      <c r="CV495" t="e">
        <f>AND(#REF!,"AAAAAFtu72M=")</f>
        <v>#REF!</v>
      </c>
      <c r="CW495" t="e">
        <f>AND(#REF!,"AAAAAFtu72Q=")</f>
        <v>#REF!</v>
      </c>
      <c r="CX495" t="e">
        <f>AND(#REF!,"AAAAAFtu72U=")</f>
        <v>#REF!</v>
      </c>
      <c r="CY495" t="e">
        <f>AND(#REF!,"AAAAAFtu72Y=")</f>
        <v>#REF!</v>
      </c>
      <c r="CZ495" t="e">
        <f>AND(#REF!,"AAAAAFtu72c=")</f>
        <v>#REF!</v>
      </c>
      <c r="DA495" t="e">
        <f>AND(#REF!,"AAAAAFtu72g=")</f>
        <v>#REF!</v>
      </c>
      <c r="DB495" t="e">
        <f>IF(#REF!,"AAAAAFtu72k=",0)</f>
        <v>#REF!</v>
      </c>
      <c r="DC495" t="e">
        <f>AND(#REF!,"AAAAAFtu72o=")</f>
        <v>#REF!</v>
      </c>
      <c r="DD495" t="e">
        <f>AND(#REF!,"AAAAAFtu72s=")</f>
        <v>#REF!</v>
      </c>
      <c r="DE495" t="e">
        <f>AND(#REF!,"AAAAAFtu72w=")</f>
        <v>#REF!</v>
      </c>
      <c r="DF495" t="e">
        <f>AND(#REF!,"AAAAAFtu720=")</f>
        <v>#REF!</v>
      </c>
      <c r="DG495" t="e">
        <f>AND(#REF!,"AAAAAFtu724=")</f>
        <v>#REF!</v>
      </c>
      <c r="DH495" t="e">
        <f>AND(#REF!,"AAAAAFtu728=")</f>
        <v>#REF!</v>
      </c>
      <c r="DI495" t="e">
        <f>AND(#REF!,"AAAAAFtu73A=")</f>
        <v>#REF!</v>
      </c>
      <c r="DJ495" t="e">
        <f>AND(#REF!,"AAAAAFtu73E=")</f>
        <v>#REF!</v>
      </c>
      <c r="DK495" t="e">
        <f>AND(#REF!,"AAAAAFtu73I=")</f>
        <v>#REF!</v>
      </c>
      <c r="DL495" t="e">
        <f>AND(#REF!,"AAAAAFtu73M=")</f>
        <v>#REF!</v>
      </c>
      <c r="DM495" t="e">
        <f>IF(#REF!,"AAAAAFtu73Q=",0)</f>
        <v>#REF!</v>
      </c>
      <c r="DN495" t="e">
        <f>AND(#REF!,"AAAAAFtu73U=")</f>
        <v>#REF!</v>
      </c>
      <c r="DO495" t="e">
        <f>AND(#REF!,"AAAAAFtu73Y=")</f>
        <v>#REF!</v>
      </c>
      <c r="DP495" t="e">
        <f>AND(#REF!,"AAAAAFtu73c=")</f>
        <v>#REF!</v>
      </c>
      <c r="DQ495" t="e">
        <f>AND(#REF!,"AAAAAFtu73g=")</f>
        <v>#REF!</v>
      </c>
      <c r="DR495" t="e">
        <f>AND(#REF!,"AAAAAFtu73k=")</f>
        <v>#REF!</v>
      </c>
      <c r="DS495" t="e">
        <f>AND(#REF!,"AAAAAFtu73o=")</f>
        <v>#REF!</v>
      </c>
      <c r="DT495" t="e">
        <f>AND(#REF!,"AAAAAFtu73s=")</f>
        <v>#REF!</v>
      </c>
      <c r="DU495" t="e">
        <f>AND(#REF!,"AAAAAFtu73w=")</f>
        <v>#REF!</v>
      </c>
      <c r="DV495" t="e">
        <f>AND(#REF!,"AAAAAFtu730=")</f>
        <v>#REF!</v>
      </c>
      <c r="DW495" t="e">
        <f>AND(#REF!,"AAAAAFtu734=")</f>
        <v>#REF!</v>
      </c>
      <c r="DX495" t="e">
        <f>IF(#REF!,"AAAAAFtu738=",0)</f>
        <v>#REF!</v>
      </c>
      <c r="DY495" t="e">
        <f>AND(#REF!,"AAAAAFtu74A=")</f>
        <v>#REF!</v>
      </c>
      <c r="DZ495" t="e">
        <f>AND(#REF!,"AAAAAFtu74E=")</f>
        <v>#REF!</v>
      </c>
      <c r="EA495" t="e">
        <f>AND(#REF!,"AAAAAFtu74I=")</f>
        <v>#REF!</v>
      </c>
      <c r="EB495" t="e">
        <f>AND(#REF!,"AAAAAFtu74M=")</f>
        <v>#REF!</v>
      </c>
      <c r="EC495" t="e">
        <f>AND(#REF!,"AAAAAFtu74Q=")</f>
        <v>#REF!</v>
      </c>
      <c r="ED495" t="e">
        <f>AND(#REF!,"AAAAAFtu74U=")</f>
        <v>#REF!</v>
      </c>
      <c r="EE495" t="e">
        <f>AND(#REF!,"AAAAAFtu74Y=")</f>
        <v>#REF!</v>
      </c>
      <c r="EF495" t="e">
        <f>AND(#REF!,"AAAAAFtu74c=")</f>
        <v>#REF!</v>
      </c>
      <c r="EG495" t="e">
        <f>AND(#REF!,"AAAAAFtu74g=")</f>
        <v>#REF!</v>
      </c>
      <c r="EH495" t="e">
        <f>AND(#REF!,"AAAAAFtu74k=")</f>
        <v>#REF!</v>
      </c>
      <c r="EI495" t="e">
        <f>IF(#REF!,"AAAAAFtu74o=",0)</f>
        <v>#REF!</v>
      </c>
      <c r="EJ495" t="e">
        <f>AND(#REF!,"AAAAAFtu74s=")</f>
        <v>#REF!</v>
      </c>
      <c r="EK495" t="e">
        <f>AND(#REF!,"AAAAAFtu74w=")</f>
        <v>#REF!</v>
      </c>
      <c r="EL495" t="e">
        <f>AND(#REF!,"AAAAAFtu740=")</f>
        <v>#REF!</v>
      </c>
      <c r="EM495" t="e">
        <f>AND(#REF!,"AAAAAFtu744=")</f>
        <v>#REF!</v>
      </c>
      <c r="EN495" t="e">
        <f>AND(#REF!,"AAAAAFtu748=")</f>
        <v>#REF!</v>
      </c>
      <c r="EO495" t="e">
        <f>AND(#REF!,"AAAAAFtu75A=")</f>
        <v>#REF!</v>
      </c>
      <c r="EP495" t="e">
        <f>AND(#REF!,"AAAAAFtu75E=")</f>
        <v>#REF!</v>
      </c>
      <c r="EQ495" t="e">
        <f>AND(#REF!,"AAAAAFtu75I=")</f>
        <v>#REF!</v>
      </c>
      <c r="ER495" t="e">
        <f>AND(#REF!,"AAAAAFtu75M=")</f>
        <v>#REF!</v>
      </c>
      <c r="ES495" t="e">
        <f>AND(#REF!,"AAAAAFtu75Q=")</f>
        <v>#REF!</v>
      </c>
      <c r="ET495" t="e">
        <f>IF(#REF!,"AAAAAFtu75U=",0)</f>
        <v>#REF!</v>
      </c>
      <c r="EU495" t="e">
        <f>AND(#REF!,"AAAAAFtu75Y=")</f>
        <v>#REF!</v>
      </c>
      <c r="EV495" t="e">
        <f>AND(#REF!,"AAAAAFtu75c=")</f>
        <v>#REF!</v>
      </c>
      <c r="EW495" t="e">
        <f>AND(#REF!,"AAAAAFtu75g=")</f>
        <v>#REF!</v>
      </c>
      <c r="EX495" t="e">
        <f>AND(#REF!,"AAAAAFtu75k=")</f>
        <v>#REF!</v>
      </c>
      <c r="EY495" t="e">
        <f>AND(#REF!,"AAAAAFtu75o=")</f>
        <v>#REF!</v>
      </c>
      <c r="EZ495" t="e">
        <f>AND(#REF!,"AAAAAFtu75s=")</f>
        <v>#REF!</v>
      </c>
      <c r="FA495" t="e">
        <f>AND(#REF!,"AAAAAFtu75w=")</f>
        <v>#REF!</v>
      </c>
      <c r="FB495" t="e">
        <f>AND(#REF!,"AAAAAFtu750=")</f>
        <v>#REF!</v>
      </c>
      <c r="FC495" t="e">
        <f>AND(#REF!,"AAAAAFtu754=")</f>
        <v>#REF!</v>
      </c>
      <c r="FD495" t="e">
        <f>AND(#REF!,"AAAAAFtu758=")</f>
        <v>#REF!</v>
      </c>
      <c r="FE495" t="e">
        <f>IF(#REF!,"AAAAAFtu76A=",0)</f>
        <v>#REF!</v>
      </c>
      <c r="FF495" t="e">
        <f>AND(#REF!,"AAAAAFtu76E=")</f>
        <v>#REF!</v>
      </c>
      <c r="FG495" t="e">
        <f>AND(#REF!,"AAAAAFtu76I=")</f>
        <v>#REF!</v>
      </c>
      <c r="FH495" t="e">
        <f>AND(#REF!,"AAAAAFtu76M=")</f>
        <v>#REF!</v>
      </c>
      <c r="FI495" t="e">
        <f>AND(#REF!,"AAAAAFtu76Q=")</f>
        <v>#REF!</v>
      </c>
      <c r="FJ495" t="e">
        <f>AND(#REF!,"AAAAAFtu76U=")</f>
        <v>#REF!</v>
      </c>
      <c r="FK495" t="e">
        <f>AND(#REF!,"AAAAAFtu76Y=")</f>
        <v>#REF!</v>
      </c>
      <c r="FL495" t="e">
        <f>AND(#REF!,"AAAAAFtu76c=")</f>
        <v>#REF!</v>
      </c>
      <c r="FM495" t="e">
        <f>AND(#REF!,"AAAAAFtu76g=")</f>
        <v>#REF!</v>
      </c>
      <c r="FN495" t="e">
        <f>AND(#REF!,"AAAAAFtu76k=")</f>
        <v>#REF!</v>
      </c>
      <c r="FO495" t="e">
        <f>AND(#REF!,"AAAAAFtu76o=")</f>
        <v>#REF!</v>
      </c>
      <c r="FP495" t="e">
        <f>IF(#REF!,"AAAAAFtu76s=",0)</f>
        <v>#REF!</v>
      </c>
      <c r="FQ495" t="e">
        <f>AND(#REF!,"AAAAAFtu76w=")</f>
        <v>#REF!</v>
      </c>
      <c r="FR495" t="e">
        <f>AND(#REF!,"AAAAAFtu760=")</f>
        <v>#REF!</v>
      </c>
      <c r="FS495" t="e">
        <f>AND(#REF!,"AAAAAFtu764=")</f>
        <v>#REF!</v>
      </c>
      <c r="FT495" t="e">
        <f>AND(#REF!,"AAAAAFtu768=")</f>
        <v>#REF!</v>
      </c>
      <c r="FU495" t="e">
        <f>AND(#REF!,"AAAAAFtu77A=")</f>
        <v>#REF!</v>
      </c>
      <c r="FV495" t="e">
        <f>AND(#REF!,"AAAAAFtu77E=")</f>
        <v>#REF!</v>
      </c>
      <c r="FW495" t="e">
        <f>AND(#REF!,"AAAAAFtu77I=")</f>
        <v>#REF!</v>
      </c>
      <c r="FX495" t="e">
        <f>AND(#REF!,"AAAAAFtu77M=")</f>
        <v>#REF!</v>
      </c>
      <c r="FY495" t="e">
        <f>AND(#REF!,"AAAAAFtu77Q=")</f>
        <v>#REF!</v>
      </c>
      <c r="FZ495" t="e">
        <f>AND(#REF!,"AAAAAFtu77U=")</f>
        <v>#REF!</v>
      </c>
      <c r="GA495" t="e">
        <f>IF(#REF!,"AAAAAFtu77Y=",0)</f>
        <v>#REF!</v>
      </c>
      <c r="GB495" t="e">
        <f>AND(#REF!,"AAAAAFtu77c=")</f>
        <v>#REF!</v>
      </c>
      <c r="GC495" t="e">
        <f>AND(#REF!,"AAAAAFtu77g=")</f>
        <v>#REF!</v>
      </c>
      <c r="GD495" t="e">
        <f>AND(#REF!,"AAAAAFtu77k=")</f>
        <v>#REF!</v>
      </c>
      <c r="GE495" t="e">
        <f>AND(#REF!,"AAAAAFtu77o=")</f>
        <v>#REF!</v>
      </c>
      <c r="GF495" t="e">
        <f>AND(#REF!,"AAAAAFtu77s=")</f>
        <v>#REF!</v>
      </c>
      <c r="GG495" t="e">
        <f>AND(#REF!,"AAAAAFtu77w=")</f>
        <v>#REF!</v>
      </c>
      <c r="GH495" t="e">
        <f>AND(#REF!,"AAAAAFtu770=")</f>
        <v>#REF!</v>
      </c>
      <c r="GI495" t="e">
        <f>AND(#REF!,"AAAAAFtu774=")</f>
        <v>#REF!</v>
      </c>
      <c r="GJ495" t="e">
        <f>AND(#REF!,"AAAAAFtu778=")</f>
        <v>#REF!</v>
      </c>
      <c r="GK495" t="e">
        <f>AND(#REF!,"AAAAAFtu78A=")</f>
        <v>#REF!</v>
      </c>
      <c r="GL495" t="e">
        <f>IF(#REF!,"AAAAAFtu78E=",0)</f>
        <v>#REF!</v>
      </c>
      <c r="GM495" t="e">
        <f>AND(#REF!,"AAAAAFtu78I=")</f>
        <v>#REF!</v>
      </c>
      <c r="GN495" t="e">
        <f>AND(#REF!,"AAAAAFtu78M=")</f>
        <v>#REF!</v>
      </c>
      <c r="GO495" t="e">
        <f>AND(#REF!,"AAAAAFtu78Q=")</f>
        <v>#REF!</v>
      </c>
      <c r="GP495" t="e">
        <f>AND(#REF!,"AAAAAFtu78U=")</f>
        <v>#REF!</v>
      </c>
      <c r="GQ495" t="e">
        <f>AND(#REF!,"AAAAAFtu78Y=")</f>
        <v>#REF!</v>
      </c>
      <c r="GR495" t="e">
        <f>AND(#REF!,"AAAAAFtu78c=")</f>
        <v>#REF!</v>
      </c>
      <c r="GS495" t="e">
        <f>AND(#REF!,"AAAAAFtu78g=")</f>
        <v>#REF!</v>
      </c>
      <c r="GT495" t="e">
        <f>AND(#REF!,"AAAAAFtu78k=")</f>
        <v>#REF!</v>
      </c>
      <c r="GU495" t="e">
        <f>AND(#REF!,"AAAAAFtu78o=")</f>
        <v>#REF!</v>
      </c>
      <c r="GV495" t="e">
        <f>AND(#REF!,"AAAAAFtu78s=")</f>
        <v>#REF!</v>
      </c>
      <c r="GW495" t="e">
        <f>IF(#REF!,"AAAAAFtu78w=",0)</f>
        <v>#REF!</v>
      </c>
      <c r="GX495" t="e">
        <f>AND(#REF!,"AAAAAFtu780=")</f>
        <v>#REF!</v>
      </c>
      <c r="GY495" t="e">
        <f>AND(#REF!,"AAAAAFtu784=")</f>
        <v>#REF!</v>
      </c>
      <c r="GZ495" t="e">
        <f>AND(#REF!,"AAAAAFtu788=")</f>
        <v>#REF!</v>
      </c>
      <c r="HA495" t="e">
        <f>AND(#REF!,"AAAAAFtu79A=")</f>
        <v>#REF!</v>
      </c>
      <c r="HB495" t="e">
        <f>AND(#REF!,"AAAAAFtu79E=")</f>
        <v>#REF!</v>
      </c>
      <c r="HC495" t="e">
        <f>AND(#REF!,"AAAAAFtu79I=")</f>
        <v>#REF!</v>
      </c>
      <c r="HD495" t="e">
        <f>AND(#REF!,"AAAAAFtu79M=")</f>
        <v>#REF!</v>
      </c>
      <c r="HE495" t="e">
        <f>AND(#REF!,"AAAAAFtu79Q=")</f>
        <v>#REF!</v>
      </c>
      <c r="HF495" t="e">
        <f>AND(#REF!,"AAAAAFtu79U=")</f>
        <v>#REF!</v>
      </c>
      <c r="HG495" t="e">
        <f>AND(#REF!,"AAAAAFtu79Y=")</f>
        <v>#REF!</v>
      </c>
      <c r="HH495" t="e">
        <f>IF(#REF!,"AAAAAFtu79c=",0)</f>
        <v>#REF!</v>
      </c>
      <c r="HI495" t="e">
        <f>AND(#REF!,"AAAAAFtu79g=")</f>
        <v>#REF!</v>
      </c>
      <c r="HJ495" t="e">
        <f>AND(#REF!,"AAAAAFtu79k=")</f>
        <v>#REF!</v>
      </c>
      <c r="HK495" t="e">
        <f>AND(#REF!,"AAAAAFtu79o=")</f>
        <v>#REF!</v>
      </c>
      <c r="HL495" t="e">
        <f>AND(#REF!,"AAAAAFtu79s=")</f>
        <v>#REF!</v>
      </c>
      <c r="HM495" t="e">
        <f>AND(#REF!,"AAAAAFtu79w=")</f>
        <v>#REF!</v>
      </c>
      <c r="HN495" t="e">
        <f>AND(#REF!,"AAAAAFtu790=")</f>
        <v>#REF!</v>
      </c>
      <c r="HO495" t="e">
        <f>AND(#REF!,"AAAAAFtu794=")</f>
        <v>#REF!</v>
      </c>
      <c r="HP495" t="e">
        <f>AND(#REF!,"AAAAAFtu798=")</f>
        <v>#REF!</v>
      </c>
      <c r="HQ495" t="e">
        <f>AND(#REF!,"AAAAAFtu7+A=")</f>
        <v>#REF!</v>
      </c>
      <c r="HR495" t="e">
        <f>AND(#REF!,"AAAAAFtu7+E=")</f>
        <v>#REF!</v>
      </c>
      <c r="HS495" t="e">
        <f>IF(#REF!,"AAAAAFtu7+I=",0)</f>
        <v>#REF!</v>
      </c>
      <c r="HT495" t="e">
        <f>AND(#REF!,"AAAAAFtu7+M=")</f>
        <v>#REF!</v>
      </c>
      <c r="HU495" t="e">
        <f>AND(#REF!,"AAAAAFtu7+Q=")</f>
        <v>#REF!</v>
      </c>
      <c r="HV495" t="e">
        <f>AND(#REF!,"AAAAAFtu7+U=")</f>
        <v>#REF!</v>
      </c>
      <c r="HW495" t="e">
        <f>AND(#REF!,"AAAAAFtu7+Y=")</f>
        <v>#REF!</v>
      </c>
      <c r="HX495" t="e">
        <f>AND(#REF!,"AAAAAFtu7+c=")</f>
        <v>#REF!</v>
      </c>
      <c r="HY495" t="e">
        <f>AND(#REF!,"AAAAAFtu7+g=")</f>
        <v>#REF!</v>
      </c>
      <c r="HZ495" t="e">
        <f>AND(#REF!,"AAAAAFtu7+k=")</f>
        <v>#REF!</v>
      </c>
      <c r="IA495" t="e">
        <f>AND(#REF!,"AAAAAFtu7+o=")</f>
        <v>#REF!</v>
      </c>
      <c r="IB495" t="e">
        <f>AND(#REF!,"AAAAAFtu7+s=")</f>
        <v>#REF!</v>
      </c>
      <c r="IC495" t="e">
        <f>AND(#REF!,"AAAAAFtu7+w=")</f>
        <v>#REF!</v>
      </c>
      <c r="ID495" t="e">
        <f>IF(#REF!,"AAAAAFtu7+0=",0)</f>
        <v>#REF!</v>
      </c>
      <c r="IE495" t="e">
        <f>AND(#REF!,"AAAAAFtu7+4=")</f>
        <v>#REF!</v>
      </c>
      <c r="IF495" t="e">
        <f>AND(#REF!,"AAAAAFtu7+8=")</f>
        <v>#REF!</v>
      </c>
      <c r="IG495" t="e">
        <f>AND(#REF!,"AAAAAFtu7/A=")</f>
        <v>#REF!</v>
      </c>
      <c r="IH495" t="e">
        <f>AND(#REF!,"AAAAAFtu7/E=")</f>
        <v>#REF!</v>
      </c>
      <c r="II495" t="e">
        <f>AND(#REF!,"AAAAAFtu7/I=")</f>
        <v>#REF!</v>
      </c>
      <c r="IJ495" t="e">
        <f>AND(#REF!,"AAAAAFtu7/M=")</f>
        <v>#REF!</v>
      </c>
      <c r="IK495" t="e">
        <f>AND(#REF!,"AAAAAFtu7/Q=")</f>
        <v>#REF!</v>
      </c>
      <c r="IL495" t="e">
        <f>AND(#REF!,"AAAAAFtu7/U=")</f>
        <v>#REF!</v>
      </c>
      <c r="IM495" t="e">
        <f>AND(#REF!,"AAAAAFtu7/Y=")</f>
        <v>#REF!</v>
      </c>
      <c r="IN495" t="e">
        <f>AND(#REF!,"AAAAAFtu7/c=")</f>
        <v>#REF!</v>
      </c>
      <c r="IO495" t="e">
        <f>IF(#REF!,"AAAAAFtu7/g=",0)</f>
        <v>#REF!</v>
      </c>
      <c r="IP495" t="e">
        <f>AND(#REF!,"AAAAAFtu7/k=")</f>
        <v>#REF!</v>
      </c>
      <c r="IQ495" t="e">
        <f>AND(#REF!,"AAAAAFtu7/o=")</f>
        <v>#REF!</v>
      </c>
      <c r="IR495" t="e">
        <f>AND(#REF!,"AAAAAFtu7/s=")</f>
        <v>#REF!</v>
      </c>
      <c r="IS495" t="e">
        <f>AND(#REF!,"AAAAAFtu7/w=")</f>
        <v>#REF!</v>
      </c>
      <c r="IT495" t="e">
        <f>AND(#REF!,"AAAAAFtu7/0=")</f>
        <v>#REF!</v>
      </c>
      <c r="IU495" t="e">
        <f>AND(#REF!,"AAAAAFtu7/4=")</f>
        <v>#REF!</v>
      </c>
      <c r="IV495" t="e">
        <f>AND(#REF!,"AAAAAFtu7/8=")</f>
        <v>#REF!</v>
      </c>
    </row>
    <row r="496" spans="1:256" x14ac:dyDescent="0.25">
      <c r="A496" t="e">
        <f>AND(#REF!,"AAAAAEv5XgA=")</f>
        <v>#REF!</v>
      </c>
      <c r="B496" t="e">
        <f>AND(#REF!,"AAAAAEv5XgE=")</f>
        <v>#REF!</v>
      </c>
      <c r="C496" t="e">
        <f>AND(#REF!,"AAAAAEv5XgI=")</f>
        <v>#REF!</v>
      </c>
      <c r="D496" t="e">
        <f>IF(#REF!,"AAAAAEv5XgM=",0)</f>
        <v>#REF!</v>
      </c>
      <c r="E496" t="e">
        <f>AND(#REF!,"AAAAAEv5XgQ=")</f>
        <v>#REF!</v>
      </c>
      <c r="F496" t="e">
        <f>AND(#REF!,"AAAAAEv5XgU=")</f>
        <v>#REF!</v>
      </c>
      <c r="G496" t="e">
        <f>AND(#REF!,"AAAAAEv5XgY=")</f>
        <v>#REF!</v>
      </c>
      <c r="H496" t="e">
        <f>AND(#REF!,"AAAAAEv5Xgc=")</f>
        <v>#REF!</v>
      </c>
      <c r="I496" t="e">
        <f>AND(#REF!,"AAAAAEv5Xgg=")</f>
        <v>#REF!</v>
      </c>
      <c r="J496" t="e">
        <f>AND(#REF!,"AAAAAEv5Xgk=")</f>
        <v>#REF!</v>
      </c>
      <c r="K496" t="e">
        <f>AND(#REF!,"AAAAAEv5Xgo=")</f>
        <v>#REF!</v>
      </c>
      <c r="L496" t="e">
        <f>AND(#REF!,"AAAAAEv5Xgs=")</f>
        <v>#REF!</v>
      </c>
      <c r="M496" t="e">
        <f>AND(#REF!,"AAAAAEv5Xgw=")</f>
        <v>#REF!</v>
      </c>
      <c r="N496" t="e">
        <f>AND(#REF!,"AAAAAEv5Xg0=")</f>
        <v>#REF!</v>
      </c>
      <c r="O496" t="e">
        <f>IF(#REF!,"AAAAAEv5Xg4=",0)</f>
        <v>#REF!</v>
      </c>
      <c r="P496" t="e">
        <f>AND(#REF!,"AAAAAEv5Xg8=")</f>
        <v>#REF!</v>
      </c>
      <c r="Q496" t="e">
        <f>AND(#REF!,"AAAAAEv5XhA=")</f>
        <v>#REF!</v>
      </c>
      <c r="R496" t="e">
        <f>AND(#REF!,"AAAAAEv5XhE=")</f>
        <v>#REF!</v>
      </c>
      <c r="S496" t="e">
        <f>AND(#REF!,"AAAAAEv5XhI=")</f>
        <v>#REF!</v>
      </c>
      <c r="T496" t="e">
        <f>AND(#REF!,"AAAAAEv5XhM=")</f>
        <v>#REF!</v>
      </c>
      <c r="U496" t="e">
        <f>AND(#REF!,"AAAAAEv5XhQ=")</f>
        <v>#REF!</v>
      </c>
      <c r="V496" t="e">
        <f>AND(#REF!,"AAAAAEv5XhU=")</f>
        <v>#REF!</v>
      </c>
      <c r="W496" t="e">
        <f>AND(#REF!,"AAAAAEv5XhY=")</f>
        <v>#REF!</v>
      </c>
      <c r="X496" t="e">
        <f>AND(#REF!,"AAAAAEv5Xhc=")</f>
        <v>#REF!</v>
      </c>
      <c r="Y496" t="e">
        <f>AND(#REF!,"AAAAAEv5Xhg=")</f>
        <v>#REF!</v>
      </c>
      <c r="Z496" t="e">
        <f>IF(#REF!,"AAAAAEv5Xhk=",0)</f>
        <v>#REF!</v>
      </c>
      <c r="AA496" t="e">
        <f>AND(#REF!,"AAAAAEv5Xho=")</f>
        <v>#REF!</v>
      </c>
      <c r="AB496" t="e">
        <f>AND(#REF!,"AAAAAEv5Xhs=")</f>
        <v>#REF!</v>
      </c>
      <c r="AC496" t="e">
        <f>AND(#REF!,"AAAAAEv5Xhw=")</f>
        <v>#REF!</v>
      </c>
      <c r="AD496" t="e">
        <f>AND(#REF!,"AAAAAEv5Xh0=")</f>
        <v>#REF!</v>
      </c>
      <c r="AE496" t="e">
        <f>AND(#REF!,"AAAAAEv5Xh4=")</f>
        <v>#REF!</v>
      </c>
      <c r="AF496" t="e">
        <f>AND(#REF!,"AAAAAEv5Xh8=")</f>
        <v>#REF!</v>
      </c>
      <c r="AG496" t="e">
        <f>AND(#REF!,"AAAAAEv5XiA=")</f>
        <v>#REF!</v>
      </c>
      <c r="AH496" t="e">
        <f>AND(#REF!,"AAAAAEv5XiE=")</f>
        <v>#REF!</v>
      </c>
      <c r="AI496" t="e">
        <f>AND(#REF!,"AAAAAEv5XiI=")</f>
        <v>#REF!</v>
      </c>
      <c r="AJ496" t="e">
        <f>AND(#REF!,"AAAAAEv5XiM=")</f>
        <v>#REF!</v>
      </c>
      <c r="AK496" t="e">
        <f>IF(#REF!,"AAAAAEv5XiQ=",0)</f>
        <v>#REF!</v>
      </c>
      <c r="AL496" t="e">
        <f>AND(#REF!,"AAAAAEv5XiU=")</f>
        <v>#REF!</v>
      </c>
      <c r="AM496" t="e">
        <f>AND(#REF!,"AAAAAEv5XiY=")</f>
        <v>#REF!</v>
      </c>
      <c r="AN496" t="e">
        <f>AND(#REF!,"AAAAAEv5Xic=")</f>
        <v>#REF!</v>
      </c>
      <c r="AO496" t="e">
        <f>AND(#REF!,"AAAAAEv5Xig=")</f>
        <v>#REF!</v>
      </c>
      <c r="AP496" t="e">
        <f>AND(#REF!,"AAAAAEv5Xik=")</f>
        <v>#REF!</v>
      </c>
      <c r="AQ496" t="e">
        <f>AND(#REF!,"AAAAAEv5Xio=")</f>
        <v>#REF!</v>
      </c>
      <c r="AR496" t="e">
        <f>AND(#REF!,"AAAAAEv5Xis=")</f>
        <v>#REF!</v>
      </c>
      <c r="AS496" t="e">
        <f>AND(#REF!,"AAAAAEv5Xiw=")</f>
        <v>#REF!</v>
      </c>
      <c r="AT496" t="e">
        <f>AND(#REF!,"AAAAAEv5Xi0=")</f>
        <v>#REF!</v>
      </c>
      <c r="AU496" t="e">
        <f>AND(#REF!,"AAAAAEv5Xi4=")</f>
        <v>#REF!</v>
      </c>
      <c r="AV496" t="e">
        <f>IF(#REF!,"AAAAAEv5Xi8=",0)</f>
        <v>#REF!</v>
      </c>
      <c r="AW496" t="e">
        <f>AND(#REF!,"AAAAAEv5XjA=")</f>
        <v>#REF!</v>
      </c>
      <c r="AX496" t="e">
        <f>AND(#REF!,"AAAAAEv5XjE=")</f>
        <v>#REF!</v>
      </c>
      <c r="AY496" t="e">
        <f>AND(#REF!,"AAAAAEv5XjI=")</f>
        <v>#REF!</v>
      </c>
      <c r="AZ496" t="e">
        <f>AND(#REF!,"AAAAAEv5XjM=")</f>
        <v>#REF!</v>
      </c>
      <c r="BA496" t="e">
        <f>AND(#REF!,"AAAAAEv5XjQ=")</f>
        <v>#REF!</v>
      </c>
      <c r="BB496" t="e">
        <f>AND(#REF!,"AAAAAEv5XjU=")</f>
        <v>#REF!</v>
      </c>
      <c r="BC496" t="e">
        <f>AND(#REF!,"AAAAAEv5XjY=")</f>
        <v>#REF!</v>
      </c>
      <c r="BD496" t="e">
        <f>AND(#REF!,"AAAAAEv5Xjc=")</f>
        <v>#REF!</v>
      </c>
      <c r="BE496" t="e">
        <f>AND(#REF!,"AAAAAEv5Xjg=")</f>
        <v>#REF!</v>
      </c>
      <c r="BF496" t="e">
        <f>AND(#REF!,"AAAAAEv5Xjk=")</f>
        <v>#REF!</v>
      </c>
      <c r="BG496" t="e">
        <f>IF(#REF!,"AAAAAEv5Xjo=",0)</f>
        <v>#REF!</v>
      </c>
      <c r="BH496" t="e">
        <f>AND(#REF!,"AAAAAEv5Xjs=")</f>
        <v>#REF!</v>
      </c>
      <c r="BI496" t="e">
        <f>AND(#REF!,"AAAAAEv5Xjw=")</f>
        <v>#REF!</v>
      </c>
      <c r="BJ496" t="e">
        <f>AND(#REF!,"AAAAAEv5Xj0=")</f>
        <v>#REF!</v>
      </c>
      <c r="BK496" t="e">
        <f>AND(#REF!,"AAAAAEv5Xj4=")</f>
        <v>#REF!</v>
      </c>
      <c r="BL496" t="e">
        <f>AND(#REF!,"AAAAAEv5Xj8=")</f>
        <v>#REF!</v>
      </c>
      <c r="BM496" t="e">
        <f>AND(#REF!,"AAAAAEv5XkA=")</f>
        <v>#REF!</v>
      </c>
      <c r="BN496" t="e">
        <f>AND(#REF!,"AAAAAEv5XkE=")</f>
        <v>#REF!</v>
      </c>
      <c r="BO496" t="e">
        <f>AND(#REF!,"AAAAAEv5XkI=")</f>
        <v>#REF!</v>
      </c>
      <c r="BP496" t="e">
        <f>AND(#REF!,"AAAAAEv5XkM=")</f>
        <v>#REF!</v>
      </c>
      <c r="BQ496" t="e">
        <f>AND(#REF!,"AAAAAEv5XkQ=")</f>
        <v>#REF!</v>
      </c>
      <c r="BR496" t="e">
        <f>IF(#REF!,"AAAAAEv5XkU=",0)</f>
        <v>#REF!</v>
      </c>
      <c r="BS496" t="e">
        <f>AND(#REF!,"AAAAAEv5XkY=")</f>
        <v>#REF!</v>
      </c>
      <c r="BT496" t="e">
        <f>AND(#REF!,"AAAAAEv5Xkc=")</f>
        <v>#REF!</v>
      </c>
      <c r="BU496" t="e">
        <f>AND(#REF!,"AAAAAEv5Xkg=")</f>
        <v>#REF!</v>
      </c>
      <c r="BV496" t="e">
        <f>AND(#REF!,"AAAAAEv5Xkk=")</f>
        <v>#REF!</v>
      </c>
      <c r="BW496" t="e">
        <f>AND(#REF!,"AAAAAEv5Xko=")</f>
        <v>#REF!</v>
      </c>
      <c r="BX496" t="e">
        <f>AND(#REF!,"AAAAAEv5Xks=")</f>
        <v>#REF!</v>
      </c>
      <c r="BY496" t="e">
        <f>AND(#REF!,"AAAAAEv5Xkw=")</f>
        <v>#REF!</v>
      </c>
      <c r="BZ496" t="e">
        <f>AND(#REF!,"AAAAAEv5Xk0=")</f>
        <v>#REF!</v>
      </c>
      <c r="CA496" t="e">
        <f>AND(#REF!,"AAAAAEv5Xk4=")</f>
        <v>#REF!</v>
      </c>
      <c r="CB496" t="e">
        <f>AND(#REF!,"AAAAAEv5Xk8=")</f>
        <v>#REF!</v>
      </c>
      <c r="CC496" t="e">
        <f>IF(#REF!,"AAAAAEv5XlA=",0)</f>
        <v>#REF!</v>
      </c>
      <c r="CD496" t="e">
        <f>AND(#REF!,"AAAAAEv5XlE=")</f>
        <v>#REF!</v>
      </c>
      <c r="CE496" t="e">
        <f>AND(#REF!,"AAAAAEv5XlI=")</f>
        <v>#REF!</v>
      </c>
      <c r="CF496" t="e">
        <f>AND(#REF!,"AAAAAEv5XlM=")</f>
        <v>#REF!</v>
      </c>
      <c r="CG496" t="e">
        <f>AND(#REF!,"AAAAAEv5XlQ=")</f>
        <v>#REF!</v>
      </c>
      <c r="CH496" t="e">
        <f>AND(#REF!,"AAAAAEv5XlU=")</f>
        <v>#REF!</v>
      </c>
      <c r="CI496" t="e">
        <f>AND(#REF!,"AAAAAEv5XlY=")</f>
        <v>#REF!</v>
      </c>
      <c r="CJ496" t="e">
        <f>AND(#REF!,"AAAAAEv5Xlc=")</f>
        <v>#REF!</v>
      </c>
      <c r="CK496" t="e">
        <f>AND(#REF!,"AAAAAEv5Xlg=")</f>
        <v>#REF!</v>
      </c>
      <c r="CL496" t="e">
        <f>AND(#REF!,"AAAAAEv5Xlk=")</f>
        <v>#REF!</v>
      </c>
      <c r="CM496" t="e">
        <f>AND(#REF!,"AAAAAEv5Xlo=")</f>
        <v>#REF!</v>
      </c>
      <c r="CN496" t="e">
        <f>IF(#REF!,"AAAAAEv5Xls=",0)</f>
        <v>#REF!</v>
      </c>
      <c r="CO496" t="e">
        <f>AND(#REF!,"AAAAAEv5Xlw=")</f>
        <v>#REF!</v>
      </c>
      <c r="CP496" t="e">
        <f>AND(#REF!,"AAAAAEv5Xl0=")</f>
        <v>#REF!</v>
      </c>
      <c r="CQ496" t="e">
        <f>AND(#REF!,"AAAAAEv5Xl4=")</f>
        <v>#REF!</v>
      </c>
      <c r="CR496" t="e">
        <f>AND(#REF!,"AAAAAEv5Xl8=")</f>
        <v>#REF!</v>
      </c>
      <c r="CS496" t="e">
        <f>AND(#REF!,"AAAAAEv5XmA=")</f>
        <v>#REF!</v>
      </c>
      <c r="CT496" t="e">
        <f>AND(#REF!,"AAAAAEv5XmE=")</f>
        <v>#REF!</v>
      </c>
      <c r="CU496" t="e">
        <f>AND(#REF!,"AAAAAEv5XmI=")</f>
        <v>#REF!</v>
      </c>
      <c r="CV496" t="e">
        <f>AND(#REF!,"AAAAAEv5XmM=")</f>
        <v>#REF!</v>
      </c>
      <c r="CW496" t="e">
        <f>AND(#REF!,"AAAAAEv5XmQ=")</f>
        <v>#REF!</v>
      </c>
      <c r="CX496" t="e">
        <f>AND(#REF!,"AAAAAEv5XmU=")</f>
        <v>#REF!</v>
      </c>
      <c r="CY496" t="e">
        <f>IF(#REF!,"AAAAAEv5XmY=",0)</f>
        <v>#REF!</v>
      </c>
      <c r="CZ496" t="e">
        <f>AND(#REF!,"AAAAAEv5Xmc=")</f>
        <v>#REF!</v>
      </c>
      <c r="DA496" t="e">
        <f>AND(#REF!,"AAAAAEv5Xmg=")</f>
        <v>#REF!</v>
      </c>
      <c r="DB496" t="e">
        <f>AND(#REF!,"AAAAAEv5Xmk=")</f>
        <v>#REF!</v>
      </c>
      <c r="DC496" t="e">
        <f>AND(#REF!,"AAAAAEv5Xmo=")</f>
        <v>#REF!</v>
      </c>
      <c r="DD496" t="e">
        <f>AND(#REF!,"AAAAAEv5Xms=")</f>
        <v>#REF!</v>
      </c>
      <c r="DE496" t="e">
        <f>AND(#REF!,"AAAAAEv5Xmw=")</f>
        <v>#REF!</v>
      </c>
      <c r="DF496" t="e">
        <f>AND(#REF!,"AAAAAEv5Xm0=")</f>
        <v>#REF!</v>
      </c>
      <c r="DG496" t="e">
        <f>AND(#REF!,"AAAAAEv5Xm4=")</f>
        <v>#REF!</v>
      </c>
      <c r="DH496" t="e">
        <f>AND(#REF!,"AAAAAEv5Xm8=")</f>
        <v>#REF!</v>
      </c>
      <c r="DI496" t="e">
        <f>AND(#REF!,"AAAAAEv5XnA=")</f>
        <v>#REF!</v>
      </c>
      <c r="DJ496" t="e">
        <f>IF(#REF!,"AAAAAEv5XnE=",0)</f>
        <v>#REF!</v>
      </c>
      <c r="DK496" t="e">
        <f>AND(#REF!,"AAAAAEv5XnI=")</f>
        <v>#REF!</v>
      </c>
      <c r="DL496" t="e">
        <f>AND(#REF!,"AAAAAEv5XnM=")</f>
        <v>#REF!</v>
      </c>
      <c r="DM496" t="e">
        <f>AND(#REF!,"AAAAAEv5XnQ=")</f>
        <v>#REF!</v>
      </c>
      <c r="DN496" t="e">
        <f>AND(#REF!,"AAAAAEv5XnU=")</f>
        <v>#REF!</v>
      </c>
      <c r="DO496" t="e">
        <f>AND(#REF!,"AAAAAEv5XnY=")</f>
        <v>#REF!</v>
      </c>
      <c r="DP496" t="e">
        <f>AND(#REF!,"AAAAAEv5Xnc=")</f>
        <v>#REF!</v>
      </c>
      <c r="DQ496" t="e">
        <f>AND(#REF!,"AAAAAEv5Xng=")</f>
        <v>#REF!</v>
      </c>
      <c r="DR496" t="e">
        <f>AND(#REF!,"AAAAAEv5Xnk=")</f>
        <v>#REF!</v>
      </c>
      <c r="DS496" t="e">
        <f>AND(#REF!,"AAAAAEv5Xno=")</f>
        <v>#REF!</v>
      </c>
      <c r="DT496" t="e">
        <f>AND(#REF!,"AAAAAEv5Xns=")</f>
        <v>#REF!</v>
      </c>
      <c r="DU496" t="e">
        <f>IF(#REF!,"AAAAAEv5Xnw=",0)</f>
        <v>#REF!</v>
      </c>
      <c r="DV496" t="e">
        <f>AND(#REF!,"AAAAAEv5Xn0=")</f>
        <v>#REF!</v>
      </c>
      <c r="DW496" t="e">
        <f>AND(#REF!,"AAAAAEv5Xn4=")</f>
        <v>#REF!</v>
      </c>
      <c r="DX496" t="e">
        <f>AND(#REF!,"AAAAAEv5Xn8=")</f>
        <v>#REF!</v>
      </c>
      <c r="DY496" t="e">
        <f>AND(#REF!,"AAAAAEv5XoA=")</f>
        <v>#REF!</v>
      </c>
      <c r="DZ496" t="e">
        <f>AND(#REF!,"AAAAAEv5XoE=")</f>
        <v>#REF!</v>
      </c>
      <c r="EA496" t="e">
        <f>AND(#REF!,"AAAAAEv5XoI=")</f>
        <v>#REF!</v>
      </c>
      <c r="EB496" t="e">
        <f>AND(#REF!,"AAAAAEv5XoM=")</f>
        <v>#REF!</v>
      </c>
      <c r="EC496" t="e">
        <f>AND(#REF!,"AAAAAEv5XoQ=")</f>
        <v>#REF!</v>
      </c>
      <c r="ED496" t="e">
        <f>AND(#REF!,"AAAAAEv5XoU=")</f>
        <v>#REF!</v>
      </c>
      <c r="EE496" t="e">
        <f>AND(#REF!,"AAAAAEv5XoY=")</f>
        <v>#REF!</v>
      </c>
      <c r="EF496" t="e">
        <f>IF(#REF!,"AAAAAEv5Xoc=",0)</f>
        <v>#REF!</v>
      </c>
      <c r="EG496" t="e">
        <f>AND(#REF!,"AAAAAEv5Xog=")</f>
        <v>#REF!</v>
      </c>
      <c r="EH496" t="e">
        <f>AND(#REF!,"AAAAAEv5Xok=")</f>
        <v>#REF!</v>
      </c>
      <c r="EI496" t="e">
        <f>AND(#REF!,"AAAAAEv5Xoo=")</f>
        <v>#REF!</v>
      </c>
      <c r="EJ496" t="e">
        <f>AND(#REF!,"AAAAAEv5Xos=")</f>
        <v>#REF!</v>
      </c>
      <c r="EK496" t="e">
        <f>AND(#REF!,"AAAAAEv5Xow=")</f>
        <v>#REF!</v>
      </c>
      <c r="EL496" t="e">
        <f>AND(#REF!,"AAAAAEv5Xo0=")</f>
        <v>#REF!</v>
      </c>
      <c r="EM496" t="e">
        <f>AND(#REF!,"AAAAAEv5Xo4=")</f>
        <v>#REF!</v>
      </c>
      <c r="EN496" t="e">
        <f>AND(#REF!,"AAAAAEv5Xo8=")</f>
        <v>#REF!</v>
      </c>
      <c r="EO496" t="e">
        <f>AND(#REF!,"AAAAAEv5XpA=")</f>
        <v>#REF!</v>
      </c>
      <c r="EP496" t="e">
        <f>AND(#REF!,"AAAAAEv5XpE=")</f>
        <v>#REF!</v>
      </c>
      <c r="EQ496" t="e">
        <f>IF(#REF!,"AAAAAEv5XpI=",0)</f>
        <v>#REF!</v>
      </c>
      <c r="ER496" t="e">
        <f>AND(#REF!,"AAAAAEv5XpM=")</f>
        <v>#REF!</v>
      </c>
      <c r="ES496" t="e">
        <f>AND(#REF!,"AAAAAEv5XpQ=")</f>
        <v>#REF!</v>
      </c>
      <c r="ET496" t="e">
        <f>AND(#REF!,"AAAAAEv5XpU=")</f>
        <v>#REF!</v>
      </c>
      <c r="EU496" t="e">
        <f>AND(#REF!,"AAAAAEv5XpY=")</f>
        <v>#REF!</v>
      </c>
      <c r="EV496" t="e">
        <f>AND(#REF!,"AAAAAEv5Xpc=")</f>
        <v>#REF!</v>
      </c>
      <c r="EW496" t="e">
        <f>AND(#REF!,"AAAAAEv5Xpg=")</f>
        <v>#REF!</v>
      </c>
      <c r="EX496" t="e">
        <f>AND(#REF!,"AAAAAEv5Xpk=")</f>
        <v>#REF!</v>
      </c>
      <c r="EY496" t="e">
        <f>AND(#REF!,"AAAAAEv5Xpo=")</f>
        <v>#REF!</v>
      </c>
      <c r="EZ496" t="e">
        <f>AND(#REF!,"AAAAAEv5Xps=")</f>
        <v>#REF!</v>
      </c>
      <c r="FA496" t="e">
        <f>AND(#REF!,"AAAAAEv5Xpw=")</f>
        <v>#REF!</v>
      </c>
      <c r="FB496" t="e">
        <f>IF(#REF!,"AAAAAEv5Xp0=",0)</f>
        <v>#REF!</v>
      </c>
      <c r="FC496" t="e">
        <f>AND(#REF!,"AAAAAEv5Xp4=")</f>
        <v>#REF!</v>
      </c>
      <c r="FD496" t="e">
        <f>AND(#REF!,"AAAAAEv5Xp8=")</f>
        <v>#REF!</v>
      </c>
      <c r="FE496" t="e">
        <f>AND(#REF!,"AAAAAEv5XqA=")</f>
        <v>#REF!</v>
      </c>
      <c r="FF496" t="e">
        <f>AND(#REF!,"AAAAAEv5XqE=")</f>
        <v>#REF!</v>
      </c>
      <c r="FG496" t="e">
        <f>AND(#REF!,"AAAAAEv5XqI=")</f>
        <v>#REF!</v>
      </c>
      <c r="FH496" t="e">
        <f>AND(#REF!,"AAAAAEv5XqM=")</f>
        <v>#REF!</v>
      </c>
      <c r="FI496" t="e">
        <f>AND(#REF!,"AAAAAEv5XqQ=")</f>
        <v>#REF!</v>
      </c>
      <c r="FJ496" t="e">
        <f>AND(#REF!,"AAAAAEv5XqU=")</f>
        <v>#REF!</v>
      </c>
      <c r="FK496" t="e">
        <f>AND(#REF!,"AAAAAEv5XqY=")</f>
        <v>#REF!</v>
      </c>
      <c r="FL496" t="e">
        <f>AND(#REF!,"AAAAAEv5Xqc=")</f>
        <v>#REF!</v>
      </c>
      <c r="FM496" t="e">
        <f>IF(#REF!,"AAAAAEv5Xqg=",0)</f>
        <v>#REF!</v>
      </c>
      <c r="FN496" t="e">
        <f>AND(#REF!,"AAAAAEv5Xqk=")</f>
        <v>#REF!</v>
      </c>
      <c r="FO496" t="e">
        <f>AND(#REF!,"AAAAAEv5Xqo=")</f>
        <v>#REF!</v>
      </c>
      <c r="FP496" t="e">
        <f>AND(#REF!,"AAAAAEv5Xqs=")</f>
        <v>#REF!</v>
      </c>
      <c r="FQ496" t="e">
        <f>AND(#REF!,"AAAAAEv5Xqw=")</f>
        <v>#REF!</v>
      </c>
      <c r="FR496" t="e">
        <f>AND(#REF!,"AAAAAEv5Xq0=")</f>
        <v>#REF!</v>
      </c>
      <c r="FS496" t="e">
        <f>AND(#REF!,"AAAAAEv5Xq4=")</f>
        <v>#REF!</v>
      </c>
      <c r="FT496" t="e">
        <f>AND(#REF!,"AAAAAEv5Xq8=")</f>
        <v>#REF!</v>
      </c>
      <c r="FU496" t="e">
        <f>AND(#REF!,"AAAAAEv5XrA=")</f>
        <v>#REF!</v>
      </c>
      <c r="FV496" t="e">
        <f>AND(#REF!,"AAAAAEv5XrE=")</f>
        <v>#REF!</v>
      </c>
      <c r="FW496" t="e">
        <f>AND(#REF!,"AAAAAEv5XrI=")</f>
        <v>#REF!</v>
      </c>
      <c r="FX496" t="e">
        <f>IF(#REF!,"AAAAAEv5XrM=",0)</f>
        <v>#REF!</v>
      </c>
      <c r="FY496" t="e">
        <f>AND(#REF!,"AAAAAEv5XrQ=")</f>
        <v>#REF!</v>
      </c>
      <c r="FZ496" t="e">
        <f>AND(#REF!,"AAAAAEv5XrU=")</f>
        <v>#REF!</v>
      </c>
      <c r="GA496" t="e">
        <f>AND(#REF!,"AAAAAEv5XrY=")</f>
        <v>#REF!</v>
      </c>
      <c r="GB496" t="e">
        <f>AND(#REF!,"AAAAAEv5Xrc=")</f>
        <v>#REF!</v>
      </c>
      <c r="GC496" t="e">
        <f>AND(#REF!,"AAAAAEv5Xrg=")</f>
        <v>#REF!</v>
      </c>
      <c r="GD496" t="e">
        <f>AND(#REF!,"AAAAAEv5Xrk=")</f>
        <v>#REF!</v>
      </c>
      <c r="GE496" t="e">
        <f>AND(#REF!,"AAAAAEv5Xro=")</f>
        <v>#REF!</v>
      </c>
      <c r="GF496" t="e">
        <f>AND(#REF!,"AAAAAEv5Xrs=")</f>
        <v>#REF!</v>
      </c>
      <c r="GG496" t="e">
        <f>AND(#REF!,"AAAAAEv5Xrw=")</f>
        <v>#REF!</v>
      </c>
      <c r="GH496" t="e">
        <f>AND(#REF!,"AAAAAEv5Xr0=")</f>
        <v>#REF!</v>
      </c>
      <c r="GI496" t="e">
        <f>IF(#REF!,"AAAAAEv5Xr4=",0)</f>
        <v>#REF!</v>
      </c>
      <c r="GJ496" t="e">
        <f>AND(#REF!,"AAAAAEv5Xr8=")</f>
        <v>#REF!</v>
      </c>
      <c r="GK496" t="e">
        <f>AND(#REF!,"AAAAAEv5XsA=")</f>
        <v>#REF!</v>
      </c>
      <c r="GL496" t="e">
        <f>AND(#REF!,"AAAAAEv5XsE=")</f>
        <v>#REF!</v>
      </c>
      <c r="GM496" t="e">
        <f>AND(#REF!,"AAAAAEv5XsI=")</f>
        <v>#REF!</v>
      </c>
      <c r="GN496" t="e">
        <f>AND(#REF!,"AAAAAEv5XsM=")</f>
        <v>#REF!</v>
      </c>
      <c r="GO496" t="e">
        <f>AND(#REF!,"AAAAAEv5XsQ=")</f>
        <v>#REF!</v>
      </c>
      <c r="GP496" t="e">
        <f>AND(#REF!,"AAAAAEv5XsU=")</f>
        <v>#REF!</v>
      </c>
      <c r="GQ496" t="e">
        <f>AND(#REF!,"AAAAAEv5XsY=")</f>
        <v>#REF!</v>
      </c>
      <c r="GR496" t="e">
        <f>AND(#REF!,"AAAAAEv5Xsc=")</f>
        <v>#REF!</v>
      </c>
      <c r="GS496" t="e">
        <f>AND(#REF!,"AAAAAEv5Xsg=")</f>
        <v>#REF!</v>
      </c>
      <c r="GT496" t="e">
        <f>IF(#REF!,"AAAAAEv5Xsk=",0)</f>
        <v>#REF!</v>
      </c>
      <c r="GU496" t="e">
        <f>AND(#REF!,"AAAAAEv5Xso=")</f>
        <v>#REF!</v>
      </c>
      <c r="GV496" t="e">
        <f>AND(#REF!,"AAAAAEv5Xss=")</f>
        <v>#REF!</v>
      </c>
      <c r="GW496" t="e">
        <f>AND(#REF!,"AAAAAEv5Xsw=")</f>
        <v>#REF!</v>
      </c>
      <c r="GX496" t="e">
        <f>AND(#REF!,"AAAAAEv5Xs0=")</f>
        <v>#REF!</v>
      </c>
      <c r="GY496" t="e">
        <f>AND(#REF!,"AAAAAEv5Xs4=")</f>
        <v>#REF!</v>
      </c>
      <c r="GZ496" t="e">
        <f>AND(#REF!,"AAAAAEv5Xs8=")</f>
        <v>#REF!</v>
      </c>
      <c r="HA496" t="e">
        <f>AND(#REF!,"AAAAAEv5XtA=")</f>
        <v>#REF!</v>
      </c>
      <c r="HB496" t="e">
        <f>AND(#REF!,"AAAAAEv5XtE=")</f>
        <v>#REF!</v>
      </c>
      <c r="HC496" t="e">
        <f>AND(#REF!,"AAAAAEv5XtI=")</f>
        <v>#REF!</v>
      </c>
      <c r="HD496" t="e">
        <f>AND(#REF!,"AAAAAEv5XtM=")</f>
        <v>#REF!</v>
      </c>
      <c r="HE496" t="e">
        <f>IF(#REF!,"AAAAAEv5XtQ=",0)</f>
        <v>#REF!</v>
      </c>
      <c r="HF496" t="e">
        <f>AND(#REF!,"AAAAAEv5XtU=")</f>
        <v>#REF!</v>
      </c>
      <c r="HG496" t="e">
        <f>AND(#REF!,"AAAAAEv5XtY=")</f>
        <v>#REF!</v>
      </c>
      <c r="HH496" t="e">
        <f>AND(#REF!,"AAAAAEv5Xtc=")</f>
        <v>#REF!</v>
      </c>
      <c r="HI496" t="e">
        <f>AND(#REF!,"AAAAAEv5Xtg=")</f>
        <v>#REF!</v>
      </c>
      <c r="HJ496" t="e">
        <f>AND(#REF!,"AAAAAEv5Xtk=")</f>
        <v>#REF!</v>
      </c>
      <c r="HK496" t="e">
        <f>AND(#REF!,"AAAAAEv5Xto=")</f>
        <v>#REF!</v>
      </c>
      <c r="HL496" t="e">
        <f>AND(#REF!,"AAAAAEv5Xts=")</f>
        <v>#REF!</v>
      </c>
      <c r="HM496" t="e">
        <f>AND(#REF!,"AAAAAEv5Xtw=")</f>
        <v>#REF!</v>
      </c>
      <c r="HN496" t="e">
        <f>AND(#REF!,"AAAAAEv5Xt0=")</f>
        <v>#REF!</v>
      </c>
      <c r="HO496" t="e">
        <f>AND(#REF!,"AAAAAEv5Xt4=")</f>
        <v>#REF!</v>
      </c>
      <c r="HP496" t="e">
        <f>IF(#REF!,"AAAAAEv5Xt8=",0)</f>
        <v>#REF!</v>
      </c>
      <c r="HQ496" t="e">
        <f>AND(#REF!,"AAAAAEv5XuA=")</f>
        <v>#REF!</v>
      </c>
      <c r="HR496" t="e">
        <f>AND(#REF!,"AAAAAEv5XuE=")</f>
        <v>#REF!</v>
      </c>
      <c r="HS496" t="e">
        <f>AND(#REF!,"AAAAAEv5XuI=")</f>
        <v>#REF!</v>
      </c>
      <c r="HT496" t="e">
        <f>AND(#REF!,"AAAAAEv5XuM=")</f>
        <v>#REF!</v>
      </c>
      <c r="HU496" t="e">
        <f>AND(#REF!,"AAAAAEv5XuQ=")</f>
        <v>#REF!</v>
      </c>
      <c r="HV496" t="e">
        <f>AND(#REF!,"AAAAAEv5XuU=")</f>
        <v>#REF!</v>
      </c>
      <c r="HW496" t="e">
        <f>AND(#REF!,"AAAAAEv5XuY=")</f>
        <v>#REF!</v>
      </c>
      <c r="HX496" t="e">
        <f>AND(#REF!,"AAAAAEv5Xuc=")</f>
        <v>#REF!</v>
      </c>
      <c r="HY496" t="e">
        <f>AND(#REF!,"AAAAAEv5Xug=")</f>
        <v>#REF!</v>
      </c>
      <c r="HZ496" t="e">
        <f>AND(#REF!,"AAAAAEv5Xuk=")</f>
        <v>#REF!</v>
      </c>
      <c r="IA496" t="e">
        <f>IF(#REF!,"AAAAAEv5Xuo=",0)</f>
        <v>#REF!</v>
      </c>
      <c r="IB496" t="e">
        <f>AND(#REF!,"AAAAAEv5Xus=")</f>
        <v>#REF!</v>
      </c>
      <c r="IC496" t="e">
        <f>AND(#REF!,"AAAAAEv5Xuw=")</f>
        <v>#REF!</v>
      </c>
      <c r="ID496" t="e">
        <f>AND(#REF!,"AAAAAEv5Xu0=")</f>
        <v>#REF!</v>
      </c>
      <c r="IE496" t="e">
        <f>AND(#REF!,"AAAAAEv5Xu4=")</f>
        <v>#REF!</v>
      </c>
      <c r="IF496" t="e">
        <f>AND(#REF!,"AAAAAEv5Xu8=")</f>
        <v>#REF!</v>
      </c>
      <c r="IG496" t="e">
        <f>AND(#REF!,"AAAAAEv5XvA=")</f>
        <v>#REF!</v>
      </c>
      <c r="IH496" t="e">
        <f>AND(#REF!,"AAAAAEv5XvE=")</f>
        <v>#REF!</v>
      </c>
      <c r="II496" t="e">
        <f>AND(#REF!,"AAAAAEv5XvI=")</f>
        <v>#REF!</v>
      </c>
      <c r="IJ496" t="e">
        <f>AND(#REF!,"AAAAAEv5XvM=")</f>
        <v>#REF!</v>
      </c>
      <c r="IK496" t="e">
        <f>AND(#REF!,"AAAAAEv5XvQ=")</f>
        <v>#REF!</v>
      </c>
      <c r="IL496" t="e">
        <f>IF(#REF!,"AAAAAEv5XvU=",0)</f>
        <v>#REF!</v>
      </c>
      <c r="IM496" t="e">
        <f>AND(#REF!,"AAAAAEv5XvY=")</f>
        <v>#REF!</v>
      </c>
      <c r="IN496" t="e">
        <f>AND(#REF!,"AAAAAEv5Xvc=")</f>
        <v>#REF!</v>
      </c>
      <c r="IO496" t="e">
        <f>AND(#REF!,"AAAAAEv5Xvg=")</f>
        <v>#REF!</v>
      </c>
      <c r="IP496" t="e">
        <f>AND(#REF!,"AAAAAEv5Xvk=")</f>
        <v>#REF!</v>
      </c>
      <c r="IQ496" t="e">
        <f>AND(#REF!,"AAAAAEv5Xvo=")</f>
        <v>#REF!</v>
      </c>
      <c r="IR496" t="e">
        <f>AND(#REF!,"AAAAAEv5Xvs=")</f>
        <v>#REF!</v>
      </c>
      <c r="IS496" t="e">
        <f>AND(#REF!,"AAAAAEv5Xvw=")</f>
        <v>#REF!</v>
      </c>
      <c r="IT496" t="e">
        <f>AND(#REF!,"AAAAAEv5Xv0=")</f>
        <v>#REF!</v>
      </c>
      <c r="IU496" t="e">
        <f>AND(#REF!,"AAAAAEv5Xv4=")</f>
        <v>#REF!</v>
      </c>
      <c r="IV496" t="e">
        <f>AND(#REF!,"AAAAAEv5Xv8=")</f>
        <v>#REF!</v>
      </c>
    </row>
    <row r="497" spans="1:256" x14ac:dyDescent="0.25">
      <c r="A497" t="e">
        <f>IF(#REF!,"AAAAAH/eEwA=",0)</f>
        <v>#REF!</v>
      </c>
      <c r="B497" t="e">
        <f>AND(#REF!,"AAAAAH/eEwE=")</f>
        <v>#REF!</v>
      </c>
      <c r="C497" t="e">
        <f>AND(#REF!,"AAAAAH/eEwI=")</f>
        <v>#REF!</v>
      </c>
      <c r="D497" t="e">
        <f>AND(#REF!,"AAAAAH/eEwM=")</f>
        <v>#REF!</v>
      </c>
      <c r="E497" t="e">
        <f>AND(#REF!,"AAAAAH/eEwQ=")</f>
        <v>#REF!</v>
      </c>
      <c r="F497" t="e">
        <f>AND(#REF!,"AAAAAH/eEwU=")</f>
        <v>#REF!</v>
      </c>
      <c r="G497" t="e">
        <f>AND(#REF!,"AAAAAH/eEwY=")</f>
        <v>#REF!</v>
      </c>
      <c r="H497" t="e">
        <f>AND(#REF!,"AAAAAH/eEwc=")</f>
        <v>#REF!</v>
      </c>
      <c r="I497" t="e">
        <f>AND(#REF!,"AAAAAH/eEwg=")</f>
        <v>#REF!</v>
      </c>
      <c r="J497" t="e">
        <f>AND(#REF!,"AAAAAH/eEwk=")</f>
        <v>#REF!</v>
      </c>
      <c r="K497" t="e">
        <f>AND(#REF!,"AAAAAH/eEwo=")</f>
        <v>#REF!</v>
      </c>
      <c r="L497" t="e">
        <f>IF(#REF!,"AAAAAH/eEws=",0)</f>
        <v>#REF!</v>
      </c>
      <c r="M497" t="e">
        <f>AND(#REF!,"AAAAAH/eEww=")</f>
        <v>#REF!</v>
      </c>
      <c r="N497" t="e">
        <f>AND(#REF!,"AAAAAH/eEw0=")</f>
        <v>#REF!</v>
      </c>
      <c r="O497" t="e">
        <f>AND(#REF!,"AAAAAH/eEw4=")</f>
        <v>#REF!</v>
      </c>
      <c r="P497" t="e">
        <f>AND(#REF!,"AAAAAH/eEw8=")</f>
        <v>#REF!</v>
      </c>
      <c r="Q497" t="e">
        <f>AND(#REF!,"AAAAAH/eExA=")</f>
        <v>#REF!</v>
      </c>
      <c r="R497" t="e">
        <f>AND(#REF!,"AAAAAH/eExE=")</f>
        <v>#REF!</v>
      </c>
      <c r="S497" t="e">
        <f>AND(#REF!,"AAAAAH/eExI=")</f>
        <v>#REF!</v>
      </c>
      <c r="T497" t="e">
        <f>AND(#REF!,"AAAAAH/eExM=")</f>
        <v>#REF!</v>
      </c>
      <c r="U497" t="e">
        <f>AND(#REF!,"AAAAAH/eExQ=")</f>
        <v>#REF!</v>
      </c>
      <c r="V497" t="e">
        <f>AND(#REF!,"AAAAAH/eExU=")</f>
        <v>#REF!</v>
      </c>
      <c r="W497" t="e">
        <f>IF(#REF!,"AAAAAH/eExY=",0)</f>
        <v>#REF!</v>
      </c>
      <c r="X497" t="e">
        <f>AND(#REF!,"AAAAAH/eExc=")</f>
        <v>#REF!</v>
      </c>
      <c r="Y497" t="e">
        <f>AND(#REF!,"AAAAAH/eExg=")</f>
        <v>#REF!</v>
      </c>
      <c r="Z497" t="e">
        <f>AND(#REF!,"AAAAAH/eExk=")</f>
        <v>#REF!</v>
      </c>
      <c r="AA497" t="e">
        <f>AND(#REF!,"AAAAAH/eExo=")</f>
        <v>#REF!</v>
      </c>
      <c r="AB497" t="e">
        <f>AND(#REF!,"AAAAAH/eExs=")</f>
        <v>#REF!</v>
      </c>
      <c r="AC497" t="e">
        <f>AND(#REF!,"AAAAAH/eExw=")</f>
        <v>#REF!</v>
      </c>
      <c r="AD497" t="e">
        <f>AND(#REF!,"AAAAAH/eEx0=")</f>
        <v>#REF!</v>
      </c>
      <c r="AE497" t="e">
        <f>AND(#REF!,"AAAAAH/eEx4=")</f>
        <v>#REF!</v>
      </c>
      <c r="AF497" t="e">
        <f>AND(#REF!,"AAAAAH/eEx8=")</f>
        <v>#REF!</v>
      </c>
      <c r="AG497" t="e">
        <f>AND(#REF!,"AAAAAH/eEyA=")</f>
        <v>#REF!</v>
      </c>
      <c r="AH497" t="e">
        <f>IF(#REF!,"AAAAAH/eEyE=",0)</f>
        <v>#REF!</v>
      </c>
      <c r="AI497" t="e">
        <f>AND(#REF!,"AAAAAH/eEyI=")</f>
        <v>#REF!</v>
      </c>
      <c r="AJ497" t="e">
        <f>AND(#REF!,"AAAAAH/eEyM=")</f>
        <v>#REF!</v>
      </c>
      <c r="AK497" t="e">
        <f>AND(#REF!,"AAAAAH/eEyQ=")</f>
        <v>#REF!</v>
      </c>
      <c r="AL497" t="e">
        <f>AND(#REF!,"AAAAAH/eEyU=")</f>
        <v>#REF!</v>
      </c>
      <c r="AM497" t="e">
        <f>AND(#REF!,"AAAAAH/eEyY=")</f>
        <v>#REF!</v>
      </c>
      <c r="AN497" t="e">
        <f>AND(#REF!,"AAAAAH/eEyc=")</f>
        <v>#REF!</v>
      </c>
      <c r="AO497" t="e">
        <f>AND(#REF!,"AAAAAH/eEyg=")</f>
        <v>#REF!</v>
      </c>
      <c r="AP497" t="e">
        <f>AND(#REF!,"AAAAAH/eEyk=")</f>
        <v>#REF!</v>
      </c>
      <c r="AQ497" t="e">
        <f>AND(#REF!,"AAAAAH/eEyo=")</f>
        <v>#REF!</v>
      </c>
      <c r="AR497" t="e">
        <f>AND(#REF!,"AAAAAH/eEys=")</f>
        <v>#REF!</v>
      </c>
      <c r="AS497" t="e">
        <f>IF(#REF!,"AAAAAH/eEyw=",0)</f>
        <v>#REF!</v>
      </c>
      <c r="AT497" t="e">
        <f>AND(#REF!,"AAAAAH/eEy0=")</f>
        <v>#REF!</v>
      </c>
      <c r="AU497" t="e">
        <f>AND(#REF!,"AAAAAH/eEy4=")</f>
        <v>#REF!</v>
      </c>
      <c r="AV497" t="e">
        <f>AND(#REF!,"AAAAAH/eEy8=")</f>
        <v>#REF!</v>
      </c>
      <c r="AW497" t="e">
        <f>AND(#REF!,"AAAAAH/eEzA=")</f>
        <v>#REF!</v>
      </c>
      <c r="AX497" t="e">
        <f>AND(#REF!,"AAAAAH/eEzE=")</f>
        <v>#REF!</v>
      </c>
      <c r="AY497" t="e">
        <f>AND(#REF!,"AAAAAH/eEzI=")</f>
        <v>#REF!</v>
      </c>
      <c r="AZ497" t="e">
        <f>AND(#REF!,"AAAAAH/eEzM=")</f>
        <v>#REF!</v>
      </c>
      <c r="BA497" t="e">
        <f>AND(#REF!,"AAAAAH/eEzQ=")</f>
        <v>#REF!</v>
      </c>
      <c r="BB497" t="e">
        <f>AND(#REF!,"AAAAAH/eEzU=")</f>
        <v>#REF!</v>
      </c>
      <c r="BC497" t="e">
        <f>AND(#REF!,"AAAAAH/eEzY=")</f>
        <v>#REF!</v>
      </c>
      <c r="BD497" t="e">
        <f>IF(#REF!,"AAAAAH/eEzc=",0)</f>
        <v>#REF!</v>
      </c>
      <c r="BE497" t="e">
        <f>AND(#REF!,"AAAAAH/eEzg=")</f>
        <v>#REF!</v>
      </c>
      <c r="BF497" t="e">
        <f>AND(#REF!,"AAAAAH/eEzk=")</f>
        <v>#REF!</v>
      </c>
      <c r="BG497" t="e">
        <f>AND(#REF!,"AAAAAH/eEzo=")</f>
        <v>#REF!</v>
      </c>
      <c r="BH497" t="e">
        <f>AND(#REF!,"AAAAAH/eEzs=")</f>
        <v>#REF!</v>
      </c>
      <c r="BI497" t="e">
        <f>AND(#REF!,"AAAAAH/eEzw=")</f>
        <v>#REF!</v>
      </c>
      <c r="BJ497" t="e">
        <f>AND(#REF!,"AAAAAH/eEz0=")</f>
        <v>#REF!</v>
      </c>
      <c r="BK497" t="e">
        <f>AND(#REF!,"AAAAAH/eEz4=")</f>
        <v>#REF!</v>
      </c>
      <c r="BL497" t="e">
        <f>AND(#REF!,"AAAAAH/eEz8=")</f>
        <v>#REF!</v>
      </c>
      <c r="BM497" t="e">
        <f>AND(#REF!,"AAAAAH/eE0A=")</f>
        <v>#REF!</v>
      </c>
      <c r="BN497" t="e">
        <f>AND(#REF!,"AAAAAH/eE0E=")</f>
        <v>#REF!</v>
      </c>
      <c r="BO497" t="e">
        <f>IF(#REF!,"AAAAAH/eE0I=",0)</f>
        <v>#REF!</v>
      </c>
      <c r="BP497" t="e">
        <f>AND(#REF!,"AAAAAH/eE0M=")</f>
        <v>#REF!</v>
      </c>
      <c r="BQ497" t="e">
        <f>AND(#REF!,"AAAAAH/eE0Q=")</f>
        <v>#REF!</v>
      </c>
      <c r="BR497" t="e">
        <f>AND(#REF!,"AAAAAH/eE0U=")</f>
        <v>#REF!</v>
      </c>
      <c r="BS497" t="e">
        <f>AND(#REF!,"AAAAAH/eE0Y=")</f>
        <v>#REF!</v>
      </c>
      <c r="BT497" t="e">
        <f>AND(#REF!,"AAAAAH/eE0c=")</f>
        <v>#REF!</v>
      </c>
      <c r="BU497" t="e">
        <f>AND(#REF!,"AAAAAH/eE0g=")</f>
        <v>#REF!</v>
      </c>
      <c r="BV497" t="e">
        <f>AND(#REF!,"AAAAAH/eE0k=")</f>
        <v>#REF!</v>
      </c>
      <c r="BW497" t="e">
        <f>AND(#REF!,"AAAAAH/eE0o=")</f>
        <v>#REF!</v>
      </c>
      <c r="BX497" t="e">
        <f>AND(#REF!,"AAAAAH/eE0s=")</f>
        <v>#REF!</v>
      </c>
      <c r="BY497" t="e">
        <f>AND(#REF!,"AAAAAH/eE0w=")</f>
        <v>#REF!</v>
      </c>
      <c r="BZ497" t="e">
        <f>IF(#REF!,"AAAAAH/eE00=",0)</f>
        <v>#REF!</v>
      </c>
      <c r="CA497" t="e">
        <f>AND(#REF!,"AAAAAH/eE04=")</f>
        <v>#REF!</v>
      </c>
      <c r="CB497" t="e">
        <f>AND(#REF!,"AAAAAH/eE08=")</f>
        <v>#REF!</v>
      </c>
      <c r="CC497" t="e">
        <f>AND(#REF!,"AAAAAH/eE1A=")</f>
        <v>#REF!</v>
      </c>
      <c r="CD497" t="e">
        <f>AND(#REF!,"AAAAAH/eE1E=")</f>
        <v>#REF!</v>
      </c>
      <c r="CE497" t="e">
        <f>AND(#REF!,"AAAAAH/eE1I=")</f>
        <v>#REF!</v>
      </c>
      <c r="CF497" t="e">
        <f>AND(#REF!,"AAAAAH/eE1M=")</f>
        <v>#REF!</v>
      </c>
      <c r="CG497" t="e">
        <f>AND(#REF!,"AAAAAH/eE1Q=")</f>
        <v>#REF!</v>
      </c>
      <c r="CH497" t="e">
        <f>AND(#REF!,"AAAAAH/eE1U=")</f>
        <v>#REF!</v>
      </c>
      <c r="CI497" t="e">
        <f>AND(#REF!,"AAAAAH/eE1Y=")</f>
        <v>#REF!</v>
      </c>
      <c r="CJ497" t="e">
        <f>AND(#REF!,"AAAAAH/eE1c=")</f>
        <v>#REF!</v>
      </c>
      <c r="CK497" t="e">
        <f>IF(#REF!,"AAAAAH/eE1g=",0)</f>
        <v>#REF!</v>
      </c>
      <c r="CL497" t="e">
        <f>AND(#REF!,"AAAAAH/eE1k=")</f>
        <v>#REF!</v>
      </c>
      <c r="CM497" t="e">
        <f>AND(#REF!,"AAAAAH/eE1o=")</f>
        <v>#REF!</v>
      </c>
      <c r="CN497" t="e">
        <f>AND(#REF!,"AAAAAH/eE1s=")</f>
        <v>#REF!</v>
      </c>
      <c r="CO497" t="e">
        <f>AND(#REF!,"AAAAAH/eE1w=")</f>
        <v>#REF!</v>
      </c>
      <c r="CP497" t="e">
        <f>AND(#REF!,"AAAAAH/eE10=")</f>
        <v>#REF!</v>
      </c>
      <c r="CQ497" t="e">
        <f>AND(#REF!,"AAAAAH/eE14=")</f>
        <v>#REF!</v>
      </c>
      <c r="CR497" t="e">
        <f>AND(#REF!,"AAAAAH/eE18=")</f>
        <v>#REF!</v>
      </c>
      <c r="CS497" t="e">
        <f>AND(#REF!,"AAAAAH/eE2A=")</f>
        <v>#REF!</v>
      </c>
      <c r="CT497" t="e">
        <f>AND(#REF!,"AAAAAH/eE2E=")</f>
        <v>#REF!</v>
      </c>
      <c r="CU497" t="e">
        <f>AND(#REF!,"AAAAAH/eE2I=")</f>
        <v>#REF!</v>
      </c>
      <c r="CV497" t="e">
        <f>IF(#REF!,"AAAAAH/eE2M=",0)</f>
        <v>#REF!</v>
      </c>
      <c r="CW497" t="e">
        <f>AND(#REF!,"AAAAAH/eE2Q=")</f>
        <v>#REF!</v>
      </c>
      <c r="CX497" t="e">
        <f>AND(#REF!,"AAAAAH/eE2U=")</f>
        <v>#REF!</v>
      </c>
      <c r="CY497" t="e">
        <f>AND(#REF!,"AAAAAH/eE2Y=")</f>
        <v>#REF!</v>
      </c>
      <c r="CZ497" t="e">
        <f>AND(#REF!,"AAAAAH/eE2c=")</f>
        <v>#REF!</v>
      </c>
      <c r="DA497" t="e">
        <f>AND(#REF!,"AAAAAH/eE2g=")</f>
        <v>#REF!</v>
      </c>
      <c r="DB497" t="e">
        <f>AND(#REF!,"AAAAAH/eE2k=")</f>
        <v>#REF!</v>
      </c>
      <c r="DC497" t="e">
        <f>AND(#REF!,"AAAAAH/eE2o=")</f>
        <v>#REF!</v>
      </c>
      <c r="DD497" t="e">
        <f>AND(#REF!,"AAAAAH/eE2s=")</f>
        <v>#REF!</v>
      </c>
      <c r="DE497" t="e">
        <f>AND(#REF!,"AAAAAH/eE2w=")</f>
        <v>#REF!</v>
      </c>
      <c r="DF497" t="e">
        <f>AND(#REF!,"AAAAAH/eE20=")</f>
        <v>#REF!</v>
      </c>
      <c r="DG497" t="e">
        <f>IF(#REF!,"AAAAAH/eE24=",0)</f>
        <v>#REF!</v>
      </c>
      <c r="DH497" t="e">
        <f>AND(#REF!,"AAAAAH/eE28=")</f>
        <v>#REF!</v>
      </c>
      <c r="DI497" t="e">
        <f>AND(#REF!,"AAAAAH/eE3A=")</f>
        <v>#REF!</v>
      </c>
      <c r="DJ497" t="e">
        <f>AND(#REF!,"AAAAAH/eE3E=")</f>
        <v>#REF!</v>
      </c>
      <c r="DK497" t="e">
        <f>AND(#REF!,"AAAAAH/eE3I=")</f>
        <v>#REF!</v>
      </c>
      <c r="DL497" t="e">
        <f>AND(#REF!,"AAAAAH/eE3M=")</f>
        <v>#REF!</v>
      </c>
      <c r="DM497" t="e">
        <f>AND(#REF!,"AAAAAH/eE3Q=")</f>
        <v>#REF!</v>
      </c>
      <c r="DN497" t="e">
        <f>AND(#REF!,"AAAAAH/eE3U=")</f>
        <v>#REF!</v>
      </c>
      <c r="DO497" t="e">
        <f>AND(#REF!,"AAAAAH/eE3Y=")</f>
        <v>#REF!</v>
      </c>
      <c r="DP497" t="e">
        <f>AND(#REF!,"AAAAAH/eE3c=")</f>
        <v>#REF!</v>
      </c>
      <c r="DQ497" t="e">
        <f>AND(#REF!,"AAAAAH/eE3g=")</f>
        <v>#REF!</v>
      </c>
      <c r="DR497" t="e">
        <f>IF(#REF!,"AAAAAH/eE3k=",0)</f>
        <v>#REF!</v>
      </c>
      <c r="DS497" t="e">
        <f>AND(#REF!,"AAAAAH/eE3o=")</f>
        <v>#REF!</v>
      </c>
      <c r="DT497" t="e">
        <f>AND(#REF!,"AAAAAH/eE3s=")</f>
        <v>#REF!</v>
      </c>
      <c r="DU497" t="e">
        <f>AND(#REF!,"AAAAAH/eE3w=")</f>
        <v>#REF!</v>
      </c>
      <c r="DV497" t="e">
        <f>AND(#REF!,"AAAAAH/eE30=")</f>
        <v>#REF!</v>
      </c>
      <c r="DW497" t="e">
        <f>AND(#REF!,"AAAAAH/eE34=")</f>
        <v>#REF!</v>
      </c>
      <c r="DX497" t="e">
        <f>AND(#REF!,"AAAAAH/eE38=")</f>
        <v>#REF!</v>
      </c>
      <c r="DY497" t="e">
        <f>AND(#REF!,"AAAAAH/eE4A=")</f>
        <v>#REF!</v>
      </c>
      <c r="DZ497" t="e">
        <f>AND(#REF!,"AAAAAH/eE4E=")</f>
        <v>#REF!</v>
      </c>
      <c r="EA497" t="e">
        <f>AND(#REF!,"AAAAAH/eE4I=")</f>
        <v>#REF!</v>
      </c>
      <c r="EB497" t="e">
        <f>AND(#REF!,"AAAAAH/eE4M=")</f>
        <v>#REF!</v>
      </c>
      <c r="EC497" t="e">
        <f>IF(#REF!,"AAAAAH/eE4Q=",0)</f>
        <v>#REF!</v>
      </c>
      <c r="ED497" t="e">
        <f>AND(#REF!,"AAAAAH/eE4U=")</f>
        <v>#REF!</v>
      </c>
      <c r="EE497" t="e">
        <f>AND(#REF!,"AAAAAH/eE4Y=")</f>
        <v>#REF!</v>
      </c>
      <c r="EF497" t="e">
        <f>AND(#REF!,"AAAAAH/eE4c=")</f>
        <v>#REF!</v>
      </c>
      <c r="EG497" t="e">
        <f>AND(#REF!,"AAAAAH/eE4g=")</f>
        <v>#REF!</v>
      </c>
      <c r="EH497" t="e">
        <f>AND(#REF!,"AAAAAH/eE4k=")</f>
        <v>#REF!</v>
      </c>
      <c r="EI497" t="e">
        <f>AND(#REF!,"AAAAAH/eE4o=")</f>
        <v>#REF!</v>
      </c>
      <c r="EJ497" t="e">
        <f>AND(#REF!,"AAAAAH/eE4s=")</f>
        <v>#REF!</v>
      </c>
      <c r="EK497" t="e">
        <f>AND(#REF!,"AAAAAH/eE4w=")</f>
        <v>#REF!</v>
      </c>
      <c r="EL497" t="e">
        <f>AND(#REF!,"AAAAAH/eE40=")</f>
        <v>#REF!</v>
      </c>
      <c r="EM497" t="e">
        <f>AND(#REF!,"AAAAAH/eE44=")</f>
        <v>#REF!</v>
      </c>
      <c r="EN497" t="e">
        <f>IF(#REF!,"AAAAAH/eE48=",0)</f>
        <v>#REF!</v>
      </c>
      <c r="EO497" t="e">
        <f>AND(#REF!,"AAAAAH/eE5A=")</f>
        <v>#REF!</v>
      </c>
      <c r="EP497" t="e">
        <f>AND(#REF!,"AAAAAH/eE5E=")</f>
        <v>#REF!</v>
      </c>
      <c r="EQ497" t="e">
        <f>AND(#REF!,"AAAAAH/eE5I=")</f>
        <v>#REF!</v>
      </c>
      <c r="ER497" t="e">
        <f>AND(#REF!,"AAAAAH/eE5M=")</f>
        <v>#REF!</v>
      </c>
      <c r="ES497" t="e">
        <f>AND(#REF!,"AAAAAH/eE5Q=")</f>
        <v>#REF!</v>
      </c>
      <c r="ET497" t="e">
        <f>AND(#REF!,"AAAAAH/eE5U=")</f>
        <v>#REF!</v>
      </c>
      <c r="EU497" t="e">
        <f>AND(#REF!,"AAAAAH/eE5Y=")</f>
        <v>#REF!</v>
      </c>
      <c r="EV497" t="e">
        <f>AND(#REF!,"AAAAAH/eE5c=")</f>
        <v>#REF!</v>
      </c>
      <c r="EW497" t="e">
        <f>AND(#REF!,"AAAAAH/eE5g=")</f>
        <v>#REF!</v>
      </c>
      <c r="EX497" t="e">
        <f>AND(#REF!,"AAAAAH/eE5k=")</f>
        <v>#REF!</v>
      </c>
      <c r="EY497" t="e">
        <f>IF(#REF!,"AAAAAH/eE5o=",0)</f>
        <v>#REF!</v>
      </c>
      <c r="EZ497" t="e">
        <f>AND(#REF!,"AAAAAH/eE5s=")</f>
        <v>#REF!</v>
      </c>
      <c r="FA497" t="e">
        <f>AND(#REF!,"AAAAAH/eE5w=")</f>
        <v>#REF!</v>
      </c>
      <c r="FB497" t="e">
        <f>AND(#REF!,"AAAAAH/eE50=")</f>
        <v>#REF!</v>
      </c>
      <c r="FC497" t="e">
        <f>AND(#REF!,"AAAAAH/eE54=")</f>
        <v>#REF!</v>
      </c>
      <c r="FD497" t="e">
        <f>AND(#REF!,"AAAAAH/eE58=")</f>
        <v>#REF!</v>
      </c>
      <c r="FE497" t="e">
        <f>AND(#REF!,"AAAAAH/eE6A=")</f>
        <v>#REF!</v>
      </c>
      <c r="FF497" t="e">
        <f>AND(#REF!,"AAAAAH/eE6E=")</f>
        <v>#REF!</v>
      </c>
      <c r="FG497" t="e">
        <f>AND(#REF!,"AAAAAH/eE6I=")</f>
        <v>#REF!</v>
      </c>
      <c r="FH497" t="e">
        <f>AND(#REF!,"AAAAAH/eE6M=")</f>
        <v>#REF!</v>
      </c>
      <c r="FI497" t="e">
        <f>AND(#REF!,"AAAAAH/eE6Q=")</f>
        <v>#REF!</v>
      </c>
      <c r="FJ497" t="e">
        <f>IF(#REF!,"AAAAAH/eE6U=",0)</f>
        <v>#REF!</v>
      </c>
      <c r="FK497" t="e">
        <f>AND(#REF!,"AAAAAH/eE6Y=")</f>
        <v>#REF!</v>
      </c>
      <c r="FL497" t="e">
        <f>AND(#REF!,"AAAAAH/eE6c=")</f>
        <v>#REF!</v>
      </c>
      <c r="FM497" t="e">
        <f>AND(#REF!,"AAAAAH/eE6g=")</f>
        <v>#REF!</v>
      </c>
      <c r="FN497" t="e">
        <f>AND(#REF!,"AAAAAH/eE6k=")</f>
        <v>#REF!</v>
      </c>
      <c r="FO497" t="e">
        <f>AND(#REF!,"AAAAAH/eE6o=")</f>
        <v>#REF!</v>
      </c>
      <c r="FP497" t="e">
        <f>AND(#REF!,"AAAAAH/eE6s=")</f>
        <v>#REF!</v>
      </c>
      <c r="FQ497" t="e">
        <f>AND(#REF!,"AAAAAH/eE6w=")</f>
        <v>#REF!</v>
      </c>
      <c r="FR497" t="e">
        <f>AND(#REF!,"AAAAAH/eE60=")</f>
        <v>#REF!</v>
      </c>
      <c r="FS497" t="e">
        <f>AND(#REF!,"AAAAAH/eE64=")</f>
        <v>#REF!</v>
      </c>
      <c r="FT497" t="e">
        <f>AND(#REF!,"AAAAAH/eE68=")</f>
        <v>#REF!</v>
      </c>
      <c r="FU497" t="e">
        <f>IF(#REF!,"AAAAAH/eE7A=",0)</f>
        <v>#REF!</v>
      </c>
      <c r="FV497" t="e">
        <f>AND(#REF!,"AAAAAH/eE7E=")</f>
        <v>#REF!</v>
      </c>
      <c r="FW497" t="e">
        <f>AND(#REF!,"AAAAAH/eE7I=")</f>
        <v>#REF!</v>
      </c>
      <c r="FX497" t="e">
        <f>AND(#REF!,"AAAAAH/eE7M=")</f>
        <v>#REF!</v>
      </c>
      <c r="FY497" t="e">
        <f>AND(#REF!,"AAAAAH/eE7Q=")</f>
        <v>#REF!</v>
      </c>
      <c r="FZ497" t="e">
        <f>AND(#REF!,"AAAAAH/eE7U=")</f>
        <v>#REF!</v>
      </c>
      <c r="GA497" t="e">
        <f>AND(#REF!,"AAAAAH/eE7Y=")</f>
        <v>#REF!</v>
      </c>
      <c r="GB497" t="e">
        <f>AND(#REF!,"AAAAAH/eE7c=")</f>
        <v>#REF!</v>
      </c>
      <c r="GC497" t="e">
        <f>AND(#REF!,"AAAAAH/eE7g=")</f>
        <v>#REF!</v>
      </c>
      <c r="GD497" t="e">
        <f>AND(#REF!,"AAAAAH/eE7k=")</f>
        <v>#REF!</v>
      </c>
      <c r="GE497" t="e">
        <f>AND(#REF!,"AAAAAH/eE7o=")</f>
        <v>#REF!</v>
      </c>
      <c r="GF497" t="e">
        <f>IF(#REF!,"AAAAAH/eE7s=",0)</f>
        <v>#REF!</v>
      </c>
      <c r="GG497" t="e">
        <f>AND(#REF!,"AAAAAH/eE7w=")</f>
        <v>#REF!</v>
      </c>
      <c r="GH497" t="e">
        <f>AND(#REF!,"AAAAAH/eE70=")</f>
        <v>#REF!</v>
      </c>
      <c r="GI497" t="e">
        <f>AND(#REF!,"AAAAAH/eE74=")</f>
        <v>#REF!</v>
      </c>
      <c r="GJ497" t="e">
        <f>AND(#REF!,"AAAAAH/eE78=")</f>
        <v>#REF!</v>
      </c>
      <c r="GK497" t="e">
        <f>AND(#REF!,"AAAAAH/eE8A=")</f>
        <v>#REF!</v>
      </c>
      <c r="GL497" t="e">
        <f>AND(#REF!,"AAAAAH/eE8E=")</f>
        <v>#REF!</v>
      </c>
      <c r="GM497" t="e">
        <f>AND(#REF!,"AAAAAH/eE8I=")</f>
        <v>#REF!</v>
      </c>
      <c r="GN497" t="e">
        <f>AND(#REF!,"AAAAAH/eE8M=")</f>
        <v>#REF!</v>
      </c>
      <c r="GO497" t="e">
        <f>AND(#REF!,"AAAAAH/eE8Q=")</f>
        <v>#REF!</v>
      </c>
      <c r="GP497" t="e">
        <f>AND(#REF!,"AAAAAH/eE8U=")</f>
        <v>#REF!</v>
      </c>
      <c r="GQ497" t="e">
        <f>IF(#REF!,"AAAAAH/eE8Y=",0)</f>
        <v>#REF!</v>
      </c>
      <c r="GR497" t="e">
        <f>AND(#REF!,"AAAAAH/eE8c=")</f>
        <v>#REF!</v>
      </c>
      <c r="GS497" t="e">
        <f>AND(#REF!,"AAAAAH/eE8g=")</f>
        <v>#REF!</v>
      </c>
      <c r="GT497" t="e">
        <f>AND(#REF!,"AAAAAH/eE8k=")</f>
        <v>#REF!</v>
      </c>
      <c r="GU497" t="e">
        <f>AND(#REF!,"AAAAAH/eE8o=")</f>
        <v>#REF!</v>
      </c>
      <c r="GV497" t="e">
        <f>AND(#REF!,"AAAAAH/eE8s=")</f>
        <v>#REF!</v>
      </c>
      <c r="GW497" t="e">
        <f>AND(#REF!,"AAAAAH/eE8w=")</f>
        <v>#REF!</v>
      </c>
      <c r="GX497" t="e">
        <f>AND(#REF!,"AAAAAH/eE80=")</f>
        <v>#REF!</v>
      </c>
      <c r="GY497" t="e">
        <f>AND(#REF!,"AAAAAH/eE84=")</f>
        <v>#REF!</v>
      </c>
      <c r="GZ497" t="e">
        <f>AND(#REF!,"AAAAAH/eE88=")</f>
        <v>#REF!</v>
      </c>
      <c r="HA497" t="e">
        <f>AND(#REF!,"AAAAAH/eE9A=")</f>
        <v>#REF!</v>
      </c>
      <c r="HB497" t="e">
        <f>IF(#REF!,"AAAAAH/eE9E=",0)</f>
        <v>#REF!</v>
      </c>
      <c r="HC497" t="e">
        <f>AND(#REF!,"AAAAAH/eE9I=")</f>
        <v>#REF!</v>
      </c>
      <c r="HD497" t="e">
        <f>AND(#REF!,"AAAAAH/eE9M=")</f>
        <v>#REF!</v>
      </c>
      <c r="HE497" t="e">
        <f>AND(#REF!,"AAAAAH/eE9Q=")</f>
        <v>#REF!</v>
      </c>
      <c r="HF497" t="e">
        <f>AND(#REF!,"AAAAAH/eE9U=")</f>
        <v>#REF!</v>
      </c>
      <c r="HG497" t="e">
        <f>AND(#REF!,"AAAAAH/eE9Y=")</f>
        <v>#REF!</v>
      </c>
      <c r="HH497" t="e">
        <f>AND(#REF!,"AAAAAH/eE9c=")</f>
        <v>#REF!</v>
      </c>
      <c r="HI497" t="e">
        <f>AND(#REF!,"AAAAAH/eE9g=")</f>
        <v>#REF!</v>
      </c>
      <c r="HJ497" t="e">
        <f>AND(#REF!,"AAAAAH/eE9k=")</f>
        <v>#REF!</v>
      </c>
      <c r="HK497" t="e">
        <f>AND(#REF!,"AAAAAH/eE9o=")</f>
        <v>#REF!</v>
      </c>
      <c r="HL497" t="e">
        <f>AND(#REF!,"AAAAAH/eE9s=")</f>
        <v>#REF!</v>
      </c>
      <c r="HM497" t="e">
        <f>IF(#REF!,"AAAAAH/eE9w=",0)</f>
        <v>#REF!</v>
      </c>
      <c r="HN497" t="e">
        <f>AND(#REF!,"AAAAAH/eE90=")</f>
        <v>#REF!</v>
      </c>
      <c r="HO497" t="e">
        <f>AND(#REF!,"AAAAAH/eE94=")</f>
        <v>#REF!</v>
      </c>
      <c r="HP497" t="e">
        <f>AND(#REF!,"AAAAAH/eE98=")</f>
        <v>#REF!</v>
      </c>
      <c r="HQ497" t="e">
        <f>AND(#REF!,"AAAAAH/eE+A=")</f>
        <v>#REF!</v>
      </c>
      <c r="HR497" t="e">
        <f>AND(#REF!,"AAAAAH/eE+E=")</f>
        <v>#REF!</v>
      </c>
      <c r="HS497" t="e">
        <f>AND(#REF!,"AAAAAH/eE+I=")</f>
        <v>#REF!</v>
      </c>
      <c r="HT497" t="e">
        <f>AND(#REF!,"AAAAAH/eE+M=")</f>
        <v>#REF!</v>
      </c>
      <c r="HU497" t="e">
        <f>AND(#REF!,"AAAAAH/eE+Q=")</f>
        <v>#REF!</v>
      </c>
      <c r="HV497" t="e">
        <f>AND(#REF!,"AAAAAH/eE+U=")</f>
        <v>#REF!</v>
      </c>
      <c r="HW497" t="e">
        <f>AND(#REF!,"AAAAAH/eE+Y=")</f>
        <v>#REF!</v>
      </c>
      <c r="HX497" t="e">
        <f>IF(#REF!,"AAAAAH/eE+c=",0)</f>
        <v>#REF!</v>
      </c>
      <c r="HY497" t="e">
        <f>AND(#REF!,"AAAAAH/eE+g=")</f>
        <v>#REF!</v>
      </c>
      <c r="HZ497" t="e">
        <f>AND(#REF!,"AAAAAH/eE+k=")</f>
        <v>#REF!</v>
      </c>
      <c r="IA497" t="e">
        <f>AND(#REF!,"AAAAAH/eE+o=")</f>
        <v>#REF!</v>
      </c>
      <c r="IB497" t="e">
        <f>AND(#REF!,"AAAAAH/eE+s=")</f>
        <v>#REF!</v>
      </c>
      <c r="IC497" t="e">
        <f>AND(#REF!,"AAAAAH/eE+w=")</f>
        <v>#REF!</v>
      </c>
      <c r="ID497" t="e">
        <f>AND(#REF!,"AAAAAH/eE+0=")</f>
        <v>#REF!</v>
      </c>
      <c r="IE497" t="e">
        <f>AND(#REF!,"AAAAAH/eE+4=")</f>
        <v>#REF!</v>
      </c>
      <c r="IF497" t="e">
        <f>AND(#REF!,"AAAAAH/eE+8=")</f>
        <v>#REF!</v>
      </c>
      <c r="IG497" t="e">
        <f>AND(#REF!,"AAAAAH/eE/A=")</f>
        <v>#REF!</v>
      </c>
      <c r="IH497" t="e">
        <f>AND(#REF!,"AAAAAH/eE/E=")</f>
        <v>#REF!</v>
      </c>
      <c r="II497" t="e">
        <f>IF(#REF!,"AAAAAH/eE/I=",0)</f>
        <v>#REF!</v>
      </c>
      <c r="IJ497" t="e">
        <f>AND(#REF!,"AAAAAH/eE/M=")</f>
        <v>#REF!</v>
      </c>
      <c r="IK497" t="e">
        <f>AND(#REF!,"AAAAAH/eE/Q=")</f>
        <v>#REF!</v>
      </c>
      <c r="IL497" t="e">
        <f>AND(#REF!,"AAAAAH/eE/U=")</f>
        <v>#REF!</v>
      </c>
      <c r="IM497" t="e">
        <f>AND(#REF!,"AAAAAH/eE/Y=")</f>
        <v>#REF!</v>
      </c>
      <c r="IN497" t="e">
        <f>AND(#REF!,"AAAAAH/eE/c=")</f>
        <v>#REF!</v>
      </c>
      <c r="IO497" t="e">
        <f>AND(#REF!,"AAAAAH/eE/g=")</f>
        <v>#REF!</v>
      </c>
      <c r="IP497" t="e">
        <f>AND(#REF!,"AAAAAH/eE/k=")</f>
        <v>#REF!</v>
      </c>
      <c r="IQ497" t="e">
        <f>AND(#REF!,"AAAAAH/eE/o=")</f>
        <v>#REF!</v>
      </c>
      <c r="IR497" t="e">
        <f>AND(#REF!,"AAAAAH/eE/s=")</f>
        <v>#REF!</v>
      </c>
      <c r="IS497" t="e">
        <f>AND(#REF!,"AAAAAH/eE/w=")</f>
        <v>#REF!</v>
      </c>
      <c r="IT497" t="e">
        <f>IF(#REF!,"AAAAAH/eE/0=",0)</f>
        <v>#REF!</v>
      </c>
      <c r="IU497" t="e">
        <f>AND(#REF!,"AAAAAH/eE/4=")</f>
        <v>#REF!</v>
      </c>
      <c r="IV497" t="e">
        <f>AND(#REF!,"AAAAAH/eE/8=")</f>
        <v>#REF!</v>
      </c>
    </row>
    <row r="498" spans="1:256" x14ac:dyDescent="0.25">
      <c r="A498" t="e">
        <f>AND(#REF!,"AAAAAB/PnwA=")</f>
        <v>#REF!</v>
      </c>
      <c r="B498" t="e">
        <f>AND(#REF!,"AAAAAB/PnwE=")</f>
        <v>#REF!</v>
      </c>
      <c r="C498" t="e">
        <f>AND(#REF!,"AAAAAB/PnwI=")</f>
        <v>#REF!</v>
      </c>
      <c r="D498" t="e">
        <f>AND(#REF!,"AAAAAB/PnwM=")</f>
        <v>#REF!</v>
      </c>
      <c r="E498" t="e">
        <f>AND(#REF!,"AAAAAB/PnwQ=")</f>
        <v>#REF!</v>
      </c>
      <c r="F498" t="e">
        <f>AND(#REF!,"AAAAAB/PnwU=")</f>
        <v>#REF!</v>
      </c>
      <c r="G498" t="e">
        <f>AND(#REF!,"AAAAAB/PnwY=")</f>
        <v>#REF!</v>
      </c>
      <c r="H498" t="e">
        <f>AND(#REF!,"AAAAAB/Pnwc=")</f>
        <v>#REF!</v>
      </c>
      <c r="I498" t="e">
        <f>IF(#REF!,"AAAAAB/Pnwg=",0)</f>
        <v>#REF!</v>
      </c>
      <c r="J498" t="e">
        <f>AND(#REF!,"AAAAAB/Pnwk=")</f>
        <v>#REF!</v>
      </c>
      <c r="K498" t="e">
        <f>AND(#REF!,"AAAAAB/Pnwo=")</f>
        <v>#REF!</v>
      </c>
      <c r="L498" t="e">
        <f>AND(#REF!,"AAAAAB/Pnws=")</f>
        <v>#REF!</v>
      </c>
      <c r="M498" t="e">
        <f>AND(#REF!,"AAAAAB/Pnww=")</f>
        <v>#REF!</v>
      </c>
      <c r="N498" t="e">
        <f>AND(#REF!,"AAAAAB/Pnw0=")</f>
        <v>#REF!</v>
      </c>
      <c r="O498" t="e">
        <f>AND(#REF!,"AAAAAB/Pnw4=")</f>
        <v>#REF!</v>
      </c>
      <c r="P498" t="e">
        <f>AND(#REF!,"AAAAAB/Pnw8=")</f>
        <v>#REF!</v>
      </c>
      <c r="Q498" t="e">
        <f>AND(#REF!,"AAAAAB/PnxA=")</f>
        <v>#REF!</v>
      </c>
      <c r="R498" t="e">
        <f>AND(#REF!,"AAAAAB/PnxE=")</f>
        <v>#REF!</v>
      </c>
      <c r="S498" t="e">
        <f>AND(#REF!,"AAAAAB/PnxI=")</f>
        <v>#REF!</v>
      </c>
      <c r="T498" t="e">
        <f>IF(#REF!,"AAAAAB/PnxM=",0)</f>
        <v>#REF!</v>
      </c>
      <c r="U498" t="e">
        <f>AND(#REF!,"AAAAAB/PnxQ=")</f>
        <v>#REF!</v>
      </c>
      <c r="V498" t="e">
        <f>AND(#REF!,"AAAAAB/PnxU=")</f>
        <v>#REF!</v>
      </c>
      <c r="W498" t="e">
        <f>AND(#REF!,"AAAAAB/PnxY=")</f>
        <v>#REF!</v>
      </c>
      <c r="X498" t="e">
        <f>AND(#REF!,"AAAAAB/Pnxc=")</f>
        <v>#REF!</v>
      </c>
      <c r="Y498" t="e">
        <f>AND(#REF!,"AAAAAB/Pnxg=")</f>
        <v>#REF!</v>
      </c>
      <c r="Z498" t="e">
        <f>AND(#REF!,"AAAAAB/Pnxk=")</f>
        <v>#REF!</v>
      </c>
      <c r="AA498" t="e">
        <f>AND(#REF!,"AAAAAB/Pnxo=")</f>
        <v>#REF!</v>
      </c>
      <c r="AB498" t="e">
        <f>AND(#REF!,"AAAAAB/Pnxs=")</f>
        <v>#REF!</v>
      </c>
      <c r="AC498" t="e">
        <f>AND(#REF!,"AAAAAB/Pnxw=")</f>
        <v>#REF!</v>
      </c>
      <c r="AD498" t="e">
        <f>AND(#REF!,"AAAAAB/Pnx0=")</f>
        <v>#REF!</v>
      </c>
      <c r="AE498" t="e">
        <f>IF(#REF!,"AAAAAB/Pnx4=",0)</f>
        <v>#REF!</v>
      </c>
      <c r="AF498" t="e">
        <f>AND(#REF!,"AAAAAB/Pnx8=")</f>
        <v>#REF!</v>
      </c>
      <c r="AG498" t="e">
        <f>AND(#REF!,"AAAAAB/PnyA=")</f>
        <v>#REF!</v>
      </c>
      <c r="AH498" t="e">
        <f>AND(#REF!,"AAAAAB/PnyE=")</f>
        <v>#REF!</v>
      </c>
      <c r="AI498" t="e">
        <f>AND(#REF!,"AAAAAB/PnyI=")</f>
        <v>#REF!</v>
      </c>
      <c r="AJ498" t="e">
        <f>AND(#REF!,"AAAAAB/PnyM=")</f>
        <v>#REF!</v>
      </c>
      <c r="AK498" t="e">
        <f>AND(#REF!,"AAAAAB/PnyQ=")</f>
        <v>#REF!</v>
      </c>
      <c r="AL498" t="e">
        <f>AND(#REF!,"AAAAAB/PnyU=")</f>
        <v>#REF!</v>
      </c>
      <c r="AM498" t="e">
        <f>AND(#REF!,"AAAAAB/PnyY=")</f>
        <v>#REF!</v>
      </c>
      <c r="AN498" t="e">
        <f>AND(#REF!,"AAAAAB/Pnyc=")</f>
        <v>#REF!</v>
      </c>
      <c r="AO498" t="e">
        <f>AND(#REF!,"AAAAAB/Pnyg=")</f>
        <v>#REF!</v>
      </c>
      <c r="AP498" t="e">
        <f>IF(#REF!,"AAAAAB/Pnyk=",0)</f>
        <v>#REF!</v>
      </c>
      <c r="AQ498" t="e">
        <f>AND(#REF!,"AAAAAB/Pnyo=")</f>
        <v>#REF!</v>
      </c>
      <c r="AR498" t="e">
        <f>AND(#REF!,"AAAAAB/Pnys=")</f>
        <v>#REF!</v>
      </c>
      <c r="AS498" t="e">
        <f>AND(#REF!,"AAAAAB/Pnyw=")</f>
        <v>#REF!</v>
      </c>
      <c r="AT498" t="e">
        <f>AND(#REF!,"AAAAAB/Pny0=")</f>
        <v>#REF!</v>
      </c>
      <c r="AU498" t="e">
        <f>AND(#REF!,"AAAAAB/Pny4=")</f>
        <v>#REF!</v>
      </c>
      <c r="AV498" t="e">
        <f>AND(#REF!,"AAAAAB/Pny8=")</f>
        <v>#REF!</v>
      </c>
      <c r="AW498" t="e">
        <f>AND(#REF!,"AAAAAB/PnzA=")</f>
        <v>#REF!</v>
      </c>
      <c r="AX498" t="e">
        <f>AND(#REF!,"AAAAAB/PnzE=")</f>
        <v>#REF!</v>
      </c>
      <c r="AY498" t="e">
        <f>AND(#REF!,"AAAAAB/PnzI=")</f>
        <v>#REF!</v>
      </c>
      <c r="AZ498" t="e">
        <f>AND(#REF!,"AAAAAB/PnzM=")</f>
        <v>#REF!</v>
      </c>
      <c r="BA498" t="e">
        <f>IF(#REF!,"AAAAAB/PnzQ=",0)</f>
        <v>#REF!</v>
      </c>
      <c r="BB498" t="e">
        <f>AND(#REF!,"AAAAAB/PnzU=")</f>
        <v>#REF!</v>
      </c>
      <c r="BC498" t="e">
        <f>AND(#REF!,"AAAAAB/PnzY=")</f>
        <v>#REF!</v>
      </c>
      <c r="BD498" t="e">
        <f>AND(#REF!,"AAAAAB/Pnzc=")</f>
        <v>#REF!</v>
      </c>
      <c r="BE498" t="e">
        <f>AND(#REF!,"AAAAAB/Pnzg=")</f>
        <v>#REF!</v>
      </c>
      <c r="BF498" t="e">
        <f>AND(#REF!,"AAAAAB/Pnzk=")</f>
        <v>#REF!</v>
      </c>
      <c r="BG498" t="e">
        <f>AND(#REF!,"AAAAAB/Pnzo=")</f>
        <v>#REF!</v>
      </c>
      <c r="BH498" t="e">
        <f>AND(#REF!,"AAAAAB/Pnzs=")</f>
        <v>#REF!</v>
      </c>
      <c r="BI498" t="e">
        <f>AND(#REF!,"AAAAAB/Pnzw=")</f>
        <v>#REF!</v>
      </c>
      <c r="BJ498" t="e">
        <f>AND(#REF!,"AAAAAB/Pnz0=")</f>
        <v>#REF!</v>
      </c>
      <c r="BK498" t="e">
        <f>AND(#REF!,"AAAAAB/Pnz4=")</f>
        <v>#REF!</v>
      </c>
      <c r="BL498" t="e">
        <f>IF(#REF!,"AAAAAB/Pnz8=",0)</f>
        <v>#REF!</v>
      </c>
      <c r="BM498" t="e">
        <f>AND(#REF!,"AAAAAB/Pn0A=")</f>
        <v>#REF!</v>
      </c>
      <c r="BN498" t="e">
        <f>AND(#REF!,"AAAAAB/Pn0E=")</f>
        <v>#REF!</v>
      </c>
      <c r="BO498" t="e">
        <f>AND(#REF!,"AAAAAB/Pn0I=")</f>
        <v>#REF!</v>
      </c>
      <c r="BP498" t="e">
        <f>AND(#REF!,"AAAAAB/Pn0M=")</f>
        <v>#REF!</v>
      </c>
      <c r="BQ498" t="e">
        <f>AND(#REF!,"AAAAAB/Pn0Q=")</f>
        <v>#REF!</v>
      </c>
      <c r="BR498" t="e">
        <f>AND(#REF!,"AAAAAB/Pn0U=")</f>
        <v>#REF!</v>
      </c>
      <c r="BS498" t="e">
        <f>AND(#REF!,"AAAAAB/Pn0Y=")</f>
        <v>#REF!</v>
      </c>
      <c r="BT498" t="e">
        <f>AND(#REF!,"AAAAAB/Pn0c=")</f>
        <v>#REF!</v>
      </c>
      <c r="BU498" t="e">
        <f>AND(#REF!,"AAAAAB/Pn0g=")</f>
        <v>#REF!</v>
      </c>
      <c r="BV498" t="e">
        <f>AND(#REF!,"AAAAAB/Pn0k=")</f>
        <v>#REF!</v>
      </c>
      <c r="BW498" t="e">
        <f>IF(#REF!,"AAAAAB/Pn0o=",0)</f>
        <v>#REF!</v>
      </c>
      <c r="BX498" t="e">
        <f>AND(#REF!,"AAAAAB/Pn0s=")</f>
        <v>#REF!</v>
      </c>
      <c r="BY498" t="e">
        <f>AND(#REF!,"AAAAAB/Pn0w=")</f>
        <v>#REF!</v>
      </c>
      <c r="BZ498" t="e">
        <f>AND(#REF!,"AAAAAB/Pn00=")</f>
        <v>#REF!</v>
      </c>
      <c r="CA498" t="e">
        <f>AND(#REF!,"AAAAAB/Pn04=")</f>
        <v>#REF!</v>
      </c>
      <c r="CB498" t="e">
        <f>AND(#REF!,"AAAAAB/Pn08=")</f>
        <v>#REF!</v>
      </c>
      <c r="CC498" t="e">
        <f>AND(#REF!,"AAAAAB/Pn1A=")</f>
        <v>#REF!</v>
      </c>
      <c r="CD498" t="e">
        <f>AND(#REF!,"AAAAAB/Pn1E=")</f>
        <v>#REF!</v>
      </c>
      <c r="CE498" t="e">
        <f>AND(#REF!,"AAAAAB/Pn1I=")</f>
        <v>#REF!</v>
      </c>
      <c r="CF498" t="e">
        <f>AND(#REF!,"AAAAAB/Pn1M=")</f>
        <v>#REF!</v>
      </c>
      <c r="CG498" t="e">
        <f>AND(#REF!,"AAAAAB/Pn1Q=")</f>
        <v>#REF!</v>
      </c>
      <c r="CH498" t="e">
        <f>IF(#REF!,"AAAAAB/Pn1U=",0)</f>
        <v>#REF!</v>
      </c>
      <c r="CI498" t="e">
        <f>AND(#REF!,"AAAAAB/Pn1Y=")</f>
        <v>#REF!</v>
      </c>
      <c r="CJ498" t="e">
        <f>AND(#REF!,"AAAAAB/Pn1c=")</f>
        <v>#REF!</v>
      </c>
      <c r="CK498" t="e">
        <f>AND(#REF!,"AAAAAB/Pn1g=")</f>
        <v>#REF!</v>
      </c>
      <c r="CL498" t="e">
        <f>AND(#REF!,"AAAAAB/Pn1k=")</f>
        <v>#REF!</v>
      </c>
      <c r="CM498" t="e">
        <f>AND(#REF!,"AAAAAB/Pn1o=")</f>
        <v>#REF!</v>
      </c>
      <c r="CN498" t="e">
        <f>AND(#REF!,"AAAAAB/Pn1s=")</f>
        <v>#REF!</v>
      </c>
      <c r="CO498" t="e">
        <f>AND(#REF!,"AAAAAB/Pn1w=")</f>
        <v>#REF!</v>
      </c>
      <c r="CP498" t="e">
        <f>AND(#REF!,"AAAAAB/Pn10=")</f>
        <v>#REF!</v>
      </c>
      <c r="CQ498" t="e">
        <f>AND(#REF!,"AAAAAB/Pn14=")</f>
        <v>#REF!</v>
      </c>
      <c r="CR498" t="e">
        <f>AND(#REF!,"AAAAAB/Pn18=")</f>
        <v>#REF!</v>
      </c>
      <c r="CS498" t="e">
        <f>IF(#REF!,"AAAAAB/Pn2A=",0)</f>
        <v>#REF!</v>
      </c>
      <c r="CT498" t="e">
        <f>AND(#REF!,"AAAAAB/Pn2E=")</f>
        <v>#REF!</v>
      </c>
      <c r="CU498" t="e">
        <f>AND(#REF!,"AAAAAB/Pn2I=")</f>
        <v>#REF!</v>
      </c>
      <c r="CV498" t="e">
        <f>AND(#REF!,"AAAAAB/Pn2M=")</f>
        <v>#REF!</v>
      </c>
      <c r="CW498" t="e">
        <f>AND(#REF!,"AAAAAB/Pn2Q=")</f>
        <v>#REF!</v>
      </c>
      <c r="CX498" t="e">
        <f>AND(#REF!,"AAAAAB/Pn2U=")</f>
        <v>#REF!</v>
      </c>
      <c r="CY498" t="e">
        <f>AND(#REF!,"AAAAAB/Pn2Y=")</f>
        <v>#REF!</v>
      </c>
      <c r="CZ498" t="e">
        <f>AND(#REF!,"AAAAAB/Pn2c=")</f>
        <v>#REF!</v>
      </c>
      <c r="DA498" t="e">
        <f>AND(#REF!,"AAAAAB/Pn2g=")</f>
        <v>#REF!</v>
      </c>
      <c r="DB498" t="e">
        <f>AND(#REF!,"AAAAAB/Pn2k=")</f>
        <v>#REF!</v>
      </c>
      <c r="DC498" t="e">
        <f>AND(#REF!,"AAAAAB/Pn2o=")</f>
        <v>#REF!</v>
      </c>
      <c r="DD498" t="e">
        <f>IF(#REF!,"AAAAAB/Pn2s=",0)</f>
        <v>#REF!</v>
      </c>
      <c r="DE498" t="e">
        <f>AND(#REF!,"AAAAAB/Pn2w=")</f>
        <v>#REF!</v>
      </c>
      <c r="DF498" t="e">
        <f>AND(#REF!,"AAAAAB/Pn20=")</f>
        <v>#REF!</v>
      </c>
      <c r="DG498" t="e">
        <f>AND(#REF!,"AAAAAB/Pn24=")</f>
        <v>#REF!</v>
      </c>
      <c r="DH498" t="e">
        <f>AND(#REF!,"AAAAAB/Pn28=")</f>
        <v>#REF!</v>
      </c>
      <c r="DI498" t="e">
        <f>AND(#REF!,"AAAAAB/Pn3A=")</f>
        <v>#REF!</v>
      </c>
      <c r="DJ498" t="e">
        <f>AND(#REF!,"AAAAAB/Pn3E=")</f>
        <v>#REF!</v>
      </c>
      <c r="DK498" t="e">
        <f>AND(#REF!,"AAAAAB/Pn3I=")</f>
        <v>#REF!</v>
      </c>
      <c r="DL498" t="e">
        <f>AND(#REF!,"AAAAAB/Pn3M=")</f>
        <v>#REF!</v>
      </c>
      <c r="DM498" t="e">
        <f>AND(#REF!,"AAAAAB/Pn3Q=")</f>
        <v>#REF!</v>
      </c>
      <c r="DN498" t="e">
        <f>AND(#REF!,"AAAAAB/Pn3U=")</f>
        <v>#REF!</v>
      </c>
      <c r="DO498" t="e">
        <f>IF(#REF!,"AAAAAB/Pn3Y=",0)</f>
        <v>#REF!</v>
      </c>
      <c r="DP498" t="e">
        <f>AND(#REF!,"AAAAAB/Pn3c=")</f>
        <v>#REF!</v>
      </c>
      <c r="DQ498" t="e">
        <f>AND(#REF!,"AAAAAB/Pn3g=")</f>
        <v>#REF!</v>
      </c>
      <c r="DR498" t="e">
        <f>AND(#REF!,"AAAAAB/Pn3k=")</f>
        <v>#REF!</v>
      </c>
      <c r="DS498" t="e">
        <f>AND(#REF!,"AAAAAB/Pn3o=")</f>
        <v>#REF!</v>
      </c>
      <c r="DT498" t="e">
        <f>AND(#REF!,"AAAAAB/Pn3s=")</f>
        <v>#REF!</v>
      </c>
      <c r="DU498" t="e">
        <f>AND(#REF!,"AAAAAB/Pn3w=")</f>
        <v>#REF!</v>
      </c>
      <c r="DV498" t="e">
        <f>AND(#REF!,"AAAAAB/Pn30=")</f>
        <v>#REF!</v>
      </c>
      <c r="DW498" t="e">
        <f>AND(#REF!,"AAAAAB/Pn34=")</f>
        <v>#REF!</v>
      </c>
      <c r="DX498" t="e">
        <f>AND(#REF!,"AAAAAB/Pn38=")</f>
        <v>#REF!</v>
      </c>
      <c r="DY498" t="e">
        <f>AND(#REF!,"AAAAAB/Pn4A=")</f>
        <v>#REF!</v>
      </c>
      <c r="DZ498" t="e">
        <f>IF(#REF!,"AAAAAB/Pn4E=",0)</f>
        <v>#REF!</v>
      </c>
      <c r="EA498" t="e">
        <f>AND(#REF!,"AAAAAB/Pn4I=")</f>
        <v>#REF!</v>
      </c>
      <c r="EB498" t="e">
        <f>AND(#REF!,"AAAAAB/Pn4M=")</f>
        <v>#REF!</v>
      </c>
      <c r="EC498" t="e">
        <f>AND(#REF!,"AAAAAB/Pn4Q=")</f>
        <v>#REF!</v>
      </c>
      <c r="ED498" t="e">
        <f>AND(#REF!,"AAAAAB/Pn4U=")</f>
        <v>#REF!</v>
      </c>
      <c r="EE498" t="e">
        <f>AND(#REF!,"AAAAAB/Pn4Y=")</f>
        <v>#REF!</v>
      </c>
      <c r="EF498" t="e">
        <f>AND(#REF!,"AAAAAB/Pn4c=")</f>
        <v>#REF!</v>
      </c>
      <c r="EG498" t="e">
        <f>AND(#REF!,"AAAAAB/Pn4g=")</f>
        <v>#REF!</v>
      </c>
      <c r="EH498" t="e">
        <f>AND(#REF!,"AAAAAB/Pn4k=")</f>
        <v>#REF!</v>
      </c>
      <c r="EI498" t="e">
        <f>AND(#REF!,"AAAAAB/Pn4o=")</f>
        <v>#REF!</v>
      </c>
      <c r="EJ498" t="e">
        <f>AND(#REF!,"AAAAAB/Pn4s=")</f>
        <v>#REF!</v>
      </c>
      <c r="EK498" t="e">
        <f>IF(#REF!,"AAAAAB/Pn4w=",0)</f>
        <v>#REF!</v>
      </c>
      <c r="EL498" t="e">
        <f>AND(#REF!,"AAAAAB/Pn40=")</f>
        <v>#REF!</v>
      </c>
      <c r="EM498" t="e">
        <f>AND(#REF!,"AAAAAB/Pn44=")</f>
        <v>#REF!</v>
      </c>
      <c r="EN498" t="e">
        <f>AND(#REF!,"AAAAAB/Pn48=")</f>
        <v>#REF!</v>
      </c>
      <c r="EO498" t="e">
        <f>AND(#REF!,"AAAAAB/Pn5A=")</f>
        <v>#REF!</v>
      </c>
      <c r="EP498" t="e">
        <f>AND(#REF!,"AAAAAB/Pn5E=")</f>
        <v>#REF!</v>
      </c>
      <c r="EQ498" t="e">
        <f>AND(#REF!,"AAAAAB/Pn5I=")</f>
        <v>#REF!</v>
      </c>
      <c r="ER498" t="e">
        <f>AND(#REF!,"AAAAAB/Pn5M=")</f>
        <v>#REF!</v>
      </c>
      <c r="ES498" t="e">
        <f>AND(#REF!,"AAAAAB/Pn5Q=")</f>
        <v>#REF!</v>
      </c>
      <c r="ET498" t="e">
        <f>AND(#REF!,"AAAAAB/Pn5U=")</f>
        <v>#REF!</v>
      </c>
      <c r="EU498" t="e">
        <f>AND(#REF!,"AAAAAB/Pn5Y=")</f>
        <v>#REF!</v>
      </c>
      <c r="EV498" t="e">
        <f>IF(#REF!,"AAAAAB/Pn5c=",0)</f>
        <v>#REF!</v>
      </c>
      <c r="EW498" t="e">
        <f>AND(#REF!,"AAAAAB/Pn5g=")</f>
        <v>#REF!</v>
      </c>
      <c r="EX498" t="e">
        <f>AND(#REF!,"AAAAAB/Pn5k=")</f>
        <v>#REF!</v>
      </c>
      <c r="EY498" t="e">
        <f>AND(#REF!,"AAAAAB/Pn5o=")</f>
        <v>#REF!</v>
      </c>
      <c r="EZ498" t="e">
        <f>AND(#REF!,"AAAAAB/Pn5s=")</f>
        <v>#REF!</v>
      </c>
      <c r="FA498" t="e">
        <f>AND(#REF!,"AAAAAB/Pn5w=")</f>
        <v>#REF!</v>
      </c>
      <c r="FB498" t="e">
        <f>AND(#REF!,"AAAAAB/Pn50=")</f>
        <v>#REF!</v>
      </c>
      <c r="FC498" t="e">
        <f>AND(#REF!,"AAAAAB/Pn54=")</f>
        <v>#REF!</v>
      </c>
      <c r="FD498" t="e">
        <f>AND(#REF!,"AAAAAB/Pn58=")</f>
        <v>#REF!</v>
      </c>
      <c r="FE498" t="e">
        <f>AND(#REF!,"AAAAAB/Pn6A=")</f>
        <v>#REF!</v>
      </c>
      <c r="FF498" t="e">
        <f>AND(#REF!,"AAAAAB/Pn6E=")</f>
        <v>#REF!</v>
      </c>
      <c r="FG498" t="e">
        <f>IF(#REF!,"AAAAAB/Pn6I=",0)</f>
        <v>#REF!</v>
      </c>
      <c r="FH498" t="e">
        <f>AND(#REF!,"AAAAAB/Pn6M=")</f>
        <v>#REF!</v>
      </c>
      <c r="FI498" t="e">
        <f>AND(#REF!,"AAAAAB/Pn6Q=")</f>
        <v>#REF!</v>
      </c>
      <c r="FJ498" t="e">
        <f>AND(#REF!,"AAAAAB/Pn6U=")</f>
        <v>#REF!</v>
      </c>
      <c r="FK498" t="e">
        <f>AND(#REF!,"AAAAAB/Pn6Y=")</f>
        <v>#REF!</v>
      </c>
      <c r="FL498" t="e">
        <f>AND(#REF!,"AAAAAB/Pn6c=")</f>
        <v>#REF!</v>
      </c>
      <c r="FM498" t="e">
        <f>AND(#REF!,"AAAAAB/Pn6g=")</f>
        <v>#REF!</v>
      </c>
      <c r="FN498" t="e">
        <f>AND(#REF!,"AAAAAB/Pn6k=")</f>
        <v>#REF!</v>
      </c>
      <c r="FO498" t="e">
        <f>AND(#REF!,"AAAAAB/Pn6o=")</f>
        <v>#REF!</v>
      </c>
      <c r="FP498" t="e">
        <f>AND(#REF!,"AAAAAB/Pn6s=")</f>
        <v>#REF!</v>
      </c>
      <c r="FQ498" t="e">
        <f>AND(#REF!,"AAAAAB/Pn6w=")</f>
        <v>#REF!</v>
      </c>
      <c r="FR498" t="e">
        <f>IF(#REF!,"AAAAAB/Pn60=",0)</f>
        <v>#REF!</v>
      </c>
      <c r="FS498" t="e">
        <f>AND(#REF!,"AAAAAB/Pn64=")</f>
        <v>#REF!</v>
      </c>
      <c r="FT498" t="e">
        <f>AND(#REF!,"AAAAAB/Pn68=")</f>
        <v>#REF!</v>
      </c>
      <c r="FU498" t="e">
        <f>AND(#REF!,"AAAAAB/Pn7A=")</f>
        <v>#REF!</v>
      </c>
      <c r="FV498" t="e">
        <f>AND(#REF!,"AAAAAB/Pn7E=")</f>
        <v>#REF!</v>
      </c>
      <c r="FW498" t="e">
        <f>AND(#REF!,"AAAAAB/Pn7I=")</f>
        <v>#REF!</v>
      </c>
      <c r="FX498" t="e">
        <f>AND(#REF!,"AAAAAB/Pn7M=")</f>
        <v>#REF!</v>
      </c>
      <c r="FY498" t="e">
        <f>AND(#REF!,"AAAAAB/Pn7Q=")</f>
        <v>#REF!</v>
      </c>
      <c r="FZ498" t="e">
        <f>AND(#REF!,"AAAAAB/Pn7U=")</f>
        <v>#REF!</v>
      </c>
      <c r="GA498" t="e">
        <f>AND(#REF!,"AAAAAB/Pn7Y=")</f>
        <v>#REF!</v>
      </c>
      <c r="GB498" t="e">
        <f>AND(#REF!,"AAAAAB/Pn7c=")</f>
        <v>#REF!</v>
      </c>
      <c r="GC498" t="e">
        <f>IF(#REF!,"AAAAAB/Pn7g=",0)</f>
        <v>#REF!</v>
      </c>
      <c r="GD498" t="e">
        <f>AND(#REF!,"AAAAAB/Pn7k=")</f>
        <v>#REF!</v>
      </c>
      <c r="GE498" t="e">
        <f>AND(#REF!,"AAAAAB/Pn7o=")</f>
        <v>#REF!</v>
      </c>
      <c r="GF498" t="e">
        <f>AND(#REF!,"AAAAAB/Pn7s=")</f>
        <v>#REF!</v>
      </c>
      <c r="GG498" t="e">
        <f>AND(#REF!,"AAAAAB/Pn7w=")</f>
        <v>#REF!</v>
      </c>
      <c r="GH498" t="e">
        <f>AND(#REF!,"AAAAAB/Pn70=")</f>
        <v>#REF!</v>
      </c>
      <c r="GI498" t="e">
        <f>AND(#REF!,"AAAAAB/Pn74=")</f>
        <v>#REF!</v>
      </c>
      <c r="GJ498" t="e">
        <f>AND(#REF!,"AAAAAB/Pn78=")</f>
        <v>#REF!</v>
      </c>
      <c r="GK498" t="e">
        <f>AND(#REF!,"AAAAAB/Pn8A=")</f>
        <v>#REF!</v>
      </c>
      <c r="GL498" t="e">
        <f>AND(#REF!,"AAAAAB/Pn8E=")</f>
        <v>#REF!</v>
      </c>
      <c r="GM498" t="e">
        <f>AND(#REF!,"AAAAAB/Pn8I=")</f>
        <v>#REF!</v>
      </c>
      <c r="GN498" t="e">
        <f>IF(#REF!,"AAAAAB/Pn8M=",0)</f>
        <v>#REF!</v>
      </c>
      <c r="GO498" t="e">
        <f>AND(#REF!,"AAAAAB/Pn8Q=")</f>
        <v>#REF!</v>
      </c>
      <c r="GP498" t="e">
        <f>AND(#REF!,"AAAAAB/Pn8U=")</f>
        <v>#REF!</v>
      </c>
      <c r="GQ498" t="e">
        <f>AND(#REF!,"AAAAAB/Pn8Y=")</f>
        <v>#REF!</v>
      </c>
      <c r="GR498" t="e">
        <f>AND(#REF!,"AAAAAB/Pn8c=")</f>
        <v>#REF!</v>
      </c>
      <c r="GS498" t="e">
        <f>AND(#REF!,"AAAAAB/Pn8g=")</f>
        <v>#REF!</v>
      </c>
      <c r="GT498" t="e">
        <f>AND(#REF!,"AAAAAB/Pn8k=")</f>
        <v>#REF!</v>
      </c>
      <c r="GU498" t="e">
        <f>AND(#REF!,"AAAAAB/Pn8o=")</f>
        <v>#REF!</v>
      </c>
      <c r="GV498" t="e">
        <f>AND(#REF!,"AAAAAB/Pn8s=")</f>
        <v>#REF!</v>
      </c>
      <c r="GW498" t="e">
        <f>AND(#REF!,"AAAAAB/Pn8w=")</f>
        <v>#REF!</v>
      </c>
      <c r="GX498" t="e">
        <f>AND(#REF!,"AAAAAB/Pn80=")</f>
        <v>#REF!</v>
      </c>
      <c r="GY498" t="e">
        <f>IF(#REF!,"AAAAAB/Pn84=",0)</f>
        <v>#REF!</v>
      </c>
      <c r="GZ498" t="e">
        <f>AND(#REF!,"AAAAAB/Pn88=")</f>
        <v>#REF!</v>
      </c>
      <c r="HA498" t="e">
        <f>AND(#REF!,"AAAAAB/Pn9A=")</f>
        <v>#REF!</v>
      </c>
      <c r="HB498" t="e">
        <f>AND(#REF!,"AAAAAB/Pn9E=")</f>
        <v>#REF!</v>
      </c>
      <c r="HC498" t="e">
        <f>AND(#REF!,"AAAAAB/Pn9I=")</f>
        <v>#REF!</v>
      </c>
      <c r="HD498" t="e">
        <f>AND(#REF!,"AAAAAB/Pn9M=")</f>
        <v>#REF!</v>
      </c>
      <c r="HE498" t="e">
        <f>AND(#REF!,"AAAAAB/Pn9Q=")</f>
        <v>#REF!</v>
      </c>
      <c r="HF498" t="e">
        <f>AND(#REF!,"AAAAAB/Pn9U=")</f>
        <v>#REF!</v>
      </c>
      <c r="HG498" t="e">
        <f>AND(#REF!,"AAAAAB/Pn9Y=")</f>
        <v>#REF!</v>
      </c>
      <c r="HH498" t="e">
        <f>AND(#REF!,"AAAAAB/Pn9c=")</f>
        <v>#REF!</v>
      </c>
      <c r="HI498" t="e">
        <f>AND(#REF!,"AAAAAB/Pn9g=")</f>
        <v>#REF!</v>
      </c>
      <c r="HJ498" t="e">
        <f>IF(#REF!,"AAAAAB/Pn9k=",0)</f>
        <v>#REF!</v>
      </c>
      <c r="HK498" t="e">
        <f>AND(#REF!,"AAAAAB/Pn9o=")</f>
        <v>#REF!</v>
      </c>
      <c r="HL498" t="e">
        <f>AND(#REF!,"AAAAAB/Pn9s=")</f>
        <v>#REF!</v>
      </c>
      <c r="HM498" t="e">
        <f>AND(#REF!,"AAAAAB/Pn9w=")</f>
        <v>#REF!</v>
      </c>
      <c r="HN498" t="e">
        <f>AND(#REF!,"AAAAAB/Pn90=")</f>
        <v>#REF!</v>
      </c>
      <c r="HO498" t="e">
        <f>AND(#REF!,"AAAAAB/Pn94=")</f>
        <v>#REF!</v>
      </c>
      <c r="HP498" t="e">
        <f>AND(#REF!,"AAAAAB/Pn98=")</f>
        <v>#REF!</v>
      </c>
      <c r="HQ498" t="e">
        <f>AND(#REF!,"AAAAAB/Pn+A=")</f>
        <v>#REF!</v>
      </c>
      <c r="HR498" t="e">
        <f>AND(#REF!,"AAAAAB/Pn+E=")</f>
        <v>#REF!</v>
      </c>
      <c r="HS498" t="e">
        <f>AND(#REF!,"AAAAAB/Pn+I=")</f>
        <v>#REF!</v>
      </c>
      <c r="HT498" t="e">
        <f>AND(#REF!,"AAAAAB/Pn+M=")</f>
        <v>#REF!</v>
      </c>
      <c r="HU498" t="e">
        <f>IF(#REF!,"AAAAAB/Pn+Q=",0)</f>
        <v>#REF!</v>
      </c>
      <c r="HV498" t="e">
        <f>AND(#REF!,"AAAAAB/Pn+U=")</f>
        <v>#REF!</v>
      </c>
      <c r="HW498" t="e">
        <f>AND(#REF!,"AAAAAB/Pn+Y=")</f>
        <v>#REF!</v>
      </c>
      <c r="HX498" t="e">
        <f>AND(#REF!,"AAAAAB/Pn+c=")</f>
        <v>#REF!</v>
      </c>
      <c r="HY498" t="e">
        <f>AND(#REF!,"AAAAAB/Pn+g=")</f>
        <v>#REF!</v>
      </c>
      <c r="HZ498" t="e">
        <f>AND(#REF!,"AAAAAB/Pn+k=")</f>
        <v>#REF!</v>
      </c>
      <c r="IA498" t="e">
        <f>AND(#REF!,"AAAAAB/Pn+o=")</f>
        <v>#REF!</v>
      </c>
      <c r="IB498" t="e">
        <f>AND(#REF!,"AAAAAB/Pn+s=")</f>
        <v>#REF!</v>
      </c>
      <c r="IC498" t="e">
        <f>AND(#REF!,"AAAAAB/Pn+w=")</f>
        <v>#REF!</v>
      </c>
      <c r="ID498" t="e">
        <f>AND(#REF!,"AAAAAB/Pn+0=")</f>
        <v>#REF!</v>
      </c>
      <c r="IE498" t="e">
        <f>AND(#REF!,"AAAAAB/Pn+4=")</f>
        <v>#REF!</v>
      </c>
      <c r="IF498" t="e">
        <f>IF(#REF!,"AAAAAB/Pn+8=",0)</f>
        <v>#REF!</v>
      </c>
      <c r="IG498" t="e">
        <f>AND(#REF!,"AAAAAB/Pn/A=")</f>
        <v>#REF!</v>
      </c>
      <c r="IH498" t="e">
        <f>AND(#REF!,"AAAAAB/Pn/E=")</f>
        <v>#REF!</v>
      </c>
      <c r="II498" t="e">
        <f>AND(#REF!,"AAAAAB/Pn/I=")</f>
        <v>#REF!</v>
      </c>
      <c r="IJ498" t="e">
        <f>AND(#REF!,"AAAAAB/Pn/M=")</f>
        <v>#REF!</v>
      </c>
      <c r="IK498" t="e">
        <f>AND(#REF!,"AAAAAB/Pn/Q=")</f>
        <v>#REF!</v>
      </c>
      <c r="IL498" t="e">
        <f>AND(#REF!,"AAAAAB/Pn/U=")</f>
        <v>#REF!</v>
      </c>
      <c r="IM498" t="e">
        <f>AND(#REF!,"AAAAAB/Pn/Y=")</f>
        <v>#REF!</v>
      </c>
      <c r="IN498" t="e">
        <f>AND(#REF!,"AAAAAB/Pn/c=")</f>
        <v>#REF!</v>
      </c>
      <c r="IO498" t="e">
        <f>AND(#REF!,"AAAAAB/Pn/g=")</f>
        <v>#REF!</v>
      </c>
      <c r="IP498" t="e">
        <f>AND(#REF!,"AAAAAB/Pn/k=")</f>
        <v>#REF!</v>
      </c>
      <c r="IQ498" t="e">
        <f>IF(#REF!,"AAAAAB/Pn/o=",0)</f>
        <v>#REF!</v>
      </c>
      <c r="IR498" t="e">
        <f>AND(#REF!,"AAAAAB/Pn/s=")</f>
        <v>#REF!</v>
      </c>
      <c r="IS498" t="e">
        <f>AND(#REF!,"AAAAAB/Pn/w=")</f>
        <v>#REF!</v>
      </c>
      <c r="IT498" t="e">
        <f>AND(#REF!,"AAAAAB/Pn/0=")</f>
        <v>#REF!</v>
      </c>
      <c r="IU498" t="e">
        <f>AND(#REF!,"AAAAAB/Pn/4=")</f>
        <v>#REF!</v>
      </c>
      <c r="IV498" t="e">
        <f>AND(#REF!,"AAAAAB/Pn/8=")</f>
        <v>#REF!</v>
      </c>
    </row>
    <row r="499" spans="1:256" x14ac:dyDescent="0.25">
      <c r="A499" t="e">
        <f>AND(#REF!,"AAAAAC9r3wA=")</f>
        <v>#REF!</v>
      </c>
      <c r="B499" t="e">
        <f>AND(#REF!,"AAAAAC9r3wE=")</f>
        <v>#REF!</v>
      </c>
      <c r="C499" t="e">
        <f>AND(#REF!,"AAAAAC9r3wI=")</f>
        <v>#REF!</v>
      </c>
      <c r="D499" t="e">
        <f>AND(#REF!,"AAAAAC9r3wM=")</f>
        <v>#REF!</v>
      </c>
      <c r="E499" t="e">
        <f>AND(#REF!,"AAAAAC9r3wQ=")</f>
        <v>#REF!</v>
      </c>
      <c r="F499" t="e">
        <f>IF(#REF!,"AAAAAC9r3wU=",0)</f>
        <v>#REF!</v>
      </c>
      <c r="G499" t="e">
        <f>AND(#REF!,"AAAAAC9r3wY=")</f>
        <v>#REF!</v>
      </c>
      <c r="H499" t="e">
        <f>AND(#REF!,"AAAAAC9r3wc=")</f>
        <v>#REF!</v>
      </c>
      <c r="I499" t="e">
        <f>AND(#REF!,"AAAAAC9r3wg=")</f>
        <v>#REF!</v>
      </c>
      <c r="J499" t="e">
        <f>AND(#REF!,"AAAAAC9r3wk=")</f>
        <v>#REF!</v>
      </c>
      <c r="K499" t="e">
        <f>AND(#REF!,"AAAAAC9r3wo=")</f>
        <v>#REF!</v>
      </c>
      <c r="L499" t="e">
        <f>AND(#REF!,"AAAAAC9r3ws=")</f>
        <v>#REF!</v>
      </c>
      <c r="M499" t="e">
        <f>AND(#REF!,"AAAAAC9r3ww=")</f>
        <v>#REF!</v>
      </c>
      <c r="N499" t="e">
        <f>AND(#REF!,"AAAAAC9r3w0=")</f>
        <v>#REF!</v>
      </c>
      <c r="O499" t="e">
        <f>AND(#REF!,"AAAAAC9r3w4=")</f>
        <v>#REF!</v>
      </c>
      <c r="P499" t="e">
        <f>AND(#REF!,"AAAAAC9r3w8=")</f>
        <v>#REF!</v>
      </c>
      <c r="Q499" t="e">
        <f>IF(#REF!,"AAAAAC9r3xA=",0)</f>
        <v>#REF!</v>
      </c>
      <c r="R499" t="e">
        <f>AND(#REF!,"AAAAAC9r3xE=")</f>
        <v>#REF!</v>
      </c>
      <c r="S499" t="e">
        <f>AND(#REF!,"AAAAAC9r3xI=")</f>
        <v>#REF!</v>
      </c>
      <c r="T499" t="e">
        <f>AND(#REF!,"AAAAAC9r3xM=")</f>
        <v>#REF!</v>
      </c>
      <c r="U499" t="e">
        <f>AND(#REF!,"AAAAAC9r3xQ=")</f>
        <v>#REF!</v>
      </c>
      <c r="V499" t="e">
        <f>AND(#REF!,"AAAAAC9r3xU=")</f>
        <v>#REF!</v>
      </c>
      <c r="W499" t="e">
        <f>AND(#REF!,"AAAAAC9r3xY=")</f>
        <v>#REF!</v>
      </c>
      <c r="X499" t="e">
        <f>AND(#REF!,"AAAAAC9r3xc=")</f>
        <v>#REF!</v>
      </c>
      <c r="Y499" t="e">
        <f>AND(#REF!,"AAAAAC9r3xg=")</f>
        <v>#REF!</v>
      </c>
      <c r="Z499" t="e">
        <f>AND(#REF!,"AAAAAC9r3xk=")</f>
        <v>#REF!</v>
      </c>
      <c r="AA499" t="e">
        <f>AND(#REF!,"AAAAAC9r3xo=")</f>
        <v>#REF!</v>
      </c>
      <c r="AB499" t="e">
        <f>IF(#REF!,"AAAAAC9r3xs=",0)</f>
        <v>#REF!</v>
      </c>
      <c r="AC499" t="e">
        <f>AND(#REF!,"AAAAAC9r3xw=")</f>
        <v>#REF!</v>
      </c>
      <c r="AD499" t="e">
        <f>AND(#REF!,"AAAAAC9r3x0=")</f>
        <v>#REF!</v>
      </c>
      <c r="AE499" t="e">
        <f>AND(#REF!,"AAAAAC9r3x4=")</f>
        <v>#REF!</v>
      </c>
      <c r="AF499" t="e">
        <f>AND(#REF!,"AAAAAC9r3x8=")</f>
        <v>#REF!</v>
      </c>
      <c r="AG499" t="e">
        <f>AND(#REF!,"AAAAAC9r3yA=")</f>
        <v>#REF!</v>
      </c>
      <c r="AH499" t="e">
        <f>AND(#REF!,"AAAAAC9r3yE=")</f>
        <v>#REF!</v>
      </c>
      <c r="AI499" t="e">
        <f>AND(#REF!,"AAAAAC9r3yI=")</f>
        <v>#REF!</v>
      </c>
      <c r="AJ499" t="e">
        <f>AND(#REF!,"AAAAAC9r3yM=")</f>
        <v>#REF!</v>
      </c>
      <c r="AK499" t="e">
        <f>AND(#REF!,"AAAAAC9r3yQ=")</f>
        <v>#REF!</v>
      </c>
      <c r="AL499" t="e">
        <f>AND(#REF!,"AAAAAC9r3yU=")</f>
        <v>#REF!</v>
      </c>
      <c r="AM499" t="e">
        <f>IF(#REF!,"AAAAAC9r3yY=",0)</f>
        <v>#REF!</v>
      </c>
      <c r="AN499" t="e">
        <f>AND(#REF!,"AAAAAC9r3yc=")</f>
        <v>#REF!</v>
      </c>
      <c r="AO499" t="e">
        <f>AND(#REF!,"AAAAAC9r3yg=")</f>
        <v>#REF!</v>
      </c>
      <c r="AP499" t="e">
        <f>AND(#REF!,"AAAAAC9r3yk=")</f>
        <v>#REF!</v>
      </c>
      <c r="AQ499" t="e">
        <f>AND(#REF!,"AAAAAC9r3yo=")</f>
        <v>#REF!</v>
      </c>
      <c r="AR499" t="e">
        <f>AND(#REF!,"AAAAAC9r3ys=")</f>
        <v>#REF!</v>
      </c>
      <c r="AS499" t="e">
        <f>AND(#REF!,"AAAAAC9r3yw=")</f>
        <v>#REF!</v>
      </c>
      <c r="AT499" t="e">
        <f>AND(#REF!,"AAAAAC9r3y0=")</f>
        <v>#REF!</v>
      </c>
      <c r="AU499" t="e">
        <f>AND(#REF!,"AAAAAC9r3y4=")</f>
        <v>#REF!</v>
      </c>
      <c r="AV499" t="e">
        <f>AND(#REF!,"AAAAAC9r3y8=")</f>
        <v>#REF!</v>
      </c>
      <c r="AW499" t="e">
        <f>AND(#REF!,"AAAAAC9r3zA=")</f>
        <v>#REF!</v>
      </c>
      <c r="AX499" t="e">
        <f>IF(#REF!,"AAAAAC9r3zE=",0)</f>
        <v>#REF!</v>
      </c>
      <c r="AY499" t="e">
        <f>AND(#REF!,"AAAAAC9r3zI=")</f>
        <v>#REF!</v>
      </c>
      <c r="AZ499" t="e">
        <f>AND(#REF!,"AAAAAC9r3zM=")</f>
        <v>#REF!</v>
      </c>
      <c r="BA499" t="e">
        <f>AND(#REF!,"AAAAAC9r3zQ=")</f>
        <v>#REF!</v>
      </c>
      <c r="BB499" t="e">
        <f>AND(#REF!,"AAAAAC9r3zU=")</f>
        <v>#REF!</v>
      </c>
      <c r="BC499" t="e">
        <f>AND(#REF!,"AAAAAC9r3zY=")</f>
        <v>#REF!</v>
      </c>
      <c r="BD499" t="e">
        <f>AND(#REF!,"AAAAAC9r3zc=")</f>
        <v>#REF!</v>
      </c>
      <c r="BE499" t="e">
        <f>AND(#REF!,"AAAAAC9r3zg=")</f>
        <v>#REF!</v>
      </c>
      <c r="BF499" t="e">
        <f>AND(#REF!,"AAAAAC9r3zk=")</f>
        <v>#REF!</v>
      </c>
      <c r="BG499" t="e">
        <f>AND(#REF!,"AAAAAC9r3zo=")</f>
        <v>#REF!</v>
      </c>
      <c r="BH499" t="e">
        <f>AND(#REF!,"AAAAAC9r3zs=")</f>
        <v>#REF!</v>
      </c>
      <c r="BI499" t="e">
        <f>IF(#REF!,"AAAAAC9r3zw=",0)</f>
        <v>#REF!</v>
      </c>
      <c r="BJ499" t="e">
        <f>AND(#REF!,"AAAAAC9r3z0=")</f>
        <v>#REF!</v>
      </c>
      <c r="BK499" t="e">
        <f>AND(#REF!,"AAAAAC9r3z4=")</f>
        <v>#REF!</v>
      </c>
      <c r="BL499" t="e">
        <f>AND(#REF!,"AAAAAC9r3z8=")</f>
        <v>#REF!</v>
      </c>
      <c r="BM499" t="e">
        <f>AND(#REF!,"AAAAAC9r30A=")</f>
        <v>#REF!</v>
      </c>
      <c r="BN499" t="e">
        <f>AND(#REF!,"AAAAAC9r30E=")</f>
        <v>#REF!</v>
      </c>
      <c r="BO499" t="e">
        <f>AND(#REF!,"AAAAAC9r30I=")</f>
        <v>#REF!</v>
      </c>
      <c r="BP499" t="e">
        <f>AND(#REF!,"AAAAAC9r30M=")</f>
        <v>#REF!</v>
      </c>
      <c r="BQ499" t="e">
        <f>AND(#REF!,"AAAAAC9r30Q=")</f>
        <v>#REF!</v>
      </c>
      <c r="BR499" t="e">
        <f>AND(#REF!,"AAAAAC9r30U=")</f>
        <v>#REF!</v>
      </c>
      <c r="BS499" t="e">
        <f>AND(#REF!,"AAAAAC9r30Y=")</f>
        <v>#REF!</v>
      </c>
      <c r="BT499" t="e">
        <f>IF(#REF!,"AAAAAC9r30c=",0)</f>
        <v>#REF!</v>
      </c>
      <c r="BU499" t="e">
        <f>AND(#REF!,"AAAAAC9r30g=")</f>
        <v>#REF!</v>
      </c>
      <c r="BV499" t="e">
        <f>AND(#REF!,"AAAAAC9r30k=")</f>
        <v>#REF!</v>
      </c>
      <c r="BW499" t="e">
        <f>AND(#REF!,"AAAAAC9r30o=")</f>
        <v>#REF!</v>
      </c>
      <c r="BX499" t="e">
        <f>AND(#REF!,"AAAAAC9r30s=")</f>
        <v>#REF!</v>
      </c>
      <c r="BY499" t="e">
        <f>AND(#REF!,"AAAAAC9r30w=")</f>
        <v>#REF!</v>
      </c>
      <c r="BZ499" t="e">
        <f>AND(#REF!,"AAAAAC9r300=")</f>
        <v>#REF!</v>
      </c>
      <c r="CA499" t="e">
        <f>AND(#REF!,"AAAAAC9r304=")</f>
        <v>#REF!</v>
      </c>
      <c r="CB499" t="e">
        <f>AND(#REF!,"AAAAAC9r308=")</f>
        <v>#REF!</v>
      </c>
      <c r="CC499" t="e">
        <f>AND(#REF!,"AAAAAC9r31A=")</f>
        <v>#REF!</v>
      </c>
      <c r="CD499" t="e">
        <f>AND(#REF!,"AAAAAC9r31E=")</f>
        <v>#REF!</v>
      </c>
      <c r="CE499" t="e">
        <f>IF(#REF!,"AAAAAC9r31I=",0)</f>
        <v>#REF!</v>
      </c>
      <c r="CF499" t="e">
        <f>AND(#REF!,"AAAAAC9r31M=")</f>
        <v>#REF!</v>
      </c>
      <c r="CG499" t="e">
        <f>AND(#REF!,"AAAAAC9r31Q=")</f>
        <v>#REF!</v>
      </c>
      <c r="CH499" t="e">
        <f>AND(#REF!,"AAAAAC9r31U=")</f>
        <v>#REF!</v>
      </c>
      <c r="CI499" t="e">
        <f>AND(#REF!,"AAAAAC9r31Y=")</f>
        <v>#REF!</v>
      </c>
      <c r="CJ499" t="e">
        <f>AND(#REF!,"AAAAAC9r31c=")</f>
        <v>#REF!</v>
      </c>
      <c r="CK499" t="e">
        <f>AND(#REF!,"AAAAAC9r31g=")</f>
        <v>#REF!</v>
      </c>
      <c r="CL499" t="e">
        <f>AND(#REF!,"AAAAAC9r31k=")</f>
        <v>#REF!</v>
      </c>
      <c r="CM499" t="e">
        <f>AND(#REF!,"AAAAAC9r31o=")</f>
        <v>#REF!</v>
      </c>
      <c r="CN499" t="e">
        <f>AND(#REF!,"AAAAAC9r31s=")</f>
        <v>#REF!</v>
      </c>
      <c r="CO499" t="e">
        <f>AND(#REF!,"AAAAAC9r31w=")</f>
        <v>#REF!</v>
      </c>
      <c r="CP499" t="e">
        <f>IF(#REF!,"AAAAAC9r310=",0)</f>
        <v>#REF!</v>
      </c>
      <c r="CQ499" t="e">
        <f>AND(#REF!,"AAAAAC9r314=")</f>
        <v>#REF!</v>
      </c>
      <c r="CR499" t="e">
        <f>AND(#REF!,"AAAAAC9r318=")</f>
        <v>#REF!</v>
      </c>
      <c r="CS499" t="e">
        <f>AND(#REF!,"AAAAAC9r32A=")</f>
        <v>#REF!</v>
      </c>
      <c r="CT499" t="e">
        <f>AND(#REF!,"AAAAAC9r32E=")</f>
        <v>#REF!</v>
      </c>
      <c r="CU499" t="e">
        <f>AND(#REF!,"AAAAAC9r32I=")</f>
        <v>#REF!</v>
      </c>
      <c r="CV499" t="e">
        <f>AND(#REF!,"AAAAAC9r32M=")</f>
        <v>#REF!</v>
      </c>
      <c r="CW499" t="e">
        <f>AND(#REF!,"AAAAAC9r32Q=")</f>
        <v>#REF!</v>
      </c>
      <c r="CX499" t="e">
        <f>AND(#REF!,"AAAAAC9r32U=")</f>
        <v>#REF!</v>
      </c>
      <c r="CY499" t="e">
        <f>AND(#REF!,"AAAAAC9r32Y=")</f>
        <v>#REF!</v>
      </c>
      <c r="CZ499" t="e">
        <f>AND(#REF!,"AAAAAC9r32c=")</f>
        <v>#REF!</v>
      </c>
      <c r="DA499" t="e">
        <f>IF(#REF!,"AAAAAC9r32g=",0)</f>
        <v>#REF!</v>
      </c>
      <c r="DB499" t="e">
        <f>AND(#REF!,"AAAAAC9r32k=")</f>
        <v>#REF!</v>
      </c>
      <c r="DC499" t="e">
        <f>AND(#REF!,"AAAAAC9r32o=")</f>
        <v>#REF!</v>
      </c>
      <c r="DD499" t="e">
        <f>AND(#REF!,"AAAAAC9r32s=")</f>
        <v>#REF!</v>
      </c>
      <c r="DE499" t="e">
        <f>AND(#REF!,"AAAAAC9r32w=")</f>
        <v>#REF!</v>
      </c>
      <c r="DF499" t="e">
        <f>AND(#REF!,"AAAAAC9r320=")</f>
        <v>#REF!</v>
      </c>
      <c r="DG499" t="e">
        <f>AND(#REF!,"AAAAAC9r324=")</f>
        <v>#REF!</v>
      </c>
      <c r="DH499" t="e">
        <f>AND(#REF!,"AAAAAC9r328=")</f>
        <v>#REF!</v>
      </c>
      <c r="DI499" t="e">
        <f>AND(#REF!,"AAAAAC9r33A=")</f>
        <v>#REF!</v>
      </c>
      <c r="DJ499" t="e">
        <f>AND(#REF!,"AAAAAC9r33E=")</f>
        <v>#REF!</v>
      </c>
      <c r="DK499" t="e">
        <f>AND(#REF!,"AAAAAC9r33I=")</f>
        <v>#REF!</v>
      </c>
      <c r="DL499" t="e">
        <f>IF(#REF!,"AAAAAC9r33M=",0)</f>
        <v>#REF!</v>
      </c>
      <c r="DM499" t="e">
        <f>AND(#REF!,"AAAAAC9r33Q=")</f>
        <v>#REF!</v>
      </c>
      <c r="DN499" t="e">
        <f>AND(#REF!,"AAAAAC9r33U=")</f>
        <v>#REF!</v>
      </c>
      <c r="DO499" t="e">
        <f>AND(#REF!,"AAAAAC9r33Y=")</f>
        <v>#REF!</v>
      </c>
      <c r="DP499" t="e">
        <f>AND(#REF!,"AAAAAC9r33c=")</f>
        <v>#REF!</v>
      </c>
      <c r="DQ499" t="e">
        <f>AND(#REF!,"AAAAAC9r33g=")</f>
        <v>#REF!</v>
      </c>
      <c r="DR499" t="e">
        <f>AND(#REF!,"AAAAAC9r33k=")</f>
        <v>#REF!</v>
      </c>
      <c r="DS499" t="e">
        <f>AND(#REF!,"AAAAAC9r33o=")</f>
        <v>#REF!</v>
      </c>
      <c r="DT499" t="e">
        <f>AND(#REF!,"AAAAAC9r33s=")</f>
        <v>#REF!</v>
      </c>
      <c r="DU499" t="e">
        <f>AND(#REF!,"AAAAAC9r33w=")</f>
        <v>#REF!</v>
      </c>
      <c r="DV499" t="e">
        <f>AND(#REF!,"AAAAAC9r330=")</f>
        <v>#REF!</v>
      </c>
      <c r="DW499" t="e">
        <f>IF(#REF!,"AAAAAC9r334=",0)</f>
        <v>#REF!</v>
      </c>
      <c r="DX499" t="e">
        <f>AND(#REF!,"AAAAAC9r338=")</f>
        <v>#REF!</v>
      </c>
      <c r="DY499" t="e">
        <f>AND(#REF!,"AAAAAC9r34A=")</f>
        <v>#REF!</v>
      </c>
      <c r="DZ499" t="e">
        <f>AND(#REF!,"AAAAAC9r34E=")</f>
        <v>#REF!</v>
      </c>
      <c r="EA499" t="e">
        <f>AND(#REF!,"AAAAAC9r34I=")</f>
        <v>#REF!</v>
      </c>
      <c r="EB499" t="e">
        <f>AND(#REF!,"AAAAAC9r34M=")</f>
        <v>#REF!</v>
      </c>
      <c r="EC499" t="e">
        <f>AND(#REF!,"AAAAAC9r34Q=")</f>
        <v>#REF!</v>
      </c>
      <c r="ED499" t="e">
        <f>AND(#REF!,"AAAAAC9r34U=")</f>
        <v>#REF!</v>
      </c>
      <c r="EE499" t="e">
        <f>AND(#REF!,"AAAAAC9r34Y=")</f>
        <v>#REF!</v>
      </c>
      <c r="EF499" t="e">
        <f>AND(#REF!,"AAAAAC9r34c=")</f>
        <v>#REF!</v>
      </c>
      <c r="EG499" t="e">
        <f>AND(#REF!,"AAAAAC9r34g=")</f>
        <v>#REF!</v>
      </c>
      <c r="EH499" t="e">
        <f>IF(#REF!,"AAAAAC9r34k=",0)</f>
        <v>#REF!</v>
      </c>
      <c r="EI499" t="e">
        <f>AND(#REF!,"AAAAAC9r34o=")</f>
        <v>#REF!</v>
      </c>
      <c r="EJ499" t="e">
        <f>AND(#REF!,"AAAAAC9r34s=")</f>
        <v>#REF!</v>
      </c>
      <c r="EK499" t="e">
        <f>AND(#REF!,"AAAAAC9r34w=")</f>
        <v>#REF!</v>
      </c>
      <c r="EL499" t="e">
        <f>AND(#REF!,"AAAAAC9r340=")</f>
        <v>#REF!</v>
      </c>
      <c r="EM499" t="e">
        <f>AND(#REF!,"AAAAAC9r344=")</f>
        <v>#REF!</v>
      </c>
      <c r="EN499" t="e">
        <f>AND(#REF!,"AAAAAC9r348=")</f>
        <v>#REF!</v>
      </c>
      <c r="EO499" t="e">
        <f>AND(#REF!,"AAAAAC9r35A=")</f>
        <v>#REF!</v>
      </c>
      <c r="EP499" t="e">
        <f>AND(#REF!,"AAAAAC9r35E=")</f>
        <v>#REF!</v>
      </c>
      <c r="EQ499" t="e">
        <f>AND(#REF!,"AAAAAC9r35I=")</f>
        <v>#REF!</v>
      </c>
      <c r="ER499" t="e">
        <f>AND(#REF!,"AAAAAC9r35M=")</f>
        <v>#REF!</v>
      </c>
      <c r="ES499" t="e">
        <f>IF(#REF!,"AAAAAC9r35Q=",0)</f>
        <v>#REF!</v>
      </c>
      <c r="ET499" t="e">
        <f>AND(#REF!,"AAAAAC9r35U=")</f>
        <v>#REF!</v>
      </c>
      <c r="EU499" t="e">
        <f>AND(#REF!,"AAAAAC9r35Y=")</f>
        <v>#REF!</v>
      </c>
      <c r="EV499" t="e">
        <f>AND(#REF!,"AAAAAC9r35c=")</f>
        <v>#REF!</v>
      </c>
      <c r="EW499" t="e">
        <f>AND(#REF!,"AAAAAC9r35g=")</f>
        <v>#REF!</v>
      </c>
      <c r="EX499" t="e">
        <f>AND(#REF!,"AAAAAC9r35k=")</f>
        <v>#REF!</v>
      </c>
      <c r="EY499" t="e">
        <f>AND(#REF!,"AAAAAC9r35o=")</f>
        <v>#REF!</v>
      </c>
      <c r="EZ499" t="e">
        <f>AND(#REF!,"AAAAAC9r35s=")</f>
        <v>#REF!</v>
      </c>
      <c r="FA499" t="e">
        <f>AND(#REF!,"AAAAAC9r35w=")</f>
        <v>#REF!</v>
      </c>
      <c r="FB499" t="e">
        <f>AND(#REF!,"AAAAAC9r350=")</f>
        <v>#REF!</v>
      </c>
      <c r="FC499" t="e">
        <f>AND(#REF!,"AAAAAC9r354=")</f>
        <v>#REF!</v>
      </c>
      <c r="FD499" t="e">
        <f>IF(#REF!,"AAAAAC9r358=",0)</f>
        <v>#REF!</v>
      </c>
      <c r="FE499" t="e">
        <f>AND(#REF!,"AAAAAC9r36A=")</f>
        <v>#REF!</v>
      </c>
      <c r="FF499" t="e">
        <f>AND(#REF!,"AAAAAC9r36E=")</f>
        <v>#REF!</v>
      </c>
      <c r="FG499" t="e">
        <f>AND(#REF!,"AAAAAC9r36I=")</f>
        <v>#REF!</v>
      </c>
      <c r="FH499" t="e">
        <f>AND(#REF!,"AAAAAC9r36M=")</f>
        <v>#REF!</v>
      </c>
      <c r="FI499" t="e">
        <f>AND(#REF!,"AAAAAC9r36Q=")</f>
        <v>#REF!</v>
      </c>
      <c r="FJ499" t="e">
        <f>AND(#REF!,"AAAAAC9r36U=")</f>
        <v>#REF!</v>
      </c>
      <c r="FK499" t="e">
        <f>AND(#REF!,"AAAAAC9r36Y=")</f>
        <v>#REF!</v>
      </c>
      <c r="FL499" t="e">
        <f>AND(#REF!,"AAAAAC9r36c=")</f>
        <v>#REF!</v>
      </c>
      <c r="FM499" t="e">
        <f>AND(#REF!,"AAAAAC9r36g=")</f>
        <v>#REF!</v>
      </c>
      <c r="FN499" t="e">
        <f>AND(#REF!,"AAAAAC9r36k=")</f>
        <v>#REF!</v>
      </c>
      <c r="FO499" t="e">
        <f>IF(#REF!,"AAAAAC9r36o=",0)</f>
        <v>#REF!</v>
      </c>
      <c r="FP499" t="e">
        <f>AND(#REF!,"AAAAAC9r36s=")</f>
        <v>#REF!</v>
      </c>
      <c r="FQ499" t="e">
        <f>AND(#REF!,"AAAAAC9r36w=")</f>
        <v>#REF!</v>
      </c>
      <c r="FR499" t="e">
        <f>AND(#REF!,"AAAAAC9r360=")</f>
        <v>#REF!</v>
      </c>
      <c r="FS499" t="e">
        <f>AND(#REF!,"AAAAAC9r364=")</f>
        <v>#REF!</v>
      </c>
      <c r="FT499" t="e">
        <f>AND(#REF!,"AAAAAC9r368=")</f>
        <v>#REF!</v>
      </c>
      <c r="FU499" t="e">
        <f>AND(#REF!,"AAAAAC9r37A=")</f>
        <v>#REF!</v>
      </c>
      <c r="FV499" t="e">
        <f>AND(#REF!,"AAAAAC9r37E=")</f>
        <v>#REF!</v>
      </c>
      <c r="FW499" t="e">
        <f>AND(#REF!,"AAAAAC9r37I=")</f>
        <v>#REF!</v>
      </c>
      <c r="FX499" t="e">
        <f>AND(#REF!,"AAAAAC9r37M=")</f>
        <v>#REF!</v>
      </c>
      <c r="FY499" t="e">
        <f>AND(#REF!,"AAAAAC9r37Q=")</f>
        <v>#REF!</v>
      </c>
      <c r="FZ499" t="e">
        <f>IF(#REF!,"AAAAAC9r37U=",0)</f>
        <v>#REF!</v>
      </c>
      <c r="GA499" t="e">
        <f>AND(#REF!,"AAAAAC9r37Y=")</f>
        <v>#REF!</v>
      </c>
      <c r="GB499" t="e">
        <f>AND(#REF!,"AAAAAC9r37c=")</f>
        <v>#REF!</v>
      </c>
      <c r="GC499" t="e">
        <f>AND(#REF!,"AAAAAC9r37g=")</f>
        <v>#REF!</v>
      </c>
      <c r="GD499" t="e">
        <f>AND(#REF!,"AAAAAC9r37k=")</f>
        <v>#REF!</v>
      </c>
      <c r="GE499" t="e">
        <f>AND(#REF!,"AAAAAC9r37o=")</f>
        <v>#REF!</v>
      </c>
      <c r="GF499" t="e">
        <f>AND(#REF!,"AAAAAC9r37s=")</f>
        <v>#REF!</v>
      </c>
      <c r="GG499" t="e">
        <f>AND(#REF!,"AAAAAC9r37w=")</f>
        <v>#REF!</v>
      </c>
      <c r="GH499" t="e">
        <f>AND(#REF!,"AAAAAC9r370=")</f>
        <v>#REF!</v>
      </c>
      <c r="GI499" t="e">
        <f>AND(#REF!,"AAAAAC9r374=")</f>
        <v>#REF!</v>
      </c>
      <c r="GJ499" t="e">
        <f>AND(#REF!,"AAAAAC9r378=")</f>
        <v>#REF!</v>
      </c>
      <c r="GK499" t="e">
        <f>IF(#REF!,"AAAAAC9r38A=",0)</f>
        <v>#REF!</v>
      </c>
      <c r="GL499" t="e">
        <f>AND(#REF!,"AAAAAC9r38E=")</f>
        <v>#REF!</v>
      </c>
      <c r="GM499" t="e">
        <f>AND(#REF!,"AAAAAC9r38I=")</f>
        <v>#REF!</v>
      </c>
      <c r="GN499" t="e">
        <f>AND(#REF!,"AAAAAC9r38M=")</f>
        <v>#REF!</v>
      </c>
      <c r="GO499" t="e">
        <f>AND(#REF!,"AAAAAC9r38Q=")</f>
        <v>#REF!</v>
      </c>
      <c r="GP499" t="e">
        <f>AND(#REF!,"AAAAAC9r38U=")</f>
        <v>#REF!</v>
      </c>
      <c r="GQ499" t="e">
        <f>AND(#REF!,"AAAAAC9r38Y=")</f>
        <v>#REF!</v>
      </c>
      <c r="GR499" t="e">
        <f>AND(#REF!,"AAAAAC9r38c=")</f>
        <v>#REF!</v>
      </c>
      <c r="GS499" t="e">
        <f>AND(#REF!,"AAAAAC9r38g=")</f>
        <v>#REF!</v>
      </c>
      <c r="GT499" t="e">
        <f>AND(#REF!,"AAAAAC9r38k=")</f>
        <v>#REF!</v>
      </c>
      <c r="GU499" t="e">
        <f>AND(#REF!,"AAAAAC9r38o=")</f>
        <v>#REF!</v>
      </c>
      <c r="GV499" t="e">
        <f>IF(#REF!,"AAAAAC9r38s=",0)</f>
        <v>#REF!</v>
      </c>
      <c r="GW499" t="e">
        <f>AND(#REF!,"AAAAAC9r38w=")</f>
        <v>#REF!</v>
      </c>
      <c r="GX499" t="e">
        <f>AND(#REF!,"AAAAAC9r380=")</f>
        <v>#REF!</v>
      </c>
      <c r="GY499" t="e">
        <f>AND(#REF!,"AAAAAC9r384=")</f>
        <v>#REF!</v>
      </c>
      <c r="GZ499" t="e">
        <f>AND(#REF!,"AAAAAC9r388=")</f>
        <v>#REF!</v>
      </c>
      <c r="HA499" t="e">
        <f>AND(#REF!,"AAAAAC9r39A=")</f>
        <v>#REF!</v>
      </c>
      <c r="HB499" t="e">
        <f>AND(#REF!,"AAAAAC9r39E=")</f>
        <v>#REF!</v>
      </c>
      <c r="HC499" t="e">
        <f>AND(#REF!,"AAAAAC9r39I=")</f>
        <v>#REF!</v>
      </c>
      <c r="HD499" t="e">
        <f>AND(#REF!,"AAAAAC9r39M=")</f>
        <v>#REF!</v>
      </c>
      <c r="HE499" t="e">
        <f>AND(#REF!,"AAAAAC9r39Q=")</f>
        <v>#REF!</v>
      </c>
      <c r="HF499" t="e">
        <f>AND(#REF!,"AAAAAC9r39U=")</f>
        <v>#REF!</v>
      </c>
      <c r="HG499" t="e">
        <f>IF(#REF!,"AAAAAC9r39Y=",0)</f>
        <v>#REF!</v>
      </c>
      <c r="HH499" t="e">
        <f>AND(#REF!,"AAAAAC9r39c=")</f>
        <v>#REF!</v>
      </c>
      <c r="HI499" t="e">
        <f>AND(#REF!,"AAAAAC9r39g=")</f>
        <v>#REF!</v>
      </c>
      <c r="HJ499" t="e">
        <f>AND(#REF!,"AAAAAC9r39k=")</f>
        <v>#REF!</v>
      </c>
      <c r="HK499" t="e">
        <f>AND(#REF!,"AAAAAC9r39o=")</f>
        <v>#REF!</v>
      </c>
      <c r="HL499" t="e">
        <f>AND(#REF!,"AAAAAC9r39s=")</f>
        <v>#REF!</v>
      </c>
      <c r="HM499" t="e">
        <f>AND(#REF!,"AAAAAC9r39w=")</f>
        <v>#REF!</v>
      </c>
      <c r="HN499" t="e">
        <f>AND(#REF!,"AAAAAC9r390=")</f>
        <v>#REF!</v>
      </c>
      <c r="HO499" t="e">
        <f>AND(#REF!,"AAAAAC9r394=")</f>
        <v>#REF!</v>
      </c>
      <c r="HP499" t="e">
        <f>AND(#REF!,"AAAAAC9r398=")</f>
        <v>#REF!</v>
      </c>
      <c r="HQ499" t="e">
        <f>AND(#REF!,"AAAAAC9r3+A=")</f>
        <v>#REF!</v>
      </c>
      <c r="HR499" t="e">
        <f>IF(#REF!,"AAAAAC9r3+E=",0)</f>
        <v>#REF!</v>
      </c>
      <c r="HS499" t="e">
        <f>AND(#REF!,"AAAAAC9r3+I=")</f>
        <v>#REF!</v>
      </c>
      <c r="HT499" t="e">
        <f>AND(#REF!,"AAAAAC9r3+M=")</f>
        <v>#REF!</v>
      </c>
      <c r="HU499" t="e">
        <f>AND(#REF!,"AAAAAC9r3+Q=")</f>
        <v>#REF!</v>
      </c>
      <c r="HV499" t="e">
        <f>AND(#REF!,"AAAAAC9r3+U=")</f>
        <v>#REF!</v>
      </c>
      <c r="HW499" t="e">
        <f>AND(#REF!,"AAAAAC9r3+Y=")</f>
        <v>#REF!</v>
      </c>
      <c r="HX499" t="e">
        <f>AND(#REF!,"AAAAAC9r3+c=")</f>
        <v>#REF!</v>
      </c>
      <c r="HY499" t="e">
        <f>AND(#REF!,"AAAAAC9r3+g=")</f>
        <v>#REF!</v>
      </c>
      <c r="HZ499" t="e">
        <f>AND(#REF!,"AAAAAC9r3+k=")</f>
        <v>#REF!</v>
      </c>
      <c r="IA499" t="e">
        <f>AND(#REF!,"AAAAAC9r3+o=")</f>
        <v>#REF!</v>
      </c>
      <c r="IB499" t="e">
        <f>AND(#REF!,"AAAAAC9r3+s=")</f>
        <v>#REF!</v>
      </c>
      <c r="IC499" t="e">
        <f>IF(#REF!,"AAAAAC9r3+w=",0)</f>
        <v>#REF!</v>
      </c>
      <c r="ID499" t="e">
        <f>AND(#REF!,"AAAAAC9r3+0=")</f>
        <v>#REF!</v>
      </c>
      <c r="IE499" t="e">
        <f>AND(#REF!,"AAAAAC9r3+4=")</f>
        <v>#REF!</v>
      </c>
      <c r="IF499" t="e">
        <f>AND(#REF!,"AAAAAC9r3+8=")</f>
        <v>#REF!</v>
      </c>
      <c r="IG499" t="e">
        <f>AND(#REF!,"AAAAAC9r3/A=")</f>
        <v>#REF!</v>
      </c>
      <c r="IH499" t="e">
        <f>AND(#REF!,"AAAAAC9r3/E=")</f>
        <v>#REF!</v>
      </c>
      <c r="II499" t="e">
        <f>AND(#REF!,"AAAAAC9r3/I=")</f>
        <v>#REF!</v>
      </c>
      <c r="IJ499" t="e">
        <f>AND(#REF!,"AAAAAC9r3/M=")</f>
        <v>#REF!</v>
      </c>
      <c r="IK499" t="e">
        <f>AND(#REF!,"AAAAAC9r3/Q=")</f>
        <v>#REF!</v>
      </c>
      <c r="IL499" t="e">
        <f>AND(#REF!,"AAAAAC9r3/U=")</f>
        <v>#REF!</v>
      </c>
      <c r="IM499" t="e">
        <f>AND(#REF!,"AAAAAC9r3/Y=")</f>
        <v>#REF!</v>
      </c>
      <c r="IN499" t="e">
        <f>IF(#REF!,"AAAAAC9r3/c=",0)</f>
        <v>#REF!</v>
      </c>
      <c r="IO499" t="e">
        <f>AND(#REF!,"AAAAAC9r3/g=")</f>
        <v>#REF!</v>
      </c>
      <c r="IP499" t="e">
        <f>AND(#REF!,"AAAAAC9r3/k=")</f>
        <v>#REF!</v>
      </c>
      <c r="IQ499" t="e">
        <f>AND(#REF!,"AAAAAC9r3/o=")</f>
        <v>#REF!</v>
      </c>
      <c r="IR499" t="e">
        <f>AND(#REF!,"AAAAAC9r3/s=")</f>
        <v>#REF!</v>
      </c>
      <c r="IS499" t="e">
        <f>AND(#REF!,"AAAAAC9r3/w=")</f>
        <v>#REF!</v>
      </c>
      <c r="IT499" t="e">
        <f>AND(#REF!,"AAAAAC9r3/0=")</f>
        <v>#REF!</v>
      </c>
      <c r="IU499" t="e">
        <f>AND(#REF!,"AAAAAC9r3/4=")</f>
        <v>#REF!</v>
      </c>
      <c r="IV499" t="e">
        <f>AND(#REF!,"AAAAAC9r3/8=")</f>
        <v>#REF!</v>
      </c>
    </row>
    <row r="500" spans="1:256" x14ac:dyDescent="0.25">
      <c r="A500" t="e">
        <f>AND(#REF!,"AAAAAC+W+gA=")</f>
        <v>#REF!</v>
      </c>
      <c r="B500" t="e">
        <f>AND(#REF!,"AAAAAC+W+gE=")</f>
        <v>#REF!</v>
      </c>
      <c r="C500" t="e">
        <f>IF(#REF!,"AAAAAC+W+gI=",0)</f>
        <v>#REF!</v>
      </c>
      <c r="D500" t="e">
        <f>AND(#REF!,"AAAAAC+W+gM=")</f>
        <v>#REF!</v>
      </c>
      <c r="E500" t="e">
        <f>AND(#REF!,"AAAAAC+W+gQ=")</f>
        <v>#REF!</v>
      </c>
      <c r="F500" t="e">
        <f>AND(#REF!,"AAAAAC+W+gU=")</f>
        <v>#REF!</v>
      </c>
      <c r="G500" t="e">
        <f>AND(#REF!,"AAAAAC+W+gY=")</f>
        <v>#REF!</v>
      </c>
      <c r="H500" t="e">
        <f>AND(#REF!,"AAAAAC+W+gc=")</f>
        <v>#REF!</v>
      </c>
      <c r="I500" t="e">
        <f>AND(#REF!,"AAAAAC+W+gg=")</f>
        <v>#REF!</v>
      </c>
      <c r="J500" t="e">
        <f>AND(#REF!,"AAAAAC+W+gk=")</f>
        <v>#REF!</v>
      </c>
      <c r="K500" t="e">
        <f>AND(#REF!,"AAAAAC+W+go=")</f>
        <v>#REF!</v>
      </c>
      <c r="L500" t="e">
        <f>AND(#REF!,"AAAAAC+W+gs=")</f>
        <v>#REF!</v>
      </c>
      <c r="M500" t="e">
        <f>AND(#REF!,"AAAAAC+W+gw=")</f>
        <v>#REF!</v>
      </c>
      <c r="N500" t="e">
        <f>IF(#REF!,"AAAAAC+W+g0=",0)</f>
        <v>#REF!</v>
      </c>
      <c r="O500" t="e">
        <f>AND(#REF!,"AAAAAC+W+g4=")</f>
        <v>#REF!</v>
      </c>
      <c r="P500" t="e">
        <f>AND(#REF!,"AAAAAC+W+g8=")</f>
        <v>#REF!</v>
      </c>
      <c r="Q500" t="e">
        <f>AND(#REF!,"AAAAAC+W+hA=")</f>
        <v>#REF!</v>
      </c>
      <c r="R500" t="e">
        <f>AND(#REF!,"AAAAAC+W+hE=")</f>
        <v>#REF!</v>
      </c>
      <c r="S500" t="e">
        <f>AND(#REF!,"AAAAAC+W+hI=")</f>
        <v>#REF!</v>
      </c>
      <c r="T500" t="e">
        <f>AND(#REF!,"AAAAAC+W+hM=")</f>
        <v>#REF!</v>
      </c>
      <c r="U500" t="e">
        <f>AND(#REF!,"AAAAAC+W+hQ=")</f>
        <v>#REF!</v>
      </c>
      <c r="V500" t="e">
        <f>AND(#REF!,"AAAAAC+W+hU=")</f>
        <v>#REF!</v>
      </c>
      <c r="W500" t="e">
        <f>AND(#REF!,"AAAAAC+W+hY=")</f>
        <v>#REF!</v>
      </c>
      <c r="X500" t="e">
        <f>AND(#REF!,"AAAAAC+W+hc=")</f>
        <v>#REF!</v>
      </c>
      <c r="Y500" t="e">
        <f>IF(#REF!,"AAAAAC+W+hg=",0)</f>
        <v>#REF!</v>
      </c>
      <c r="Z500" t="e">
        <f>AND(#REF!,"AAAAAC+W+hk=")</f>
        <v>#REF!</v>
      </c>
      <c r="AA500" t="e">
        <f>AND(#REF!,"AAAAAC+W+ho=")</f>
        <v>#REF!</v>
      </c>
      <c r="AB500" t="e">
        <f>AND(#REF!,"AAAAAC+W+hs=")</f>
        <v>#REF!</v>
      </c>
      <c r="AC500" t="e">
        <f>AND(#REF!,"AAAAAC+W+hw=")</f>
        <v>#REF!</v>
      </c>
      <c r="AD500" t="e">
        <f>AND(#REF!,"AAAAAC+W+h0=")</f>
        <v>#REF!</v>
      </c>
      <c r="AE500" t="e">
        <f>AND(#REF!,"AAAAAC+W+h4=")</f>
        <v>#REF!</v>
      </c>
      <c r="AF500" t="e">
        <f>AND(#REF!,"AAAAAC+W+h8=")</f>
        <v>#REF!</v>
      </c>
      <c r="AG500" t="e">
        <f>AND(#REF!,"AAAAAC+W+iA=")</f>
        <v>#REF!</v>
      </c>
      <c r="AH500" t="e">
        <f>AND(#REF!,"AAAAAC+W+iE=")</f>
        <v>#REF!</v>
      </c>
      <c r="AI500" t="e">
        <f>AND(#REF!,"AAAAAC+W+iI=")</f>
        <v>#REF!</v>
      </c>
      <c r="AJ500" t="e">
        <f>IF(#REF!,"AAAAAC+W+iM=",0)</f>
        <v>#REF!</v>
      </c>
      <c r="AK500" t="e">
        <f>AND(#REF!,"AAAAAC+W+iQ=")</f>
        <v>#REF!</v>
      </c>
      <c r="AL500" t="e">
        <f>AND(#REF!,"AAAAAC+W+iU=")</f>
        <v>#REF!</v>
      </c>
      <c r="AM500" t="e">
        <f>AND(#REF!,"AAAAAC+W+iY=")</f>
        <v>#REF!</v>
      </c>
      <c r="AN500" t="e">
        <f>AND(#REF!,"AAAAAC+W+ic=")</f>
        <v>#REF!</v>
      </c>
      <c r="AO500" t="e">
        <f>AND(#REF!,"AAAAAC+W+ig=")</f>
        <v>#REF!</v>
      </c>
      <c r="AP500" t="e">
        <f>AND(#REF!,"AAAAAC+W+ik=")</f>
        <v>#REF!</v>
      </c>
      <c r="AQ500" t="e">
        <f>AND(#REF!,"AAAAAC+W+io=")</f>
        <v>#REF!</v>
      </c>
      <c r="AR500" t="e">
        <f>AND(#REF!,"AAAAAC+W+is=")</f>
        <v>#REF!</v>
      </c>
      <c r="AS500" t="e">
        <f>AND(#REF!,"AAAAAC+W+iw=")</f>
        <v>#REF!</v>
      </c>
      <c r="AT500" t="e">
        <f>AND(#REF!,"AAAAAC+W+i0=")</f>
        <v>#REF!</v>
      </c>
      <c r="AU500" t="e">
        <f>IF(#REF!,"AAAAAC+W+i4=",0)</f>
        <v>#REF!</v>
      </c>
      <c r="AV500" t="e">
        <f>AND(#REF!,"AAAAAC+W+i8=")</f>
        <v>#REF!</v>
      </c>
      <c r="AW500" t="e">
        <f>AND(#REF!,"AAAAAC+W+jA=")</f>
        <v>#REF!</v>
      </c>
      <c r="AX500" t="e">
        <f>AND(#REF!,"AAAAAC+W+jE=")</f>
        <v>#REF!</v>
      </c>
      <c r="AY500" t="e">
        <f>AND(#REF!,"AAAAAC+W+jI=")</f>
        <v>#REF!</v>
      </c>
      <c r="AZ500" t="e">
        <f>AND(#REF!,"AAAAAC+W+jM=")</f>
        <v>#REF!</v>
      </c>
      <c r="BA500" t="e">
        <f>AND(#REF!,"AAAAAC+W+jQ=")</f>
        <v>#REF!</v>
      </c>
      <c r="BB500" t="e">
        <f>AND(#REF!,"AAAAAC+W+jU=")</f>
        <v>#REF!</v>
      </c>
      <c r="BC500" t="e">
        <f>AND(#REF!,"AAAAAC+W+jY=")</f>
        <v>#REF!</v>
      </c>
      <c r="BD500" t="e">
        <f>AND(#REF!,"AAAAAC+W+jc=")</f>
        <v>#REF!</v>
      </c>
      <c r="BE500" t="e">
        <f>AND(#REF!,"AAAAAC+W+jg=")</f>
        <v>#REF!</v>
      </c>
      <c r="BF500" t="e">
        <f>IF(#REF!,"AAAAAC+W+jk=",0)</f>
        <v>#REF!</v>
      </c>
      <c r="BG500" t="e">
        <f>AND(#REF!,"AAAAAC+W+jo=")</f>
        <v>#REF!</v>
      </c>
      <c r="BH500" t="e">
        <f>AND(#REF!,"AAAAAC+W+js=")</f>
        <v>#REF!</v>
      </c>
      <c r="BI500" t="e">
        <f>AND(#REF!,"AAAAAC+W+jw=")</f>
        <v>#REF!</v>
      </c>
      <c r="BJ500" t="e">
        <f>AND(#REF!,"AAAAAC+W+j0=")</f>
        <v>#REF!</v>
      </c>
      <c r="BK500" t="e">
        <f>AND(#REF!,"AAAAAC+W+j4=")</f>
        <v>#REF!</v>
      </c>
      <c r="BL500" t="e">
        <f>AND(#REF!,"AAAAAC+W+j8=")</f>
        <v>#REF!</v>
      </c>
      <c r="BM500" t="e">
        <f>AND(#REF!,"AAAAAC+W+kA=")</f>
        <v>#REF!</v>
      </c>
      <c r="BN500" t="e">
        <f>AND(#REF!,"AAAAAC+W+kE=")</f>
        <v>#REF!</v>
      </c>
      <c r="BO500" t="e">
        <f>AND(#REF!,"AAAAAC+W+kI=")</f>
        <v>#REF!</v>
      </c>
      <c r="BP500" t="e">
        <f>AND(#REF!,"AAAAAC+W+kM=")</f>
        <v>#REF!</v>
      </c>
      <c r="BQ500" t="e">
        <f>IF(#REF!,"AAAAAC+W+kQ=",0)</f>
        <v>#REF!</v>
      </c>
      <c r="BR500" t="e">
        <f>AND(#REF!,"AAAAAC+W+kU=")</f>
        <v>#REF!</v>
      </c>
      <c r="BS500" t="e">
        <f>AND(#REF!,"AAAAAC+W+kY=")</f>
        <v>#REF!</v>
      </c>
      <c r="BT500" t="e">
        <f>AND(#REF!,"AAAAAC+W+kc=")</f>
        <v>#REF!</v>
      </c>
      <c r="BU500" t="e">
        <f>AND(#REF!,"AAAAAC+W+kg=")</f>
        <v>#REF!</v>
      </c>
      <c r="BV500" t="e">
        <f>AND(#REF!,"AAAAAC+W+kk=")</f>
        <v>#REF!</v>
      </c>
      <c r="BW500" t="e">
        <f>AND(#REF!,"AAAAAC+W+ko=")</f>
        <v>#REF!</v>
      </c>
      <c r="BX500" t="e">
        <f>AND(#REF!,"AAAAAC+W+ks=")</f>
        <v>#REF!</v>
      </c>
      <c r="BY500" t="e">
        <f>AND(#REF!,"AAAAAC+W+kw=")</f>
        <v>#REF!</v>
      </c>
      <c r="BZ500" t="e">
        <f>AND(#REF!,"AAAAAC+W+k0=")</f>
        <v>#REF!</v>
      </c>
      <c r="CA500" t="e">
        <f>AND(#REF!,"AAAAAC+W+k4=")</f>
        <v>#REF!</v>
      </c>
      <c r="CB500" t="e">
        <f>IF(#REF!,"AAAAAC+W+k8=",0)</f>
        <v>#REF!</v>
      </c>
      <c r="CC500" t="e">
        <f>AND(#REF!,"AAAAAC+W+lA=")</f>
        <v>#REF!</v>
      </c>
      <c r="CD500" t="e">
        <f>AND(#REF!,"AAAAAC+W+lE=")</f>
        <v>#REF!</v>
      </c>
      <c r="CE500" t="e">
        <f>AND(#REF!,"AAAAAC+W+lI=")</f>
        <v>#REF!</v>
      </c>
      <c r="CF500" t="e">
        <f>AND(#REF!,"AAAAAC+W+lM=")</f>
        <v>#REF!</v>
      </c>
      <c r="CG500" t="e">
        <f>AND(#REF!,"AAAAAC+W+lQ=")</f>
        <v>#REF!</v>
      </c>
      <c r="CH500" t="e">
        <f>AND(#REF!,"AAAAAC+W+lU=")</f>
        <v>#REF!</v>
      </c>
      <c r="CI500" t="e">
        <f>AND(#REF!,"AAAAAC+W+lY=")</f>
        <v>#REF!</v>
      </c>
      <c r="CJ500" t="e">
        <f>AND(#REF!,"AAAAAC+W+lc=")</f>
        <v>#REF!</v>
      </c>
      <c r="CK500" t="e">
        <f>AND(#REF!,"AAAAAC+W+lg=")</f>
        <v>#REF!</v>
      </c>
      <c r="CL500" t="e">
        <f>AND(#REF!,"AAAAAC+W+lk=")</f>
        <v>#REF!</v>
      </c>
      <c r="CM500" t="e">
        <f>IF(#REF!,"AAAAAC+W+lo=",0)</f>
        <v>#REF!</v>
      </c>
      <c r="CN500" t="e">
        <f>AND(#REF!,"AAAAAC+W+ls=")</f>
        <v>#REF!</v>
      </c>
      <c r="CO500" t="e">
        <f>AND(#REF!,"AAAAAC+W+lw=")</f>
        <v>#REF!</v>
      </c>
      <c r="CP500" t="e">
        <f>AND(#REF!,"AAAAAC+W+l0=")</f>
        <v>#REF!</v>
      </c>
      <c r="CQ500" t="e">
        <f>AND(#REF!,"AAAAAC+W+l4=")</f>
        <v>#REF!</v>
      </c>
      <c r="CR500" t="e">
        <f>AND(#REF!,"AAAAAC+W+l8=")</f>
        <v>#REF!</v>
      </c>
      <c r="CS500" t="e">
        <f>AND(#REF!,"AAAAAC+W+mA=")</f>
        <v>#REF!</v>
      </c>
      <c r="CT500" t="e">
        <f>AND(#REF!,"AAAAAC+W+mE=")</f>
        <v>#REF!</v>
      </c>
      <c r="CU500" t="e">
        <f>AND(#REF!,"AAAAAC+W+mI=")</f>
        <v>#REF!</v>
      </c>
      <c r="CV500" t="e">
        <f>AND(#REF!,"AAAAAC+W+mM=")</f>
        <v>#REF!</v>
      </c>
      <c r="CW500" t="e">
        <f>AND(#REF!,"AAAAAC+W+mQ=")</f>
        <v>#REF!</v>
      </c>
      <c r="CX500" t="e">
        <f>IF(#REF!,"AAAAAC+W+mU=",0)</f>
        <v>#REF!</v>
      </c>
      <c r="CY500" t="e">
        <f>AND(#REF!,"AAAAAC+W+mY=")</f>
        <v>#REF!</v>
      </c>
      <c r="CZ500" t="e">
        <f>AND(#REF!,"AAAAAC+W+mc=")</f>
        <v>#REF!</v>
      </c>
      <c r="DA500" t="e">
        <f>AND(#REF!,"AAAAAC+W+mg=")</f>
        <v>#REF!</v>
      </c>
      <c r="DB500" t="e">
        <f>AND(#REF!,"AAAAAC+W+mk=")</f>
        <v>#REF!</v>
      </c>
      <c r="DC500" t="e">
        <f>AND(#REF!,"AAAAAC+W+mo=")</f>
        <v>#REF!</v>
      </c>
      <c r="DD500" t="e">
        <f>AND(#REF!,"AAAAAC+W+ms=")</f>
        <v>#REF!</v>
      </c>
      <c r="DE500" t="e">
        <f>AND(#REF!,"AAAAAC+W+mw=")</f>
        <v>#REF!</v>
      </c>
      <c r="DF500" t="e">
        <f>AND(#REF!,"AAAAAC+W+m0=")</f>
        <v>#REF!</v>
      </c>
      <c r="DG500" t="e">
        <f>AND(#REF!,"AAAAAC+W+m4=")</f>
        <v>#REF!</v>
      </c>
      <c r="DH500" t="e">
        <f>AND(#REF!,"AAAAAC+W+m8=")</f>
        <v>#REF!</v>
      </c>
      <c r="DI500" t="e">
        <f>IF(#REF!,"AAAAAC+W+nA=",0)</f>
        <v>#REF!</v>
      </c>
      <c r="DJ500" t="e">
        <f>AND(#REF!,"AAAAAC+W+nE=")</f>
        <v>#REF!</v>
      </c>
      <c r="DK500" t="e">
        <f>AND(#REF!,"AAAAAC+W+nI=")</f>
        <v>#REF!</v>
      </c>
      <c r="DL500" t="e">
        <f>AND(#REF!,"AAAAAC+W+nM=")</f>
        <v>#REF!</v>
      </c>
      <c r="DM500" t="e">
        <f>AND(#REF!,"AAAAAC+W+nQ=")</f>
        <v>#REF!</v>
      </c>
      <c r="DN500" t="e">
        <f>AND(#REF!,"AAAAAC+W+nU=")</f>
        <v>#REF!</v>
      </c>
      <c r="DO500" t="e">
        <f>AND(#REF!,"AAAAAC+W+nY=")</f>
        <v>#REF!</v>
      </c>
      <c r="DP500" t="e">
        <f>AND(#REF!,"AAAAAC+W+nc=")</f>
        <v>#REF!</v>
      </c>
      <c r="DQ500" t="e">
        <f>AND(#REF!,"AAAAAC+W+ng=")</f>
        <v>#REF!</v>
      </c>
      <c r="DR500" t="e">
        <f>AND(#REF!,"AAAAAC+W+nk=")</f>
        <v>#REF!</v>
      </c>
      <c r="DS500" t="e">
        <f>AND(#REF!,"AAAAAC+W+no=")</f>
        <v>#REF!</v>
      </c>
      <c r="DT500" t="e">
        <f>IF(#REF!,"AAAAAC+W+ns=",0)</f>
        <v>#REF!</v>
      </c>
      <c r="DU500" t="e">
        <f>AND(#REF!,"AAAAAC+W+nw=")</f>
        <v>#REF!</v>
      </c>
      <c r="DV500" t="e">
        <f>AND(#REF!,"AAAAAC+W+n0=")</f>
        <v>#REF!</v>
      </c>
      <c r="DW500" t="e">
        <f>AND(#REF!,"AAAAAC+W+n4=")</f>
        <v>#REF!</v>
      </c>
      <c r="DX500" t="e">
        <f>AND(#REF!,"AAAAAC+W+n8=")</f>
        <v>#REF!</v>
      </c>
      <c r="DY500" t="e">
        <f>AND(#REF!,"AAAAAC+W+oA=")</f>
        <v>#REF!</v>
      </c>
      <c r="DZ500" t="e">
        <f>AND(#REF!,"AAAAAC+W+oE=")</f>
        <v>#REF!</v>
      </c>
      <c r="EA500" t="e">
        <f>AND(#REF!,"AAAAAC+W+oI=")</f>
        <v>#REF!</v>
      </c>
      <c r="EB500" t="e">
        <f>AND(#REF!,"AAAAAC+W+oM=")</f>
        <v>#REF!</v>
      </c>
      <c r="EC500" t="e">
        <f>AND(#REF!,"AAAAAC+W+oQ=")</f>
        <v>#REF!</v>
      </c>
      <c r="ED500" t="e">
        <f>AND(#REF!,"AAAAAC+W+oU=")</f>
        <v>#REF!</v>
      </c>
      <c r="EE500" t="e">
        <f>IF(#REF!,"AAAAAC+W+oY=",0)</f>
        <v>#REF!</v>
      </c>
      <c r="EF500" t="e">
        <f>AND(#REF!,"AAAAAC+W+oc=")</f>
        <v>#REF!</v>
      </c>
      <c r="EG500" t="e">
        <f>AND(#REF!,"AAAAAC+W+og=")</f>
        <v>#REF!</v>
      </c>
      <c r="EH500" t="e">
        <f>AND(#REF!,"AAAAAC+W+ok=")</f>
        <v>#REF!</v>
      </c>
      <c r="EI500" t="e">
        <f>AND(#REF!,"AAAAAC+W+oo=")</f>
        <v>#REF!</v>
      </c>
      <c r="EJ500" t="e">
        <f>AND(#REF!,"AAAAAC+W+os=")</f>
        <v>#REF!</v>
      </c>
      <c r="EK500" t="e">
        <f>AND(#REF!,"AAAAAC+W+ow=")</f>
        <v>#REF!</v>
      </c>
      <c r="EL500" t="e">
        <f>AND(#REF!,"AAAAAC+W+o0=")</f>
        <v>#REF!</v>
      </c>
      <c r="EM500" t="e">
        <f>AND(#REF!,"AAAAAC+W+o4=")</f>
        <v>#REF!</v>
      </c>
      <c r="EN500" t="e">
        <f>AND(#REF!,"AAAAAC+W+o8=")</f>
        <v>#REF!</v>
      </c>
      <c r="EO500" t="e">
        <f>AND(#REF!,"AAAAAC+W+pA=")</f>
        <v>#REF!</v>
      </c>
      <c r="EP500" t="e">
        <f>IF(#REF!,"AAAAAC+W+pE=",0)</f>
        <v>#REF!</v>
      </c>
      <c r="EQ500" t="e">
        <f>AND(#REF!,"AAAAAC+W+pI=")</f>
        <v>#REF!</v>
      </c>
      <c r="ER500" t="e">
        <f>AND(#REF!,"AAAAAC+W+pM=")</f>
        <v>#REF!</v>
      </c>
      <c r="ES500" t="e">
        <f>AND(#REF!,"AAAAAC+W+pQ=")</f>
        <v>#REF!</v>
      </c>
      <c r="ET500" t="e">
        <f>AND(#REF!,"AAAAAC+W+pU=")</f>
        <v>#REF!</v>
      </c>
      <c r="EU500" t="e">
        <f>AND(#REF!,"AAAAAC+W+pY=")</f>
        <v>#REF!</v>
      </c>
      <c r="EV500" t="e">
        <f>AND(#REF!,"AAAAAC+W+pc=")</f>
        <v>#REF!</v>
      </c>
      <c r="EW500" t="e">
        <f>AND(#REF!,"AAAAAC+W+pg=")</f>
        <v>#REF!</v>
      </c>
      <c r="EX500" t="e">
        <f>AND(#REF!,"AAAAAC+W+pk=")</f>
        <v>#REF!</v>
      </c>
      <c r="EY500" t="e">
        <f>AND(#REF!,"AAAAAC+W+po=")</f>
        <v>#REF!</v>
      </c>
      <c r="EZ500" t="e">
        <f>AND(#REF!,"AAAAAC+W+ps=")</f>
        <v>#REF!</v>
      </c>
      <c r="FA500" t="e">
        <f>IF(#REF!,"AAAAAC+W+pw=",0)</f>
        <v>#REF!</v>
      </c>
      <c r="FB500" t="e">
        <f>AND(#REF!,"AAAAAC+W+p0=")</f>
        <v>#REF!</v>
      </c>
      <c r="FC500" t="e">
        <f>AND(#REF!,"AAAAAC+W+p4=")</f>
        <v>#REF!</v>
      </c>
      <c r="FD500" t="e">
        <f>AND(#REF!,"AAAAAC+W+p8=")</f>
        <v>#REF!</v>
      </c>
      <c r="FE500" t="e">
        <f>AND(#REF!,"AAAAAC+W+qA=")</f>
        <v>#REF!</v>
      </c>
      <c r="FF500" t="e">
        <f>AND(#REF!,"AAAAAC+W+qE=")</f>
        <v>#REF!</v>
      </c>
      <c r="FG500" t="e">
        <f>AND(#REF!,"AAAAAC+W+qI=")</f>
        <v>#REF!</v>
      </c>
      <c r="FH500" t="e">
        <f>AND(#REF!,"AAAAAC+W+qM=")</f>
        <v>#REF!</v>
      </c>
      <c r="FI500" t="e">
        <f>AND(#REF!,"AAAAAC+W+qQ=")</f>
        <v>#REF!</v>
      </c>
      <c r="FJ500" t="e">
        <f>AND(#REF!,"AAAAAC+W+qU=")</f>
        <v>#REF!</v>
      </c>
      <c r="FK500" t="e">
        <f>AND(#REF!,"AAAAAC+W+qY=")</f>
        <v>#REF!</v>
      </c>
      <c r="FL500" t="e">
        <f>IF(#REF!,"AAAAAC+W+qc=",0)</f>
        <v>#REF!</v>
      </c>
      <c r="FM500" t="e">
        <f>AND(#REF!,"AAAAAC+W+qg=")</f>
        <v>#REF!</v>
      </c>
      <c r="FN500" t="e">
        <f>AND(#REF!,"AAAAAC+W+qk=")</f>
        <v>#REF!</v>
      </c>
      <c r="FO500" t="e">
        <f>AND(#REF!,"AAAAAC+W+qo=")</f>
        <v>#REF!</v>
      </c>
      <c r="FP500" t="e">
        <f>AND(#REF!,"AAAAAC+W+qs=")</f>
        <v>#REF!</v>
      </c>
      <c r="FQ500" t="e">
        <f>AND(#REF!,"AAAAAC+W+qw=")</f>
        <v>#REF!</v>
      </c>
      <c r="FR500" t="e">
        <f>AND(#REF!,"AAAAAC+W+q0=")</f>
        <v>#REF!</v>
      </c>
      <c r="FS500" t="e">
        <f>AND(#REF!,"AAAAAC+W+q4=")</f>
        <v>#REF!</v>
      </c>
      <c r="FT500" t="e">
        <f>AND(#REF!,"AAAAAC+W+q8=")</f>
        <v>#REF!</v>
      </c>
      <c r="FU500" t="e">
        <f>AND(#REF!,"AAAAAC+W+rA=")</f>
        <v>#REF!</v>
      </c>
      <c r="FV500" t="e">
        <f>AND(#REF!,"AAAAAC+W+rE=")</f>
        <v>#REF!</v>
      </c>
      <c r="FW500" t="e">
        <f>IF(#REF!,"AAAAAC+W+rI=",0)</f>
        <v>#REF!</v>
      </c>
      <c r="FX500" t="e">
        <f>AND(#REF!,"AAAAAC+W+rM=")</f>
        <v>#REF!</v>
      </c>
      <c r="FY500" t="e">
        <f>AND(#REF!,"AAAAAC+W+rQ=")</f>
        <v>#REF!</v>
      </c>
      <c r="FZ500" t="e">
        <f>AND(#REF!,"AAAAAC+W+rU=")</f>
        <v>#REF!</v>
      </c>
      <c r="GA500" t="e">
        <f>AND(#REF!,"AAAAAC+W+rY=")</f>
        <v>#REF!</v>
      </c>
      <c r="GB500" t="e">
        <f>AND(#REF!,"AAAAAC+W+rc=")</f>
        <v>#REF!</v>
      </c>
      <c r="GC500" t="e">
        <f>AND(#REF!,"AAAAAC+W+rg=")</f>
        <v>#REF!</v>
      </c>
      <c r="GD500" t="e">
        <f>AND(#REF!,"AAAAAC+W+rk=")</f>
        <v>#REF!</v>
      </c>
      <c r="GE500" t="e">
        <f>AND(#REF!,"AAAAAC+W+ro=")</f>
        <v>#REF!</v>
      </c>
      <c r="GF500" t="e">
        <f>AND(#REF!,"AAAAAC+W+rs=")</f>
        <v>#REF!</v>
      </c>
      <c r="GG500" t="e">
        <f>AND(#REF!,"AAAAAC+W+rw=")</f>
        <v>#REF!</v>
      </c>
      <c r="GH500" t="e">
        <f>IF(#REF!,"AAAAAC+W+r0=",0)</f>
        <v>#REF!</v>
      </c>
      <c r="GI500" t="e">
        <f>AND(#REF!,"AAAAAC+W+r4=")</f>
        <v>#REF!</v>
      </c>
      <c r="GJ500" t="e">
        <f>AND(#REF!,"AAAAAC+W+r8=")</f>
        <v>#REF!</v>
      </c>
      <c r="GK500" t="e">
        <f>AND(#REF!,"AAAAAC+W+sA=")</f>
        <v>#REF!</v>
      </c>
      <c r="GL500" t="e">
        <f>AND(#REF!,"AAAAAC+W+sE=")</f>
        <v>#REF!</v>
      </c>
      <c r="GM500" t="e">
        <f>AND(#REF!,"AAAAAC+W+sI=")</f>
        <v>#REF!</v>
      </c>
      <c r="GN500" t="e">
        <f>AND(#REF!,"AAAAAC+W+sM=")</f>
        <v>#REF!</v>
      </c>
      <c r="GO500" t="e">
        <f>AND(#REF!,"AAAAAC+W+sQ=")</f>
        <v>#REF!</v>
      </c>
      <c r="GP500" t="e">
        <f>AND(#REF!,"AAAAAC+W+sU=")</f>
        <v>#REF!</v>
      </c>
      <c r="GQ500" t="e">
        <f>AND(#REF!,"AAAAAC+W+sY=")</f>
        <v>#REF!</v>
      </c>
      <c r="GR500" t="e">
        <f>AND(#REF!,"AAAAAC+W+sc=")</f>
        <v>#REF!</v>
      </c>
      <c r="GS500" t="e">
        <f>IF(#REF!,"AAAAAC+W+sg=",0)</f>
        <v>#REF!</v>
      </c>
      <c r="GT500" t="e">
        <f>AND(#REF!,"AAAAAC+W+sk=")</f>
        <v>#REF!</v>
      </c>
      <c r="GU500" t="e">
        <f>AND(#REF!,"AAAAAC+W+so=")</f>
        <v>#REF!</v>
      </c>
      <c r="GV500" t="e">
        <f>AND(#REF!,"AAAAAC+W+ss=")</f>
        <v>#REF!</v>
      </c>
      <c r="GW500" t="e">
        <f>AND(#REF!,"AAAAAC+W+sw=")</f>
        <v>#REF!</v>
      </c>
      <c r="GX500" t="e">
        <f>AND(#REF!,"AAAAAC+W+s0=")</f>
        <v>#REF!</v>
      </c>
      <c r="GY500" t="e">
        <f>AND(#REF!,"AAAAAC+W+s4=")</f>
        <v>#REF!</v>
      </c>
      <c r="GZ500" t="e">
        <f>AND(#REF!,"AAAAAC+W+s8=")</f>
        <v>#REF!</v>
      </c>
      <c r="HA500" t="e">
        <f>AND(#REF!,"AAAAAC+W+tA=")</f>
        <v>#REF!</v>
      </c>
      <c r="HB500" t="e">
        <f>AND(#REF!,"AAAAAC+W+tE=")</f>
        <v>#REF!</v>
      </c>
      <c r="HC500" t="e">
        <f>AND(#REF!,"AAAAAC+W+tI=")</f>
        <v>#REF!</v>
      </c>
      <c r="HD500" t="e">
        <f>IF(#REF!,"AAAAAC+W+tM=",0)</f>
        <v>#REF!</v>
      </c>
      <c r="HE500" t="e">
        <f>AND(#REF!,"AAAAAC+W+tQ=")</f>
        <v>#REF!</v>
      </c>
      <c r="HF500" t="e">
        <f>AND(#REF!,"AAAAAC+W+tU=")</f>
        <v>#REF!</v>
      </c>
      <c r="HG500" t="e">
        <f>AND(#REF!,"AAAAAC+W+tY=")</f>
        <v>#REF!</v>
      </c>
      <c r="HH500" t="e">
        <f>AND(#REF!,"AAAAAC+W+tc=")</f>
        <v>#REF!</v>
      </c>
      <c r="HI500" t="e">
        <f>AND(#REF!,"AAAAAC+W+tg=")</f>
        <v>#REF!</v>
      </c>
      <c r="HJ500" t="e">
        <f>AND(#REF!,"AAAAAC+W+tk=")</f>
        <v>#REF!</v>
      </c>
      <c r="HK500" t="e">
        <f>AND(#REF!,"AAAAAC+W+to=")</f>
        <v>#REF!</v>
      </c>
      <c r="HL500" t="e">
        <f>AND(#REF!,"AAAAAC+W+ts=")</f>
        <v>#REF!</v>
      </c>
      <c r="HM500" t="e">
        <f>AND(#REF!,"AAAAAC+W+tw=")</f>
        <v>#REF!</v>
      </c>
      <c r="HN500" t="e">
        <f>AND(#REF!,"AAAAAC+W+t0=")</f>
        <v>#REF!</v>
      </c>
      <c r="HO500" t="e">
        <f>IF(#REF!,"AAAAAC+W+t4=",0)</f>
        <v>#REF!</v>
      </c>
      <c r="HP500" t="e">
        <f>AND(#REF!,"AAAAAC+W+t8=")</f>
        <v>#REF!</v>
      </c>
      <c r="HQ500" t="e">
        <f>AND(#REF!,"AAAAAC+W+uA=")</f>
        <v>#REF!</v>
      </c>
      <c r="HR500" t="e">
        <f>AND(#REF!,"AAAAAC+W+uE=")</f>
        <v>#REF!</v>
      </c>
      <c r="HS500" t="e">
        <f>AND(#REF!,"AAAAAC+W+uI=")</f>
        <v>#REF!</v>
      </c>
      <c r="HT500" t="e">
        <f>AND(#REF!,"AAAAAC+W+uM=")</f>
        <v>#REF!</v>
      </c>
      <c r="HU500" t="e">
        <f>AND(#REF!,"AAAAAC+W+uQ=")</f>
        <v>#REF!</v>
      </c>
      <c r="HV500" t="e">
        <f>AND(#REF!,"AAAAAC+W+uU=")</f>
        <v>#REF!</v>
      </c>
      <c r="HW500" t="e">
        <f>AND(#REF!,"AAAAAC+W+uY=")</f>
        <v>#REF!</v>
      </c>
      <c r="HX500" t="e">
        <f>AND(#REF!,"AAAAAC+W+uc=")</f>
        <v>#REF!</v>
      </c>
      <c r="HY500" t="e">
        <f>AND(#REF!,"AAAAAC+W+ug=")</f>
        <v>#REF!</v>
      </c>
      <c r="HZ500" t="e">
        <f>IF(#REF!,"AAAAAC+W+uk=",0)</f>
        <v>#REF!</v>
      </c>
      <c r="IA500" t="e">
        <f>AND(#REF!,"AAAAAC+W+uo=")</f>
        <v>#REF!</v>
      </c>
      <c r="IB500" t="e">
        <f>AND(#REF!,"AAAAAC+W+us=")</f>
        <v>#REF!</v>
      </c>
      <c r="IC500" t="e">
        <f>AND(#REF!,"AAAAAC+W+uw=")</f>
        <v>#REF!</v>
      </c>
      <c r="ID500" t="e">
        <f>AND(#REF!,"AAAAAC+W+u0=")</f>
        <v>#REF!</v>
      </c>
      <c r="IE500" t="e">
        <f>AND(#REF!,"AAAAAC+W+u4=")</f>
        <v>#REF!</v>
      </c>
      <c r="IF500" t="e">
        <f>AND(#REF!,"AAAAAC+W+u8=")</f>
        <v>#REF!</v>
      </c>
      <c r="IG500" t="e">
        <f>AND(#REF!,"AAAAAC+W+vA=")</f>
        <v>#REF!</v>
      </c>
      <c r="IH500" t="e">
        <f>AND(#REF!,"AAAAAC+W+vE=")</f>
        <v>#REF!</v>
      </c>
      <c r="II500" t="e">
        <f>AND(#REF!,"AAAAAC+W+vI=")</f>
        <v>#REF!</v>
      </c>
      <c r="IJ500" t="e">
        <f>AND(#REF!,"AAAAAC+W+vM=")</f>
        <v>#REF!</v>
      </c>
      <c r="IK500" t="e">
        <f>IF(#REF!,"AAAAAC+W+vQ=",0)</f>
        <v>#REF!</v>
      </c>
      <c r="IL500" t="e">
        <f>AND(#REF!,"AAAAAC+W+vU=")</f>
        <v>#REF!</v>
      </c>
      <c r="IM500" t="e">
        <f>AND(#REF!,"AAAAAC+W+vY=")</f>
        <v>#REF!</v>
      </c>
      <c r="IN500" t="e">
        <f>AND(#REF!,"AAAAAC+W+vc=")</f>
        <v>#REF!</v>
      </c>
      <c r="IO500" t="e">
        <f>AND(#REF!,"AAAAAC+W+vg=")</f>
        <v>#REF!</v>
      </c>
      <c r="IP500" t="e">
        <f>AND(#REF!,"AAAAAC+W+vk=")</f>
        <v>#REF!</v>
      </c>
      <c r="IQ500" t="e">
        <f>AND(#REF!,"AAAAAC+W+vo=")</f>
        <v>#REF!</v>
      </c>
      <c r="IR500" t="e">
        <f>AND(#REF!,"AAAAAC+W+vs=")</f>
        <v>#REF!</v>
      </c>
      <c r="IS500" t="e">
        <f>AND(#REF!,"AAAAAC+W+vw=")</f>
        <v>#REF!</v>
      </c>
      <c r="IT500" t="e">
        <f>AND(#REF!,"AAAAAC+W+v0=")</f>
        <v>#REF!</v>
      </c>
      <c r="IU500" t="e">
        <f>AND(#REF!,"AAAAAC+W+v4=")</f>
        <v>#REF!</v>
      </c>
      <c r="IV500" t="e">
        <f>IF(#REF!,"AAAAAC+W+v8=",0)</f>
        <v>#REF!</v>
      </c>
    </row>
    <row r="501" spans="1:256" x14ac:dyDescent="0.25">
      <c r="A501" t="e">
        <f>AND(#REF!,"AAAAAFZdnwA=")</f>
        <v>#REF!</v>
      </c>
      <c r="B501" t="e">
        <f>AND(#REF!,"AAAAAFZdnwE=")</f>
        <v>#REF!</v>
      </c>
      <c r="C501" t="e">
        <f>AND(#REF!,"AAAAAFZdnwI=")</f>
        <v>#REF!</v>
      </c>
      <c r="D501" t="e">
        <f>AND(#REF!,"AAAAAFZdnwM=")</f>
        <v>#REF!</v>
      </c>
      <c r="E501" t="e">
        <f>AND(#REF!,"AAAAAFZdnwQ=")</f>
        <v>#REF!</v>
      </c>
      <c r="F501" t="e">
        <f>AND(#REF!,"AAAAAFZdnwU=")</f>
        <v>#REF!</v>
      </c>
      <c r="G501" t="e">
        <f>AND(#REF!,"AAAAAFZdnwY=")</f>
        <v>#REF!</v>
      </c>
      <c r="H501" t="e">
        <f>AND(#REF!,"AAAAAFZdnwc=")</f>
        <v>#REF!</v>
      </c>
      <c r="I501" t="e">
        <f>AND(#REF!,"AAAAAFZdnwg=")</f>
        <v>#REF!</v>
      </c>
      <c r="J501" t="e">
        <f>AND(#REF!,"AAAAAFZdnwk=")</f>
        <v>#REF!</v>
      </c>
      <c r="K501" t="e">
        <f>IF(#REF!,"AAAAAFZdnwo=",0)</f>
        <v>#REF!</v>
      </c>
      <c r="L501" t="e">
        <f>AND(#REF!,"AAAAAFZdnws=")</f>
        <v>#REF!</v>
      </c>
      <c r="M501" t="e">
        <f>AND(#REF!,"AAAAAFZdnww=")</f>
        <v>#REF!</v>
      </c>
      <c r="N501" t="e">
        <f>AND(#REF!,"AAAAAFZdnw0=")</f>
        <v>#REF!</v>
      </c>
      <c r="O501" t="e">
        <f>AND(#REF!,"AAAAAFZdnw4=")</f>
        <v>#REF!</v>
      </c>
      <c r="P501" t="e">
        <f>AND(#REF!,"AAAAAFZdnw8=")</f>
        <v>#REF!</v>
      </c>
      <c r="Q501" t="e">
        <f>AND(#REF!,"AAAAAFZdnxA=")</f>
        <v>#REF!</v>
      </c>
      <c r="R501" t="e">
        <f>AND(#REF!,"AAAAAFZdnxE=")</f>
        <v>#REF!</v>
      </c>
      <c r="S501" t="e">
        <f>AND(#REF!,"AAAAAFZdnxI=")</f>
        <v>#REF!</v>
      </c>
      <c r="T501" t="e">
        <f>AND(#REF!,"AAAAAFZdnxM=")</f>
        <v>#REF!</v>
      </c>
      <c r="U501" t="e">
        <f>AND(#REF!,"AAAAAFZdnxQ=")</f>
        <v>#REF!</v>
      </c>
      <c r="V501" t="e">
        <f>IF(#REF!,"AAAAAFZdnxU=",0)</f>
        <v>#REF!</v>
      </c>
      <c r="W501" t="e">
        <f>AND(#REF!,"AAAAAFZdnxY=")</f>
        <v>#REF!</v>
      </c>
      <c r="X501" t="e">
        <f>AND(#REF!,"AAAAAFZdnxc=")</f>
        <v>#REF!</v>
      </c>
      <c r="Y501" t="e">
        <f>AND(#REF!,"AAAAAFZdnxg=")</f>
        <v>#REF!</v>
      </c>
      <c r="Z501" t="e">
        <f>AND(#REF!,"AAAAAFZdnxk=")</f>
        <v>#REF!</v>
      </c>
      <c r="AA501" t="e">
        <f>AND(#REF!,"AAAAAFZdnxo=")</f>
        <v>#REF!</v>
      </c>
      <c r="AB501" t="e">
        <f>AND(#REF!,"AAAAAFZdnxs=")</f>
        <v>#REF!</v>
      </c>
      <c r="AC501" t="e">
        <f>AND(#REF!,"AAAAAFZdnxw=")</f>
        <v>#REF!</v>
      </c>
      <c r="AD501" t="e">
        <f>AND(#REF!,"AAAAAFZdnx0=")</f>
        <v>#REF!</v>
      </c>
      <c r="AE501" t="e">
        <f>AND(#REF!,"AAAAAFZdnx4=")</f>
        <v>#REF!</v>
      </c>
      <c r="AF501" t="e">
        <f>AND(#REF!,"AAAAAFZdnx8=")</f>
        <v>#REF!</v>
      </c>
      <c r="AG501" t="e">
        <f>IF(#REF!,"AAAAAFZdnyA=",0)</f>
        <v>#REF!</v>
      </c>
      <c r="AH501" t="e">
        <f>AND(#REF!,"AAAAAFZdnyE=")</f>
        <v>#REF!</v>
      </c>
      <c r="AI501" t="e">
        <f>AND(#REF!,"AAAAAFZdnyI=")</f>
        <v>#REF!</v>
      </c>
      <c r="AJ501" t="e">
        <f>AND(#REF!,"AAAAAFZdnyM=")</f>
        <v>#REF!</v>
      </c>
      <c r="AK501" t="e">
        <f>AND(#REF!,"AAAAAFZdnyQ=")</f>
        <v>#REF!</v>
      </c>
      <c r="AL501" t="e">
        <f>AND(#REF!,"AAAAAFZdnyU=")</f>
        <v>#REF!</v>
      </c>
      <c r="AM501" t="e">
        <f>AND(#REF!,"AAAAAFZdnyY=")</f>
        <v>#REF!</v>
      </c>
      <c r="AN501" t="e">
        <f>AND(#REF!,"AAAAAFZdnyc=")</f>
        <v>#REF!</v>
      </c>
      <c r="AO501" t="e">
        <f>AND(#REF!,"AAAAAFZdnyg=")</f>
        <v>#REF!</v>
      </c>
      <c r="AP501" t="e">
        <f>AND(#REF!,"AAAAAFZdnyk=")</f>
        <v>#REF!</v>
      </c>
      <c r="AQ501" t="e">
        <f>AND(#REF!,"AAAAAFZdnyo=")</f>
        <v>#REF!</v>
      </c>
      <c r="AR501" t="e">
        <f>IF(#REF!,"AAAAAFZdnys=",0)</f>
        <v>#REF!</v>
      </c>
      <c r="AS501" t="e">
        <f>AND(#REF!,"AAAAAFZdnyw=")</f>
        <v>#REF!</v>
      </c>
      <c r="AT501" t="e">
        <f>AND(#REF!,"AAAAAFZdny0=")</f>
        <v>#REF!</v>
      </c>
      <c r="AU501" t="e">
        <f>AND(#REF!,"AAAAAFZdny4=")</f>
        <v>#REF!</v>
      </c>
      <c r="AV501" t="e">
        <f>AND(#REF!,"AAAAAFZdny8=")</f>
        <v>#REF!</v>
      </c>
      <c r="AW501" t="e">
        <f>AND(#REF!,"AAAAAFZdnzA=")</f>
        <v>#REF!</v>
      </c>
      <c r="AX501" t="e">
        <f>AND(#REF!,"AAAAAFZdnzE=")</f>
        <v>#REF!</v>
      </c>
      <c r="AY501" t="e">
        <f>AND(#REF!,"AAAAAFZdnzI=")</f>
        <v>#REF!</v>
      </c>
      <c r="AZ501" t="e">
        <f>AND(#REF!,"AAAAAFZdnzM=")</f>
        <v>#REF!</v>
      </c>
      <c r="BA501" t="e">
        <f>AND(#REF!,"AAAAAFZdnzQ=")</f>
        <v>#REF!</v>
      </c>
      <c r="BB501" t="e">
        <f>AND(#REF!,"AAAAAFZdnzU=")</f>
        <v>#REF!</v>
      </c>
      <c r="BC501" t="e">
        <f>IF(#REF!,"AAAAAFZdnzY=",0)</f>
        <v>#REF!</v>
      </c>
      <c r="BD501" t="e">
        <f>AND(#REF!,"AAAAAFZdnzc=")</f>
        <v>#REF!</v>
      </c>
      <c r="BE501" t="e">
        <f>AND(#REF!,"AAAAAFZdnzg=")</f>
        <v>#REF!</v>
      </c>
      <c r="BF501" t="e">
        <f>AND(#REF!,"AAAAAFZdnzk=")</f>
        <v>#REF!</v>
      </c>
      <c r="BG501" t="e">
        <f>AND(#REF!,"AAAAAFZdnzo=")</f>
        <v>#REF!</v>
      </c>
      <c r="BH501" t="e">
        <f>AND(#REF!,"AAAAAFZdnzs=")</f>
        <v>#REF!</v>
      </c>
      <c r="BI501" t="e">
        <f>AND(#REF!,"AAAAAFZdnzw=")</f>
        <v>#REF!</v>
      </c>
      <c r="BJ501" t="e">
        <f>AND(#REF!,"AAAAAFZdnz0=")</f>
        <v>#REF!</v>
      </c>
      <c r="BK501" t="e">
        <f>AND(#REF!,"AAAAAFZdnz4=")</f>
        <v>#REF!</v>
      </c>
      <c r="BL501" t="e">
        <f>AND(#REF!,"AAAAAFZdnz8=")</f>
        <v>#REF!</v>
      </c>
      <c r="BM501" t="e">
        <f>AND(#REF!,"AAAAAFZdn0A=")</f>
        <v>#REF!</v>
      </c>
      <c r="BN501" t="e">
        <f>IF(#REF!,"AAAAAFZdn0E=",0)</f>
        <v>#REF!</v>
      </c>
      <c r="BO501" t="e">
        <f>AND(#REF!,"AAAAAFZdn0I=")</f>
        <v>#REF!</v>
      </c>
      <c r="BP501" t="e">
        <f>AND(#REF!,"AAAAAFZdn0M=")</f>
        <v>#REF!</v>
      </c>
      <c r="BQ501" t="e">
        <f>AND(#REF!,"AAAAAFZdn0Q=")</f>
        <v>#REF!</v>
      </c>
      <c r="BR501" t="e">
        <f>AND(#REF!,"AAAAAFZdn0U=")</f>
        <v>#REF!</v>
      </c>
      <c r="BS501" t="e">
        <f>AND(#REF!,"AAAAAFZdn0Y=")</f>
        <v>#REF!</v>
      </c>
      <c r="BT501" t="e">
        <f>AND(#REF!,"AAAAAFZdn0c=")</f>
        <v>#REF!</v>
      </c>
      <c r="BU501" t="e">
        <f>AND(#REF!,"AAAAAFZdn0g=")</f>
        <v>#REF!</v>
      </c>
      <c r="BV501" t="e">
        <f>AND(#REF!,"AAAAAFZdn0k=")</f>
        <v>#REF!</v>
      </c>
      <c r="BW501" t="e">
        <f>AND(#REF!,"AAAAAFZdn0o=")</f>
        <v>#REF!</v>
      </c>
      <c r="BX501" t="e">
        <f>AND(#REF!,"AAAAAFZdn0s=")</f>
        <v>#REF!</v>
      </c>
      <c r="BY501" t="e">
        <f>IF(#REF!,"AAAAAFZdn0w=",0)</f>
        <v>#REF!</v>
      </c>
      <c r="BZ501" t="e">
        <f>AND(#REF!,"AAAAAFZdn00=")</f>
        <v>#REF!</v>
      </c>
      <c r="CA501" t="e">
        <f>AND(#REF!,"AAAAAFZdn04=")</f>
        <v>#REF!</v>
      </c>
      <c r="CB501" t="e">
        <f>AND(#REF!,"AAAAAFZdn08=")</f>
        <v>#REF!</v>
      </c>
      <c r="CC501" t="e">
        <f>AND(#REF!,"AAAAAFZdn1A=")</f>
        <v>#REF!</v>
      </c>
      <c r="CD501" t="e">
        <f>AND(#REF!,"AAAAAFZdn1E=")</f>
        <v>#REF!</v>
      </c>
      <c r="CE501" t="e">
        <f>AND(#REF!,"AAAAAFZdn1I=")</f>
        <v>#REF!</v>
      </c>
      <c r="CF501" t="e">
        <f>AND(#REF!,"AAAAAFZdn1M=")</f>
        <v>#REF!</v>
      </c>
      <c r="CG501" t="e">
        <f>AND(#REF!,"AAAAAFZdn1Q=")</f>
        <v>#REF!</v>
      </c>
      <c r="CH501" t="e">
        <f>AND(#REF!,"AAAAAFZdn1U=")</f>
        <v>#REF!</v>
      </c>
      <c r="CI501" t="e">
        <f>AND(#REF!,"AAAAAFZdn1Y=")</f>
        <v>#REF!</v>
      </c>
      <c r="CJ501" t="e">
        <f>IF(#REF!,"AAAAAFZdn1c=",0)</f>
        <v>#REF!</v>
      </c>
      <c r="CK501" t="e">
        <f>AND(#REF!,"AAAAAFZdn1g=")</f>
        <v>#REF!</v>
      </c>
      <c r="CL501" t="e">
        <f>AND(#REF!,"AAAAAFZdn1k=")</f>
        <v>#REF!</v>
      </c>
      <c r="CM501" t="e">
        <f>AND(#REF!,"AAAAAFZdn1o=")</f>
        <v>#REF!</v>
      </c>
      <c r="CN501" t="e">
        <f>AND(#REF!,"AAAAAFZdn1s=")</f>
        <v>#REF!</v>
      </c>
      <c r="CO501" t="e">
        <f>AND(#REF!,"AAAAAFZdn1w=")</f>
        <v>#REF!</v>
      </c>
      <c r="CP501" t="e">
        <f>AND(#REF!,"AAAAAFZdn10=")</f>
        <v>#REF!</v>
      </c>
      <c r="CQ501" t="e">
        <f>AND(#REF!,"AAAAAFZdn14=")</f>
        <v>#REF!</v>
      </c>
      <c r="CR501" t="e">
        <f>AND(#REF!,"AAAAAFZdn18=")</f>
        <v>#REF!</v>
      </c>
      <c r="CS501" t="e">
        <f>AND(#REF!,"AAAAAFZdn2A=")</f>
        <v>#REF!</v>
      </c>
      <c r="CT501" t="e">
        <f>AND(#REF!,"AAAAAFZdn2E=")</f>
        <v>#REF!</v>
      </c>
      <c r="CU501" t="e">
        <f>IF(#REF!,"AAAAAFZdn2I=",0)</f>
        <v>#REF!</v>
      </c>
      <c r="CV501" t="e">
        <f>AND(#REF!,"AAAAAFZdn2M=")</f>
        <v>#REF!</v>
      </c>
      <c r="CW501" t="e">
        <f>AND(#REF!,"AAAAAFZdn2Q=")</f>
        <v>#REF!</v>
      </c>
      <c r="CX501" t="e">
        <f>AND(#REF!,"AAAAAFZdn2U=")</f>
        <v>#REF!</v>
      </c>
      <c r="CY501" t="e">
        <f>AND(#REF!,"AAAAAFZdn2Y=")</f>
        <v>#REF!</v>
      </c>
      <c r="CZ501" t="e">
        <f>AND(#REF!,"AAAAAFZdn2c=")</f>
        <v>#REF!</v>
      </c>
      <c r="DA501" t="e">
        <f>AND(#REF!,"AAAAAFZdn2g=")</f>
        <v>#REF!</v>
      </c>
      <c r="DB501" t="e">
        <f>AND(#REF!,"AAAAAFZdn2k=")</f>
        <v>#REF!</v>
      </c>
      <c r="DC501" t="e">
        <f>AND(#REF!,"AAAAAFZdn2o=")</f>
        <v>#REF!</v>
      </c>
      <c r="DD501" t="e">
        <f>AND(#REF!,"AAAAAFZdn2s=")</f>
        <v>#REF!</v>
      </c>
      <c r="DE501" t="e">
        <f>AND(#REF!,"AAAAAFZdn2w=")</f>
        <v>#REF!</v>
      </c>
      <c r="DF501" t="e">
        <f>IF(#REF!,"AAAAAFZdn20=",0)</f>
        <v>#REF!</v>
      </c>
      <c r="DG501" t="e">
        <f>AND(#REF!,"AAAAAFZdn24=")</f>
        <v>#REF!</v>
      </c>
      <c r="DH501" t="e">
        <f>AND(#REF!,"AAAAAFZdn28=")</f>
        <v>#REF!</v>
      </c>
      <c r="DI501" t="e">
        <f>AND(#REF!,"AAAAAFZdn3A=")</f>
        <v>#REF!</v>
      </c>
      <c r="DJ501" t="e">
        <f>AND(#REF!,"AAAAAFZdn3E=")</f>
        <v>#REF!</v>
      </c>
      <c r="DK501" t="e">
        <f>AND(#REF!,"AAAAAFZdn3I=")</f>
        <v>#REF!</v>
      </c>
      <c r="DL501" t="e">
        <f>AND(#REF!,"AAAAAFZdn3M=")</f>
        <v>#REF!</v>
      </c>
      <c r="DM501" t="e">
        <f>AND(#REF!,"AAAAAFZdn3Q=")</f>
        <v>#REF!</v>
      </c>
      <c r="DN501" t="e">
        <f>AND(#REF!,"AAAAAFZdn3U=")</f>
        <v>#REF!</v>
      </c>
      <c r="DO501" t="e">
        <f>AND(#REF!,"AAAAAFZdn3Y=")</f>
        <v>#REF!</v>
      </c>
      <c r="DP501" t="e">
        <f>AND(#REF!,"AAAAAFZdn3c=")</f>
        <v>#REF!</v>
      </c>
      <c r="DQ501" t="e">
        <f>IF(#REF!,"AAAAAFZdn3g=",0)</f>
        <v>#REF!</v>
      </c>
      <c r="DR501" t="e">
        <f>AND(#REF!,"AAAAAFZdn3k=")</f>
        <v>#REF!</v>
      </c>
      <c r="DS501" t="e">
        <f>AND(#REF!,"AAAAAFZdn3o=")</f>
        <v>#REF!</v>
      </c>
      <c r="DT501" t="e">
        <f>AND(#REF!,"AAAAAFZdn3s=")</f>
        <v>#REF!</v>
      </c>
      <c r="DU501" t="e">
        <f>AND(#REF!,"AAAAAFZdn3w=")</f>
        <v>#REF!</v>
      </c>
      <c r="DV501" t="e">
        <f>AND(#REF!,"AAAAAFZdn30=")</f>
        <v>#REF!</v>
      </c>
      <c r="DW501" t="e">
        <f>AND(#REF!,"AAAAAFZdn34=")</f>
        <v>#REF!</v>
      </c>
      <c r="DX501" t="e">
        <f>AND(#REF!,"AAAAAFZdn38=")</f>
        <v>#REF!</v>
      </c>
      <c r="DY501" t="e">
        <f>AND(#REF!,"AAAAAFZdn4A=")</f>
        <v>#REF!</v>
      </c>
      <c r="DZ501" t="e">
        <f>AND(#REF!,"AAAAAFZdn4E=")</f>
        <v>#REF!</v>
      </c>
      <c r="EA501" t="e">
        <f>AND(#REF!,"AAAAAFZdn4I=")</f>
        <v>#REF!</v>
      </c>
      <c r="EB501" t="e">
        <f>IF(#REF!,"AAAAAFZdn4M=",0)</f>
        <v>#REF!</v>
      </c>
      <c r="EC501" t="e">
        <f>AND(#REF!,"AAAAAFZdn4Q=")</f>
        <v>#REF!</v>
      </c>
      <c r="ED501" t="e">
        <f>AND(#REF!,"AAAAAFZdn4U=")</f>
        <v>#REF!</v>
      </c>
      <c r="EE501" t="e">
        <f>AND(#REF!,"AAAAAFZdn4Y=")</f>
        <v>#REF!</v>
      </c>
      <c r="EF501" t="e">
        <f>AND(#REF!,"AAAAAFZdn4c=")</f>
        <v>#REF!</v>
      </c>
      <c r="EG501" t="e">
        <f>AND(#REF!,"AAAAAFZdn4g=")</f>
        <v>#REF!</v>
      </c>
      <c r="EH501" t="e">
        <f>AND(#REF!,"AAAAAFZdn4k=")</f>
        <v>#REF!</v>
      </c>
      <c r="EI501" t="e">
        <f>AND(#REF!,"AAAAAFZdn4o=")</f>
        <v>#REF!</v>
      </c>
      <c r="EJ501" t="e">
        <f>AND(#REF!,"AAAAAFZdn4s=")</f>
        <v>#REF!</v>
      </c>
      <c r="EK501" t="e">
        <f>AND(#REF!,"AAAAAFZdn4w=")</f>
        <v>#REF!</v>
      </c>
      <c r="EL501" t="e">
        <f>AND(#REF!,"AAAAAFZdn40=")</f>
        <v>#REF!</v>
      </c>
      <c r="EM501" t="e">
        <f>IF(#REF!,"AAAAAFZdn44=",0)</f>
        <v>#REF!</v>
      </c>
      <c r="EN501" t="e">
        <f>AND(#REF!,"AAAAAFZdn48=")</f>
        <v>#REF!</v>
      </c>
      <c r="EO501" t="e">
        <f>AND(#REF!,"AAAAAFZdn5A=")</f>
        <v>#REF!</v>
      </c>
      <c r="EP501" t="e">
        <f>AND(#REF!,"AAAAAFZdn5E=")</f>
        <v>#REF!</v>
      </c>
      <c r="EQ501" t="e">
        <f>AND(#REF!,"AAAAAFZdn5I=")</f>
        <v>#REF!</v>
      </c>
      <c r="ER501" t="e">
        <f>AND(#REF!,"AAAAAFZdn5M=")</f>
        <v>#REF!</v>
      </c>
      <c r="ES501" t="e">
        <f>AND(#REF!,"AAAAAFZdn5Q=")</f>
        <v>#REF!</v>
      </c>
      <c r="ET501" t="e">
        <f>AND(#REF!,"AAAAAFZdn5U=")</f>
        <v>#REF!</v>
      </c>
      <c r="EU501" t="e">
        <f>AND(#REF!,"AAAAAFZdn5Y=")</f>
        <v>#REF!</v>
      </c>
      <c r="EV501" t="e">
        <f>AND(#REF!,"AAAAAFZdn5c=")</f>
        <v>#REF!</v>
      </c>
      <c r="EW501" t="e">
        <f>AND(#REF!,"AAAAAFZdn5g=")</f>
        <v>#REF!</v>
      </c>
      <c r="EX501" t="e">
        <f>IF(#REF!,"AAAAAFZdn5k=",0)</f>
        <v>#REF!</v>
      </c>
      <c r="EY501" t="e">
        <f>AND(#REF!,"AAAAAFZdn5o=")</f>
        <v>#REF!</v>
      </c>
      <c r="EZ501" t="e">
        <f>AND(#REF!,"AAAAAFZdn5s=")</f>
        <v>#REF!</v>
      </c>
      <c r="FA501" t="e">
        <f>AND(#REF!,"AAAAAFZdn5w=")</f>
        <v>#REF!</v>
      </c>
      <c r="FB501" t="e">
        <f>AND(#REF!,"AAAAAFZdn50=")</f>
        <v>#REF!</v>
      </c>
      <c r="FC501" t="e">
        <f>AND(#REF!,"AAAAAFZdn54=")</f>
        <v>#REF!</v>
      </c>
      <c r="FD501" t="e">
        <f>AND(#REF!,"AAAAAFZdn58=")</f>
        <v>#REF!</v>
      </c>
      <c r="FE501" t="e">
        <f>AND(#REF!,"AAAAAFZdn6A=")</f>
        <v>#REF!</v>
      </c>
      <c r="FF501" t="e">
        <f>AND(#REF!,"AAAAAFZdn6E=")</f>
        <v>#REF!</v>
      </c>
      <c r="FG501" t="e">
        <f>AND(#REF!,"AAAAAFZdn6I=")</f>
        <v>#REF!</v>
      </c>
      <c r="FH501" t="e">
        <f>AND(#REF!,"AAAAAFZdn6M=")</f>
        <v>#REF!</v>
      </c>
      <c r="FI501" t="e">
        <f>IF(#REF!,"AAAAAFZdn6Q=",0)</f>
        <v>#REF!</v>
      </c>
      <c r="FJ501" t="e">
        <f>AND(#REF!,"AAAAAFZdn6U=")</f>
        <v>#REF!</v>
      </c>
      <c r="FK501" t="e">
        <f>AND(#REF!,"AAAAAFZdn6Y=")</f>
        <v>#REF!</v>
      </c>
      <c r="FL501" t="e">
        <f>AND(#REF!,"AAAAAFZdn6c=")</f>
        <v>#REF!</v>
      </c>
      <c r="FM501" t="e">
        <f>AND(#REF!,"AAAAAFZdn6g=")</f>
        <v>#REF!</v>
      </c>
      <c r="FN501" t="e">
        <f>AND(#REF!,"AAAAAFZdn6k=")</f>
        <v>#REF!</v>
      </c>
      <c r="FO501" t="e">
        <f>AND(#REF!,"AAAAAFZdn6o=")</f>
        <v>#REF!</v>
      </c>
      <c r="FP501" t="e">
        <f>AND(#REF!,"AAAAAFZdn6s=")</f>
        <v>#REF!</v>
      </c>
      <c r="FQ501" t="e">
        <f>AND(#REF!,"AAAAAFZdn6w=")</f>
        <v>#REF!</v>
      </c>
      <c r="FR501" t="e">
        <f>AND(#REF!,"AAAAAFZdn60=")</f>
        <v>#REF!</v>
      </c>
      <c r="FS501" t="e">
        <f>AND(#REF!,"AAAAAFZdn64=")</f>
        <v>#REF!</v>
      </c>
      <c r="FT501" t="e">
        <f>IF(#REF!,"AAAAAFZdn68=",0)</f>
        <v>#REF!</v>
      </c>
      <c r="FU501" t="e">
        <f>AND(#REF!,"AAAAAFZdn7A=")</f>
        <v>#REF!</v>
      </c>
      <c r="FV501" t="e">
        <f>AND(#REF!,"AAAAAFZdn7E=")</f>
        <v>#REF!</v>
      </c>
      <c r="FW501" t="e">
        <f>AND(#REF!,"AAAAAFZdn7I=")</f>
        <v>#REF!</v>
      </c>
      <c r="FX501" t="e">
        <f>AND(#REF!,"AAAAAFZdn7M=")</f>
        <v>#REF!</v>
      </c>
      <c r="FY501" t="e">
        <f>AND(#REF!,"AAAAAFZdn7Q=")</f>
        <v>#REF!</v>
      </c>
      <c r="FZ501" t="e">
        <f>AND(#REF!,"AAAAAFZdn7U=")</f>
        <v>#REF!</v>
      </c>
      <c r="GA501" t="e">
        <f>AND(#REF!,"AAAAAFZdn7Y=")</f>
        <v>#REF!</v>
      </c>
      <c r="GB501" t="e">
        <f>AND(#REF!,"AAAAAFZdn7c=")</f>
        <v>#REF!</v>
      </c>
      <c r="GC501" t="e">
        <f>AND(#REF!,"AAAAAFZdn7g=")</f>
        <v>#REF!</v>
      </c>
      <c r="GD501" t="e">
        <f>AND(#REF!,"AAAAAFZdn7k=")</f>
        <v>#REF!</v>
      </c>
      <c r="GE501" t="e">
        <f>IF(#REF!,"AAAAAFZdn7o=",0)</f>
        <v>#REF!</v>
      </c>
      <c r="GF501" t="e">
        <f>AND(#REF!,"AAAAAFZdn7s=")</f>
        <v>#REF!</v>
      </c>
      <c r="GG501" t="e">
        <f>AND(#REF!,"AAAAAFZdn7w=")</f>
        <v>#REF!</v>
      </c>
      <c r="GH501" t="e">
        <f>AND(#REF!,"AAAAAFZdn70=")</f>
        <v>#REF!</v>
      </c>
      <c r="GI501" t="e">
        <f>AND(#REF!,"AAAAAFZdn74=")</f>
        <v>#REF!</v>
      </c>
      <c r="GJ501" t="e">
        <f>AND(#REF!,"AAAAAFZdn78=")</f>
        <v>#REF!</v>
      </c>
      <c r="GK501" t="e">
        <f>AND(#REF!,"AAAAAFZdn8A=")</f>
        <v>#REF!</v>
      </c>
      <c r="GL501" t="e">
        <f>AND(#REF!,"AAAAAFZdn8E=")</f>
        <v>#REF!</v>
      </c>
      <c r="GM501" t="e">
        <f>AND(#REF!,"AAAAAFZdn8I=")</f>
        <v>#REF!</v>
      </c>
      <c r="GN501" t="e">
        <f>AND(#REF!,"AAAAAFZdn8M=")</f>
        <v>#REF!</v>
      </c>
      <c r="GO501" t="e">
        <f>AND(#REF!,"AAAAAFZdn8Q=")</f>
        <v>#REF!</v>
      </c>
      <c r="GP501" t="e">
        <f>IF(#REF!,"AAAAAFZdn8U=",0)</f>
        <v>#REF!</v>
      </c>
      <c r="GQ501" t="e">
        <f>AND(#REF!,"AAAAAFZdn8Y=")</f>
        <v>#REF!</v>
      </c>
      <c r="GR501" t="e">
        <f>AND(#REF!,"AAAAAFZdn8c=")</f>
        <v>#REF!</v>
      </c>
      <c r="GS501" t="e">
        <f>AND(#REF!,"AAAAAFZdn8g=")</f>
        <v>#REF!</v>
      </c>
      <c r="GT501" t="e">
        <f>AND(#REF!,"AAAAAFZdn8k=")</f>
        <v>#REF!</v>
      </c>
      <c r="GU501" t="e">
        <f>AND(#REF!,"AAAAAFZdn8o=")</f>
        <v>#REF!</v>
      </c>
      <c r="GV501" t="e">
        <f>AND(#REF!,"AAAAAFZdn8s=")</f>
        <v>#REF!</v>
      </c>
      <c r="GW501" t="e">
        <f>AND(#REF!,"AAAAAFZdn8w=")</f>
        <v>#REF!</v>
      </c>
      <c r="GX501" t="e">
        <f>AND(#REF!,"AAAAAFZdn80=")</f>
        <v>#REF!</v>
      </c>
      <c r="GY501" t="e">
        <f>AND(#REF!,"AAAAAFZdn84=")</f>
        <v>#REF!</v>
      </c>
      <c r="GZ501" t="e">
        <f>AND(#REF!,"AAAAAFZdn88=")</f>
        <v>#REF!</v>
      </c>
      <c r="HA501" t="e">
        <f>IF(#REF!,"AAAAAFZdn9A=",0)</f>
        <v>#REF!</v>
      </c>
      <c r="HB501" t="e">
        <f>AND(#REF!,"AAAAAFZdn9E=")</f>
        <v>#REF!</v>
      </c>
      <c r="HC501" t="e">
        <f>AND(#REF!,"AAAAAFZdn9I=")</f>
        <v>#REF!</v>
      </c>
      <c r="HD501" t="e">
        <f>AND(#REF!,"AAAAAFZdn9M=")</f>
        <v>#REF!</v>
      </c>
      <c r="HE501" t="e">
        <f>AND(#REF!,"AAAAAFZdn9Q=")</f>
        <v>#REF!</v>
      </c>
      <c r="HF501" t="e">
        <f>AND(#REF!,"AAAAAFZdn9U=")</f>
        <v>#REF!</v>
      </c>
      <c r="HG501" t="e">
        <f>AND(#REF!,"AAAAAFZdn9Y=")</f>
        <v>#REF!</v>
      </c>
      <c r="HH501" t="e">
        <f>AND(#REF!,"AAAAAFZdn9c=")</f>
        <v>#REF!</v>
      </c>
      <c r="HI501" t="e">
        <f>AND(#REF!,"AAAAAFZdn9g=")</f>
        <v>#REF!</v>
      </c>
      <c r="HJ501" t="e">
        <f>AND(#REF!,"AAAAAFZdn9k=")</f>
        <v>#REF!</v>
      </c>
      <c r="HK501" t="e">
        <f>AND(#REF!,"AAAAAFZdn9o=")</f>
        <v>#REF!</v>
      </c>
      <c r="HL501" t="e">
        <f>IF(#REF!,"AAAAAFZdn9s=",0)</f>
        <v>#REF!</v>
      </c>
      <c r="HM501" t="e">
        <f>AND(#REF!,"AAAAAFZdn9w=")</f>
        <v>#REF!</v>
      </c>
      <c r="HN501" t="e">
        <f>AND(#REF!,"AAAAAFZdn90=")</f>
        <v>#REF!</v>
      </c>
      <c r="HO501" t="e">
        <f>AND(#REF!,"AAAAAFZdn94=")</f>
        <v>#REF!</v>
      </c>
      <c r="HP501" t="e">
        <f>AND(#REF!,"AAAAAFZdn98=")</f>
        <v>#REF!</v>
      </c>
      <c r="HQ501" t="e">
        <f>AND(#REF!,"AAAAAFZdn+A=")</f>
        <v>#REF!</v>
      </c>
      <c r="HR501" t="e">
        <f>AND(#REF!,"AAAAAFZdn+E=")</f>
        <v>#REF!</v>
      </c>
      <c r="HS501" t="e">
        <f>AND(#REF!,"AAAAAFZdn+I=")</f>
        <v>#REF!</v>
      </c>
      <c r="HT501" t="e">
        <f>AND(#REF!,"AAAAAFZdn+M=")</f>
        <v>#REF!</v>
      </c>
      <c r="HU501" t="e">
        <f>AND(#REF!,"AAAAAFZdn+Q=")</f>
        <v>#REF!</v>
      </c>
      <c r="HV501" t="e">
        <f>AND(#REF!,"AAAAAFZdn+U=")</f>
        <v>#REF!</v>
      </c>
      <c r="HW501" t="e">
        <f>IF(#REF!,"AAAAAFZdn+Y=",0)</f>
        <v>#REF!</v>
      </c>
      <c r="HX501" t="e">
        <f>AND(#REF!,"AAAAAFZdn+c=")</f>
        <v>#REF!</v>
      </c>
      <c r="HY501" t="e">
        <f>AND(#REF!,"AAAAAFZdn+g=")</f>
        <v>#REF!</v>
      </c>
      <c r="HZ501" t="e">
        <f>AND(#REF!,"AAAAAFZdn+k=")</f>
        <v>#REF!</v>
      </c>
      <c r="IA501" t="e">
        <f>AND(#REF!,"AAAAAFZdn+o=")</f>
        <v>#REF!</v>
      </c>
      <c r="IB501" t="e">
        <f>AND(#REF!,"AAAAAFZdn+s=")</f>
        <v>#REF!</v>
      </c>
      <c r="IC501" t="e">
        <f>AND(#REF!,"AAAAAFZdn+w=")</f>
        <v>#REF!</v>
      </c>
      <c r="ID501" t="e">
        <f>AND(#REF!,"AAAAAFZdn+0=")</f>
        <v>#REF!</v>
      </c>
      <c r="IE501" t="e">
        <f>AND(#REF!,"AAAAAFZdn+4=")</f>
        <v>#REF!</v>
      </c>
      <c r="IF501" t="e">
        <f>AND(#REF!,"AAAAAFZdn+8=")</f>
        <v>#REF!</v>
      </c>
      <c r="IG501" t="e">
        <f>AND(#REF!,"AAAAAFZdn/A=")</f>
        <v>#REF!</v>
      </c>
      <c r="IH501" t="e">
        <f>IF(#REF!,"AAAAAFZdn/E=",0)</f>
        <v>#REF!</v>
      </c>
      <c r="II501" t="e">
        <f>AND(#REF!,"AAAAAFZdn/I=")</f>
        <v>#REF!</v>
      </c>
      <c r="IJ501" t="e">
        <f>AND(#REF!,"AAAAAFZdn/M=")</f>
        <v>#REF!</v>
      </c>
      <c r="IK501" t="e">
        <f>AND(#REF!,"AAAAAFZdn/Q=")</f>
        <v>#REF!</v>
      </c>
      <c r="IL501" t="e">
        <f>AND(#REF!,"AAAAAFZdn/U=")</f>
        <v>#REF!</v>
      </c>
      <c r="IM501" t="e">
        <f>AND(#REF!,"AAAAAFZdn/Y=")</f>
        <v>#REF!</v>
      </c>
      <c r="IN501" t="e">
        <f>AND(#REF!,"AAAAAFZdn/c=")</f>
        <v>#REF!</v>
      </c>
      <c r="IO501" t="e">
        <f>AND(#REF!,"AAAAAFZdn/g=")</f>
        <v>#REF!</v>
      </c>
      <c r="IP501" t="e">
        <f>AND(#REF!,"AAAAAFZdn/k=")</f>
        <v>#REF!</v>
      </c>
      <c r="IQ501" t="e">
        <f>AND(#REF!,"AAAAAFZdn/o=")</f>
        <v>#REF!</v>
      </c>
      <c r="IR501" t="e">
        <f>AND(#REF!,"AAAAAFZdn/s=")</f>
        <v>#REF!</v>
      </c>
      <c r="IS501" t="e">
        <f>IF(#REF!,"AAAAAFZdn/w=",0)</f>
        <v>#REF!</v>
      </c>
      <c r="IT501" t="e">
        <f>AND(#REF!,"AAAAAFZdn/0=")</f>
        <v>#REF!</v>
      </c>
      <c r="IU501" t="e">
        <f>AND(#REF!,"AAAAAFZdn/4=")</f>
        <v>#REF!</v>
      </c>
      <c r="IV501" t="e">
        <f>AND(#REF!,"AAAAAFZdn/8=")</f>
        <v>#REF!</v>
      </c>
    </row>
    <row r="502" spans="1:256" x14ac:dyDescent="0.25">
      <c r="A502" t="e">
        <f>AND(#REF!,"AAAAAHS16QA=")</f>
        <v>#REF!</v>
      </c>
      <c r="B502" t="e">
        <f>AND(#REF!,"AAAAAHS16QE=")</f>
        <v>#REF!</v>
      </c>
      <c r="C502" t="e">
        <f>AND(#REF!,"AAAAAHS16QI=")</f>
        <v>#REF!</v>
      </c>
      <c r="D502" t="e">
        <f>AND(#REF!,"AAAAAHS16QM=")</f>
        <v>#REF!</v>
      </c>
      <c r="E502" t="e">
        <f>AND(#REF!,"AAAAAHS16QQ=")</f>
        <v>#REF!</v>
      </c>
      <c r="F502" t="e">
        <f>AND(#REF!,"AAAAAHS16QU=")</f>
        <v>#REF!</v>
      </c>
      <c r="G502" t="e">
        <f>AND(#REF!,"AAAAAHS16QY=")</f>
        <v>#REF!</v>
      </c>
      <c r="H502" t="e">
        <f>IF(#REF!,"AAAAAHS16Qc=",0)</f>
        <v>#REF!</v>
      </c>
      <c r="I502" t="e">
        <f>AND(#REF!,"AAAAAHS16Qg=")</f>
        <v>#REF!</v>
      </c>
      <c r="J502" t="e">
        <f>AND(#REF!,"AAAAAHS16Qk=")</f>
        <v>#REF!</v>
      </c>
      <c r="K502" t="e">
        <f>AND(#REF!,"AAAAAHS16Qo=")</f>
        <v>#REF!</v>
      </c>
      <c r="L502" t="e">
        <f>AND(#REF!,"AAAAAHS16Qs=")</f>
        <v>#REF!</v>
      </c>
      <c r="M502" t="e">
        <f>AND(#REF!,"AAAAAHS16Qw=")</f>
        <v>#REF!</v>
      </c>
      <c r="N502" t="e">
        <f>AND(#REF!,"AAAAAHS16Q0=")</f>
        <v>#REF!</v>
      </c>
      <c r="O502" t="e">
        <f>AND(#REF!,"AAAAAHS16Q4=")</f>
        <v>#REF!</v>
      </c>
      <c r="P502" t="e">
        <f>AND(#REF!,"AAAAAHS16Q8=")</f>
        <v>#REF!</v>
      </c>
      <c r="Q502" t="e">
        <f>AND(#REF!,"AAAAAHS16RA=")</f>
        <v>#REF!</v>
      </c>
      <c r="R502" t="e">
        <f>AND(#REF!,"AAAAAHS16RE=")</f>
        <v>#REF!</v>
      </c>
      <c r="S502" t="e">
        <f>IF(#REF!,"AAAAAHS16RI=",0)</f>
        <v>#REF!</v>
      </c>
      <c r="T502" t="e">
        <f>AND(#REF!,"AAAAAHS16RM=")</f>
        <v>#REF!</v>
      </c>
      <c r="U502" t="e">
        <f>AND(#REF!,"AAAAAHS16RQ=")</f>
        <v>#REF!</v>
      </c>
      <c r="V502" t="e">
        <f>AND(#REF!,"AAAAAHS16RU=")</f>
        <v>#REF!</v>
      </c>
      <c r="W502" t="e">
        <f>AND(#REF!,"AAAAAHS16RY=")</f>
        <v>#REF!</v>
      </c>
      <c r="X502" t="e">
        <f>AND(#REF!,"AAAAAHS16Rc=")</f>
        <v>#REF!</v>
      </c>
      <c r="Y502" t="e">
        <f>AND(#REF!,"AAAAAHS16Rg=")</f>
        <v>#REF!</v>
      </c>
      <c r="Z502" t="e">
        <f>AND(#REF!,"AAAAAHS16Rk=")</f>
        <v>#REF!</v>
      </c>
      <c r="AA502" t="e">
        <f>AND(#REF!,"AAAAAHS16Ro=")</f>
        <v>#REF!</v>
      </c>
      <c r="AB502" t="e">
        <f>AND(#REF!,"AAAAAHS16Rs=")</f>
        <v>#REF!</v>
      </c>
      <c r="AC502" t="e">
        <f>AND(#REF!,"AAAAAHS16Rw=")</f>
        <v>#REF!</v>
      </c>
      <c r="AD502" t="e">
        <f>IF(#REF!,"AAAAAHS16R0=",0)</f>
        <v>#REF!</v>
      </c>
      <c r="AE502" t="e">
        <f>AND(#REF!,"AAAAAHS16R4=")</f>
        <v>#REF!</v>
      </c>
      <c r="AF502" t="e">
        <f>AND(#REF!,"AAAAAHS16R8=")</f>
        <v>#REF!</v>
      </c>
      <c r="AG502" t="e">
        <f>AND(#REF!,"AAAAAHS16SA=")</f>
        <v>#REF!</v>
      </c>
      <c r="AH502" t="e">
        <f>AND(#REF!,"AAAAAHS16SE=")</f>
        <v>#REF!</v>
      </c>
      <c r="AI502" t="e">
        <f>AND(#REF!,"AAAAAHS16SI=")</f>
        <v>#REF!</v>
      </c>
      <c r="AJ502" t="e">
        <f>AND(#REF!,"AAAAAHS16SM=")</f>
        <v>#REF!</v>
      </c>
      <c r="AK502" t="e">
        <f>AND(#REF!,"AAAAAHS16SQ=")</f>
        <v>#REF!</v>
      </c>
      <c r="AL502" t="e">
        <f>AND(#REF!,"AAAAAHS16SU=")</f>
        <v>#REF!</v>
      </c>
      <c r="AM502" t="e">
        <f>AND(#REF!,"AAAAAHS16SY=")</f>
        <v>#REF!</v>
      </c>
      <c r="AN502" t="e">
        <f>AND(#REF!,"AAAAAHS16Sc=")</f>
        <v>#REF!</v>
      </c>
      <c r="AO502" t="e">
        <f>IF(#REF!,"AAAAAHS16Sg=",0)</f>
        <v>#REF!</v>
      </c>
      <c r="AP502" t="e">
        <f>AND(#REF!,"AAAAAHS16Sk=")</f>
        <v>#REF!</v>
      </c>
      <c r="AQ502" t="e">
        <f>AND(#REF!,"AAAAAHS16So=")</f>
        <v>#REF!</v>
      </c>
      <c r="AR502" t="e">
        <f>AND(#REF!,"AAAAAHS16Ss=")</f>
        <v>#REF!</v>
      </c>
      <c r="AS502" t="e">
        <f>AND(#REF!,"AAAAAHS16Sw=")</f>
        <v>#REF!</v>
      </c>
      <c r="AT502" t="e">
        <f>AND(#REF!,"AAAAAHS16S0=")</f>
        <v>#REF!</v>
      </c>
      <c r="AU502" t="e">
        <f>AND(#REF!,"AAAAAHS16S4=")</f>
        <v>#REF!</v>
      </c>
      <c r="AV502" t="e">
        <f>AND(#REF!,"AAAAAHS16S8=")</f>
        <v>#REF!</v>
      </c>
      <c r="AW502" t="e">
        <f>AND(#REF!,"AAAAAHS16TA=")</f>
        <v>#REF!</v>
      </c>
      <c r="AX502" t="e">
        <f>AND(#REF!,"AAAAAHS16TE=")</f>
        <v>#REF!</v>
      </c>
      <c r="AY502" t="e">
        <f>AND(#REF!,"AAAAAHS16TI=")</f>
        <v>#REF!</v>
      </c>
      <c r="AZ502" t="e">
        <f>IF(#REF!,"AAAAAHS16TM=",0)</f>
        <v>#REF!</v>
      </c>
      <c r="BA502" t="e">
        <f>AND(#REF!,"AAAAAHS16TQ=")</f>
        <v>#REF!</v>
      </c>
      <c r="BB502" t="e">
        <f>AND(#REF!,"AAAAAHS16TU=")</f>
        <v>#REF!</v>
      </c>
      <c r="BC502" t="e">
        <f>AND(#REF!,"AAAAAHS16TY=")</f>
        <v>#REF!</v>
      </c>
      <c r="BD502" t="e">
        <f>AND(#REF!,"AAAAAHS16Tc=")</f>
        <v>#REF!</v>
      </c>
      <c r="BE502" t="e">
        <f>AND(#REF!,"AAAAAHS16Tg=")</f>
        <v>#REF!</v>
      </c>
      <c r="BF502" t="e">
        <f>AND(#REF!,"AAAAAHS16Tk=")</f>
        <v>#REF!</v>
      </c>
      <c r="BG502" t="e">
        <f>AND(#REF!,"AAAAAHS16To=")</f>
        <v>#REF!</v>
      </c>
      <c r="BH502" t="e">
        <f>AND(#REF!,"AAAAAHS16Ts=")</f>
        <v>#REF!</v>
      </c>
      <c r="BI502" t="e">
        <f>AND(#REF!,"AAAAAHS16Tw=")</f>
        <v>#REF!</v>
      </c>
      <c r="BJ502" t="e">
        <f>AND(#REF!,"AAAAAHS16T0=")</f>
        <v>#REF!</v>
      </c>
      <c r="BK502" t="e">
        <f>IF(#REF!,"AAAAAHS16T4=",0)</f>
        <v>#REF!</v>
      </c>
      <c r="BL502" t="e">
        <f>AND(#REF!,"AAAAAHS16T8=")</f>
        <v>#REF!</v>
      </c>
      <c r="BM502" t="e">
        <f>AND(#REF!,"AAAAAHS16UA=")</f>
        <v>#REF!</v>
      </c>
      <c r="BN502" t="e">
        <f>AND(#REF!,"AAAAAHS16UE=")</f>
        <v>#REF!</v>
      </c>
      <c r="BO502" t="e">
        <f>AND(#REF!,"AAAAAHS16UI=")</f>
        <v>#REF!</v>
      </c>
      <c r="BP502" t="e">
        <f>AND(#REF!,"AAAAAHS16UM=")</f>
        <v>#REF!</v>
      </c>
      <c r="BQ502" t="e">
        <f>AND(#REF!,"AAAAAHS16UQ=")</f>
        <v>#REF!</v>
      </c>
      <c r="BR502" t="e">
        <f>AND(#REF!,"AAAAAHS16UU=")</f>
        <v>#REF!</v>
      </c>
      <c r="BS502" t="e">
        <f>AND(#REF!,"AAAAAHS16UY=")</f>
        <v>#REF!</v>
      </c>
      <c r="BT502" t="e">
        <f>AND(#REF!,"AAAAAHS16Uc=")</f>
        <v>#REF!</v>
      </c>
      <c r="BU502" t="e">
        <f>AND(#REF!,"AAAAAHS16Ug=")</f>
        <v>#REF!</v>
      </c>
      <c r="BV502" t="e">
        <f>IF(#REF!,"AAAAAHS16Uk=",0)</f>
        <v>#REF!</v>
      </c>
      <c r="BW502" t="e">
        <f>AND(#REF!,"AAAAAHS16Uo=")</f>
        <v>#REF!</v>
      </c>
      <c r="BX502" t="e">
        <f>AND(#REF!,"AAAAAHS16Us=")</f>
        <v>#REF!</v>
      </c>
      <c r="BY502" t="e">
        <f>AND(#REF!,"AAAAAHS16Uw=")</f>
        <v>#REF!</v>
      </c>
      <c r="BZ502" t="e">
        <f>AND(#REF!,"AAAAAHS16U0=")</f>
        <v>#REF!</v>
      </c>
      <c r="CA502" t="e">
        <f>AND(#REF!,"AAAAAHS16U4=")</f>
        <v>#REF!</v>
      </c>
      <c r="CB502" t="e">
        <f>AND(#REF!,"AAAAAHS16U8=")</f>
        <v>#REF!</v>
      </c>
      <c r="CC502" t="e">
        <f>AND(#REF!,"AAAAAHS16VA=")</f>
        <v>#REF!</v>
      </c>
      <c r="CD502" t="e">
        <f>AND(#REF!,"AAAAAHS16VE=")</f>
        <v>#REF!</v>
      </c>
      <c r="CE502" t="e">
        <f>AND(#REF!,"AAAAAHS16VI=")</f>
        <v>#REF!</v>
      </c>
      <c r="CF502" t="e">
        <f>AND(#REF!,"AAAAAHS16VM=")</f>
        <v>#REF!</v>
      </c>
      <c r="CG502" t="e">
        <f>IF(#REF!,"AAAAAHS16VQ=",0)</f>
        <v>#REF!</v>
      </c>
      <c r="CH502" t="e">
        <f>AND(#REF!,"AAAAAHS16VU=")</f>
        <v>#REF!</v>
      </c>
      <c r="CI502" t="e">
        <f>AND(#REF!,"AAAAAHS16VY=")</f>
        <v>#REF!</v>
      </c>
      <c r="CJ502" t="e">
        <f>AND(#REF!,"AAAAAHS16Vc=")</f>
        <v>#REF!</v>
      </c>
      <c r="CK502" t="e">
        <f>AND(#REF!,"AAAAAHS16Vg=")</f>
        <v>#REF!</v>
      </c>
      <c r="CL502" t="e">
        <f>AND(#REF!,"AAAAAHS16Vk=")</f>
        <v>#REF!</v>
      </c>
      <c r="CM502" t="e">
        <f>AND(#REF!,"AAAAAHS16Vo=")</f>
        <v>#REF!</v>
      </c>
      <c r="CN502" t="e">
        <f>AND(#REF!,"AAAAAHS16Vs=")</f>
        <v>#REF!</v>
      </c>
      <c r="CO502" t="e">
        <f>AND(#REF!,"AAAAAHS16Vw=")</f>
        <v>#REF!</v>
      </c>
      <c r="CP502" t="e">
        <f>AND(#REF!,"AAAAAHS16V0=")</f>
        <v>#REF!</v>
      </c>
      <c r="CQ502" t="e">
        <f>AND(#REF!,"AAAAAHS16V4=")</f>
        <v>#REF!</v>
      </c>
      <c r="CR502" t="e">
        <f>IF(#REF!,"AAAAAHS16V8=",0)</f>
        <v>#REF!</v>
      </c>
      <c r="CS502" t="e">
        <f>AND(#REF!,"AAAAAHS16WA=")</f>
        <v>#REF!</v>
      </c>
      <c r="CT502" t="e">
        <f>AND(#REF!,"AAAAAHS16WE=")</f>
        <v>#REF!</v>
      </c>
      <c r="CU502" t="e">
        <f>AND(#REF!,"AAAAAHS16WI=")</f>
        <v>#REF!</v>
      </c>
      <c r="CV502" t="e">
        <f>AND(#REF!,"AAAAAHS16WM=")</f>
        <v>#REF!</v>
      </c>
      <c r="CW502" t="e">
        <f>AND(#REF!,"AAAAAHS16WQ=")</f>
        <v>#REF!</v>
      </c>
      <c r="CX502" t="e">
        <f>AND(#REF!,"AAAAAHS16WU=")</f>
        <v>#REF!</v>
      </c>
      <c r="CY502" t="e">
        <f>AND(#REF!,"AAAAAHS16WY=")</f>
        <v>#REF!</v>
      </c>
      <c r="CZ502" t="e">
        <f>AND(#REF!,"AAAAAHS16Wc=")</f>
        <v>#REF!</v>
      </c>
      <c r="DA502" t="e">
        <f>AND(#REF!,"AAAAAHS16Wg=")</f>
        <v>#REF!</v>
      </c>
      <c r="DB502" t="e">
        <f>AND(#REF!,"AAAAAHS16Wk=")</f>
        <v>#REF!</v>
      </c>
      <c r="DC502" t="e">
        <f>IF(#REF!,"AAAAAHS16Wo=",0)</f>
        <v>#REF!</v>
      </c>
      <c r="DD502" t="e">
        <f>AND(#REF!,"AAAAAHS16Ws=")</f>
        <v>#REF!</v>
      </c>
      <c r="DE502" t="e">
        <f>AND(#REF!,"AAAAAHS16Ww=")</f>
        <v>#REF!</v>
      </c>
      <c r="DF502" t="e">
        <f>AND(#REF!,"AAAAAHS16W0=")</f>
        <v>#REF!</v>
      </c>
      <c r="DG502" t="e">
        <f>AND(#REF!,"AAAAAHS16W4=")</f>
        <v>#REF!</v>
      </c>
      <c r="DH502" t="e">
        <f>AND(#REF!,"AAAAAHS16W8=")</f>
        <v>#REF!</v>
      </c>
      <c r="DI502" t="e">
        <f>AND(#REF!,"AAAAAHS16XA=")</f>
        <v>#REF!</v>
      </c>
      <c r="DJ502" t="e">
        <f>AND(#REF!,"AAAAAHS16XE=")</f>
        <v>#REF!</v>
      </c>
      <c r="DK502" t="e">
        <f>AND(#REF!,"AAAAAHS16XI=")</f>
        <v>#REF!</v>
      </c>
      <c r="DL502" t="e">
        <f>AND(#REF!,"AAAAAHS16XM=")</f>
        <v>#REF!</v>
      </c>
      <c r="DM502" t="e">
        <f>AND(#REF!,"AAAAAHS16XQ=")</f>
        <v>#REF!</v>
      </c>
      <c r="DN502" t="e">
        <f>IF(#REF!,"AAAAAHS16XU=",0)</f>
        <v>#REF!</v>
      </c>
      <c r="DO502" t="e">
        <f>AND(#REF!,"AAAAAHS16XY=")</f>
        <v>#REF!</v>
      </c>
      <c r="DP502" t="e">
        <f>AND(#REF!,"AAAAAHS16Xc=")</f>
        <v>#REF!</v>
      </c>
      <c r="DQ502" t="e">
        <f>AND(#REF!,"AAAAAHS16Xg=")</f>
        <v>#REF!</v>
      </c>
      <c r="DR502" t="e">
        <f>AND(#REF!,"AAAAAHS16Xk=")</f>
        <v>#REF!</v>
      </c>
      <c r="DS502" t="e">
        <f>AND(#REF!,"AAAAAHS16Xo=")</f>
        <v>#REF!</v>
      </c>
      <c r="DT502" t="e">
        <f>AND(#REF!,"AAAAAHS16Xs=")</f>
        <v>#REF!</v>
      </c>
      <c r="DU502" t="e">
        <f>AND(#REF!,"AAAAAHS16Xw=")</f>
        <v>#REF!</v>
      </c>
      <c r="DV502" t="e">
        <f>AND(#REF!,"AAAAAHS16X0=")</f>
        <v>#REF!</v>
      </c>
      <c r="DW502" t="e">
        <f>AND(#REF!,"AAAAAHS16X4=")</f>
        <v>#REF!</v>
      </c>
      <c r="DX502" t="e">
        <f>AND(#REF!,"AAAAAHS16X8=")</f>
        <v>#REF!</v>
      </c>
      <c r="DY502" t="e">
        <f>IF(#REF!,"AAAAAHS16YA=",0)</f>
        <v>#REF!</v>
      </c>
      <c r="DZ502" t="e">
        <f>AND(#REF!,"AAAAAHS16YE=")</f>
        <v>#REF!</v>
      </c>
      <c r="EA502" t="e">
        <f>AND(#REF!,"AAAAAHS16YI=")</f>
        <v>#REF!</v>
      </c>
      <c r="EB502" t="e">
        <f>AND(#REF!,"AAAAAHS16YM=")</f>
        <v>#REF!</v>
      </c>
      <c r="EC502" t="e">
        <f>AND(#REF!,"AAAAAHS16YQ=")</f>
        <v>#REF!</v>
      </c>
      <c r="ED502" t="e">
        <f>AND(#REF!,"AAAAAHS16YU=")</f>
        <v>#REF!</v>
      </c>
      <c r="EE502" t="e">
        <f>AND(#REF!,"AAAAAHS16YY=")</f>
        <v>#REF!</v>
      </c>
      <c r="EF502" t="e">
        <f>AND(#REF!,"AAAAAHS16Yc=")</f>
        <v>#REF!</v>
      </c>
      <c r="EG502" t="e">
        <f>AND(#REF!,"AAAAAHS16Yg=")</f>
        <v>#REF!</v>
      </c>
      <c r="EH502" t="e">
        <f>AND(#REF!,"AAAAAHS16Yk=")</f>
        <v>#REF!</v>
      </c>
      <c r="EI502" t="e">
        <f>AND(#REF!,"AAAAAHS16Yo=")</f>
        <v>#REF!</v>
      </c>
      <c r="EJ502" t="e">
        <f>IF(#REF!,"AAAAAHS16Ys=",0)</f>
        <v>#REF!</v>
      </c>
      <c r="EK502" t="e">
        <f>AND(#REF!,"AAAAAHS16Yw=")</f>
        <v>#REF!</v>
      </c>
      <c r="EL502" t="e">
        <f>AND(#REF!,"AAAAAHS16Y0=")</f>
        <v>#REF!</v>
      </c>
      <c r="EM502" t="e">
        <f>AND(#REF!,"AAAAAHS16Y4=")</f>
        <v>#REF!</v>
      </c>
      <c r="EN502" t="e">
        <f>AND(#REF!,"AAAAAHS16Y8=")</f>
        <v>#REF!</v>
      </c>
      <c r="EO502" t="e">
        <f>AND(#REF!,"AAAAAHS16ZA=")</f>
        <v>#REF!</v>
      </c>
      <c r="EP502" t="e">
        <f>AND(#REF!,"AAAAAHS16ZE=")</f>
        <v>#REF!</v>
      </c>
      <c r="EQ502" t="e">
        <f>AND(#REF!,"AAAAAHS16ZI=")</f>
        <v>#REF!</v>
      </c>
      <c r="ER502" t="e">
        <f>AND(#REF!,"AAAAAHS16ZM=")</f>
        <v>#REF!</v>
      </c>
      <c r="ES502" t="e">
        <f>AND(#REF!,"AAAAAHS16ZQ=")</f>
        <v>#REF!</v>
      </c>
      <c r="ET502" t="e">
        <f>AND(#REF!,"AAAAAHS16ZU=")</f>
        <v>#REF!</v>
      </c>
      <c r="EU502" t="e">
        <f>IF(#REF!,"AAAAAHS16ZY=",0)</f>
        <v>#REF!</v>
      </c>
      <c r="EV502" t="e">
        <f>AND(#REF!,"AAAAAHS16Zc=")</f>
        <v>#REF!</v>
      </c>
      <c r="EW502" t="e">
        <f>AND(#REF!,"AAAAAHS16Zg=")</f>
        <v>#REF!</v>
      </c>
      <c r="EX502" t="e">
        <f>AND(#REF!,"AAAAAHS16Zk=")</f>
        <v>#REF!</v>
      </c>
      <c r="EY502" t="e">
        <f>AND(#REF!,"AAAAAHS16Zo=")</f>
        <v>#REF!</v>
      </c>
      <c r="EZ502" t="e">
        <f>AND(#REF!,"AAAAAHS16Zs=")</f>
        <v>#REF!</v>
      </c>
      <c r="FA502" t="e">
        <f>AND(#REF!,"AAAAAHS16Zw=")</f>
        <v>#REF!</v>
      </c>
      <c r="FB502" t="e">
        <f>AND(#REF!,"AAAAAHS16Z0=")</f>
        <v>#REF!</v>
      </c>
      <c r="FC502" t="e">
        <f>AND(#REF!,"AAAAAHS16Z4=")</f>
        <v>#REF!</v>
      </c>
      <c r="FD502" t="e">
        <f>AND(#REF!,"AAAAAHS16Z8=")</f>
        <v>#REF!</v>
      </c>
      <c r="FE502" t="e">
        <f>AND(#REF!,"AAAAAHS16aA=")</f>
        <v>#REF!</v>
      </c>
      <c r="FF502" t="e">
        <f>IF(#REF!,"AAAAAHS16aE=",0)</f>
        <v>#REF!</v>
      </c>
      <c r="FG502" t="e">
        <f>AND(#REF!,"AAAAAHS16aI=")</f>
        <v>#REF!</v>
      </c>
      <c r="FH502" t="e">
        <f>AND(#REF!,"AAAAAHS16aM=")</f>
        <v>#REF!</v>
      </c>
      <c r="FI502" t="e">
        <f>AND(#REF!,"AAAAAHS16aQ=")</f>
        <v>#REF!</v>
      </c>
      <c r="FJ502" t="e">
        <f>AND(#REF!,"AAAAAHS16aU=")</f>
        <v>#REF!</v>
      </c>
      <c r="FK502" t="e">
        <f>AND(#REF!,"AAAAAHS16aY=")</f>
        <v>#REF!</v>
      </c>
      <c r="FL502" t="e">
        <f>AND(#REF!,"AAAAAHS16ac=")</f>
        <v>#REF!</v>
      </c>
      <c r="FM502" t="e">
        <f>AND(#REF!,"AAAAAHS16ag=")</f>
        <v>#REF!</v>
      </c>
      <c r="FN502" t="e">
        <f>AND(#REF!,"AAAAAHS16ak=")</f>
        <v>#REF!</v>
      </c>
      <c r="FO502" t="e">
        <f>AND(#REF!,"AAAAAHS16ao=")</f>
        <v>#REF!</v>
      </c>
      <c r="FP502" t="e">
        <f>AND(#REF!,"AAAAAHS16as=")</f>
        <v>#REF!</v>
      </c>
      <c r="FQ502" t="e">
        <f>IF(#REF!,"AAAAAHS16aw=",0)</f>
        <v>#REF!</v>
      </c>
      <c r="FR502" t="e">
        <f>AND(#REF!,"AAAAAHS16a0=")</f>
        <v>#REF!</v>
      </c>
      <c r="FS502" t="e">
        <f>AND(#REF!,"AAAAAHS16a4=")</f>
        <v>#REF!</v>
      </c>
      <c r="FT502" t="e">
        <f>AND(#REF!,"AAAAAHS16a8=")</f>
        <v>#REF!</v>
      </c>
      <c r="FU502" t="e">
        <f>AND(#REF!,"AAAAAHS16bA=")</f>
        <v>#REF!</v>
      </c>
      <c r="FV502" t="e">
        <f>AND(#REF!,"AAAAAHS16bE=")</f>
        <v>#REF!</v>
      </c>
      <c r="FW502" t="e">
        <f>AND(#REF!,"AAAAAHS16bI=")</f>
        <v>#REF!</v>
      </c>
      <c r="FX502" t="e">
        <f>AND(#REF!,"AAAAAHS16bM=")</f>
        <v>#REF!</v>
      </c>
      <c r="FY502" t="e">
        <f>AND(#REF!,"AAAAAHS16bQ=")</f>
        <v>#REF!</v>
      </c>
      <c r="FZ502" t="e">
        <f>AND(#REF!,"AAAAAHS16bU=")</f>
        <v>#REF!</v>
      </c>
      <c r="GA502" t="e">
        <f>AND(#REF!,"AAAAAHS16bY=")</f>
        <v>#REF!</v>
      </c>
      <c r="GB502" t="e">
        <f>IF(#REF!,"AAAAAHS16bc=",0)</f>
        <v>#REF!</v>
      </c>
      <c r="GC502" t="e">
        <f>AND(#REF!,"AAAAAHS16bg=")</f>
        <v>#REF!</v>
      </c>
      <c r="GD502" t="e">
        <f>AND(#REF!,"AAAAAHS16bk=")</f>
        <v>#REF!</v>
      </c>
      <c r="GE502" t="e">
        <f>AND(#REF!,"AAAAAHS16bo=")</f>
        <v>#REF!</v>
      </c>
      <c r="GF502" t="e">
        <f>AND(#REF!,"AAAAAHS16bs=")</f>
        <v>#REF!</v>
      </c>
      <c r="GG502" t="e">
        <f>AND(#REF!,"AAAAAHS16bw=")</f>
        <v>#REF!</v>
      </c>
      <c r="GH502" t="e">
        <f>AND(#REF!,"AAAAAHS16b0=")</f>
        <v>#REF!</v>
      </c>
      <c r="GI502" t="e">
        <f>AND(#REF!,"AAAAAHS16b4=")</f>
        <v>#REF!</v>
      </c>
      <c r="GJ502" t="e">
        <f>AND(#REF!,"AAAAAHS16b8=")</f>
        <v>#REF!</v>
      </c>
      <c r="GK502" t="e">
        <f>AND(#REF!,"AAAAAHS16cA=")</f>
        <v>#REF!</v>
      </c>
      <c r="GL502" t="e">
        <f>AND(#REF!,"AAAAAHS16cE=")</f>
        <v>#REF!</v>
      </c>
      <c r="GM502" t="e">
        <f>IF(#REF!,"AAAAAHS16cI=",0)</f>
        <v>#REF!</v>
      </c>
      <c r="GN502" t="e">
        <f>AND(#REF!,"AAAAAHS16cM=")</f>
        <v>#REF!</v>
      </c>
      <c r="GO502" t="e">
        <f>AND(#REF!,"AAAAAHS16cQ=")</f>
        <v>#REF!</v>
      </c>
      <c r="GP502" t="e">
        <f>AND(#REF!,"AAAAAHS16cU=")</f>
        <v>#REF!</v>
      </c>
      <c r="GQ502" t="e">
        <f>AND(#REF!,"AAAAAHS16cY=")</f>
        <v>#REF!</v>
      </c>
      <c r="GR502" t="e">
        <f>AND(#REF!,"AAAAAHS16cc=")</f>
        <v>#REF!</v>
      </c>
      <c r="GS502" t="e">
        <f>AND(#REF!,"AAAAAHS16cg=")</f>
        <v>#REF!</v>
      </c>
      <c r="GT502" t="e">
        <f>AND(#REF!,"AAAAAHS16ck=")</f>
        <v>#REF!</v>
      </c>
      <c r="GU502" t="e">
        <f>AND(#REF!,"AAAAAHS16co=")</f>
        <v>#REF!</v>
      </c>
      <c r="GV502" t="e">
        <f>AND(#REF!,"AAAAAHS16cs=")</f>
        <v>#REF!</v>
      </c>
      <c r="GW502" t="e">
        <f>AND(#REF!,"AAAAAHS16cw=")</f>
        <v>#REF!</v>
      </c>
      <c r="GX502" t="e">
        <f>IF(#REF!,"AAAAAHS16c0=",0)</f>
        <v>#REF!</v>
      </c>
      <c r="GY502" t="e">
        <f>AND(#REF!,"AAAAAHS16c4=")</f>
        <v>#REF!</v>
      </c>
      <c r="GZ502" t="e">
        <f>AND(#REF!,"AAAAAHS16c8=")</f>
        <v>#REF!</v>
      </c>
      <c r="HA502" t="e">
        <f>AND(#REF!,"AAAAAHS16dA=")</f>
        <v>#REF!</v>
      </c>
      <c r="HB502" t="e">
        <f>AND(#REF!,"AAAAAHS16dE=")</f>
        <v>#REF!</v>
      </c>
      <c r="HC502" t="e">
        <f>AND(#REF!,"AAAAAHS16dI=")</f>
        <v>#REF!</v>
      </c>
      <c r="HD502" t="e">
        <f>AND(#REF!,"AAAAAHS16dM=")</f>
        <v>#REF!</v>
      </c>
      <c r="HE502" t="e">
        <f>AND(#REF!,"AAAAAHS16dQ=")</f>
        <v>#REF!</v>
      </c>
      <c r="HF502" t="e">
        <f>AND(#REF!,"AAAAAHS16dU=")</f>
        <v>#REF!</v>
      </c>
      <c r="HG502" t="e">
        <f>AND(#REF!,"AAAAAHS16dY=")</f>
        <v>#REF!</v>
      </c>
      <c r="HH502" t="e">
        <f>AND(#REF!,"AAAAAHS16dc=")</f>
        <v>#REF!</v>
      </c>
      <c r="HI502" t="e">
        <f>IF(#REF!,"AAAAAHS16dg=",0)</f>
        <v>#REF!</v>
      </c>
      <c r="HJ502" t="e">
        <f>AND(#REF!,"AAAAAHS16dk=")</f>
        <v>#REF!</v>
      </c>
      <c r="HK502" t="e">
        <f>AND(#REF!,"AAAAAHS16do=")</f>
        <v>#REF!</v>
      </c>
      <c r="HL502" t="e">
        <f>AND(#REF!,"AAAAAHS16ds=")</f>
        <v>#REF!</v>
      </c>
      <c r="HM502" t="e">
        <f>AND(#REF!,"AAAAAHS16dw=")</f>
        <v>#REF!</v>
      </c>
      <c r="HN502" t="e">
        <f>AND(#REF!,"AAAAAHS16d0=")</f>
        <v>#REF!</v>
      </c>
      <c r="HO502" t="e">
        <f>AND(#REF!,"AAAAAHS16d4=")</f>
        <v>#REF!</v>
      </c>
      <c r="HP502" t="e">
        <f>AND(#REF!,"AAAAAHS16d8=")</f>
        <v>#REF!</v>
      </c>
      <c r="HQ502" t="e">
        <f>AND(#REF!,"AAAAAHS16eA=")</f>
        <v>#REF!</v>
      </c>
      <c r="HR502" t="e">
        <f>AND(#REF!,"AAAAAHS16eE=")</f>
        <v>#REF!</v>
      </c>
      <c r="HS502" t="e">
        <f>AND(#REF!,"AAAAAHS16eI=")</f>
        <v>#REF!</v>
      </c>
      <c r="HT502" t="e">
        <f>IF(#REF!,"AAAAAHS16eM=",0)</f>
        <v>#REF!</v>
      </c>
      <c r="HU502" t="e">
        <f>AND(#REF!,"AAAAAHS16eQ=")</f>
        <v>#REF!</v>
      </c>
      <c r="HV502" t="e">
        <f>AND(#REF!,"AAAAAHS16eU=")</f>
        <v>#REF!</v>
      </c>
      <c r="HW502" t="e">
        <f>AND(#REF!,"AAAAAHS16eY=")</f>
        <v>#REF!</v>
      </c>
      <c r="HX502" t="e">
        <f>AND(#REF!,"AAAAAHS16ec=")</f>
        <v>#REF!</v>
      </c>
      <c r="HY502" t="e">
        <f>AND(#REF!,"AAAAAHS16eg=")</f>
        <v>#REF!</v>
      </c>
      <c r="HZ502" t="e">
        <f>AND(#REF!,"AAAAAHS16ek=")</f>
        <v>#REF!</v>
      </c>
      <c r="IA502" t="e">
        <f>AND(#REF!,"AAAAAHS16eo=")</f>
        <v>#REF!</v>
      </c>
      <c r="IB502" t="e">
        <f>AND(#REF!,"AAAAAHS16es=")</f>
        <v>#REF!</v>
      </c>
      <c r="IC502" t="e">
        <f>AND(#REF!,"AAAAAHS16ew=")</f>
        <v>#REF!</v>
      </c>
      <c r="ID502" t="e">
        <f>AND(#REF!,"AAAAAHS16e0=")</f>
        <v>#REF!</v>
      </c>
      <c r="IE502" t="e">
        <f>IF(#REF!,"AAAAAHS16e4=",0)</f>
        <v>#REF!</v>
      </c>
      <c r="IF502" t="e">
        <f>AND(#REF!,"AAAAAHS16e8=")</f>
        <v>#REF!</v>
      </c>
      <c r="IG502" t="e">
        <f>AND(#REF!,"AAAAAHS16fA=")</f>
        <v>#REF!</v>
      </c>
      <c r="IH502" t="e">
        <f>AND(#REF!,"AAAAAHS16fE=")</f>
        <v>#REF!</v>
      </c>
      <c r="II502" t="e">
        <f>AND(#REF!,"AAAAAHS16fI=")</f>
        <v>#REF!</v>
      </c>
      <c r="IJ502" t="e">
        <f>AND(#REF!,"AAAAAHS16fM=")</f>
        <v>#REF!</v>
      </c>
      <c r="IK502" t="e">
        <f>AND(#REF!,"AAAAAHS16fQ=")</f>
        <v>#REF!</v>
      </c>
      <c r="IL502" t="e">
        <f>AND(#REF!,"AAAAAHS16fU=")</f>
        <v>#REF!</v>
      </c>
      <c r="IM502" t="e">
        <f>AND(#REF!,"AAAAAHS16fY=")</f>
        <v>#REF!</v>
      </c>
      <c r="IN502" t="e">
        <f>AND(#REF!,"AAAAAHS16fc=")</f>
        <v>#REF!</v>
      </c>
      <c r="IO502" t="e">
        <f>AND(#REF!,"AAAAAHS16fg=")</f>
        <v>#REF!</v>
      </c>
      <c r="IP502" t="e">
        <f>IF(#REF!,"AAAAAHS16fk=",0)</f>
        <v>#REF!</v>
      </c>
      <c r="IQ502" t="e">
        <f>AND(#REF!,"AAAAAHS16fo=")</f>
        <v>#REF!</v>
      </c>
      <c r="IR502" t="e">
        <f>AND(#REF!,"AAAAAHS16fs=")</f>
        <v>#REF!</v>
      </c>
      <c r="IS502" t="e">
        <f>AND(#REF!,"AAAAAHS16fw=")</f>
        <v>#REF!</v>
      </c>
      <c r="IT502" t="e">
        <f>AND(#REF!,"AAAAAHS16f0=")</f>
        <v>#REF!</v>
      </c>
      <c r="IU502" t="e">
        <f>AND(#REF!,"AAAAAHS16f4=")</f>
        <v>#REF!</v>
      </c>
      <c r="IV502" t="e">
        <f>AND(#REF!,"AAAAAHS16f8=")</f>
        <v>#REF!</v>
      </c>
    </row>
    <row r="503" spans="1:256" x14ac:dyDescent="0.25">
      <c r="A503" t="e">
        <f>AND(#REF!,"AAAAAH/Z/wA=")</f>
        <v>#REF!</v>
      </c>
      <c r="B503" t="e">
        <f>AND(#REF!,"AAAAAH/Z/wE=")</f>
        <v>#REF!</v>
      </c>
      <c r="C503" t="e">
        <f>AND(#REF!,"AAAAAH/Z/wI=")</f>
        <v>#REF!</v>
      </c>
      <c r="D503" t="e">
        <f>AND(#REF!,"AAAAAH/Z/wM=")</f>
        <v>#REF!</v>
      </c>
      <c r="E503" t="e">
        <f>IF(#REF!,"AAAAAH/Z/wQ=",0)</f>
        <v>#REF!</v>
      </c>
      <c r="F503" t="e">
        <f>AND(#REF!,"AAAAAH/Z/wU=")</f>
        <v>#REF!</v>
      </c>
      <c r="G503" t="e">
        <f>AND(#REF!,"AAAAAH/Z/wY=")</f>
        <v>#REF!</v>
      </c>
      <c r="H503" t="e">
        <f>AND(#REF!,"AAAAAH/Z/wc=")</f>
        <v>#REF!</v>
      </c>
      <c r="I503" t="e">
        <f>AND(#REF!,"AAAAAH/Z/wg=")</f>
        <v>#REF!</v>
      </c>
      <c r="J503" t="e">
        <f>AND(#REF!,"AAAAAH/Z/wk=")</f>
        <v>#REF!</v>
      </c>
      <c r="K503" t="e">
        <f>AND(#REF!,"AAAAAH/Z/wo=")</f>
        <v>#REF!</v>
      </c>
      <c r="L503" t="e">
        <f>AND(#REF!,"AAAAAH/Z/ws=")</f>
        <v>#REF!</v>
      </c>
      <c r="M503" t="e">
        <f>AND(#REF!,"AAAAAH/Z/ww=")</f>
        <v>#REF!</v>
      </c>
      <c r="N503" t="e">
        <f>AND(#REF!,"AAAAAH/Z/w0=")</f>
        <v>#REF!</v>
      </c>
      <c r="O503" t="e">
        <f>AND(#REF!,"AAAAAH/Z/w4=")</f>
        <v>#REF!</v>
      </c>
      <c r="P503" t="e">
        <f>IF(#REF!,"AAAAAH/Z/w8=",0)</f>
        <v>#REF!</v>
      </c>
      <c r="Q503" t="e">
        <f>AND(#REF!,"AAAAAH/Z/xA=")</f>
        <v>#REF!</v>
      </c>
      <c r="R503" t="e">
        <f>AND(#REF!,"AAAAAH/Z/xE=")</f>
        <v>#REF!</v>
      </c>
      <c r="S503" t="e">
        <f>AND(#REF!,"AAAAAH/Z/xI=")</f>
        <v>#REF!</v>
      </c>
      <c r="T503" t="e">
        <f>AND(#REF!,"AAAAAH/Z/xM=")</f>
        <v>#REF!</v>
      </c>
      <c r="U503" t="e">
        <f>AND(#REF!,"AAAAAH/Z/xQ=")</f>
        <v>#REF!</v>
      </c>
      <c r="V503" t="e">
        <f>AND(#REF!,"AAAAAH/Z/xU=")</f>
        <v>#REF!</v>
      </c>
      <c r="W503" t="e">
        <f>AND(#REF!,"AAAAAH/Z/xY=")</f>
        <v>#REF!</v>
      </c>
      <c r="X503" t="e">
        <f>AND(#REF!,"AAAAAH/Z/xc=")</f>
        <v>#REF!</v>
      </c>
      <c r="Y503" t="e">
        <f>AND(#REF!,"AAAAAH/Z/xg=")</f>
        <v>#REF!</v>
      </c>
      <c r="Z503" t="e">
        <f>AND(#REF!,"AAAAAH/Z/xk=")</f>
        <v>#REF!</v>
      </c>
      <c r="AA503" t="e">
        <f>IF(#REF!,"AAAAAH/Z/xo=",0)</f>
        <v>#REF!</v>
      </c>
      <c r="AB503" t="e">
        <f>AND(#REF!,"AAAAAH/Z/xs=")</f>
        <v>#REF!</v>
      </c>
      <c r="AC503" t="e">
        <f>AND(#REF!,"AAAAAH/Z/xw=")</f>
        <v>#REF!</v>
      </c>
      <c r="AD503" t="e">
        <f>AND(#REF!,"AAAAAH/Z/x0=")</f>
        <v>#REF!</v>
      </c>
      <c r="AE503" t="e">
        <f>AND(#REF!,"AAAAAH/Z/x4=")</f>
        <v>#REF!</v>
      </c>
      <c r="AF503" t="e">
        <f>AND(#REF!,"AAAAAH/Z/x8=")</f>
        <v>#REF!</v>
      </c>
      <c r="AG503" t="e">
        <f>AND(#REF!,"AAAAAH/Z/yA=")</f>
        <v>#REF!</v>
      </c>
      <c r="AH503" t="e">
        <f>AND(#REF!,"AAAAAH/Z/yE=")</f>
        <v>#REF!</v>
      </c>
      <c r="AI503" t="e">
        <f>AND(#REF!,"AAAAAH/Z/yI=")</f>
        <v>#REF!</v>
      </c>
      <c r="AJ503" t="e">
        <f>AND(#REF!,"AAAAAH/Z/yM=")</f>
        <v>#REF!</v>
      </c>
      <c r="AK503" t="e">
        <f>AND(#REF!,"AAAAAH/Z/yQ=")</f>
        <v>#REF!</v>
      </c>
      <c r="AL503" t="e">
        <f>IF(#REF!,"AAAAAH/Z/yU=",0)</f>
        <v>#REF!</v>
      </c>
      <c r="AM503" t="e">
        <f>AND(#REF!,"AAAAAH/Z/yY=")</f>
        <v>#REF!</v>
      </c>
      <c r="AN503" t="e">
        <f>AND(#REF!,"AAAAAH/Z/yc=")</f>
        <v>#REF!</v>
      </c>
      <c r="AO503" t="e">
        <f>AND(#REF!,"AAAAAH/Z/yg=")</f>
        <v>#REF!</v>
      </c>
      <c r="AP503" t="e">
        <f>AND(#REF!,"AAAAAH/Z/yk=")</f>
        <v>#REF!</v>
      </c>
      <c r="AQ503" t="e">
        <f>AND(#REF!,"AAAAAH/Z/yo=")</f>
        <v>#REF!</v>
      </c>
      <c r="AR503" t="e">
        <f>AND(#REF!,"AAAAAH/Z/ys=")</f>
        <v>#REF!</v>
      </c>
      <c r="AS503" t="e">
        <f>AND(#REF!,"AAAAAH/Z/yw=")</f>
        <v>#REF!</v>
      </c>
      <c r="AT503" t="e">
        <f>AND(#REF!,"AAAAAH/Z/y0=")</f>
        <v>#REF!</v>
      </c>
      <c r="AU503" t="e">
        <f>AND(#REF!,"AAAAAH/Z/y4=")</f>
        <v>#REF!</v>
      </c>
      <c r="AV503" t="e">
        <f>AND(#REF!,"AAAAAH/Z/y8=")</f>
        <v>#REF!</v>
      </c>
      <c r="AW503" t="e">
        <f>IF(#REF!,"AAAAAH/Z/zA=",0)</f>
        <v>#REF!</v>
      </c>
      <c r="AX503" t="e">
        <f>AND(#REF!,"AAAAAH/Z/zE=")</f>
        <v>#REF!</v>
      </c>
      <c r="AY503" t="e">
        <f>AND(#REF!,"AAAAAH/Z/zI=")</f>
        <v>#REF!</v>
      </c>
      <c r="AZ503" t="e">
        <f>AND(#REF!,"AAAAAH/Z/zM=")</f>
        <v>#REF!</v>
      </c>
      <c r="BA503" t="e">
        <f>AND(#REF!,"AAAAAH/Z/zQ=")</f>
        <v>#REF!</v>
      </c>
      <c r="BB503" t="e">
        <f>AND(#REF!,"AAAAAH/Z/zU=")</f>
        <v>#REF!</v>
      </c>
      <c r="BC503" t="e">
        <f>AND(#REF!,"AAAAAH/Z/zY=")</f>
        <v>#REF!</v>
      </c>
      <c r="BD503" t="e">
        <f>AND(#REF!,"AAAAAH/Z/zc=")</f>
        <v>#REF!</v>
      </c>
      <c r="BE503" t="e">
        <f>AND(#REF!,"AAAAAH/Z/zg=")</f>
        <v>#REF!</v>
      </c>
      <c r="BF503" t="e">
        <f>AND(#REF!,"AAAAAH/Z/zk=")</f>
        <v>#REF!</v>
      </c>
      <c r="BG503" t="e">
        <f>AND(#REF!,"AAAAAH/Z/zo=")</f>
        <v>#REF!</v>
      </c>
      <c r="BH503" t="e">
        <f>IF(#REF!,"AAAAAH/Z/zs=",0)</f>
        <v>#REF!</v>
      </c>
      <c r="BI503" t="e">
        <f>AND(#REF!,"AAAAAH/Z/zw=")</f>
        <v>#REF!</v>
      </c>
      <c r="BJ503" t="e">
        <f>AND(#REF!,"AAAAAH/Z/z0=")</f>
        <v>#REF!</v>
      </c>
      <c r="BK503" t="e">
        <f>AND(#REF!,"AAAAAH/Z/z4=")</f>
        <v>#REF!</v>
      </c>
      <c r="BL503" t="e">
        <f>AND(#REF!,"AAAAAH/Z/z8=")</f>
        <v>#REF!</v>
      </c>
      <c r="BM503" t="e">
        <f>AND(#REF!,"AAAAAH/Z/0A=")</f>
        <v>#REF!</v>
      </c>
      <c r="BN503" t="e">
        <f>AND(#REF!,"AAAAAH/Z/0E=")</f>
        <v>#REF!</v>
      </c>
      <c r="BO503" t="e">
        <f>AND(#REF!,"AAAAAH/Z/0I=")</f>
        <v>#REF!</v>
      </c>
      <c r="BP503" t="e">
        <f>AND(#REF!,"AAAAAH/Z/0M=")</f>
        <v>#REF!</v>
      </c>
      <c r="BQ503" t="e">
        <f>AND(#REF!,"AAAAAH/Z/0Q=")</f>
        <v>#REF!</v>
      </c>
      <c r="BR503" t="e">
        <f>AND(#REF!,"AAAAAH/Z/0U=")</f>
        <v>#REF!</v>
      </c>
      <c r="BS503" t="e">
        <f>IF(#REF!,"AAAAAH/Z/0Y=",0)</f>
        <v>#REF!</v>
      </c>
      <c r="BT503" t="e">
        <f>AND(#REF!,"AAAAAH/Z/0c=")</f>
        <v>#REF!</v>
      </c>
      <c r="BU503" t="e">
        <f>AND(#REF!,"AAAAAH/Z/0g=")</f>
        <v>#REF!</v>
      </c>
      <c r="BV503" t="e">
        <f>AND(#REF!,"AAAAAH/Z/0k=")</f>
        <v>#REF!</v>
      </c>
      <c r="BW503" t="e">
        <f>AND(#REF!,"AAAAAH/Z/0o=")</f>
        <v>#REF!</v>
      </c>
      <c r="BX503" t="e">
        <f>AND(#REF!,"AAAAAH/Z/0s=")</f>
        <v>#REF!</v>
      </c>
      <c r="BY503" t="e">
        <f>AND(#REF!,"AAAAAH/Z/0w=")</f>
        <v>#REF!</v>
      </c>
      <c r="BZ503" t="e">
        <f>AND(#REF!,"AAAAAH/Z/00=")</f>
        <v>#REF!</v>
      </c>
      <c r="CA503" t="e">
        <f>AND(#REF!,"AAAAAH/Z/04=")</f>
        <v>#REF!</v>
      </c>
      <c r="CB503" t="e">
        <f>AND(#REF!,"AAAAAH/Z/08=")</f>
        <v>#REF!</v>
      </c>
      <c r="CC503" t="e">
        <f>AND(#REF!,"AAAAAH/Z/1A=")</f>
        <v>#REF!</v>
      </c>
      <c r="CD503" t="e">
        <f>IF(#REF!,"AAAAAH/Z/1E=",0)</f>
        <v>#REF!</v>
      </c>
      <c r="CE503" t="e">
        <f>AND(#REF!,"AAAAAH/Z/1I=")</f>
        <v>#REF!</v>
      </c>
      <c r="CF503" t="e">
        <f>AND(#REF!,"AAAAAH/Z/1M=")</f>
        <v>#REF!</v>
      </c>
      <c r="CG503" t="e">
        <f>AND(#REF!,"AAAAAH/Z/1Q=")</f>
        <v>#REF!</v>
      </c>
      <c r="CH503" t="e">
        <f>AND(#REF!,"AAAAAH/Z/1U=")</f>
        <v>#REF!</v>
      </c>
      <c r="CI503" t="e">
        <f>AND(#REF!,"AAAAAH/Z/1Y=")</f>
        <v>#REF!</v>
      </c>
      <c r="CJ503" t="e">
        <f>AND(#REF!,"AAAAAH/Z/1c=")</f>
        <v>#REF!</v>
      </c>
      <c r="CK503" t="e">
        <f>AND(#REF!,"AAAAAH/Z/1g=")</f>
        <v>#REF!</v>
      </c>
      <c r="CL503" t="e">
        <f>AND(#REF!,"AAAAAH/Z/1k=")</f>
        <v>#REF!</v>
      </c>
      <c r="CM503" t="e">
        <f>AND(#REF!,"AAAAAH/Z/1o=")</f>
        <v>#REF!</v>
      </c>
      <c r="CN503" t="e">
        <f>AND(#REF!,"AAAAAH/Z/1s=")</f>
        <v>#REF!</v>
      </c>
      <c r="CO503" t="e">
        <f>IF(#REF!,"AAAAAH/Z/1w=",0)</f>
        <v>#REF!</v>
      </c>
      <c r="CP503" t="e">
        <f>AND(#REF!,"AAAAAH/Z/10=")</f>
        <v>#REF!</v>
      </c>
      <c r="CQ503" t="e">
        <f>AND(#REF!,"AAAAAH/Z/14=")</f>
        <v>#REF!</v>
      </c>
      <c r="CR503" t="e">
        <f>AND(#REF!,"AAAAAH/Z/18=")</f>
        <v>#REF!</v>
      </c>
      <c r="CS503" t="e">
        <f>AND(#REF!,"AAAAAH/Z/2A=")</f>
        <v>#REF!</v>
      </c>
      <c r="CT503" t="e">
        <f>AND(#REF!,"AAAAAH/Z/2E=")</f>
        <v>#REF!</v>
      </c>
      <c r="CU503" t="e">
        <f>AND(#REF!,"AAAAAH/Z/2I=")</f>
        <v>#REF!</v>
      </c>
      <c r="CV503" t="e">
        <f>AND(#REF!,"AAAAAH/Z/2M=")</f>
        <v>#REF!</v>
      </c>
      <c r="CW503" t="e">
        <f>AND(#REF!,"AAAAAH/Z/2Q=")</f>
        <v>#REF!</v>
      </c>
      <c r="CX503" t="e">
        <f>AND(#REF!,"AAAAAH/Z/2U=")</f>
        <v>#REF!</v>
      </c>
      <c r="CY503" t="e">
        <f>AND(#REF!,"AAAAAH/Z/2Y=")</f>
        <v>#REF!</v>
      </c>
      <c r="CZ503" t="e">
        <f>IF(#REF!,"AAAAAH/Z/2c=",0)</f>
        <v>#REF!</v>
      </c>
      <c r="DA503" t="e">
        <f>AND(#REF!,"AAAAAH/Z/2g=")</f>
        <v>#REF!</v>
      </c>
      <c r="DB503" t="e">
        <f>AND(#REF!,"AAAAAH/Z/2k=")</f>
        <v>#REF!</v>
      </c>
      <c r="DC503" t="e">
        <f>AND(#REF!,"AAAAAH/Z/2o=")</f>
        <v>#REF!</v>
      </c>
      <c r="DD503" t="e">
        <f>AND(#REF!,"AAAAAH/Z/2s=")</f>
        <v>#REF!</v>
      </c>
      <c r="DE503" t="e">
        <f>AND(#REF!,"AAAAAH/Z/2w=")</f>
        <v>#REF!</v>
      </c>
      <c r="DF503" t="e">
        <f>AND(#REF!,"AAAAAH/Z/20=")</f>
        <v>#REF!</v>
      </c>
      <c r="DG503" t="e">
        <f>AND(#REF!,"AAAAAH/Z/24=")</f>
        <v>#REF!</v>
      </c>
      <c r="DH503" t="e">
        <f>AND(#REF!,"AAAAAH/Z/28=")</f>
        <v>#REF!</v>
      </c>
      <c r="DI503" t="e">
        <f>AND(#REF!,"AAAAAH/Z/3A=")</f>
        <v>#REF!</v>
      </c>
      <c r="DJ503" t="e">
        <f>AND(#REF!,"AAAAAH/Z/3E=")</f>
        <v>#REF!</v>
      </c>
      <c r="DK503" t="e">
        <f>IF(#REF!,"AAAAAH/Z/3I=",0)</f>
        <v>#REF!</v>
      </c>
      <c r="DL503" t="e">
        <f>AND(#REF!,"AAAAAH/Z/3M=")</f>
        <v>#REF!</v>
      </c>
      <c r="DM503" t="e">
        <f>AND(#REF!,"AAAAAH/Z/3Q=")</f>
        <v>#REF!</v>
      </c>
      <c r="DN503" t="e">
        <f>AND(#REF!,"AAAAAH/Z/3U=")</f>
        <v>#REF!</v>
      </c>
      <c r="DO503" t="e">
        <f>AND(#REF!,"AAAAAH/Z/3Y=")</f>
        <v>#REF!</v>
      </c>
      <c r="DP503" t="e">
        <f>AND(#REF!,"AAAAAH/Z/3c=")</f>
        <v>#REF!</v>
      </c>
      <c r="DQ503" t="e">
        <f>AND(#REF!,"AAAAAH/Z/3g=")</f>
        <v>#REF!</v>
      </c>
      <c r="DR503" t="e">
        <f>AND(#REF!,"AAAAAH/Z/3k=")</f>
        <v>#REF!</v>
      </c>
      <c r="DS503" t="e">
        <f>AND(#REF!,"AAAAAH/Z/3o=")</f>
        <v>#REF!</v>
      </c>
      <c r="DT503" t="e">
        <f>AND(#REF!,"AAAAAH/Z/3s=")</f>
        <v>#REF!</v>
      </c>
      <c r="DU503" t="e">
        <f>AND(#REF!,"AAAAAH/Z/3w=")</f>
        <v>#REF!</v>
      </c>
      <c r="DV503" t="e">
        <f>IF(#REF!,"AAAAAH/Z/30=",0)</f>
        <v>#REF!</v>
      </c>
      <c r="DW503" t="e">
        <f>AND(#REF!,"AAAAAH/Z/34=")</f>
        <v>#REF!</v>
      </c>
      <c r="DX503" t="e">
        <f>AND(#REF!,"AAAAAH/Z/38=")</f>
        <v>#REF!</v>
      </c>
      <c r="DY503" t="e">
        <f>AND(#REF!,"AAAAAH/Z/4A=")</f>
        <v>#REF!</v>
      </c>
      <c r="DZ503" t="e">
        <f>AND(#REF!,"AAAAAH/Z/4E=")</f>
        <v>#REF!</v>
      </c>
      <c r="EA503" t="e">
        <f>AND(#REF!,"AAAAAH/Z/4I=")</f>
        <v>#REF!</v>
      </c>
      <c r="EB503" t="e">
        <f>AND(#REF!,"AAAAAH/Z/4M=")</f>
        <v>#REF!</v>
      </c>
      <c r="EC503" t="e">
        <f>AND(#REF!,"AAAAAH/Z/4Q=")</f>
        <v>#REF!</v>
      </c>
      <c r="ED503" t="e">
        <f>AND(#REF!,"AAAAAH/Z/4U=")</f>
        <v>#REF!</v>
      </c>
      <c r="EE503" t="e">
        <f>AND(#REF!,"AAAAAH/Z/4Y=")</f>
        <v>#REF!</v>
      </c>
      <c r="EF503" t="e">
        <f>AND(#REF!,"AAAAAH/Z/4c=")</f>
        <v>#REF!</v>
      </c>
      <c r="EG503" t="e">
        <f>IF(#REF!,"AAAAAH/Z/4g=",0)</f>
        <v>#REF!</v>
      </c>
      <c r="EH503" t="e">
        <f>AND(#REF!,"AAAAAH/Z/4k=")</f>
        <v>#REF!</v>
      </c>
      <c r="EI503" t="e">
        <f>AND(#REF!,"AAAAAH/Z/4o=")</f>
        <v>#REF!</v>
      </c>
      <c r="EJ503" t="e">
        <f>AND(#REF!,"AAAAAH/Z/4s=")</f>
        <v>#REF!</v>
      </c>
      <c r="EK503" t="e">
        <f>AND(#REF!,"AAAAAH/Z/4w=")</f>
        <v>#REF!</v>
      </c>
      <c r="EL503" t="e">
        <f>AND(#REF!,"AAAAAH/Z/40=")</f>
        <v>#REF!</v>
      </c>
      <c r="EM503" t="e">
        <f>AND(#REF!,"AAAAAH/Z/44=")</f>
        <v>#REF!</v>
      </c>
      <c r="EN503" t="e">
        <f>AND(#REF!,"AAAAAH/Z/48=")</f>
        <v>#REF!</v>
      </c>
      <c r="EO503" t="e">
        <f>AND(#REF!,"AAAAAH/Z/5A=")</f>
        <v>#REF!</v>
      </c>
      <c r="EP503" t="e">
        <f>AND(#REF!,"AAAAAH/Z/5E=")</f>
        <v>#REF!</v>
      </c>
      <c r="EQ503" t="e">
        <f>AND(#REF!,"AAAAAH/Z/5I=")</f>
        <v>#REF!</v>
      </c>
      <c r="ER503" t="e">
        <f>IF(#REF!,"AAAAAH/Z/5M=",0)</f>
        <v>#REF!</v>
      </c>
      <c r="ES503" t="e">
        <f>AND(#REF!,"AAAAAH/Z/5Q=")</f>
        <v>#REF!</v>
      </c>
      <c r="ET503" t="e">
        <f>AND(#REF!,"AAAAAH/Z/5U=")</f>
        <v>#REF!</v>
      </c>
      <c r="EU503" t="e">
        <f>AND(#REF!,"AAAAAH/Z/5Y=")</f>
        <v>#REF!</v>
      </c>
      <c r="EV503" t="e">
        <f>AND(#REF!,"AAAAAH/Z/5c=")</f>
        <v>#REF!</v>
      </c>
      <c r="EW503" t="e">
        <f>AND(#REF!,"AAAAAH/Z/5g=")</f>
        <v>#REF!</v>
      </c>
      <c r="EX503" t="e">
        <f>AND(#REF!,"AAAAAH/Z/5k=")</f>
        <v>#REF!</v>
      </c>
      <c r="EY503" t="e">
        <f>AND(#REF!,"AAAAAH/Z/5o=")</f>
        <v>#REF!</v>
      </c>
      <c r="EZ503" t="e">
        <f>AND(#REF!,"AAAAAH/Z/5s=")</f>
        <v>#REF!</v>
      </c>
      <c r="FA503" t="e">
        <f>AND(#REF!,"AAAAAH/Z/5w=")</f>
        <v>#REF!</v>
      </c>
      <c r="FB503" t="e">
        <f>AND(#REF!,"AAAAAH/Z/50=")</f>
        <v>#REF!</v>
      </c>
      <c r="FC503" t="e">
        <f>IF(#REF!,"AAAAAH/Z/54=",0)</f>
        <v>#REF!</v>
      </c>
      <c r="FD503" t="e">
        <f>AND(#REF!,"AAAAAH/Z/58=")</f>
        <v>#REF!</v>
      </c>
      <c r="FE503" t="e">
        <f>AND(#REF!,"AAAAAH/Z/6A=")</f>
        <v>#REF!</v>
      </c>
      <c r="FF503" t="e">
        <f>AND(#REF!,"AAAAAH/Z/6E=")</f>
        <v>#REF!</v>
      </c>
      <c r="FG503" t="e">
        <f>AND(#REF!,"AAAAAH/Z/6I=")</f>
        <v>#REF!</v>
      </c>
      <c r="FH503" t="e">
        <f>AND(#REF!,"AAAAAH/Z/6M=")</f>
        <v>#REF!</v>
      </c>
      <c r="FI503" t="e">
        <f>AND(#REF!,"AAAAAH/Z/6Q=")</f>
        <v>#REF!</v>
      </c>
      <c r="FJ503" t="e">
        <f>AND(#REF!,"AAAAAH/Z/6U=")</f>
        <v>#REF!</v>
      </c>
      <c r="FK503" t="e">
        <f>AND(#REF!,"AAAAAH/Z/6Y=")</f>
        <v>#REF!</v>
      </c>
      <c r="FL503" t="e">
        <f>AND(#REF!,"AAAAAH/Z/6c=")</f>
        <v>#REF!</v>
      </c>
      <c r="FM503" t="e">
        <f>AND(#REF!,"AAAAAH/Z/6g=")</f>
        <v>#REF!</v>
      </c>
      <c r="FN503" t="e">
        <f>IF(#REF!,"AAAAAH/Z/6k=",0)</f>
        <v>#REF!</v>
      </c>
      <c r="FO503" t="e">
        <f>AND(#REF!,"AAAAAH/Z/6o=")</f>
        <v>#REF!</v>
      </c>
      <c r="FP503" t="e">
        <f>AND(#REF!,"AAAAAH/Z/6s=")</f>
        <v>#REF!</v>
      </c>
      <c r="FQ503" t="e">
        <f>AND(#REF!,"AAAAAH/Z/6w=")</f>
        <v>#REF!</v>
      </c>
      <c r="FR503" t="e">
        <f>AND(#REF!,"AAAAAH/Z/60=")</f>
        <v>#REF!</v>
      </c>
      <c r="FS503" t="e">
        <f>AND(#REF!,"AAAAAH/Z/64=")</f>
        <v>#REF!</v>
      </c>
      <c r="FT503" t="e">
        <f>AND(#REF!,"AAAAAH/Z/68=")</f>
        <v>#REF!</v>
      </c>
      <c r="FU503" t="e">
        <f>AND(#REF!,"AAAAAH/Z/7A=")</f>
        <v>#REF!</v>
      </c>
      <c r="FV503" t="e">
        <f>AND(#REF!,"AAAAAH/Z/7E=")</f>
        <v>#REF!</v>
      </c>
      <c r="FW503" t="e">
        <f>AND(#REF!,"AAAAAH/Z/7I=")</f>
        <v>#REF!</v>
      </c>
      <c r="FX503" t="e">
        <f>AND(#REF!,"AAAAAH/Z/7M=")</f>
        <v>#REF!</v>
      </c>
      <c r="FY503" t="e">
        <f>IF(#REF!,"AAAAAH/Z/7Q=",0)</f>
        <v>#REF!</v>
      </c>
      <c r="FZ503" t="e">
        <f>AND(#REF!,"AAAAAH/Z/7U=")</f>
        <v>#REF!</v>
      </c>
      <c r="GA503" t="e">
        <f>AND(#REF!,"AAAAAH/Z/7Y=")</f>
        <v>#REF!</v>
      </c>
      <c r="GB503" t="e">
        <f>AND(#REF!,"AAAAAH/Z/7c=")</f>
        <v>#REF!</v>
      </c>
      <c r="GC503" t="e">
        <f>AND(#REF!,"AAAAAH/Z/7g=")</f>
        <v>#REF!</v>
      </c>
      <c r="GD503" t="e">
        <f>AND(#REF!,"AAAAAH/Z/7k=")</f>
        <v>#REF!</v>
      </c>
      <c r="GE503" t="e">
        <f>AND(#REF!,"AAAAAH/Z/7o=")</f>
        <v>#REF!</v>
      </c>
      <c r="GF503" t="e">
        <f>AND(#REF!,"AAAAAH/Z/7s=")</f>
        <v>#REF!</v>
      </c>
      <c r="GG503" t="e">
        <f>AND(#REF!,"AAAAAH/Z/7w=")</f>
        <v>#REF!</v>
      </c>
      <c r="GH503" t="e">
        <f>AND(#REF!,"AAAAAH/Z/70=")</f>
        <v>#REF!</v>
      </c>
      <c r="GI503" t="e">
        <f>AND(#REF!,"AAAAAH/Z/74=")</f>
        <v>#REF!</v>
      </c>
      <c r="GJ503" t="e">
        <f>IF(#REF!,"AAAAAH/Z/78=",0)</f>
        <v>#REF!</v>
      </c>
      <c r="GK503" t="e">
        <f>AND(#REF!,"AAAAAH/Z/8A=")</f>
        <v>#REF!</v>
      </c>
      <c r="GL503" t="e">
        <f>AND(#REF!,"AAAAAH/Z/8E=")</f>
        <v>#REF!</v>
      </c>
      <c r="GM503" t="e">
        <f>AND(#REF!,"AAAAAH/Z/8I=")</f>
        <v>#REF!</v>
      </c>
      <c r="GN503" t="e">
        <f>AND(#REF!,"AAAAAH/Z/8M=")</f>
        <v>#REF!</v>
      </c>
      <c r="GO503" t="e">
        <f>AND(#REF!,"AAAAAH/Z/8Q=")</f>
        <v>#REF!</v>
      </c>
      <c r="GP503" t="e">
        <f>AND(#REF!,"AAAAAH/Z/8U=")</f>
        <v>#REF!</v>
      </c>
      <c r="GQ503" t="e">
        <f>AND(#REF!,"AAAAAH/Z/8Y=")</f>
        <v>#REF!</v>
      </c>
      <c r="GR503" t="e">
        <f>AND(#REF!,"AAAAAH/Z/8c=")</f>
        <v>#REF!</v>
      </c>
      <c r="GS503" t="e">
        <f>AND(#REF!,"AAAAAH/Z/8g=")</f>
        <v>#REF!</v>
      </c>
      <c r="GT503" t="e">
        <f>AND(#REF!,"AAAAAH/Z/8k=")</f>
        <v>#REF!</v>
      </c>
      <c r="GU503" t="e">
        <f>IF(#REF!,"AAAAAH/Z/8o=",0)</f>
        <v>#REF!</v>
      </c>
      <c r="GV503" t="e">
        <f>AND(#REF!,"AAAAAH/Z/8s=")</f>
        <v>#REF!</v>
      </c>
      <c r="GW503" t="e">
        <f>AND(#REF!,"AAAAAH/Z/8w=")</f>
        <v>#REF!</v>
      </c>
      <c r="GX503" t="e">
        <f>AND(#REF!,"AAAAAH/Z/80=")</f>
        <v>#REF!</v>
      </c>
      <c r="GY503" t="e">
        <f>AND(#REF!,"AAAAAH/Z/84=")</f>
        <v>#REF!</v>
      </c>
      <c r="GZ503" t="e">
        <f>AND(#REF!,"AAAAAH/Z/88=")</f>
        <v>#REF!</v>
      </c>
      <c r="HA503" t="e">
        <f>AND(#REF!,"AAAAAH/Z/9A=")</f>
        <v>#REF!</v>
      </c>
      <c r="HB503" t="e">
        <f>AND(#REF!,"AAAAAH/Z/9E=")</f>
        <v>#REF!</v>
      </c>
      <c r="HC503" t="e">
        <f>AND(#REF!,"AAAAAH/Z/9I=")</f>
        <v>#REF!</v>
      </c>
      <c r="HD503" t="e">
        <f>AND(#REF!,"AAAAAH/Z/9M=")</f>
        <v>#REF!</v>
      </c>
      <c r="HE503" t="e">
        <f>AND(#REF!,"AAAAAH/Z/9Q=")</f>
        <v>#REF!</v>
      </c>
      <c r="HF503" t="e">
        <f>IF(#REF!,"AAAAAH/Z/9U=",0)</f>
        <v>#REF!</v>
      </c>
      <c r="HG503" t="e">
        <f>AND(#REF!,"AAAAAH/Z/9Y=")</f>
        <v>#REF!</v>
      </c>
      <c r="HH503" t="e">
        <f>AND(#REF!,"AAAAAH/Z/9c=")</f>
        <v>#REF!</v>
      </c>
      <c r="HI503" t="e">
        <f>AND(#REF!,"AAAAAH/Z/9g=")</f>
        <v>#REF!</v>
      </c>
      <c r="HJ503" t="e">
        <f>AND(#REF!,"AAAAAH/Z/9k=")</f>
        <v>#REF!</v>
      </c>
      <c r="HK503" t="e">
        <f>AND(#REF!,"AAAAAH/Z/9o=")</f>
        <v>#REF!</v>
      </c>
      <c r="HL503" t="e">
        <f>AND(#REF!,"AAAAAH/Z/9s=")</f>
        <v>#REF!</v>
      </c>
      <c r="HM503" t="e">
        <f>AND(#REF!,"AAAAAH/Z/9w=")</f>
        <v>#REF!</v>
      </c>
      <c r="HN503" t="e">
        <f>AND(#REF!,"AAAAAH/Z/90=")</f>
        <v>#REF!</v>
      </c>
      <c r="HO503" t="e">
        <f>AND(#REF!,"AAAAAH/Z/94=")</f>
        <v>#REF!</v>
      </c>
      <c r="HP503" t="e">
        <f>AND(#REF!,"AAAAAH/Z/98=")</f>
        <v>#REF!</v>
      </c>
      <c r="HQ503" t="e">
        <f>IF(#REF!,"AAAAAH/Z/+A=",0)</f>
        <v>#REF!</v>
      </c>
      <c r="HR503" t="e">
        <f>AND(#REF!,"AAAAAH/Z/+E=")</f>
        <v>#REF!</v>
      </c>
      <c r="HS503" t="e">
        <f>AND(#REF!,"AAAAAH/Z/+I=")</f>
        <v>#REF!</v>
      </c>
      <c r="HT503" t="e">
        <f>AND(#REF!,"AAAAAH/Z/+M=")</f>
        <v>#REF!</v>
      </c>
      <c r="HU503" t="e">
        <f>AND(#REF!,"AAAAAH/Z/+Q=")</f>
        <v>#REF!</v>
      </c>
      <c r="HV503" t="e">
        <f>AND(#REF!,"AAAAAH/Z/+U=")</f>
        <v>#REF!</v>
      </c>
      <c r="HW503" t="e">
        <f>AND(#REF!,"AAAAAH/Z/+Y=")</f>
        <v>#REF!</v>
      </c>
      <c r="HX503" t="e">
        <f>AND(#REF!,"AAAAAH/Z/+c=")</f>
        <v>#REF!</v>
      </c>
      <c r="HY503" t="e">
        <f>AND(#REF!,"AAAAAH/Z/+g=")</f>
        <v>#REF!</v>
      </c>
      <c r="HZ503" t="e">
        <f>AND(#REF!,"AAAAAH/Z/+k=")</f>
        <v>#REF!</v>
      </c>
      <c r="IA503" t="e">
        <f>AND(#REF!,"AAAAAH/Z/+o=")</f>
        <v>#REF!</v>
      </c>
      <c r="IB503" t="e">
        <f>IF(#REF!,"AAAAAH/Z/+s=",0)</f>
        <v>#REF!</v>
      </c>
      <c r="IC503" t="e">
        <f>AND(#REF!,"AAAAAH/Z/+w=")</f>
        <v>#REF!</v>
      </c>
      <c r="ID503" t="e">
        <f>AND(#REF!,"AAAAAH/Z/+0=")</f>
        <v>#REF!</v>
      </c>
      <c r="IE503" t="e">
        <f>AND(#REF!,"AAAAAH/Z/+4=")</f>
        <v>#REF!</v>
      </c>
      <c r="IF503" t="e">
        <f>AND(#REF!,"AAAAAH/Z/+8=")</f>
        <v>#REF!</v>
      </c>
      <c r="IG503" t="e">
        <f>AND(#REF!,"AAAAAH/Z//A=")</f>
        <v>#REF!</v>
      </c>
      <c r="IH503" t="e">
        <f>AND(#REF!,"AAAAAH/Z//E=")</f>
        <v>#REF!</v>
      </c>
      <c r="II503" t="e">
        <f>AND(#REF!,"AAAAAH/Z//I=")</f>
        <v>#REF!</v>
      </c>
      <c r="IJ503" t="e">
        <f>AND(#REF!,"AAAAAH/Z//M=")</f>
        <v>#REF!</v>
      </c>
      <c r="IK503" t="e">
        <f>AND(#REF!,"AAAAAH/Z//Q=")</f>
        <v>#REF!</v>
      </c>
      <c r="IL503" t="e">
        <f>AND(#REF!,"AAAAAH/Z//U=")</f>
        <v>#REF!</v>
      </c>
      <c r="IM503" t="e">
        <f>IF(#REF!,"AAAAAH/Z//Y=",0)</f>
        <v>#REF!</v>
      </c>
      <c r="IN503" t="e">
        <f>AND(#REF!,"AAAAAH/Z//c=")</f>
        <v>#REF!</v>
      </c>
      <c r="IO503" t="e">
        <f>AND(#REF!,"AAAAAH/Z//g=")</f>
        <v>#REF!</v>
      </c>
      <c r="IP503" t="e">
        <f>AND(#REF!,"AAAAAH/Z//k=")</f>
        <v>#REF!</v>
      </c>
      <c r="IQ503" t="e">
        <f>AND(#REF!,"AAAAAH/Z//o=")</f>
        <v>#REF!</v>
      </c>
      <c r="IR503" t="e">
        <f>AND(#REF!,"AAAAAH/Z//s=")</f>
        <v>#REF!</v>
      </c>
      <c r="IS503" t="e">
        <f>AND(#REF!,"AAAAAH/Z//w=")</f>
        <v>#REF!</v>
      </c>
      <c r="IT503" t="e">
        <f>AND(#REF!,"AAAAAH/Z//0=")</f>
        <v>#REF!</v>
      </c>
      <c r="IU503" t="e">
        <f>AND(#REF!,"AAAAAH/Z//4=")</f>
        <v>#REF!</v>
      </c>
      <c r="IV503" t="e">
        <f>AND(#REF!,"AAAAAH/Z//8=")</f>
        <v>#REF!</v>
      </c>
    </row>
    <row r="504" spans="1:256" x14ac:dyDescent="0.25">
      <c r="A504" t="e">
        <f>AND(#REF!,"AAAAAH/+2wA=")</f>
        <v>#REF!</v>
      </c>
      <c r="B504" t="e">
        <f>IF(#REF!,"AAAAAH/+2wE=",0)</f>
        <v>#REF!</v>
      </c>
      <c r="C504" t="e">
        <f>AND(#REF!,"AAAAAH/+2wI=")</f>
        <v>#REF!</v>
      </c>
      <c r="D504" t="e">
        <f>AND(#REF!,"AAAAAH/+2wM=")</f>
        <v>#REF!</v>
      </c>
      <c r="E504" t="e">
        <f>AND(#REF!,"AAAAAH/+2wQ=")</f>
        <v>#REF!</v>
      </c>
      <c r="F504" t="e">
        <f>AND(#REF!,"AAAAAH/+2wU=")</f>
        <v>#REF!</v>
      </c>
      <c r="G504" t="e">
        <f>AND(#REF!,"AAAAAH/+2wY=")</f>
        <v>#REF!</v>
      </c>
      <c r="H504" t="e">
        <f>AND(#REF!,"AAAAAH/+2wc=")</f>
        <v>#REF!</v>
      </c>
      <c r="I504" t="e">
        <f>AND(#REF!,"AAAAAH/+2wg=")</f>
        <v>#REF!</v>
      </c>
      <c r="J504" t="e">
        <f>AND(#REF!,"AAAAAH/+2wk=")</f>
        <v>#REF!</v>
      </c>
      <c r="K504" t="e">
        <f>AND(#REF!,"AAAAAH/+2wo=")</f>
        <v>#REF!</v>
      </c>
      <c r="L504" t="e">
        <f>AND(#REF!,"AAAAAH/+2ws=")</f>
        <v>#REF!</v>
      </c>
      <c r="M504" t="e">
        <f>IF(#REF!,"AAAAAH/+2ww=",0)</f>
        <v>#REF!</v>
      </c>
      <c r="N504" t="e">
        <f>AND(#REF!,"AAAAAH/+2w0=")</f>
        <v>#REF!</v>
      </c>
      <c r="O504" t="e">
        <f>AND(#REF!,"AAAAAH/+2w4=")</f>
        <v>#REF!</v>
      </c>
      <c r="P504" t="e">
        <f>AND(#REF!,"AAAAAH/+2w8=")</f>
        <v>#REF!</v>
      </c>
      <c r="Q504" t="e">
        <f>AND(#REF!,"AAAAAH/+2xA=")</f>
        <v>#REF!</v>
      </c>
      <c r="R504" t="e">
        <f>AND(#REF!,"AAAAAH/+2xE=")</f>
        <v>#REF!</v>
      </c>
      <c r="S504" t="e">
        <f>AND(#REF!,"AAAAAH/+2xI=")</f>
        <v>#REF!</v>
      </c>
      <c r="T504" t="e">
        <f>AND(#REF!,"AAAAAH/+2xM=")</f>
        <v>#REF!</v>
      </c>
      <c r="U504" t="e">
        <f>AND(#REF!,"AAAAAH/+2xQ=")</f>
        <v>#REF!</v>
      </c>
      <c r="V504" t="e">
        <f>AND(#REF!,"AAAAAH/+2xU=")</f>
        <v>#REF!</v>
      </c>
      <c r="W504" t="e">
        <f>AND(#REF!,"AAAAAH/+2xY=")</f>
        <v>#REF!</v>
      </c>
      <c r="X504" t="e">
        <f>IF(#REF!,"AAAAAH/+2xc=",0)</f>
        <v>#REF!</v>
      </c>
      <c r="Y504" t="e">
        <f>AND(#REF!,"AAAAAH/+2xg=")</f>
        <v>#REF!</v>
      </c>
      <c r="Z504" t="e">
        <f>AND(#REF!,"AAAAAH/+2xk=")</f>
        <v>#REF!</v>
      </c>
      <c r="AA504" t="e">
        <f>AND(#REF!,"AAAAAH/+2xo=")</f>
        <v>#REF!</v>
      </c>
      <c r="AB504" t="e">
        <f>AND(#REF!,"AAAAAH/+2xs=")</f>
        <v>#REF!</v>
      </c>
      <c r="AC504" t="e">
        <f>AND(#REF!,"AAAAAH/+2xw=")</f>
        <v>#REF!</v>
      </c>
      <c r="AD504" t="e">
        <f>AND(#REF!,"AAAAAH/+2x0=")</f>
        <v>#REF!</v>
      </c>
      <c r="AE504" t="e">
        <f>AND(#REF!,"AAAAAH/+2x4=")</f>
        <v>#REF!</v>
      </c>
      <c r="AF504" t="e">
        <f>AND(#REF!,"AAAAAH/+2x8=")</f>
        <v>#REF!</v>
      </c>
      <c r="AG504" t="e">
        <f>AND(#REF!,"AAAAAH/+2yA=")</f>
        <v>#REF!</v>
      </c>
      <c r="AH504" t="e">
        <f>AND(#REF!,"AAAAAH/+2yE=")</f>
        <v>#REF!</v>
      </c>
      <c r="AI504" t="e">
        <f>IF(#REF!,"AAAAAH/+2yI=",0)</f>
        <v>#REF!</v>
      </c>
      <c r="AJ504" t="e">
        <f>AND(#REF!,"AAAAAH/+2yM=")</f>
        <v>#REF!</v>
      </c>
      <c r="AK504" t="e">
        <f>AND(#REF!,"AAAAAH/+2yQ=")</f>
        <v>#REF!</v>
      </c>
      <c r="AL504" t="e">
        <f>AND(#REF!,"AAAAAH/+2yU=")</f>
        <v>#REF!</v>
      </c>
      <c r="AM504" t="e">
        <f>AND(#REF!,"AAAAAH/+2yY=")</f>
        <v>#REF!</v>
      </c>
      <c r="AN504" t="e">
        <f>AND(#REF!,"AAAAAH/+2yc=")</f>
        <v>#REF!</v>
      </c>
      <c r="AO504" t="e">
        <f>AND(#REF!,"AAAAAH/+2yg=")</f>
        <v>#REF!</v>
      </c>
      <c r="AP504" t="e">
        <f>AND(#REF!,"AAAAAH/+2yk=")</f>
        <v>#REF!</v>
      </c>
      <c r="AQ504" t="e">
        <f>AND(#REF!,"AAAAAH/+2yo=")</f>
        <v>#REF!</v>
      </c>
      <c r="AR504" t="e">
        <f>AND(#REF!,"AAAAAH/+2ys=")</f>
        <v>#REF!</v>
      </c>
      <c r="AS504" t="e">
        <f>AND(#REF!,"AAAAAH/+2yw=")</f>
        <v>#REF!</v>
      </c>
      <c r="AT504" t="e">
        <f>IF(#REF!,"AAAAAH/+2y0=",0)</f>
        <v>#REF!</v>
      </c>
      <c r="AU504" t="e">
        <f>AND(#REF!,"AAAAAH/+2y4=")</f>
        <v>#REF!</v>
      </c>
      <c r="AV504" t="e">
        <f>AND(#REF!,"AAAAAH/+2y8=")</f>
        <v>#REF!</v>
      </c>
      <c r="AW504" t="e">
        <f>AND(#REF!,"AAAAAH/+2zA=")</f>
        <v>#REF!</v>
      </c>
      <c r="AX504" t="e">
        <f>AND(#REF!,"AAAAAH/+2zE=")</f>
        <v>#REF!</v>
      </c>
      <c r="AY504" t="e">
        <f>AND(#REF!,"AAAAAH/+2zI=")</f>
        <v>#REF!</v>
      </c>
      <c r="AZ504" t="e">
        <f>AND(#REF!,"AAAAAH/+2zM=")</f>
        <v>#REF!</v>
      </c>
      <c r="BA504" t="e">
        <f>AND(#REF!,"AAAAAH/+2zQ=")</f>
        <v>#REF!</v>
      </c>
      <c r="BB504" t="e">
        <f>AND(#REF!,"AAAAAH/+2zU=")</f>
        <v>#REF!</v>
      </c>
      <c r="BC504" t="e">
        <f>AND(#REF!,"AAAAAH/+2zY=")</f>
        <v>#REF!</v>
      </c>
      <c r="BD504" t="e">
        <f>AND(#REF!,"AAAAAH/+2zc=")</f>
        <v>#REF!</v>
      </c>
      <c r="BE504" t="e">
        <f>IF(#REF!,"AAAAAH/+2zg=",0)</f>
        <v>#REF!</v>
      </c>
      <c r="BF504" t="e">
        <f>AND(#REF!,"AAAAAH/+2zk=")</f>
        <v>#REF!</v>
      </c>
      <c r="BG504" t="e">
        <f>AND(#REF!,"AAAAAH/+2zo=")</f>
        <v>#REF!</v>
      </c>
      <c r="BH504" t="e">
        <f>AND(#REF!,"AAAAAH/+2zs=")</f>
        <v>#REF!</v>
      </c>
      <c r="BI504" t="e">
        <f>AND(#REF!,"AAAAAH/+2zw=")</f>
        <v>#REF!</v>
      </c>
      <c r="BJ504" t="e">
        <f>AND(#REF!,"AAAAAH/+2z0=")</f>
        <v>#REF!</v>
      </c>
      <c r="BK504" t="e">
        <f>AND(#REF!,"AAAAAH/+2z4=")</f>
        <v>#REF!</v>
      </c>
      <c r="BL504" t="e">
        <f>AND(#REF!,"AAAAAH/+2z8=")</f>
        <v>#REF!</v>
      </c>
      <c r="BM504" t="e">
        <f>AND(#REF!,"AAAAAH/+20A=")</f>
        <v>#REF!</v>
      </c>
      <c r="BN504" t="e">
        <f>AND(#REF!,"AAAAAH/+20E=")</f>
        <v>#REF!</v>
      </c>
      <c r="BO504" t="e">
        <f>AND(#REF!,"AAAAAH/+20I=")</f>
        <v>#REF!</v>
      </c>
      <c r="BP504" t="e">
        <f>IF(#REF!,"AAAAAH/+20M=",0)</f>
        <v>#REF!</v>
      </c>
      <c r="BQ504" t="e">
        <f>AND(#REF!,"AAAAAH/+20Q=")</f>
        <v>#REF!</v>
      </c>
      <c r="BR504" t="e">
        <f>AND(#REF!,"AAAAAH/+20U=")</f>
        <v>#REF!</v>
      </c>
      <c r="BS504" t="e">
        <f>AND(#REF!,"AAAAAH/+20Y=")</f>
        <v>#REF!</v>
      </c>
      <c r="BT504" t="e">
        <f>AND(#REF!,"AAAAAH/+20c=")</f>
        <v>#REF!</v>
      </c>
      <c r="BU504" t="e">
        <f>AND(#REF!,"AAAAAH/+20g=")</f>
        <v>#REF!</v>
      </c>
      <c r="BV504" t="e">
        <f>AND(#REF!,"AAAAAH/+20k=")</f>
        <v>#REF!</v>
      </c>
      <c r="BW504" t="e">
        <f>AND(#REF!,"AAAAAH/+20o=")</f>
        <v>#REF!</v>
      </c>
      <c r="BX504" t="e">
        <f>AND(#REF!,"AAAAAH/+20s=")</f>
        <v>#REF!</v>
      </c>
      <c r="BY504" t="e">
        <f>AND(#REF!,"AAAAAH/+20w=")</f>
        <v>#REF!</v>
      </c>
      <c r="BZ504" t="e">
        <f>AND(#REF!,"AAAAAH/+200=")</f>
        <v>#REF!</v>
      </c>
      <c r="CA504" t="e">
        <f>IF(#REF!,"AAAAAH/+204=",0)</f>
        <v>#REF!</v>
      </c>
      <c r="CB504" t="e">
        <f>AND(#REF!,"AAAAAH/+208=")</f>
        <v>#REF!</v>
      </c>
      <c r="CC504" t="e">
        <f>AND(#REF!,"AAAAAH/+21A=")</f>
        <v>#REF!</v>
      </c>
      <c r="CD504" t="e">
        <f>AND(#REF!,"AAAAAH/+21E=")</f>
        <v>#REF!</v>
      </c>
      <c r="CE504" t="e">
        <f>AND(#REF!,"AAAAAH/+21I=")</f>
        <v>#REF!</v>
      </c>
      <c r="CF504" t="e">
        <f>AND(#REF!,"AAAAAH/+21M=")</f>
        <v>#REF!</v>
      </c>
      <c r="CG504" t="e">
        <f>AND(#REF!,"AAAAAH/+21Q=")</f>
        <v>#REF!</v>
      </c>
      <c r="CH504" t="e">
        <f>AND(#REF!,"AAAAAH/+21U=")</f>
        <v>#REF!</v>
      </c>
      <c r="CI504" t="e">
        <f>AND(#REF!,"AAAAAH/+21Y=")</f>
        <v>#REF!</v>
      </c>
      <c r="CJ504" t="e">
        <f>AND(#REF!,"AAAAAH/+21c=")</f>
        <v>#REF!</v>
      </c>
      <c r="CK504" t="e">
        <f>AND(#REF!,"AAAAAH/+21g=")</f>
        <v>#REF!</v>
      </c>
      <c r="CL504" t="e">
        <f>IF(#REF!,"AAAAAH/+21k=",0)</f>
        <v>#REF!</v>
      </c>
      <c r="CM504" t="e">
        <f>AND(#REF!,"AAAAAH/+21o=")</f>
        <v>#REF!</v>
      </c>
      <c r="CN504" t="e">
        <f>AND(#REF!,"AAAAAH/+21s=")</f>
        <v>#REF!</v>
      </c>
      <c r="CO504" t="e">
        <f>AND(#REF!,"AAAAAH/+21w=")</f>
        <v>#REF!</v>
      </c>
      <c r="CP504" t="e">
        <f>AND(#REF!,"AAAAAH/+210=")</f>
        <v>#REF!</v>
      </c>
      <c r="CQ504" t="e">
        <f>AND(#REF!,"AAAAAH/+214=")</f>
        <v>#REF!</v>
      </c>
      <c r="CR504" t="e">
        <f>AND(#REF!,"AAAAAH/+218=")</f>
        <v>#REF!</v>
      </c>
      <c r="CS504" t="e">
        <f>AND(#REF!,"AAAAAH/+22A=")</f>
        <v>#REF!</v>
      </c>
      <c r="CT504" t="e">
        <f>AND(#REF!,"AAAAAH/+22E=")</f>
        <v>#REF!</v>
      </c>
      <c r="CU504" t="e">
        <f>AND(#REF!,"AAAAAH/+22I=")</f>
        <v>#REF!</v>
      </c>
      <c r="CV504" t="e">
        <f>AND(#REF!,"AAAAAH/+22M=")</f>
        <v>#REF!</v>
      </c>
      <c r="CW504" t="e">
        <f>IF(#REF!,"AAAAAH/+22Q=",0)</f>
        <v>#REF!</v>
      </c>
      <c r="CX504" t="e">
        <f>AND(#REF!,"AAAAAH/+22U=")</f>
        <v>#REF!</v>
      </c>
      <c r="CY504" t="e">
        <f>AND(#REF!,"AAAAAH/+22Y=")</f>
        <v>#REF!</v>
      </c>
      <c r="CZ504" t="e">
        <f>AND(#REF!,"AAAAAH/+22c=")</f>
        <v>#REF!</v>
      </c>
      <c r="DA504" t="e">
        <f>AND(#REF!,"AAAAAH/+22g=")</f>
        <v>#REF!</v>
      </c>
      <c r="DB504" t="e">
        <f>AND(#REF!,"AAAAAH/+22k=")</f>
        <v>#REF!</v>
      </c>
      <c r="DC504" t="e">
        <f>AND(#REF!,"AAAAAH/+22o=")</f>
        <v>#REF!</v>
      </c>
      <c r="DD504" t="e">
        <f>AND(#REF!,"AAAAAH/+22s=")</f>
        <v>#REF!</v>
      </c>
      <c r="DE504" t="e">
        <f>AND(#REF!,"AAAAAH/+22w=")</f>
        <v>#REF!</v>
      </c>
      <c r="DF504" t="e">
        <f>AND(#REF!,"AAAAAH/+220=")</f>
        <v>#REF!</v>
      </c>
      <c r="DG504" t="e">
        <f>AND(#REF!,"AAAAAH/+224=")</f>
        <v>#REF!</v>
      </c>
      <c r="DH504" t="e">
        <f>IF(#REF!,"AAAAAH/+228=",0)</f>
        <v>#REF!</v>
      </c>
      <c r="DI504" t="e">
        <f>AND(#REF!,"AAAAAH/+23A=")</f>
        <v>#REF!</v>
      </c>
      <c r="DJ504" t="e">
        <f>AND(#REF!,"AAAAAH/+23E=")</f>
        <v>#REF!</v>
      </c>
      <c r="DK504" t="e">
        <f>AND(#REF!,"AAAAAH/+23I=")</f>
        <v>#REF!</v>
      </c>
      <c r="DL504" t="e">
        <f>AND(#REF!,"AAAAAH/+23M=")</f>
        <v>#REF!</v>
      </c>
      <c r="DM504" t="e">
        <f>AND(#REF!,"AAAAAH/+23Q=")</f>
        <v>#REF!</v>
      </c>
      <c r="DN504" t="e">
        <f>AND(#REF!,"AAAAAH/+23U=")</f>
        <v>#REF!</v>
      </c>
      <c r="DO504" t="e">
        <f>AND(#REF!,"AAAAAH/+23Y=")</f>
        <v>#REF!</v>
      </c>
      <c r="DP504" t="e">
        <f>AND(#REF!,"AAAAAH/+23c=")</f>
        <v>#REF!</v>
      </c>
      <c r="DQ504" t="e">
        <f>AND(#REF!,"AAAAAH/+23g=")</f>
        <v>#REF!</v>
      </c>
      <c r="DR504" t="e">
        <f>AND(#REF!,"AAAAAH/+23k=")</f>
        <v>#REF!</v>
      </c>
      <c r="DS504" t="e">
        <f>IF(#REF!,"AAAAAH/+23o=",0)</f>
        <v>#REF!</v>
      </c>
      <c r="DT504" t="e">
        <f>AND(#REF!,"AAAAAH/+23s=")</f>
        <v>#REF!</v>
      </c>
      <c r="DU504" t="e">
        <f>AND(#REF!,"AAAAAH/+23w=")</f>
        <v>#REF!</v>
      </c>
      <c r="DV504" t="e">
        <f>AND(#REF!,"AAAAAH/+230=")</f>
        <v>#REF!</v>
      </c>
      <c r="DW504" t="e">
        <f>AND(#REF!,"AAAAAH/+234=")</f>
        <v>#REF!</v>
      </c>
      <c r="DX504" t="e">
        <f>AND(#REF!,"AAAAAH/+238=")</f>
        <v>#REF!</v>
      </c>
      <c r="DY504" t="e">
        <f>AND(#REF!,"AAAAAH/+24A=")</f>
        <v>#REF!</v>
      </c>
      <c r="DZ504" t="e">
        <f>AND(#REF!,"AAAAAH/+24E=")</f>
        <v>#REF!</v>
      </c>
      <c r="EA504" t="e">
        <f>AND(#REF!,"AAAAAH/+24I=")</f>
        <v>#REF!</v>
      </c>
      <c r="EB504" t="e">
        <f>AND(#REF!,"AAAAAH/+24M=")</f>
        <v>#REF!</v>
      </c>
      <c r="EC504" t="e">
        <f>AND(#REF!,"AAAAAH/+24Q=")</f>
        <v>#REF!</v>
      </c>
      <c r="ED504" t="e">
        <f>IF(#REF!,"AAAAAH/+24U=",0)</f>
        <v>#REF!</v>
      </c>
      <c r="EE504" t="e">
        <f>AND(#REF!,"AAAAAH/+24Y=")</f>
        <v>#REF!</v>
      </c>
      <c r="EF504" t="e">
        <f>AND(#REF!,"AAAAAH/+24c=")</f>
        <v>#REF!</v>
      </c>
      <c r="EG504" t="e">
        <f>AND(#REF!,"AAAAAH/+24g=")</f>
        <v>#REF!</v>
      </c>
      <c r="EH504" t="e">
        <f>AND(#REF!,"AAAAAH/+24k=")</f>
        <v>#REF!</v>
      </c>
      <c r="EI504" t="e">
        <f>AND(#REF!,"AAAAAH/+24o=")</f>
        <v>#REF!</v>
      </c>
      <c r="EJ504" t="e">
        <f>AND(#REF!,"AAAAAH/+24s=")</f>
        <v>#REF!</v>
      </c>
      <c r="EK504" t="e">
        <f>AND(#REF!,"AAAAAH/+24w=")</f>
        <v>#REF!</v>
      </c>
      <c r="EL504" t="e">
        <f>AND(#REF!,"AAAAAH/+240=")</f>
        <v>#REF!</v>
      </c>
      <c r="EM504" t="e">
        <f>AND(#REF!,"AAAAAH/+244=")</f>
        <v>#REF!</v>
      </c>
      <c r="EN504" t="e">
        <f>AND(#REF!,"AAAAAH/+248=")</f>
        <v>#REF!</v>
      </c>
      <c r="EO504" t="e">
        <f>IF(#REF!,"AAAAAH/+25A=",0)</f>
        <v>#REF!</v>
      </c>
      <c r="EP504" t="e">
        <f>AND(#REF!,"AAAAAH/+25E=")</f>
        <v>#REF!</v>
      </c>
      <c r="EQ504" t="e">
        <f>AND(#REF!,"AAAAAH/+25I=")</f>
        <v>#REF!</v>
      </c>
      <c r="ER504" t="e">
        <f>AND(#REF!,"AAAAAH/+25M=")</f>
        <v>#REF!</v>
      </c>
      <c r="ES504" t="e">
        <f>AND(#REF!,"AAAAAH/+25Q=")</f>
        <v>#REF!</v>
      </c>
      <c r="ET504" t="e">
        <f>AND(#REF!,"AAAAAH/+25U=")</f>
        <v>#REF!</v>
      </c>
      <c r="EU504" t="e">
        <f>AND(#REF!,"AAAAAH/+25Y=")</f>
        <v>#REF!</v>
      </c>
      <c r="EV504" t="e">
        <f>AND(#REF!,"AAAAAH/+25c=")</f>
        <v>#REF!</v>
      </c>
      <c r="EW504" t="e">
        <f>AND(#REF!,"AAAAAH/+25g=")</f>
        <v>#REF!</v>
      </c>
      <c r="EX504" t="e">
        <f>AND(#REF!,"AAAAAH/+25k=")</f>
        <v>#REF!</v>
      </c>
      <c r="EY504" t="e">
        <f>AND(#REF!,"AAAAAH/+25o=")</f>
        <v>#REF!</v>
      </c>
      <c r="EZ504" t="e">
        <f>IF(#REF!,"AAAAAH/+25s=",0)</f>
        <v>#REF!</v>
      </c>
      <c r="FA504" t="e">
        <f>AND(#REF!,"AAAAAH/+25w=")</f>
        <v>#REF!</v>
      </c>
      <c r="FB504" t="e">
        <f>AND(#REF!,"AAAAAH/+250=")</f>
        <v>#REF!</v>
      </c>
      <c r="FC504" t="e">
        <f>AND(#REF!,"AAAAAH/+254=")</f>
        <v>#REF!</v>
      </c>
      <c r="FD504" t="e">
        <f>AND(#REF!,"AAAAAH/+258=")</f>
        <v>#REF!</v>
      </c>
      <c r="FE504" t="e">
        <f>AND(#REF!,"AAAAAH/+26A=")</f>
        <v>#REF!</v>
      </c>
      <c r="FF504" t="e">
        <f>AND(#REF!,"AAAAAH/+26E=")</f>
        <v>#REF!</v>
      </c>
      <c r="FG504" t="e">
        <f>AND(#REF!,"AAAAAH/+26I=")</f>
        <v>#REF!</v>
      </c>
      <c r="FH504" t="e">
        <f>AND(#REF!,"AAAAAH/+26M=")</f>
        <v>#REF!</v>
      </c>
      <c r="FI504" t="e">
        <f>AND(#REF!,"AAAAAH/+26Q=")</f>
        <v>#REF!</v>
      </c>
      <c r="FJ504" t="e">
        <f>AND(#REF!,"AAAAAH/+26U=")</f>
        <v>#REF!</v>
      </c>
      <c r="FK504" t="e">
        <f>IF(#REF!,"AAAAAH/+26Y=",0)</f>
        <v>#REF!</v>
      </c>
      <c r="FL504" t="e">
        <f>AND(#REF!,"AAAAAH/+26c=")</f>
        <v>#REF!</v>
      </c>
      <c r="FM504" t="e">
        <f>AND(#REF!,"AAAAAH/+26g=")</f>
        <v>#REF!</v>
      </c>
      <c r="FN504" t="e">
        <f>AND(#REF!,"AAAAAH/+26k=")</f>
        <v>#REF!</v>
      </c>
      <c r="FO504" t="e">
        <f>AND(#REF!,"AAAAAH/+26o=")</f>
        <v>#REF!</v>
      </c>
      <c r="FP504" t="e">
        <f>AND(#REF!,"AAAAAH/+26s=")</f>
        <v>#REF!</v>
      </c>
      <c r="FQ504" t="e">
        <f>AND(#REF!,"AAAAAH/+26w=")</f>
        <v>#REF!</v>
      </c>
      <c r="FR504" t="e">
        <f>AND(#REF!,"AAAAAH/+260=")</f>
        <v>#REF!</v>
      </c>
      <c r="FS504" t="e">
        <f>AND(#REF!,"AAAAAH/+264=")</f>
        <v>#REF!</v>
      </c>
      <c r="FT504" t="e">
        <f>AND(#REF!,"AAAAAH/+268=")</f>
        <v>#REF!</v>
      </c>
      <c r="FU504" t="e">
        <f>AND(#REF!,"AAAAAH/+27A=")</f>
        <v>#REF!</v>
      </c>
      <c r="FV504" t="e">
        <f>IF(#REF!,"AAAAAH/+27E=",0)</f>
        <v>#REF!</v>
      </c>
      <c r="FW504" t="e">
        <f>AND(#REF!,"AAAAAH/+27I=")</f>
        <v>#REF!</v>
      </c>
      <c r="FX504" t="e">
        <f>AND(#REF!,"AAAAAH/+27M=")</f>
        <v>#REF!</v>
      </c>
      <c r="FY504" t="e">
        <f>AND(#REF!,"AAAAAH/+27Q=")</f>
        <v>#REF!</v>
      </c>
      <c r="FZ504" t="e">
        <f>AND(#REF!,"AAAAAH/+27U=")</f>
        <v>#REF!</v>
      </c>
      <c r="GA504" t="e">
        <f>AND(#REF!,"AAAAAH/+27Y=")</f>
        <v>#REF!</v>
      </c>
      <c r="GB504" t="e">
        <f>AND(#REF!,"AAAAAH/+27c=")</f>
        <v>#REF!</v>
      </c>
      <c r="GC504" t="e">
        <f>AND(#REF!,"AAAAAH/+27g=")</f>
        <v>#REF!</v>
      </c>
      <c r="GD504" t="e">
        <f>AND(#REF!,"AAAAAH/+27k=")</f>
        <v>#REF!</v>
      </c>
      <c r="GE504" t="e">
        <f>AND(#REF!,"AAAAAH/+27o=")</f>
        <v>#REF!</v>
      </c>
      <c r="GF504" t="e">
        <f>AND(#REF!,"AAAAAH/+27s=")</f>
        <v>#REF!</v>
      </c>
      <c r="GG504" t="e">
        <f>IF(#REF!,"AAAAAH/+27w=",0)</f>
        <v>#REF!</v>
      </c>
      <c r="GH504" t="e">
        <f>AND(#REF!,"AAAAAH/+270=")</f>
        <v>#REF!</v>
      </c>
      <c r="GI504" t="e">
        <f>AND(#REF!,"AAAAAH/+274=")</f>
        <v>#REF!</v>
      </c>
      <c r="GJ504" t="e">
        <f>AND(#REF!,"AAAAAH/+278=")</f>
        <v>#REF!</v>
      </c>
      <c r="GK504" t="e">
        <f>AND(#REF!,"AAAAAH/+28A=")</f>
        <v>#REF!</v>
      </c>
      <c r="GL504" t="e">
        <f>AND(#REF!,"AAAAAH/+28E=")</f>
        <v>#REF!</v>
      </c>
      <c r="GM504" t="e">
        <f>AND(#REF!,"AAAAAH/+28I=")</f>
        <v>#REF!</v>
      </c>
      <c r="GN504" t="e">
        <f>AND(#REF!,"AAAAAH/+28M=")</f>
        <v>#REF!</v>
      </c>
      <c r="GO504" t="e">
        <f>AND(#REF!,"AAAAAH/+28Q=")</f>
        <v>#REF!</v>
      </c>
      <c r="GP504" t="e">
        <f>AND(#REF!,"AAAAAH/+28U=")</f>
        <v>#REF!</v>
      </c>
      <c r="GQ504" t="e">
        <f>AND(#REF!,"AAAAAH/+28Y=")</f>
        <v>#REF!</v>
      </c>
      <c r="GR504" t="e">
        <f>IF(#REF!,"AAAAAH/+28c=",0)</f>
        <v>#REF!</v>
      </c>
      <c r="GS504" t="e">
        <f>AND(#REF!,"AAAAAH/+28g=")</f>
        <v>#REF!</v>
      </c>
      <c r="GT504" t="e">
        <f>AND(#REF!,"AAAAAH/+28k=")</f>
        <v>#REF!</v>
      </c>
      <c r="GU504" t="e">
        <f>AND(#REF!,"AAAAAH/+28o=")</f>
        <v>#REF!</v>
      </c>
      <c r="GV504" t="e">
        <f>AND(#REF!,"AAAAAH/+28s=")</f>
        <v>#REF!</v>
      </c>
      <c r="GW504" t="e">
        <f>AND(#REF!,"AAAAAH/+28w=")</f>
        <v>#REF!</v>
      </c>
      <c r="GX504" t="e">
        <f>AND(#REF!,"AAAAAH/+280=")</f>
        <v>#REF!</v>
      </c>
      <c r="GY504" t="e">
        <f>AND(#REF!,"AAAAAH/+284=")</f>
        <v>#REF!</v>
      </c>
      <c r="GZ504" t="e">
        <f>AND(#REF!,"AAAAAH/+288=")</f>
        <v>#REF!</v>
      </c>
      <c r="HA504" t="e">
        <f>AND(#REF!,"AAAAAH/+29A=")</f>
        <v>#REF!</v>
      </c>
      <c r="HB504" t="e">
        <f>AND(#REF!,"AAAAAH/+29E=")</f>
        <v>#REF!</v>
      </c>
      <c r="HC504" t="e">
        <f>IF(#REF!,"AAAAAH/+29I=",0)</f>
        <v>#REF!</v>
      </c>
      <c r="HD504" t="e">
        <f>AND(#REF!,"AAAAAH/+29M=")</f>
        <v>#REF!</v>
      </c>
      <c r="HE504" t="e">
        <f>AND(#REF!,"AAAAAH/+29Q=")</f>
        <v>#REF!</v>
      </c>
      <c r="HF504" t="e">
        <f>AND(#REF!,"AAAAAH/+29U=")</f>
        <v>#REF!</v>
      </c>
      <c r="HG504" t="e">
        <f>AND(#REF!,"AAAAAH/+29Y=")</f>
        <v>#REF!</v>
      </c>
      <c r="HH504" t="e">
        <f>AND(#REF!,"AAAAAH/+29c=")</f>
        <v>#REF!</v>
      </c>
      <c r="HI504" t="e">
        <f>AND(#REF!,"AAAAAH/+29g=")</f>
        <v>#REF!</v>
      </c>
      <c r="HJ504" t="e">
        <f>AND(#REF!,"AAAAAH/+29k=")</f>
        <v>#REF!</v>
      </c>
      <c r="HK504" t="e">
        <f>AND(#REF!,"AAAAAH/+29o=")</f>
        <v>#REF!</v>
      </c>
      <c r="HL504" t="e">
        <f>AND(#REF!,"AAAAAH/+29s=")</f>
        <v>#REF!</v>
      </c>
      <c r="HM504" t="e">
        <f>AND(#REF!,"AAAAAH/+29w=")</f>
        <v>#REF!</v>
      </c>
      <c r="HN504" t="e">
        <f>IF(#REF!,"AAAAAH/+290=",0)</f>
        <v>#REF!</v>
      </c>
      <c r="HO504" t="e">
        <f>AND(#REF!,"AAAAAH/+294=")</f>
        <v>#REF!</v>
      </c>
      <c r="HP504" t="e">
        <f>AND(#REF!,"AAAAAH/+298=")</f>
        <v>#REF!</v>
      </c>
      <c r="HQ504" t="e">
        <f>AND(#REF!,"AAAAAH/+2+A=")</f>
        <v>#REF!</v>
      </c>
      <c r="HR504" t="e">
        <f>AND(#REF!,"AAAAAH/+2+E=")</f>
        <v>#REF!</v>
      </c>
      <c r="HS504" t="e">
        <f>AND(#REF!,"AAAAAH/+2+I=")</f>
        <v>#REF!</v>
      </c>
      <c r="HT504" t="e">
        <f>AND(#REF!,"AAAAAH/+2+M=")</f>
        <v>#REF!</v>
      </c>
      <c r="HU504" t="e">
        <f>AND(#REF!,"AAAAAH/+2+Q=")</f>
        <v>#REF!</v>
      </c>
      <c r="HV504" t="e">
        <f>AND(#REF!,"AAAAAH/+2+U=")</f>
        <v>#REF!</v>
      </c>
      <c r="HW504" t="e">
        <f>AND(#REF!,"AAAAAH/+2+Y=")</f>
        <v>#REF!</v>
      </c>
      <c r="HX504" t="e">
        <f>AND(#REF!,"AAAAAH/+2+c=")</f>
        <v>#REF!</v>
      </c>
      <c r="HY504" t="e">
        <f>IF(#REF!,"AAAAAH/+2+g=",0)</f>
        <v>#REF!</v>
      </c>
      <c r="HZ504" t="e">
        <f>AND(#REF!,"AAAAAH/+2+k=")</f>
        <v>#REF!</v>
      </c>
      <c r="IA504" t="e">
        <f>AND(#REF!,"AAAAAH/+2+o=")</f>
        <v>#REF!</v>
      </c>
      <c r="IB504" t="e">
        <f>AND(#REF!,"AAAAAH/+2+s=")</f>
        <v>#REF!</v>
      </c>
      <c r="IC504" t="e">
        <f>AND(#REF!,"AAAAAH/+2+w=")</f>
        <v>#REF!</v>
      </c>
      <c r="ID504" t="e">
        <f>AND(#REF!,"AAAAAH/+2+0=")</f>
        <v>#REF!</v>
      </c>
      <c r="IE504" t="e">
        <f>AND(#REF!,"AAAAAH/+2+4=")</f>
        <v>#REF!</v>
      </c>
      <c r="IF504" t="e">
        <f>AND(#REF!,"AAAAAH/+2+8=")</f>
        <v>#REF!</v>
      </c>
      <c r="IG504" t="e">
        <f>AND(#REF!,"AAAAAH/+2/A=")</f>
        <v>#REF!</v>
      </c>
      <c r="IH504" t="e">
        <f>AND(#REF!,"AAAAAH/+2/E=")</f>
        <v>#REF!</v>
      </c>
      <c r="II504" t="e">
        <f>AND(#REF!,"AAAAAH/+2/I=")</f>
        <v>#REF!</v>
      </c>
      <c r="IJ504" t="e">
        <f>IF(#REF!,"AAAAAH/+2/M=",0)</f>
        <v>#REF!</v>
      </c>
      <c r="IK504" t="e">
        <f>AND(#REF!,"AAAAAH/+2/Q=")</f>
        <v>#REF!</v>
      </c>
      <c r="IL504" t="e">
        <f>AND(#REF!,"AAAAAH/+2/U=")</f>
        <v>#REF!</v>
      </c>
      <c r="IM504" t="e">
        <f>AND(#REF!,"AAAAAH/+2/Y=")</f>
        <v>#REF!</v>
      </c>
      <c r="IN504" t="e">
        <f>AND(#REF!,"AAAAAH/+2/c=")</f>
        <v>#REF!</v>
      </c>
      <c r="IO504" t="e">
        <f>AND(#REF!,"AAAAAH/+2/g=")</f>
        <v>#REF!</v>
      </c>
      <c r="IP504" t="e">
        <f>AND(#REF!,"AAAAAH/+2/k=")</f>
        <v>#REF!</v>
      </c>
      <c r="IQ504" t="e">
        <f>AND(#REF!,"AAAAAH/+2/o=")</f>
        <v>#REF!</v>
      </c>
      <c r="IR504" t="e">
        <f>AND(#REF!,"AAAAAH/+2/s=")</f>
        <v>#REF!</v>
      </c>
      <c r="IS504" t="e">
        <f>AND(#REF!,"AAAAAH/+2/w=")</f>
        <v>#REF!</v>
      </c>
      <c r="IT504" t="e">
        <f>AND(#REF!,"AAAAAH/+2/0=")</f>
        <v>#REF!</v>
      </c>
      <c r="IU504" t="e">
        <f>IF(#REF!,"AAAAAH/+2/4=",0)</f>
        <v>#REF!</v>
      </c>
      <c r="IV504" t="e">
        <f>AND(#REF!,"AAAAAH/+2/8=")</f>
        <v>#REF!</v>
      </c>
    </row>
    <row r="505" spans="1:256" x14ac:dyDescent="0.25">
      <c r="A505" t="e">
        <f>AND(#REF!,"AAAAAD8d9gA=")</f>
        <v>#REF!</v>
      </c>
      <c r="B505" t="e">
        <f>AND(#REF!,"AAAAAD8d9gE=")</f>
        <v>#REF!</v>
      </c>
      <c r="C505" t="e">
        <f>AND(#REF!,"AAAAAD8d9gI=")</f>
        <v>#REF!</v>
      </c>
      <c r="D505" t="e">
        <f>AND(#REF!,"AAAAAD8d9gM=")</f>
        <v>#REF!</v>
      </c>
      <c r="E505" t="e">
        <f>AND(#REF!,"AAAAAD8d9gQ=")</f>
        <v>#REF!</v>
      </c>
      <c r="F505" t="e">
        <f>AND(#REF!,"AAAAAD8d9gU=")</f>
        <v>#REF!</v>
      </c>
      <c r="G505" t="e">
        <f>AND(#REF!,"AAAAAD8d9gY=")</f>
        <v>#REF!</v>
      </c>
      <c r="H505" t="e">
        <f>AND(#REF!,"AAAAAD8d9gc=")</f>
        <v>#REF!</v>
      </c>
      <c r="I505" t="e">
        <f>AND(#REF!,"AAAAAD8d9gg=")</f>
        <v>#REF!</v>
      </c>
      <c r="J505" t="e">
        <f>IF(#REF!,"AAAAAD8d9gk=",0)</f>
        <v>#REF!</v>
      </c>
      <c r="K505" t="e">
        <f>AND(#REF!,"AAAAAD8d9go=")</f>
        <v>#REF!</v>
      </c>
      <c r="L505" t="e">
        <f>AND(#REF!,"AAAAAD8d9gs=")</f>
        <v>#REF!</v>
      </c>
      <c r="M505" t="e">
        <f>AND(#REF!,"AAAAAD8d9gw=")</f>
        <v>#REF!</v>
      </c>
      <c r="N505" t="e">
        <f>AND(#REF!,"AAAAAD8d9g0=")</f>
        <v>#REF!</v>
      </c>
      <c r="O505" t="e">
        <f>AND(#REF!,"AAAAAD8d9g4=")</f>
        <v>#REF!</v>
      </c>
      <c r="P505" t="e">
        <f>AND(#REF!,"AAAAAD8d9g8=")</f>
        <v>#REF!</v>
      </c>
      <c r="Q505" t="e">
        <f>AND(#REF!,"AAAAAD8d9hA=")</f>
        <v>#REF!</v>
      </c>
      <c r="R505" t="e">
        <f>AND(#REF!,"AAAAAD8d9hE=")</f>
        <v>#REF!</v>
      </c>
      <c r="S505" t="e">
        <f>AND(#REF!,"AAAAAD8d9hI=")</f>
        <v>#REF!</v>
      </c>
      <c r="T505" t="e">
        <f>AND(#REF!,"AAAAAD8d9hM=")</f>
        <v>#REF!</v>
      </c>
      <c r="U505" t="e">
        <f>IF(#REF!,"AAAAAD8d9hQ=",0)</f>
        <v>#REF!</v>
      </c>
      <c r="V505" t="e">
        <f>AND(#REF!,"AAAAAD8d9hU=")</f>
        <v>#REF!</v>
      </c>
      <c r="W505" t="e">
        <f>AND(#REF!,"AAAAAD8d9hY=")</f>
        <v>#REF!</v>
      </c>
      <c r="X505" t="e">
        <f>AND(#REF!,"AAAAAD8d9hc=")</f>
        <v>#REF!</v>
      </c>
      <c r="Y505" t="e">
        <f>AND(#REF!,"AAAAAD8d9hg=")</f>
        <v>#REF!</v>
      </c>
      <c r="Z505" t="e">
        <f>AND(#REF!,"AAAAAD8d9hk=")</f>
        <v>#REF!</v>
      </c>
      <c r="AA505" t="e">
        <f>AND(#REF!,"AAAAAD8d9ho=")</f>
        <v>#REF!</v>
      </c>
      <c r="AB505" t="e">
        <f>AND(#REF!,"AAAAAD8d9hs=")</f>
        <v>#REF!</v>
      </c>
      <c r="AC505" t="e">
        <f>AND(#REF!,"AAAAAD8d9hw=")</f>
        <v>#REF!</v>
      </c>
      <c r="AD505" t="e">
        <f>AND(#REF!,"AAAAAD8d9h0=")</f>
        <v>#REF!</v>
      </c>
      <c r="AE505" t="e">
        <f>AND(#REF!,"AAAAAD8d9h4=")</f>
        <v>#REF!</v>
      </c>
      <c r="AF505" t="e">
        <f>IF(#REF!,"AAAAAD8d9h8=",0)</f>
        <v>#REF!</v>
      </c>
      <c r="AG505" t="e">
        <f>AND(#REF!,"AAAAAD8d9iA=")</f>
        <v>#REF!</v>
      </c>
      <c r="AH505" t="e">
        <f>AND(#REF!,"AAAAAD8d9iE=")</f>
        <v>#REF!</v>
      </c>
      <c r="AI505" t="e">
        <f>AND(#REF!,"AAAAAD8d9iI=")</f>
        <v>#REF!</v>
      </c>
      <c r="AJ505" t="e">
        <f>AND(#REF!,"AAAAAD8d9iM=")</f>
        <v>#REF!</v>
      </c>
      <c r="AK505" t="e">
        <f>AND(#REF!,"AAAAAD8d9iQ=")</f>
        <v>#REF!</v>
      </c>
      <c r="AL505" t="e">
        <f>AND(#REF!,"AAAAAD8d9iU=")</f>
        <v>#REF!</v>
      </c>
      <c r="AM505" t="e">
        <f>AND(#REF!,"AAAAAD8d9iY=")</f>
        <v>#REF!</v>
      </c>
      <c r="AN505" t="e">
        <f>AND(#REF!,"AAAAAD8d9ic=")</f>
        <v>#REF!</v>
      </c>
      <c r="AO505" t="e">
        <f>AND(#REF!,"AAAAAD8d9ig=")</f>
        <v>#REF!</v>
      </c>
      <c r="AP505" t="e">
        <f>AND(#REF!,"AAAAAD8d9ik=")</f>
        <v>#REF!</v>
      </c>
      <c r="AQ505" t="e">
        <f>IF(#REF!,"AAAAAD8d9io=",0)</f>
        <v>#REF!</v>
      </c>
      <c r="AR505" t="e">
        <f>AND(#REF!,"AAAAAD8d9is=")</f>
        <v>#REF!</v>
      </c>
      <c r="AS505" t="e">
        <f>AND(#REF!,"AAAAAD8d9iw=")</f>
        <v>#REF!</v>
      </c>
      <c r="AT505" t="e">
        <f>AND(#REF!,"AAAAAD8d9i0=")</f>
        <v>#REF!</v>
      </c>
      <c r="AU505" t="e">
        <f>AND(#REF!,"AAAAAD8d9i4=")</f>
        <v>#REF!</v>
      </c>
      <c r="AV505" t="e">
        <f>AND(#REF!,"AAAAAD8d9i8=")</f>
        <v>#REF!</v>
      </c>
      <c r="AW505" t="e">
        <f>AND(#REF!,"AAAAAD8d9jA=")</f>
        <v>#REF!</v>
      </c>
      <c r="AX505" t="e">
        <f>AND(#REF!,"AAAAAD8d9jE=")</f>
        <v>#REF!</v>
      </c>
      <c r="AY505" t="e">
        <f>AND(#REF!,"AAAAAD8d9jI=")</f>
        <v>#REF!</v>
      </c>
      <c r="AZ505" t="e">
        <f>AND(#REF!,"AAAAAD8d9jM=")</f>
        <v>#REF!</v>
      </c>
      <c r="BA505" t="e">
        <f>AND(#REF!,"AAAAAD8d9jQ=")</f>
        <v>#REF!</v>
      </c>
      <c r="BB505" t="e">
        <f>IF(#REF!,"AAAAAD8d9jU=",0)</f>
        <v>#REF!</v>
      </c>
      <c r="BC505" t="e">
        <f>AND(#REF!,"AAAAAD8d9jY=")</f>
        <v>#REF!</v>
      </c>
      <c r="BD505" t="e">
        <f>AND(#REF!,"AAAAAD8d9jc=")</f>
        <v>#REF!</v>
      </c>
      <c r="BE505" t="e">
        <f>AND(#REF!,"AAAAAD8d9jg=")</f>
        <v>#REF!</v>
      </c>
      <c r="BF505" t="e">
        <f>AND(#REF!,"AAAAAD8d9jk=")</f>
        <v>#REF!</v>
      </c>
      <c r="BG505" t="e">
        <f>AND(#REF!,"AAAAAD8d9jo=")</f>
        <v>#REF!</v>
      </c>
      <c r="BH505" t="e">
        <f>AND(#REF!,"AAAAAD8d9js=")</f>
        <v>#REF!</v>
      </c>
      <c r="BI505" t="e">
        <f>AND(#REF!,"AAAAAD8d9jw=")</f>
        <v>#REF!</v>
      </c>
      <c r="BJ505" t="e">
        <f>AND(#REF!,"AAAAAD8d9j0=")</f>
        <v>#REF!</v>
      </c>
      <c r="BK505" t="e">
        <f>AND(#REF!,"AAAAAD8d9j4=")</f>
        <v>#REF!</v>
      </c>
      <c r="BL505" t="e">
        <f>AND(#REF!,"AAAAAD8d9j8=")</f>
        <v>#REF!</v>
      </c>
      <c r="BM505" t="e">
        <f>IF(#REF!,"AAAAAD8d9kA=",0)</f>
        <v>#REF!</v>
      </c>
      <c r="BN505" t="e">
        <f>AND(#REF!,"AAAAAD8d9kE=")</f>
        <v>#REF!</v>
      </c>
      <c r="BO505" t="e">
        <f>AND(#REF!,"AAAAAD8d9kI=")</f>
        <v>#REF!</v>
      </c>
      <c r="BP505" t="e">
        <f>AND(#REF!,"AAAAAD8d9kM=")</f>
        <v>#REF!</v>
      </c>
      <c r="BQ505" t="e">
        <f>AND(#REF!,"AAAAAD8d9kQ=")</f>
        <v>#REF!</v>
      </c>
      <c r="BR505" t="e">
        <f>AND(#REF!,"AAAAAD8d9kU=")</f>
        <v>#REF!</v>
      </c>
      <c r="BS505" t="e">
        <f>AND(#REF!,"AAAAAD8d9kY=")</f>
        <v>#REF!</v>
      </c>
      <c r="BT505" t="e">
        <f>AND(#REF!,"AAAAAD8d9kc=")</f>
        <v>#REF!</v>
      </c>
      <c r="BU505" t="e">
        <f>AND(#REF!,"AAAAAD8d9kg=")</f>
        <v>#REF!</v>
      </c>
      <c r="BV505" t="e">
        <f>AND(#REF!,"AAAAAD8d9kk=")</f>
        <v>#REF!</v>
      </c>
      <c r="BW505" t="e">
        <f>AND(#REF!,"AAAAAD8d9ko=")</f>
        <v>#REF!</v>
      </c>
      <c r="BX505" t="e">
        <f>IF(#REF!,"AAAAAD8d9ks=",0)</f>
        <v>#REF!</v>
      </c>
      <c r="BY505" t="e">
        <f>AND(#REF!,"AAAAAD8d9kw=")</f>
        <v>#REF!</v>
      </c>
      <c r="BZ505" t="e">
        <f>AND(#REF!,"AAAAAD8d9k0=")</f>
        <v>#REF!</v>
      </c>
      <c r="CA505" t="e">
        <f>AND(#REF!,"AAAAAD8d9k4=")</f>
        <v>#REF!</v>
      </c>
      <c r="CB505" t="e">
        <f>AND(#REF!,"AAAAAD8d9k8=")</f>
        <v>#REF!</v>
      </c>
      <c r="CC505" t="e">
        <f>AND(#REF!,"AAAAAD8d9lA=")</f>
        <v>#REF!</v>
      </c>
      <c r="CD505" t="e">
        <f>AND(#REF!,"AAAAAD8d9lE=")</f>
        <v>#REF!</v>
      </c>
      <c r="CE505" t="e">
        <f>AND(#REF!,"AAAAAD8d9lI=")</f>
        <v>#REF!</v>
      </c>
      <c r="CF505" t="e">
        <f>AND(#REF!,"AAAAAD8d9lM=")</f>
        <v>#REF!</v>
      </c>
      <c r="CG505" t="e">
        <f>AND(#REF!,"AAAAAD8d9lQ=")</f>
        <v>#REF!</v>
      </c>
      <c r="CH505" t="e">
        <f>AND(#REF!,"AAAAAD8d9lU=")</f>
        <v>#REF!</v>
      </c>
      <c r="CI505" t="e">
        <f>IF(#REF!,"AAAAAD8d9lY=",0)</f>
        <v>#REF!</v>
      </c>
      <c r="CJ505" t="e">
        <f>AND(#REF!,"AAAAAD8d9lc=")</f>
        <v>#REF!</v>
      </c>
      <c r="CK505" t="e">
        <f>AND(#REF!,"AAAAAD8d9lg=")</f>
        <v>#REF!</v>
      </c>
      <c r="CL505" t="e">
        <f>AND(#REF!,"AAAAAD8d9lk=")</f>
        <v>#REF!</v>
      </c>
      <c r="CM505" t="e">
        <f>AND(#REF!,"AAAAAD8d9lo=")</f>
        <v>#REF!</v>
      </c>
      <c r="CN505" t="e">
        <f>AND(#REF!,"AAAAAD8d9ls=")</f>
        <v>#REF!</v>
      </c>
      <c r="CO505" t="e">
        <f>AND(#REF!,"AAAAAD8d9lw=")</f>
        <v>#REF!</v>
      </c>
      <c r="CP505" t="e">
        <f>AND(#REF!,"AAAAAD8d9l0=")</f>
        <v>#REF!</v>
      </c>
      <c r="CQ505" t="e">
        <f>AND(#REF!,"AAAAAD8d9l4=")</f>
        <v>#REF!</v>
      </c>
      <c r="CR505" t="e">
        <f>AND(#REF!,"AAAAAD8d9l8=")</f>
        <v>#REF!</v>
      </c>
      <c r="CS505" t="e">
        <f>AND(#REF!,"AAAAAD8d9mA=")</f>
        <v>#REF!</v>
      </c>
      <c r="CT505" t="e">
        <f>IF(#REF!,"AAAAAD8d9mE=",0)</f>
        <v>#REF!</v>
      </c>
      <c r="CU505" t="e">
        <f>AND(#REF!,"AAAAAD8d9mI=")</f>
        <v>#REF!</v>
      </c>
      <c r="CV505" t="e">
        <f>AND(#REF!,"AAAAAD8d9mM=")</f>
        <v>#REF!</v>
      </c>
      <c r="CW505" t="e">
        <f>AND(#REF!,"AAAAAD8d9mQ=")</f>
        <v>#REF!</v>
      </c>
      <c r="CX505" t="e">
        <f>AND(#REF!,"AAAAAD8d9mU=")</f>
        <v>#REF!</v>
      </c>
      <c r="CY505" t="e">
        <f>AND(#REF!,"AAAAAD8d9mY=")</f>
        <v>#REF!</v>
      </c>
      <c r="CZ505" t="e">
        <f>AND(#REF!,"AAAAAD8d9mc=")</f>
        <v>#REF!</v>
      </c>
      <c r="DA505" t="e">
        <f>AND(#REF!,"AAAAAD8d9mg=")</f>
        <v>#REF!</v>
      </c>
      <c r="DB505" t="e">
        <f>AND(#REF!,"AAAAAD8d9mk=")</f>
        <v>#REF!</v>
      </c>
      <c r="DC505" t="e">
        <f>AND(#REF!,"AAAAAD8d9mo=")</f>
        <v>#REF!</v>
      </c>
      <c r="DD505" t="e">
        <f>AND(#REF!,"AAAAAD8d9ms=")</f>
        <v>#REF!</v>
      </c>
      <c r="DE505" t="e">
        <f>IF(#REF!,"AAAAAD8d9mw=",0)</f>
        <v>#REF!</v>
      </c>
      <c r="DF505" t="e">
        <f>AND(#REF!,"AAAAAD8d9m0=")</f>
        <v>#REF!</v>
      </c>
      <c r="DG505" t="e">
        <f>AND(#REF!,"AAAAAD8d9m4=")</f>
        <v>#REF!</v>
      </c>
      <c r="DH505" t="e">
        <f>AND(#REF!,"AAAAAD8d9m8=")</f>
        <v>#REF!</v>
      </c>
      <c r="DI505" t="e">
        <f>AND(#REF!,"AAAAAD8d9nA=")</f>
        <v>#REF!</v>
      </c>
      <c r="DJ505" t="e">
        <f>AND(#REF!,"AAAAAD8d9nE=")</f>
        <v>#REF!</v>
      </c>
      <c r="DK505" t="e">
        <f>AND(#REF!,"AAAAAD8d9nI=")</f>
        <v>#REF!</v>
      </c>
      <c r="DL505" t="e">
        <f>AND(#REF!,"AAAAAD8d9nM=")</f>
        <v>#REF!</v>
      </c>
      <c r="DM505" t="e">
        <f>AND(#REF!,"AAAAAD8d9nQ=")</f>
        <v>#REF!</v>
      </c>
      <c r="DN505" t="e">
        <f>AND(#REF!,"AAAAAD8d9nU=")</f>
        <v>#REF!</v>
      </c>
      <c r="DO505" t="e">
        <f>AND(#REF!,"AAAAAD8d9nY=")</f>
        <v>#REF!</v>
      </c>
      <c r="DP505" t="e">
        <f>IF(#REF!,"AAAAAD8d9nc=",0)</f>
        <v>#REF!</v>
      </c>
      <c r="DQ505" t="e">
        <f>AND(#REF!,"AAAAAD8d9ng=")</f>
        <v>#REF!</v>
      </c>
      <c r="DR505" t="e">
        <f>AND(#REF!,"AAAAAD8d9nk=")</f>
        <v>#REF!</v>
      </c>
      <c r="DS505" t="e">
        <f>AND(#REF!,"AAAAAD8d9no=")</f>
        <v>#REF!</v>
      </c>
      <c r="DT505" t="e">
        <f>AND(#REF!,"AAAAAD8d9ns=")</f>
        <v>#REF!</v>
      </c>
      <c r="DU505" t="e">
        <f>AND(#REF!,"AAAAAD8d9nw=")</f>
        <v>#REF!</v>
      </c>
      <c r="DV505" t="e">
        <f>AND(#REF!,"AAAAAD8d9n0=")</f>
        <v>#REF!</v>
      </c>
      <c r="DW505" t="e">
        <f>AND(#REF!,"AAAAAD8d9n4=")</f>
        <v>#REF!</v>
      </c>
      <c r="DX505" t="e">
        <f>AND(#REF!,"AAAAAD8d9n8=")</f>
        <v>#REF!</v>
      </c>
      <c r="DY505" t="e">
        <f>AND(#REF!,"AAAAAD8d9oA=")</f>
        <v>#REF!</v>
      </c>
      <c r="DZ505" t="e">
        <f>AND(#REF!,"AAAAAD8d9oE=")</f>
        <v>#REF!</v>
      </c>
      <c r="EA505" t="e">
        <f>IF(#REF!,"AAAAAD8d9oI=",0)</f>
        <v>#REF!</v>
      </c>
      <c r="EB505" t="e">
        <f>AND(#REF!,"AAAAAD8d9oM=")</f>
        <v>#REF!</v>
      </c>
      <c r="EC505" t="e">
        <f>AND(#REF!,"AAAAAD8d9oQ=")</f>
        <v>#REF!</v>
      </c>
      <c r="ED505" t="e">
        <f>AND(#REF!,"AAAAAD8d9oU=")</f>
        <v>#REF!</v>
      </c>
      <c r="EE505" t="e">
        <f>AND(#REF!,"AAAAAD8d9oY=")</f>
        <v>#REF!</v>
      </c>
      <c r="EF505" t="e">
        <f>AND(#REF!,"AAAAAD8d9oc=")</f>
        <v>#REF!</v>
      </c>
      <c r="EG505" t="e">
        <f>AND(#REF!,"AAAAAD8d9og=")</f>
        <v>#REF!</v>
      </c>
      <c r="EH505" t="e">
        <f>AND(#REF!,"AAAAAD8d9ok=")</f>
        <v>#REF!</v>
      </c>
      <c r="EI505" t="e">
        <f>AND(#REF!,"AAAAAD8d9oo=")</f>
        <v>#REF!</v>
      </c>
      <c r="EJ505" t="e">
        <f>AND(#REF!,"AAAAAD8d9os=")</f>
        <v>#REF!</v>
      </c>
      <c r="EK505" t="e">
        <f>AND(#REF!,"AAAAAD8d9ow=")</f>
        <v>#REF!</v>
      </c>
      <c r="EL505" t="e">
        <f>IF(#REF!,"AAAAAD8d9o0=",0)</f>
        <v>#REF!</v>
      </c>
      <c r="EM505" t="e">
        <f>AND(#REF!,"AAAAAD8d9o4=")</f>
        <v>#REF!</v>
      </c>
      <c r="EN505" t="e">
        <f>AND(#REF!,"AAAAAD8d9o8=")</f>
        <v>#REF!</v>
      </c>
      <c r="EO505" t="e">
        <f>AND(#REF!,"AAAAAD8d9pA=")</f>
        <v>#REF!</v>
      </c>
      <c r="EP505" t="e">
        <f>AND(#REF!,"AAAAAD8d9pE=")</f>
        <v>#REF!</v>
      </c>
      <c r="EQ505" t="e">
        <f>AND(#REF!,"AAAAAD8d9pI=")</f>
        <v>#REF!</v>
      </c>
      <c r="ER505" t="e">
        <f>AND(#REF!,"AAAAAD8d9pM=")</f>
        <v>#REF!</v>
      </c>
      <c r="ES505" t="e">
        <f>AND(#REF!,"AAAAAD8d9pQ=")</f>
        <v>#REF!</v>
      </c>
      <c r="ET505" t="e">
        <f>AND(#REF!,"AAAAAD8d9pU=")</f>
        <v>#REF!</v>
      </c>
      <c r="EU505" t="e">
        <f>AND(#REF!,"AAAAAD8d9pY=")</f>
        <v>#REF!</v>
      </c>
      <c r="EV505" t="e">
        <f>AND(#REF!,"AAAAAD8d9pc=")</f>
        <v>#REF!</v>
      </c>
      <c r="EW505" t="e">
        <f>IF(#REF!,"AAAAAD8d9pg=",0)</f>
        <v>#REF!</v>
      </c>
      <c r="EX505" t="e">
        <f>AND(#REF!,"AAAAAD8d9pk=")</f>
        <v>#REF!</v>
      </c>
      <c r="EY505" t="e">
        <f>AND(#REF!,"AAAAAD8d9po=")</f>
        <v>#REF!</v>
      </c>
      <c r="EZ505" t="e">
        <f>AND(#REF!,"AAAAAD8d9ps=")</f>
        <v>#REF!</v>
      </c>
      <c r="FA505" t="e">
        <f>AND(#REF!,"AAAAAD8d9pw=")</f>
        <v>#REF!</v>
      </c>
      <c r="FB505" t="e">
        <f>AND(#REF!,"AAAAAD8d9p0=")</f>
        <v>#REF!</v>
      </c>
      <c r="FC505" t="e">
        <f>AND(#REF!,"AAAAAD8d9p4=")</f>
        <v>#REF!</v>
      </c>
      <c r="FD505" t="e">
        <f>AND(#REF!,"AAAAAD8d9p8=")</f>
        <v>#REF!</v>
      </c>
      <c r="FE505" t="e">
        <f>AND(#REF!,"AAAAAD8d9qA=")</f>
        <v>#REF!</v>
      </c>
      <c r="FF505" t="e">
        <f>AND(#REF!,"AAAAAD8d9qE=")</f>
        <v>#REF!</v>
      </c>
      <c r="FG505" t="e">
        <f>AND(#REF!,"AAAAAD8d9qI=")</f>
        <v>#REF!</v>
      </c>
      <c r="FH505" t="e">
        <f>IF(#REF!,"AAAAAD8d9qM=",0)</f>
        <v>#REF!</v>
      </c>
      <c r="FI505" t="e">
        <f>AND(#REF!,"AAAAAD8d9qQ=")</f>
        <v>#REF!</v>
      </c>
      <c r="FJ505" t="e">
        <f>AND(#REF!,"AAAAAD8d9qU=")</f>
        <v>#REF!</v>
      </c>
      <c r="FK505" t="e">
        <f>AND(#REF!,"AAAAAD8d9qY=")</f>
        <v>#REF!</v>
      </c>
      <c r="FL505" t="e">
        <f>AND(#REF!,"AAAAAD8d9qc=")</f>
        <v>#REF!</v>
      </c>
      <c r="FM505" t="e">
        <f>AND(#REF!,"AAAAAD8d9qg=")</f>
        <v>#REF!</v>
      </c>
      <c r="FN505" t="e">
        <f>AND(#REF!,"AAAAAD8d9qk=")</f>
        <v>#REF!</v>
      </c>
      <c r="FO505" t="e">
        <f>AND(#REF!,"AAAAAD8d9qo=")</f>
        <v>#REF!</v>
      </c>
      <c r="FP505" t="e">
        <f>AND(#REF!,"AAAAAD8d9qs=")</f>
        <v>#REF!</v>
      </c>
      <c r="FQ505" t="e">
        <f>AND(#REF!,"AAAAAD8d9qw=")</f>
        <v>#REF!</v>
      </c>
      <c r="FR505" t="e">
        <f>AND(#REF!,"AAAAAD8d9q0=")</f>
        <v>#REF!</v>
      </c>
      <c r="FS505" t="e">
        <f>IF(#REF!,"AAAAAD8d9q4=",0)</f>
        <v>#REF!</v>
      </c>
      <c r="FT505" t="e">
        <f>AND(#REF!,"AAAAAD8d9q8=")</f>
        <v>#REF!</v>
      </c>
      <c r="FU505" t="e">
        <f>AND(#REF!,"AAAAAD8d9rA=")</f>
        <v>#REF!</v>
      </c>
      <c r="FV505" t="e">
        <f>AND(#REF!,"AAAAAD8d9rE=")</f>
        <v>#REF!</v>
      </c>
      <c r="FW505" t="e">
        <f>AND(#REF!,"AAAAAD8d9rI=")</f>
        <v>#REF!</v>
      </c>
      <c r="FX505" t="e">
        <f>AND(#REF!,"AAAAAD8d9rM=")</f>
        <v>#REF!</v>
      </c>
      <c r="FY505" t="e">
        <f>AND(#REF!,"AAAAAD8d9rQ=")</f>
        <v>#REF!</v>
      </c>
      <c r="FZ505" t="e">
        <f>AND(#REF!,"AAAAAD8d9rU=")</f>
        <v>#REF!</v>
      </c>
      <c r="GA505" t="e">
        <f>AND(#REF!,"AAAAAD8d9rY=")</f>
        <v>#REF!</v>
      </c>
      <c r="GB505" t="e">
        <f>AND(#REF!,"AAAAAD8d9rc=")</f>
        <v>#REF!</v>
      </c>
      <c r="GC505" t="e">
        <f>AND(#REF!,"AAAAAD8d9rg=")</f>
        <v>#REF!</v>
      </c>
      <c r="GD505" t="e">
        <f>IF(#REF!,"AAAAAD8d9rk=",0)</f>
        <v>#REF!</v>
      </c>
      <c r="GE505" t="e">
        <f>AND(#REF!,"AAAAAD8d9ro=")</f>
        <v>#REF!</v>
      </c>
      <c r="GF505" t="e">
        <f>AND(#REF!,"AAAAAD8d9rs=")</f>
        <v>#REF!</v>
      </c>
      <c r="GG505" t="e">
        <f>AND(#REF!,"AAAAAD8d9rw=")</f>
        <v>#REF!</v>
      </c>
      <c r="GH505" t="e">
        <f>AND(#REF!,"AAAAAD8d9r0=")</f>
        <v>#REF!</v>
      </c>
      <c r="GI505" t="e">
        <f>AND(#REF!,"AAAAAD8d9r4=")</f>
        <v>#REF!</v>
      </c>
      <c r="GJ505" t="e">
        <f>AND(#REF!,"AAAAAD8d9r8=")</f>
        <v>#REF!</v>
      </c>
      <c r="GK505" t="e">
        <f>AND(#REF!,"AAAAAD8d9sA=")</f>
        <v>#REF!</v>
      </c>
      <c r="GL505" t="e">
        <f>AND(#REF!,"AAAAAD8d9sE=")</f>
        <v>#REF!</v>
      </c>
      <c r="GM505" t="e">
        <f>AND(#REF!,"AAAAAD8d9sI=")</f>
        <v>#REF!</v>
      </c>
      <c r="GN505" t="e">
        <f>AND(#REF!,"AAAAAD8d9sM=")</f>
        <v>#REF!</v>
      </c>
      <c r="GO505" t="e">
        <f>IF(#REF!,"AAAAAD8d9sQ=",0)</f>
        <v>#REF!</v>
      </c>
      <c r="GP505" t="e">
        <f>AND(#REF!,"AAAAAD8d9sU=")</f>
        <v>#REF!</v>
      </c>
      <c r="GQ505" t="e">
        <f>AND(#REF!,"AAAAAD8d9sY=")</f>
        <v>#REF!</v>
      </c>
      <c r="GR505" t="e">
        <f>AND(#REF!,"AAAAAD8d9sc=")</f>
        <v>#REF!</v>
      </c>
      <c r="GS505" t="e">
        <f>AND(#REF!,"AAAAAD8d9sg=")</f>
        <v>#REF!</v>
      </c>
      <c r="GT505" t="e">
        <f>AND(#REF!,"AAAAAD8d9sk=")</f>
        <v>#REF!</v>
      </c>
      <c r="GU505" t="e">
        <f>AND(#REF!,"AAAAAD8d9so=")</f>
        <v>#REF!</v>
      </c>
      <c r="GV505" t="e">
        <f>AND(#REF!,"AAAAAD8d9ss=")</f>
        <v>#REF!</v>
      </c>
      <c r="GW505" t="e">
        <f>AND(#REF!,"AAAAAD8d9sw=")</f>
        <v>#REF!</v>
      </c>
      <c r="GX505" t="e">
        <f>AND(#REF!,"AAAAAD8d9s0=")</f>
        <v>#REF!</v>
      </c>
      <c r="GY505" t="e">
        <f>AND(#REF!,"AAAAAD8d9s4=")</f>
        <v>#REF!</v>
      </c>
      <c r="GZ505" t="e">
        <f>IF(#REF!,"AAAAAD8d9s8=",0)</f>
        <v>#REF!</v>
      </c>
      <c r="HA505" t="e">
        <f>AND(#REF!,"AAAAAD8d9tA=")</f>
        <v>#REF!</v>
      </c>
      <c r="HB505" t="e">
        <f>AND(#REF!,"AAAAAD8d9tE=")</f>
        <v>#REF!</v>
      </c>
      <c r="HC505" t="e">
        <f>AND(#REF!,"AAAAAD8d9tI=")</f>
        <v>#REF!</v>
      </c>
      <c r="HD505" t="e">
        <f>AND(#REF!,"AAAAAD8d9tM=")</f>
        <v>#REF!</v>
      </c>
      <c r="HE505" t="e">
        <f>AND(#REF!,"AAAAAD8d9tQ=")</f>
        <v>#REF!</v>
      </c>
      <c r="HF505" t="e">
        <f>AND(#REF!,"AAAAAD8d9tU=")</f>
        <v>#REF!</v>
      </c>
      <c r="HG505" t="e">
        <f>AND(#REF!,"AAAAAD8d9tY=")</f>
        <v>#REF!</v>
      </c>
      <c r="HH505" t="e">
        <f>AND(#REF!,"AAAAAD8d9tc=")</f>
        <v>#REF!</v>
      </c>
      <c r="HI505" t="e">
        <f>AND(#REF!,"AAAAAD8d9tg=")</f>
        <v>#REF!</v>
      </c>
      <c r="HJ505" t="e">
        <f>AND(#REF!,"AAAAAD8d9tk=")</f>
        <v>#REF!</v>
      </c>
      <c r="HK505" t="e">
        <f>IF(#REF!,"AAAAAD8d9to=",0)</f>
        <v>#REF!</v>
      </c>
      <c r="HL505" t="e">
        <f>AND(#REF!,"AAAAAD8d9ts=")</f>
        <v>#REF!</v>
      </c>
      <c r="HM505" t="e">
        <f>AND(#REF!,"AAAAAD8d9tw=")</f>
        <v>#REF!</v>
      </c>
      <c r="HN505" t="e">
        <f>AND(#REF!,"AAAAAD8d9t0=")</f>
        <v>#REF!</v>
      </c>
      <c r="HO505" t="e">
        <f>AND(#REF!,"AAAAAD8d9t4=")</f>
        <v>#REF!</v>
      </c>
      <c r="HP505" t="e">
        <f>AND(#REF!,"AAAAAD8d9t8=")</f>
        <v>#REF!</v>
      </c>
      <c r="HQ505" t="e">
        <f>AND(#REF!,"AAAAAD8d9uA=")</f>
        <v>#REF!</v>
      </c>
      <c r="HR505" t="e">
        <f>AND(#REF!,"AAAAAD8d9uE=")</f>
        <v>#REF!</v>
      </c>
      <c r="HS505" t="e">
        <f>AND(#REF!,"AAAAAD8d9uI=")</f>
        <v>#REF!</v>
      </c>
      <c r="HT505" t="e">
        <f>AND(#REF!,"AAAAAD8d9uM=")</f>
        <v>#REF!</v>
      </c>
      <c r="HU505" t="e">
        <f>AND(#REF!,"AAAAAD8d9uQ=")</f>
        <v>#REF!</v>
      </c>
      <c r="HV505" t="e">
        <f>IF(#REF!,"AAAAAD8d9uU=",0)</f>
        <v>#REF!</v>
      </c>
      <c r="HW505" t="e">
        <f>AND(#REF!,"AAAAAD8d9uY=")</f>
        <v>#REF!</v>
      </c>
      <c r="HX505" t="e">
        <f>AND(#REF!,"AAAAAD8d9uc=")</f>
        <v>#REF!</v>
      </c>
      <c r="HY505" t="e">
        <f>AND(#REF!,"AAAAAD8d9ug=")</f>
        <v>#REF!</v>
      </c>
      <c r="HZ505" t="e">
        <f>AND(#REF!,"AAAAAD8d9uk=")</f>
        <v>#REF!</v>
      </c>
      <c r="IA505" t="e">
        <f>AND(#REF!,"AAAAAD8d9uo=")</f>
        <v>#REF!</v>
      </c>
      <c r="IB505" t="e">
        <f>AND(#REF!,"AAAAAD8d9us=")</f>
        <v>#REF!</v>
      </c>
      <c r="IC505" t="e">
        <f>AND(#REF!,"AAAAAD8d9uw=")</f>
        <v>#REF!</v>
      </c>
      <c r="ID505" t="e">
        <f>AND(#REF!,"AAAAAD8d9u0=")</f>
        <v>#REF!</v>
      </c>
      <c r="IE505" t="e">
        <f>AND(#REF!,"AAAAAD8d9u4=")</f>
        <v>#REF!</v>
      </c>
      <c r="IF505" t="e">
        <f>AND(#REF!,"AAAAAD8d9u8=")</f>
        <v>#REF!</v>
      </c>
      <c r="IG505" t="e">
        <f>IF(#REF!,"AAAAAD8d9vA=",0)</f>
        <v>#REF!</v>
      </c>
      <c r="IH505" t="e">
        <f>AND(#REF!,"AAAAAD8d9vE=")</f>
        <v>#REF!</v>
      </c>
      <c r="II505" t="e">
        <f>AND(#REF!,"AAAAAD8d9vI=")</f>
        <v>#REF!</v>
      </c>
      <c r="IJ505" t="e">
        <f>AND(#REF!,"AAAAAD8d9vM=")</f>
        <v>#REF!</v>
      </c>
      <c r="IK505" t="e">
        <f>AND(#REF!,"AAAAAD8d9vQ=")</f>
        <v>#REF!</v>
      </c>
      <c r="IL505" t="e">
        <f>AND(#REF!,"AAAAAD8d9vU=")</f>
        <v>#REF!</v>
      </c>
      <c r="IM505" t="e">
        <f>AND(#REF!,"AAAAAD8d9vY=")</f>
        <v>#REF!</v>
      </c>
      <c r="IN505" t="e">
        <f>AND(#REF!,"AAAAAD8d9vc=")</f>
        <v>#REF!</v>
      </c>
      <c r="IO505" t="e">
        <f>AND(#REF!,"AAAAAD8d9vg=")</f>
        <v>#REF!</v>
      </c>
      <c r="IP505" t="e">
        <f>AND(#REF!,"AAAAAD8d9vk=")</f>
        <v>#REF!</v>
      </c>
      <c r="IQ505" t="e">
        <f>AND(#REF!,"AAAAAD8d9vo=")</f>
        <v>#REF!</v>
      </c>
      <c r="IR505" t="e">
        <f>IF(#REF!,"AAAAAD8d9vs=",0)</f>
        <v>#REF!</v>
      </c>
      <c r="IS505" t="e">
        <f>AND(#REF!,"AAAAAD8d9vw=")</f>
        <v>#REF!</v>
      </c>
      <c r="IT505" t="e">
        <f>AND(#REF!,"AAAAAD8d9v0=")</f>
        <v>#REF!</v>
      </c>
      <c r="IU505" t="e">
        <f>AND(#REF!,"AAAAAD8d9v4=")</f>
        <v>#REF!</v>
      </c>
      <c r="IV505" t="e">
        <f>AND(#REF!,"AAAAAD8d9v8=")</f>
        <v>#REF!</v>
      </c>
    </row>
    <row r="506" spans="1:256" x14ac:dyDescent="0.25">
      <c r="A506" t="e">
        <f>AND(#REF!,"AAAAAHq93QA=")</f>
        <v>#REF!</v>
      </c>
      <c r="B506" t="e">
        <f>AND(#REF!,"AAAAAHq93QE=")</f>
        <v>#REF!</v>
      </c>
      <c r="C506" t="e">
        <f>AND(#REF!,"AAAAAHq93QI=")</f>
        <v>#REF!</v>
      </c>
      <c r="D506" t="e">
        <f>AND(#REF!,"AAAAAHq93QM=")</f>
        <v>#REF!</v>
      </c>
      <c r="E506" t="e">
        <f>AND(#REF!,"AAAAAHq93QQ=")</f>
        <v>#REF!</v>
      </c>
      <c r="F506" t="e">
        <f>AND(#REF!,"AAAAAHq93QU=")</f>
        <v>#REF!</v>
      </c>
      <c r="G506" t="e">
        <f>IF(#REF!,"AAAAAHq93QY=",0)</f>
        <v>#REF!</v>
      </c>
      <c r="H506" t="e">
        <f>AND(#REF!,"AAAAAHq93Qc=")</f>
        <v>#REF!</v>
      </c>
      <c r="I506" t="e">
        <f>AND(#REF!,"AAAAAHq93Qg=")</f>
        <v>#REF!</v>
      </c>
      <c r="J506" t="e">
        <f>AND(#REF!,"AAAAAHq93Qk=")</f>
        <v>#REF!</v>
      </c>
      <c r="K506" t="e">
        <f>AND(#REF!,"AAAAAHq93Qo=")</f>
        <v>#REF!</v>
      </c>
      <c r="L506" t="e">
        <f>AND(#REF!,"AAAAAHq93Qs=")</f>
        <v>#REF!</v>
      </c>
      <c r="M506" t="e">
        <f>AND(#REF!,"AAAAAHq93Qw=")</f>
        <v>#REF!</v>
      </c>
      <c r="N506" t="e">
        <f>AND(#REF!,"AAAAAHq93Q0=")</f>
        <v>#REF!</v>
      </c>
      <c r="O506" t="e">
        <f>AND(#REF!,"AAAAAHq93Q4=")</f>
        <v>#REF!</v>
      </c>
      <c r="P506" t="e">
        <f>AND(#REF!,"AAAAAHq93Q8=")</f>
        <v>#REF!</v>
      </c>
      <c r="Q506" t="e">
        <f>AND(#REF!,"AAAAAHq93RA=")</f>
        <v>#REF!</v>
      </c>
      <c r="R506" t="e">
        <f>IF(#REF!,"AAAAAHq93RE=",0)</f>
        <v>#REF!</v>
      </c>
      <c r="S506" t="e">
        <f>AND(#REF!,"AAAAAHq93RI=")</f>
        <v>#REF!</v>
      </c>
      <c r="T506" t="e">
        <f>AND(#REF!,"AAAAAHq93RM=")</f>
        <v>#REF!</v>
      </c>
      <c r="U506" t="e">
        <f>AND(#REF!,"AAAAAHq93RQ=")</f>
        <v>#REF!</v>
      </c>
      <c r="V506" t="e">
        <f>AND(#REF!,"AAAAAHq93RU=")</f>
        <v>#REF!</v>
      </c>
      <c r="W506" t="e">
        <f>AND(#REF!,"AAAAAHq93RY=")</f>
        <v>#REF!</v>
      </c>
      <c r="X506" t="e">
        <f>AND(#REF!,"AAAAAHq93Rc=")</f>
        <v>#REF!</v>
      </c>
      <c r="Y506" t="e">
        <f>AND(#REF!,"AAAAAHq93Rg=")</f>
        <v>#REF!</v>
      </c>
      <c r="Z506" t="e">
        <f>AND(#REF!,"AAAAAHq93Rk=")</f>
        <v>#REF!</v>
      </c>
      <c r="AA506" t="e">
        <f>AND(#REF!,"AAAAAHq93Ro=")</f>
        <v>#REF!</v>
      </c>
      <c r="AB506" t="e">
        <f>AND(#REF!,"AAAAAHq93Rs=")</f>
        <v>#REF!</v>
      </c>
      <c r="AC506" t="e">
        <f>IF(#REF!,"AAAAAHq93Rw=",0)</f>
        <v>#REF!</v>
      </c>
      <c r="AD506" t="e">
        <f>AND(#REF!,"AAAAAHq93R0=")</f>
        <v>#REF!</v>
      </c>
      <c r="AE506" t="e">
        <f>AND(#REF!,"AAAAAHq93R4=")</f>
        <v>#REF!</v>
      </c>
      <c r="AF506" t="e">
        <f>AND(#REF!,"AAAAAHq93R8=")</f>
        <v>#REF!</v>
      </c>
      <c r="AG506" t="e">
        <f>AND(#REF!,"AAAAAHq93SA=")</f>
        <v>#REF!</v>
      </c>
      <c r="AH506" t="e">
        <f>AND(#REF!,"AAAAAHq93SE=")</f>
        <v>#REF!</v>
      </c>
      <c r="AI506" t="e">
        <f>AND(#REF!,"AAAAAHq93SI=")</f>
        <v>#REF!</v>
      </c>
      <c r="AJ506" t="e">
        <f>AND(#REF!,"AAAAAHq93SM=")</f>
        <v>#REF!</v>
      </c>
      <c r="AK506" t="e">
        <f>AND(#REF!,"AAAAAHq93SQ=")</f>
        <v>#REF!</v>
      </c>
      <c r="AL506" t="e">
        <f>AND(#REF!,"AAAAAHq93SU=")</f>
        <v>#REF!</v>
      </c>
      <c r="AM506" t="e">
        <f>AND(#REF!,"AAAAAHq93SY=")</f>
        <v>#REF!</v>
      </c>
      <c r="AN506" t="e">
        <f>IF(#REF!,"AAAAAHq93Sc=",0)</f>
        <v>#REF!</v>
      </c>
      <c r="AO506" t="e">
        <f>AND(#REF!,"AAAAAHq93Sg=")</f>
        <v>#REF!</v>
      </c>
      <c r="AP506" t="e">
        <f>AND(#REF!,"AAAAAHq93Sk=")</f>
        <v>#REF!</v>
      </c>
      <c r="AQ506" t="e">
        <f>AND(#REF!,"AAAAAHq93So=")</f>
        <v>#REF!</v>
      </c>
      <c r="AR506" t="e">
        <f>AND(#REF!,"AAAAAHq93Ss=")</f>
        <v>#REF!</v>
      </c>
      <c r="AS506" t="e">
        <f>AND(#REF!,"AAAAAHq93Sw=")</f>
        <v>#REF!</v>
      </c>
      <c r="AT506" t="e">
        <f>AND(#REF!,"AAAAAHq93S0=")</f>
        <v>#REF!</v>
      </c>
      <c r="AU506" t="e">
        <f>AND(#REF!,"AAAAAHq93S4=")</f>
        <v>#REF!</v>
      </c>
      <c r="AV506" t="e">
        <f>AND(#REF!,"AAAAAHq93S8=")</f>
        <v>#REF!</v>
      </c>
      <c r="AW506" t="e">
        <f>AND(#REF!,"AAAAAHq93TA=")</f>
        <v>#REF!</v>
      </c>
      <c r="AX506" t="e">
        <f>AND(#REF!,"AAAAAHq93TE=")</f>
        <v>#REF!</v>
      </c>
      <c r="AY506" t="e">
        <f>IF(#REF!,"AAAAAHq93TI=",0)</f>
        <v>#REF!</v>
      </c>
      <c r="AZ506" t="e">
        <f>AND(#REF!,"AAAAAHq93TM=")</f>
        <v>#REF!</v>
      </c>
      <c r="BA506" t="e">
        <f>AND(#REF!,"AAAAAHq93TQ=")</f>
        <v>#REF!</v>
      </c>
      <c r="BB506" t="e">
        <f>AND(#REF!,"AAAAAHq93TU=")</f>
        <v>#REF!</v>
      </c>
      <c r="BC506" t="e">
        <f>AND(#REF!,"AAAAAHq93TY=")</f>
        <v>#REF!</v>
      </c>
      <c r="BD506" t="e">
        <f>AND(#REF!,"AAAAAHq93Tc=")</f>
        <v>#REF!</v>
      </c>
      <c r="BE506" t="e">
        <f>AND(#REF!,"AAAAAHq93Tg=")</f>
        <v>#REF!</v>
      </c>
      <c r="BF506" t="e">
        <f>AND(#REF!,"AAAAAHq93Tk=")</f>
        <v>#REF!</v>
      </c>
      <c r="BG506" t="e">
        <f>AND(#REF!,"AAAAAHq93To=")</f>
        <v>#REF!</v>
      </c>
      <c r="BH506" t="e">
        <f>AND(#REF!,"AAAAAHq93Ts=")</f>
        <v>#REF!</v>
      </c>
      <c r="BI506" t="e">
        <f>AND(#REF!,"AAAAAHq93Tw=")</f>
        <v>#REF!</v>
      </c>
      <c r="BJ506" t="e">
        <f>IF(#REF!,"AAAAAHq93T0=",0)</f>
        <v>#REF!</v>
      </c>
      <c r="BK506" t="e">
        <f>AND(#REF!,"AAAAAHq93T4=")</f>
        <v>#REF!</v>
      </c>
      <c r="BL506" t="e">
        <f>AND(#REF!,"AAAAAHq93T8=")</f>
        <v>#REF!</v>
      </c>
      <c r="BM506" t="e">
        <f>AND(#REF!,"AAAAAHq93UA=")</f>
        <v>#REF!</v>
      </c>
      <c r="BN506" t="e">
        <f>AND(#REF!,"AAAAAHq93UE=")</f>
        <v>#REF!</v>
      </c>
      <c r="BO506" t="e">
        <f>AND(#REF!,"AAAAAHq93UI=")</f>
        <v>#REF!</v>
      </c>
      <c r="BP506" t="e">
        <f>AND(#REF!,"AAAAAHq93UM=")</f>
        <v>#REF!</v>
      </c>
      <c r="BQ506" t="e">
        <f>AND(#REF!,"AAAAAHq93UQ=")</f>
        <v>#REF!</v>
      </c>
      <c r="BR506" t="e">
        <f>AND(#REF!,"AAAAAHq93UU=")</f>
        <v>#REF!</v>
      </c>
      <c r="BS506" t="e">
        <f>AND(#REF!,"AAAAAHq93UY=")</f>
        <v>#REF!</v>
      </c>
      <c r="BT506" t="e">
        <f>AND(#REF!,"AAAAAHq93Uc=")</f>
        <v>#REF!</v>
      </c>
      <c r="BU506" t="e">
        <f>IF(#REF!,"AAAAAHq93Ug=",0)</f>
        <v>#REF!</v>
      </c>
      <c r="BV506" t="e">
        <f>AND(#REF!,"AAAAAHq93Uk=")</f>
        <v>#REF!</v>
      </c>
      <c r="BW506" t="e">
        <f>AND(#REF!,"AAAAAHq93Uo=")</f>
        <v>#REF!</v>
      </c>
      <c r="BX506" t="e">
        <f>AND(#REF!,"AAAAAHq93Us=")</f>
        <v>#REF!</v>
      </c>
      <c r="BY506" t="e">
        <f>AND(#REF!,"AAAAAHq93Uw=")</f>
        <v>#REF!</v>
      </c>
      <c r="BZ506" t="e">
        <f>AND(#REF!,"AAAAAHq93U0=")</f>
        <v>#REF!</v>
      </c>
      <c r="CA506" t="e">
        <f>AND(#REF!,"AAAAAHq93U4=")</f>
        <v>#REF!</v>
      </c>
      <c r="CB506" t="e">
        <f>AND(#REF!,"AAAAAHq93U8=")</f>
        <v>#REF!</v>
      </c>
      <c r="CC506" t="e">
        <f>AND(#REF!,"AAAAAHq93VA=")</f>
        <v>#REF!</v>
      </c>
      <c r="CD506" t="e">
        <f>AND(#REF!,"AAAAAHq93VE=")</f>
        <v>#REF!</v>
      </c>
      <c r="CE506" t="e">
        <f>AND(#REF!,"AAAAAHq93VI=")</f>
        <v>#REF!</v>
      </c>
      <c r="CF506" t="e">
        <f>IF(#REF!,"AAAAAHq93VM=",0)</f>
        <v>#REF!</v>
      </c>
      <c r="CG506" t="e">
        <f>AND(#REF!,"AAAAAHq93VQ=")</f>
        <v>#REF!</v>
      </c>
      <c r="CH506" t="e">
        <f>AND(#REF!,"AAAAAHq93VU=")</f>
        <v>#REF!</v>
      </c>
      <c r="CI506" t="e">
        <f>AND(#REF!,"AAAAAHq93VY=")</f>
        <v>#REF!</v>
      </c>
      <c r="CJ506" t="e">
        <f>AND(#REF!,"AAAAAHq93Vc=")</f>
        <v>#REF!</v>
      </c>
      <c r="CK506" t="e">
        <f>AND(#REF!,"AAAAAHq93Vg=")</f>
        <v>#REF!</v>
      </c>
      <c r="CL506" t="e">
        <f>AND(#REF!,"AAAAAHq93Vk=")</f>
        <v>#REF!</v>
      </c>
      <c r="CM506" t="e">
        <f>AND(#REF!,"AAAAAHq93Vo=")</f>
        <v>#REF!</v>
      </c>
      <c r="CN506" t="e">
        <f>AND(#REF!,"AAAAAHq93Vs=")</f>
        <v>#REF!</v>
      </c>
      <c r="CO506" t="e">
        <f>AND(#REF!,"AAAAAHq93Vw=")</f>
        <v>#REF!</v>
      </c>
      <c r="CP506" t="e">
        <f>AND(#REF!,"AAAAAHq93V0=")</f>
        <v>#REF!</v>
      </c>
      <c r="CQ506" t="e">
        <f>IF(#REF!,"AAAAAHq93V4=",0)</f>
        <v>#REF!</v>
      </c>
      <c r="CR506" t="e">
        <f>AND(#REF!,"AAAAAHq93V8=")</f>
        <v>#REF!</v>
      </c>
      <c r="CS506" t="e">
        <f>AND(#REF!,"AAAAAHq93WA=")</f>
        <v>#REF!</v>
      </c>
      <c r="CT506" t="e">
        <f>AND(#REF!,"AAAAAHq93WE=")</f>
        <v>#REF!</v>
      </c>
      <c r="CU506" t="e">
        <f>AND(#REF!,"AAAAAHq93WI=")</f>
        <v>#REF!</v>
      </c>
      <c r="CV506" t="e">
        <f>AND(#REF!,"AAAAAHq93WM=")</f>
        <v>#REF!</v>
      </c>
      <c r="CW506" t="e">
        <f>AND(#REF!,"AAAAAHq93WQ=")</f>
        <v>#REF!</v>
      </c>
      <c r="CX506" t="e">
        <f>AND(#REF!,"AAAAAHq93WU=")</f>
        <v>#REF!</v>
      </c>
      <c r="CY506" t="e">
        <f>AND(#REF!,"AAAAAHq93WY=")</f>
        <v>#REF!</v>
      </c>
      <c r="CZ506" t="e">
        <f>AND(#REF!,"AAAAAHq93Wc=")</f>
        <v>#REF!</v>
      </c>
      <c r="DA506" t="e">
        <f>AND(#REF!,"AAAAAHq93Wg=")</f>
        <v>#REF!</v>
      </c>
      <c r="DB506" t="e">
        <f>IF(#REF!,"AAAAAHq93Wk=",0)</f>
        <v>#REF!</v>
      </c>
      <c r="DC506" t="e">
        <f>AND(#REF!,"AAAAAHq93Wo=")</f>
        <v>#REF!</v>
      </c>
      <c r="DD506" t="e">
        <f>AND(#REF!,"AAAAAHq93Ws=")</f>
        <v>#REF!</v>
      </c>
      <c r="DE506" t="e">
        <f>AND(#REF!,"AAAAAHq93Ww=")</f>
        <v>#REF!</v>
      </c>
      <c r="DF506" t="e">
        <f>AND(#REF!,"AAAAAHq93W0=")</f>
        <v>#REF!</v>
      </c>
      <c r="DG506" t="e">
        <f>AND(#REF!,"AAAAAHq93W4=")</f>
        <v>#REF!</v>
      </c>
      <c r="DH506" t="e">
        <f>AND(#REF!,"AAAAAHq93W8=")</f>
        <v>#REF!</v>
      </c>
      <c r="DI506" t="e">
        <f>AND(#REF!,"AAAAAHq93XA=")</f>
        <v>#REF!</v>
      </c>
      <c r="DJ506" t="e">
        <f>AND(#REF!,"AAAAAHq93XE=")</f>
        <v>#REF!</v>
      </c>
      <c r="DK506" t="e">
        <f>AND(#REF!,"AAAAAHq93XI=")</f>
        <v>#REF!</v>
      </c>
      <c r="DL506" t="e">
        <f>AND(#REF!,"AAAAAHq93XM=")</f>
        <v>#REF!</v>
      </c>
      <c r="DM506" t="e">
        <f>IF(#REF!,"AAAAAHq93XQ=",0)</f>
        <v>#REF!</v>
      </c>
      <c r="DN506" t="e">
        <f>AND(#REF!,"AAAAAHq93XU=")</f>
        <v>#REF!</v>
      </c>
      <c r="DO506" t="e">
        <f>AND(#REF!,"AAAAAHq93XY=")</f>
        <v>#REF!</v>
      </c>
      <c r="DP506" t="e">
        <f>AND(#REF!,"AAAAAHq93Xc=")</f>
        <v>#REF!</v>
      </c>
      <c r="DQ506" t="e">
        <f>AND(#REF!,"AAAAAHq93Xg=")</f>
        <v>#REF!</v>
      </c>
      <c r="DR506" t="e">
        <f>AND(#REF!,"AAAAAHq93Xk=")</f>
        <v>#REF!</v>
      </c>
      <c r="DS506" t="e">
        <f>AND(#REF!,"AAAAAHq93Xo=")</f>
        <v>#REF!</v>
      </c>
      <c r="DT506" t="e">
        <f>AND(#REF!,"AAAAAHq93Xs=")</f>
        <v>#REF!</v>
      </c>
      <c r="DU506" t="e">
        <f>AND(#REF!,"AAAAAHq93Xw=")</f>
        <v>#REF!</v>
      </c>
      <c r="DV506" t="e">
        <f>AND(#REF!,"AAAAAHq93X0=")</f>
        <v>#REF!</v>
      </c>
      <c r="DW506" t="e">
        <f>AND(#REF!,"AAAAAHq93X4=")</f>
        <v>#REF!</v>
      </c>
      <c r="DX506" t="e">
        <f>IF(#REF!,"AAAAAHq93X8=",0)</f>
        <v>#REF!</v>
      </c>
      <c r="DY506" t="e">
        <f>AND(#REF!,"AAAAAHq93YA=")</f>
        <v>#REF!</v>
      </c>
      <c r="DZ506" t="e">
        <f>AND(#REF!,"AAAAAHq93YE=")</f>
        <v>#REF!</v>
      </c>
      <c r="EA506" t="e">
        <f>AND(#REF!,"AAAAAHq93YI=")</f>
        <v>#REF!</v>
      </c>
      <c r="EB506" t="e">
        <f>AND(#REF!,"AAAAAHq93YM=")</f>
        <v>#REF!</v>
      </c>
      <c r="EC506" t="e">
        <f>AND(#REF!,"AAAAAHq93YQ=")</f>
        <v>#REF!</v>
      </c>
      <c r="ED506" t="e">
        <f>AND(#REF!,"AAAAAHq93YU=")</f>
        <v>#REF!</v>
      </c>
      <c r="EE506" t="e">
        <f>AND(#REF!,"AAAAAHq93YY=")</f>
        <v>#REF!</v>
      </c>
      <c r="EF506" t="e">
        <f>AND(#REF!,"AAAAAHq93Yc=")</f>
        <v>#REF!</v>
      </c>
      <c r="EG506" t="e">
        <f>AND(#REF!,"AAAAAHq93Yg=")</f>
        <v>#REF!</v>
      </c>
      <c r="EH506" t="e">
        <f>AND(#REF!,"AAAAAHq93Yk=")</f>
        <v>#REF!</v>
      </c>
      <c r="EI506" t="e">
        <f>IF(#REF!,"AAAAAHq93Yo=",0)</f>
        <v>#REF!</v>
      </c>
      <c r="EJ506" t="e">
        <f>AND(#REF!,"AAAAAHq93Ys=")</f>
        <v>#REF!</v>
      </c>
      <c r="EK506" t="e">
        <f>AND(#REF!,"AAAAAHq93Yw=")</f>
        <v>#REF!</v>
      </c>
      <c r="EL506" t="e">
        <f>AND(#REF!,"AAAAAHq93Y0=")</f>
        <v>#REF!</v>
      </c>
      <c r="EM506" t="e">
        <f>AND(#REF!,"AAAAAHq93Y4=")</f>
        <v>#REF!</v>
      </c>
      <c r="EN506" t="e">
        <f>AND(#REF!,"AAAAAHq93Y8=")</f>
        <v>#REF!</v>
      </c>
      <c r="EO506" t="e">
        <f>AND(#REF!,"AAAAAHq93ZA=")</f>
        <v>#REF!</v>
      </c>
      <c r="EP506" t="e">
        <f>AND(#REF!,"AAAAAHq93ZE=")</f>
        <v>#REF!</v>
      </c>
      <c r="EQ506" t="e">
        <f>AND(#REF!,"AAAAAHq93ZI=")</f>
        <v>#REF!</v>
      </c>
      <c r="ER506" t="e">
        <f>AND(#REF!,"AAAAAHq93ZM=")</f>
        <v>#REF!</v>
      </c>
      <c r="ES506" t="e">
        <f>AND(#REF!,"AAAAAHq93ZQ=")</f>
        <v>#REF!</v>
      </c>
      <c r="ET506" t="e">
        <f>IF(#REF!,"AAAAAHq93ZU=",0)</f>
        <v>#REF!</v>
      </c>
      <c r="EU506" t="e">
        <f>AND(#REF!,"AAAAAHq93ZY=")</f>
        <v>#REF!</v>
      </c>
      <c r="EV506" t="e">
        <f>AND(#REF!,"AAAAAHq93Zc=")</f>
        <v>#REF!</v>
      </c>
      <c r="EW506" t="e">
        <f>AND(#REF!,"AAAAAHq93Zg=")</f>
        <v>#REF!</v>
      </c>
      <c r="EX506" t="e">
        <f>AND(#REF!,"AAAAAHq93Zk=")</f>
        <v>#REF!</v>
      </c>
      <c r="EY506" t="e">
        <f>AND(#REF!,"AAAAAHq93Zo=")</f>
        <v>#REF!</v>
      </c>
      <c r="EZ506" t="e">
        <f>AND(#REF!,"AAAAAHq93Zs=")</f>
        <v>#REF!</v>
      </c>
      <c r="FA506" t="e">
        <f>AND(#REF!,"AAAAAHq93Zw=")</f>
        <v>#REF!</v>
      </c>
      <c r="FB506" t="e">
        <f>AND(#REF!,"AAAAAHq93Z0=")</f>
        <v>#REF!</v>
      </c>
      <c r="FC506" t="e">
        <f>AND(#REF!,"AAAAAHq93Z4=")</f>
        <v>#REF!</v>
      </c>
      <c r="FD506" t="e">
        <f>AND(#REF!,"AAAAAHq93Z8=")</f>
        <v>#REF!</v>
      </c>
      <c r="FE506" t="e">
        <f>IF(#REF!,"AAAAAHq93aA=",0)</f>
        <v>#REF!</v>
      </c>
      <c r="FF506" t="e">
        <f>AND(#REF!,"AAAAAHq93aE=")</f>
        <v>#REF!</v>
      </c>
      <c r="FG506" t="e">
        <f>AND(#REF!,"AAAAAHq93aI=")</f>
        <v>#REF!</v>
      </c>
      <c r="FH506" t="e">
        <f>AND(#REF!,"AAAAAHq93aM=")</f>
        <v>#REF!</v>
      </c>
      <c r="FI506" t="e">
        <f>AND(#REF!,"AAAAAHq93aQ=")</f>
        <v>#REF!</v>
      </c>
      <c r="FJ506" t="e">
        <f>AND(#REF!,"AAAAAHq93aU=")</f>
        <v>#REF!</v>
      </c>
      <c r="FK506" t="e">
        <f>AND(#REF!,"AAAAAHq93aY=")</f>
        <v>#REF!</v>
      </c>
      <c r="FL506" t="e">
        <f>AND(#REF!,"AAAAAHq93ac=")</f>
        <v>#REF!</v>
      </c>
      <c r="FM506" t="e">
        <f>AND(#REF!,"AAAAAHq93ag=")</f>
        <v>#REF!</v>
      </c>
      <c r="FN506" t="e">
        <f>AND(#REF!,"AAAAAHq93ak=")</f>
        <v>#REF!</v>
      </c>
      <c r="FO506" t="e">
        <f>AND(#REF!,"AAAAAHq93ao=")</f>
        <v>#REF!</v>
      </c>
      <c r="FP506" t="e">
        <f>IF(#REF!,"AAAAAHq93as=",0)</f>
        <v>#REF!</v>
      </c>
      <c r="FQ506" t="e">
        <f>AND(#REF!,"AAAAAHq93aw=")</f>
        <v>#REF!</v>
      </c>
      <c r="FR506" t="e">
        <f>AND(#REF!,"AAAAAHq93a0=")</f>
        <v>#REF!</v>
      </c>
      <c r="FS506" t="e">
        <f>AND(#REF!,"AAAAAHq93a4=")</f>
        <v>#REF!</v>
      </c>
      <c r="FT506" t="e">
        <f>AND(#REF!,"AAAAAHq93a8=")</f>
        <v>#REF!</v>
      </c>
      <c r="FU506" t="e">
        <f>AND(#REF!,"AAAAAHq93bA=")</f>
        <v>#REF!</v>
      </c>
      <c r="FV506" t="e">
        <f>AND(#REF!,"AAAAAHq93bE=")</f>
        <v>#REF!</v>
      </c>
      <c r="FW506" t="e">
        <f>AND(#REF!,"AAAAAHq93bI=")</f>
        <v>#REF!</v>
      </c>
      <c r="FX506" t="e">
        <f>AND(#REF!,"AAAAAHq93bM=")</f>
        <v>#REF!</v>
      </c>
      <c r="FY506" t="e">
        <f>AND(#REF!,"AAAAAHq93bQ=")</f>
        <v>#REF!</v>
      </c>
      <c r="FZ506" t="e">
        <f>AND(#REF!,"AAAAAHq93bU=")</f>
        <v>#REF!</v>
      </c>
      <c r="GA506" t="e">
        <f>IF(#REF!,"AAAAAHq93bY=",0)</f>
        <v>#REF!</v>
      </c>
      <c r="GB506" t="e">
        <f>AND(#REF!,"AAAAAHq93bc=")</f>
        <v>#REF!</v>
      </c>
      <c r="GC506" t="e">
        <f>AND(#REF!,"AAAAAHq93bg=")</f>
        <v>#REF!</v>
      </c>
      <c r="GD506" t="e">
        <f>AND(#REF!,"AAAAAHq93bk=")</f>
        <v>#REF!</v>
      </c>
      <c r="GE506" t="e">
        <f>AND(#REF!,"AAAAAHq93bo=")</f>
        <v>#REF!</v>
      </c>
      <c r="GF506" t="e">
        <f>AND(#REF!,"AAAAAHq93bs=")</f>
        <v>#REF!</v>
      </c>
      <c r="GG506" t="e">
        <f>AND(#REF!,"AAAAAHq93bw=")</f>
        <v>#REF!</v>
      </c>
      <c r="GH506" t="e">
        <f>AND(#REF!,"AAAAAHq93b0=")</f>
        <v>#REF!</v>
      </c>
      <c r="GI506" t="e">
        <f>AND(#REF!,"AAAAAHq93b4=")</f>
        <v>#REF!</v>
      </c>
      <c r="GJ506" t="e">
        <f>AND(#REF!,"AAAAAHq93b8=")</f>
        <v>#REF!</v>
      </c>
      <c r="GK506" t="e">
        <f>AND(#REF!,"AAAAAHq93cA=")</f>
        <v>#REF!</v>
      </c>
      <c r="GL506" t="e">
        <f>IF(#REF!,"AAAAAHq93cE=",0)</f>
        <v>#REF!</v>
      </c>
      <c r="GM506" t="e">
        <f>AND(#REF!,"AAAAAHq93cI=")</f>
        <v>#REF!</v>
      </c>
      <c r="GN506" t="e">
        <f>AND(#REF!,"AAAAAHq93cM=")</f>
        <v>#REF!</v>
      </c>
      <c r="GO506" t="e">
        <f>AND(#REF!,"AAAAAHq93cQ=")</f>
        <v>#REF!</v>
      </c>
      <c r="GP506" t="e">
        <f>AND(#REF!,"AAAAAHq93cU=")</f>
        <v>#REF!</v>
      </c>
      <c r="GQ506" t="e">
        <f>AND(#REF!,"AAAAAHq93cY=")</f>
        <v>#REF!</v>
      </c>
      <c r="GR506" t="e">
        <f>AND(#REF!,"AAAAAHq93cc=")</f>
        <v>#REF!</v>
      </c>
      <c r="GS506" t="e">
        <f>AND(#REF!,"AAAAAHq93cg=")</f>
        <v>#REF!</v>
      </c>
      <c r="GT506" t="e">
        <f>AND(#REF!,"AAAAAHq93ck=")</f>
        <v>#REF!</v>
      </c>
      <c r="GU506" t="e">
        <f>AND(#REF!,"AAAAAHq93co=")</f>
        <v>#REF!</v>
      </c>
      <c r="GV506" t="e">
        <f>AND(#REF!,"AAAAAHq93cs=")</f>
        <v>#REF!</v>
      </c>
      <c r="GW506" t="e">
        <f>IF(#REF!,"AAAAAHq93cw=",0)</f>
        <v>#REF!</v>
      </c>
      <c r="GX506" t="e">
        <f>AND(#REF!,"AAAAAHq93c0=")</f>
        <v>#REF!</v>
      </c>
      <c r="GY506" t="e">
        <f>AND(#REF!,"AAAAAHq93c4=")</f>
        <v>#REF!</v>
      </c>
      <c r="GZ506" t="e">
        <f>AND(#REF!,"AAAAAHq93c8=")</f>
        <v>#REF!</v>
      </c>
      <c r="HA506" t="e">
        <f>AND(#REF!,"AAAAAHq93dA=")</f>
        <v>#REF!</v>
      </c>
      <c r="HB506" t="e">
        <f>AND(#REF!,"AAAAAHq93dE=")</f>
        <v>#REF!</v>
      </c>
      <c r="HC506" t="e">
        <f>AND(#REF!,"AAAAAHq93dI=")</f>
        <v>#REF!</v>
      </c>
      <c r="HD506" t="e">
        <f>AND(#REF!,"AAAAAHq93dM=")</f>
        <v>#REF!</v>
      </c>
      <c r="HE506" t="e">
        <f>AND(#REF!,"AAAAAHq93dQ=")</f>
        <v>#REF!</v>
      </c>
      <c r="HF506" t="e">
        <f>AND(#REF!,"AAAAAHq93dU=")</f>
        <v>#REF!</v>
      </c>
      <c r="HG506" t="e">
        <f>AND(#REF!,"AAAAAHq93dY=")</f>
        <v>#REF!</v>
      </c>
      <c r="HH506" t="e">
        <f>IF(#REF!,"AAAAAHq93dc=",0)</f>
        <v>#REF!</v>
      </c>
      <c r="HI506" t="e">
        <f>AND(#REF!,"AAAAAHq93dg=")</f>
        <v>#REF!</v>
      </c>
      <c r="HJ506" t="e">
        <f>AND(#REF!,"AAAAAHq93dk=")</f>
        <v>#REF!</v>
      </c>
      <c r="HK506" t="e">
        <f>AND(#REF!,"AAAAAHq93do=")</f>
        <v>#REF!</v>
      </c>
      <c r="HL506" t="e">
        <f>AND(#REF!,"AAAAAHq93ds=")</f>
        <v>#REF!</v>
      </c>
      <c r="HM506" t="e">
        <f>AND(#REF!,"AAAAAHq93dw=")</f>
        <v>#REF!</v>
      </c>
      <c r="HN506" t="e">
        <f>AND(#REF!,"AAAAAHq93d0=")</f>
        <v>#REF!</v>
      </c>
      <c r="HO506" t="e">
        <f>AND(#REF!,"AAAAAHq93d4=")</f>
        <v>#REF!</v>
      </c>
      <c r="HP506" t="e">
        <f>AND(#REF!,"AAAAAHq93d8=")</f>
        <v>#REF!</v>
      </c>
      <c r="HQ506" t="e">
        <f>AND(#REF!,"AAAAAHq93eA=")</f>
        <v>#REF!</v>
      </c>
      <c r="HR506" t="e">
        <f>AND(#REF!,"AAAAAHq93eE=")</f>
        <v>#REF!</v>
      </c>
      <c r="HS506" t="e">
        <f>IF(#REF!,"AAAAAHq93eI=",0)</f>
        <v>#REF!</v>
      </c>
      <c r="HT506" t="e">
        <f>AND(#REF!,"AAAAAHq93eM=")</f>
        <v>#REF!</v>
      </c>
      <c r="HU506" t="e">
        <f>AND(#REF!,"AAAAAHq93eQ=")</f>
        <v>#REF!</v>
      </c>
      <c r="HV506" t="e">
        <f>AND(#REF!,"AAAAAHq93eU=")</f>
        <v>#REF!</v>
      </c>
      <c r="HW506" t="e">
        <f>AND(#REF!,"AAAAAHq93eY=")</f>
        <v>#REF!</v>
      </c>
      <c r="HX506" t="e">
        <f>AND(#REF!,"AAAAAHq93ec=")</f>
        <v>#REF!</v>
      </c>
      <c r="HY506" t="e">
        <f>AND(#REF!,"AAAAAHq93eg=")</f>
        <v>#REF!</v>
      </c>
      <c r="HZ506" t="e">
        <f>AND(#REF!,"AAAAAHq93ek=")</f>
        <v>#REF!</v>
      </c>
      <c r="IA506" t="e">
        <f>AND(#REF!,"AAAAAHq93eo=")</f>
        <v>#REF!</v>
      </c>
      <c r="IB506" t="e">
        <f>AND(#REF!,"AAAAAHq93es=")</f>
        <v>#REF!</v>
      </c>
      <c r="IC506" t="e">
        <f>AND(#REF!,"AAAAAHq93ew=")</f>
        <v>#REF!</v>
      </c>
      <c r="ID506" t="e">
        <f>IF(#REF!,"AAAAAHq93e0=",0)</f>
        <v>#REF!</v>
      </c>
      <c r="IE506" t="e">
        <f>AND(#REF!,"AAAAAHq93e4=")</f>
        <v>#REF!</v>
      </c>
      <c r="IF506" t="e">
        <f>AND(#REF!,"AAAAAHq93e8=")</f>
        <v>#REF!</v>
      </c>
      <c r="IG506" t="e">
        <f>AND(#REF!,"AAAAAHq93fA=")</f>
        <v>#REF!</v>
      </c>
      <c r="IH506" t="e">
        <f>AND(#REF!,"AAAAAHq93fE=")</f>
        <v>#REF!</v>
      </c>
      <c r="II506" t="e">
        <f>AND(#REF!,"AAAAAHq93fI=")</f>
        <v>#REF!</v>
      </c>
      <c r="IJ506" t="e">
        <f>AND(#REF!,"AAAAAHq93fM=")</f>
        <v>#REF!</v>
      </c>
      <c r="IK506" t="e">
        <f>AND(#REF!,"AAAAAHq93fQ=")</f>
        <v>#REF!</v>
      </c>
      <c r="IL506" t="e">
        <f>AND(#REF!,"AAAAAHq93fU=")</f>
        <v>#REF!</v>
      </c>
      <c r="IM506" t="e">
        <f>AND(#REF!,"AAAAAHq93fY=")</f>
        <v>#REF!</v>
      </c>
      <c r="IN506" t="e">
        <f>AND(#REF!,"AAAAAHq93fc=")</f>
        <v>#REF!</v>
      </c>
      <c r="IO506" t="e">
        <f>IF(#REF!,"AAAAAHq93fg=",0)</f>
        <v>#REF!</v>
      </c>
      <c r="IP506" t="e">
        <f>AND(#REF!,"AAAAAHq93fk=")</f>
        <v>#REF!</v>
      </c>
      <c r="IQ506" t="e">
        <f>AND(#REF!,"AAAAAHq93fo=")</f>
        <v>#REF!</v>
      </c>
      <c r="IR506" t="e">
        <f>AND(#REF!,"AAAAAHq93fs=")</f>
        <v>#REF!</v>
      </c>
      <c r="IS506" t="e">
        <f>AND(#REF!,"AAAAAHq93fw=")</f>
        <v>#REF!</v>
      </c>
      <c r="IT506" t="e">
        <f>AND(#REF!,"AAAAAHq93f0=")</f>
        <v>#REF!</v>
      </c>
      <c r="IU506" t="e">
        <f>AND(#REF!,"AAAAAHq93f4=")</f>
        <v>#REF!</v>
      </c>
      <c r="IV506" t="e">
        <f>AND(#REF!,"AAAAAHq93f8=")</f>
        <v>#REF!</v>
      </c>
    </row>
    <row r="507" spans="1:256" x14ac:dyDescent="0.25">
      <c r="A507" t="e">
        <f>AND(#REF!,"AAAAADcp1wA=")</f>
        <v>#REF!</v>
      </c>
      <c r="B507" t="e">
        <f>AND(#REF!,"AAAAADcp1wE=")</f>
        <v>#REF!</v>
      </c>
      <c r="C507" t="e">
        <f>AND(#REF!,"AAAAADcp1wI=")</f>
        <v>#REF!</v>
      </c>
      <c r="D507" t="e">
        <f>IF(#REF!,"AAAAADcp1wM=",0)</f>
        <v>#REF!</v>
      </c>
      <c r="E507" t="e">
        <f>AND(#REF!,"AAAAADcp1wQ=")</f>
        <v>#REF!</v>
      </c>
      <c r="F507" t="e">
        <f>AND(#REF!,"AAAAADcp1wU=")</f>
        <v>#REF!</v>
      </c>
      <c r="G507" t="e">
        <f>AND(#REF!,"AAAAADcp1wY=")</f>
        <v>#REF!</v>
      </c>
      <c r="H507" t="e">
        <f>AND(#REF!,"AAAAADcp1wc=")</f>
        <v>#REF!</v>
      </c>
      <c r="I507" t="e">
        <f>AND(#REF!,"AAAAADcp1wg=")</f>
        <v>#REF!</v>
      </c>
      <c r="J507" t="e">
        <f>AND(#REF!,"AAAAADcp1wk=")</f>
        <v>#REF!</v>
      </c>
      <c r="K507" t="e">
        <f>AND(#REF!,"AAAAADcp1wo=")</f>
        <v>#REF!</v>
      </c>
      <c r="L507" t="e">
        <f>AND(#REF!,"AAAAADcp1ws=")</f>
        <v>#REF!</v>
      </c>
      <c r="M507" t="e">
        <f>AND(#REF!,"AAAAADcp1ww=")</f>
        <v>#REF!</v>
      </c>
      <c r="N507" t="e">
        <f>AND(#REF!,"AAAAADcp1w0=")</f>
        <v>#REF!</v>
      </c>
      <c r="O507" t="e">
        <f>IF(#REF!,"AAAAADcp1w4=",0)</f>
        <v>#REF!</v>
      </c>
      <c r="P507" t="e">
        <f>AND(#REF!,"AAAAADcp1w8=")</f>
        <v>#REF!</v>
      </c>
      <c r="Q507" t="e">
        <f>AND(#REF!,"AAAAADcp1xA=")</f>
        <v>#REF!</v>
      </c>
      <c r="R507" t="e">
        <f>AND(#REF!,"AAAAADcp1xE=")</f>
        <v>#REF!</v>
      </c>
      <c r="S507" t="e">
        <f>AND(#REF!,"AAAAADcp1xI=")</f>
        <v>#REF!</v>
      </c>
      <c r="T507" t="e">
        <f>AND(#REF!,"AAAAADcp1xM=")</f>
        <v>#REF!</v>
      </c>
      <c r="U507" t="e">
        <f>AND(#REF!,"AAAAADcp1xQ=")</f>
        <v>#REF!</v>
      </c>
      <c r="V507" t="e">
        <f>AND(#REF!,"AAAAADcp1xU=")</f>
        <v>#REF!</v>
      </c>
      <c r="W507" t="e">
        <f>AND(#REF!,"AAAAADcp1xY=")</f>
        <v>#REF!</v>
      </c>
      <c r="X507" t="e">
        <f>AND(#REF!,"AAAAADcp1xc=")</f>
        <v>#REF!</v>
      </c>
      <c r="Y507" t="e">
        <f>AND(#REF!,"AAAAADcp1xg=")</f>
        <v>#REF!</v>
      </c>
      <c r="Z507" t="e">
        <f>IF(#REF!,"AAAAADcp1xk=",0)</f>
        <v>#REF!</v>
      </c>
      <c r="AA507" t="e">
        <f>AND(#REF!,"AAAAADcp1xo=")</f>
        <v>#REF!</v>
      </c>
      <c r="AB507" t="e">
        <f>AND(#REF!,"AAAAADcp1xs=")</f>
        <v>#REF!</v>
      </c>
      <c r="AC507" t="e">
        <f>AND(#REF!,"AAAAADcp1xw=")</f>
        <v>#REF!</v>
      </c>
      <c r="AD507" t="e">
        <f>AND(#REF!,"AAAAADcp1x0=")</f>
        <v>#REF!</v>
      </c>
      <c r="AE507" t="e">
        <f>AND(#REF!,"AAAAADcp1x4=")</f>
        <v>#REF!</v>
      </c>
      <c r="AF507" t="e">
        <f>AND(#REF!,"AAAAADcp1x8=")</f>
        <v>#REF!</v>
      </c>
      <c r="AG507" t="e">
        <f>AND(#REF!,"AAAAADcp1yA=")</f>
        <v>#REF!</v>
      </c>
      <c r="AH507" t="e">
        <f>AND(#REF!,"AAAAADcp1yE=")</f>
        <v>#REF!</v>
      </c>
      <c r="AI507" t="e">
        <f>AND(#REF!,"AAAAADcp1yI=")</f>
        <v>#REF!</v>
      </c>
      <c r="AJ507" t="e">
        <f>AND(#REF!,"AAAAADcp1yM=")</f>
        <v>#REF!</v>
      </c>
      <c r="AK507" t="e">
        <f>IF(#REF!,"AAAAADcp1yQ=",0)</f>
        <v>#REF!</v>
      </c>
      <c r="AL507" t="e">
        <f>AND(#REF!,"AAAAADcp1yU=")</f>
        <v>#REF!</v>
      </c>
      <c r="AM507" t="e">
        <f>AND(#REF!,"AAAAADcp1yY=")</f>
        <v>#REF!</v>
      </c>
      <c r="AN507" t="e">
        <f>AND(#REF!,"AAAAADcp1yc=")</f>
        <v>#REF!</v>
      </c>
      <c r="AO507" t="e">
        <f>AND(#REF!,"AAAAADcp1yg=")</f>
        <v>#REF!</v>
      </c>
      <c r="AP507" t="e">
        <f>AND(#REF!,"AAAAADcp1yk=")</f>
        <v>#REF!</v>
      </c>
      <c r="AQ507" t="e">
        <f>AND(#REF!,"AAAAADcp1yo=")</f>
        <v>#REF!</v>
      </c>
      <c r="AR507" t="e">
        <f>AND(#REF!,"AAAAADcp1ys=")</f>
        <v>#REF!</v>
      </c>
      <c r="AS507" t="e">
        <f>AND(#REF!,"AAAAADcp1yw=")</f>
        <v>#REF!</v>
      </c>
      <c r="AT507" t="e">
        <f>AND(#REF!,"AAAAADcp1y0=")</f>
        <v>#REF!</v>
      </c>
      <c r="AU507" t="e">
        <f>AND(#REF!,"AAAAADcp1y4=")</f>
        <v>#REF!</v>
      </c>
      <c r="AV507" t="e">
        <f>IF(#REF!,"AAAAADcp1y8=",0)</f>
        <v>#REF!</v>
      </c>
      <c r="AW507" t="e">
        <f>AND(#REF!,"AAAAADcp1zA=")</f>
        <v>#REF!</v>
      </c>
      <c r="AX507" t="e">
        <f>AND(#REF!,"AAAAADcp1zE=")</f>
        <v>#REF!</v>
      </c>
      <c r="AY507" t="e">
        <f>AND(#REF!,"AAAAADcp1zI=")</f>
        <v>#REF!</v>
      </c>
      <c r="AZ507" t="e">
        <f>AND(#REF!,"AAAAADcp1zM=")</f>
        <v>#REF!</v>
      </c>
      <c r="BA507" t="e">
        <f>AND(#REF!,"AAAAADcp1zQ=")</f>
        <v>#REF!</v>
      </c>
      <c r="BB507" t="e">
        <f>AND(#REF!,"AAAAADcp1zU=")</f>
        <v>#REF!</v>
      </c>
      <c r="BC507" t="e">
        <f>AND(#REF!,"AAAAADcp1zY=")</f>
        <v>#REF!</v>
      </c>
      <c r="BD507" t="e">
        <f>AND(#REF!,"AAAAADcp1zc=")</f>
        <v>#REF!</v>
      </c>
      <c r="BE507" t="e">
        <f>AND(#REF!,"AAAAADcp1zg=")</f>
        <v>#REF!</v>
      </c>
      <c r="BF507" t="e">
        <f>AND(#REF!,"AAAAADcp1zk=")</f>
        <v>#REF!</v>
      </c>
      <c r="BG507" t="e">
        <f>IF(#REF!,"AAAAADcp1zo=",0)</f>
        <v>#REF!</v>
      </c>
      <c r="BH507" t="e">
        <f>AND(#REF!,"AAAAADcp1zs=")</f>
        <v>#REF!</v>
      </c>
      <c r="BI507" t="e">
        <f>AND(#REF!,"AAAAADcp1zw=")</f>
        <v>#REF!</v>
      </c>
      <c r="BJ507" t="e">
        <f>AND(#REF!,"AAAAADcp1z0=")</f>
        <v>#REF!</v>
      </c>
      <c r="BK507" t="e">
        <f>AND(#REF!,"AAAAADcp1z4=")</f>
        <v>#REF!</v>
      </c>
      <c r="BL507" t="e">
        <f>AND(#REF!,"AAAAADcp1z8=")</f>
        <v>#REF!</v>
      </c>
      <c r="BM507" t="e">
        <f>AND(#REF!,"AAAAADcp10A=")</f>
        <v>#REF!</v>
      </c>
      <c r="BN507" t="e">
        <f>AND(#REF!,"AAAAADcp10E=")</f>
        <v>#REF!</v>
      </c>
      <c r="BO507" t="e">
        <f>AND(#REF!,"AAAAADcp10I=")</f>
        <v>#REF!</v>
      </c>
      <c r="BP507" t="e">
        <f>AND(#REF!,"AAAAADcp10M=")</f>
        <v>#REF!</v>
      </c>
      <c r="BQ507" t="e">
        <f>AND(#REF!,"AAAAADcp10Q=")</f>
        <v>#REF!</v>
      </c>
      <c r="BR507" t="e">
        <f>IF(#REF!,"AAAAADcp10U=",0)</f>
        <v>#REF!</v>
      </c>
      <c r="BS507" t="e">
        <f>AND(#REF!,"AAAAADcp10Y=")</f>
        <v>#REF!</v>
      </c>
      <c r="BT507" t="e">
        <f>AND(#REF!,"AAAAADcp10c=")</f>
        <v>#REF!</v>
      </c>
      <c r="BU507" t="e">
        <f>AND(#REF!,"AAAAADcp10g=")</f>
        <v>#REF!</v>
      </c>
      <c r="BV507" t="e">
        <f>AND(#REF!,"AAAAADcp10k=")</f>
        <v>#REF!</v>
      </c>
      <c r="BW507" t="e">
        <f>AND(#REF!,"AAAAADcp10o=")</f>
        <v>#REF!</v>
      </c>
      <c r="BX507" t="e">
        <f>AND(#REF!,"AAAAADcp10s=")</f>
        <v>#REF!</v>
      </c>
      <c r="BY507" t="e">
        <f>AND(#REF!,"AAAAADcp10w=")</f>
        <v>#REF!</v>
      </c>
      <c r="BZ507" t="e">
        <f>AND(#REF!,"AAAAADcp100=")</f>
        <v>#REF!</v>
      </c>
      <c r="CA507" t="e">
        <f>AND(#REF!,"AAAAADcp104=")</f>
        <v>#REF!</v>
      </c>
      <c r="CB507" t="e">
        <f>AND(#REF!,"AAAAADcp108=")</f>
        <v>#REF!</v>
      </c>
      <c r="CC507" t="e">
        <f>IF(#REF!,"AAAAADcp11A=",0)</f>
        <v>#REF!</v>
      </c>
      <c r="CD507" t="e">
        <f>AND(#REF!,"AAAAADcp11E=")</f>
        <v>#REF!</v>
      </c>
      <c r="CE507" t="e">
        <f>AND(#REF!,"AAAAADcp11I=")</f>
        <v>#REF!</v>
      </c>
      <c r="CF507" t="e">
        <f>AND(#REF!,"AAAAADcp11M=")</f>
        <v>#REF!</v>
      </c>
      <c r="CG507" t="e">
        <f>AND(#REF!,"AAAAADcp11Q=")</f>
        <v>#REF!</v>
      </c>
      <c r="CH507" t="e">
        <f>AND(#REF!,"AAAAADcp11U=")</f>
        <v>#REF!</v>
      </c>
      <c r="CI507" t="e">
        <f>AND(#REF!,"AAAAADcp11Y=")</f>
        <v>#REF!</v>
      </c>
      <c r="CJ507" t="e">
        <f>AND(#REF!,"AAAAADcp11c=")</f>
        <v>#REF!</v>
      </c>
      <c r="CK507" t="e">
        <f>AND(#REF!,"AAAAADcp11g=")</f>
        <v>#REF!</v>
      </c>
      <c r="CL507" t="e">
        <f>AND(#REF!,"AAAAADcp11k=")</f>
        <v>#REF!</v>
      </c>
      <c r="CM507" t="e">
        <f>AND(#REF!,"AAAAADcp11o=")</f>
        <v>#REF!</v>
      </c>
      <c r="CN507" t="e">
        <f>IF(#REF!,"AAAAADcp11s=",0)</f>
        <v>#REF!</v>
      </c>
      <c r="CO507" t="e">
        <f>AND(#REF!,"AAAAADcp11w=")</f>
        <v>#REF!</v>
      </c>
      <c r="CP507" t="e">
        <f>AND(#REF!,"AAAAADcp110=")</f>
        <v>#REF!</v>
      </c>
      <c r="CQ507" t="e">
        <f>AND(#REF!,"AAAAADcp114=")</f>
        <v>#REF!</v>
      </c>
      <c r="CR507" t="e">
        <f>AND(#REF!,"AAAAADcp118=")</f>
        <v>#REF!</v>
      </c>
      <c r="CS507" t="e">
        <f>AND(#REF!,"AAAAADcp12A=")</f>
        <v>#REF!</v>
      </c>
      <c r="CT507" t="e">
        <f>AND(#REF!,"AAAAADcp12E=")</f>
        <v>#REF!</v>
      </c>
      <c r="CU507" t="e">
        <f>AND(#REF!,"AAAAADcp12I=")</f>
        <v>#REF!</v>
      </c>
      <c r="CV507" t="e">
        <f>AND(#REF!,"AAAAADcp12M=")</f>
        <v>#REF!</v>
      </c>
      <c r="CW507" t="e">
        <f>AND(#REF!,"AAAAADcp12Q=")</f>
        <v>#REF!</v>
      </c>
      <c r="CX507" t="e">
        <f>AND(#REF!,"AAAAADcp12U=")</f>
        <v>#REF!</v>
      </c>
      <c r="CY507" t="e">
        <f>IF(#REF!,"AAAAADcp12Y=",0)</f>
        <v>#REF!</v>
      </c>
      <c r="CZ507" t="e">
        <f>AND(#REF!,"AAAAADcp12c=")</f>
        <v>#REF!</v>
      </c>
      <c r="DA507" t="e">
        <f>AND(#REF!,"AAAAADcp12g=")</f>
        <v>#REF!</v>
      </c>
      <c r="DB507" t="e">
        <f>AND(#REF!,"AAAAADcp12k=")</f>
        <v>#REF!</v>
      </c>
      <c r="DC507" t="e">
        <f>AND(#REF!,"AAAAADcp12o=")</f>
        <v>#REF!</v>
      </c>
      <c r="DD507" t="e">
        <f>AND(#REF!,"AAAAADcp12s=")</f>
        <v>#REF!</v>
      </c>
      <c r="DE507" t="e">
        <f>AND(#REF!,"AAAAADcp12w=")</f>
        <v>#REF!</v>
      </c>
      <c r="DF507" t="e">
        <f>AND(#REF!,"AAAAADcp120=")</f>
        <v>#REF!</v>
      </c>
      <c r="DG507" t="e">
        <f>AND(#REF!,"AAAAADcp124=")</f>
        <v>#REF!</v>
      </c>
      <c r="DH507" t="e">
        <f>AND(#REF!,"AAAAADcp128=")</f>
        <v>#REF!</v>
      </c>
      <c r="DI507" t="e">
        <f>AND(#REF!,"AAAAADcp13A=")</f>
        <v>#REF!</v>
      </c>
      <c r="DJ507" t="e">
        <f>IF(#REF!,"AAAAADcp13E=",0)</f>
        <v>#REF!</v>
      </c>
      <c r="DK507" t="e">
        <f>AND(#REF!,"AAAAADcp13I=")</f>
        <v>#REF!</v>
      </c>
      <c r="DL507" t="e">
        <f>AND(#REF!,"AAAAADcp13M=")</f>
        <v>#REF!</v>
      </c>
      <c r="DM507" t="e">
        <f>AND(#REF!,"AAAAADcp13Q=")</f>
        <v>#REF!</v>
      </c>
      <c r="DN507" t="e">
        <f>AND(#REF!,"AAAAADcp13U=")</f>
        <v>#REF!</v>
      </c>
      <c r="DO507" t="e">
        <f>AND(#REF!,"AAAAADcp13Y=")</f>
        <v>#REF!</v>
      </c>
      <c r="DP507" t="e">
        <f>AND(#REF!,"AAAAADcp13c=")</f>
        <v>#REF!</v>
      </c>
      <c r="DQ507" t="e">
        <f>AND(#REF!,"AAAAADcp13g=")</f>
        <v>#REF!</v>
      </c>
      <c r="DR507" t="e">
        <f>AND(#REF!,"AAAAADcp13k=")</f>
        <v>#REF!</v>
      </c>
      <c r="DS507" t="e">
        <f>AND(#REF!,"AAAAADcp13o=")</f>
        <v>#REF!</v>
      </c>
      <c r="DT507" t="e">
        <f>AND(#REF!,"AAAAADcp13s=")</f>
        <v>#REF!</v>
      </c>
      <c r="DU507" t="e">
        <f>IF(#REF!,"AAAAADcp13w=",0)</f>
        <v>#REF!</v>
      </c>
      <c r="DV507" t="e">
        <f>AND(#REF!,"AAAAADcp130=")</f>
        <v>#REF!</v>
      </c>
      <c r="DW507" t="e">
        <f>AND(#REF!,"AAAAADcp134=")</f>
        <v>#REF!</v>
      </c>
      <c r="DX507" t="e">
        <f>AND(#REF!,"AAAAADcp138=")</f>
        <v>#REF!</v>
      </c>
      <c r="DY507" t="e">
        <f>AND(#REF!,"AAAAADcp14A=")</f>
        <v>#REF!</v>
      </c>
      <c r="DZ507" t="e">
        <f>AND(#REF!,"AAAAADcp14E=")</f>
        <v>#REF!</v>
      </c>
      <c r="EA507" t="e">
        <f>AND(#REF!,"AAAAADcp14I=")</f>
        <v>#REF!</v>
      </c>
      <c r="EB507" t="e">
        <f>AND(#REF!,"AAAAADcp14M=")</f>
        <v>#REF!</v>
      </c>
      <c r="EC507" t="e">
        <f>AND(#REF!,"AAAAADcp14Q=")</f>
        <v>#REF!</v>
      </c>
      <c r="ED507" t="e">
        <f>AND(#REF!,"AAAAADcp14U=")</f>
        <v>#REF!</v>
      </c>
      <c r="EE507" t="e">
        <f>AND(#REF!,"AAAAADcp14Y=")</f>
        <v>#REF!</v>
      </c>
      <c r="EF507" t="e">
        <f>IF(#REF!,"AAAAADcp14c=",0)</f>
        <v>#REF!</v>
      </c>
      <c r="EG507" t="e">
        <f>AND(#REF!,"AAAAADcp14g=")</f>
        <v>#REF!</v>
      </c>
      <c r="EH507" t="e">
        <f>AND(#REF!,"AAAAADcp14k=")</f>
        <v>#REF!</v>
      </c>
      <c r="EI507" t="e">
        <f>AND(#REF!,"AAAAADcp14o=")</f>
        <v>#REF!</v>
      </c>
      <c r="EJ507" t="e">
        <f>AND(#REF!,"AAAAADcp14s=")</f>
        <v>#REF!</v>
      </c>
      <c r="EK507" t="e">
        <f>AND(#REF!,"AAAAADcp14w=")</f>
        <v>#REF!</v>
      </c>
      <c r="EL507" t="e">
        <f>AND(#REF!,"AAAAADcp140=")</f>
        <v>#REF!</v>
      </c>
      <c r="EM507" t="e">
        <f>AND(#REF!,"AAAAADcp144=")</f>
        <v>#REF!</v>
      </c>
      <c r="EN507" t="e">
        <f>AND(#REF!,"AAAAADcp148=")</f>
        <v>#REF!</v>
      </c>
      <c r="EO507" t="e">
        <f>AND(#REF!,"AAAAADcp15A=")</f>
        <v>#REF!</v>
      </c>
      <c r="EP507" t="e">
        <f>AND(#REF!,"AAAAADcp15E=")</f>
        <v>#REF!</v>
      </c>
      <c r="EQ507" t="e">
        <f>IF(#REF!,"AAAAADcp15I=",0)</f>
        <v>#REF!</v>
      </c>
      <c r="ER507" t="e">
        <f>AND(#REF!,"AAAAADcp15M=")</f>
        <v>#REF!</v>
      </c>
      <c r="ES507" t="e">
        <f>AND(#REF!,"AAAAADcp15Q=")</f>
        <v>#REF!</v>
      </c>
      <c r="ET507" t="e">
        <f>AND(#REF!,"AAAAADcp15U=")</f>
        <v>#REF!</v>
      </c>
      <c r="EU507" t="e">
        <f>AND(#REF!,"AAAAADcp15Y=")</f>
        <v>#REF!</v>
      </c>
      <c r="EV507" t="e">
        <f>AND(#REF!,"AAAAADcp15c=")</f>
        <v>#REF!</v>
      </c>
      <c r="EW507" t="e">
        <f>AND(#REF!,"AAAAADcp15g=")</f>
        <v>#REF!</v>
      </c>
      <c r="EX507" t="e">
        <f>AND(#REF!,"AAAAADcp15k=")</f>
        <v>#REF!</v>
      </c>
      <c r="EY507" t="e">
        <f>AND(#REF!,"AAAAADcp15o=")</f>
        <v>#REF!</v>
      </c>
      <c r="EZ507" t="e">
        <f>AND(#REF!,"AAAAADcp15s=")</f>
        <v>#REF!</v>
      </c>
      <c r="FA507" t="e">
        <f>AND(#REF!,"AAAAADcp15w=")</f>
        <v>#REF!</v>
      </c>
      <c r="FB507" t="e">
        <f>IF(#REF!,"AAAAADcp150=",0)</f>
        <v>#REF!</v>
      </c>
      <c r="FC507" t="e">
        <f>AND(#REF!,"AAAAADcp154=")</f>
        <v>#REF!</v>
      </c>
      <c r="FD507" t="e">
        <f>AND(#REF!,"AAAAADcp158=")</f>
        <v>#REF!</v>
      </c>
      <c r="FE507" t="e">
        <f>AND(#REF!,"AAAAADcp16A=")</f>
        <v>#REF!</v>
      </c>
      <c r="FF507" t="e">
        <f>AND(#REF!,"AAAAADcp16E=")</f>
        <v>#REF!</v>
      </c>
      <c r="FG507" t="e">
        <f>AND(#REF!,"AAAAADcp16I=")</f>
        <v>#REF!</v>
      </c>
      <c r="FH507" t="e">
        <f>AND(#REF!,"AAAAADcp16M=")</f>
        <v>#REF!</v>
      </c>
      <c r="FI507" t="e">
        <f>AND(#REF!,"AAAAADcp16Q=")</f>
        <v>#REF!</v>
      </c>
      <c r="FJ507" t="e">
        <f>AND(#REF!,"AAAAADcp16U=")</f>
        <v>#REF!</v>
      </c>
      <c r="FK507" t="e">
        <f>AND(#REF!,"AAAAADcp16Y=")</f>
        <v>#REF!</v>
      </c>
      <c r="FL507" t="e">
        <f>AND(#REF!,"AAAAADcp16c=")</f>
        <v>#REF!</v>
      </c>
      <c r="FM507" t="e">
        <f>IF(#REF!,"AAAAADcp16g=",0)</f>
        <v>#REF!</v>
      </c>
      <c r="FN507" t="e">
        <f>AND(#REF!,"AAAAADcp16k=")</f>
        <v>#REF!</v>
      </c>
      <c r="FO507" t="e">
        <f>AND(#REF!,"AAAAADcp16o=")</f>
        <v>#REF!</v>
      </c>
      <c r="FP507" t="e">
        <f>AND(#REF!,"AAAAADcp16s=")</f>
        <v>#REF!</v>
      </c>
      <c r="FQ507" t="e">
        <f>AND(#REF!,"AAAAADcp16w=")</f>
        <v>#REF!</v>
      </c>
      <c r="FR507" t="e">
        <f>AND(#REF!,"AAAAADcp160=")</f>
        <v>#REF!</v>
      </c>
      <c r="FS507" t="e">
        <f>AND(#REF!,"AAAAADcp164=")</f>
        <v>#REF!</v>
      </c>
      <c r="FT507" t="e">
        <f>AND(#REF!,"AAAAADcp168=")</f>
        <v>#REF!</v>
      </c>
      <c r="FU507" t="e">
        <f>AND(#REF!,"AAAAADcp17A=")</f>
        <v>#REF!</v>
      </c>
      <c r="FV507" t="e">
        <f>AND(#REF!,"AAAAADcp17E=")</f>
        <v>#REF!</v>
      </c>
      <c r="FW507" t="e">
        <f>AND(#REF!,"AAAAADcp17I=")</f>
        <v>#REF!</v>
      </c>
      <c r="FX507" t="e">
        <f>IF(#REF!,"AAAAADcp17M=",0)</f>
        <v>#REF!</v>
      </c>
      <c r="FY507" t="e">
        <f>AND(#REF!,"AAAAADcp17Q=")</f>
        <v>#REF!</v>
      </c>
      <c r="FZ507" t="e">
        <f>AND(#REF!,"AAAAADcp17U=")</f>
        <v>#REF!</v>
      </c>
      <c r="GA507" t="e">
        <f>AND(#REF!,"AAAAADcp17Y=")</f>
        <v>#REF!</v>
      </c>
      <c r="GB507" t="e">
        <f>AND(#REF!,"AAAAADcp17c=")</f>
        <v>#REF!</v>
      </c>
      <c r="GC507" t="e">
        <f>AND(#REF!,"AAAAADcp17g=")</f>
        <v>#REF!</v>
      </c>
      <c r="GD507" t="e">
        <f>AND(#REF!,"AAAAADcp17k=")</f>
        <v>#REF!</v>
      </c>
      <c r="GE507" t="e">
        <f>AND(#REF!,"AAAAADcp17o=")</f>
        <v>#REF!</v>
      </c>
      <c r="GF507" t="e">
        <f>AND(#REF!,"AAAAADcp17s=")</f>
        <v>#REF!</v>
      </c>
      <c r="GG507" t="e">
        <f>AND(#REF!,"AAAAADcp17w=")</f>
        <v>#REF!</v>
      </c>
      <c r="GH507" t="e">
        <f>AND(#REF!,"AAAAADcp170=")</f>
        <v>#REF!</v>
      </c>
      <c r="GI507" t="e">
        <f>IF(#REF!,"AAAAADcp174=",0)</f>
        <v>#REF!</v>
      </c>
      <c r="GJ507" t="e">
        <f>AND(#REF!,"AAAAADcp178=")</f>
        <v>#REF!</v>
      </c>
      <c r="GK507" t="e">
        <f>AND(#REF!,"AAAAADcp18A=")</f>
        <v>#REF!</v>
      </c>
      <c r="GL507" t="e">
        <f>AND(#REF!,"AAAAADcp18E=")</f>
        <v>#REF!</v>
      </c>
      <c r="GM507" t="e">
        <f>AND(#REF!,"AAAAADcp18I=")</f>
        <v>#REF!</v>
      </c>
      <c r="GN507" t="e">
        <f>AND(#REF!,"AAAAADcp18M=")</f>
        <v>#REF!</v>
      </c>
      <c r="GO507" t="e">
        <f>AND(#REF!,"AAAAADcp18Q=")</f>
        <v>#REF!</v>
      </c>
      <c r="GP507" t="e">
        <f>AND(#REF!,"AAAAADcp18U=")</f>
        <v>#REF!</v>
      </c>
      <c r="GQ507" t="e">
        <f>AND(#REF!,"AAAAADcp18Y=")</f>
        <v>#REF!</v>
      </c>
      <c r="GR507" t="e">
        <f>AND(#REF!,"AAAAADcp18c=")</f>
        <v>#REF!</v>
      </c>
      <c r="GS507" t="e">
        <f>AND(#REF!,"AAAAADcp18g=")</f>
        <v>#REF!</v>
      </c>
      <c r="GT507" t="e">
        <f>IF(#REF!,"AAAAADcp18k=",0)</f>
        <v>#REF!</v>
      </c>
      <c r="GU507" t="e">
        <f>AND(#REF!,"AAAAADcp18o=")</f>
        <v>#REF!</v>
      </c>
      <c r="GV507" t="e">
        <f>AND(#REF!,"AAAAADcp18s=")</f>
        <v>#REF!</v>
      </c>
      <c r="GW507" t="e">
        <f>AND(#REF!,"AAAAADcp18w=")</f>
        <v>#REF!</v>
      </c>
      <c r="GX507" t="e">
        <f>AND(#REF!,"AAAAADcp180=")</f>
        <v>#REF!</v>
      </c>
      <c r="GY507" t="e">
        <f>AND(#REF!,"AAAAADcp184=")</f>
        <v>#REF!</v>
      </c>
      <c r="GZ507" t="e">
        <f>AND(#REF!,"AAAAADcp188=")</f>
        <v>#REF!</v>
      </c>
      <c r="HA507" t="e">
        <f>AND(#REF!,"AAAAADcp19A=")</f>
        <v>#REF!</v>
      </c>
      <c r="HB507" t="e">
        <f>AND(#REF!,"AAAAADcp19E=")</f>
        <v>#REF!</v>
      </c>
      <c r="HC507" t="e">
        <f>AND(#REF!,"AAAAADcp19I=")</f>
        <v>#REF!</v>
      </c>
      <c r="HD507" t="e">
        <f>AND(#REF!,"AAAAADcp19M=")</f>
        <v>#REF!</v>
      </c>
      <c r="HE507" t="e">
        <f>IF(#REF!,"AAAAADcp19Q=",0)</f>
        <v>#REF!</v>
      </c>
      <c r="HF507" t="e">
        <f>AND(#REF!,"AAAAADcp19U=")</f>
        <v>#REF!</v>
      </c>
      <c r="HG507" t="e">
        <f>AND(#REF!,"AAAAADcp19Y=")</f>
        <v>#REF!</v>
      </c>
      <c r="HH507" t="e">
        <f>AND(#REF!,"AAAAADcp19c=")</f>
        <v>#REF!</v>
      </c>
      <c r="HI507" t="e">
        <f>AND(#REF!,"AAAAADcp19g=")</f>
        <v>#REF!</v>
      </c>
      <c r="HJ507" t="e">
        <f>AND(#REF!,"AAAAADcp19k=")</f>
        <v>#REF!</v>
      </c>
      <c r="HK507" t="e">
        <f>AND(#REF!,"AAAAADcp19o=")</f>
        <v>#REF!</v>
      </c>
      <c r="HL507" t="e">
        <f>AND(#REF!,"AAAAADcp19s=")</f>
        <v>#REF!</v>
      </c>
      <c r="HM507" t="e">
        <f>AND(#REF!,"AAAAADcp19w=")</f>
        <v>#REF!</v>
      </c>
      <c r="HN507" t="e">
        <f>AND(#REF!,"AAAAADcp190=")</f>
        <v>#REF!</v>
      </c>
      <c r="HO507" t="e">
        <f>AND(#REF!,"AAAAADcp194=")</f>
        <v>#REF!</v>
      </c>
      <c r="HP507" t="e">
        <f>IF(#REF!,"AAAAADcp198=",0)</f>
        <v>#REF!</v>
      </c>
      <c r="HQ507" t="e">
        <f>AND(#REF!,"AAAAADcp1+A=")</f>
        <v>#REF!</v>
      </c>
      <c r="HR507" t="e">
        <f>AND(#REF!,"AAAAADcp1+E=")</f>
        <v>#REF!</v>
      </c>
      <c r="HS507" t="e">
        <f>AND(#REF!,"AAAAADcp1+I=")</f>
        <v>#REF!</v>
      </c>
      <c r="HT507" t="e">
        <f>AND(#REF!,"AAAAADcp1+M=")</f>
        <v>#REF!</v>
      </c>
      <c r="HU507" t="e">
        <f>AND(#REF!,"AAAAADcp1+Q=")</f>
        <v>#REF!</v>
      </c>
      <c r="HV507" t="e">
        <f>AND(#REF!,"AAAAADcp1+U=")</f>
        <v>#REF!</v>
      </c>
      <c r="HW507" t="e">
        <f>AND(#REF!,"AAAAADcp1+Y=")</f>
        <v>#REF!</v>
      </c>
      <c r="HX507" t="e">
        <f>AND(#REF!,"AAAAADcp1+c=")</f>
        <v>#REF!</v>
      </c>
      <c r="HY507" t="e">
        <f>AND(#REF!,"AAAAADcp1+g=")</f>
        <v>#REF!</v>
      </c>
      <c r="HZ507" t="e">
        <f>AND(#REF!,"AAAAADcp1+k=")</f>
        <v>#REF!</v>
      </c>
      <c r="IA507" t="e">
        <f>IF(#REF!,"AAAAADcp1+o=",0)</f>
        <v>#REF!</v>
      </c>
      <c r="IB507" t="e">
        <f>AND(#REF!,"AAAAADcp1+s=")</f>
        <v>#REF!</v>
      </c>
      <c r="IC507" t="e">
        <f>AND(#REF!,"AAAAADcp1+w=")</f>
        <v>#REF!</v>
      </c>
      <c r="ID507" t="e">
        <f>AND(#REF!,"AAAAADcp1+0=")</f>
        <v>#REF!</v>
      </c>
      <c r="IE507" t="e">
        <f>AND(#REF!,"AAAAADcp1+4=")</f>
        <v>#REF!</v>
      </c>
      <c r="IF507" t="e">
        <f>AND(#REF!,"AAAAADcp1+8=")</f>
        <v>#REF!</v>
      </c>
      <c r="IG507" t="e">
        <f>AND(#REF!,"AAAAADcp1/A=")</f>
        <v>#REF!</v>
      </c>
      <c r="IH507" t="e">
        <f>AND(#REF!,"AAAAADcp1/E=")</f>
        <v>#REF!</v>
      </c>
      <c r="II507" t="e">
        <f>AND(#REF!,"AAAAADcp1/I=")</f>
        <v>#REF!</v>
      </c>
      <c r="IJ507" t="e">
        <f>AND(#REF!,"AAAAADcp1/M=")</f>
        <v>#REF!</v>
      </c>
      <c r="IK507" t="e">
        <f>AND(#REF!,"AAAAADcp1/Q=")</f>
        <v>#REF!</v>
      </c>
      <c r="IL507" t="e">
        <f>IF(#REF!,"AAAAADcp1/U=",0)</f>
        <v>#REF!</v>
      </c>
      <c r="IM507" t="e">
        <f>AND(#REF!,"AAAAADcp1/Y=")</f>
        <v>#REF!</v>
      </c>
      <c r="IN507" t="e">
        <f>AND(#REF!,"AAAAADcp1/c=")</f>
        <v>#REF!</v>
      </c>
      <c r="IO507" t="e">
        <f>AND(#REF!,"AAAAADcp1/g=")</f>
        <v>#REF!</v>
      </c>
      <c r="IP507" t="e">
        <f>AND(#REF!,"AAAAADcp1/k=")</f>
        <v>#REF!</v>
      </c>
      <c r="IQ507" t="e">
        <f>AND(#REF!,"AAAAADcp1/o=")</f>
        <v>#REF!</v>
      </c>
      <c r="IR507" t="e">
        <f>AND(#REF!,"AAAAADcp1/s=")</f>
        <v>#REF!</v>
      </c>
      <c r="IS507" t="e">
        <f>AND(#REF!,"AAAAADcp1/w=")</f>
        <v>#REF!</v>
      </c>
      <c r="IT507" t="e">
        <f>AND(#REF!,"AAAAADcp1/0=")</f>
        <v>#REF!</v>
      </c>
      <c r="IU507" t="e">
        <f>AND(#REF!,"AAAAADcp1/4=")</f>
        <v>#REF!</v>
      </c>
      <c r="IV507" t="e">
        <f>AND(#REF!,"AAAAADcp1/8=")</f>
        <v>#REF!</v>
      </c>
    </row>
    <row r="508" spans="1:256" x14ac:dyDescent="0.25">
      <c r="A508" t="e">
        <f>IF(#REF!,"AAAAAH93/wA=",0)</f>
        <v>#REF!</v>
      </c>
      <c r="B508" t="e">
        <f>AND(#REF!,"AAAAAH93/wE=")</f>
        <v>#REF!</v>
      </c>
      <c r="C508" t="e">
        <f>AND(#REF!,"AAAAAH93/wI=")</f>
        <v>#REF!</v>
      </c>
      <c r="D508" t="e">
        <f>AND(#REF!,"AAAAAH93/wM=")</f>
        <v>#REF!</v>
      </c>
      <c r="E508" t="e">
        <f>AND(#REF!,"AAAAAH93/wQ=")</f>
        <v>#REF!</v>
      </c>
      <c r="F508" t="e">
        <f>AND(#REF!,"AAAAAH93/wU=")</f>
        <v>#REF!</v>
      </c>
      <c r="G508" t="e">
        <f>AND(#REF!,"AAAAAH93/wY=")</f>
        <v>#REF!</v>
      </c>
      <c r="H508" t="e">
        <f>AND(#REF!,"AAAAAH93/wc=")</f>
        <v>#REF!</v>
      </c>
      <c r="I508" t="e">
        <f>AND(#REF!,"AAAAAH93/wg=")</f>
        <v>#REF!</v>
      </c>
      <c r="J508" t="e">
        <f>AND(#REF!,"AAAAAH93/wk=")</f>
        <v>#REF!</v>
      </c>
      <c r="K508" t="e">
        <f>AND(#REF!,"AAAAAH93/wo=")</f>
        <v>#REF!</v>
      </c>
      <c r="L508" t="e">
        <f>IF(#REF!,"AAAAAH93/ws=",0)</f>
        <v>#REF!</v>
      </c>
      <c r="M508" t="e">
        <f>AND(#REF!,"AAAAAH93/ww=")</f>
        <v>#REF!</v>
      </c>
      <c r="N508" t="e">
        <f>AND(#REF!,"AAAAAH93/w0=")</f>
        <v>#REF!</v>
      </c>
      <c r="O508" t="e">
        <f>AND(#REF!,"AAAAAH93/w4=")</f>
        <v>#REF!</v>
      </c>
      <c r="P508" t="e">
        <f>AND(#REF!,"AAAAAH93/w8=")</f>
        <v>#REF!</v>
      </c>
      <c r="Q508" t="e">
        <f>AND(#REF!,"AAAAAH93/xA=")</f>
        <v>#REF!</v>
      </c>
      <c r="R508" t="e">
        <f>AND(#REF!,"AAAAAH93/xE=")</f>
        <v>#REF!</v>
      </c>
      <c r="S508" t="e">
        <f>AND(#REF!,"AAAAAH93/xI=")</f>
        <v>#REF!</v>
      </c>
      <c r="T508" t="e">
        <f>AND(#REF!,"AAAAAH93/xM=")</f>
        <v>#REF!</v>
      </c>
      <c r="U508" t="e">
        <f>AND(#REF!,"AAAAAH93/xQ=")</f>
        <v>#REF!</v>
      </c>
      <c r="V508" t="e">
        <f>AND(#REF!,"AAAAAH93/xU=")</f>
        <v>#REF!</v>
      </c>
      <c r="W508" t="e">
        <f>IF(#REF!,"AAAAAH93/xY=",0)</f>
        <v>#REF!</v>
      </c>
      <c r="X508" t="e">
        <f>AND(#REF!,"AAAAAH93/xc=")</f>
        <v>#REF!</v>
      </c>
      <c r="Y508" t="e">
        <f>AND(#REF!,"AAAAAH93/xg=")</f>
        <v>#REF!</v>
      </c>
      <c r="Z508" t="e">
        <f>AND(#REF!,"AAAAAH93/xk=")</f>
        <v>#REF!</v>
      </c>
      <c r="AA508" t="e">
        <f>AND(#REF!,"AAAAAH93/xo=")</f>
        <v>#REF!</v>
      </c>
      <c r="AB508" t="e">
        <f>AND(#REF!,"AAAAAH93/xs=")</f>
        <v>#REF!</v>
      </c>
      <c r="AC508" t="e">
        <f>AND(#REF!,"AAAAAH93/xw=")</f>
        <v>#REF!</v>
      </c>
      <c r="AD508" t="e">
        <f>AND(#REF!,"AAAAAH93/x0=")</f>
        <v>#REF!</v>
      </c>
      <c r="AE508" t="e">
        <f>AND(#REF!,"AAAAAH93/x4=")</f>
        <v>#REF!</v>
      </c>
      <c r="AF508" t="e">
        <f>AND(#REF!,"AAAAAH93/x8=")</f>
        <v>#REF!</v>
      </c>
      <c r="AG508" t="e">
        <f>AND(#REF!,"AAAAAH93/yA=")</f>
        <v>#REF!</v>
      </c>
      <c r="AH508" t="e">
        <f>IF(#REF!,"AAAAAH93/yE=",0)</f>
        <v>#REF!</v>
      </c>
      <c r="AI508" t="e">
        <f>AND(#REF!,"AAAAAH93/yI=")</f>
        <v>#REF!</v>
      </c>
      <c r="AJ508" t="e">
        <f>AND(#REF!,"AAAAAH93/yM=")</f>
        <v>#REF!</v>
      </c>
      <c r="AK508" t="e">
        <f>AND(#REF!,"AAAAAH93/yQ=")</f>
        <v>#REF!</v>
      </c>
      <c r="AL508" t="e">
        <f>AND(#REF!,"AAAAAH93/yU=")</f>
        <v>#REF!</v>
      </c>
      <c r="AM508" t="e">
        <f>AND(#REF!,"AAAAAH93/yY=")</f>
        <v>#REF!</v>
      </c>
      <c r="AN508" t="e">
        <f>AND(#REF!,"AAAAAH93/yc=")</f>
        <v>#REF!</v>
      </c>
      <c r="AO508" t="e">
        <f>AND(#REF!,"AAAAAH93/yg=")</f>
        <v>#REF!</v>
      </c>
      <c r="AP508" t="e">
        <f>AND(#REF!,"AAAAAH93/yk=")</f>
        <v>#REF!</v>
      </c>
      <c r="AQ508" t="e">
        <f>AND(#REF!,"AAAAAH93/yo=")</f>
        <v>#REF!</v>
      </c>
      <c r="AR508" t="e">
        <f>AND(#REF!,"AAAAAH93/ys=")</f>
        <v>#REF!</v>
      </c>
      <c r="AS508" t="e">
        <f>IF(#REF!,"AAAAAH93/yw=",0)</f>
        <v>#REF!</v>
      </c>
      <c r="AT508" t="e">
        <f>AND(#REF!,"AAAAAH93/y0=")</f>
        <v>#REF!</v>
      </c>
      <c r="AU508" t="e">
        <f>AND(#REF!,"AAAAAH93/y4=")</f>
        <v>#REF!</v>
      </c>
      <c r="AV508" t="e">
        <f>AND(#REF!,"AAAAAH93/y8=")</f>
        <v>#REF!</v>
      </c>
      <c r="AW508" t="e">
        <f>AND(#REF!,"AAAAAH93/zA=")</f>
        <v>#REF!</v>
      </c>
      <c r="AX508" t="e">
        <f>AND(#REF!,"AAAAAH93/zE=")</f>
        <v>#REF!</v>
      </c>
      <c r="AY508" t="e">
        <f>AND(#REF!,"AAAAAH93/zI=")</f>
        <v>#REF!</v>
      </c>
      <c r="AZ508" t="e">
        <f>AND(#REF!,"AAAAAH93/zM=")</f>
        <v>#REF!</v>
      </c>
      <c r="BA508" t="e">
        <f>AND(#REF!,"AAAAAH93/zQ=")</f>
        <v>#REF!</v>
      </c>
      <c r="BB508" t="e">
        <f>AND(#REF!,"AAAAAH93/zU=")</f>
        <v>#REF!</v>
      </c>
      <c r="BC508" t="e">
        <f>AND(#REF!,"AAAAAH93/zY=")</f>
        <v>#REF!</v>
      </c>
      <c r="BD508" t="e">
        <f>IF(#REF!,"AAAAAH93/zc=",0)</f>
        <v>#REF!</v>
      </c>
      <c r="BE508" t="e">
        <f>AND(#REF!,"AAAAAH93/zg=")</f>
        <v>#REF!</v>
      </c>
      <c r="BF508" t="e">
        <f>AND(#REF!,"AAAAAH93/zk=")</f>
        <v>#REF!</v>
      </c>
      <c r="BG508" t="e">
        <f>AND(#REF!,"AAAAAH93/zo=")</f>
        <v>#REF!</v>
      </c>
      <c r="BH508" t="e">
        <f>AND(#REF!,"AAAAAH93/zs=")</f>
        <v>#REF!</v>
      </c>
      <c r="BI508" t="e">
        <f>AND(#REF!,"AAAAAH93/zw=")</f>
        <v>#REF!</v>
      </c>
      <c r="BJ508" t="e">
        <f>AND(#REF!,"AAAAAH93/z0=")</f>
        <v>#REF!</v>
      </c>
      <c r="BK508" t="e">
        <f>AND(#REF!,"AAAAAH93/z4=")</f>
        <v>#REF!</v>
      </c>
      <c r="BL508" t="e">
        <f>AND(#REF!,"AAAAAH93/z8=")</f>
        <v>#REF!</v>
      </c>
      <c r="BM508" t="e">
        <f>AND(#REF!,"AAAAAH93/0A=")</f>
        <v>#REF!</v>
      </c>
      <c r="BN508" t="e">
        <f>AND(#REF!,"AAAAAH93/0E=")</f>
        <v>#REF!</v>
      </c>
      <c r="BO508" t="e">
        <f>IF(#REF!,"AAAAAH93/0I=",0)</f>
        <v>#REF!</v>
      </c>
      <c r="BP508" t="e">
        <f>AND(#REF!,"AAAAAH93/0M=")</f>
        <v>#REF!</v>
      </c>
      <c r="BQ508" t="e">
        <f>AND(#REF!,"AAAAAH93/0Q=")</f>
        <v>#REF!</v>
      </c>
      <c r="BR508" t="e">
        <f>AND(#REF!,"AAAAAH93/0U=")</f>
        <v>#REF!</v>
      </c>
      <c r="BS508" t="e">
        <f>AND(#REF!,"AAAAAH93/0Y=")</f>
        <v>#REF!</v>
      </c>
      <c r="BT508" t="e">
        <f>AND(#REF!,"AAAAAH93/0c=")</f>
        <v>#REF!</v>
      </c>
      <c r="BU508" t="e">
        <f>AND(#REF!,"AAAAAH93/0g=")</f>
        <v>#REF!</v>
      </c>
      <c r="BV508" t="e">
        <f>AND(#REF!,"AAAAAH93/0k=")</f>
        <v>#REF!</v>
      </c>
      <c r="BW508" t="e">
        <f>AND(#REF!,"AAAAAH93/0o=")</f>
        <v>#REF!</v>
      </c>
      <c r="BX508" t="e">
        <f>AND(#REF!,"AAAAAH93/0s=")</f>
        <v>#REF!</v>
      </c>
      <c r="BY508" t="e">
        <f>AND(#REF!,"AAAAAH93/0w=")</f>
        <v>#REF!</v>
      </c>
      <c r="BZ508" t="e">
        <f>IF(#REF!,"AAAAAH93/00=",0)</f>
        <v>#REF!</v>
      </c>
      <c r="CA508" t="e">
        <f>AND(#REF!,"AAAAAH93/04=")</f>
        <v>#REF!</v>
      </c>
      <c r="CB508" t="e">
        <f>AND(#REF!,"AAAAAH93/08=")</f>
        <v>#REF!</v>
      </c>
      <c r="CC508" t="e">
        <f>AND(#REF!,"AAAAAH93/1A=")</f>
        <v>#REF!</v>
      </c>
      <c r="CD508" t="e">
        <f>AND(#REF!,"AAAAAH93/1E=")</f>
        <v>#REF!</v>
      </c>
      <c r="CE508" t="e">
        <f>AND(#REF!,"AAAAAH93/1I=")</f>
        <v>#REF!</v>
      </c>
      <c r="CF508" t="e">
        <f>AND(#REF!,"AAAAAH93/1M=")</f>
        <v>#REF!</v>
      </c>
      <c r="CG508" t="e">
        <f>AND(#REF!,"AAAAAH93/1Q=")</f>
        <v>#REF!</v>
      </c>
      <c r="CH508" t="e">
        <f>AND(#REF!,"AAAAAH93/1U=")</f>
        <v>#REF!</v>
      </c>
      <c r="CI508" t="e">
        <f>AND(#REF!,"AAAAAH93/1Y=")</f>
        <v>#REF!</v>
      </c>
      <c r="CJ508" t="e">
        <f>AND(#REF!,"AAAAAH93/1c=")</f>
        <v>#REF!</v>
      </c>
      <c r="CK508" t="e">
        <f>IF(#REF!,"AAAAAH93/1g=",0)</f>
        <v>#REF!</v>
      </c>
      <c r="CL508" t="e">
        <f>AND(#REF!,"AAAAAH93/1k=")</f>
        <v>#REF!</v>
      </c>
      <c r="CM508" t="e">
        <f>AND(#REF!,"AAAAAH93/1o=")</f>
        <v>#REF!</v>
      </c>
      <c r="CN508" t="e">
        <f>AND(#REF!,"AAAAAH93/1s=")</f>
        <v>#REF!</v>
      </c>
      <c r="CO508" t="e">
        <f>AND(#REF!,"AAAAAH93/1w=")</f>
        <v>#REF!</v>
      </c>
      <c r="CP508" t="e">
        <f>AND(#REF!,"AAAAAH93/10=")</f>
        <v>#REF!</v>
      </c>
      <c r="CQ508" t="e">
        <f>AND(#REF!,"AAAAAH93/14=")</f>
        <v>#REF!</v>
      </c>
      <c r="CR508" t="e">
        <f>AND(#REF!,"AAAAAH93/18=")</f>
        <v>#REF!</v>
      </c>
      <c r="CS508" t="e">
        <f>AND(#REF!,"AAAAAH93/2A=")</f>
        <v>#REF!</v>
      </c>
      <c r="CT508" t="e">
        <f>AND(#REF!,"AAAAAH93/2E=")</f>
        <v>#REF!</v>
      </c>
      <c r="CU508" t="e">
        <f>AND(#REF!,"AAAAAH93/2I=")</f>
        <v>#REF!</v>
      </c>
      <c r="CV508" t="e">
        <f>IF(#REF!,"AAAAAH93/2M=",0)</f>
        <v>#REF!</v>
      </c>
      <c r="CW508" t="e">
        <f>AND(#REF!,"AAAAAH93/2Q=")</f>
        <v>#REF!</v>
      </c>
      <c r="CX508" t="e">
        <f>AND(#REF!,"AAAAAH93/2U=")</f>
        <v>#REF!</v>
      </c>
      <c r="CY508" t="e">
        <f>AND(#REF!,"AAAAAH93/2Y=")</f>
        <v>#REF!</v>
      </c>
      <c r="CZ508" t="e">
        <f>AND(#REF!,"AAAAAH93/2c=")</f>
        <v>#REF!</v>
      </c>
      <c r="DA508" t="e">
        <f>AND(#REF!,"AAAAAH93/2g=")</f>
        <v>#REF!</v>
      </c>
      <c r="DB508" t="e">
        <f>AND(#REF!,"AAAAAH93/2k=")</f>
        <v>#REF!</v>
      </c>
      <c r="DC508" t="e">
        <f>AND(#REF!,"AAAAAH93/2o=")</f>
        <v>#REF!</v>
      </c>
      <c r="DD508" t="e">
        <f>AND(#REF!,"AAAAAH93/2s=")</f>
        <v>#REF!</v>
      </c>
      <c r="DE508" t="e">
        <f>AND(#REF!,"AAAAAH93/2w=")</f>
        <v>#REF!</v>
      </c>
      <c r="DF508" t="e">
        <f>AND(#REF!,"AAAAAH93/20=")</f>
        <v>#REF!</v>
      </c>
      <c r="DG508" t="e">
        <f>IF(#REF!,"AAAAAH93/24=",0)</f>
        <v>#REF!</v>
      </c>
      <c r="DH508" t="e">
        <f>AND(#REF!,"AAAAAH93/28=")</f>
        <v>#REF!</v>
      </c>
      <c r="DI508" t="e">
        <f>AND(#REF!,"AAAAAH93/3A=")</f>
        <v>#REF!</v>
      </c>
      <c r="DJ508" t="e">
        <f>AND(#REF!,"AAAAAH93/3E=")</f>
        <v>#REF!</v>
      </c>
      <c r="DK508" t="e">
        <f>AND(#REF!,"AAAAAH93/3I=")</f>
        <v>#REF!</v>
      </c>
      <c r="DL508" t="e">
        <f>AND(#REF!,"AAAAAH93/3M=")</f>
        <v>#REF!</v>
      </c>
      <c r="DM508" t="e">
        <f>AND(#REF!,"AAAAAH93/3Q=")</f>
        <v>#REF!</v>
      </c>
      <c r="DN508" t="e">
        <f>AND(#REF!,"AAAAAH93/3U=")</f>
        <v>#REF!</v>
      </c>
      <c r="DO508" t="e">
        <f>AND(#REF!,"AAAAAH93/3Y=")</f>
        <v>#REF!</v>
      </c>
      <c r="DP508" t="e">
        <f>AND(#REF!,"AAAAAH93/3c=")</f>
        <v>#REF!</v>
      </c>
      <c r="DQ508" t="e">
        <f>AND(#REF!,"AAAAAH93/3g=")</f>
        <v>#REF!</v>
      </c>
      <c r="DR508" t="e">
        <f>IF(#REF!,"AAAAAH93/3k=",0)</f>
        <v>#REF!</v>
      </c>
      <c r="DS508" t="e">
        <f>AND(#REF!,"AAAAAH93/3o=")</f>
        <v>#REF!</v>
      </c>
      <c r="DT508" t="e">
        <f>AND(#REF!,"AAAAAH93/3s=")</f>
        <v>#REF!</v>
      </c>
      <c r="DU508" t="e">
        <f>AND(#REF!,"AAAAAH93/3w=")</f>
        <v>#REF!</v>
      </c>
      <c r="DV508" t="e">
        <f>AND(#REF!,"AAAAAH93/30=")</f>
        <v>#REF!</v>
      </c>
      <c r="DW508" t="e">
        <f>AND(#REF!,"AAAAAH93/34=")</f>
        <v>#REF!</v>
      </c>
      <c r="DX508" t="e">
        <f>AND(#REF!,"AAAAAH93/38=")</f>
        <v>#REF!</v>
      </c>
      <c r="DY508" t="e">
        <f>AND(#REF!,"AAAAAH93/4A=")</f>
        <v>#REF!</v>
      </c>
      <c r="DZ508" t="e">
        <f>AND(#REF!,"AAAAAH93/4E=")</f>
        <v>#REF!</v>
      </c>
      <c r="EA508" t="e">
        <f>AND(#REF!,"AAAAAH93/4I=")</f>
        <v>#REF!</v>
      </c>
      <c r="EB508" t="e">
        <f>AND(#REF!,"AAAAAH93/4M=")</f>
        <v>#REF!</v>
      </c>
      <c r="EC508" t="e">
        <f>IF(#REF!,"AAAAAH93/4Q=",0)</f>
        <v>#REF!</v>
      </c>
      <c r="ED508" t="e">
        <f>AND(#REF!,"AAAAAH93/4U=")</f>
        <v>#REF!</v>
      </c>
      <c r="EE508" t="e">
        <f>AND(#REF!,"AAAAAH93/4Y=")</f>
        <v>#REF!</v>
      </c>
      <c r="EF508" t="e">
        <f>AND(#REF!,"AAAAAH93/4c=")</f>
        <v>#REF!</v>
      </c>
      <c r="EG508" t="e">
        <f>AND(#REF!,"AAAAAH93/4g=")</f>
        <v>#REF!</v>
      </c>
      <c r="EH508" t="e">
        <f>AND(#REF!,"AAAAAH93/4k=")</f>
        <v>#REF!</v>
      </c>
      <c r="EI508" t="e">
        <f>AND(#REF!,"AAAAAH93/4o=")</f>
        <v>#REF!</v>
      </c>
      <c r="EJ508" t="e">
        <f>AND(#REF!,"AAAAAH93/4s=")</f>
        <v>#REF!</v>
      </c>
      <c r="EK508" t="e">
        <f>AND(#REF!,"AAAAAH93/4w=")</f>
        <v>#REF!</v>
      </c>
      <c r="EL508" t="e">
        <f>AND(#REF!,"AAAAAH93/40=")</f>
        <v>#REF!</v>
      </c>
      <c r="EM508" t="e">
        <f>AND(#REF!,"AAAAAH93/44=")</f>
        <v>#REF!</v>
      </c>
      <c r="EN508" t="e">
        <f>IF(#REF!,"AAAAAH93/48=",0)</f>
        <v>#REF!</v>
      </c>
      <c r="EO508" t="e">
        <f>AND(#REF!,"AAAAAH93/5A=")</f>
        <v>#REF!</v>
      </c>
      <c r="EP508" t="e">
        <f>AND(#REF!,"AAAAAH93/5E=")</f>
        <v>#REF!</v>
      </c>
      <c r="EQ508" t="e">
        <f>AND(#REF!,"AAAAAH93/5I=")</f>
        <v>#REF!</v>
      </c>
      <c r="ER508" t="e">
        <f>AND(#REF!,"AAAAAH93/5M=")</f>
        <v>#REF!</v>
      </c>
      <c r="ES508" t="e">
        <f>AND(#REF!,"AAAAAH93/5Q=")</f>
        <v>#REF!</v>
      </c>
      <c r="ET508" t="e">
        <f>AND(#REF!,"AAAAAH93/5U=")</f>
        <v>#REF!</v>
      </c>
      <c r="EU508" t="e">
        <f>AND(#REF!,"AAAAAH93/5Y=")</f>
        <v>#REF!</v>
      </c>
      <c r="EV508" t="e">
        <f>AND(#REF!,"AAAAAH93/5c=")</f>
        <v>#REF!</v>
      </c>
      <c r="EW508" t="e">
        <f>AND(#REF!,"AAAAAH93/5g=")</f>
        <v>#REF!</v>
      </c>
      <c r="EX508" t="e">
        <f>AND(#REF!,"AAAAAH93/5k=")</f>
        <v>#REF!</v>
      </c>
      <c r="EY508" t="e">
        <f>IF(#REF!,"AAAAAH93/5o=",0)</f>
        <v>#REF!</v>
      </c>
      <c r="EZ508" t="e">
        <f>AND(#REF!,"AAAAAH93/5s=")</f>
        <v>#REF!</v>
      </c>
      <c r="FA508" t="e">
        <f>AND(#REF!,"AAAAAH93/5w=")</f>
        <v>#REF!</v>
      </c>
      <c r="FB508" t="e">
        <f>AND(#REF!,"AAAAAH93/50=")</f>
        <v>#REF!</v>
      </c>
      <c r="FC508" t="e">
        <f>AND(#REF!,"AAAAAH93/54=")</f>
        <v>#REF!</v>
      </c>
      <c r="FD508" t="e">
        <f>AND(#REF!,"AAAAAH93/58=")</f>
        <v>#REF!</v>
      </c>
      <c r="FE508" t="e">
        <f>AND(#REF!,"AAAAAH93/6A=")</f>
        <v>#REF!</v>
      </c>
      <c r="FF508" t="e">
        <f>AND(#REF!,"AAAAAH93/6E=")</f>
        <v>#REF!</v>
      </c>
      <c r="FG508" t="e">
        <f>AND(#REF!,"AAAAAH93/6I=")</f>
        <v>#REF!</v>
      </c>
      <c r="FH508" t="e">
        <f>AND(#REF!,"AAAAAH93/6M=")</f>
        <v>#REF!</v>
      </c>
      <c r="FI508" t="e">
        <f>AND(#REF!,"AAAAAH93/6Q=")</f>
        <v>#REF!</v>
      </c>
      <c r="FJ508" t="e">
        <f>IF(#REF!,"AAAAAH93/6U=",0)</f>
        <v>#REF!</v>
      </c>
      <c r="FK508" t="e">
        <f>AND(#REF!,"AAAAAH93/6Y=")</f>
        <v>#REF!</v>
      </c>
      <c r="FL508" t="e">
        <f>AND(#REF!,"AAAAAH93/6c=")</f>
        <v>#REF!</v>
      </c>
      <c r="FM508" t="e">
        <f>AND(#REF!,"AAAAAH93/6g=")</f>
        <v>#REF!</v>
      </c>
      <c r="FN508" t="e">
        <f>AND(#REF!,"AAAAAH93/6k=")</f>
        <v>#REF!</v>
      </c>
      <c r="FO508" t="e">
        <f>AND(#REF!,"AAAAAH93/6o=")</f>
        <v>#REF!</v>
      </c>
      <c r="FP508" t="e">
        <f>AND(#REF!,"AAAAAH93/6s=")</f>
        <v>#REF!</v>
      </c>
      <c r="FQ508" t="e">
        <f>AND(#REF!,"AAAAAH93/6w=")</f>
        <v>#REF!</v>
      </c>
      <c r="FR508" t="e">
        <f>AND(#REF!,"AAAAAH93/60=")</f>
        <v>#REF!</v>
      </c>
      <c r="FS508" t="e">
        <f>AND(#REF!,"AAAAAH93/64=")</f>
        <v>#REF!</v>
      </c>
      <c r="FT508" t="e">
        <f>AND(#REF!,"AAAAAH93/68=")</f>
        <v>#REF!</v>
      </c>
      <c r="FU508" t="e">
        <f>IF(#REF!,"AAAAAH93/7A=",0)</f>
        <v>#REF!</v>
      </c>
      <c r="FV508" t="e">
        <f>AND(#REF!,"AAAAAH93/7E=")</f>
        <v>#REF!</v>
      </c>
      <c r="FW508" t="e">
        <f>AND(#REF!,"AAAAAH93/7I=")</f>
        <v>#REF!</v>
      </c>
      <c r="FX508" t="e">
        <f>AND(#REF!,"AAAAAH93/7M=")</f>
        <v>#REF!</v>
      </c>
      <c r="FY508" t="e">
        <f>AND(#REF!,"AAAAAH93/7Q=")</f>
        <v>#REF!</v>
      </c>
      <c r="FZ508" t="e">
        <f>AND(#REF!,"AAAAAH93/7U=")</f>
        <v>#REF!</v>
      </c>
      <c r="GA508" t="e">
        <f>AND(#REF!,"AAAAAH93/7Y=")</f>
        <v>#REF!</v>
      </c>
      <c r="GB508" t="e">
        <f>AND(#REF!,"AAAAAH93/7c=")</f>
        <v>#REF!</v>
      </c>
      <c r="GC508" t="e">
        <f>AND(#REF!,"AAAAAH93/7g=")</f>
        <v>#REF!</v>
      </c>
      <c r="GD508" t="e">
        <f>AND(#REF!,"AAAAAH93/7k=")</f>
        <v>#REF!</v>
      </c>
      <c r="GE508" t="e">
        <f>AND(#REF!,"AAAAAH93/7o=")</f>
        <v>#REF!</v>
      </c>
      <c r="GF508" t="e">
        <f>IF(#REF!,"AAAAAH93/7s=",0)</f>
        <v>#REF!</v>
      </c>
      <c r="GG508" t="e">
        <f>AND(#REF!,"AAAAAH93/7w=")</f>
        <v>#REF!</v>
      </c>
      <c r="GH508" t="e">
        <f>AND(#REF!,"AAAAAH93/70=")</f>
        <v>#REF!</v>
      </c>
      <c r="GI508" t="e">
        <f>AND(#REF!,"AAAAAH93/74=")</f>
        <v>#REF!</v>
      </c>
      <c r="GJ508" t="e">
        <f>AND(#REF!,"AAAAAH93/78=")</f>
        <v>#REF!</v>
      </c>
      <c r="GK508" t="e">
        <f>AND(#REF!,"AAAAAH93/8A=")</f>
        <v>#REF!</v>
      </c>
      <c r="GL508" t="e">
        <f>AND(#REF!,"AAAAAH93/8E=")</f>
        <v>#REF!</v>
      </c>
      <c r="GM508" t="e">
        <f>AND(#REF!,"AAAAAH93/8I=")</f>
        <v>#REF!</v>
      </c>
      <c r="GN508" t="e">
        <f>AND(#REF!,"AAAAAH93/8M=")</f>
        <v>#REF!</v>
      </c>
      <c r="GO508" t="e">
        <f>AND(#REF!,"AAAAAH93/8Q=")</f>
        <v>#REF!</v>
      </c>
      <c r="GP508" t="e">
        <f>AND(#REF!,"AAAAAH93/8U=")</f>
        <v>#REF!</v>
      </c>
      <c r="GQ508" t="e">
        <f>IF(#REF!,"AAAAAH93/8Y=",0)</f>
        <v>#REF!</v>
      </c>
      <c r="GR508" t="e">
        <f>AND(#REF!,"AAAAAH93/8c=")</f>
        <v>#REF!</v>
      </c>
      <c r="GS508" t="e">
        <f>AND(#REF!,"AAAAAH93/8g=")</f>
        <v>#REF!</v>
      </c>
      <c r="GT508" t="e">
        <f>AND(#REF!,"AAAAAH93/8k=")</f>
        <v>#REF!</v>
      </c>
      <c r="GU508" t="e">
        <f>AND(#REF!,"AAAAAH93/8o=")</f>
        <v>#REF!</v>
      </c>
      <c r="GV508" t="e">
        <f>AND(#REF!,"AAAAAH93/8s=")</f>
        <v>#REF!</v>
      </c>
      <c r="GW508" t="e">
        <f>AND(#REF!,"AAAAAH93/8w=")</f>
        <v>#REF!</v>
      </c>
      <c r="GX508" t="e">
        <f>AND(#REF!,"AAAAAH93/80=")</f>
        <v>#REF!</v>
      </c>
      <c r="GY508" t="e">
        <f>AND(#REF!,"AAAAAH93/84=")</f>
        <v>#REF!</v>
      </c>
      <c r="GZ508" t="e">
        <f>AND(#REF!,"AAAAAH93/88=")</f>
        <v>#REF!</v>
      </c>
      <c r="HA508" t="e">
        <f>AND(#REF!,"AAAAAH93/9A=")</f>
        <v>#REF!</v>
      </c>
      <c r="HB508" t="e">
        <f>IF(#REF!,"AAAAAH93/9E=",0)</f>
        <v>#REF!</v>
      </c>
      <c r="HC508" t="e">
        <f>AND(#REF!,"AAAAAH93/9I=")</f>
        <v>#REF!</v>
      </c>
      <c r="HD508" t="e">
        <f>AND(#REF!,"AAAAAH93/9M=")</f>
        <v>#REF!</v>
      </c>
      <c r="HE508" t="e">
        <f>AND(#REF!,"AAAAAH93/9Q=")</f>
        <v>#REF!</v>
      </c>
      <c r="HF508" t="e">
        <f>AND(#REF!,"AAAAAH93/9U=")</f>
        <v>#REF!</v>
      </c>
      <c r="HG508" t="e">
        <f>AND(#REF!,"AAAAAH93/9Y=")</f>
        <v>#REF!</v>
      </c>
      <c r="HH508" t="e">
        <f>AND(#REF!,"AAAAAH93/9c=")</f>
        <v>#REF!</v>
      </c>
      <c r="HI508" t="e">
        <f>AND(#REF!,"AAAAAH93/9g=")</f>
        <v>#REF!</v>
      </c>
      <c r="HJ508" t="e">
        <f>AND(#REF!,"AAAAAH93/9k=")</f>
        <v>#REF!</v>
      </c>
      <c r="HK508" t="e">
        <f>AND(#REF!,"AAAAAH93/9o=")</f>
        <v>#REF!</v>
      </c>
      <c r="HL508" t="e">
        <f>AND(#REF!,"AAAAAH93/9s=")</f>
        <v>#REF!</v>
      </c>
      <c r="HM508" t="e">
        <f>IF(#REF!,"AAAAAH93/9w=",0)</f>
        <v>#REF!</v>
      </c>
      <c r="HN508" t="e">
        <f>AND(#REF!,"AAAAAH93/90=")</f>
        <v>#REF!</v>
      </c>
      <c r="HO508" t="e">
        <f>AND(#REF!,"AAAAAH93/94=")</f>
        <v>#REF!</v>
      </c>
      <c r="HP508" t="e">
        <f>AND(#REF!,"AAAAAH93/98=")</f>
        <v>#REF!</v>
      </c>
      <c r="HQ508" t="e">
        <f>AND(#REF!,"AAAAAH93/+A=")</f>
        <v>#REF!</v>
      </c>
      <c r="HR508" t="e">
        <f>AND(#REF!,"AAAAAH93/+E=")</f>
        <v>#REF!</v>
      </c>
      <c r="HS508" t="e">
        <f>AND(#REF!,"AAAAAH93/+I=")</f>
        <v>#REF!</v>
      </c>
      <c r="HT508" t="e">
        <f>AND(#REF!,"AAAAAH93/+M=")</f>
        <v>#REF!</v>
      </c>
      <c r="HU508" t="e">
        <f>AND(#REF!,"AAAAAH93/+Q=")</f>
        <v>#REF!</v>
      </c>
      <c r="HV508" t="e">
        <f>AND(#REF!,"AAAAAH93/+U=")</f>
        <v>#REF!</v>
      </c>
      <c r="HW508" t="e">
        <f>AND(#REF!,"AAAAAH93/+Y=")</f>
        <v>#REF!</v>
      </c>
      <c r="HX508" t="e">
        <f>IF(#REF!,"AAAAAH93/+c=",0)</f>
        <v>#REF!</v>
      </c>
      <c r="HY508" t="e">
        <f>AND(#REF!,"AAAAAH93/+g=")</f>
        <v>#REF!</v>
      </c>
      <c r="HZ508" t="e">
        <f>AND(#REF!,"AAAAAH93/+k=")</f>
        <v>#REF!</v>
      </c>
      <c r="IA508" t="e">
        <f>AND(#REF!,"AAAAAH93/+o=")</f>
        <v>#REF!</v>
      </c>
      <c r="IB508" t="e">
        <f>AND(#REF!,"AAAAAH93/+s=")</f>
        <v>#REF!</v>
      </c>
      <c r="IC508" t="e">
        <f>AND(#REF!,"AAAAAH93/+w=")</f>
        <v>#REF!</v>
      </c>
      <c r="ID508" t="e">
        <f>AND(#REF!,"AAAAAH93/+0=")</f>
        <v>#REF!</v>
      </c>
      <c r="IE508" t="e">
        <f>AND(#REF!,"AAAAAH93/+4=")</f>
        <v>#REF!</v>
      </c>
      <c r="IF508" t="e">
        <f>AND(#REF!,"AAAAAH93/+8=")</f>
        <v>#REF!</v>
      </c>
      <c r="IG508" t="e">
        <f>AND(#REF!,"AAAAAH93//A=")</f>
        <v>#REF!</v>
      </c>
      <c r="IH508" t="e">
        <f>AND(#REF!,"AAAAAH93//E=")</f>
        <v>#REF!</v>
      </c>
      <c r="II508" t="e">
        <f>IF(#REF!,"AAAAAH93//I=",0)</f>
        <v>#REF!</v>
      </c>
      <c r="IJ508" t="e">
        <f>AND(#REF!,"AAAAAH93//M=")</f>
        <v>#REF!</v>
      </c>
      <c r="IK508" t="e">
        <f>AND(#REF!,"AAAAAH93//Q=")</f>
        <v>#REF!</v>
      </c>
      <c r="IL508" t="e">
        <f>AND(#REF!,"AAAAAH93//U=")</f>
        <v>#REF!</v>
      </c>
      <c r="IM508" t="e">
        <f>AND(#REF!,"AAAAAH93//Y=")</f>
        <v>#REF!</v>
      </c>
      <c r="IN508" t="e">
        <f>AND(#REF!,"AAAAAH93//c=")</f>
        <v>#REF!</v>
      </c>
      <c r="IO508" t="e">
        <f>AND(#REF!,"AAAAAH93//g=")</f>
        <v>#REF!</v>
      </c>
      <c r="IP508" t="e">
        <f>AND(#REF!,"AAAAAH93//k=")</f>
        <v>#REF!</v>
      </c>
      <c r="IQ508" t="e">
        <f>AND(#REF!,"AAAAAH93//o=")</f>
        <v>#REF!</v>
      </c>
      <c r="IR508" t="e">
        <f>AND(#REF!,"AAAAAH93//s=")</f>
        <v>#REF!</v>
      </c>
      <c r="IS508" t="e">
        <f>AND(#REF!,"AAAAAH93//w=")</f>
        <v>#REF!</v>
      </c>
      <c r="IT508" t="e">
        <f>IF(#REF!,"AAAAAH93//0=",0)</f>
        <v>#REF!</v>
      </c>
      <c r="IU508" t="e">
        <f>AND(#REF!,"AAAAAH93//4=")</f>
        <v>#REF!</v>
      </c>
      <c r="IV508" t="e">
        <f>AND(#REF!,"AAAAAH93//8=")</f>
        <v>#REF!</v>
      </c>
    </row>
    <row r="509" spans="1:256" x14ac:dyDescent="0.25">
      <c r="A509" t="e">
        <f>AND(#REF!,"AAAAAH+/vQA=")</f>
        <v>#REF!</v>
      </c>
      <c r="B509" t="e">
        <f>AND(#REF!,"AAAAAH+/vQE=")</f>
        <v>#REF!</v>
      </c>
      <c r="C509" t="e">
        <f>AND(#REF!,"AAAAAH+/vQI=")</f>
        <v>#REF!</v>
      </c>
      <c r="D509" t="e">
        <f>AND(#REF!,"AAAAAH+/vQM=")</f>
        <v>#REF!</v>
      </c>
      <c r="E509" t="e">
        <f>AND(#REF!,"AAAAAH+/vQQ=")</f>
        <v>#REF!</v>
      </c>
      <c r="F509" t="e">
        <f>AND(#REF!,"AAAAAH+/vQU=")</f>
        <v>#REF!</v>
      </c>
      <c r="G509" t="e">
        <f>AND(#REF!,"AAAAAH+/vQY=")</f>
        <v>#REF!</v>
      </c>
      <c r="H509" t="e">
        <f>AND(#REF!,"AAAAAH+/vQc=")</f>
        <v>#REF!</v>
      </c>
      <c r="I509" t="e">
        <f>IF(#REF!,"AAAAAH+/vQg=",0)</f>
        <v>#REF!</v>
      </c>
      <c r="J509" t="e">
        <f>AND(#REF!,"AAAAAH+/vQk=")</f>
        <v>#REF!</v>
      </c>
      <c r="K509" t="e">
        <f>AND(#REF!,"AAAAAH+/vQo=")</f>
        <v>#REF!</v>
      </c>
      <c r="L509" t="e">
        <f>AND(#REF!,"AAAAAH+/vQs=")</f>
        <v>#REF!</v>
      </c>
      <c r="M509" t="e">
        <f>AND(#REF!,"AAAAAH+/vQw=")</f>
        <v>#REF!</v>
      </c>
      <c r="N509" t="e">
        <f>AND(#REF!,"AAAAAH+/vQ0=")</f>
        <v>#REF!</v>
      </c>
      <c r="O509" t="e">
        <f>AND(#REF!,"AAAAAH+/vQ4=")</f>
        <v>#REF!</v>
      </c>
      <c r="P509" t="e">
        <f>AND(#REF!,"AAAAAH+/vQ8=")</f>
        <v>#REF!</v>
      </c>
      <c r="Q509" t="e">
        <f>AND(#REF!,"AAAAAH+/vRA=")</f>
        <v>#REF!</v>
      </c>
      <c r="R509" t="e">
        <f>AND(#REF!,"AAAAAH+/vRE=")</f>
        <v>#REF!</v>
      </c>
      <c r="S509" t="e">
        <f>AND(#REF!,"AAAAAH+/vRI=")</f>
        <v>#REF!</v>
      </c>
      <c r="T509" t="e">
        <f>IF(#REF!,"AAAAAH+/vRM=",0)</f>
        <v>#REF!</v>
      </c>
      <c r="U509" t="e">
        <f>AND(#REF!,"AAAAAH+/vRQ=")</f>
        <v>#REF!</v>
      </c>
      <c r="V509" t="e">
        <f>AND(#REF!,"AAAAAH+/vRU=")</f>
        <v>#REF!</v>
      </c>
      <c r="W509" t="e">
        <f>AND(#REF!,"AAAAAH+/vRY=")</f>
        <v>#REF!</v>
      </c>
      <c r="X509" t="e">
        <f>AND(#REF!,"AAAAAH+/vRc=")</f>
        <v>#REF!</v>
      </c>
      <c r="Y509" t="e">
        <f>AND(#REF!,"AAAAAH+/vRg=")</f>
        <v>#REF!</v>
      </c>
      <c r="Z509" t="e">
        <f>AND(#REF!,"AAAAAH+/vRk=")</f>
        <v>#REF!</v>
      </c>
      <c r="AA509" t="e">
        <f>AND(#REF!,"AAAAAH+/vRo=")</f>
        <v>#REF!</v>
      </c>
      <c r="AB509" t="e">
        <f>AND(#REF!,"AAAAAH+/vRs=")</f>
        <v>#REF!</v>
      </c>
      <c r="AC509" t="e">
        <f>AND(#REF!,"AAAAAH+/vRw=")</f>
        <v>#REF!</v>
      </c>
      <c r="AD509" t="e">
        <f>AND(#REF!,"AAAAAH+/vR0=")</f>
        <v>#REF!</v>
      </c>
      <c r="AE509" t="e">
        <f>IF(#REF!,"AAAAAH+/vR4=",0)</f>
        <v>#REF!</v>
      </c>
      <c r="AF509" t="e">
        <f>AND(#REF!,"AAAAAH+/vR8=")</f>
        <v>#REF!</v>
      </c>
      <c r="AG509" t="e">
        <f>AND(#REF!,"AAAAAH+/vSA=")</f>
        <v>#REF!</v>
      </c>
      <c r="AH509" t="e">
        <f>AND(#REF!,"AAAAAH+/vSE=")</f>
        <v>#REF!</v>
      </c>
      <c r="AI509" t="e">
        <f>AND(#REF!,"AAAAAH+/vSI=")</f>
        <v>#REF!</v>
      </c>
      <c r="AJ509" t="e">
        <f>AND(#REF!,"AAAAAH+/vSM=")</f>
        <v>#REF!</v>
      </c>
      <c r="AK509" t="e">
        <f>AND(#REF!,"AAAAAH+/vSQ=")</f>
        <v>#REF!</v>
      </c>
      <c r="AL509" t="e">
        <f>AND(#REF!,"AAAAAH+/vSU=")</f>
        <v>#REF!</v>
      </c>
      <c r="AM509" t="e">
        <f>AND(#REF!,"AAAAAH+/vSY=")</f>
        <v>#REF!</v>
      </c>
      <c r="AN509" t="e">
        <f>AND(#REF!,"AAAAAH+/vSc=")</f>
        <v>#REF!</v>
      </c>
      <c r="AO509" t="e">
        <f>AND(#REF!,"AAAAAH+/vSg=")</f>
        <v>#REF!</v>
      </c>
      <c r="AP509" t="e">
        <f>IF(#REF!,"AAAAAH+/vSk=",0)</f>
        <v>#REF!</v>
      </c>
      <c r="AQ509" t="e">
        <f>AND(#REF!,"AAAAAH+/vSo=")</f>
        <v>#REF!</v>
      </c>
      <c r="AR509" t="e">
        <f>AND(#REF!,"AAAAAH+/vSs=")</f>
        <v>#REF!</v>
      </c>
      <c r="AS509" t="e">
        <f>AND(#REF!,"AAAAAH+/vSw=")</f>
        <v>#REF!</v>
      </c>
      <c r="AT509" t="e">
        <f>AND(#REF!,"AAAAAH+/vS0=")</f>
        <v>#REF!</v>
      </c>
      <c r="AU509" t="e">
        <f>AND(#REF!,"AAAAAH+/vS4=")</f>
        <v>#REF!</v>
      </c>
      <c r="AV509" t="e">
        <f>AND(#REF!,"AAAAAH+/vS8=")</f>
        <v>#REF!</v>
      </c>
      <c r="AW509" t="e">
        <f>AND(#REF!,"AAAAAH+/vTA=")</f>
        <v>#REF!</v>
      </c>
      <c r="AX509" t="e">
        <f>AND(#REF!,"AAAAAH+/vTE=")</f>
        <v>#REF!</v>
      </c>
      <c r="AY509" t="e">
        <f>AND(#REF!,"AAAAAH+/vTI=")</f>
        <v>#REF!</v>
      </c>
      <c r="AZ509" t="e">
        <f>AND(#REF!,"AAAAAH+/vTM=")</f>
        <v>#REF!</v>
      </c>
      <c r="BA509" t="e">
        <f>IF(#REF!,"AAAAAH+/vTQ=",0)</f>
        <v>#REF!</v>
      </c>
      <c r="BB509" t="e">
        <f>AND(#REF!,"AAAAAH+/vTU=")</f>
        <v>#REF!</v>
      </c>
      <c r="BC509" t="e">
        <f>AND(#REF!,"AAAAAH+/vTY=")</f>
        <v>#REF!</v>
      </c>
      <c r="BD509" t="e">
        <f>AND(#REF!,"AAAAAH+/vTc=")</f>
        <v>#REF!</v>
      </c>
      <c r="BE509" t="e">
        <f>AND(#REF!,"AAAAAH+/vTg=")</f>
        <v>#REF!</v>
      </c>
      <c r="BF509" t="e">
        <f>AND(#REF!,"AAAAAH+/vTk=")</f>
        <v>#REF!</v>
      </c>
      <c r="BG509" t="e">
        <f>AND(#REF!,"AAAAAH+/vTo=")</f>
        <v>#REF!</v>
      </c>
      <c r="BH509" t="e">
        <f>AND(#REF!,"AAAAAH+/vTs=")</f>
        <v>#REF!</v>
      </c>
      <c r="BI509" t="e">
        <f>AND(#REF!,"AAAAAH+/vTw=")</f>
        <v>#REF!</v>
      </c>
      <c r="BJ509" t="e">
        <f>AND(#REF!,"AAAAAH+/vT0=")</f>
        <v>#REF!</v>
      </c>
      <c r="BK509" t="e">
        <f>AND(#REF!,"AAAAAH+/vT4=")</f>
        <v>#REF!</v>
      </c>
      <c r="BL509" t="e">
        <f>IF(#REF!,"AAAAAH+/vT8=",0)</f>
        <v>#REF!</v>
      </c>
      <c r="BM509" t="e">
        <f>AND(#REF!,"AAAAAH+/vUA=")</f>
        <v>#REF!</v>
      </c>
      <c r="BN509" t="e">
        <f>AND(#REF!,"AAAAAH+/vUE=")</f>
        <v>#REF!</v>
      </c>
      <c r="BO509" t="e">
        <f>AND(#REF!,"AAAAAH+/vUI=")</f>
        <v>#REF!</v>
      </c>
      <c r="BP509" t="e">
        <f>AND(#REF!,"AAAAAH+/vUM=")</f>
        <v>#REF!</v>
      </c>
      <c r="BQ509" t="e">
        <f>AND(#REF!,"AAAAAH+/vUQ=")</f>
        <v>#REF!</v>
      </c>
      <c r="BR509" t="e">
        <f>AND(#REF!,"AAAAAH+/vUU=")</f>
        <v>#REF!</v>
      </c>
      <c r="BS509" t="e">
        <f>AND(#REF!,"AAAAAH+/vUY=")</f>
        <v>#REF!</v>
      </c>
      <c r="BT509" t="e">
        <f>AND(#REF!,"AAAAAH+/vUc=")</f>
        <v>#REF!</v>
      </c>
      <c r="BU509" t="e">
        <f>AND(#REF!,"AAAAAH+/vUg=")</f>
        <v>#REF!</v>
      </c>
      <c r="BV509" t="e">
        <f>AND(#REF!,"AAAAAH+/vUk=")</f>
        <v>#REF!</v>
      </c>
      <c r="BW509" t="e">
        <f>IF(#REF!,"AAAAAH+/vUo=",0)</f>
        <v>#REF!</v>
      </c>
      <c r="BX509" t="e">
        <f>AND(#REF!,"AAAAAH+/vUs=")</f>
        <v>#REF!</v>
      </c>
      <c r="BY509" t="e">
        <f>AND(#REF!,"AAAAAH+/vUw=")</f>
        <v>#REF!</v>
      </c>
      <c r="BZ509" t="e">
        <f>AND(#REF!,"AAAAAH+/vU0=")</f>
        <v>#REF!</v>
      </c>
      <c r="CA509" t="e">
        <f>AND(#REF!,"AAAAAH+/vU4=")</f>
        <v>#REF!</v>
      </c>
      <c r="CB509" t="e">
        <f>AND(#REF!,"AAAAAH+/vU8=")</f>
        <v>#REF!</v>
      </c>
      <c r="CC509" t="e">
        <f>AND(#REF!,"AAAAAH+/vVA=")</f>
        <v>#REF!</v>
      </c>
      <c r="CD509" t="e">
        <f>AND(#REF!,"AAAAAH+/vVE=")</f>
        <v>#REF!</v>
      </c>
      <c r="CE509" t="e">
        <f>AND(#REF!,"AAAAAH+/vVI=")</f>
        <v>#REF!</v>
      </c>
      <c r="CF509" t="e">
        <f>AND(#REF!,"AAAAAH+/vVM=")</f>
        <v>#REF!</v>
      </c>
      <c r="CG509" t="e">
        <f>AND(#REF!,"AAAAAH+/vVQ=")</f>
        <v>#REF!</v>
      </c>
      <c r="CH509" t="e">
        <f>IF(#REF!,"AAAAAH+/vVU=",0)</f>
        <v>#REF!</v>
      </c>
      <c r="CI509" t="e">
        <f>AND(#REF!,"AAAAAH+/vVY=")</f>
        <v>#REF!</v>
      </c>
      <c r="CJ509" t="e">
        <f>AND(#REF!,"AAAAAH+/vVc=")</f>
        <v>#REF!</v>
      </c>
      <c r="CK509" t="e">
        <f>AND(#REF!,"AAAAAH+/vVg=")</f>
        <v>#REF!</v>
      </c>
      <c r="CL509" t="e">
        <f>AND(#REF!,"AAAAAH+/vVk=")</f>
        <v>#REF!</v>
      </c>
      <c r="CM509" t="e">
        <f>AND(#REF!,"AAAAAH+/vVo=")</f>
        <v>#REF!</v>
      </c>
      <c r="CN509" t="e">
        <f>AND(#REF!,"AAAAAH+/vVs=")</f>
        <v>#REF!</v>
      </c>
      <c r="CO509" t="e">
        <f>AND(#REF!,"AAAAAH+/vVw=")</f>
        <v>#REF!</v>
      </c>
      <c r="CP509" t="e">
        <f>AND(#REF!,"AAAAAH+/vV0=")</f>
        <v>#REF!</v>
      </c>
      <c r="CQ509" t="e">
        <f>AND(#REF!,"AAAAAH+/vV4=")</f>
        <v>#REF!</v>
      </c>
      <c r="CR509" t="e">
        <f>AND(#REF!,"AAAAAH+/vV8=")</f>
        <v>#REF!</v>
      </c>
      <c r="CS509" t="e">
        <f>IF(#REF!,"AAAAAH+/vWA=",0)</f>
        <v>#REF!</v>
      </c>
      <c r="CT509" t="e">
        <f>AND(#REF!,"AAAAAH+/vWE=")</f>
        <v>#REF!</v>
      </c>
      <c r="CU509" t="e">
        <f>AND(#REF!,"AAAAAH+/vWI=")</f>
        <v>#REF!</v>
      </c>
      <c r="CV509" t="e">
        <f>AND(#REF!,"AAAAAH+/vWM=")</f>
        <v>#REF!</v>
      </c>
      <c r="CW509" t="e">
        <f>AND(#REF!,"AAAAAH+/vWQ=")</f>
        <v>#REF!</v>
      </c>
      <c r="CX509" t="e">
        <f>AND(#REF!,"AAAAAH+/vWU=")</f>
        <v>#REF!</v>
      </c>
      <c r="CY509" t="e">
        <f>AND(#REF!,"AAAAAH+/vWY=")</f>
        <v>#REF!</v>
      </c>
      <c r="CZ509" t="e">
        <f>AND(#REF!,"AAAAAH+/vWc=")</f>
        <v>#REF!</v>
      </c>
      <c r="DA509" t="e">
        <f>AND(#REF!,"AAAAAH+/vWg=")</f>
        <v>#REF!</v>
      </c>
      <c r="DB509" t="e">
        <f>AND(#REF!,"AAAAAH+/vWk=")</f>
        <v>#REF!</v>
      </c>
      <c r="DC509" t="e">
        <f>AND(#REF!,"AAAAAH+/vWo=")</f>
        <v>#REF!</v>
      </c>
      <c r="DD509" t="e">
        <f>IF(#REF!,"AAAAAH+/vWs=",0)</f>
        <v>#REF!</v>
      </c>
      <c r="DE509" t="e">
        <f>AND(#REF!,"AAAAAH+/vWw=")</f>
        <v>#REF!</v>
      </c>
      <c r="DF509" t="e">
        <f>AND(#REF!,"AAAAAH+/vW0=")</f>
        <v>#REF!</v>
      </c>
      <c r="DG509" t="e">
        <f>AND(#REF!,"AAAAAH+/vW4=")</f>
        <v>#REF!</v>
      </c>
      <c r="DH509" t="e">
        <f>AND(#REF!,"AAAAAH+/vW8=")</f>
        <v>#REF!</v>
      </c>
      <c r="DI509" t="e">
        <f>AND(#REF!,"AAAAAH+/vXA=")</f>
        <v>#REF!</v>
      </c>
      <c r="DJ509" t="e">
        <f>AND(#REF!,"AAAAAH+/vXE=")</f>
        <v>#REF!</v>
      </c>
      <c r="DK509" t="e">
        <f>AND(#REF!,"AAAAAH+/vXI=")</f>
        <v>#REF!</v>
      </c>
      <c r="DL509" t="e">
        <f>AND(#REF!,"AAAAAH+/vXM=")</f>
        <v>#REF!</v>
      </c>
      <c r="DM509" t="e">
        <f>AND(#REF!,"AAAAAH+/vXQ=")</f>
        <v>#REF!</v>
      </c>
      <c r="DN509" t="e">
        <f>AND(#REF!,"AAAAAH+/vXU=")</f>
        <v>#REF!</v>
      </c>
      <c r="DO509" t="e">
        <f>IF(#REF!,"AAAAAH+/vXY=",0)</f>
        <v>#REF!</v>
      </c>
      <c r="DP509" t="e">
        <f>AND(#REF!,"AAAAAH+/vXc=")</f>
        <v>#REF!</v>
      </c>
      <c r="DQ509" t="e">
        <f>AND(#REF!,"AAAAAH+/vXg=")</f>
        <v>#REF!</v>
      </c>
      <c r="DR509" t="e">
        <f>AND(#REF!,"AAAAAH+/vXk=")</f>
        <v>#REF!</v>
      </c>
      <c r="DS509" t="e">
        <f>AND(#REF!,"AAAAAH+/vXo=")</f>
        <v>#REF!</v>
      </c>
      <c r="DT509" t="e">
        <f>AND(#REF!,"AAAAAH+/vXs=")</f>
        <v>#REF!</v>
      </c>
      <c r="DU509" t="e">
        <f>AND(#REF!,"AAAAAH+/vXw=")</f>
        <v>#REF!</v>
      </c>
      <c r="DV509" t="e">
        <f>AND(#REF!,"AAAAAH+/vX0=")</f>
        <v>#REF!</v>
      </c>
      <c r="DW509" t="e">
        <f>AND(#REF!,"AAAAAH+/vX4=")</f>
        <v>#REF!</v>
      </c>
      <c r="DX509" t="e">
        <f>AND(#REF!,"AAAAAH+/vX8=")</f>
        <v>#REF!</v>
      </c>
      <c r="DY509" t="e">
        <f>AND(#REF!,"AAAAAH+/vYA=")</f>
        <v>#REF!</v>
      </c>
      <c r="DZ509" t="e">
        <f>IF(#REF!,"AAAAAH+/vYE=",0)</f>
        <v>#REF!</v>
      </c>
      <c r="EA509" t="e">
        <f>AND(#REF!,"AAAAAH+/vYI=")</f>
        <v>#REF!</v>
      </c>
      <c r="EB509" t="e">
        <f>AND(#REF!,"AAAAAH+/vYM=")</f>
        <v>#REF!</v>
      </c>
      <c r="EC509" t="e">
        <f>AND(#REF!,"AAAAAH+/vYQ=")</f>
        <v>#REF!</v>
      </c>
      <c r="ED509" t="e">
        <f>AND(#REF!,"AAAAAH+/vYU=")</f>
        <v>#REF!</v>
      </c>
      <c r="EE509" t="e">
        <f>AND(#REF!,"AAAAAH+/vYY=")</f>
        <v>#REF!</v>
      </c>
      <c r="EF509" t="e">
        <f>AND(#REF!,"AAAAAH+/vYc=")</f>
        <v>#REF!</v>
      </c>
      <c r="EG509" t="e">
        <f>AND(#REF!,"AAAAAH+/vYg=")</f>
        <v>#REF!</v>
      </c>
      <c r="EH509" t="e">
        <f>AND(#REF!,"AAAAAH+/vYk=")</f>
        <v>#REF!</v>
      </c>
      <c r="EI509" t="e">
        <f>AND(#REF!,"AAAAAH+/vYo=")</f>
        <v>#REF!</v>
      </c>
      <c r="EJ509" t="e">
        <f>AND(#REF!,"AAAAAH+/vYs=")</f>
        <v>#REF!</v>
      </c>
      <c r="EK509" t="e">
        <f>IF(#REF!,"AAAAAH+/vYw=",0)</f>
        <v>#REF!</v>
      </c>
      <c r="EL509" t="e">
        <f>AND(#REF!,"AAAAAH+/vY0=")</f>
        <v>#REF!</v>
      </c>
      <c r="EM509" t="e">
        <f>AND(#REF!,"AAAAAH+/vY4=")</f>
        <v>#REF!</v>
      </c>
      <c r="EN509" t="e">
        <f>AND(#REF!,"AAAAAH+/vY8=")</f>
        <v>#REF!</v>
      </c>
      <c r="EO509" t="e">
        <f>AND(#REF!,"AAAAAH+/vZA=")</f>
        <v>#REF!</v>
      </c>
      <c r="EP509" t="e">
        <f>AND(#REF!,"AAAAAH+/vZE=")</f>
        <v>#REF!</v>
      </c>
      <c r="EQ509" t="e">
        <f>AND(#REF!,"AAAAAH+/vZI=")</f>
        <v>#REF!</v>
      </c>
      <c r="ER509" t="e">
        <f>AND(#REF!,"AAAAAH+/vZM=")</f>
        <v>#REF!</v>
      </c>
      <c r="ES509" t="e">
        <f>AND(#REF!,"AAAAAH+/vZQ=")</f>
        <v>#REF!</v>
      </c>
      <c r="ET509" t="e">
        <f>AND(#REF!,"AAAAAH+/vZU=")</f>
        <v>#REF!</v>
      </c>
      <c r="EU509" t="e">
        <f>AND(#REF!,"AAAAAH+/vZY=")</f>
        <v>#REF!</v>
      </c>
      <c r="EV509" t="e">
        <f>IF(#REF!,"AAAAAH+/vZc=",0)</f>
        <v>#REF!</v>
      </c>
      <c r="EW509" t="e">
        <f>AND(#REF!,"AAAAAH+/vZg=")</f>
        <v>#REF!</v>
      </c>
      <c r="EX509" t="e">
        <f>AND(#REF!,"AAAAAH+/vZk=")</f>
        <v>#REF!</v>
      </c>
      <c r="EY509" t="e">
        <f>AND(#REF!,"AAAAAH+/vZo=")</f>
        <v>#REF!</v>
      </c>
      <c r="EZ509" t="e">
        <f>AND(#REF!,"AAAAAH+/vZs=")</f>
        <v>#REF!</v>
      </c>
      <c r="FA509" t="e">
        <f>AND(#REF!,"AAAAAH+/vZw=")</f>
        <v>#REF!</v>
      </c>
      <c r="FB509" t="e">
        <f>AND(#REF!,"AAAAAH+/vZ0=")</f>
        <v>#REF!</v>
      </c>
      <c r="FC509" t="e">
        <f>AND(#REF!,"AAAAAH+/vZ4=")</f>
        <v>#REF!</v>
      </c>
      <c r="FD509" t="e">
        <f>AND(#REF!,"AAAAAH+/vZ8=")</f>
        <v>#REF!</v>
      </c>
      <c r="FE509" t="e">
        <f>AND(#REF!,"AAAAAH+/vaA=")</f>
        <v>#REF!</v>
      </c>
      <c r="FF509" t="e">
        <f>AND(#REF!,"AAAAAH+/vaE=")</f>
        <v>#REF!</v>
      </c>
      <c r="FG509" t="e">
        <f>IF(#REF!,"AAAAAH+/vaI=",0)</f>
        <v>#REF!</v>
      </c>
      <c r="FH509" t="e">
        <f>AND(#REF!,"AAAAAH+/vaM=")</f>
        <v>#REF!</v>
      </c>
      <c r="FI509" t="e">
        <f>AND(#REF!,"AAAAAH+/vaQ=")</f>
        <v>#REF!</v>
      </c>
      <c r="FJ509" t="e">
        <f>AND(#REF!,"AAAAAH+/vaU=")</f>
        <v>#REF!</v>
      </c>
      <c r="FK509" t="e">
        <f>AND(#REF!,"AAAAAH+/vaY=")</f>
        <v>#REF!</v>
      </c>
      <c r="FL509" t="e">
        <f>AND(#REF!,"AAAAAH+/vac=")</f>
        <v>#REF!</v>
      </c>
      <c r="FM509" t="e">
        <f>AND(#REF!,"AAAAAH+/vag=")</f>
        <v>#REF!</v>
      </c>
      <c r="FN509" t="e">
        <f>AND(#REF!,"AAAAAH+/vak=")</f>
        <v>#REF!</v>
      </c>
      <c r="FO509" t="e">
        <f>AND(#REF!,"AAAAAH+/vao=")</f>
        <v>#REF!</v>
      </c>
      <c r="FP509" t="e">
        <f>AND(#REF!,"AAAAAH+/vas=")</f>
        <v>#REF!</v>
      </c>
      <c r="FQ509" t="e">
        <f>AND(#REF!,"AAAAAH+/vaw=")</f>
        <v>#REF!</v>
      </c>
      <c r="FR509" t="e">
        <f>IF(#REF!,"AAAAAH+/va0=",0)</f>
        <v>#REF!</v>
      </c>
      <c r="FS509" t="e">
        <f>AND(#REF!,"AAAAAH+/va4=")</f>
        <v>#REF!</v>
      </c>
      <c r="FT509" t="e">
        <f>AND(#REF!,"AAAAAH+/va8=")</f>
        <v>#REF!</v>
      </c>
      <c r="FU509" t="e">
        <f>AND(#REF!,"AAAAAH+/vbA=")</f>
        <v>#REF!</v>
      </c>
      <c r="FV509" t="e">
        <f>AND(#REF!,"AAAAAH+/vbE=")</f>
        <v>#REF!</v>
      </c>
      <c r="FW509" t="e">
        <f>AND(#REF!,"AAAAAH+/vbI=")</f>
        <v>#REF!</v>
      </c>
      <c r="FX509" t="e">
        <f>AND(#REF!,"AAAAAH+/vbM=")</f>
        <v>#REF!</v>
      </c>
      <c r="FY509" t="e">
        <f>AND(#REF!,"AAAAAH+/vbQ=")</f>
        <v>#REF!</v>
      </c>
      <c r="FZ509" t="e">
        <f>AND(#REF!,"AAAAAH+/vbU=")</f>
        <v>#REF!</v>
      </c>
      <c r="GA509" t="e">
        <f>AND(#REF!,"AAAAAH+/vbY=")</f>
        <v>#REF!</v>
      </c>
      <c r="GB509" t="e">
        <f>AND(#REF!,"AAAAAH+/vbc=")</f>
        <v>#REF!</v>
      </c>
      <c r="GC509" t="e">
        <f>IF(#REF!,"AAAAAH+/vbg=",0)</f>
        <v>#REF!</v>
      </c>
      <c r="GD509" t="e">
        <f>AND(#REF!,"AAAAAH+/vbk=")</f>
        <v>#REF!</v>
      </c>
      <c r="GE509" t="e">
        <f>AND(#REF!,"AAAAAH+/vbo=")</f>
        <v>#REF!</v>
      </c>
      <c r="GF509" t="e">
        <f>AND(#REF!,"AAAAAH+/vbs=")</f>
        <v>#REF!</v>
      </c>
      <c r="GG509" t="e">
        <f>AND(#REF!,"AAAAAH+/vbw=")</f>
        <v>#REF!</v>
      </c>
      <c r="GH509" t="e">
        <f>AND(#REF!,"AAAAAH+/vb0=")</f>
        <v>#REF!</v>
      </c>
      <c r="GI509" t="e">
        <f>AND(#REF!,"AAAAAH+/vb4=")</f>
        <v>#REF!</v>
      </c>
      <c r="GJ509" t="e">
        <f>AND(#REF!,"AAAAAH+/vb8=")</f>
        <v>#REF!</v>
      </c>
      <c r="GK509" t="e">
        <f>AND(#REF!,"AAAAAH+/vcA=")</f>
        <v>#REF!</v>
      </c>
      <c r="GL509" t="e">
        <f>AND(#REF!,"AAAAAH+/vcE=")</f>
        <v>#REF!</v>
      </c>
      <c r="GM509" t="e">
        <f>AND(#REF!,"AAAAAH+/vcI=")</f>
        <v>#REF!</v>
      </c>
      <c r="GN509" t="e">
        <f>IF(#REF!,"AAAAAH+/vcM=",0)</f>
        <v>#REF!</v>
      </c>
      <c r="GO509" t="e">
        <f>AND(#REF!,"AAAAAH+/vcQ=")</f>
        <v>#REF!</v>
      </c>
      <c r="GP509" t="e">
        <f>AND(#REF!,"AAAAAH+/vcU=")</f>
        <v>#REF!</v>
      </c>
      <c r="GQ509" t="e">
        <f>AND(#REF!,"AAAAAH+/vcY=")</f>
        <v>#REF!</v>
      </c>
      <c r="GR509" t="e">
        <f>AND(#REF!,"AAAAAH+/vcc=")</f>
        <v>#REF!</v>
      </c>
      <c r="GS509" t="e">
        <f>AND(#REF!,"AAAAAH+/vcg=")</f>
        <v>#REF!</v>
      </c>
      <c r="GT509" t="e">
        <f>AND(#REF!,"AAAAAH+/vck=")</f>
        <v>#REF!</v>
      </c>
      <c r="GU509" t="e">
        <f>AND(#REF!,"AAAAAH+/vco=")</f>
        <v>#REF!</v>
      </c>
      <c r="GV509" t="e">
        <f>AND(#REF!,"AAAAAH+/vcs=")</f>
        <v>#REF!</v>
      </c>
      <c r="GW509" t="e">
        <f>AND(#REF!,"AAAAAH+/vcw=")</f>
        <v>#REF!</v>
      </c>
      <c r="GX509" t="e">
        <f>AND(#REF!,"AAAAAH+/vc0=")</f>
        <v>#REF!</v>
      </c>
      <c r="GY509" t="e">
        <f>IF(#REF!,"AAAAAH+/vc4=",0)</f>
        <v>#REF!</v>
      </c>
      <c r="GZ509" t="e">
        <f>AND(#REF!,"AAAAAH+/vc8=")</f>
        <v>#REF!</v>
      </c>
      <c r="HA509" t="e">
        <f>AND(#REF!,"AAAAAH+/vdA=")</f>
        <v>#REF!</v>
      </c>
      <c r="HB509" t="e">
        <f>AND(#REF!,"AAAAAH+/vdE=")</f>
        <v>#REF!</v>
      </c>
      <c r="HC509" t="e">
        <f>AND(#REF!,"AAAAAH+/vdI=")</f>
        <v>#REF!</v>
      </c>
      <c r="HD509" t="e">
        <f>AND(#REF!,"AAAAAH+/vdM=")</f>
        <v>#REF!</v>
      </c>
      <c r="HE509" t="e">
        <f>AND(#REF!,"AAAAAH+/vdQ=")</f>
        <v>#REF!</v>
      </c>
      <c r="HF509" t="e">
        <f>AND(#REF!,"AAAAAH+/vdU=")</f>
        <v>#REF!</v>
      </c>
      <c r="HG509" t="e">
        <f>AND(#REF!,"AAAAAH+/vdY=")</f>
        <v>#REF!</v>
      </c>
      <c r="HH509" t="e">
        <f>AND(#REF!,"AAAAAH+/vdc=")</f>
        <v>#REF!</v>
      </c>
      <c r="HI509" t="e">
        <f>AND(#REF!,"AAAAAH+/vdg=")</f>
        <v>#REF!</v>
      </c>
      <c r="HJ509" t="e">
        <f>IF(#REF!,"AAAAAH+/vdk=",0)</f>
        <v>#REF!</v>
      </c>
      <c r="HK509" t="e">
        <f>AND(#REF!,"AAAAAH+/vdo=")</f>
        <v>#REF!</v>
      </c>
      <c r="HL509" t="e">
        <f>AND(#REF!,"AAAAAH+/vds=")</f>
        <v>#REF!</v>
      </c>
      <c r="HM509" t="e">
        <f>AND(#REF!,"AAAAAH+/vdw=")</f>
        <v>#REF!</v>
      </c>
      <c r="HN509" t="e">
        <f>AND(#REF!,"AAAAAH+/vd0=")</f>
        <v>#REF!</v>
      </c>
      <c r="HO509" t="e">
        <f>AND(#REF!,"AAAAAH+/vd4=")</f>
        <v>#REF!</v>
      </c>
      <c r="HP509" t="e">
        <f>AND(#REF!,"AAAAAH+/vd8=")</f>
        <v>#REF!</v>
      </c>
      <c r="HQ509" t="e">
        <f>AND(#REF!,"AAAAAH+/veA=")</f>
        <v>#REF!</v>
      </c>
      <c r="HR509" t="e">
        <f>AND(#REF!,"AAAAAH+/veE=")</f>
        <v>#REF!</v>
      </c>
      <c r="HS509" t="e">
        <f>AND(#REF!,"AAAAAH+/veI=")</f>
        <v>#REF!</v>
      </c>
      <c r="HT509" t="e">
        <f>AND(#REF!,"AAAAAH+/veM=")</f>
        <v>#REF!</v>
      </c>
      <c r="HU509" t="e">
        <f>IF(#REF!,"AAAAAH+/veQ=",0)</f>
        <v>#REF!</v>
      </c>
      <c r="HV509" t="e">
        <f>AND(#REF!,"AAAAAH+/veU=")</f>
        <v>#REF!</v>
      </c>
      <c r="HW509" t="e">
        <f>AND(#REF!,"AAAAAH+/veY=")</f>
        <v>#REF!</v>
      </c>
      <c r="HX509" t="e">
        <f>AND(#REF!,"AAAAAH+/vec=")</f>
        <v>#REF!</v>
      </c>
      <c r="HY509" t="e">
        <f>AND(#REF!,"AAAAAH+/veg=")</f>
        <v>#REF!</v>
      </c>
      <c r="HZ509" t="e">
        <f>AND(#REF!,"AAAAAH+/vek=")</f>
        <v>#REF!</v>
      </c>
      <c r="IA509" t="e">
        <f>AND(#REF!,"AAAAAH+/veo=")</f>
        <v>#REF!</v>
      </c>
      <c r="IB509" t="e">
        <f>AND(#REF!,"AAAAAH+/ves=")</f>
        <v>#REF!</v>
      </c>
      <c r="IC509" t="e">
        <f>AND(#REF!,"AAAAAH+/vew=")</f>
        <v>#REF!</v>
      </c>
      <c r="ID509" t="e">
        <f>AND(#REF!,"AAAAAH+/ve0=")</f>
        <v>#REF!</v>
      </c>
      <c r="IE509" t="e">
        <f>AND(#REF!,"AAAAAH+/ve4=")</f>
        <v>#REF!</v>
      </c>
      <c r="IF509" t="e">
        <f>IF(#REF!,"AAAAAH+/ve8=",0)</f>
        <v>#REF!</v>
      </c>
      <c r="IG509" t="e">
        <f>AND(#REF!,"AAAAAH+/vfA=")</f>
        <v>#REF!</v>
      </c>
      <c r="IH509" t="e">
        <f>AND(#REF!,"AAAAAH+/vfE=")</f>
        <v>#REF!</v>
      </c>
      <c r="II509" t="e">
        <f>AND(#REF!,"AAAAAH+/vfI=")</f>
        <v>#REF!</v>
      </c>
      <c r="IJ509" t="e">
        <f>AND(#REF!,"AAAAAH+/vfM=")</f>
        <v>#REF!</v>
      </c>
      <c r="IK509" t="e">
        <f>AND(#REF!,"AAAAAH+/vfQ=")</f>
        <v>#REF!</v>
      </c>
      <c r="IL509" t="e">
        <f>AND(#REF!,"AAAAAH+/vfU=")</f>
        <v>#REF!</v>
      </c>
      <c r="IM509" t="e">
        <f>AND(#REF!,"AAAAAH+/vfY=")</f>
        <v>#REF!</v>
      </c>
      <c r="IN509" t="e">
        <f>AND(#REF!,"AAAAAH+/vfc=")</f>
        <v>#REF!</v>
      </c>
      <c r="IO509" t="e">
        <f>AND(#REF!,"AAAAAH+/vfg=")</f>
        <v>#REF!</v>
      </c>
      <c r="IP509" t="e">
        <f>AND(#REF!,"AAAAAH+/vfk=")</f>
        <v>#REF!</v>
      </c>
      <c r="IQ509" t="e">
        <f>IF(#REF!,"AAAAAH+/vfo=",0)</f>
        <v>#REF!</v>
      </c>
      <c r="IR509" t="e">
        <f>AND(#REF!,"AAAAAH+/vfs=")</f>
        <v>#REF!</v>
      </c>
      <c r="IS509" t="e">
        <f>AND(#REF!,"AAAAAH+/vfw=")</f>
        <v>#REF!</v>
      </c>
      <c r="IT509" t="e">
        <f>AND(#REF!,"AAAAAH+/vf0=")</f>
        <v>#REF!</v>
      </c>
      <c r="IU509" t="e">
        <f>AND(#REF!,"AAAAAH+/vf4=")</f>
        <v>#REF!</v>
      </c>
      <c r="IV509" t="e">
        <f>AND(#REF!,"AAAAAH+/vf8=")</f>
        <v>#REF!</v>
      </c>
    </row>
    <row r="510" spans="1:256" x14ac:dyDescent="0.25">
      <c r="A510" t="e">
        <f>AND(#REF!,"AAAAADfq9wA=")</f>
        <v>#REF!</v>
      </c>
      <c r="B510" t="e">
        <f>AND(#REF!,"AAAAADfq9wE=")</f>
        <v>#REF!</v>
      </c>
      <c r="C510" t="e">
        <f>AND(#REF!,"AAAAADfq9wI=")</f>
        <v>#REF!</v>
      </c>
      <c r="D510" t="e">
        <f>AND(#REF!,"AAAAADfq9wM=")</f>
        <v>#REF!</v>
      </c>
      <c r="E510" t="e">
        <f>AND(#REF!,"AAAAADfq9wQ=")</f>
        <v>#REF!</v>
      </c>
      <c r="F510" t="e">
        <f>IF(#REF!,"AAAAADfq9wU=",0)</f>
        <v>#REF!</v>
      </c>
      <c r="G510" t="e">
        <f>AND(#REF!,"AAAAADfq9wY=")</f>
        <v>#REF!</v>
      </c>
      <c r="H510" t="e">
        <f>AND(#REF!,"AAAAADfq9wc=")</f>
        <v>#REF!</v>
      </c>
      <c r="I510" t="e">
        <f>AND(#REF!,"AAAAADfq9wg=")</f>
        <v>#REF!</v>
      </c>
      <c r="J510" t="e">
        <f>AND(#REF!,"AAAAADfq9wk=")</f>
        <v>#REF!</v>
      </c>
      <c r="K510" t="e">
        <f>AND(#REF!,"AAAAADfq9wo=")</f>
        <v>#REF!</v>
      </c>
      <c r="L510" t="e">
        <f>AND(#REF!,"AAAAADfq9ws=")</f>
        <v>#REF!</v>
      </c>
      <c r="M510" t="e">
        <f>AND(#REF!,"AAAAADfq9ww=")</f>
        <v>#REF!</v>
      </c>
      <c r="N510" t="e">
        <f>AND(#REF!,"AAAAADfq9w0=")</f>
        <v>#REF!</v>
      </c>
      <c r="O510" t="e">
        <f>AND(#REF!,"AAAAADfq9w4=")</f>
        <v>#REF!</v>
      </c>
      <c r="P510" t="e">
        <f>AND(#REF!,"AAAAADfq9w8=")</f>
        <v>#REF!</v>
      </c>
      <c r="Q510" t="e">
        <f>IF(#REF!,"AAAAADfq9xA=",0)</f>
        <v>#REF!</v>
      </c>
      <c r="R510" t="e">
        <f>AND(#REF!,"AAAAADfq9xE=")</f>
        <v>#REF!</v>
      </c>
      <c r="S510" t="e">
        <f>AND(#REF!,"AAAAADfq9xI=")</f>
        <v>#REF!</v>
      </c>
      <c r="T510" t="e">
        <f>AND(#REF!,"AAAAADfq9xM=")</f>
        <v>#REF!</v>
      </c>
      <c r="U510" t="e">
        <f>AND(#REF!,"AAAAADfq9xQ=")</f>
        <v>#REF!</v>
      </c>
      <c r="V510" t="e">
        <f>AND(#REF!,"AAAAADfq9xU=")</f>
        <v>#REF!</v>
      </c>
      <c r="W510" t="e">
        <f>AND(#REF!,"AAAAADfq9xY=")</f>
        <v>#REF!</v>
      </c>
      <c r="X510" t="e">
        <f>AND(#REF!,"AAAAADfq9xc=")</f>
        <v>#REF!</v>
      </c>
      <c r="Y510" t="e">
        <f>AND(#REF!,"AAAAADfq9xg=")</f>
        <v>#REF!</v>
      </c>
      <c r="Z510" t="e">
        <f>AND(#REF!,"AAAAADfq9xk=")</f>
        <v>#REF!</v>
      </c>
      <c r="AA510" t="e">
        <f>AND(#REF!,"AAAAADfq9xo=")</f>
        <v>#REF!</v>
      </c>
      <c r="AB510" t="e">
        <f>IF(#REF!,"AAAAADfq9xs=",0)</f>
        <v>#REF!</v>
      </c>
      <c r="AC510" t="e">
        <f>AND(#REF!,"AAAAADfq9xw=")</f>
        <v>#REF!</v>
      </c>
      <c r="AD510" t="e">
        <f>AND(#REF!,"AAAAADfq9x0=")</f>
        <v>#REF!</v>
      </c>
      <c r="AE510" t="e">
        <f>AND(#REF!,"AAAAADfq9x4=")</f>
        <v>#REF!</v>
      </c>
      <c r="AF510" t="e">
        <f>AND(#REF!,"AAAAADfq9x8=")</f>
        <v>#REF!</v>
      </c>
      <c r="AG510" t="e">
        <f>AND(#REF!,"AAAAADfq9yA=")</f>
        <v>#REF!</v>
      </c>
      <c r="AH510" t="e">
        <f>AND(#REF!,"AAAAADfq9yE=")</f>
        <v>#REF!</v>
      </c>
      <c r="AI510" t="e">
        <f>AND(#REF!,"AAAAADfq9yI=")</f>
        <v>#REF!</v>
      </c>
      <c r="AJ510" t="e">
        <f>AND(#REF!,"AAAAADfq9yM=")</f>
        <v>#REF!</v>
      </c>
      <c r="AK510" t="e">
        <f>AND(#REF!,"AAAAADfq9yQ=")</f>
        <v>#REF!</v>
      </c>
      <c r="AL510" t="e">
        <f>AND(#REF!,"AAAAADfq9yU=")</f>
        <v>#REF!</v>
      </c>
      <c r="AM510" t="e">
        <f>IF(#REF!,"AAAAADfq9yY=",0)</f>
        <v>#REF!</v>
      </c>
      <c r="AN510" t="e">
        <f>AND(#REF!,"AAAAADfq9yc=")</f>
        <v>#REF!</v>
      </c>
      <c r="AO510" t="e">
        <f>AND(#REF!,"AAAAADfq9yg=")</f>
        <v>#REF!</v>
      </c>
      <c r="AP510" t="e">
        <f>AND(#REF!,"AAAAADfq9yk=")</f>
        <v>#REF!</v>
      </c>
      <c r="AQ510" t="e">
        <f>AND(#REF!,"AAAAADfq9yo=")</f>
        <v>#REF!</v>
      </c>
      <c r="AR510" t="e">
        <f>AND(#REF!,"AAAAADfq9ys=")</f>
        <v>#REF!</v>
      </c>
      <c r="AS510" t="e">
        <f>AND(#REF!,"AAAAADfq9yw=")</f>
        <v>#REF!</v>
      </c>
      <c r="AT510" t="e">
        <f>AND(#REF!,"AAAAADfq9y0=")</f>
        <v>#REF!</v>
      </c>
      <c r="AU510" t="e">
        <f>AND(#REF!,"AAAAADfq9y4=")</f>
        <v>#REF!</v>
      </c>
      <c r="AV510" t="e">
        <f>AND(#REF!,"AAAAADfq9y8=")</f>
        <v>#REF!</v>
      </c>
      <c r="AW510" t="e">
        <f>AND(#REF!,"AAAAADfq9zA=")</f>
        <v>#REF!</v>
      </c>
      <c r="AX510" t="e">
        <f>IF(#REF!,"AAAAADfq9zE=",0)</f>
        <v>#REF!</v>
      </c>
      <c r="AY510" t="e">
        <f>AND(#REF!,"AAAAADfq9zI=")</f>
        <v>#REF!</v>
      </c>
      <c r="AZ510" t="e">
        <f>AND(#REF!,"AAAAADfq9zM=")</f>
        <v>#REF!</v>
      </c>
      <c r="BA510" t="e">
        <f>AND(#REF!,"AAAAADfq9zQ=")</f>
        <v>#REF!</v>
      </c>
      <c r="BB510" t="e">
        <f>AND(#REF!,"AAAAADfq9zU=")</f>
        <v>#REF!</v>
      </c>
      <c r="BC510" t="e">
        <f>AND(#REF!,"AAAAADfq9zY=")</f>
        <v>#REF!</v>
      </c>
      <c r="BD510" t="e">
        <f>AND(#REF!,"AAAAADfq9zc=")</f>
        <v>#REF!</v>
      </c>
      <c r="BE510" t="e">
        <f>AND(#REF!,"AAAAADfq9zg=")</f>
        <v>#REF!</v>
      </c>
      <c r="BF510" t="e">
        <f>AND(#REF!,"AAAAADfq9zk=")</f>
        <v>#REF!</v>
      </c>
      <c r="BG510" t="e">
        <f>AND(#REF!,"AAAAADfq9zo=")</f>
        <v>#REF!</v>
      </c>
      <c r="BH510" t="e">
        <f>AND(#REF!,"AAAAADfq9zs=")</f>
        <v>#REF!</v>
      </c>
      <c r="BI510" t="e">
        <f>IF(#REF!,"AAAAADfq9zw=",0)</f>
        <v>#REF!</v>
      </c>
      <c r="BJ510" t="e">
        <f>AND(#REF!,"AAAAADfq9z0=")</f>
        <v>#REF!</v>
      </c>
      <c r="BK510" t="e">
        <f>AND(#REF!,"AAAAADfq9z4=")</f>
        <v>#REF!</v>
      </c>
      <c r="BL510" t="e">
        <f>AND(#REF!,"AAAAADfq9z8=")</f>
        <v>#REF!</v>
      </c>
      <c r="BM510" t="e">
        <f>AND(#REF!,"AAAAADfq90A=")</f>
        <v>#REF!</v>
      </c>
      <c r="BN510" t="e">
        <f>AND(#REF!,"AAAAADfq90E=")</f>
        <v>#REF!</v>
      </c>
      <c r="BO510" t="e">
        <f>AND(#REF!,"AAAAADfq90I=")</f>
        <v>#REF!</v>
      </c>
      <c r="BP510" t="e">
        <f>AND(#REF!,"AAAAADfq90M=")</f>
        <v>#REF!</v>
      </c>
      <c r="BQ510" t="e">
        <f>AND(#REF!,"AAAAADfq90Q=")</f>
        <v>#REF!</v>
      </c>
      <c r="BR510" t="e">
        <f>AND(#REF!,"AAAAADfq90U=")</f>
        <v>#REF!</v>
      </c>
      <c r="BS510" t="e">
        <f>AND(#REF!,"AAAAADfq90Y=")</f>
        <v>#REF!</v>
      </c>
      <c r="BT510" t="e">
        <f>IF(#REF!,"AAAAADfq90c=",0)</f>
        <v>#REF!</v>
      </c>
      <c r="BU510" t="e">
        <f>AND(#REF!,"AAAAADfq90g=")</f>
        <v>#REF!</v>
      </c>
      <c r="BV510" t="e">
        <f>AND(#REF!,"AAAAADfq90k=")</f>
        <v>#REF!</v>
      </c>
      <c r="BW510" t="e">
        <f>AND(#REF!,"AAAAADfq90o=")</f>
        <v>#REF!</v>
      </c>
      <c r="BX510" t="e">
        <f>AND(#REF!,"AAAAADfq90s=")</f>
        <v>#REF!</v>
      </c>
      <c r="BY510" t="e">
        <f>AND(#REF!,"AAAAADfq90w=")</f>
        <v>#REF!</v>
      </c>
      <c r="BZ510" t="e">
        <f>AND(#REF!,"AAAAADfq900=")</f>
        <v>#REF!</v>
      </c>
      <c r="CA510" t="e">
        <f>AND(#REF!,"AAAAADfq904=")</f>
        <v>#REF!</v>
      </c>
      <c r="CB510" t="e">
        <f>AND(#REF!,"AAAAADfq908=")</f>
        <v>#REF!</v>
      </c>
      <c r="CC510" t="e">
        <f>AND(#REF!,"AAAAADfq91A=")</f>
        <v>#REF!</v>
      </c>
      <c r="CD510" t="e">
        <f>AND(#REF!,"AAAAADfq91E=")</f>
        <v>#REF!</v>
      </c>
      <c r="CE510" t="e">
        <f>IF(#REF!,"AAAAADfq91I=",0)</f>
        <v>#REF!</v>
      </c>
      <c r="CF510" t="e">
        <f>AND(#REF!,"AAAAADfq91M=")</f>
        <v>#REF!</v>
      </c>
      <c r="CG510" t="e">
        <f>AND(#REF!,"AAAAADfq91Q=")</f>
        <v>#REF!</v>
      </c>
      <c r="CH510" t="e">
        <f>AND(#REF!,"AAAAADfq91U=")</f>
        <v>#REF!</v>
      </c>
      <c r="CI510" t="e">
        <f>AND(#REF!,"AAAAADfq91Y=")</f>
        <v>#REF!</v>
      </c>
      <c r="CJ510" t="e">
        <f>AND(#REF!,"AAAAADfq91c=")</f>
        <v>#REF!</v>
      </c>
      <c r="CK510" t="e">
        <f>AND(#REF!,"AAAAADfq91g=")</f>
        <v>#REF!</v>
      </c>
      <c r="CL510" t="e">
        <f>AND(#REF!,"AAAAADfq91k=")</f>
        <v>#REF!</v>
      </c>
      <c r="CM510" t="e">
        <f>AND(#REF!,"AAAAADfq91o=")</f>
        <v>#REF!</v>
      </c>
      <c r="CN510" t="e">
        <f>AND(#REF!,"AAAAADfq91s=")</f>
        <v>#REF!</v>
      </c>
      <c r="CO510" t="e">
        <f>AND(#REF!,"AAAAADfq91w=")</f>
        <v>#REF!</v>
      </c>
      <c r="CP510" t="e">
        <f>IF(#REF!,"AAAAADfq910=",0)</f>
        <v>#REF!</v>
      </c>
      <c r="CQ510" t="e">
        <f>AND(#REF!,"AAAAADfq914=")</f>
        <v>#REF!</v>
      </c>
      <c r="CR510" t="e">
        <f>AND(#REF!,"AAAAADfq918=")</f>
        <v>#REF!</v>
      </c>
      <c r="CS510" t="e">
        <f>AND(#REF!,"AAAAADfq92A=")</f>
        <v>#REF!</v>
      </c>
      <c r="CT510" t="e">
        <f>AND(#REF!,"AAAAADfq92E=")</f>
        <v>#REF!</v>
      </c>
      <c r="CU510" t="e">
        <f>AND(#REF!,"AAAAADfq92I=")</f>
        <v>#REF!</v>
      </c>
      <c r="CV510" t="e">
        <f>AND(#REF!,"AAAAADfq92M=")</f>
        <v>#REF!</v>
      </c>
      <c r="CW510" t="e">
        <f>AND(#REF!,"AAAAADfq92Q=")</f>
        <v>#REF!</v>
      </c>
      <c r="CX510" t="e">
        <f>AND(#REF!,"AAAAADfq92U=")</f>
        <v>#REF!</v>
      </c>
      <c r="CY510" t="e">
        <f>AND(#REF!,"AAAAADfq92Y=")</f>
        <v>#REF!</v>
      </c>
      <c r="CZ510" t="e">
        <f>AND(#REF!,"AAAAADfq92c=")</f>
        <v>#REF!</v>
      </c>
      <c r="DA510" t="e">
        <f>IF(#REF!,"AAAAADfq92g=",0)</f>
        <v>#REF!</v>
      </c>
      <c r="DB510" t="e">
        <f>AND(#REF!,"AAAAADfq92k=")</f>
        <v>#REF!</v>
      </c>
      <c r="DC510" t="e">
        <f>AND(#REF!,"AAAAADfq92o=")</f>
        <v>#REF!</v>
      </c>
      <c r="DD510" t="e">
        <f>AND(#REF!,"AAAAADfq92s=")</f>
        <v>#REF!</v>
      </c>
      <c r="DE510" t="e">
        <f>AND(#REF!,"AAAAADfq92w=")</f>
        <v>#REF!</v>
      </c>
      <c r="DF510" t="e">
        <f>AND(#REF!,"AAAAADfq920=")</f>
        <v>#REF!</v>
      </c>
      <c r="DG510" t="e">
        <f>AND(#REF!,"AAAAADfq924=")</f>
        <v>#REF!</v>
      </c>
      <c r="DH510" t="e">
        <f>AND(#REF!,"AAAAADfq928=")</f>
        <v>#REF!</v>
      </c>
      <c r="DI510" t="e">
        <f>AND(#REF!,"AAAAADfq93A=")</f>
        <v>#REF!</v>
      </c>
      <c r="DJ510" t="e">
        <f>AND(#REF!,"AAAAADfq93E=")</f>
        <v>#REF!</v>
      </c>
      <c r="DK510" t="e">
        <f>AND(#REF!,"AAAAADfq93I=")</f>
        <v>#REF!</v>
      </c>
      <c r="DL510" t="e">
        <f>IF(#REF!,"AAAAADfq93M=",0)</f>
        <v>#REF!</v>
      </c>
      <c r="DM510" t="e">
        <f>AND(#REF!,"AAAAADfq93Q=")</f>
        <v>#REF!</v>
      </c>
      <c r="DN510" t="e">
        <f>AND(#REF!,"AAAAADfq93U=")</f>
        <v>#REF!</v>
      </c>
      <c r="DO510" t="e">
        <f>AND(#REF!,"AAAAADfq93Y=")</f>
        <v>#REF!</v>
      </c>
      <c r="DP510" t="e">
        <f>AND(#REF!,"AAAAADfq93c=")</f>
        <v>#REF!</v>
      </c>
      <c r="DQ510" t="e">
        <f>AND(#REF!,"AAAAADfq93g=")</f>
        <v>#REF!</v>
      </c>
      <c r="DR510" t="e">
        <f>AND(#REF!,"AAAAADfq93k=")</f>
        <v>#REF!</v>
      </c>
      <c r="DS510" t="e">
        <f>AND(#REF!,"AAAAADfq93o=")</f>
        <v>#REF!</v>
      </c>
      <c r="DT510" t="e">
        <f>AND(#REF!,"AAAAADfq93s=")</f>
        <v>#REF!</v>
      </c>
      <c r="DU510" t="e">
        <f>AND(#REF!,"AAAAADfq93w=")</f>
        <v>#REF!</v>
      </c>
      <c r="DV510" t="e">
        <f>AND(#REF!,"AAAAADfq930=")</f>
        <v>#REF!</v>
      </c>
      <c r="DW510" t="e">
        <f>IF(#REF!,"AAAAADfq934=",0)</f>
        <v>#REF!</v>
      </c>
      <c r="DX510" t="e">
        <f>AND(#REF!,"AAAAADfq938=")</f>
        <v>#REF!</v>
      </c>
      <c r="DY510" t="e">
        <f>AND(#REF!,"AAAAADfq94A=")</f>
        <v>#REF!</v>
      </c>
      <c r="DZ510" t="e">
        <f>AND(#REF!,"AAAAADfq94E=")</f>
        <v>#REF!</v>
      </c>
      <c r="EA510" t="e">
        <f>AND(#REF!,"AAAAADfq94I=")</f>
        <v>#REF!</v>
      </c>
      <c r="EB510" t="e">
        <f>AND(#REF!,"AAAAADfq94M=")</f>
        <v>#REF!</v>
      </c>
      <c r="EC510" t="e">
        <f>AND(#REF!,"AAAAADfq94Q=")</f>
        <v>#REF!</v>
      </c>
      <c r="ED510" t="e">
        <f>AND(#REF!,"AAAAADfq94U=")</f>
        <v>#REF!</v>
      </c>
      <c r="EE510" t="e">
        <f>AND(#REF!,"AAAAADfq94Y=")</f>
        <v>#REF!</v>
      </c>
      <c r="EF510" t="e">
        <f>AND(#REF!,"AAAAADfq94c=")</f>
        <v>#REF!</v>
      </c>
      <c r="EG510" t="e">
        <f>AND(#REF!,"AAAAADfq94g=")</f>
        <v>#REF!</v>
      </c>
      <c r="EH510" t="e">
        <f>IF(#REF!,"AAAAADfq94k=",0)</f>
        <v>#REF!</v>
      </c>
      <c r="EI510" t="e">
        <f>AND(#REF!,"AAAAADfq94o=")</f>
        <v>#REF!</v>
      </c>
      <c r="EJ510" t="e">
        <f>AND(#REF!,"AAAAADfq94s=")</f>
        <v>#REF!</v>
      </c>
      <c r="EK510" t="e">
        <f>AND(#REF!,"AAAAADfq94w=")</f>
        <v>#REF!</v>
      </c>
      <c r="EL510" t="e">
        <f>AND(#REF!,"AAAAADfq940=")</f>
        <v>#REF!</v>
      </c>
      <c r="EM510" t="e">
        <f>AND(#REF!,"AAAAADfq944=")</f>
        <v>#REF!</v>
      </c>
      <c r="EN510" t="e">
        <f>AND(#REF!,"AAAAADfq948=")</f>
        <v>#REF!</v>
      </c>
      <c r="EO510" t="e">
        <f>AND(#REF!,"AAAAADfq95A=")</f>
        <v>#REF!</v>
      </c>
      <c r="EP510" t="e">
        <f>AND(#REF!,"AAAAADfq95E=")</f>
        <v>#REF!</v>
      </c>
      <c r="EQ510" t="e">
        <f>AND(#REF!,"AAAAADfq95I=")</f>
        <v>#REF!</v>
      </c>
      <c r="ER510" t="e">
        <f>AND(#REF!,"AAAAADfq95M=")</f>
        <v>#REF!</v>
      </c>
      <c r="ES510" t="e">
        <f>IF(#REF!,"AAAAADfq95Q=",0)</f>
        <v>#REF!</v>
      </c>
      <c r="ET510" t="e">
        <f>AND(#REF!,"AAAAADfq95U=")</f>
        <v>#REF!</v>
      </c>
      <c r="EU510" t="e">
        <f>AND(#REF!,"AAAAADfq95Y=")</f>
        <v>#REF!</v>
      </c>
      <c r="EV510" t="e">
        <f>AND(#REF!,"AAAAADfq95c=")</f>
        <v>#REF!</v>
      </c>
      <c r="EW510" t="e">
        <f>AND(#REF!,"AAAAADfq95g=")</f>
        <v>#REF!</v>
      </c>
      <c r="EX510" t="e">
        <f>AND(#REF!,"AAAAADfq95k=")</f>
        <v>#REF!</v>
      </c>
      <c r="EY510" t="e">
        <f>AND(#REF!,"AAAAADfq95o=")</f>
        <v>#REF!</v>
      </c>
      <c r="EZ510" t="e">
        <f>AND(#REF!,"AAAAADfq95s=")</f>
        <v>#REF!</v>
      </c>
      <c r="FA510" t="e">
        <f>AND(#REF!,"AAAAADfq95w=")</f>
        <v>#REF!</v>
      </c>
      <c r="FB510" t="e">
        <f>AND(#REF!,"AAAAADfq950=")</f>
        <v>#REF!</v>
      </c>
      <c r="FC510" t="e">
        <f>AND(#REF!,"AAAAADfq954=")</f>
        <v>#REF!</v>
      </c>
      <c r="FD510" t="e">
        <f>IF(#REF!,"AAAAADfq958=",0)</f>
        <v>#REF!</v>
      </c>
      <c r="FE510" t="e">
        <f>AND(#REF!,"AAAAADfq96A=")</f>
        <v>#REF!</v>
      </c>
      <c r="FF510" t="e">
        <f>AND(#REF!,"AAAAADfq96E=")</f>
        <v>#REF!</v>
      </c>
      <c r="FG510" t="e">
        <f>AND(#REF!,"AAAAADfq96I=")</f>
        <v>#REF!</v>
      </c>
      <c r="FH510" t="e">
        <f>AND(#REF!,"AAAAADfq96M=")</f>
        <v>#REF!</v>
      </c>
      <c r="FI510" t="e">
        <f>AND(#REF!,"AAAAADfq96Q=")</f>
        <v>#REF!</v>
      </c>
      <c r="FJ510" t="e">
        <f>AND(#REF!,"AAAAADfq96U=")</f>
        <v>#REF!</v>
      </c>
      <c r="FK510" t="e">
        <f>AND(#REF!,"AAAAADfq96Y=")</f>
        <v>#REF!</v>
      </c>
      <c r="FL510" t="e">
        <f>AND(#REF!,"AAAAADfq96c=")</f>
        <v>#REF!</v>
      </c>
      <c r="FM510" t="e">
        <f>AND(#REF!,"AAAAADfq96g=")</f>
        <v>#REF!</v>
      </c>
      <c r="FN510" t="e">
        <f>AND(#REF!,"AAAAADfq96k=")</f>
        <v>#REF!</v>
      </c>
      <c r="FO510" t="e">
        <f>IF(#REF!,"AAAAADfq96o=",0)</f>
        <v>#REF!</v>
      </c>
      <c r="FP510" t="e">
        <f>AND(#REF!,"AAAAADfq96s=")</f>
        <v>#REF!</v>
      </c>
      <c r="FQ510" t="e">
        <f>AND(#REF!,"AAAAADfq96w=")</f>
        <v>#REF!</v>
      </c>
      <c r="FR510" t="e">
        <f>AND(#REF!,"AAAAADfq960=")</f>
        <v>#REF!</v>
      </c>
      <c r="FS510" t="e">
        <f>AND(#REF!,"AAAAADfq964=")</f>
        <v>#REF!</v>
      </c>
      <c r="FT510" t="e">
        <f>AND(#REF!,"AAAAADfq968=")</f>
        <v>#REF!</v>
      </c>
      <c r="FU510" t="e">
        <f>AND(#REF!,"AAAAADfq97A=")</f>
        <v>#REF!</v>
      </c>
      <c r="FV510" t="e">
        <f>AND(#REF!,"AAAAADfq97E=")</f>
        <v>#REF!</v>
      </c>
      <c r="FW510" t="e">
        <f>AND(#REF!,"AAAAADfq97I=")</f>
        <v>#REF!</v>
      </c>
      <c r="FX510" t="e">
        <f>AND(#REF!,"AAAAADfq97M=")</f>
        <v>#REF!</v>
      </c>
      <c r="FY510" t="e">
        <f>AND(#REF!,"AAAAADfq97Q=")</f>
        <v>#REF!</v>
      </c>
      <c r="FZ510" t="e">
        <f>IF(#REF!,"AAAAADfq97U=",0)</f>
        <v>#REF!</v>
      </c>
      <c r="GA510" t="e">
        <f>AND(#REF!,"AAAAADfq97Y=")</f>
        <v>#REF!</v>
      </c>
      <c r="GB510" t="e">
        <f>AND(#REF!,"AAAAADfq97c=")</f>
        <v>#REF!</v>
      </c>
      <c r="GC510" t="e">
        <f>AND(#REF!,"AAAAADfq97g=")</f>
        <v>#REF!</v>
      </c>
      <c r="GD510" t="e">
        <f>AND(#REF!,"AAAAADfq97k=")</f>
        <v>#REF!</v>
      </c>
      <c r="GE510" t="e">
        <f>AND(#REF!,"AAAAADfq97o=")</f>
        <v>#REF!</v>
      </c>
      <c r="GF510" t="e">
        <f>AND(#REF!,"AAAAADfq97s=")</f>
        <v>#REF!</v>
      </c>
      <c r="GG510" t="e">
        <f>AND(#REF!,"AAAAADfq97w=")</f>
        <v>#REF!</v>
      </c>
      <c r="GH510" t="e">
        <f>AND(#REF!,"AAAAADfq970=")</f>
        <v>#REF!</v>
      </c>
      <c r="GI510" t="e">
        <f>AND(#REF!,"AAAAADfq974=")</f>
        <v>#REF!</v>
      </c>
      <c r="GJ510" t="e">
        <f>AND(#REF!,"AAAAADfq978=")</f>
        <v>#REF!</v>
      </c>
      <c r="GK510" t="e">
        <f>IF(#REF!,"AAAAADfq98A=",0)</f>
        <v>#REF!</v>
      </c>
      <c r="GL510" t="e">
        <f>AND(#REF!,"AAAAADfq98E=")</f>
        <v>#REF!</v>
      </c>
      <c r="GM510" t="e">
        <f>AND(#REF!,"AAAAADfq98I=")</f>
        <v>#REF!</v>
      </c>
      <c r="GN510" t="e">
        <f>AND(#REF!,"AAAAADfq98M=")</f>
        <v>#REF!</v>
      </c>
      <c r="GO510" t="e">
        <f>AND(#REF!,"AAAAADfq98Q=")</f>
        <v>#REF!</v>
      </c>
      <c r="GP510" t="e">
        <f>AND(#REF!,"AAAAADfq98U=")</f>
        <v>#REF!</v>
      </c>
      <c r="GQ510" t="e">
        <f>AND(#REF!,"AAAAADfq98Y=")</f>
        <v>#REF!</v>
      </c>
      <c r="GR510" t="e">
        <f>AND(#REF!,"AAAAADfq98c=")</f>
        <v>#REF!</v>
      </c>
      <c r="GS510" t="e">
        <f>AND(#REF!,"AAAAADfq98g=")</f>
        <v>#REF!</v>
      </c>
      <c r="GT510" t="e">
        <f>AND(#REF!,"AAAAADfq98k=")</f>
        <v>#REF!</v>
      </c>
      <c r="GU510" t="e">
        <f>AND(#REF!,"AAAAADfq98o=")</f>
        <v>#REF!</v>
      </c>
      <c r="GV510" t="e">
        <f>IF(#REF!,"AAAAADfq98s=",0)</f>
        <v>#REF!</v>
      </c>
      <c r="GW510" t="e">
        <f>AND(#REF!,"AAAAADfq98w=")</f>
        <v>#REF!</v>
      </c>
      <c r="GX510" t="e">
        <f>AND(#REF!,"AAAAADfq980=")</f>
        <v>#REF!</v>
      </c>
      <c r="GY510" t="e">
        <f>AND(#REF!,"AAAAADfq984=")</f>
        <v>#REF!</v>
      </c>
      <c r="GZ510" t="e">
        <f>AND(#REF!,"AAAAADfq988=")</f>
        <v>#REF!</v>
      </c>
      <c r="HA510" t="e">
        <f>AND(#REF!,"AAAAADfq99A=")</f>
        <v>#REF!</v>
      </c>
      <c r="HB510" t="e">
        <f>AND(#REF!,"AAAAADfq99E=")</f>
        <v>#REF!</v>
      </c>
      <c r="HC510" t="e">
        <f>AND(#REF!,"AAAAADfq99I=")</f>
        <v>#REF!</v>
      </c>
      <c r="HD510" t="e">
        <f>AND(#REF!,"AAAAADfq99M=")</f>
        <v>#REF!</v>
      </c>
      <c r="HE510" t="e">
        <f>AND(#REF!,"AAAAADfq99Q=")</f>
        <v>#REF!</v>
      </c>
      <c r="HF510" t="e">
        <f>AND(#REF!,"AAAAADfq99U=")</f>
        <v>#REF!</v>
      </c>
      <c r="HG510" t="e">
        <f>IF(#REF!,"AAAAADfq99Y=",0)</f>
        <v>#REF!</v>
      </c>
      <c r="HH510" t="e">
        <f>AND(#REF!,"AAAAADfq99c=")</f>
        <v>#REF!</v>
      </c>
      <c r="HI510" t="e">
        <f>AND(#REF!,"AAAAADfq99g=")</f>
        <v>#REF!</v>
      </c>
      <c r="HJ510" t="e">
        <f>AND(#REF!,"AAAAADfq99k=")</f>
        <v>#REF!</v>
      </c>
      <c r="HK510" t="e">
        <f>AND(#REF!,"AAAAADfq99o=")</f>
        <v>#REF!</v>
      </c>
      <c r="HL510" t="e">
        <f>AND(#REF!,"AAAAADfq99s=")</f>
        <v>#REF!</v>
      </c>
      <c r="HM510" t="e">
        <f>AND(#REF!,"AAAAADfq99w=")</f>
        <v>#REF!</v>
      </c>
      <c r="HN510" t="e">
        <f>AND(#REF!,"AAAAADfq990=")</f>
        <v>#REF!</v>
      </c>
      <c r="HO510" t="e">
        <f>AND(#REF!,"AAAAADfq994=")</f>
        <v>#REF!</v>
      </c>
      <c r="HP510" t="e">
        <f>AND(#REF!,"AAAAADfq998=")</f>
        <v>#REF!</v>
      </c>
      <c r="HQ510" t="e">
        <f>AND(#REF!,"AAAAADfq9+A=")</f>
        <v>#REF!</v>
      </c>
      <c r="HR510" t="e">
        <f>IF(#REF!,"AAAAADfq9+E=",0)</f>
        <v>#REF!</v>
      </c>
      <c r="HS510" t="e">
        <f>AND(#REF!,"AAAAADfq9+I=")</f>
        <v>#REF!</v>
      </c>
      <c r="HT510" t="e">
        <f>AND(#REF!,"AAAAADfq9+M=")</f>
        <v>#REF!</v>
      </c>
      <c r="HU510" t="e">
        <f>AND(#REF!,"AAAAADfq9+Q=")</f>
        <v>#REF!</v>
      </c>
      <c r="HV510" t="e">
        <f>AND(#REF!,"AAAAADfq9+U=")</f>
        <v>#REF!</v>
      </c>
      <c r="HW510" t="e">
        <f>AND(#REF!,"AAAAADfq9+Y=")</f>
        <v>#REF!</v>
      </c>
      <c r="HX510" t="e">
        <f>AND(#REF!,"AAAAADfq9+c=")</f>
        <v>#REF!</v>
      </c>
      <c r="HY510" t="e">
        <f>AND(#REF!,"AAAAADfq9+g=")</f>
        <v>#REF!</v>
      </c>
      <c r="HZ510" t="e">
        <f>AND(#REF!,"AAAAADfq9+k=")</f>
        <v>#REF!</v>
      </c>
      <c r="IA510" t="e">
        <f>AND(#REF!,"AAAAADfq9+o=")</f>
        <v>#REF!</v>
      </c>
      <c r="IB510" t="e">
        <f>AND(#REF!,"AAAAADfq9+s=")</f>
        <v>#REF!</v>
      </c>
      <c r="IC510" t="e">
        <f>IF(#REF!,"AAAAADfq9+w=",0)</f>
        <v>#REF!</v>
      </c>
      <c r="ID510" t="e">
        <f>AND(#REF!,"AAAAADfq9+0=")</f>
        <v>#REF!</v>
      </c>
      <c r="IE510" t="e">
        <f>AND(#REF!,"AAAAADfq9+4=")</f>
        <v>#REF!</v>
      </c>
      <c r="IF510" t="e">
        <f>AND(#REF!,"AAAAADfq9+8=")</f>
        <v>#REF!</v>
      </c>
      <c r="IG510" t="e">
        <f>AND(#REF!,"AAAAADfq9/A=")</f>
        <v>#REF!</v>
      </c>
      <c r="IH510" t="e">
        <f>AND(#REF!,"AAAAADfq9/E=")</f>
        <v>#REF!</v>
      </c>
      <c r="II510" t="e">
        <f>AND(#REF!,"AAAAADfq9/I=")</f>
        <v>#REF!</v>
      </c>
      <c r="IJ510" t="e">
        <f>AND(#REF!,"AAAAADfq9/M=")</f>
        <v>#REF!</v>
      </c>
      <c r="IK510" t="e">
        <f>AND(#REF!,"AAAAADfq9/Q=")</f>
        <v>#REF!</v>
      </c>
      <c r="IL510" t="e">
        <f>AND(#REF!,"AAAAADfq9/U=")</f>
        <v>#REF!</v>
      </c>
      <c r="IM510" t="e">
        <f>AND(#REF!,"AAAAADfq9/Y=")</f>
        <v>#REF!</v>
      </c>
      <c r="IN510" t="e">
        <f>IF(#REF!,"AAAAADfq9/c=",0)</f>
        <v>#REF!</v>
      </c>
      <c r="IO510" t="e">
        <f>AND(#REF!,"AAAAADfq9/g=")</f>
        <v>#REF!</v>
      </c>
      <c r="IP510" t="e">
        <f>AND(#REF!,"AAAAADfq9/k=")</f>
        <v>#REF!</v>
      </c>
      <c r="IQ510" t="e">
        <f>AND(#REF!,"AAAAADfq9/o=")</f>
        <v>#REF!</v>
      </c>
      <c r="IR510" t="e">
        <f>AND(#REF!,"AAAAADfq9/s=")</f>
        <v>#REF!</v>
      </c>
      <c r="IS510" t="e">
        <f>AND(#REF!,"AAAAADfq9/w=")</f>
        <v>#REF!</v>
      </c>
      <c r="IT510" t="e">
        <f>AND(#REF!,"AAAAADfq9/0=")</f>
        <v>#REF!</v>
      </c>
      <c r="IU510" t="e">
        <f>AND(#REF!,"AAAAADfq9/4=")</f>
        <v>#REF!</v>
      </c>
      <c r="IV510" t="e">
        <f>AND(#REF!,"AAAAADfq9/8=")</f>
        <v>#REF!</v>
      </c>
    </row>
    <row r="511" spans="1:256" x14ac:dyDescent="0.25">
      <c r="A511" t="e">
        <f>AND(#REF!,"AAAAAE/7LwA=")</f>
        <v>#REF!</v>
      </c>
      <c r="B511" t="e">
        <f>AND(#REF!,"AAAAAE/7LwE=")</f>
        <v>#REF!</v>
      </c>
      <c r="C511" t="e">
        <f>IF(#REF!,"AAAAAE/7LwI=",0)</f>
        <v>#REF!</v>
      </c>
      <c r="D511" t="e">
        <f>AND(#REF!,"AAAAAE/7LwM=")</f>
        <v>#REF!</v>
      </c>
      <c r="E511" t="e">
        <f>AND(#REF!,"AAAAAE/7LwQ=")</f>
        <v>#REF!</v>
      </c>
      <c r="F511" t="e">
        <f>AND(#REF!,"AAAAAE/7LwU=")</f>
        <v>#REF!</v>
      </c>
      <c r="G511" t="e">
        <f>AND(#REF!,"AAAAAE/7LwY=")</f>
        <v>#REF!</v>
      </c>
      <c r="H511" t="e">
        <f>AND(#REF!,"AAAAAE/7Lwc=")</f>
        <v>#REF!</v>
      </c>
      <c r="I511" t="e">
        <f>AND(#REF!,"AAAAAE/7Lwg=")</f>
        <v>#REF!</v>
      </c>
      <c r="J511" t="e">
        <f>AND(#REF!,"AAAAAE/7Lwk=")</f>
        <v>#REF!</v>
      </c>
      <c r="K511" t="e">
        <f>AND(#REF!,"AAAAAE/7Lwo=")</f>
        <v>#REF!</v>
      </c>
      <c r="L511" t="e">
        <f>AND(#REF!,"AAAAAE/7Lws=")</f>
        <v>#REF!</v>
      </c>
      <c r="M511" t="e">
        <f>AND(#REF!,"AAAAAE/7Lww=")</f>
        <v>#REF!</v>
      </c>
      <c r="N511" t="e">
        <f>IF(#REF!,"AAAAAE/7Lw0=",0)</f>
        <v>#REF!</v>
      </c>
      <c r="O511" t="e">
        <f>AND(#REF!,"AAAAAE/7Lw4=")</f>
        <v>#REF!</v>
      </c>
      <c r="P511" t="e">
        <f>AND(#REF!,"AAAAAE/7Lw8=")</f>
        <v>#REF!</v>
      </c>
      <c r="Q511" t="e">
        <f>AND(#REF!,"AAAAAE/7LxA=")</f>
        <v>#REF!</v>
      </c>
      <c r="R511" t="e">
        <f>AND(#REF!,"AAAAAE/7LxE=")</f>
        <v>#REF!</v>
      </c>
      <c r="S511" t="e">
        <f>AND(#REF!,"AAAAAE/7LxI=")</f>
        <v>#REF!</v>
      </c>
      <c r="T511" t="e">
        <f>AND(#REF!,"AAAAAE/7LxM=")</f>
        <v>#REF!</v>
      </c>
      <c r="U511" t="e">
        <f>AND(#REF!,"AAAAAE/7LxQ=")</f>
        <v>#REF!</v>
      </c>
      <c r="V511" t="e">
        <f>AND(#REF!,"AAAAAE/7LxU=")</f>
        <v>#REF!</v>
      </c>
      <c r="W511" t="e">
        <f>AND(#REF!,"AAAAAE/7LxY=")</f>
        <v>#REF!</v>
      </c>
      <c r="X511" t="e">
        <f>AND(#REF!,"AAAAAE/7Lxc=")</f>
        <v>#REF!</v>
      </c>
      <c r="Y511" t="e">
        <f>IF(#REF!,"AAAAAE/7Lxg=",0)</f>
        <v>#REF!</v>
      </c>
      <c r="Z511" t="e">
        <f>AND(#REF!,"AAAAAE/7Lxk=")</f>
        <v>#REF!</v>
      </c>
      <c r="AA511" t="e">
        <f>AND(#REF!,"AAAAAE/7Lxo=")</f>
        <v>#REF!</v>
      </c>
      <c r="AB511" t="e">
        <f>AND(#REF!,"AAAAAE/7Lxs=")</f>
        <v>#REF!</v>
      </c>
      <c r="AC511" t="e">
        <f>AND(#REF!,"AAAAAE/7Lxw=")</f>
        <v>#REF!</v>
      </c>
      <c r="AD511" t="e">
        <f>AND(#REF!,"AAAAAE/7Lx0=")</f>
        <v>#REF!</v>
      </c>
      <c r="AE511" t="e">
        <f>AND(#REF!,"AAAAAE/7Lx4=")</f>
        <v>#REF!</v>
      </c>
      <c r="AF511" t="e">
        <f>AND(#REF!,"AAAAAE/7Lx8=")</f>
        <v>#REF!</v>
      </c>
      <c r="AG511" t="e">
        <f>AND(#REF!,"AAAAAE/7LyA=")</f>
        <v>#REF!</v>
      </c>
      <c r="AH511" t="e">
        <f>AND(#REF!,"AAAAAE/7LyE=")</f>
        <v>#REF!</v>
      </c>
      <c r="AI511" t="e">
        <f>AND(#REF!,"AAAAAE/7LyI=")</f>
        <v>#REF!</v>
      </c>
      <c r="AJ511" t="e">
        <f>IF(#REF!,"AAAAAE/7LyM=",0)</f>
        <v>#REF!</v>
      </c>
      <c r="AK511" t="e">
        <f>AND(#REF!,"AAAAAE/7LyQ=")</f>
        <v>#REF!</v>
      </c>
      <c r="AL511" t="e">
        <f>AND(#REF!,"AAAAAE/7LyU=")</f>
        <v>#REF!</v>
      </c>
      <c r="AM511" t="e">
        <f>AND(#REF!,"AAAAAE/7LyY=")</f>
        <v>#REF!</v>
      </c>
      <c r="AN511" t="e">
        <f>AND(#REF!,"AAAAAE/7Lyc=")</f>
        <v>#REF!</v>
      </c>
      <c r="AO511" t="e">
        <f>AND(#REF!,"AAAAAE/7Lyg=")</f>
        <v>#REF!</v>
      </c>
      <c r="AP511" t="e">
        <f>AND(#REF!,"AAAAAE/7Lyk=")</f>
        <v>#REF!</v>
      </c>
      <c r="AQ511" t="e">
        <f>AND(#REF!,"AAAAAE/7Lyo=")</f>
        <v>#REF!</v>
      </c>
      <c r="AR511" t="e">
        <f>AND(#REF!,"AAAAAE/7Lys=")</f>
        <v>#REF!</v>
      </c>
      <c r="AS511" t="e">
        <f>AND(#REF!,"AAAAAE/7Lyw=")</f>
        <v>#REF!</v>
      </c>
      <c r="AT511" t="e">
        <f>AND(#REF!,"AAAAAE/7Ly0=")</f>
        <v>#REF!</v>
      </c>
      <c r="AU511" t="e">
        <f>IF(#REF!,"AAAAAE/7Ly4=",0)</f>
        <v>#REF!</v>
      </c>
      <c r="AV511" t="e">
        <f>AND(#REF!,"AAAAAE/7Ly8=")</f>
        <v>#REF!</v>
      </c>
      <c r="AW511" t="e">
        <f>AND(#REF!,"AAAAAE/7LzA=")</f>
        <v>#REF!</v>
      </c>
      <c r="AX511" t="e">
        <f>AND(#REF!,"AAAAAE/7LzE=")</f>
        <v>#REF!</v>
      </c>
      <c r="AY511" t="e">
        <f>AND(#REF!,"AAAAAE/7LzI=")</f>
        <v>#REF!</v>
      </c>
      <c r="AZ511" t="e">
        <f>AND(#REF!,"AAAAAE/7LzM=")</f>
        <v>#REF!</v>
      </c>
      <c r="BA511" t="e">
        <f>AND(#REF!,"AAAAAE/7LzQ=")</f>
        <v>#REF!</v>
      </c>
      <c r="BB511" t="e">
        <f>AND(#REF!,"AAAAAE/7LzU=")</f>
        <v>#REF!</v>
      </c>
      <c r="BC511" t="e">
        <f>AND(#REF!,"AAAAAE/7LzY=")</f>
        <v>#REF!</v>
      </c>
      <c r="BD511" t="e">
        <f>AND(#REF!,"AAAAAE/7Lzc=")</f>
        <v>#REF!</v>
      </c>
      <c r="BE511" t="e">
        <f>AND(#REF!,"AAAAAE/7Lzg=")</f>
        <v>#REF!</v>
      </c>
      <c r="BF511" t="e">
        <f>IF(#REF!,"AAAAAE/7Lzk=",0)</f>
        <v>#REF!</v>
      </c>
      <c r="BG511" t="e">
        <f>AND(#REF!,"AAAAAE/7Lzo=")</f>
        <v>#REF!</v>
      </c>
      <c r="BH511" t="e">
        <f>AND(#REF!,"AAAAAE/7Lzs=")</f>
        <v>#REF!</v>
      </c>
      <c r="BI511" t="e">
        <f>AND(#REF!,"AAAAAE/7Lzw=")</f>
        <v>#REF!</v>
      </c>
      <c r="BJ511" t="e">
        <f>AND(#REF!,"AAAAAE/7Lz0=")</f>
        <v>#REF!</v>
      </c>
      <c r="BK511" t="e">
        <f>AND(#REF!,"AAAAAE/7Lz4=")</f>
        <v>#REF!</v>
      </c>
      <c r="BL511" t="e">
        <f>AND(#REF!,"AAAAAE/7Lz8=")</f>
        <v>#REF!</v>
      </c>
      <c r="BM511" t="e">
        <f>AND(#REF!,"AAAAAE/7L0A=")</f>
        <v>#REF!</v>
      </c>
      <c r="BN511" t="e">
        <f>AND(#REF!,"AAAAAE/7L0E=")</f>
        <v>#REF!</v>
      </c>
      <c r="BO511" t="e">
        <f>AND(#REF!,"AAAAAE/7L0I=")</f>
        <v>#REF!</v>
      </c>
      <c r="BP511" t="e">
        <f>AND(#REF!,"AAAAAE/7L0M=")</f>
        <v>#REF!</v>
      </c>
      <c r="BQ511" t="e">
        <f>IF(#REF!,"AAAAAE/7L0Q=",0)</f>
        <v>#REF!</v>
      </c>
      <c r="BR511" t="e">
        <f>AND(#REF!,"AAAAAE/7L0U=")</f>
        <v>#REF!</v>
      </c>
      <c r="BS511" t="e">
        <f>AND(#REF!,"AAAAAE/7L0Y=")</f>
        <v>#REF!</v>
      </c>
      <c r="BT511" t="e">
        <f>AND(#REF!,"AAAAAE/7L0c=")</f>
        <v>#REF!</v>
      </c>
      <c r="BU511" t="e">
        <f>AND(#REF!,"AAAAAE/7L0g=")</f>
        <v>#REF!</v>
      </c>
      <c r="BV511" t="e">
        <f>AND(#REF!,"AAAAAE/7L0k=")</f>
        <v>#REF!</v>
      </c>
      <c r="BW511" t="e">
        <f>AND(#REF!,"AAAAAE/7L0o=")</f>
        <v>#REF!</v>
      </c>
      <c r="BX511" t="e">
        <f>AND(#REF!,"AAAAAE/7L0s=")</f>
        <v>#REF!</v>
      </c>
      <c r="BY511" t="e">
        <f>AND(#REF!,"AAAAAE/7L0w=")</f>
        <v>#REF!</v>
      </c>
      <c r="BZ511" t="e">
        <f>AND(#REF!,"AAAAAE/7L00=")</f>
        <v>#REF!</v>
      </c>
      <c r="CA511" t="e">
        <f>AND(#REF!,"AAAAAE/7L04=")</f>
        <v>#REF!</v>
      </c>
      <c r="CB511" t="e">
        <f>IF(#REF!,"AAAAAE/7L08=",0)</f>
        <v>#REF!</v>
      </c>
      <c r="CC511" t="e">
        <f>AND(#REF!,"AAAAAE/7L1A=")</f>
        <v>#REF!</v>
      </c>
      <c r="CD511" t="e">
        <f>AND(#REF!,"AAAAAE/7L1E=")</f>
        <v>#REF!</v>
      </c>
      <c r="CE511" t="e">
        <f>AND(#REF!,"AAAAAE/7L1I=")</f>
        <v>#REF!</v>
      </c>
      <c r="CF511" t="e">
        <f>AND(#REF!,"AAAAAE/7L1M=")</f>
        <v>#REF!</v>
      </c>
      <c r="CG511" t="e">
        <f>AND(#REF!,"AAAAAE/7L1Q=")</f>
        <v>#REF!</v>
      </c>
      <c r="CH511" t="e">
        <f>AND(#REF!,"AAAAAE/7L1U=")</f>
        <v>#REF!</v>
      </c>
      <c r="CI511" t="e">
        <f>AND(#REF!,"AAAAAE/7L1Y=")</f>
        <v>#REF!</v>
      </c>
      <c r="CJ511" t="e">
        <f>AND(#REF!,"AAAAAE/7L1c=")</f>
        <v>#REF!</v>
      </c>
      <c r="CK511" t="e">
        <f>AND(#REF!,"AAAAAE/7L1g=")</f>
        <v>#REF!</v>
      </c>
      <c r="CL511" t="e">
        <f>AND(#REF!,"AAAAAE/7L1k=")</f>
        <v>#REF!</v>
      </c>
      <c r="CM511" t="e">
        <f>IF(#REF!,"AAAAAE/7L1o=",0)</f>
        <v>#REF!</v>
      </c>
      <c r="CN511" t="e">
        <f>AND(#REF!,"AAAAAE/7L1s=")</f>
        <v>#REF!</v>
      </c>
      <c r="CO511" t="e">
        <f>AND(#REF!,"AAAAAE/7L1w=")</f>
        <v>#REF!</v>
      </c>
      <c r="CP511" t="e">
        <f>AND(#REF!,"AAAAAE/7L10=")</f>
        <v>#REF!</v>
      </c>
      <c r="CQ511" t="e">
        <f>AND(#REF!,"AAAAAE/7L14=")</f>
        <v>#REF!</v>
      </c>
      <c r="CR511" t="e">
        <f>AND(#REF!,"AAAAAE/7L18=")</f>
        <v>#REF!</v>
      </c>
      <c r="CS511" t="e">
        <f>AND(#REF!,"AAAAAE/7L2A=")</f>
        <v>#REF!</v>
      </c>
      <c r="CT511" t="e">
        <f>AND(#REF!,"AAAAAE/7L2E=")</f>
        <v>#REF!</v>
      </c>
      <c r="CU511" t="e">
        <f>AND(#REF!,"AAAAAE/7L2I=")</f>
        <v>#REF!</v>
      </c>
      <c r="CV511" t="e">
        <f>AND(#REF!,"AAAAAE/7L2M=")</f>
        <v>#REF!</v>
      </c>
      <c r="CW511" t="e">
        <f>AND(#REF!,"AAAAAE/7L2Q=")</f>
        <v>#REF!</v>
      </c>
      <c r="CX511" t="e">
        <f>IF(#REF!,"AAAAAE/7L2U=",0)</f>
        <v>#REF!</v>
      </c>
      <c r="CY511" t="e">
        <f>AND(#REF!,"AAAAAE/7L2Y=")</f>
        <v>#REF!</v>
      </c>
      <c r="CZ511" t="e">
        <f>AND(#REF!,"AAAAAE/7L2c=")</f>
        <v>#REF!</v>
      </c>
      <c r="DA511" t="e">
        <f>AND(#REF!,"AAAAAE/7L2g=")</f>
        <v>#REF!</v>
      </c>
      <c r="DB511" t="e">
        <f>AND(#REF!,"AAAAAE/7L2k=")</f>
        <v>#REF!</v>
      </c>
      <c r="DC511" t="e">
        <f>AND(#REF!,"AAAAAE/7L2o=")</f>
        <v>#REF!</v>
      </c>
      <c r="DD511" t="e">
        <f>AND(#REF!,"AAAAAE/7L2s=")</f>
        <v>#REF!</v>
      </c>
      <c r="DE511" t="e">
        <f>AND(#REF!,"AAAAAE/7L2w=")</f>
        <v>#REF!</v>
      </c>
      <c r="DF511" t="e">
        <f>AND(#REF!,"AAAAAE/7L20=")</f>
        <v>#REF!</v>
      </c>
      <c r="DG511" t="e">
        <f>AND(#REF!,"AAAAAE/7L24=")</f>
        <v>#REF!</v>
      </c>
      <c r="DH511" t="e">
        <f>AND(#REF!,"AAAAAE/7L28=")</f>
        <v>#REF!</v>
      </c>
      <c r="DI511" t="e">
        <f>IF(#REF!,"AAAAAE/7L3A=",0)</f>
        <v>#REF!</v>
      </c>
      <c r="DJ511" t="e">
        <f>AND(#REF!,"AAAAAE/7L3E=")</f>
        <v>#REF!</v>
      </c>
      <c r="DK511" t="e">
        <f>AND(#REF!,"AAAAAE/7L3I=")</f>
        <v>#REF!</v>
      </c>
      <c r="DL511" t="e">
        <f>AND(#REF!,"AAAAAE/7L3M=")</f>
        <v>#REF!</v>
      </c>
      <c r="DM511" t="e">
        <f>AND(#REF!,"AAAAAE/7L3Q=")</f>
        <v>#REF!</v>
      </c>
      <c r="DN511" t="e">
        <f>AND(#REF!,"AAAAAE/7L3U=")</f>
        <v>#REF!</v>
      </c>
      <c r="DO511" t="e">
        <f>AND(#REF!,"AAAAAE/7L3Y=")</f>
        <v>#REF!</v>
      </c>
      <c r="DP511" t="e">
        <f>AND(#REF!,"AAAAAE/7L3c=")</f>
        <v>#REF!</v>
      </c>
      <c r="DQ511" t="e">
        <f>AND(#REF!,"AAAAAE/7L3g=")</f>
        <v>#REF!</v>
      </c>
      <c r="DR511" t="e">
        <f>AND(#REF!,"AAAAAE/7L3k=")</f>
        <v>#REF!</v>
      </c>
      <c r="DS511" t="e">
        <f>AND(#REF!,"AAAAAE/7L3o=")</f>
        <v>#REF!</v>
      </c>
      <c r="DT511" t="e">
        <f>IF(#REF!,"AAAAAE/7L3s=",0)</f>
        <v>#REF!</v>
      </c>
      <c r="DU511" t="e">
        <f>AND(#REF!,"AAAAAE/7L3w=")</f>
        <v>#REF!</v>
      </c>
      <c r="DV511" t="e">
        <f>AND(#REF!,"AAAAAE/7L30=")</f>
        <v>#REF!</v>
      </c>
      <c r="DW511" t="e">
        <f>AND(#REF!,"AAAAAE/7L34=")</f>
        <v>#REF!</v>
      </c>
      <c r="DX511" t="e">
        <f>AND(#REF!,"AAAAAE/7L38=")</f>
        <v>#REF!</v>
      </c>
      <c r="DY511" t="e">
        <f>AND(#REF!,"AAAAAE/7L4A=")</f>
        <v>#REF!</v>
      </c>
      <c r="DZ511" t="e">
        <f>AND(#REF!,"AAAAAE/7L4E=")</f>
        <v>#REF!</v>
      </c>
      <c r="EA511" t="e">
        <f>AND(#REF!,"AAAAAE/7L4I=")</f>
        <v>#REF!</v>
      </c>
      <c r="EB511" t="e">
        <f>AND(#REF!,"AAAAAE/7L4M=")</f>
        <v>#REF!</v>
      </c>
      <c r="EC511" t="e">
        <f>AND(#REF!,"AAAAAE/7L4Q=")</f>
        <v>#REF!</v>
      </c>
      <c r="ED511" t="e">
        <f>AND(#REF!,"AAAAAE/7L4U=")</f>
        <v>#REF!</v>
      </c>
      <c r="EE511" t="e">
        <f>IF(#REF!,"AAAAAE/7L4Y=",0)</f>
        <v>#REF!</v>
      </c>
      <c r="EF511" t="e">
        <f>AND(#REF!,"AAAAAE/7L4c=")</f>
        <v>#REF!</v>
      </c>
      <c r="EG511" t="e">
        <f>AND(#REF!,"AAAAAE/7L4g=")</f>
        <v>#REF!</v>
      </c>
      <c r="EH511" t="e">
        <f>AND(#REF!,"AAAAAE/7L4k=")</f>
        <v>#REF!</v>
      </c>
      <c r="EI511" t="e">
        <f>AND(#REF!,"AAAAAE/7L4o=")</f>
        <v>#REF!</v>
      </c>
      <c r="EJ511" t="e">
        <f>AND(#REF!,"AAAAAE/7L4s=")</f>
        <v>#REF!</v>
      </c>
      <c r="EK511" t="e">
        <f>AND(#REF!,"AAAAAE/7L4w=")</f>
        <v>#REF!</v>
      </c>
      <c r="EL511" t="e">
        <f>AND(#REF!,"AAAAAE/7L40=")</f>
        <v>#REF!</v>
      </c>
      <c r="EM511" t="e">
        <f>AND(#REF!,"AAAAAE/7L44=")</f>
        <v>#REF!</v>
      </c>
      <c r="EN511" t="e">
        <f>AND(#REF!,"AAAAAE/7L48=")</f>
        <v>#REF!</v>
      </c>
      <c r="EO511" t="e">
        <f>AND(#REF!,"AAAAAE/7L5A=")</f>
        <v>#REF!</v>
      </c>
      <c r="EP511" t="e">
        <f>IF(#REF!,"AAAAAE/7L5E=",0)</f>
        <v>#REF!</v>
      </c>
      <c r="EQ511" t="e">
        <f>AND(#REF!,"AAAAAE/7L5I=")</f>
        <v>#REF!</v>
      </c>
      <c r="ER511" t="e">
        <f>AND(#REF!,"AAAAAE/7L5M=")</f>
        <v>#REF!</v>
      </c>
      <c r="ES511" t="e">
        <f>AND(#REF!,"AAAAAE/7L5Q=")</f>
        <v>#REF!</v>
      </c>
      <c r="ET511" t="e">
        <f>AND(#REF!,"AAAAAE/7L5U=")</f>
        <v>#REF!</v>
      </c>
      <c r="EU511" t="e">
        <f>AND(#REF!,"AAAAAE/7L5Y=")</f>
        <v>#REF!</v>
      </c>
      <c r="EV511" t="e">
        <f>AND(#REF!,"AAAAAE/7L5c=")</f>
        <v>#REF!</v>
      </c>
      <c r="EW511" t="e">
        <f>AND(#REF!,"AAAAAE/7L5g=")</f>
        <v>#REF!</v>
      </c>
      <c r="EX511" t="e">
        <f>AND(#REF!,"AAAAAE/7L5k=")</f>
        <v>#REF!</v>
      </c>
      <c r="EY511" t="e">
        <f>AND(#REF!,"AAAAAE/7L5o=")</f>
        <v>#REF!</v>
      </c>
      <c r="EZ511" t="e">
        <f>AND(#REF!,"AAAAAE/7L5s=")</f>
        <v>#REF!</v>
      </c>
      <c r="FA511" t="e">
        <f>IF(#REF!,"AAAAAE/7L5w=",0)</f>
        <v>#REF!</v>
      </c>
      <c r="FB511" t="e">
        <f>AND(#REF!,"AAAAAE/7L50=")</f>
        <v>#REF!</v>
      </c>
      <c r="FC511" t="e">
        <f>AND(#REF!,"AAAAAE/7L54=")</f>
        <v>#REF!</v>
      </c>
      <c r="FD511" t="e">
        <f>AND(#REF!,"AAAAAE/7L58=")</f>
        <v>#REF!</v>
      </c>
      <c r="FE511" t="e">
        <f>AND(#REF!,"AAAAAE/7L6A=")</f>
        <v>#REF!</v>
      </c>
      <c r="FF511" t="e">
        <f>AND(#REF!,"AAAAAE/7L6E=")</f>
        <v>#REF!</v>
      </c>
      <c r="FG511" t="e">
        <f>AND(#REF!,"AAAAAE/7L6I=")</f>
        <v>#REF!</v>
      </c>
      <c r="FH511" t="e">
        <f>AND(#REF!,"AAAAAE/7L6M=")</f>
        <v>#REF!</v>
      </c>
      <c r="FI511" t="e">
        <f>AND(#REF!,"AAAAAE/7L6Q=")</f>
        <v>#REF!</v>
      </c>
      <c r="FJ511" t="e">
        <f>AND(#REF!,"AAAAAE/7L6U=")</f>
        <v>#REF!</v>
      </c>
      <c r="FK511" t="e">
        <f>AND(#REF!,"AAAAAE/7L6Y=")</f>
        <v>#REF!</v>
      </c>
      <c r="FL511" t="e">
        <f>IF(#REF!,"AAAAAE/7L6c=",0)</f>
        <v>#REF!</v>
      </c>
      <c r="FM511" t="e">
        <f>AND(#REF!,"AAAAAE/7L6g=")</f>
        <v>#REF!</v>
      </c>
      <c r="FN511" t="e">
        <f>AND(#REF!,"AAAAAE/7L6k=")</f>
        <v>#REF!</v>
      </c>
      <c r="FO511" t="e">
        <f>AND(#REF!,"AAAAAE/7L6o=")</f>
        <v>#REF!</v>
      </c>
      <c r="FP511" t="e">
        <f>AND(#REF!,"AAAAAE/7L6s=")</f>
        <v>#REF!</v>
      </c>
      <c r="FQ511" t="e">
        <f>AND(#REF!,"AAAAAE/7L6w=")</f>
        <v>#REF!</v>
      </c>
      <c r="FR511" t="e">
        <f>AND(#REF!,"AAAAAE/7L60=")</f>
        <v>#REF!</v>
      </c>
      <c r="FS511" t="e">
        <f>AND(#REF!,"AAAAAE/7L64=")</f>
        <v>#REF!</v>
      </c>
      <c r="FT511" t="e">
        <f>AND(#REF!,"AAAAAE/7L68=")</f>
        <v>#REF!</v>
      </c>
      <c r="FU511" t="e">
        <f>AND(#REF!,"AAAAAE/7L7A=")</f>
        <v>#REF!</v>
      </c>
      <c r="FV511" t="e">
        <f>AND(#REF!,"AAAAAE/7L7E=")</f>
        <v>#REF!</v>
      </c>
      <c r="FW511" t="e">
        <f>IF(#REF!,"AAAAAE/7L7I=",0)</f>
        <v>#REF!</v>
      </c>
      <c r="FX511" t="e">
        <f>AND(#REF!,"AAAAAE/7L7M=")</f>
        <v>#REF!</v>
      </c>
      <c r="FY511" t="e">
        <f>AND(#REF!,"AAAAAE/7L7Q=")</f>
        <v>#REF!</v>
      </c>
      <c r="FZ511" t="e">
        <f>AND(#REF!,"AAAAAE/7L7U=")</f>
        <v>#REF!</v>
      </c>
      <c r="GA511" t="e">
        <f>AND(#REF!,"AAAAAE/7L7Y=")</f>
        <v>#REF!</v>
      </c>
      <c r="GB511" t="e">
        <f>AND(#REF!,"AAAAAE/7L7c=")</f>
        <v>#REF!</v>
      </c>
      <c r="GC511" t="e">
        <f>AND(#REF!,"AAAAAE/7L7g=")</f>
        <v>#REF!</v>
      </c>
      <c r="GD511" t="e">
        <f>AND(#REF!,"AAAAAE/7L7k=")</f>
        <v>#REF!</v>
      </c>
      <c r="GE511" t="e">
        <f>AND(#REF!,"AAAAAE/7L7o=")</f>
        <v>#REF!</v>
      </c>
      <c r="GF511" t="e">
        <f>AND(#REF!,"AAAAAE/7L7s=")</f>
        <v>#REF!</v>
      </c>
      <c r="GG511" t="e">
        <f>AND(#REF!,"AAAAAE/7L7w=")</f>
        <v>#REF!</v>
      </c>
      <c r="GH511" t="e">
        <f>IF(#REF!,"AAAAAE/7L70=",0)</f>
        <v>#REF!</v>
      </c>
      <c r="GI511" t="e">
        <f>AND(#REF!,"AAAAAE/7L74=")</f>
        <v>#REF!</v>
      </c>
      <c r="GJ511" t="e">
        <f>AND(#REF!,"AAAAAE/7L78=")</f>
        <v>#REF!</v>
      </c>
      <c r="GK511" t="e">
        <f>AND(#REF!,"AAAAAE/7L8A=")</f>
        <v>#REF!</v>
      </c>
      <c r="GL511" t="e">
        <f>AND(#REF!,"AAAAAE/7L8E=")</f>
        <v>#REF!</v>
      </c>
      <c r="GM511" t="e">
        <f>AND(#REF!,"AAAAAE/7L8I=")</f>
        <v>#REF!</v>
      </c>
      <c r="GN511" t="e">
        <f>AND(#REF!,"AAAAAE/7L8M=")</f>
        <v>#REF!</v>
      </c>
      <c r="GO511" t="e">
        <f>AND(#REF!,"AAAAAE/7L8Q=")</f>
        <v>#REF!</v>
      </c>
      <c r="GP511" t="e">
        <f>AND(#REF!,"AAAAAE/7L8U=")</f>
        <v>#REF!</v>
      </c>
      <c r="GQ511" t="e">
        <f>AND(#REF!,"AAAAAE/7L8Y=")</f>
        <v>#REF!</v>
      </c>
      <c r="GR511" t="e">
        <f>AND(#REF!,"AAAAAE/7L8c=")</f>
        <v>#REF!</v>
      </c>
      <c r="GS511" t="e">
        <f>IF(#REF!,"AAAAAE/7L8g=",0)</f>
        <v>#REF!</v>
      </c>
      <c r="GT511" t="e">
        <f>AND(#REF!,"AAAAAE/7L8k=")</f>
        <v>#REF!</v>
      </c>
      <c r="GU511" t="e">
        <f>AND(#REF!,"AAAAAE/7L8o=")</f>
        <v>#REF!</v>
      </c>
      <c r="GV511" t="e">
        <f>AND(#REF!,"AAAAAE/7L8s=")</f>
        <v>#REF!</v>
      </c>
      <c r="GW511" t="e">
        <f>AND(#REF!,"AAAAAE/7L8w=")</f>
        <v>#REF!</v>
      </c>
      <c r="GX511" t="e">
        <f>AND(#REF!,"AAAAAE/7L80=")</f>
        <v>#REF!</v>
      </c>
      <c r="GY511" t="e">
        <f>AND(#REF!,"AAAAAE/7L84=")</f>
        <v>#REF!</v>
      </c>
      <c r="GZ511" t="e">
        <f>AND(#REF!,"AAAAAE/7L88=")</f>
        <v>#REF!</v>
      </c>
      <c r="HA511" t="e">
        <f>AND(#REF!,"AAAAAE/7L9A=")</f>
        <v>#REF!</v>
      </c>
      <c r="HB511" t="e">
        <f>AND(#REF!,"AAAAAE/7L9E=")</f>
        <v>#REF!</v>
      </c>
      <c r="HC511" t="e">
        <f>AND(#REF!,"AAAAAE/7L9I=")</f>
        <v>#REF!</v>
      </c>
      <c r="HD511" t="e">
        <f>IF(#REF!,"AAAAAE/7L9M=",0)</f>
        <v>#REF!</v>
      </c>
      <c r="HE511" t="e">
        <f>AND(#REF!,"AAAAAE/7L9Q=")</f>
        <v>#REF!</v>
      </c>
      <c r="HF511" t="e">
        <f>AND(#REF!,"AAAAAE/7L9U=")</f>
        <v>#REF!</v>
      </c>
      <c r="HG511" t="e">
        <f>AND(#REF!,"AAAAAE/7L9Y=")</f>
        <v>#REF!</v>
      </c>
      <c r="HH511" t="e">
        <f>AND(#REF!,"AAAAAE/7L9c=")</f>
        <v>#REF!</v>
      </c>
      <c r="HI511" t="e">
        <f>AND(#REF!,"AAAAAE/7L9g=")</f>
        <v>#REF!</v>
      </c>
      <c r="HJ511" t="e">
        <f>AND(#REF!,"AAAAAE/7L9k=")</f>
        <v>#REF!</v>
      </c>
      <c r="HK511" t="e">
        <f>AND(#REF!,"AAAAAE/7L9o=")</f>
        <v>#REF!</v>
      </c>
      <c r="HL511" t="e">
        <f>AND(#REF!,"AAAAAE/7L9s=")</f>
        <v>#REF!</v>
      </c>
      <c r="HM511" t="e">
        <f>AND(#REF!,"AAAAAE/7L9w=")</f>
        <v>#REF!</v>
      </c>
      <c r="HN511" t="e">
        <f>AND(#REF!,"AAAAAE/7L90=")</f>
        <v>#REF!</v>
      </c>
      <c r="HO511" t="e">
        <f>IF(#REF!,"AAAAAE/7L94=",0)</f>
        <v>#REF!</v>
      </c>
      <c r="HP511" t="e">
        <f>AND(#REF!,"AAAAAE/7L98=")</f>
        <v>#REF!</v>
      </c>
      <c r="HQ511" t="e">
        <f>AND(#REF!,"AAAAAE/7L+A=")</f>
        <v>#REF!</v>
      </c>
      <c r="HR511" t="e">
        <f>AND(#REF!,"AAAAAE/7L+E=")</f>
        <v>#REF!</v>
      </c>
      <c r="HS511" t="e">
        <f>AND(#REF!,"AAAAAE/7L+I=")</f>
        <v>#REF!</v>
      </c>
      <c r="HT511" t="e">
        <f>AND(#REF!,"AAAAAE/7L+M=")</f>
        <v>#REF!</v>
      </c>
      <c r="HU511" t="e">
        <f>AND(#REF!,"AAAAAE/7L+Q=")</f>
        <v>#REF!</v>
      </c>
      <c r="HV511" t="e">
        <f>AND(#REF!,"AAAAAE/7L+U=")</f>
        <v>#REF!</v>
      </c>
      <c r="HW511" t="e">
        <f>AND(#REF!,"AAAAAE/7L+Y=")</f>
        <v>#REF!</v>
      </c>
      <c r="HX511" t="e">
        <f>AND(#REF!,"AAAAAE/7L+c=")</f>
        <v>#REF!</v>
      </c>
      <c r="HY511" t="e">
        <f>AND(#REF!,"AAAAAE/7L+g=")</f>
        <v>#REF!</v>
      </c>
      <c r="HZ511" t="e">
        <f>IF(#REF!,"AAAAAE/7L+k=",0)</f>
        <v>#REF!</v>
      </c>
      <c r="IA511" t="e">
        <f>AND(#REF!,"AAAAAE/7L+o=")</f>
        <v>#REF!</v>
      </c>
      <c r="IB511" t="e">
        <f>AND(#REF!,"AAAAAE/7L+s=")</f>
        <v>#REF!</v>
      </c>
      <c r="IC511" t="e">
        <f>AND(#REF!,"AAAAAE/7L+w=")</f>
        <v>#REF!</v>
      </c>
      <c r="ID511" t="e">
        <f>AND(#REF!,"AAAAAE/7L+0=")</f>
        <v>#REF!</v>
      </c>
      <c r="IE511" t="e">
        <f>AND(#REF!,"AAAAAE/7L+4=")</f>
        <v>#REF!</v>
      </c>
      <c r="IF511" t="e">
        <f>AND(#REF!,"AAAAAE/7L+8=")</f>
        <v>#REF!</v>
      </c>
      <c r="IG511" t="e">
        <f>AND(#REF!,"AAAAAE/7L/A=")</f>
        <v>#REF!</v>
      </c>
      <c r="IH511" t="e">
        <f>AND(#REF!,"AAAAAE/7L/E=")</f>
        <v>#REF!</v>
      </c>
      <c r="II511" t="e">
        <f>AND(#REF!,"AAAAAE/7L/I=")</f>
        <v>#REF!</v>
      </c>
      <c r="IJ511" t="e">
        <f>AND(#REF!,"AAAAAE/7L/M=")</f>
        <v>#REF!</v>
      </c>
      <c r="IK511" t="e">
        <f>IF(#REF!,"AAAAAE/7L/Q=",0)</f>
        <v>#REF!</v>
      </c>
      <c r="IL511" t="e">
        <f>AND(#REF!,"AAAAAE/7L/U=")</f>
        <v>#REF!</v>
      </c>
      <c r="IM511" t="e">
        <f>AND(#REF!,"AAAAAE/7L/Y=")</f>
        <v>#REF!</v>
      </c>
      <c r="IN511" t="e">
        <f>AND(#REF!,"AAAAAE/7L/c=")</f>
        <v>#REF!</v>
      </c>
      <c r="IO511" t="e">
        <f>AND(#REF!,"AAAAAE/7L/g=")</f>
        <v>#REF!</v>
      </c>
      <c r="IP511" t="e">
        <f>AND(#REF!,"AAAAAE/7L/k=")</f>
        <v>#REF!</v>
      </c>
      <c r="IQ511" t="e">
        <f>AND(#REF!,"AAAAAE/7L/o=")</f>
        <v>#REF!</v>
      </c>
      <c r="IR511" t="e">
        <f>AND(#REF!,"AAAAAE/7L/s=")</f>
        <v>#REF!</v>
      </c>
      <c r="IS511" t="e">
        <f>AND(#REF!,"AAAAAE/7L/w=")</f>
        <v>#REF!</v>
      </c>
      <c r="IT511" t="e">
        <f>AND(#REF!,"AAAAAE/7L/0=")</f>
        <v>#REF!</v>
      </c>
      <c r="IU511" t="e">
        <f>AND(#REF!,"AAAAAE/7L/4=")</f>
        <v>#REF!</v>
      </c>
      <c r="IV511" t="e">
        <f>IF(#REF!,"AAAAAE/7L/8=",0)</f>
        <v>#REF!</v>
      </c>
    </row>
    <row r="512" spans="1:256" x14ac:dyDescent="0.25">
      <c r="A512" t="e">
        <f>AND(#REF!,"AAAAAFz/9wA=")</f>
        <v>#REF!</v>
      </c>
      <c r="B512" t="e">
        <f>AND(#REF!,"AAAAAFz/9wE=")</f>
        <v>#REF!</v>
      </c>
      <c r="C512" t="e">
        <f>AND(#REF!,"AAAAAFz/9wI=")</f>
        <v>#REF!</v>
      </c>
      <c r="D512" t="e">
        <f>AND(#REF!,"AAAAAFz/9wM=")</f>
        <v>#REF!</v>
      </c>
      <c r="E512" t="e">
        <f>AND(#REF!,"AAAAAFz/9wQ=")</f>
        <v>#REF!</v>
      </c>
      <c r="F512" t="e">
        <f>AND(#REF!,"AAAAAFz/9wU=")</f>
        <v>#REF!</v>
      </c>
      <c r="G512" t="e">
        <f>AND(#REF!,"AAAAAFz/9wY=")</f>
        <v>#REF!</v>
      </c>
      <c r="H512" t="e">
        <f>AND(#REF!,"AAAAAFz/9wc=")</f>
        <v>#REF!</v>
      </c>
      <c r="I512" t="e">
        <f>AND(#REF!,"AAAAAFz/9wg=")</f>
        <v>#REF!</v>
      </c>
      <c r="J512" t="e">
        <f>AND(#REF!,"AAAAAFz/9wk=")</f>
        <v>#REF!</v>
      </c>
      <c r="K512" t="e">
        <f>IF(#REF!,"AAAAAFz/9wo=",0)</f>
        <v>#REF!</v>
      </c>
      <c r="L512" t="e">
        <f>AND(#REF!,"AAAAAFz/9ws=")</f>
        <v>#REF!</v>
      </c>
      <c r="M512" t="e">
        <f>AND(#REF!,"AAAAAFz/9ww=")</f>
        <v>#REF!</v>
      </c>
      <c r="N512" t="e">
        <f>AND(#REF!,"AAAAAFz/9w0=")</f>
        <v>#REF!</v>
      </c>
      <c r="O512" t="e">
        <f>AND(#REF!,"AAAAAFz/9w4=")</f>
        <v>#REF!</v>
      </c>
      <c r="P512" t="e">
        <f>AND(#REF!,"AAAAAFz/9w8=")</f>
        <v>#REF!</v>
      </c>
      <c r="Q512" t="e">
        <f>AND(#REF!,"AAAAAFz/9xA=")</f>
        <v>#REF!</v>
      </c>
      <c r="R512" t="e">
        <f>AND(#REF!,"AAAAAFz/9xE=")</f>
        <v>#REF!</v>
      </c>
      <c r="S512" t="e">
        <f>AND(#REF!,"AAAAAFz/9xI=")</f>
        <v>#REF!</v>
      </c>
      <c r="T512" t="e">
        <f>AND(#REF!,"AAAAAFz/9xM=")</f>
        <v>#REF!</v>
      </c>
      <c r="U512" t="e">
        <f>AND(#REF!,"AAAAAFz/9xQ=")</f>
        <v>#REF!</v>
      </c>
      <c r="V512" t="e">
        <f>IF(#REF!,"AAAAAFz/9xU=",0)</f>
        <v>#REF!</v>
      </c>
      <c r="W512" t="e">
        <f>AND(#REF!,"AAAAAFz/9xY=")</f>
        <v>#REF!</v>
      </c>
      <c r="X512" t="e">
        <f>AND(#REF!,"AAAAAFz/9xc=")</f>
        <v>#REF!</v>
      </c>
      <c r="Y512" t="e">
        <f>AND(#REF!,"AAAAAFz/9xg=")</f>
        <v>#REF!</v>
      </c>
      <c r="Z512" t="e">
        <f>AND(#REF!,"AAAAAFz/9xk=")</f>
        <v>#REF!</v>
      </c>
      <c r="AA512" t="e">
        <f>AND(#REF!,"AAAAAFz/9xo=")</f>
        <v>#REF!</v>
      </c>
      <c r="AB512" t="e">
        <f>AND(#REF!,"AAAAAFz/9xs=")</f>
        <v>#REF!</v>
      </c>
      <c r="AC512" t="e">
        <f>AND(#REF!,"AAAAAFz/9xw=")</f>
        <v>#REF!</v>
      </c>
      <c r="AD512" t="e">
        <f>AND(#REF!,"AAAAAFz/9x0=")</f>
        <v>#REF!</v>
      </c>
      <c r="AE512" t="e">
        <f>AND(#REF!,"AAAAAFz/9x4=")</f>
        <v>#REF!</v>
      </c>
      <c r="AF512" t="e">
        <f>AND(#REF!,"AAAAAFz/9x8=")</f>
        <v>#REF!</v>
      </c>
      <c r="AG512" t="e">
        <f>IF(#REF!,"AAAAAFz/9yA=",0)</f>
        <v>#REF!</v>
      </c>
      <c r="AH512" t="e">
        <f>AND(#REF!,"AAAAAFz/9yE=")</f>
        <v>#REF!</v>
      </c>
      <c r="AI512" t="e">
        <f>AND(#REF!,"AAAAAFz/9yI=")</f>
        <v>#REF!</v>
      </c>
      <c r="AJ512" t="e">
        <f>AND(#REF!,"AAAAAFz/9yM=")</f>
        <v>#REF!</v>
      </c>
      <c r="AK512" t="e">
        <f>AND(#REF!,"AAAAAFz/9yQ=")</f>
        <v>#REF!</v>
      </c>
      <c r="AL512" t="e">
        <f>AND(#REF!,"AAAAAFz/9yU=")</f>
        <v>#REF!</v>
      </c>
      <c r="AM512" t="e">
        <f>AND(#REF!,"AAAAAFz/9yY=")</f>
        <v>#REF!</v>
      </c>
      <c r="AN512" t="e">
        <f>AND(#REF!,"AAAAAFz/9yc=")</f>
        <v>#REF!</v>
      </c>
      <c r="AO512" t="e">
        <f>AND(#REF!,"AAAAAFz/9yg=")</f>
        <v>#REF!</v>
      </c>
      <c r="AP512" t="e">
        <f>AND(#REF!,"AAAAAFz/9yk=")</f>
        <v>#REF!</v>
      </c>
      <c r="AQ512" t="e">
        <f>AND(#REF!,"AAAAAFz/9yo=")</f>
        <v>#REF!</v>
      </c>
      <c r="AR512" t="e">
        <f>IF(#REF!,"AAAAAFz/9ys=",0)</f>
        <v>#REF!</v>
      </c>
      <c r="AS512" t="e">
        <f>AND(#REF!,"AAAAAFz/9yw=")</f>
        <v>#REF!</v>
      </c>
      <c r="AT512" t="e">
        <f>AND(#REF!,"AAAAAFz/9y0=")</f>
        <v>#REF!</v>
      </c>
      <c r="AU512" t="e">
        <f>AND(#REF!,"AAAAAFz/9y4=")</f>
        <v>#REF!</v>
      </c>
      <c r="AV512" t="e">
        <f>AND(#REF!,"AAAAAFz/9y8=")</f>
        <v>#REF!</v>
      </c>
      <c r="AW512" t="e">
        <f>AND(#REF!,"AAAAAFz/9zA=")</f>
        <v>#REF!</v>
      </c>
      <c r="AX512" t="e">
        <f>AND(#REF!,"AAAAAFz/9zE=")</f>
        <v>#REF!</v>
      </c>
      <c r="AY512" t="e">
        <f>AND(#REF!,"AAAAAFz/9zI=")</f>
        <v>#REF!</v>
      </c>
      <c r="AZ512" t="e">
        <f>AND(#REF!,"AAAAAFz/9zM=")</f>
        <v>#REF!</v>
      </c>
      <c r="BA512" t="e">
        <f>AND(#REF!,"AAAAAFz/9zQ=")</f>
        <v>#REF!</v>
      </c>
      <c r="BB512" t="e">
        <f>AND(#REF!,"AAAAAFz/9zU=")</f>
        <v>#REF!</v>
      </c>
      <c r="BC512" t="e">
        <f>IF(#REF!,"AAAAAFz/9zY=",0)</f>
        <v>#REF!</v>
      </c>
      <c r="BD512" t="e">
        <f>AND(#REF!,"AAAAAFz/9zc=")</f>
        <v>#REF!</v>
      </c>
      <c r="BE512" t="e">
        <f>AND(#REF!,"AAAAAFz/9zg=")</f>
        <v>#REF!</v>
      </c>
      <c r="BF512" t="e">
        <f>AND(#REF!,"AAAAAFz/9zk=")</f>
        <v>#REF!</v>
      </c>
      <c r="BG512" t="e">
        <f>AND(#REF!,"AAAAAFz/9zo=")</f>
        <v>#REF!</v>
      </c>
      <c r="BH512" t="e">
        <f>AND(#REF!,"AAAAAFz/9zs=")</f>
        <v>#REF!</v>
      </c>
      <c r="BI512" t="e">
        <f>AND(#REF!,"AAAAAFz/9zw=")</f>
        <v>#REF!</v>
      </c>
      <c r="BJ512" t="e">
        <f>AND(#REF!,"AAAAAFz/9z0=")</f>
        <v>#REF!</v>
      </c>
      <c r="BK512" t="e">
        <f>AND(#REF!,"AAAAAFz/9z4=")</f>
        <v>#REF!</v>
      </c>
      <c r="BL512" t="e">
        <f>AND(#REF!,"AAAAAFz/9z8=")</f>
        <v>#REF!</v>
      </c>
      <c r="BM512" t="e">
        <f>AND(#REF!,"AAAAAFz/90A=")</f>
        <v>#REF!</v>
      </c>
      <c r="BN512" t="e">
        <f>IF(#REF!,"AAAAAFz/90E=",0)</f>
        <v>#REF!</v>
      </c>
      <c r="BO512" t="e">
        <f>AND(#REF!,"AAAAAFz/90I=")</f>
        <v>#REF!</v>
      </c>
      <c r="BP512" t="e">
        <f>AND(#REF!,"AAAAAFz/90M=")</f>
        <v>#REF!</v>
      </c>
      <c r="BQ512" t="e">
        <f>AND(#REF!,"AAAAAFz/90Q=")</f>
        <v>#REF!</v>
      </c>
      <c r="BR512" t="e">
        <f>AND(#REF!,"AAAAAFz/90U=")</f>
        <v>#REF!</v>
      </c>
      <c r="BS512" t="e">
        <f>AND(#REF!,"AAAAAFz/90Y=")</f>
        <v>#REF!</v>
      </c>
      <c r="BT512" t="e">
        <f>AND(#REF!,"AAAAAFz/90c=")</f>
        <v>#REF!</v>
      </c>
      <c r="BU512" t="e">
        <f>AND(#REF!,"AAAAAFz/90g=")</f>
        <v>#REF!</v>
      </c>
      <c r="BV512" t="e">
        <f>AND(#REF!,"AAAAAFz/90k=")</f>
        <v>#REF!</v>
      </c>
      <c r="BW512" t="e">
        <f>AND(#REF!,"AAAAAFz/90o=")</f>
        <v>#REF!</v>
      </c>
      <c r="BX512" t="e">
        <f>AND(#REF!,"AAAAAFz/90s=")</f>
        <v>#REF!</v>
      </c>
      <c r="BY512" t="e">
        <f>IF(#REF!,"AAAAAFz/90w=",0)</f>
        <v>#REF!</v>
      </c>
      <c r="BZ512" t="e">
        <f>AND(#REF!,"AAAAAFz/900=")</f>
        <v>#REF!</v>
      </c>
      <c r="CA512" t="e">
        <f>AND(#REF!,"AAAAAFz/904=")</f>
        <v>#REF!</v>
      </c>
      <c r="CB512" t="e">
        <f>AND(#REF!,"AAAAAFz/908=")</f>
        <v>#REF!</v>
      </c>
      <c r="CC512" t="e">
        <f>AND(#REF!,"AAAAAFz/91A=")</f>
        <v>#REF!</v>
      </c>
      <c r="CD512" t="e">
        <f>AND(#REF!,"AAAAAFz/91E=")</f>
        <v>#REF!</v>
      </c>
      <c r="CE512" t="e">
        <f>AND(#REF!,"AAAAAFz/91I=")</f>
        <v>#REF!</v>
      </c>
      <c r="CF512" t="e">
        <f>AND(#REF!,"AAAAAFz/91M=")</f>
        <v>#REF!</v>
      </c>
      <c r="CG512" t="e">
        <f>AND(#REF!,"AAAAAFz/91Q=")</f>
        <v>#REF!</v>
      </c>
      <c r="CH512" t="e">
        <f>AND(#REF!,"AAAAAFz/91U=")</f>
        <v>#REF!</v>
      </c>
      <c r="CI512" t="e">
        <f>AND(#REF!,"AAAAAFz/91Y=")</f>
        <v>#REF!</v>
      </c>
      <c r="CJ512" t="e">
        <f>IF(#REF!,"AAAAAFz/91c=",0)</f>
        <v>#REF!</v>
      </c>
      <c r="CK512" t="e">
        <f>AND(#REF!,"AAAAAFz/91g=")</f>
        <v>#REF!</v>
      </c>
      <c r="CL512" t="e">
        <f>AND(#REF!,"AAAAAFz/91k=")</f>
        <v>#REF!</v>
      </c>
      <c r="CM512" t="e">
        <f>AND(#REF!,"AAAAAFz/91o=")</f>
        <v>#REF!</v>
      </c>
      <c r="CN512" t="e">
        <f>AND(#REF!,"AAAAAFz/91s=")</f>
        <v>#REF!</v>
      </c>
      <c r="CO512" t="e">
        <f>AND(#REF!,"AAAAAFz/91w=")</f>
        <v>#REF!</v>
      </c>
      <c r="CP512" t="e">
        <f>AND(#REF!,"AAAAAFz/910=")</f>
        <v>#REF!</v>
      </c>
      <c r="CQ512" t="e">
        <f>AND(#REF!,"AAAAAFz/914=")</f>
        <v>#REF!</v>
      </c>
      <c r="CR512" t="e">
        <f>AND(#REF!,"AAAAAFz/918=")</f>
        <v>#REF!</v>
      </c>
      <c r="CS512" t="e">
        <f>AND(#REF!,"AAAAAFz/92A=")</f>
        <v>#REF!</v>
      </c>
      <c r="CT512" t="e">
        <f>AND(#REF!,"AAAAAFz/92E=")</f>
        <v>#REF!</v>
      </c>
      <c r="CU512" t="e">
        <f>IF(#REF!,"AAAAAFz/92I=",0)</f>
        <v>#REF!</v>
      </c>
      <c r="CV512" t="e">
        <f>AND(#REF!,"AAAAAFz/92M=")</f>
        <v>#REF!</v>
      </c>
      <c r="CW512" t="e">
        <f>AND(#REF!,"AAAAAFz/92Q=")</f>
        <v>#REF!</v>
      </c>
      <c r="CX512" t="e">
        <f>AND(#REF!,"AAAAAFz/92U=")</f>
        <v>#REF!</v>
      </c>
      <c r="CY512" t="e">
        <f>AND(#REF!,"AAAAAFz/92Y=")</f>
        <v>#REF!</v>
      </c>
      <c r="CZ512" t="e">
        <f>AND(#REF!,"AAAAAFz/92c=")</f>
        <v>#REF!</v>
      </c>
      <c r="DA512" t="e">
        <f>AND(#REF!,"AAAAAFz/92g=")</f>
        <v>#REF!</v>
      </c>
      <c r="DB512" t="e">
        <f>AND(#REF!,"AAAAAFz/92k=")</f>
        <v>#REF!</v>
      </c>
      <c r="DC512" t="e">
        <f>AND(#REF!,"AAAAAFz/92o=")</f>
        <v>#REF!</v>
      </c>
      <c r="DD512" t="e">
        <f>AND(#REF!,"AAAAAFz/92s=")</f>
        <v>#REF!</v>
      </c>
      <c r="DE512" t="e">
        <f>AND(#REF!,"AAAAAFz/92w=")</f>
        <v>#REF!</v>
      </c>
      <c r="DF512" t="e">
        <f>IF(#REF!,"AAAAAFz/920=",0)</f>
        <v>#REF!</v>
      </c>
      <c r="DG512" t="e">
        <f>AND(#REF!,"AAAAAFz/924=")</f>
        <v>#REF!</v>
      </c>
      <c r="DH512" t="e">
        <f>AND(#REF!,"AAAAAFz/928=")</f>
        <v>#REF!</v>
      </c>
      <c r="DI512" t="e">
        <f>AND(#REF!,"AAAAAFz/93A=")</f>
        <v>#REF!</v>
      </c>
      <c r="DJ512" t="e">
        <f>AND(#REF!,"AAAAAFz/93E=")</f>
        <v>#REF!</v>
      </c>
      <c r="DK512" t="e">
        <f>AND(#REF!,"AAAAAFz/93I=")</f>
        <v>#REF!</v>
      </c>
      <c r="DL512" t="e">
        <f>AND(#REF!,"AAAAAFz/93M=")</f>
        <v>#REF!</v>
      </c>
      <c r="DM512" t="e">
        <f>AND(#REF!,"AAAAAFz/93Q=")</f>
        <v>#REF!</v>
      </c>
      <c r="DN512" t="e">
        <f>AND(#REF!,"AAAAAFz/93U=")</f>
        <v>#REF!</v>
      </c>
      <c r="DO512" t="e">
        <f>AND(#REF!,"AAAAAFz/93Y=")</f>
        <v>#REF!</v>
      </c>
      <c r="DP512" t="e">
        <f>AND(#REF!,"AAAAAFz/93c=")</f>
        <v>#REF!</v>
      </c>
      <c r="DQ512" t="e">
        <f>IF(#REF!,"AAAAAFz/93g=",0)</f>
        <v>#REF!</v>
      </c>
      <c r="DR512" t="e">
        <f>AND(#REF!,"AAAAAFz/93k=")</f>
        <v>#REF!</v>
      </c>
      <c r="DS512" t="e">
        <f>AND(#REF!,"AAAAAFz/93o=")</f>
        <v>#REF!</v>
      </c>
      <c r="DT512" t="e">
        <f>AND(#REF!,"AAAAAFz/93s=")</f>
        <v>#REF!</v>
      </c>
      <c r="DU512" t="e">
        <f>AND(#REF!,"AAAAAFz/93w=")</f>
        <v>#REF!</v>
      </c>
      <c r="DV512" t="e">
        <f>AND(#REF!,"AAAAAFz/930=")</f>
        <v>#REF!</v>
      </c>
      <c r="DW512" t="e">
        <f>AND(#REF!,"AAAAAFz/934=")</f>
        <v>#REF!</v>
      </c>
      <c r="DX512" t="e">
        <f>AND(#REF!,"AAAAAFz/938=")</f>
        <v>#REF!</v>
      </c>
      <c r="DY512" t="e">
        <f>AND(#REF!,"AAAAAFz/94A=")</f>
        <v>#REF!</v>
      </c>
      <c r="DZ512" t="e">
        <f>AND(#REF!,"AAAAAFz/94E=")</f>
        <v>#REF!</v>
      </c>
      <c r="EA512" t="e">
        <f>AND(#REF!,"AAAAAFz/94I=")</f>
        <v>#REF!</v>
      </c>
      <c r="EB512" t="e">
        <f>IF(#REF!,"AAAAAFz/94M=",0)</f>
        <v>#REF!</v>
      </c>
      <c r="EC512" t="e">
        <f>AND(#REF!,"AAAAAFz/94Q=")</f>
        <v>#REF!</v>
      </c>
      <c r="ED512" t="e">
        <f>AND(#REF!,"AAAAAFz/94U=")</f>
        <v>#REF!</v>
      </c>
      <c r="EE512" t="e">
        <f>AND(#REF!,"AAAAAFz/94Y=")</f>
        <v>#REF!</v>
      </c>
      <c r="EF512" t="e">
        <f>AND(#REF!,"AAAAAFz/94c=")</f>
        <v>#REF!</v>
      </c>
      <c r="EG512" t="e">
        <f>AND(#REF!,"AAAAAFz/94g=")</f>
        <v>#REF!</v>
      </c>
      <c r="EH512" t="e">
        <f>AND(#REF!,"AAAAAFz/94k=")</f>
        <v>#REF!</v>
      </c>
      <c r="EI512" t="e">
        <f>AND(#REF!,"AAAAAFz/94o=")</f>
        <v>#REF!</v>
      </c>
      <c r="EJ512" t="e">
        <f>AND(#REF!,"AAAAAFz/94s=")</f>
        <v>#REF!</v>
      </c>
      <c r="EK512" t="e">
        <f>AND(#REF!,"AAAAAFz/94w=")</f>
        <v>#REF!</v>
      </c>
      <c r="EL512" t="e">
        <f>AND(#REF!,"AAAAAFz/940=")</f>
        <v>#REF!</v>
      </c>
      <c r="EM512" t="e">
        <f>IF(#REF!,"AAAAAFz/944=",0)</f>
        <v>#REF!</v>
      </c>
      <c r="EN512" t="e">
        <f>AND(#REF!,"AAAAAFz/948=")</f>
        <v>#REF!</v>
      </c>
      <c r="EO512" t="e">
        <f>AND(#REF!,"AAAAAFz/95A=")</f>
        <v>#REF!</v>
      </c>
      <c r="EP512" t="e">
        <f>AND(#REF!,"AAAAAFz/95E=")</f>
        <v>#REF!</v>
      </c>
      <c r="EQ512" t="e">
        <f>AND(#REF!,"AAAAAFz/95I=")</f>
        <v>#REF!</v>
      </c>
      <c r="ER512" t="e">
        <f>AND(#REF!,"AAAAAFz/95M=")</f>
        <v>#REF!</v>
      </c>
      <c r="ES512" t="e">
        <f>AND(#REF!,"AAAAAFz/95Q=")</f>
        <v>#REF!</v>
      </c>
      <c r="ET512" t="e">
        <f>AND(#REF!,"AAAAAFz/95U=")</f>
        <v>#REF!</v>
      </c>
      <c r="EU512" t="e">
        <f>AND(#REF!,"AAAAAFz/95Y=")</f>
        <v>#REF!</v>
      </c>
      <c r="EV512" t="e">
        <f>AND(#REF!,"AAAAAFz/95c=")</f>
        <v>#REF!</v>
      </c>
      <c r="EW512" t="e">
        <f>AND(#REF!,"AAAAAFz/95g=")</f>
        <v>#REF!</v>
      </c>
      <c r="EX512" t="e">
        <f>IF(#REF!,"AAAAAFz/95k=",0)</f>
        <v>#REF!</v>
      </c>
      <c r="EY512" t="e">
        <f>AND(#REF!,"AAAAAFz/95o=")</f>
        <v>#REF!</v>
      </c>
      <c r="EZ512" t="e">
        <f>AND(#REF!,"AAAAAFz/95s=")</f>
        <v>#REF!</v>
      </c>
      <c r="FA512" t="e">
        <f>AND(#REF!,"AAAAAFz/95w=")</f>
        <v>#REF!</v>
      </c>
      <c r="FB512" t="e">
        <f>AND(#REF!,"AAAAAFz/950=")</f>
        <v>#REF!</v>
      </c>
      <c r="FC512" t="e">
        <f>AND(#REF!,"AAAAAFz/954=")</f>
        <v>#REF!</v>
      </c>
      <c r="FD512" t="e">
        <f>AND(#REF!,"AAAAAFz/958=")</f>
        <v>#REF!</v>
      </c>
      <c r="FE512" t="e">
        <f>AND(#REF!,"AAAAAFz/96A=")</f>
        <v>#REF!</v>
      </c>
      <c r="FF512" t="e">
        <f>AND(#REF!,"AAAAAFz/96E=")</f>
        <v>#REF!</v>
      </c>
      <c r="FG512" t="e">
        <f>AND(#REF!,"AAAAAFz/96I=")</f>
        <v>#REF!</v>
      </c>
      <c r="FH512" t="e">
        <f>AND(#REF!,"AAAAAFz/96M=")</f>
        <v>#REF!</v>
      </c>
      <c r="FI512" t="e">
        <f>IF(#REF!,"AAAAAFz/96Q=",0)</f>
        <v>#REF!</v>
      </c>
      <c r="FJ512" t="e">
        <f>AND(#REF!,"AAAAAFz/96U=")</f>
        <v>#REF!</v>
      </c>
      <c r="FK512" t="e">
        <f>AND(#REF!,"AAAAAFz/96Y=")</f>
        <v>#REF!</v>
      </c>
      <c r="FL512" t="e">
        <f>AND(#REF!,"AAAAAFz/96c=")</f>
        <v>#REF!</v>
      </c>
      <c r="FM512" t="e">
        <f>AND(#REF!,"AAAAAFz/96g=")</f>
        <v>#REF!</v>
      </c>
      <c r="FN512" t="e">
        <f>AND(#REF!,"AAAAAFz/96k=")</f>
        <v>#REF!</v>
      </c>
      <c r="FO512" t="e">
        <f>AND(#REF!,"AAAAAFz/96o=")</f>
        <v>#REF!</v>
      </c>
      <c r="FP512" t="e">
        <f>AND(#REF!,"AAAAAFz/96s=")</f>
        <v>#REF!</v>
      </c>
      <c r="FQ512" t="e">
        <f>AND(#REF!,"AAAAAFz/96w=")</f>
        <v>#REF!</v>
      </c>
      <c r="FR512" t="e">
        <f>AND(#REF!,"AAAAAFz/960=")</f>
        <v>#REF!</v>
      </c>
      <c r="FS512" t="e">
        <f>AND(#REF!,"AAAAAFz/964=")</f>
        <v>#REF!</v>
      </c>
      <c r="FT512" t="e">
        <f>IF(#REF!,"AAAAAFz/968=",0)</f>
        <v>#REF!</v>
      </c>
      <c r="FU512" t="e">
        <f>AND(#REF!,"AAAAAFz/97A=")</f>
        <v>#REF!</v>
      </c>
      <c r="FV512" t="e">
        <f>AND(#REF!,"AAAAAFz/97E=")</f>
        <v>#REF!</v>
      </c>
      <c r="FW512" t="e">
        <f>AND(#REF!,"AAAAAFz/97I=")</f>
        <v>#REF!</v>
      </c>
      <c r="FX512" t="e">
        <f>AND(#REF!,"AAAAAFz/97M=")</f>
        <v>#REF!</v>
      </c>
      <c r="FY512" t="e">
        <f>AND(#REF!,"AAAAAFz/97Q=")</f>
        <v>#REF!</v>
      </c>
      <c r="FZ512" t="e">
        <f>AND(#REF!,"AAAAAFz/97U=")</f>
        <v>#REF!</v>
      </c>
      <c r="GA512" t="e">
        <f>AND(#REF!,"AAAAAFz/97Y=")</f>
        <v>#REF!</v>
      </c>
      <c r="GB512" t="e">
        <f>AND(#REF!,"AAAAAFz/97c=")</f>
        <v>#REF!</v>
      </c>
      <c r="GC512" t="e">
        <f>AND(#REF!,"AAAAAFz/97g=")</f>
        <v>#REF!</v>
      </c>
      <c r="GD512" t="e">
        <f>AND(#REF!,"AAAAAFz/97k=")</f>
        <v>#REF!</v>
      </c>
      <c r="GE512" t="e">
        <f>IF(#REF!,"AAAAAFz/97o=",0)</f>
        <v>#REF!</v>
      </c>
      <c r="GF512" t="e">
        <f>AND(#REF!,"AAAAAFz/97s=")</f>
        <v>#REF!</v>
      </c>
      <c r="GG512" t="e">
        <f>AND(#REF!,"AAAAAFz/97w=")</f>
        <v>#REF!</v>
      </c>
      <c r="GH512" t="e">
        <f>AND(#REF!,"AAAAAFz/970=")</f>
        <v>#REF!</v>
      </c>
      <c r="GI512" t="e">
        <f>AND(#REF!,"AAAAAFz/974=")</f>
        <v>#REF!</v>
      </c>
      <c r="GJ512" t="e">
        <f>AND(#REF!,"AAAAAFz/978=")</f>
        <v>#REF!</v>
      </c>
      <c r="GK512" t="e">
        <f>AND(#REF!,"AAAAAFz/98A=")</f>
        <v>#REF!</v>
      </c>
      <c r="GL512" t="e">
        <f>AND(#REF!,"AAAAAFz/98E=")</f>
        <v>#REF!</v>
      </c>
      <c r="GM512" t="e">
        <f>AND(#REF!,"AAAAAFz/98I=")</f>
        <v>#REF!</v>
      </c>
      <c r="GN512" t="e">
        <f>AND(#REF!,"AAAAAFz/98M=")</f>
        <v>#REF!</v>
      </c>
      <c r="GO512" t="e">
        <f>AND(#REF!,"AAAAAFz/98Q=")</f>
        <v>#REF!</v>
      </c>
      <c r="GP512" t="e">
        <f>IF(#REF!,"AAAAAFz/98U=",0)</f>
        <v>#REF!</v>
      </c>
      <c r="GQ512" t="e">
        <f>AND(#REF!,"AAAAAFz/98Y=")</f>
        <v>#REF!</v>
      </c>
      <c r="GR512" t="e">
        <f>AND(#REF!,"AAAAAFz/98c=")</f>
        <v>#REF!</v>
      </c>
      <c r="GS512" t="e">
        <f>AND(#REF!,"AAAAAFz/98g=")</f>
        <v>#REF!</v>
      </c>
      <c r="GT512" t="e">
        <f>AND(#REF!,"AAAAAFz/98k=")</f>
        <v>#REF!</v>
      </c>
      <c r="GU512" t="e">
        <f>AND(#REF!,"AAAAAFz/98o=")</f>
        <v>#REF!</v>
      </c>
      <c r="GV512" t="e">
        <f>AND(#REF!,"AAAAAFz/98s=")</f>
        <v>#REF!</v>
      </c>
      <c r="GW512" t="e">
        <f>AND(#REF!,"AAAAAFz/98w=")</f>
        <v>#REF!</v>
      </c>
      <c r="GX512" t="e">
        <f>AND(#REF!,"AAAAAFz/980=")</f>
        <v>#REF!</v>
      </c>
      <c r="GY512" t="e">
        <f>AND(#REF!,"AAAAAFz/984=")</f>
        <v>#REF!</v>
      </c>
      <c r="GZ512" t="e">
        <f>AND(#REF!,"AAAAAFz/988=")</f>
        <v>#REF!</v>
      </c>
      <c r="HA512" t="e">
        <f>IF(#REF!,"AAAAAFz/99A=",0)</f>
        <v>#REF!</v>
      </c>
      <c r="HB512" t="e">
        <f>AND(#REF!,"AAAAAFz/99E=")</f>
        <v>#REF!</v>
      </c>
      <c r="HC512" t="e">
        <f>AND(#REF!,"AAAAAFz/99I=")</f>
        <v>#REF!</v>
      </c>
      <c r="HD512" t="e">
        <f>AND(#REF!,"AAAAAFz/99M=")</f>
        <v>#REF!</v>
      </c>
      <c r="HE512" t="e">
        <f>AND(#REF!,"AAAAAFz/99Q=")</f>
        <v>#REF!</v>
      </c>
      <c r="HF512" t="e">
        <f>AND(#REF!,"AAAAAFz/99U=")</f>
        <v>#REF!</v>
      </c>
      <c r="HG512" t="e">
        <f>AND(#REF!,"AAAAAFz/99Y=")</f>
        <v>#REF!</v>
      </c>
      <c r="HH512" t="e">
        <f>AND(#REF!,"AAAAAFz/99c=")</f>
        <v>#REF!</v>
      </c>
      <c r="HI512" t="e">
        <f>AND(#REF!,"AAAAAFz/99g=")</f>
        <v>#REF!</v>
      </c>
      <c r="HJ512" t="e">
        <f>AND(#REF!,"AAAAAFz/99k=")</f>
        <v>#REF!</v>
      </c>
      <c r="HK512" t="e">
        <f>AND(#REF!,"AAAAAFz/99o=")</f>
        <v>#REF!</v>
      </c>
      <c r="HL512" t="e">
        <f>IF(#REF!,"AAAAAFz/99s=",0)</f>
        <v>#REF!</v>
      </c>
      <c r="HM512" t="e">
        <f>AND(#REF!,"AAAAAFz/99w=")</f>
        <v>#REF!</v>
      </c>
      <c r="HN512" t="e">
        <f>AND(#REF!,"AAAAAFz/990=")</f>
        <v>#REF!</v>
      </c>
      <c r="HO512" t="e">
        <f>AND(#REF!,"AAAAAFz/994=")</f>
        <v>#REF!</v>
      </c>
      <c r="HP512" t="e">
        <f>AND(#REF!,"AAAAAFz/998=")</f>
        <v>#REF!</v>
      </c>
      <c r="HQ512" t="e">
        <f>AND(#REF!,"AAAAAFz/9+A=")</f>
        <v>#REF!</v>
      </c>
      <c r="HR512" t="e">
        <f>AND(#REF!,"AAAAAFz/9+E=")</f>
        <v>#REF!</v>
      </c>
      <c r="HS512" t="e">
        <f>AND(#REF!,"AAAAAFz/9+I=")</f>
        <v>#REF!</v>
      </c>
      <c r="HT512" t="e">
        <f>AND(#REF!,"AAAAAFz/9+M=")</f>
        <v>#REF!</v>
      </c>
      <c r="HU512" t="e">
        <f>AND(#REF!,"AAAAAFz/9+Q=")</f>
        <v>#REF!</v>
      </c>
      <c r="HV512" t="e">
        <f>AND(#REF!,"AAAAAFz/9+U=")</f>
        <v>#REF!</v>
      </c>
      <c r="HW512" t="e">
        <f>IF(#REF!,"AAAAAFz/9+Y=",0)</f>
        <v>#REF!</v>
      </c>
      <c r="HX512" t="e">
        <f>AND(#REF!,"AAAAAFz/9+c=")</f>
        <v>#REF!</v>
      </c>
      <c r="HY512" t="e">
        <f>AND(#REF!,"AAAAAFz/9+g=")</f>
        <v>#REF!</v>
      </c>
      <c r="HZ512" t="e">
        <f>AND(#REF!,"AAAAAFz/9+k=")</f>
        <v>#REF!</v>
      </c>
      <c r="IA512" t="e">
        <f>AND(#REF!,"AAAAAFz/9+o=")</f>
        <v>#REF!</v>
      </c>
      <c r="IB512" t="e">
        <f>AND(#REF!,"AAAAAFz/9+s=")</f>
        <v>#REF!</v>
      </c>
      <c r="IC512" t="e">
        <f>AND(#REF!,"AAAAAFz/9+w=")</f>
        <v>#REF!</v>
      </c>
      <c r="ID512" t="e">
        <f>AND(#REF!,"AAAAAFz/9+0=")</f>
        <v>#REF!</v>
      </c>
      <c r="IE512" t="e">
        <f>AND(#REF!,"AAAAAFz/9+4=")</f>
        <v>#REF!</v>
      </c>
      <c r="IF512" t="e">
        <f>AND(#REF!,"AAAAAFz/9+8=")</f>
        <v>#REF!</v>
      </c>
      <c r="IG512" t="e">
        <f>AND(#REF!,"AAAAAFz/9/A=")</f>
        <v>#REF!</v>
      </c>
      <c r="IH512" t="e">
        <f>IF(#REF!,"AAAAAFz/9/E=",0)</f>
        <v>#REF!</v>
      </c>
      <c r="II512" t="e">
        <f>AND(#REF!,"AAAAAFz/9/I=")</f>
        <v>#REF!</v>
      </c>
      <c r="IJ512" t="e">
        <f>AND(#REF!,"AAAAAFz/9/M=")</f>
        <v>#REF!</v>
      </c>
      <c r="IK512" t="e">
        <f>AND(#REF!,"AAAAAFz/9/Q=")</f>
        <v>#REF!</v>
      </c>
      <c r="IL512" t="e">
        <f>AND(#REF!,"AAAAAFz/9/U=")</f>
        <v>#REF!</v>
      </c>
      <c r="IM512" t="e">
        <f>AND(#REF!,"AAAAAFz/9/Y=")</f>
        <v>#REF!</v>
      </c>
      <c r="IN512" t="e">
        <f>AND(#REF!,"AAAAAFz/9/c=")</f>
        <v>#REF!</v>
      </c>
      <c r="IO512" t="e">
        <f>AND(#REF!,"AAAAAFz/9/g=")</f>
        <v>#REF!</v>
      </c>
      <c r="IP512" t="e">
        <f>AND(#REF!,"AAAAAFz/9/k=")</f>
        <v>#REF!</v>
      </c>
      <c r="IQ512" t="e">
        <f>AND(#REF!,"AAAAAFz/9/o=")</f>
        <v>#REF!</v>
      </c>
      <c r="IR512" t="e">
        <f>AND(#REF!,"AAAAAFz/9/s=")</f>
        <v>#REF!</v>
      </c>
      <c r="IS512" t="e">
        <f>IF(#REF!,"AAAAAFz/9/w=",0)</f>
        <v>#REF!</v>
      </c>
      <c r="IT512" t="e">
        <f>AND(#REF!,"AAAAAFz/9/0=")</f>
        <v>#REF!</v>
      </c>
      <c r="IU512" t="e">
        <f>AND(#REF!,"AAAAAFz/9/4=")</f>
        <v>#REF!</v>
      </c>
      <c r="IV512" t="e">
        <f>AND(#REF!,"AAAAAFz/9/8=")</f>
        <v>#REF!</v>
      </c>
    </row>
    <row r="513" spans="1:256" x14ac:dyDescent="0.25">
      <c r="A513" t="e">
        <f>AND(#REF!,"AAAAAH/59QA=")</f>
        <v>#REF!</v>
      </c>
      <c r="B513" t="e">
        <f>AND(#REF!,"AAAAAH/59QE=")</f>
        <v>#REF!</v>
      </c>
      <c r="C513" t="e">
        <f>AND(#REF!,"AAAAAH/59QI=")</f>
        <v>#REF!</v>
      </c>
      <c r="D513" t="e">
        <f>AND(#REF!,"AAAAAH/59QM=")</f>
        <v>#REF!</v>
      </c>
      <c r="E513" t="e">
        <f>AND(#REF!,"AAAAAH/59QQ=")</f>
        <v>#REF!</v>
      </c>
      <c r="F513" t="e">
        <f>AND(#REF!,"AAAAAH/59QU=")</f>
        <v>#REF!</v>
      </c>
      <c r="G513" t="e">
        <f>AND(#REF!,"AAAAAH/59QY=")</f>
        <v>#REF!</v>
      </c>
      <c r="H513" t="e">
        <f>IF(#REF!,"AAAAAH/59Qc=",0)</f>
        <v>#REF!</v>
      </c>
      <c r="I513" t="e">
        <f>AND(#REF!,"AAAAAH/59Qg=")</f>
        <v>#REF!</v>
      </c>
      <c r="J513" t="e">
        <f>AND(#REF!,"AAAAAH/59Qk=")</f>
        <v>#REF!</v>
      </c>
      <c r="K513" t="e">
        <f>AND(#REF!,"AAAAAH/59Qo=")</f>
        <v>#REF!</v>
      </c>
      <c r="L513" t="e">
        <f>AND(#REF!,"AAAAAH/59Qs=")</f>
        <v>#REF!</v>
      </c>
      <c r="M513" t="e">
        <f>AND(#REF!,"AAAAAH/59Qw=")</f>
        <v>#REF!</v>
      </c>
      <c r="N513" t="e">
        <f>AND(#REF!,"AAAAAH/59Q0=")</f>
        <v>#REF!</v>
      </c>
      <c r="O513" t="e">
        <f>AND(#REF!,"AAAAAH/59Q4=")</f>
        <v>#REF!</v>
      </c>
      <c r="P513" t="e">
        <f>AND(#REF!,"AAAAAH/59Q8=")</f>
        <v>#REF!</v>
      </c>
      <c r="Q513" t="e">
        <f>AND(#REF!,"AAAAAH/59RA=")</f>
        <v>#REF!</v>
      </c>
      <c r="R513" t="e">
        <f>AND(#REF!,"AAAAAH/59RE=")</f>
        <v>#REF!</v>
      </c>
      <c r="S513" t="e">
        <f>IF(#REF!,"AAAAAH/59RI=",0)</f>
        <v>#REF!</v>
      </c>
      <c r="T513" t="e">
        <f>AND(#REF!,"AAAAAH/59RM=")</f>
        <v>#REF!</v>
      </c>
      <c r="U513" t="e">
        <f>AND(#REF!,"AAAAAH/59RQ=")</f>
        <v>#REF!</v>
      </c>
      <c r="V513" t="e">
        <f>AND(#REF!,"AAAAAH/59RU=")</f>
        <v>#REF!</v>
      </c>
      <c r="W513" t="e">
        <f>AND(#REF!,"AAAAAH/59RY=")</f>
        <v>#REF!</v>
      </c>
      <c r="X513" t="e">
        <f>AND(#REF!,"AAAAAH/59Rc=")</f>
        <v>#REF!</v>
      </c>
      <c r="Y513" t="e">
        <f>AND(#REF!,"AAAAAH/59Rg=")</f>
        <v>#REF!</v>
      </c>
      <c r="Z513" t="e">
        <f>AND(#REF!,"AAAAAH/59Rk=")</f>
        <v>#REF!</v>
      </c>
      <c r="AA513" t="e">
        <f>AND(#REF!,"AAAAAH/59Ro=")</f>
        <v>#REF!</v>
      </c>
      <c r="AB513" t="e">
        <f>AND(#REF!,"AAAAAH/59Rs=")</f>
        <v>#REF!</v>
      </c>
      <c r="AC513" t="e">
        <f>AND(#REF!,"AAAAAH/59Rw=")</f>
        <v>#REF!</v>
      </c>
      <c r="AD513" t="e">
        <f>IF(#REF!,"AAAAAH/59R0=",0)</f>
        <v>#REF!</v>
      </c>
      <c r="AE513" t="e">
        <f>AND(#REF!,"AAAAAH/59R4=")</f>
        <v>#REF!</v>
      </c>
      <c r="AF513" t="e">
        <f>AND(#REF!,"AAAAAH/59R8=")</f>
        <v>#REF!</v>
      </c>
      <c r="AG513" t="e">
        <f>AND(#REF!,"AAAAAH/59SA=")</f>
        <v>#REF!</v>
      </c>
      <c r="AH513" t="e">
        <f>AND(#REF!,"AAAAAH/59SE=")</f>
        <v>#REF!</v>
      </c>
      <c r="AI513" t="e">
        <f>AND(#REF!,"AAAAAH/59SI=")</f>
        <v>#REF!</v>
      </c>
      <c r="AJ513" t="e">
        <f>AND(#REF!,"AAAAAH/59SM=")</f>
        <v>#REF!</v>
      </c>
      <c r="AK513" t="e">
        <f>AND(#REF!,"AAAAAH/59SQ=")</f>
        <v>#REF!</v>
      </c>
      <c r="AL513" t="e">
        <f>AND(#REF!,"AAAAAH/59SU=")</f>
        <v>#REF!</v>
      </c>
      <c r="AM513" t="e">
        <f>AND(#REF!,"AAAAAH/59SY=")</f>
        <v>#REF!</v>
      </c>
      <c r="AN513" t="e">
        <f>AND(#REF!,"AAAAAH/59Sc=")</f>
        <v>#REF!</v>
      </c>
      <c r="AO513" t="e">
        <f>IF(#REF!,"AAAAAH/59Sg=",0)</f>
        <v>#REF!</v>
      </c>
      <c r="AP513" t="e">
        <f>AND(#REF!,"AAAAAH/59Sk=")</f>
        <v>#REF!</v>
      </c>
      <c r="AQ513" t="e">
        <f>AND(#REF!,"AAAAAH/59So=")</f>
        <v>#REF!</v>
      </c>
      <c r="AR513" t="e">
        <f>AND(#REF!,"AAAAAH/59Ss=")</f>
        <v>#REF!</v>
      </c>
      <c r="AS513" t="e">
        <f>AND(#REF!,"AAAAAH/59Sw=")</f>
        <v>#REF!</v>
      </c>
      <c r="AT513" t="e">
        <f>AND(#REF!,"AAAAAH/59S0=")</f>
        <v>#REF!</v>
      </c>
      <c r="AU513" t="e">
        <f>AND(#REF!,"AAAAAH/59S4=")</f>
        <v>#REF!</v>
      </c>
      <c r="AV513" t="e">
        <f>AND(#REF!,"AAAAAH/59S8=")</f>
        <v>#REF!</v>
      </c>
      <c r="AW513" t="e">
        <f>AND(#REF!,"AAAAAH/59TA=")</f>
        <v>#REF!</v>
      </c>
      <c r="AX513" t="e">
        <f>AND(#REF!,"AAAAAH/59TE=")</f>
        <v>#REF!</v>
      </c>
      <c r="AY513" t="e">
        <f>AND(#REF!,"AAAAAH/59TI=")</f>
        <v>#REF!</v>
      </c>
      <c r="AZ513" t="e">
        <f>IF(#REF!,"AAAAAH/59TM=",0)</f>
        <v>#REF!</v>
      </c>
      <c r="BA513" t="e">
        <f>AND(#REF!,"AAAAAH/59TQ=")</f>
        <v>#REF!</v>
      </c>
      <c r="BB513" t="e">
        <f>AND(#REF!,"AAAAAH/59TU=")</f>
        <v>#REF!</v>
      </c>
      <c r="BC513" t="e">
        <f>AND(#REF!,"AAAAAH/59TY=")</f>
        <v>#REF!</v>
      </c>
      <c r="BD513" t="e">
        <f>AND(#REF!,"AAAAAH/59Tc=")</f>
        <v>#REF!</v>
      </c>
      <c r="BE513" t="e">
        <f>AND(#REF!,"AAAAAH/59Tg=")</f>
        <v>#REF!</v>
      </c>
      <c r="BF513" t="e">
        <f>AND(#REF!,"AAAAAH/59Tk=")</f>
        <v>#REF!</v>
      </c>
      <c r="BG513" t="e">
        <f>AND(#REF!,"AAAAAH/59To=")</f>
        <v>#REF!</v>
      </c>
      <c r="BH513" t="e">
        <f>AND(#REF!,"AAAAAH/59Ts=")</f>
        <v>#REF!</v>
      </c>
      <c r="BI513" t="e">
        <f>AND(#REF!,"AAAAAH/59Tw=")</f>
        <v>#REF!</v>
      </c>
      <c r="BJ513" t="e">
        <f>AND(#REF!,"AAAAAH/59T0=")</f>
        <v>#REF!</v>
      </c>
      <c r="BK513" t="e">
        <f>IF(#REF!,"AAAAAH/59T4=",0)</f>
        <v>#REF!</v>
      </c>
      <c r="BL513" t="e">
        <f>AND(#REF!,"AAAAAH/59T8=")</f>
        <v>#REF!</v>
      </c>
      <c r="BM513" t="e">
        <f>AND(#REF!,"AAAAAH/59UA=")</f>
        <v>#REF!</v>
      </c>
      <c r="BN513" t="e">
        <f>AND(#REF!,"AAAAAH/59UE=")</f>
        <v>#REF!</v>
      </c>
      <c r="BO513" t="e">
        <f>AND(#REF!,"AAAAAH/59UI=")</f>
        <v>#REF!</v>
      </c>
      <c r="BP513" t="e">
        <f>AND(#REF!,"AAAAAH/59UM=")</f>
        <v>#REF!</v>
      </c>
      <c r="BQ513" t="e">
        <f>AND(#REF!,"AAAAAH/59UQ=")</f>
        <v>#REF!</v>
      </c>
      <c r="BR513" t="e">
        <f>AND(#REF!,"AAAAAH/59UU=")</f>
        <v>#REF!</v>
      </c>
      <c r="BS513" t="e">
        <f>AND(#REF!,"AAAAAH/59UY=")</f>
        <v>#REF!</v>
      </c>
      <c r="BT513" t="e">
        <f>AND(#REF!,"AAAAAH/59Uc=")</f>
        <v>#REF!</v>
      </c>
      <c r="BU513" t="e">
        <f>AND(#REF!,"AAAAAH/59Ug=")</f>
        <v>#REF!</v>
      </c>
      <c r="BV513" t="e">
        <f>IF(#REF!,"AAAAAH/59Uk=",0)</f>
        <v>#REF!</v>
      </c>
      <c r="BW513" t="e">
        <f>AND(#REF!,"AAAAAH/59Uo=")</f>
        <v>#REF!</v>
      </c>
      <c r="BX513" t="e">
        <f>AND(#REF!,"AAAAAH/59Us=")</f>
        <v>#REF!</v>
      </c>
      <c r="BY513" t="e">
        <f>AND(#REF!,"AAAAAH/59Uw=")</f>
        <v>#REF!</v>
      </c>
      <c r="BZ513" t="e">
        <f>AND(#REF!,"AAAAAH/59U0=")</f>
        <v>#REF!</v>
      </c>
      <c r="CA513" t="e">
        <f>AND(#REF!,"AAAAAH/59U4=")</f>
        <v>#REF!</v>
      </c>
      <c r="CB513" t="e">
        <f>AND(#REF!,"AAAAAH/59U8=")</f>
        <v>#REF!</v>
      </c>
      <c r="CC513" t="e">
        <f>AND(#REF!,"AAAAAH/59VA=")</f>
        <v>#REF!</v>
      </c>
      <c r="CD513" t="e">
        <f>AND(#REF!,"AAAAAH/59VE=")</f>
        <v>#REF!</v>
      </c>
      <c r="CE513" t="e">
        <f>AND(#REF!,"AAAAAH/59VI=")</f>
        <v>#REF!</v>
      </c>
      <c r="CF513" t="e">
        <f>AND(#REF!,"AAAAAH/59VM=")</f>
        <v>#REF!</v>
      </c>
      <c r="CG513" t="e">
        <f>IF(#REF!,"AAAAAH/59VQ=",0)</f>
        <v>#REF!</v>
      </c>
      <c r="CH513" t="e">
        <f>AND(#REF!,"AAAAAH/59VU=")</f>
        <v>#REF!</v>
      </c>
      <c r="CI513" t="e">
        <f>AND(#REF!,"AAAAAH/59VY=")</f>
        <v>#REF!</v>
      </c>
      <c r="CJ513" t="e">
        <f>AND(#REF!,"AAAAAH/59Vc=")</f>
        <v>#REF!</v>
      </c>
      <c r="CK513" t="e">
        <f>AND(#REF!,"AAAAAH/59Vg=")</f>
        <v>#REF!</v>
      </c>
      <c r="CL513" t="e">
        <f>AND(#REF!,"AAAAAH/59Vk=")</f>
        <v>#REF!</v>
      </c>
      <c r="CM513" t="e">
        <f>AND(#REF!,"AAAAAH/59Vo=")</f>
        <v>#REF!</v>
      </c>
      <c r="CN513" t="e">
        <f>AND(#REF!,"AAAAAH/59Vs=")</f>
        <v>#REF!</v>
      </c>
      <c r="CO513" t="e">
        <f>AND(#REF!,"AAAAAH/59Vw=")</f>
        <v>#REF!</v>
      </c>
      <c r="CP513" t="e">
        <f>AND(#REF!,"AAAAAH/59V0=")</f>
        <v>#REF!</v>
      </c>
      <c r="CQ513" t="e">
        <f>AND(#REF!,"AAAAAH/59V4=")</f>
        <v>#REF!</v>
      </c>
      <c r="CR513" t="e">
        <f>IF(#REF!,"AAAAAH/59V8=",0)</f>
        <v>#REF!</v>
      </c>
      <c r="CS513" t="e">
        <f>AND(#REF!,"AAAAAH/59WA=")</f>
        <v>#REF!</v>
      </c>
      <c r="CT513" t="e">
        <f>AND(#REF!,"AAAAAH/59WE=")</f>
        <v>#REF!</v>
      </c>
      <c r="CU513" t="e">
        <f>AND(#REF!,"AAAAAH/59WI=")</f>
        <v>#REF!</v>
      </c>
      <c r="CV513" t="e">
        <f>AND(#REF!,"AAAAAH/59WM=")</f>
        <v>#REF!</v>
      </c>
      <c r="CW513" t="e">
        <f>AND(#REF!,"AAAAAH/59WQ=")</f>
        <v>#REF!</v>
      </c>
      <c r="CX513" t="e">
        <f>AND(#REF!,"AAAAAH/59WU=")</f>
        <v>#REF!</v>
      </c>
      <c r="CY513" t="e">
        <f>AND(#REF!,"AAAAAH/59WY=")</f>
        <v>#REF!</v>
      </c>
      <c r="CZ513" t="e">
        <f>AND(#REF!,"AAAAAH/59Wc=")</f>
        <v>#REF!</v>
      </c>
      <c r="DA513" t="e">
        <f>AND(#REF!,"AAAAAH/59Wg=")</f>
        <v>#REF!</v>
      </c>
      <c r="DB513" t="e">
        <f>AND(#REF!,"AAAAAH/59Wk=")</f>
        <v>#REF!</v>
      </c>
      <c r="DC513" t="e">
        <f>IF(#REF!,"AAAAAH/59Wo=",0)</f>
        <v>#REF!</v>
      </c>
      <c r="DD513" t="e">
        <f>AND(#REF!,"AAAAAH/59Ws=")</f>
        <v>#REF!</v>
      </c>
      <c r="DE513" t="e">
        <f>AND(#REF!,"AAAAAH/59Ww=")</f>
        <v>#REF!</v>
      </c>
      <c r="DF513" t="e">
        <f>AND(#REF!,"AAAAAH/59W0=")</f>
        <v>#REF!</v>
      </c>
      <c r="DG513" t="e">
        <f>AND(#REF!,"AAAAAH/59W4=")</f>
        <v>#REF!</v>
      </c>
      <c r="DH513" t="e">
        <f>AND(#REF!,"AAAAAH/59W8=")</f>
        <v>#REF!</v>
      </c>
      <c r="DI513" t="e">
        <f>AND(#REF!,"AAAAAH/59XA=")</f>
        <v>#REF!</v>
      </c>
      <c r="DJ513" t="e">
        <f>AND(#REF!,"AAAAAH/59XE=")</f>
        <v>#REF!</v>
      </c>
      <c r="DK513" t="e">
        <f>AND(#REF!,"AAAAAH/59XI=")</f>
        <v>#REF!</v>
      </c>
      <c r="DL513" t="e">
        <f>AND(#REF!,"AAAAAH/59XM=")</f>
        <v>#REF!</v>
      </c>
      <c r="DM513" t="e">
        <f>AND(#REF!,"AAAAAH/59XQ=")</f>
        <v>#REF!</v>
      </c>
      <c r="DN513" t="e">
        <f>IF(#REF!,"AAAAAH/59XU=",0)</f>
        <v>#REF!</v>
      </c>
      <c r="DO513" t="e">
        <f>AND(#REF!,"AAAAAH/59XY=")</f>
        <v>#REF!</v>
      </c>
      <c r="DP513" t="e">
        <f>AND(#REF!,"AAAAAH/59Xc=")</f>
        <v>#REF!</v>
      </c>
      <c r="DQ513" t="e">
        <f>AND(#REF!,"AAAAAH/59Xg=")</f>
        <v>#REF!</v>
      </c>
      <c r="DR513" t="e">
        <f>AND(#REF!,"AAAAAH/59Xk=")</f>
        <v>#REF!</v>
      </c>
      <c r="DS513" t="e">
        <f>AND(#REF!,"AAAAAH/59Xo=")</f>
        <v>#REF!</v>
      </c>
      <c r="DT513" t="e">
        <f>AND(#REF!,"AAAAAH/59Xs=")</f>
        <v>#REF!</v>
      </c>
      <c r="DU513" t="e">
        <f>AND(#REF!,"AAAAAH/59Xw=")</f>
        <v>#REF!</v>
      </c>
      <c r="DV513" t="e">
        <f>AND(#REF!,"AAAAAH/59X0=")</f>
        <v>#REF!</v>
      </c>
      <c r="DW513" t="e">
        <f>AND(#REF!,"AAAAAH/59X4=")</f>
        <v>#REF!</v>
      </c>
      <c r="DX513" t="e">
        <f>AND(#REF!,"AAAAAH/59X8=")</f>
        <v>#REF!</v>
      </c>
      <c r="DY513" t="e">
        <f>IF(#REF!,"AAAAAH/59YA=",0)</f>
        <v>#REF!</v>
      </c>
      <c r="DZ513" t="e">
        <f>AND(#REF!,"AAAAAH/59YE=")</f>
        <v>#REF!</v>
      </c>
      <c r="EA513" t="e">
        <f>AND(#REF!,"AAAAAH/59YI=")</f>
        <v>#REF!</v>
      </c>
      <c r="EB513" t="e">
        <f>AND(#REF!,"AAAAAH/59YM=")</f>
        <v>#REF!</v>
      </c>
      <c r="EC513" t="e">
        <f>AND(#REF!,"AAAAAH/59YQ=")</f>
        <v>#REF!</v>
      </c>
      <c r="ED513" t="e">
        <f>AND(#REF!,"AAAAAH/59YU=")</f>
        <v>#REF!</v>
      </c>
      <c r="EE513" t="e">
        <f>AND(#REF!,"AAAAAH/59YY=")</f>
        <v>#REF!</v>
      </c>
      <c r="EF513" t="e">
        <f>AND(#REF!,"AAAAAH/59Yc=")</f>
        <v>#REF!</v>
      </c>
      <c r="EG513" t="e">
        <f>AND(#REF!,"AAAAAH/59Yg=")</f>
        <v>#REF!</v>
      </c>
      <c r="EH513" t="e">
        <f>AND(#REF!,"AAAAAH/59Yk=")</f>
        <v>#REF!</v>
      </c>
      <c r="EI513" t="e">
        <f>AND(#REF!,"AAAAAH/59Yo=")</f>
        <v>#REF!</v>
      </c>
      <c r="EJ513" t="e">
        <f>IF(#REF!,"AAAAAH/59Ys=",0)</f>
        <v>#REF!</v>
      </c>
      <c r="EK513" t="e">
        <f>AND(#REF!,"AAAAAH/59Yw=")</f>
        <v>#REF!</v>
      </c>
      <c r="EL513" t="e">
        <f>AND(#REF!,"AAAAAH/59Y0=")</f>
        <v>#REF!</v>
      </c>
      <c r="EM513" t="e">
        <f>AND(#REF!,"AAAAAH/59Y4=")</f>
        <v>#REF!</v>
      </c>
      <c r="EN513" t="e">
        <f>AND(#REF!,"AAAAAH/59Y8=")</f>
        <v>#REF!</v>
      </c>
      <c r="EO513" t="e">
        <f>AND(#REF!,"AAAAAH/59ZA=")</f>
        <v>#REF!</v>
      </c>
      <c r="EP513" t="e">
        <f>AND(#REF!,"AAAAAH/59ZE=")</f>
        <v>#REF!</v>
      </c>
      <c r="EQ513" t="e">
        <f>AND(#REF!,"AAAAAH/59ZI=")</f>
        <v>#REF!</v>
      </c>
      <c r="ER513" t="e">
        <f>AND(#REF!,"AAAAAH/59ZM=")</f>
        <v>#REF!</v>
      </c>
      <c r="ES513" t="e">
        <f>AND(#REF!,"AAAAAH/59ZQ=")</f>
        <v>#REF!</v>
      </c>
      <c r="ET513" t="e">
        <f>AND(#REF!,"AAAAAH/59ZU=")</f>
        <v>#REF!</v>
      </c>
      <c r="EU513" t="e">
        <f>IF(#REF!,"AAAAAH/59ZY=",0)</f>
        <v>#REF!</v>
      </c>
      <c r="EV513" t="e">
        <f>AND(#REF!,"AAAAAH/59Zc=")</f>
        <v>#REF!</v>
      </c>
      <c r="EW513" t="e">
        <f>AND(#REF!,"AAAAAH/59Zg=")</f>
        <v>#REF!</v>
      </c>
      <c r="EX513" t="e">
        <f>AND(#REF!,"AAAAAH/59Zk=")</f>
        <v>#REF!</v>
      </c>
      <c r="EY513" t="e">
        <f>AND(#REF!,"AAAAAH/59Zo=")</f>
        <v>#REF!</v>
      </c>
      <c r="EZ513" t="e">
        <f>AND(#REF!,"AAAAAH/59Zs=")</f>
        <v>#REF!</v>
      </c>
      <c r="FA513" t="e">
        <f>AND(#REF!,"AAAAAH/59Zw=")</f>
        <v>#REF!</v>
      </c>
      <c r="FB513" t="e">
        <f>AND(#REF!,"AAAAAH/59Z0=")</f>
        <v>#REF!</v>
      </c>
      <c r="FC513" t="e">
        <f>AND(#REF!,"AAAAAH/59Z4=")</f>
        <v>#REF!</v>
      </c>
      <c r="FD513" t="e">
        <f>AND(#REF!,"AAAAAH/59Z8=")</f>
        <v>#REF!</v>
      </c>
      <c r="FE513" t="e">
        <f>AND(#REF!,"AAAAAH/59aA=")</f>
        <v>#REF!</v>
      </c>
      <c r="FF513" t="e">
        <f>IF(#REF!,"AAAAAH/59aE=",0)</f>
        <v>#REF!</v>
      </c>
      <c r="FG513" t="e">
        <f>AND(#REF!,"AAAAAH/59aI=")</f>
        <v>#REF!</v>
      </c>
      <c r="FH513" t="e">
        <f>AND(#REF!,"AAAAAH/59aM=")</f>
        <v>#REF!</v>
      </c>
      <c r="FI513" t="e">
        <f>AND(#REF!,"AAAAAH/59aQ=")</f>
        <v>#REF!</v>
      </c>
      <c r="FJ513" t="e">
        <f>AND(#REF!,"AAAAAH/59aU=")</f>
        <v>#REF!</v>
      </c>
      <c r="FK513" t="e">
        <f>AND(#REF!,"AAAAAH/59aY=")</f>
        <v>#REF!</v>
      </c>
      <c r="FL513" t="e">
        <f>AND(#REF!,"AAAAAH/59ac=")</f>
        <v>#REF!</v>
      </c>
      <c r="FM513" t="e">
        <f>AND(#REF!,"AAAAAH/59ag=")</f>
        <v>#REF!</v>
      </c>
      <c r="FN513" t="e">
        <f>AND(#REF!,"AAAAAH/59ak=")</f>
        <v>#REF!</v>
      </c>
      <c r="FO513" t="e">
        <f>AND(#REF!,"AAAAAH/59ao=")</f>
        <v>#REF!</v>
      </c>
      <c r="FP513" t="e">
        <f>AND(#REF!,"AAAAAH/59as=")</f>
        <v>#REF!</v>
      </c>
      <c r="FQ513" t="e">
        <f>IF(#REF!,"AAAAAH/59aw=",0)</f>
        <v>#REF!</v>
      </c>
      <c r="FR513" t="e">
        <f>AND(#REF!,"AAAAAH/59a0=")</f>
        <v>#REF!</v>
      </c>
      <c r="FS513" t="e">
        <f>AND(#REF!,"AAAAAH/59a4=")</f>
        <v>#REF!</v>
      </c>
      <c r="FT513" t="e">
        <f>AND(#REF!,"AAAAAH/59a8=")</f>
        <v>#REF!</v>
      </c>
      <c r="FU513" t="e">
        <f>AND(#REF!,"AAAAAH/59bA=")</f>
        <v>#REF!</v>
      </c>
      <c r="FV513" t="e">
        <f>AND(#REF!,"AAAAAH/59bE=")</f>
        <v>#REF!</v>
      </c>
      <c r="FW513" t="e">
        <f>AND(#REF!,"AAAAAH/59bI=")</f>
        <v>#REF!</v>
      </c>
      <c r="FX513" t="e">
        <f>AND(#REF!,"AAAAAH/59bM=")</f>
        <v>#REF!</v>
      </c>
      <c r="FY513" t="e">
        <f>AND(#REF!,"AAAAAH/59bQ=")</f>
        <v>#REF!</v>
      </c>
      <c r="FZ513" t="e">
        <f>AND(#REF!,"AAAAAH/59bU=")</f>
        <v>#REF!</v>
      </c>
      <c r="GA513" t="e">
        <f>AND(#REF!,"AAAAAH/59bY=")</f>
        <v>#REF!</v>
      </c>
      <c r="GB513" t="e">
        <f>IF(#REF!,"AAAAAH/59bc=",0)</f>
        <v>#REF!</v>
      </c>
      <c r="GC513" t="e">
        <f>AND(#REF!,"AAAAAH/59bg=")</f>
        <v>#REF!</v>
      </c>
      <c r="GD513" t="e">
        <f>AND(#REF!,"AAAAAH/59bk=")</f>
        <v>#REF!</v>
      </c>
      <c r="GE513" t="e">
        <f>AND(#REF!,"AAAAAH/59bo=")</f>
        <v>#REF!</v>
      </c>
      <c r="GF513" t="e">
        <f>AND(#REF!,"AAAAAH/59bs=")</f>
        <v>#REF!</v>
      </c>
      <c r="GG513" t="e">
        <f>AND(#REF!,"AAAAAH/59bw=")</f>
        <v>#REF!</v>
      </c>
      <c r="GH513" t="e">
        <f>AND(#REF!,"AAAAAH/59b0=")</f>
        <v>#REF!</v>
      </c>
      <c r="GI513" t="e">
        <f>AND(#REF!,"AAAAAH/59b4=")</f>
        <v>#REF!</v>
      </c>
      <c r="GJ513" t="e">
        <f>AND(#REF!,"AAAAAH/59b8=")</f>
        <v>#REF!</v>
      </c>
      <c r="GK513" t="e">
        <f>AND(#REF!,"AAAAAH/59cA=")</f>
        <v>#REF!</v>
      </c>
      <c r="GL513" t="e">
        <f>AND(#REF!,"AAAAAH/59cE=")</f>
        <v>#REF!</v>
      </c>
      <c r="GM513" t="e">
        <f>IF(#REF!,"AAAAAH/59cI=",0)</f>
        <v>#REF!</v>
      </c>
      <c r="GN513" t="e">
        <f>AND(#REF!,"AAAAAH/59cM=")</f>
        <v>#REF!</v>
      </c>
      <c r="GO513" t="e">
        <f>AND(#REF!,"AAAAAH/59cQ=")</f>
        <v>#REF!</v>
      </c>
      <c r="GP513" t="e">
        <f>AND(#REF!,"AAAAAH/59cU=")</f>
        <v>#REF!</v>
      </c>
      <c r="GQ513" t="e">
        <f>AND(#REF!,"AAAAAH/59cY=")</f>
        <v>#REF!</v>
      </c>
      <c r="GR513" t="e">
        <f>AND(#REF!,"AAAAAH/59cc=")</f>
        <v>#REF!</v>
      </c>
      <c r="GS513" t="e">
        <f>AND(#REF!,"AAAAAH/59cg=")</f>
        <v>#REF!</v>
      </c>
      <c r="GT513" t="e">
        <f>AND(#REF!,"AAAAAH/59ck=")</f>
        <v>#REF!</v>
      </c>
      <c r="GU513" t="e">
        <f>AND(#REF!,"AAAAAH/59co=")</f>
        <v>#REF!</v>
      </c>
      <c r="GV513" t="e">
        <f>AND(#REF!,"AAAAAH/59cs=")</f>
        <v>#REF!</v>
      </c>
      <c r="GW513" t="e">
        <f>AND(#REF!,"AAAAAH/59cw=")</f>
        <v>#REF!</v>
      </c>
      <c r="GX513" t="e">
        <f>IF(#REF!,"AAAAAH/59c0=",0)</f>
        <v>#REF!</v>
      </c>
      <c r="GY513" t="e">
        <f>AND(#REF!,"AAAAAH/59c4=")</f>
        <v>#REF!</v>
      </c>
      <c r="GZ513" t="e">
        <f>AND(#REF!,"AAAAAH/59c8=")</f>
        <v>#REF!</v>
      </c>
      <c r="HA513" t="e">
        <f>AND(#REF!,"AAAAAH/59dA=")</f>
        <v>#REF!</v>
      </c>
      <c r="HB513" t="e">
        <f>AND(#REF!,"AAAAAH/59dE=")</f>
        <v>#REF!</v>
      </c>
      <c r="HC513" t="e">
        <f>AND(#REF!,"AAAAAH/59dI=")</f>
        <v>#REF!</v>
      </c>
      <c r="HD513" t="e">
        <f>AND(#REF!,"AAAAAH/59dM=")</f>
        <v>#REF!</v>
      </c>
      <c r="HE513" t="e">
        <f>AND(#REF!,"AAAAAH/59dQ=")</f>
        <v>#REF!</v>
      </c>
      <c r="HF513" t="e">
        <f>AND(#REF!,"AAAAAH/59dU=")</f>
        <v>#REF!</v>
      </c>
      <c r="HG513" t="e">
        <f>AND(#REF!,"AAAAAH/59dY=")</f>
        <v>#REF!</v>
      </c>
      <c r="HH513" t="e">
        <f>AND(#REF!,"AAAAAH/59dc=")</f>
        <v>#REF!</v>
      </c>
      <c r="HI513" t="e">
        <f>IF(#REF!,"AAAAAH/59dg=",0)</f>
        <v>#REF!</v>
      </c>
      <c r="HJ513" t="e">
        <f>AND(#REF!,"AAAAAH/59dk=")</f>
        <v>#REF!</v>
      </c>
      <c r="HK513" t="e">
        <f>AND(#REF!,"AAAAAH/59do=")</f>
        <v>#REF!</v>
      </c>
      <c r="HL513" t="e">
        <f>AND(#REF!,"AAAAAH/59ds=")</f>
        <v>#REF!</v>
      </c>
      <c r="HM513" t="e">
        <f>AND(#REF!,"AAAAAH/59dw=")</f>
        <v>#REF!</v>
      </c>
      <c r="HN513" t="e">
        <f>AND(#REF!,"AAAAAH/59d0=")</f>
        <v>#REF!</v>
      </c>
      <c r="HO513" t="e">
        <f>AND(#REF!,"AAAAAH/59d4=")</f>
        <v>#REF!</v>
      </c>
      <c r="HP513" t="e">
        <f>AND(#REF!,"AAAAAH/59d8=")</f>
        <v>#REF!</v>
      </c>
      <c r="HQ513" t="e">
        <f>AND(#REF!,"AAAAAH/59eA=")</f>
        <v>#REF!</v>
      </c>
      <c r="HR513" t="e">
        <f>AND(#REF!,"AAAAAH/59eE=")</f>
        <v>#REF!</v>
      </c>
      <c r="HS513" t="e">
        <f>AND(#REF!,"AAAAAH/59eI=")</f>
        <v>#REF!</v>
      </c>
      <c r="HT513" t="e">
        <f>IF(#REF!,"AAAAAH/59eM=",0)</f>
        <v>#REF!</v>
      </c>
      <c r="HU513" t="e">
        <f>AND(#REF!,"AAAAAH/59eQ=")</f>
        <v>#REF!</v>
      </c>
      <c r="HV513" t="e">
        <f>AND(#REF!,"AAAAAH/59eU=")</f>
        <v>#REF!</v>
      </c>
      <c r="HW513" t="e">
        <f>AND(#REF!,"AAAAAH/59eY=")</f>
        <v>#REF!</v>
      </c>
      <c r="HX513" t="e">
        <f>AND(#REF!,"AAAAAH/59ec=")</f>
        <v>#REF!</v>
      </c>
      <c r="HY513" t="e">
        <f>AND(#REF!,"AAAAAH/59eg=")</f>
        <v>#REF!</v>
      </c>
      <c r="HZ513" t="e">
        <f>AND(#REF!,"AAAAAH/59ek=")</f>
        <v>#REF!</v>
      </c>
      <c r="IA513" t="e">
        <f>AND(#REF!,"AAAAAH/59eo=")</f>
        <v>#REF!</v>
      </c>
      <c r="IB513" t="e">
        <f>AND(#REF!,"AAAAAH/59es=")</f>
        <v>#REF!</v>
      </c>
      <c r="IC513" t="e">
        <f>AND(#REF!,"AAAAAH/59ew=")</f>
        <v>#REF!</v>
      </c>
      <c r="ID513" t="e">
        <f>AND(#REF!,"AAAAAH/59e0=")</f>
        <v>#REF!</v>
      </c>
      <c r="IE513" t="e">
        <f>IF(#REF!,"AAAAAH/59e4=",0)</f>
        <v>#REF!</v>
      </c>
      <c r="IF513" t="e">
        <f>AND(#REF!,"AAAAAH/59e8=")</f>
        <v>#REF!</v>
      </c>
      <c r="IG513" t="e">
        <f>AND(#REF!,"AAAAAH/59fA=")</f>
        <v>#REF!</v>
      </c>
      <c r="IH513" t="e">
        <f>AND(#REF!,"AAAAAH/59fE=")</f>
        <v>#REF!</v>
      </c>
      <c r="II513" t="e">
        <f>AND(#REF!,"AAAAAH/59fI=")</f>
        <v>#REF!</v>
      </c>
      <c r="IJ513" t="e">
        <f>AND(#REF!,"AAAAAH/59fM=")</f>
        <v>#REF!</v>
      </c>
      <c r="IK513" t="e">
        <f>AND(#REF!,"AAAAAH/59fQ=")</f>
        <v>#REF!</v>
      </c>
      <c r="IL513" t="e">
        <f>AND(#REF!,"AAAAAH/59fU=")</f>
        <v>#REF!</v>
      </c>
      <c r="IM513" t="e">
        <f>AND(#REF!,"AAAAAH/59fY=")</f>
        <v>#REF!</v>
      </c>
      <c r="IN513" t="e">
        <f>AND(#REF!,"AAAAAH/59fc=")</f>
        <v>#REF!</v>
      </c>
      <c r="IO513" t="e">
        <f>AND(#REF!,"AAAAAH/59fg=")</f>
        <v>#REF!</v>
      </c>
      <c r="IP513" t="e">
        <f>IF(#REF!,"AAAAAH/59fk=",0)</f>
        <v>#REF!</v>
      </c>
      <c r="IQ513" t="e">
        <f>AND(#REF!,"AAAAAH/59fo=")</f>
        <v>#REF!</v>
      </c>
      <c r="IR513" t="e">
        <f>AND(#REF!,"AAAAAH/59fs=")</f>
        <v>#REF!</v>
      </c>
      <c r="IS513" t="e">
        <f>AND(#REF!,"AAAAAH/59fw=")</f>
        <v>#REF!</v>
      </c>
      <c r="IT513" t="e">
        <f>AND(#REF!,"AAAAAH/59f0=")</f>
        <v>#REF!</v>
      </c>
      <c r="IU513" t="e">
        <f>AND(#REF!,"AAAAAH/59f4=")</f>
        <v>#REF!</v>
      </c>
      <c r="IV513" t="e">
        <f>AND(#REF!,"AAAAAH/59f8=")</f>
        <v>#REF!</v>
      </c>
    </row>
    <row r="514" spans="1:256" x14ac:dyDescent="0.25">
      <c r="A514" t="e">
        <f>AND(#REF!,"AAAAAFi17wA=")</f>
        <v>#REF!</v>
      </c>
      <c r="B514" t="e">
        <f>AND(#REF!,"AAAAAFi17wE=")</f>
        <v>#REF!</v>
      </c>
      <c r="C514" t="e">
        <f>AND(#REF!,"AAAAAFi17wI=")</f>
        <v>#REF!</v>
      </c>
      <c r="D514" t="e">
        <f>AND(#REF!,"AAAAAFi17wM=")</f>
        <v>#REF!</v>
      </c>
      <c r="E514" t="e">
        <f>IF(#REF!,"AAAAAFi17wQ=",0)</f>
        <v>#REF!</v>
      </c>
      <c r="F514" t="e">
        <f>AND(#REF!,"AAAAAFi17wU=")</f>
        <v>#REF!</v>
      </c>
      <c r="G514" t="e">
        <f>AND(#REF!,"AAAAAFi17wY=")</f>
        <v>#REF!</v>
      </c>
      <c r="H514" t="e">
        <f>AND(#REF!,"AAAAAFi17wc=")</f>
        <v>#REF!</v>
      </c>
      <c r="I514" t="e">
        <f>AND(#REF!,"AAAAAFi17wg=")</f>
        <v>#REF!</v>
      </c>
      <c r="J514" t="e">
        <f>AND(#REF!,"AAAAAFi17wk=")</f>
        <v>#REF!</v>
      </c>
      <c r="K514" t="e">
        <f>AND(#REF!,"AAAAAFi17wo=")</f>
        <v>#REF!</v>
      </c>
      <c r="L514" t="e">
        <f>AND(#REF!,"AAAAAFi17ws=")</f>
        <v>#REF!</v>
      </c>
      <c r="M514" t="e">
        <f>AND(#REF!,"AAAAAFi17ww=")</f>
        <v>#REF!</v>
      </c>
      <c r="N514" t="e">
        <f>AND(#REF!,"AAAAAFi17w0=")</f>
        <v>#REF!</v>
      </c>
      <c r="O514" t="e">
        <f>AND(#REF!,"AAAAAFi17w4=")</f>
        <v>#REF!</v>
      </c>
      <c r="P514" t="e">
        <f>IF(#REF!,"AAAAAFi17w8=",0)</f>
        <v>#REF!</v>
      </c>
      <c r="Q514" t="e">
        <f>AND(#REF!,"AAAAAFi17xA=")</f>
        <v>#REF!</v>
      </c>
      <c r="R514" t="e">
        <f>AND(#REF!,"AAAAAFi17xE=")</f>
        <v>#REF!</v>
      </c>
      <c r="S514" t="e">
        <f>AND(#REF!,"AAAAAFi17xI=")</f>
        <v>#REF!</v>
      </c>
      <c r="T514" t="e">
        <f>AND(#REF!,"AAAAAFi17xM=")</f>
        <v>#REF!</v>
      </c>
      <c r="U514" t="e">
        <f>AND(#REF!,"AAAAAFi17xQ=")</f>
        <v>#REF!</v>
      </c>
      <c r="V514" t="e">
        <f>AND(#REF!,"AAAAAFi17xU=")</f>
        <v>#REF!</v>
      </c>
      <c r="W514" t="e">
        <f>AND(#REF!,"AAAAAFi17xY=")</f>
        <v>#REF!</v>
      </c>
      <c r="X514" t="e">
        <f>AND(#REF!,"AAAAAFi17xc=")</f>
        <v>#REF!</v>
      </c>
      <c r="Y514" t="e">
        <f>AND(#REF!,"AAAAAFi17xg=")</f>
        <v>#REF!</v>
      </c>
      <c r="Z514" t="e">
        <f>AND(#REF!,"AAAAAFi17xk=")</f>
        <v>#REF!</v>
      </c>
      <c r="AA514" t="e">
        <f>IF(#REF!,"AAAAAFi17xo=",0)</f>
        <v>#REF!</v>
      </c>
      <c r="AB514" t="e">
        <f>AND(#REF!,"AAAAAFi17xs=")</f>
        <v>#REF!</v>
      </c>
      <c r="AC514" t="e">
        <f>AND(#REF!,"AAAAAFi17xw=")</f>
        <v>#REF!</v>
      </c>
      <c r="AD514" t="e">
        <f>AND(#REF!,"AAAAAFi17x0=")</f>
        <v>#REF!</v>
      </c>
      <c r="AE514" t="e">
        <f>AND(#REF!,"AAAAAFi17x4=")</f>
        <v>#REF!</v>
      </c>
      <c r="AF514" t="e">
        <f>AND(#REF!,"AAAAAFi17x8=")</f>
        <v>#REF!</v>
      </c>
      <c r="AG514" t="e">
        <f>AND(#REF!,"AAAAAFi17yA=")</f>
        <v>#REF!</v>
      </c>
      <c r="AH514" t="e">
        <f>AND(#REF!,"AAAAAFi17yE=")</f>
        <v>#REF!</v>
      </c>
      <c r="AI514" t="e">
        <f>AND(#REF!,"AAAAAFi17yI=")</f>
        <v>#REF!</v>
      </c>
      <c r="AJ514" t="e">
        <f>AND(#REF!,"AAAAAFi17yM=")</f>
        <v>#REF!</v>
      </c>
      <c r="AK514" t="e">
        <f>AND(#REF!,"AAAAAFi17yQ=")</f>
        <v>#REF!</v>
      </c>
      <c r="AL514" t="e">
        <f>IF(#REF!,"AAAAAFi17yU=",0)</f>
        <v>#REF!</v>
      </c>
      <c r="AM514" t="e">
        <f>AND(#REF!,"AAAAAFi17yY=")</f>
        <v>#REF!</v>
      </c>
      <c r="AN514" t="e">
        <f>AND(#REF!,"AAAAAFi17yc=")</f>
        <v>#REF!</v>
      </c>
      <c r="AO514" t="e">
        <f>AND(#REF!,"AAAAAFi17yg=")</f>
        <v>#REF!</v>
      </c>
      <c r="AP514" t="e">
        <f>AND(#REF!,"AAAAAFi17yk=")</f>
        <v>#REF!</v>
      </c>
      <c r="AQ514" t="e">
        <f>AND(#REF!,"AAAAAFi17yo=")</f>
        <v>#REF!</v>
      </c>
      <c r="AR514" t="e">
        <f>AND(#REF!,"AAAAAFi17ys=")</f>
        <v>#REF!</v>
      </c>
      <c r="AS514" t="e">
        <f>AND(#REF!,"AAAAAFi17yw=")</f>
        <v>#REF!</v>
      </c>
      <c r="AT514" t="e">
        <f>AND(#REF!,"AAAAAFi17y0=")</f>
        <v>#REF!</v>
      </c>
      <c r="AU514" t="e">
        <f>AND(#REF!,"AAAAAFi17y4=")</f>
        <v>#REF!</v>
      </c>
      <c r="AV514" t="e">
        <f>AND(#REF!,"AAAAAFi17y8=")</f>
        <v>#REF!</v>
      </c>
      <c r="AW514" t="e">
        <f>IF(#REF!,"AAAAAFi17zA=",0)</f>
        <v>#REF!</v>
      </c>
      <c r="AX514" t="e">
        <f>AND(#REF!,"AAAAAFi17zE=")</f>
        <v>#REF!</v>
      </c>
      <c r="AY514" t="e">
        <f>AND(#REF!,"AAAAAFi17zI=")</f>
        <v>#REF!</v>
      </c>
      <c r="AZ514" t="e">
        <f>AND(#REF!,"AAAAAFi17zM=")</f>
        <v>#REF!</v>
      </c>
      <c r="BA514" t="e">
        <f>AND(#REF!,"AAAAAFi17zQ=")</f>
        <v>#REF!</v>
      </c>
      <c r="BB514" t="e">
        <f>AND(#REF!,"AAAAAFi17zU=")</f>
        <v>#REF!</v>
      </c>
      <c r="BC514" t="e">
        <f>AND(#REF!,"AAAAAFi17zY=")</f>
        <v>#REF!</v>
      </c>
      <c r="BD514" t="e">
        <f>AND(#REF!,"AAAAAFi17zc=")</f>
        <v>#REF!</v>
      </c>
      <c r="BE514" t="e">
        <f>AND(#REF!,"AAAAAFi17zg=")</f>
        <v>#REF!</v>
      </c>
      <c r="BF514" t="e">
        <f>AND(#REF!,"AAAAAFi17zk=")</f>
        <v>#REF!</v>
      </c>
      <c r="BG514" t="e">
        <f>AND(#REF!,"AAAAAFi17zo=")</f>
        <v>#REF!</v>
      </c>
      <c r="BH514" t="e">
        <f>IF(#REF!,"AAAAAFi17zs=",0)</f>
        <v>#REF!</v>
      </c>
      <c r="BI514" t="e">
        <f>AND(#REF!,"AAAAAFi17zw=")</f>
        <v>#REF!</v>
      </c>
      <c r="BJ514" t="e">
        <f>AND(#REF!,"AAAAAFi17z0=")</f>
        <v>#REF!</v>
      </c>
      <c r="BK514" t="e">
        <f>AND(#REF!,"AAAAAFi17z4=")</f>
        <v>#REF!</v>
      </c>
      <c r="BL514" t="e">
        <f>AND(#REF!,"AAAAAFi17z8=")</f>
        <v>#REF!</v>
      </c>
      <c r="BM514" t="e">
        <f>AND(#REF!,"AAAAAFi170A=")</f>
        <v>#REF!</v>
      </c>
      <c r="BN514" t="e">
        <f>AND(#REF!,"AAAAAFi170E=")</f>
        <v>#REF!</v>
      </c>
      <c r="BO514" t="e">
        <f>AND(#REF!,"AAAAAFi170I=")</f>
        <v>#REF!</v>
      </c>
      <c r="BP514" t="e">
        <f>AND(#REF!,"AAAAAFi170M=")</f>
        <v>#REF!</v>
      </c>
      <c r="BQ514" t="e">
        <f>AND(#REF!,"AAAAAFi170Q=")</f>
        <v>#REF!</v>
      </c>
      <c r="BR514" t="e">
        <f>AND(#REF!,"AAAAAFi170U=")</f>
        <v>#REF!</v>
      </c>
      <c r="BS514" t="e">
        <f>IF(#REF!,"AAAAAFi170Y=",0)</f>
        <v>#REF!</v>
      </c>
      <c r="BT514" t="e">
        <f>AND(#REF!,"AAAAAFi170c=")</f>
        <v>#REF!</v>
      </c>
      <c r="BU514" t="e">
        <f>AND(#REF!,"AAAAAFi170g=")</f>
        <v>#REF!</v>
      </c>
      <c r="BV514" t="e">
        <f>AND(#REF!,"AAAAAFi170k=")</f>
        <v>#REF!</v>
      </c>
      <c r="BW514" t="e">
        <f>AND(#REF!,"AAAAAFi170o=")</f>
        <v>#REF!</v>
      </c>
      <c r="BX514" t="e">
        <f>AND(#REF!,"AAAAAFi170s=")</f>
        <v>#REF!</v>
      </c>
      <c r="BY514" t="e">
        <f>AND(#REF!,"AAAAAFi170w=")</f>
        <v>#REF!</v>
      </c>
      <c r="BZ514" t="e">
        <f>AND(#REF!,"AAAAAFi1700=")</f>
        <v>#REF!</v>
      </c>
      <c r="CA514" t="e">
        <f>AND(#REF!,"AAAAAFi1704=")</f>
        <v>#REF!</v>
      </c>
      <c r="CB514" t="e">
        <f>AND(#REF!,"AAAAAFi1708=")</f>
        <v>#REF!</v>
      </c>
      <c r="CC514" t="e">
        <f>AND(#REF!,"AAAAAFi171A=")</f>
        <v>#REF!</v>
      </c>
      <c r="CD514" t="e">
        <f>IF(#REF!,"AAAAAFi171E=",0)</f>
        <v>#REF!</v>
      </c>
      <c r="CE514" t="e">
        <f>AND(#REF!,"AAAAAFi171I=")</f>
        <v>#REF!</v>
      </c>
      <c r="CF514" t="e">
        <f>AND(#REF!,"AAAAAFi171M=")</f>
        <v>#REF!</v>
      </c>
      <c r="CG514" t="e">
        <f>AND(#REF!,"AAAAAFi171Q=")</f>
        <v>#REF!</v>
      </c>
      <c r="CH514" t="e">
        <f>AND(#REF!,"AAAAAFi171U=")</f>
        <v>#REF!</v>
      </c>
      <c r="CI514" t="e">
        <f>AND(#REF!,"AAAAAFi171Y=")</f>
        <v>#REF!</v>
      </c>
      <c r="CJ514" t="e">
        <f>AND(#REF!,"AAAAAFi171c=")</f>
        <v>#REF!</v>
      </c>
      <c r="CK514" t="e">
        <f>AND(#REF!,"AAAAAFi171g=")</f>
        <v>#REF!</v>
      </c>
      <c r="CL514" t="e">
        <f>AND(#REF!,"AAAAAFi171k=")</f>
        <v>#REF!</v>
      </c>
      <c r="CM514" t="e">
        <f>AND(#REF!,"AAAAAFi171o=")</f>
        <v>#REF!</v>
      </c>
      <c r="CN514" t="e">
        <f>AND(#REF!,"AAAAAFi171s=")</f>
        <v>#REF!</v>
      </c>
      <c r="CO514" t="e">
        <f>IF(#REF!,"AAAAAFi171w=",0)</f>
        <v>#REF!</v>
      </c>
      <c r="CP514" t="e">
        <f>AND(#REF!,"AAAAAFi1710=")</f>
        <v>#REF!</v>
      </c>
      <c r="CQ514" t="e">
        <f>AND(#REF!,"AAAAAFi1714=")</f>
        <v>#REF!</v>
      </c>
      <c r="CR514" t="e">
        <f>AND(#REF!,"AAAAAFi1718=")</f>
        <v>#REF!</v>
      </c>
      <c r="CS514" t="e">
        <f>AND(#REF!,"AAAAAFi172A=")</f>
        <v>#REF!</v>
      </c>
      <c r="CT514" t="e">
        <f>AND(#REF!,"AAAAAFi172E=")</f>
        <v>#REF!</v>
      </c>
      <c r="CU514" t="e">
        <f>AND(#REF!,"AAAAAFi172I=")</f>
        <v>#REF!</v>
      </c>
      <c r="CV514" t="e">
        <f>AND(#REF!,"AAAAAFi172M=")</f>
        <v>#REF!</v>
      </c>
      <c r="CW514" t="e">
        <f>AND(#REF!,"AAAAAFi172Q=")</f>
        <v>#REF!</v>
      </c>
      <c r="CX514" t="e">
        <f>AND(#REF!,"AAAAAFi172U=")</f>
        <v>#REF!</v>
      </c>
      <c r="CY514" t="e">
        <f>AND(#REF!,"AAAAAFi172Y=")</f>
        <v>#REF!</v>
      </c>
      <c r="CZ514" t="e">
        <f>IF(#REF!,"AAAAAFi172c=",0)</f>
        <v>#REF!</v>
      </c>
      <c r="DA514" t="e">
        <f>AND(#REF!,"AAAAAFi172g=")</f>
        <v>#REF!</v>
      </c>
      <c r="DB514" t="e">
        <f>AND(#REF!,"AAAAAFi172k=")</f>
        <v>#REF!</v>
      </c>
      <c r="DC514" t="e">
        <f>AND(#REF!,"AAAAAFi172o=")</f>
        <v>#REF!</v>
      </c>
      <c r="DD514" t="e">
        <f>AND(#REF!,"AAAAAFi172s=")</f>
        <v>#REF!</v>
      </c>
      <c r="DE514" t="e">
        <f>AND(#REF!,"AAAAAFi172w=")</f>
        <v>#REF!</v>
      </c>
      <c r="DF514" t="e">
        <f>AND(#REF!,"AAAAAFi1720=")</f>
        <v>#REF!</v>
      </c>
      <c r="DG514" t="e">
        <f>AND(#REF!,"AAAAAFi1724=")</f>
        <v>#REF!</v>
      </c>
      <c r="DH514" t="e">
        <f>AND(#REF!,"AAAAAFi1728=")</f>
        <v>#REF!</v>
      </c>
      <c r="DI514" t="e">
        <f>AND(#REF!,"AAAAAFi173A=")</f>
        <v>#REF!</v>
      </c>
      <c r="DJ514" t="e">
        <f>AND(#REF!,"AAAAAFi173E=")</f>
        <v>#REF!</v>
      </c>
      <c r="DK514" t="e">
        <f>IF(#REF!,"AAAAAFi173I=",0)</f>
        <v>#REF!</v>
      </c>
      <c r="DL514" t="e">
        <f>AND(#REF!,"AAAAAFi173M=")</f>
        <v>#REF!</v>
      </c>
      <c r="DM514" t="e">
        <f>AND(#REF!,"AAAAAFi173Q=")</f>
        <v>#REF!</v>
      </c>
      <c r="DN514" t="e">
        <f>AND(#REF!,"AAAAAFi173U=")</f>
        <v>#REF!</v>
      </c>
      <c r="DO514" t="e">
        <f>AND(#REF!,"AAAAAFi173Y=")</f>
        <v>#REF!</v>
      </c>
      <c r="DP514" t="e">
        <f>AND(#REF!,"AAAAAFi173c=")</f>
        <v>#REF!</v>
      </c>
      <c r="DQ514" t="e">
        <f>AND(#REF!,"AAAAAFi173g=")</f>
        <v>#REF!</v>
      </c>
      <c r="DR514" t="e">
        <f>AND(#REF!,"AAAAAFi173k=")</f>
        <v>#REF!</v>
      </c>
      <c r="DS514" t="e">
        <f>AND(#REF!,"AAAAAFi173o=")</f>
        <v>#REF!</v>
      </c>
      <c r="DT514" t="e">
        <f>AND(#REF!,"AAAAAFi173s=")</f>
        <v>#REF!</v>
      </c>
      <c r="DU514" t="e">
        <f>AND(#REF!,"AAAAAFi173w=")</f>
        <v>#REF!</v>
      </c>
      <c r="DV514" t="e">
        <f>IF(#REF!,"AAAAAFi1730=",0)</f>
        <v>#REF!</v>
      </c>
      <c r="DW514" t="e">
        <f>AND(#REF!,"AAAAAFi1734=")</f>
        <v>#REF!</v>
      </c>
      <c r="DX514" t="e">
        <f>AND(#REF!,"AAAAAFi1738=")</f>
        <v>#REF!</v>
      </c>
      <c r="DY514" t="e">
        <f>AND(#REF!,"AAAAAFi174A=")</f>
        <v>#REF!</v>
      </c>
      <c r="DZ514" t="e">
        <f>AND(#REF!,"AAAAAFi174E=")</f>
        <v>#REF!</v>
      </c>
      <c r="EA514" t="e">
        <f>AND(#REF!,"AAAAAFi174I=")</f>
        <v>#REF!</v>
      </c>
      <c r="EB514" t="e">
        <f>AND(#REF!,"AAAAAFi174M=")</f>
        <v>#REF!</v>
      </c>
      <c r="EC514" t="e">
        <f>AND(#REF!,"AAAAAFi174Q=")</f>
        <v>#REF!</v>
      </c>
      <c r="ED514" t="e">
        <f>AND(#REF!,"AAAAAFi174U=")</f>
        <v>#REF!</v>
      </c>
      <c r="EE514" t="e">
        <f>AND(#REF!,"AAAAAFi174Y=")</f>
        <v>#REF!</v>
      </c>
      <c r="EF514" t="e">
        <f>AND(#REF!,"AAAAAFi174c=")</f>
        <v>#REF!</v>
      </c>
      <c r="EG514" t="e">
        <f>IF(#REF!,"AAAAAFi174g=",0)</f>
        <v>#REF!</v>
      </c>
      <c r="EH514" t="e">
        <f>AND(#REF!,"AAAAAFi174k=")</f>
        <v>#REF!</v>
      </c>
      <c r="EI514" t="e">
        <f>AND(#REF!,"AAAAAFi174o=")</f>
        <v>#REF!</v>
      </c>
      <c r="EJ514" t="e">
        <f>AND(#REF!,"AAAAAFi174s=")</f>
        <v>#REF!</v>
      </c>
      <c r="EK514" t="e">
        <f>AND(#REF!,"AAAAAFi174w=")</f>
        <v>#REF!</v>
      </c>
      <c r="EL514" t="e">
        <f>AND(#REF!,"AAAAAFi1740=")</f>
        <v>#REF!</v>
      </c>
      <c r="EM514" t="e">
        <f>AND(#REF!,"AAAAAFi1744=")</f>
        <v>#REF!</v>
      </c>
      <c r="EN514" t="e">
        <f>AND(#REF!,"AAAAAFi1748=")</f>
        <v>#REF!</v>
      </c>
      <c r="EO514" t="e">
        <f>AND(#REF!,"AAAAAFi175A=")</f>
        <v>#REF!</v>
      </c>
      <c r="EP514" t="e">
        <f>AND(#REF!,"AAAAAFi175E=")</f>
        <v>#REF!</v>
      </c>
      <c r="EQ514" t="e">
        <f>AND(#REF!,"AAAAAFi175I=")</f>
        <v>#REF!</v>
      </c>
      <c r="ER514" t="e">
        <f>IF(#REF!,"AAAAAFi175M=",0)</f>
        <v>#REF!</v>
      </c>
      <c r="ES514" t="e">
        <f>AND(#REF!,"AAAAAFi175Q=")</f>
        <v>#REF!</v>
      </c>
      <c r="ET514" t="e">
        <f>AND(#REF!,"AAAAAFi175U=")</f>
        <v>#REF!</v>
      </c>
      <c r="EU514" t="e">
        <f>AND(#REF!,"AAAAAFi175Y=")</f>
        <v>#REF!</v>
      </c>
      <c r="EV514" t="e">
        <f>AND(#REF!,"AAAAAFi175c=")</f>
        <v>#REF!</v>
      </c>
      <c r="EW514" t="e">
        <f>AND(#REF!,"AAAAAFi175g=")</f>
        <v>#REF!</v>
      </c>
      <c r="EX514" t="e">
        <f>AND(#REF!,"AAAAAFi175k=")</f>
        <v>#REF!</v>
      </c>
      <c r="EY514" t="e">
        <f>AND(#REF!,"AAAAAFi175o=")</f>
        <v>#REF!</v>
      </c>
      <c r="EZ514" t="e">
        <f>AND(#REF!,"AAAAAFi175s=")</f>
        <v>#REF!</v>
      </c>
      <c r="FA514" t="e">
        <f>AND(#REF!,"AAAAAFi175w=")</f>
        <v>#REF!</v>
      </c>
      <c r="FB514" t="e">
        <f>AND(#REF!,"AAAAAFi1750=")</f>
        <v>#REF!</v>
      </c>
      <c r="FC514" t="e">
        <f>IF(#REF!,"AAAAAFi1754=",0)</f>
        <v>#REF!</v>
      </c>
      <c r="FD514" t="e">
        <f>AND(#REF!,"AAAAAFi1758=")</f>
        <v>#REF!</v>
      </c>
      <c r="FE514" t="e">
        <f>AND(#REF!,"AAAAAFi176A=")</f>
        <v>#REF!</v>
      </c>
      <c r="FF514" t="e">
        <f>AND(#REF!,"AAAAAFi176E=")</f>
        <v>#REF!</v>
      </c>
      <c r="FG514" t="e">
        <f>AND(#REF!,"AAAAAFi176I=")</f>
        <v>#REF!</v>
      </c>
      <c r="FH514" t="e">
        <f>AND(#REF!,"AAAAAFi176M=")</f>
        <v>#REF!</v>
      </c>
      <c r="FI514" t="e">
        <f>AND(#REF!,"AAAAAFi176Q=")</f>
        <v>#REF!</v>
      </c>
      <c r="FJ514" t="e">
        <f>AND(#REF!,"AAAAAFi176U=")</f>
        <v>#REF!</v>
      </c>
      <c r="FK514" t="e">
        <f>AND(#REF!,"AAAAAFi176Y=")</f>
        <v>#REF!</v>
      </c>
      <c r="FL514" t="e">
        <f>AND(#REF!,"AAAAAFi176c=")</f>
        <v>#REF!</v>
      </c>
      <c r="FM514" t="e">
        <f>AND(#REF!,"AAAAAFi176g=")</f>
        <v>#REF!</v>
      </c>
      <c r="FN514" t="e">
        <f>IF(#REF!,"AAAAAFi176k=",0)</f>
        <v>#REF!</v>
      </c>
      <c r="FO514" t="e">
        <f>AND(#REF!,"AAAAAFi176o=")</f>
        <v>#REF!</v>
      </c>
      <c r="FP514" t="e">
        <f>AND(#REF!,"AAAAAFi176s=")</f>
        <v>#REF!</v>
      </c>
      <c r="FQ514" t="e">
        <f>AND(#REF!,"AAAAAFi176w=")</f>
        <v>#REF!</v>
      </c>
      <c r="FR514" t="e">
        <f>AND(#REF!,"AAAAAFi1760=")</f>
        <v>#REF!</v>
      </c>
      <c r="FS514" t="e">
        <f>AND(#REF!,"AAAAAFi1764=")</f>
        <v>#REF!</v>
      </c>
      <c r="FT514" t="e">
        <f>AND(#REF!,"AAAAAFi1768=")</f>
        <v>#REF!</v>
      </c>
      <c r="FU514" t="e">
        <f>AND(#REF!,"AAAAAFi177A=")</f>
        <v>#REF!</v>
      </c>
      <c r="FV514" t="e">
        <f>AND(#REF!,"AAAAAFi177E=")</f>
        <v>#REF!</v>
      </c>
      <c r="FW514" t="e">
        <f>AND(#REF!,"AAAAAFi177I=")</f>
        <v>#REF!</v>
      </c>
      <c r="FX514" t="e">
        <f>AND(#REF!,"AAAAAFi177M=")</f>
        <v>#REF!</v>
      </c>
      <c r="FY514" t="e">
        <f>IF(#REF!,"AAAAAFi177Q=",0)</f>
        <v>#REF!</v>
      </c>
      <c r="FZ514" t="e">
        <f>AND(#REF!,"AAAAAFi177U=")</f>
        <v>#REF!</v>
      </c>
      <c r="GA514" t="e">
        <f>AND(#REF!,"AAAAAFi177Y=")</f>
        <v>#REF!</v>
      </c>
      <c r="GB514" t="e">
        <f>AND(#REF!,"AAAAAFi177c=")</f>
        <v>#REF!</v>
      </c>
      <c r="GC514" t="e">
        <f>AND(#REF!,"AAAAAFi177g=")</f>
        <v>#REF!</v>
      </c>
      <c r="GD514" t="e">
        <f>AND(#REF!,"AAAAAFi177k=")</f>
        <v>#REF!</v>
      </c>
      <c r="GE514" t="e">
        <f>AND(#REF!,"AAAAAFi177o=")</f>
        <v>#REF!</v>
      </c>
      <c r="GF514" t="e">
        <f>AND(#REF!,"AAAAAFi177s=")</f>
        <v>#REF!</v>
      </c>
      <c r="GG514" t="e">
        <f>AND(#REF!,"AAAAAFi177w=")</f>
        <v>#REF!</v>
      </c>
      <c r="GH514" t="e">
        <f>AND(#REF!,"AAAAAFi1770=")</f>
        <v>#REF!</v>
      </c>
      <c r="GI514" t="e">
        <f>AND(#REF!,"AAAAAFi1774=")</f>
        <v>#REF!</v>
      </c>
      <c r="GJ514" t="e">
        <f>IF(#REF!,"AAAAAFi1778=",0)</f>
        <v>#REF!</v>
      </c>
      <c r="GK514" t="e">
        <f>AND(#REF!,"AAAAAFi178A=")</f>
        <v>#REF!</v>
      </c>
      <c r="GL514" t="e">
        <f>AND(#REF!,"AAAAAFi178E=")</f>
        <v>#REF!</v>
      </c>
      <c r="GM514" t="e">
        <f>AND(#REF!,"AAAAAFi178I=")</f>
        <v>#REF!</v>
      </c>
      <c r="GN514" t="e">
        <f>AND(#REF!,"AAAAAFi178M=")</f>
        <v>#REF!</v>
      </c>
      <c r="GO514" t="e">
        <f>AND(#REF!,"AAAAAFi178Q=")</f>
        <v>#REF!</v>
      </c>
      <c r="GP514" t="e">
        <f>AND(#REF!,"AAAAAFi178U=")</f>
        <v>#REF!</v>
      </c>
      <c r="GQ514" t="e">
        <f>AND(#REF!,"AAAAAFi178Y=")</f>
        <v>#REF!</v>
      </c>
      <c r="GR514" t="e">
        <f>AND(#REF!,"AAAAAFi178c=")</f>
        <v>#REF!</v>
      </c>
      <c r="GS514" t="e">
        <f>AND(#REF!,"AAAAAFi178g=")</f>
        <v>#REF!</v>
      </c>
      <c r="GT514" t="e">
        <f>AND(#REF!,"AAAAAFi178k=")</f>
        <v>#REF!</v>
      </c>
      <c r="GU514" t="e">
        <f>IF(#REF!,"AAAAAFi178o=",0)</f>
        <v>#REF!</v>
      </c>
      <c r="GV514" t="e">
        <f>AND(#REF!,"AAAAAFi178s=")</f>
        <v>#REF!</v>
      </c>
      <c r="GW514" t="e">
        <f>AND(#REF!,"AAAAAFi178w=")</f>
        <v>#REF!</v>
      </c>
      <c r="GX514" t="e">
        <f>AND(#REF!,"AAAAAFi1780=")</f>
        <v>#REF!</v>
      </c>
      <c r="GY514" t="e">
        <f>AND(#REF!,"AAAAAFi1784=")</f>
        <v>#REF!</v>
      </c>
      <c r="GZ514" t="e">
        <f>AND(#REF!,"AAAAAFi1788=")</f>
        <v>#REF!</v>
      </c>
      <c r="HA514" t="e">
        <f>AND(#REF!,"AAAAAFi179A=")</f>
        <v>#REF!</v>
      </c>
      <c r="HB514" t="e">
        <f>AND(#REF!,"AAAAAFi179E=")</f>
        <v>#REF!</v>
      </c>
      <c r="HC514" t="e">
        <f>AND(#REF!,"AAAAAFi179I=")</f>
        <v>#REF!</v>
      </c>
      <c r="HD514" t="e">
        <f>AND(#REF!,"AAAAAFi179M=")</f>
        <v>#REF!</v>
      </c>
      <c r="HE514" t="e">
        <f>AND(#REF!,"AAAAAFi179Q=")</f>
        <v>#REF!</v>
      </c>
      <c r="HF514" t="e">
        <f>IF(#REF!,"AAAAAFi179U=",0)</f>
        <v>#REF!</v>
      </c>
      <c r="HG514" t="e">
        <f>AND(#REF!,"AAAAAFi179Y=")</f>
        <v>#REF!</v>
      </c>
      <c r="HH514" t="e">
        <f>AND(#REF!,"AAAAAFi179c=")</f>
        <v>#REF!</v>
      </c>
      <c r="HI514" t="e">
        <f>AND(#REF!,"AAAAAFi179g=")</f>
        <v>#REF!</v>
      </c>
      <c r="HJ514" t="e">
        <f>AND(#REF!,"AAAAAFi179k=")</f>
        <v>#REF!</v>
      </c>
      <c r="HK514" t="e">
        <f>AND(#REF!,"AAAAAFi179o=")</f>
        <v>#REF!</v>
      </c>
      <c r="HL514" t="e">
        <f>AND(#REF!,"AAAAAFi179s=")</f>
        <v>#REF!</v>
      </c>
      <c r="HM514" t="e">
        <f>AND(#REF!,"AAAAAFi179w=")</f>
        <v>#REF!</v>
      </c>
      <c r="HN514" t="e">
        <f>AND(#REF!,"AAAAAFi1790=")</f>
        <v>#REF!</v>
      </c>
      <c r="HO514" t="e">
        <f>AND(#REF!,"AAAAAFi1794=")</f>
        <v>#REF!</v>
      </c>
      <c r="HP514" t="e">
        <f>AND(#REF!,"AAAAAFi1798=")</f>
        <v>#REF!</v>
      </c>
      <c r="HQ514" t="e">
        <f>IF(#REF!,"AAAAAFi17+A=",0)</f>
        <v>#REF!</v>
      </c>
      <c r="HR514" t="e">
        <f>AND(#REF!,"AAAAAFi17+E=")</f>
        <v>#REF!</v>
      </c>
      <c r="HS514" t="e">
        <f>AND(#REF!,"AAAAAFi17+I=")</f>
        <v>#REF!</v>
      </c>
      <c r="HT514" t="e">
        <f>AND(#REF!,"AAAAAFi17+M=")</f>
        <v>#REF!</v>
      </c>
      <c r="HU514" t="e">
        <f>AND(#REF!,"AAAAAFi17+Q=")</f>
        <v>#REF!</v>
      </c>
      <c r="HV514" t="e">
        <f>AND(#REF!,"AAAAAFi17+U=")</f>
        <v>#REF!</v>
      </c>
      <c r="HW514" t="e">
        <f>AND(#REF!,"AAAAAFi17+Y=")</f>
        <v>#REF!</v>
      </c>
      <c r="HX514" t="e">
        <f>AND(#REF!,"AAAAAFi17+c=")</f>
        <v>#REF!</v>
      </c>
      <c r="HY514" t="e">
        <f>AND(#REF!,"AAAAAFi17+g=")</f>
        <v>#REF!</v>
      </c>
      <c r="HZ514" t="e">
        <f>AND(#REF!,"AAAAAFi17+k=")</f>
        <v>#REF!</v>
      </c>
      <c r="IA514" t="e">
        <f>AND(#REF!,"AAAAAFi17+o=")</f>
        <v>#REF!</v>
      </c>
      <c r="IB514" t="e">
        <f>IF(#REF!,"AAAAAFi17+s=",0)</f>
        <v>#REF!</v>
      </c>
      <c r="IC514" t="e">
        <f>AND(#REF!,"AAAAAFi17+w=")</f>
        <v>#REF!</v>
      </c>
      <c r="ID514" t="e">
        <f>AND(#REF!,"AAAAAFi17+0=")</f>
        <v>#REF!</v>
      </c>
      <c r="IE514" t="e">
        <f>AND(#REF!,"AAAAAFi17+4=")</f>
        <v>#REF!</v>
      </c>
      <c r="IF514" t="e">
        <f>AND(#REF!,"AAAAAFi17+8=")</f>
        <v>#REF!</v>
      </c>
      <c r="IG514" t="e">
        <f>AND(#REF!,"AAAAAFi17/A=")</f>
        <v>#REF!</v>
      </c>
      <c r="IH514" t="e">
        <f>AND(#REF!,"AAAAAFi17/E=")</f>
        <v>#REF!</v>
      </c>
      <c r="II514" t="e">
        <f>AND(#REF!,"AAAAAFi17/I=")</f>
        <v>#REF!</v>
      </c>
      <c r="IJ514" t="e">
        <f>AND(#REF!,"AAAAAFi17/M=")</f>
        <v>#REF!</v>
      </c>
      <c r="IK514" t="e">
        <f>AND(#REF!,"AAAAAFi17/Q=")</f>
        <v>#REF!</v>
      </c>
      <c r="IL514" t="e">
        <f>AND(#REF!,"AAAAAFi17/U=")</f>
        <v>#REF!</v>
      </c>
      <c r="IM514" t="e">
        <f>IF(#REF!,"AAAAAFi17/Y=",0)</f>
        <v>#REF!</v>
      </c>
      <c r="IN514" t="e">
        <f>AND(#REF!,"AAAAAFi17/c=")</f>
        <v>#REF!</v>
      </c>
      <c r="IO514" t="e">
        <f>AND(#REF!,"AAAAAFi17/g=")</f>
        <v>#REF!</v>
      </c>
      <c r="IP514" t="e">
        <f>AND(#REF!,"AAAAAFi17/k=")</f>
        <v>#REF!</v>
      </c>
      <c r="IQ514" t="e">
        <f>AND(#REF!,"AAAAAFi17/o=")</f>
        <v>#REF!</v>
      </c>
      <c r="IR514" t="e">
        <f>AND(#REF!,"AAAAAFi17/s=")</f>
        <v>#REF!</v>
      </c>
      <c r="IS514" t="e">
        <f>AND(#REF!,"AAAAAFi17/w=")</f>
        <v>#REF!</v>
      </c>
      <c r="IT514" t="e">
        <f>AND(#REF!,"AAAAAFi17/0=")</f>
        <v>#REF!</v>
      </c>
      <c r="IU514" t="e">
        <f>AND(#REF!,"AAAAAFi17/4=")</f>
        <v>#REF!</v>
      </c>
      <c r="IV514" t="e">
        <f>AND(#REF!,"AAAAAFi17/8=")</f>
        <v>#REF!</v>
      </c>
    </row>
    <row r="515" spans="1:256" x14ac:dyDescent="0.25">
      <c r="A515" t="e">
        <f>AND(#REF!,"AAAAAHf/1QA=")</f>
        <v>#REF!</v>
      </c>
      <c r="B515" t="e">
        <f>IF(#REF!,"AAAAAHf/1QE=",0)</f>
        <v>#REF!</v>
      </c>
      <c r="C515" t="e">
        <f>AND(#REF!,"AAAAAHf/1QI=")</f>
        <v>#REF!</v>
      </c>
      <c r="D515" t="e">
        <f>AND(#REF!,"AAAAAHf/1QM=")</f>
        <v>#REF!</v>
      </c>
      <c r="E515" t="e">
        <f>AND(#REF!,"AAAAAHf/1QQ=")</f>
        <v>#REF!</v>
      </c>
      <c r="F515" t="e">
        <f>AND(#REF!,"AAAAAHf/1QU=")</f>
        <v>#REF!</v>
      </c>
      <c r="G515" t="e">
        <f>AND(#REF!,"AAAAAHf/1QY=")</f>
        <v>#REF!</v>
      </c>
      <c r="H515" t="e">
        <f>AND(#REF!,"AAAAAHf/1Qc=")</f>
        <v>#REF!</v>
      </c>
      <c r="I515" t="e">
        <f>AND(#REF!,"AAAAAHf/1Qg=")</f>
        <v>#REF!</v>
      </c>
      <c r="J515" t="e">
        <f>AND(#REF!,"AAAAAHf/1Qk=")</f>
        <v>#REF!</v>
      </c>
      <c r="K515" t="e">
        <f>AND(#REF!,"AAAAAHf/1Qo=")</f>
        <v>#REF!</v>
      </c>
      <c r="L515" t="e">
        <f>AND(#REF!,"AAAAAHf/1Qs=")</f>
        <v>#REF!</v>
      </c>
      <c r="M515" t="e">
        <f>IF(#REF!,"AAAAAHf/1Qw=",0)</f>
        <v>#REF!</v>
      </c>
      <c r="N515" t="e">
        <f>AND(#REF!,"AAAAAHf/1Q0=")</f>
        <v>#REF!</v>
      </c>
      <c r="O515" t="e">
        <f>AND(#REF!,"AAAAAHf/1Q4=")</f>
        <v>#REF!</v>
      </c>
      <c r="P515" t="e">
        <f>AND(#REF!,"AAAAAHf/1Q8=")</f>
        <v>#REF!</v>
      </c>
      <c r="Q515" t="e">
        <f>AND(#REF!,"AAAAAHf/1RA=")</f>
        <v>#REF!</v>
      </c>
      <c r="R515" t="e">
        <f>AND(#REF!,"AAAAAHf/1RE=")</f>
        <v>#REF!</v>
      </c>
      <c r="S515" t="e">
        <f>AND(#REF!,"AAAAAHf/1RI=")</f>
        <v>#REF!</v>
      </c>
      <c r="T515" t="e">
        <f>AND(#REF!,"AAAAAHf/1RM=")</f>
        <v>#REF!</v>
      </c>
      <c r="U515" t="e">
        <f>AND(#REF!,"AAAAAHf/1RQ=")</f>
        <v>#REF!</v>
      </c>
      <c r="V515" t="e">
        <f>AND(#REF!,"AAAAAHf/1RU=")</f>
        <v>#REF!</v>
      </c>
      <c r="W515" t="e">
        <f>AND(#REF!,"AAAAAHf/1RY=")</f>
        <v>#REF!</v>
      </c>
      <c r="X515" t="e">
        <f>IF(#REF!,"AAAAAHf/1Rc=",0)</f>
        <v>#REF!</v>
      </c>
      <c r="Y515" t="e">
        <f>AND(#REF!,"AAAAAHf/1Rg=")</f>
        <v>#REF!</v>
      </c>
      <c r="Z515" t="e">
        <f>AND(#REF!,"AAAAAHf/1Rk=")</f>
        <v>#REF!</v>
      </c>
      <c r="AA515" t="e">
        <f>AND(#REF!,"AAAAAHf/1Ro=")</f>
        <v>#REF!</v>
      </c>
      <c r="AB515" t="e">
        <f>AND(#REF!,"AAAAAHf/1Rs=")</f>
        <v>#REF!</v>
      </c>
      <c r="AC515" t="e">
        <f>AND(#REF!,"AAAAAHf/1Rw=")</f>
        <v>#REF!</v>
      </c>
      <c r="AD515" t="e">
        <f>AND(#REF!,"AAAAAHf/1R0=")</f>
        <v>#REF!</v>
      </c>
      <c r="AE515" t="e">
        <f>AND(#REF!,"AAAAAHf/1R4=")</f>
        <v>#REF!</v>
      </c>
      <c r="AF515" t="e">
        <f>AND(#REF!,"AAAAAHf/1R8=")</f>
        <v>#REF!</v>
      </c>
      <c r="AG515" t="e">
        <f>AND(#REF!,"AAAAAHf/1SA=")</f>
        <v>#REF!</v>
      </c>
      <c r="AH515" t="e">
        <f>AND(#REF!,"AAAAAHf/1SE=")</f>
        <v>#REF!</v>
      </c>
      <c r="AI515" t="e">
        <f>IF(#REF!,"AAAAAHf/1SI=",0)</f>
        <v>#REF!</v>
      </c>
      <c r="AJ515" t="e">
        <f>AND(#REF!,"AAAAAHf/1SM=")</f>
        <v>#REF!</v>
      </c>
      <c r="AK515" t="e">
        <f>AND(#REF!,"AAAAAHf/1SQ=")</f>
        <v>#REF!</v>
      </c>
      <c r="AL515" t="e">
        <f>AND(#REF!,"AAAAAHf/1SU=")</f>
        <v>#REF!</v>
      </c>
      <c r="AM515" t="e">
        <f>AND(#REF!,"AAAAAHf/1SY=")</f>
        <v>#REF!</v>
      </c>
      <c r="AN515" t="e">
        <f>AND(#REF!,"AAAAAHf/1Sc=")</f>
        <v>#REF!</v>
      </c>
      <c r="AO515" t="e">
        <f>AND(#REF!,"AAAAAHf/1Sg=")</f>
        <v>#REF!</v>
      </c>
      <c r="AP515" t="e">
        <f>AND(#REF!,"AAAAAHf/1Sk=")</f>
        <v>#REF!</v>
      </c>
      <c r="AQ515" t="e">
        <f>AND(#REF!,"AAAAAHf/1So=")</f>
        <v>#REF!</v>
      </c>
      <c r="AR515" t="e">
        <f>AND(#REF!,"AAAAAHf/1Ss=")</f>
        <v>#REF!</v>
      </c>
      <c r="AS515" t="e">
        <f>AND(#REF!,"AAAAAHf/1Sw=")</f>
        <v>#REF!</v>
      </c>
      <c r="AT515" t="e">
        <f>IF(#REF!,"AAAAAHf/1S0=",0)</f>
        <v>#REF!</v>
      </c>
      <c r="AU515" t="e">
        <f>AND(#REF!,"AAAAAHf/1S4=")</f>
        <v>#REF!</v>
      </c>
      <c r="AV515" t="e">
        <f>AND(#REF!,"AAAAAHf/1S8=")</f>
        <v>#REF!</v>
      </c>
      <c r="AW515" t="e">
        <f>AND(#REF!,"AAAAAHf/1TA=")</f>
        <v>#REF!</v>
      </c>
      <c r="AX515" t="e">
        <f>AND(#REF!,"AAAAAHf/1TE=")</f>
        <v>#REF!</v>
      </c>
      <c r="AY515" t="e">
        <f>AND(#REF!,"AAAAAHf/1TI=")</f>
        <v>#REF!</v>
      </c>
      <c r="AZ515" t="e">
        <f>AND(#REF!,"AAAAAHf/1TM=")</f>
        <v>#REF!</v>
      </c>
      <c r="BA515" t="e">
        <f>AND(#REF!,"AAAAAHf/1TQ=")</f>
        <v>#REF!</v>
      </c>
      <c r="BB515" t="e">
        <f>AND(#REF!,"AAAAAHf/1TU=")</f>
        <v>#REF!</v>
      </c>
      <c r="BC515" t="e">
        <f>AND(#REF!,"AAAAAHf/1TY=")</f>
        <v>#REF!</v>
      </c>
      <c r="BD515" t="e">
        <f>AND(#REF!,"AAAAAHf/1Tc=")</f>
        <v>#REF!</v>
      </c>
      <c r="BE515" t="e">
        <f>IF(#REF!,"AAAAAHf/1Tg=",0)</f>
        <v>#REF!</v>
      </c>
      <c r="BF515" t="e">
        <f>AND(#REF!,"AAAAAHf/1Tk=")</f>
        <v>#REF!</v>
      </c>
      <c r="BG515" t="e">
        <f>AND(#REF!,"AAAAAHf/1To=")</f>
        <v>#REF!</v>
      </c>
      <c r="BH515" t="e">
        <f>AND(#REF!,"AAAAAHf/1Ts=")</f>
        <v>#REF!</v>
      </c>
      <c r="BI515" t="e">
        <f>AND(#REF!,"AAAAAHf/1Tw=")</f>
        <v>#REF!</v>
      </c>
      <c r="BJ515" t="e">
        <f>AND(#REF!,"AAAAAHf/1T0=")</f>
        <v>#REF!</v>
      </c>
      <c r="BK515" t="e">
        <f>AND(#REF!,"AAAAAHf/1T4=")</f>
        <v>#REF!</v>
      </c>
      <c r="BL515" t="e">
        <f>AND(#REF!,"AAAAAHf/1T8=")</f>
        <v>#REF!</v>
      </c>
      <c r="BM515" t="e">
        <f>AND(#REF!,"AAAAAHf/1UA=")</f>
        <v>#REF!</v>
      </c>
      <c r="BN515" t="e">
        <f>AND(#REF!,"AAAAAHf/1UE=")</f>
        <v>#REF!</v>
      </c>
      <c r="BO515" t="e">
        <f>AND(#REF!,"AAAAAHf/1UI=")</f>
        <v>#REF!</v>
      </c>
      <c r="BP515" t="e">
        <f>IF(#REF!,"AAAAAHf/1UM=",0)</f>
        <v>#REF!</v>
      </c>
      <c r="BQ515" t="e">
        <f>AND(#REF!,"AAAAAHf/1UQ=")</f>
        <v>#REF!</v>
      </c>
      <c r="BR515" t="e">
        <f>AND(#REF!,"AAAAAHf/1UU=")</f>
        <v>#REF!</v>
      </c>
      <c r="BS515" t="e">
        <f>AND(#REF!,"AAAAAHf/1UY=")</f>
        <v>#REF!</v>
      </c>
      <c r="BT515" t="e">
        <f>AND(#REF!,"AAAAAHf/1Uc=")</f>
        <v>#REF!</v>
      </c>
      <c r="BU515" t="e">
        <f>AND(#REF!,"AAAAAHf/1Ug=")</f>
        <v>#REF!</v>
      </c>
      <c r="BV515" t="e">
        <f>AND(#REF!,"AAAAAHf/1Uk=")</f>
        <v>#REF!</v>
      </c>
      <c r="BW515" t="e">
        <f>AND(#REF!,"AAAAAHf/1Uo=")</f>
        <v>#REF!</v>
      </c>
      <c r="BX515" t="e">
        <f>AND(#REF!,"AAAAAHf/1Us=")</f>
        <v>#REF!</v>
      </c>
      <c r="BY515" t="e">
        <f>AND(#REF!,"AAAAAHf/1Uw=")</f>
        <v>#REF!</v>
      </c>
      <c r="BZ515" t="e">
        <f>AND(#REF!,"AAAAAHf/1U0=")</f>
        <v>#REF!</v>
      </c>
      <c r="CA515" t="e">
        <f>IF(#REF!,"AAAAAHf/1U4=",0)</f>
        <v>#REF!</v>
      </c>
      <c r="CB515" t="e">
        <f>AND(#REF!,"AAAAAHf/1U8=")</f>
        <v>#REF!</v>
      </c>
      <c r="CC515" t="e">
        <f>AND(#REF!,"AAAAAHf/1VA=")</f>
        <v>#REF!</v>
      </c>
      <c r="CD515" t="e">
        <f>AND(#REF!,"AAAAAHf/1VE=")</f>
        <v>#REF!</v>
      </c>
      <c r="CE515" t="e">
        <f>AND(#REF!,"AAAAAHf/1VI=")</f>
        <v>#REF!</v>
      </c>
      <c r="CF515" t="e">
        <f>AND(#REF!,"AAAAAHf/1VM=")</f>
        <v>#REF!</v>
      </c>
      <c r="CG515" t="e">
        <f>AND(#REF!,"AAAAAHf/1VQ=")</f>
        <v>#REF!</v>
      </c>
      <c r="CH515" t="e">
        <f>AND(#REF!,"AAAAAHf/1VU=")</f>
        <v>#REF!</v>
      </c>
      <c r="CI515" t="e">
        <f>AND(#REF!,"AAAAAHf/1VY=")</f>
        <v>#REF!</v>
      </c>
      <c r="CJ515" t="e">
        <f>AND(#REF!,"AAAAAHf/1Vc=")</f>
        <v>#REF!</v>
      </c>
      <c r="CK515" t="e">
        <f>AND(#REF!,"AAAAAHf/1Vg=")</f>
        <v>#REF!</v>
      </c>
      <c r="CL515" t="e">
        <f>IF(#REF!,"AAAAAHf/1Vk=",0)</f>
        <v>#REF!</v>
      </c>
      <c r="CM515" t="e">
        <f>AND(#REF!,"AAAAAHf/1Vo=")</f>
        <v>#REF!</v>
      </c>
      <c r="CN515" t="e">
        <f>AND(#REF!,"AAAAAHf/1Vs=")</f>
        <v>#REF!</v>
      </c>
      <c r="CO515" t="e">
        <f>AND(#REF!,"AAAAAHf/1Vw=")</f>
        <v>#REF!</v>
      </c>
      <c r="CP515" t="e">
        <f>AND(#REF!,"AAAAAHf/1V0=")</f>
        <v>#REF!</v>
      </c>
      <c r="CQ515" t="e">
        <f>AND(#REF!,"AAAAAHf/1V4=")</f>
        <v>#REF!</v>
      </c>
      <c r="CR515" t="e">
        <f>AND(#REF!,"AAAAAHf/1V8=")</f>
        <v>#REF!</v>
      </c>
      <c r="CS515" t="e">
        <f>AND(#REF!,"AAAAAHf/1WA=")</f>
        <v>#REF!</v>
      </c>
      <c r="CT515" t="e">
        <f>AND(#REF!,"AAAAAHf/1WE=")</f>
        <v>#REF!</v>
      </c>
      <c r="CU515" t="e">
        <f>AND(#REF!,"AAAAAHf/1WI=")</f>
        <v>#REF!</v>
      </c>
      <c r="CV515" t="e">
        <f>AND(#REF!,"AAAAAHf/1WM=")</f>
        <v>#REF!</v>
      </c>
      <c r="CW515" t="e">
        <f>IF(#REF!,"AAAAAHf/1WQ=",0)</f>
        <v>#REF!</v>
      </c>
      <c r="CX515" t="e">
        <f>AND(#REF!,"AAAAAHf/1WU=")</f>
        <v>#REF!</v>
      </c>
      <c r="CY515" t="e">
        <f>AND(#REF!,"AAAAAHf/1WY=")</f>
        <v>#REF!</v>
      </c>
      <c r="CZ515" t="e">
        <f>AND(#REF!,"AAAAAHf/1Wc=")</f>
        <v>#REF!</v>
      </c>
      <c r="DA515" t="e">
        <f>AND(#REF!,"AAAAAHf/1Wg=")</f>
        <v>#REF!</v>
      </c>
      <c r="DB515" t="e">
        <f>AND(#REF!,"AAAAAHf/1Wk=")</f>
        <v>#REF!</v>
      </c>
      <c r="DC515" t="e">
        <f>AND(#REF!,"AAAAAHf/1Wo=")</f>
        <v>#REF!</v>
      </c>
      <c r="DD515" t="e">
        <f>AND(#REF!,"AAAAAHf/1Ws=")</f>
        <v>#REF!</v>
      </c>
      <c r="DE515" t="e">
        <f>AND(#REF!,"AAAAAHf/1Ww=")</f>
        <v>#REF!</v>
      </c>
      <c r="DF515" t="e">
        <f>AND(#REF!,"AAAAAHf/1W0=")</f>
        <v>#REF!</v>
      </c>
      <c r="DG515" t="e">
        <f>AND(#REF!,"AAAAAHf/1W4=")</f>
        <v>#REF!</v>
      </c>
      <c r="DH515" t="e">
        <f>IF(#REF!,"AAAAAHf/1W8=",0)</f>
        <v>#REF!</v>
      </c>
      <c r="DI515" t="e">
        <f>AND(#REF!,"AAAAAHf/1XA=")</f>
        <v>#REF!</v>
      </c>
      <c r="DJ515" t="e">
        <f>AND(#REF!,"AAAAAHf/1XE=")</f>
        <v>#REF!</v>
      </c>
      <c r="DK515" t="e">
        <f>AND(#REF!,"AAAAAHf/1XI=")</f>
        <v>#REF!</v>
      </c>
      <c r="DL515" t="e">
        <f>AND(#REF!,"AAAAAHf/1XM=")</f>
        <v>#REF!</v>
      </c>
      <c r="DM515" t="e">
        <f>AND(#REF!,"AAAAAHf/1XQ=")</f>
        <v>#REF!</v>
      </c>
      <c r="DN515" t="e">
        <f>AND(#REF!,"AAAAAHf/1XU=")</f>
        <v>#REF!</v>
      </c>
      <c r="DO515" t="e">
        <f>AND(#REF!,"AAAAAHf/1XY=")</f>
        <v>#REF!</v>
      </c>
      <c r="DP515" t="e">
        <f>AND(#REF!,"AAAAAHf/1Xc=")</f>
        <v>#REF!</v>
      </c>
      <c r="DQ515" t="e">
        <f>AND(#REF!,"AAAAAHf/1Xg=")</f>
        <v>#REF!</v>
      </c>
      <c r="DR515" t="e">
        <f>AND(#REF!,"AAAAAHf/1Xk=")</f>
        <v>#REF!</v>
      </c>
      <c r="DS515" t="e">
        <f>IF(#REF!,"AAAAAHf/1Xo=",0)</f>
        <v>#REF!</v>
      </c>
      <c r="DT515" t="e">
        <f>AND(#REF!,"AAAAAHf/1Xs=")</f>
        <v>#REF!</v>
      </c>
      <c r="DU515" t="e">
        <f>AND(#REF!,"AAAAAHf/1Xw=")</f>
        <v>#REF!</v>
      </c>
      <c r="DV515" t="e">
        <f>AND(#REF!,"AAAAAHf/1X0=")</f>
        <v>#REF!</v>
      </c>
      <c r="DW515" t="e">
        <f>AND(#REF!,"AAAAAHf/1X4=")</f>
        <v>#REF!</v>
      </c>
      <c r="DX515" t="e">
        <f>AND(#REF!,"AAAAAHf/1X8=")</f>
        <v>#REF!</v>
      </c>
      <c r="DY515" t="e">
        <f>AND(#REF!,"AAAAAHf/1YA=")</f>
        <v>#REF!</v>
      </c>
      <c r="DZ515" t="e">
        <f>AND(#REF!,"AAAAAHf/1YE=")</f>
        <v>#REF!</v>
      </c>
      <c r="EA515" t="e">
        <f>AND(#REF!,"AAAAAHf/1YI=")</f>
        <v>#REF!</v>
      </c>
      <c r="EB515" t="e">
        <f>AND(#REF!,"AAAAAHf/1YM=")</f>
        <v>#REF!</v>
      </c>
      <c r="EC515" t="e">
        <f>AND(#REF!,"AAAAAHf/1YQ=")</f>
        <v>#REF!</v>
      </c>
      <c r="ED515" t="e">
        <f>IF(#REF!,"AAAAAHf/1YU=",0)</f>
        <v>#REF!</v>
      </c>
      <c r="EE515" t="e">
        <f>AND(#REF!,"AAAAAHf/1YY=")</f>
        <v>#REF!</v>
      </c>
      <c r="EF515" t="e">
        <f>AND(#REF!,"AAAAAHf/1Yc=")</f>
        <v>#REF!</v>
      </c>
      <c r="EG515" t="e">
        <f>AND(#REF!,"AAAAAHf/1Yg=")</f>
        <v>#REF!</v>
      </c>
      <c r="EH515" t="e">
        <f>AND(#REF!,"AAAAAHf/1Yk=")</f>
        <v>#REF!</v>
      </c>
      <c r="EI515" t="e">
        <f>AND(#REF!,"AAAAAHf/1Yo=")</f>
        <v>#REF!</v>
      </c>
      <c r="EJ515" t="e">
        <f>AND(#REF!,"AAAAAHf/1Ys=")</f>
        <v>#REF!</v>
      </c>
      <c r="EK515" t="e">
        <f>AND(#REF!,"AAAAAHf/1Yw=")</f>
        <v>#REF!</v>
      </c>
      <c r="EL515" t="e">
        <f>AND(#REF!,"AAAAAHf/1Y0=")</f>
        <v>#REF!</v>
      </c>
      <c r="EM515" t="e">
        <f>AND(#REF!,"AAAAAHf/1Y4=")</f>
        <v>#REF!</v>
      </c>
      <c r="EN515" t="e">
        <f>AND(#REF!,"AAAAAHf/1Y8=")</f>
        <v>#REF!</v>
      </c>
      <c r="EO515" t="e">
        <f>IF(#REF!,"AAAAAHf/1ZA=",0)</f>
        <v>#REF!</v>
      </c>
      <c r="EP515" t="e">
        <f>AND(#REF!,"AAAAAHf/1ZE=")</f>
        <v>#REF!</v>
      </c>
      <c r="EQ515" t="e">
        <f>AND(#REF!,"AAAAAHf/1ZI=")</f>
        <v>#REF!</v>
      </c>
      <c r="ER515" t="e">
        <f>AND(#REF!,"AAAAAHf/1ZM=")</f>
        <v>#REF!</v>
      </c>
      <c r="ES515" t="e">
        <f>AND(#REF!,"AAAAAHf/1ZQ=")</f>
        <v>#REF!</v>
      </c>
      <c r="ET515" t="e">
        <f>AND(#REF!,"AAAAAHf/1ZU=")</f>
        <v>#REF!</v>
      </c>
      <c r="EU515" t="e">
        <f>AND(#REF!,"AAAAAHf/1ZY=")</f>
        <v>#REF!</v>
      </c>
      <c r="EV515" t="e">
        <f>AND(#REF!,"AAAAAHf/1Zc=")</f>
        <v>#REF!</v>
      </c>
      <c r="EW515" t="e">
        <f>AND(#REF!,"AAAAAHf/1Zg=")</f>
        <v>#REF!</v>
      </c>
      <c r="EX515" t="e">
        <f>AND(#REF!,"AAAAAHf/1Zk=")</f>
        <v>#REF!</v>
      </c>
      <c r="EY515" t="e">
        <f>AND(#REF!,"AAAAAHf/1Zo=")</f>
        <v>#REF!</v>
      </c>
      <c r="EZ515" t="e">
        <f>IF(#REF!,"AAAAAHf/1Zs=",0)</f>
        <v>#REF!</v>
      </c>
      <c r="FA515" t="e">
        <f>AND(#REF!,"AAAAAHf/1Zw=")</f>
        <v>#REF!</v>
      </c>
      <c r="FB515" t="e">
        <f>AND(#REF!,"AAAAAHf/1Z0=")</f>
        <v>#REF!</v>
      </c>
      <c r="FC515" t="e">
        <f>AND(#REF!,"AAAAAHf/1Z4=")</f>
        <v>#REF!</v>
      </c>
      <c r="FD515" t="e">
        <f>AND(#REF!,"AAAAAHf/1Z8=")</f>
        <v>#REF!</v>
      </c>
      <c r="FE515" t="e">
        <f>AND(#REF!,"AAAAAHf/1aA=")</f>
        <v>#REF!</v>
      </c>
      <c r="FF515" t="e">
        <f>AND(#REF!,"AAAAAHf/1aE=")</f>
        <v>#REF!</v>
      </c>
      <c r="FG515" t="e">
        <f>AND(#REF!,"AAAAAHf/1aI=")</f>
        <v>#REF!</v>
      </c>
      <c r="FH515" t="e">
        <f>AND(#REF!,"AAAAAHf/1aM=")</f>
        <v>#REF!</v>
      </c>
      <c r="FI515" t="e">
        <f>AND(#REF!,"AAAAAHf/1aQ=")</f>
        <v>#REF!</v>
      </c>
      <c r="FJ515" t="e">
        <f>AND(#REF!,"AAAAAHf/1aU=")</f>
        <v>#REF!</v>
      </c>
      <c r="FK515" t="e">
        <f>IF(#REF!,"AAAAAHf/1aY=",0)</f>
        <v>#REF!</v>
      </c>
      <c r="FL515" t="e">
        <f>AND(#REF!,"AAAAAHf/1ac=")</f>
        <v>#REF!</v>
      </c>
      <c r="FM515" t="e">
        <f>AND(#REF!,"AAAAAHf/1ag=")</f>
        <v>#REF!</v>
      </c>
      <c r="FN515" t="e">
        <f>AND(#REF!,"AAAAAHf/1ak=")</f>
        <v>#REF!</v>
      </c>
      <c r="FO515" t="e">
        <f>AND(#REF!,"AAAAAHf/1ao=")</f>
        <v>#REF!</v>
      </c>
      <c r="FP515" t="e">
        <f>AND(#REF!,"AAAAAHf/1as=")</f>
        <v>#REF!</v>
      </c>
      <c r="FQ515" t="e">
        <f>AND(#REF!,"AAAAAHf/1aw=")</f>
        <v>#REF!</v>
      </c>
      <c r="FR515" t="e">
        <f>AND(#REF!,"AAAAAHf/1a0=")</f>
        <v>#REF!</v>
      </c>
      <c r="FS515" t="e">
        <f>AND(#REF!,"AAAAAHf/1a4=")</f>
        <v>#REF!</v>
      </c>
      <c r="FT515" t="e">
        <f>AND(#REF!,"AAAAAHf/1a8=")</f>
        <v>#REF!</v>
      </c>
      <c r="FU515" t="e">
        <f>AND(#REF!,"AAAAAHf/1bA=")</f>
        <v>#REF!</v>
      </c>
      <c r="FV515" t="e">
        <f>IF(#REF!,"AAAAAHf/1bE=",0)</f>
        <v>#REF!</v>
      </c>
      <c r="FW515" t="e">
        <f>AND(#REF!,"AAAAAHf/1bI=")</f>
        <v>#REF!</v>
      </c>
      <c r="FX515" t="e">
        <f>AND(#REF!,"AAAAAHf/1bM=")</f>
        <v>#REF!</v>
      </c>
      <c r="FY515" t="e">
        <f>AND(#REF!,"AAAAAHf/1bQ=")</f>
        <v>#REF!</v>
      </c>
      <c r="FZ515" t="e">
        <f>AND(#REF!,"AAAAAHf/1bU=")</f>
        <v>#REF!</v>
      </c>
      <c r="GA515" t="e">
        <f>AND(#REF!,"AAAAAHf/1bY=")</f>
        <v>#REF!</v>
      </c>
      <c r="GB515" t="e">
        <f>AND(#REF!,"AAAAAHf/1bc=")</f>
        <v>#REF!</v>
      </c>
      <c r="GC515" t="e">
        <f>AND(#REF!,"AAAAAHf/1bg=")</f>
        <v>#REF!</v>
      </c>
      <c r="GD515" t="e">
        <f>AND(#REF!,"AAAAAHf/1bk=")</f>
        <v>#REF!</v>
      </c>
      <c r="GE515" t="e">
        <f>AND(#REF!,"AAAAAHf/1bo=")</f>
        <v>#REF!</v>
      </c>
      <c r="GF515" t="e">
        <f>AND(#REF!,"AAAAAHf/1bs=")</f>
        <v>#REF!</v>
      </c>
      <c r="GG515" t="e">
        <f>IF(#REF!,"AAAAAHf/1bw=",0)</f>
        <v>#REF!</v>
      </c>
      <c r="GH515" t="e">
        <f>AND(#REF!,"AAAAAHf/1b0=")</f>
        <v>#REF!</v>
      </c>
      <c r="GI515" t="e">
        <f>AND(#REF!,"AAAAAHf/1b4=")</f>
        <v>#REF!</v>
      </c>
      <c r="GJ515" t="e">
        <f>AND(#REF!,"AAAAAHf/1b8=")</f>
        <v>#REF!</v>
      </c>
      <c r="GK515" t="e">
        <f>AND(#REF!,"AAAAAHf/1cA=")</f>
        <v>#REF!</v>
      </c>
      <c r="GL515" t="e">
        <f>AND(#REF!,"AAAAAHf/1cE=")</f>
        <v>#REF!</v>
      </c>
      <c r="GM515" t="e">
        <f>AND(#REF!,"AAAAAHf/1cI=")</f>
        <v>#REF!</v>
      </c>
      <c r="GN515" t="e">
        <f>AND(#REF!,"AAAAAHf/1cM=")</f>
        <v>#REF!</v>
      </c>
      <c r="GO515" t="e">
        <f>AND(#REF!,"AAAAAHf/1cQ=")</f>
        <v>#REF!</v>
      </c>
      <c r="GP515" t="e">
        <f>AND(#REF!,"AAAAAHf/1cU=")</f>
        <v>#REF!</v>
      </c>
      <c r="GQ515" t="e">
        <f>AND(#REF!,"AAAAAHf/1cY=")</f>
        <v>#REF!</v>
      </c>
      <c r="GR515" t="e">
        <f>IF(#REF!,"AAAAAHf/1cc=",0)</f>
        <v>#REF!</v>
      </c>
      <c r="GS515" t="e">
        <f>AND(#REF!,"AAAAAHf/1cg=")</f>
        <v>#REF!</v>
      </c>
      <c r="GT515" t="e">
        <f>AND(#REF!,"AAAAAHf/1ck=")</f>
        <v>#REF!</v>
      </c>
      <c r="GU515" t="e">
        <f>AND(#REF!,"AAAAAHf/1co=")</f>
        <v>#REF!</v>
      </c>
      <c r="GV515" t="e">
        <f>AND(#REF!,"AAAAAHf/1cs=")</f>
        <v>#REF!</v>
      </c>
      <c r="GW515" t="e">
        <f>AND(#REF!,"AAAAAHf/1cw=")</f>
        <v>#REF!</v>
      </c>
      <c r="GX515" t="e">
        <f>AND(#REF!,"AAAAAHf/1c0=")</f>
        <v>#REF!</v>
      </c>
      <c r="GY515" t="e">
        <f>AND(#REF!,"AAAAAHf/1c4=")</f>
        <v>#REF!</v>
      </c>
      <c r="GZ515" t="e">
        <f>AND(#REF!,"AAAAAHf/1c8=")</f>
        <v>#REF!</v>
      </c>
      <c r="HA515" t="e">
        <f>AND(#REF!,"AAAAAHf/1dA=")</f>
        <v>#REF!</v>
      </c>
      <c r="HB515" t="e">
        <f>AND(#REF!,"AAAAAHf/1dE=")</f>
        <v>#REF!</v>
      </c>
      <c r="HC515" t="e">
        <f>IF(#REF!,"AAAAAHf/1dI=",0)</f>
        <v>#REF!</v>
      </c>
      <c r="HD515" t="e">
        <f>AND(#REF!,"AAAAAHf/1dM=")</f>
        <v>#REF!</v>
      </c>
      <c r="HE515" t="e">
        <f>AND(#REF!,"AAAAAHf/1dQ=")</f>
        <v>#REF!</v>
      </c>
      <c r="HF515" t="e">
        <f>AND(#REF!,"AAAAAHf/1dU=")</f>
        <v>#REF!</v>
      </c>
      <c r="HG515" t="e">
        <f>AND(#REF!,"AAAAAHf/1dY=")</f>
        <v>#REF!</v>
      </c>
      <c r="HH515" t="e">
        <f>AND(#REF!,"AAAAAHf/1dc=")</f>
        <v>#REF!</v>
      </c>
      <c r="HI515" t="e">
        <f>AND(#REF!,"AAAAAHf/1dg=")</f>
        <v>#REF!</v>
      </c>
      <c r="HJ515" t="e">
        <f>AND(#REF!,"AAAAAHf/1dk=")</f>
        <v>#REF!</v>
      </c>
      <c r="HK515" t="e">
        <f>AND(#REF!,"AAAAAHf/1do=")</f>
        <v>#REF!</v>
      </c>
      <c r="HL515" t="e">
        <f>AND(#REF!,"AAAAAHf/1ds=")</f>
        <v>#REF!</v>
      </c>
      <c r="HM515" t="e">
        <f>AND(#REF!,"AAAAAHf/1dw=")</f>
        <v>#REF!</v>
      </c>
      <c r="HN515" t="e">
        <f>IF(#REF!,"AAAAAHf/1d0=",0)</f>
        <v>#REF!</v>
      </c>
      <c r="HO515" t="e">
        <f>AND(#REF!,"AAAAAHf/1d4=")</f>
        <v>#REF!</v>
      </c>
      <c r="HP515" t="e">
        <f>AND(#REF!,"AAAAAHf/1d8=")</f>
        <v>#REF!</v>
      </c>
      <c r="HQ515" t="e">
        <f>AND(#REF!,"AAAAAHf/1eA=")</f>
        <v>#REF!</v>
      </c>
      <c r="HR515" t="e">
        <f>AND(#REF!,"AAAAAHf/1eE=")</f>
        <v>#REF!</v>
      </c>
      <c r="HS515" t="e">
        <f>AND(#REF!,"AAAAAHf/1eI=")</f>
        <v>#REF!</v>
      </c>
      <c r="HT515" t="e">
        <f>AND(#REF!,"AAAAAHf/1eM=")</f>
        <v>#REF!</v>
      </c>
      <c r="HU515" t="e">
        <f>AND(#REF!,"AAAAAHf/1eQ=")</f>
        <v>#REF!</v>
      </c>
      <c r="HV515" t="e">
        <f>AND(#REF!,"AAAAAHf/1eU=")</f>
        <v>#REF!</v>
      </c>
      <c r="HW515" t="e">
        <f>AND(#REF!,"AAAAAHf/1eY=")</f>
        <v>#REF!</v>
      </c>
      <c r="HX515" t="e">
        <f>AND(#REF!,"AAAAAHf/1ec=")</f>
        <v>#REF!</v>
      </c>
      <c r="HY515" t="e">
        <f>IF(#REF!,"AAAAAHf/1eg=",0)</f>
        <v>#REF!</v>
      </c>
      <c r="HZ515" t="e">
        <f>AND(#REF!,"AAAAAHf/1ek=")</f>
        <v>#REF!</v>
      </c>
      <c r="IA515" t="e">
        <f>AND(#REF!,"AAAAAHf/1eo=")</f>
        <v>#REF!</v>
      </c>
      <c r="IB515" t="e">
        <f>AND(#REF!,"AAAAAHf/1es=")</f>
        <v>#REF!</v>
      </c>
      <c r="IC515" t="e">
        <f>AND(#REF!,"AAAAAHf/1ew=")</f>
        <v>#REF!</v>
      </c>
      <c r="ID515" t="e">
        <f>AND(#REF!,"AAAAAHf/1e0=")</f>
        <v>#REF!</v>
      </c>
      <c r="IE515" t="e">
        <f>AND(#REF!,"AAAAAHf/1e4=")</f>
        <v>#REF!</v>
      </c>
      <c r="IF515" t="e">
        <f>AND(#REF!,"AAAAAHf/1e8=")</f>
        <v>#REF!</v>
      </c>
      <c r="IG515" t="e">
        <f>AND(#REF!,"AAAAAHf/1fA=")</f>
        <v>#REF!</v>
      </c>
      <c r="IH515" t="e">
        <f>AND(#REF!,"AAAAAHf/1fE=")</f>
        <v>#REF!</v>
      </c>
      <c r="II515" t="e">
        <f>AND(#REF!,"AAAAAHf/1fI=")</f>
        <v>#REF!</v>
      </c>
      <c r="IJ515" t="e">
        <f>IF(#REF!,"AAAAAHf/1fM=",0)</f>
        <v>#REF!</v>
      </c>
      <c r="IK515" t="e">
        <f>AND(#REF!,"AAAAAHf/1fQ=")</f>
        <v>#REF!</v>
      </c>
      <c r="IL515" t="e">
        <f>AND(#REF!,"AAAAAHf/1fU=")</f>
        <v>#REF!</v>
      </c>
      <c r="IM515" t="e">
        <f>AND(#REF!,"AAAAAHf/1fY=")</f>
        <v>#REF!</v>
      </c>
      <c r="IN515" t="e">
        <f>AND(#REF!,"AAAAAHf/1fc=")</f>
        <v>#REF!</v>
      </c>
      <c r="IO515" t="e">
        <f>AND(#REF!,"AAAAAHf/1fg=")</f>
        <v>#REF!</v>
      </c>
      <c r="IP515" t="e">
        <f>AND(#REF!,"AAAAAHf/1fk=")</f>
        <v>#REF!</v>
      </c>
      <c r="IQ515" t="e">
        <f>AND(#REF!,"AAAAAHf/1fo=")</f>
        <v>#REF!</v>
      </c>
      <c r="IR515" t="e">
        <f>AND(#REF!,"AAAAAHf/1fs=")</f>
        <v>#REF!</v>
      </c>
      <c r="IS515" t="e">
        <f>AND(#REF!,"AAAAAHf/1fw=")</f>
        <v>#REF!</v>
      </c>
      <c r="IT515" t="e">
        <f>AND(#REF!,"AAAAAHf/1f0=")</f>
        <v>#REF!</v>
      </c>
      <c r="IU515" t="e">
        <f>IF(#REF!,"AAAAAHf/1f4=",0)</f>
        <v>#REF!</v>
      </c>
      <c r="IV515" t="e">
        <f>AND(#REF!,"AAAAAHf/1f8=")</f>
        <v>#REF!</v>
      </c>
    </row>
    <row r="516" spans="1:256" x14ac:dyDescent="0.25">
      <c r="A516" t="e">
        <f>AND(#REF!,"AAAAAF+N/QA=")</f>
        <v>#REF!</v>
      </c>
      <c r="B516" t="e">
        <f>AND(#REF!,"AAAAAF+N/QE=")</f>
        <v>#REF!</v>
      </c>
      <c r="C516" t="e">
        <f>AND(#REF!,"AAAAAF+N/QI=")</f>
        <v>#REF!</v>
      </c>
      <c r="D516" t="e">
        <f>AND(#REF!,"AAAAAF+N/QM=")</f>
        <v>#REF!</v>
      </c>
      <c r="E516" t="e">
        <f>AND(#REF!,"AAAAAF+N/QQ=")</f>
        <v>#REF!</v>
      </c>
      <c r="F516" t="e">
        <f>AND(#REF!,"AAAAAF+N/QU=")</f>
        <v>#REF!</v>
      </c>
      <c r="G516" t="e">
        <f>AND(#REF!,"AAAAAF+N/QY=")</f>
        <v>#REF!</v>
      </c>
      <c r="H516" t="e">
        <f>AND(#REF!,"AAAAAF+N/Qc=")</f>
        <v>#REF!</v>
      </c>
      <c r="I516" t="e">
        <f>AND(#REF!,"AAAAAF+N/Qg=")</f>
        <v>#REF!</v>
      </c>
      <c r="J516" t="e">
        <f>IF(#REF!,"AAAAAF+N/Qk=",0)</f>
        <v>#REF!</v>
      </c>
      <c r="K516" t="e">
        <f>AND(#REF!,"AAAAAF+N/Qo=")</f>
        <v>#REF!</v>
      </c>
      <c r="L516" t="e">
        <f>AND(#REF!,"AAAAAF+N/Qs=")</f>
        <v>#REF!</v>
      </c>
      <c r="M516" t="e">
        <f>AND(#REF!,"AAAAAF+N/Qw=")</f>
        <v>#REF!</v>
      </c>
      <c r="N516" t="e">
        <f>AND(#REF!,"AAAAAF+N/Q0=")</f>
        <v>#REF!</v>
      </c>
      <c r="O516" t="e">
        <f>AND(#REF!,"AAAAAF+N/Q4=")</f>
        <v>#REF!</v>
      </c>
      <c r="P516" t="e">
        <f>AND(#REF!,"AAAAAF+N/Q8=")</f>
        <v>#REF!</v>
      </c>
      <c r="Q516" t="e">
        <f>AND(#REF!,"AAAAAF+N/RA=")</f>
        <v>#REF!</v>
      </c>
      <c r="R516" t="e">
        <f>AND(#REF!,"AAAAAF+N/RE=")</f>
        <v>#REF!</v>
      </c>
      <c r="S516" t="e">
        <f>AND(#REF!,"AAAAAF+N/RI=")</f>
        <v>#REF!</v>
      </c>
      <c r="T516" t="e">
        <f>AND(#REF!,"AAAAAF+N/RM=")</f>
        <v>#REF!</v>
      </c>
      <c r="U516" t="e">
        <f>IF(#REF!,"AAAAAF+N/RQ=",0)</f>
        <v>#REF!</v>
      </c>
      <c r="V516" t="e">
        <f>AND(#REF!,"AAAAAF+N/RU=")</f>
        <v>#REF!</v>
      </c>
      <c r="W516" t="e">
        <f>AND(#REF!,"AAAAAF+N/RY=")</f>
        <v>#REF!</v>
      </c>
      <c r="X516" t="e">
        <f>AND(#REF!,"AAAAAF+N/Rc=")</f>
        <v>#REF!</v>
      </c>
      <c r="Y516" t="e">
        <f>AND(#REF!,"AAAAAF+N/Rg=")</f>
        <v>#REF!</v>
      </c>
      <c r="Z516" t="e">
        <f>AND(#REF!,"AAAAAF+N/Rk=")</f>
        <v>#REF!</v>
      </c>
      <c r="AA516" t="e">
        <f>AND(#REF!,"AAAAAF+N/Ro=")</f>
        <v>#REF!</v>
      </c>
      <c r="AB516" t="e">
        <f>AND(#REF!,"AAAAAF+N/Rs=")</f>
        <v>#REF!</v>
      </c>
      <c r="AC516" t="e">
        <f>AND(#REF!,"AAAAAF+N/Rw=")</f>
        <v>#REF!</v>
      </c>
      <c r="AD516" t="e">
        <f>AND(#REF!,"AAAAAF+N/R0=")</f>
        <v>#REF!</v>
      </c>
      <c r="AE516" t="e">
        <f>AND(#REF!,"AAAAAF+N/R4=")</f>
        <v>#REF!</v>
      </c>
      <c r="AF516" t="e">
        <f>IF(#REF!,"AAAAAF+N/R8=",0)</f>
        <v>#REF!</v>
      </c>
      <c r="AG516" t="e">
        <f>AND(#REF!,"AAAAAF+N/SA=")</f>
        <v>#REF!</v>
      </c>
      <c r="AH516" t="e">
        <f>AND(#REF!,"AAAAAF+N/SE=")</f>
        <v>#REF!</v>
      </c>
      <c r="AI516" t="e">
        <f>AND(#REF!,"AAAAAF+N/SI=")</f>
        <v>#REF!</v>
      </c>
      <c r="AJ516" t="e">
        <f>AND(#REF!,"AAAAAF+N/SM=")</f>
        <v>#REF!</v>
      </c>
      <c r="AK516" t="e">
        <f>AND(#REF!,"AAAAAF+N/SQ=")</f>
        <v>#REF!</v>
      </c>
      <c r="AL516" t="e">
        <f>AND(#REF!,"AAAAAF+N/SU=")</f>
        <v>#REF!</v>
      </c>
      <c r="AM516" t="e">
        <f>AND(#REF!,"AAAAAF+N/SY=")</f>
        <v>#REF!</v>
      </c>
      <c r="AN516" t="e">
        <f>AND(#REF!,"AAAAAF+N/Sc=")</f>
        <v>#REF!</v>
      </c>
      <c r="AO516" t="e">
        <f>AND(#REF!,"AAAAAF+N/Sg=")</f>
        <v>#REF!</v>
      </c>
      <c r="AP516" t="e">
        <f>AND(#REF!,"AAAAAF+N/Sk=")</f>
        <v>#REF!</v>
      </c>
      <c r="AQ516" t="e">
        <f>IF(#REF!,"AAAAAF+N/So=",0)</f>
        <v>#REF!</v>
      </c>
      <c r="AR516" t="e">
        <f>AND(#REF!,"AAAAAF+N/Ss=")</f>
        <v>#REF!</v>
      </c>
      <c r="AS516" t="e">
        <f>AND(#REF!,"AAAAAF+N/Sw=")</f>
        <v>#REF!</v>
      </c>
      <c r="AT516" t="e">
        <f>AND(#REF!,"AAAAAF+N/S0=")</f>
        <v>#REF!</v>
      </c>
      <c r="AU516" t="e">
        <f>AND(#REF!,"AAAAAF+N/S4=")</f>
        <v>#REF!</v>
      </c>
      <c r="AV516" t="e">
        <f>AND(#REF!,"AAAAAF+N/S8=")</f>
        <v>#REF!</v>
      </c>
      <c r="AW516" t="e">
        <f>AND(#REF!,"AAAAAF+N/TA=")</f>
        <v>#REF!</v>
      </c>
      <c r="AX516" t="e">
        <f>AND(#REF!,"AAAAAF+N/TE=")</f>
        <v>#REF!</v>
      </c>
      <c r="AY516" t="e">
        <f>AND(#REF!,"AAAAAF+N/TI=")</f>
        <v>#REF!</v>
      </c>
      <c r="AZ516" t="e">
        <f>AND(#REF!,"AAAAAF+N/TM=")</f>
        <v>#REF!</v>
      </c>
      <c r="BA516" t="e">
        <f>AND(#REF!,"AAAAAF+N/TQ=")</f>
        <v>#REF!</v>
      </c>
      <c r="BB516" t="e">
        <f>IF(#REF!,"AAAAAF+N/TU=",0)</f>
        <v>#REF!</v>
      </c>
      <c r="BC516" t="e">
        <f>AND(#REF!,"AAAAAF+N/TY=")</f>
        <v>#REF!</v>
      </c>
      <c r="BD516" t="e">
        <f>AND(#REF!,"AAAAAF+N/Tc=")</f>
        <v>#REF!</v>
      </c>
      <c r="BE516" t="e">
        <f>AND(#REF!,"AAAAAF+N/Tg=")</f>
        <v>#REF!</v>
      </c>
      <c r="BF516" t="e">
        <f>AND(#REF!,"AAAAAF+N/Tk=")</f>
        <v>#REF!</v>
      </c>
      <c r="BG516" t="e">
        <f>AND(#REF!,"AAAAAF+N/To=")</f>
        <v>#REF!</v>
      </c>
      <c r="BH516" t="e">
        <f>AND(#REF!,"AAAAAF+N/Ts=")</f>
        <v>#REF!</v>
      </c>
      <c r="BI516" t="e">
        <f>AND(#REF!,"AAAAAF+N/Tw=")</f>
        <v>#REF!</v>
      </c>
      <c r="BJ516" t="e">
        <f>AND(#REF!,"AAAAAF+N/T0=")</f>
        <v>#REF!</v>
      </c>
      <c r="BK516" t="e">
        <f>AND(#REF!,"AAAAAF+N/T4=")</f>
        <v>#REF!</v>
      </c>
      <c r="BL516" t="e">
        <f>AND(#REF!,"AAAAAF+N/T8=")</f>
        <v>#REF!</v>
      </c>
      <c r="BM516" t="e">
        <f>IF(#REF!,"AAAAAF+N/UA=",0)</f>
        <v>#REF!</v>
      </c>
      <c r="BN516" t="e">
        <f>AND(#REF!,"AAAAAF+N/UE=")</f>
        <v>#REF!</v>
      </c>
      <c r="BO516" t="e">
        <f>AND(#REF!,"AAAAAF+N/UI=")</f>
        <v>#REF!</v>
      </c>
      <c r="BP516" t="e">
        <f>AND(#REF!,"AAAAAF+N/UM=")</f>
        <v>#REF!</v>
      </c>
      <c r="BQ516" t="e">
        <f>AND(#REF!,"AAAAAF+N/UQ=")</f>
        <v>#REF!</v>
      </c>
      <c r="BR516" t="e">
        <f>AND(#REF!,"AAAAAF+N/UU=")</f>
        <v>#REF!</v>
      </c>
      <c r="BS516" t="e">
        <f>AND(#REF!,"AAAAAF+N/UY=")</f>
        <v>#REF!</v>
      </c>
      <c r="BT516" t="e">
        <f>AND(#REF!,"AAAAAF+N/Uc=")</f>
        <v>#REF!</v>
      </c>
      <c r="BU516" t="e">
        <f>AND(#REF!,"AAAAAF+N/Ug=")</f>
        <v>#REF!</v>
      </c>
      <c r="BV516" t="e">
        <f>AND(#REF!,"AAAAAF+N/Uk=")</f>
        <v>#REF!</v>
      </c>
      <c r="BW516" t="e">
        <f>AND(#REF!,"AAAAAF+N/Uo=")</f>
        <v>#REF!</v>
      </c>
      <c r="BX516" t="e">
        <f>IF(#REF!,"AAAAAF+N/Us=",0)</f>
        <v>#REF!</v>
      </c>
      <c r="BY516" t="e">
        <f>AND(#REF!,"AAAAAF+N/Uw=")</f>
        <v>#REF!</v>
      </c>
      <c r="BZ516" t="e">
        <f>AND(#REF!,"AAAAAF+N/U0=")</f>
        <v>#REF!</v>
      </c>
      <c r="CA516" t="e">
        <f>AND(#REF!,"AAAAAF+N/U4=")</f>
        <v>#REF!</v>
      </c>
      <c r="CB516" t="e">
        <f>AND(#REF!,"AAAAAF+N/U8=")</f>
        <v>#REF!</v>
      </c>
      <c r="CC516" t="e">
        <f>AND(#REF!,"AAAAAF+N/VA=")</f>
        <v>#REF!</v>
      </c>
      <c r="CD516" t="e">
        <f>AND(#REF!,"AAAAAF+N/VE=")</f>
        <v>#REF!</v>
      </c>
      <c r="CE516" t="e">
        <f>AND(#REF!,"AAAAAF+N/VI=")</f>
        <v>#REF!</v>
      </c>
      <c r="CF516" t="e">
        <f>AND(#REF!,"AAAAAF+N/VM=")</f>
        <v>#REF!</v>
      </c>
      <c r="CG516" t="e">
        <f>AND(#REF!,"AAAAAF+N/VQ=")</f>
        <v>#REF!</v>
      </c>
      <c r="CH516" t="e">
        <f>AND(#REF!,"AAAAAF+N/VU=")</f>
        <v>#REF!</v>
      </c>
      <c r="CI516" t="e">
        <f>IF(#REF!,"AAAAAF+N/VY=",0)</f>
        <v>#REF!</v>
      </c>
      <c r="CJ516" t="e">
        <f>AND(#REF!,"AAAAAF+N/Vc=")</f>
        <v>#REF!</v>
      </c>
      <c r="CK516" t="e">
        <f>AND(#REF!,"AAAAAF+N/Vg=")</f>
        <v>#REF!</v>
      </c>
      <c r="CL516" t="e">
        <f>AND(#REF!,"AAAAAF+N/Vk=")</f>
        <v>#REF!</v>
      </c>
      <c r="CM516" t="e">
        <f>AND(#REF!,"AAAAAF+N/Vo=")</f>
        <v>#REF!</v>
      </c>
      <c r="CN516" t="e">
        <f>AND(#REF!,"AAAAAF+N/Vs=")</f>
        <v>#REF!</v>
      </c>
      <c r="CO516" t="e">
        <f>AND(#REF!,"AAAAAF+N/Vw=")</f>
        <v>#REF!</v>
      </c>
      <c r="CP516" t="e">
        <f>AND(#REF!,"AAAAAF+N/V0=")</f>
        <v>#REF!</v>
      </c>
      <c r="CQ516" t="e">
        <f>AND(#REF!,"AAAAAF+N/V4=")</f>
        <v>#REF!</v>
      </c>
      <c r="CR516" t="e">
        <f>AND(#REF!,"AAAAAF+N/V8=")</f>
        <v>#REF!</v>
      </c>
      <c r="CS516" t="e">
        <f>AND(#REF!,"AAAAAF+N/WA=")</f>
        <v>#REF!</v>
      </c>
      <c r="CT516" t="e">
        <f>IF(#REF!,"AAAAAF+N/WE=",0)</f>
        <v>#REF!</v>
      </c>
      <c r="CU516" t="e">
        <f>AND(#REF!,"AAAAAF+N/WI=")</f>
        <v>#REF!</v>
      </c>
      <c r="CV516" t="e">
        <f>AND(#REF!,"AAAAAF+N/WM=")</f>
        <v>#REF!</v>
      </c>
      <c r="CW516" t="e">
        <f>AND(#REF!,"AAAAAF+N/WQ=")</f>
        <v>#REF!</v>
      </c>
      <c r="CX516" t="e">
        <f>AND(#REF!,"AAAAAF+N/WU=")</f>
        <v>#REF!</v>
      </c>
      <c r="CY516" t="e">
        <f>AND(#REF!,"AAAAAF+N/WY=")</f>
        <v>#REF!</v>
      </c>
      <c r="CZ516" t="e">
        <f>AND(#REF!,"AAAAAF+N/Wc=")</f>
        <v>#REF!</v>
      </c>
      <c r="DA516" t="e">
        <f>AND(#REF!,"AAAAAF+N/Wg=")</f>
        <v>#REF!</v>
      </c>
      <c r="DB516" t="e">
        <f>AND(#REF!,"AAAAAF+N/Wk=")</f>
        <v>#REF!</v>
      </c>
      <c r="DC516" t="e">
        <f>AND(#REF!,"AAAAAF+N/Wo=")</f>
        <v>#REF!</v>
      </c>
      <c r="DD516" t="e">
        <f>AND(#REF!,"AAAAAF+N/Ws=")</f>
        <v>#REF!</v>
      </c>
      <c r="DE516" t="e">
        <f>IF(#REF!,"AAAAAF+N/Ww=",0)</f>
        <v>#REF!</v>
      </c>
      <c r="DF516" t="e">
        <f>AND(#REF!,"AAAAAF+N/W0=")</f>
        <v>#REF!</v>
      </c>
      <c r="DG516" t="e">
        <f>AND(#REF!,"AAAAAF+N/W4=")</f>
        <v>#REF!</v>
      </c>
      <c r="DH516" t="e">
        <f>AND(#REF!,"AAAAAF+N/W8=")</f>
        <v>#REF!</v>
      </c>
      <c r="DI516" t="e">
        <f>AND(#REF!,"AAAAAF+N/XA=")</f>
        <v>#REF!</v>
      </c>
      <c r="DJ516" t="e">
        <f>AND(#REF!,"AAAAAF+N/XE=")</f>
        <v>#REF!</v>
      </c>
      <c r="DK516" t="e">
        <f>AND(#REF!,"AAAAAF+N/XI=")</f>
        <v>#REF!</v>
      </c>
      <c r="DL516" t="e">
        <f>AND(#REF!,"AAAAAF+N/XM=")</f>
        <v>#REF!</v>
      </c>
      <c r="DM516" t="e">
        <f>AND(#REF!,"AAAAAF+N/XQ=")</f>
        <v>#REF!</v>
      </c>
      <c r="DN516" t="e">
        <f>AND(#REF!,"AAAAAF+N/XU=")</f>
        <v>#REF!</v>
      </c>
      <c r="DO516" t="e">
        <f>AND(#REF!,"AAAAAF+N/XY=")</f>
        <v>#REF!</v>
      </c>
      <c r="DP516" t="e">
        <f>IF(#REF!,"AAAAAF+N/Xc=",0)</f>
        <v>#REF!</v>
      </c>
      <c r="DQ516" t="e">
        <f>AND(#REF!,"AAAAAF+N/Xg=")</f>
        <v>#REF!</v>
      </c>
      <c r="DR516" t="e">
        <f>AND(#REF!,"AAAAAF+N/Xk=")</f>
        <v>#REF!</v>
      </c>
      <c r="DS516" t="e">
        <f>AND(#REF!,"AAAAAF+N/Xo=")</f>
        <v>#REF!</v>
      </c>
      <c r="DT516" t="e">
        <f>AND(#REF!,"AAAAAF+N/Xs=")</f>
        <v>#REF!</v>
      </c>
      <c r="DU516" t="e">
        <f>AND(#REF!,"AAAAAF+N/Xw=")</f>
        <v>#REF!</v>
      </c>
      <c r="DV516" t="e">
        <f>AND(#REF!,"AAAAAF+N/X0=")</f>
        <v>#REF!</v>
      </c>
      <c r="DW516" t="e">
        <f>AND(#REF!,"AAAAAF+N/X4=")</f>
        <v>#REF!</v>
      </c>
      <c r="DX516" t="e">
        <f>AND(#REF!,"AAAAAF+N/X8=")</f>
        <v>#REF!</v>
      </c>
      <c r="DY516" t="e">
        <f>AND(#REF!,"AAAAAF+N/YA=")</f>
        <v>#REF!</v>
      </c>
      <c r="DZ516" t="e">
        <f>AND(#REF!,"AAAAAF+N/YE=")</f>
        <v>#REF!</v>
      </c>
      <c r="EA516" t="e">
        <f>IF(#REF!,"AAAAAF+N/YI=",0)</f>
        <v>#REF!</v>
      </c>
      <c r="EB516" t="e">
        <f>AND(#REF!,"AAAAAF+N/YM=")</f>
        <v>#REF!</v>
      </c>
      <c r="EC516" t="e">
        <f>AND(#REF!,"AAAAAF+N/YQ=")</f>
        <v>#REF!</v>
      </c>
      <c r="ED516" t="e">
        <f>AND(#REF!,"AAAAAF+N/YU=")</f>
        <v>#REF!</v>
      </c>
      <c r="EE516" t="e">
        <f>AND(#REF!,"AAAAAF+N/YY=")</f>
        <v>#REF!</v>
      </c>
      <c r="EF516" t="e">
        <f>AND(#REF!,"AAAAAF+N/Yc=")</f>
        <v>#REF!</v>
      </c>
      <c r="EG516" t="e">
        <f>AND(#REF!,"AAAAAF+N/Yg=")</f>
        <v>#REF!</v>
      </c>
      <c r="EH516" t="e">
        <f>AND(#REF!,"AAAAAF+N/Yk=")</f>
        <v>#REF!</v>
      </c>
      <c r="EI516" t="e">
        <f>AND(#REF!,"AAAAAF+N/Yo=")</f>
        <v>#REF!</v>
      </c>
      <c r="EJ516" t="e">
        <f>AND(#REF!,"AAAAAF+N/Ys=")</f>
        <v>#REF!</v>
      </c>
      <c r="EK516" t="e">
        <f>AND(#REF!,"AAAAAF+N/Yw=")</f>
        <v>#REF!</v>
      </c>
      <c r="EL516" t="e">
        <f>IF(#REF!,"AAAAAF+N/Y0=",0)</f>
        <v>#REF!</v>
      </c>
      <c r="EM516" t="e">
        <f>AND(#REF!,"AAAAAF+N/Y4=")</f>
        <v>#REF!</v>
      </c>
      <c r="EN516" t="e">
        <f>AND(#REF!,"AAAAAF+N/Y8=")</f>
        <v>#REF!</v>
      </c>
      <c r="EO516" t="e">
        <f>AND(#REF!,"AAAAAF+N/ZA=")</f>
        <v>#REF!</v>
      </c>
      <c r="EP516" t="e">
        <f>AND(#REF!,"AAAAAF+N/ZE=")</f>
        <v>#REF!</v>
      </c>
      <c r="EQ516" t="e">
        <f>AND(#REF!,"AAAAAF+N/ZI=")</f>
        <v>#REF!</v>
      </c>
      <c r="ER516" t="e">
        <f>AND(#REF!,"AAAAAF+N/ZM=")</f>
        <v>#REF!</v>
      </c>
      <c r="ES516" t="e">
        <f>AND(#REF!,"AAAAAF+N/ZQ=")</f>
        <v>#REF!</v>
      </c>
      <c r="ET516" t="e">
        <f>AND(#REF!,"AAAAAF+N/ZU=")</f>
        <v>#REF!</v>
      </c>
      <c r="EU516" t="e">
        <f>AND(#REF!,"AAAAAF+N/ZY=")</f>
        <v>#REF!</v>
      </c>
      <c r="EV516" t="e">
        <f>AND(#REF!,"AAAAAF+N/Zc=")</f>
        <v>#REF!</v>
      </c>
      <c r="EW516" t="e">
        <f>IF(#REF!,"AAAAAF+N/Zg=",0)</f>
        <v>#REF!</v>
      </c>
      <c r="EX516" t="e">
        <f>AND(#REF!,"AAAAAF+N/Zk=")</f>
        <v>#REF!</v>
      </c>
      <c r="EY516" t="e">
        <f>AND(#REF!,"AAAAAF+N/Zo=")</f>
        <v>#REF!</v>
      </c>
      <c r="EZ516" t="e">
        <f>AND(#REF!,"AAAAAF+N/Zs=")</f>
        <v>#REF!</v>
      </c>
      <c r="FA516" t="e">
        <f>AND(#REF!,"AAAAAF+N/Zw=")</f>
        <v>#REF!</v>
      </c>
      <c r="FB516" t="e">
        <f>AND(#REF!,"AAAAAF+N/Z0=")</f>
        <v>#REF!</v>
      </c>
      <c r="FC516" t="e">
        <f>AND(#REF!,"AAAAAF+N/Z4=")</f>
        <v>#REF!</v>
      </c>
      <c r="FD516" t="e">
        <f>AND(#REF!,"AAAAAF+N/Z8=")</f>
        <v>#REF!</v>
      </c>
      <c r="FE516" t="e">
        <f>AND(#REF!,"AAAAAF+N/aA=")</f>
        <v>#REF!</v>
      </c>
      <c r="FF516" t="e">
        <f>AND(#REF!,"AAAAAF+N/aE=")</f>
        <v>#REF!</v>
      </c>
      <c r="FG516" t="e">
        <f>AND(#REF!,"AAAAAF+N/aI=")</f>
        <v>#REF!</v>
      </c>
      <c r="FH516" t="e">
        <f>IF(#REF!,"AAAAAF+N/aM=",0)</f>
        <v>#REF!</v>
      </c>
      <c r="FI516" t="e">
        <f>AND(#REF!,"AAAAAF+N/aQ=")</f>
        <v>#REF!</v>
      </c>
      <c r="FJ516" t="e">
        <f>AND(#REF!,"AAAAAF+N/aU=")</f>
        <v>#REF!</v>
      </c>
      <c r="FK516" t="e">
        <f>AND(#REF!,"AAAAAF+N/aY=")</f>
        <v>#REF!</v>
      </c>
      <c r="FL516" t="e">
        <f>AND(#REF!,"AAAAAF+N/ac=")</f>
        <v>#REF!</v>
      </c>
      <c r="FM516" t="e">
        <f>AND(#REF!,"AAAAAF+N/ag=")</f>
        <v>#REF!</v>
      </c>
      <c r="FN516" t="e">
        <f>AND(#REF!,"AAAAAF+N/ak=")</f>
        <v>#REF!</v>
      </c>
      <c r="FO516" t="e">
        <f>AND(#REF!,"AAAAAF+N/ao=")</f>
        <v>#REF!</v>
      </c>
      <c r="FP516" t="e">
        <f>AND(#REF!,"AAAAAF+N/as=")</f>
        <v>#REF!</v>
      </c>
      <c r="FQ516" t="e">
        <f>AND(#REF!,"AAAAAF+N/aw=")</f>
        <v>#REF!</v>
      </c>
      <c r="FR516" t="e">
        <f>AND(#REF!,"AAAAAF+N/a0=")</f>
        <v>#REF!</v>
      </c>
      <c r="FS516" t="e">
        <f>IF(#REF!,"AAAAAF+N/a4=",0)</f>
        <v>#REF!</v>
      </c>
      <c r="FT516" t="e">
        <f>AND(#REF!,"AAAAAF+N/a8=")</f>
        <v>#REF!</v>
      </c>
      <c r="FU516" t="e">
        <f>AND(#REF!,"AAAAAF+N/bA=")</f>
        <v>#REF!</v>
      </c>
      <c r="FV516" t="e">
        <f>AND(#REF!,"AAAAAF+N/bE=")</f>
        <v>#REF!</v>
      </c>
      <c r="FW516" t="e">
        <f>AND(#REF!,"AAAAAF+N/bI=")</f>
        <v>#REF!</v>
      </c>
      <c r="FX516" t="e">
        <f>AND(#REF!,"AAAAAF+N/bM=")</f>
        <v>#REF!</v>
      </c>
      <c r="FY516" t="e">
        <f>AND(#REF!,"AAAAAF+N/bQ=")</f>
        <v>#REF!</v>
      </c>
      <c r="FZ516" t="e">
        <f>AND(#REF!,"AAAAAF+N/bU=")</f>
        <v>#REF!</v>
      </c>
      <c r="GA516" t="e">
        <f>AND(#REF!,"AAAAAF+N/bY=")</f>
        <v>#REF!</v>
      </c>
      <c r="GB516" t="e">
        <f>AND(#REF!,"AAAAAF+N/bc=")</f>
        <v>#REF!</v>
      </c>
      <c r="GC516" t="e">
        <f>AND(#REF!,"AAAAAF+N/bg=")</f>
        <v>#REF!</v>
      </c>
      <c r="GD516" t="e">
        <f>IF(#REF!,"AAAAAF+N/bk=",0)</f>
        <v>#REF!</v>
      </c>
      <c r="GE516" t="e">
        <f>AND(#REF!,"AAAAAF+N/bo=")</f>
        <v>#REF!</v>
      </c>
      <c r="GF516" t="e">
        <f>AND(#REF!,"AAAAAF+N/bs=")</f>
        <v>#REF!</v>
      </c>
      <c r="GG516" t="e">
        <f>AND(#REF!,"AAAAAF+N/bw=")</f>
        <v>#REF!</v>
      </c>
      <c r="GH516" t="e">
        <f>AND(#REF!,"AAAAAF+N/b0=")</f>
        <v>#REF!</v>
      </c>
      <c r="GI516" t="e">
        <f>AND(#REF!,"AAAAAF+N/b4=")</f>
        <v>#REF!</v>
      </c>
      <c r="GJ516" t="e">
        <f>AND(#REF!,"AAAAAF+N/b8=")</f>
        <v>#REF!</v>
      </c>
      <c r="GK516" t="e">
        <f>AND(#REF!,"AAAAAF+N/cA=")</f>
        <v>#REF!</v>
      </c>
      <c r="GL516" t="e">
        <f>AND(#REF!,"AAAAAF+N/cE=")</f>
        <v>#REF!</v>
      </c>
      <c r="GM516" t="e">
        <f>AND(#REF!,"AAAAAF+N/cI=")</f>
        <v>#REF!</v>
      </c>
      <c r="GN516" t="e">
        <f>AND(#REF!,"AAAAAF+N/cM=")</f>
        <v>#REF!</v>
      </c>
      <c r="GO516" t="e">
        <f>IF(#REF!,"AAAAAF+N/cQ=",0)</f>
        <v>#REF!</v>
      </c>
      <c r="GP516" t="e">
        <f>AND(#REF!,"AAAAAF+N/cU=")</f>
        <v>#REF!</v>
      </c>
      <c r="GQ516" t="e">
        <f>AND(#REF!,"AAAAAF+N/cY=")</f>
        <v>#REF!</v>
      </c>
      <c r="GR516" t="e">
        <f>AND(#REF!,"AAAAAF+N/cc=")</f>
        <v>#REF!</v>
      </c>
      <c r="GS516" t="e">
        <f>AND(#REF!,"AAAAAF+N/cg=")</f>
        <v>#REF!</v>
      </c>
      <c r="GT516" t="e">
        <f>AND(#REF!,"AAAAAF+N/ck=")</f>
        <v>#REF!</v>
      </c>
      <c r="GU516" t="e">
        <f>AND(#REF!,"AAAAAF+N/co=")</f>
        <v>#REF!</v>
      </c>
      <c r="GV516" t="e">
        <f>AND(#REF!,"AAAAAF+N/cs=")</f>
        <v>#REF!</v>
      </c>
      <c r="GW516" t="e">
        <f>AND(#REF!,"AAAAAF+N/cw=")</f>
        <v>#REF!</v>
      </c>
      <c r="GX516" t="e">
        <f>AND(#REF!,"AAAAAF+N/c0=")</f>
        <v>#REF!</v>
      </c>
      <c r="GY516" t="e">
        <f>AND(#REF!,"AAAAAF+N/c4=")</f>
        <v>#REF!</v>
      </c>
      <c r="GZ516" t="e">
        <f>IF(#REF!,"AAAAAF+N/c8=",0)</f>
        <v>#REF!</v>
      </c>
      <c r="HA516" t="e">
        <f>AND(#REF!,"AAAAAF+N/dA=")</f>
        <v>#REF!</v>
      </c>
      <c r="HB516" t="e">
        <f>AND(#REF!,"AAAAAF+N/dE=")</f>
        <v>#REF!</v>
      </c>
      <c r="HC516" t="e">
        <f>AND(#REF!,"AAAAAF+N/dI=")</f>
        <v>#REF!</v>
      </c>
      <c r="HD516" t="e">
        <f>AND(#REF!,"AAAAAF+N/dM=")</f>
        <v>#REF!</v>
      </c>
      <c r="HE516" t="e">
        <f>AND(#REF!,"AAAAAF+N/dQ=")</f>
        <v>#REF!</v>
      </c>
      <c r="HF516" t="e">
        <f>AND(#REF!,"AAAAAF+N/dU=")</f>
        <v>#REF!</v>
      </c>
      <c r="HG516" t="e">
        <f>AND(#REF!,"AAAAAF+N/dY=")</f>
        <v>#REF!</v>
      </c>
      <c r="HH516" t="e">
        <f>AND(#REF!,"AAAAAF+N/dc=")</f>
        <v>#REF!</v>
      </c>
      <c r="HI516" t="e">
        <f>AND(#REF!,"AAAAAF+N/dg=")</f>
        <v>#REF!</v>
      </c>
      <c r="HJ516" t="e">
        <f>AND(#REF!,"AAAAAF+N/dk=")</f>
        <v>#REF!</v>
      </c>
      <c r="HK516" t="e">
        <f>IF(#REF!,"AAAAAF+N/do=",0)</f>
        <v>#REF!</v>
      </c>
      <c r="HL516" t="e">
        <f>AND(#REF!,"AAAAAF+N/ds=")</f>
        <v>#REF!</v>
      </c>
      <c r="HM516" t="e">
        <f>AND(#REF!,"AAAAAF+N/dw=")</f>
        <v>#REF!</v>
      </c>
      <c r="HN516" t="e">
        <f>AND(#REF!,"AAAAAF+N/d0=")</f>
        <v>#REF!</v>
      </c>
      <c r="HO516" t="e">
        <f>AND(#REF!,"AAAAAF+N/d4=")</f>
        <v>#REF!</v>
      </c>
      <c r="HP516" t="e">
        <f>AND(#REF!,"AAAAAF+N/d8=")</f>
        <v>#REF!</v>
      </c>
      <c r="HQ516" t="e">
        <f>AND(#REF!,"AAAAAF+N/eA=")</f>
        <v>#REF!</v>
      </c>
      <c r="HR516" t="e">
        <f>AND(#REF!,"AAAAAF+N/eE=")</f>
        <v>#REF!</v>
      </c>
      <c r="HS516" t="e">
        <f>AND(#REF!,"AAAAAF+N/eI=")</f>
        <v>#REF!</v>
      </c>
      <c r="HT516" t="e">
        <f>AND(#REF!,"AAAAAF+N/eM=")</f>
        <v>#REF!</v>
      </c>
      <c r="HU516" t="e">
        <f>AND(#REF!,"AAAAAF+N/eQ=")</f>
        <v>#REF!</v>
      </c>
      <c r="HV516" t="e">
        <f>IF(#REF!,"AAAAAF+N/eU=",0)</f>
        <v>#REF!</v>
      </c>
      <c r="HW516" t="e">
        <f>AND(#REF!,"AAAAAF+N/eY=")</f>
        <v>#REF!</v>
      </c>
      <c r="HX516" t="e">
        <f>AND(#REF!,"AAAAAF+N/ec=")</f>
        <v>#REF!</v>
      </c>
      <c r="HY516" t="e">
        <f>AND(#REF!,"AAAAAF+N/eg=")</f>
        <v>#REF!</v>
      </c>
      <c r="HZ516" t="e">
        <f>AND(#REF!,"AAAAAF+N/ek=")</f>
        <v>#REF!</v>
      </c>
      <c r="IA516" t="e">
        <f>AND(#REF!,"AAAAAF+N/eo=")</f>
        <v>#REF!</v>
      </c>
      <c r="IB516" t="e">
        <f>AND(#REF!,"AAAAAF+N/es=")</f>
        <v>#REF!</v>
      </c>
      <c r="IC516" t="e">
        <f>AND(#REF!,"AAAAAF+N/ew=")</f>
        <v>#REF!</v>
      </c>
      <c r="ID516" t="e">
        <f>AND(#REF!,"AAAAAF+N/e0=")</f>
        <v>#REF!</v>
      </c>
      <c r="IE516" t="e">
        <f>AND(#REF!,"AAAAAF+N/e4=")</f>
        <v>#REF!</v>
      </c>
      <c r="IF516" t="e">
        <f>AND(#REF!,"AAAAAF+N/e8=")</f>
        <v>#REF!</v>
      </c>
      <c r="IG516" t="e">
        <f>IF(#REF!,"AAAAAF+N/fA=",0)</f>
        <v>#REF!</v>
      </c>
      <c r="IH516" t="e">
        <f>AND(#REF!,"AAAAAF+N/fE=")</f>
        <v>#REF!</v>
      </c>
      <c r="II516" t="e">
        <f>AND(#REF!,"AAAAAF+N/fI=")</f>
        <v>#REF!</v>
      </c>
      <c r="IJ516" t="e">
        <f>AND(#REF!,"AAAAAF+N/fM=")</f>
        <v>#REF!</v>
      </c>
      <c r="IK516" t="e">
        <f>AND(#REF!,"AAAAAF+N/fQ=")</f>
        <v>#REF!</v>
      </c>
      <c r="IL516" t="e">
        <f>AND(#REF!,"AAAAAF+N/fU=")</f>
        <v>#REF!</v>
      </c>
      <c r="IM516" t="e">
        <f>AND(#REF!,"AAAAAF+N/fY=")</f>
        <v>#REF!</v>
      </c>
      <c r="IN516" t="e">
        <f>AND(#REF!,"AAAAAF+N/fc=")</f>
        <v>#REF!</v>
      </c>
      <c r="IO516" t="e">
        <f>AND(#REF!,"AAAAAF+N/fg=")</f>
        <v>#REF!</v>
      </c>
      <c r="IP516" t="e">
        <f>AND(#REF!,"AAAAAF+N/fk=")</f>
        <v>#REF!</v>
      </c>
      <c r="IQ516" t="e">
        <f>AND(#REF!,"AAAAAF+N/fo=")</f>
        <v>#REF!</v>
      </c>
      <c r="IR516" t="e">
        <f>IF(#REF!,"AAAAAF+N/fs=",0)</f>
        <v>#REF!</v>
      </c>
      <c r="IS516" t="e">
        <f>AND(#REF!,"AAAAAF+N/fw=")</f>
        <v>#REF!</v>
      </c>
      <c r="IT516" t="e">
        <f>AND(#REF!,"AAAAAF+N/f0=")</f>
        <v>#REF!</v>
      </c>
      <c r="IU516" t="e">
        <f>AND(#REF!,"AAAAAF+N/f4=")</f>
        <v>#REF!</v>
      </c>
      <c r="IV516" t="e">
        <f>AND(#REF!,"AAAAAF+N/f8=")</f>
        <v>#REF!</v>
      </c>
    </row>
    <row r="517" spans="1:256" x14ac:dyDescent="0.25">
      <c r="A517" t="e">
        <f>AND(#REF!,"AAAAADr/LgA=")</f>
        <v>#REF!</v>
      </c>
      <c r="B517" t="e">
        <f>AND(#REF!,"AAAAADr/LgE=")</f>
        <v>#REF!</v>
      </c>
      <c r="C517" t="e">
        <f>AND(#REF!,"AAAAADr/LgI=")</f>
        <v>#REF!</v>
      </c>
      <c r="D517" t="e">
        <f>AND(#REF!,"AAAAADr/LgM=")</f>
        <v>#REF!</v>
      </c>
      <c r="E517" t="e">
        <f>AND(#REF!,"AAAAADr/LgQ=")</f>
        <v>#REF!</v>
      </c>
      <c r="F517" t="e">
        <f>AND(#REF!,"AAAAADr/LgU=")</f>
        <v>#REF!</v>
      </c>
      <c r="G517" t="e">
        <f>IF(#REF!,"AAAAADr/LgY=",0)</f>
        <v>#REF!</v>
      </c>
      <c r="H517" t="e">
        <f>AND(#REF!,"AAAAADr/Lgc=")</f>
        <v>#REF!</v>
      </c>
      <c r="I517" t="e">
        <f>AND(#REF!,"AAAAADr/Lgg=")</f>
        <v>#REF!</v>
      </c>
      <c r="J517" t="e">
        <f>AND(#REF!,"AAAAADr/Lgk=")</f>
        <v>#REF!</v>
      </c>
      <c r="K517" t="e">
        <f>AND(#REF!,"AAAAADr/Lgo=")</f>
        <v>#REF!</v>
      </c>
      <c r="L517" t="e">
        <f>AND(#REF!,"AAAAADr/Lgs=")</f>
        <v>#REF!</v>
      </c>
      <c r="M517" t="e">
        <f>AND(#REF!,"AAAAADr/Lgw=")</f>
        <v>#REF!</v>
      </c>
      <c r="N517" t="e">
        <f>AND(#REF!,"AAAAADr/Lg0=")</f>
        <v>#REF!</v>
      </c>
      <c r="O517" t="e">
        <f>AND(#REF!,"AAAAADr/Lg4=")</f>
        <v>#REF!</v>
      </c>
      <c r="P517" t="e">
        <f>AND(#REF!,"AAAAADr/Lg8=")</f>
        <v>#REF!</v>
      </c>
      <c r="Q517" t="e">
        <f>AND(#REF!,"AAAAADr/LhA=")</f>
        <v>#REF!</v>
      </c>
      <c r="R517" t="e">
        <f>IF(#REF!,"AAAAADr/LhE=",0)</f>
        <v>#REF!</v>
      </c>
      <c r="S517" t="e">
        <f>AND(#REF!,"AAAAADr/LhI=")</f>
        <v>#REF!</v>
      </c>
      <c r="T517" t="e">
        <f>AND(#REF!,"AAAAADr/LhM=")</f>
        <v>#REF!</v>
      </c>
      <c r="U517" t="e">
        <f>AND(#REF!,"AAAAADr/LhQ=")</f>
        <v>#REF!</v>
      </c>
      <c r="V517" t="e">
        <f>AND(#REF!,"AAAAADr/LhU=")</f>
        <v>#REF!</v>
      </c>
      <c r="W517" t="e">
        <f>AND(#REF!,"AAAAADr/LhY=")</f>
        <v>#REF!</v>
      </c>
      <c r="X517" t="e">
        <f>AND(#REF!,"AAAAADr/Lhc=")</f>
        <v>#REF!</v>
      </c>
      <c r="Y517" t="e">
        <f>AND(#REF!,"AAAAADr/Lhg=")</f>
        <v>#REF!</v>
      </c>
      <c r="Z517" t="e">
        <f>AND(#REF!,"AAAAADr/Lhk=")</f>
        <v>#REF!</v>
      </c>
      <c r="AA517" t="e">
        <f>AND(#REF!,"AAAAADr/Lho=")</f>
        <v>#REF!</v>
      </c>
      <c r="AB517" t="e">
        <f>AND(#REF!,"AAAAADr/Lhs=")</f>
        <v>#REF!</v>
      </c>
      <c r="AC517" t="e">
        <f>IF(#REF!,"AAAAADr/Lhw=",0)</f>
        <v>#REF!</v>
      </c>
      <c r="AD517" t="e">
        <f>AND(#REF!,"AAAAADr/Lh0=")</f>
        <v>#REF!</v>
      </c>
      <c r="AE517" t="e">
        <f>AND(#REF!,"AAAAADr/Lh4=")</f>
        <v>#REF!</v>
      </c>
      <c r="AF517" t="e">
        <f>AND(#REF!,"AAAAADr/Lh8=")</f>
        <v>#REF!</v>
      </c>
      <c r="AG517" t="e">
        <f>AND(#REF!,"AAAAADr/LiA=")</f>
        <v>#REF!</v>
      </c>
      <c r="AH517" t="e">
        <f>AND(#REF!,"AAAAADr/LiE=")</f>
        <v>#REF!</v>
      </c>
      <c r="AI517" t="e">
        <f>AND(#REF!,"AAAAADr/LiI=")</f>
        <v>#REF!</v>
      </c>
      <c r="AJ517" t="e">
        <f>AND(#REF!,"AAAAADr/LiM=")</f>
        <v>#REF!</v>
      </c>
      <c r="AK517" t="e">
        <f>AND(#REF!,"AAAAADr/LiQ=")</f>
        <v>#REF!</v>
      </c>
      <c r="AL517" t="e">
        <f>AND(#REF!,"AAAAADr/LiU=")</f>
        <v>#REF!</v>
      </c>
      <c r="AM517" t="e">
        <f>AND(#REF!,"AAAAADr/LiY=")</f>
        <v>#REF!</v>
      </c>
      <c r="AN517" t="e">
        <f>IF(#REF!,"AAAAADr/Lic=",0)</f>
        <v>#REF!</v>
      </c>
      <c r="AO517" t="e">
        <f>AND(#REF!,"AAAAADr/Lig=")</f>
        <v>#REF!</v>
      </c>
      <c r="AP517" t="e">
        <f>AND(#REF!,"AAAAADr/Lik=")</f>
        <v>#REF!</v>
      </c>
      <c r="AQ517" t="e">
        <f>AND(#REF!,"AAAAADr/Lio=")</f>
        <v>#REF!</v>
      </c>
      <c r="AR517" t="e">
        <f>AND(#REF!,"AAAAADr/Lis=")</f>
        <v>#REF!</v>
      </c>
      <c r="AS517" t="e">
        <f>AND(#REF!,"AAAAADr/Liw=")</f>
        <v>#REF!</v>
      </c>
      <c r="AT517" t="e">
        <f>AND(#REF!,"AAAAADr/Li0=")</f>
        <v>#REF!</v>
      </c>
      <c r="AU517" t="e">
        <f>AND(#REF!,"AAAAADr/Li4=")</f>
        <v>#REF!</v>
      </c>
      <c r="AV517" t="e">
        <f>AND(#REF!,"AAAAADr/Li8=")</f>
        <v>#REF!</v>
      </c>
      <c r="AW517" t="e">
        <f>AND(#REF!,"AAAAADr/LjA=")</f>
        <v>#REF!</v>
      </c>
      <c r="AX517" t="e">
        <f>AND(#REF!,"AAAAADr/LjE=")</f>
        <v>#REF!</v>
      </c>
      <c r="AY517" t="e">
        <f>IF(#REF!,"AAAAADr/LjI=",0)</f>
        <v>#REF!</v>
      </c>
      <c r="AZ517" t="e">
        <f>AND(#REF!,"AAAAADr/LjM=")</f>
        <v>#REF!</v>
      </c>
      <c r="BA517" t="e">
        <f>AND(#REF!,"AAAAADr/LjQ=")</f>
        <v>#REF!</v>
      </c>
      <c r="BB517" t="e">
        <f>AND(#REF!,"AAAAADr/LjU=")</f>
        <v>#REF!</v>
      </c>
      <c r="BC517" t="e">
        <f>AND(#REF!,"AAAAADr/LjY=")</f>
        <v>#REF!</v>
      </c>
      <c r="BD517" t="e">
        <f>AND(#REF!,"AAAAADr/Ljc=")</f>
        <v>#REF!</v>
      </c>
      <c r="BE517" t="e">
        <f>AND(#REF!,"AAAAADr/Ljg=")</f>
        <v>#REF!</v>
      </c>
      <c r="BF517" t="e">
        <f>AND(#REF!,"AAAAADr/Ljk=")</f>
        <v>#REF!</v>
      </c>
      <c r="BG517" t="e">
        <f>AND(#REF!,"AAAAADr/Ljo=")</f>
        <v>#REF!</v>
      </c>
      <c r="BH517" t="e">
        <f>AND(#REF!,"AAAAADr/Ljs=")</f>
        <v>#REF!</v>
      </c>
      <c r="BI517" t="e">
        <f>AND(#REF!,"AAAAADr/Ljw=")</f>
        <v>#REF!</v>
      </c>
      <c r="BJ517" t="e">
        <f>IF(#REF!,"AAAAADr/Lj0=",0)</f>
        <v>#REF!</v>
      </c>
      <c r="BK517" t="e">
        <f>AND(#REF!,"AAAAADr/Lj4=")</f>
        <v>#REF!</v>
      </c>
      <c r="BL517" t="e">
        <f>AND(#REF!,"AAAAADr/Lj8=")</f>
        <v>#REF!</v>
      </c>
      <c r="BM517" t="e">
        <f>AND(#REF!,"AAAAADr/LkA=")</f>
        <v>#REF!</v>
      </c>
      <c r="BN517" t="e">
        <f>AND(#REF!,"AAAAADr/LkE=")</f>
        <v>#REF!</v>
      </c>
      <c r="BO517" t="e">
        <f>AND(#REF!,"AAAAADr/LkI=")</f>
        <v>#REF!</v>
      </c>
      <c r="BP517" t="e">
        <f>AND(#REF!,"AAAAADr/LkM=")</f>
        <v>#REF!</v>
      </c>
      <c r="BQ517" t="e">
        <f>AND(#REF!,"AAAAADr/LkQ=")</f>
        <v>#REF!</v>
      </c>
      <c r="BR517" t="e">
        <f>AND(#REF!,"AAAAADr/LkU=")</f>
        <v>#REF!</v>
      </c>
      <c r="BS517" t="e">
        <f>AND(#REF!,"AAAAADr/LkY=")</f>
        <v>#REF!</v>
      </c>
      <c r="BT517" t="e">
        <f>AND(#REF!,"AAAAADr/Lkc=")</f>
        <v>#REF!</v>
      </c>
      <c r="BU517" t="e">
        <f>IF(#REF!,"AAAAADr/Lkg=",0)</f>
        <v>#REF!</v>
      </c>
      <c r="BV517" t="e">
        <f>AND(#REF!,"AAAAADr/Lkk=")</f>
        <v>#REF!</v>
      </c>
      <c r="BW517" t="e">
        <f>AND(#REF!,"AAAAADr/Lko=")</f>
        <v>#REF!</v>
      </c>
      <c r="BX517" t="e">
        <f>AND(#REF!,"AAAAADr/Lks=")</f>
        <v>#REF!</v>
      </c>
      <c r="BY517" t="e">
        <f>AND(#REF!,"AAAAADr/Lkw=")</f>
        <v>#REF!</v>
      </c>
      <c r="BZ517" t="e">
        <f>AND(#REF!,"AAAAADr/Lk0=")</f>
        <v>#REF!</v>
      </c>
      <c r="CA517" t="e">
        <f>AND(#REF!,"AAAAADr/Lk4=")</f>
        <v>#REF!</v>
      </c>
      <c r="CB517" t="e">
        <f>AND(#REF!,"AAAAADr/Lk8=")</f>
        <v>#REF!</v>
      </c>
      <c r="CC517" t="e">
        <f>AND(#REF!,"AAAAADr/LlA=")</f>
        <v>#REF!</v>
      </c>
      <c r="CD517" t="e">
        <f>AND(#REF!,"AAAAADr/LlE=")</f>
        <v>#REF!</v>
      </c>
      <c r="CE517" t="e">
        <f>AND(#REF!,"AAAAADr/LlI=")</f>
        <v>#REF!</v>
      </c>
      <c r="CF517" t="e">
        <f>IF(#REF!,"AAAAADr/LlM=",0)</f>
        <v>#REF!</v>
      </c>
      <c r="CG517" t="e">
        <f>AND(#REF!,"AAAAADr/LlQ=")</f>
        <v>#REF!</v>
      </c>
      <c r="CH517" t="e">
        <f>AND(#REF!,"AAAAADr/LlU=")</f>
        <v>#REF!</v>
      </c>
      <c r="CI517" t="e">
        <f>AND(#REF!,"AAAAADr/LlY=")</f>
        <v>#REF!</v>
      </c>
      <c r="CJ517" t="e">
        <f>AND(#REF!,"AAAAADr/Llc=")</f>
        <v>#REF!</v>
      </c>
      <c r="CK517" t="e">
        <f>AND(#REF!,"AAAAADr/Llg=")</f>
        <v>#REF!</v>
      </c>
      <c r="CL517" t="e">
        <f>AND(#REF!,"AAAAADr/Llk=")</f>
        <v>#REF!</v>
      </c>
      <c r="CM517" t="e">
        <f>AND(#REF!,"AAAAADr/Llo=")</f>
        <v>#REF!</v>
      </c>
      <c r="CN517" t="e">
        <f>AND(#REF!,"AAAAADr/Lls=")</f>
        <v>#REF!</v>
      </c>
      <c r="CO517" t="e">
        <f>AND(#REF!,"AAAAADr/Llw=")</f>
        <v>#REF!</v>
      </c>
      <c r="CP517" t="e">
        <f>AND(#REF!,"AAAAADr/Ll0=")</f>
        <v>#REF!</v>
      </c>
      <c r="CQ517" t="e">
        <f>IF(#REF!,"AAAAADr/Ll4=",0)</f>
        <v>#REF!</v>
      </c>
      <c r="CR517" t="e">
        <f>AND(#REF!,"AAAAADr/Ll8=")</f>
        <v>#REF!</v>
      </c>
      <c r="CS517" t="e">
        <f>AND(#REF!,"AAAAADr/LmA=")</f>
        <v>#REF!</v>
      </c>
      <c r="CT517" t="e">
        <f>AND(#REF!,"AAAAADr/LmE=")</f>
        <v>#REF!</v>
      </c>
      <c r="CU517" t="e">
        <f>AND(#REF!,"AAAAADr/LmI=")</f>
        <v>#REF!</v>
      </c>
      <c r="CV517" t="e">
        <f>AND(#REF!,"AAAAADr/LmM=")</f>
        <v>#REF!</v>
      </c>
      <c r="CW517" t="e">
        <f>AND(#REF!,"AAAAADr/LmQ=")</f>
        <v>#REF!</v>
      </c>
      <c r="CX517" t="e">
        <f>AND(#REF!,"AAAAADr/LmU=")</f>
        <v>#REF!</v>
      </c>
      <c r="CY517" t="e">
        <f>AND(#REF!,"AAAAADr/LmY=")</f>
        <v>#REF!</v>
      </c>
      <c r="CZ517" t="e">
        <f>AND(#REF!,"AAAAADr/Lmc=")</f>
        <v>#REF!</v>
      </c>
      <c r="DA517" t="e">
        <f>AND(#REF!,"AAAAADr/Lmg=")</f>
        <v>#REF!</v>
      </c>
      <c r="DB517" t="e">
        <f>IF(#REF!,"AAAAADr/Lmk=",0)</f>
        <v>#REF!</v>
      </c>
      <c r="DC517" t="e">
        <f>AND(#REF!,"AAAAADr/Lmo=")</f>
        <v>#REF!</v>
      </c>
      <c r="DD517" t="e">
        <f>AND(#REF!,"AAAAADr/Lms=")</f>
        <v>#REF!</v>
      </c>
      <c r="DE517" t="e">
        <f>AND(#REF!,"AAAAADr/Lmw=")</f>
        <v>#REF!</v>
      </c>
      <c r="DF517" t="e">
        <f>AND(#REF!,"AAAAADr/Lm0=")</f>
        <v>#REF!</v>
      </c>
      <c r="DG517" t="e">
        <f>AND(#REF!,"AAAAADr/Lm4=")</f>
        <v>#REF!</v>
      </c>
      <c r="DH517" t="e">
        <f>AND(#REF!,"AAAAADr/Lm8=")</f>
        <v>#REF!</v>
      </c>
      <c r="DI517" t="e">
        <f>AND(#REF!,"AAAAADr/LnA=")</f>
        <v>#REF!</v>
      </c>
      <c r="DJ517" t="e">
        <f>AND(#REF!,"AAAAADr/LnE=")</f>
        <v>#REF!</v>
      </c>
      <c r="DK517" t="e">
        <f>AND(#REF!,"AAAAADr/LnI=")</f>
        <v>#REF!</v>
      </c>
      <c r="DL517" t="e">
        <f>AND(#REF!,"AAAAADr/LnM=")</f>
        <v>#REF!</v>
      </c>
      <c r="DM517" t="e">
        <f>IF(#REF!,"AAAAADr/LnQ=",0)</f>
        <v>#REF!</v>
      </c>
      <c r="DN517" t="e">
        <f>AND(#REF!,"AAAAADr/LnU=")</f>
        <v>#REF!</v>
      </c>
      <c r="DO517" t="e">
        <f>AND(#REF!,"AAAAADr/LnY=")</f>
        <v>#REF!</v>
      </c>
      <c r="DP517" t="e">
        <f>AND(#REF!,"AAAAADr/Lnc=")</f>
        <v>#REF!</v>
      </c>
      <c r="DQ517" t="e">
        <f>AND(#REF!,"AAAAADr/Lng=")</f>
        <v>#REF!</v>
      </c>
      <c r="DR517" t="e">
        <f>AND(#REF!,"AAAAADr/Lnk=")</f>
        <v>#REF!</v>
      </c>
      <c r="DS517" t="e">
        <f>AND(#REF!,"AAAAADr/Lno=")</f>
        <v>#REF!</v>
      </c>
      <c r="DT517" t="e">
        <f>AND(#REF!,"AAAAADr/Lns=")</f>
        <v>#REF!</v>
      </c>
      <c r="DU517" t="e">
        <f>AND(#REF!,"AAAAADr/Lnw=")</f>
        <v>#REF!</v>
      </c>
      <c r="DV517" t="e">
        <f>AND(#REF!,"AAAAADr/Ln0=")</f>
        <v>#REF!</v>
      </c>
      <c r="DW517" t="e">
        <f>AND(#REF!,"AAAAADr/Ln4=")</f>
        <v>#REF!</v>
      </c>
      <c r="DX517" t="e">
        <f>IF(#REF!,"AAAAADr/Ln8=",0)</f>
        <v>#REF!</v>
      </c>
      <c r="DY517" t="e">
        <f>AND(#REF!,"AAAAADr/LoA=")</f>
        <v>#REF!</v>
      </c>
      <c r="DZ517" t="e">
        <f>AND(#REF!,"AAAAADr/LoE=")</f>
        <v>#REF!</v>
      </c>
      <c r="EA517" t="e">
        <f>AND(#REF!,"AAAAADr/LoI=")</f>
        <v>#REF!</v>
      </c>
      <c r="EB517" t="e">
        <f>AND(#REF!,"AAAAADr/LoM=")</f>
        <v>#REF!</v>
      </c>
      <c r="EC517" t="e">
        <f>AND(#REF!,"AAAAADr/LoQ=")</f>
        <v>#REF!</v>
      </c>
      <c r="ED517" t="e">
        <f>AND(#REF!,"AAAAADr/LoU=")</f>
        <v>#REF!</v>
      </c>
      <c r="EE517" t="e">
        <f>AND(#REF!,"AAAAADr/LoY=")</f>
        <v>#REF!</v>
      </c>
      <c r="EF517" t="e">
        <f>AND(#REF!,"AAAAADr/Loc=")</f>
        <v>#REF!</v>
      </c>
      <c r="EG517" t="e">
        <f>AND(#REF!,"AAAAADr/Log=")</f>
        <v>#REF!</v>
      </c>
      <c r="EH517" t="e">
        <f>AND(#REF!,"AAAAADr/Lok=")</f>
        <v>#REF!</v>
      </c>
      <c r="EI517" t="e">
        <f>IF(#REF!,"AAAAADr/Loo=",0)</f>
        <v>#REF!</v>
      </c>
      <c r="EJ517" t="e">
        <f>AND(#REF!,"AAAAADr/Los=")</f>
        <v>#REF!</v>
      </c>
      <c r="EK517" t="e">
        <f>AND(#REF!,"AAAAADr/Low=")</f>
        <v>#REF!</v>
      </c>
      <c r="EL517" t="e">
        <f>AND(#REF!,"AAAAADr/Lo0=")</f>
        <v>#REF!</v>
      </c>
      <c r="EM517" t="e">
        <f>AND(#REF!,"AAAAADr/Lo4=")</f>
        <v>#REF!</v>
      </c>
      <c r="EN517" t="e">
        <f>AND(#REF!,"AAAAADr/Lo8=")</f>
        <v>#REF!</v>
      </c>
      <c r="EO517" t="e">
        <f>AND(#REF!,"AAAAADr/LpA=")</f>
        <v>#REF!</v>
      </c>
      <c r="EP517" t="e">
        <f>AND(#REF!,"AAAAADr/LpE=")</f>
        <v>#REF!</v>
      </c>
      <c r="EQ517" t="e">
        <f>AND(#REF!,"AAAAADr/LpI=")</f>
        <v>#REF!</v>
      </c>
      <c r="ER517" t="e">
        <f>AND(#REF!,"AAAAADr/LpM=")</f>
        <v>#REF!</v>
      </c>
      <c r="ES517" t="e">
        <f>AND(#REF!,"AAAAADr/LpQ=")</f>
        <v>#REF!</v>
      </c>
      <c r="ET517" t="e">
        <f>IF(#REF!,"AAAAADr/LpU=",0)</f>
        <v>#REF!</v>
      </c>
      <c r="EU517" t="e">
        <f>AND(#REF!,"AAAAADr/LpY=")</f>
        <v>#REF!</v>
      </c>
      <c r="EV517" t="e">
        <f>AND(#REF!,"AAAAADr/Lpc=")</f>
        <v>#REF!</v>
      </c>
      <c r="EW517" t="e">
        <f>AND(#REF!,"AAAAADr/Lpg=")</f>
        <v>#REF!</v>
      </c>
      <c r="EX517" t="e">
        <f>AND(#REF!,"AAAAADr/Lpk=")</f>
        <v>#REF!</v>
      </c>
      <c r="EY517" t="e">
        <f>AND(#REF!,"AAAAADr/Lpo=")</f>
        <v>#REF!</v>
      </c>
      <c r="EZ517" t="e">
        <f>AND(#REF!,"AAAAADr/Lps=")</f>
        <v>#REF!</v>
      </c>
      <c r="FA517" t="e">
        <f>AND(#REF!,"AAAAADr/Lpw=")</f>
        <v>#REF!</v>
      </c>
      <c r="FB517" t="e">
        <f>AND(#REF!,"AAAAADr/Lp0=")</f>
        <v>#REF!</v>
      </c>
      <c r="FC517" t="e">
        <f>AND(#REF!,"AAAAADr/Lp4=")</f>
        <v>#REF!</v>
      </c>
      <c r="FD517" t="e">
        <f>AND(#REF!,"AAAAADr/Lp8=")</f>
        <v>#REF!</v>
      </c>
      <c r="FE517" t="e">
        <f>IF(#REF!,"AAAAADr/LqA=",0)</f>
        <v>#REF!</v>
      </c>
      <c r="FF517" t="e">
        <f>AND(#REF!,"AAAAADr/LqE=")</f>
        <v>#REF!</v>
      </c>
      <c r="FG517" t="e">
        <f>AND(#REF!,"AAAAADr/LqI=")</f>
        <v>#REF!</v>
      </c>
      <c r="FH517" t="e">
        <f>AND(#REF!,"AAAAADr/LqM=")</f>
        <v>#REF!</v>
      </c>
      <c r="FI517" t="e">
        <f>AND(#REF!,"AAAAADr/LqQ=")</f>
        <v>#REF!</v>
      </c>
      <c r="FJ517" t="e">
        <f>AND(#REF!,"AAAAADr/LqU=")</f>
        <v>#REF!</v>
      </c>
      <c r="FK517" t="e">
        <f>AND(#REF!,"AAAAADr/LqY=")</f>
        <v>#REF!</v>
      </c>
      <c r="FL517" t="e">
        <f>AND(#REF!,"AAAAADr/Lqc=")</f>
        <v>#REF!</v>
      </c>
      <c r="FM517" t="e">
        <f>AND(#REF!,"AAAAADr/Lqg=")</f>
        <v>#REF!</v>
      </c>
      <c r="FN517" t="e">
        <f>AND(#REF!,"AAAAADr/Lqk=")</f>
        <v>#REF!</v>
      </c>
      <c r="FO517" t="e">
        <f>AND(#REF!,"AAAAADr/Lqo=")</f>
        <v>#REF!</v>
      </c>
      <c r="FP517" t="e">
        <f>IF(#REF!,"AAAAADr/Lqs=",0)</f>
        <v>#REF!</v>
      </c>
      <c r="FQ517" t="e">
        <f>AND(#REF!,"AAAAADr/Lqw=")</f>
        <v>#REF!</v>
      </c>
      <c r="FR517" t="e">
        <f>AND(#REF!,"AAAAADr/Lq0=")</f>
        <v>#REF!</v>
      </c>
      <c r="FS517" t="e">
        <f>AND(#REF!,"AAAAADr/Lq4=")</f>
        <v>#REF!</v>
      </c>
      <c r="FT517" t="e">
        <f>AND(#REF!,"AAAAADr/Lq8=")</f>
        <v>#REF!</v>
      </c>
      <c r="FU517" t="e">
        <f>AND(#REF!,"AAAAADr/LrA=")</f>
        <v>#REF!</v>
      </c>
      <c r="FV517" t="e">
        <f>AND(#REF!,"AAAAADr/LrE=")</f>
        <v>#REF!</v>
      </c>
      <c r="FW517" t="e">
        <f>AND(#REF!,"AAAAADr/LrI=")</f>
        <v>#REF!</v>
      </c>
      <c r="FX517" t="e">
        <f>AND(#REF!,"AAAAADr/LrM=")</f>
        <v>#REF!</v>
      </c>
      <c r="FY517" t="e">
        <f>AND(#REF!,"AAAAADr/LrQ=")</f>
        <v>#REF!</v>
      </c>
      <c r="FZ517" t="e">
        <f>AND(#REF!,"AAAAADr/LrU=")</f>
        <v>#REF!</v>
      </c>
      <c r="GA517" t="e">
        <f>IF(#REF!,"AAAAADr/LrY=",0)</f>
        <v>#REF!</v>
      </c>
      <c r="GB517" t="e">
        <f>AND(#REF!,"AAAAADr/Lrc=")</f>
        <v>#REF!</v>
      </c>
      <c r="GC517" t="e">
        <f>AND(#REF!,"AAAAADr/Lrg=")</f>
        <v>#REF!</v>
      </c>
      <c r="GD517" t="e">
        <f>AND(#REF!,"AAAAADr/Lrk=")</f>
        <v>#REF!</v>
      </c>
      <c r="GE517" t="e">
        <f>AND(#REF!,"AAAAADr/Lro=")</f>
        <v>#REF!</v>
      </c>
      <c r="GF517" t="e">
        <f>AND(#REF!,"AAAAADr/Lrs=")</f>
        <v>#REF!</v>
      </c>
      <c r="GG517" t="e">
        <f>AND(#REF!,"AAAAADr/Lrw=")</f>
        <v>#REF!</v>
      </c>
      <c r="GH517" t="e">
        <f>AND(#REF!,"AAAAADr/Lr0=")</f>
        <v>#REF!</v>
      </c>
      <c r="GI517" t="e">
        <f>AND(#REF!,"AAAAADr/Lr4=")</f>
        <v>#REF!</v>
      </c>
      <c r="GJ517" t="e">
        <f>AND(#REF!,"AAAAADr/Lr8=")</f>
        <v>#REF!</v>
      </c>
      <c r="GK517" t="e">
        <f>AND(#REF!,"AAAAADr/LsA=")</f>
        <v>#REF!</v>
      </c>
      <c r="GL517" t="e">
        <f>IF(#REF!,"AAAAADr/LsE=",0)</f>
        <v>#REF!</v>
      </c>
      <c r="GM517" t="e">
        <f>AND(#REF!,"AAAAADr/LsI=")</f>
        <v>#REF!</v>
      </c>
      <c r="GN517" t="e">
        <f>AND(#REF!,"AAAAADr/LsM=")</f>
        <v>#REF!</v>
      </c>
      <c r="GO517" t="e">
        <f>AND(#REF!,"AAAAADr/LsQ=")</f>
        <v>#REF!</v>
      </c>
      <c r="GP517" t="e">
        <f>AND(#REF!,"AAAAADr/LsU=")</f>
        <v>#REF!</v>
      </c>
      <c r="GQ517" t="e">
        <f>AND(#REF!,"AAAAADr/LsY=")</f>
        <v>#REF!</v>
      </c>
      <c r="GR517" t="e">
        <f>AND(#REF!,"AAAAADr/Lsc=")</f>
        <v>#REF!</v>
      </c>
      <c r="GS517" t="e">
        <f>AND(#REF!,"AAAAADr/Lsg=")</f>
        <v>#REF!</v>
      </c>
      <c r="GT517" t="e">
        <f>AND(#REF!,"AAAAADr/Lsk=")</f>
        <v>#REF!</v>
      </c>
      <c r="GU517" t="e">
        <f>AND(#REF!,"AAAAADr/Lso=")</f>
        <v>#REF!</v>
      </c>
      <c r="GV517" t="e">
        <f>AND(#REF!,"AAAAADr/Lss=")</f>
        <v>#REF!</v>
      </c>
      <c r="GW517" t="e">
        <f>IF(#REF!,"AAAAADr/Lsw=",0)</f>
        <v>#REF!</v>
      </c>
      <c r="GX517" t="e">
        <f>AND(#REF!,"AAAAADr/Ls0=")</f>
        <v>#REF!</v>
      </c>
      <c r="GY517" t="e">
        <f>AND(#REF!,"AAAAADr/Ls4=")</f>
        <v>#REF!</v>
      </c>
      <c r="GZ517" t="e">
        <f>AND(#REF!,"AAAAADr/Ls8=")</f>
        <v>#REF!</v>
      </c>
      <c r="HA517" t="e">
        <f>AND(#REF!,"AAAAADr/LtA=")</f>
        <v>#REF!</v>
      </c>
      <c r="HB517" t="e">
        <f>AND(#REF!,"AAAAADr/LtE=")</f>
        <v>#REF!</v>
      </c>
      <c r="HC517" t="e">
        <f>AND(#REF!,"AAAAADr/LtI=")</f>
        <v>#REF!</v>
      </c>
      <c r="HD517" t="e">
        <f>AND(#REF!,"AAAAADr/LtM=")</f>
        <v>#REF!</v>
      </c>
      <c r="HE517" t="e">
        <f>AND(#REF!,"AAAAADr/LtQ=")</f>
        <v>#REF!</v>
      </c>
      <c r="HF517" t="e">
        <f>AND(#REF!,"AAAAADr/LtU=")</f>
        <v>#REF!</v>
      </c>
      <c r="HG517" t="e">
        <f>AND(#REF!,"AAAAADr/LtY=")</f>
        <v>#REF!</v>
      </c>
      <c r="HH517" t="e">
        <f>IF(#REF!,"AAAAADr/Ltc=",0)</f>
        <v>#REF!</v>
      </c>
      <c r="HI517" t="e">
        <f>AND(#REF!,"AAAAADr/Ltg=")</f>
        <v>#REF!</v>
      </c>
      <c r="HJ517" t="e">
        <f>AND(#REF!,"AAAAADr/Ltk=")</f>
        <v>#REF!</v>
      </c>
      <c r="HK517" t="e">
        <f>AND(#REF!,"AAAAADr/Lto=")</f>
        <v>#REF!</v>
      </c>
      <c r="HL517" t="e">
        <f>AND(#REF!,"AAAAADr/Lts=")</f>
        <v>#REF!</v>
      </c>
      <c r="HM517" t="e">
        <f>AND(#REF!,"AAAAADr/Ltw=")</f>
        <v>#REF!</v>
      </c>
      <c r="HN517" t="e">
        <f>AND(#REF!,"AAAAADr/Lt0=")</f>
        <v>#REF!</v>
      </c>
      <c r="HO517" t="e">
        <f>AND(#REF!,"AAAAADr/Lt4=")</f>
        <v>#REF!</v>
      </c>
      <c r="HP517" t="e">
        <f>AND(#REF!,"AAAAADr/Lt8=")</f>
        <v>#REF!</v>
      </c>
      <c r="HQ517" t="e">
        <f>AND(#REF!,"AAAAADr/LuA=")</f>
        <v>#REF!</v>
      </c>
      <c r="HR517" t="e">
        <f>AND(#REF!,"AAAAADr/LuE=")</f>
        <v>#REF!</v>
      </c>
      <c r="HS517" t="e">
        <f>IF(#REF!,"AAAAADr/LuI=",0)</f>
        <v>#REF!</v>
      </c>
      <c r="HT517" t="e">
        <f>AND(#REF!,"AAAAADr/LuM=")</f>
        <v>#REF!</v>
      </c>
      <c r="HU517" t="e">
        <f>AND(#REF!,"AAAAADr/LuQ=")</f>
        <v>#REF!</v>
      </c>
      <c r="HV517" t="e">
        <f>AND(#REF!,"AAAAADr/LuU=")</f>
        <v>#REF!</v>
      </c>
      <c r="HW517" t="e">
        <f>AND(#REF!,"AAAAADr/LuY=")</f>
        <v>#REF!</v>
      </c>
      <c r="HX517" t="e">
        <f>AND(#REF!,"AAAAADr/Luc=")</f>
        <v>#REF!</v>
      </c>
      <c r="HY517" t="e">
        <f>AND(#REF!,"AAAAADr/Lug=")</f>
        <v>#REF!</v>
      </c>
      <c r="HZ517" t="e">
        <f>AND(#REF!,"AAAAADr/Luk=")</f>
        <v>#REF!</v>
      </c>
      <c r="IA517" t="e">
        <f>AND(#REF!,"AAAAADr/Luo=")</f>
        <v>#REF!</v>
      </c>
      <c r="IB517" t="e">
        <f>AND(#REF!,"AAAAADr/Lus=")</f>
        <v>#REF!</v>
      </c>
      <c r="IC517" t="e">
        <f>AND(#REF!,"AAAAADr/Luw=")</f>
        <v>#REF!</v>
      </c>
      <c r="ID517" t="e">
        <f>IF(#REF!,"AAAAADr/Lu0=",0)</f>
        <v>#REF!</v>
      </c>
      <c r="IE517" t="e">
        <f>AND(#REF!,"AAAAADr/Lu4=")</f>
        <v>#REF!</v>
      </c>
      <c r="IF517" t="e">
        <f>AND(#REF!,"AAAAADr/Lu8=")</f>
        <v>#REF!</v>
      </c>
      <c r="IG517" t="e">
        <f>AND(#REF!,"AAAAADr/LvA=")</f>
        <v>#REF!</v>
      </c>
      <c r="IH517" t="e">
        <f>AND(#REF!,"AAAAADr/LvE=")</f>
        <v>#REF!</v>
      </c>
      <c r="II517" t="e">
        <f>AND(#REF!,"AAAAADr/LvI=")</f>
        <v>#REF!</v>
      </c>
      <c r="IJ517" t="e">
        <f>AND(#REF!,"AAAAADr/LvM=")</f>
        <v>#REF!</v>
      </c>
      <c r="IK517" t="e">
        <f>AND(#REF!,"AAAAADr/LvQ=")</f>
        <v>#REF!</v>
      </c>
      <c r="IL517" t="e">
        <f>AND(#REF!,"AAAAADr/LvU=")</f>
        <v>#REF!</v>
      </c>
      <c r="IM517" t="e">
        <f>AND(#REF!,"AAAAADr/LvY=")</f>
        <v>#REF!</v>
      </c>
      <c r="IN517" t="e">
        <f>AND(#REF!,"AAAAADr/Lvc=")</f>
        <v>#REF!</v>
      </c>
      <c r="IO517" t="e">
        <f>IF(#REF!,"AAAAADr/Lvg=",0)</f>
        <v>#REF!</v>
      </c>
      <c r="IP517" t="e">
        <f>AND(#REF!,"AAAAADr/Lvk=")</f>
        <v>#REF!</v>
      </c>
      <c r="IQ517" t="e">
        <f>AND(#REF!,"AAAAADr/Lvo=")</f>
        <v>#REF!</v>
      </c>
      <c r="IR517" t="e">
        <f>AND(#REF!,"AAAAADr/Lvs=")</f>
        <v>#REF!</v>
      </c>
      <c r="IS517" t="e">
        <f>AND(#REF!,"AAAAADr/Lvw=")</f>
        <v>#REF!</v>
      </c>
      <c r="IT517" t="e">
        <f>AND(#REF!,"AAAAADr/Lv0=")</f>
        <v>#REF!</v>
      </c>
      <c r="IU517" t="e">
        <f>AND(#REF!,"AAAAADr/Lv4=")</f>
        <v>#REF!</v>
      </c>
      <c r="IV517" t="e">
        <f>AND(#REF!,"AAAAADr/Lv8=")</f>
        <v>#REF!</v>
      </c>
    </row>
    <row r="518" spans="1:256" x14ac:dyDescent="0.25">
      <c r="A518" t="e">
        <f>AND(#REF!,"AAAAAHZffwA=")</f>
        <v>#REF!</v>
      </c>
      <c r="B518" t="e">
        <f>AND(#REF!,"AAAAAHZffwE=")</f>
        <v>#REF!</v>
      </c>
      <c r="C518" t="e">
        <f>AND(#REF!,"AAAAAHZffwI=")</f>
        <v>#REF!</v>
      </c>
      <c r="D518" t="e">
        <f>IF(#REF!,"AAAAAHZffwM=",0)</f>
        <v>#REF!</v>
      </c>
      <c r="E518" t="e">
        <f>AND(#REF!,"AAAAAHZffwQ=")</f>
        <v>#REF!</v>
      </c>
      <c r="F518" t="e">
        <f>AND(#REF!,"AAAAAHZffwU=")</f>
        <v>#REF!</v>
      </c>
      <c r="G518" t="e">
        <f>AND(#REF!,"AAAAAHZffwY=")</f>
        <v>#REF!</v>
      </c>
      <c r="H518" t="e">
        <f>AND(#REF!,"AAAAAHZffwc=")</f>
        <v>#REF!</v>
      </c>
      <c r="I518" t="e">
        <f>AND(#REF!,"AAAAAHZffwg=")</f>
        <v>#REF!</v>
      </c>
      <c r="J518" t="e">
        <f>AND(#REF!,"AAAAAHZffwk=")</f>
        <v>#REF!</v>
      </c>
      <c r="K518" t="e">
        <f>AND(#REF!,"AAAAAHZffwo=")</f>
        <v>#REF!</v>
      </c>
      <c r="L518" t="e">
        <f>AND(#REF!,"AAAAAHZffws=")</f>
        <v>#REF!</v>
      </c>
      <c r="M518" t="e">
        <f>AND(#REF!,"AAAAAHZffww=")</f>
        <v>#REF!</v>
      </c>
      <c r="N518" t="e">
        <f>AND(#REF!,"AAAAAHZffw0=")</f>
        <v>#REF!</v>
      </c>
      <c r="O518" t="e">
        <f>IF(#REF!,"AAAAAHZffw4=",0)</f>
        <v>#REF!</v>
      </c>
      <c r="P518" t="e">
        <f>AND(#REF!,"AAAAAHZffw8=")</f>
        <v>#REF!</v>
      </c>
      <c r="Q518" t="e">
        <f>AND(#REF!,"AAAAAHZffxA=")</f>
        <v>#REF!</v>
      </c>
      <c r="R518" t="e">
        <f>AND(#REF!,"AAAAAHZffxE=")</f>
        <v>#REF!</v>
      </c>
      <c r="S518" t="e">
        <f>AND(#REF!,"AAAAAHZffxI=")</f>
        <v>#REF!</v>
      </c>
      <c r="T518" t="e">
        <f>AND(#REF!,"AAAAAHZffxM=")</f>
        <v>#REF!</v>
      </c>
      <c r="U518" t="e">
        <f>AND(#REF!,"AAAAAHZffxQ=")</f>
        <v>#REF!</v>
      </c>
      <c r="V518" t="e">
        <f>AND(#REF!,"AAAAAHZffxU=")</f>
        <v>#REF!</v>
      </c>
      <c r="W518" t="e">
        <f>AND(#REF!,"AAAAAHZffxY=")</f>
        <v>#REF!</v>
      </c>
      <c r="X518" t="e">
        <f>AND(#REF!,"AAAAAHZffxc=")</f>
        <v>#REF!</v>
      </c>
      <c r="Y518" t="e">
        <f>AND(#REF!,"AAAAAHZffxg=")</f>
        <v>#REF!</v>
      </c>
      <c r="Z518" t="e">
        <f>IF(#REF!,"AAAAAHZffxk=",0)</f>
        <v>#REF!</v>
      </c>
      <c r="AA518" t="e">
        <f>AND(#REF!,"AAAAAHZffxo=")</f>
        <v>#REF!</v>
      </c>
      <c r="AB518" t="e">
        <f>AND(#REF!,"AAAAAHZffxs=")</f>
        <v>#REF!</v>
      </c>
      <c r="AC518" t="e">
        <f>AND(#REF!,"AAAAAHZffxw=")</f>
        <v>#REF!</v>
      </c>
      <c r="AD518" t="e">
        <f>AND(#REF!,"AAAAAHZffx0=")</f>
        <v>#REF!</v>
      </c>
      <c r="AE518" t="e">
        <f>AND(#REF!,"AAAAAHZffx4=")</f>
        <v>#REF!</v>
      </c>
      <c r="AF518" t="e">
        <f>AND(#REF!,"AAAAAHZffx8=")</f>
        <v>#REF!</v>
      </c>
      <c r="AG518" t="e">
        <f>AND(#REF!,"AAAAAHZffyA=")</f>
        <v>#REF!</v>
      </c>
      <c r="AH518" t="e">
        <f>AND(#REF!,"AAAAAHZffyE=")</f>
        <v>#REF!</v>
      </c>
      <c r="AI518" t="e">
        <f>AND(#REF!,"AAAAAHZffyI=")</f>
        <v>#REF!</v>
      </c>
      <c r="AJ518" t="e">
        <f>AND(#REF!,"AAAAAHZffyM=")</f>
        <v>#REF!</v>
      </c>
      <c r="AK518" t="e">
        <f>IF(#REF!,"AAAAAHZffyQ=",0)</f>
        <v>#REF!</v>
      </c>
      <c r="AL518" t="e">
        <f>AND(#REF!,"AAAAAHZffyU=")</f>
        <v>#REF!</v>
      </c>
      <c r="AM518" t="e">
        <f>AND(#REF!,"AAAAAHZffyY=")</f>
        <v>#REF!</v>
      </c>
      <c r="AN518" t="e">
        <f>AND(#REF!,"AAAAAHZffyc=")</f>
        <v>#REF!</v>
      </c>
      <c r="AO518" t="e">
        <f>AND(#REF!,"AAAAAHZffyg=")</f>
        <v>#REF!</v>
      </c>
      <c r="AP518" t="e">
        <f>AND(#REF!,"AAAAAHZffyk=")</f>
        <v>#REF!</v>
      </c>
      <c r="AQ518" t="e">
        <f>AND(#REF!,"AAAAAHZffyo=")</f>
        <v>#REF!</v>
      </c>
      <c r="AR518" t="e">
        <f>AND(#REF!,"AAAAAHZffys=")</f>
        <v>#REF!</v>
      </c>
      <c r="AS518" t="e">
        <f>AND(#REF!,"AAAAAHZffyw=")</f>
        <v>#REF!</v>
      </c>
      <c r="AT518" t="e">
        <f>AND(#REF!,"AAAAAHZffy0=")</f>
        <v>#REF!</v>
      </c>
      <c r="AU518" t="e">
        <f>AND(#REF!,"AAAAAHZffy4=")</f>
        <v>#REF!</v>
      </c>
      <c r="AV518" t="e">
        <f>IF(#REF!,"AAAAAHZffy8=",0)</f>
        <v>#REF!</v>
      </c>
      <c r="AW518" t="e">
        <f>AND(#REF!,"AAAAAHZffzA=")</f>
        <v>#REF!</v>
      </c>
      <c r="AX518" t="e">
        <f>AND(#REF!,"AAAAAHZffzE=")</f>
        <v>#REF!</v>
      </c>
      <c r="AY518" t="e">
        <f>AND(#REF!,"AAAAAHZffzI=")</f>
        <v>#REF!</v>
      </c>
      <c r="AZ518" t="e">
        <f>AND(#REF!,"AAAAAHZffzM=")</f>
        <v>#REF!</v>
      </c>
      <c r="BA518" t="e">
        <f>AND(#REF!,"AAAAAHZffzQ=")</f>
        <v>#REF!</v>
      </c>
      <c r="BB518" t="e">
        <f>AND(#REF!,"AAAAAHZffzU=")</f>
        <v>#REF!</v>
      </c>
      <c r="BC518" t="e">
        <f>AND(#REF!,"AAAAAHZffzY=")</f>
        <v>#REF!</v>
      </c>
      <c r="BD518" t="e">
        <f>AND(#REF!,"AAAAAHZffzc=")</f>
        <v>#REF!</v>
      </c>
      <c r="BE518" t="e">
        <f>AND(#REF!,"AAAAAHZffzg=")</f>
        <v>#REF!</v>
      </c>
      <c r="BF518" t="e">
        <f>AND(#REF!,"AAAAAHZffzk=")</f>
        <v>#REF!</v>
      </c>
      <c r="BG518" t="e">
        <f>IF(#REF!,"AAAAAHZffzo=",0)</f>
        <v>#REF!</v>
      </c>
      <c r="BH518" t="e">
        <f>AND(#REF!,"AAAAAHZffzs=")</f>
        <v>#REF!</v>
      </c>
      <c r="BI518" t="e">
        <f>AND(#REF!,"AAAAAHZffzw=")</f>
        <v>#REF!</v>
      </c>
      <c r="BJ518" t="e">
        <f>AND(#REF!,"AAAAAHZffz0=")</f>
        <v>#REF!</v>
      </c>
      <c r="BK518" t="e">
        <f>AND(#REF!,"AAAAAHZffz4=")</f>
        <v>#REF!</v>
      </c>
      <c r="BL518" t="e">
        <f>AND(#REF!,"AAAAAHZffz8=")</f>
        <v>#REF!</v>
      </c>
      <c r="BM518" t="e">
        <f>AND(#REF!,"AAAAAHZff0A=")</f>
        <v>#REF!</v>
      </c>
      <c r="BN518" t="e">
        <f>AND(#REF!,"AAAAAHZff0E=")</f>
        <v>#REF!</v>
      </c>
      <c r="BO518" t="e">
        <f>AND(#REF!,"AAAAAHZff0I=")</f>
        <v>#REF!</v>
      </c>
      <c r="BP518" t="e">
        <f>AND(#REF!,"AAAAAHZff0M=")</f>
        <v>#REF!</v>
      </c>
      <c r="BQ518" t="e">
        <f>AND(#REF!,"AAAAAHZff0Q=")</f>
        <v>#REF!</v>
      </c>
      <c r="BR518" t="e">
        <f>IF(#REF!,"AAAAAHZff0U=",0)</f>
        <v>#REF!</v>
      </c>
      <c r="BS518" t="e">
        <f>AND(#REF!,"AAAAAHZff0Y=")</f>
        <v>#REF!</v>
      </c>
      <c r="BT518" t="e">
        <f>AND(#REF!,"AAAAAHZff0c=")</f>
        <v>#REF!</v>
      </c>
      <c r="BU518" t="e">
        <f>AND(#REF!,"AAAAAHZff0g=")</f>
        <v>#REF!</v>
      </c>
      <c r="BV518" t="e">
        <f>AND(#REF!,"AAAAAHZff0k=")</f>
        <v>#REF!</v>
      </c>
      <c r="BW518" t="e">
        <f>AND(#REF!,"AAAAAHZff0o=")</f>
        <v>#REF!</v>
      </c>
      <c r="BX518" t="e">
        <f>AND(#REF!,"AAAAAHZff0s=")</f>
        <v>#REF!</v>
      </c>
      <c r="BY518" t="e">
        <f>AND(#REF!,"AAAAAHZff0w=")</f>
        <v>#REF!</v>
      </c>
      <c r="BZ518" t="e">
        <f>AND(#REF!,"AAAAAHZff00=")</f>
        <v>#REF!</v>
      </c>
      <c r="CA518" t="e">
        <f>AND(#REF!,"AAAAAHZff04=")</f>
        <v>#REF!</v>
      </c>
      <c r="CB518" t="e">
        <f>AND(#REF!,"AAAAAHZff08=")</f>
        <v>#REF!</v>
      </c>
      <c r="CC518" t="e">
        <f>IF(#REF!,"AAAAAHZff1A=",0)</f>
        <v>#REF!</v>
      </c>
      <c r="CD518" t="e">
        <f>AND(#REF!,"AAAAAHZff1E=")</f>
        <v>#REF!</v>
      </c>
      <c r="CE518" t="e">
        <f>AND(#REF!,"AAAAAHZff1I=")</f>
        <v>#REF!</v>
      </c>
      <c r="CF518" t="e">
        <f>AND(#REF!,"AAAAAHZff1M=")</f>
        <v>#REF!</v>
      </c>
      <c r="CG518" t="e">
        <f>AND(#REF!,"AAAAAHZff1Q=")</f>
        <v>#REF!</v>
      </c>
      <c r="CH518" t="e">
        <f>AND(#REF!,"AAAAAHZff1U=")</f>
        <v>#REF!</v>
      </c>
      <c r="CI518" t="e">
        <f>AND(#REF!,"AAAAAHZff1Y=")</f>
        <v>#REF!</v>
      </c>
      <c r="CJ518" t="e">
        <f>AND(#REF!,"AAAAAHZff1c=")</f>
        <v>#REF!</v>
      </c>
      <c r="CK518" t="e">
        <f>AND(#REF!,"AAAAAHZff1g=")</f>
        <v>#REF!</v>
      </c>
      <c r="CL518" t="e">
        <f>AND(#REF!,"AAAAAHZff1k=")</f>
        <v>#REF!</v>
      </c>
      <c r="CM518" t="e">
        <f>AND(#REF!,"AAAAAHZff1o=")</f>
        <v>#REF!</v>
      </c>
      <c r="CN518" t="e">
        <f>IF(#REF!,"AAAAAHZff1s=",0)</f>
        <v>#REF!</v>
      </c>
      <c r="CO518" t="e">
        <f>AND(#REF!,"AAAAAHZff1w=")</f>
        <v>#REF!</v>
      </c>
      <c r="CP518" t="e">
        <f>AND(#REF!,"AAAAAHZff10=")</f>
        <v>#REF!</v>
      </c>
      <c r="CQ518" t="e">
        <f>AND(#REF!,"AAAAAHZff14=")</f>
        <v>#REF!</v>
      </c>
      <c r="CR518" t="e">
        <f>AND(#REF!,"AAAAAHZff18=")</f>
        <v>#REF!</v>
      </c>
      <c r="CS518" t="e">
        <f>AND(#REF!,"AAAAAHZff2A=")</f>
        <v>#REF!</v>
      </c>
      <c r="CT518" t="e">
        <f>AND(#REF!,"AAAAAHZff2E=")</f>
        <v>#REF!</v>
      </c>
      <c r="CU518" t="e">
        <f>AND(#REF!,"AAAAAHZff2I=")</f>
        <v>#REF!</v>
      </c>
      <c r="CV518" t="e">
        <f>AND(#REF!,"AAAAAHZff2M=")</f>
        <v>#REF!</v>
      </c>
      <c r="CW518" t="e">
        <f>AND(#REF!,"AAAAAHZff2Q=")</f>
        <v>#REF!</v>
      </c>
      <c r="CX518" t="e">
        <f>AND(#REF!,"AAAAAHZff2U=")</f>
        <v>#REF!</v>
      </c>
      <c r="CY518" t="e">
        <f>IF(#REF!,"AAAAAHZff2Y=",0)</f>
        <v>#REF!</v>
      </c>
      <c r="CZ518" t="e">
        <f>AND(#REF!,"AAAAAHZff2c=")</f>
        <v>#REF!</v>
      </c>
      <c r="DA518" t="e">
        <f>AND(#REF!,"AAAAAHZff2g=")</f>
        <v>#REF!</v>
      </c>
      <c r="DB518" t="e">
        <f>AND(#REF!,"AAAAAHZff2k=")</f>
        <v>#REF!</v>
      </c>
      <c r="DC518" t="e">
        <f>AND(#REF!,"AAAAAHZff2o=")</f>
        <v>#REF!</v>
      </c>
      <c r="DD518" t="e">
        <f>AND(#REF!,"AAAAAHZff2s=")</f>
        <v>#REF!</v>
      </c>
      <c r="DE518" t="e">
        <f>AND(#REF!,"AAAAAHZff2w=")</f>
        <v>#REF!</v>
      </c>
      <c r="DF518" t="e">
        <f>AND(#REF!,"AAAAAHZff20=")</f>
        <v>#REF!</v>
      </c>
      <c r="DG518" t="e">
        <f>AND(#REF!,"AAAAAHZff24=")</f>
        <v>#REF!</v>
      </c>
      <c r="DH518" t="e">
        <f>AND(#REF!,"AAAAAHZff28=")</f>
        <v>#REF!</v>
      </c>
      <c r="DI518" t="e">
        <f>AND(#REF!,"AAAAAHZff3A=")</f>
        <v>#REF!</v>
      </c>
      <c r="DJ518" t="e">
        <f>IF(#REF!,"AAAAAHZff3E=",0)</f>
        <v>#REF!</v>
      </c>
      <c r="DK518" t="e">
        <f>AND(#REF!,"AAAAAHZff3I=")</f>
        <v>#REF!</v>
      </c>
      <c r="DL518" t="e">
        <f>AND(#REF!,"AAAAAHZff3M=")</f>
        <v>#REF!</v>
      </c>
      <c r="DM518" t="e">
        <f>AND(#REF!,"AAAAAHZff3Q=")</f>
        <v>#REF!</v>
      </c>
      <c r="DN518" t="e">
        <f>AND(#REF!,"AAAAAHZff3U=")</f>
        <v>#REF!</v>
      </c>
      <c r="DO518" t="e">
        <f>AND(#REF!,"AAAAAHZff3Y=")</f>
        <v>#REF!</v>
      </c>
      <c r="DP518" t="e">
        <f>AND(#REF!,"AAAAAHZff3c=")</f>
        <v>#REF!</v>
      </c>
      <c r="DQ518" t="e">
        <f>AND(#REF!,"AAAAAHZff3g=")</f>
        <v>#REF!</v>
      </c>
      <c r="DR518" t="e">
        <f>AND(#REF!,"AAAAAHZff3k=")</f>
        <v>#REF!</v>
      </c>
      <c r="DS518" t="e">
        <f>AND(#REF!,"AAAAAHZff3o=")</f>
        <v>#REF!</v>
      </c>
      <c r="DT518" t="e">
        <f>AND(#REF!,"AAAAAHZff3s=")</f>
        <v>#REF!</v>
      </c>
      <c r="DU518" t="e">
        <f>IF(#REF!,"AAAAAHZff3w=",0)</f>
        <v>#REF!</v>
      </c>
      <c r="DV518" t="e">
        <f>AND(#REF!,"AAAAAHZff30=")</f>
        <v>#REF!</v>
      </c>
      <c r="DW518" t="e">
        <f>AND(#REF!,"AAAAAHZff34=")</f>
        <v>#REF!</v>
      </c>
      <c r="DX518" t="e">
        <f>AND(#REF!,"AAAAAHZff38=")</f>
        <v>#REF!</v>
      </c>
      <c r="DY518" t="e">
        <f>AND(#REF!,"AAAAAHZff4A=")</f>
        <v>#REF!</v>
      </c>
      <c r="DZ518" t="e">
        <f>AND(#REF!,"AAAAAHZff4E=")</f>
        <v>#REF!</v>
      </c>
      <c r="EA518" t="e">
        <f>AND(#REF!,"AAAAAHZff4I=")</f>
        <v>#REF!</v>
      </c>
      <c r="EB518" t="e">
        <f>AND(#REF!,"AAAAAHZff4M=")</f>
        <v>#REF!</v>
      </c>
      <c r="EC518" t="e">
        <f>AND(#REF!,"AAAAAHZff4Q=")</f>
        <v>#REF!</v>
      </c>
      <c r="ED518" t="e">
        <f>AND(#REF!,"AAAAAHZff4U=")</f>
        <v>#REF!</v>
      </c>
      <c r="EE518" t="e">
        <f>AND(#REF!,"AAAAAHZff4Y=")</f>
        <v>#REF!</v>
      </c>
      <c r="EF518" t="e">
        <f>IF(#REF!,"AAAAAHZff4c=",0)</f>
        <v>#REF!</v>
      </c>
      <c r="EG518" t="e">
        <f>AND(#REF!,"AAAAAHZff4g=")</f>
        <v>#REF!</v>
      </c>
      <c r="EH518" t="e">
        <f>AND(#REF!,"AAAAAHZff4k=")</f>
        <v>#REF!</v>
      </c>
      <c r="EI518" t="e">
        <f>AND(#REF!,"AAAAAHZff4o=")</f>
        <v>#REF!</v>
      </c>
      <c r="EJ518" t="e">
        <f>AND(#REF!,"AAAAAHZff4s=")</f>
        <v>#REF!</v>
      </c>
      <c r="EK518" t="e">
        <f>AND(#REF!,"AAAAAHZff4w=")</f>
        <v>#REF!</v>
      </c>
      <c r="EL518" t="e">
        <f>AND(#REF!,"AAAAAHZff40=")</f>
        <v>#REF!</v>
      </c>
      <c r="EM518" t="e">
        <f>AND(#REF!,"AAAAAHZff44=")</f>
        <v>#REF!</v>
      </c>
      <c r="EN518" t="e">
        <f>AND(#REF!,"AAAAAHZff48=")</f>
        <v>#REF!</v>
      </c>
      <c r="EO518" t="e">
        <f>AND(#REF!,"AAAAAHZff5A=")</f>
        <v>#REF!</v>
      </c>
      <c r="EP518" t="e">
        <f>AND(#REF!,"AAAAAHZff5E=")</f>
        <v>#REF!</v>
      </c>
      <c r="EQ518" t="e">
        <f>IF(#REF!,"AAAAAHZff5I=",0)</f>
        <v>#REF!</v>
      </c>
      <c r="ER518" t="e">
        <f>AND(#REF!,"AAAAAHZff5M=")</f>
        <v>#REF!</v>
      </c>
      <c r="ES518" t="e">
        <f>AND(#REF!,"AAAAAHZff5Q=")</f>
        <v>#REF!</v>
      </c>
      <c r="ET518" t="e">
        <f>AND(#REF!,"AAAAAHZff5U=")</f>
        <v>#REF!</v>
      </c>
      <c r="EU518" t="e">
        <f>AND(#REF!,"AAAAAHZff5Y=")</f>
        <v>#REF!</v>
      </c>
      <c r="EV518" t="e">
        <f>AND(#REF!,"AAAAAHZff5c=")</f>
        <v>#REF!</v>
      </c>
      <c r="EW518" t="e">
        <f>AND(#REF!,"AAAAAHZff5g=")</f>
        <v>#REF!</v>
      </c>
      <c r="EX518" t="e">
        <f>AND(#REF!,"AAAAAHZff5k=")</f>
        <v>#REF!</v>
      </c>
      <c r="EY518" t="e">
        <f>AND(#REF!,"AAAAAHZff5o=")</f>
        <v>#REF!</v>
      </c>
      <c r="EZ518" t="e">
        <f>AND(#REF!,"AAAAAHZff5s=")</f>
        <v>#REF!</v>
      </c>
      <c r="FA518" t="e">
        <f>AND(#REF!,"AAAAAHZff5w=")</f>
        <v>#REF!</v>
      </c>
      <c r="FB518" t="e">
        <f>IF(#REF!,"AAAAAHZff50=",0)</f>
        <v>#REF!</v>
      </c>
      <c r="FC518" t="e">
        <f>AND(#REF!,"AAAAAHZff54=")</f>
        <v>#REF!</v>
      </c>
      <c r="FD518" t="e">
        <f>AND(#REF!,"AAAAAHZff58=")</f>
        <v>#REF!</v>
      </c>
      <c r="FE518" t="e">
        <f>AND(#REF!,"AAAAAHZff6A=")</f>
        <v>#REF!</v>
      </c>
      <c r="FF518" t="e">
        <f>AND(#REF!,"AAAAAHZff6E=")</f>
        <v>#REF!</v>
      </c>
      <c r="FG518" t="e">
        <f>AND(#REF!,"AAAAAHZff6I=")</f>
        <v>#REF!</v>
      </c>
      <c r="FH518" t="e">
        <f>AND(#REF!,"AAAAAHZff6M=")</f>
        <v>#REF!</v>
      </c>
      <c r="FI518" t="e">
        <f>AND(#REF!,"AAAAAHZff6Q=")</f>
        <v>#REF!</v>
      </c>
      <c r="FJ518" t="e">
        <f>AND(#REF!,"AAAAAHZff6U=")</f>
        <v>#REF!</v>
      </c>
      <c r="FK518" t="e">
        <f>AND(#REF!,"AAAAAHZff6Y=")</f>
        <v>#REF!</v>
      </c>
      <c r="FL518" t="e">
        <f>AND(#REF!,"AAAAAHZff6c=")</f>
        <v>#REF!</v>
      </c>
      <c r="FM518" t="e">
        <f>IF(#REF!,"AAAAAHZff6g=",0)</f>
        <v>#REF!</v>
      </c>
      <c r="FN518" t="e">
        <f>AND(#REF!,"AAAAAHZff6k=")</f>
        <v>#REF!</v>
      </c>
      <c r="FO518" t="e">
        <f>AND(#REF!,"AAAAAHZff6o=")</f>
        <v>#REF!</v>
      </c>
      <c r="FP518" t="e">
        <f>AND(#REF!,"AAAAAHZff6s=")</f>
        <v>#REF!</v>
      </c>
      <c r="FQ518" t="e">
        <f>AND(#REF!,"AAAAAHZff6w=")</f>
        <v>#REF!</v>
      </c>
      <c r="FR518" t="e">
        <f>AND(#REF!,"AAAAAHZff60=")</f>
        <v>#REF!</v>
      </c>
      <c r="FS518" t="e">
        <f>AND(#REF!,"AAAAAHZff64=")</f>
        <v>#REF!</v>
      </c>
      <c r="FT518" t="e">
        <f>AND(#REF!,"AAAAAHZff68=")</f>
        <v>#REF!</v>
      </c>
      <c r="FU518" t="e">
        <f>AND(#REF!,"AAAAAHZff7A=")</f>
        <v>#REF!</v>
      </c>
      <c r="FV518" t="e">
        <f>AND(#REF!,"AAAAAHZff7E=")</f>
        <v>#REF!</v>
      </c>
      <c r="FW518" t="e">
        <f>AND(#REF!,"AAAAAHZff7I=")</f>
        <v>#REF!</v>
      </c>
      <c r="FX518" t="e">
        <f>IF(#REF!,"AAAAAHZff7M=",0)</f>
        <v>#REF!</v>
      </c>
      <c r="FY518" t="e">
        <f>AND(#REF!,"AAAAAHZff7Q=")</f>
        <v>#REF!</v>
      </c>
      <c r="FZ518" t="e">
        <f>AND(#REF!,"AAAAAHZff7U=")</f>
        <v>#REF!</v>
      </c>
      <c r="GA518" t="e">
        <f>AND(#REF!,"AAAAAHZff7Y=")</f>
        <v>#REF!</v>
      </c>
      <c r="GB518" t="e">
        <f>AND(#REF!,"AAAAAHZff7c=")</f>
        <v>#REF!</v>
      </c>
      <c r="GC518" t="e">
        <f>AND(#REF!,"AAAAAHZff7g=")</f>
        <v>#REF!</v>
      </c>
      <c r="GD518" t="e">
        <f>AND(#REF!,"AAAAAHZff7k=")</f>
        <v>#REF!</v>
      </c>
      <c r="GE518" t="e">
        <f>AND(#REF!,"AAAAAHZff7o=")</f>
        <v>#REF!</v>
      </c>
      <c r="GF518" t="e">
        <f>AND(#REF!,"AAAAAHZff7s=")</f>
        <v>#REF!</v>
      </c>
      <c r="GG518" t="e">
        <f>AND(#REF!,"AAAAAHZff7w=")</f>
        <v>#REF!</v>
      </c>
      <c r="GH518" t="e">
        <f>AND(#REF!,"AAAAAHZff70=")</f>
        <v>#REF!</v>
      </c>
      <c r="GI518" t="e">
        <f>IF(#REF!,"AAAAAHZff74=",0)</f>
        <v>#REF!</v>
      </c>
      <c r="GJ518" t="e">
        <f>AND(#REF!,"AAAAAHZff78=")</f>
        <v>#REF!</v>
      </c>
      <c r="GK518" t="e">
        <f>AND(#REF!,"AAAAAHZff8A=")</f>
        <v>#REF!</v>
      </c>
      <c r="GL518" t="e">
        <f>AND(#REF!,"AAAAAHZff8E=")</f>
        <v>#REF!</v>
      </c>
      <c r="GM518" t="e">
        <f>AND(#REF!,"AAAAAHZff8I=")</f>
        <v>#REF!</v>
      </c>
      <c r="GN518" t="e">
        <f>AND(#REF!,"AAAAAHZff8M=")</f>
        <v>#REF!</v>
      </c>
      <c r="GO518" t="e">
        <f>AND(#REF!,"AAAAAHZff8Q=")</f>
        <v>#REF!</v>
      </c>
      <c r="GP518" t="e">
        <f>AND(#REF!,"AAAAAHZff8U=")</f>
        <v>#REF!</v>
      </c>
      <c r="GQ518" t="e">
        <f>AND(#REF!,"AAAAAHZff8Y=")</f>
        <v>#REF!</v>
      </c>
      <c r="GR518" t="e">
        <f>AND(#REF!,"AAAAAHZff8c=")</f>
        <v>#REF!</v>
      </c>
      <c r="GS518" t="e">
        <f>AND(#REF!,"AAAAAHZff8g=")</f>
        <v>#REF!</v>
      </c>
      <c r="GT518" t="e">
        <f>IF(#REF!,"AAAAAHZff8k=",0)</f>
        <v>#REF!</v>
      </c>
      <c r="GU518" t="e">
        <f>AND(#REF!,"AAAAAHZff8o=")</f>
        <v>#REF!</v>
      </c>
      <c r="GV518" t="e">
        <f>AND(#REF!,"AAAAAHZff8s=")</f>
        <v>#REF!</v>
      </c>
      <c r="GW518" t="e">
        <f>AND(#REF!,"AAAAAHZff8w=")</f>
        <v>#REF!</v>
      </c>
      <c r="GX518" t="e">
        <f>AND(#REF!,"AAAAAHZff80=")</f>
        <v>#REF!</v>
      </c>
      <c r="GY518" t="e">
        <f>AND(#REF!,"AAAAAHZff84=")</f>
        <v>#REF!</v>
      </c>
      <c r="GZ518" t="e">
        <f>AND(#REF!,"AAAAAHZff88=")</f>
        <v>#REF!</v>
      </c>
      <c r="HA518" t="e">
        <f>AND(#REF!,"AAAAAHZff9A=")</f>
        <v>#REF!</v>
      </c>
      <c r="HB518" t="e">
        <f>AND(#REF!,"AAAAAHZff9E=")</f>
        <v>#REF!</v>
      </c>
      <c r="HC518" t="e">
        <f>AND(#REF!,"AAAAAHZff9I=")</f>
        <v>#REF!</v>
      </c>
      <c r="HD518" t="e">
        <f>AND(#REF!,"AAAAAHZff9M=")</f>
        <v>#REF!</v>
      </c>
      <c r="HE518" t="e">
        <f>IF(#REF!,"AAAAAHZff9Q=",0)</f>
        <v>#REF!</v>
      </c>
      <c r="HF518" t="e">
        <f>AND(#REF!,"AAAAAHZff9U=")</f>
        <v>#REF!</v>
      </c>
      <c r="HG518" t="e">
        <f>AND(#REF!,"AAAAAHZff9Y=")</f>
        <v>#REF!</v>
      </c>
      <c r="HH518" t="e">
        <f>AND(#REF!,"AAAAAHZff9c=")</f>
        <v>#REF!</v>
      </c>
      <c r="HI518" t="e">
        <f>AND(#REF!,"AAAAAHZff9g=")</f>
        <v>#REF!</v>
      </c>
      <c r="HJ518" t="e">
        <f>AND(#REF!,"AAAAAHZff9k=")</f>
        <v>#REF!</v>
      </c>
      <c r="HK518" t="e">
        <f>AND(#REF!,"AAAAAHZff9o=")</f>
        <v>#REF!</v>
      </c>
      <c r="HL518" t="e">
        <f>AND(#REF!,"AAAAAHZff9s=")</f>
        <v>#REF!</v>
      </c>
      <c r="HM518" t="e">
        <f>AND(#REF!,"AAAAAHZff9w=")</f>
        <v>#REF!</v>
      </c>
      <c r="HN518" t="e">
        <f>AND(#REF!,"AAAAAHZff90=")</f>
        <v>#REF!</v>
      </c>
      <c r="HO518" t="e">
        <f>AND(#REF!,"AAAAAHZff94=")</f>
        <v>#REF!</v>
      </c>
      <c r="HP518" t="e">
        <f>IF(#REF!,"AAAAAHZff98=",0)</f>
        <v>#REF!</v>
      </c>
      <c r="HQ518" t="e">
        <f>AND(#REF!,"AAAAAHZff+A=")</f>
        <v>#REF!</v>
      </c>
      <c r="HR518" t="e">
        <f>AND(#REF!,"AAAAAHZff+E=")</f>
        <v>#REF!</v>
      </c>
      <c r="HS518" t="e">
        <f>AND(#REF!,"AAAAAHZff+I=")</f>
        <v>#REF!</v>
      </c>
      <c r="HT518" t="e">
        <f>AND(#REF!,"AAAAAHZff+M=")</f>
        <v>#REF!</v>
      </c>
      <c r="HU518" t="e">
        <f>AND(#REF!,"AAAAAHZff+Q=")</f>
        <v>#REF!</v>
      </c>
      <c r="HV518" t="e">
        <f>AND(#REF!,"AAAAAHZff+U=")</f>
        <v>#REF!</v>
      </c>
      <c r="HW518" t="e">
        <f>AND(#REF!,"AAAAAHZff+Y=")</f>
        <v>#REF!</v>
      </c>
      <c r="HX518" t="e">
        <f>AND(#REF!,"AAAAAHZff+c=")</f>
        <v>#REF!</v>
      </c>
      <c r="HY518" t="e">
        <f>AND(#REF!,"AAAAAHZff+g=")</f>
        <v>#REF!</v>
      </c>
      <c r="HZ518" t="e">
        <f>AND(#REF!,"AAAAAHZff+k=")</f>
        <v>#REF!</v>
      </c>
      <c r="IA518" t="e">
        <f>IF(#REF!,"AAAAAHZff+o=",0)</f>
        <v>#REF!</v>
      </c>
      <c r="IB518" t="e">
        <f>AND(#REF!,"AAAAAHZff+s=")</f>
        <v>#REF!</v>
      </c>
      <c r="IC518" t="e">
        <f>AND(#REF!,"AAAAAHZff+w=")</f>
        <v>#REF!</v>
      </c>
      <c r="ID518" t="e">
        <f>AND(#REF!,"AAAAAHZff+0=")</f>
        <v>#REF!</v>
      </c>
      <c r="IE518" t="e">
        <f>AND(#REF!,"AAAAAHZff+4=")</f>
        <v>#REF!</v>
      </c>
      <c r="IF518" t="e">
        <f>AND(#REF!,"AAAAAHZff+8=")</f>
        <v>#REF!</v>
      </c>
      <c r="IG518" t="e">
        <f>AND(#REF!,"AAAAAHZff/A=")</f>
        <v>#REF!</v>
      </c>
      <c r="IH518" t="e">
        <f>AND(#REF!,"AAAAAHZff/E=")</f>
        <v>#REF!</v>
      </c>
      <c r="II518" t="e">
        <f>AND(#REF!,"AAAAAHZff/I=")</f>
        <v>#REF!</v>
      </c>
      <c r="IJ518" t="e">
        <f>AND(#REF!,"AAAAAHZff/M=")</f>
        <v>#REF!</v>
      </c>
      <c r="IK518" t="e">
        <f>AND(#REF!,"AAAAAHZff/Q=")</f>
        <v>#REF!</v>
      </c>
      <c r="IL518" t="e">
        <f>IF(#REF!,"AAAAAHZff/U=",0)</f>
        <v>#REF!</v>
      </c>
      <c r="IM518" t="e">
        <f>AND(#REF!,"AAAAAHZff/Y=")</f>
        <v>#REF!</v>
      </c>
      <c r="IN518" t="e">
        <f>AND(#REF!,"AAAAAHZff/c=")</f>
        <v>#REF!</v>
      </c>
      <c r="IO518" t="e">
        <f>AND(#REF!,"AAAAAHZff/g=")</f>
        <v>#REF!</v>
      </c>
      <c r="IP518" t="e">
        <f>AND(#REF!,"AAAAAHZff/k=")</f>
        <v>#REF!</v>
      </c>
      <c r="IQ518" t="e">
        <f>AND(#REF!,"AAAAAHZff/o=")</f>
        <v>#REF!</v>
      </c>
      <c r="IR518" t="e">
        <f>AND(#REF!,"AAAAAHZff/s=")</f>
        <v>#REF!</v>
      </c>
      <c r="IS518" t="e">
        <f>AND(#REF!,"AAAAAHZff/w=")</f>
        <v>#REF!</v>
      </c>
      <c r="IT518" t="e">
        <f>AND(#REF!,"AAAAAHZff/0=")</f>
        <v>#REF!</v>
      </c>
      <c r="IU518" t="e">
        <f>AND(#REF!,"AAAAAHZff/4=")</f>
        <v>#REF!</v>
      </c>
      <c r="IV518" t="e">
        <f>AND(#REF!,"AAAAAHZff/8=")</f>
        <v>#REF!</v>
      </c>
    </row>
    <row r="519" spans="1:256" x14ac:dyDescent="0.25">
      <c r="A519" t="e">
        <f>IF(#REF!,"AAAAAH9mhwA=",0)</f>
        <v>#REF!</v>
      </c>
      <c r="B519" t="e">
        <f>AND(#REF!,"AAAAAH9mhwE=")</f>
        <v>#REF!</v>
      </c>
      <c r="C519" t="e">
        <f>AND(#REF!,"AAAAAH9mhwI=")</f>
        <v>#REF!</v>
      </c>
      <c r="D519" t="e">
        <f>AND(#REF!,"AAAAAH9mhwM=")</f>
        <v>#REF!</v>
      </c>
      <c r="E519" t="e">
        <f>AND(#REF!,"AAAAAH9mhwQ=")</f>
        <v>#REF!</v>
      </c>
      <c r="F519" t="e">
        <f>AND(#REF!,"AAAAAH9mhwU=")</f>
        <v>#REF!</v>
      </c>
      <c r="G519" t="e">
        <f>AND(#REF!,"AAAAAH9mhwY=")</f>
        <v>#REF!</v>
      </c>
      <c r="H519" t="e">
        <f>AND(#REF!,"AAAAAH9mhwc=")</f>
        <v>#REF!</v>
      </c>
      <c r="I519" t="e">
        <f>AND(#REF!,"AAAAAH9mhwg=")</f>
        <v>#REF!</v>
      </c>
      <c r="J519" t="e">
        <f>AND(#REF!,"AAAAAH9mhwk=")</f>
        <v>#REF!</v>
      </c>
      <c r="K519" t="e">
        <f>AND(#REF!,"AAAAAH9mhwo=")</f>
        <v>#REF!</v>
      </c>
      <c r="L519" t="e">
        <f>IF(#REF!,"AAAAAH9mhws=",0)</f>
        <v>#REF!</v>
      </c>
      <c r="M519" t="e">
        <f>AND(#REF!,"AAAAAH9mhww=")</f>
        <v>#REF!</v>
      </c>
      <c r="N519" t="e">
        <f>AND(#REF!,"AAAAAH9mhw0=")</f>
        <v>#REF!</v>
      </c>
      <c r="O519" t="e">
        <f>AND(#REF!,"AAAAAH9mhw4=")</f>
        <v>#REF!</v>
      </c>
      <c r="P519" t="e">
        <f>AND(#REF!,"AAAAAH9mhw8=")</f>
        <v>#REF!</v>
      </c>
      <c r="Q519" t="e">
        <f>AND(#REF!,"AAAAAH9mhxA=")</f>
        <v>#REF!</v>
      </c>
      <c r="R519" t="e">
        <f>AND(#REF!,"AAAAAH9mhxE=")</f>
        <v>#REF!</v>
      </c>
      <c r="S519" t="e">
        <f>AND(#REF!,"AAAAAH9mhxI=")</f>
        <v>#REF!</v>
      </c>
      <c r="T519" t="e">
        <f>AND(#REF!,"AAAAAH9mhxM=")</f>
        <v>#REF!</v>
      </c>
      <c r="U519" t="e">
        <f>AND(#REF!,"AAAAAH9mhxQ=")</f>
        <v>#REF!</v>
      </c>
      <c r="V519" t="e">
        <f>AND(#REF!,"AAAAAH9mhxU=")</f>
        <v>#REF!</v>
      </c>
      <c r="W519" t="e">
        <f>IF(#REF!,"AAAAAH9mhxY=",0)</f>
        <v>#REF!</v>
      </c>
      <c r="X519" t="e">
        <f>AND(#REF!,"AAAAAH9mhxc=")</f>
        <v>#REF!</v>
      </c>
      <c r="Y519" t="e">
        <f>AND(#REF!,"AAAAAH9mhxg=")</f>
        <v>#REF!</v>
      </c>
      <c r="Z519" t="e">
        <f>AND(#REF!,"AAAAAH9mhxk=")</f>
        <v>#REF!</v>
      </c>
      <c r="AA519" t="e">
        <f>AND(#REF!,"AAAAAH9mhxo=")</f>
        <v>#REF!</v>
      </c>
      <c r="AB519" t="e">
        <f>AND(#REF!,"AAAAAH9mhxs=")</f>
        <v>#REF!</v>
      </c>
      <c r="AC519" t="e">
        <f>AND(#REF!,"AAAAAH9mhxw=")</f>
        <v>#REF!</v>
      </c>
      <c r="AD519" t="e">
        <f>AND(#REF!,"AAAAAH9mhx0=")</f>
        <v>#REF!</v>
      </c>
      <c r="AE519" t="e">
        <f>AND(#REF!,"AAAAAH9mhx4=")</f>
        <v>#REF!</v>
      </c>
      <c r="AF519" t="e">
        <f>AND(#REF!,"AAAAAH9mhx8=")</f>
        <v>#REF!</v>
      </c>
      <c r="AG519" t="e">
        <f>AND(#REF!,"AAAAAH9mhyA=")</f>
        <v>#REF!</v>
      </c>
      <c r="AH519" t="e">
        <f>IF(#REF!,"AAAAAH9mhyE=",0)</f>
        <v>#REF!</v>
      </c>
      <c r="AI519" t="e">
        <f>AND(#REF!,"AAAAAH9mhyI=")</f>
        <v>#REF!</v>
      </c>
      <c r="AJ519" t="e">
        <f>AND(#REF!,"AAAAAH9mhyM=")</f>
        <v>#REF!</v>
      </c>
      <c r="AK519" t="e">
        <f>AND(#REF!,"AAAAAH9mhyQ=")</f>
        <v>#REF!</v>
      </c>
      <c r="AL519" t="e">
        <f>AND(#REF!,"AAAAAH9mhyU=")</f>
        <v>#REF!</v>
      </c>
      <c r="AM519" t="e">
        <f>AND(#REF!,"AAAAAH9mhyY=")</f>
        <v>#REF!</v>
      </c>
      <c r="AN519" t="e">
        <f>AND(#REF!,"AAAAAH9mhyc=")</f>
        <v>#REF!</v>
      </c>
      <c r="AO519" t="e">
        <f>AND(#REF!,"AAAAAH9mhyg=")</f>
        <v>#REF!</v>
      </c>
      <c r="AP519" t="e">
        <f>AND(#REF!,"AAAAAH9mhyk=")</f>
        <v>#REF!</v>
      </c>
      <c r="AQ519" t="e">
        <f>AND(#REF!,"AAAAAH9mhyo=")</f>
        <v>#REF!</v>
      </c>
      <c r="AR519" t="e">
        <f>AND(#REF!,"AAAAAH9mhys=")</f>
        <v>#REF!</v>
      </c>
      <c r="AS519" t="e">
        <f>IF(#REF!,"AAAAAH9mhyw=",0)</f>
        <v>#REF!</v>
      </c>
      <c r="AT519" t="e">
        <f>AND(#REF!,"AAAAAH9mhy0=")</f>
        <v>#REF!</v>
      </c>
      <c r="AU519" t="e">
        <f>AND(#REF!,"AAAAAH9mhy4=")</f>
        <v>#REF!</v>
      </c>
      <c r="AV519" t="e">
        <f>AND(#REF!,"AAAAAH9mhy8=")</f>
        <v>#REF!</v>
      </c>
      <c r="AW519" t="e">
        <f>AND(#REF!,"AAAAAH9mhzA=")</f>
        <v>#REF!</v>
      </c>
      <c r="AX519" t="e">
        <f>AND(#REF!,"AAAAAH9mhzE=")</f>
        <v>#REF!</v>
      </c>
      <c r="AY519" t="e">
        <f>AND(#REF!,"AAAAAH9mhzI=")</f>
        <v>#REF!</v>
      </c>
      <c r="AZ519" t="e">
        <f>AND(#REF!,"AAAAAH9mhzM=")</f>
        <v>#REF!</v>
      </c>
      <c r="BA519" t="e">
        <f>AND(#REF!,"AAAAAH9mhzQ=")</f>
        <v>#REF!</v>
      </c>
      <c r="BB519" t="e">
        <f>AND(#REF!,"AAAAAH9mhzU=")</f>
        <v>#REF!</v>
      </c>
      <c r="BC519" t="e">
        <f>AND(#REF!,"AAAAAH9mhzY=")</f>
        <v>#REF!</v>
      </c>
      <c r="BD519" t="e">
        <f>IF(#REF!,"AAAAAH9mhzc=",0)</f>
        <v>#REF!</v>
      </c>
      <c r="BE519" t="e">
        <f>AND(#REF!,"AAAAAH9mhzg=")</f>
        <v>#REF!</v>
      </c>
      <c r="BF519" t="e">
        <f>AND(#REF!,"AAAAAH9mhzk=")</f>
        <v>#REF!</v>
      </c>
      <c r="BG519" t="e">
        <f>AND(#REF!,"AAAAAH9mhzo=")</f>
        <v>#REF!</v>
      </c>
      <c r="BH519" t="e">
        <f>AND(#REF!,"AAAAAH9mhzs=")</f>
        <v>#REF!</v>
      </c>
      <c r="BI519" t="e">
        <f>AND(#REF!,"AAAAAH9mhzw=")</f>
        <v>#REF!</v>
      </c>
      <c r="BJ519" t="e">
        <f>AND(#REF!,"AAAAAH9mhz0=")</f>
        <v>#REF!</v>
      </c>
      <c r="BK519" t="e">
        <f>AND(#REF!,"AAAAAH9mhz4=")</f>
        <v>#REF!</v>
      </c>
      <c r="BL519" t="e">
        <f>AND(#REF!,"AAAAAH9mhz8=")</f>
        <v>#REF!</v>
      </c>
      <c r="BM519" t="e">
        <f>AND(#REF!,"AAAAAH9mh0A=")</f>
        <v>#REF!</v>
      </c>
      <c r="BN519" t="e">
        <f>AND(#REF!,"AAAAAH9mh0E=")</f>
        <v>#REF!</v>
      </c>
      <c r="BO519" t="e">
        <f>IF(#REF!,"AAAAAH9mh0I=",0)</f>
        <v>#REF!</v>
      </c>
      <c r="BP519" t="e">
        <f>AND(#REF!,"AAAAAH9mh0M=")</f>
        <v>#REF!</v>
      </c>
      <c r="BQ519" t="e">
        <f>AND(#REF!,"AAAAAH9mh0Q=")</f>
        <v>#REF!</v>
      </c>
      <c r="BR519" t="e">
        <f>AND(#REF!,"AAAAAH9mh0U=")</f>
        <v>#REF!</v>
      </c>
      <c r="BS519" t="e">
        <f>AND(#REF!,"AAAAAH9mh0Y=")</f>
        <v>#REF!</v>
      </c>
      <c r="BT519" t="e">
        <f>AND(#REF!,"AAAAAH9mh0c=")</f>
        <v>#REF!</v>
      </c>
      <c r="BU519" t="e">
        <f>AND(#REF!,"AAAAAH9mh0g=")</f>
        <v>#REF!</v>
      </c>
      <c r="BV519" t="e">
        <f>AND(#REF!,"AAAAAH9mh0k=")</f>
        <v>#REF!</v>
      </c>
      <c r="BW519" t="e">
        <f>AND(#REF!,"AAAAAH9mh0o=")</f>
        <v>#REF!</v>
      </c>
      <c r="BX519" t="e">
        <f>AND(#REF!,"AAAAAH9mh0s=")</f>
        <v>#REF!</v>
      </c>
      <c r="BY519" t="e">
        <f>AND(#REF!,"AAAAAH9mh0w=")</f>
        <v>#REF!</v>
      </c>
      <c r="BZ519" t="e">
        <f>IF(#REF!,"AAAAAH9mh00=",0)</f>
        <v>#REF!</v>
      </c>
      <c r="CA519" t="e">
        <f>AND(#REF!,"AAAAAH9mh04=")</f>
        <v>#REF!</v>
      </c>
      <c r="CB519" t="e">
        <f>AND(#REF!,"AAAAAH9mh08=")</f>
        <v>#REF!</v>
      </c>
      <c r="CC519" t="e">
        <f>AND(#REF!,"AAAAAH9mh1A=")</f>
        <v>#REF!</v>
      </c>
      <c r="CD519" t="e">
        <f>AND(#REF!,"AAAAAH9mh1E=")</f>
        <v>#REF!</v>
      </c>
      <c r="CE519" t="e">
        <f>AND(#REF!,"AAAAAH9mh1I=")</f>
        <v>#REF!</v>
      </c>
      <c r="CF519" t="e">
        <f>AND(#REF!,"AAAAAH9mh1M=")</f>
        <v>#REF!</v>
      </c>
      <c r="CG519" t="e">
        <f>AND(#REF!,"AAAAAH9mh1Q=")</f>
        <v>#REF!</v>
      </c>
      <c r="CH519" t="e">
        <f>AND(#REF!,"AAAAAH9mh1U=")</f>
        <v>#REF!</v>
      </c>
      <c r="CI519" t="e">
        <f>AND(#REF!,"AAAAAH9mh1Y=")</f>
        <v>#REF!</v>
      </c>
      <c r="CJ519" t="e">
        <f>AND(#REF!,"AAAAAH9mh1c=")</f>
        <v>#REF!</v>
      </c>
      <c r="CK519" t="e">
        <f>IF(#REF!,"AAAAAH9mh1g=",0)</f>
        <v>#REF!</v>
      </c>
      <c r="CL519" t="e">
        <f>AND(#REF!,"AAAAAH9mh1k=")</f>
        <v>#REF!</v>
      </c>
      <c r="CM519" t="e">
        <f>AND(#REF!,"AAAAAH9mh1o=")</f>
        <v>#REF!</v>
      </c>
      <c r="CN519" t="e">
        <f>AND(#REF!,"AAAAAH9mh1s=")</f>
        <v>#REF!</v>
      </c>
      <c r="CO519" t="e">
        <f>AND(#REF!,"AAAAAH9mh1w=")</f>
        <v>#REF!</v>
      </c>
      <c r="CP519" t="e">
        <f>AND(#REF!,"AAAAAH9mh10=")</f>
        <v>#REF!</v>
      </c>
      <c r="CQ519" t="e">
        <f>AND(#REF!,"AAAAAH9mh14=")</f>
        <v>#REF!</v>
      </c>
      <c r="CR519" t="e">
        <f>AND(#REF!,"AAAAAH9mh18=")</f>
        <v>#REF!</v>
      </c>
      <c r="CS519" t="e">
        <f>AND(#REF!,"AAAAAH9mh2A=")</f>
        <v>#REF!</v>
      </c>
      <c r="CT519" t="e">
        <f>AND(#REF!,"AAAAAH9mh2E=")</f>
        <v>#REF!</v>
      </c>
      <c r="CU519" t="e">
        <f>AND(#REF!,"AAAAAH9mh2I=")</f>
        <v>#REF!</v>
      </c>
      <c r="CV519" t="e">
        <f>IF(#REF!,"AAAAAH9mh2M=",0)</f>
        <v>#REF!</v>
      </c>
      <c r="CW519" t="e">
        <f>AND(#REF!,"AAAAAH9mh2Q=")</f>
        <v>#REF!</v>
      </c>
      <c r="CX519" t="e">
        <f>AND(#REF!,"AAAAAH9mh2U=")</f>
        <v>#REF!</v>
      </c>
      <c r="CY519" t="e">
        <f>AND(#REF!,"AAAAAH9mh2Y=")</f>
        <v>#REF!</v>
      </c>
      <c r="CZ519" t="e">
        <f>AND(#REF!,"AAAAAH9mh2c=")</f>
        <v>#REF!</v>
      </c>
      <c r="DA519" t="e">
        <f>AND(#REF!,"AAAAAH9mh2g=")</f>
        <v>#REF!</v>
      </c>
      <c r="DB519" t="e">
        <f>AND(#REF!,"AAAAAH9mh2k=")</f>
        <v>#REF!</v>
      </c>
      <c r="DC519" t="e">
        <f>AND(#REF!,"AAAAAH9mh2o=")</f>
        <v>#REF!</v>
      </c>
      <c r="DD519" t="e">
        <f>AND(#REF!,"AAAAAH9mh2s=")</f>
        <v>#REF!</v>
      </c>
      <c r="DE519" t="e">
        <f>AND(#REF!,"AAAAAH9mh2w=")</f>
        <v>#REF!</v>
      </c>
      <c r="DF519" t="e">
        <f>AND(#REF!,"AAAAAH9mh20=")</f>
        <v>#REF!</v>
      </c>
      <c r="DG519" t="e">
        <f>IF(#REF!,"AAAAAH9mh24=",0)</f>
        <v>#REF!</v>
      </c>
      <c r="DH519" t="e">
        <f>AND(#REF!,"AAAAAH9mh28=")</f>
        <v>#REF!</v>
      </c>
      <c r="DI519" t="e">
        <f>AND(#REF!,"AAAAAH9mh3A=")</f>
        <v>#REF!</v>
      </c>
      <c r="DJ519" t="e">
        <f>AND(#REF!,"AAAAAH9mh3E=")</f>
        <v>#REF!</v>
      </c>
      <c r="DK519" t="e">
        <f>AND(#REF!,"AAAAAH9mh3I=")</f>
        <v>#REF!</v>
      </c>
      <c r="DL519" t="e">
        <f>AND(#REF!,"AAAAAH9mh3M=")</f>
        <v>#REF!</v>
      </c>
      <c r="DM519" t="e">
        <f>AND(#REF!,"AAAAAH9mh3Q=")</f>
        <v>#REF!</v>
      </c>
      <c r="DN519" t="e">
        <f>AND(#REF!,"AAAAAH9mh3U=")</f>
        <v>#REF!</v>
      </c>
      <c r="DO519" t="e">
        <f>AND(#REF!,"AAAAAH9mh3Y=")</f>
        <v>#REF!</v>
      </c>
      <c r="DP519" t="e">
        <f>AND(#REF!,"AAAAAH9mh3c=")</f>
        <v>#REF!</v>
      </c>
      <c r="DQ519" t="e">
        <f>AND(#REF!,"AAAAAH9mh3g=")</f>
        <v>#REF!</v>
      </c>
      <c r="DR519" t="e">
        <f>IF(#REF!,"AAAAAH9mh3k=",0)</f>
        <v>#REF!</v>
      </c>
      <c r="DS519" t="e">
        <f>AND(#REF!,"AAAAAH9mh3o=")</f>
        <v>#REF!</v>
      </c>
      <c r="DT519" t="e">
        <f>AND(#REF!,"AAAAAH9mh3s=")</f>
        <v>#REF!</v>
      </c>
      <c r="DU519" t="e">
        <f>AND(#REF!,"AAAAAH9mh3w=")</f>
        <v>#REF!</v>
      </c>
      <c r="DV519" t="e">
        <f>AND(#REF!,"AAAAAH9mh30=")</f>
        <v>#REF!</v>
      </c>
      <c r="DW519" t="e">
        <f>AND(#REF!,"AAAAAH9mh34=")</f>
        <v>#REF!</v>
      </c>
      <c r="DX519" t="e">
        <f>AND(#REF!,"AAAAAH9mh38=")</f>
        <v>#REF!</v>
      </c>
      <c r="DY519" t="e">
        <f>AND(#REF!,"AAAAAH9mh4A=")</f>
        <v>#REF!</v>
      </c>
      <c r="DZ519" t="e">
        <f>AND(#REF!,"AAAAAH9mh4E=")</f>
        <v>#REF!</v>
      </c>
      <c r="EA519" t="e">
        <f>AND(#REF!,"AAAAAH9mh4I=")</f>
        <v>#REF!</v>
      </c>
      <c r="EB519" t="e">
        <f>AND(#REF!,"AAAAAH9mh4M=")</f>
        <v>#REF!</v>
      </c>
      <c r="EC519" t="e">
        <f>IF(#REF!,"AAAAAH9mh4Q=",0)</f>
        <v>#REF!</v>
      </c>
      <c r="ED519" t="e">
        <f>AND(#REF!,"AAAAAH9mh4U=")</f>
        <v>#REF!</v>
      </c>
      <c r="EE519" t="e">
        <f>AND(#REF!,"AAAAAH9mh4Y=")</f>
        <v>#REF!</v>
      </c>
      <c r="EF519" t="e">
        <f>AND(#REF!,"AAAAAH9mh4c=")</f>
        <v>#REF!</v>
      </c>
      <c r="EG519" t="e">
        <f>AND(#REF!,"AAAAAH9mh4g=")</f>
        <v>#REF!</v>
      </c>
      <c r="EH519" t="e">
        <f>AND(#REF!,"AAAAAH9mh4k=")</f>
        <v>#REF!</v>
      </c>
      <c r="EI519" t="e">
        <f>AND(#REF!,"AAAAAH9mh4o=")</f>
        <v>#REF!</v>
      </c>
      <c r="EJ519" t="e">
        <f>AND(#REF!,"AAAAAH9mh4s=")</f>
        <v>#REF!</v>
      </c>
      <c r="EK519" t="e">
        <f>AND(#REF!,"AAAAAH9mh4w=")</f>
        <v>#REF!</v>
      </c>
      <c r="EL519" t="e">
        <f>AND(#REF!,"AAAAAH9mh40=")</f>
        <v>#REF!</v>
      </c>
      <c r="EM519" t="e">
        <f>AND(#REF!,"AAAAAH9mh44=")</f>
        <v>#REF!</v>
      </c>
      <c r="EN519" t="e">
        <f>IF(#REF!,"AAAAAH9mh48=",0)</f>
        <v>#REF!</v>
      </c>
      <c r="EO519" t="e">
        <f>AND(#REF!,"AAAAAH9mh5A=")</f>
        <v>#REF!</v>
      </c>
      <c r="EP519" t="e">
        <f>AND(#REF!,"AAAAAH9mh5E=")</f>
        <v>#REF!</v>
      </c>
      <c r="EQ519" t="e">
        <f>AND(#REF!,"AAAAAH9mh5I=")</f>
        <v>#REF!</v>
      </c>
      <c r="ER519" t="e">
        <f>AND(#REF!,"AAAAAH9mh5M=")</f>
        <v>#REF!</v>
      </c>
      <c r="ES519" t="e">
        <f>AND(#REF!,"AAAAAH9mh5Q=")</f>
        <v>#REF!</v>
      </c>
      <c r="ET519" t="e">
        <f>AND(#REF!,"AAAAAH9mh5U=")</f>
        <v>#REF!</v>
      </c>
      <c r="EU519" t="e">
        <f>AND(#REF!,"AAAAAH9mh5Y=")</f>
        <v>#REF!</v>
      </c>
      <c r="EV519" t="e">
        <f>AND(#REF!,"AAAAAH9mh5c=")</f>
        <v>#REF!</v>
      </c>
      <c r="EW519" t="e">
        <f>AND(#REF!,"AAAAAH9mh5g=")</f>
        <v>#REF!</v>
      </c>
      <c r="EX519" t="e">
        <f>AND(#REF!,"AAAAAH9mh5k=")</f>
        <v>#REF!</v>
      </c>
      <c r="EY519" t="e">
        <f>IF(#REF!,"AAAAAH9mh5o=",0)</f>
        <v>#REF!</v>
      </c>
      <c r="EZ519" t="e">
        <f>AND(#REF!,"AAAAAH9mh5s=")</f>
        <v>#REF!</v>
      </c>
      <c r="FA519" t="e">
        <f>AND(#REF!,"AAAAAH9mh5w=")</f>
        <v>#REF!</v>
      </c>
      <c r="FB519" t="e">
        <f>AND(#REF!,"AAAAAH9mh50=")</f>
        <v>#REF!</v>
      </c>
      <c r="FC519" t="e">
        <f>AND(#REF!,"AAAAAH9mh54=")</f>
        <v>#REF!</v>
      </c>
      <c r="FD519" t="e">
        <f>AND(#REF!,"AAAAAH9mh58=")</f>
        <v>#REF!</v>
      </c>
      <c r="FE519" t="e">
        <f>AND(#REF!,"AAAAAH9mh6A=")</f>
        <v>#REF!</v>
      </c>
      <c r="FF519" t="e">
        <f>AND(#REF!,"AAAAAH9mh6E=")</f>
        <v>#REF!</v>
      </c>
      <c r="FG519" t="e">
        <f>AND(#REF!,"AAAAAH9mh6I=")</f>
        <v>#REF!</v>
      </c>
      <c r="FH519" t="e">
        <f>AND(#REF!,"AAAAAH9mh6M=")</f>
        <v>#REF!</v>
      </c>
      <c r="FI519" t="e">
        <f>AND(#REF!,"AAAAAH9mh6Q=")</f>
        <v>#REF!</v>
      </c>
      <c r="FJ519" t="e">
        <f>IF(#REF!,"AAAAAH9mh6U=",0)</f>
        <v>#REF!</v>
      </c>
      <c r="FK519" t="e">
        <f>AND(#REF!,"AAAAAH9mh6Y=")</f>
        <v>#REF!</v>
      </c>
      <c r="FL519" t="e">
        <f>AND(#REF!,"AAAAAH9mh6c=")</f>
        <v>#REF!</v>
      </c>
      <c r="FM519" t="e">
        <f>AND(#REF!,"AAAAAH9mh6g=")</f>
        <v>#REF!</v>
      </c>
      <c r="FN519" t="e">
        <f>AND(#REF!,"AAAAAH9mh6k=")</f>
        <v>#REF!</v>
      </c>
      <c r="FO519" t="e">
        <f>AND(#REF!,"AAAAAH9mh6o=")</f>
        <v>#REF!</v>
      </c>
      <c r="FP519" t="e">
        <f>AND(#REF!,"AAAAAH9mh6s=")</f>
        <v>#REF!</v>
      </c>
      <c r="FQ519" t="e">
        <f>AND(#REF!,"AAAAAH9mh6w=")</f>
        <v>#REF!</v>
      </c>
      <c r="FR519" t="e">
        <f>AND(#REF!,"AAAAAH9mh60=")</f>
        <v>#REF!</v>
      </c>
      <c r="FS519" t="e">
        <f>AND(#REF!,"AAAAAH9mh64=")</f>
        <v>#REF!</v>
      </c>
      <c r="FT519" t="e">
        <f>AND(#REF!,"AAAAAH9mh68=")</f>
        <v>#REF!</v>
      </c>
      <c r="FU519" t="e">
        <f>IF(#REF!,"AAAAAH9mh7A=",0)</f>
        <v>#REF!</v>
      </c>
      <c r="FV519" t="e">
        <f>AND(#REF!,"AAAAAH9mh7E=")</f>
        <v>#REF!</v>
      </c>
      <c r="FW519" t="e">
        <f>AND(#REF!,"AAAAAH9mh7I=")</f>
        <v>#REF!</v>
      </c>
      <c r="FX519" t="e">
        <f>AND(#REF!,"AAAAAH9mh7M=")</f>
        <v>#REF!</v>
      </c>
      <c r="FY519" t="e">
        <f>AND(#REF!,"AAAAAH9mh7Q=")</f>
        <v>#REF!</v>
      </c>
      <c r="FZ519" t="e">
        <f>AND(#REF!,"AAAAAH9mh7U=")</f>
        <v>#REF!</v>
      </c>
      <c r="GA519" t="e">
        <f>AND(#REF!,"AAAAAH9mh7Y=")</f>
        <v>#REF!</v>
      </c>
      <c r="GB519" t="e">
        <f>AND(#REF!,"AAAAAH9mh7c=")</f>
        <v>#REF!</v>
      </c>
      <c r="GC519" t="e">
        <f>AND(#REF!,"AAAAAH9mh7g=")</f>
        <v>#REF!</v>
      </c>
      <c r="GD519" t="e">
        <f>AND(#REF!,"AAAAAH9mh7k=")</f>
        <v>#REF!</v>
      </c>
      <c r="GE519" t="e">
        <f>AND(#REF!,"AAAAAH9mh7o=")</f>
        <v>#REF!</v>
      </c>
      <c r="GF519" t="e">
        <f>IF(#REF!,"AAAAAH9mh7s=",0)</f>
        <v>#REF!</v>
      </c>
      <c r="GG519" t="e">
        <f>AND(#REF!,"AAAAAH9mh7w=")</f>
        <v>#REF!</v>
      </c>
      <c r="GH519" t="e">
        <f>AND(#REF!,"AAAAAH9mh70=")</f>
        <v>#REF!</v>
      </c>
      <c r="GI519" t="e">
        <f>AND(#REF!,"AAAAAH9mh74=")</f>
        <v>#REF!</v>
      </c>
      <c r="GJ519" t="e">
        <f>AND(#REF!,"AAAAAH9mh78=")</f>
        <v>#REF!</v>
      </c>
      <c r="GK519" t="e">
        <f>AND(#REF!,"AAAAAH9mh8A=")</f>
        <v>#REF!</v>
      </c>
      <c r="GL519" t="e">
        <f>AND(#REF!,"AAAAAH9mh8E=")</f>
        <v>#REF!</v>
      </c>
      <c r="GM519" t="e">
        <f>AND(#REF!,"AAAAAH9mh8I=")</f>
        <v>#REF!</v>
      </c>
      <c r="GN519" t="e">
        <f>AND(#REF!,"AAAAAH9mh8M=")</f>
        <v>#REF!</v>
      </c>
      <c r="GO519" t="e">
        <f>AND(#REF!,"AAAAAH9mh8Q=")</f>
        <v>#REF!</v>
      </c>
      <c r="GP519" t="e">
        <f>AND(#REF!,"AAAAAH9mh8U=")</f>
        <v>#REF!</v>
      </c>
      <c r="GQ519" t="e">
        <f>IF(#REF!,"AAAAAH9mh8Y=",0)</f>
        <v>#REF!</v>
      </c>
      <c r="GR519" t="e">
        <f>AND(#REF!,"AAAAAH9mh8c=")</f>
        <v>#REF!</v>
      </c>
      <c r="GS519" t="e">
        <f>AND(#REF!,"AAAAAH9mh8g=")</f>
        <v>#REF!</v>
      </c>
      <c r="GT519" t="e">
        <f>AND(#REF!,"AAAAAH9mh8k=")</f>
        <v>#REF!</v>
      </c>
      <c r="GU519" t="e">
        <f>AND(#REF!,"AAAAAH9mh8o=")</f>
        <v>#REF!</v>
      </c>
      <c r="GV519" t="e">
        <f>AND(#REF!,"AAAAAH9mh8s=")</f>
        <v>#REF!</v>
      </c>
      <c r="GW519" t="e">
        <f>AND(#REF!,"AAAAAH9mh8w=")</f>
        <v>#REF!</v>
      </c>
      <c r="GX519" t="e">
        <f>AND(#REF!,"AAAAAH9mh80=")</f>
        <v>#REF!</v>
      </c>
      <c r="GY519" t="e">
        <f>AND(#REF!,"AAAAAH9mh84=")</f>
        <v>#REF!</v>
      </c>
      <c r="GZ519" t="e">
        <f>AND(#REF!,"AAAAAH9mh88=")</f>
        <v>#REF!</v>
      </c>
      <c r="HA519" t="e">
        <f>AND(#REF!,"AAAAAH9mh9A=")</f>
        <v>#REF!</v>
      </c>
      <c r="HB519" t="e">
        <f>IF(#REF!,"AAAAAH9mh9E=",0)</f>
        <v>#REF!</v>
      </c>
      <c r="HC519" t="e">
        <f>AND(#REF!,"AAAAAH9mh9I=")</f>
        <v>#REF!</v>
      </c>
      <c r="HD519" t="e">
        <f>AND(#REF!,"AAAAAH9mh9M=")</f>
        <v>#REF!</v>
      </c>
      <c r="HE519" t="e">
        <f>AND(#REF!,"AAAAAH9mh9Q=")</f>
        <v>#REF!</v>
      </c>
      <c r="HF519" t="e">
        <f>AND(#REF!,"AAAAAH9mh9U=")</f>
        <v>#REF!</v>
      </c>
      <c r="HG519" t="e">
        <f>AND(#REF!,"AAAAAH9mh9Y=")</f>
        <v>#REF!</v>
      </c>
      <c r="HH519" t="e">
        <f>AND(#REF!,"AAAAAH9mh9c=")</f>
        <v>#REF!</v>
      </c>
      <c r="HI519" t="e">
        <f>AND(#REF!,"AAAAAH9mh9g=")</f>
        <v>#REF!</v>
      </c>
      <c r="HJ519" t="e">
        <f>AND(#REF!,"AAAAAH9mh9k=")</f>
        <v>#REF!</v>
      </c>
      <c r="HK519" t="e">
        <f>AND(#REF!,"AAAAAH9mh9o=")</f>
        <v>#REF!</v>
      </c>
      <c r="HL519" t="e">
        <f>AND(#REF!,"AAAAAH9mh9s=")</f>
        <v>#REF!</v>
      </c>
      <c r="HM519" t="e">
        <f>IF(#REF!,"AAAAAH9mh9w=",0)</f>
        <v>#REF!</v>
      </c>
      <c r="HN519" t="e">
        <f>AND(#REF!,"AAAAAH9mh90=")</f>
        <v>#REF!</v>
      </c>
      <c r="HO519" t="e">
        <f>AND(#REF!,"AAAAAH9mh94=")</f>
        <v>#REF!</v>
      </c>
      <c r="HP519" t="e">
        <f>AND(#REF!,"AAAAAH9mh98=")</f>
        <v>#REF!</v>
      </c>
      <c r="HQ519" t="e">
        <f>AND(#REF!,"AAAAAH9mh+A=")</f>
        <v>#REF!</v>
      </c>
      <c r="HR519" t="e">
        <f>AND(#REF!,"AAAAAH9mh+E=")</f>
        <v>#REF!</v>
      </c>
      <c r="HS519" t="e">
        <f>AND(#REF!,"AAAAAH9mh+I=")</f>
        <v>#REF!</v>
      </c>
      <c r="HT519" t="e">
        <f>AND(#REF!,"AAAAAH9mh+M=")</f>
        <v>#REF!</v>
      </c>
      <c r="HU519" t="e">
        <f>AND(#REF!,"AAAAAH9mh+Q=")</f>
        <v>#REF!</v>
      </c>
      <c r="HV519" t="e">
        <f>AND(#REF!,"AAAAAH9mh+U=")</f>
        <v>#REF!</v>
      </c>
      <c r="HW519" t="e">
        <f>AND(#REF!,"AAAAAH9mh+Y=")</f>
        <v>#REF!</v>
      </c>
      <c r="HX519" t="e">
        <f>IF(#REF!,"AAAAAH9mh+c=",0)</f>
        <v>#REF!</v>
      </c>
      <c r="HY519" t="e">
        <f>AND(#REF!,"AAAAAH9mh+g=")</f>
        <v>#REF!</v>
      </c>
      <c r="HZ519" t="e">
        <f>AND(#REF!,"AAAAAH9mh+k=")</f>
        <v>#REF!</v>
      </c>
      <c r="IA519" t="e">
        <f>AND(#REF!,"AAAAAH9mh+o=")</f>
        <v>#REF!</v>
      </c>
      <c r="IB519" t="e">
        <f>AND(#REF!,"AAAAAH9mh+s=")</f>
        <v>#REF!</v>
      </c>
      <c r="IC519" t="e">
        <f>AND(#REF!,"AAAAAH9mh+w=")</f>
        <v>#REF!</v>
      </c>
      <c r="ID519" t="e">
        <f>AND(#REF!,"AAAAAH9mh+0=")</f>
        <v>#REF!</v>
      </c>
      <c r="IE519" t="e">
        <f>AND(#REF!,"AAAAAH9mh+4=")</f>
        <v>#REF!</v>
      </c>
      <c r="IF519" t="e">
        <f>AND(#REF!,"AAAAAH9mh+8=")</f>
        <v>#REF!</v>
      </c>
      <c r="IG519" t="e">
        <f>AND(#REF!,"AAAAAH9mh/A=")</f>
        <v>#REF!</v>
      </c>
      <c r="IH519" t="e">
        <f>AND(#REF!,"AAAAAH9mh/E=")</f>
        <v>#REF!</v>
      </c>
      <c r="II519" t="e">
        <f>IF(#REF!,"AAAAAH9mh/I=",0)</f>
        <v>#REF!</v>
      </c>
      <c r="IJ519" t="e">
        <f>AND(#REF!,"AAAAAH9mh/M=")</f>
        <v>#REF!</v>
      </c>
      <c r="IK519" t="e">
        <f>AND(#REF!,"AAAAAH9mh/Q=")</f>
        <v>#REF!</v>
      </c>
      <c r="IL519" t="e">
        <f>AND(#REF!,"AAAAAH9mh/U=")</f>
        <v>#REF!</v>
      </c>
      <c r="IM519" t="e">
        <f>AND(#REF!,"AAAAAH9mh/Y=")</f>
        <v>#REF!</v>
      </c>
      <c r="IN519" t="e">
        <f>AND(#REF!,"AAAAAH9mh/c=")</f>
        <v>#REF!</v>
      </c>
      <c r="IO519" t="e">
        <f>AND(#REF!,"AAAAAH9mh/g=")</f>
        <v>#REF!</v>
      </c>
      <c r="IP519" t="e">
        <f>AND(#REF!,"AAAAAH9mh/k=")</f>
        <v>#REF!</v>
      </c>
      <c r="IQ519" t="e">
        <f>AND(#REF!,"AAAAAH9mh/o=")</f>
        <v>#REF!</v>
      </c>
      <c r="IR519" t="e">
        <f>AND(#REF!,"AAAAAH9mh/s=")</f>
        <v>#REF!</v>
      </c>
      <c r="IS519" t="e">
        <f>AND(#REF!,"AAAAAH9mh/w=")</f>
        <v>#REF!</v>
      </c>
      <c r="IT519" t="e">
        <f>IF(#REF!,"AAAAAH9mh/0=",0)</f>
        <v>#REF!</v>
      </c>
      <c r="IU519" t="e">
        <f>AND(#REF!,"AAAAAH9mh/4=")</f>
        <v>#REF!</v>
      </c>
      <c r="IV519" t="e">
        <f>AND(#REF!,"AAAAAH9mh/8=")</f>
        <v>#REF!</v>
      </c>
    </row>
    <row r="520" spans="1:256" x14ac:dyDescent="0.25">
      <c r="A520" t="e">
        <f>AND(#REF!,"AAAAADf3rQA=")</f>
        <v>#REF!</v>
      </c>
      <c r="B520" t="e">
        <f>AND(#REF!,"AAAAADf3rQE=")</f>
        <v>#REF!</v>
      </c>
      <c r="C520" t="e">
        <f>AND(#REF!,"AAAAADf3rQI=")</f>
        <v>#REF!</v>
      </c>
      <c r="D520" t="e">
        <f>AND(#REF!,"AAAAADf3rQM=")</f>
        <v>#REF!</v>
      </c>
      <c r="E520" t="e">
        <f>AND(#REF!,"AAAAADf3rQQ=")</f>
        <v>#REF!</v>
      </c>
      <c r="F520" t="e">
        <f>AND(#REF!,"AAAAADf3rQU=")</f>
        <v>#REF!</v>
      </c>
      <c r="G520" t="e">
        <f>AND(#REF!,"AAAAADf3rQY=")</f>
        <v>#REF!</v>
      </c>
      <c r="H520" t="e">
        <f>AND(#REF!,"AAAAADf3rQc=")</f>
        <v>#REF!</v>
      </c>
      <c r="I520" t="e">
        <f>IF(#REF!,"AAAAADf3rQg=",0)</f>
        <v>#REF!</v>
      </c>
      <c r="J520" t="e">
        <f>AND(#REF!,"AAAAADf3rQk=")</f>
        <v>#REF!</v>
      </c>
      <c r="K520" t="e">
        <f>AND(#REF!,"AAAAADf3rQo=")</f>
        <v>#REF!</v>
      </c>
      <c r="L520" t="e">
        <f>AND(#REF!,"AAAAADf3rQs=")</f>
        <v>#REF!</v>
      </c>
      <c r="M520" t="e">
        <f>AND(#REF!,"AAAAADf3rQw=")</f>
        <v>#REF!</v>
      </c>
      <c r="N520" t="e">
        <f>AND(#REF!,"AAAAADf3rQ0=")</f>
        <v>#REF!</v>
      </c>
      <c r="O520" t="e">
        <f>AND(#REF!,"AAAAADf3rQ4=")</f>
        <v>#REF!</v>
      </c>
      <c r="P520" t="e">
        <f>AND(#REF!,"AAAAADf3rQ8=")</f>
        <v>#REF!</v>
      </c>
      <c r="Q520" t="e">
        <f>AND(#REF!,"AAAAADf3rRA=")</f>
        <v>#REF!</v>
      </c>
      <c r="R520" t="e">
        <f>AND(#REF!,"AAAAADf3rRE=")</f>
        <v>#REF!</v>
      </c>
      <c r="S520" t="e">
        <f>AND(#REF!,"AAAAADf3rRI=")</f>
        <v>#REF!</v>
      </c>
      <c r="T520" t="e">
        <f>IF(#REF!,"AAAAADf3rRM=",0)</f>
        <v>#REF!</v>
      </c>
      <c r="U520" t="e">
        <f>AND(#REF!,"AAAAADf3rRQ=")</f>
        <v>#REF!</v>
      </c>
      <c r="V520" t="e">
        <f>AND(#REF!,"AAAAADf3rRU=")</f>
        <v>#REF!</v>
      </c>
      <c r="W520" t="e">
        <f>AND(#REF!,"AAAAADf3rRY=")</f>
        <v>#REF!</v>
      </c>
      <c r="X520" t="e">
        <f>AND(#REF!,"AAAAADf3rRc=")</f>
        <v>#REF!</v>
      </c>
      <c r="Y520" t="e">
        <f>AND(#REF!,"AAAAADf3rRg=")</f>
        <v>#REF!</v>
      </c>
      <c r="Z520" t="e">
        <f>AND(#REF!,"AAAAADf3rRk=")</f>
        <v>#REF!</v>
      </c>
      <c r="AA520" t="e">
        <f>AND(#REF!,"AAAAADf3rRo=")</f>
        <v>#REF!</v>
      </c>
      <c r="AB520" t="e">
        <f>AND(#REF!,"AAAAADf3rRs=")</f>
        <v>#REF!</v>
      </c>
      <c r="AC520" t="e">
        <f>AND(#REF!,"AAAAADf3rRw=")</f>
        <v>#REF!</v>
      </c>
      <c r="AD520" t="e">
        <f>AND(#REF!,"AAAAADf3rR0=")</f>
        <v>#REF!</v>
      </c>
      <c r="AE520" t="e">
        <f>IF(#REF!,"AAAAADf3rR4=",0)</f>
        <v>#REF!</v>
      </c>
      <c r="AF520" t="e">
        <f>AND(#REF!,"AAAAADf3rR8=")</f>
        <v>#REF!</v>
      </c>
      <c r="AG520" t="e">
        <f>AND(#REF!,"AAAAADf3rSA=")</f>
        <v>#REF!</v>
      </c>
      <c r="AH520" t="e">
        <f>AND(#REF!,"AAAAADf3rSE=")</f>
        <v>#REF!</v>
      </c>
      <c r="AI520" t="e">
        <f>AND(#REF!,"AAAAADf3rSI=")</f>
        <v>#REF!</v>
      </c>
      <c r="AJ520" t="e">
        <f>AND(#REF!,"AAAAADf3rSM=")</f>
        <v>#REF!</v>
      </c>
      <c r="AK520" t="e">
        <f>AND(#REF!,"AAAAADf3rSQ=")</f>
        <v>#REF!</v>
      </c>
      <c r="AL520" t="e">
        <f>AND(#REF!,"AAAAADf3rSU=")</f>
        <v>#REF!</v>
      </c>
      <c r="AM520" t="e">
        <f>AND(#REF!,"AAAAADf3rSY=")</f>
        <v>#REF!</v>
      </c>
      <c r="AN520" t="e">
        <f>AND(#REF!,"AAAAADf3rSc=")</f>
        <v>#REF!</v>
      </c>
      <c r="AO520" t="e">
        <f>AND(#REF!,"AAAAADf3rSg=")</f>
        <v>#REF!</v>
      </c>
      <c r="AP520" t="e">
        <f>IF(#REF!,"AAAAADf3rSk=",0)</f>
        <v>#REF!</v>
      </c>
      <c r="AQ520" t="e">
        <f>AND(#REF!,"AAAAADf3rSo=")</f>
        <v>#REF!</v>
      </c>
      <c r="AR520" t="e">
        <f>AND(#REF!,"AAAAADf3rSs=")</f>
        <v>#REF!</v>
      </c>
      <c r="AS520" t="e">
        <f>AND(#REF!,"AAAAADf3rSw=")</f>
        <v>#REF!</v>
      </c>
      <c r="AT520" t="e">
        <f>AND(#REF!,"AAAAADf3rS0=")</f>
        <v>#REF!</v>
      </c>
      <c r="AU520" t="e">
        <f>AND(#REF!,"AAAAADf3rS4=")</f>
        <v>#REF!</v>
      </c>
      <c r="AV520" t="e">
        <f>AND(#REF!,"AAAAADf3rS8=")</f>
        <v>#REF!</v>
      </c>
      <c r="AW520" t="e">
        <f>AND(#REF!,"AAAAADf3rTA=")</f>
        <v>#REF!</v>
      </c>
      <c r="AX520" t="e">
        <f>AND(#REF!,"AAAAADf3rTE=")</f>
        <v>#REF!</v>
      </c>
      <c r="AY520" t="e">
        <f>AND(#REF!,"AAAAADf3rTI=")</f>
        <v>#REF!</v>
      </c>
      <c r="AZ520" t="e">
        <f>AND(#REF!,"AAAAADf3rTM=")</f>
        <v>#REF!</v>
      </c>
      <c r="BA520" t="e">
        <f>IF(#REF!,"AAAAADf3rTQ=",0)</f>
        <v>#REF!</v>
      </c>
      <c r="BB520" t="e">
        <f>AND(#REF!,"AAAAADf3rTU=")</f>
        <v>#REF!</v>
      </c>
      <c r="BC520" t="e">
        <f>AND(#REF!,"AAAAADf3rTY=")</f>
        <v>#REF!</v>
      </c>
      <c r="BD520" t="e">
        <f>AND(#REF!,"AAAAADf3rTc=")</f>
        <v>#REF!</v>
      </c>
      <c r="BE520" t="e">
        <f>AND(#REF!,"AAAAADf3rTg=")</f>
        <v>#REF!</v>
      </c>
      <c r="BF520" t="e">
        <f>AND(#REF!,"AAAAADf3rTk=")</f>
        <v>#REF!</v>
      </c>
      <c r="BG520" t="e">
        <f>AND(#REF!,"AAAAADf3rTo=")</f>
        <v>#REF!</v>
      </c>
      <c r="BH520" t="e">
        <f>AND(#REF!,"AAAAADf3rTs=")</f>
        <v>#REF!</v>
      </c>
      <c r="BI520" t="e">
        <f>AND(#REF!,"AAAAADf3rTw=")</f>
        <v>#REF!</v>
      </c>
      <c r="BJ520" t="e">
        <f>AND(#REF!,"AAAAADf3rT0=")</f>
        <v>#REF!</v>
      </c>
      <c r="BK520" t="e">
        <f>AND(#REF!,"AAAAADf3rT4=")</f>
        <v>#REF!</v>
      </c>
      <c r="BL520" t="e">
        <f>IF(#REF!,"AAAAADf3rT8=",0)</f>
        <v>#REF!</v>
      </c>
      <c r="BM520" t="e">
        <f>AND(#REF!,"AAAAADf3rUA=")</f>
        <v>#REF!</v>
      </c>
      <c r="BN520" t="e">
        <f>AND(#REF!,"AAAAADf3rUE=")</f>
        <v>#REF!</v>
      </c>
      <c r="BO520" t="e">
        <f>AND(#REF!,"AAAAADf3rUI=")</f>
        <v>#REF!</v>
      </c>
      <c r="BP520" t="e">
        <f>AND(#REF!,"AAAAADf3rUM=")</f>
        <v>#REF!</v>
      </c>
      <c r="BQ520" t="e">
        <f>AND(#REF!,"AAAAADf3rUQ=")</f>
        <v>#REF!</v>
      </c>
      <c r="BR520" t="e">
        <f>AND(#REF!,"AAAAADf3rUU=")</f>
        <v>#REF!</v>
      </c>
      <c r="BS520" t="e">
        <f>AND(#REF!,"AAAAADf3rUY=")</f>
        <v>#REF!</v>
      </c>
      <c r="BT520" t="e">
        <f>AND(#REF!,"AAAAADf3rUc=")</f>
        <v>#REF!</v>
      </c>
      <c r="BU520" t="e">
        <f>AND(#REF!,"AAAAADf3rUg=")</f>
        <v>#REF!</v>
      </c>
      <c r="BV520" t="e">
        <f>AND(#REF!,"AAAAADf3rUk=")</f>
        <v>#REF!</v>
      </c>
      <c r="BW520" t="e">
        <f>IF(#REF!,"AAAAADf3rUo=",0)</f>
        <v>#REF!</v>
      </c>
      <c r="BX520" t="e">
        <f>AND(#REF!,"AAAAADf3rUs=")</f>
        <v>#REF!</v>
      </c>
      <c r="BY520" t="e">
        <f>AND(#REF!,"AAAAADf3rUw=")</f>
        <v>#REF!</v>
      </c>
      <c r="BZ520" t="e">
        <f>AND(#REF!,"AAAAADf3rU0=")</f>
        <v>#REF!</v>
      </c>
      <c r="CA520" t="e">
        <f>AND(#REF!,"AAAAADf3rU4=")</f>
        <v>#REF!</v>
      </c>
      <c r="CB520" t="e">
        <f>AND(#REF!,"AAAAADf3rU8=")</f>
        <v>#REF!</v>
      </c>
      <c r="CC520" t="e">
        <f>AND(#REF!,"AAAAADf3rVA=")</f>
        <v>#REF!</v>
      </c>
      <c r="CD520" t="e">
        <f>AND(#REF!,"AAAAADf3rVE=")</f>
        <v>#REF!</v>
      </c>
      <c r="CE520" t="e">
        <f>AND(#REF!,"AAAAADf3rVI=")</f>
        <v>#REF!</v>
      </c>
      <c r="CF520" t="e">
        <f>AND(#REF!,"AAAAADf3rVM=")</f>
        <v>#REF!</v>
      </c>
      <c r="CG520" t="e">
        <f>AND(#REF!,"AAAAADf3rVQ=")</f>
        <v>#REF!</v>
      </c>
      <c r="CH520" t="e">
        <f>IF(#REF!,"AAAAADf3rVU=",0)</f>
        <v>#REF!</v>
      </c>
      <c r="CI520" t="e">
        <f>AND(#REF!,"AAAAADf3rVY=")</f>
        <v>#REF!</v>
      </c>
      <c r="CJ520" t="e">
        <f>AND(#REF!,"AAAAADf3rVc=")</f>
        <v>#REF!</v>
      </c>
      <c r="CK520" t="e">
        <f>AND(#REF!,"AAAAADf3rVg=")</f>
        <v>#REF!</v>
      </c>
      <c r="CL520" t="e">
        <f>AND(#REF!,"AAAAADf3rVk=")</f>
        <v>#REF!</v>
      </c>
      <c r="CM520" t="e">
        <f>AND(#REF!,"AAAAADf3rVo=")</f>
        <v>#REF!</v>
      </c>
      <c r="CN520" t="e">
        <f>AND(#REF!,"AAAAADf3rVs=")</f>
        <v>#REF!</v>
      </c>
      <c r="CO520" t="e">
        <f>AND(#REF!,"AAAAADf3rVw=")</f>
        <v>#REF!</v>
      </c>
      <c r="CP520" t="e">
        <f>AND(#REF!,"AAAAADf3rV0=")</f>
        <v>#REF!</v>
      </c>
      <c r="CQ520" t="e">
        <f>AND(#REF!,"AAAAADf3rV4=")</f>
        <v>#REF!</v>
      </c>
      <c r="CR520" t="e">
        <f>AND(#REF!,"AAAAADf3rV8=")</f>
        <v>#REF!</v>
      </c>
      <c r="CS520" t="e">
        <f>IF(#REF!,"AAAAADf3rWA=",0)</f>
        <v>#REF!</v>
      </c>
      <c r="CT520" t="e">
        <f>AND(#REF!,"AAAAADf3rWE=")</f>
        <v>#REF!</v>
      </c>
      <c r="CU520" t="e">
        <f>AND(#REF!,"AAAAADf3rWI=")</f>
        <v>#REF!</v>
      </c>
      <c r="CV520" t="e">
        <f>AND(#REF!,"AAAAADf3rWM=")</f>
        <v>#REF!</v>
      </c>
      <c r="CW520" t="e">
        <f>AND(#REF!,"AAAAADf3rWQ=")</f>
        <v>#REF!</v>
      </c>
      <c r="CX520" t="e">
        <f>AND(#REF!,"AAAAADf3rWU=")</f>
        <v>#REF!</v>
      </c>
      <c r="CY520" t="e">
        <f>AND(#REF!,"AAAAADf3rWY=")</f>
        <v>#REF!</v>
      </c>
      <c r="CZ520" t="e">
        <f>AND(#REF!,"AAAAADf3rWc=")</f>
        <v>#REF!</v>
      </c>
      <c r="DA520" t="e">
        <f>AND(#REF!,"AAAAADf3rWg=")</f>
        <v>#REF!</v>
      </c>
      <c r="DB520" t="e">
        <f>AND(#REF!,"AAAAADf3rWk=")</f>
        <v>#REF!</v>
      </c>
      <c r="DC520" t="e">
        <f>AND(#REF!,"AAAAADf3rWo=")</f>
        <v>#REF!</v>
      </c>
      <c r="DD520" t="e">
        <f>IF(#REF!,"AAAAADf3rWs=",0)</f>
        <v>#REF!</v>
      </c>
      <c r="DE520" t="e">
        <f>AND(#REF!,"AAAAADf3rWw=")</f>
        <v>#REF!</v>
      </c>
      <c r="DF520" t="e">
        <f>AND(#REF!,"AAAAADf3rW0=")</f>
        <v>#REF!</v>
      </c>
      <c r="DG520" t="e">
        <f>AND(#REF!,"AAAAADf3rW4=")</f>
        <v>#REF!</v>
      </c>
      <c r="DH520" t="e">
        <f>AND(#REF!,"AAAAADf3rW8=")</f>
        <v>#REF!</v>
      </c>
      <c r="DI520" t="e">
        <f>AND(#REF!,"AAAAADf3rXA=")</f>
        <v>#REF!</v>
      </c>
      <c r="DJ520" t="e">
        <f>AND(#REF!,"AAAAADf3rXE=")</f>
        <v>#REF!</v>
      </c>
      <c r="DK520" t="e">
        <f>AND(#REF!,"AAAAADf3rXI=")</f>
        <v>#REF!</v>
      </c>
      <c r="DL520" t="e">
        <f>AND(#REF!,"AAAAADf3rXM=")</f>
        <v>#REF!</v>
      </c>
      <c r="DM520" t="e">
        <f>AND(#REF!,"AAAAADf3rXQ=")</f>
        <v>#REF!</v>
      </c>
      <c r="DN520" t="e">
        <f>AND(#REF!,"AAAAADf3rXU=")</f>
        <v>#REF!</v>
      </c>
      <c r="DO520" t="e">
        <f>IF(#REF!,"AAAAADf3rXY=",0)</f>
        <v>#REF!</v>
      </c>
      <c r="DP520" t="e">
        <f>AND(#REF!,"AAAAADf3rXc=")</f>
        <v>#REF!</v>
      </c>
      <c r="DQ520" t="e">
        <f>AND(#REF!,"AAAAADf3rXg=")</f>
        <v>#REF!</v>
      </c>
      <c r="DR520" t="e">
        <f>AND(#REF!,"AAAAADf3rXk=")</f>
        <v>#REF!</v>
      </c>
      <c r="DS520" t="e">
        <f>AND(#REF!,"AAAAADf3rXo=")</f>
        <v>#REF!</v>
      </c>
      <c r="DT520" t="e">
        <f>AND(#REF!,"AAAAADf3rXs=")</f>
        <v>#REF!</v>
      </c>
      <c r="DU520" t="e">
        <f>AND(#REF!,"AAAAADf3rXw=")</f>
        <v>#REF!</v>
      </c>
      <c r="DV520" t="e">
        <f>AND(#REF!,"AAAAADf3rX0=")</f>
        <v>#REF!</v>
      </c>
      <c r="DW520" t="e">
        <f>AND(#REF!,"AAAAADf3rX4=")</f>
        <v>#REF!</v>
      </c>
      <c r="DX520" t="e">
        <f>AND(#REF!,"AAAAADf3rX8=")</f>
        <v>#REF!</v>
      </c>
      <c r="DY520" t="e">
        <f>AND(#REF!,"AAAAADf3rYA=")</f>
        <v>#REF!</v>
      </c>
      <c r="DZ520" t="e">
        <f>IF(#REF!,"AAAAADf3rYE=",0)</f>
        <v>#REF!</v>
      </c>
      <c r="EA520" t="e">
        <f>AND(#REF!,"AAAAADf3rYI=")</f>
        <v>#REF!</v>
      </c>
      <c r="EB520" t="e">
        <f>AND(#REF!,"AAAAADf3rYM=")</f>
        <v>#REF!</v>
      </c>
      <c r="EC520" t="e">
        <f>AND(#REF!,"AAAAADf3rYQ=")</f>
        <v>#REF!</v>
      </c>
      <c r="ED520" t="e">
        <f>AND(#REF!,"AAAAADf3rYU=")</f>
        <v>#REF!</v>
      </c>
      <c r="EE520" t="e">
        <f>AND(#REF!,"AAAAADf3rYY=")</f>
        <v>#REF!</v>
      </c>
      <c r="EF520" t="e">
        <f>AND(#REF!,"AAAAADf3rYc=")</f>
        <v>#REF!</v>
      </c>
      <c r="EG520" t="e">
        <f>AND(#REF!,"AAAAADf3rYg=")</f>
        <v>#REF!</v>
      </c>
      <c r="EH520" t="e">
        <f>AND(#REF!,"AAAAADf3rYk=")</f>
        <v>#REF!</v>
      </c>
      <c r="EI520" t="e">
        <f>AND(#REF!,"AAAAADf3rYo=")</f>
        <v>#REF!</v>
      </c>
      <c r="EJ520" t="e">
        <f>AND(#REF!,"AAAAADf3rYs=")</f>
        <v>#REF!</v>
      </c>
      <c r="EK520" t="e">
        <f>IF(#REF!,"AAAAADf3rYw=",0)</f>
        <v>#REF!</v>
      </c>
      <c r="EL520" t="e">
        <f>AND(#REF!,"AAAAADf3rY0=")</f>
        <v>#REF!</v>
      </c>
      <c r="EM520" t="e">
        <f>AND(#REF!,"AAAAADf3rY4=")</f>
        <v>#REF!</v>
      </c>
      <c r="EN520" t="e">
        <f>AND(#REF!,"AAAAADf3rY8=")</f>
        <v>#REF!</v>
      </c>
      <c r="EO520" t="e">
        <f>AND(#REF!,"AAAAADf3rZA=")</f>
        <v>#REF!</v>
      </c>
      <c r="EP520" t="e">
        <f>AND(#REF!,"AAAAADf3rZE=")</f>
        <v>#REF!</v>
      </c>
      <c r="EQ520" t="e">
        <f>AND(#REF!,"AAAAADf3rZI=")</f>
        <v>#REF!</v>
      </c>
      <c r="ER520" t="e">
        <f>AND(#REF!,"AAAAADf3rZM=")</f>
        <v>#REF!</v>
      </c>
      <c r="ES520" t="e">
        <f>AND(#REF!,"AAAAADf3rZQ=")</f>
        <v>#REF!</v>
      </c>
      <c r="ET520" t="e">
        <f>AND(#REF!,"AAAAADf3rZU=")</f>
        <v>#REF!</v>
      </c>
      <c r="EU520" t="e">
        <f>AND(#REF!,"AAAAADf3rZY=")</f>
        <v>#REF!</v>
      </c>
      <c r="EV520" t="e">
        <f>IF(#REF!,"AAAAADf3rZc=",0)</f>
        <v>#REF!</v>
      </c>
      <c r="EW520" t="e">
        <f>AND(#REF!,"AAAAADf3rZg=")</f>
        <v>#REF!</v>
      </c>
      <c r="EX520" t="e">
        <f>AND(#REF!,"AAAAADf3rZk=")</f>
        <v>#REF!</v>
      </c>
      <c r="EY520" t="e">
        <f>AND(#REF!,"AAAAADf3rZo=")</f>
        <v>#REF!</v>
      </c>
      <c r="EZ520" t="e">
        <f>AND(#REF!,"AAAAADf3rZs=")</f>
        <v>#REF!</v>
      </c>
      <c r="FA520" t="e">
        <f>AND(#REF!,"AAAAADf3rZw=")</f>
        <v>#REF!</v>
      </c>
      <c r="FB520" t="e">
        <f>AND(#REF!,"AAAAADf3rZ0=")</f>
        <v>#REF!</v>
      </c>
      <c r="FC520" t="e">
        <f>AND(#REF!,"AAAAADf3rZ4=")</f>
        <v>#REF!</v>
      </c>
      <c r="FD520" t="e">
        <f>AND(#REF!,"AAAAADf3rZ8=")</f>
        <v>#REF!</v>
      </c>
      <c r="FE520" t="e">
        <f>AND(#REF!,"AAAAADf3raA=")</f>
        <v>#REF!</v>
      </c>
      <c r="FF520" t="e">
        <f>AND(#REF!,"AAAAADf3raE=")</f>
        <v>#REF!</v>
      </c>
      <c r="FG520" t="e">
        <f>IF(#REF!,"AAAAADf3raI=",0)</f>
        <v>#REF!</v>
      </c>
      <c r="FH520" t="e">
        <f>AND(#REF!,"AAAAADf3raM=")</f>
        <v>#REF!</v>
      </c>
      <c r="FI520" t="e">
        <f>AND(#REF!,"AAAAADf3raQ=")</f>
        <v>#REF!</v>
      </c>
      <c r="FJ520" t="e">
        <f>AND(#REF!,"AAAAADf3raU=")</f>
        <v>#REF!</v>
      </c>
      <c r="FK520" t="e">
        <f>AND(#REF!,"AAAAADf3raY=")</f>
        <v>#REF!</v>
      </c>
      <c r="FL520" t="e">
        <f>AND(#REF!,"AAAAADf3rac=")</f>
        <v>#REF!</v>
      </c>
      <c r="FM520" t="e">
        <f>AND(#REF!,"AAAAADf3rag=")</f>
        <v>#REF!</v>
      </c>
      <c r="FN520" t="e">
        <f>AND(#REF!,"AAAAADf3rak=")</f>
        <v>#REF!</v>
      </c>
      <c r="FO520" t="e">
        <f>AND(#REF!,"AAAAADf3rao=")</f>
        <v>#REF!</v>
      </c>
      <c r="FP520" t="e">
        <f>AND(#REF!,"AAAAADf3ras=")</f>
        <v>#REF!</v>
      </c>
      <c r="FQ520" t="e">
        <f>AND(#REF!,"AAAAADf3raw=")</f>
        <v>#REF!</v>
      </c>
      <c r="FR520" t="e">
        <f>IF(#REF!,"AAAAADf3ra0=",0)</f>
        <v>#REF!</v>
      </c>
      <c r="FS520" t="e">
        <f>AND(#REF!,"AAAAADf3ra4=")</f>
        <v>#REF!</v>
      </c>
      <c r="FT520" t="e">
        <f>AND(#REF!,"AAAAADf3ra8=")</f>
        <v>#REF!</v>
      </c>
      <c r="FU520" t="e">
        <f>AND(#REF!,"AAAAADf3rbA=")</f>
        <v>#REF!</v>
      </c>
      <c r="FV520" t="e">
        <f>AND(#REF!,"AAAAADf3rbE=")</f>
        <v>#REF!</v>
      </c>
      <c r="FW520" t="e">
        <f>AND(#REF!,"AAAAADf3rbI=")</f>
        <v>#REF!</v>
      </c>
      <c r="FX520" t="e">
        <f>AND(#REF!,"AAAAADf3rbM=")</f>
        <v>#REF!</v>
      </c>
      <c r="FY520" t="e">
        <f>AND(#REF!,"AAAAADf3rbQ=")</f>
        <v>#REF!</v>
      </c>
      <c r="FZ520" t="e">
        <f>AND(#REF!,"AAAAADf3rbU=")</f>
        <v>#REF!</v>
      </c>
      <c r="GA520" t="e">
        <f>AND(#REF!,"AAAAADf3rbY=")</f>
        <v>#REF!</v>
      </c>
      <c r="GB520" t="e">
        <f>AND(#REF!,"AAAAADf3rbc=")</f>
        <v>#REF!</v>
      </c>
      <c r="GC520" t="e">
        <f>IF(#REF!,"AAAAADf3rbg=",0)</f>
        <v>#REF!</v>
      </c>
      <c r="GD520" t="e">
        <f>AND(#REF!,"AAAAADf3rbk=")</f>
        <v>#REF!</v>
      </c>
      <c r="GE520" t="e">
        <f>AND(#REF!,"AAAAADf3rbo=")</f>
        <v>#REF!</v>
      </c>
      <c r="GF520" t="e">
        <f>AND(#REF!,"AAAAADf3rbs=")</f>
        <v>#REF!</v>
      </c>
      <c r="GG520" t="e">
        <f>AND(#REF!,"AAAAADf3rbw=")</f>
        <v>#REF!</v>
      </c>
      <c r="GH520" t="e">
        <f>AND(#REF!,"AAAAADf3rb0=")</f>
        <v>#REF!</v>
      </c>
      <c r="GI520" t="e">
        <f>AND(#REF!,"AAAAADf3rb4=")</f>
        <v>#REF!</v>
      </c>
      <c r="GJ520" t="e">
        <f>AND(#REF!,"AAAAADf3rb8=")</f>
        <v>#REF!</v>
      </c>
      <c r="GK520" t="e">
        <f>AND(#REF!,"AAAAADf3rcA=")</f>
        <v>#REF!</v>
      </c>
      <c r="GL520" t="e">
        <f>AND(#REF!,"AAAAADf3rcE=")</f>
        <v>#REF!</v>
      </c>
      <c r="GM520" t="e">
        <f>AND(#REF!,"AAAAADf3rcI=")</f>
        <v>#REF!</v>
      </c>
      <c r="GN520" t="e">
        <f>IF(#REF!,"AAAAADf3rcM=",0)</f>
        <v>#REF!</v>
      </c>
      <c r="GO520" t="e">
        <f>AND(#REF!,"AAAAADf3rcQ=")</f>
        <v>#REF!</v>
      </c>
      <c r="GP520" t="e">
        <f>AND(#REF!,"AAAAADf3rcU=")</f>
        <v>#REF!</v>
      </c>
      <c r="GQ520" t="e">
        <f>AND(#REF!,"AAAAADf3rcY=")</f>
        <v>#REF!</v>
      </c>
      <c r="GR520" t="e">
        <f>AND(#REF!,"AAAAADf3rcc=")</f>
        <v>#REF!</v>
      </c>
      <c r="GS520" t="e">
        <f>AND(#REF!,"AAAAADf3rcg=")</f>
        <v>#REF!</v>
      </c>
      <c r="GT520" t="e">
        <f>AND(#REF!,"AAAAADf3rck=")</f>
        <v>#REF!</v>
      </c>
      <c r="GU520" t="e">
        <f>AND(#REF!,"AAAAADf3rco=")</f>
        <v>#REF!</v>
      </c>
      <c r="GV520" t="e">
        <f>AND(#REF!,"AAAAADf3rcs=")</f>
        <v>#REF!</v>
      </c>
      <c r="GW520" t="e">
        <f>AND(#REF!,"AAAAADf3rcw=")</f>
        <v>#REF!</v>
      </c>
      <c r="GX520" t="e">
        <f>AND(#REF!,"AAAAADf3rc0=")</f>
        <v>#REF!</v>
      </c>
      <c r="GY520" t="e">
        <f>IF(#REF!,"AAAAADf3rc4=",0)</f>
        <v>#REF!</v>
      </c>
      <c r="GZ520" t="e">
        <f>AND(#REF!,"AAAAADf3rc8=")</f>
        <v>#REF!</v>
      </c>
      <c r="HA520" t="e">
        <f>AND(#REF!,"AAAAADf3rdA=")</f>
        <v>#REF!</v>
      </c>
      <c r="HB520" t="e">
        <f>AND(#REF!,"AAAAADf3rdE=")</f>
        <v>#REF!</v>
      </c>
      <c r="HC520" t="e">
        <f>AND(#REF!,"AAAAADf3rdI=")</f>
        <v>#REF!</v>
      </c>
      <c r="HD520" t="e">
        <f>AND(#REF!,"AAAAADf3rdM=")</f>
        <v>#REF!</v>
      </c>
      <c r="HE520" t="e">
        <f>AND(#REF!,"AAAAADf3rdQ=")</f>
        <v>#REF!</v>
      </c>
      <c r="HF520" t="e">
        <f>AND(#REF!,"AAAAADf3rdU=")</f>
        <v>#REF!</v>
      </c>
      <c r="HG520" t="e">
        <f>AND(#REF!,"AAAAADf3rdY=")</f>
        <v>#REF!</v>
      </c>
      <c r="HH520" t="e">
        <f>AND(#REF!,"AAAAADf3rdc=")</f>
        <v>#REF!</v>
      </c>
      <c r="HI520" t="e">
        <f>AND(#REF!,"AAAAADf3rdg=")</f>
        <v>#REF!</v>
      </c>
      <c r="HJ520" t="e">
        <f>IF(#REF!,"AAAAADf3rdk=",0)</f>
        <v>#REF!</v>
      </c>
      <c r="HK520" t="e">
        <f>AND(#REF!,"AAAAADf3rdo=")</f>
        <v>#REF!</v>
      </c>
      <c r="HL520" t="e">
        <f>AND(#REF!,"AAAAADf3rds=")</f>
        <v>#REF!</v>
      </c>
      <c r="HM520" t="e">
        <f>AND(#REF!,"AAAAADf3rdw=")</f>
        <v>#REF!</v>
      </c>
      <c r="HN520" t="e">
        <f>AND(#REF!,"AAAAADf3rd0=")</f>
        <v>#REF!</v>
      </c>
      <c r="HO520" t="e">
        <f>AND(#REF!,"AAAAADf3rd4=")</f>
        <v>#REF!</v>
      </c>
      <c r="HP520" t="e">
        <f>AND(#REF!,"AAAAADf3rd8=")</f>
        <v>#REF!</v>
      </c>
      <c r="HQ520" t="e">
        <f>AND(#REF!,"AAAAADf3reA=")</f>
        <v>#REF!</v>
      </c>
      <c r="HR520" t="e">
        <f>AND(#REF!,"AAAAADf3reE=")</f>
        <v>#REF!</v>
      </c>
      <c r="HS520" t="e">
        <f>AND(#REF!,"AAAAADf3reI=")</f>
        <v>#REF!</v>
      </c>
      <c r="HT520" t="e">
        <f>AND(#REF!,"AAAAADf3reM=")</f>
        <v>#REF!</v>
      </c>
      <c r="HU520" t="e">
        <f>IF(#REF!,"AAAAADf3reQ=",0)</f>
        <v>#REF!</v>
      </c>
      <c r="HV520" t="e">
        <f>AND(#REF!,"AAAAADf3reU=")</f>
        <v>#REF!</v>
      </c>
      <c r="HW520" t="e">
        <f>AND(#REF!,"AAAAADf3reY=")</f>
        <v>#REF!</v>
      </c>
      <c r="HX520" t="e">
        <f>AND(#REF!,"AAAAADf3rec=")</f>
        <v>#REF!</v>
      </c>
      <c r="HY520" t="e">
        <f>AND(#REF!,"AAAAADf3reg=")</f>
        <v>#REF!</v>
      </c>
      <c r="HZ520" t="e">
        <f>AND(#REF!,"AAAAADf3rek=")</f>
        <v>#REF!</v>
      </c>
      <c r="IA520" t="e">
        <f>AND(#REF!,"AAAAADf3reo=")</f>
        <v>#REF!</v>
      </c>
      <c r="IB520" t="e">
        <f>AND(#REF!,"AAAAADf3res=")</f>
        <v>#REF!</v>
      </c>
      <c r="IC520" t="e">
        <f>AND(#REF!,"AAAAADf3rew=")</f>
        <v>#REF!</v>
      </c>
      <c r="ID520" t="e">
        <f>AND(#REF!,"AAAAADf3re0=")</f>
        <v>#REF!</v>
      </c>
      <c r="IE520" t="e">
        <f>AND(#REF!,"AAAAADf3re4=")</f>
        <v>#REF!</v>
      </c>
      <c r="IF520" t="e">
        <f>IF(#REF!,"AAAAADf3re8=",0)</f>
        <v>#REF!</v>
      </c>
      <c r="IG520" t="e">
        <f>AND(#REF!,"AAAAADf3rfA=")</f>
        <v>#REF!</v>
      </c>
      <c r="IH520" t="e">
        <f>AND(#REF!,"AAAAADf3rfE=")</f>
        <v>#REF!</v>
      </c>
      <c r="II520" t="e">
        <f>AND(#REF!,"AAAAADf3rfI=")</f>
        <v>#REF!</v>
      </c>
      <c r="IJ520" t="e">
        <f>AND(#REF!,"AAAAADf3rfM=")</f>
        <v>#REF!</v>
      </c>
      <c r="IK520" t="e">
        <f>AND(#REF!,"AAAAADf3rfQ=")</f>
        <v>#REF!</v>
      </c>
      <c r="IL520" t="e">
        <f>AND(#REF!,"AAAAADf3rfU=")</f>
        <v>#REF!</v>
      </c>
      <c r="IM520" t="e">
        <f>AND(#REF!,"AAAAADf3rfY=")</f>
        <v>#REF!</v>
      </c>
      <c r="IN520" t="e">
        <f>AND(#REF!,"AAAAADf3rfc=")</f>
        <v>#REF!</v>
      </c>
      <c r="IO520" t="e">
        <f>AND(#REF!,"AAAAADf3rfg=")</f>
        <v>#REF!</v>
      </c>
      <c r="IP520" t="e">
        <f>AND(#REF!,"AAAAADf3rfk=")</f>
        <v>#REF!</v>
      </c>
      <c r="IQ520" t="e">
        <f>IF(#REF!,"AAAAADf3rfo=",0)</f>
        <v>#REF!</v>
      </c>
      <c r="IR520" t="e">
        <f>AND(#REF!,"AAAAADf3rfs=")</f>
        <v>#REF!</v>
      </c>
      <c r="IS520" t="e">
        <f>AND(#REF!,"AAAAADf3rfw=")</f>
        <v>#REF!</v>
      </c>
      <c r="IT520" t="e">
        <f>AND(#REF!,"AAAAADf3rf0=")</f>
        <v>#REF!</v>
      </c>
      <c r="IU520" t="e">
        <f>AND(#REF!,"AAAAADf3rf4=")</f>
        <v>#REF!</v>
      </c>
      <c r="IV520" t="e">
        <f>AND(#REF!,"AAAAADf3rf8=")</f>
        <v>#REF!</v>
      </c>
    </row>
    <row r="521" spans="1:256" x14ac:dyDescent="0.25">
      <c r="A521" t="e">
        <f>AND(#REF!,"AAAAAC3/fQA=")</f>
        <v>#REF!</v>
      </c>
      <c r="B521" t="e">
        <f>AND(#REF!,"AAAAAC3/fQE=")</f>
        <v>#REF!</v>
      </c>
      <c r="C521" t="e">
        <f>AND(#REF!,"AAAAAC3/fQI=")</f>
        <v>#REF!</v>
      </c>
      <c r="D521" t="e">
        <f>AND(#REF!,"AAAAAC3/fQM=")</f>
        <v>#REF!</v>
      </c>
      <c r="E521" t="e">
        <f>AND(#REF!,"AAAAAC3/fQQ=")</f>
        <v>#REF!</v>
      </c>
      <c r="F521" t="e">
        <f>IF(#REF!,"AAAAAC3/fQU=",0)</f>
        <v>#REF!</v>
      </c>
      <c r="G521" t="e">
        <f>AND(#REF!,"AAAAAC3/fQY=")</f>
        <v>#REF!</v>
      </c>
      <c r="H521" t="e">
        <f>AND(#REF!,"AAAAAC3/fQc=")</f>
        <v>#REF!</v>
      </c>
      <c r="I521" t="e">
        <f>AND(#REF!,"AAAAAC3/fQg=")</f>
        <v>#REF!</v>
      </c>
      <c r="J521" t="e">
        <f>AND(#REF!,"AAAAAC3/fQk=")</f>
        <v>#REF!</v>
      </c>
      <c r="K521" t="e">
        <f>AND(#REF!,"AAAAAC3/fQo=")</f>
        <v>#REF!</v>
      </c>
      <c r="L521" t="e">
        <f>AND(#REF!,"AAAAAC3/fQs=")</f>
        <v>#REF!</v>
      </c>
      <c r="M521" t="e">
        <f>AND(#REF!,"AAAAAC3/fQw=")</f>
        <v>#REF!</v>
      </c>
      <c r="N521" t="e">
        <f>AND(#REF!,"AAAAAC3/fQ0=")</f>
        <v>#REF!</v>
      </c>
      <c r="O521" t="e">
        <f>AND(#REF!,"AAAAAC3/fQ4=")</f>
        <v>#REF!</v>
      </c>
      <c r="P521" t="e">
        <f>AND(#REF!,"AAAAAC3/fQ8=")</f>
        <v>#REF!</v>
      </c>
      <c r="Q521" t="e">
        <f>IF(#REF!,"AAAAAC3/fRA=",0)</f>
        <v>#REF!</v>
      </c>
      <c r="R521" t="e">
        <f>AND(#REF!,"AAAAAC3/fRE=")</f>
        <v>#REF!</v>
      </c>
      <c r="S521" t="e">
        <f>AND(#REF!,"AAAAAC3/fRI=")</f>
        <v>#REF!</v>
      </c>
      <c r="T521" t="e">
        <f>AND(#REF!,"AAAAAC3/fRM=")</f>
        <v>#REF!</v>
      </c>
      <c r="U521" t="e">
        <f>AND(#REF!,"AAAAAC3/fRQ=")</f>
        <v>#REF!</v>
      </c>
      <c r="V521" t="e">
        <f>AND(#REF!,"AAAAAC3/fRU=")</f>
        <v>#REF!</v>
      </c>
      <c r="W521" t="e">
        <f>AND(#REF!,"AAAAAC3/fRY=")</f>
        <v>#REF!</v>
      </c>
      <c r="X521" t="e">
        <f>AND(#REF!,"AAAAAC3/fRc=")</f>
        <v>#REF!</v>
      </c>
      <c r="Y521" t="e">
        <f>AND(#REF!,"AAAAAC3/fRg=")</f>
        <v>#REF!</v>
      </c>
      <c r="Z521" t="e">
        <f>AND(#REF!,"AAAAAC3/fRk=")</f>
        <v>#REF!</v>
      </c>
      <c r="AA521" t="e">
        <f>AND(#REF!,"AAAAAC3/fRo=")</f>
        <v>#REF!</v>
      </c>
      <c r="AB521" t="e">
        <f>IF(#REF!,"AAAAAC3/fRs=",0)</f>
        <v>#REF!</v>
      </c>
      <c r="AC521" t="e">
        <f>AND(#REF!,"AAAAAC3/fRw=")</f>
        <v>#REF!</v>
      </c>
      <c r="AD521" t="e">
        <f>AND(#REF!,"AAAAAC3/fR0=")</f>
        <v>#REF!</v>
      </c>
      <c r="AE521" t="e">
        <f>AND(#REF!,"AAAAAC3/fR4=")</f>
        <v>#REF!</v>
      </c>
      <c r="AF521" t="e">
        <f>AND(#REF!,"AAAAAC3/fR8=")</f>
        <v>#REF!</v>
      </c>
      <c r="AG521" t="e">
        <f>AND(#REF!,"AAAAAC3/fSA=")</f>
        <v>#REF!</v>
      </c>
      <c r="AH521" t="e">
        <f>AND(#REF!,"AAAAAC3/fSE=")</f>
        <v>#REF!</v>
      </c>
      <c r="AI521" t="e">
        <f>AND(#REF!,"AAAAAC3/fSI=")</f>
        <v>#REF!</v>
      </c>
      <c r="AJ521" t="e">
        <f>AND(#REF!,"AAAAAC3/fSM=")</f>
        <v>#REF!</v>
      </c>
      <c r="AK521" t="e">
        <f>AND(#REF!,"AAAAAC3/fSQ=")</f>
        <v>#REF!</v>
      </c>
      <c r="AL521" t="e">
        <f>AND(#REF!,"AAAAAC3/fSU=")</f>
        <v>#REF!</v>
      </c>
      <c r="AM521" t="e">
        <f>IF(#REF!,"AAAAAC3/fSY=",0)</f>
        <v>#REF!</v>
      </c>
      <c r="AN521" t="e">
        <f>AND(#REF!,"AAAAAC3/fSc=")</f>
        <v>#REF!</v>
      </c>
      <c r="AO521" t="e">
        <f>AND(#REF!,"AAAAAC3/fSg=")</f>
        <v>#REF!</v>
      </c>
      <c r="AP521" t="e">
        <f>AND(#REF!,"AAAAAC3/fSk=")</f>
        <v>#REF!</v>
      </c>
      <c r="AQ521" t="e">
        <f>AND(#REF!,"AAAAAC3/fSo=")</f>
        <v>#REF!</v>
      </c>
      <c r="AR521" t="e">
        <f>AND(#REF!,"AAAAAC3/fSs=")</f>
        <v>#REF!</v>
      </c>
      <c r="AS521" t="e">
        <f>AND(#REF!,"AAAAAC3/fSw=")</f>
        <v>#REF!</v>
      </c>
      <c r="AT521" t="e">
        <f>AND(#REF!,"AAAAAC3/fS0=")</f>
        <v>#REF!</v>
      </c>
      <c r="AU521" t="e">
        <f>AND(#REF!,"AAAAAC3/fS4=")</f>
        <v>#REF!</v>
      </c>
      <c r="AV521" t="e">
        <f>AND(#REF!,"AAAAAC3/fS8=")</f>
        <v>#REF!</v>
      </c>
      <c r="AW521" t="e">
        <f>AND(#REF!,"AAAAAC3/fTA=")</f>
        <v>#REF!</v>
      </c>
      <c r="AX521" t="e">
        <f>IF(#REF!,"AAAAAC3/fTE=",0)</f>
        <v>#REF!</v>
      </c>
      <c r="AY521" t="e">
        <f>AND(#REF!,"AAAAAC3/fTI=")</f>
        <v>#REF!</v>
      </c>
      <c r="AZ521" t="e">
        <f>AND(#REF!,"AAAAAC3/fTM=")</f>
        <v>#REF!</v>
      </c>
      <c r="BA521" t="e">
        <f>AND(#REF!,"AAAAAC3/fTQ=")</f>
        <v>#REF!</v>
      </c>
      <c r="BB521" t="e">
        <f>AND(#REF!,"AAAAAC3/fTU=")</f>
        <v>#REF!</v>
      </c>
      <c r="BC521" t="e">
        <f>AND(#REF!,"AAAAAC3/fTY=")</f>
        <v>#REF!</v>
      </c>
      <c r="BD521" t="e">
        <f>AND(#REF!,"AAAAAC3/fTc=")</f>
        <v>#REF!</v>
      </c>
      <c r="BE521" t="e">
        <f>AND(#REF!,"AAAAAC3/fTg=")</f>
        <v>#REF!</v>
      </c>
      <c r="BF521" t="e">
        <f>AND(#REF!,"AAAAAC3/fTk=")</f>
        <v>#REF!</v>
      </c>
      <c r="BG521" t="e">
        <f>AND(#REF!,"AAAAAC3/fTo=")</f>
        <v>#REF!</v>
      </c>
      <c r="BH521" t="e">
        <f>AND(#REF!,"AAAAAC3/fTs=")</f>
        <v>#REF!</v>
      </c>
      <c r="BI521" t="e">
        <f>IF(#REF!,"AAAAAC3/fTw=",0)</f>
        <v>#REF!</v>
      </c>
      <c r="BJ521" t="e">
        <f>AND(#REF!,"AAAAAC3/fT0=")</f>
        <v>#REF!</v>
      </c>
      <c r="BK521" t="e">
        <f>AND(#REF!,"AAAAAC3/fT4=")</f>
        <v>#REF!</v>
      </c>
      <c r="BL521" t="e">
        <f>AND(#REF!,"AAAAAC3/fT8=")</f>
        <v>#REF!</v>
      </c>
      <c r="BM521" t="e">
        <f>AND(#REF!,"AAAAAC3/fUA=")</f>
        <v>#REF!</v>
      </c>
      <c r="BN521" t="e">
        <f>AND(#REF!,"AAAAAC3/fUE=")</f>
        <v>#REF!</v>
      </c>
      <c r="BO521" t="e">
        <f>AND(#REF!,"AAAAAC3/fUI=")</f>
        <v>#REF!</v>
      </c>
      <c r="BP521" t="e">
        <f>AND(#REF!,"AAAAAC3/fUM=")</f>
        <v>#REF!</v>
      </c>
      <c r="BQ521" t="e">
        <f>AND(#REF!,"AAAAAC3/fUQ=")</f>
        <v>#REF!</v>
      </c>
      <c r="BR521" t="e">
        <f>AND(#REF!,"AAAAAC3/fUU=")</f>
        <v>#REF!</v>
      </c>
      <c r="BS521" t="e">
        <f>AND(#REF!,"AAAAAC3/fUY=")</f>
        <v>#REF!</v>
      </c>
      <c r="BT521" t="e">
        <f>IF(#REF!,"AAAAAC3/fUc=",0)</f>
        <v>#REF!</v>
      </c>
      <c r="BU521" t="e">
        <f>AND(#REF!,"AAAAAC3/fUg=")</f>
        <v>#REF!</v>
      </c>
      <c r="BV521" t="e">
        <f>AND(#REF!,"AAAAAC3/fUk=")</f>
        <v>#REF!</v>
      </c>
      <c r="BW521" t="e">
        <f>AND(#REF!,"AAAAAC3/fUo=")</f>
        <v>#REF!</v>
      </c>
      <c r="BX521" t="e">
        <f>AND(#REF!,"AAAAAC3/fUs=")</f>
        <v>#REF!</v>
      </c>
      <c r="BY521" t="e">
        <f>AND(#REF!,"AAAAAC3/fUw=")</f>
        <v>#REF!</v>
      </c>
      <c r="BZ521" t="e">
        <f>AND(#REF!,"AAAAAC3/fU0=")</f>
        <v>#REF!</v>
      </c>
      <c r="CA521" t="e">
        <f>AND(#REF!,"AAAAAC3/fU4=")</f>
        <v>#REF!</v>
      </c>
      <c r="CB521" t="e">
        <f>AND(#REF!,"AAAAAC3/fU8=")</f>
        <v>#REF!</v>
      </c>
      <c r="CC521" t="e">
        <f>AND(#REF!,"AAAAAC3/fVA=")</f>
        <v>#REF!</v>
      </c>
      <c r="CD521" t="e">
        <f>AND(#REF!,"AAAAAC3/fVE=")</f>
        <v>#REF!</v>
      </c>
      <c r="CE521" t="e">
        <f>IF(#REF!,"AAAAAC3/fVI=",0)</f>
        <v>#REF!</v>
      </c>
      <c r="CF521" t="e">
        <f>AND(#REF!,"AAAAAC3/fVM=")</f>
        <v>#REF!</v>
      </c>
      <c r="CG521" t="e">
        <f>AND(#REF!,"AAAAAC3/fVQ=")</f>
        <v>#REF!</v>
      </c>
      <c r="CH521" t="e">
        <f>AND(#REF!,"AAAAAC3/fVU=")</f>
        <v>#REF!</v>
      </c>
      <c r="CI521" t="e">
        <f>AND(#REF!,"AAAAAC3/fVY=")</f>
        <v>#REF!</v>
      </c>
      <c r="CJ521" t="e">
        <f>AND(#REF!,"AAAAAC3/fVc=")</f>
        <v>#REF!</v>
      </c>
      <c r="CK521" t="e">
        <f>AND(#REF!,"AAAAAC3/fVg=")</f>
        <v>#REF!</v>
      </c>
      <c r="CL521" t="e">
        <f>AND(#REF!,"AAAAAC3/fVk=")</f>
        <v>#REF!</v>
      </c>
      <c r="CM521" t="e">
        <f>AND(#REF!,"AAAAAC3/fVo=")</f>
        <v>#REF!</v>
      </c>
      <c r="CN521" t="e">
        <f>AND(#REF!,"AAAAAC3/fVs=")</f>
        <v>#REF!</v>
      </c>
      <c r="CO521" t="e">
        <f>AND(#REF!,"AAAAAC3/fVw=")</f>
        <v>#REF!</v>
      </c>
      <c r="CP521" t="e">
        <f>IF(#REF!,"AAAAAC3/fV0=",0)</f>
        <v>#REF!</v>
      </c>
      <c r="CQ521" t="e">
        <f>AND(#REF!,"AAAAAC3/fV4=")</f>
        <v>#REF!</v>
      </c>
      <c r="CR521" t="e">
        <f>AND(#REF!,"AAAAAC3/fV8=")</f>
        <v>#REF!</v>
      </c>
      <c r="CS521" t="e">
        <f>AND(#REF!,"AAAAAC3/fWA=")</f>
        <v>#REF!</v>
      </c>
      <c r="CT521" t="e">
        <f>AND(#REF!,"AAAAAC3/fWE=")</f>
        <v>#REF!</v>
      </c>
      <c r="CU521" t="e">
        <f>AND(#REF!,"AAAAAC3/fWI=")</f>
        <v>#REF!</v>
      </c>
      <c r="CV521" t="e">
        <f>AND(#REF!,"AAAAAC3/fWM=")</f>
        <v>#REF!</v>
      </c>
      <c r="CW521" t="e">
        <f>AND(#REF!,"AAAAAC3/fWQ=")</f>
        <v>#REF!</v>
      </c>
      <c r="CX521" t="e">
        <f>AND(#REF!,"AAAAAC3/fWU=")</f>
        <v>#REF!</v>
      </c>
      <c r="CY521" t="e">
        <f>AND(#REF!,"AAAAAC3/fWY=")</f>
        <v>#REF!</v>
      </c>
      <c r="CZ521" t="e">
        <f>AND(#REF!,"AAAAAC3/fWc=")</f>
        <v>#REF!</v>
      </c>
      <c r="DA521" t="e">
        <f>IF(#REF!,"AAAAAC3/fWg=",0)</f>
        <v>#REF!</v>
      </c>
      <c r="DB521" t="e">
        <f>AND(#REF!,"AAAAAC3/fWk=")</f>
        <v>#REF!</v>
      </c>
      <c r="DC521" t="e">
        <f>AND(#REF!,"AAAAAC3/fWo=")</f>
        <v>#REF!</v>
      </c>
      <c r="DD521" t="e">
        <f>AND(#REF!,"AAAAAC3/fWs=")</f>
        <v>#REF!</v>
      </c>
      <c r="DE521" t="e">
        <f>AND(#REF!,"AAAAAC3/fWw=")</f>
        <v>#REF!</v>
      </c>
      <c r="DF521" t="e">
        <f>AND(#REF!,"AAAAAC3/fW0=")</f>
        <v>#REF!</v>
      </c>
      <c r="DG521" t="e">
        <f>AND(#REF!,"AAAAAC3/fW4=")</f>
        <v>#REF!</v>
      </c>
      <c r="DH521" t="e">
        <f>AND(#REF!,"AAAAAC3/fW8=")</f>
        <v>#REF!</v>
      </c>
      <c r="DI521" t="e">
        <f>AND(#REF!,"AAAAAC3/fXA=")</f>
        <v>#REF!</v>
      </c>
      <c r="DJ521" t="e">
        <f>AND(#REF!,"AAAAAC3/fXE=")</f>
        <v>#REF!</v>
      </c>
      <c r="DK521" t="e">
        <f>AND(#REF!,"AAAAAC3/fXI=")</f>
        <v>#REF!</v>
      </c>
      <c r="DL521" t="e">
        <f>IF(#REF!,"AAAAAC3/fXM=",0)</f>
        <v>#REF!</v>
      </c>
      <c r="DM521" t="e">
        <f>AND(#REF!,"AAAAAC3/fXQ=")</f>
        <v>#REF!</v>
      </c>
      <c r="DN521" t="e">
        <f>AND(#REF!,"AAAAAC3/fXU=")</f>
        <v>#REF!</v>
      </c>
      <c r="DO521" t="e">
        <f>AND(#REF!,"AAAAAC3/fXY=")</f>
        <v>#REF!</v>
      </c>
      <c r="DP521" t="e">
        <f>AND(#REF!,"AAAAAC3/fXc=")</f>
        <v>#REF!</v>
      </c>
      <c r="DQ521" t="e">
        <f>AND(#REF!,"AAAAAC3/fXg=")</f>
        <v>#REF!</v>
      </c>
      <c r="DR521" t="e">
        <f>AND(#REF!,"AAAAAC3/fXk=")</f>
        <v>#REF!</v>
      </c>
      <c r="DS521" t="e">
        <f>AND(#REF!,"AAAAAC3/fXo=")</f>
        <v>#REF!</v>
      </c>
      <c r="DT521" t="e">
        <f>AND(#REF!,"AAAAAC3/fXs=")</f>
        <v>#REF!</v>
      </c>
      <c r="DU521" t="e">
        <f>AND(#REF!,"AAAAAC3/fXw=")</f>
        <v>#REF!</v>
      </c>
      <c r="DV521" t="e">
        <f>AND(#REF!,"AAAAAC3/fX0=")</f>
        <v>#REF!</v>
      </c>
      <c r="DW521" t="e">
        <f>IF(#REF!,"AAAAAC3/fX4=",0)</f>
        <v>#REF!</v>
      </c>
      <c r="DX521" t="e">
        <f>AND(#REF!,"AAAAAC3/fX8=")</f>
        <v>#REF!</v>
      </c>
      <c r="DY521" t="e">
        <f>AND(#REF!,"AAAAAC3/fYA=")</f>
        <v>#REF!</v>
      </c>
      <c r="DZ521" t="e">
        <f>AND(#REF!,"AAAAAC3/fYE=")</f>
        <v>#REF!</v>
      </c>
      <c r="EA521" t="e">
        <f>AND(#REF!,"AAAAAC3/fYI=")</f>
        <v>#REF!</v>
      </c>
      <c r="EB521" t="e">
        <f>AND(#REF!,"AAAAAC3/fYM=")</f>
        <v>#REF!</v>
      </c>
      <c r="EC521" t="e">
        <f>AND(#REF!,"AAAAAC3/fYQ=")</f>
        <v>#REF!</v>
      </c>
      <c r="ED521" t="e">
        <f>AND(#REF!,"AAAAAC3/fYU=")</f>
        <v>#REF!</v>
      </c>
      <c r="EE521" t="e">
        <f>AND(#REF!,"AAAAAC3/fYY=")</f>
        <v>#REF!</v>
      </c>
      <c r="EF521" t="e">
        <f>AND(#REF!,"AAAAAC3/fYc=")</f>
        <v>#REF!</v>
      </c>
      <c r="EG521" t="e">
        <f>AND(#REF!,"AAAAAC3/fYg=")</f>
        <v>#REF!</v>
      </c>
      <c r="EH521" t="e">
        <f>IF(#REF!,"AAAAAC3/fYk=",0)</f>
        <v>#REF!</v>
      </c>
      <c r="EI521" t="e">
        <f>AND(#REF!,"AAAAAC3/fYo=")</f>
        <v>#REF!</v>
      </c>
      <c r="EJ521" t="e">
        <f>AND(#REF!,"AAAAAC3/fYs=")</f>
        <v>#REF!</v>
      </c>
      <c r="EK521" t="e">
        <f>AND(#REF!,"AAAAAC3/fYw=")</f>
        <v>#REF!</v>
      </c>
      <c r="EL521" t="e">
        <f>AND(#REF!,"AAAAAC3/fY0=")</f>
        <v>#REF!</v>
      </c>
      <c r="EM521" t="e">
        <f>AND(#REF!,"AAAAAC3/fY4=")</f>
        <v>#REF!</v>
      </c>
      <c r="EN521" t="e">
        <f>AND(#REF!,"AAAAAC3/fY8=")</f>
        <v>#REF!</v>
      </c>
      <c r="EO521" t="e">
        <f>AND(#REF!,"AAAAAC3/fZA=")</f>
        <v>#REF!</v>
      </c>
      <c r="EP521" t="e">
        <f>AND(#REF!,"AAAAAC3/fZE=")</f>
        <v>#REF!</v>
      </c>
      <c r="EQ521" t="e">
        <f>AND(#REF!,"AAAAAC3/fZI=")</f>
        <v>#REF!</v>
      </c>
      <c r="ER521" t="e">
        <f>AND(#REF!,"AAAAAC3/fZM=")</f>
        <v>#REF!</v>
      </c>
      <c r="ES521" t="e">
        <f>IF(#REF!,"AAAAAC3/fZQ=",0)</f>
        <v>#REF!</v>
      </c>
      <c r="ET521" t="e">
        <f>AND(#REF!,"AAAAAC3/fZU=")</f>
        <v>#REF!</v>
      </c>
      <c r="EU521" t="e">
        <f>AND(#REF!,"AAAAAC3/fZY=")</f>
        <v>#REF!</v>
      </c>
      <c r="EV521" t="e">
        <f>AND(#REF!,"AAAAAC3/fZc=")</f>
        <v>#REF!</v>
      </c>
      <c r="EW521" t="e">
        <f>AND(#REF!,"AAAAAC3/fZg=")</f>
        <v>#REF!</v>
      </c>
      <c r="EX521" t="e">
        <f>AND(#REF!,"AAAAAC3/fZk=")</f>
        <v>#REF!</v>
      </c>
      <c r="EY521" t="e">
        <f>AND(#REF!,"AAAAAC3/fZo=")</f>
        <v>#REF!</v>
      </c>
      <c r="EZ521" t="e">
        <f>AND(#REF!,"AAAAAC3/fZs=")</f>
        <v>#REF!</v>
      </c>
      <c r="FA521" t="e">
        <f>AND(#REF!,"AAAAAC3/fZw=")</f>
        <v>#REF!</v>
      </c>
      <c r="FB521" t="e">
        <f>AND(#REF!,"AAAAAC3/fZ0=")</f>
        <v>#REF!</v>
      </c>
      <c r="FC521" t="e">
        <f>AND(#REF!,"AAAAAC3/fZ4=")</f>
        <v>#REF!</v>
      </c>
      <c r="FD521" t="e">
        <f>IF(#REF!,"AAAAAC3/fZ8=",0)</f>
        <v>#REF!</v>
      </c>
      <c r="FE521" t="e">
        <f>AND(#REF!,"AAAAAC3/faA=")</f>
        <v>#REF!</v>
      </c>
      <c r="FF521" t="e">
        <f>AND(#REF!,"AAAAAC3/faE=")</f>
        <v>#REF!</v>
      </c>
      <c r="FG521" t="e">
        <f>AND(#REF!,"AAAAAC3/faI=")</f>
        <v>#REF!</v>
      </c>
      <c r="FH521" t="e">
        <f>AND(#REF!,"AAAAAC3/faM=")</f>
        <v>#REF!</v>
      </c>
      <c r="FI521" t="e">
        <f>AND(#REF!,"AAAAAC3/faQ=")</f>
        <v>#REF!</v>
      </c>
      <c r="FJ521" t="e">
        <f>AND(#REF!,"AAAAAC3/faU=")</f>
        <v>#REF!</v>
      </c>
      <c r="FK521" t="e">
        <f>AND(#REF!,"AAAAAC3/faY=")</f>
        <v>#REF!</v>
      </c>
      <c r="FL521" t="e">
        <f>AND(#REF!,"AAAAAC3/fac=")</f>
        <v>#REF!</v>
      </c>
      <c r="FM521" t="e">
        <f>AND(#REF!,"AAAAAC3/fag=")</f>
        <v>#REF!</v>
      </c>
      <c r="FN521" t="e">
        <f>AND(#REF!,"AAAAAC3/fak=")</f>
        <v>#REF!</v>
      </c>
      <c r="FO521" t="e">
        <f>IF(#REF!,"AAAAAC3/fao=",0)</f>
        <v>#REF!</v>
      </c>
      <c r="FP521" t="e">
        <f>AND(#REF!,"AAAAAC3/fas=")</f>
        <v>#REF!</v>
      </c>
      <c r="FQ521" t="e">
        <f>AND(#REF!,"AAAAAC3/faw=")</f>
        <v>#REF!</v>
      </c>
      <c r="FR521" t="e">
        <f>AND(#REF!,"AAAAAC3/fa0=")</f>
        <v>#REF!</v>
      </c>
      <c r="FS521" t="e">
        <f>AND(#REF!,"AAAAAC3/fa4=")</f>
        <v>#REF!</v>
      </c>
      <c r="FT521" t="e">
        <f>AND(#REF!,"AAAAAC3/fa8=")</f>
        <v>#REF!</v>
      </c>
      <c r="FU521" t="e">
        <f>AND(#REF!,"AAAAAC3/fbA=")</f>
        <v>#REF!</v>
      </c>
      <c r="FV521" t="e">
        <f>AND(#REF!,"AAAAAC3/fbE=")</f>
        <v>#REF!</v>
      </c>
      <c r="FW521" t="e">
        <f>AND(#REF!,"AAAAAC3/fbI=")</f>
        <v>#REF!</v>
      </c>
      <c r="FX521" t="e">
        <f>AND(#REF!,"AAAAAC3/fbM=")</f>
        <v>#REF!</v>
      </c>
      <c r="FY521" t="e">
        <f>AND(#REF!,"AAAAAC3/fbQ=")</f>
        <v>#REF!</v>
      </c>
      <c r="FZ521" t="e">
        <f>IF(#REF!,"AAAAAC3/fbU=",0)</f>
        <v>#REF!</v>
      </c>
      <c r="GA521" t="e">
        <f>AND(#REF!,"AAAAAC3/fbY=")</f>
        <v>#REF!</v>
      </c>
      <c r="GB521" t="e">
        <f>AND(#REF!,"AAAAAC3/fbc=")</f>
        <v>#REF!</v>
      </c>
      <c r="GC521" t="e">
        <f>AND(#REF!,"AAAAAC3/fbg=")</f>
        <v>#REF!</v>
      </c>
      <c r="GD521" t="e">
        <f>AND(#REF!,"AAAAAC3/fbk=")</f>
        <v>#REF!</v>
      </c>
      <c r="GE521" t="e">
        <f>AND(#REF!,"AAAAAC3/fbo=")</f>
        <v>#REF!</v>
      </c>
      <c r="GF521" t="e">
        <f>AND(#REF!,"AAAAAC3/fbs=")</f>
        <v>#REF!</v>
      </c>
      <c r="GG521" t="e">
        <f>AND(#REF!,"AAAAAC3/fbw=")</f>
        <v>#REF!</v>
      </c>
      <c r="GH521" t="e">
        <f>AND(#REF!,"AAAAAC3/fb0=")</f>
        <v>#REF!</v>
      </c>
      <c r="GI521" t="e">
        <f>AND(#REF!,"AAAAAC3/fb4=")</f>
        <v>#REF!</v>
      </c>
      <c r="GJ521" t="e">
        <f>AND(#REF!,"AAAAAC3/fb8=")</f>
        <v>#REF!</v>
      </c>
      <c r="GK521" t="e">
        <f>IF(#REF!,"AAAAAC3/fcA=",0)</f>
        <v>#REF!</v>
      </c>
      <c r="GL521" t="e">
        <f>AND(#REF!,"AAAAAC3/fcE=")</f>
        <v>#REF!</v>
      </c>
      <c r="GM521" t="e">
        <f>AND(#REF!,"AAAAAC3/fcI=")</f>
        <v>#REF!</v>
      </c>
      <c r="GN521" t="e">
        <f>AND(#REF!,"AAAAAC3/fcM=")</f>
        <v>#REF!</v>
      </c>
      <c r="GO521" t="e">
        <f>AND(#REF!,"AAAAAC3/fcQ=")</f>
        <v>#REF!</v>
      </c>
      <c r="GP521" t="e">
        <f>AND(#REF!,"AAAAAC3/fcU=")</f>
        <v>#REF!</v>
      </c>
      <c r="GQ521" t="e">
        <f>AND(#REF!,"AAAAAC3/fcY=")</f>
        <v>#REF!</v>
      </c>
      <c r="GR521" t="e">
        <f>AND(#REF!,"AAAAAC3/fcc=")</f>
        <v>#REF!</v>
      </c>
      <c r="GS521" t="e">
        <f>AND(#REF!,"AAAAAC3/fcg=")</f>
        <v>#REF!</v>
      </c>
      <c r="GT521" t="e">
        <f>AND(#REF!,"AAAAAC3/fck=")</f>
        <v>#REF!</v>
      </c>
      <c r="GU521" t="e">
        <f>AND(#REF!,"AAAAAC3/fco=")</f>
        <v>#REF!</v>
      </c>
      <c r="GV521" t="e">
        <f>IF(#REF!,"AAAAAC3/fcs=",0)</f>
        <v>#REF!</v>
      </c>
      <c r="GW521" t="e">
        <f>AND(#REF!,"AAAAAC3/fcw=")</f>
        <v>#REF!</v>
      </c>
      <c r="GX521" t="e">
        <f>AND(#REF!,"AAAAAC3/fc0=")</f>
        <v>#REF!</v>
      </c>
      <c r="GY521" t="e">
        <f>AND(#REF!,"AAAAAC3/fc4=")</f>
        <v>#REF!</v>
      </c>
      <c r="GZ521" t="e">
        <f>AND(#REF!,"AAAAAC3/fc8=")</f>
        <v>#REF!</v>
      </c>
      <c r="HA521" t="e">
        <f>AND(#REF!,"AAAAAC3/fdA=")</f>
        <v>#REF!</v>
      </c>
      <c r="HB521" t="e">
        <f>AND(#REF!,"AAAAAC3/fdE=")</f>
        <v>#REF!</v>
      </c>
      <c r="HC521" t="e">
        <f>AND(#REF!,"AAAAAC3/fdI=")</f>
        <v>#REF!</v>
      </c>
      <c r="HD521" t="e">
        <f>AND(#REF!,"AAAAAC3/fdM=")</f>
        <v>#REF!</v>
      </c>
      <c r="HE521" t="e">
        <f>AND(#REF!,"AAAAAC3/fdQ=")</f>
        <v>#REF!</v>
      </c>
      <c r="HF521" t="e">
        <f>AND(#REF!,"AAAAAC3/fdU=")</f>
        <v>#REF!</v>
      </c>
      <c r="HG521" t="e">
        <f>IF(#REF!,"AAAAAC3/fdY=",0)</f>
        <v>#REF!</v>
      </c>
      <c r="HH521" t="e">
        <f>AND(#REF!,"AAAAAC3/fdc=")</f>
        <v>#REF!</v>
      </c>
      <c r="HI521" t="e">
        <f>AND(#REF!,"AAAAAC3/fdg=")</f>
        <v>#REF!</v>
      </c>
      <c r="HJ521" t="e">
        <f>AND(#REF!,"AAAAAC3/fdk=")</f>
        <v>#REF!</v>
      </c>
      <c r="HK521" t="e">
        <f>AND(#REF!,"AAAAAC3/fdo=")</f>
        <v>#REF!</v>
      </c>
      <c r="HL521" t="e">
        <f>AND(#REF!,"AAAAAC3/fds=")</f>
        <v>#REF!</v>
      </c>
      <c r="HM521" t="e">
        <f>AND(#REF!,"AAAAAC3/fdw=")</f>
        <v>#REF!</v>
      </c>
      <c r="HN521" t="e">
        <f>AND(#REF!,"AAAAAC3/fd0=")</f>
        <v>#REF!</v>
      </c>
      <c r="HO521" t="e">
        <f>AND(#REF!,"AAAAAC3/fd4=")</f>
        <v>#REF!</v>
      </c>
      <c r="HP521" t="e">
        <f>AND(#REF!,"AAAAAC3/fd8=")</f>
        <v>#REF!</v>
      </c>
      <c r="HQ521" t="e">
        <f>AND(#REF!,"AAAAAC3/feA=")</f>
        <v>#REF!</v>
      </c>
      <c r="HR521" t="e">
        <f>IF(#REF!,"AAAAAC3/feE=",0)</f>
        <v>#REF!</v>
      </c>
      <c r="HS521" t="e">
        <f>AND(#REF!,"AAAAAC3/feI=")</f>
        <v>#REF!</v>
      </c>
      <c r="HT521" t="e">
        <f>AND(#REF!,"AAAAAC3/feM=")</f>
        <v>#REF!</v>
      </c>
      <c r="HU521" t="e">
        <f>AND(#REF!,"AAAAAC3/feQ=")</f>
        <v>#REF!</v>
      </c>
      <c r="HV521" t="e">
        <f>AND(#REF!,"AAAAAC3/feU=")</f>
        <v>#REF!</v>
      </c>
      <c r="HW521" t="e">
        <f>AND(#REF!,"AAAAAC3/feY=")</f>
        <v>#REF!</v>
      </c>
      <c r="HX521" t="e">
        <f>AND(#REF!,"AAAAAC3/fec=")</f>
        <v>#REF!</v>
      </c>
      <c r="HY521" t="e">
        <f>AND(#REF!,"AAAAAC3/feg=")</f>
        <v>#REF!</v>
      </c>
      <c r="HZ521" t="e">
        <f>AND(#REF!,"AAAAAC3/fek=")</f>
        <v>#REF!</v>
      </c>
      <c r="IA521" t="e">
        <f>AND(#REF!,"AAAAAC3/feo=")</f>
        <v>#REF!</v>
      </c>
      <c r="IB521" t="e">
        <f>AND(#REF!,"AAAAAC3/fes=")</f>
        <v>#REF!</v>
      </c>
      <c r="IC521" t="e">
        <f>IF(#REF!,"AAAAAC3/few=",0)</f>
        <v>#REF!</v>
      </c>
      <c r="ID521" t="e">
        <f>AND(#REF!,"AAAAAC3/fe0=")</f>
        <v>#REF!</v>
      </c>
      <c r="IE521" t="e">
        <f>AND(#REF!,"AAAAAC3/fe4=")</f>
        <v>#REF!</v>
      </c>
      <c r="IF521" t="e">
        <f>AND(#REF!,"AAAAAC3/fe8=")</f>
        <v>#REF!</v>
      </c>
      <c r="IG521" t="e">
        <f>AND(#REF!,"AAAAAC3/ffA=")</f>
        <v>#REF!</v>
      </c>
      <c r="IH521" t="e">
        <f>AND(#REF!,"AAAAAC3/ffE=")</f>
        <v>#REF!</v>
      </c>
      <c r="II521" t="e">
        <f>AND(#REF!,"AAAAAC3/ffI=")</f>
        <v>#REF!</v>
      </c>
      <c r="IJ521" t="e">
        <f>AND(#REF!,"AAAAAC3/ffM=")</f>
        <v>#REF!</v>
      </c>
      <c r="IK521" t="e">
        <f>AND(#REF!,"AAAAAC3/ffQ=")</f>
        <v>#REF!</v>
      </c>
      <c r="IL521" t="e">
        <f>AND(#REF!,"AAAAAC3/ffU=")</f>
        <v>#REF!</v>
      </c>
      <c r="IM521" t="e">
        <f>AND(#REF!,"AAAAAC3/ffY=")</f>
        <v>#REF!</v>
      </c>
      <c r="IN521" t="e">
        <f>IF(#REF!,"AAAAAC3/ffc=",0)</f>
        <v>#REF!</v>
      </c>
      <c r="IO521" t="e">
        <f>AND(#REF!,"AAAAAC3/ffg=")</f>
        <v>#REF!</v>
      </c>
      <c r="IP521" t="e">
        <f>AND(#REF!,"AAAAAC3/ffk=")</f>
        <v>#REF!</v>
      </c>
      <c r="IQ521" t="e">
        <f>AND(#REF!,"AAAAAC3/ffo=")</f>
        <v>#REF!</v>
      </c>
      <c r="IR521" t="e">
        <f>AND(#REF!,"AAAAAC3/ffs=")</f>
        <v>#REF!</v>
      </c>
      <c r="IS521" t="e">
        <f>AND(#REF!,"AAAAAC3/ffw=")</f>
        <v>#REF!</v>
      </c>
      <c r="IT521" t="e">
        <f>AND(#REF!,"AAAAAC3/ff0=")</f>
        <v>#REF!</v>
      </c>
      <c r="IU521" t="e">
        <f>AND(#REF!,"AAAAAC3/ff4=")</f>
        <v>#REF!</v>
      </c>
      <c r="IV521" t="e">
        <f>AND(#REF!,"AAAAAC3/ff8=")</f>
        <v>#REF!</v>
      </c>
    </row>
    <row r="522" spans="1:256" x14ac:dyDescent="0.25">
      <c r="A522" t="e">
        <f>AND(#REF!,"AAAAAH1fVQA=")</f>
        <v>#REF!</v>
      </c>
      <c r="B522" t="e">
        <f>AND(#REF!,"AAAAAH1fVQE=")</f>
        <v>#REF!</v>
      </c>
      <c r="C522" t="e">
        <f>IF(#REF!,"AAAAAH1fVQI=",0)</f>
        <v>#REF!</v>
      </c>
      <c r="D522" t="e">
        <f>AND(#REF!,"AAAAAH1fVQM=")</f>
        <v>#REF!</v>
      </c>
      <c r="E522" t="e">
        <f>AND(#REF!,"AAAAAH1fVQQ=")</f>
        <v>#REF!</v>
      </c>
      <c r="F522" t="e">
        <f>AND(#REF!,"AAAAAH1fVQU=")</f>
        <v>#REF!</v>
      </c>
      <c r="G522" t="e">
        <f>AND(#REF!,"AAAAAH1fVQY=")</f>
        <v>#REF!</v>
      </c>
      <c r="H522" t="e">
        <f>AND(#REF!,"AAAAAH1fVQc=")</f>
        <v>#REF!</v>
      </c>
      <c r="I522" t="e">
        <f>AND(#REF!,"AAAAAH1fVQg=")</f>
        <v>#REF!</v>
      </c>
      <c r="J522" t="e">
        <f>AND(#REF!,"AAAAAH1fVQk=")</f>
        <v>#REF!</v>
      </c>
      <c r="K522" t="e">
        <f>AND(#REF!,"AAAAAH1fVQo=")</f>
        <v>#REF!</v>
      </c>
      <c r="L522" t="e">
        <f>AND(#REF!,"AAAAAH1fVQs=")</f>
        <v>#REF!</v>
      </c>
      <c r="M522" t="e">
        <f>AND(#REF!,"AAAAAH1fVQw=")</f>
        <v>#REF!</v>
      </c>
      <c r="N522" t="e">
        <f>IF(#REF!,"AAAAAH1fVQ0=",0)</f>
        <v>#REF!</v>
      </c>
      <c r="O522" t="e">
        <f>AND(#REF!,"AAAAAH1fVQ4=")</f>
        <v>#REF!</v>
      </c>
      <c r="P522" t="e">
        <f>AND(#REF!,"AAAAAH1fVQ8=")</f>
        <v>#REF!</v>
      </c>
      <c r="Q522" t="e">
        <f>AND(#REF!,"AAAAAH1fVRA=")</f>
        <v>#REF!</v>
      </c>
      <c r="R522" t="e">
        <f>AND(#REF!,"AAAAAH1fVRE=")</f>
        <v>#REF!</v>
      </c>
      <c r="S522" t="e">
        <f>AND(#REF!,"AAAAAH1fVRI=")</f>
        <v>#REF!</v>
      </c>
      <c r="T522" t="e">
        <f>AND(#REF!,"AAAAAH1fVRM=")</f>
        <v>#REF!</v>
      </c>
      <c r="U522" t="e">
        <f>AND(#REF!,"AAAAAH1fVRQ=")</f>
        <v>#REF!</v>
      </c>
      <c r="V522" t="e">
        <f>AND(#REF!,"AAAAAH1fVRU=")</f>
        <v>#REF!</v>
      </c>
      <c r="W522" t="e">
        <f>AND(#REF!,"AAAAAH1fVRY=")</f>
        <v>#REF!</v>
      </c>
      <c r="X522" t="e">
        <f>AND(#REF!,"AAAAAH1fVRc=")</f>
        <v>#REF!</v>
      </c>
      <c r="Y522" t="e">
        <f>IF(#REF!,"AAAAAH1fVRg=",0)</f>
        <v>#REF!</v>
      </c>
      <c r="Z522" t="e">
        <f>AND(#REF!,"AAAAAH1fVRk=")</f>
        <v>#REF!</v>
      </c>
      <c r="AA522" t="e">
        <f>AND(#REF!,"AAAAAH1fVRo=")</f>
        <v>#REF!</v>
      </c>
      <c r="AB522" t="e">
        <f>AND(#REF!,"AAAAAH1fVRs=")</f>
        <v>#REF!</v>
      </c>
      <c r="AC522" t="e">
        <f>AND(#REF!,"AAAAAH1fVRw=")</f>
        <v>#REF!</v>
      </c>
      <c r="AD522" t="e">
        <f>AND(#REF!,"AAAAAH1fVR0=")</f>
        <v>#REF!</v>
      </c>
      <c r="AE522" t="e">
        <f>AND(#REF!,"AAAAAH1fVR4=")</f>
        <v>#REF!</v>
      </c>
      <c r="AF522" t="e">
        <f>AND(#REF!,"AAAAAH1fVR8=")</f>
        <v>#REF!</v>
      </c>
      <c r="AG522" t="e">
        <f>AND(#REF!,"AAAAAH1fVSA=")</f>
        <v>#REF!</v>
      </c>
      <c r="AH522" t="e">
        <f>AND(#REF!,"AAAAAH1fVSE=")</f>
        <v>#REF!</v>
      </c>
      <c r="AI522" t="e">
        <f>AND(#REF!,"AAAAAH1fVSI=")</f>
        <v>#REF!</v>
      </c>
      <c r="AJ522" t="e">
        <f>IF(#REF!,"AAAAAH1fVSM=",0)</f>
        <v>#REF!</v>
      </c>
      <c r="AK522" t="e">
        <f>AND(#REF!,"AAAAAH1fVSQ=")</f>
        <v>#REF!</v>
      </c>
      <c r="AL522" t="e">
        <f>AND(#REF!,"AAAAAH1fVSU=")</f>
        <v>#REF!</v>
      </c>
      <c r="AM522" t="e">
        <f>AND(#REF!,"AAAAAH1fVSY=")</f>
        <v>#REF!</v>
      </c>
      <c r="AN522" t="e">
        <f>AND(#REF!,"AAAAAH1fVSc=")</f>
        <v>#REF!</v>
      </c>
      <c r="AO522" t="e">
        <f>AND(#REF!,"AAAAAH1fVSg=")</f>
        <v>#REF!</v>
      </c>
      <c r="AP522" t="e">
        <f>AND(#REF!,"AAAAAH1fVSk=")</f>
        <v>#REF!</v>
      </c>
      <c r="AQ522" t="e">
        <f>AND(#REF!,"AAAAAH1fVSo=")</f>
        <v>#REF!</v>
      </c>
      <c r="AR522" t="e">
        <f>AND(#REF!,"AAAAAH1fVSs=")</f>
        <v>#REF!</v>
      </c>
      <c r="AS522" t="e">
        <f>AND(#REF!,"AAAAAH1fVSw=")</f>
        <v>#REF!</v>
      </c>
      <c r="AT522" t="e">
        <f>AND(#REF!,"AAAAAH1fVS0=")</f>
        <v>#REF!</v>
      </c>
      <c r="AU522" t="e">
        <f>IF(#REF!,"AAAAAH1fVS4=",0)</f>
        <v>#REF!</v>
      </c>
      <c r="AV522" t="e">
        <f>AND(#REF!,"AAAAAH1fVS8=")</f>
        <v>#REF!</v>
      </c>
      <c r="AW522" t="e">
        <f>AND(#REF!,"AAAAAH1fVTA=")</f>
        <v>#REF!</v>
      </c>
      <c r="AX522" t="e">
        <f>AND(#REF!,"AAAAAH1fVTE=")</f>
        <v>#REF!</v>
      </c>
      <c r="AY522" t="e">
        <f>AND(#REF!,"AAAAAH1fVTI=")</f>
        <v>#REF!</v>
      </c>
      <c r="AZ522" t="e">
        <f>AND(#REF!,"AAAAAH1fVTM=")</f>
        <v>#REF!</v>
      </c>
      <c r="BA522" t="e">
        <f>AND(#REF!,"AAAAAH1fVTQ=")</f>
        <v>#REF!</v>
      </c>
      <c r="BB522" t="e">
        <f>AND(#REF!,"AAAAAH1fVTU=")</f>
        <v>#REF!</v>
      </c>
      <c r="BC522" t="e">
        <f>AND(#REF!,"AAAAAH1fVTY=")</f>
        <v>#REF!</v>
      </c>
      <c r="BD522" t="e">
        <f>AND(#REF!,"AAAAAH1fVTc=")</f>
        <v>#REF!</v>
      </c>
      <c r="BE522" t="e">
        <f>AND(#REF!,"AAAAAH1fVTg=")</f>
        <v>#REF!</v>
      </c>
      <c r="BF522" t="e">
        <f>IF(#REF!,"AAAAAH1fVTk=",0)</f>
        <v>#REF!</v>
      </c>
      <c r="BG522" t="e">
        <f>AND(#REF!,"AAAAAH1fVTo=")</f>
        <v>#REF!</v>
      </c>
      <c r="BH522" t="e">
        <f>AND(#REF!,"AAAAAH1fVTs=")</f>
        <v>#REF!</v>
      </c>
      <c r="BI522" t="e">
        <f>AND(#REF!,"AAAAAH1fVTw=")</f>
        <v>#REF!</v>
      </c>
      <c r="BJ522" t="e">
        <f>AND(#REF!,"AAAAAH1fVT0=")</f>
        <v>#REF!</v>
      </c>
      <c r="BK522" t="e">
        <f>AND(#REF!,"AAAAAH1fVT4=")</f>
        <v>#REF!</v>
      </c>
      <c r="BL522" t="e">
        <f>AND(#REF!,"AAAAAH1fVT8=")</f>
        <v>#REF!</v>
      </c>
      <c r="BM522" t="e">
        <f>AND(#REF!,"AAAAAH1fVUA=")</f>
        <v>#REF!</v>
      </c>
      <c r="BN522" t="e">
        <f>AND(#REF!,"AAAAAH1fVUE=")</f>
        <v>#REF!</v>
      </c>
      <c r="BO522" t="e">
        <f>AND(#REF!,"AAAAAH1fVUI=")</f>
        <v>#REF!</v>
      </c>
      <c r="BP522" t="e">
        <f>AND(#REF!,"AAAAAH1fVUM=")</f>
        <v>#REF!</v>
      </c>
      <c r="BQ522" t="e">
        <f>IF(#REF!,"AAAAAH1fVUQ=",0)</f>
        <v>#REF!</v>
      </c>
      <c r="BR522" t="e">
        <f>AND(#REF!,"AAAAAH1fVUU=")</f>
        <v>#REF!</v>
      </c>
      <c r="BS522" t="e">
        <f>AND(#REF!,"AAAAAH1fVUY=")</f>
        <v>#REF!</v>
      </c>
      <c r="BT522" t="e">
        <f>AND(#REF!,"AAAAAH1fVUc=")</f>
        <v>#REF!</v>
      </c>
      <c r="BU522" t="e">
        <f>AND(#REF!,"AAAAAH1fVUg=")</f>
        <v>#REF!</v>
      </c>
      <c r="BV522" t="e">
        <f>AND(#REF!,"AAAAAH1fVUk=")</f>
        <v>#REF!</v>
      </c>
      <c r="BW522" t="e">
        <f>AND(#REF!,"AAAAAH1fVUo=")</f>
        <v>#REF!</v>
      </c>
      <c r="BX522" t="e">
        <f>AND(#REF!,"AAAAAH1fVUs=")</f>
        <v>#REF!</v>
      </c>
      <c r="BY522" t="e">
        <f>AND(#REF!,"AAAAAH1fVUw=")</f>
        <v>#REF!</v>
      </c>
      <c r="BZ522" t="e">
        <f>AND(#REF!,"AAAAAH1fVU0=")</f>
        <v>#REF!</v>
      </c>
      <c r="CA522" t="e">
        <f>AND(#REF!,"AAAAAH1fVU4=")</f>
        <v>#REF!</v>
      </c>
      <c r="CB522" t="e">
        <f>IF(#REF!,"AAAAAH1fVU8=",0)</f>
        <v>#REF!</v>
      </c>
      <c r="CC522" t="e">
        <f>AND(#REF!,"AAAAAH1fVVA=")</f>
        <v>#REF!</v>
      </c>
      <c r="CD522" t="e">
        <f>AND(#REF!,"AAAAAH1fVVE=")</f>
        <v>#REF!</v>
      </c>
      <c r="CE522" t="e">
        <f>AND(#REF!,"AAAAAH1fVVI=")</f>
        <v>#REF!</v>
      </c>
      <c r="CF522" t="e">
        <f>AND(#REF!,"AAAAAH1fVVM=")</f>
        <v>#REF!</v>
      </c>
      <c r="CG522" t="e">
        <f>AND(#REF!,"AAAAAH1fVVQ=")</f>
        <v>#REF!</v>
      </c>
      <c r="CH522" t="e">
        <f>AND(#REF!,"AAAAAH1fVVU=")</f>
        <v>#REF!</v>
      </c>
      <c r="CI522" t="e">
        <f>AND(#REF!,"AAAAAH1fVVY=")</f>
        <v>#REF!</v>
      </c>
      <c r="CJ522" t="e">
        <f>AND(#REF!,"AAAAAH1fVVc=")</f>
        <v>#REF!</v>
      </c>
      <c r="CK522" t="e">
        <f>AND(#REF!,"AAAAAH1fVVg=")</f>
        <v>#REF!</v>
      </c>
      <c r="CL522" t="e">
        <f>AND(#REF!,"AAAAAH1fVVk=")</f>
        <v>#REF!</v>
      </c>
      <c r="CM522" t="e">
        <f>IF(#REF!,"AAAAAH1fVVo=",0)</f>
        <v>#REF!</v>
      </c>
      <c r="CN522" t="e">
        <f>AND(#REF!,"AAAAAH1fVVs=")</f>
        <v>#REF!</v>
      </c>
      <c r="CO522" t="e">
        <f>AND(#REF!,"AAAAAH1fVVw=")</f>
        <v>#REF!</v>
      </c>
      <c r="CP522" t="e">
        <f>AND(#REF!,"AAAAAH1fVV0=")</f>
        <v>#REF!</v>
      </c>
      <c r="CQ522" t="e">
        <f>AND(#REF!,"AAAAAH1fVV4=")</f>
        <v>#REF!</v>
      </c>
      <c r="CR522" t="e">
        <f>AND(#REF!,"AAAAAH1fVV8=")</f>
        <v>#REF!</v>
      </c>
      <c r="CS522" t="e">
        <f>AND(#REF!,"AAAAAH1fVWA=")</f>
        <v>#REF!</v>
      </c>
      <c r="CT522" t="e">
        <f>AND(#REF!,"AAAAAH1fVWE=")</f>
        <v>#REF!</v>
      </c>
      <c r="CU522" t="e">
        <f>AND(#REF!,"AAAAAH1fVWI=")</f>
        <v>#REF!</v>
      </c>
      <c r="CV522" t="e">
        <f>AND(#REF!,"AAAAAH1fVWM=")</f>
        <v>#REF!</v>
      </c>
      <c r="CW522" t="e">
        <f>AND(#REF!,"AAAAAH1fVWQ=")</f>
        <v>#REF!</v>
      </c>
      <c r="CX522" t="e">
        <f>IF(#REF!,"AAAAAH1fVWU=",0)</f>
        <v>#REF!</v>
      </c>
      <c r="CY522" t="e">
        <f>AND(#REF!,"AAAAAH1fVWY=")</f>
        <v>#REF!</v>
      </c>
      <c r="CZ522" t="e">
        <f>AND(#REF!,"AAAAAH1fVWc=")</f>
        <v>#REF!</v>
      </c>
      <c r="DA522" t="e">
        <f>AND(#REF!,"AAAAAH1fVWg=")</f>
        <v>#REF!</v>
      </c>
      <c r="DB522" t="e">
        <f>AND(#REF!,"AAAAAH1fVWk=")</f>
        <v>#REF!</v>
      </c>
      <c r="DC522" t="e">
        <f>AND(#REF!,"AAAAAH1fVWo=")</f>
        <v>#REF!</v>
      </c>
      <c r="DD522" t="e">
        <f>AND(#REF!,"AAAAAH1fVWs=")</f>
        <v>#REF!</v>
      </c>
      <c r="DE522" t="e">
        <f>AND(#REF!,"AAAAAH1fVWw=")</f>
        <v>#REF!</v>
      </c>
      <c r="DF522" t="e">
        <f>AND(#REF!,"AAAAAH1fVW0=")</f>
        <v>#REF!</v>
      </c>
      <c r="DG522" t="e">
        <f>AND(#REF!,"AAAAAH1fVW4=")</f>
        <v>#REF!</v>
      </c>
      <c r="DH522" t="e">
        <f>AND(#REF!,"AAAAAH1fVW8=")</f>
        <v>#REF!</v>
      </c>
      <c r="DI522" t="e">
        <f>IF(#REF!,"AAAAAH1fVXA=",0)</f>
        <v>#REF!</v>
      </c>
      <c r="DJ522" t="e">
        <f>AND(#REF!,"AAAAAH1fVXE=")</f>
        <v>#REF!</v>
      </c>
      <c r="DK522" t="e">
        <f>AND(#REF!,"AAAAAH1fVXI=")</f>
        <v>#REF!</v>
      </c>
      <c r="DL522" t="e">
        <f>AND(#REF!,"AAAAAH1fVXM=")</f>
        <v>#REF!</v>
      </c>
      <c r="DM522" t="e">
        <f>AND(#REF!,"AAAAAH1fVXQ=")</f>
        <v>#REF!</v>
      </c>
      <c r="DN522" t="e">
        <f>AND(#REF!,"AAAAAH1fVXU=")</f>
        <v>#REF!</v>
      </c>
      <c r="DO522" t="e">
        <f>AND(#REF!,"AAAAAH1fVXY=")</f>
        <v>#REF!</v>
      </c>
      <c r="DP522" t="e">
        <f>AND(#REF!,"AAAAAH1fVXc=")</f>
        <v>#REF!</v>
      </c>
      <c r="DQ522" t="e">
        <f>AND(#REF!,"AAAAAH1fVXg=")</f>
        <v>#REF!</v>
      </c>
      <c r="DR522" t="e">
        <f>AND(#REF!,"AAAAAH1fVXk=")</f>
        <v>#REF!</v>
      </c>
      <c r="DS522" t="e">
        <f>AND(#REF!,"AAAAAH1fVXo=")</f>
        <v>#REF!</v>
      </c>
      <c r="DT522" t="e">
        <f>IF(#REF!,"AAAAAH1fVXs=",0)</f>
        <v>#REF!</v>
      </c>
      <c r="DU522" t="e">
        <f>AND(#REF!,"AAAAAH1fVXw=")</f>
        <v>#REF!</v>
      </c>
      <c r="DV522" t="e">
        <f>AND(#REF!,"AAAAAH1fVX0=")</f>
        <v>#REF!</v>
      </c>
      <c r="DW522" t="e">
        <f>AND(#REF!,"AAAAAH1fVX4=")</f>
        <v>#REF!</v>
      </c>
      <c r="DX522" t="e">
        <f>AND(#REF!,"AAAAAH1fVX8=")</f>
        <v>#REF!</v>
      </c>
      <c r="DY522" t="e">
        <f>AND(#REF!,"AAAAAH1fVYA=")</f>
        <v>#REF!</v>
      </c>
      <c r="DZ522" t="e">
        <f>AND(#REF!,"AAAAAH1fVYE=")</f>
        <v>#REF!</v>
      </c>
      <c r="EA522" t="e">
        <f>AND(#REF!,"AAAAAH1fVYI=")</f>
        <v>#REF!</v>
      </c>
      <c r="EB522" t="e">
        <f>AND(#REF!,"AAAAAH1fVYM=")</f>
        <v>#REF!</v>
      </c>
      <c r="EC522" t="e">
        <f>AND(#REF!,"AAAAAH1fVYQ=")</f>
        <v>#REF!</v>
      </c>
      <c r="ED522" t="e">
        <f>AND(#REF!,"AAAAAH1fVYU=")</f>
        <v>#REF!</v>
      </c>
      <c r="EE522" t="e">
        <f>IF(#REF!,"AAAAAH1fVYY=",0)</f>
        <v>#REF!</v>
      </c>
      <c r="EF522" t="e">
        <f>AND(#REF!,"AAAAAH1fVYc=")</f>
        <v>#REF!</v>
      </c>
      <c r="EG522" t="e">
        <f>AND(#REF!,"AAAAAH1fVYg=")</f>
        <v>#REF!</v>
      </c>
      <c r="EH522" t="e">
        <f>AND(#REF!,"AAAAAH1fVYk=")</f>
        <v>#REF!</v>
      </c>
      <c r="EI522" t="e">
        <f>AND(#REF!,"AAAAAH1fVYo=")</f>
        <v>#REF!</v>
      </c>
      <c r="EJ522" t="e">
        <f>AND(#REF!,"AAAAAH1fVYs=")</f>
        <v>#REF!</v>
      </c>
      <c r="EK522" t="e">
        <f>AND(#REF!,"AAAAAH1fVYw=")</f>
        <v>#REF!</v>
      </c>
      <c r="EL522" t="e">
        <f>AND(#REF!,"AAAAAH1fVY0=")</f>
        <v>#REF!</v>
      </c>
      <c r="EM522" t="e">
        <f>AND(#REF!,"AAAAAH1fVY4=")</f>
        <v>#REF!</v>
      </c>
      <c r="EN522" t="e">
        <f>AND(#REF!,"AAAAAH1fVY8=")</f>
        <v>#REF!</v>
      </c>
      <c r="EO522" t="e">
        <f>AND(#REF!,"AAAAAH1fVZA=")</f>
        <v>#REF!</v>
      </c>
      <c r="EP522" t="e">
        <f>IF(#REF!,"AAAAAH1fVZE=",0)</f>
        <v>#REF!</v>
      </c>
      <c r="EQ522" t="e">
        <f>AND(#REF!,"AAAAAH1fVZI=")</f>
        <v>#REF!</v>
      </c>
      <c r="ER522" t="e">
        <f>AND(#REF!,"AAAAAH1fVZM=")</f>
        <v>#REF!</v>
      </c>
      <c r="ES522" t="e">
        <f>AND(#REF!,"AAAAAH1fVZQ=")</f>
        <v>#REF!</v>
      </c>
      <c r="ET522" t="e">
        <f>AND(#REF!,"AAAAAH1fVZU=")</f>
        <v>#REF!</v>
      </c>
      <c r="EU522" t="e">
        <f>AND(#REF!,"AAAAAH1fVZY=")</f>
        <v>#REF!</v>
      </c>
      <c r="EV522" t="e">
        <f>AND(#REF!,"AAAAAH1fVZc=")</f>
        <v>#REF!</v>
      </c>
      <c r="EW522" t="e">
        <f>AND(#REF!,"AAAAAH1fVZg=")</f>
        <v>#REF!</v>
      </c>
      <c r="EX522" t="e">
        <f>AND(#REF!,"AAAAAH1fVZk=")</f>
        <v>#REF!</v>
      </c>
      <c r="EY522" t="e">
        <f>AND(#REF!,"AAAAAH1fVZo=")</f>
        <v>#REF!</v>
      </c>
      <c r="EZ522" t="e">
        <f>AND(#REF!,"AAAAAH1fVZs=")</f>
        <v>#REF!</v>
      </c>
      <c r="FA522" t="e">
        <f>IF(#REF!,"AAAAAH1fVZw=",0)</f>
        <v>#REF!</v>
      </c>
      <c r="FB522" t="e">
        <f>AND(#REF!,"AAAAAH1fVZ0=")</f>
        <v>#REF!</v>
      </c>
      <c r="FC522" t="e">
        <f>AND(#REF!,"AAAAAH1fVZ4=")</f>
        <v>#REF!</v>
      </c>
      <c r="FD522" t="e">
        <f>AND(#REF!,"AAAAAH1fVZ8=")</f>
        <v>#REF!</v>
      </c>
      <c r="FE522" t="e">
        <f>AND(#REF!,"AAAAAH1fVaA=")</f>
        <v>#REF!</v>
      </c>
      <c r="FF522" t="e">
        <f>AND(#REF!,"AAAAAH1fVaE=")</f>
        <v>#REF!</v>
      </c>
      <c r="FG522" t="e">
        <f>AND(#REF!,"AAAAAH1fVaI=")</f>
        <v>#REF!</v>
      </c>
      <c r="FH522" t="e">
        <f>AND(#REF!,"AAAAAH1fVaM=")</f>
        <v>#REF!</v>
      </c>
      <c r="FI522" t="e">
        <f>AND(#REF!,"AAAAAH1fVaQ=")</f>
        <v>#REF!</v>
      </c>
      <c r="FJ522" t="e">
        <f>AND(#REF!,"AAAAAH1fVaU=")</f>
        <v>#REF!</v>
      </c>
      <c r="FK522" t="e">
        <f>AND(#REF!,"AAAAAH1fVaY=")</f>
        <v>#REF!</v>
      </c>
      <c r="FL522" t="e">
        <f>IF(#REF!,"AAAAAH1fVac=",0)</f>
        <v>#REF!</v>
      </c>
      <c r="FM522" t="e">
        <f>AND(#REF!,"AAAAAH1fVag=")</f>
        <v>#REF!</v>
      </c>
      <c r="FN522" t="e">
        <f>AND(#REF!,"AAAAAH1fVak=")</f>
        <v>#REF!</v>
      </c>
      <c r="FO522" t="e">
        <f>AND(#REF!,"AAAAAH1fVao=")</f>
        <v>#REF!</v>
      </c>
      <c r="FP522" t="e">
        <f>AND(#REF!,"AAAAAH1fVas=")</f>
        <v>#REF!</v>
      </c>
      <c r="FQ522" t="e">
        <f>AND(#REF!,"AAAAAH1fVaw=")</f>
        <v>#REF!</v>
      </c>
      <c r="FR522" t="e">
        <f>AND(#REF!,"AAAAAH1fVa0=")</f>
        <v>#REF!</v>
      </c>
      <c r="FS522" t="e">
        <f>AND(#REF!,"AAAAAH1fVa4=")</f>
        <v>#REF!</v>
      </c>
      <c r="FT522" t="e">
        <f>AND(#REF!,"AAAAAH1fVa8=")</f>
        <v>#REF!</v>
      </c>
      <c r="FU522" t="e">
        <f>AND(#REF!,"AAAAAH1fVbA=")</f>
        <v>#REF!</v>
      </c>
      <c r="FV522" t="e">
        <f>AND(#REF!,"AAAAAH1fVbE=")</f>
        <v>#REF!</v>
      </c>
      <c r="FW522" t="e">
        <f>IF(#REF!,"AAAAAH1fVbI=",0)</f>
        <v>#REF!</v>
      </c>
      <c r="FX522" t="e">
        <f>AND(#REF!,"AAAAAH1fVbM=")</f>
        <v>#REF!</v>
      </c>
      <c r="FY522" t="e">
        <f>AND(#REF!,"AAAAAH1fVbQ=")</f>
        <v>#REF!</v>
      </c>
      <c r="FZ522" t="e">
        <f>AND(#REF!,"AAAAAH1fVbU=")</f>
        <v>#REF!</v>
      </c>
      <c r="GA522" t="e">
        <f>AND(#REF!,"AAAAAH1fVbY=")</f>
        <v>#REF!</v>
      </c>
      <c r="GB522" t="e">
        <f>AND(#REF!,"AAAAAH1fVbc=")</f>
        <v>#REF!</v>
      </c>
      <c r="GC522" t="e">
        <f>AND(#REF!,"AAAAAH1fVbg=")</f>
        <v>#REF!</v>
      </c>
      <c r="GD522" t="e">
        <f>AND(#REF!,"AAAAAH1fVbk=")</f>
        <v>#REF!</v>
      </c>
      <c r="GE522" t="e">
        <f>AND(#REF!,"AAAAAH1fVbo=")</f>
        <v>#REF!</v>
      </c>
      <c r="GF522" t="e">
        <f>AND(#REF!,"AAAAAH1fVbs=")</f>
        <v>#REF!</v>
      </c>
      <c r="GG522" t="e">
        <f>AND(#REF!,"AAAAAH1fVbw=")</f>
        <v>#REF!</v>
      </c>
      <c r="GH522" t="e">
        <f>IF(#REF!,"AAAAAH1fVb0=",0)</f>
        <v>#REF!</v>
      </c>
      <c r="GI522" t="e">
        <f>AND(#REF!,"AAAAAH1fVb4=")</f>
        <v>#REF!</v>
      </c>
      <c r="GJ522" t="e">
        <f>AND(#REF!,"AAAAAH1fVb8=")</f>
        <v>#REF!</v>
      </c>
      <c r="GK522" t="e">
        <f>AND(#REF!,"AAAAAH1fVcA=")</f>
        <v>#REF!</v>
      </c>
      <c r="GL522" t="e">
        <f>AND(#REF!,"AAAAAH1fVcE=")</f>
        <v>#REF!</v>
      </c>
      <c r="GM522" t="e">
        <f>AND(#REF!,"AAAAAH1fVcI=")</f>
        <v>#REF!</v>
      </c>
      <c r="GN522" t="e">
        <f>AND(#REF!,"AAAAAH1fVcM=")</f>
        <v>#REF!</v>
      </c>
      <c r="GO522" t="e">
        <f>AND(#REF!,"AAAAAH1fVcQ=")</f>
        <v>#REF!</v>
      </c>
      <c r="GP522" t="e">
        <f>AND(#REF!,"AAAAAH1fVcU=")</f>
        <v>#REF!</v>
      </c>
      <c r="GQ522" t="e">
        <f>AND(#REF!,"AAAAAH1fVcY=")</f>
        <v>#REF!</v>
      </c>
      <c r="GR522" t="e">
        <f>AND(#REF!,"AAAAAH1fVcc=")</f>
        <v>#REF!</v>
      </c>
      <c r="GS522" t="e">
        <f>IF(#REF!,"AAAAAH1fVcg=",0)</f>
        <v>#REF!</v>
      </c>
      <c r="GT522" t="e">
        <f>AND(#REF!,"AAAAAH1fVck=")</f>
        <v>#REF!</v>
      </c>
      <c r="GU522" t="e">
        <f>AND(#REF!,"AAAAAH1fVco=")</f>
        <v>#REF!</v>
      </c>
      <c r="GV522" t="e">
        <f>AND(#REF!,"AAAAAH1fVcs=")</f>
        <v>#REF!</v>
      </c>
      <c r="GW522" t="e">
        <f>AND(#REF!,"AAAAAH1fVcw=")</f>
        <v>#REF!</v>
      </c>
      <c r="GX522" t="e">
        <f>AND(#REF!,"AAAAAH1fVc0=")</f>
        <v>#REF!</v>
      </c>
      <c r="GY522" t="e">
        <f>AND(#REF!,"AAAAAH1fVc4=")</f>
        <v>#REF!</v>
      </c>
      <c r="GZ522" t="e">
        <f>AND(#REF!,"AAAAAH1fVc8=")</f>
        <v>#REF!</v>
      </c>
      <c r="HA522" t="e">
        <f>AND(#REF!,"AAAAAH1fVdA=")</f>
        <v>#REF!</v>
      </c>
      <c r="HB522" t="e">
        <f>AND(#REF!,"AAAAAH1fVdE=")</f>
        <v>#REF!</v>
      </c>
      <c r="HC522" t="e">
        <f>AND(#REF!,"AAAAAH1fVdI=")</f>
        <v>#REF!</v>
      </c>
      <c r="HD522" t="e">
        <f>IF(#REF!,"AAAAAH1fVdM=",0)</f>
        <v>#REF!</v>
      </c>
      <c r="HE522" t="e">
        <f>AND(#REF!,"AAAAAH1fVdQ=")</f>
        <v>#REF!</v>
      </c>
      <c r="HF522" t="e">
        <f>AND(#REF!,"AAAAAH1fVdU=")</f>
        <v>#REF!</v>
      </c>
      <c r="HG522" t="e">
        <f>AND(#REF!,"AAAAAH1fVdY=")</f>
        <v>#REF!</v>
      </c>
      <c r="HH522" t="e">
        <f>AND(#REF!,"AAAAAH1fVdc=")</f>
        <v>#REF!</v>
      </c>
      <c r="HI522" t="e">
        <f>AND(#REF!,"AAAAAH1fVdg=")</f>
        <v>#REF!</v>
      </c>
      <c r="HJ522" t="e">
        <f>AND(#REF!,"AAAAAH1fVdk=")</f>
        <v>#REF!</v>
      </c>
      <c r="HK522" t="e">
        <f>AND(#REF!,"AAAAAH1fVdo=")</f>
        <v>#REF!</v>
      </c>
      <c r="HL522" t="e">
        <f>AND(#REF!,"AAAAAH1fVds=")</f>
        <v>#REF!</v>
      </c>
      <c r="HM522" t="e">
        <f>AND(#REF!,"AAAAAH1fVdw=")</f>
        <v>#REF!</v>
      </c>
      <c r="HN522" t="e">
        <f>AND(#REF!,"AAAAAH1fVd0=")</f>
        <v>#REF!</v>
      </c>
      <c r="HO522" t="e">
        <f>IF(#REF!,"AAAAAH1fVd4=",0)</f>
        <v>#REF!</v>
      </c>
      <c r="HP522" t="e">
        <f>AND(#REF!,"AAAAAH1fVd8=")</f>
        <v>#REF!</v>
      </c>
      <c r="HQ522" t="e">
        <f>AND(#REF!,"AAAAAH1fVeA=")</f>
        <v>#REF!</v>
      </c>
      <c r="HR522" t="e">
        <f>AND(#REF!,"AAAAAH1fVeE=")</f>
        <v>#REF!</v>
      </c>
      <c r="HS522" t="e">
        <f>AND(#REF!,"AAAAAH1fVeI=")</f>
        <v>#REF!</v>
      </c>
      <c r="HT522" t="e">
        <f>AND(#REF!,"AAAAAH1fVeM=")</f>
        <v>#REF!</v>
      </c>
      <c r="HU522" t="e">
        <f>AND(#REF!,"AAAAAH1fVeQ=")</f>
        <v>#REF!</v>
      </c>
      <c r="HV522" t="e">
        <f>AND(#REF!,"AAAAAH1fVeU=")</f>
        <v>#REF!</v>
      </c>
      <c r="HW522" t="e">
        <f>AND(#REF!,"AAAAAH1fVeY=")</f>
        <v>#REF!</v>
      </c>
      <c r="HX522" t="e">
        <f>AND(#REF!,"AAAAAH1fVec=")</f>
        <v>#REF!</v>
      </c>
      <c r="HY522" t="e">
        <f>AND(#REF!,"AAAAAH1fVeg=")</f>
        <v>#REF!</v>
      </c>
      <c r="HZ522" t="e">
        <f>IF(#REF!,"AAAAAH1fVek=",0)</f>
        <v>#REF!</v>
      </c>
      <c r="IA522" t="e">
        <f>AND(#REF!,"AAAAAH1fVeo=")</f>
        <v>#REF!</v>
      </c>
      <c r="IB522" t="e">
        <f>AND(#REF!,"AAAAAH1fVes=")</f>
        <v>#REF!</v>
      </c>
      <c r="IC522" t="e">
        <f>AND(#REF!,"AAAAAH1fVew=")</f>
        <v>#REF!</v>
      </c>
      <c r="ID522" t="e">
        <f>AND(#REF!,"AAAAAH1fVe0=")</f>
        <v>#REF!</v>
      </c>
      <c r="IE522" t="e">
        <f>AND(#REF!,"AAAAAH1fVe4=")</f>
        <v>#REF!</v>
      </c>
      <c r="IF522" t="e">
        <f>AND(#REF!,"AAAAAH1fVe8=")</f>
        <v>#REF!</v>
      </c>
      <c r="IG522" t="e">
        <f>AND(#REF!,"AAAAAH1fVfA=")</f>
        <v>#REF!</v>
      </c>
      <c r="IH522" t="e">
        <f>AND(#REF!,"AAAAAH1fVfE=")</f>
        <v>#REF!</v>
      </c>
      <c r="II522" t="e">
        <f>AND(#REF!,"AAAAAH1fVfI=")</f>
        <v>#REF!</v>
      </c>
      <c r="IJ522" t="e">
        <f>AND(#REF!,"AAAAAH1fVfM=")</f>
        <v>#REF!</v>
      </c>
      <c r="IK522" t="e">
        <f>IF(#REF!,"AAAAAH1fVfQ=",0)</f>
        <v>#REF!</v>
      </c>
      <c r="IL522" t="e">
        <f>AND(#REF!,"AAAAAH1fVfU=")</f>
        <v>#REF!</v>
      </c>
      <c r="IM522" t="e">
        <f>AND(#REF!,"AAAAAH1fVfY=")</f>
        <v>#REF!</v>
      </c>
      <c r="IN522" t="e">
        <f>AND(#REF!,"AAAAAH1fVfc=")</f>
        <v>#REF!</v>
      </c>
      <c r="IO522" t="e">
        <f>AND(#REF!,"AAAAAH1fVfg=")</f>
        <v>#REF!</v>
      </c>
      <c r="IP522" t="e">
        <f>AND(#REF!,"AAAAAH1fVfk=")</f>
        <v>#REF!</v>
      </c>
      <c r="IQ522" t="e">
        <f>AND(#REF!,"AAAAAH1fVfo=")</f>
        <v>#REF!</v>
      </c>
      <c r="IR522" t="e">
        <f>AND(#REF!,"AAAAAH1fVfs=")</f>
        <v>#REF!</v>
      </c>
      <c r="IS522" t="e">
        <f>AND(#REF!,"AAAAAH1fVfw=")</f>
        <v>#REF!</v>
      </c>
      <c r="IT522" t="e">
        <f>AND(#REF!,"AAAAAH1fVf0=")</f>
        <v>#REF!</v>
      </c>
      <c r="IU522" t="e">
        <f>AND(#REF!,"AAAAAH1fVf4=")</f>
        <v>#REF!</v>
      </c>
      <c r="IV522" t="e">
        <f>IF(#REF!,"AAAAAH1fVf8=",0)</f>
        <v>#REF!</v>
      </c>
    </row>
    <row r="523" spans="1:256" x14ac:dyDescent="0.25">
      <c r="A523" t="e">
        <f>AND(#REF!,"AAAAADljLQA=")</f>
        <v>#REF!</v>
      </c>
      <c r="B523" t="e">
        <f>AND(#REF!,"AAAAADljLQE=")</f>
        <v>#REF!</v>
      </c>
      <c r="C523" t="e">
        <f>AND(#REF!,"AAAAADljLQI=")</f>
        <v>#REF!</v>
      </c>
      <c r="D523" t="e">
        <f>AND(#REF!,"AAAAADljLQM=")</f>
        <v>#REF!</v>
      </c>
      <c r="E523" t="e">
        <f>AND(#REF!,"AAAAADljLQQ=")</f>
        <v>#REF!</v>
      </c>
      <c r="F523" t="e">
        <f>AND(#REF!,"AAAAADljLQU=")</f>
        <v>#REF!</v>
      </c>
      <c r="G523" t="e">
        <f>AND(#REF!,"AAAAADljLQY=")</f>
        <v>#REF!</v>
      </c>
      <c r="H523" t="e">
        <f>AND(#REF!,"AAAAADljLQc=")</f>
        <v>#REF!</v>
      </c>
      <c r="I523" t="e">
        <f>AND(#REF!,"AAAAADljLQg=")</f>
        <v>#REF!</v>
      </c>
      <c r="J523" t="e">
        <f>AND(#REF!,"AAAAADljLQk=")</f>
        <v>#REF!</v>
      </c>
      <c r="K523" t="e">
        <f>IF(#REF!,"AAAAADljLQo=",0)</f>
        <v>#REF!</v>
      </c>
      <c r="L523" t="e">
        <f>AND(#REF!,"AAAAADljLQs=")</f>
        <v>#REF!</v>
      </c>
      <c r="M523" t="e">
        <f>AND(#REF!,"AAAAADljLQw=")</f>
        <v>#REF!</v>
      </c>
      <c r="N523" t="e">
        <f>AND(#REF!,"AAAAADljLQ0=")</f>
        <v>#REF!</v>
      </c>
      <c r="O523" t="e">
        <f>AND(#REF!,"AAAAADljLQ4=")</f>
        <v>#REF!</v>
      </c>
      <c r="P523" t="e">
        <f>AND(#REF!,"AAAAADljLQ8=")</f>
        <v>#REF!</v>
      </c>
      <c r="Q523" t="e">
        <f>AND(#REF!,"AAAAADljLRA=")</f>
        <v>#REF!</v>
      </c>
      <c r="R523" t="e">
        <f>AND(#REF!,"AAAAADljLRE=")</f>
        <v>#REF!</v>
      </c>
      <c r="S523" t="e">
        <f>AND(#REF!,"AAAAADljLRI=")</f>
        <v>#REF!</v>
      </c>
      <c r="T523" t="e">
        <f>AND(#REF!,"AAAAADljLRM=")</f>
        <v>#REF!</v>
      </c>
      <c r="U523" t="e">
        <f>AND(#REF!,"AAAAADljLRQ=")</f>
        <v>#REF!</v>
      </c>
      <c r="V523" t="e">
        <f>IF(#REF!,"AAAAADljLRU=",0)</f>
        <v>#REF!</v>
      </c>
      <c r="W523" t="e">
        <f>AND(#REF!,"AAAAADljLRY=")</f>
        <v>#REF!</v>
      </c>
      <c r="X523" t="e">
        <f>AND(#REF!,"AAAAADljLRc=")</f>
        <v>#REF!</v>
      </c>
      <c r="Y523" t="e">
        <f>AND(#REF!,"AAAAADljLRg=")</f>
        <v>#REF!</v>
      </c>
      <c r="Z523" t="e">
        <f>AND(#REF!,"AAAAADljLRk=")</f>
        <v>#REF!</v>
      </c>
      <c r="AA523" t="e">
        <f>AND(#REF!,"AAAAADljLRo=")</f>
        <v>#REF!</v>
      </c>
      <c r="AB523" t="e">
        <f>AND(#REF!,"AAAAADljLRs=")</f>
        <v>#REF!</v>
      </c>
      <c r="AC523" t="e">
        <f>AND(#REF!,"AAAAADljLRw=")</f>
        <v>#REF!</v>
      </c>
      <c r="AD523" t="e">
        <f>AND(#REF!,"AAAAADljLR0=")</f>
        <v>#REF!</v>
      </c>
      <c r="AE523" t="e">
        <f>AND(#REF!,"AAAAADljLR4=")</f>
        <v>#REF!</v>
      </c>
      <c r="AF523" t="e">
        <f>AND(#REF!,"AAAAADljLR8=")</f>
        <v>#REF!</v>
      </c>
      <c r="AG523" t="e">
        <f>IF(#REF!,"AAAAADljLSA=",0)</f>
        <v>#REF!</v>
      </c>
      <c r="AH523" t="e">
        <f>AND(#REF!,"AAAAADljLSE=")</f>
        <v>#REF!</v>
      </c>
      <c r="AI523" t="e">
        <f>AND(#REF!,"AAAAADljLSI=")</f>
        <v>#REF!</v>
      </c>
      <c r="AJ523" t="e">
        <f>AND(#REF!,"AAAAADljLSM=")</f>
        <v>#REF!</v>
      </c>
      <c r="AK523" t="e">
        <f>AND(#REF!,"AAAAADljLSQ=")</f>
        <v>#REF!</v>
      </c>
      <c r="AL523" t="e">
        <f>AND(#REF!,"AAAAADljLSU=")</f>
        <v>#REF!</v>
      </c>
      <c r="AM523" t="e">
        <f>AND(#REF!,"AAAAADljLSY=")</f>
        <v>#REF!</v>
      </c>
      <c r="AN523" t="e">
        <f>AND(#REF!,"AAAAADljLSc=")</f>
        <v>#REF!</v>
      </c>
      <c r="AO523" t="e">
        <f>AND(#REF!,"AAAAADljLSg=")</f>
        <v>#REF!</v>
      </c>
      <c r="AP523" t="e">
        <f>AND(#REF!,"AAAAADljLSk=")</f>
        <v>#REF!</v>
      </c>
      <c r="AQ523" t="e">
        <f>AND(#REF!,"AAAAADljLSo=")</f>
        <v>#REF!</v>
      </c>
      <c r="AR523" t="e">
        <f>IF(#REF!,"AAAAADljLSs=",0)</f>
        <v>#REF!</v>
      </c>
      <c r="AS523" t="e">
        <f>AND(#REF!,"AAAAADljLSw=")</f>
        <v>#REF!</v>
      </c>
      <c r="AT523" t="e">
        <f>AND(#REF!,"AAAAADljLS0=")</f>
        <v>#REF!</v>
      </c>
      <c r="AU523" t="e">
        <f>AND(#REF!,"AAAAADljLS4=")</f>
        <v>#REF!</v>
      </c>
      <c r="AV523" t="e">
        <f>AND(#REF!,"AAAAADljLS8=")</f>
        <v>#REF!</v>
      </c>
      <c r="AW523" t="e">
        <f>AND(#REF!,"AAAAADljLTA=")</f>
        <v>#REF!</v>
      </c>
      <c r="AX523" t="e">
        <f>AND(#REF!,"AAAAADljLTE=")</f>
        <v>#REF!</v>
      </c>
      <c r="AY523" t="e">
        <f>AND(#REF!,"AAAAADljLTI=")</f>
        <v>#REF!</v>
      </c>
      <c r="AZ523" t="e">
        <f>AND(#REF!,"AAAAADljLTM=")</f>
        <v>#REF!</v>
      </c>
      <c r="BA523" t="e">
        <f>AND(#REF!,"AAAAADljLTQ=")</f>
        <v>#REF!</v>
      </c>
      <c r="BB523" t="e">
        <f>AND(#REF!,"AAAAADljLTU=")</f>
        <v>#REF!</v>
      </c>
      <c r="BC523" t="e">
        <f>IF(#REF!,"AAAAADljLTY=",0)</f>
        <v>#REF!</v>
      </c>
      <c r="BD523" t="e">
        <f>AND(#REF!,"AAAAADljLTc=")</f>
        <v>#REF!</v>
      </c>
      <c r="BE523" t="e">
        <f>AND(#REF!,"AAAAADljLTg=")</f>
        <v>#REF!</v>
      </c>
      <c r="BF523" t="e">
        <f>AND(#REF!,"AAAAADljLTk=")</f>
        <v>#REF!</v>
      </c>
      <c r="BG523" t="e">
        <f>AND(#REF!,"AAAAADljLTo=")</f>
        <v>#REF!</v>
      </c>
      <c r="BH523" t="e">
        <f>AND(#REF!,"AAAAADljLTs=")</f>
        <v>#REF!</v>
      </c>
      <c r="BI523" t="e">
        <f>AND(#REF!,"AAAAADljLTw=")</f>
        <v>#REF!</v>
      </c>
      <c r="BJ523" t="e">
        <f>AND(#REF!,"AAAAADljLT0=")</f>
        <v>#REF!</v>
      </c>
      <c r="BK523" t="e">
        <f>AND(#REF!,"AAAAADljLT4=")</f>
        <v>#REF!</v>
      </c>
      <c r="BL523" t="e">
        <f>AND(#REF!,"AAAAADljLT8=")</f>
        <v>#REF!</v>
      </c>
      <c r="BM523" t="e">
        <f>AND(#REF!,"AAAAADljLUA=")</f>
        <v>#REF!</v>
      </c>
      <c r="BN523" t="e">
        <f>IF(#REF!,"AAAAADljLUE=",0)</f>
        <v>#REF!</v>
      </c>
      <c r="BO523" t="e">
        <f>AND(#REF!,"AAAAADljLUI=")</f>
        <v>#REF!</v>
      </c>
      <c r="BP523" t="e">
        <f>AND(#REF!,"AAAAADljLUM=")</f>
        <v>#REF!</v>
      </c>
      <c r="BQ523" t="e">
        <f>AND(#REF!,"AAAAADljLUQ=")</f>
        <v>#REF!</v>
      </c>
      <c r="BR523" t="e">
        <f>AND(#REF!,"AAAAADljLUU=")</f>
        <v>#REF!</v>
      </c>
      <c r="BS523" t="e">
        <f>AND(#REF!,"AAAAADljLUY=")</f>
        <v>#REF!</v>
      </c>
      <c r="BT523" t="e">
        <f>AND(#REF!,"AAAAADljLUc=")</f>
        <v>#REF!</v>
      </c>
      <c r="BU523" t="e">
        <f>AND(#REF!,"AAAAADljLUg=")</f>
        <v>#REF!</v>
      </c>
      <c r="BV523" t="e">
        <f>AND(#REF!,"AAAAADljLUk=")</f>
        <v>#REF!</v>
      </c>
      <c r="BW523" t="e">
        <f>AND(#REF!,"AAAAADljLUo=")</f>
        <v>#REF!</v>
      </c>
      <c r="BX523" t="e">
        <f>AND(#REF!,"AAAAADljLUs=")</f>
        <v>#REF!</v>
      </c>
      <c r="BY523" t="e">
        <f>IF(#REF!,"AAAAADljLUw=",0)</f>
        <v>#REF!</v>
      </c>
      <c r="BZ523" t="e">
        <f>AND(#REF!,"AAAAADljLU0=")</f>
        <v>#REF!</v>
      </c>
      <c r="CA523" t="e">
        <f>AND(#REF!,"AAAAADljLU4=")</f>
        <v>#REF!</v>
      </c>
      <c r="CB523" t="e">
        <f>AND(#REF!,"AAAAADljLU8=")</f>
        <v>#REF!</v>
      </c>
      <c r="CC523" t="e">
        <f>AND(#REF!,"AAAAADljLVA=")</f>
        <v>#REF!</v>
      </c>
      <c r="CD523" t="e">
        <f>AND(#REF!,"AAAAADljLVE=")</f>
        <v>#REF!</v>
      </c>
      <c r="CE523" t="e">
        <f>AND(#REF!,"AAAAADljLVI=")</f>
        <v>#REF!</v>
      </c>
      <c r="CF523" t="e">
        <f>AND(#REF!,"AAAAADljLVM=")</f>
        <v>#REF!</v>
      </c>
      <c r="CG523" t="e">
        <f>AND(#REF!,"AAAAADljLVQ=")</f>
        <v>#REF!</v>
      </c>
      <c r="CH523" t="e">
        <f>AND(#REF!,"AAAAADljLVU=")</f>
        <v>#REF!</v>
      </c>
      <c r="CI523" t="e">
        <f>AND(#REF!,"AAAAADljLVY=")</f>
        <v>#REF!</v>
      </c>
      <c r="CJ523" t="e">
        <f>IF(#REF!,"AAAAADljLVc=",0)</f>
        <v>#REF!</v>
      </c>
      <c r="CK523" t="e">
        <f>AND(#REF!,"AAAAADljLVg=")</f>
        <v>#REF!</v>
      </c>
      <c r="CL523" t="e">
        <f>AND(#REF!,"AAAAADljLVk=")</f>
        <v>#REF!</v>
      </c>
      <c r="CM523" t="e">
        <f>AND(#REF!,"AAAAADljLVo=")</f>
        <v>#REF!</v>
      </c>
      <c r="CN523" t="e">
        <f>AND(#REF!,"AAAAADljLVs=")</f>
        <v>#REF!</v>
      </c>
      <c r="CO523" t="e">
        <f>AND(#REF!,"AAAAADljLVw=")</f>
        <v>#REF!</v>
      </c>
      <c r="CP523" t="e">
        <f>AND(#REF!,"AAAAADljLV0=")</f>
        <v>#REF!</v>
      </c>
      <c r="CQ523" t="e">
        <f>AND(#REF!,"AAAAADljLV4=")</f>
        <v>#REF!</v>
      </c>
      <c r="CR523" t="e">
        <f>AND(#REF!,"AAAAADljLV8=")</f>
        <v>#REF!</v>
      </c>
      <c r="CS523" t="e">
        <f>AND(#REF!,"AAAAADljLWA=")</f>
        <v>#REF!</v>
      </c>
      <c r="CT523" t="e">
        <f>AND(#REF!,"AAAAADljLWE=")</f>
        <v>#REF!</v>
      </c>
      <c r="CU523" t="e">
        <f>IF(#REF!,"AAAAADljLWI=",0)</f>
        <v>#REF!</v>
      </c>
      <c r="CV523" t="e">
        <f>AND(#REF!,"AAAAADljLWM=")</f>
        <v>#REF!</v>
      </c>
      <c r="CW523" t="e">
        <f>AND(#REF!,"AAAAADljLWQ=")</f>
        <v>#REF!</v>
      </c>
      <c r="CX523" t="e">
        <f>AND(#REF!,"AAAAADljLWU=")</f>
        <v>#REF!</v>
      </c>
      <c r="CY523" t="e">
        <f>AND(#REF!,"AAAAADljLWY=")</f>
        <v>#REF!</v>
      </c>
      <c r="CZ523" t="e">
        <f>AND(#REF!,"AAAAADljLWc=")</f>
        <v>#REF!</v>
      </c>
      <c r="DA523" t="e">
        <f>AND(#REF!,"AAAAADljLWg=")</f>
        <v>#REF!</v>
      </c>
      <c r="DB523" t="e">
        <f>AND(#REF!,"AAAAADljLWk=")</f>
        <v>#REF!</v>
      </c>
      <c r="DC523" t="e">
        <f>AND(#REF!,"AAAAADljLWo=")</f>
        <v>#REF!</v>
      </c>
      <c r="DD523" t="e">
        <f>AND(#REF!,"AAAAADljLWs=")</f>
        <v>#REF!</v>
      </c>
      <c r="DE523" t="e">
        <f>AND(#REF!,"AAAAADljLWw=")</f>
        <v>#REF!</v>
      </c>
      <c r="DF523" t="e">
        <f>IF(#REF!,"AAAAADljLW0=",0)</f>
        <v>#REF!</v>
      </c>
      <c r="DG523" t="e">
        <f>AND(#REF!,"AAAAADljLW4=")</f>
        <v>#REF!</v>
      </c>
      <c r="DH523" t="e">
        <f>AND(#REF!,"AAAAADljLW8=")</f>
        <v>#REF!</v>
      </c>
      <c r="DI523" t="e">
        <f>AND(#REF!,"AAAAADljLXA=")</f>
        <v>#REF!</v>
      </c>
      <c r="DJ523" t="e">
        <f>AND(#REF!,"AAAAADljLXE=")</f>
        <v>#REF!</v>
      </c>
      <c r="DK523" t="e">
        <f>AND(#REF!,"AAAAADljLXI=")</f>
        <v>#REF!</v>
      </c>
      <c r="DL523" t="e">
        <f>AND(#REF!,"AAAAADljLXM=")</f>
        <v>#REF!</v>
      </c>
      <c r="DM523" t="e">
        <f>AND(#REF!,"AAAAADljLXQ=")</f>
        <v>#REF!</v>
      </c>
      <c r="DN523" t="e">
        <f>AND(#REF!,"AAAAADljLXU=")</f>
        <v>#REF!</v>
      </c>
      <c r="DO523" t="e">
        <f>AND(#REF!,"AAAAADljLXY=")</f>
        <v>#REF!</v>
      </c>
      <c r="DP523" t="e">
        <f>AND(#REF!,"AAAAADljLXc=")</f>
        <v>#REF!</v>
      </c>
      <c r="DQ523" t="e">
        <f>IF(#REF!,"AAAAADljLXg=",0)</f>
        <v>#REF!</v>
      </c>
      <c r="DR523" t="e">
        <f>AND(#REF!,"AAAAADljLXk=")</f>
        <v>#REF!</v>
      </c>
      <c r="DS523" t="e">
        <f>AND(#REF!,"AAAAADljLXo=")</f>
        <v>#REF!</v>
      </c>
      <c r="DT523" t="e">
        <f>AND(#REF!,"AAAAADljLXs=")</f>
        <v>#REF!</v>
      </c>
      <c r="DU523" t="e">
        <f>AND(#REF!,"AAAAADljLXw=")</f>
        <v>#REF!</v>
      </c>
      <c r="DV523" t="e">
        <f>AND(#REF!,"AAAAADljLX0=")</f>
        <v>#REF!</v>
      </c>
      <c r="DW523" t="e">
        <f>AND(#REF!,"AAAAADljLX4=")</f>
        <v>#REF!</v>
      </c>
      <c r="DX523" t="e">
        <f>AND(#REF!,"AAAAADljLX8=")</f>
        <v>#REF!</v>
      </c>
      <c r="DY523" t="e">
        <f>AND(#REF!,"AAAAADljLYA=")</f>
        <v>#REF!</v>
      </c>
      <c r="DZ523" t="e">
        <f>AND(#REF!,"AAAAADljLYE=")</f>
        <v>#REF!</v>
      </c>
      <c r="EA523" t="e">
        <f>AND(#REF!,"AAAAADljLYI=")</f>
        <v>#REF!</v>
      </c>
      <c r="EB523" t="e">
        <f>IF(#REF!,"AAAAADljLYM=",0)</f>
        <v>#REF!</v>
      </c>
      <c r="EC523" t="e">
        <f>AND(#REF!,"AAAAADljLYQ=")</f>
        <v>#REF!</v>
      </c>
      <c r="ED523" t="e">
        <f>AND(#REF!,"AAAAADljLYU=")</f>
        <v>#REF!</v>
      </c>
      <c r="EE523" t="e">
        <f>AND(#REF!,"AAAAADljLYY=")</f>
        <v>#REF!</v>
      </c>
      <c r="EF523" t="e">
        <f>AND(#REF!,"AAAAADljLYc=")</f>
        <v>#REF!</v>
      </c>
      <c r="EG523" t="e">
        <f>AND(#REF!,"AAAAADljLYg=")</f>
        <v>#REF!</v>
      </c>
      <c r="EH523" t="e">
        <f>AND(#REF!,"AAAAADljLYk=")</f>
        <v>#REF!</v>
      </c>
      <c r="EI523" t="e">
        <f>AND(#REF!,"AAAAADljLYo=")</f>
        <v>#REF!</v>
      </c>
      <c r="EJ523" t="e">
        <f>AND(#REF!,"AAAAADljLYs=")</f>
        <v>#REF!</v>
      </c>
      <c r="EK523" t="e">
        <f>AND(#REF!,"AAAAADljLYw=")</f>
        <v>#REF!</v>
      </c>
      <c r="EL523" t="e">
        <f>AND(#REF!,"AAAAADljLY0=")</f>
        <v>#REF!</v>
      </c>
      <c r="EM523" t="e">
        <f>IF(#REF!,"AAAAADljLY4=",0)</f>
        <v>#REF!</v>
      </c>
      <c r="EN523" t="e">
        <f>AND(#REF!,"AAAAADljLY8=")</f>
        <v>#REF!</v>
      </c>
      <c r="EO523" t="e">
        <f>AND(#REF!,"AAAAADljLZA=")</f>
        <v>#REF!</v>
      </c>
      <c r="EP523" t="e">
        <f>AND(#REF!,"AAAAADljLZE=")</f>
        <v>#REF!</v>
      </c>
      <c r="EQ523" t="e">
        <f>AND(#REF!,"AAAAADljLZI=")</f>
        <v>#REF!</v>
      </c>
      <c r="ER523" t="e">
        <f>AND(#REF!,"AAAAADljLZM=")</f>
        <v>#REF!</v>
      </c>
      <c r="ES523" t="e">
        <f>AND(#REF!,"AAAAADljLZQ=")</f>
        <v>#REF!</v>
      </c>
      <c r="ET523" t="e">
        <f>AND(#REF!,"AAAAADljLZU=")</f>
        <v>#REF!</v>
      </c>
      <c r="EU523" t="e">
        <f>AND(#REF!,"AAAAADljLZY=")</f>
        <v>#REF!</v>
      </c>
      <c r="EV523" t="e">
        <f>AND(#REF!,"AAAAADljLZc=")</f>
        <v>#REF!</v>
      </c>
      <c r="EW523" t="e">
        <f>AND(#REF!,"AAAAADljLZg=")</f>
        <v>#REF!</v>
      </c>
      <c r="EX523" t="e">
        <f>IF(#REF!,"AAAAADljLZk=",0)</f>
        <v>#REF!</v>
      </c>
      <c r="EY523" t="e">
        <f>AND(#REF!,"AAAAADljLZo=")</f>
        <v>#REF!</v>
      </c>
      <c r="EZ523" t="e">
        <f>AND(#REF!,"AAAAADljLZs=")</f>
        <v>#REF!</v>
      </c>
      <c r="FA523" t="e">
        <f>AND(#REF!,"AAAAADljLZw=")</f>
        <v>#REF!</v>
      </c>
      <c r="FB523" t="e">
        <f>AND(#REF!,"AAAAADljLZ0=")</f>
        <v>#REF!</v>
      </c>
      <c r="FC523" t="e">
        <f>AND(#REF!,"AAAAADljLZ4=")</f>
        <v>#REF!</v>
      </c>
      <c r="FD523" t="e">
        <f>AND(#REF!,"AAAAADljLZ8=")</f>
        <v>#REF!</v>
      </c>
      <c r="FE523" t="e">
        <f>AND(#REF!,"AAAAADljLaA=")</f>
        <v>#REF!</v>
      </c>
      <c r="FF523" t="e">
        <f>AND(#REF!,"AAAAADljLaE=")</f>
        <v>#REF!</v>
      </c>
      <c r="FG523" t="e">
        <f>AND(#REF!,"AAAAADljLaI=")</f>
        <v>#REF!</v>
      </c>
      <c r="FH523" t="e">
        <f>AND(#REF!,"AAAAADljLaM=")</f>
        <v>#REF!</v>
      </c>
      <c r="FI523" t="e">
        <f>IF(#REF!,"AAAAADljLaQ=",0)</f>
        <v>#REF!</v>
      </c>
      <c r="FJ523" t="e">
        <f>AND(#REF!,"AAAAADljLaU=")</f>
        <v>#REF!</v>
      </c>
      <c r="FK523" t="e">
        <f>AND(#REF!,"AAAAADljLaY=")</f>
        <v>#REF!</v>
      </c>
      <c r="FL523" t="e">
        <f>AND(#REF!,"AAAAADljLac=")</f>
        <v>#REF!</v>
      </c>
      <c r="FM523" t="e">
        <f>AND(#REF!,"AAAAADljLag=")</f>
        <v>#REF!</v>
      </c>
      <c r="FN523" t="e">
        <f>AND(#REF!,"AAAAADljLak=")</f>
        <v>#REF!</v>
      </c>
      <c r="FO523" t="e">
        <f>AND(#REF!,"AAAAADljLao=")</f>
        <v>#REF!</v>
      </c>
      <c r="FP523" t="e">
        <f>AND(#REF!,"AAAAADljLas=")</f>
        <v>#REF!</v>
      </c>
      <c r="FQ523" t="e">
        <f>AND(#REF!,"AAAAADljLaw=")</f>
        <v>#REF!</v>
      </c>
      <c r="FR523" t="e">
        <f>AND(#REF!,"AAAAADljLa0=")</f>
        <v>#REF!</v>
      </c>
      <c r="FS523" t="e">
        <f>AND(#REF!,"AAAAADljLa4=")</f>
        <v>#REF!</v>
      </c>
      <c r="FT523" t="e">
        <f>IF(#REF!,"AAAAADljLa8=",0)</f>
        <v>#REF!</v>
      </c>
      <c r="FU523" t="e">
        <f>AND(#REF!,"AAAAADljLbA=")</f>
        <v>#REF!</v>
      </c>
      <c r="FV523" t="e">
        <f>AND(#REF!,"AAAAADljLbE=")</f>
        <v>#REF!</v>
      </c>
      <c r="FW523" t="e">
        <f>AND(#REF!,"AAAAADljLbI=")</f>
        <v>#REF!</v>
      </c>
      <c r="FX523" t="e">
        <f>AND(#REF!,"AAAAADljLbM=")</f>
        <v>#REF!</v>
      </c>
      <c r="FY523" t="e">
        <f>AND(#REF!,"AAAAADljLbQ=")</f>
        <v>#REF!</v>
      </c>
      <c r="FZ523" t="e">
        <f>AND(#REF!,"AAAAADljLbU=")</f>
        <v>#REF!</v>
      </c>
      <c r="GA523" t="e">
        <f>AND(#REF!,"AAAAADljLbY=")</f>
        <v>#REF!</v>
      </c>
      <c r="GB523" t="e">
        <f>AND(#REF!,"AAAAADljLbc=")</f>
        <v>#REF!</v>
      </c>
      <c r="GC523" t="e">
        <f>AND(#REF!,"AAAAADljLbg=")</f>
        <v>#REF!</v>
      </c>
      <c r="GD523" t="e">
        <f>AND(#REF!,"AAAAADljLbk=")</f>
        <v>#REF!</v>
      </c>
      <c r="GE523" t="e">
        <f>IF(#REF!,"AAAAADljLbo=",0)</f>
        <v>#REF!</v>
      </c>
      <c r="GF523" t="e">
        <f>AND(#REF!,"AAAAADljLbs=")</f>
        <v>#REF!</v>
      </c>
      <c r="GG523" t="e">
        <f>AND(#REF!,"AAAAADljLbw=")</f>
        <v>#REF!</v>
      </c>
      <c r="GH523" t="e">
        <f>AND(#REF!,"AAAAADljLb0=")</f>
        <v>#REF!</v>
      </c>
      <c r="GI523" t="e">
        <f>AND(#REF!,"AAAAADljLb4=")</f>
        <v>#REF!</v>
      </c>
      <c r="GJ523" t="e">
        <f>AND(#REF!,"AAAAADljLb8=")</f>
        <v>#REF!</v>
      </c>
      <c r="GK523" t="e">
        <f>AND(#REF!,"AAAAADljLcA=")</f>
        <v>#REF!</v>
      </c>
      <c r="GL523" t="e">
        <f>AND(#REF!,"AAAAADljLcE=")</f>
        <v>#REF!</v>
      </c>
      <c r="GM523" t="e">
        <f>AND(#REF!,"AAAAADljLcI=")</f>
        <v>#REF!</v>
      </c>
      <c r="GN523" t="e">
        <f>AND(#REF!,"AAAAADljLcM=")</f>
        <v>#REF!</v>
      </c>
      <c r="GO523" t="e">
        <f>AND(#REF!,"AAAAADljLcQ=")</f>
        <v>#REF!</v>
      </c>
      <c r="GP523" t="e">
        <f>IF(#REF!,"AAAAADljLcU=",0)</f>
        <v>#REF!</v>
      </c>
      <c r="GQ523" t="e">
        <f>AND(#REF!,"AAAAADljLcY=")</f>
        <v>#REF!</v>
      </c>
      <c r="GR523" t="e">
        <f>AND(#REF!,"AAAAADljLcc=")</f>
        <v>#REF!</v>
      </c>
      <c r="GS523" t="e">
        <f>AND(#REF!,"AAAAADljLcg=")</f>
        <v>#REF!</v>
      </c>
      <c r="GT523" t="e">
        <f>AND(#REF!,"AAAAADljLck=")</f>
        <v>#REF!</v>
      </c>
      <c r="GU523" t="e">
        <f>AND(#REF!,"AAAAADljLco=")</f>
        <v>#REF!</v>
      </c>
      <c r="GV523" t="e">
        <f>AND(#REF!,"AAAAADljLcs=")</f>
        <v>#REF!</v>
      </c>
      <c r="GW523" t="e">
        <f>AND(#REF!,"AAAAADljLcw=")</f>
        <v>#REF!</v>
      </c>
      <c r="GX523" t="e">
        <f>AND(#REF!,"AAAAADljLc0=")</f>
        <v>#REF!</v>
      </c>
      <c r="GY523" t="e">
        <f>AND(#REF!,"AAAAADljLc4=")</f>
        <v>#REF!</v>
      </c>
      <c r="GZ523" t="e">
        <f>AND(#REF!,"AAAAADljLc8=")</f>
        <v>#REF!</v>
      </c>
      <c r="HA523" t="e">
        <f>IF(#REF!,"AAAAADljLdA=",0)</f>
        <v>#REF!</v>
      </c>
      <c r="HB523" t="e">
        <f>AND(#REF!,"AAAAADljLdE=")</f>
        <v>#REF!</v>
      </c>
      <c r="HC523" t="e">
        <f>AND(#REF!,"AAAAADljLdI=")</f>
        <v>#REF!</v>
      </c>
      <c r="HD523" t="e">
        <f>AND(#REF!,"AAAAADljLdM=")</f>
        <v>#REF!</v>
      </c>
      <c r="HE523" t="e">
        <f>AND(#REF!,"AAAAADljLdQ=")</f>
        <v>#REF!</v>
      </c>
      <c r="HF523" t="e">
        <f>AND(#REF!,"AAAAADljLdU=")</f>
        <v>#REF!</v>
      </c>
      <c r="HG523" t="e">
        <f>AND(#REF!,"AAAAADljLdY=")</f>
        <v>#REF!</v>
      </c>
      <c r="HH523" t="e">
        <f>AND(#REF!,"AAAAADljLdc=")</f>
        <v>#REF!</v>
      </c>
      <c r="HI523" t="e">
        <f>AND(#REF!,"AAAAADljLdg=")</f>
        <v>#REF!</v>
      </c>
      <c r="HJ523" t="e">
        <f>AND(#REF!,"AAAAADljLdk=")</f>
        <v>#REF!</v>
      </c>
      <c r="HK523" t="e">
        <f>AND(#REF!,"AAAAADljLdo=")</f>
        <v>#REF!</v>
      </c>
      <c r="HL523" t="e">
        <f>IF(#REF!,"AAAAADljLds=",0)</f>
        <v>#REF!</v>
      </c>
      <c r="HM523" t="e">
        <f>AND(#REF!,"AAAAADljLdw=")</f>
        <v>#REF!</v>
      </c>
      <c r="HN523" t="e">
        <f>AND(#REF!,"AAAAADljLd0=")</f>
        <v>#REF!</v>
      </c>
      <c r="HO523" t="e">
        <f>AND(#REF!,"AAAAADljLd4=")</f>
        <v>#REF!</v>
      </c>
      <c r="HP523" t="e">
        <f>AND(#REF!,"AAAAADljLd8=")</f>
        <v>#REF!</v>
      </c>
      <c r="HQ523" t="e">
        <f>AND(#REF!,"AAAAADljLeA=")</f>
        <v>#REF!</v>
      </c>
      <c r="HR523" t="e">
        <f>AND(#REF!,"AAAAADljLeE=")</f>
        <v>#REF!</v>
      </c>
      <c r="HS523" t="e">
        <f>AND(#REF!,"AAAAADljLeI=")</f>
        <v>#REF!</v>
      </c>
      <c r="HT523" t="e">
        <f>AND(#REF!,"AAAAADljLeM=")</f>
        <v>#REF!</v>
      </c>
      <c r="HU523" t="e">
        <f>AND(#REF!,"AAAAADljLeQ=")</f>
        <v>#REF!</v>
      </c>
      <c r="HV523" t="e">
        <f>AND(#REF!,"AAAAADljLeU=")</f>
        <v>#REF!</v>
      </c>
      <c r="HW523" t="e">
        <f>IF(#REF!,"AAAAADljLeY=",0)</f>
        <v>#REF!</v>
      </c>
      <c r="HX523" t="e">
        <f>AND(#REF!,"AAAAADljLec=")</f>
        <v>#REF!</v>
      </c>
      <c r="HY523" t="e">
        <f>AND(#REF!,"AAAAADljLeg=")</f>
        <v>#REF!</v>
      </c>
      <c r="HZ523" t="e">
        <f>AND(#REF!,"AAAAADljLek=")</f>
        <v>#REF!</v>
      </c>
      <c r="IA523" t="e">
        <f>AND(#REF!,"AAAAADljLeo=")</f>
        <v>#REF!</v>
      </c>
      <c r="IB523" t="e">
        <f>AND(#REF!,"AAAAADljLes=")</f>
        <v>#REF!</v>
      </c>
      <c r="IC523" t="e">
        <f>AND(#REF!,"AAAAADljLew=")</f>
        <v>#REF!</v>
      </c>
      <c r="ID523" t="e">
        <f>AND(#REF!,"AAAAADljLe0=")</f>
        <v>#REF!</v>
      </c>
      <c r="IE523" t="e">
        <f>AND(#REF!,"AAAAADljLe4=")</f>
        <v>#REF!</v>
      </c>
      <c r="IF523" t="e">
        <f>AND(#REF!,"AAAAADljLe8=")</f>
        <v>#REF!</v>
      </c>
      <c r="IG523" t="e">
        <f>AND(#REF!,"AAAAADljLfA=")</f>
        <v>#REF!</v>
      </c>
      <c r="IH523" t="e">
        <f>IF(#REF!,"AAAAADljLfE=",0)</f>
        <v>#REF!</v>
      </c>
      <c r="II523" t="e">
        <f>AND(#REF!,"AAAAADljLfI=")</f>
        <v>#REF!</v>
      </c>
      <c r="IJ523" t="e">
        <f>AND(#REF!,"AAAAADljLfM=")</f>
        <v>#REF!</v>
      </c>
      <c r="IK523" t="e">
        <f>AND(#REF!,"AAAAADljLfQ=")</f>
        <v>#REF!</v>
      </c>
      <c r="IL523" t="e">
        <f>AND(#REF!,"AAAAADljLfU=")</f>
        <v>#REF!</v>
      </c>
      <c r="IM523" t="e">
        <f>AND(#REF!,"AAAAADljLfY=")</f>
        <v>#REF!</v>
      </c>
      <c r="IN523" t="e">
        <f>AND(#REF!,"AAAAADljLfc=")</f>
        <v>#REF!</v>
      </c>
      <c r="IO523" t="e">
        <f>AND(#REF!,"AAAAADljLfg=")</f>
        <v>#REF!</v>
      </c>
      <c r="IP523" t="e">
        <f>AND(#REF!,"AAAAADljLfk=")</f>
        <v>#REF!</v>
      </c>
      <c r="IQ523" t="e">
        <f>AND(#REF!,"AAAAADljLfo=")</f>
        <v>#REF!</v>
      </c>
      <c r="IR523" t="e">
        <f>AND(#REF!,"AAAAADljLfs=")</f>
        <v>#REF!</v>
      </c>
      <c r="IS523" t="e">
        <f>IF(#REF!,"AAAAADljLfw=",0)</f>
        <v>#REF!</v>
      </c>
      <c r="IT523" t="e">
        <f>AND(#REF!,"AAAAADljLf0=")</f>
        <v>#REF!</v>
      </c>
      <c r="IU523" t="e">
        <f>AND(#REF!,"AAAAADljLf4=")</f>
        <v>#REF!</v>
      </c>
      <c r="IV523" t="e">
        <f>AND(#REF!,"AAAAADljLf8=")</f>
        <v>#REF!</v>
      </c>
    </row>
    <row r="524" spans="1:256" x14ac:dyDescent="0.25">
      <c r="A524" t="e">
        <f>AND(#REF!,"AAAAADmv7QA=")</f>
        <v>#REF!</v>
      </c>
      <c r="B524" t="e">
        <f>AND(#REF!,"AAAAADmv7QE=")</f>
        <v>#REF!</v>
      </c>
      <c r="C524" t="e">
        <f>AND(#REF!,"AAAAADmv7QI=")</f>
        <v>#REF!</v>
      </c>
      <c r="D524" t="e">
        <f>AND(#REF!,"AAAAADmv7QM=")</f>
        <v>#REF!</v>
      </c>
      <c r="E524" t="e">
        <f>AND(#REF!,"AAAAADmv7QQ=")</f>
        <v>#REF!</v>
      </c>
      <c r="F524" t="e">
        <f>AND(#REF!,"AAAAADmv7QU=")</f>
        <v>#REF!</v>
      </c>
      <c r="G524" t="e">
        <f>AND(#REF!,"AAAAADmv7QY=")</f>
        <v>#REF!</v>
      </c>
      <c r="H524" t="e">
        <f>IF(#REF!,"AAAAADmv7Qc=",0)</f>
        <v>#REF!</v>
      </c>
      <c r="I524" t="e">
        <f>AND(#REF!,"AAAAADmv7Qg=")</f>
        <v>#REF!</v>
      </c>
      <c r="J524" t="e">
        <f>AND(#REF!,"AAAAADmv7Qk=")</f>
        <v>#REF!</v>
      </c>
      <c r="K524" t="e">
        <f>AND(#REF!,"AAAAADmv7Qo=")</f>
        <v>#REF!</v>
      </c>
      <c r="L524" t="e">
        <f>AND(#REF!,"AAAAADmv7Qs=")</f>
        <v>#REF!</v>
      </c>
      <c r="M524" t="e">
        <f>AND(#REF!,"AAAAADmv7Qw=")</f>
        <v>#REF!</v>
      </c>
      <c r="N524" t="e">
        <f>AND(#REF!,"AAAAADmv7Q0=")</f>
        <v>#REF!</v>
      </c>
      <c r="O524" t="e">
        <f>AND(#REF!,"AAAAADmv7Q4=")</f>
        <v>#REF!</v>
      </c>
      <c r="P524" t="e">
        <f>AND(#REF!,"AAAAADmv7Q8=")</f>
        <v>#REF!</v>
      </c>
      <c r="Q524" t="e">
        <f>AND(#REF!,"AAAAADmv7RA=")</f>
        <v>#REF!</v>
      </c>
      <c r="R524" t="e">
        <f>AND(#REF!,"AAAAADmv7RE=")</f>
        <v>#REF!</v>
      </c>
      <c r="S524" t="e">
        <f>IF(#REF!,"AAAAADmv7RI=",0)</f>
        <v>#REF!</v>
      </c>
      <c r="T524" t="e">
        <f>AND(#REF!,"AAAAADmv7RM=")</f>
        <v>#REF!</v>
      </c>
      <c r="U524" t="e">
        <f>AND(#REF!,"AAAAADmv7RQ=")</f>
        <v>#REF!</v>
      </c>
      <c r="V524" t="e">
        <f>AND(#REF!,"AAAAADmv7RU=")</f>
        <v>#REF!</v>
      </c>
      <c r="W524" t="e">
        <f>AND(#REF!,"AAAAADmv7RY=")</f>
        <v>#REF!</v>
      </c>
      <c r="X524" t="e">
        <f>AND(#REF!,"AAAAADmv7Rc=")</f>
        <v>#REF!</v>
      </c>
      <c r="Y524" t="e">
        <f>AND(#REF!,"AAAAADmv7Rg=")</f>
        <v>#REF!</v>
      </c>
      <c r="Z524" t="e">
        <f>AND(#REF!,"AAAAADmv7Rk=")</f>
        <v>#REF!</v>
      </c>
      <c r="AA524" t="e">
        <f>AND(#REF!,"AAAAADmv7Ro=")</f>
        <v>#REF!</v>
      </c>
      <c r="AB524" t="e">
        <f>AND(#REF!,"AAAAADmv7Rs=")</f>
        <v>#REF!</v>
      </c>
      <c r="AC524" t="e">
        <f>AND(#REF!,"AAAAADmv7Rw=")</f>
        <v>#REF!</v>
      </c>
      <c r="AD524" t="e">
        <f>IF(#REF!,"AAAAADmv7R0=",0)</f>
        <v>#REF!</v>
      </c>
      <c r="AE524" t="e">
        <f>AND(#REF!,"AAAAADmv7R4=")</f>
        <v>#REF!</v>
      </c>
      <c r="AF524" t="e">
        <f>AND(#REF!,"AAAAADmv7R8=")</f>
        <v>#REF!</v>
      </c>
      <c r="AG524" t="e">
        <f>AND(#REF!,"AAAAADmv7SA=")</f>
        <v>#REF!</v>
      </c>
      <c r="AH524" t="e">
        <f>AND(#REF!,"AAAAADmv7SE=")</f>
        <v>#REF!</v>
      </c>
      <c r="AI524" t="e">
        <f>AND(#REF!,"AAAAADmv7SI=")</f>
        <v>#REF!</v>
      </c>
      <c r="AJ524" t="e">
        <f>AND(#REF!,"AAAAADmv7SM=")</f>
        <v>#REF!</v>
      </c>
      <c r="AK524" t="e">
        <f>AND(#REF!,"AAAAADmv7SQ=")</f>
        <v>#REF!</v>
      </c>
      <c r="AL524" t="e">
        <f>AND(#REF!,"AAAAADmv7SU=")</f>
        <v>#REF!</v>
      </c>
      <c r="AM524" t="e">
        <f>AND(#REF!,"AAAAADmv7SY=")</f>
        <v>#REF!</v>
      </c>
      <c r="AN524" t="e">
        <f>AND(#REF!,"AAAAADmv7Sc=")</f>
        <v>#REF!</v>
      </c>
      <c r="AO524" t="e">
        <f>IF(#REF!,"AAAAADmv7Sg=",0)</f>
        <v>#REF!</v>
      </c>
      <c r="AP524" t="e">
        <f>AND(#REF!,"AAAAADmv7Sk=")</f>
        <v>#REF!</v>
      </c>
      <c r="AQ524" t="e">
        <f>AND(#REF!,"AAAAADmv7So=")</f>
        <v>#REF!</v>
      </c>
      <c r="AR524" t="e">
        <f>AND(#REF!,"AAAAADmv7Ss=")</f>
        <v>#REF!</v>
      </c>
      <c r="AS524" t="e">
        <f>AND(#REF!,"AAAAADmv7Sw=")</f>
        <v>#REF!</v>
      </c>
      <c r="AT524" t="e">
        <f>AND(#REF!,"AAAAADmv7S0=")</f>
        <v>#REF!</v>
      </c>
      <c r="AU524" t="e">
        <f>AND(#REF!,"AAAAADmv7S4=")</f>
        <v>#REF!</v>
      </c>
      <c r="AV524" t="e">
        <f>AND(#REF!,"AAAAADmv7S8=")</f>
        <v>#REF!</v>
      </c>
      <c r="AW524" t="e">
        <f>AND(#REF!,"AAAAADmv7TA=")</f>
        <v>#REF!</v>
      </c>
      <c r="AX524" t="e">
        <f>AND(#REF!,"AAAAADmv7TE=")</f>
        <v>#REF!</v>
      </c>
      <c r="AY524" t="e">
        <f>AND(#REF!,"AAAAADmv7TI=")</f>
        <v>#REF!</v>
      </c>
      <c r="AZ524" t="e">
        <f>IF(#REF!,"AAAAADmv7TM=",0)</f>
        <v>#REF!</v>
      </c>
      <c r="BA524" t="e">
        <f>AND(#REF!,"AAAAADmv7TQ=")</f>
        <v>#REF!</v>
      </c>
      <c r="BB524" t="e">
        <f>AND(#REF!,"AAAAADmv7TU=")</f>
        <v>#REF!</v>
      </c>
      <c r="BC524" t="e">
        <f>AND(#REF!,"AAAAADmv7TY=")</f>
        <v>#REF!</v>
      </c>
      <c r="BD524" t="e">
        <f>AND(#REF!,"AAAAADmv7Tc=")</f>
        <v>#REF!</v>
      </c>
      <c r="BE524" t="e">
        <f>AND(#REF!,"AAAAADmv7Tg=")</f>
        <v>#REF!</v>
      </c>
      <c r="BF524" t="e">
        <f>AND(#REF!,"AAAAADmv7Tk=")</f>
        <v>#REF!</v>
      </c>
      <c r="BG524" t="e">
        <f>AND(#REF!,"AAAAADmv7To=")</f>
        <v>#REF!</v>
      </c>
      <c r="BH524" t="e">
        <f>AND(#REF!,"AAAAADmv7Ts=")</f>
        <v>#REF!</v>
      </c>
      <c r="BI524" t="e">
        <f>AND(#REF!,"AAAAADmv7Tw=")</f>
        <v>#REF!</v>
      </c>
      <c r="BJ524" t="e">
        <f>AND(#REF!,"AAAAADmv7T0=")</f>
        <v>#REF!</v>
      </c>
      <c r="BK524" t="e">
        <f>IF(#REF!,"AAAAADmv7T4=",0)</f>
        <v>#REF!</v>
      </c>
      <c r="BL524" t="e">
        <f>AND(#REF!,"AAAAADmv7T8=")</f>
        <v>#REF!</v>
      </c>
      <c r="BM524" t="e">
        <f>AND(#REF!,"AAAAADmv7UA=")</f>
        <v>#REF!</v>
      </c>
      <c r="BN524" t="e">
        <f>AND(#REF!,"AAAAADmv7UE=")</f>
        <v>#REF!</v>
      </c>
      <c r="BO524" t="e">
        <f>AND(#REF!,"AAAAADmv7UI=")</f>
        <v>#REF!</v>
      </c>
      <c r="BP524" t="e">
        <f>AND(#REF!,"AAAAADmv7UM=")</f>
        <v>#REF!</v>
      </c>
      <c r="BQ524" t="e">
        <f>AND(#REF!,"AAAAADmv7UQ=")</f>
        <v>#REF!</v>
      </c>
      <c r="BR524" t="e">
        <f>AND(#REF!,"AAAAADmv7UU=")</f>
        <v>#REF!</v>
      </c>
      <c r="BS524" t="e">
        <f>AND(#REF!,"AAAAADmv7UY=")</f>
        <v>#REF!</v>
      </c>
      <c r="BT524" t="e">
        <f>AND(#REF!,"AAAAADmv7Uc=")</f>
        <v>#REF!</v>
      </c>
      <c r="BU524" t="e">
        <f>AND(#REF!,"AAAAADmv7Ug=")</f>
        <v>#REF!</v>
      </c>
      <c r="BV524" t="e">
        <f>IF(#REF!,"AAAAADmv7Uk=",0)</f>
        <v>#REF!</v>
      </c>
      <c r="BW524" t="e">
        <f>AND(#REF!,"AAAAADmv7Uo=")</f>
        <v>#REF!</v>
      </c>
      <c r="BX524" t="e">
        <f>AND(#REF!,"AAAAADmv7Us=")</f>
        <v>#REF!</v>
      </c>
      <c r="BY524" t="e">
        <f>AND(#REF!,"AAAAADmv7Uw=")</f>
        <v>#REF!</v>
      </c>
      <c r="BZ524" t="e">
        <f>AND(#REF!,"AAAAADmv7U0=")</f>
        <v>#REF!</v>
      </c>
      <c r="CA524" t="e">
        <f>AND(#REF!,"AAAAADmv7U4=")</f>
        <v>#REF!</v>
      </c>
      <c r="CB524" t="e">
        <f>AND(#REF!,"AAAAADmv7U8=")</f>
        <v>#REF!</v>
      </c>
      <c r="CC524" t="e">
        <f>AND(#REF!,"AAAAADmv7VA=")</f>
        <v>#REF!</v>
      </c>
      <c r="CD524" t="e">
        <f>AND(#REF!,"AAAAADmv7VE=")</f>
        <v>#REF!</v>
      </c>
      <c r="CE524" t="e">
        <f>AND(#REF!,"AAAAADmv7VI=")</f>
        <v>#REF!</v>
      </c>
      <c r="CF524" t="e">
        <f>AND(#REF!,"AAAAADmv7VM=")</f>
        <v>#REF!</v>
      </c>
      <c r="CG524" t="e">
        <f>IF(#REF!,"AAAAADmv7VQ=",0)</f>
        <v>#REF!</v>
      </c>
      <c r="CH524" t="e">
        <f>AND(#REF!,"AAAAADmv7VU=")</f>
        <v>#REF!</v>
      </c>
      <c r="CI524" t="e">
        <f>AND(#REF!,"AAAAADmv7VY=")</f>
        <v>#REF!</v>
      </c>
      <c r="CJ524" t="e">
        <f>AND(#REF!,"AAAAADmv7Vc=")</f>
        <v>#REF!</v>
      </c>
      <c r="CK524" t="e">
        <f>AND(#REF!,"AAAAADmv7Vg=")</f>
        <v>#REF!</v>
      </c>
      <c r="CL524" t="e">
        <f>AND(#REF!,"AAAAADmv7Vk=")</f>
        <v>#REF!</v>
      </c>
      <c r="CM524" t="e">
        <f>AND(#REF!,"AAAAADmv7Vo=")</f>
        <v>#REF!</v>
      </c>
      <c r="CN524" t="e">
        <f>AND(#REF!,"AAAAADmv7Vs=")</f>
        <v>#REF!</v>
      </c>
      <c r="CO524" t="e">
        <f>AND(#REF!,"AAAAADmv7Vw=")</f>
        <v>#REF!</v>
      </c>
      <c r="CP524" t="e">
        <f>AND(#REF!,"AAAAADmv7V0=")</f>
        <v>#REF!</v>
      </c>
      <c r="CQ524" t="e">
        <f>AND(#REF!,"AAAAADmv7V4=")</f>
        <v>#REF!</v>
      </c>
      <c r="CR524" t="e">
        <f>IF(#REF!,"AAAAADmv7V8=",0)</f>
        <v>#REF!</v>
      </c>
      <c r="CS524" t="e">
        <f>AND(#REF!,"AAAAADmv7WA=")</f>
        <v>#REF!</v>
      </c>
      <c r="CT524" t="e">
        <f>AND(#REF!,"AAAAADmv7WE=")</f>
        <v>#REF!</v>
      </c>
      <c r="CU524" t="e">
        <f>AND(#REF!,"AAAAADmv7WI=")</f>
        <v>#REF!</v>
      </c>
      <c r="CV524" t="e">
        <f>AND(#REF!,"AAAAADmv7WM=")</f>
        <v>#REF!</v>
      </c>
      <c r="CW524" t="e">
        <f>AND(#REF!,"AAAAADmv7WQ=")</f>
        <v>#REF!</v>
      </c>
      <c r="CX524" t="e">
        <f>AND(#REF!,"AAAAADmv7WU=")</f>
        <v>#REF!</v>
      </c>
      <c r="CY524" t="e">
        <f>AND(#REF!,"AAAAADmv7WY=")</f>
        <v>#REF!</v>
      </c>
      <c r="CZ524" t="e">
        <f>AND(#REF!,"AAAAADmv7Wc=")</f>
        <v>#REF!</v>
      </c>
      <c r="DA524" t="e">
        <f>AND(#REF!,"AAAAADmv7Wg=")</f>
        <v>#REF!</v>
      </c>
      <c r="DB524" t="e">
        <f>AND(#REF!,"AAAAADmv7Wk=")</f>
        <v>#REF!</v>
      </c>
      <c r="DC524" t="e">
        <f>IF(#REF!,"AAAAADmv7Wo=",0)</f>
        <v>#REF!</v>
      </c>
      <c r="DD524" t="e">
        <f>AND(#REF!,"AAAAADmv7Ws=")</f>
        <v>#REF!</v>
      </c>
      <c r="DE524" t="e">
        <f>AND(#REF!,"AAAAADmv7Ww=")</f>
        <v>#REF!</v>
      </c>
      <c r="DF524" t="e">
        <f>AND(#REF!,"AAAAADmv7W0=")</f>
        <v>#REF!</v>
      </c>
      <c r="DG524" t="e">
        <f>AND(#REF!,"AAAAADmv7W4=")</f>
        <v>#REF!</v>
      </c>
      <c r="DH524" t="e">
        <f>AND(#REF!,"AAAAADmv7W8=")</f>
        <v>#REF!</v>
      </c>
      <c r="DI524" t="e">
        <f>AND(#REF!,"AAAAADmv7XA=")</f>
        <v>#REF!</v>
      </c>
      <c r="DJ524" t="e">
        <f>AND(#REF!,"AAAAADmv7XE=")</f>
        <v>#REF!</v>
      </c>
      <c r="DK524" t="e">
        <f>AND(#REF!,"AAAAADmv7XI=")</f>
        <v>#REF!</v>
      </c>
      <c r="DL524" t="e">
        <f>AND(#REF!,"AAAAADmv7XM=")</f>
        <v>#REF!</v>
      </c>
      <c r="DM524" t="e">
        <f>AND(#REF!,"AAAAADmv7XQ=")</f>
        <v>#REF!</v>
      </c>
      <c r="DN524" t="e">
        <f>IF(#REF!,"AAAAADmv7XU=",0)</f>
        <v>#REF!</v>
      </c>
      <c r="DO524" t="e">
        <f>AND(#REF!,"AAAAADmv7XY=")</f>
        <v>#REF!</v>
      </c>
      <c r="DP524" t="e">
        <f>AND(#REF!,"AAAAADmv7Xc=")</f>
        <v>#REF!</v>
      </c>
      <c r="DQ524" t="e">
        <f>AND(#REF!,"AAAAADmv7Xg=")</f>
        <v>#REF!</v>
      </c>
      <c r="DR524" t="e">
        <f>AND(#REF!,"AAAAADmv7Xk=")</f>
        <v>#REF!</v>
      </c>
      <c r="DS524" t="e">
        <f>AND(#REF!,"AAAAADmv7Xo=")</f>
        <v>#REF!</v>
      </c>
      <c r="DT524" t="e">
        <f>AND(#REF!,"AAAAADmv7Xs=")</f>
        <v>#REF!</v>
      </c>
      <c r="DU524" t="e">
        <f>AND(#REF!,"AAAAADmv7Xw=")</f>
        <v>#REF!</v>
      </c>
      <c r="DV524" t="e">
        <f>AND(#REF!,"AAAAADmv7X0=")</f>
        <v>#REF!</v>
      </c>
      <c r="DW524" t="e">
        <f>AND(#REF!,"AAAAADmv7X4=")</f>
        <v>#REF!</v>
      </c>
      <c r="DX524" t="e">
        <f>AND(#REF!,"AAAAADmv7X8=")</f>
        <v>#REF!</v>
      </c>
      <c r="DY524" t="e">
        <f>IF(#REF!,"AAAAADmv7YA=",0)</f>
        <v>#REF!</v>
      </c>
      <c r="DZ524" t="e">
        <f>AND(#REF!,"AAAAADmv7YE=")</f>
        <v>#REF!</v>
      </c>
      <c r="EA524" t="e">
        <f>AND(#REF!,"AAAAADmv7YI=")</f>
        <v>#REF!</v>
      </c>
      <c r="EB524" t="e">
        <f>AND(#REF!,"AAAAADmv7YM=")</f>
        <v>#REF!</v>
      </c>
      <c r="EC524" t="e">
        <f>AND(#REF!,"AAAAADmv7YQ=")</f>
        <v>#REF!</v>
      </c>
      <c r="ED524" t="e">
        <f>AND(#REF!,"AAAAADmv7YU=")</f>
        <v>#REF!</v>
      </c>
      <c r="EE524" t="e">
        <f>AND(#REF!,"AAAAADmv7YY=")</f>
        <v>#REF!</v>
      </c>
      <c r="EF524" t="e">
        <f>AND(#REF!,"AAAAADmv7Yc=")</f>
        <v>#REF!</v>
      </c>
      <c r="EG524" t="e">
        <f>AND(#REF!,"AAAAADmv7Yg=")</f>
        <v>#REF!</v>
      </c>
      <c r="EH524" t="e">
        <f>AND(#REF!,"AAAAADmv7Yk=")</f>
        <v>#REF!</v>
      </c>
      <c r="EI524" t="e">
        <f>AND(#REF!,"AAAAADmv7Yo=")</f>
        <v>#REF!</v>
      </c>
      <c r="EJ524" t="e">
        <f>IF(#REF!,"AAAAADmv7Ys=",0)</f>
        <v>#REF!</v>
      </c>
      <c r="EK524" t="e">
        <f>AND(#REF!,"AAAAADmv7Yw=")</f>
        <v>#REF!</v>
      </c>
      <c r="EL524" t="e">
        <f>AND(#REF!,"AAAAADmv7Y0=")</f>
        <v>#REF!</v>
      </c>
      <c r="EM524" t="e">
        <f>AND(#REF!,"AAAAADmv7Y4=")</f>
        <v>#REF!</v>
      </c>
      <c r="EN524" t="e">
        <f>AND(#REF!,"AAAAADmv7Y8=")</f>
        <v>#REF!</v>
      </c>
      <c r="EO524" t="e">
        <f>AND(#REF!,"AAAAADmv7ZA=")</f>
        <v>#REF!</v>
      </c>
      <c r="EP524" t="e">
        <f>AND(#REF!,"AAAAADmv7ZE=")</f>
        <v>#REF!</v>
      </c>
      <c r="EQ524" t="e">
        <f>AND(#REF!,"AAAAADmv7ZI=")</f>
        <v>#REF!</v>
      </c>
      <c r="ER524" t="e">
        <f>AND(#REF!,"AAAAADmv7ZM=")</f>
        <v>#REF!</v>
      </c>
      <c r="ES524" t="e">
        <f>AND(#REF!,"AAAAADmv7ZQ=")</f>
        <v>#REF!</v>
      </c>
      <c r="ET524" t="e">
        <f>AND(#REF!,"AAAAADmv7ZU=")</f>
        <v>#REF!</v>
      </c>
      <c r="EU524" t="e">
        <f>IF(#REF!,"AAAAADmv7ZY=",0)</f>
        <v>#REF!</v>
      </c>
      <c r="EV524" t="e">
        <f>AND(#REF!,"AAAAADmv7Zc=")</f>
        <v>#REF!</v>
      </c>
      <c r="EW524" t="e">
        <f>AND(#REF!,"AAAAADmv7Zg=")</f>
        <v>#REF!</v>
      </c>
      <c r="EX524" t="e">
        <f>AND(#REF!,"AAAAADmv7Zk=")</f>
        <v>#REF!</v>
      </c>
      <c r="EY524" t="e">
        <f>AND(#REF!,"AAAAADmv7Zo=")</f>
        <v>#REF!</v>
      </c>
      <c r="EZ524" t="e">
        <f>AND(#REF!,"AAAAADmv7Zs=")</f>
        <v>#REF!</v>
      </c>
      <c r="FA524" t="e">
        <f>AND(#REF!,"AAAAADmv7Zw=")</f>
        <v>#REF!</v>
      </c>
      <c r="FB524" t="e">
        <f>AND(#REF!,"AAAAADmv7Z0=")</f>
        <v>#REF!</v>
      </c>
      <c r="FC524" t="e">
        <f>AND(#REF!,"AAAAADmv7Z4=")</f>
        <v>#REF!</v>
      </c>
      <c r="FD524" t="e">
        <f>AND(#REF!,"AAAAADmv7Z8=")</f>
        <v>#REF!</v>
      </c>
      <c r="FE524" t="e">
        <f>AND(#REF!,"AAAAADmv7aA=")</f>
        <v>#REF!</v>
      </c>
      <c r="FF524" t="e">
        <f>IF(#REF!,"AAAAADmv7aE=",0)</f>
        <v>#REF!</v>
      </c>
      <c r="FG524" t="e">
        <f>AND(#REF!,"AAAAADmv7aI=")</f>
        <v>#REF!</v>
      </c>
      <c r="FH524" t="e">
        <f>AND(#REF!,"AAAAADmv7aM=")</f>
        <v>#REF!</v>
      </c>
      <c r="FI524" t="e">
        <f>AND(#REF!,"AAAAADmv7aQ=")</f>
        <v>#REF!</v>
      </c>
      <c r="FJ524" t="e">
        <f>AND(#REF!,"AAAAADmv7aU=")</f>
        <v>#REF!</v>
      </c>
      <c r="FK524" t="e">
        <f>AND(#REF!,"AAAAADmv7aY=")</f>
        <v>#REF!</v>
      </c>
      <c r="FL524" t="e">
        <f>AND(#REF!,"AAAAADmv7ac=")</f>
        <v>#REF!</v>
      </c>
      <c r="FM524" t="e">
        <f>AND(#REF!,"AAAAADmv7ag=")</f>
        <v>#REF!</v>
      </c>
      <c r="FN524" t="e">
        <f>AND(#REF!,"AAAAADmv7ak=")</f>
        <v>#REF!</v>
      </c>
      <c r="FO524" t="e">
        <f>AND(#REF!,"AAAAADmv7ao=")</f>
        <v>#REF!</v>
      </c>
      <c r="FP524" t="e">
        <f>AND(#REF!,"AAAAADmv7as=")</f>
        <v>#REF!</v>
      </c>
      <c r="FQ524" t="e">
        <f>IF(#REF!,"AAAAADmv7aw=",0)</f>
        <v>#REF!</v>
      </c>
      <c r="FR524" t="e">
        <f>AND(#REF!,"AAAAADmv7a0=")</f>
        <v>#REF!</v>
      </c>
      <c r="FS524" t="e">
        <f>AND(#REF!,"AAAAADmv7a4=")</f>
        <v>#REF!</v>
      </c>
      <c r="FT524" t="e">
        <f>AND(#REF!,"AAAAADmv7a8=")</f>
        <v>#REF!</v>
      </c>
      <c r="FU524" t="e">
        <f>AND(#REF!,"AAAAADmv7bA=")</f>
        <v>#REF!</v>
      </c>
      <c r="FV524" t="e">
        <f>AND(#REF!,"AAAAADmv7bE=")</f>
        <v>#REF!</v>
      </c>
      <c r="FW524" t="e">
        <f>AND(#REF!,"AAAAADmv7bI=")</f>
        <v>#REF!</v>
      </c>
      <c r="FX524" t="e">
        <f>AND(#REF!,"AAAAADmv7bM=")</f>
        <v>#REF!</v>
      </c>
      <c r="FY524" t="e">
        <f>AND(#REF!,"AAAAADmv7bQ=")</f>
        <v>#REF!</v>
      </c>
      <c r="FZ524" t="e">
        <f>AND(#REF!,"AAAAADmv7bU=")</f>
        <v>#REF!</v>
      </c>
      <c r="GA524" t="e">
        <f>AND(#REF!,"AAAAADmv7bY=")</f>
        <v>#REF!</v>
      </c>
      <c r="GB524" t="e">
        <f>IF(#REF!,"AAAAADmv7bc=",0)</f>
        <v>#REF!</v>
      </c>
      <c r="GC524" t="e">
        <f>AND(#REF!,"AAAAADmv7bg=")</f>
        <v>#REF!</v>
      </c>
      <c r="GD524" t="e">
        <f>AND(#REF!,"AAAAADmv7bk=")</f>
        <v>#REF!</v>
      </c>
      <c r="GE524" t="e">
        <f>AND(#REF!,"AAAAADmv7bo=")</f>
        <v>#REF!</v>
      </c>
      <c r="GF524" t="e">
        <f>AND(#REF!,"AAAAADmv7bs=")</f>
        <v>#REF!</v>
      </c>
      <c r="GG524" t="e">
        <f>AND(#REF!,"AAAAADmv7bw=")</f>
        <v>#REF!</v>
      </c>
      <c r="GH524" t="e">
        <f>AND(#REF!,"AAAAADmv7b0=")</f>
        <v>#REF!</v>
      </c>
      <c r="GI524" t="e">
        <f>AND(#REF!,"AAAAADmv7b4=")</f>
        <v>#REF!</v>
      </c>
      <c r="GJ524" t="e">
        <f>AND(#REF!,"AAAAADmv7b8=")</f>
        <v>#REF!</v>
      </c>
      <c r="GK524" t="e">
        <f>AND(#REF!,"AAAAADmv7cA=")</f>
        <v>#REF!</v>
      </c>
      <c r="GL524" t="e">
        <f>AND(#REF!,"AAAAADmv7cE=")</f>
        <v>#REF!</v>
      </c>
      <c r="GM524" t="e">
        <f>IF(#REF!,"AAAAADmv7cI=",0)</f>
        <v>#REF!</v>
      </c>
      <c r="GN524" t="e">
        <f>AND(#REF!,"AAAAADmv7cM=")</f>
        <v>#REF!</v>
      </c>
      <c r="GO524" t="e">
        <f>AND(#REF!,"AAAAADmv7cQ=")</f>
        <v>#REF!</v>
      </c>
      <c r="GP524" t="e">
        <f>AND(#REF!,"AAAAADmv7cU=")</f>
        <v>#REF!</v>
      </c>
      <c r="GQ524" t="e">
        <f>AND(#REF!,"AAAAADmv7cY=")</f>
        <v>#REF!</v>
      </c>
      <c r="GR524" t="e">
        <f>AND(#REF!,"AAAAADmv7cc=")</f>
        <v>#REF!</v>
      </c>
      <c r="GS524" t="e">
        <f>AND(#REF!,"AAAAADmv7cg=")</f>
        <v>#REF!</v>
      </c>
      <c r="GT524" t="e">
        <f>AND(#REF!,"AAAAADmv7ck=")</f>
        <v>#REF!</v>
      </c>
      <c r="GU524" t="e">
        <f>AND(#REF!,"AAAAADmv7co=")</f>
        <v>#REF!</v>
      </c>
      <c r="GV524" t="e">
        <f>AND(#REF!,"AAAAADmv7cs=")</f>
        <v>#REF!</v>
      </c>
      <c r="GW524" t="e">
        <f>AND(#REF!,"AAAAADmv7cw=")</f>
        <v>#REF!</v>
      </c>
      <c r="GX524" t="e">
        <f>IF(#REF!,"AAAAADmv7c0=",0)</f>
        <v>#REF!</v>
      </c>
      <c r="GY524" t="e">
        <f>AND(#REF!,"AAAAADmv7c4=")</f>
        <v>#REF!</v>
      </c>
      <c r="GZ524" t="e">
        <f>AND(#REF!,"AAAAADmv7c8=")</f>
        <v>#REF!</v>
      </c>
      <c r="HA524" t="e">
        <f>AND(#REF!,"AAAAADmv7dA=")</f>
        <v>#REF!</v>
      </c>
      <c r="HB524" t="e">
        <f>AND(#REF!,"AAAAADmv7dE=")</f>
        <v>#REF!</v>
      </c>
      <c r="HC524" t="e">
        <f>AND(#REF!,"AAAAADmv7dI=")</f>
        <v>#REF!</v>
      </c>
      <c r="HD524" t="e">
        <f>AND(#REF!,"AAAAADmv7dM=")</f>
        <v>#REF!</v>
      </c>
      <c r="HE524" t="e">
        <f>AND(#REF!,"AAAAADmv7dQ=")</f>
        <v>#REF!</v>
      </c>
      <c r="HF524" t="e">
        <f>AND(#REF!,"AAAAADmv7dU=")</f>
        <v>#REF!</v>
      </c>
      <c r="HG524" t="e">
        <f>AND(#REF!,"AAAAADmv7dY=")</f>
        <v>#REF!</v>
      </c>
      <c r="HH524" t="e">
        <f>AND(#REF!,"AAAAADmv7dc=")</f>
        <v>#REF!</v>
      </c>
      <c r="HI524" t="e">
        <f>IF(#REF!,"AAAAADmv7dg=",0)</f>
        <v>#REF!</v>
      </c>
      <c r="HJ524" t="e">
        <f>AND(#REF!,"AAAAADmv7dk=")</f>
        <v>#REF!</v>
      </c>
      <c r="HK524" t="e">
        <f>AND(#REF!,"AAAAADmv7do=")</f>
        <v>#REF!</v>
      </c>
      <c r="HL524" t="e">
        <f>AND(#REF!,"AAAAADmv7ds=")</f>
        <v>#REF!</v>
      </c>
      <c r="HM524" t="e">
        <f>AND(#REF!,"AAAAADmv7dw=")</f>
        <v>#REF!</v>
      </c>
      <c r="HN524" t="e">
        <f>AND(#REF!,"AAAAADmv7d0=")</f>
        <v>#REF!</v>
      </c>
      <c r="HO524" t="e">
        <f>AND(#REF!,"AAAAADmv7d4=")</f>
        <v>#REF!</v>
      </c>
      <c r="HP524" t="e">
        <f>AND(#REF!,"AAAAADmv7d8=")</f>
        <v>#REF!</v>
      </c>
      <c r="HQ524" t="e">
        <f>AND(#REF!,"AAAAADmv7eA=")</f>
        <v>#REF!</v>
      </c>
      <c r="HR524" t="e">
        <f>AND(#REF!,"AAAAADmv7eE=")</f>
        <v>#REF!</v>
      </c>
      <c r="HS524" t="e">
        <f>AND(#REF!,"AAAAADmv7eI=")</f>
        <v>#REF!</v>
      </c>
      <c r="HT524" t="e">
        <f>IF(#REF!,"AAAAADmv7eM=",0)</f>
        <v>#REF!</v>
      </c>
      <c r="HU524" t="e">
        <f>AND(#REF!,"AAAAADmv7eQ=")</f>
        <v>#REF!</v>
      </c>
      <c r="HV524" t="e">
        <f>AND(#REF!,"AAAAADmv7eU=")</f>
        <v>#REF!</v>
      </c>
      <c r="HW524" t="e">
        <f>AND(#REF!,"AAAAADmv7eY=")</f>
        <v>#REF!</v>
      </c>
      <c r="HX524" t="e">
        <f>AND(#REF!,"AAAAADmv7ec=")</f>
        <v>#REF!</v>
      </c>
      <c r="HY524" t="e">
        <f>AND(#REF!,"AAAAADmv7eg=")</f>
        <v>#REF!</v>
      </c>
      <c r="HZ524" t="e">
        <f>AND(#REF!,"AAAAADmv7ek=")</f>
        <v>#REF!</v>
      </c>
      <c r="IA524" t="e">
        <f>AND(#REF!,"AAAAADmv7eo=")</f>
        <v>#REF!</v>
      </c>
      <c r="IB524" t="e">
        <f>AND(#REF!,"AAAAADmv7es=")</f>
        <v>#REF!</v>
      </c>
      <c r="IC524" t="e">
        <f>AND(#REF!,"AAAAADmv7ew=")</f>
        <v>#REF!</v>
      </c>
      <c r="ID524" t="e">
        <f>AND(#REF!,"AAAAADmv7e0=")</f>
        <v>#REF!</v>
      </c>
      <c r="IE524" t="e">
        <f>IF(#REF!,"AAAAADmv7e4=",0)</f>
        <v>#REF!</v>
      </c>
      <c r="IF524" t="e">
        <f>AND(#REF!,"AAAAADmv7e8=")</f>
        <v>#REF!</v>
      </c>
      <c r="IG524" t="e">
        <f>AND(#REF!,"AAAAADmv7fA=")</f>
        <v>#REF!</v>
      </c>
      <c r="IH524" t="e">
        <f>AND(#REF!,"AAAAADmv7fE=")</f>
        <v>#REF!</v>
      </c>
      <c r="II524" t="e">
        <f>AND(#REF!,"AAAAADmv7fI=")</f>
        <v>#REF!</v>
      </c>
      <c r="IJ524" t="e">
        <f>AND(#REF!,"AAAAADmv7fM=")</f>
        <v>#REF!</v>
      </c>
      <c r="IK524" t="e">
        <f>AND(#REF!,"AAAAADmv7fQ=")</f>
        <v>#REF!</v>
      </c>
      <c r="IL524" t="e">
        <f>AND(#REF!,"AAAAADmv7fU=")</f>
        <v>#REF!</v>
      </c>
      <c r="IM524" t="e">
        <f>AND(#REF!,"AAAAADmv7fY=")</f>
        <v>#REF!</v>
      </c>
      <c r="IN524" t="e">
        <f>AND(#REF!,"AAAAADmv7fc=")</f>
        <v>#REF!</v>
      </c>
      <c r="IO524" t="e">
        <f>AND(#REF!,"AAAAADmv7fg=")</f>
        <v>#REF!</v>
      </c>
      <c r="IP524" t="e">
        <f>IF(#REF!,"AAAAADmv7fk=",0)</f>
        <v>#REF!</v>
      </c>
      <c r="IQ524" t="e">
        <f>AND(#REF!,"AAAAADmv7fo=")</f>
        <v>#REF!</v>
      </c>
      <c r="IR524" t="e">
        <f>AND(#REF!,"AAAAADmv7fs=")</f>
        <v>#REF!</v>
      </c>
      <c r="IS524" t="e">
        <f>AND(#REF!,"AAAAADmv7fw=")</f>
        <v>#REF!</v>
      </c>
      <c r="IT524" t="e">
        <f>AND(#REF!,"AAAAADmv7f0=")</f>
        <v>#REF!</v>
      </c>
      <c r="IU524" t="e">
        <f>AND(#REF!,"AAAAADmv7f4=")</f>
        <v>#REF!</v>
      </c>
      <c r="IV524" t="e">
        <f>AND(#REF!,"AAAAADmv7f8=")</f>
        <v>#REF!</v>
      </c>
    </row>
    <row r="525" spans="1:256" x14ac:dyDescent="0.25">
      <c r="A525" t="e">
        <f>AND(#REF!,"AAAAAH7newA=")</f>
        <v>#REF!</v>
      </c>
      <c r="B525" t="e">
        <f>AND(#REF!,"AAAAAH7newE=")</f>
        <v>#REF!</v>
      </c>
      <c r="C525" t="e">
        <f>AND(#REF!,"AAAAAH7newI=")</f>
        <v>#REF!</v>
      </c>
      <c r="D525" t="e">
        <f>AND(#REF!,"AAAAAH7newM=")</f>
        <v>#REF!</v>
      </c>
      <c r="E525" t="e">
        <f>IF(#REF!,"AAAAAH7newQ=",0)</f>
        <v>#REF!</v>
      </c>
      <c r="F525" t="e">
        <f>AND(#REF!,"AAAAAH7newU=")</f>
        <v>#REF!</v>
      </c>
      <c r="G525" t="e">
        <f>AND(#REF!,"AAAAAH7newY=")</f>
        <v>#REF!</v>
      </c>
      <c r="H525" t="e">
        <f>AND(#REF!,"AAAAAH7newc=")</f>
        <v>#REF!</v>
      </c>
      <c r="I525" t="e">
        <f>AND(#REF!,"AAAAAH7newg=")</f>
        <v>#REF!</v>
      </c>
      <c r="J525" t="e">
        <f>AND(#REF!,"AAAAAH7newk=")</f>
        <v>#REF!</v>
      </c>
      <c r="K525" t="e">
        <f>AND(#REF!,"AAAAAH7newo=")</f>
        <v>#REF!</v>
      </c>
      <c r="L525" t="e">
        <f>AND(#REF!,"AAAAAH7news=")</f>
        <v>#REF!</v>
      </c>
      <c r="M525" t="e">
        <f>AND(#REF!,"AAAAAH7neww=")</f>
        <v>#REF!</v>
      </c>
      <c r="N525" t="e">
        <f>AND(#REF!,"AAAAAH7new0=")</f>
        <v>#REF!</v>
      </c>
      <c r="O525" t="e">
        <f>AND(#REF!,"AAAAAH7new4=")</f>
        <v>#REF!</v>
      </c>
      <c r="P525" t="e">
        <f>IF(#REF!,"AAAAAH7new8=",0)</f>
        <v>#REF!</v>
      </c>
      <c r="Q525" t="e">
        <f>AND(#REF!,"AAAAAH7nexA=")</f>
        <v>#REF!</v>
      </c>
      <c r="R525" t="e">
        <f>AND(#REF!,"AAAAAH7nexE=")</f>
        <v>#REF!</v>
      </c>
      <c r="S525" t="e">
        <f>AND(#REF!,"AAAAAH7nexI=")</f>
        <v>#REF!</v>
      </c>
      <c r="T525" t="e">
        <f>AND(#REF!,"AAAAAH7nexM=")</f>
        <v>#REF!</v>
      </c>
      <c r="U525" t="e">
        <f>AND(#REF!,"AAAAAH7nexQ=")</f>
        <v>#REF!</v>
      </c>
      <c r="V525" t="e">
        <f>AND(#REF!,"AAAAAH7nexU=")</f>
        <v>#REF!</v>
      </c>
      <c r="W525" t="e">
        <f>AND(#REF!,"AAAAAH7nexY=")</f>
        <v>#REF!</v>
      </c>
      <c r="X525" t="e">
        <f>AND(#REF!,"AAAAAH7nexc=")</f>
        <v>#REF!</v>
      </c>
      <c r="Y525" t="e">
        <f>AND(#REF!,"AAAAAH7nexg=")</f>
        <v>#REF!</v>
      </c>
      <c r="Z525" t="e">
        <f>AND(#REF!,"AAAAAH7nexk=")</f>
        <v>#REF!</v>
      </c>
      <c r="AA525" t="e">
        <f>IF(#REF!,"AAAAAH7nexo=",0)</f>
        <v>#REF!</v>
      </c>
      <c r="AB525" t="e">
        <f>AND(#REF!,"AAAAAH7nexs=")</f>
        <v>#REF!</v>
      </c>
      <c r="AC525" t="e">
        <f>AND(#REF!,"AAAAAH7nexw=")</f>
        <v>#REF!</v>
      </c>
      <c r="AD525" t="e">
        <f>AND(#REF!,"AAAAAH7nex0=")</f>
        <v>#REF!</v>
      </c>
      <c r="AE525" t="e">
        <f>AND(#REF!,"AAAAAH7nex4=")</f>
        <v>#REF!</v>
      </c>
      <c r="AF525" t="e">
        <f>AND(#REF!,"AAAAAH7nex8=")</f>
        <v>#REF!</v>
      </c>
      <c r="AG525" t="e">
        <f>AND(#REF!,"AAAAAH7neyA=")</f>
        <v>#REF!</v>
      </c>
      <c r="AH525" t="e">
        <f>AND(#REF!,"AAAAAH7neyE=")</f>
        <v>#REF!</v>
      </c>
      <c r="AI525" t="e">
        <f>AND(#REF!,"AAAAAH7neyI=")</f>
        <v>#REF!</v>
      </c>
      <c r="AJ525" t="e">
        <f>AND(#REF!,"AAAAAH7neyM=")</f>
        <v>#REF!</v>
      </c>
      <c r="AK525" t="e">
        <f>AND(#REF!,"AAAAAH7neyQ=")</f>
        <v>#REF!</v>
      </c>
      <c r="AL525" t="e">
        <f>IF(#REF!,"AAAAAH7neyU=",0)</f>
        <v>#REF!</v>
      </c>
      <c r="AM525" t="e">
        <f>AND(#REF!,"AAAAAH7neyY=")</f>
        <v>#REF!</v>
      </c>
      <c r="AN525" t="e">
        <f>AND(#REF!,"AAAAAH7neyc=")</f>
        <v>#REF!</v>
      </c>
      <c r="AO525" t="e">
        <f>AND(#REF!,"AAAAAH7neyg=")</f>
        <v>#REF!</v>
      </c>
      <c r="AP525" t="e">
        <f>AND(#REF!,"AAAAAH7neyk=")</f>
        <v>#REF!</v>
      </c>
      <c r="AQ525" t="e">
        <f>AND(#REF!,"AAAAAH7neyo=")</f>
        <v>#REF!</v>
      </c>
      <c r="AR525" t="e">
        <f>AND(#REF!,"AAAAAH7neys=")</f>
        <v>#REF!</v>
      </c>
      <c r="AS525" t="e">
        <f>AND(#REF!,"AAAAAH7neyw=")</f>
        <v>#REF!</v>
      </c>
      <c r="AT525" t="e">
        <f>AND(#REF!,"AAAAAH7ney0=")</f>
        <v>#REF!</v>
      </c>
      <c r="AU525" t="e">
        <f>AND(#REF!,"AAAAAH7ney4=")</f>
        <v>#REF!</v>
      </c>
      <c r="AV525" t="e">
        <f>AND(#REF!,"AAAAAH7ney8=")</f>
        <v>#REF!</v>
      </c>
      <c r="AW525" t="e">
        <f>IF(#REF!,"AAAAAH7nezA=",0)</f>
        <v>#REF!</v>
      </c>
      <c r="AX525" t="e">
        <f>AND(#REF!,"AAAAAH7nezE=")</f>
        <v>#REF!</v>
      </c>
      <c r="AY525" t="e">
        <f>AND(#REF!,"AAAAAH7nezI=")</f>
        <v>#REF!</v>
      </c>
      <c r="AZ525" t="e">
        <f>AND(#REF!,"AAAAAH7nezM=")</f>
        <v>#REF!</v>
      </c>
      <c r="BA525" t="e">
        <f>AND(#REF!,"AAAAAH7nezQ=")</f>
        <v>#REF!</v>
      </c>
      <c r="BB525" t="e">
        <f>AND(#REF!,"AAAAAH7nezU=")</f>
        <v>#REF!</v>
      </c>
      <c r="BC525" t="e">
        <f>AND(#REF!,"AAAAAH7nezY=")</f>
        <v>#REF!</v>
      </c>
      <c r="BD525" t="e">
        <f>AND(#REF!,"AAAAAH7nezc=")</f>
        <v>#REF!</v>
      </c>
      <c r="BE525" t="e">
        <f>AND(#REF!,"AAAAAH7nezg=")</f>
        <v>#REF!</v>
      </c>
      <c r="BF525" t="e">
        <f>AND(#REF!,"AAAAAH7nezk=")</f>
        <v>#REF!</v>
      </c>
      <c r="BG525" t="e">
        <f>AND(#REF!,"AAAAAH7nezo=")</f>
        <v>#REF!</v>
      </c>
      <c r="BH525" t="e">
        <f>IF(#REF!,"AAAAAH7nezs=",0)</f>
        <v>#REF!</v>
      </c>
      <c r="BI525" t="e">
        <f>AND(#REF!,"AAAAAH7nezw=")</f>
        <v>#REF!</v>
      </c>
      <c r="BJ525" t="e">
        <f>AND(#REF!,"AAAAAH7nez0=")</f>
        <v>#REF!</v>
      </c>
      <c r="BK525" t="e">
        <f>AND(#REF!,"AAAAAH7nez4=")</f>
        <v>#REF!</v>
      </c>
      <c r="BL525" t="e">
        <f>AND(#REF!,"AAAAAH7nez8=")</f>
        <v>#REF!</v>
      </c>
      <c r="BM525" t="e">
        <f>AND(#REF!,"AAAAAH7ne0A=")</f>
        <v>#REF!</v>
      </c>
      <c r="BN525" t="e">
        <f>AND(#REF!,"AAAAAH7ne0E=")</f>
        <v>#REF!</v>
      </c>
      <c r="BO525" t="e">
        <f>AND(#REF!,"AAAAAH7ne0I=")</f>
        <v>#REF!</v>
      </c>
      <c r="BP525" t="e">
        <f>AND(#REF!,"AAAAAH7ne0M=")</f>
        <v>#REF!</v>
      </c>
      <c r="BQ525" t="e">
        <f>AND(#REF!,"AAAAAH7ne0Q=")</f>
        <v>#REF!</v>
      </c>
      <c r="BR525" t="e">
        <f>AND(#REF!,"AAAAAH7ne0U=")</f>
        <v>#REF!</v>
      </c>
      <c r="BS525" t="e">
        <f>IF(#REF!,"AAAAAH7ne0Y=",0)</f>
        <v>#REF!</v>
      </c>
      <c r="BT525" t="e">
        <f>AND(#REF!,"AAAAAH7ne0c=")</f>
        <v>#REF!</v>
      </c>
      <c r="BU525" t="e">
        <f>AND(#REF!,"AAAAAH7ne0g=")</f>
        <v>#REF!</v>
      </c>
      <c r="BV525" t="e">
        <f>AND(#REF!,"AAAAAH7ne0k=")</f>
        <v>#REF!</v>
      </c>
      <c r="BW525" t="e">
        <f>AND(#REF!,"AAAAAH7ne0o=")</f>
        <v>#REF!</v>
      </c>
      <c r="BX525" t="e">
        <f>AND(#REF!,"AAAAAH7ne0s=")</f>
        <v>#REF!</v>
      </c>
      <c r="BY525" t="e">
        <f>AND(#REF!,"AAAAAH7ne0w=")</f>
        <v>#REF!</v>
      </c>
      <c r="BZ525" t="e">
        <f>AND(#REF!,"AAAAAH7ne00=")</f>
        <v>#REF!</v>
      </c>
      <c r="CA525" t="e">
        <f>AND(#REF!,"AAAAAH7ne04=")</f>
        <v>#REF!</v>
      </c>
      <c r="CB525" t="e">
        <f>AND(#REF!,"AAAAAH7ne08=")</f>
        <v>#REF!</v>
      </c>
      <c r="CC525" t="e">
        <f>AND(#REF!,"AAAAAH7ne1A=")</f>
        <v>#REF!</v>
      </c>
      <c r="CD525" t="e">
        <f>IF(#REF!,"AAAAAH7ne1E=",0)</f>
        <v>#REF!</v>
      </c>
      <c r="CE525" t="e">
        <f>AND(#REF!,"AAAAAH7ne1I=")</f>
        <v>#REF!</v>
      </c>
      <c r="CF525" t="e">
        <f>AND(#REF!,"AAAAAH7ne1M=")</f>
        <v>#REF!</v>
      </c>
      <c r="CG525" t="e">
        <f>AND(#REF!,"AAAAAH7ne1Q=")</f>
        <v>#REF!</v>
      </c>
      <c r="CH525" t="e">
        <f>AND(#REF!,"AAAAAH7ne1U=")</f>
        <v>#REF!</v>
      </c>
      <c r="CI525" t="e">
        <f>AND(#REF!,"AAAAAH7ne1Y=")</f>
        <v>#REF!</v>
      </c>
      <c r="CJ525" t="e">
        <f>AND(#REF!,"AAAAAH7ne1c=")</f>
        <v>#REF!</v>
      </c>
      <c r="CK525" t="e">
        <f>AND(#REF!,"AAAAAH7ne1g=")</f>
        <v>#REF!</v>
      </c>
      <c r="CL525" t="e">
        <f>AND(#REF!,"AAAAAH7ne1k=")</f>
        <v>#REF!</v>
      </c>
      <c r="CM525" t="e">
        <f>AND(#REF!,"AAAAAH7ne1o=")</f>
        <v>#REF!</v>
      </c>
      <c r="CN525" t="e">
        <f>AND(#REF!,"AAAAAH7ne1s=")</f>
        <v>#REF!</v>
      </c>
      <c r="CO525" t="e">
        <f>IF(#REF!,"AAAAAH7ne1w=",0)</f>
        <v>#REF!</v>
      </c>
      <c r="CP525" t="e">
        <f>AND(#REF!,"AAAAAH7ne10=")</f>
        <v>#REF!</v>
      </c>
      <c r="CQ525" t="e">
        <f>AND(#REF!,"AAAAAH7ne14=")</f>
        <v>#REF!</v>
      </c>
      <c r="CR525" t="e">
        <f>AND(#REF!,"AAAAAH7ne18=")</f>
        <v>#REF!</v>
      </c>
      <c r="CS525" t="e">
        <f>AND(#REF!,"AAAAAH7ne2A=")</f>
        <v>#REF!</v>
      </c>
      <c r="CT525" t="e">
        <f>AND(#REF!,"AAAAAH7ne2E=")</f>
        <v>#REF!</v>
      </c>
      <c r="CU525" t="e">
        <f>AND(#REF!,"AAAAAH7ne2I=")</f>
        <v>#REF!</v>
      </c>
      <c r="CV525" t="e">
        <f>AND(#REF!,"AAAAAH7ne2M=")</f>
        <v>#REF!</v>
      </c>
      <c r="CW525" t="e">
        <f>AND(#REF!,"AAAAAH7ne2Q=")</f>
        <v>#REF!</v>
      </c>
      <c r="CX525" t="e">
        <f>AND(#REF!,"AAAAAH7ne2U=")</f>
        <v>#REF!</v>
      </c>
      <c r="CY525" t="e">
        <f>AND(#REF!,"AAAAAH7ne2Y=")</f>
        <v>#REF!</v>
      </c>
      <c r="CZ525" t="e">
        <f>IF(#REF!,"AAAAAH7ne2c=",0)</f>
        <v>#REF!</v>
      </c>
      <c r="DA525" t="e">
        <f>AND(#REF!,"AAAAAH7ne2g=")</f>
        <v>#REF!</v>
      </c>
      <c r="DB525" t="e">
        <f>AND(#REF!,"AAAAAH7ne2k=")</f>
        <v>#REF!</v>
      </c>
      <c r="DC525" t="e">
        <f>AND(#REF!,"AAAAAH7ne2o=")</f>
        <v>#REF!</v>
      </c>
      <c r="DD525" t="e">
        <f>AND(#REF!,"AAAAAH7ne2s=")</f>
        <v>#REF!</v>
      </c>
      <c r="DE525" t="e">
        <f>AND(#REF!,"AAAAAH7ne2w=")</f>
        <v>#REF!</v>
      </c>
      <c r="DF525" t="e">
        <f>AND(#REF!,"AAAAAH7ne20=")</f>
        <v>#REF!</v>
      </c>
      <c r="DG525" t="e">
        <f>AND(#REF!,"AAAAAH7ne24=")</f>
        <v>#REF!</v>
      </c>
      <c r="DH525" t="e">
        <f>AND(#REF!,"AAAAAH7ne28=")</f>
        <v>#REF!</v>
      </c>
      <c r="DI525" t="e">
        <f>AND(#REF!,"AAAAAH7ne3A=")</f>
        <v>#REF!</v>
      </c>
      <c r="DJ525" t="e">
        <f>AND(#REF!,"AAAAAH7ne3E=")</f>
        <v>#REF!</v>
      </c>
      <c r="DK525" t="e">
        <f>IF(#REF!,"AAAAAH7ne3I=",0)</f>
        <v>#REF!</v>
      </c>
      <c r="DL525" t="e">
        <f>AND(#REF!,"AAAAAH7ne3M=")</f>
        <v>#REF!</v>
      </c>
      <c r="DM525" t="e">
        <f>AND(#REF!,"AAAAAH7ne3Q=")</f>
        <v>#REF!</v>
      </c>
      <c r="DN525" t="e">
        <f>AND(#REF!,"AAAAAH7ne3U=")</f>
        <v>#REF!</v>
      </c>
      <c r="DO525" t="e">
        <f>AND(#REF!,"AAAAAH7ne3Y=")</f>
        <v>#REF!</v>
      </c>
      <c r="DP525" t="e">
        <f>AND(#REF!,"AAAAAH7ne3c=")</f>
        <v>#REF!</v>
      </c>
      <c r="DQ525" t="e">
        <f>AND(#REF!,"AAAAAH7ne3g=")</f>
        <v>#REF!</v>
      </c>
      <c r="DR525" t="e">
        <f>AND(#REF!,"AAAAAH7ne3k=")</f>
        <v>#REF!</v>
      </c>
      <c r="DS525" t="e">
        <f>AND(#REF!,"AAAAAH7ne3o=")</f>
        <v>#REF!</v>
      </c>
      <c r="DT525" t="e">
        <f>AND(#REF!,"AAAAAH7ne3s=")</f>
        <v>#REF!</v>
      </c>
      <c r="DU525" t="e">
        <f>AND(#REF!,"AAAAAH7ne3w=")</f>
        <v>#REF!</v>
      </c>
      <c r="DV525" t="e">
        <f>IF(#REF!,"AAAAAH7ne30=",0)</f>
        <v>#REF!</v>
      </c>
      <c r="DW525" t="e">
        <f>AND(#REF!,"AAAAAH7ne34=")</f>
        <v>#REF!</v>
      </c>
      <c r="DX525" t="e">
        <f>AND(#REF!,"AAAAAH7ne38=")</f>
        <v>#REF!</v>
      </c>
      <c r="DY525" t="e">
        <f>AND(#REF!,"AAAAAH7ne4A=")</f>
        <v>#REF!</v>
      </c>
      <c r="DZ525" t="e">
        <f>AND(#REF!,"AAAAAH7ne4E=")</f>
        <v>#REF!</v>
      </c>
      <c r="EA525" t="e">
        <f>AND(#REF!,"AAAAAH7ne4I=")</f>
        <v>#REF!</v>
      </c>
      <c r="EB525" t="e">
        <f>AND(#REF!,"AAAAAH7ne4M=")</f>
        <v>#REF!</v>
      </c>
      <c r="EC525" t="e">
        <f>AND(#REF!,"AAAAAH7ne4Q=")</f>
        <v>#REF!</v>
      </c>
      <c r="ED525" t="e">
        <f>AND(#REF!,"AAAAAH7ne4U=")</f>
        <v>#REF!</v>
      </c>
      <c r="EE525" t="e">
        <f>AND(#REF!,"AAAAAH7ne4Y=")</f>
        <v>#REF!</v>
      </c>
      <c r="EF525" t="e">
        <f>AND(#REF!,"AAAAAH7ne4c=")</f>
        <v>#REF!</v>
      </c>
      <c r="EG525" t="e">
        <f>IF(#REF!,"AAAAAH7ne4g=",0)</f>
        <v>#REF!</v>
      </c>
      <c r="EH525" t="e">
        <f>AND(#REF!,"AAAAAH7ne4k=")</f>
        <v>#REF!</v>
      </c>
      <c r="EI525" t="e">
        <f>AND(#REF!,"AAAAAH7ne4o=")</f>
        <v>#REF!</v>
      </c>
      <c r="EJ525" t="e">
        <f>AND(#REF!,"AAAAAH7ne4s=")</f>
        <v>#REF!</v>
      </c>
      <c r="EK525" t="e">
        <f>AND(#REF!,"AAAAAH7ne4w=")</f>
        <v>#REF!</v>
      </c>
      <c r="EL525" t="e">
        <f>AND(#REF!,"AAAAAH7ne40=")</f>
        <v>#REF!</v>
      </c>
      <c r="EM525" t="e">
        <f>AND(#REF!,"AAAAAH7ne44=")</f>
        <v>#REF!</v>
      </c>
      <c r="EN525" t="e">
        <f>AND(#REF!,"AAAAAH7ne48=")</f>
        <v>#REF!</v>
      </c>
      <c r="EO525" t="e">
        <f>AND(#REF!,"AAAAAH7ne5A=")</f>
        <v>#REF!</v>
      </c>
      <c r="EP525" t="e">
        <f>AND(#REF!,"AAAAAH7ne5E=")</f>
        <v>#REF!</v>
      </c>
      <c r="EQ525" t="e">
        <f>AND(#REF!,"AAAAAH7ne5I=")</f>
        <v>#REF!</v>
      </c>
      <c r="ER525" t="e">
        <f>IF(#REF!,"AAAAAH7ne5M=",0)</f>
        <v>#REF!</v>
      </c>
      <c r="ES525" t="e">
        <f>AND(#REF!,"AAAAAH7ne5Q=")</f>
        <v>#REF!</v>
      </c>
      <c r="ET525" t="e">
        <f>AND(#REF!,"AAAAAH7ne5U=")</f>
        <v>#REF!</v>
      </c>
      <c r="EU525" t="e">
        <f>AND(#REF!,"AAAAAH7ne5Y=")</f>
        <v>#REF!</v>
      </c>
      <c r="EV525" t="e">
        <f>AND(#REF!,"AAAAAH7ne5c=")</f>
        <v>#REF!</v>
      </c>
      <c r="EW525" t="e">
        <f>AND(#REF!,"AAAAAH7ne5g=")</f>
        <v>#REF!</v>
      </c>
      <c r="EX525" t="e">
        <f>AND(#REF!,"AAAAAH7ne5k=")</f>
        <v>#REF!</v>
      </c>
      <c r="EY525" t="e">
        <f>AND(#REF!,"AAAAAH7ne5o=")</f>
        <v>#REF!</v>
      </c>
      <c r="EZ525" t="e">
        <f>AND(#REF!,"AAAAAH7ne5s=")</f>
        <v>#REF!</v>
      </c>
      <c r="FA525" t="e">
        <f>AND(#REF!,"AAAAAH7ne5w=")</f>
        <v>#REF!</v>
      </c>
      <c r="FB525" t="e">
        <f>AND(#REF!,"AAAAAH7ne50=")</f>
        <v>#REF!</v>
      </c>
      <c r="FC525" t="e">
        <f>IF(#REF!,"AAAAAH7ne54=",0)</f>
        <v>#REF!</v>
      </c>
      <c r="FD525" t="e">
        <f>AND(#REF!,"AAAAAH7ne58=")</f>
        <v>#REF!</v>
      </c>
      <c r="FE525" t="e">
        <f>AND(#REF!,"AAAAAH7ne6A=")</f>
        <v>#REF!</v>
      </c>
      <c r="FF525" t="e">
        <f>AND(#REF!,"AAAAAH7ne6E=")</f>
        <v>#REF!</v>
      </c>
      <c r="FG525" t="e">
        <f>AND(#REF!,"AAAAAH7ne6I=")</f>
        <v>#REF!</v>
      </c>
      <c r="FH525" t="e">
        <f>AND(#REF!,"AAAAAH7ne6M=")</f>
        <v>#REF!</v>
      </c>
      <c r="FI525" t="e">
        <f>AND(#REF!,"AAAAAH7ne6Q=")</f>
        <v>#REF!</v>
      </c>
      <c r="FJ525" t="e">
        <f>AND(#REF!,"AAAAAH7ne6U=")</f>
        <v>#REF!</v>
      </c>
      <c r="FK525" t="e">
        <f>AND(#REF!,"AAAAAH7ne6Y=")</f>
        <v>#REF!</v>
      </c>
      <c r="FL525" t="e">
        <f>AND(#REF!,"AAAAAH7ne6c=")</f>
        <v>#REF!</v>
      </c>
      <c r="FM525" t="e">
        <f>AND(#REF!,"AAAAAH7ne6g=")</f>
        <v>#REF!</v>
      </c>
      <c r="FN525" t="e">
        <f>IF(#REF!,"AAAAAH7ne6k=",0)</f>
        <v>#REF!</v>
      </c>
      <c r="FO525" t="e">
        <f>AND(#REF!,"AAAAAH7ne6o=")</f>
        <v>#REF!</v>
      </c>
      <c r="FP525" t="e">
        <f>AND(#REF!,"AAAAAH7ne6s=")</f>
        <v>#REF!</v>
      </c>
      <c r="FQ525" t="e">
        <f>AND(#REF!,"AAAAAH7ne6w=")</f>
        <v>#REF!</v>
      </c>
      <c r="FR525" t="e">
        <f>AND(#REF!,"AAAAAH7ne60=")</f>
        <v>#REF!</v>
      </c>
      <c r="FS525" t="e">
        <f>AND(#REF!,"AAAAAH7ne64=")</f>
        <v>#REF!</v>
      </c>
      <c r="FT525" t="e">
        <f>AND(#REF!,"AAAAAH7ne68=")</f>
        <v>#REF!</v>
      </c>
      <c r="FU525" t="e">
        <f>AND(#REF!,"AAAAAH7ne7A=")</f>
        <v>#REF!</v>
      </c>
      <c r="FV525" t="e">
        <f>AND(#REF!,"AAAAAH7ne7E=")</f>
        <v>#REF!</v>
      </c>
      <c r="FW525" t="e">
        <f>AND(#REF!,"AAAAAH7ne7I=")</f>
        <v>#REF!</v>
      </c>
      <c r="FX525" t="e">
        <f>AND(#REF!,"AAAAAH7ne7M=")</f>
        <v>#REF!</v>
      </c>
      <c r="FY525" t="e">
        <f>IF(#REF!,"AAAAAH7ne7Q=",0)</f>
        <v>#REF!</v>
      </c>
      <c r="FZ525" t="e">
        <f>AND(#REF!,"AAAAAH7ne7U=")</f>
        <v>#REF!</v>
      </c>
      <c r="GA525" t="e">
        <f>AND(#REF!,"AAAAAH7ne7Y=")</f>
        <v>#REF!</v>
      </c>
      <c r="GB525" t="e">
        <f>AND(#REF!,"AAAAAH7ne7c=")</f>
        <v>#REF!</v>
      </c>
      <c r="GC525" t="e">
        <f>AND(#REF!,"AAAAAH7ne7g=")</f>
        <v>#REF!</v>
      </c>
      <c r="GD525" t="e">
        <f>AND(#REF!,"AAAAAH7ne7k=")</f>
        <v>#REF!</v>
      </c>
      <c r="GE525" t="e">
        <f>AND(#REF!,"AAAAAH7ne7o=")</f>
        <v>#REF!</v>
      </c>
      <c r="GF525" t="e">
        <f>AND(#REF!,"AAAAAH7ne7s=")</f>
        <v>#REF!</v>
      </c>
      <c r="GG525" t="e">
        <f>AND(#REF!,"AAAAAH7ne7w=")</f>
        <v>#REF!</v>
      </c>
      <c r="GH525" t="e">
        <f>AND(#REF!,"AAAAAH7ne70=")</f>
        <v>#REF!</v>
      </c>
      <c r="GI525" t="e">
        <f>AND(#REF!,"AAAAAH7ne74=")</f>
        <v>#REF!</v>
      </c>
      <c r="GJ525" t="e">
        <f>IF(#REF!,"AAAAAH7ne78=",0)</f>
        <v>#REF!</v>
      </c>
      <c r="GK525" t="e">
        <f>AND(#REF!,"AAAAAH7ne8A=")</f>
        <v>#REF!</v>
      </c>
      <c r="GL525" t="e">
        <f>AND(#REF!,"AAAAAH7ne8E=")</f>
        <v>#REF!</v>
      </c>
      <c r="GM525" t="e">
        <f>AND(#REF!,"AAAAAH7ne8I=")</f>
        <v>#REF!</v>
      </c>
      <c r="GN525" t="e">
        <f>AND(#REF!,"AAAAAH7ne8M=")</f>
        <v>#REF!</v>
      </c>
      <c r="GO525" t="e">
        <f>AND(#REF!,"AAAAAH7ne8Q=")</f>
        <v>#REF!</v>
      </c>
      <c r="GP525" t="e">
        <f>AND(#REF!,"AAAAAH7ne8U=")</f>
        <v>#REF!</v>
      </c>
      <c r="GQ525" t="e">
        <f>AND(#REF!,"AAAAAH7ne8Y=")</f>
        <v>#REF!</v>
      </c>
      <c r="GR525" t="e">
        <f>AND(#REF!,"AAAAAH7ne8c=")</f>
        <v>#REF!</v>
      </c>
      <c r="GS525" t="e">
        <f>AND(#REF!,"AAAAAH7ne8g=")</f>
        <v>#REF!</v>
      </c>
      <c r="GT525" t="e">
        <f>AND(#REF!,"AAAAAH7ne8k=")</f>
        <v>#REF!</v>
      </c>
      <c r="GU525" t="e">
        <f>IF(#REF!,"AAAAAH7ne8o=",0)</f>
        <v>#REF!</v>
      </c>
      <c r="GV525" t="e">
        <f>AND(#REF!,"AAAAAH7ne8s=")</f>
        <v>#REF!</v>
      </c>
      <c r="GW525" t="e">
        <f>AND(#REF!,"AAAAAH7ne8w=")</f>
        <v>#REF!</v>
      </c>
      <c r="GX525" t="e">
        <f>AND(#REF!,"AAAAAH7ne80=")</f>
        <v>#REF!</v>
      </c>
      <c r="GY525" t="e">
        <f>AND(#REF!,"AAAAAH7ne84=")</f>
        <v>#REF!</v>
      </c>
      <c r="GZ525" t="e">
        <f>AND(#REF!,"AAAAAH7ne88=")</f>
        <v>#REF!</v>
      </c>
      <c r="HA525" t="e">
        <f>AND(#REF!,"AAAAAH7ne9A=")</f>
        <v>#REF!</v>
      </c>
      <c r="HB525" t="e">
        <f>AND(#REF!,"AAAAAH7ne9E=")</f>
        <v>#REF!</v>
      </c>
      <c r="HC525" t="e">
        <f>AND(#REF!,"AAAAAH7ne9I=")</f>
        <v>#REF!</v>
      </c>
      <c r="HD525" t="e">
        <f>AND(#REF!,"AAAAAH7ne9M=")</f>
        <v>#REF!</v>
      </c>
      <c r="HE525" t="e">
        <f>AND(#REF!,"AAAAAH7ne9Q=")</f>
        <v>#REF!</v>
      </c>
      <c r="HF525" t="e">
        <f>IF(#REF!,"AAAAAH7ne9U=",0)</f>
        <v>#REF!</v>
      </c>
      <c r="HG525" t="e">
        <f>AND(#REF!,"AAAAAH7ne9Y=")</f>
        <v>#REF!</v>
      </c>
      <c r="HH525" t="e">
        <f>AND(#REF!,"AAAAAH7ne9c=")</f>
        <v>#REF!</v>
      </c>
      <c r="HI525" t="e">
        <f>AND(#REF!,"AAAAAH7ne9g=")</f>
        <v>#REF!</v>
      </c>
      <c r="HJ525" t="e">
        <f>AND(#REF!,"AAAAAH7ne9k=")</f>
        <v>#REF!</v>
      </c>
      <c r="HK525" t="e">
        <f>AND(#REF!,"AAAAAH7ne9o=")</f>
        <v>#REF!</v>
      </c>
      <c r="HL525" t="e">
        <f>AND(#REF!,"AAAAAH7ne9s=")</f>
        <v>#REF!</v>
      </c>
      <c r="HM525" t="e">
        <f>AND(#REF!,"AAAAAH7ne9w=")</f>
        <v>#REF!</v>
      </c>
      <c r="HN525" t="e">
        <f>AND(#REF!,"AAAAAH7ne90=")</f>
        <v>#REF!</v>
      </c>
      <c r="HO525" t="e">
        <f>AND(#REF!,"AAAAAH7ne94=")</f>
        <v>#REF!</v>
      </c>
      <c r="HP525" t="e">
        <f>AND(#REF!,"AAAAAH7ne98=")</f>
        <v>#REF!</v>
      </c>
      <c r="HQ525" t="e">
        <f>IF(#REF!,"AAAAAH7ne+A=",0)</f>
        <v>#REF!</v>
      </c>
      <c r="HR525" t="e">
        <f>AND(#REF!,"AAAAAH7ne+E=")</f>
        <v>#REF!</v>
      </c>
      <c r="HS525" t="e">
        <f>AND(#REF!,"AAAAAH7ne+I=")</f>
        <v>#REF!</v>
      </c>
      <c r="HT525" t="e">
        <f>AND(#REF!,"AAAAAH7ne+M=")</f>
        <v>#REF!</v>
      </c>
      <c r="HU525" t="e">
        <f>AND(#REF!,"AAAAAH7ne+Q=")</f>
        <v>#REF!</v>
      </c>
      <c r="HV525" t="e">
        <f>AND(#REF!,"AAAAAH7ne+U=")</f>
        <v>#REF!</v>
      </c>
      <c r="HW525" t="e">
        <f>AND(#REF!,"AAAAAH7ne+Y=")</f>
        <v>#REF!</v>
      </c>
      <c r="HX525" t="e">
        <f>AND(#REF!,"AAAAAH7ne+c=")</f>
        <v>#REF!</v>
      </c>
      <c r="HY525" t="e">
        <f>AND(#REF!,"AAAAAH7ne+g=")</f>
        <v>#REF!</v>
      </c>
      <c r="HZ525" t="e">
        <f>AND(#REF!,"AAAAAH7ne+k=")</f>
        <v>#REF!</v>
      </c>
      <c r="IA525" t="e">
        <f>AND(#REF!,"AAAAAH7ne+o=")</f>
        <v>#REF!</v>
      </c>
      <c r="IB525" t="e">
        <f>IF(#REF!,"AAAAAH7ne+s=",0)</f>
        <v>#REF!</v>
      </c>
      <c r="IC525" t="e">
        <f>AND(#REF!,"AAAAAH7ne+w=")</f>
        <v>#REF!</v>
      </c>
      <c r="ID525" t="e">
        <f>AND(#REF!,"AAAAAH7ne+0=")</f>
        <v>#REF!</v>
      </c>
      <c r="IE525" t="e">
        <f>AND(#REF!,"AAAAAH7ne+4=")</f>
        <v>#REF!</v>
      </c>
      <c r="IF525" t="e">
        <f>AND(#REF!,"AAAAAH7ne+8=")</f>
        <v>#REF!</v>
      </c>
      <c r="IG525" t="e">
        <f>AND(#REF!,"AAAAAH7ne/A=")</f>
        <v>#REF!</v>
      </c>
      <c r="IH525" t="e">
        <f>AND(#REF!,"AAAAAH7ne/E=")</f>
        <v>#REF!</v>
      </c>
      <c r="II525" t="e">
        <f>AND(#REF!,"AAAAAH7ne/I=")</f>
        <v>#REF!</v>
      </c>
      <c r="IJ525" t="e">
        <f>AND(#REF!,"AAAAAH7ne/M=")</f>
        <v>#REF!</v>
      </c>
      <c r="IK525" t="e">
        <f>AND(#REF!,"AAAAAH7ne/Q=")</f>
        <v>#REF!</v>
      </c>
      <c r="IL525" t="e">
        <f>AND(#REF!,"AAAAAH7ne/U=")</f>
        <v>#REF!</v>
      </c>
      <c r="IM525" t="e">
        <f>IF(#REF!,"AAAAAH7ne/Y=",0)</f>
        <v>#REF!</v>
      </c>
      <c r="IN525" t="e">
        <f>AND(#REF!,"AAAAAH7ne/c=")</f>
        <v>#REF!</v>
      </c>
      <c r="IO525" t="e">
        <f>AND(#REF!,"AAAAAH7ne/g=")</f>
        <v>#REF!</v>
      </c>
      <c r="IP525" t="e">
        <f>AND(#REF!,"AAAAAH7ne/k=")</f>
        <v>#REF!</v>
      </c>
      <c r="IQ525" t="e">
        <f>AND(#REF!,"AAAAAH7ne/o=")</f>
        <v>#REF!</v>
      </c>
      <c r="IR525" t="e">
        <f>AND(#REF!,"AAAAAH7ne/s=")</f>
        <v>#REF!</v>
      </c>
      <c r="IS525" t="e">
        <f>AND(#REF!,"AAAAAH7ne/w=")</f>
        <v>#REF!</v>
      </c>
      <c r="IT525" t="e">
        <f>AND(#REF!,"AAAAAH7ne/0=")</f>
        <v>#REF!</v>
      </c>
      <c r="IU525" t="e">
        <f>AND(#REF!,"AAAAAH7ne/4=")</f>
        <v>#REF!</v>
      </c>
      <c r="IV525" t="e">
        <f>AND(#REF!,"AAAAAH7ne/8=")</f>
        <v>#REF!</v>
      </c>
    </row>
    <row r="526" spans="1:256" x14ac:dyDescent="0.25">
      <c r="A526" t="e">
        <f>AND(#REF!,"AAAAAG44+QA=")</f>
        <v>#REF!</v>
      </c>
      <c r="B526" t="e">
        <f>IF(#REF!,"AAAAAG44+QE=",0)</f>
        <v>#REF!</v>
      </c>
      <c r="C526" t="e">
        <f>AND(#REF!,"AAAAAG44+QI=")</f>
        <v>#REF!</v>
      </c>
      <c r="D526" t="e">
        <f>AND(#REF!,"AAAAAG44+QM=")</f>
        <v>#REF!</v>
      </c>
      <c r="E526" t="e">
        <f>AND(#REF!,"AAAAAG44+QQ=")</f>
        <v>#REF!</v>
      </c>
      <c r="F526" t="e">
        <f>AND(#REF!,"AAAAAG44+QU=")</f>
        <v>#REF!</v>
      </c>
      <c r="G526" t="e">
        <f>AND(#REF!,"AAAAAG44+QY=")</f>
        <v>#REF!</v>
      </c>
      <c r="H526" t="e">
        <f>AND(#REF!,"AAAAAG44+Qc=")</f>
        <v>#REF!</v>
      </c>
      <c r="I526" t="e">
        <f>AND(#REF!,"AAAAAG44+Qg=")</f>
        <v>#REF!</v>
      </c>
      <c r="J526" t="e">
        <f>AND(#REF!,"AAAAAG44+Qk=")</f>
        <v>#REF!</v>
      </c>
      <c r="K526" t="e">
        <f>AND(#REF!,"AAAAAG44+Qo=")</f>
        <v>#REF!</v>
      </c>
      <c r="L526" t="e">
        <f>AND(#REF!,"AAAAAG44+Qs=")</f>
        <v>#REF!</v>
      </c>
      <c r="M526" t="e">
        <f>IF(#REF!,"AAAAAG44+Qw=",0)</f>
        <v>#REF!</v>
      </c>
      <c r="N526" t="e">
        <f>AND(#REF!,"AAAAAG44+Q0=")</f>
        <v>#REF!</v>
      </c>
      <c r="O526" t="e">
        <f>AND(#REF!,"AAAAAG44+Q4=")</f>
        <v>#REF!</v>
      </c>
      <c r="P526" t="e">
        <f>AND(#REF!,"AAAAAG44+Q8=")</f>
        <v>#REF!</v>
      </c>
      <c r="Q526" t="e">
        <f>AND(#REF!,"AAAAAG44+RA=")</f>
        <v>#REF!</v>
      </c>
      <c r="R526" t="e">
        <f>AND(#REF!,"AAAAAG44+RE=")</f>
        <v>#REF!</v>
      </c>
      <c r="S526" t="e">
        <f>AND(#REF!,"AAAAAG44+RI=")</f>
        <v>#REF!</v>
      </c>
      <c r="T526" t="e">
        <f>AND(#REF!,"AAAAAG44+RM=")</f>
        <v>#REF!</v>
      </c>
      <c r="U526" t="e">
        <f>AND(#REF!,"AAAAAG44+RQ=")</f>
        <v>#REF!</v>
      </c>
      <c r="V526" t="e">
        <f>AND(#REF!,"AAAAAG44+RU=")</f>
        <v>#REF!</v>
      </c>
      <c r="W526" t="e">
        <f>AND(#REF!,"AAAAAG44+RY=")</f>
        <v>#REF!</v>
      </c>
      <c r="X526" t="e">
        <f>IF(#REF!,"AAAAAG44+Rc=",0)</f>
        <v>#REF!</v>
      </c>
      <c r="Y526" t="e">
        <f>AND(#REF!,"AAAAAG44+Rg=")</f>
        <v>#REF!</v>
      </c>
      <c r="Z526" t="e">
        <f>AND(#REF!,"AAAAAG44+Rk=")</f>
        <v>#REF!</v>
      </c>
      <c r="AA526" t="e">
        <f>AND(#REF!,"AAAAAG44+Ro=")</f>
        <v>#REF!</v>
      </c>
      <c r="AB526" t="e">
        <f>AND(#REF!,"AAAAAG44+Rs=")</f>
        <v>#REF!</v>
      </c>
      <c r="AC526" t="e">
        <f>AND(#REF!,"AAAAAG44+Rw=")</f>
        <v>#REF!</v>
      </c>
      <c r="AD526" t="e">
        <f>AND(#REF!,"AAAAAG44+R0=")</f>
        <v>#REF!</v>
      </c>
      <c r="AE526" t="e">
        <f>AND(#REF!,"AAAAAG44+R4=")</f>
        <v>#REF!</v>
      </c>
      <c r="AF526" t="e">
        <f>AND(#REF!,"AAAAAG44+R8=")</f>
        <v>#REF!</v>
      </c>
      <c r="AG526" t="e">
        <f>AND(#REF!,"AAAAAG44+SA=")</f>
        <v>#REF!</v>
      </c>
      <c r="AH526" t="e">
        <f>AND(#REF!,"AAAAAG44+SE=")</f>
        <v>#REF!</v>
      </c>
      <c r="AI526" t="e">
        <f>IF(#REF!,"AAAAAG44+SI=",0)</f>
        <v>#REF!</v>
      </c>
      <c r="AJ526" t="e">
        <f>AND(#REF!,"AAAAAG44+SM=")</f>
        <v>#REF!</v>
      </c>
      <c r="AK526" t="e">
        <f>AND(#REF!,"AAAAAG44+SQ=")</f>
        <v>#REF!</v>
      </c>
      <c r="AL526" t="e">
        <f>AND(#REF!,"AAAAAG44+SU=")</f>
        <v>#REF!</v>
      </c>
      <c r="AM526" t="e">
        <f>AND(#REF!,"AAAAAG44+SY=")</f>
        <v>#REF!</v>
      </c>
      <c r="AN526" t="e">
        <f>AND(#REF!,"AAAAAG44+Sc=")</f>
        <v>#REF!</v>
      </c>
      <c r="AO526" t="e">
        <f>AND(#REF!,"AAAAAG44+Sg=")</f>
        <v>#REF!</v>
      </c>
      <c r="AP526" t="e">
        <f>AND(#REF!,"AAAAAG44+Sk=")</f>
        <v>#REF!</v>
      </c>
      <c r="AQ526" t="e">
        <f>AND(#REF!,"AAAAAG44+So=")</f>
        <v>#REF!</v>
      </c>
      <c r="AR526" t="e">
        <f>AND(#REF!,"AAAAAG44+Ss=")</f>
        <v>#REF!</v>
      </c>
      <c r="AS526" t="e">
        <f>AND(#REF!,"AAAAAG44+Sw=")</f>
        <v>#REF!</v>
      </c>
      <c r="AT526" t="e">
        <f>IF(#REF!,"AAAAAG44+S0=",0)</f>
        <v>#REF!</v>
      </c>
      <c r="AU526" t="e">
        <f>AND(#REF!,"AAAAAG44+S4=")</f>
        <v>#REF!</v>
      </c>
      <c r="AV526" t="e">
        <f>AND(#REF!,"AAAAAG44+S8=")</f>
        <v>#REF!</v>
      </c>
      <c r="AW526" t="e">
        <f>AND(#REF!,"AAAAAG44+TA=")</f>
        <v>#REF!</v>
      </c>
      <c r="AX526" t="e">
        <f>AND(#REF!,"AAAAAG44+TE=")</f>
        <v>#REF!</v>
      </c>
      <c r="AY526" t="e">
        <f>AND(#REF!,"AAAAAG44+TI=")</f>
        <v>#REF!</v>
      </c>
      <c r="AZ526" t="e">
        <f>AND(#REF!,"AAAAAG44+TM=")</f>
        <v>#REF!</v>
      </c>
      <c r="BA526" t="e">
        <f>AND(#REF!,"AAAAAG44+TQ=")</f>
        <v>#REF!</v>
      </c>
      <c r="BB526" t="e">
        <f>AND(#REF!,"AAAAAG44+TU=")</f>
        <v>#REF!</v>
      </c>
      <c r="BC526" t="e">
        <f>AND(#REF!,"AAAAAG44+TY=")</f>
        <v>#REF!</v>
      </c>
      <c r="BD526" t="e">
        <f>AND(#REF!,"AAAAAG44+Tc=")</f>
        <v>#REF!</v>
      </c>
      <c r="BE526" t="e">
        <f>IF(#REF!,"AAAAAG44+Tg=",0)</f>
        <v>#REF!</v>
      </c>
      <c r="BF526" t="e">
        <f>AND(#REF!,"AAAAAG44+Tk=")</f>
        <v>#REF!</v>
      </c>
      <c r="BG526" t="e">
        <f>AND(#REF!,"AAAAAG44+To=")</f>
        <v>#REF!</v>
      </c>
      <c r="BH526" t="e">
        <f>AND(#REF!,"AAAAAG44+Ts=")</f>
        <v>#REF!</v>
      </c>
      <c r="BI526" t="e">
        <f>AND(#REF!,"AAAAAG44+Tw=")</f>
        <v>#REF!</v>
      </c>
      <c r="BJ526" t="e">
        <f>AND(#REF!,"AAAAAG44+T0=")</f>
        <v>#REF!</v>
      </c>
      <c r="BK526" t="e">
        <f>AND(#REF!,"AAAAAG44+T4=")</f>
        <v>#REF!</v>
      </c>
      <c r="BL526" t="e">
        <f>AND(#REF!,"AAAAAG44+T8=")</f>
        <v>#REF!</v>
      </c>
      <c r="BM526" t="e">
        <f>AND(#REF!,"AAAAAG44+UA=")</f>
        <v>#REF!</v>
      </c>
      <c r="BN526" t="e">
        <f>AND(#REF!,"AAAAAG44+UE=")</f>
        <v>#REF!</v>
      </c>
      <c r="BO526" t="e">
        <f>AND(#REF!,"AAAAAG44+UI=")</f>
        <v>#REF!</v>
      </c>
      <c r="BP526" t="e">
        <f>IF(#REF!,"AAAAAG44+UM=",0)</f>
        <v>#REF!</v>
      </c>
      <c r="BQ526" t="e">
        <f>AND(#REF!,"AAAAAG44+UQ=")</f>
        <v>#REF!</v>
      </c>
      <c r="BR526" t="e">
        <f>AND(#REF!,"AAAAAG44+UU=")</f>
        <v>#REF!</v>
      </c>
      <c r="BS526" t="e">
        <f>AND(#REF!,"AAAAAG44+UY=")</f>
        <v>#REF!</v>
      </c>
      <c r="BT526" t="e">
        <f>AND(#REF!,"AAAAAG44+Uc=")</f>
        <v>#REF!</v>
      </c>
      <c r="BU526" t="e">
        <f>AND(#REF!,"AAAAAG44+Ug=")</f>
        <v>#REF!</v>
      </c>
      <c r="BV526" t="e">
        <f>AND(#REF!,"AAAAAG44+Uk=")</f>
        <v>#REF!</v>
      </c>
      <c r="BW526" t="e">
        <f>AND(#REF!,"AAAAAG44+Uo=")</f>
        <v>#REF!</v>
      </c>
      <c r="BX526" t="e">
        <f>AND(#REF!,"AAAAAG44+Us=")</f>
        <v>#REF!</v>
      </c>
      <c r="BY526" t="e">
        <f>AND(#REF!,"AAAAAG44+Uw=")</f>
        <v>#REF!</v>
      </c>
      <c r="BZ526" t="e">
        <f>AND(#REF!,"AAAAAG44+U0=")</f>
        <v>#REF!</v>
      </c>
      <c r="CA526" t="e">
        <f>IF(#REF!,"AAAAAG44+U4=",0)</f>
        <v>#REF!</v>
      </c>
      <c r="CB526" t="e">
        <f>AND(#REF!,"AAAAAG44+U8=")</f>
        <v>#REF!</v>
      </c>
      <c r="CC526" t="e">
        <f>AND(#REF!,"AAAAAG44+VA=")</f>
        <v>#REF!</v>
      </c>
      <c r="CD526" t="e">
        <f>AND(#REF!,"AAAAAG44+VE=")</f>
        <v>#REF!</v>
      </c>
      <c r="CE526" t="e">
        <f>AND(#REF!,"AAAAAG44+VI=")</f>
        <v>#REF!</v>
      </c>
      <c r="CF526" t="e">
        <f>AND(#REF!,"AAAAAG44+VM=")</f>
        <v>#REF!</v>
      </c>
      <c r="CG526" t="e">
        <f>AND(#REF!,"AAAAAG44+VQ=")</f>
        <v>#REF!</v>
      </c>
      <c r="CH526" t="e">
        <f>AND(#REF!,"AAAAAG44+VU=")</f>
        <v>#REF!</v>
      </c>
      <c r="CI526" t="e">
        <f>AND(#REF!,"AAAAAG44+VY=")</f>
        <v>#REF!</v>
      </c>
      <c r="CJ526" t="e">
        <f>AND(#REF!,"AAAAAG44+Vc=")</f>
        <v>#REF!</v>
      </c>
      <c r="CK526" t="e">
        <f>AND(#REF!,"AAAAAG44+Vg=")</f>
        <v>#REF!</v>
      </c>
      <c r="CL526" t="e">
        <f>IF(#REF!,"AAAAAG44+Vk=",0)</f>
        <v>#REF!</v>
      </c>
      <c r="CM526" t="e">
        <f>AND(#REF!,"AAAAAG44+Vo=")</f>
        <v>#REF!</v>
      </c>
      <c r="CN526" t="e">
        <f>AND(#REF!,"AAAAAG44+Vs=")</f>
        <v>#REF!</v>
      </c>
      <c r="CO526" t="e">
        <f>AND(#REF!,"AAAAAG44+Vw=")</f>
        <v>#REF!</v>
      </c>
      <c r="CP526" t="e">
        <f>AND(#REF!,"AAAAAG44+V0=")</f>
        <v>#REF!</v>
      </c>
      <c r="CQ526" t="e">
        <f>AND(#REF!,"AAAAAG44+V4=")</f>
        <v>#REF!</v>
      </c>
      <c r="CR526" t="e">
        <f>AND(#REF!,"AAAAAG44+V8=")</f>
        <v>#REF!</v>
      </c>
      <c r="CS526" t="e">
        <f>AND(#REF!,"AAAAAG44+WA=")</f>
        <v>#REF!</v>
      </c>
      <c r="CT526" t="e">
        <f>AND(#REF!,"AAAAAG44+WE=")</f>
        <v>#REF!</v>
      </c>
      <c r="CU526" t="e">
        <f>AND(#REF!,"AAAAAG44+WI=")</f>
        <v>#REF!</v>
      </c>
      <c r="CV526" t="e">
        <f>AND(#REF!,"AAAAAG44+WM=")</f>
        <v>#REF!</v>
      </c>
      <c r="CW526" t="e">
        <f>IF(#REF!,"AAAAAG44+WQ=",0)</f>
        <v>#REF!</v>
      </c>
      <c r="CX526" t="e">
        <f>AND(#REF!,"AAAAAG44+WU=")</f>
        <v>#REF!</v>
      </c>
      <c r="CY526" t="e">
        <f>AND(#REF!,"AAAAAG44+WY=")</f>
        <v>#REF!</v>
      </c>
      <c r="CZ526" t="e">
        <f>AND(#REF!,"AAAAAG44+Wc=")</f>
        <v>#REF!</v>
      </c>
      <c r="DA526" t="e">
        <f>AND(#REF!,"AAAAAG44+Wg=")</f>
        <v>#REF!</v>
      </c>
      <c r="DB526" t="e">
        <f>AND(#REF!,"AAAAAG44+Wk=")</f>
        <v>#REF!</v>
      </c>
      <c r="DC526" t="e">
        <f>AND(#REF!,"AAAAAG44+Wo=")</f>
        <v>#REF!</v>
      </c>
      <c r="DD526" t="e">
        <f>AND(#REF!,"AAAAAG44+Ws=")</f>
        <v>#REF!</v>
      </c>
      <c r="DE526" t="e">
        <f>AND(#REF!,"AAAAAG44+Ww=")</f>
        <v>#REF!</v>
      </c>
      <c r="DF526" t="e">
        <f>AND(#REF!,"AAAAAG44+W0=")</f>
        <v>#REF!</v>
      </c>
      <c r="DG526" t="e">
        <f>AND(#REF!,"AAAAAG44+W4=")</f>
        <v>#REF!</v>
      </c>
      <c r="DH526" t="e">
        <f>IF(#REF!,"AAAAAG44+W8=",0)</f>
        <v>#REF!</v>
      </c>
      <c r="DI526" t="e">
        <f>AND(#REF!,"AAAAAG44+XA=")</f>
        <v>#REF!</v>
      </c>
      <c r="DJ526" t="e">
        <f>AND(#REF!,"AAAAAG44+XE=")</f>
        <v>#REF!</v>
      </c>
      <c r="DK526" t="e">
        <f>AND(#REF!,"AAAAAG44+XI=")</f>
        <v>#REF!</v>
      </c>
      <c r="DL526" t="e">
        <f>AND(#REF!,"AAAAAG44+XM=")</f>
        <v>#REF!</v>
      </c>
      <c r="DM526" t="e">
        <f>AND(#REF!,"AAAAAG44+XQ=")</f>
        <v>#REF!</v>
      </c>
      <c r="DN526" t="e">
        <f>AND(#REF!,"AAAAAG44+XU=")</f>
        <v>#REF!</v>
      </c>
      <c r="DO526" t="e">
        <f>AND(#REF!,"AAAAAG44+XY=")</f>
        <v>#REF!</v>
      </c>
      <c r="DP526" t="e">
        <f>AND(#REF!,"AAAAAG44+Xc=")</f>
        <v>#REF!</v>
      </c>
      <c r="DQ526" t="e">
        <f>AND(#REF!,"AAAAAG44+Xg=")</f>
        <v>#REF!</v>
      </c>
      <c r="DR526" t="e">
        <f>AND(#REF!,"AAAAAG44+Xk=")</f>
        <v>#REF!</v>
      </c>
      <c r="DS526" t="e">
        <f>IF(#REF!,"AAAAAG44+Xo=",0)</f>
        <v>#REF!</v>
      </c>
      <c r="DT526" t="e">
        <f>AND(#REF!,"AAAAAG44+Xs=")</f>
        <v>#REF!</v>
      </c>
      <c r="DU526" t="e">
        <f>AND(#REF!,"AAAAAG44+Xw=")</f>
        <v>#REF!</v>
      </c>
      <c r="DV526" t="e">
        <f>AND(#REF!,"AAAAAG44+X0=")</f>
        <v>#REF!</v>
      </c>
      <c r="DW526" t="e">
        <f>AND(#REF!,"AAAAAG44+X4=")</f>
        <v>#REF!</v>
      </c>
      <c r="DX526" t="e">
        <f>AND(#REF!,"AAAAAG44+X8=")</f>
        <v>#REF!</v>
      </c>
      <c r="DY526" t="e">
        <f>AND(#REF!,"AAAAAG44+YA=")</f>
        <v>#REF!</v>
      </c>
      <c r="DZ526" t="e">
        <f>AND(#REF!,"AAAAAG44+YE=")</f>
        <v>#REF!</v>
      </c>
      <c r="EA526" t="e">
        <f>AND(#REF!,"AAAAAG44+YI=")</f>
        <v>#REF!</v>
      </c>
      <c r="EB526" t="e">
        <f>AND(#REF!,"AAAAAG44+YM=")</f>
        <v>#REF!</v>
      </c>
      <c r="EC526" t="e">
        <f>AND(#REF!,"AAAAAG44+YQ=")</f>
        <v>#REF!</v>
      </c>
      <c r="ED526" t="e">
        <f>IF(#REF!,"AAAAAG44+YU=",0)</f>
        <v>#REF!</v>
      </c>
      <c r="EE526" t="e">
        <f>AND(#REF!,"AAAAAG44+YY=")</f>
        <v>#REF!</v>
      </c>
      <c r="EF526" t="e">
        <f>AND(#REF!,"AAAAAG44+Yc=")</f>
        <v>#REF!</v>
      </c>
      <c r="EG526" t="e">
        <f>AND(#REF!,"AAAAAG44+Yg=")</f>
        <v>#REF!</v>
      </c>
      <c r="EH526" t="e">
        <f>AND(#REF!,"AAAAAG44+Yk=")</f>
        <v>#REF!</v>
      </c>
      <c r="EI526" t="e">
        <f>AND(#REF!,"AAAAAG44+Yo=")</f>
        <v>#REF!</v>
      </c>
      <c r="EJ526" t="e">
        <f>AND(#REF!,"AAAAAG44+Ys=")</f>
        <v>#REF!</v>
      </c>
      <c r="EK526" t="e">
        <f>AND(#REF!,"AAAAAG44+Yw=")</f>
        <v>#REF!</v>
      </c>
      <c r="EL526" t="e">
        <f>AND(#REF!,"AAAAAG44+Y0=")</f>
        <v>#REF!</v>
      </c>
      <c r="EM526" t="e">
        <f>AND(#REF!,"AAAAAG44+Y4=")</f>
        <v>#REF!</v>
      </c>
      <c r="EN526" t="e">
        <f>AND(#REF!,"AAAAAG44+Y8=")</f>
        <v>#REF!</v>
      </c>
      <c r="EO526" t="e">
        <f>IF(#REF!,"AAAAAG44+ZA=",0)</f>
        <v>#REF!</v>
      </c>
      <c r="EP526" t="e">
        <f>AND(#REF!,"AAAAAG44+ZE=")</f>
        <v>#REF!</v>
      </c>
      <c r="EQ526" t="e">
        <f>AND(#REF!,"AAAAAG44+ZI=")</f>
        <v>#REF!</v>
      </c>
      <c r="ER526" t="e">
        <f>AND(#REF!,"AAAAAG44+ZM=")</f>
        <v>#REF!</v>
      </c>
      <c r="ES526" t="e">
        <f>AND(#REF!,"AAAAAG44+ZQ=")</f>
        <v>#REF!</v>
      </c>
      <c r="ET526" t="e">
        <f>AND(#REF!,"AAAAAG44+ZU=")</f>
        <v>#REF!</v>
      </c>
      <c r="EU526" t="e">
        <f>AND(#REF!,"AAAAAG44+ZY=")</f>
        <v>#REF!</v>
      </c>
      <c r="EV526" t="e">
        <f>AND(#REF!,"AAAAAG44+Zc=")</f>
        <v>#REF!</v>
      </c>
      <c r="EW526" t="e">
        <f>AND(#REF!,"AAAAAG44+Zg=")</f>
        <v>#REF!</v>
      </c>
      <c r="EX526" t="e">
        <f>AND(#REF!,"AAAAAG44+Zk=")</f>
        <v>#REF!</v>
      </c>
      <c r="EY526" t="e">
        <f>AND(#REF!,"AAAAAG44+Zo=")</f>
        <v>#REF!</v>
      </c>
      <c r="EZ526" t="e">
        <f>IF(#REF!,"AAAAAG44+Zs=",0)</f>
        <v>#REF!</v>
      </c>
      <c r="FA526" t="e">
        <f>AND(#REF!,"AAAAAG44+Zw=")</f>
        <v>#REF!</v>
      </c>
      <c r="FB526" t="e">
        <f>AND(#REF!,"AAAAAG44+Z0=")</f>
        <v>#REF!</v>
      </c>
      <c r="FC526" t="e">
        <f>AND(#REF!,"AAAAAG44+Z4=")</f>
        <v>#REF!</v>
      </c>
      <c r="FD526" t="e">
        <f>AND(#REF!,"AAAAAG44+Z8=")</f>
        <v>#REF!</v>
      </c>
      <c r="FE526" t="e">
        <f>AND(#REF!,"AAAAAG44+aA=")</f>
        <v>#REF!</v>
      </c>
      <c r="FF526" t="e">
        <f>AND(#REF!,"AAAAAG44+aE=")</f>
        <v>#REF!</v>
      </c>
      <c r="FG526" t="e">
        <f>AND(#REF!,"AAAAAG44+aI=")</f>
        <v>#REF!</v>
      </c>
      <c r="FH526" t="e">
        <f>AND(#REF!,"AAAAAG44+aM=")</f>
        <v>#REF!</v>
      </c>
      <c r="FI526" t="e">
        <f>AND(#REF!,"AAAAAG44+aQ=")</f>
        <v>#REF!</v>
      </c>
      <c r="FJ526" t="e">
        <f>AND(#REF!,"AAAAAG44+aU=")</f>
        <v>#REF!</v>
      </c>
      <c r="FK526" t="e">
        <f>IF(#REF!,"AAAAAG44+aY=",0)</f>
        <v>#REF!</v>
      </c>
      <c r="FL526" t="e">
        <f>AND(#REF!,"AAAAAG44+ac=")</f>
        <v>#REF!</v>
      </c>
      <c r="FM526" t="e">
        <f>AND(#REF!,"AAAAAG44+ag=")</f>
        <v>#REF!</v>
      </c>
      <c r="FN526" t="e">
        <f>AND(#REF!,"AAAAAG44+ak=")</f>
        <v>#REF!</v>
      </c>
      <c r="FO526" t="e">
        <f>AND(#REF!,"AAAAAG44+ao=")</f>
        <v>#REF!</v>
      </c>
      <c r="FP526" t="e">
        <f>AND(#REF!,"AAAAAG44+as=")</f>
        <v>#REF!</v>
      </c>
      <c r="FQ526" t="e">
        <f>AND(#REF!,"AAAAAG44+aw=")</f>
        <v>#REF!</v>
      </c>
      <c r="FR526" t="e">
        <f>AND(#REF!,"AAAAAG44+a0=")</f>
        <v>#REF!</v>
      </c>
      <c r="FS526" t="e">
        <f>AND(#REF!,"AAAAAG44+a4=")</f>
        <v>#REF!</v>
      </c>
      <c r="FT526" t="e">
        <f>AND(#REF!,"AAAAAG44+a8=")</f>
        <v>#REF!</v>
      </c>
      <c r="FU526" t="e">
        <f>AND(#REF!,"AAAAAG44+bA=")</f>
        <v>#REF!</v>
      </c>
      <c r="FV526" t="e">
        <f>IF(#REF!,"AAAAAG44+bE=",0)</f>
        <v>#REF!</v>
      </c>
      <c r="FW526" t="e">
        <f>AND(#REF!,"AAAAAG44+bI=")</f>
        <v>#REF!</v>
      </c>
      <c r="FX526" t="e">
        <f>AND(#REF!,"AAAAAG44+bM=")</f>
        <v>#REF!</v>
      </c>
      <c r="FY526" t="e">
        <f>AND(#REF!,"AAAAAG44+bQ=")</f>
        <v>#REF!</v>
      </c>
      <c r="FZ526" t="e">
        <f>AND(#REF!,"AAAAAG44+bU=")</f>
        <v>#REF!</v>
      </c>
      <c r="GA526" t="e">
        <f>AND(#REF!,"AAAAAG44+bY=")</f>
        <v>#REF!</v>
      </c>
      <c r="GB526" t="e">
        <f>AND(#REF!,"AAAAAG44+bc=")</f>
        <v>#REF!</v>
      </c>
      <c r="GC526" t="e">
        <f>AND(#REF!,"AAAAAG44+bg=")</f>
        <v>#REF!</v>
      </c>
      <c r="GD526" t="e">
        <f>AND(#REF!,"AAAAAG44+bk=")</f>
        <v>#REF!</v>
      </c>
      <c r="GE526" t="e">
        <f>AND(#REF!,"AAAAAG44+bo=")</f>
        <v>#REF!</v>
      </c>
      <c r="GF526" t="e">
        <f>AND(#REF!,"AAAAAG44+bs=")</f>
        <v>#REF!</v>
      </c>
      <c r="GG526" t="e">
        <f>IF(#REF!,"AAAAAG44+bw=",0)</f>
        <v>#REF!</v>
      </c>
      <c r="GH526" t="e">
        <f>AND(#REF!,"AAAAAG44+b0=")</f>
        <v>#REF!</v>
      </c>
      <c r="GI526" t="e">
        <f>AND(#REF!,"AAAAAG44+b4=")</f>
        <v>#REF!</v>
      </c>
      <c r="GJ526" t="e">
        <f>AND(#REF!,"AAAAAG44+b8=")</f>
        <v>#REF!</v>
      </c>
      <c r="GK526" t="e">
        <f>AND(#REF!,"AAAAAG44+cA=")</f>
        <v>#REF!</v>
      </c>
      <c r="GL526" t="e">
        <f>AND(#REF!,"AAAAAG44+cE=")</f>
        <v>#REF!</v>
      </c>
      <c r="GM526" t="e">
        <f>AND(#REF!,"AAAAAG44+cI=")</f>
        <v>#REF!</v>
      </c>
      <c r="GN526" t="e">
        <f>AND(#REF!,"AAAAAG44+cM=")</f>
        <v>#REF!</v>
      </c>
      <c r="GO526" t="e">
        <f>AND(#REF!,"AAAAAG44+cQ=")</f>
        <v>#REF!</v>
      </c>
      <c r="GP526" t="e">
        <f>AND(#REF!,"AAAAAG44+cU=")</f>
        <v>#REF!</v>
      </c>
      <c r="GQ526" t="e">
        <f>AND(#REF!,"AAAAAG44+cY=")</f>
        <v>#REF!</v>
      </c>
      <c r="GR526" t="e">
        <f>IF(#REF!,"AAAAAG44+cc=",0)</f>
        <v>#REF!</v>
      </c>
      <c r="GS526" t="e">
        <f>AND(#REF!,"AAAAAG44+cg=")</f>
        <v>#REF!</v>
      </c>
      <c r="GT526" t="e">
        <f>AND(#REF!,"AAAAAG44+ck=")</f>
        <v>#REF!</v>
      </c>
      <c r="GU526" t="e">
        <f>AND(#REF!,"AAAAAG44+co=")</f>
        <v>#REF!</v>
      </c>
      <c r="GV526" t="e">
        <f>AND(#REF!,"AAAAAG44+cs=")</f>
        <v>#REF!</v>
      </c>
      <c r="GW526" t="e">
        <f>AND(#REF!,"AAAAAG44+cw=")</f>
        <v>#REF!</v>
      </c>
      <c r="GX526" t="e">
        <f>AND(#REF!,"AAAAAG44+c0=")</f>
        <v>#REF!</v>
      </c>
      <c r="GY526" t="e">
        <f>AND(#REF!,"AAAAAG44+c4=")</f>
        <v>#REF!</v>
      </c>
      <c r="GZ526" t="e">
        <f>AND(#REF!,"AAAAAG44+c8=")</f>
        <v>#REF!</v>
      </c>
      <c r="HA526" t="e">
        <f>AND(#REF!,"AAAAAG44+dA=")</f>
        <v>#REF!</v>
      </c>
      <c r="HB526" t="e">
        <f>AND(#REF!,"AAAAAG44+dE=")</f>
        <v>#REF!</v>
      </c>
      <c r="HC526" t="e">
        <f>IF(#REF!,"AAAAAG44+dI=",0)</f>
        <v>#REF!</v>
      </c>
      <c r="HD526" t="e">
        <f>AND(#REF!,"AAAAAG44+dM=")</f>
        <v>#REF!</v>
      </c>
      <c r="HE526" t="e">
        <f>AND(#REF!,"AAAAAG44+dQ=")</f>
        <v>#REF!</v>
      </c>
      <c r="HF526" t="e">
        <f>AND(#REF!,"AAAAAG44+dU=")</f>
        <v>#REF!</v>
      </c>
      <c r="HG526" t="e">
        <f>AND(#REF!,"AAAAAG44+dY=")</f>
        <v>#REF!</v>
      </c>
      <c r="HH526" t="e">
        <f>AND(#REF!,"AAAAAG44+dc=")</f>
        <v>#REF!</v>
      </c>
      <c r="HI526" t="e">
        <f>AND(#REF!,"AAAAAG44+dg=")</f>
        <v>#REF!</v>
      </c>
      <c r="HJ526" t="e">
        <f>AND(#REF!,"AAAAAG44+dk=")</f>
        <v>#REF!</v>
      </c>
      <c r="HK526" t="e">
        <f>AND(#REF!,"AAAAAG44+do=")</f>
        <v>#REF!</v>
      </c>
      <c r="HL526" t="e">
        <f>AND(#REF!,"AAAAAG44+ds=")</f>
        <v>#REF!</v>
      </c>
      <c r="HM526" t="e">
        <f>AND(#REF!,"AAAAAG44+dw=")</f>
        <v>#REF!</v>
      </c>
      <c r="HN526" t="e">
        <f>IF(#REF!,"AAAAAG44+d0=",0)</f>
        <v>#REF!</v>
      </c>
      <c r="HO526" t="e">
        <f>AND(#REF!,"AAAAAG44+d4=")</f>
        <v>#REF!</v>
      </c>
      <c r="HP526" t="e">
        <f>AND(#REF!,"AAAAAG44+d8=")</f>
        <v>#REF!</v>
      </c>
      <c r="HQ526" t="e">
        <f>AND(#REF!,"AAAAAG44+eA=")</f>
        <v>#REF!</v>
      </c>
      <c r="HR526" t="e">
        <f>AND(#REF!,"AAAAAG44+eE=")</f>
        <v>#REF!</v>
      </c>
      <c r="HS526" t="e">
        <f>AND(#REF!,"AAAAAG44+eI=")</f>
        <v>#REF!</v>
      </c>
      <c r="HT526" t="e">
        <f>AND(#REF!,"AAAAAG44+eM=")</f>
        <v>#REF!</v>
      </c>
      <c r="HU526" t="e">
        <f>AND(#REF!,"AAAAAG44+eQ=")</f>
        <v>#REF!</v>
      </c>
      <c r="HV526" t="e">
        <f>AND(#REF!,"AAAAAG44+eU=")</f>
        <v>#REF!</v>
      </c>
      <c r="HW526" t="e">
        <f>AND(#REF!,"AAAAAG44+eY=")</f>
        <v>#REF!</v>
      </c>
      <c r="HX526" t="e">
        <f>AND(#REF!,"AAAAAG44+ec=")</f>
        <v>#REF!</v>
      </c>
      <c r="HY526" t="e">
        <f>IF(#REF!,"AAAAAG44+eg=",0)</f>
        <v>#REF!</v>
      </c>
      <c r="HZ526" t="e">
        <f>AND(#REF!,"AAAAAG44+ek=")</f>
        <v>#REF!</v>
      </c>
      <c r="IA526" t="e">
        <f>AND(#REF!,"AAAAAG44+eo=")</f>
        <v>#REF!</v>
      </c>
      <c r="IB526" t="e">
        <f>AND(#REF!,"AAAAAG44+es=")</f>
        <v>#REF!</v>
      </c>
      <c r="IC526" t="e">
        <f>AND(#REF!,"AAAAAG44+ew=")</f>
        <v>#REF!</v>
      </c>
      <c r="ID526" t="e">
        <f>AND(#REF!,"AAAAAG44+e0=")</f>
        <v>#REF!</v>
      </c>
      <c r="IE526" t="e">
        <f>AND(#REF!,"AAAAAG44+e4=")</f>
        <v>#REF!</v>
      </c>
      <c r="IF526" t="e">
        <f>AND(#REF!,"AAAAAG44+e8=")</f>
        <v>#REF!</v>
      </c>
      <c r="IG526" t="e">
        <f>AND(#REF!,"AAAAAG44+fA=")</f>
        <v>#REF!</v>
      </c>
      <c r="IH526" t="e">
        <f>AND(#REF!,"AAAAAG44+fE=")</f>
        <v>#REF!</v>
      </c>
      <c r="II526" t="e">
        <f>AND(#REF!,"AAAAAG44+fI=")</f>
        <v>#REF!</v>
      </c>
      <c r="IJ526" t="e">
        <f>IF(#REF!,"AAAAAG44+fM=",0)</f>
        <v>#REF!</v>
      </c>
      <c r="IK526" t="e">
        <f>AND(#REF!,"AAAAAG44+fQ=")</f>
        <v>#REF!</v>
      </c>
      <c r="IL526" t="e">
        <f>AND(#REF!,"AAAAAG44+fU=")</f>
        <v>#REF!</v>
      </c>
      <c r="IM526" t="e">
        <f>AND(#REF!,"AAAAAG44+fY=")</f>
        <v>#REF!</v>
      </c>
      <c r="IN526" t="e">
        <f>AND(#REF!,"AAAAAG44+fc=")</f>
        <v>#REF!</v>
      </c>
      <c r="IO526" t="e">
        <f>AND(#REF!,"AAAAAG44+fg=")</f>
        <v>#REF!</v>
      </c>
      <c r="IP526" t="e">
        <f>AND(#REF!,"AAAAAG44+fk=")</f>
        <v>#REF!</v>
      </c>
      <c r="IQ526" t="e">
        <f>AND(#REF!,"AAAAAG44+fo=")</f>
        <v>#REF!</v>
      </c>
      <c r="IR526" t="e">
        <f>AND(#REF!,"AAAAAG44+fs=")</f>
        <v>#REF!</v>
      </c>
      <c r="IS526" t="e">
        <f>AND(#REF!,"AAAAAG44+fw=")</f>
        <v>#REF!</v>
      </c>
      <c r="IT526" t="e">
        <f>AND(#REF!,"AAAAAG44+f0=")</f>
        <v>#REF!</v>
      </c>
      <c r="IU526" t="e">
        <f>IF(#REF!,"AAAAAG44+f4=",0)</f>
        <v>#REF!</v>
      </c>
      <c r="IV526" t="e">
        <f>AND(#REF!,"AAAAAG44+f8=")</f>
        <v>#REF!</v>
      </c>
    </row>
    <row r="527" spans="1:256" x14ac:dyDescent="0.25">
      <c r="A527" t="e">
        <f>AND(#REF!,"AAAAAHNRtwA=")</f>
        <v>#REF!</v>
      </c>
      <c r="B527" t="e">
        <f>AND(#REF!,"AAAAAHNRtwE=")</f>
        <v>#REF!</v>
      </c>
      <c r="C527" t="e">
        <f>AND(#REF!,"AAAAAHNRtwI=")</f>
        <v>#REF!</v>
      </c>
      <c r="D527" t="e">
        <f>AND(#REF!,"AAAAAHNRtwM=")</f>
        <v>#REF!</v>
      </c>
      <c r="E527" t="e">
        <f>AND(#REF!,"AAAAAHNRtwQ=")</f>
        <v>#REF!</v>
      </c>
      <c r="F527" t="e">
        <f>AND(#REF!,"AAAAAHNRtwU=")</f>
        <v>#REF!</v>
      </c>
      <c r="G527" t="e">
        <f>AND(#REF!,"AAAAAHNRtwY=")</f>
        <v>#REF!</v>
      </c>
      <c r="H527" t="e">
        <f>AND(#REF!,"AAAAAHNRtwc=")</f>
        <v>#REF!</v>
      </c>
      <c r="I527" t="e">
        <f>AND(#REF!,"AAAAAHNRtwg=")</f>
        <v>#REF!</v>
      </c>
      <c r="J527" t="e">
        <f>IF(#REF!,"AAAAAHNRtwk=",0)</f>
        <v>#REF!</v>
      </c>
      <c r="K527" t="e">
        <f>AND(#REF!,"AAAAAHNRtwo=")</f>
        <v>#REF!</v>
      </c>
      <c r="L527" t="e">
        <f>AND(#REF!,"AAAAAHNRtws=")</f>
        <v>#REF!</v>
      </c>
      <c r="M527" t="e">
        <f>AND(#REF!,"AAAAAHNRtww=")</f>
        <v>#REF!</v>
      </c>
      <c r="N527" t="e">
        <f>AND(#REF!,"AAAAAHNRtw0=")</f>
        <v>#REF!</v>
      </c>
      <c r="O527" t="e">
        <f>AND(#REF!,"AAAAAHNRtw4=")</f>
        <v>#REF!</v>
      </c>
      <c r="P527" t="e">
        <f>AND(#REF!,"AAAAAHNRtw8=")</f>
        <v>#REF!</v>
      </c>
      <c r="Q527" t="e">
        <f>AND(#REF!,"AAAAAHNRtxA=")</f>
        <v>#REF!</v>
      </c>
      <c r="R527" t="e">
        <f>AND(#REF!,"AAAAAHNRtxE=")</f>
        <v>#REF!</v>
      </c>
      <c r="S527" t="e">
        <f>AND(#REF!,"AAAAAHNRtxI=")</f>
        <v>#REF!</v>
      </c>
      <c r="T527" t="e">
        <f>AND(#REF!,"AAAAAHNRtxM=")</f>
        <v>#REF!</v>
      </c>
      <c r="U527" t="e">
        <f>IF(#REF!,"AAAAAHNRtxQ=",0)</f>
        <v>#REF!</v>
      </c>
      <c r="V527" t="e">
        <f>AND(#REF!,"AAAAAHNRtxU=")</f>
        <v>#REF!</v>
      </c>
      <c r="W527" t="e">
        <f>AND(#REF!,"AAAAAHNRtxY=")</f>
        <v>#REF!</v>
      </c>
      <c r="X527" t="e">
        <f>AND(#REF!,"AAAAAHNRtxc=")</f>
        <v>#REF!</v>
      </c>
      <c r="Y527" t="e">
        <f>AND(#REF!,"AAAAAHNRtxg=")</f>
        <v>#REF!</v>
      </c>
      <c r="Z527" t="e">
        <f>AND(#REF!,"AAAAAHNRtxk=")</f>
        <v>#REF!</v>
      </c>
      <c r="AA527" t="e">
        <f>AND(#REF!,"AAAAAHNRtxo=")</f>
        <v>#REF!</v>
      </c>
      <c r="AB527" t="e">
        <f>AND(#REF!,"AAAAAHNRtxs=")</f>
        <v>#REF!</v>
      </c>
      <c r="AC527" t="e">
        <f>AND(#REF!,"AAAAAHNRtxw=")</f>
        <v>#REF!</v>
      </c>
      <c r="AD527" t="e">
        <f>AND(#REF!,"AAAAAHNRtx0=")</f>
        <v>#REF!</v>
      </c>
      <c r="AE527" t="e">
        <f>AND(#REF!,"AAAAAHNRtx4=")</f>
        <v>#REF!</v>
      </c>
      <c r="AF527" t="e">
        <f>IF(#REF!,"AAAAAHNRtx8=",0)</f>
        <v>#REF!</v>
      </c>
      <c r="AG527" t="e">
        <f>AND(#REF!,"AAAAAHNRtyA=")</f>
        <v>#REF!</v>
      </c>
      <c r="AH527" t="e">
        <f>AND(#REF!,"AAAAAHNRtyE=")</f>
        <v>#REF!</v>
      </c>
      <c r="AI527" t="e">
        <f>AND(#REF!,"AAAAAHNRtyI=")</f>
        <v>#REF!</v>
      </c>
      <c r="AJ527" t="e">
        <f>AND(#REF!,"AAAAAHNRtyM=")</f>
        <v>#REF!</v>
      </c>
      <c r="AK527" t="e">
        <f>AND(#REF!,"AAAAAHNRtyQ=")</f>
        <v>#REF!</v>
      </c>
      <c r="AL527" t="e">
        <f>AND(#REF!,"AAAAAHNRtyU=")</f>
        <v>#REF!</v>
      </c>
      <c r="AM527" t="e">
        <f>AND(#REF!,"AAAAAHNRtyY=")</f>
        <v>#REF!</v>
      </c>
      <c r="AN527" t="e">
        <f>AND(#REF!,"AAAAAHNRtyc=")</f>
        <v>#REF!</v>
      </c>
      <c r="AO527" t="e">
        <f>AND(#REF!,"AAAAAHNRtyg=")</f>
        <v>#REF!</v>
      </c>
      <c r="AP527" t="e">
        <f>AND(#REF!,"AAAAAHNRtyk=")</f>
        <v>#REF!</v>
      </c>
      <c r="AQ527" t="e">
        <f>IF(#REF!,"AAAAAHNRtyo=",0)</f>
        <v>#REF!</v>
      </c>
      <c r="AR527" t="e">
        <f>AND(#REF!,"AAAAAHNRtys=")</f>
        <v>#REF!</v>
      </c>
      <c r="AS527" t="e">
        <f>AND(#REF!,"AAAAAHNRtyw=")</f>
        <v>#REF!</v>
      </c>
      <c r="AT527" t="e">
        <f>AND(#REF!,"AAAAAHNRty0=")</f>
        <v>#REF!</v>
      </c>
      <c r="AU527" t="e">
        <f>AND(#REF!,"AAAAAHNRty4=")</f>
        <v>#REF!</v>
      </c>
      <c r="AV527" t="e">
        <f>AND(#REF!,"AAAAAHNRty8=")</f>
        <v>#REF!</v>
      </c>
      <c r="AW527" t="e">
        <f>AND(#REF!,"AAAAAHNRtzA=")</f>
        <v>#REF!</v>
      </c>
      <c r="AX527" t="e">
        <f>AND(#REF!,"AAAAAHNRtzE=")</f>
        <v>#REF!</v>
      </c>
      <c r="AY527" t="e">
        <f>AND(#REF!,"AAAAAHNRtzI=")</f>
        <v>#REF!</v>
      </c>
      <c r="AZ527" t="e">
        <f>AND(#REF!,"AAAAAHNRtzM=")</f>
        <v>#REF!</v>
      </c>
      <c r="BA527" t="e">
        <f>AND(#REF!,"AAAAAHNRtzQ=")</f>
        <v>#REF!</v>
      </c>
      <c r="BB527" t="e">
        <f>IF(#REF!,"AAAAAHNRtzU=",0)</f>
        <v>#REF!</v>
      </c>
      <c r="BC527" t="e">
        <f>AND(#REF!,"AAAAAHNRtzY=")</f>
        <v>#REF!</v>
      </c>
      <c r="BD527" t="e">
        <f>AND(#REF!,"AAAAAHNRtzc=")</f>
        <v>#REF!</v>
      </c>
      <c r="BE527" t="e">
        <f>AND(#REF!,"AAAAAHNRtzg=")</f>
        <v>#REF!</v>
      </c>
      <c r="BF527" t="e">
        <f>AND(#REF!,"AAAAAHNRtzk=")</f>
        <v>#REF!</v>
      </c>
      <c r="BG527" t="e">
        <f>AND(#REF!,"AAAAAHNRtzo=")</f>
        <v>#REF!</v>
      </c>
      <c r="BH527" t="e">
        <f>AND(#REF!,"AAAAAHNRtzs=")</f>
        <v>#REF!</v>
      </c>
      <c r="BI527" t="e">
        <f>AND(#REF!,"AAAAAHNRtzw=")</f>
        <v>#REF!</v>
      </c>
      <c r="BJ527" t="e">
        <f>AND(#REF!,"AAAAAHNRtz0=")</f>
        <v>#REF!</v>
      </c>
      <c r="BK527" t="e">
        <f>AND(#REF!,"AAAAAHNRtz4=")</f>
        <v>#REF!</v>
      </c>
      <c r="BL527" t="e">
        <f>AND(#REF!,"AAAAAHNRtz8=")</f>
        <v>#REF!</v>
      </c>
      <c r="BM527" t="e">
        <f>IF(#REF!,"AAAAAHNRt0A=",0)</f>
        <v>#REF!</v>
      </c>
      <c r="BN527" t="e">
        <f>AND(#REF!,"AAAAAHNRt0E=")</f>
        <v>#REF!</v>
      </c>
      <c r="BO527" t="e">
        <f>AND(#REF!,"AAAAAHNRt0I=")</f>
        <v>#REF!</v>
      </c>
      <c r="BP527" t="e">
        <f>AND(#REF!,"AAAAAHNRt0M=")</f>
        <v>#REF!</v>
      </c>
      <c r="BQ527" t="e">
        <f>AND(#REF!,"AAAAAHNRt0Q=")</f>
        <v>#REF!</v>
      </c>
      <c r="BR527" t="e">
        <f>AND(#REF!,"AAAAAHNRt0U=")</f>
        <v>#REF!</v>
      </c>
      <c r="BS527" t="e">
        <f>AND(#REF!,"AAAAAHNRt0Y=")</f>
        <v>#REF!</v>
      </c>
      <c r="BT527" t="e">
        <f>AND(#REF!,"AAAAAHNRt0c=")</f>
        <v>#REF!</v>
      </c>
      <c r="BU527" t="e">
        <f>AND(#REF!,"AAAAAHNRt0g=")</f>
        <v>#REF!</v>
      </c>
      <c r="BV527" t="e">
        <f>AND(#REF!,"AAAAAHNRt0k=")</f>
        <v>#REF!</v>
      </c>
      <c r="BW527" t="e">
        <f>AND(#REF!,"AAAAAHNRt0o=")</f>
        <v>#REF!</v>
      </c>
      <c r="BX527" t="e">
        <f>IF(#REF!,"AAAAAHNRt0s=",0)</f>
        <v>#REF!</v>
      </c>
      <c r="BY527" t="e">
        <f>AND(#REF!,"AAAAAHNRt0w=")</f>
        <v>#REF!</v>
      </c>
      <c r="BZ527" t="e">
        <f>AND(#REF!,"AAAAAHNRt00=")</f>
        <v>#REF!</v>
      </c>
      <c r="CA527" t="e">
        <f>AND(#REF!,"AAAAAHNRt04=")</f>
        <v>#REF!</v>
      </c>
      <c r="CB527" t="e">
        <f>AND(#REF!,"AAAAAHNRt08=")</f>
        <v>#REF!</v>
      </c>
      <c r="CC527" t="e">
        <f>AND(#REF!,"AAAAAHNRt1A=")</f>
        <v>#REF!</v>
      </c>
      <c r="CD527" t="e">
        <f>AND(#REF!,"AAAAAHNRt1E=")</f>
        <v>#REF!</v>
      </c>
      <c r="CE527" t="e">
        <f>AND(#REF!,"AAAAAHNRt1I=")</f>
        <v>#REF!</v>
      </c>
      <c r="CF527" t="e">
        <f>AND(#REF!,"AAAAAHNRt1M=")</f>
        <v>#REF!</v>
      </c>
      <c r="CG527" t="e">
        <f>AND(#REF!,"AAAAAHNRt1Q=")</f>
        <v>#REF!</v>
      </c>
      <c r="CH527" t="e">
        <f>AND(#REF!,"AAAAAHNRt1U=")</f>
        <v>#REF!</v>
      </c>
      <c r="CI527" t="e">
        <f>IF(#REF!,"AAAAAHNRt1Y=",0)</f>
        <v>#REF!</v>
      </c>
      <c r="CJ527" t="e">
        <f>AND(#REF!,"AAAAAHNRt1c=")</f>
        <v>#REF!</v>
      </c>
      <c r="CK527" t="e">
        <f>AND(#REF!,"AAAAAHNRt1g=")</f>
        <v>#REF!</v>
      </c>
      <c r="CL527" t="e">
        <f>AND(#REF!,"AAAAAHNRt1k=")</f>
        <v>#REF!</v>
      </c>
      <c r="CM527" t="e">
        <f>AND(#REF!,"AAAAAHNRt1o=")</f>
        <v>#REF!</v>
      </c>
      <c r="CN527" t="e">
        <f>AND(#REF!,"AAAAAHNRt1s=")</f>
        <v>#REF!</v>
      </c>
      <c r="CO527" t="e">
        <f>AND(#REF!,"AAAAAHNRt1w=")</f>
        <v>#REF!</v>
      </c>
      <c r="CP527" t="e">
        <f>AND(#REF!,"AAAAAHNRt10=")</f>
        <v>#REF!</v>
      </c>
      <c r="CQ527" t="e">
        <f>AND(#REF!,"AAAAAHNRt14=")</f>
        <v>#REF!</v>
      </c>
      <c r="CR527" t="e">
        <f>AND(#REF!,"AAAAAHNRt18=")</f>
        <v>#REF!</v>
      </c>
      <c r="CS527" t="e">
        <f>AND(#REF!,"AAAAAHNRt2A=")</f>
        <v>#REF!</v>
      </c>
      <c r="CT527" t="e">
        <f>IF(#REF!,"AAAAAHNRt2E=",0)</f>
        <v>#REF!</v>
      </c>
      <c r="CU527" t="e">
        <f>AND(#REF!,"AAAAAHNRt2I=")</f>
        <v>#REF!</v>
      </c>
      <c r="CV527" t="e">
        <f>AND(#REF!,"AAAAAHNRt2M=")</f>
        <v>#REF!</v>
      </c>
      <c r="CW527" t="e">
        <f>AND(#REF!,"AAAAAHNRt2Q=")</f>
        <v>#REF!</v>
      </c>
      <c r="CX527" t="e">
        <f>AND(#REF!,"AAAAAHNRt2U=")</f>
        <v>#REF!</v>
      </c>
      <c r="CY527" t="e">
        <f>AND(#REF!,"AAAAAHNRt2Y=")</f>
        <v>#REF!</v>
      </c>
      <c r="CZ527" t="e">
        <f>AND(#REF!,"AAAAAHNRt2c=")</f>
        <v>#REF!</v>
      </c>
      <c r="DA527" t="e">
        <f>AND(#REF!,"AAAAAHNRt2g=")</f>
        <v>#REF!</v>
      </c>
      <c r="DB527" t="e">
        <f>AND(#REF!,"AAAAAHNRt2k=")</f>
        <v>#REF!</v>
      </c>
      <c r="DC527" t="e">
        <f>AND(#REF!,"AAAAAHNRt2o=")</f>
        <v>#REF!</v>
      </c>
      <c r="DD527" t="e">
        <f>AND(#REF!,"AAAAAHNRt2s=")</f>
        <v>#REF!</v>
      </c>
      <c r="DE527" t="e">
        <f>IF(#REF!,"AAAAAHNRt2w=",0)</f>
        <v>#REF!</v>
      </c>
      <c r="DF527" t="e">
        <f>AND(#REF!,"AAAAAHNRt20=")</f>
        <v>#REF!</v>
      </c>
      <c r="DG527" t="e">
        <f>AND(#REF!,"AAAAAHNRt24=")</f>
        <v>#REF!</v>
      </c>
      <c r="DH527" t="e">
        <f>AND(#REF!,"AAAAAHNRt28=")</f>
        <v>#REF!</v>
      </c>
      <c r="DI527" t="e">
        <f>AND(#REF!,"AAAAAHNRt3A=")</f>
        <v>#REF!</v>
      </c>
      <c r="DJ527" t="e">
        <f>AND(#REF!,"AAAAAHNRt3E=")</f>
        <v>#REF!</v>
      </c>
      <c r="DK527" t="e">
        <f>AND(#REF!,"AAAAAHNRt3I=")</f>
        <v>#REF!</v>
      </c>
      <c r="DL527" t="e">
        <f>AND(#REF!,"AAAAAHNRt3M=")</f>
        <v>#REF!</v>
      </c>
      <c r="DM527" t="e">
        <f>AND(#REF!,"AAAAAHNRt3Q=")</f>
        <v>#REF!</v>
      </c>
      <c r="DN527" t="e">
        <f>AND(#REF!,"AAAAAHNRt3U=")</f>
        <v>#REF!</v>
      </c>
      <c r="DO527" t="e">
        <f>AND(#REF!,"AAAAAHNRt3Y=")</f>
        <v>#REF!</v>
      </c>
      <c r="DP527" t="e">
        <f>IF(#REF!,"AAAAAHNRt3c=",0)</f>
        <v>#REF!</v>
      </c>
      <c r="DQ527" t="e">
        <f>AND(#REF!,"AAAAAHNRt3g=")</f>
        <v>#REF!</v>
      </c>
      <c r="DR527" t="e">
        <f>AND(#REF!,"AAAAAHNRt3k=")</f>
        <v>#REF!</v>
      </c>
      <c r="DS527" t="e">
        <f>AND(#REF!,"AAAAAHNRt3o=")</f>
        <v>#REF!</v>
      </c>
      <c r="DT527" t="e">
        <f>AND(#REF!,"AAAAAHNRt3s=")</f>
        <v>#REF!</v>
      </c>
      <c r="DU527" t="e">
        <f>AND(#REF!,"AAAAAHNRt3w=")</f>
        <v>#REF!</v>
      </c>
      <c r="DV527" t="e">
        <f>AND(#REF!,"AAAAAHNRt30=")</f>
        <v>#REF!</v>
      </c>
      <c r="DW527" t="e">
        <f>AND(#REF!,"AAAAAHNRt34=")</f>
        <v>#REF!</v>
      </c>
      <c r="DX527" t="e">
        <f>AND(#REF!,"AAAAAHNRt38=")</f>
        <v>#REF!</v>
      </c>
      <c r="DY527" t="e">
        <f>AND(#REF!,"AAAAAHNRt4A=")</f>
        <v>#REF!</v>
      </c>
      <c r="DZ527" t="e">
        <f>AND(#REF!,"AAAAAHNRt4E=")</f>
        <v>#REF!</v>
      </c>
      <c r="EA527" t="e">
        <f>IF(#REF!,"AAAAAHNRt4I=",0)</f>
        <v>#REF!</v>
      </c>
      <c r="EB527" t="e">
        <f>AND(#REF!,"AAAAAHNRt4M=")</f>
        <v>#REF!</v>
      </c>
      <c r="EC527" t="e">
        <f>AND(#REF!,"AAAAAHNRt4Q=")</f>
        <v>#REF!</v>
      </c>
      <c r="ED527" t="e">
        <f>AND(#REF!,"AAAAAHNRt4U=")</f>
        <v>#REF!</v>
      </c>
      <c r="EE527" t="e">
        <f>AND(#REF!,"AAAAAHNRt4Y=")</f>
        <v>#REF!</v>
      </c>
      <c r="EF527" t="e">
        <f>AND(#REF!,"AAAAAHNRt4c=")</f>
        <v>#REF!</v>
      </c>
      <c r="EG527" t="e">
        <f>AND(#REF!,"AAAAAHNRt4g=")</f>
        <v>#REF!</v>
      </c>
      <c r="EH527" t="e">
        <f>AND(#REF!,"AAAAAHNRt4k=")</f>
        <v>#REF!</v>
      </c>
      <c r="EI527" t="e">
        <f>AND(#REF!,"AAAAAHNRt4o=")</f>
        <v>#REF!</v>
      </c>
      <c r="EJ527" t="e">
        <f>AND(#REF!,"AAAAAHNRt4s=")</f>
        <v>#REF!</v>
      </c>
      <c r="EK527" t="e">
        <f>AND(#REF!,"AAAAAHNRt4w=")</f>
        <v>#REF!</v>
      </c>
      <c r="EL527" t="e">
        <f>IF(#REF!,"AAAAAHNRt40=",0)</f>
        <v>#REF!</v>
      </c>
      <c r="EM527" t="e">
        <f>AND(#REF!,"AAAAAHNRt44=")</f>
        <v>#REF!</v>
      </c>
      <c r="EN527" t="e">
        <f>AND(#REF!,"AAAAAHNRt48=")</f>
        <v>#REF!</v>
      </c>
      <c r="EO527" t="e">
        <f>AND(#REF!,"AAAAAHNRt5A=")</f>
        <v>#REF!</v>
      </c>
      <c r="EP527" t="e">
        <f>AND(#REF!,"AAAAAHNRt5E=")</f>
        <v>#REF!</v>
      </c>
      <c r="EQ527" t="e">
        <f>AND(#REF!,"AAAAAHNRt5I=")</f>
        <v>#REF!</v>
      </c>
      <c r="ER527" t="e">
        <f>AND(#REF!,"AAAAAHNRt5M=")</f>
        <v>#REF!</v>
      </c>
      <c r="ES527" t="e">
        <f>AND(#REF!,"AAAAAHNRt5Q=")</f>
        <v>#REF!</v>
      </c>
      <c r="ET527" t="e">
        <f>AND(#REF!,"AAAAAHNRt5U=")</f>
        <v>#REF!</v>
      </c>
      <c r="EU527" t="e">
        <f>AND(#REF!,"AAAAAHNRt5Y=")</f>
        <v>#REF!</v>
      </c>
      <c r="EV527" t="e">
        <f>AND(#REF!,"AAAAAHNRt5c=")</f>
        <v>#REF!</v>
      </c>
      <c r="EW527" t="e">
        <f>IF(#REF!,"AAAAAHNRt5g=",0)</f>
        <v>#REF!</v>
      </c>
      <c r="EX527" t="e">
        <f>AND(#REF!,"AAAAAHNRt5k=")</f>
        <v>#REF!</v>
      </c>
      <c r="EY527" t="e">
        <f>AND(#REF!,"AAAAAHNRt5o=")</f>
        <v>#REF!</v>
      </c>
      <c r="EZ527" t="e">
        <f>AND(#REF!,"AAAAAHNRt5s=")</f>
        <v>#REF!</v>
      </c>
      <c r="FA527" t="e">
        <f>AND(#REF!,"AAAAAHNRt5w=")</f>
        <v>#REF!</v>
      </c>
      <c r="FB527" t="e">
        <f>AND(#REF!,"AAAAAHNRt50=")</f>
        <v>#REF!</v>
      </c>
      <c r="FC527" t="e">
        <f>AND(#REF!,"AAAAAHNRt54=")</f>
        <v>#REF!</v>
      </c>
      <c r="FD527" t="e">
        <f>AND(#REF!,"AAAAAHNRt58=")</f>
        <v>#REF!</v>
      </c>
      <c r="FE527" t="e">
        <f>AND(#REF!,"AAAAAHNRt6A=")</f>
        <v>#REF!</v>
      </c>
      <c r="FF527" t="e">
        <f>AND(#REF!,"AAAAAHNRt6E=")</f>
        <v>#REF!</v>
      </c>
      <c r="FG527" t="e">
        <f>AND(#REF!,"AAAAAHNRt6I=")</f>
        <v>#REF!</v>
      </c>
      <c r="FH527" t="e">
        <f>IF(#REF!,"AAAAAHNRt6M=",0)</f>
        <v>#REF!</v>
      </c>
      <c r="FI527" t="e">
        <f>AND(#REF!,"AAAAAHNRt6Q=")</f>
        <v>#REF!</v>
      </c>
      <c r="FJ527" t="e">
        <f>AND(#REF!,"AAAAAHNRt6U=")</f>
        <v>#REF!</v>
      </c>
      <c r="FK527" t="e">
        <f>AND(#REF!,"AAAAAHNRt6Y=")</f>
        <v>#REF!</v>
      </c>
      <c r="FL527" t="e">
        <f>AND(#REF!,"AAAAAHNRt6c=")</f>
        <v>#REF!</v>
      </c>
      <c r="FM527" t="e">
        <f>AND(#REF!,"AAAAAHNRt6g=")</f>
        <v>#REF!</v>
      </c>
      <c r="FN527" t="e">
        <f>AND(#REF!,"AAAAAHNRt6k=")</f>
        <v>#REF!</v>
      </c>
      <c r="FO527" t="e">
        <f>AND(#REF!,"AAAAAHNRt6o=")</f>
        <v>#REF!</v>
      </c>
      <c r="FP527" t="e">
        <f>AND(#REF!,"AAAAAHNRt6s=")</f>
        <v>#REF!</v>
      </c>
      <c r="FQ527" t="e">
        <f>AND(#REF!,"AAAAAHNRt6w=")</f>
        <v>#REF!</v>
      </c>
      <c r="FR527" t="e">
        <f>AND(#REF!,"AAAAAHNRt60=")</f>
        <v>#REF!</v>
      </c>
      <c r="FS527" t="e">
        <f>IF(#REF!,"AAAAAHNRt64=",0)</f>
        <v>#REF!</v>
      </c>
      <c r="FT527" t="e">
        <f>AND(#REF!,"AAAAAHNRt68=")</f>
        <v>#REF!</v>
      </c>
      <c r="FU527" t="e">
        <f>AND(#REF!,"AAAAAHNRt7A=")</f>
        <v>#REF!</v>
      </c>
      <c r="FV527" t="e">
        <f>AND(#REF!,"AAAAAHNRt7E=")</f>
        <v>#REF!</v>
      </c>
      <c r="FW527" t="e">
        <f>AND(#REF!,"AAAAAHNRt7I=")</f>
        <v>#REF!</v>
      </c>
      <c r="FX527" t="e">
        <f>AND(#REF!,"AAAAAHNRt7M=")</f>
        <v>#REF!</v>
      </c>
      <c r="FY527" t="e">
        <f>AND(#REF!,"AAAAAHNRt7Q=")</f>
        <v>#REF!</v>
      </c>
      <c r="FZ527" t="e">
        <f>AND(#REF!,"AAAAAHNRt7U=")</f>
        <v>#REF!</v>
      </c>
      <c r="GA527" t="e">
        <f>AND(#REF!,"AAAAAHNRt7Y=")</f>
        <v>#REF!</v>
      </c>
      <c r="GB527" t="e">
        <f>AND(#REF!,"AAAAAHNRt7c=")</f>
        <v>#REF!</v>
      </c>
      <c r="GC527" t="e">
        <f>AND(#REF!,"AAAAAHNRt7g=")</f>
        <v>#REF!</v>
      </c>
      <c r="GD527" t="e">
        <f>IF(#REF!,"AAAAAHNRt7k=",0)</f>
        <v>#REF!</v>
      </c>
      <c r="GE527" t="e">
        <f>AND(#REF!,"AAAAAHNRt7o=")</f>
        <v>#REF!</v>
      </c>
      <c r="GF527" t="e">
        <f>AND(#REF!,"AAAAAHNRt7s=")</f>
        <v>#REF!</v>
      </c>
      <c r="GG527" t="e">
        <f>AND(#REF!,"AAAAAHNRt7w=")</f>
        <v>#REF!</v>
      </c>
      <c r="GH527" t="e">
        <f>AND(#REF!,"AAAAAHNRt70=")</f>
        <v>#REF!</v>
      </c>
      <c r="GI527" t="e">
        <f>AND(#REF!,"AAAAAHNRt74=")</f>
        <v>#REF!</v>
      </c>
      <c r="GJ527" t="e">
        <f>AND(#REF!,"AAAAAHNRt78=")</f>
        <v>#REF!</v>
      </c>
      <c r="GK527" t="e">
        <f>AND(#REF!,"AAAAAHNRt8A=")</f>
        <v>#REF!</v>
      </c>
      <c r="GL527" t="e">
        <f>AND(#REF!,"AAAAAHNRt8E=")</f>
        <v>#REF!</v>
      </c>
      <c r="GM527" t="e">
        <f>AND(#REF!,"AAAAAHNRt8I=")</f>
        <v>#REF!</v>
      </c>
      <c r="GN527" t="e">
        <f>AND(#REF!,"AAAAAHNRt8M=")</f>
        <v>#REF!</v>
      </c>
      <c r="GO527" t="e">
        <f>IF(#REF!,"AAAAAHNRt8Q=",0)</f>
        <v>#REF!</v>
      </c>
      <c r="GP527" t="e">
        <f>AND(#REF!,"AAAAAHNRt8U=")</f>
        <v>#REF!</v>
      </c>
      <c r="GQ527" t="e">
        <f>AND(#REF!,"AAAAAHNRt8Y=")</f>
        <v>#REF!</v>
      </c>
      <c r="GR527" t="e">
        <f>AND(#REF!,"AAAAAHNRt8c=")</f>
        <v>#REF!</v>
      </c>
      <c r="GS527" t="e">
        <f>AND(#REF!,"AAAAAHNRt8g=")</f>
        <v>#REF!</v>
      </c>
      <c r="GT527" t="e">
        <f>AND(#REF!,"AAAAAHNRt8k=")</f>
        <v>#REF!</v>
      </c>
      <c r="GU527" t="e">
        <f>AND(#REF!,"AAAAAHNRt8o=")</f>
        <v>#REF!</v>
      </c>
      <c r="GV527" t="e">
        <f>AND(#REF!,"AAAAAHNRt8s=")</f>
        <v>#REF!</v>
      </c>
      <c r="GW527" t="e">
        <f>AND(#REF!,"AAAAAHNRt8w=")</f>
        <v>#REF!</v>
      </c>
      <c r="GX527" t="e">
        <f>AND(#REF!,"AAAAAHNRt80=")</f>
        <v>#REF!</v>
      </c>
      <c r="GY527" t="e">
        <f>AND(#REF!,"AAAAAHNRt84=")</f>
        <v>#REF!</v>
      </c>
      <c r="GZ527" t="e">
        <f>IF(#REF!,"AAAAAHNRt88=",0)</f>
        <v>#REF!</v>
      </c>
      <c r="HA527" t="e">
        <f>AND(#REF!,"AAAAAHNRt9A=")</f>
        <v>#REF!</v>
      </c>
      <c r="HB527" t="e">
        <f>AND(#REF!,"AAAAAHNRt9E=")</f>
        <v>#REF!</v>
      </c>
      <c r="HC527" t="e">
        <f>AND(#REF!,"AAAAAHNRt9I=")</f>
        <v>#REF!</v>
      </c>
      <c r="HD527" t="e">
        <f>AND(#REF!,"AAAAAHNRt9M=")</f>
        <v>#REF!</v>
      </c>
      <c r="HE527" t="e">
        <f>AND(#REF!,"AAAAAHNRt9Q=")</f>
        <v>#REF!</v>
      </c>
      <c r="HF527" t="e">
        <f>AND(#REF!,"AAAAAHNRt9U=")</f>
        <v>#REF!</v>
      </c>
      <c r="HG527" t="e">
        <f>AND(#REF!,"AAAAAHNRt9Y=")</f>
        <v>#REF!</v>
      </c>
      <c r="HH527" t="e">
        <f>AND(#REF!,"AAAAAHNRt9c=")</f>
        <v>#REF!</v>
      </c>
      <c r="HI527" t="e">
        <f>AND(#REF!,"AAAAAHNRt9g=")</f>
        <v>#REF!</v>
      </c>
      <c r="HJ527" t="e">
        <f>AND(#REF!,"AAAAAHNRt9k=")</f>
        <v>#REF!</v>
      </c>
      <c r="HK527" t="e">
        <f>IF(#REF!,"AAAAAHNRt9o=",0)</f>
        <v>#REF!</v>
      </c>
      <c r="HL527" t="e">
        <f>AND(#REF!,"AAAAAHNRt9s=")</f>
        <v>#REF!</v>
      </c>
      <c r="HM527" t="e">
        <f>AND(#REF!,"AAAAAHNRt9w=")</f>
        <v>#REF!</v>
      </c>
      <c r="HN527" t="e">
        <f>AND(#REF!,"AAAAAHNRt90=")</f>
        <v>#REF!</v>
      </c>
      <c r="HO527" t="e">
        <f>AND(#REF!,"AAAAAHNRt94=")</f>
        <v>#REF!</v>
      </c>
      <c r="HP527" t="e">
        <f>AND(#REF!,"AAAAAHNRt98=")</f>
        <v>#REF!</v>
      </c>
      <c r="HQ527" t="e">
        <f>AND(#REF!,"AAAAAHNRt+A=")</f>
        <v>#REF!</v>
      </c>
      <c r="HR527" t="e">
        <f>AND(#REF!,"AAAAAHNRt+E=")</f>
        <v>#REF!</v>
      </c>
      <c r="HS527" t="e">
        <f>AND(#REF!,"AAAAAHNRt+I=")</f>
        <v>#REF!</v>
      </c>
      <c r="HT527" t="e">
        <f>AND(#REF!,"AAAAAHNRt+M=")</f>
        <v>#REF!</v>
      </c>
      <c r="HU527" t="e">
        <f>AND(#REF!,"AAAAAHNRt+Q=")</f>
        <v>#REF!</v>
      </c>
      <c r="HV527" t="e">
        <f>IF(#REF!,"AAAAAHNRt+U=",0)</f>
        <v>#REF!</v>
      </c>
      <c r="HW527" t="e">
        <f>AND(#REF!,"AAAAAHNRt+Y=")</f>
        <v>#REF!</v>
      </c>
      <c r="HX527" t="e">
        <f>AND(#REF!,"AAAAAHNRt+c=")</f>
        <v>#REF!</v>
      </c>
      <c r="HY527" t="e">
        <f>AND(#REF!,"AAAAAHNRt+g=")</f>
        <v>#REF!</v>
      </c>
      <c r="HZ527" t="e">
        <f>AND(#REF!,"AAAAAHNRt+k=")</f>
        <v>#REF!</v>
      </c>
      <c r="IA527" t="e">
        <f>AND(#REF!,"AAAAAHNRt+o=")</f>
        <v>#REF!</v>
      </c>
      <c r="IB527" t="e">
        <f>AND(#REF!,"AAAAAHNRt+s=")</f>
        <v>#REF!</v>
      </c>
      <c r="IC527" t="e">
        <f>AND(#REF!,"AAAAAHNRt+w=")</f>
        <v>#REF!</v>
      </c>
      <c r="ID527" t="e">
        <f>AND(#REF!,"AAAAAHNRt+0=")</f>
        <v>#REF!</v>
      </c>
      <c r="IE527" t="e">
        <f>AND(#REF!,"AAAAAHNRt+4=")</f>
        <v>#REF!</v>
      </c>
      <c r="IF527" t="e">
        <f>AND(#REF!,"AAAAAHNRt+8=")</f>
        <v>#REF!</v>
      </c>
      <c r="IG527" t="e">
        <f>IF(#REF!,"AAAAAHNRt/A=",0)</f>
        <v>#REF!</v>
      </c>
      <c r="IH527" t="e">
        <f>AND(#REF!,"AAAAAHNRt/E=")</f>
        <v>#REF!</v>
      </c>
      <c r="II527" t="e">
        <f>AND(#REF!,"AAAAAHNRt/I=")</f>
        <v>#REF!</v>
      </c>
      <c r="IJ527" t="e">
        <f>AND(#REF!,"AAAAAHNRt/M=")</f>
        <v>#REF!</v>
      </c>
      <c r="IK527" t="e">
        <f>AND(#REF!,"AAAAAHNRt/Q=")</f>
        <v>#REF!</v>
      </c>
      <c r="IL527" t="e">
        <f>AND(#REF!,"AAAAAHNRt/U=")</f>
        <v>#REF!</v>
      </c>
      <c r="IM527" t="e">
        <f>AND(#REF!,"AAAAAHNRt/Y=")</f>
        <v>#REF!</v>
      </c>
      <c r="IN527" t="e">
        <f>AND(#REF!,"AAAAAHNRt/c=")</f>
        <v>#REF!</v>
      </c>
      <c r="IO527" t="e">
        <f>AND(#REF!,"AAAAAHNRt/g=")</f>
        <v>#REF!</v>
      </c>
      <c r="IP527" t="e">
        <f>AND(#REF!,"AAAAAHNRt/k=")</f>
        <v>#REF!</v>
      </c>
      <c r="IQ527" t="e">
        <f>AND(#REF!,"AAAAAHNRt/o=")</f>
        <v>#REF!</v>
      </c>
      <c r="IR527" t="e">
        <f>IF(#REF!,"AAAAAHNRt/s=",0)</f>
        <v>#REF!</v>
      </c>
      <c r="IS527" t="e">
        <f>AND(#REF!,"AAAAAHNRt/w=")</f>
        <v>#REF!</v>
      </c>
      <c r="IT527" t="e">
        <f>AND(#REF!,"AAAAAHNRt/0=")</f>
        <v>#REF!</v>
      </c>
      <c r="IU527" t="e">
        <f>AND(#REF!,"AAAAAHNRt/4=")</f>
        <v>#REF!</v>
      </c>
      <c r="IV527" t="e">
        <f>AND(#REF!,"AAAAAHNRt/8=")</f>
        <v>#REF!</v>
      </c>
    </row>
    <row r="528" spans="1:256" x14ac:dyDescent="0.25">
      <c r="A528" t="e">
        <f>AND(#REF!,"AAAAADtn5gA=")</f>
        <v>#REF!</v>
      </c>
      <c r="B528" t="e">
        <f>AND(#REF!,"AAAAADtn5gE=")</f>
        <v>#REF!</v>
      </c>
      <c r="C528" t="e">
        <f>AND(#REF!,"AAAAADtn5gI=")</f>
        <v>#REF!</v>
      </c>
      <c r="D528" t="e">
        <f>AND(#REF!,"AAAAADtn5gM=")</f>
        <v>#REF!</v>
      </c>
      <c r="E528" t="e">
        <f>AND(#REF!,"AAAAADtn5gQ=")</f>
        <v>#REF!</v>
      </c>
      <c r="F528" t="e">
        <f>AND(#REF!,"AAAAADtn5gU=")</f>
        <v>#REF!</v>
      </c>
      <c r="G528" t="e">
        <f>IF(#REF!,"AAAAADtn5gY=",0)</f>
        <v>#REF!</v>
      </c>
      <c r="H528" t="e">
        <f>AND(#REF!,"AAAAADtn5gc=")</f>
        <v>#REF!</v>
      </c>
      <c r="I528" t="e">
        <f>AND(#REF!,"AAAAADtn5gg=")</f>
        <v>#REF!</v>
      </c>
      <c r="J528" t="e">
        <f>AND(#REF!,"AAAAADtn5gk=")</f>
        <v>#REF!</v>
      </c>
      <c r="K528" t="e">
        <f>AND(#REF!,"AAAAADtn5go=")</f>
        <v>#REF!</v>
      </c>
      <c r="L528" t="e">
        <f>AND(#REF!,"AAAAADtn5gs=")</f>
        <v>#REF!</v>
      </c>
      <c r="M528" t="e">
        <f>AND(#REF!,"AAAAADtn5gw=")</f>
        <v>#REF!</v>
      </c>
      <c r="N528" t="e">
        <f>AND(#REF!,"AAAAADtn5g0=")</f>
        <v>#REF!</v>
      </c>
      <c r="O528" t="e">
        <f>AND(#REF!,"AAAAADtn5g4=")</f>
        <v>#REF!</v>
      </c>
      <c r="P528" t="e">
        <f>AND(#REF!,"AAAAADtn5g8=")</f>
        <v>#REF!</v>
      </c>
      <c r="Q528" t="e">
        <f>AND(#REF!,"AAAAADtn5hA=")</f>
        <v>#REF!</v>
      </c>
      <c r="R528" t="e">
        <f>IF(#REF!,"AAAAADtn5hE=",0)</f>
        <v>#REF!</v>
      </c>
      <c r="S528" t="e">
        <f>AND(#REF!,"AAAAADtn5hI=")</f>
        <v>#REF!</v>
      </c>
      <c r="T528" t="e">
        <f>AND(#REF!,"AAAAADtn5hM=")</f>
        <v>#REF!</v>
      </c>
      <c r="U528" t="e">
        <f>AND(#REF!,"AAAAADtn5hQ=")</f>
        <v>#REF!</v>
      </c>
      <c r="V528" t="e">
        <f>AND(#REF!,"AAAAADtn5hU=")</f>
        <v>#REF!</v>
      </c>
      <c r="W528" t="e">
        <f>AND(#REF!,"AAAAADtn5hY=")</f>
        <v>#REF!</v>
      </c>
      <c r="X528" t="e">
        <f>AND(#REF!,"AAAAADtn5hc=")</f>
        <v>#REF!</v>
      </c>
      <c r="Y528" t="e">
        <f>AND(#REF!,"AAAAADtn5hg=")</f>
        <v>#REF!</v>
      </c>
      <c r="Z528" t="e">
        <f>AND(#REF!,"AAAAADtn5hk=")</f>
        <v>#REF!</v>
      </c>
      <c r="AA528" t="e">
        <f>AND(#REF!,"AAAAADtn5ho=")</f>
        <v>#REF!</v>
      </c>
      <c r="AB528" t="e">
        <f>AND(#REF!,"AAAAADtn5hs=")</f>
        <v>#REF!</v>
      </c>
      <c r="AC528" t="e">
        <f>IF(#REF!,"AAAAADtn5hw=",0)</f>
        <v>#REF!</v>
      </c>
      <c r="AD528" t="e">
        <f>AND(#REF!,"AAAAADtn5h0=")</f>
        <v>#REF!</v>
      </c>
      <c r="AE528" t="e">
        <f>AND(#REF!,"AAAAADtn5h4=")</f>
        <v>#REF!</v>
      </c>
      <c r="AF528" t="e">
        <f>AND(#REF!,"AAAAADtn5h8=")</f>
        <v>#REF!</v>
      </c>
      <c r="AG528" t="e">
        <f>AND(#REF!,"AAAAADtn5iA=")</f>
        <v>#REF!</v>
      </c>
      <c r="AH528" t="e">
        <f>AND(#REF!,"AAAAADtn5iE=")</f>
        <v>#REF!</v>
      </c>
      <c r="AI528" t="e">
        <f>AND(#REF!,"AAAAADtn5iI=")</f>
        <v>#REF!</v>
      </c>
      <c r="AJ528" t="e">
        <f>AND(#REF!,"AAAAADtn5iM=")</f>
        <v>#REF!</v>
      </c>
      <c r="AK528" t="e">
        <f>AND(#REF!,"AAAAADtn5iQ=")</f>
        <v>#REF!</v>
      </c>
      <c r="AL528" t="e">
        <f>AND(#REF!,"AAAAADtn5iU=")</f>
        <v>#REF!</v>
      </c>
      <c r="AM528" t="e">
        <f>AND(#REF!,"AAAAADtn5iY=")</f>
        <v>#REF!</v>
      </c>
      <c r="AN528" t="e">
        <f>IF(#REF!,"AAAAADtn5ic=",0)</f>
        <v>#REF!</v>
      </c>
      <c r="AO528" t="e">
        <f>AND(#REF!,"AAAAADtn5ig=")</f>
        <v>#REF!</v>
      </c>
      <c r="AP528" t="e">
        <f>AND(#REF!,"AAAAADtn5ik=")</f>
        <v>#REF!</v>
      </c>
      <c r="AQ528" t="e">
        <f>AND(#REF!,"AAAAADtn5io=")</f>
        <v>#REF!</v>
      </c>
      <c r="AR528" t="e">
        <f>AND(#REF!,"AAAAADtn5is=")</f>
        <v>#REF!</v>
      </c>
      <c r="AS528" t="e">
        <f>AND(#REF!,"AAAAADtn5iw=")</f>
        <v>#REF!</v>
      </c>
      <c r="AT528" t="e">
        <f>AND(#REF!,"AAAAADtn5i0=")</f>
        <v>#REF!</v>
      </c>
      <c r="AU528" t="e">
        <f>AND(#REF!,"AAAAADtn5i4=")</f>
        <v>#REF!</v>
      </c>
      <c r="AV528" t="e">
        <f>AND(#REF!,"AAAAADtn5i8=")</f>
        <v>#REF!</v>
      </c>
      <c r="AW528" t="e">
        <f>AND(#REF!,"AAAAADtn5jA=")</f>
        <v>#REF!</v>
      </c>
      <c r="AX528" t="e">
        <f>AND(#REF!,"AAAAADtn5jE=")</f>
        <v>#REF!</v>
      </c>
      <c r="AY528" t="e">
        <f>IF(#REF!,"AAAAADtn5jI=",0)</f>
        <v>#REF!</v>
      </c>
      <c r="AZ528" t="e">
        <f>AND(#REF!,"AAAAADtn5jM=")</f>
        <v>#REF!</v>
      </c>
      <c r="BA528" t="e">
        <f>AND(#REF!,"AAAAADtn5jQ=")</f>
        <v>#REF!</v>
      </c>
      <c r="BB528" t="e">
        <f>AND(#REF!,"AAAAADtn5jU=")</f>
        <v>#REF!</v>
      </c>
      <c r="BC528" t="e">
        <f>AND(#REF!,"AAAAADtn5jY=")</f>
        <v>#REF!</v>
      </c>
      <c r="BD528" t="e">
        <f>AND(#REF!,"AAAAADtn5jc=")</f>
        <v>#REF!</v>
      </c>
      <c r="BE528" t="e">
        <f>AND(#REF!,"AAAAADtn5jg=")</f>
        <v>#REF!</v>
      </c>
      <c r="BF528" t="e">
        <f>AND(#REF!,"AAAAADtn5jk=")</f>
        <v>#REF!</v>
      </c>
      <c r="BG528" t="e">
        <f>AND(#REF!,"AAAAADtn5jo=")</f>
        <v>#REF!</v>
      </c>
      <c r="BH528" t="e">
        <f>AND(#REF!,"AAAAADtn5js=")</f>
        <v>#REF!</v>
      </c>
      <c r="BI528" t="e">
        <f>AND(#REF!,"AAAAADtn5jw=")</f>
        <v>#REF!</v>
      </c>
      <c r="BJ528" t="e">
        <f>IF(#REF!,"AAAAADtn5j0=",0)</f>
        <v>#REF!</v>
      </c>
      <c r="BK528" t="e">
        <f>AND(#REF!,"AAAAADtn5j4=")</f>
        <v>#REF!</v>
      </c>
      <c r="BL528" t="e">
        <f>AND(#REF!,"AAAAADtn5j8=")</f>
        <v>#REF!</v>
      </c>
      <c r="BM528" t="e">
        <f>AND(#REF!,"AAAAADtn5kA=")</f>
        <v>#REF!</v>
      </c>
      <c r="BN528" t="e">
        <f>AND(#REF!,"AAAAADtn5kE=")</f>
        <v>#REF!</v>
      </c>
      <c r="BO528" t="e">
        <f>AND(#REF!,"AAAAADtn5kI=")</f>
        <v>#REF!</v>
      </c>
      <c r="BP528" t="e">
        <f>AND(#REF!,"AAAAADtn5kM=")</f>
        <v>#REF!</v>
      </c>
      <c r="BQ528" t="e">
        <f>AND(#REF!,"AAAAADtn5kQ=")</f>
        <v>#REF!</v>
      </c>
      <c r="BR528" t="e">
        <f>AND(#REF!,"AAAAADtn5kU=")</f>
        <v>#REF!</v>
      </c>
      <c r="BS528" t="e">
        <f>AND(#REF!,"AAAAADtn5kY=")</f>
        <v>#REF!</v>
      </c>
      <c r="BT528" t="e">
        <f>AND(#REF!,"AAAAADtn5kc=")</f>
        <v>#REF!</v>
      </c>
      <c r="BU528" t="e">
        <f>IF(#REF!,"AAAAADtn5kg=",0)</f>
        <v>#REF!</v>
      </c>
      <c r="BV528" t="e">
        <f>AND(#REF!,"AAAAADtn5kk=")</f>
        <v>#REF!</v>
      </c>
      <c r="BW528" t="e">
        <f>AND(#REF!,"AAAAADtn5ko=")</f>
        <v>#REF!</v>
      </c>
      <c r="BX528" t="e">
        <f>AND(#REF!,"AAAAADtn5ks=")</f>
        <v>#REF!</v>
      </c>
      <c r="BY528" t="e">
        <f>AND(#REF!,"AAAAADtn5kw=")</f>
        <v>#REF!</v>
      </c>
      <c r="BZ528" t="e">
        <f>AND(#REF!,"AAAAADtn5k0=")</f>
        <v>#REF!</v>
      </c>
      <c r="CA528" t="e">
        <f>AND(#REF!,"AAAAADtn5k4=")</f>
        <v>#REF!</v>
      </c>
      <c r="CB528" t="e">
        <f>AND(#REF!,"AAAAADtn5k8=")</f>
        <v>#REF!</v>
      </c>
      <c r="CC528" t="e">
        <f>AND(#REF!,"AAAAADtn5lA=")</f>
        <v>#REF!</v>
      </c>
      <c r="CD528" t="e">
        <f>AND(#REF!,"AAAAADtn5lE=")</f>
        <v>#REF!</v>
      </c>
      <c r="CE528" t="e">
        <f>AND(#REF!,"AAAAADtn5lI=")</f>
        <v>#REF!</v>
      </c>
      <c r="CF528" t="e">
        <f>IF(#REF!,"AAAAADtn5lM=",0)</f>
        <v>#REF!</v>
      </c>
      <c r="CG528" t="e">
        <f>AND(#REF!,"AAAAADtn5lQ=")</f>
        <v>#REF!</v>
      </c>
      <c r="CH528" t="e">
        <f>AND(#REF!,"AAAAADtn5lU=")</f>
        <v>#REF!</v>
      </c>
      <c r="CI528" t="e">
        <f>AND(#REF!,"AAAAADtn5lY=")</f>
        <v>#REF!</v>
      </c>
      <c r="CJ528" t="e">
        <f>AND(#REF!,"AAAAADtn5lc=")</f>
        <v>#REF!</v>
      </c>
      <c r="CK528" t="e">
        <f>AND(#REF!,"AAAAADtn5lg=")</f>
        <v>#REF!</v>
      </c>
      <c r="CL528" t="e">
        <f>AND(#REF!,"AAAAADtn5lk=")</f>
        <v>#REF!</v>
      </c>
      <c r="CM528" t="e">
        <f>AND(#REF!,"AAAAADtn5lo=")</f>
        <v>#REF!</v>
      </c>
      <c r="CN528" t="e">
        <f>AND(#REF!,"AAAAADtn5ls=")</f>
        <v>#REF!</v>
      </c>
      <c r="CO528" t="e">
        <f>AND(#REF!,"AAAAADtn5lw=")</f>
        <v>#REF!</v>
      </c>
      <c r="CP528" t="e">
        <f>AND(#REF!,"AAAAADtn5l0=")</f>
        <v>#REF!</v>
      </c>
      <c r="CQ528" t="e">
        <f>IF(#REF!,"AAAAADtn5l4=",0)</f>
        <v>#REF!</v>
      </c>
      <c r="CR528" t="e">
        <f>AND(#REF!,"AAAAADtn5l8=")</f>
        <v>#REF!</v>
      </c>
      <c r="CS528" t="e">
        <f>AND(#REF!,"AAAAADtn5mA=")</f>
        <v>#REF!</v>
      </c>
      <c r="CT528" t="e">
        <f>AND(#REF!,"AAAAADtn5mE=")</f>
        <v>#REF!</v>
      </c>
      <c r="CU528" t="e">
        <f>AND(#REF!,"AAAAADtn5mI=")</f>
        <v>#REF!</v>
      </c>
      <c r="CV528" t="e">
        <f>AND(#REF!,"AAAAADtn5mM=")</f>
        <v>#REF!</v>
      </c>
      <c r="CW528" t="e">
        <f>AND(#REF!,"AAAAADtn5mQ=")</f>
        <v>#REF!</v>
      </c>
      <c r="CX528" t="e">
        <f>AND(#REF!,"AAAAADtn5mU=")</f>
        <v>#REF!</v>
      </c>
      <c r="CY528" t="e">
        <f>AND(#REF!,"AAAAADtn5mY=")</f>
        <v>#REF!</v>
      </c>
      <c r="CZ528" t="e">
        <f>AND(#REF!,"AAAAADtn5mc=")</f>
        <v>#REF!</v>
      </c>
      <c r="DA528" t="e">
        <f>AND(#REF!,"AAAAADtn5mg=")</f>
        <v>#REF!</v>
      </c>
      <c r="DB528" t="e">
        <f>IF(#REF!,"AAAAADtn5mk=",0)</f>
        <v>#REF!</v>
      </c>
      <c r="DC528" t="e">
        <f>AND(#REF!,"AAAAADtn5mo=")</f>
        <v>#REF!</v>
      </c>
      <c r="DD528" t="e">
        <f>AND(#REF!,"AAAAADtn5ms=")</f>
        <v>#REF!</v>
      </c>
      <c r="DE528" t="e">
        <f>AND(#REF!,"AAAAADtn5mw=")</f>
        <v>#REF!</v>
      </c>
      <c r="DF528" t="e">
        <f>AND(#REF!,"AAAAADtn5m0=")</f>
        <v>#REF!</v>
      </c>
      <c r="DG528" t="e">
        <f>AND(#REF!,"AAAAADtn5m4=")</f>
        <v>#REF!</v>
      </c>
      <c r="DH528" t="e">
        <f>AND(#REF!,"AAAAADtn5m8=")</f>
        <v>#REF!</v>
      </c>
      <c r="DI528" t="e">
        <f>AND(#REF!,"AAAAADtn5nA=")</f>
        <v>#REF!</v>
      </c>
      <c r="DJ528" t="e">
        <f>AND(#REF!,"AAAAADtn5nE=")</f>
        <v>#REF!</v>
      </c>
      <c r="DK528" t="e">
        <f>AND(#REF!,"AAAAADtn5nI=")</f>
        <v>#REF!</v>
      </c>
      <c r="DL528" t="e">
        <f>AND(#REF!,"AAAAADtn5nM=")</f>
        <v>#REF!</v>
      </c>
      <c r="DM528" t="e">
        <f>IF(#REF!,"AAAAADtn5nQ=",0)</f>
        <v>#REF!</v>
      </c>
      <c r="DN528" t="e">
        <f>AND(#REF!,"AAAAADtn5nU=")</f>
        <v>#REF!</v>
      </c>
      <c r="DO528" t="e">
        <f>AND(#REF!,"AAAAADtn5nY=")</f>
        <v>#REF!</v>
      </c>
      <c r="DP528" t="e">
        <f>AND(#REF!,"AAAAADtn5nc=")</f>
        <v>#REF!</v>
      </c>
      <c r="DQ528" t="e">
        <f>AND(#REF!,"AAAAADtn5ng=")</f>
        <v>#REF!</v>
      </c>
      <c r="DR528" t="e">
        <f>AND(#REF!,"AAAAADtn5nk=")</f>
        <v>#REF!</v>
      </c>
      <c r="DS528" t="e">
        <f>AND(#REF!,"AAAAADtn5no=")</f>
        <v>#REF!</v>
      </c>
      <c r="DT528" t="e">
        <f>AND(#REF!,"AAAAADtn5ns=")</f>
        <v>#REF!</v>
      </c>
      <c r="DU528" t="e">
        <f>AND(#REF!,"AAAAADtn5nw=")</f>
        <v>#REF!</v>
      </c>
      <c r="DV528" t="e">
        <f>AND(#REF!,"AAAAADtn5n0=")</f>
        <v>#REF!</v>
      </c>
      <c r="DW528" t="e">
        <f>AND(#REF!,"AAAAADtn5n4=")</f>
        <v>#REF!</v>
      </c>
      <c r="DX528" t="e">
        <f>IF(#REF!,"AAAAADtn5n8=",0)</f>
        <v>#REF!</v>
      </c>
      <c r="DY528" t="e">
        <f>AND(#REF!,"AAAAADtn5oA=")</f>
        <v>#REF!</v>
      </c>
      <c r="DZ528" t="e">
        <f>AND(#REF!,"AAAAADtn5oE=")</f>
        <v>#REF!</v>
      </c>
      <c r="EA528" t="e">
        <f>AND(#REF!,"AAAAADtn5oI=")</f>
        <v>#REF!</v>
      </c>
      <c r="EB528" t="e">
        <f>AND(#REF!,"AAAAADtn5oM=")</f>
        <v>#REF!</v>
      </c>
      <c r="EC528" t="e">
        <f>AND(#REF!,"AAAAADtn5oQ=")</f>
        <v>#REF!</v>
      </c>
      <c r="ED528" t="e">
        <f>AND(#REF!,"AAAAADtn5oU=")</f>
        <v>#REF!</v>
      </c>
      <c r="EE528" t="e">
        <f>AND(#REF!,"AAAAADtn5oY=")</f>
        <v>#REF!</v>
      </c>
      <c r="EF528" t="e">
        <f>AND(#REF!,"AAAAADtn5oc=")</f>
        <v>#REF!</v>
      </c>
      <c r="EG528" t="e">
        <f>AND(#REF!,"AAAAADtn5og=")</f>
        <v>#REF!</v>
      </c>
      <c r="EH528" t="e">
        <f>AND(#REF!,"AAAAADtn5ok=")</f>
        <v>#REF!</v>
      </c>
      <c r="EI528" t="e">
        <f>IF(#REF!,"AAAAADtn5oo=",0)</f>
        <v>#REF!</v>
      </c>
      <c r="EJ528" t="e">
        <f>AND(#REF!,"AAAAADtn5os=")</f>
        <v>#REF!</v>
      </c>
      <c r="EK528" t="e">
        <f>AND(#REF!,"AAAAADtn5ow=")</f>
        <v>#REF!</v>
      </c>
      <c r="EL528" t="e">
        <f>AND(#REF!,"AAAAADtn5o0=")</f>
        <v>#REF!</v>
      </c>
      <c r="EM528" t="e">
        <f>AND(#REF!,"AAAAADtn5o4=")</f>
        <v>#REF!</v>
      </c>
      <c r="EN528" t="e">
        <f>AND(#REF!,"AAAAADtn5o8=")</f>
        <v>#REF!</v>
      </c>
      <c r="EO528" t="e">
        <f>AND(#REF!,"AAAAADtn5pA=")</f>
        <v>#REF!</v>
      </c>
      <c r="EP528" t="e">
        <f>AND(#REF!,"AAAAADtn5pE=")</f>
        <v>#REF!</v>
      </c>
      <c r="EQ528" t="e">
        <f>AND(#REF!,"AAAAADtn5pI=")</f>
        <v>#REF!</v>
      </c>
      <c r="ER528" t="e">
        <f>AND(#REF!,"AAAAADtn5pM=")</f>
        <v>#REF!</v>
      </c>
      <c r="ES528" t="e">
        <f>AND(#REF!,"AAAAADtn5pQ=")</f>
        <v>#REF!</v>
      </c>
      <c r="ET528" t="e">
        <f>IF(#REF!,"AAAAADtn5pU=",0)</f>
        <v>#REF!</v>
      </c>
      <c r="EU528" t="e">
        <f>AND(#REF!,"AAAAADtn5pY=")</f>
        <v>#REF!</v>
      </c>
      <c r="EV528" t="e">
        <f>AND(#REF!,"AAAAADtn5pc=")</f>
        <v>#REF!</v>
      </c>
      <c r="EW528" t="e">
        <f>AND(#REF!,"AAAAADtn5pg=")</f>
        <v>#REF!</v>
      </c>
      <c r="EX528" t="e">
        <f>AND(#REF!,"AAAAADtn5pk=")</f>
        <v>#REF!</v>
      </c>
      <c r="EY528" t="e">
        <f>AND(#REF!,"AAAAADtn5po=")</f>
        <v>#REF!</v>
      </c>
      <c r="EZ528" t="e">
        <f>AND(#REF!,"AAAAADtn5ps=")</f>
        <v>#REF!</v>
      </c>
      <c r="FA528" t="e">
        <f>AND(#REF!,"AAAAADtn5pw=")</f>
        <v>#REF!</v>
      </c>
      <c r="FB528" t="e">
        <f>AND(#REF!,"AAAAADtn5p0=")</f>
        <v>#REF!</v>
      </c>
      <c r="FC528" t="e">
        <f>AND(#REF!,"AAAAADtn5p4=")</f>
        <v>#REF!</v>
      </c>
      <c r="FD528" t="e">
        <f>AND(#REF!,"AAAAADtn5p8=")</f>
        <v>#REF!</v>
      </c>
      <c r="FE528" t="e">
        <f>IF(#REF!,"AAAAADtn5qA=",0)</f>
        <v>#REF!</v>
      </c>
      <c r="FF528" t="e">
        <f>AND(#REF!,"AAAAADtn5qE=")</f>
        <v>#REF!</v>
      </c>
      <c r="FG528" t="e">
        <f>AND(#REF!,"AAAAADtn5qI=")</f>
        <v>#REF!</v>
      </c>
      <c r="FH528" t="e">
        <f>AND(#REF!,"AAAAADtn5qM=")</f>
        <v>#REF!</v>
      </c>
      <c r="FI528" t="e">
        <f>AND(#REF!,"AAAAADtn5qQ=")</f>
        <v>#REF!</v>
      </c>
      <c r="FJ528" t="e">
        <f>AND(#REF!,"AAAAADtn5qU=")</f>
        <v>#REF!</v>
      </c>
      <c r="FK528" t="e">
        <f>AND(#REF!,"AAAAADtn5qY=")</f>
        <v>#REF!</v>
      </c>
      <c r="FL528" t="e">
        <f>AND(#REF!,"AAAAADtn5qc=")</f>
        <v>#REF!</v>
      </c>
      <c r="FM528" t="e">
        <f>AND(#REF!,"AAAAADtn5qg=")</f>
        <v>#REF!</v>
      </c>
      <c r="FN528" t="e">
        <f>AND(#REF!,"AAAAADtn5qk=")</f>
        <v>#REF!</v>
      </c>
      <c r="FO528" t="e">
        <f>AND(#REF!,"AAAAADtn5qo=")</f>
        <v>#REF!</v>
      </c>
      <c r="FP528" t="e">
        <f>IF(#REF!,"AAAAADtn5qs=",0)</f>
        <v>#REF!</v>
      </c>
      <c r="FQ528" t="e">
        <f>AND(#REF!,"AAAAADtn5qw=")</f>
        <v>#REF!</v>
      </c>
      <c r="FR528" t="e">
        <f>AND(#REF!,"AAAAADtn5q0=")</f>
        <v>#REF!</v>
      </c>
      <c r="FS528" t="e">
        <f>AND(#REF!,"AAAAADtn5q4=")</f>
        <v>#REF!</v>
      </c>
      <c r="FT528" t="e">
        <f>AND(#REF!,"AAAAADtn5q8=")</f>
        <v>#REF!</v>
      </c>
      <c r="FU528" t="e">
        <f>AND(#REF!,"AAAAADtn5rA=")</f>
        <v>#REF!</v>
      </c>
      <c r="FV528" t="e">
        <f>AND(#REF!,"AAAAADtn5rE=")</f>
        <v>#REF!</v>
      </c>
      <c r="FW528" t="e">
        <f>AND(#REF!,"AAAAADtn5rI=")</f>
        <v>#REF!</v>
      </c>
      <c r="FX528" t="e">
        <f>AND(#REF!,"AAAAADtn5rM=")</f>
        <v>#REF!</v>
      </c>
      <c r="FY528" t="e">
        <f>AND(#REF!,"AAAAADtn5rQ=")</f>
        <v>#REF!</v>
      </c>
      <c r="FZ528" t="e">
        <f>AND(#REF!,"AAAAADtn5rU=")</f>
        <v>#REF!</v>
      </c>
      <c r="GA528" t="e">
        <f>IF(#REF!,"AAAAADtn5rY=",0)</f>
        <v>#REF!</v>
      </c>
      <c r="GB528" t="e">
        <f>AND(#REF!,"AAAAADtn5rc=")</f>
        <v>#REF!</v>
      </c>
      <c r="GC528" t="e">
        <f>AND(#REF!,"AAAAADtn5rg=")</f>
        <v>#REF!</v>
      </c>
      <c r="GD528" t="e">
        <f>AND(#REF!,"AAAAADtn5rk=")</f>
        <v>#REF!</v>
      </c>
      <c r="GE528" t="e">
        <f>AND(#REF!,"AAAAADtn5ro=")</f>
        <v>#REF!</v>
      </c>
      <c r="GF528" t="e">
        <f>AND(#REF!,"AAAAADtn5rs=")</f>
        <v>#REF!</v>
      </c>
      <c r="GG528" t="e">
        <f>AND(#REF!,"AAAAADtn5rw=")</f>
        <v>#REF!</v>
      </c>
      <c r="GH528" t="e">
        <f>AND(#REF!,"AAAAADtn5r0=")</f>
        <v>#REF!</v>
      </c>
      <c r="GI528" t="e">
        <f>AND(#REF!,"AAAAADtn5r4=")</f>
        <v>#REF!</v>
      </c>
      <c r="GJ528" t="e">
        <f>AND(#REF!,"AAAAADtn5r8=")</f>
        <v>#REF!</v>
      </c>
      <c r="GK528" t="e">
        <f>AND(#REF!,"AAAAADtn5sA=")</f>
        <v>#REF!</v>
      </c>
      <c r="GL528" t="e">
        <f>IF(#REF!,"AAAAADtn5sE=",0)</f>
        <v>#REF!</v>
      </c>
      <c r="GM528" t="e">
        <f>AND(#REF!,"AAAAADtn5sI=")</f>
        <v>#REF!</v>
      </c>
      <c r="GN528" t="e">
        <f>AND(#REF!,"AAAAADtn5sM=")</f>
        <v>#REF!</v>
      </c>
      <c r="GO528" t="e">
        <f>AND(#REF!,"AAAAADtn5sQ=")</f>
        <v>#REF!</v>
      </c>
      <c r="GP528" t="e">
        <f>AND(#REF!,"AAAAADtn5sU=")</f>
        <v>#REF!</v>
      </c>
      <c r="GQ528" t="e">
        <f>AND(#REF!,"AAAAADtn5sY=")</f>
        <v>#REF!</v>
      </c>
      <c r="GR528" t="e">
        <f>AND(#REF!,"AAAAADtn5sc=")</f>
        <v>#REF!</v>
      </c>
      <c r="GS528" t="e">
        <f>AND(#REF!,"AAAAADtn5sg=")</f>
        <v>#REF!</v>
      </c>
      <c r="GT528" t="e">
        <f>AND(#REF!,"AAAAADtn5sk=")</f>
        <v>#REF!</v>
      </c>
      <c r="GU528" t="e">
        <f>AND(#REF!,"AAAAADtn5so=")</f>
        <v>#REF!</v>
      </c>
      <c r="GV528" t="e">
        <f>AND(#REF!,"AAAAADtn5ss=")</f>
        <v>#REF!</v>
      </c>
      <c r="GW528" t="e">
        <f>IF(#REF!,"AAAAADtn5sw=",0)</f>
        <v>#REF!</v>
      </c>
      <c r="GX528" t="e">
        <f>AND(#REF!,"AAAAADtn5s0=")</f>
        <v>#REF!</v>
      </c>
      <c r="GY528" t="e">
        <f>AND(#REF!,"AAAAADtn5s4=")</f>
        <v>#REF!</v>
      </c>
      <c r="GZ528" t="e">
        <f>AND(#REF!,"AAAAADtn5s8=")</f>
        <v>#REF!</v>
      </c>
      <c r="HA528" t="e">
        <f>AND(#REF!,"AAAAADtn5tA=")</f>
        <v>#REF!</v>
      </c>
      <c r="HB528" t="e">
        <f>AND(#REF!,"AAAAADtn5tE=")</f>
        <v>#REF!</v>
      </c>
      <c r="HC528" t="e">
        <f>AND(#REF!,"AAAAADtn5tI=")</f>
        <v>#REF!</v>
      </c>
      <c r="HD528" t="e">
        <f>AND(#REF!,"AAAAADtn5tM=")</f>
        <v>#REF!</v>
      </c>
      <c r="HE528" t="e">
        <f>AND(#REF!,"AAAAADtn5tQ=")</f>
        <v>#REF!</v>
      </c>
      <c r="HF528" t="e">
        <f>AND(#REF!,"AAAAADtn5tU=")</f>
        <v>#REF!</v>
      </c>
      <c r="HG528" t="e">
        <f>AND(#REF!,"AAAAADtn5tY=")</f>
        <v>#REF!</v>
      </c>
      <c r="HH528" t="e">
        <f>IF(#REF!,"AAAAADtn5tc=",0)</f>
        <v>#REF!</v>
      </c>
      <c r="HI528" t="e">
        <f>AND(#REF!,"AAAAADtn5tg=")</f>
        <v>#REF!</v>
      </c>
      <c r="HJ528" t="e">
        <f>AND(#REF!,"AAAAADtn5tk=")</f>
        <v>#REF!</v>
      </c>
      <c r="HK528" t="e">
        <f>AND(#REF!,"AAAAADtn5to=")</f>
        <v>#REF!</v>
      </c>
      <c r="HL528" t="e">
        <f>AND(#REF!,"AAAAADtn5ts=")</f>
        <v>#REF!</v>
      </c>
      <c r="HM528" t="e">
        <f>AND(#REF!,"AAAAADtn5tw=")</f>
        <v>#REF!</v>
      </c>
      <c r="HN528" t="e">
        <f>AND(#REF!,"AAAAADtn5t0=")</f>
        <v>#REF!</v>
      </c>
      <c r="HO528" t="e">
        <f>AND(#REF!,"AAAAADtn5t4=")</f>
        <v>#REF!</v>
      </c>
      <c r="HP528" t="e">
        <f>AND(#REF!,"AAAAADtn5t8=")</f>
        <v>#REF!</v>
      </c>
      <c r="HQ528" t="e">
        <f>AND(#REF!,"AAAAADtn5uA=")</f>
        <v>#REF!</v>
      </c>
      <c r="HR528" t="e">
        <f>AND(#REF!,"AAAAADtn5uE=")</f>
        <v>#REF!</v>
      </c>
      <c r="HS528" t="e">
        <f>IF(#REF!,"AAAAADtn5uI=",0)</f>
        <v>#REF!</v>
      </c>
      <c r="HT528" t="e">
        <f>AND(#REF!,"AAAAADtn5uM=")</f>
        <v>#REF!</v>
      </c>
      <c r="HU528" t="e">
        <f>AND(#REF!,"AAAAADtn5uQ=")</f>
        <v>#REF!</v>
      </c>
      <c r="HV528" t="e">
        <f>AND(#REF!,"AAAAADtn5uU=")</f>
        <v>#REF!</v>
      </c>
      <c r="HW528" t="e">
        <f>AND(#REF!,"AAAAADtn5uY=")</f>
        <v>#REF!</v>
      </c>
      <c r="HX528" t="e">
        <f>AND(#REF!,"AAAAADtn5uc=")</f>
        <v>#REF!</v>
      </c>
      <c r="HY528" t="e">
        <f>AND(#REF!,"AAAAADtn5ug=")</f>
        <v>#REF!</v>
      </c>
      <c r="HZ528" t="e">
        <f>AND(#REF!,"AAAAADtn5uk=")</f>
        <v>#REF!</v>
      </c>
      <c r="IA528" t="e">
        <f>AND(#REF!,"AAAAADtn5uo=")</f>
        <v>#REF!</v>
      </c>
      <c r="IB528" t="e">
        <f>AND(#REF!,"AAAAADtn5us=")</f>
        <v>#REF!</v>
      </c>
      <c r="IC528" t="e">
        <f>AND(#REF!,"AAAAADtn5uw=")</f>
        <v>#REF!</v>
      </c>
      <c r="ID528" t="e">
        <f>IF(#REF!,"AAAAADtn5u0=",0)</f>
        <v>#REF!</v>
      </c>
      <c r="IE528" t="e">
        <f>AND(#REF!,"AAAAADtn5u4=")</f>
        <v>#REF!</v>
      </c>
      <c r="IF528" t="e">
        <f>AND(#REF!,"AAAAADtn5u8=")</f>
        <v>#REF!</v>
      </c>
      <c r="IG528" t="e">
        <f>AND(#REF!,"AAAAADtn5vA=")</f>
        <v>#REF!</v>
      </c>
      <c r="IH528" t="e">
        <f>AND(#REF!,"AAAAADtn5vE=")</f>
        <v>#REF!</v>
      </c>
      <c r="II528" t="e">
        <f>AND(#REF!,"AAAAADtn5vI=")</f>
        <v>#REF!</v>
      </c>
      <c r="IJ528" t="e">
        <f>AND(#REF!,"AAAAADtn5vM=")</f>
        <v>#REF!</v>
      </c>
      <c r="IK528" t="e">
        <f>AND(#REF!,"AAAAADtn5vQ=")</f>
        <v>#REF!</v>
      </c>
      <c r="IL528" t="e">
        <f>AND(#REF!,"AAAAADtn5vU=")</f>
        <v>#REF!</v>
      </c>
      <c r="IM528" t="e">
        <f>AND(#REF!,"AAAAADtn5vY=")</f>
        <v>#REF!</v>
      </c>
      <c r="IN528" t="e">
        <f>AND(#REF!,"AAAAADtn5vc=")</f>
        <v>#REF!</v>
      </c>
      <c r="IO528" t="e">
        <f>IF(#REF!,"AAAAADtn5vg=",0)</f>
        <v>#REF!</v>
      </c>
      <c r="IP528" t="e">
        <f>AND(#REF!,"AAAAADtn5vk=")</f>
        <v>#REF!</v>
      </c>
      <c r="IQ528" t="e">
        <f>AND(#REF!,"AAAAADtn5vo=")</f>
        <v>#REF!</v>
      </c>
      <c r="IR528" t="e">
        <f>AND(#REF!,"AAAAADtn5vs=")</f>
        <v>#REF!</v>
      </c>
      <c r="IS528" t="e">
        <f>AND(#REF!,"AAAAADtn5vw=")</f>
        <v>#REF!</v>
      </c>
      <c r="IT528" t="e">
        <f>AND(#REF!,"AAAAADtn5v0=")</f>
        <v>#REF!</v>
      </c>
      <c r="IU528" t="e">
        <f>AND(#REF!,"AAAAADtn5v4=")</f>
        <v>#REF!</v>
      </c>
      <c r="IV528" t="e">
        <f>AND(#REF!,"AAAAADtn5v8=")</f>
        <v>#REF!</v>
      </c>
    </row>
    <row r="529" spans="1:256" x14ac:dyDescent="0.25">
      <c r="A529" t="e">
        <f>AND(#REF!,"AAAAAH0pdQA=")</f>
        <v>#REF!</v>
      </c>
      <c r="B529" t="e">
        <f>AND(#REF!,"AAAAAH0pdQE=")</f>
        <v>#REF!</v>
      </c>
      <c r="C529" t="e">
        <f>AND(#REF!,"AAAAAH0pdQI=")</f>
        <v>#REF!</v>
      </c>
      <c r="D529" t="e">
        <f>IF(#REF!,"AAAAAH0pdQM=",0)</f>
        <v>#REF!</v>
      </c>
      <c r="E529" t="e">
        <f>AND(#REF!,"AAAAAH0pdQQ=")</f>
        <v>#REF!</v>
      </c>
      <c r="F529" t="e">
        <f>AND(#REF!,"AAAAAH0pdQU=")</f>
        <v>#REF!</v>
      </c>
      <c r="G529" t="e">
        <f>AND(#REF!,"AAAAAH0pdQY=")</f>
        <v>#REF!</v>
      </c>
      <c r="H529" t="e">
        <f>AND(#REF!,"AAAAAH0pdQc=")</f>
        <v>#REF!</v>
      </c>
      <c r="I529" t="e">
        <f>AND(#REF!,"AAAAAH0pdQg=")</f>
        <v>#REF!</v>
      </c>
      <c r="J529" t="e">
        <f>AND(#REF!,"AAAAAH0pdQk=")</f>
        <v>#REF!</v>
      </c>
      <c r="K529" t="e">
        <f>AND(#REF!,"AAAAAH0pdQo=")</f>
        <v>#REF!</v>
      </c>
      <c r="L529" t="e">
        <f>AND(#REF!,"AAAAAH0pdQs=")</f>
        <v>#REF!</v>
      </c>
      <c r="M529" t="e">
        <f>AND(#REF!,"AAAAAH0pdQw=")</f>
        <v>#REF!</v>
      </c>
      <c r="N529" t="e">
        <f>AND(#REF!,"AAAAAH0pdQ0=")</f>
        <v>#REF!</v>
      </c>
      <c r="O529" t="e">
        <f>IF(#REF!,"AAAAAH0pdQ4=",0)</f>
        <v>#REF!</v>
      </c>
      <c r="P529" t="e">
        <f>AND(#REF!,"AAAAAH0pdQ8=")</f>
        <v>#REF!</v>
      </c>
      <c r="Q529" t="e">
        <f>AND(#REF!,"AAAAAH0pdRA=")</f>
        <v>#REF!</v>
      </c>
      <c r="R529" t="e">
        <f>AND(#REF!,"AAAAAH0pdRE=")</f>
        <v>#REF!</v>
      </c>
      <c r="S529" t="e">
        <f>AND(#REF!,"AAAAAH0pdRI=")</f>
        <v>#REF!</v>
      </c>
      <c r="T529" t="e">
        <f>AND(#REF!,"AAAAAH0pdRM=")</f>
        <v>#REF!</v>
      </c>
      <c r="U529" t="e">
        <f>AND(#REF!,"AAAAAH0pdRQ=")</f>
        <v>#REF!</v>
      </c>
      <c r="V529" t="e">
        <f>AND(#REF!,"AAAAAH0pdRU=")</f>
        <v>#REF!</v>
      </c>
      <c r="W529" t="e">
        <f>AND(#REF!,"AAAAAH0pdRY=")</f>
        <v>#REF!</v>
      </c>
      <c r="X529" t="e">
        <f>AND(#REF!,"AAAAAH0pdRc=")</f>
        <v>#REF!</v>
      </c>
      <c r="Y529" t="e">
        <f>AND(#REF!,"AAAAAH0pdRg=")</f>
        <v>#REF!</v>
      </c>
      <c r="Z529" t="e">
        <f>IF(#REF!,"AAAAAH0pdRk=",0)</f>
        <v>#REF!</v>
      </c>
      <c r="AA529" t="e">
        <f>AND(#REF!,"AAAAAH0pdRo=")</f>
        <v>#REF!</v>
      </c>
      <c r="AB529" t="e">
        <f>AND(#REF!,"AAAAAH0pdRs=")</f>
        <v>#REF!</v>
      </c>
      <c r="AC529" t="e">
        <f>AND(#REF!,"AAAAAH0pdRw=")</f>
        <v>#REF!</v>
      </c>
      <c r="AD529" t="e">
        <f>AND(#REF!,"AAAAAH0pdR0=")</f>
        <v>#REF!</v>
      </c>
      <c r="AE529" t="e">
        <f>AND(#REF!,"AAAAAH0pdR4=")</f>
        <v>#REF!</v>
      </c>
      <c r="AF529" t="e">
        <f>AND(#REF!,"AAAAAH0pdR8=")</f>
        <v>#REF!</v>
      </c>
      <c r="AG529" t="e">
        <f>AND(#REF!,"AAAAAH0pdSA=")</f>
        <v>#REF!</v>
      </c>
      <c r="AH529" t="e">
        <f>AND(#REF!,"AAAAAH0pdSE=")</f>
        <v>#REF!</v>
      </c>
      <c r="AI529" t="e">
        <f>AND(#REF!,"AAAAAH0pdSI=")</f>
        <v>#REF!</v>
      </c>
      <c r="AJ529" t="e">
        <f>AND(#REF!,"AAAAAH0pdSM=")</f>
        <v>#REF!</v>
      </c>
      <c r="AK529" t="e">
        <f>IF(#REF!,"AAAAAH0pdSQ=",0)</f>
        <v>#REF!</v>
      </c>
      <c r="AL529" t="e">
        <f>AND(#REF!,"AAAAAH0pdSU=")</f>
        <v>#REF!</v>
      </c>
      <c r="AM529" t="e">
        <f>AND(#REF!,"AAAAAH0pdSY=")</f>
        <v>#REF!</v>
      </c>
      <c r="AN529" t="e">
        <f>AND(#REF!,"AAAAAH0pdSc=")</f>
        <v>#REF!</v>
      </c>
      <c r="AO529" t="e">
        <f>AND(#REF!,"AAAAAH0pdSg=")</f>
        <v>#REF!</v>
      </c>
      <c r="AP529" t="e">
        <f>AND(#REF!,"AAAAAH0pdSk=")</f>
        <v>#REF!</v>
      </c>
      <c r="AQ529" t="e">
        <f>AND(#REF!,"AAAAAH0pdSo=")</f>
        <v>#REF!</v>
      </c>
      <c r="AR529" t="e">
        <f>AND(#REF!,"AAAAAH0pdSs=")</f>
        <v>#REF!</v>
      </c>
      <c r="AS529" t="e">
        <f>AND(#REF!,"AAAAAH0pdSw=")</f>
        <v>#REF!</v>
      </c>
      <c r="AT529" t="e">
        <f>AND(#REF!,"AAAAAH0pdS0=")</f>
        <v>#REF!</v>
      </c>
      <c r="AU529" t="e">
        <f>AND(#REF!,"AAAAAH0pdS4=")</f>
        <v>#REF!</v>
      </c>
      <c r="AV529" t="e">
        <f>IF(#REF!,"AAAAAH0pdS8=",0)</f>
        <v>#REF!</v>
      </c>
      <c r="AW529" t="e">
        <f>AND(#REF!,"AAAAAH0pdTA=")</f>
        <v>#REF!</v>
      </c>
      <c r="AX529" t="e">
        <f>AND(#REF!,"AAAAAH0pdTE=")</f>
        <v>#REF!</v>
      </c>
      <c r="AY529" t="e">
        <f>AND(#REF!,"AAAAAH0pdTI=")</f>
        <v>#REF!</v>
      </c>
      <c r="AZ529" t="e">
        <f>AND(#REF!,"AAAAAH0pdTM=")</f>
        <v>#REF!</v>
      </c>
      <c r="BA529" t="e">
        <f>AND(#REF!,"AAAAAH0pdTQ=")</f>
        <v>#REF!</v>
      </c>
      <c r="BB529" t="e">
        <f>AND(#REF!,"AAAAAH0pdTU=")</f>
        <v>#REF!</v>
      </c>
      <c r="BC529" t="e">
        <f>AND(#REF!,"AAAAAH0pdTY=")</f>
        <v>#REF!</v>
      </c>
      <c r="BD529" t="e">
        <f>AND(#REF!,"AAAAAH0pdTc=")</f>
        <v>#REF!</v>
      </c>
      <c r="BE529" t="e">
        <f>AND(#REF!,"AAAAAH0pdTg=")</f>
        <v>#REF!</v>
      </c>
      <c r="BF529" t="e">
        <f>AND(#REF!,"AAAAAH0pdTk=")</f>
        <v>#REF!</v>
      </c>
      <c r="BG529" t="e">
        <f>IF(#REF!,"AAAAAH0pdTo=",0)</f>
        <v>#REF!</v>
      </c>
      <c r="BH529" t="e">
        <f>AND(#REF!,"AAAAAH0pdTs=")</f>
        <v>#REF!</v>
      </c>
      <c r="BI529" t="e">
        <f>AND(#REF!,"AAAAAH0pdTw=")</f>
        <v>#REF!</v>
      </c>
      <c r="BJ529" t="e">
        <f>AND(#REF!,"AAAAAH0pdT0=")</f>
        <v>#REF!</v>
      </c>
      <c r="BK529" t="e">
        <f>AND(#REF!,"AAAAAH0pdT4=")</f>
        <v>#REF!</v>
      </c>
      <c r="BL529" t="e">
        <f>AND(#REF!,"AAAAAH0pdT8=")</f>
        <v>#REF!</v>
      </c>
      <c r="BM529" t="e">
        <f>AND(#REF!,"AAAAAH0pdUA=")</f>
        <v>#REF!</v>
      </c>
      <c r="BN529" t="e">
        <f>AND(#REF!,"AAAAAH0pdUE=")</f>
        <v>#REF!</v>
      </c>
      <c r="BO529" t="e">
        <f>AND(#REF!,"AAAAAH0pdUI=")</f>
        <v>#REF!</v>
      </c>
      <c r="BP529" t="e">
        <f>AND(#REF!,"AAAAAH0pdUM=")</f>
        <v>#REF!</v>
      </c>
      <c r="BQ529" t="e">
        <f>AND(#REF!,"AAAAAH0pdUQ=")</f>
        <v>#REF!</v>
      </c>
      <c r="BR529" t="e">
        <f>IF(#REF!,"AAAAAH0pdUU=",0)</f>
        <v>#REF!</v>
      </c>
      <c r="BS529" t="e">
        <f>AND(#REF!,"AAAAAH0pdUY=")</f>
        <v>#REF!</v>
      </c>
      <c r="BT529" t="e">
        <f>AND(#REF!,"AAAAAH0pdUc=")</f>
        <v>#REF!</v>
      </c>
      <c r="BU529" t="e">
        <f>AND(#REF!,"AAAAAH0pdUg=")</f>
        <v>#REF!</v>
      </c>
      <c r="BV529" t="e">
        <f>AND(#REF!,"AAAAAH0pdUk=")</f>
        <v>#REF!</v>
      </c>
      <c r="BW529" t="e">
        <f>AND(#REF!,"AAAAAH0pdUo=")</f>
        <v>#REF!</v>
      </c>
      <c r="BX529" t="e">
        <f>AND(#REF!,"AAAAAH0pdUs=")</f>
        <v>#REF!</v>
      </c>
      <c r="BY529" t="e">
        <f>AND(#REF!,"AAAAAH0pdUw=")</f>
        <v>#REF!</v>
      </c>
      <c r="BZ529" t="e">
        <f>AND(#REF!,"AAAAAH0pdU0=")</f>
        <v>#REF!</v>
      </c>
      <c r="CA529" t="e">
        <f>AND(#REF!,"AAAAAH0pdU4=")</f>
        <v>#REF!</v>
      </c>
      <c r="CB529" t="e">
        <f>AND(#REF!,"AAAAAH0pdU8=")</f>
        <v>#REF!</v>
      </c>
      <c r="CC529" t="e">
        <f>IF(#REF!,"AAAAAH0pdVA=",0)</f>
        <v>#REF!</v>
      </c>
      <c r="CD529" t="e">
        <f>AND(#REF!,"AAAAAH0pdVE=")</f>
        <v>#REF!</v>
      </c>
      <c r="CE529" t="e">
        <f>AND(#REF!,"AAAAAH0pdVI=")</f>
        <v>#REF!</v>
      </c>
      <c r="CF529" t="e">
        <f>AND(#REF!,"AAAAAH0pdVM=")</f>
        <v>#REF!</v>
      </c>
      <c r="CG529" t="e">
        <f>AND(#REF!,"AAAAAH0pdVQ=")</f>
        <v>#REF!</v>
      </c>
      <c r="CH529" t="e">
        <f>AND(#REF!,"AAAAAH0pdVU=")</f>
        <v>#REF!</v>
      </c>
      <c r="CI529" t="e">
        <f>AND(#REF!,"AAAAAH0pdVY=")</f>
        <v>#REF!</v>
      </c>
      <c r="CJ529" t="e">
        <f>AND(#REF!,"AAAAAH0pdVc=")</f>
        <v>#REF!</v>
      </c>
      <c r="CK529" t="e">
        <f>AND(#REF!,"AAAAAH0pdVg=")</f>
        <v>#REF!</v>
      </c>
      <c r="CL529" t="e">
        <f>AND(#REF!,"AAAAAH0pdVk=")</f>
        <v>#REF!</v>
      </c>
      <c r="CM529" t="e">
        <f>AND(#REF!,"AAAAAH0pdVo=")</f>
        <v>#REF!</v>
      </c>
      <c r="CN529" t="e">
        <f>IF(#REF!,"AAAAAH0pdVs=",0)</f>
        <v>#REF!</v>
      </c>
      <c r="CO529" t="e">
        <f>AND(#REF!,"AAAAAH0pdVw=")</f>
        <v>#REF!</v>
      </c>
      <c r="CP529" t="e">
        <f>AND(#REF!,"AAAAAH0pdV0=")</f>
        <v>#REF!</v>
      </c>
      <c r="CQ529" t="e">
        <f>AND(#REF!,"AAAAAH0pdV4=")</f>
        <v>#REF!</v>
      </c>
      <c r="CR529" t="e">
        <f>AND(#REF!,"AAAAAH0pdV8=")</f>
        <v>#REF!</v>
      </c>
      <c r="CS529" t="e">
        <f>AND(#REF!,"AAAAAH0pdWA=")</f>
        <v>#REF!</v>
      </c>
      <c r="CT529" t="e">
        <f>AND(#REF!,"AAAAAH0pdWE=")</f>
        <v>#REF!</v>
      </c>
      <c r="CU529" t="e">
        <f>AND(#REF!,"AAAAAH0pdWI=")</f>
        <v>#REF!</v>
      </c>
      <c r="CV529" t="e">
        <f>AND(#REF!,"AAAAAH0pdWM=")</f>
        <v>#REF!</v>
      </c>
      <c r="CW529" t="e">
        <f>AND(#REF!,"AAAAAH0pdWQ=")</f>
        <v>#REF!</v>
      </c>
      <c r="CX529" t="e">
        <f>AND(#REF!,"AAAAAH0pdWU=")</f>
        <v>#REF!</v>
      </c>
      <c r="CY529" t="e">
        <f>IF(#REF!,"AAAAAH0pdWY=",0)</f>
        <v>#REF!</v>
      </c>
      <c r="CZ529" t="e">
        <f>AND(#REF!,"AAAAAH0pdWc=")</f>
        <v>#REF!</v>
      </c>
      <c r="DA529" t="e">
        <f>AND(#REF!,"AAAAAH0pdWg=")</f>
        <v>#REF!</v>
      </c>
      <c r="DB529" t="e">
        <f>AND(#REF!,"AAAAAH0pdWk=")</f>
        <v>#REF!</v>
      </c>
      <c r="DC529" t="e">
        <f>AND(#REF!,"AAAAAH0pdWo=")</f>
        <v>#REF!</v>
      </c>
      <c r="DD529" t="e">
        <f>AND(#REF!,"AAAAAH0pdWs=")</f>
        <v>#REF!</v>
      </c>
      <c r="DE529" t="e">
        <f>AND(#REF!,"AAAAAH0pdWw=")</f>
        <v>#REF!</v>
      </c>
      <c r="DF529" t="e">
        <f>AND(#REF!,"AAAAAH0pdW0=")</f>
        <v>#REF!</v>
      </c>
      <c r="DG529" t="e">
        <f>AND(#REF!,"AAAAAH0pdW4=")</f>
        <v>#REF!</v>
      </c>
      <c r="DH529" t="e">
        <f>AND(#REF!,"AAAAAH0pdW8=")</f>
        <v>#REF!</v>
      </c>
      <c r="DI529" t="e">
        <f>AND(#REF!,"AAAAAH0pdXA=")</f>
        <v>#REF!</v>
      </c>
      <c r="DJ529" t="e">
        <f>IF(#REF!,"AAAAAH0pdXE=",0)</f>
        <v>#REF!</v>
      </c>
      <c r="DK529" t="e">
        <f>AND(#REF!,"AAAAAH0pdXI=")</f>
        <v>#REF!</v>
      </c>
      <c r="DL529" t="e">
        <f>AND(#REF!,"AAAAAH0pdXM=")</f>
        <v>#REF!</v>
      </c>
      <c r="DM529" t="e">
        <f>AND(#REF!,"AAAAAH0pdXQ=")</f>
        <v>#REF!</v>
      </c>
      <c r="DN529" t="e">
        <f>AND(#REF!,"AAAAAH0pdXU=")</f>
        <v>#REF!</v>
      </c>
      <c r="DO529" t="e">
        <f>AND(#REF!,"AAAAAH0pdXY=")</f>
        <v>#REF!</v>
      </c>
      <c r="DP529" t="e">
        <f>AND(#REF!,"AAAAAH0pdXc=")</f>
        <v>#REF!</v>
      </c>
      <c r="DQ529" t="e">
        <f>AND(#REF!,"AAAAAH0pdXg=")</f>
        <v>#REF!</v>
      </c>
      <c r="DR529" t="e">
        <f>AND(#REF!,"AAAAAH0pdXk=")</f>
        <v>#REF!</v>
      </c>
      <c r="DS529" t="e">
        <f>AND(#REF!,"AAAAAH0pdXo=")</f>
        <v>#REF!</v>
      </c>
      <c r="DT529" t="e">
        <f>AND(#REF!,"AAAAAH0pdXs=")</f>
        <v>#REF!</v>
      </c>
      <c r="DU529" t="e">
        <f>IF(#REF!,"AAAAAH0pdXw=",0)</f>
        <v>#REF!</v>
      </c>
      <c r="DV529" t="e">
        <f>AND(#REF!,"AAAAAH0pdX0=")</f>
        <v>#REF!</v>
      </c>
      <c r="DW529" t="e">
        <f>AND(#REF!,"AAAAAH0pdX4=")</f>
        <v>#REF!</v>
      </c>
      <c r="DX529" t="e">
        <f>AND(#REF!,"AAAAAH0pdX8=")</f>
        <v>#REF!</v>
      </c>
      <c r="DY529" t="e">
        <f>AND(#REF!,"AAAAAH0pdYA=")</f>
        <v>#REF!</v>
      </c>
      <c r="DZ529" t="e">
        <f>AND(#REF!,"AAAAAH0pdYE=")</f>
        <v>#REF!</v>
      </c>
      <c r="EA529" t="e">
        <f>AND(#REF!,"AAAAAH0pdYI=")</f>
        <v>#REF!</v>
      </c>
      <c r="EB529" t="e">
        <f>AND(#REF!,"AAAAAH0pdYM=")</f>
        <v>#REF!</v>
      </c>
      <c r="EC529" t="e">
        <f>AND(#REF!,"AAAAAH0pdYQ=")</f>
        <v>#REF!</v>
      </c>
      <c r="ED529" t="e">
        <f>AND(#REF!,"AAAAAH0pdYU=")</f>
        <v>#REF!</v>
      </c>
      <c r="EE529" t="e">
        <f>AND(#REF!,"AAAAAH0pdYY=")</f>
        <v>#REF!</v>
      </c>
      <c r="EF529" t="e">
        <f>IF(#REF!,"AAAAAH0pdYc=",0)</f>
        <v>#REF!</v>
      </c>
      <c r="EG529" t="e">
        <f>AND(#REF!,"AAAAAH0pdYg=")</f>
        <v>#REF!</v>
      </c>
      <c r="EH529" t="e">
        <f>AND(#REF!,"AAAAAH0pdYk=")</f>
        <v>#REF!</v>
      </c>
      <c r="EI529" t="e">
        <f>AND(#REF!,"AAAAAH0pdYo=")</f>
        <v>#REF!</v>
      </c>
      <c r="EJ529" t="e">
        <f>AND(#REF!,"AAAAAH0pdYs=")</f>
        <v>#REF!</v>
      </c>
      <c r="EK529" t="e">
        <f>AND(#REF!,"AAAAAH0pdYw=")</f>
        <v>#REF!</v>
      </c>
      <c r="EL529" t="e">
        <f>AND(#REF!,"AAAAAH0pdY0=")</f>
        <v>#REF!</v>
      </c>
      <c r="EM529" t="e">
        <f>AND(#REF!,"AAAAAH0pdY4=")</f>
        <v>#REF!</v>
      </c>
      <c r="EN529" t="e">
        <f>AND(#REF!,"AAAAAH0pdY8=")</f>
        <v>#REF!</v>
      </c>
      <c r="EO529" t="e">
        <f>AND(#REF!,"AAAAAH0pdZA=")</f>
        <v>#REF!</v>
      </c>
      <c r="EP529" t="e">
        <f>AND(#REF!,"AAAAAH0pdZE=")</f>
        <v>#REF!</v>
      </c>
      <c r="EQ529" t="e">
        <f>IF(#REF!,"AAAAAH0pdZI=",0)</f>
        <v>#REF!</v>
      </c>
      <c r="ER529" t="e">
        <f>AND(#REF!,"AAAAAH0pdZM=")</f>
        <v>#REF!</v>
      </c>
      <c r="ES529" t="e">
        <f>AND(#REF!,"AAAAAH0pdZQ=")</f>
        <v>#REF!</v>
      </c>
      <c r="ET529" t="e">
        <f>AND(#REF!,"AAAAAH0pdZU=")</f>
        <v>#REF!</v>
      </c>
      <c r="EU529" t="e">
        <f>AND(#REF!,"AAAAAH0pdZY=")</f>
        <v>#REF!</v>
      </c>
      <c r="EV529" t="e">
        <f>AND(#REF!,"AAAAAH0pdZc=")</f>
        <v>#REF!</v>
      </c>
      <c r="EW529" t="e">
        <f>AND(#REF!,"AAAAAH0pdZg=")</f>
        <v>#REF!</v>
      </c>
      <c r="EX529" t="e">
        <f>AND(#REF!,"AAAAAH0pdZk=")</f>
        <v>#REF!</v>
      </c>
      <c r="EY529" t="e">
        <f>AND(#REF!,"AAAAAH0pdZo=")</f>
        <v>#REF!</v>
      </c>
      <c r="EZ529" t="e">
        <f>AND(#REF!,"AAAAAH0pdZs=")</f>
        <v>#REF!</v>
      </c>
      <c r="FA529" t="e">
        <f>AND(#REF!,"AAAAAH0pdZw=")</f>
        <v>#REF!</v>
      </c>
      <c r="FB529" t="e">
        <f>IF(#REF!,"AAAAAH0pdZ0=",0)</f>
        <v>#REF!</v>
      </c>
      <c r="FC529" t="e">
        <f>AND(#REF!,"AAAAAH0pdZ4=")</f>
        <v>#REF!</v>
      </c>
      <c r="FD529" t="e">
        <f>AND(#REF!,"AAAAAH0pdZ8=")</f>
        <v>#REF!</v>
      </c>
      <c r="FE529" t="e">
        <f>AND(#REF!,"AAAAAH0pdaA=")</f>
        <v>#REF!</v>
      </c>
      <c r="FF529" t="e">
        <f>AND(#REF!,"AAAAAH0pdaE=")</f>
        <v>#REF!</v>
      </c>
      <c r="FG529" t="e">
        <f>AND(#REF!,"AAAAAH0pdaI=")</f>
        <v>#REF!</v>
      </c>
      <c r="FH529" t="e">
        <f>AND(#REF!,"AAAAAH0pdaM=")</f>
        <v>#REF!</v>
      </c>
      <c r="FI529" t="e">
        <f>AND(#REF!,"AAAAAH0pdaQ=")</f>
        <v>#REF!</v>
      </c>
      <c r="FJ529" t="e">
        <f>AND(#REF!,"AAAAAH0pdaU=")</f>
        <v>#REF!</v>
      </c>
      <c r="FK529" t="e">
        <f>AND(#REF!,"AAAAAH0pdaY=")</f>
        <v>#REF!</v>
      </c>
      <c r="FL529" t="e">
        <f>AND(#REF!,"AAAAAH0pdac=")</f>
        <v>#REF!</v>
      </c>
      <c r="FM529" t="e">
        <f>IF(#REF!,"AAAAAH0pdag=",0)</f>
        <v>#REF!</v>
      </c>
      <c r="FN529" t="e">
        <f>AND(#REF!,"AAAAAH0pdak=")</f>
        <v>#REF!</v>
      </c>
      <c r="FO529" t="e">
        <f>AND(#REF!,"AAAAAH0pdao=")</f>
        <v>#REF!</v>
      </c>
      <c r="FP529" t="e">
        <f>AND(#REF!,"AAAAAH0pdas=")</f>
        <v>#REF!</v>
      </c>
      <c r="FQ529" t="e">
        <f>AND(#REF!,"AAAAAH0pdaw=")</f>
        <v>#REF!</v>
      </c>
      <c r="FR529" t="e">
        <f>AND(#REF!,"AAAAAH0pda0=")</f>
        <v>#REF!</v>
      </c>
      <c r="FS529" t="e">
        <f>AND(#REF!,"AAAAAH0pda4=")</f>
        <v>#REF!</v>
      </c>
      <c r="FT529" t="e">
        <f>AND(#REF!,"AAAAAH0pda8=")</f>
        <v>#REF!</v>
      </c>
      <c r="FU529" t="e">
        <f>AND(#REF!,"AAAAAH0pdbA=")</f>
        <v>#REF!</v>
      </c>
      <c r="FV529" t="e">
        <f>AND(#REF!,"AAAAAH0pdbE=")</f>
        <v>#REF!</v>
      </c>
      <c r="FW529" t="e">
        <f>AND(#REF!,"AAAAAH0pdbI=")</f>
        <v>#REF!</v>
      </c>
      <c r="FX529" t="e">
        <f>IF(#REF!,"AAAAAH0pdbM=",0)</f>
        <v>#REF!</v>
      </c>
      <c r="FY529" t="e">
        <f>AND(#REF!,"AAAAAH0pdbQ=")</f>
        <v>#REF!</v>
      </c>
      <c r="FZ529" t="e">
        <f>AND(#REF!,"AAAAAH0pdbU=")</f>
        <v>#REF!</v>
      </c>
      <c r="GA529" t="e">
        <f>AND(#REF!,"AAAAAH0pdbY=")</f>
        <v>#REF!</v>
      </c>
      <c r="GB529" t="e">
        <f>AND(#REF!,"AAAAAH0pdbc=")</f>
        <v>#REF!</v>
      </c>
      <c r="GC529" t="e">
        <f>AND(#REF!,"AAAAAH0pdbg=")</f>
        <v>#REF!</v>
      </c>
      <c r="GD529" t="e">
        <f>AND(#REF!,"AAAAAH0pdbk=")</f>
        <v>#REF!</v>
      </c>
      <c r="GE529" t="e">
        <f>AND(#REF!,"AAAAAH0pdbo=")</f>
        <v>#REF!</v>
      </c>
      <c r="GF529" t="e">
        <f>AND(#REF!,"AAAAAH0pdbs=")</f>
        <v>#REF!</v>
      </c>
      <c r="GG529" t="e">
        <f>AND(#REF!,"AAAAAH0pdbw=")</f>
        <v>#REF!</v>
      </c>
      <c r="GH529" t="e">
        <f>AND(#REF!,"AAAAAH0pdb0=")</f>
        <v>#REF!</v>
      </c>
      <c r="GI529" t="e">
        <f>IF(#REF!,"AAAAAH0pdb4=",0)</f>
        <v>#REF!</v>
      </c>
      <c r="GJ529" t="e">
        <f>AND(#REF!,"AAAAAH0pdb8=")</f>
        <v>#REF!</v>
      </c>
      <c r="GK529" t="e">
        <f>AND(#REF!,"AAAAAH0pdcA=")</f>
        <v>#REF!</v>
      </c>
      <c r="GL529" t="e">
        <f>AND(#REF!,"AAAAAH0pdcE=")</f>
        <v>#REF!</v>
      </c>
      <c r="GM529" t="e">
        <f>AND(#REF!,"AAAAAH0pdcI=")</f>
        <v>#REF!</v>
      </c>
      <c r="GN529" t="e">
        <f>AND(#REF!,"AAAAAH0pdcM=")</f>
        <v>#REF!</v>
      </c>
      <c r="GO529" t="e">
        <f>AND(#REF!,"AAAAAH0pdcQ=")</f>
        <v>#REF!</v>
      </c>
      <c r="GP529" t="e">
        <f>AND(#REF!,"AAAAAH0pdcU=")</f>
        <v>#REF!</v>
      </c>
      <c r="GQ529" t="e">
        <f>AND(#REF!,"AAAAAH0pdcY=")</f>
        <v>#REF!</v>
      </c>
      <c r="GR529" t="e">
        <f>AND(#REF!,"AAAAAH0pdcc=")</f>
        <v>#REF!</v>
      </c>
      <c r="GS529" t="e">
        <f>AND(#REF!,"AAAAAH0pdcg=")</f>
        <v>#REF!</v>
      </c>
      <c r="GT529" t="e">
        <f>IF(#REF!,"AAAAAH0pdck=",0)</f>
        <v>#REF!</v>
      </c>
      <c r="GU529" t="e">
        <f>AND(#REF!,"AAAAAH0pdco=")</f>
        <v>#REF!</v>
      </c>
      <c r="GV529" t="e">
        <f>AND(#REF!,"AAAAAH0pdcs=")</f>
        <v>#REF!</v>
      </c>
      <c r="GW529" t="e">
        <f>AND(#REF!,"AAAAAH0pdcw=")</f>
        <v>#REF!</v>
      </c>
      <c r="GX529" t="e">
        <f>AND(#REF!,"AAAAAH0pdc0=")</f>
        <v>#REF!</v>
      </c>
      <c r="GY529" t="e">
        <f>AND(#REF!,"AAAAAH0pdc4=")</f>
        <v>#REF!</v>
      </c>
      <c r="GZ529" t="e">
        <f>AND(#REF!,"AAAAAH0pdc8=")</f>
        <v>#REF!</v>
      </c>
      <c r="HA529" t="e">
        <f>AND(#REF!,"AAAAAH0pddA=")</f>
        <v>#REF!</v>
      </c>
      <c r="HB529" t="e">
        <f>AND(#REF!,"AAAAAH0pddE=")</f>
        <v>#REF!</v>
      </c>
      <c r="HC529" t="e">
        <f>AND(#REF!,"AAAAAH0pddI=")</f>
        <v>#REF!</v>
      </c>
      <c r="HD529" t="e">
        <f>AND(#REF!,"AAAAAH0pddM=")</f>
        <v>#REF!</v>
      </c>
      <c r="HE529" t="e">
        <f>IF(#REF!,"AAAAAH0pddQ=",0)</f>
        <v>#REF!</v>
      </c>
      <c r="HF529" t="e">
        <f>AND(#REF!,"AAAAAH0pddU=")</f>
        <v>#REF!</v>
      </c>
      <c r="HG529" t="e">
        <f>AND(#REF!,"AAAAAH0pddY=")</f>
        <v>#REF!</v>
      </c>
      <c r="HH529" t="e">
        <f>AND(#REF!,"AAAAAH0pddc=")</f>
        <v>#REF!</v>
      </c>
      <c r="HI529" t="e">
        <f>AND(#REF!,"AAAAAH0pddg=")</f>
        <v>#REF!</v>
      </c>
      <c r="HJ529" t="e">
        <f>AND(#REF!,"AAAAAH0pddk=")</f>
        <v>#REF!</v>
      </c>
      <c r="HK529" t="e">
        <f>AND(#REF!,"AAAAAH0pddo=")</f>
        <v>#REF!</v>
      </c>
      <c r="HL529" t="e">
        <f>AND(#REF!,"AAAAAH0pdds=")</f>
        <v>#REF!</v>
      </c>
      <c r="HM529" t="e">
        <f>AND(#REF!,"AAAAAH0pddw=")</f>
        <v>#REF!</v>
      </c>
      <c r="HN529" t="e">
        <f>AND(#REF!,"AAAAAH0pdd0=")</f>
        <v>#REF!</v>
      </c>
      <c r="HO529" t="e">
        <f>AND(#REF!,"AAAAAH0pdd4=")</f>
        <v>#REF!</v>
      </c>
      <c r="HP529" t="e">
        <f>IF(#REF!,"AAAAAH0pdd8=",0)</f>
        <v>#REF!</v>
      </c>
      <c r="HQ529" t="e">
        <f>AND(#REF!,"AAAAAH0pdeA=")</f>
        <v>#REF!</v>
      </c>
      <c r="HR529" t="e">
        <f>AND(#REF!,"AAAAAH0pdeE=")</f>
        <v>#REF!</v>
      </c>
      <c r="HS529" t="e">
        <f>AND(#REF!,"AAAAAH0pdeI=")</f>
        <v>#REF!</v>
      </c>
      <c r="HT529" t="e">
        <f>AND(#REF!,"AAAAAH0pdeM=")</f>
        <v>#REF!</v>
      </c>
      <c r="HU529" t="e">
        <f>AND(#REF!,"AAAAAH0pdeQ=")</f>
        <v>#REF!</v>
      </c>
      <c r="HV529" t="e">
        <f>AND(#REF!,"AAAAAH0pdeU=")</f>
        <v>#REF!</v>
      </c>
      <c r="HW529" t="e">
        <f>AND(#REF!,"AAAAAH0pdeY=")</f>
        <v>#REF!</v>
      </c>
      <c r="HX529" t="e">
        <f>AND(#REF!,"AAAAAH0pdec=")</f>
        <v>#REF!</v>
      </c>
      <c r="HY529" t="e">
        <f>AND(#REF!,"AAAAAH0pdeg=")</f>
        <v>#REF!</v>
      </c>
      <c r="HZ529" t="e">
        <f>AND(#REF!,"AAAAAH0pdek=")</f>
        <v>#REF!</v>
      </c>
      <c r="IA529" t="e">
        <f>IF(#REF!,"AAAAAH0pdeo=",0)</f>
        <v>#REF!</v>
      </c>
      <c r="IB529" t="e">
        <f>AND(#REF!,"AAAAAH0pdes=")</f>
        <v>#REF!</v>
      </c>
      <c r="IC529" t="e">
        <f>AND(#REF!,"AAAAAH0pdew=")</f>
        <v>#REF!</v>
      </c>
      <c r="ID529" t="e">
        <f>AND(#REF!,"AAAAAH0pde0=")</f>
        <v>#REF!</v>
      </c>
      <c r="IE529" t="e">
        <f>AND(#REF!,"AAAAAH0pde4=")</f>
        <v>#REF!</v>
      </c>
      <c r="IF529" t="e">
        <f>AND(#REF!,"AAAAAH0pde8=")</f>
        <v>#REF!</v>
      </c>
      <c r="IG529" t="e">
        <f>AND(#REF!,"AAAAAH0pdfA=")</f>
        <v>#REF!</v>
      </c>
      <c r="IH529" t="e">
        <f>AND(#REF!,"AAAAAH0pdfE=")</f>
        <v>#REF!</v>
      </c>
      <c r="II529" t="e">
        <f>AND(#REF!,"AAAAAH0pdfI=")</f>
        <v>#REF!</v>
      </c>
      <c r="IJ529" t="e">
        <f>AND(#REF!,"AAAAAH0pdfM=")</f>
        <v>#REF!</v>
      </c>
      <c r="IK529" t="e">
        <f>AND(#REF!,"AAAAAH0pdfQ=")</f>
        <v>#REF!</v>
      </c>
      <c r="IL529" t="e">
        <f>IF(#REF!,"AAAAAH0pdfU=",0)</f>
        <v>#REF!</v>
      </c>
      <c r="IM529" t="e">
        <f>AND(#REF!,"AAAAAH0pdfY=")</f>
        <v>#REF!</v>
      </c>
      <c r="IN529" t="e">
        <f>AND(#REF!,"AAAAAH0pdfc=")</f>
        <v>#REF!</v>
      </c>
      <c r="IO529" t="e">
        <f>AND(#REF!,"AAAAAH0pdfg=")</f>
        <v>#REF!</v>
      </c>
      <c r="IP529" t="e">
        <f>AND(#REF!,"AAAAAH0pdfk=")</f>
        <v>#REF!</v>
      </c>
      <c r="IQ529" t="e">
        <f>AND(#REF!,"AAAAAH0pdfo=")</f>
        <v>#REF!</v>
      </c>
      <c r="IR529" t="e">
        <f>AND(#REF!,"AAAAAH0pdfs=")</f>
        <v>#REF!</v>
      </c>
      <c r="IS529" t="e">
        <f>AND(#REF!,"AAAAAH0pdfw=")</f>
        <v>#REF!</v>
      </c>
      <c r="IT529" t="e">
        <f>AND(#REF!,"AAAAAH0pdf0=")</f>
        <v>#REF!</v>
      </c>
      <c r="IU529" t="e">
        <f>AND(#REF!,"AAAAAH0pdf4=")</f>
        <v>#REF!</v>
      </c>
      <c r="IV529" t="e">
        <f>AND(#REF!,"AAAAAH0pdf8=")</f>
        <v>#REF!</v>
      </c>
    </row>
    <row r="530" spans="1:256" x14ac:dyDescent="0.25">
      <c r="A530" t="e">
        <f>IF(#REF!,"AAAAAHd1HgA=",0)</f>
        <v>#REF!</v>
      </c>
      <c r="B530" t="e">
        <f>AND(#REF!,"AAAAAHd1HgE=")</f>
        <v>#REF!</v>
      </c>
      <c r="C530" t="e">
        <f>AND(#REF!,"AAAAAHd1HgI=")</f>
        <v>#REF!</v>
      </c>
      <c r="D530" t="e">
        <f>AND(#REF!,"AAAAAHd1HgM=")</f>
        <v>#REF!</v>
      </c>
      <c r="E530" t="e">
        <f>AND(#REF!,"AAAAAHd1HgQ=")</f>
        <v>#REF!</v>
      </c>
      <c r="F530" t="e">
        <f>AND(#REF!,"AAAAAHd1HgU=")</f>
        <v>#REF!</v>
      </c>
      <c r="G530" t="e">
        <f>AND(#REF!,"AAAAAHd1HgY=")</f>
        <v>#REF!</v>
      </c>
      <c r="H530" t="e">
        <f>AND(#REF!,"AAAAAHd1Hgc=")</f>
        <v>#REF!</v>
      </c>
      <c r="I530" t="e">
        <f>AND(#REF!,"AAAAAHd1Hgg=")</f>
        <v>#REF!</v>
      </c>
      <c r="J530" t="e">
        <f>AND(#REF!,"AAAAAHd1Hgk=")</f>
        <v>#REF!</v>
      </c>
      <c r="K530" t="e">
        <f>AND(#REF!,"AAAAAHd1Hgo=")</f>
        <v>#REF!</v>
      </c>
      <c r="L530" t="e">
        <f>IF(#REF!,"AAAAAHd1Hgs=",0)</f>
        <v>#REF!</v>
      </c>
      <c r="M530" t="e">
        <f>AND(#REF!,"AAAAAHd1Hgw=")</f>
        <v>#REF!</v>
      </c>
      <c r="N530" t="e">
        <f>AND(#REF!,"AAAAAHd1Hg0=")</f>
        <v>#REF!</v>
      </c>
      <c r="O530" t="e">
        <f>AND(#REF!,"AAAAAHd1Hg4=")</f>
        <v>#REF!</v>
      </c>
      <c r="P530" t="e">
        <f>AND(#REF!,"AAAAAHd1Hg8=")</f>
        <v>#REF!</v>
      </c>
      <c r="Q530" t="e">
        <f>AND(#REF!,"AAAAAHd1HhA=")</f>
        <v>#REF!</v>
      </c>
      <c r="R530" t="e">
        <f>AND(#REF!,"AAAAAHd1HhE=")</f>
        <v>#REF!</v>
      </c>
      <c r="S530" t="e">
        <f>AND(#REF!,"AAAAAHd1HhI=")</f>
        <v>#REF!</v>
      </c>
      <c r="T530" t="e">
        <f>AND(#REF!,"AAAAAHd1HhM=")</f>
        <v>#REF!</v>
      </c>
      <c r="U530" t="e">
        <f>AND(#REF!,"AAAAAHd1HhQ=")</f>
        <v>#REF!</v>
      </c>
      <c r="V530" t="e">
        <f>AND(#REF!,"AAAAAHd1HhU=")</f>
        <v>#REF!</v>
      </c>
      <c r="W530" t="e">
        <f>IF(#REF!,"AAAAAHd1HhY=",0)</f>
        <v>#REF!</v>
      </c>
      <c r="X530" t="e">
        <f>AND(#REF!,"AAAAAHd1Hhc=")</f>
        <v>#REF!</v>
      </c>
      <c r="Y530" t="e">
        <f>AND(#REF!,"AAAAAHd1Hhg=")</f>
        <v>#REF!</v>
      </c>
      <c r="Z530" t="e">
        <f>AND(#REF!,"AAAAAHd1Hhk=")</f>
        <v>#REF!</v>
      </c>
      <c r="AA530" t="e">
        <f>AND(#REF!,"AAAAAHd1Hho=")</f>
        <v>#REF!</v>
      </c>
      <c r="AB530" t="e">
        <f>AND(#REF!,"AAAAAHd1Hhs=")</f>
        <v>#REF!</v>
      </c>
      <c r="AC530" t="e">
        <f>AND(#REF!,"AAAAAHd1Hhw=")</f>
        <v>#REF!</v>
      </c>
      <c r="AD530" t="e">
        <f>AND(#REF!,"AAAAAHd1Hh0=")</f>
        <v>#REF!</v>
      </c>
      <c r="AE530" t="e">
        <f>AND(#REF!,"AAAAAHd1Hh4=")</f>
        <v>#REF!</v>
      </c>
      <c r="AF530" t="e">
        <f>AND(#REF!,"AAAAAHd1Hh8=")</f>
        <v>#REF!</v>
      </c>
      <c r="AG530" t="e">
        <f>AND(#REF!,"AAAAAHd1HiA=")</f>
        <v>#REF!</v>
      </c>
      <c r="AH530" t="e">
        <f>IF(#REF!,"AAAAAHd1HiE=",0)</f>
        <v>#REF!</v>
      </c>
      <c r="AI530" t="e">
        <f>AND(#REF!,"AAAAAHd1HiI=")</f>
        <v>#REF!</v>
      </c>
      <c r="AJ530" t="e">
        <f>AND(#REF!,"AAAAAHd1HiM=")</f>
        <v>#REF!</v>
      </c>
      <c r="AK530" t="e">
        <f>AND(#REF!,"AAAAAHd1HiQ=")</f>
        <v>#REF!</v>
      </c>
      <c r="AL530" t="e">
        <f>AND(#REF!,"AAAAAHd1HiU=")</f>
        <v>#REF!</v>
      </c>
      <c r="AM530" t="e">
        <f>AND(#REF!,"AAAAAHd1HiY=")</f>
        <v>#REF!</v>
      </c>
      <c r="AN530" t="e">
        <f>AND(#REF!,"AAAAAHd1Hic=")</f>
        <v>#REF!</v>
      </c>
      <c r="AO530" t="e">
        <f>AND(#REF!,"AAAAAHd1Hig=")</f>
        <v>#REF!</v>
      </c>
      <c r="AP530" t="e">
        <f>AND(#REF!,"AAAAAHd1Hik=")</f>
        <v>#REF!</v>
      </c>
      <c r="AQ530" t="e">
        <f>AND(#REF!,"AAAAAHd1Hio=")</f>
        <v>#REF!</v>
      </c>
      <c r="AR530" t="e">
        <f>AND(#REF!,"AAAAAHd1His=")</f>
        <v>#REF!</v>
      </c>
      <c r="AS530" t="e">
        <f>IF(#REF!,"AAAAAHd1Hiw=",0)</f>
        <v>#REF!</v>
      </c>
      <c r="AT530" t="e">
        <f>AND(#REF!,"AAAAAHd1Hi0=")</f>
        <v>#REF!</v>
      </c>
      <c r="AU530" t="e">
        <f>AND(#REF!,"AAAAAHd1Hi4=")</f>
        <v>#REF!</v>
      </c>
      <c r="AV530" t="e">
        <f>AND(#REF!,"AAAAAHd1Hi8=")</f>
        <v>#REF!</v>
      </c>
      <c r="AW530" t="e">
        <f>AND(#REF!,"AAAAAHd1HjA=")</f>
        <v>#REF!</v>
      </c>
      <c r="AX530" t="e">
        <f>AND(#REF!,"AAAAAHd1HjE=")</f>
        <v>#REF!</v>
      </c>
      <c r="AY530" t="e">
        <f>AND(#REF!,"AAAAAHd1HjI=")</f>
        <v>#REF!</v>
      </c>
      <c r="AZ530" t="e">
        <f>AND(#REF!,"AAAAAHd1HjM=")</f>
        <v>#REF!</v>
      </c>
      <c r="BA530" t="e">
        <f>AND(#REF!,"AAAAAHd1HjQ=")</f>
        <v>#REF!</v>
      </c>
      <c r="BB530" t="e">
        <f>AND(#REF!,"AAAAAHd1HjU=")</f>
        <v>#REF!</v>
      </c>
      <c r="BC530" t="e">
        <f>AND(#REF!,"AAAAAHd1HjY=")</f>
        <v>#REF!</v>
      </c>
      <c r="BD530" t="e">
        <f>IF(#REF!,"AAAAAHd1Hjc=",0)</f>
        <v>#REF!</v>
      </c>
      <c r="BE530" t="e">
        <f>AND(#REF!,"AAAAAHd1Hjg=")</f>
        <v>#REF!</v>
      </c>
      <c r="BF530" t="e">
        <f>AND(#REF!,"AAAAAHd1Hjk=")</f>
        <v>#REF!</v>
      </c>
      <c r="BG530" t="e">
        <f>AND(#REF!,"AAAAAHd1Hjo=")</f>
        <v>#REF!</v>
      </c>
      <c r="BH530" t="e">
        <f>AND(#REF!,"AAAAAHd1Hjs=")</f>
        <v>#REF!</v>
      </c>
      <c r="BI530" t="e">
        <f>AND(#REF!,"AAAAAHd1Hjw=")</f>
        <v>#REF!</v>
      </c>
      <c r="BJ530" t="e">
        <f>AND(#REF!,"AAAAAHd1Hj0=")</f>
        <v>#REF!</v>
      </c>
      <c r="BK530" t="e">
        <f>AND(#REF!,"AAAAAHd1Hj4=")</f>
        <v>#REF!</v>
      </c>
      <c r="BL530" t="e">
        <f>AND(#REF!,"AAAAAHd1Hj8=")</f>
        <v>#REF!</v>
      </c>
      <c r="BM530" t="e">
        <f>AND(#REF!,"AAAAAHd1HkA=")</f>
        <v>#REF!</v>
      </c>
      <c r="BN530" t="e">
        <f>AND(#REF!,"AAAAAHd1HkE=")</f>
        <v>#REF!</v>
      </c>
      <c r="BO530" t="e">
        <f>IF(#REF!,"AAAAAHd1HkI=",0)</f>
        <v>#REF!</v>
      </c>
      <c r="BP530" t="e">
        <f>AND(#REF!,"AAAAAHd1HkM=")</f>
        <v>#REF!</v>
      </c>
      <c r="BQ530" t="e">
        <f>AND(#REF!,"AAAAAHd1HkQ=")</f>
        <v>#REF!</v>
      </c>
      <c r="BR530" t="e">
        <f>AND(#REF!,"AAAAAHd1HkU=")</f>
        <v>#REF!</v>
      </c>
      <c r="BS530" t="e">
        <f>AND(#REF!,"AAAAAHd1HkY=")</f>
        <v>#REF!</v>
      </c>
      <c r="BT530" t="e">
        <f>AND(#REF!,"AAAAAHd1Hkc=")</f>
        <v>#REF!</v>
      </c>
      <c r="BU530" t="e">
        <f>AND(#REF!,"AAAAAHd1Hkg=")</f>
        <v>#REF!</v>
      </c>
      <c r="BV530" t="e">
        <f>AND(#REF!,"AAAAAHd1Hkk=")</f>
        <v>#REF!</v>
      </c>
      <c r="BW530" t="e">
        <f>AND(#REF!,"AAAAAHd1Hko=")</f>
        <v>#REF!</v>
      </c>
      <c r="BX530" t="e">
        <f>AND(#REF!,"AAAAAHd1Hks=")</f>
        <v>#REF!</v>
      </c>
      <c r="BY530" t="e">
        <f>AND(#REF!,"AAAAAHd1Hkw=")</f>
        <v>#REF!</v>
      </c>
      <c r="BZ530" t="e">
        <f>IF(#REF!,"AAAAAHd1Hk0=",0)</f>
        <v>#REF!</v>
      </c>
      <c r="CA530" t="e">
        <f>AND(#REF!,"AAAAAHd1Hk4=")</f>
        <v>#REF!</v>
      </c>
      <c r="CB530" t="e">
        <f>AND(#REF!,"AAAAAHd1Hk8=")</f>
        <v>#REF!</v>
      </c>
      <c r="CC530" t="e">
        <f>AND(#REF!,"AAAAAHd1HlA=")</f>
        <v>#REF!</v>
      </c>
      <c r="CD530" t="e">
        <f>AND(#REF!,"AAAAAHd1HlE=")</f>
        <v>#REF!</v>
      </c>
      <c r="CE530" t="e">
        <f>AND(#REF!,"AAAAAHd1HlI=")</f>
        <v>#REF!</v>
      </c>
      <c r="CF530" t="e">
        <f>AND(#REF!,"AAAAAHd1HlM=")</f>
        <v>#REF!</v>
      </c>
      <c r="CG530" t="e">
        <f>AND(#REF!,"AAAAAHd1HlQ=")</f>
        <v>#REF!</v>
      </c>
      <c r="CH530" t="e">
        <f>AND(#REF!,"AAAAAHd1HlU=")</f>
        <v>#REF!</v>
      </c>
      <c r="CI530" t="e">
        <f>AND(#REF!,"AAAAAHd1HlY=")</f>
        <v>#REF!</v>
      </c>
      <c r="CJ530" t="e">
        <f>AND(#REF!,"AAAAAHd1Hlc=")</f>
        <v>#REF!</v>
      </c>
      <c r="CK530" t="e">
        <f>IF(#REF!,"AAAAAHd1Hlg=",0)</f>
        <v>#REF!</v>
      </c>
      <c r="CL530" t="e">
        <f>AND(#REF!,"AAAAAHd1Hlk=")</f>
        <v>#REF!</v>
      </c>
      <c r="CM530" t="e">
        <f>AND(#REF!,"AAAAAHd1Hlo=")</f>
        <v>#REF!</v>
      </c>
      <c r="CN530" t="e">
        <f>AND(#REF!,"AAAAAHd1Hls=")</f>
        <v>#REF!</v>
      </c>
      <c r="CO530" t="e">
        <f>AND(#REF!,"AAAAAHd1Hlw=")</f>
        <v>#REF!</v>
      </c>
      <c r="CP530" t="e">
        <f>AND(#REF!,"AAAAAHd1Hl0=")</f>
        <v>#REF!</v>
      </c>
      <c r="CQ530" t="e">
        <f>AND(#REF!,"AAAAAHd1Hl4=")</f>
        <v>#REF!</v>
      </c>
      <c r="CR530" t="e">
        <f>AND(#REF!,"AAAAAHd1Hl8=")</f>
        <v>#REF!</v>
      </c>
      <c r="CS530" t="e">
        <f>AND(#REF!,"AAAAAHd1HmA=")</f>
        <v>#REF!</v>
      </c>
      <c r="CT530" t="e">
        <f>AND(#REF!,"AAAAAHd1HmE=")</f>
        <v>#REF!</v>
      </c>
      <c r="CU530" t="e">
        <f>AND(#REF!,"AAAAAHd1HmI=")</f>
        <v>#REF!</v>
      </c>
      <c r="CV530" t="e">
        <f>IF(#REF!,"AAAAAHd1HmM=",0)</f>
        <v>#REF!</v>
      </c>
      <c r="CW530" t="e">
        <f>AND(#REF!,"AAAAAHd1HmQ=")</f>
        <v>#REF!</v>
      </c>
      <c r="CX530" t="e">
        <f>AND(#REF!,"AAAAAHd1HmU=")</f>
        <v>#REF!</v>
      </c>
      <c r="CY530" t="e">
        <f>AND(#REF!,"AAAAAHd1HmY=")</f>
        <v>#REF!</v>
      </c>
      <c r="CZ530" t="e">
        <f>AND(#REF!,"AAAAAHd1Hmc=")</f>
        <v>#REF!</v>
      </c>
      <c r="DA530" t="e">
        <f>AND(#REF!,"AAAAAHd1Hmg=")</f>
        <v>#REF!</v>
      </c>
      <c r="DB530" t="e">
        <f>AND(#REF!,"AAAAAHd1Hmk=")</f>
        <v>#REF!</v>
      </c>
      <c r="DC530" t="e">
        <f>AND(#REF!,"AAAAAHd1Hmo=")</f>
        <v>#REF!</v>
      </c>
      <c r="DD530" t="e">
        <f>AND(#REF!,"AAAAAHd1Hms=")</f>
        <v>#REF!</v>
      </c>
      <c r="DE530" t="e">
        <f>AND(#REF!,"AAAAAHd1Hmw=")</f>
        <v>#REF!</v>
      </c>
      <c r="DF530" t="e">
        <f>AND(#REF!,"AAAAAHd1Hm0=")</f>
        <v>#REF!</v>
      </c>
      <c r="DG530" t="e">
        <f>IF(#REF!,"AAAAAHd1Hm4=",0)</f>
        <v>#REF!</v>
      </c>
      <c r="DH530" t="e">
        <f>AND(#REF!,"AAAAAHd1Hm8=")</f>
        <v>#REF!</v>
      </c>
      <c r="DI530" t="e">
        <f>AND(#REF!,"AAAAAHd1HnA=")</f>
        <v>#REF!</v>
      </c>
      <c r="DJ530" t="e">
        <f>AND(#REF!,"AAAAAHd1HnE=")</f>
        <v>#REF!</v>
      </c>
      <c r="DK530" t="e">
        <f>AND(#REF!,"AAAAAHd1HnI=")</f>
        <v>#REF!</v>
      </c>
      <c r="DL530" t="e">
        <f>AND(#REF!,"AAAAAHd1HnM=")</f>
        <v>#REF!</v>
      </c>
      <c r="DM530" t="e">
        <f>AND(#REF!,"AAAAAHd1HnQ=")</f>
        <v>#REF!</v>
      </c>
      <c r="DN530" t="e">
        <f>AND(#REF!,"AAAAAHd1HnU=")</f>
        <v>#REF!</v>
      </c>
      <c r="DO530" t="e">
        <f>AND(#REF!,"AAAAAHd1HnY=")</f>
        <v>#REF!</v>
      </c>
      <c r="DP530" t="e">
        <f>AND(#REF!,"AAAAAHd1Hnc=")</f>
        <v>#REF!</v>
      </c>
      <c r="DQ530" t="e">
        <f>AND(#REF!,"AAAAAHd1Hng=")</f>
        <v>#REF!</v>
      </c>
      <c r="DR530" t="e">
        <f>IF(#REF!,"AAAAAHd1Hnk=",0)</f>
        <v>#REF!</v>
      </c>
      <c r="DS530" t="e">
        <f>AND(#REF!,"AAAAAHd1Hno=")</f>
        <v>#REF!</v>
      </c>
      <c r="DT530" t="e">
        <f>AND(#REF!,"AAAAAHd1Hns=")</f>
        <v>#REF!</v>
      </c>
      <c r="DU530" t="e">
        <f>AND(#REF!,"AAAAAHd1Hnw=")</f>
        <v>#REF!</v>
      </c>
      <c r="DV530" t="e">
        <f>AND(#REF!,"AAAAAHd1Hn0=")</f>
        <v>#REF!</v>
      </c>
      <c r="DW530" t="e">
        <f>AND(#REF!,"AAAAAHd1Hn4=")</f>
        <v>#REF!</v>
      </c>
      <c r="DX530" t="e">
        <f>AND(#REF!,"AAAAAHd1Hn8=")</f>
        <v>#REF!</v>
      </c>
      <c r="DY530" t="e">
        <f>AND(#REF!,"AAAAAHd1HoA=")</f>
        <v>#REF!</v>
      </c>
      <c r="DZ530" t="e">
        <f>AND(#REF!,"AAAAAHd1HoE=")</f>
        <v>#REF!</v>
      </c>
      <c r="EA530" t="e">
        <f>AND(#REF!,"AAAAAHd1HoI=")</f>
        <v>#REF!</v>
      </c>
      <c r="EB530" t="e">
        <f>AND(#REF!,"AAAAAHd1HoM=")</f>
        <v>#REF!</v>
      </c>
      <c r="EC530" t="e">
        <f>IF(#REF!,"AAAAAHd1HoQ=",0)</f>
        <v>#REF!</v>
      </c>
      <c r="ED530" t="e">
        <f>AND(#REF!,"AAAAAHd1HoU=")</f>
        <v>#REF!</v>
      </c>
      <c r="EE530" t="e">
        <f>AND(#REF!,"AAAAAHd1HoY=")</f>
        <v>#REF!</v>
      </c>
      <c r="EF530" t="e">
        <f>AND(#REF!,"AAAAAHd1Hoc=")</f>
        <v>#REF!</v>
      </c>
      <c r="EG530" t="e">
        <f>AND(#REF!,"AAAAAHd1Hog=")</f>
        <v>#REF!</v>
      </c>
      <c r="EH530" t="e">
        <f>AND(#REF!,"AAAAAHd1Hok=")</f>
        <v>#REF!</v>
      </c>
      <c r="EI530" t="e">
        <f>AND(#REF!,"AAAAAHd1Hoo=")</f>
        <v>#REF!</v>
      </c>
      <c r="EJ530" t="e">
        <f>AND(#REF!,"AAAAAHd1Hos=")</f>
        <v>#REF!</v>
      </c>
      <c r="EK530" t="e">
        <f>AND(#REF!,"AAAAAHd1How=")</f>
        <v>#REF!</v>
      </c>
      <c r="EL530" t="e">
        <f>AND(#REF!,"AAAAAHd1Ho0=")</f>
        <v>#REF!</v>
      </c>
      <c r="EM530" t="e">
        <f>AND(#REF!,"AAAAAHd1Ho4=")</f>
        <v>#REF!</v>
      </c>
      <c r="EN530" t="e">
        <f>IF(#REF!,"AAAAAHd1Ho8=",0)</f>
        <v>#REF!</v>
      </c>
      <c r="EO530" t="e">
        <f>AND(#REF!,"AAAAAHd1HpA=")</f>
        <v>#REF!</v>
      </c>
      <c r="EP530" t="e">
        <f>AND(#REF!,"AAAAAHd1HpE=")</f>
        <v>#REF!</v>
      </c>
      <c r="EQ530" t="e">
        <f>AND(#REF!,"AAAAAHd1HpI=")</f>
        <v>#REF!</v>
      </c>
      <c r="ER530" t="e">
        <f>AND(#REF!,"AAAAAHd1HpM=")</f>
        <v>#REF!</v>
      </c>
      <c r="ES530" t="e">
        <f>AND(#REF!,"AAAAAHd1HpQ=")</f>
        <v>#REF!</v>
      </c>
      <c r="ET530" t="e">
        <f>AND(#REF!,"AAAAAHd1HpU=")</f>
        <v>#REF!</v>
      </c>
      <c r="EU530" t="e">
        <f>AND(#REF!,"AAAAAHd1HpY=")</f>
        <v>#REF!</v>
      </c>
      <c r="EV530" t="e">
        <f>AND(#REF!,"AAAAAHd1Hpc=")</f>
        <v>#REF!</v>
      </c>
      <c r="EW530" t="e">
        <f>AND(#REF!,"AAAAAHd1Hpg=")</f>
        <v>#REF!</v>
      </c>
      <c r="EX530" t="e">
        <f>AND(#REF!,"AAAAAHd1Hpk=")</f>
        <v>#REF!</v>
      </c>
      <c r="EY530" t="e">
        <f>IF(#REF!,"AAAAAHd1Hpo=",0)</f>
        <v>#REF!</v>
      </c>
      <c r="EZ530" t="e">
        <f>AND(#REF!,"AAAAAHd1Hps=")</f>
        <v>#REF!</v>
      </c>
      <c r="FA530" t="e">
        <f>AND(#REF!,"AAAAAHd1Hpw=")</f>
        <v>#REF!</v>
      </c>
      <c r="FB530" t="e">
        <f>AND(#REF!,"AAAAAHd1Hp0=")</f>
        <v>#REF!</v>
      </c>
      <c r="FC530" t="e">
        <f>AND(#REF!,"AAAAAHd1Hp4=")</f>
        <v>#REF!</v>
      </c>
      <c r="FD530" t="e">
        <f>AND(#REF!,"AAAAAHd1Hp8=")</f>
        <v>#REF!</v>
      </c>
      <c r="FE530" t="e">
        <f>AND(#REF!,"AAAAAHd1HqA=")</f>
        <v>#REF!</v>
      </c>
      <c r="FF530" t="e">
        <f>AND(#REF!,"AAAAAHd1HqE=")</f>
        <v>#REF!</v>
      </c>
      <c r="FG530" t="e">
        <f>AND(#REF!,"AAAAAHd1HqI=")</f>
        <v>#REF!</v>
      </c>
      <c r="FH530" t="e">
        <f>AND(#REF!,"AAAAAHd1HqM=")</f>
        <v>#REF!</v>
      </c>
      <c r="FI530" t="e">
        <f>AND(#REF!,"AAAAAHd1HqQ=")</f>
        <v>#REF!</v>
      </c>
      <c r="FJ530" t="e">
        <f>IF(#REF!,"AAAAAHd1HqU=",0)</f>
        <v>#REF!</v>
      </c>
      <c r="FK530" t="e">
        <f>AND(#REF!,"AAAAAHd1HqY=")</f>
        <v>#REF!</v>
      </c>
      <c r="FL530" t="e">
        <f>AND(#REF!,"AAAAAHd1Hqc=")</f>
        <v>#REF!</v>
      </c>
      <c r="FM530" t="e">
        <f>AND(#REF!,"AAAAAHd1Hqg=")</f>
        <v>#REF!</v>
      </c>
      <c r="FN530" t="e">
        <f>AND(#REF!,"AAAAAHd1Hqk=")</f>
        <v>#REF!</v>
      </c>
      <c r="FO530" t="e">
        <f>AND(#REF!,"AAAAAHd1Hqo=")</f>
        <v>#REF!</v>
      </c>
      <c r="FP530" t="e">
        <f>AND(#REF!,"AAAAAHd1Hqs=")</f>
        <v>#REF!</v>
      </c>
      <c r="FQ530" t="e">
        <f>AND(#REF!,"AAAAAHd1Hqw=")</f>
        <v>#REF!</v>
      </c>
      <c r="FR530" t="e">
        <f>AND(#REF!,"AAAAAHd1Hq0=")</f>
        <v>#REF!</v>
      </c>
      <c r="FS530" t="e">
        <f>AND(#REF!,"AAAAAHd1Hq4=")</f>
        <v>#REF!</v>
      </c>
      <c r="FT530" t="e">
        <f>AND(#REF!,"AAAAAHd1Hq8=")</f>
        <v>#REF!</v>
      </c>
      <c r="FU530" t="e">
        <f>IF(#REF!,"AAAAAHd1HrA=",0)</f>
        <v>#REF!</v>
      </c>
      <c r="FV530" t="e">
        <f>AND(#REF!,"AAAAAHd1HrE=")</f>
        <v>#REF!</v>
      </c>
      <c r="FW530" t="e">
        <f>AND(#REF!,"AAAAAHd1HrI=")</f>
        <v>#REF!</v>
      </c>
      <c r="FX530" t="e">
        <f>AND(#REF!,"AAAAAHd1HrM=")</f>
        <v>#REF!</v>
      </c>
      <c r="FY530" t="e">
        <f>AND(#REF!,"AAAAAHd1HrQ=")</f>
        <v>#REF!</v>
      </c>
      <c r="FZ530" t="e">
        <f>AND(#REF!,"AAAAAHd1HrU=")</f>
        <v>#REF!</v>
      </c>
      <c r="GA530" t="e">
        <f>AND(#REF!,"AAAAAHd1HrY=")</f>
        <v>#REF!</v>
      </c>
      <c r="GB530" t="e">
        <f>AND(#REF!,"AAAAAHd1Hrc=")</f>
        <v>#REF!</v>
      </c>
      <c r="GC530" t="e">
        <f>AND(#REF!,"AAAAAHd1Hrg=")</f>
        <v>#REF!</v>
      </c>
      <c r="GD530" t="e">
        <f>AND(#REF!,"AAAAAHd1Hrk=")</f>
        <v>#REF!</v>
      </c>
      <c r="GE530" t="e">
        <f>AND(#REF!,"AAAAAHd1Hro=")</f>
        <v>#REF!</v>
      </c>
      <c r="GF530" t="e">
        <f>IF(#REF!,"AAAAAHd1Hrs=",0)</f>
        <v>#REF!</v>
      </c>
      <c r="GG530" t="e">
        <f>AND(#REF!,"AAAAAHd1Hrw=")</f>
        <v>#REF!</v>
      </c>
      <c r="GH530" t="e">
        <f>AND(#REF!,"AAAAAHd1Hr0=")</f>
        <v>#REF!</v>
      </c>
      <c r="GI530" t="e">
        <f>AND(#REF!,"AAAAAHd1Hr4=")</f>
        <v>#REF!</v>
      </c>
      <c r="GJ530" t="e">
        <f>AND(#REF!,"AAAAAHd1Hr8=")</f>
        <v>#REF!</v>
      </c>
      <c r="GK530" t="e">
        <f>AND(#REF!,"AAAAAHd1HsA=")</f>
        <v>#REF!</v>
      </c>
      <c r="GL530" t="e">
        <f>AND(#REF!,"AAAAAHd1HsE=")</f>
        <v>#REF!</v>
      </c>
      <c r="GM530" t="e">
        <f>AND(#REF!,"AAAAAHd1HsI=")</f>
        <v>#REF!</v>
      </c>
      <c r="GN530" t="e">
        <f>AND(#REF!,"AAAAAHd1HsM=")</f>
        <v>#REF!</v>
      </c>
      <c r="GO530" t="e">
        <f>AND(#REF!,"AAAAAHd1HsQ=")</f>
        <v>#REF!</v>
      </c>
      <c r="GP530" t="e">
        <f>AND(#REF!,"AAAAAHd1HsU=")</f>
        <v>#REF!</v>
      </c>
      <c r="GQ530" t="e">
        <f>IF(#REF!,"AAAAAHd1HsY=",0)</f>
        <v>#REF!</v>
      </c>
      <c r="GR530" t="e">
        <f>AND(#REF!,"AAAAAHd1Hsc=")</f>
        <v>#REF!</v>
      </c>
      <c r="GS530" t="e">
        <f>AND(#REF!,"AAAAAHd1Hsg=")</f>
        <v>#REF!</v>
      </c>
      <c r="GT530" t="e">
        <f>AND(#REF!,"AAAAAHd1Hsk=")</f>
        <v>#REF!</v>
      </c>
      <c r="GU530" t="e">
        <f>AND(#REF!,"AAAAAHd1Hso=")</f>
        <v>#REF!</v>
      </c>
      <c r="GV530" t="e">
        <f>AND(#REF!,"AAAAAHd1Hss=")</f>
        <v>#REF!</v>
      </c>
      <c r="GW530" t="e">
        <f>AND(#REF!,"AAAAAHd1Hsw=")</f>
        <v>#REF!</v>
      </c>
      <c r="GX530" t="e">
        <f>AND(#REF!,"AAAAAHd1Hs0=")</f>
        <v>#REF!</v>
      </c>
      <c r="GY530" t="e">
        <f>AND(#REF!,"AAAAAHd1Hs4=")</f>
        <v>#REF!</v>
      </c>
      <c r="GZ530" t="e">
        <f>AND(#REF!,"AAAAAHd1Hs8=")</f>
        <v>#REF!</v>
      </c>
      <c r="HA530" t="e">
        <f>AND(#REF!,"AAAAAHd1HtA=")</f>
        <v>#REF!</v>
      </c>
      <c r="HB530" t="e">
        <f>IF(#REF!,"AAAAAHd1HtE=",0)</f>
        <v>#REF!</v>
      </c>
      <c r="HC530" t="e">
        <f>AND(#REF!,"AAAAAHd1HtI=")</f>
        <v>#REF!</v>
      </c>
      <c r="HD530" t="e">
        <f>AND(#REF!,"AAAAAHd1HtM=")</f>
        <v>#REF!</v>
      </c>
      <c r="HE530" t="e">
        <f>AND(#REF!,"AAAAAHd1HtQ=")</f>
        <v>#REF!</v>
      </c>
      <c r="HF530" t="e">
        <f>AND(#REF!,"AAAAAHd1HtU=")</f>
        <v>#REF!</v>
      </c>
      <c r="HG530" t="e">
        <f>AND(#REF!,"AAAAAHd1HtY=")</f>
        <v>#REF!</v>
      </c>
      <c r="HH530" t="e">
        <f>AND(#REF!,"AAAAAHd1Htc=")</f>
        <v>#REF!</v>
      </c>
      <c r="HI530" t="e">
        <f>AND(#REF!,"AAAAAHd1Htg=")</f>
        <v>#REF!</v>
      </c>
      <c r="HJ530" t="e">
        <f>AND(#REF!,"AAAAAHd1Htk=")</f>
        <v>#REF!</v>
      </c>
      <c r="HK530" t="e">
        <f>AND(#REF!,"AAAAAHd1Hto=")</f>
        <v>#REF!</v>
      </c>
      <c r="HL530" t="e">
        <f>AND(#REF!,"AAAAAHd1Hts=")</f>
        <v>#REF!</v>
      </c>
      <c r="HM530" t="e">
        <f>IF(#REF!,"AAAAAHd1Htw=",0)</f>
        <v>#REF!</v>
      </c>
      <c r="HN530" t="e">
        <f>AND(#REF!,"AAAAAHd1Ht0=")</f>
        <v>#REF!</v>
      </c>
      <c r="HO530" t="e">
        <f>AND(#REF!,"AAAAAHd1Ht4=")</f>
        <v>#REF!</v>
      </c>
      <c r="HP530" t="e">
        <f>AND(#REF!,"AAAAAHd1Ht8=")</f>
        <v>#REF!</v>
      </c>
      <c r="HQ530" t="e">
        <f>AND(#REF!,"AAAAAHd1HuA=")</f>
        <v>#REF!</v>
      </c>
      <c r="HR530" t="e">
        <f>AND(#REF!,"AAAAAHd1HuE=")</f>
        <v>#REF!</v>
      </c>
      <c r="HS530" t="e">
        <f>AND(#REF!,"AAAAAHd1HuI=")</f>
        <v>#REF!</v>
      </c>
      <c r="HT530" t="e">
        <f>AND(#REF!,"AAAAAHd1HuM=")</f>
        <v>#REF!</v>
      </c>
      <c r="HU530" t="e">
        <f>AND(#REF!,"AAAAAHd1HuQ=")</f>
        <v>#REF!</v>
      </c>
      <c r="HV530" t="e">
        <f>AND(#REF!,"AAAAAHd1HuU=")</f>
        <v>#REF!</v>
      </c>
      <c r="HW530" t="e">
        <f>AND(#REF!,"AAAAAHd1HuY=")</f>
        <v>#REF!</v>
      </c>
      <c r="HX530" t="e">
        <f>IF(#REF!,"AAAAAHd1Huc=",0)</f>
        <v>#REF!</v>
      </c>
      <c r="HY530" t="e">
        <f>AND(#REF!,"AAAAAHd1Hug=")</f>
        <v>#REF!</v>
      </c>
      <c r="HZ530" t="e">
        <f>AND(#REF!,"AAAAAHd1Huk=")</f>
        <v>#REF!</v>
      </c>
      <c r="IA530" t="e">
        <f>AND(#REF!,"AAAAAHd1Huo=")</f>
        <v>#REF!</v>
      </c>
      <c r="IB530" t="e">
        <f>AND(#REF!,"AAAAAHd1Hus=")</f>
        <v>#REF!</v>
      </c>
      <c r="IC530" t="e">
        <f>AND(#REF!,"AAAAAHd1Huw=")</f>
        <v>#REF!</v>
      </c>
      <c r="ID530" t="e">
        <f>AND(#REF!,"AAAAAHd1Hu0=")</f>
        <v>#REF!</v>
      </c>
      <c r="IE530" t="e">
        <f>AND(#REF!,"AAAAAHd1Hu4=")</f>
        <v>#REF!</v>
      </c>
      <c r="IF530" t="e">
        <f>AND(#REF!,"AAAAAHd1Hu8=")</f>
        <v>#REF!</v>
      </c>
      <c r="IG530" t="e">
        <f>AND(#REF!,"AAAAAHd1HvA=")</f>
        <v>#REF!</v>
      </c>
      <c r="IH530" t="e">
        <f>AND(#REF!,"AAAAAHd1HvE=")</f>
        <v>#REF!</v>
      </c>
      <c r="II530" t="e">
        <f>IF(#REF!,"AAAAAHd1HvI=",0)</f>
        <v>#REF!</v>
      </c>
      <c r="IJ530" t="e">
        <f>AND(#REF!,"AAAAAHd1HvM=")</f>
        <v>#REF!</v>
      </c>
      <c r="IK530" t="e">
        <f>AND(#REF!,"AAAAAHd1HvQ=")</f>
        <v>#REF!</v>
      </c>
      <c r="IL530" t="e">
        <f>AND(#REF!,"AAAAAHd1HvU=")</f>
        <v>#REF!</v>
      </c>
      <c r="IM530" t="e">
        <f>AND(#REF!,"AAAAAHd1HvY=")</f>
        <v>#REF!</v>
      </c>
      <c r="IN530" t="e">
        <f>AND(#REF!,"AAAAAHd1Hvc=")</f>
        <v>#REF!</v>
      </c>
      <c r="IO530" t="e">
        <f>AND(#REF!,"AAAAAHd1Hvg=")</f>
        <v>#REF!</v>
      </c>
      <c r="IP530" t="e">
        <f>AND(#REF!,"AAAAAHd1Hvk=")</f>
        <v>#REF!</v>
      </c>
      <c r="IQ530" t="e">
        <f>AND(#REF!,"AAAAAHd1Hvo=")</f>
        <v>#REF!</v>
      </c>
      <c r="IR530" t="e">
        <f>AND(#REF!,"AAAAAHd1Hvs=")</f>
        <v>#REF!</v>
      </c>
      <c r="IS530" t="e">
        <f>AND(#REF!,"AAAAAHd1Hvw=")</f>
        <v>#REF!</v>
      </c>
      <c r="IT530" t="e">
        <f>IF(#REF!,"AAAAAHd1Hv0=",0)</f>
        <v>#REF!</v>
      </c>
      <c r="IU530" t="e">
        <f>AND(#REF!,"AAAAAHd1Hv4=")</f>
        <v>#REF!</v>
      </c>
      <c r="IV530" t="e">
        <f>AND(#REF!,"AAAAAHd1Hv8=")</f>
        <v>#REF!</v>
      </c>
    </row>
    <row r="531" spans="1:256" x14ac:dyDescent="0.25">
      <c r="A531" t="e">
        <f>AND(#REF!,"AAAAAGc/7gA=")</f>
        <v>#REF!</v>
      </c>
      <c r="B531" t="e">
        <f>AND(#REF!,"AAAAAGc/7gE=")</f>
        <v>#REF!</v>
      </c>
      <c r="C531" t="e">
        <f>AND(#REF!,"AAAAAGc/7gI=")</f>
        <v>#REF!</v>
      </c>
      <c r="D531" t="e">
        <f>AND(#REF!,"AAAAAGc/7gM=")</f>
        <v>#REF!</v>
      </c>
      <c r="E531" t="e">
        <f>AND(#REF!,"AAAAAGc/7gQ=")</f>
        <v>#REF!</v>
      </c>
      <c r="F531" t="e">
        <f>AND(#REF!,"AAAAAGc/7gU=")</f>
        <v>#REF!</v>
      </c>
      <c r="G531" t="e">
        <f>AND(#REF!,"AAAAAGc/7gY=")</f>
        <v>#REF!</v>
      </c>
      <c r="H531" t="e">
        <f>AND(#REF!,"AAAAAGc/7gc=")</f>
        <v>#REF!</v>
      </c>
      <c r="I531" t="e">
        <f>IF(#REF!,"AAAAAGc/7gg=",0)</f>
        <v>#REF!</v>
      </c>
      <c r="J531" t="e">
        <f>AND(#REF!,"AAAAAGc/7gk=")</f>
        <v>#REF!</v>
      </c>
      <c r="K531" t="e">
        <f>AND(#REF!,"AAAAAGc/7go=")</f>
        <v>#REF!</v>
      </c>
      <c r="L531" t="e">
        <f>AND(#REF!,"AAAAAGc/7gs=")</f>
        <v>#REF!</v>
      </c>
      <c r="M531" t="e">
        <f>AND(#REF!,"AAAAAGc/7gw=")</f>
        <v>#REF!</v>
      </c>
      <c r="N531" t="e">
        <f>AND(#REF!,"AAAAAGc/7g0=")</f>
        <v>#REF!</v>
      </c>
      <c r="O531" t="e">
        <f>AND(#REF!,"AAAAAGc/7g4=")</f>
        <v>#REF!</v>
      </c>
      <c r="P531" t="e">
        <f>AND(#REF!,"AAAAAGc/7g8=")</f>
        <v>#REF!</v>
      </c>
      <c r="Q531" t="e">
        <f>AND(#REF!,"AAAAAGc/7hA=")</f>
        <v>#REF!</v>
      </c>
      <c r="R531" t="e">
        <f>AND(#REF!,"AAAAAGc/7hE=")</f>
        <v>#REF!</v>
      </c>
      <c r="S531" t="e">
        <f>AND(#REF!,"AAAAAGc/7hI=")</f>
        <v>#REF!</v>
      </c>
      <c r="T531" t="e">
        <f>IF(#REF!,"AAAAAGc/7hM=",0)</f>
        <v>#REF!</v>
      </c>
      <c r="U531" t="e">
        <f>AND(#REF!,"AAAAAGc/7hQ=")</f>
        <v>#REF!</v>
      </c>
      <c r="V531" t="e">
        <f>AND(#REF!,"AAAAAGc/7hU=")</f>
        <v>#REF!</v>
      </c>
      <c r="W531" t="e">
        <f>AND(#REF!,"AAAAAGc/7hY=")</f>
        <v>#REF!</v>
      </c>
      <c r="X531" t="e">
        <f>AND(#REF!,"AAAAAGc/7hc=")</f>
        <v>#REF!</v>
      </c>
      <c r="Y531" t="e">
        <f>AND(#REF!,"AAAAAGc/7hg=")</f>
        <v>#REF!</v>
      </c>
      <c r="Z531" t="e">
        <f>AND(#REF!,"AAAAAGc/7hk=")</f>
        <v>#REF!</v>
      </c>
      <c r="AA531" t="e">
        <f>AND(#REF!,"AAAAAGc/7ho=")</f>
        <v>#REF!</v>
      </c>
      <c r="AB531" t="e">
        <f>AND(#REF!,"AAAAAGc/7hs=")</f>
        <v>#REF!</v>
      </c>
      <c r="AC531" t="e">
        <f>AND(#REF!,"AAAAAGc/7hw=")</f>
        <v>#REF!</v>
      </c>
      <c r="AD531" t="e">
        <f>AND(#REF!,"AAAAAGc/7h0=")</f>
        <v>#REF!</v>
      </c>
      <c r="AE531" t="e">
        <f>IF(#REF!,"AAAAAGc/7h4=",0)</f>
        <v>#REF!</v>
      </c>
      <c r="AF531" t="e">
        <f>AND(#REF!,"AAAAAGc/7h8=")</f>
        <v>#REF!</v>
      </c>
      <c r="AG531" t="e">
        <f>AND(#REF!,"AAAAAGc/7iA=")</f>
        <v>#REF!</v>
      </c>
      <c r="AH531" t="e">
        <f>AND(#REF!,"AAAAAGc/7iE=")</f>
        <v>#REF!</v>
      </c>
      <c r="AI531" t="e">
        <f>AND(#REF!,"AAAAAGc/7iI=")</f>
        <v>#REF!</v>
      </c>
      <c r="AJ531" t="e">
        <f>AND(#REF!,"AAAAAGc/7iM=")</f>
        <v>#REF!</v>
      </c>
      <c r="AK531" t="e">
        <f>AND(#REF!,"AAAAAGc/7iQ=")</f>
        <v>#REF!</v>
      </c>
      <c r="AL531" t="e">
        <f>AND(#REF!,"AAAAAGc/7iU=")</f>
        <v>#REF!</v>
      </c>
      <c r="AM531" t="e">
        <f>AND(#REF!,"AAAAAGc/7iY=")</f>
        <v>#REF!</v>
      </c>
      <c r="AN531" t="e">
        <f>AND(#REF!,"AAAAAGc/7ic=")</f>
        <v>#REF!</v>
      </c>
      <c r="AO531" t="e">
        <f>AND(#REF!,"AAAAAGc/7ig=")</f>
        <v>#REF!</v>
      </c>
      <c r="AP531" t="e">
        <f>IF(#REF!,"AAAAAGc/7ik=",0)</f>
        <v>#REF!</v>
      </c>
      <c r="AQ531" t="e">
        <f>AND(#REF!,"AAAAAGc/7io=")</f>
        <v>#REF!</v>
      </c>
      <c r="AR531" t="e">
        <f>AND(#REF!,"AAAAAGc/7is=")</f>
        <v>#REF!</v>
      </c>
      <c r="AS531" t="e">
        <f>AND(#REF!,"AAAAAGc/7iw=")</f>
        <v>#REF!</v>
      </c>
      <c r="AT531" t="e">
        <f>AND(#REF!,"AAAAAGc/7i0=")</f>
        <v>#REF!</v>
      </c>
      <c r="AU531" t="e">
        <f>AND(#REF!,"AAAAAGc/7i4=")</f>
        <v>#REF!</v>
      </c>
      <c r="AV531" t="e">
        <f>AND(#REF!,"AAAAAGc/7i8=")</f>
        <v>#REF!</v>
      </c>
      <c r="AW531" t="e">
        <f>AND(#REF!,"AAAAAGc/7jA=")</f>
        <v>#REF!</v>
      </c>
      <c r="AX531" t="e">
        <f>AND(#REF!,"AAAAAGc/7jE=")</f>
        <v>#REF!</v>
      </c>
      <c r="AY531" t="e">
        <f>AND(#REF!,"AAAAAGc/7jI=")</f>
        <v>#REF!</v>
      </c>
      <c r="AZ531" t="e">
        <f>AND(#REF!,"AAAAAGc/7jM=")</f>
        <v>#REF!</v>
      </c>
      <c r="BA531" t="e">
        <f>IF(#REF!,"AAAAAGc/7jQ=",0)</f>
        <v>#REF!</v>
      </c>
      <c r="BB531" t="e">
        <f>AND(#REF!,"AAAAAGc/7jU=")</f>
        <v>#REF!</v>
      </c>
      <c r="BC531" t="e">
        <f>AND(#REF!,"AAAAAGc/7jY=")</f>
        <v>#REF!</v>
      </c>
      <c r="BD531" t="e">
        <f>AND(#REF!,"AAAAAGc/7jc=")</f>
        <v>#REF!</v>
      </c>
      <c r="BE531" t="e">
        <f>AND(#REF!,"AAAAAGc/7jg=")</f>
        <v>#REF!</v>
      </c>
      <c r="BF531" t="e">
        <f>AND(#REF!,"AAAAAGc/7jk=")</f>
        <v>#REF!</v>
      </c>
      <c r="BG531" t="e">
        <f>AND(#REF!,"AAAAAGc/7jo=")</f>
        <v>#REF!</v>
      </c>
      <c r="BH531" t="e">
        <f>AND(#REF!,"AAAAAGc/7js=")</f>
        <v>#REF!</v>
      </c>
      <c r="BI531" t="e">
        <f>AND(#REF!,"AAAAAGc/7jw=")</f>
        <v>#REF!</v>
      </c>
      <c r="BJ531" t="e">
        <f>AND(#REF!,"AAAAAGc/7j0=")</f>
        <v>#REF!</v>
      </c>
      <c r="BK531" t="e">
        <f>AND(#REF!,"AAAAAGc/7j4=")</f>
        <v>#REF!</v>
      </c>
      <c r="BL531" t="e">
        <f>IF(#REF!,"AAAAAGc/7j8=",0)</f>
        <v>#REF!</v>
      </c>
      <c r="BM531" t="e">
        <f>AND(#REF!,"AAAAAGc/7kA=")</f>
        <v>#REF!</v>
      </c>
      <c r="BN531" t="e">
        <f>AND(#REF!,"AAAAAGc/7kE=")</f>
        <v>#REF!</v>
      </c>
      <c r="BO531" t="e">
        <f>AND(#REF!,"AAAAAGc/7kI=")</f>
        <v>#REF!</v>
      </c>
      <c r="BP531" t="e">
        <f>AND(#REF!,"AAAAAGc/7kM=")</f>
        <v>#REF!</v>
      </c>
      <c r="BQ531" t="e">
        <f>AND(#REF!,"AAAAAGc/7kQ=")</f>
        <v>#REF!</v>
      </c>
      <c r="BR531" t="e">
        <f>AND(#REF!,"AAAAAGc/7kU=")</f>
        <v>#REF!</v>
      </c>
      <c r="BS531" t="e">
        <f>AND(#REF!,"AAAAAGc/7kY=")</f>
        <v>#REF!</v>
      </c>
      <c r="BT531" t="e">
        <f>AND(#REF!,"AAAAAGc/7kc=")</f>
        <v>#REF!</v>
      </c>
      <c r="BU531" t="e">
        <f>AND(#REF!,"AAAAAGc/7kg=")</f>
        <v>#REF!</v>
      </c>
      <c r="BV531" t="e">
        <f>AND(#REF!,"AAAAAGc/7kk=")</f>
        <v>#REF!</v>
      </c>
      <c r="BW531" t="e">
        <f>IF(#REF!,"AAAAAGc/7ko=",0)</f>
        <v>#REF!</v>
      </c>
      <c r="BX531" t="e">
        <f>AND(#REF!,"AAAAAGc/7ks=")</f>
        <v>#REF!</v>
      </c>
      <c r="BY531" t="e">
        <f>AND(#REF!,"AAAAAGc/7kw=")</f>
        <v>#REF!</v>
      </c>
      <c r="BZ531" t="e">
        <f>AND(#REF!,"AAAAAGc/7k0=")</f>
        <v>#REF!</v>
      </c>
      <c r="CA531" t="e">
        <f>AND(#REF!,"AAAAAGc/7k4=")</f>
        <v>#REF!</v>
      </c>
      <c r="CB531" t="e">
        <f>AND(#REF!,"AAAAAGc/7k8=")</f>
        <v>#REF!</v>
      </c>
      <c r="CC531" t="e">
        <f>AND(#REF!,"AAAAAGc/7lA=")</f>
        <v>#REF!</v>
      </c>
      <c r="CD531" t="e">
        <f>AND(#REF!,"AAAAAGc/7lE=")</f>
        <v>#REF!</v>
      </c>
      <c r="CE531" t="e">
        <f>AND(#REF!,"AAAAAGc/7lI=")</f>
        <v>#REF!</v>
      </c>
      <c r="CF531" t="e">
        <f>AND(#REF!,"AAAAAGc/7lM=")</f>
        <v>#REF!</v>
      </c>
      <c r="CG531" t="e">
        <f>AND(#REF!,"AAAAAGc/7lQ=")</f>
        <v>#REF!</v>
      </c>
      <c r="CH531" t="e">
        <f>IF(#REF!,"AAAAAGc/7lU=",0)</f>
        <v>#REF!</v>
      </c>
      <c r="CI531" t="e">
        <f>AND(#REF!,"AAAAAGc/7lY=")</f>
        <v>#REF!</v>
      </c>
      <c r="CJ531" t="e">
        <f>AND(#REF!,"AAAAAGc/7lc=")</f>
        <v>#REF!</v>
      </c>
      <c r="CK531" t="e">
        <f>AND(#REF!,"AAAAAGc/7lg=")</f>
        <v>#REF!</v>
      </c>
      <c r="CL531" t="e">
        <f>AND(#REF!,"AAAAAGc/7lk=")</f>
        <v>#REF!</v>
      </c>
      <c r="CM531" t="e">
        <f>AND(#REF!,"AAAAAGc/7lo=")</f>
        <v>#REF!</v>
      </c>
      <c r="CN531" t="e">
        <f>AND(#REF!,"AAAAAGc/7ls=")</f>
        <v>#REF!</v>
      </c>
      <c r="CO531" t="e">
        <f>AND(#REF!,"AAAAAGc/7lw=")</f>
        <v>#REF!</v>
      </c>
      <c r="CP531" t="e">
        <f>AND(#REF!,"AAAAAGc/7l0=")</f>
        <v>#REF!</v>
      </c>
      <c r="CQ531" t="e">
        <f>AND(#REF!,"AAAAAGc/7l4=")</f>
        <v>#REF!</v>
      </c>
      <c r="CR531" t="e">
        <f>AND(#REF!,"AAAAAGc/7l8=")</f>
        <v>#REF!</v>
      </c>
      <c r="CS531" t="e">
        <f>IF(#REF!,"AAAAAGc/7mA=",0)</f>
        <v>#REF!</v>
      </c>
      <c r="CT531" t="e">
        <f>AND(#REF!,"AAAAAGc/7mE=")</f>
        <v>#REF!</v>
      </c>
      <c r="CU531" t="e">
        <f>AND(#REF!,"AAAAAGc/7mI=")</f>
        <v>#REF!</v>
      </c>
      <c r="CV531" t="e">
        <f>AND(#REF!,"AAAAAGc/7mM=")</f>
        <v>#REF!</v>
      </c>
      <c r="CW531" t="e">
        <f>AND(#REF!,"AAAAAGc/7mQ=")</f>
        <v>#REF!</v>
      </c>
      <c r="CX531" t="e">
        <f>AND(#REF!,"AAAAAGc/7mU=")</f>
        <v>#REF!</v>
      </c>
      <c r="CY531" t="e">
        <f>AND(#REF!,"AAAAAGc/7mY=")</f>
        <v>#REF!</v>
      </c>
      <c r="CZ531" t="e">
        <f>AND(#REF!,"AAAAAGc/7mc=")</f>
        <v>#REF!</v>
      </c>
      <c r="DA531" t="e">
        <f>AND(#REF!,"AAAAAGc/7mg=")</f>
        <v>#REF!</v>
      </c>
      <c r="DB531" t="e">
        <f>AND(#REF!,"AAAAAGc/7mk=")</f>
        <v>#REF!</v>
      </c>
      <c r="DC531" t="e">
        <f>AND(#REF!,"AAAAAGc/7mo=")</f>
        <v>#REF!</v>
      </c>
      <c r="DD531" t="e">
        <f>IF(#REF!,"AAAAAGc/7ms=",0)</f>
        <v>#REF!</v>
      </c>
      <c r="DE531" t="e">
        <f>AND(#REF!,"AAAAAGc/7mw=")</f>
        <v>#REF!</v>
      </c>
      <c r="DF531" t="e">
        <f>AND(#REF!,"AAAAAGc/7m0=")</f>
        <v>#REF!</v>
      </c>
      <c r="DG531" t="e">
        <f>AND(#REF!,"AAAAAGc/7m4=")</f>
        <v>#REF!</v>
      </c>
      <c r="DH531" t="e">
        <f>AND(#REF!,"AAAAAGc/7m8=")</f>
        <v>#REF!</v>
      </c>
      <c r="DI531" t="e">
        <f>AND(#REF!,"AAAAAGc/7nA=")</f>
        <v>#REF!</v>
      </c>
      <c r="DJ531" t="e">
        <f>AND(#REF!,"AAAAAGc/7nE=")</f>
        <v>#REF!</v>
      </c>
      <c r="DK531" t="e">
        <f>AND(#REF!,"AAAAAGc/7nI=")</f>
        <v>#REF!</v>
      </c>
      <c r="DL531" t="e">
        <f>AND(#REF!,"AAAAAGc/7nM=")</f>
        <v>#REF!</v>
      </c>
      <c r="DM531" t="e">
        <f>AND(#REF!,"AAAAAGc/7nQ=")</f>
        <v>#REF!</v>
      </c>
      <c r="DN531" t="e">
        <f>AND(#REF!,"AAAAAGc/7nU=")</f>
        <v>#REF!</v>
      </c>
      <c r="DO531" t="e">
        <f>IF(#REF!,"AAAAAGc/7nY=",0)</f>
        <v>#REF!</v>
      </c>
      <c r="DP531" t="e">
        <f>AND(#REF!,"AAAAAGc/7nc=")</f>
        <v>#REF!</v>
      </c>
      <c r="DQ531" t="e">
        <f>AND(#REF!,"AAAAAGc/7ng=")</f>
        <v>#REF!</v>
      </c>
      <c r="DR531" t="e">
        <f>AND(#REF!,"AAAAAGc/7nk=")</f>
        <v>#REF!</v>
      </c>
      <c r="DS531" t="e">
        <f>AND(#REF!,"AAAAAGc/7no=")</f>
        <v>#REF!</v>
      </c>
      <c r="DT531" t="e">
        <f>AND(#REF!,"AAAAAGc/7ns=")</f>
        <v>#REF!</v>
      </c>
      <c r="DU531" t="e">
        <f>AND(#REF!,"AAAAAGc/7nw=")</f>
        <v>#REF!</v>
      </c>
      <c r="DV531" t="e">
        <f>AND(#REF!,"AAAAAGc/7n0=")</f>
        <v>#REF!</v>
      </c>
      <c r="DW531" t="e">
        <f>AND(#REF!,"AAAAAGc/7n4=")</f>
        <v>#REF!</v>
      </c>
      <c r="DX531" t="e">
        <f>AND(#REF!,"AAAAAGc/7n8=")</f>
        <v>#REF!</v>
      </c>
      <c r="DY531" t="e">
        <f>AND(#REF!,"AAAAAGc/7oA=")</f>
        <v>#REF!</v>
      </c>
      <c r="DZ531" t="e">
        <f>IF(#REF!,"AAAAAGc/7oE=",0)</f>
        <v>#REF!</v>
      </c>
      <c r="EA531" t="e">
        <f>AND(#REF!,"AAAAAGc/7oI=")</f>
        <v>#REF!</v>
      </c>
      <c r="EB531" t="e">
        <f>AND(#REF!,"AAAAAGc/7oM=")</f>
        <v>#REF!</v>
      </c>
      <c r="EC531" t="e">
        <f>AND(#REF!,"AAAAAGc/7oQ=")</f>
        <v>#REF!</v>
      </c>
      <c r="ED531" t="e">
        <f>AND(#REF!,"AAAAAGc/7oU=")</f>
        <v>#REF!</v>
      </c>
      <c r="EE531" t="e">
        <f>AND(#REF!,"AAAAAGc/7oY=")</f>
        <v>#REF!</v>
      </c>
      <c r="EF531" t="e">
        <f>AND(#REF!,"AAAAAGc/7oc=")</f>
        <v>#REF!</v>
      </c>
      <c r="EG531" t="e">
        <f>AND(#REF!,"AAAAAGc/7og=")</f>
        <v>#REF!</v>
      </c>
      <c r="EH531" t="e">
        <f>AND(#REF!,"AAAAAGc/7ok=")</f>
        <v>#REF!</v>
      </c>
      <c r="EI531" t="e">
        <f>AND(#REF!,"AAAAAGc/7oo=")</f>
        <v>#REF!</v>
      </c>
      <c r="EJ531" t="e">
        <f>AND(#REF!,"AAAAAGc/7os=")</f>
        <v>#REF!</v>
      </c>
      <c r="EK531" t="e">
        <f>IF(#REF!,"AAAAAGc/7ow=",0)</f>
        <v>#REF!</v>
      </c>
      <c r="EL531" t="e">
        <f>AND(#REF!,"AAAAAGc/7o0=")</f>
        <v>#REF!</v>
      </c>
      <c r="EM531" t="e">
        <f>AND(#REF!,"AAAAAGc/7o4=")</f>
        <v>#REF!</v>
      </c>
      <c r="EN531" t="e">
        <f>AND(#REF!,"AAAAAGc/7o8=")</f>
        <v>#REF!</v>
      </c>
      <c r="EO531" t="e">
        <f>AND(#REF!,"AAAAAGc/7pA=")</f>
        <v>#REF!</v>
      </c>
      <c r="EP531" t="e">
        <f>AND(#REF!,"AAAAAGc/7pE=")</f>
        <v>#REF!</v>
      </c>
      <c r="EQ531" t="e">
        <f>AND(#REF!,"AAAAAGc/7pI=")</f>
        <v>#REF!</v>
      </c>
      <c r="ER531" t="e">
        <f>AND(#REF!,"AAAAAGc/7pM=")</f>
        <v>#REF!</v>
      </c>
      <c r="ES531" t="e">
        <f>AND(#REF!,"AAAAAGc/7pQ=")</f>
        <v>#REF!</v>
      </c>
      <c r="ET531" t="e">
        <f>AND(#REF!,"AAAAAGc/7pU=")</f>
        <v>#REF!</v>
      </c>
      <c r="EU531" t="e">
        <f>AND(#REF!,"AAAAAGc/7pY=")</f>
        <v>#REF!</v>
      </c>
      <c r="EV531" t="e">
        <f>IF(#REF!,"AAAAAGc/7pc=",0)</f>
        <v>#REF!</v>
      </c>
      <c r="EW531" t="e">
        <f>AND(#REF!,"AAAAAGc/7pg=")</f>
        <v>#REF!</v>
      </c>
      <c r="EX531" t="e">
        <f>AND(#REF!,"AAAAAGc/7pk=")</f>
        <v>#REF!</v>
      </c>
      <c r="EY531" t="e">
        <f>AND(#REF!,"AAAAAGc/7po=")</f>
        <v>#REF!</v>
      </c>
      <c r="EZ531" t="e">
        <f>AND(#REF!,"AAAAAGc/7ps=")</f>
        <v>#REF!</v>
      </c>
      <c r="FA531" t="e">
        <f>AND(#REF!,"AAAAAGc/7pw=")</f>
        <v>#REF!</v>
      </c>
      <c r="FB531" t="e">
        <f>AND(#REF!,"AAAAAGc/7p0=")</f>
        <v>#REF!</v>
      </c>
      <c r="FC531" t="e">
        <f>AND(#REF!,"AAAAAGc/7p4=")</f>
        <v>#REF!</v>
      </c>
      <c r="FD531" t="e">
        <f>AND(#REF!,"AAAAAGc/7p8=")</f>
        <v>#REF!</v>
      </c>
      <c r="FE531" t="e">
        <f>AND(#REF!,"AAAAAGc/7qA=")</f>
        <v>#REF!</v>
      </c>
      <c r="FF531" t="e">
        <f>AND(#REF!,"AAAAAGc/7qE=")</f>
        <v>#REF!</v>
      </c>
      <c r="FG531" t="e">
        <f>IF(#REF!,"AAAAAGc/7qI=",0)</f>
        <v>#REF!</v>
      </c>
      <c r="FH531" t="e">
        <f>AND(#REF!,"AAAAAGc/7qM=")</f>
        <v>#REF!</v>
      </c>
      <c r="FI531" t="e">
        <f>AND(#REF!,"AAAAAGc/7qQ=")</f>
        <v>#REF!</v>
      </c>
      <c r="FJ531" t="e">
        <f>AND(#REF!,"AAAAAGc/7qU=")</f>
        <v>#REF!</v>
      </c>
      <c r="FK531" t="e">
        <f>AND(#REF!,"AAAAAGc/7qY=")</f>
        <v>#REF!</v>
      </c>
      <c r="FL531" t="e">
        <f>AND(#REF!,"AAAAAGc/7qc=")</f>
        <v>#REF!</v>
      </c>
      <c r="FM531" t="e">
        <f>AND(#REF!,"AAAAAGc/7qg=")</f>
        <v>#REF!</v>
      </c>
      <c r="FN531" t="e">
        <f>AND(#REF!,"AAAAAGc/7qk=")</f>
        <v>#REF!</v>
      </c>
      <c r="FO531" t="e">
        <f>AND(#REF!,"AAAAAGc/7qo=")</f>
        <v>#REF!</v>
      </c>
      <c r="FP531" t="e">
        <f>AND(#REF!,"AAAAAGc/7qs=")</f>
        <v>#REF!</v>
      </c>
      <c r="FQ531" t="e">
        <f>AND(#REF!,"AAAAAGc/7qw=")</f>
        <v>#REF!</v>
      </c>
      <c r="FR531" t="e">
        <f>IF(#REF!,"AAAAAGc/7q0=",0)</f>
        <v>#REF!</v>
      </c>
      <c r="FS531" t="e">
        <f>AND(#REF!,"AAAAAGc/7q4=")</f>
        <v>#REF!</v>
      </c>
      <c r="FT531" t="e">
        <f>AND(#REF!,"AAAAAGc/7q8=")</f>
        <v>#REF!</v>
      </c>
      <c r="FU531" t="e">
        <f>AND(#REF!,"AAAAAGc/7rA=")</f>
        <v>#REF!</v>
      </c>
      <c r="FV531" t="e">
        <f>AND(#REF!,"AAAAAGc/7rE=")</f>
        <v>#REF!</v>
      </c>
      <c r="FW531" t="e">
        <f>AND(#REF!,"AAAAAGc/7rI=")</f>
        <v>#REF!</v>
      </c>
      <c r="FX531" t="e">
        <f>AND(#REF!,"AAAAAGc/7rM=")</f>
        <v>#REF!</v>
      </c>
      <c r="FY531" t="e">
        <f>AND(#REF!,"AAAAAGc/7rQ=")</f>
        <v>#REF!</v>
      </c>
      <c r="FZ531" t="e">
        <f>AND(#REF!,"AAAAAGc/7rU=")</f>
        <v>#REF!</v>
      </c>
      <c r="GA531" t="e">
        <f>AND(#REF!,"AAAAAGc/7rY=")</f>
        <v>#REF!</v>
      </c>
      <c r="GB531" t="e">
        <f>AND(#REF!,"AAAAAGc/7rc=")</f>
        <v>#REF!</v>
      </c>
      <c r="GC531" t="e">
        <f>IF(#REF!,"AAAAAGc/7rg=",0)</f>
        <v>#REF!</v>
      </c>
      <c r="GD531" t="e">
        <f>AND(#REF!,"AAAAAGc/7rk=")</f>
        <v>#REF!</v>
      </c>
      <c r="GE531" t="e">
        <f>AND(#REF!,"AAAAAGc/7ro=")</f>
        <v>#REF!</v>
      </c>
      <c r="GF531" t="e">
        <f>AND(#REF!,"AAAAAGc/7rs=")</f>
        <v>#REF!</v>
      </c>
      <c r="GG531" t="e">
        <f>AND(#REF!,"AAAAAGc/7rw=")</f>
        <v>#REF!</v>
      </c>
      <c r="GH531" t="e">
        <f>AND(#REF!,"AAAAAGc/7r0=")</f>
        <v>#REF!</v>
      </c>
      <c r="GI531" t="e">
        <f>AND(#REF!,"AAAAAGc/7r4=")</f>
        <v>#REF!</v>
      </c>
      <c r="GJ531" t="e">
        <f>AND(#REF!,"AAAAAGc/7r8=")</f>
        <v>#REF!</v>
      </c>
      <c r="GK531" t="e">
        <f>AND(#REF!,"AAAAAGc/7sA=")</f>
        <v>#REF!</v>
      </c>
      <c r="GL531" t="e">
        <f>AND(#REF!,"AAAAAGc/7sE=")</f>
        <v>#REF!</v>
      </c>
      <c r="GM531" t="e">
        <f>AND(#REF!,"AAAAAGc/7sI=")</f>
        <v>#REF!</v>
      </c>
      <c r="GN531" t="e">
        <f>IF(#REF!,"AAAAAGc/7sM=",0)</f>
        <v>#REF!</v>
      </c>
      <c r="GO531" t="e">
        <f>AND(#REF!,"AAAAAGc/7sQ=")</f>
        <v>#REF!</v>
      </c>
      <c r="GP531" t="e">
        <f>AND(#REF!,"AAAAAGc/7sU=")</f>
        <v>#REF!</v>
      </c>
      <c r="GQ531" t="e">
        <f>AND(#REF!,"AAAAAGc/7sY=")</f>
        <v>#REF!</v>
      </c>
      <c r="GR531" t="e">
        <f>AND(#REF!,"AAAAAGc/7sc=")</f>
        <v>#REF!</v>
      </c>
      <c r="GS531" t="e">
        <f>AND(#REF!,"AAAAAGc/7sg=")</f>
        <v>#REF!</v>
      </c>
      <c r="GT531" t="e">
        <f>AND(#REF!,"AAAAAGc/7sk=")</f>
        <v>#REF!</v>
      </c>
      <c r="GU531" t="e">
        <f>AND(#REF!,"AAAAAGc/7so=")</f>
        <v>#REF!</v>
      </c>
      <c r="GV531" t="e">
        <f>AND(#REF!,"AAAAAGc/7ss=")</f>
        <v>#REF!</v>
      </c>
      <c r="GW531" t="e">
        <f>AND(#REF!,"AAAAAGc/7sw=")</f>
        <v>#REF!</v>
      </c>
      <c r="GX531" t="e">
        <f>AND(#REF!,"AAAAAGc/7s0=")</f>
        <v>#REF!</v>
      </c>
      <c r="GY531" t="e">
        <f>IF(#REF!,"AAAAAGc/7s4=",0)</f>
        <v>#REF!</v>
      </c>
      <c r="GZ531" t="e">
        <f>AND(#REF!,"AAAAAGc/7s8=")</f>
        <v>#REF!</v>
      </c>
      <c r="HA531" t="e">
        <f>AND(#REF!,"AAAAAGc/7tA=")</f>
        <v>#REF!</v>
      </c>
      <c r="HB531" t="e">
        <f>AND(#REF!,"AAAAAGc/7tE=")</f>
        <v>#REF!</v>
      </c>
      <c r="HC531" t="e">
        <f>AND(#REF!,"AAAAAGc/7tI=")</f>
        <v>#REF!</v>
      </c>
      <c r="HD531" t="e">
        <f>AND(#REF!,"AAAAAGc/7tM=")</f>
        <v>#REF!</v>
      </c>
      <c r="HE531" t="e">
        <f>AND(#REF!,"AAAAAGc/7tQ=")</f>
        <v>#REF!</v>
      </c>
      <c r="HF531" t="e">
        <f>AND(#REF!,"AAAAAGc/7tU=")</f>
        <v>#REF!</v>
      </c>
      <c r="HG531" t="e">
        <f>AND(#REF!,"AAAAAGc/7tY=")</f>
        <v>#REF!</v>
      </c>
      <c r="HH531" t="e">
        <f>AND(#REF!,"AAAAAGc/7tc=")</f>
        <v>#REF!</v>
      </c>
      <c r="HI531" t="e">
        <f>AND(#REF!,"AAAAAGc/7tg=")</f>
        <v>#REF!</v>
      </c>
      <c r="HJ531" t="e">
        <f>IF(#REF!,"AAAAAGc/7tk=",0)</f>
        <v>#REF!</v>
      </c>
      <c r="HK531" t="e">
        <f>AND(#REF!,"AAAAAGc/7to=")</f>
        <v>#REF!</v>
      </c>
      <c r="HL531" t="e">
        <f>AND(#REF!,"AAAAAGc/7ts=")</f>
        <v>#REF!</v>
      </c>
      <c r="HM531" t="e">
        <f>AND(#REF!,"AAAAAGc/7tw=")</f>
        <v>#REF!</v>
      </c>
      <c r="HN531" t="e">
        <f>AND(#REF!,"AAAAAGc/7t0=")</f>
        <v>#REF!</v>
      </c>
      <c r="HO531" t="e">
        <f>AND(#REF!,"AAAAAGc/7t4=")</f>
        <v>#REF!</v>
      </c>
      <c r="HP531" t="e">
        <f>AND(#REF!,"AAAAAGc/7t8=")</f>
        <v>#REF!</v>
      </c>
      <c r="HQ531" t="e">
        <f>AND(#REF!,"AAAAAGc/7uA=")</f>
        <v>#REF!</v>
      </c>
      <c r="HR531" t="e">
        <f>AND(#REF!,"AAAAAGc/7uE=")</f>
        <v>#REF!</v>
      </c>
      <c r="HS531" t="e">
        <f>AND(#REF!,"AAAAAGc/7uI=")</f>
        <v>#REF!</v>
      </c>
      <c r="HT531" t="e">
        <f>AND(#REF!,"AAAAAGc/7uM=")</f>
        <v>#REF!</v>
      </c>
      <c r="HU531" t="e">
        <f>IF(#REF!,"AAAAAGc/7uQ=",0)</f>
        <v>#REF!</v>
      </c>
      <c r="HV531" t="e">
        <f>AND(#REF!,"AAAAAGc/7uU=")</f>
        <v>#REF!</v>
      </c>
      <c r="HW531" t="e">
        <f>AND(#REF!,"AAAAAGc/7uY=")</f>
        <v>#REF!</v>
      </c>
      <c r="HX531" t="e">
        <f>AND(#REF!,"AAAAAGc/7uc=")</f>
        <v>#REF!</v>
      </c>
      <c r="HY531" t="e">
        <f>AND(#REF!,"AAAAAGc/7ug=")</f>
        <v>#REF!</v>
      </c>
      <c r="HZ531" t="e">
        <f>AND(#REF!,"AAAAAGc/7uk=")</f>
        <v>#REF!</v>
      </c>
      <c r="IA531" t="e">
        <f>AND(#REF!,"AAAAAGc/7uo=")</f>
        <v>#REF!</v>
      </c>
      <c r="IB531" t="e">
        <f>AND(#REF!,"AAAAAGc/7us=")</f>
        <v>#REF!</v>
      </c>
      <c r="IC531" t="e">
        <f>AND(#REF!,"AAAAAGc/7uw=")</f>
        <v>#REF!</v>
      </c>
      <c r="ID531" t="e">
        <f>AND(#REF!,"AAAAAGc/7u0=")</f>
        <v>#REF!</v>
      </c>
      <c r="IE531" t="e">
        <f>AND(#REF!,"AAAAAGc/7u4=")</f>
        <v>#REF!</v>
      </c>
      <c r="IF531" t="e">
        <f>IF(#REF!,"AAAAAGc/7u8=",0)</f>
        <v>#REF!</v>
      </c>
      <c r="IG531" t="e">
        <f>AND(#REF!,"AAAAAGc/7vA=")</f>
        <v>#REF!</v>
      </c>
      <c r="IH531" t="e">
        <f>AND(#REF!,"AAAAAGc/7vE=")</f>
        <v>#REF!</v>
      </c>
      <c r="II531" t="e">
        <f>AND(#REF!,"AAAAAGc/7vI=")</f>
        <v>#REF!</v>
      </c>
      <c r="IJ531" t="e">
        <f>AND(#REF!,"AAAAAGc/7vM=")</f>
        <v>#REF!</v>
      </c>
      <c r="IK531" t="e">
        <f>AND(#REF!,"AAAAAGc/7vQ=")</f>
        <v>#REF!</v>
      </c>
      <c r="IL531" t="e">
        <f>AND(#REF!,"AAAAAGc/7vU=")</f>
        <v>#REF!</v>
      </c>
      <c r="IM531" t="e">
        <f>AND(#REF!,"AAAAAGc/7vY=")</f>
        <v>#REF!</v>
      </c>
      <c r="IN531" t="e">
        <f>AND(#REF!,"AAAAAGc/7vc=")</f>
        <v>#REF!</v>
      </c>
      <c r="IO531" t="e">
        <f>AND(#REF!,"AAAAAGc/7vg=")</f>
        <v>#REF!</v>
      </c>
      <c r="IP531" t="e">
        <f>AND(#REF!,"AAAAAGc/7vk=")</f>
        <v>#REF!</v>
      </c>
      <c r="IQ531" t="e">
        <f>IF(#REF!,"AAAAAGc/7vo=",0)</f>
        <v>#REF!</v>
      </c>
      <c r="IR531" t="e">
        <f>AND(#REF!,"AAAAAGc/7vs=")</f>
        <v>#REF!</v>
      </c>
      <c r="IS531" t="e">
        <f>AND(#REF!,"AAAAAGc/7vw=")</f>
        <v>#REF!</v>
      </c>
      <c r="IT531" t="e">
        <f>AND(#REF!,"AAAAAGc/7v0=")</f>
        <v>#REF!</v>
      </c>
      <c r="IU531" t="e">
        <f>AND(#REF!,"AAAAAGc/7v4=")</f>
        <v>#REF!</v>
      </c>
      <c r="IV531" t="e">
        <f>AND(#REF!,"AAAAAGc/7v8=")</f>
        <v>#REF!</v>
      </c>
    </row>
    <row r="532" spans="1:256" x14ac:dyDescent="0.25">
      <c r="A532" t="e">
        <f>AND(#REF!,"AAAAAD7/xQA=")</f>
        <v>#REF!</v>
      </c>
      <c r="B532" t="e">
        <f>AND(#REF!,"AAAAAD7/xQE=")</f>
        <v>#REF!</v>
      </c>
      <c r="C532" t="e">
        <f>AND(#REF!,"AAAAAD7/xQI=")</f>
        <v>#REF!</v>
      </c>
      <c r="D532" t="e">
        <f>AND(#REF!,"AAAAAD7/xQM=")</f>
        <v>#REF!</v>
      </c>
      <c r="E532" t="e">
        <f>AND(#REF!,"AAAAAD7/xQQ=")</f>
        <v>#REF!</v>
      </c>
      <c r="F532" t="e">
        <f>IF(#REF!,"AAAAAD7/xQU=",0)</f>
        <v>#REF!</v>
      </c>
      <c r="G532" t="e">
        <f>AND(#REF!,"AAAAAD7/xQY=")</f>
        <v>#REF!</v>
      </c>
      <c r="H532" t="e">
        <f>AND(#REF!,"AAAAAD7/xQc=")</f>
        <v>#REF!</v>
      </c>
      <c r="I532" t="e">
        <f>AND(#REF!,"AAAAAD7/xQg=")</f>
        <v>#REF!</v>
      </c>
      <c r="J532" t="e">
        <f>AND(#REF!,"AAAAAD7/xQk=")</f>
        <v>#REF!</v>
      </c>
      <c r="K532" t="e">
        <f>AND(#REF!,"AAAAAD7/xQo=")</f>
        <v>#REF!</v>
      </c>
      <c r="L532" t="e">
        <f>AND(#REF!,"AAAAAD7/xQs=")</f>
        <v>#REF!</v>
      </c>
      <c r="M532" t="e">
        <f>AND(#REF!,"AAAAAD7/xQw=")</f>
        <v>#REF!</v>
      </c>
      <c r="N532" t="e">
        <f>AND(#REF!,"AAAAAD7/xQ0=")</f>
        <v>#REF!</v>
      </c>
      <c r="O532" t="e">
        <f>AND(#REF!,"AAAAAD7/xQ4=")</f>
        <v>#REF!</v>
      </c>
      <c r="P532" t="e">
        <f>AND(#REF!,"AAAAAD7/xQ8=")</f>
        <v>#REF!</v>
      </c>
      <c r="Q532" t="e">
        <f>IF(#REF!,"AAAAAD7/xRA=",0)</f>
        <v>#REF!</v>
      </c>
      <c r="R532" t="e">
        <f>AND(#REF!,"AAAAAD7/xRE=")</f>
        <v>#REF!</v>
      </c>
      <c r="S532" t="e">
        <f>AND(#REF!,"AAAAAD7/xRI=")</f>
        <v>#REF!</v>
      </c>
      <c r="T532" t="e">
        <f>AND(#REF!,"AAAAAD7/xRM=")</f>
        <v>#REF!</v>
      </c>
      <c r="U532" t="e">
        <f>AND(#REF!,"AAAAAD7/xRQ=")</f>
        <v>#REF!</v>
      </c>
      <c r="V532" t="e">
        <f>AND(#REF!,"AAAAAD7/xRU=")</f>
        <v>#REF!</v>
      </c>
      <c r="W532" t="e">
        <f>AND(#REF!,"AAAAAD7/xRY=")</f>
        <v>#REF!</v>
      </c>
      <c r="X532" t="e">
        <f>AND(#REF!,"AAAAAD7/xRc=")</f>
        <v>#REF!</v>
      </c>
      <c r="Y532" t="e">
        <f>AND(#REF!,"AAAAAD7/xRg=")</f>
        <v>#REF!</v>
      </c>
      <c r="Z532" t="e">
        <f>AND(#REF!,"AAAAAD7/xRk=")</f>
        <v>#REF!</v>
      </c>
      <c r="AA532" t="e">
        <f>AND(#REF!,"AAAAAD7/xRo=")</f>
        <v>#REF!</v>
      </c>
      <c r="AB532" t="e">
        <f>IF(#REF!,"AAAAAD7/xRs=",0)</f>
        <v>#REF!</v>
      </c>
      <c r="AC532" t="e">
        <f>AND(#REF!,"AAAAAD7/xRw=")</f>
        <v>#REF!</v>
      </c>
      <c r="AD532" t="e">
        <f>AND(#REF!,"AAAAAD7/xR0=")</f>
        <v>#REF!</v>
      </c>
      <c r="AE532" t="e">
        <f>AND(#REF!,"AAAAAD7/xR4=")</f>
        <v>#REF!</v>
      </c>
      <c r="AF532" t="e">
        <f>AND(#REF!,"AAAAAD7/xR8=")</f>
        <v>#REF!</v>
      </c>
      <c r="AG532" t="e">
        <f>AND(#REF!,"AAAAAD7/xSA=")</f>
        <v>#REF!</v>
      </c>
      <c r="AH532" t="e">
        <f>AND(#REF!,"AAAAAD7/xSE=")</f>
        <v>#REF!</v>
      </c>
      <c r="AI532" t="e">
        <f>AND(#REF!,"AAAAAD7/xSI=")</f>
        <v>#REF!</v>
      </c>
      <c r="AJ532" t="e">
        <f>AND(#REF!,"AAAAAD7/xSM=")</f>
        <v>#REF!</v>
      </c>
      <c r="AK532" t="e">
        <f>AND(#REF!,"AAAAAD7/xSQ=")</f>
        <v>#REF!</v>
      </c>
      <c r="AL532" t="e">
        <f>AND(#REF!,"AAAAAD7/xSU=")</f>
        <v>#REF!</v>
      </c>
      <c r="AM532" t="e">
        <f>IF(#REF!,"AAAAAD7/xSY=",0)</f>
        <v>#REF!</v>
      </c>
      <c r="AN532" t="e">
        <f>AND(#REF!,"AAAAAD7/xSc=")</f>
        <v>#REF!</v>
      </c>
      <c r="AO532" t="e">
        <f>AND(#REF!,"AAAAAD7/xSg=")</f>
        <v>#REF!</v>
      </c>
      <c r="AP532" t="e">
        <f>AND(#REF!,"AAAAAD7/xSk=")</f>
        <v>#REF!</v>
      </c>
      <c r="AQ532" t="e">
        <f>AND(#REF!,"AAAAAD7/xSo=")</f>
        <v>#REF!</v>
      </c>
      <c r="AR532" t="e">
        <f>AND(#REF!,"AAAAAD7/xSs=")</f>
        <v>#REF!</v>
      </c>
      <c r="AS532" t="e">
        <f>AND(#REF!,"AAAAAD7/xSw=")</f>
        <v>#REF!</v>
      </c>
      <c r="AT532" t="e">
        <f>AND(#REF!,"AAAAAD7/xS0=")</f>
        <v>#REF!</v>
      </c>
      <c r="AU532" t="e">
        <f>AND(#REF!,"AAAAAD7/xS4=")</f>
        <v>#REF!</v>
      </c>
      <c r="AV532" t="e">
        <f>AND(#REF!,"AAAAAD7/xS8=")</f>
        <v>#REF!</v>
      </c>
      <c r="AW532" t="e">
        <f>AND(#REF!,"AAAAAD7/xTA=")</f>
        <v>#REF!</v>
      </c>
      <c r="AX532" t="e">
        <f>IF(#REF!,"AAAAAD7/xTE=",0)</f>
        <v>#REF!</v>
      </c>
      <c r="AY532" t="e">
        <f>AND(#REF!,"AAAAAD7/xTI=")</f>
        <v>#REF!</v>
      </c>
      <c r="AZ532" t="e">
        <f>AND(#REF!,"AAAAAD7/xTM=")</f>
        <v>#REF!</v>
      </c>
      <c r="BA532" t="e">
        <f>AND(#REF!,"AAAAAD7/xTQ=")</f>
        <v>#REF!</v>
      </c>
      <c r="BB532" t="e">
        <f>AND(#REF!,"AAAAAD7/xTU=")</f>
        <v>#REF!</v>
      </c>
      <c r="BC532" t="e">
        <f>AND(#REF!,"AAAAAD7/xTY=")</f>
        <v>#REF!</v>
      </c>
      <c r="BD532" t="e">
        <f>AND(#REF!,"AAAAAD7/xTc=")</f>
        <v>#REF!</v>
      </c>
      <c r="BE532" t="e">
        <f>AND(#REF!,"AAAAAD7/xTg=")</f>
        <v>#REF!</v>
      </c>
      <c r="BF532" t="e">
        <f>AND(#REF!,"AAAAAD7/xTk=")</f>
        <v>#REF!</v>
      </c>
      <c r="BG532" t="e">
        <f>AND(#REF!,"AAAAAD7/xTo=")</f>
        <v>#REF!</v>
      </c>
      <c r="BH532" t="e">
        <f>AND(#REF!,"AAAAAD7/xTs=")</f>
        <v>#REF!</v>
      </c>
      <c r="BI532" t="e">
        <f>IF(#REF!,"AAAAAD7/xTw=",0)</f>
        <v>#REF!</v>
      </c>
      <c r="BJ532" t="e">
        <f>AND(#REF!,"AAAAAD7/xT0=")</f>
        <v>#REF!</v>
      </c>
      <c r="BK532" t="e">
        <f>AND(#REF!,"AAAAAD7/xT4=")</f>
        <v>#REF!</v>
      </c>
      <c r="BL532" t="e">
        <f>AND(#REF!,"AAAAAD7/xT8=")</f>
        <v>#REF!</v>
      </c>
      <c r="BM532" t="e">
        <f>AND(#REF!,"AAAAAD7/xUA=")</f>
        <v>#REF!</v>
      </c>
      <c r="BN532" t="e">
        <f>AND(#REF!,"AAAAAD7/xUE=")</f>
        <v>#REF!</v>
      </c>
      <c r="BO532" t="e">
        <f>AND(#REF!,"AAAAAD7/xUI=")</f>
        <v>#REF!</v>
      </c>
      <c r="BP532" t="e">
        <f>AND(#REF!,"AAAAAD7/xUM=")</f>
        <v>#REF!</v>
      </c>
      <c r="BQ532" t="e">
        <f>AND(#REF!,"AAAAAD7/xUQ=")</f>
        <v>#REF!</v>
      </c>
      <c r="BR532" t="e">
        <f>AND(#REF!,"AAAAAD7/xUU=")</f>
        <v>#REF!</v>
      </c>
      <c r="BS532" t="e">
        <f>AND(#REF!,"AAAAAD7/xUY=")</f>
        <v>#REF!</v>
      </c>
      <c r="BT532" t="e">
        <f>IF(#REF!,"AAAAAD7/xUc=",0)</f>
        <v>#REF!</v>
      </c>
      <c r="BU532" t="e">
        <f>AND(#REF!,"AAAAAD7/xUg=")</f>
        <v>#REF!</v>
      </c>
      <c r="BV532" t="e">
        <f>AND(#REF!,"AAAAAD7/xUk=")</f>
        <v>#REF!</v>
      </c>
      <c r="BW532" t="e">
        <f>AND(#REF!,"AAAAAD7/xUo=")</f>
        <v>#REF!</v>
      </c>
      <c r="BX532" t="e">
        <f>AND(#REF!,"AAAAAD7/xUs=")</f>
        <v>#REF!</v>
      </c>
      <c r="BY532" t="e">
        <f>AND(#REF!,"AAAAAD7/xUw=")</f>
        <v>#REF!</v>
      </c>
      <c r="BZ532" t="e">
        <f>AND(#REF!,"AAAAAD7/xU0=")</f>
        <v>#REF!</v>
      </c>
      <c r="CA532" t="e">
        <f>AND(#REF!,"AAAAAD7/xU4=")</f>
        <v>#REF!</v>
      </c>
      <c r="CB532" t="e">
        <f>AND(#REF!,"AAAAAD7/xU8=")</f>
        <v>#REF!</v>
      </c>
      <c r="CC532" t="e">
        <f>AND(#REF!,"AAAAAD7/xVA=")</f>
        <v>#REF!</v>
      </c>
      <c r="CD532" t="e">
        <f>AND(#REF!,"AAAAAD7/xVE=")</f>
        <v>#REF!</v>
      </c>
      <c r="CE532" t="e">
        <f>IF(#REF!,"AAAAAD7/xVI=",0)</f>
        <v>#REF!</v>
      </c>
      <c r="CF532" t="e">
        <f>AND(#REF!,"AAAAAD7/xVM=")</f>
        <v>#REF!</v>
      </c>
      <c r="CG532" t="e">
        <f>AND(#REF!,"AAAAAD7/xVQ=")</f>
        <v>#REF!</v>
      </c>
      <c r="CH532" t="e">
        <f>AND(#REF!,"AAAAAD7/xVU=")</f>
        <v>#REF!</v>
      </c>
      <c r="CI532" t="e">
        <f>AND(#REF!,"AAAAAD7/xVY=")</f>
        <v>#REF!</v>
      </c>
      <c r="CJ532" t="e">
        <f>AND(#REF!,"AAAAAD7/xVc=")</f>
        <v>#REF!</v>
      </c>
      <c r="CK532" t="e">
        <f>AND(#REF!,"AAAAAD7/xVg=")</f>
        <v>#REF!</v>
      </c>
      <c r="CL532" t="e">
        <f>AND(#REF!,"AAAAAD7/xVk=")</f>
        <v>#REF!</v>
      </c>
      <c r="CM532" t="e">
        <f>AND(#REF!,"AAAAAD7/xVo=")</f>
        <v>#REF!</v>
      </c>
      <c r="CN532" t="e">
        <f>AND(#REF!,"AAAAAD7/xVs=")</f>
        <v>#REF!</v>
      </c>
      <c r="CO532" t="e">
        <f>AND(#REF!,"AAAAAD7/xVw=")</f>
        <v>#REF!</v>
      </c>
      <c r="CP532" t="e">
        <f>IF(#REF!,"AAAAAD7/xV0=",0)</f>
        <v>#REF!</v>
      </c>
      <c r="CQ532" t="e">
        <f>AND(#REF!,"AAAAAD7/xV4=")</f>
        <v>#REF!</v>
      </c>
      <c r="CR532" t="e">
        <f>AND(#REF!,"AAAAAD7/xV8=")</f>
        <v>#REF!</v>
      </c>
      <c r="CS532" t="e">
        <f>AND(#REF!,"AAAAAD7/xWA=")</f>
        <v>#REF!</v>
      </c>
      <c r="CT532" t="e">
        <f>AND(#REF!,"AAAAAD7/xWE=")</f>
        <v>#REF!</v>
      </c>
      <c r="CU532" t="e">
        <f>AND(#REF!,"AAAAAD7/xWI=")</f>
        <v>#REF!</v>
      </c>
      <c r="CV532" t="e">
        <f>AND(#REF!,"AAAAAD7/xWM=")</f>
        <v>#REF!</v>
      </c>
      <c r="CW532" t="e">
        <f>AND(#REF!,"AAAAAD7/xWQ=")</f>
        <v>#REF!</v>
      </c>
      <c r="CX532" t="e">
        <f>AND(#REF!,"AAAAAD7/xWU=")</f>
        <v>#REF!</v>
      </c>
      <c r="CY532" t="e">
        <f>AND(#REF!,"AAAAAD7/xWY=")</f>
        <v>#REF!</v>
      </c>
      <c r="CZ532" t="e">
        <f>AND(#REF!,"AAAAAD7/xWc=")</f>
        <v>#REF!</v>
      </c>
      <c r="DA532" t="e">
        <f>IF(#REF!,"AAAAAD7/xWg=",0)</f>
        <v>#REF!</v>
      </c>
      <c r="DB532" t="e">
        <f>AND(#REF!,"AAAAAD7/xWk=")</f>
        <v>#REF!</v>
      </c>
      <c r="DC532" t="e">
        <f>AND(#REF!,"AAAAAD7/xWo=")</f>
        <v>#REF!</v>
      </c>
      <c r="DD532" t="e">
        <f>AND(#REF!,"AAAAAD7/xWs=")</f>
        <v>#REF!</v>
      </c>
      <c r="DE532" t="e">
        <f>AND(#REF!,"AAAAAD7/xWw=")</f>
        <v>#REF!</v>
      </c>
      <c r="DF532" t="e">
        <f>AND(#REF!,"AAAAAD7/xW0=")</f>
        <v>#REF!</v>
      </c>
      <c r="DG532" t="e">
        <f>AND(#REF!,"AAAAAD7/xW4=")</f>
        <v>#REF!</v>
      </c>
      <c r="DH532" t="e">
        <f>AND(#REF!,"AAAAAD7/xW8=")</f>
        <v>#REF!</v>
      </c>
      <c r="DI532" t="e">
        <f>AND(#REF!,"AAAAAD7/xXA=")</f>
        <v>#REF!</v>
      </c>
      <c r="DJ532" t="e">
        <f>AND(#REF!,"AAAAAD7/xXE=")</f>
        <v>#REF!</v>
      </c>
      <c r="DK532" t="e">
        <f>AND(#REF!,"AAAAAD7/xXI=")</f>
        <v>#REF!</v>
      </c>
      <c r="DL532" t="e">
        <f>IF(#REF!,"AAAAAD7/xXM=",0)</f>
        <v>#REF!</v>
      </c>
      <c r="DM532" t="e">
        <f>AND(#REF!,"AAAAAD7/xXQ=")</f>
        <v>#REF!</v>
      </c>
      <c r="DN532" t="e">
        <f>AND(#REF!,"AAAAAD7/xXU=")</f>
        <v>#REF!</v>
      </c>
      <c r="DO532" t="e">
        <f>AND(#REF!,"AAAAAD7/xXY=")</f>
        <v>#REF!</v>
      </c>
      <c r="DP532" t="e">
        <f>AND(#REF!,"AAAAAD7/xXc=")</f>
        <v>#REF!</v>
      </c>
      <c r="DQ532" t="e">
        <f>AND(#REF!,"AAAAAD7/xXg=")</f>
        <v>#REF!</v>
      </c>
      <c r="DR532" t="e">
        <f>AND(#REF!,"AAAAAD7/xXk=")</f>
        <v>#REF!</v>
      </c>
      <c r="DS532" t="e">
        <f>AND(#REF!,"AAAAAD7/xXo=")</f>
        <v>#REF!</v>
      </c>
      <c r="DT532" t="e">
        <f>AND(#REF!,"AAAAAD7/xXs=")</f>
        <v>#REF!</v>
      </c>
      <c r="DU532" t="e">
        <f>AND(#REF!,"AAAAAD7/xXw=")</f>
        <v>#REF!</v>
      </c>
      <c r="DV532" t="e">
        <f>AND(#REF!,"AAAAAD7/xX0=")</f>
        <v>#REF!</v>
      </c>
      <c r="DW532" t="e">
        <f>IF(#REF!,"AAAAAD7/xX4=",0)</f>
        <v>#REF!</v>
      </c>
      <c r="DX532" t="e">
        <f>AND(#REF!,"AAAAAD7/xX8=")</f>
        <v>#REF!</v>
      </c>
      <c r="DY532" t="e">
        <f>AND(#REF!,"AAAAAD7/xYA=")</f>
        <v>#REF!</v>
      </c>
      <c r="DZ532" t="e">
        <f>AND(#REF!,"AAAAAD7/xYE=")</f>
        <v>#REF!</v>
      </c>
      <c r="EA532" t="e">
        <f>AND(#REF!,"AAAAAD7/xYI=")</f>
        <v>#REF!</v>
      </c>
      <c r="EB532" t="e">
        <f>AND(#REF!,"AAAAAD7/xYM=")</f>
        <v>#REF!</v>
      </c>
      <c r="EC532" t="e">
        <f>AND(#REF!,"AAAAAD7/xYQ=")</f>
        <v>#REF!</v>
      </c>
      <c r="ED532" t="e">
        <f>AND(#REF!,"AAAAAD7/xYU=")</f>
        <v>#REF!</v>
      </c>
      <c r="EE532" t="e">
        <f>AND(#REF!,"AAAAAD7/xYY=")</f>
        <v>#REF!</v>
      </c>
      <c r="EF532" t="e">
        <f>AND(#REF!,"AAAAAD7/xYc=")</f>
        <v>#REF!</v>
      </c>
      <c r="EG532" t="e">
        <f>AND(#REF!,"AAAAAD7/xYg=")</f>
        <v>#REF!</v>
      </c>
      <c r="EH532" t="e">
        <f>IF(#REF!,"AAAAAD7/xYk=",0)</f>
        <v>#REF!</v>
      </c>
      <c r="EI532" t="e">
        <f>AND(#REF!,"AAAAAD7/xYo=")</f>
        <v>#REF!</v>
      </c>
      <c r="EJ532" t="e">
        <f>AND(#REF!,"AAAAAD7/xYs=")</f>
        <v>#REF!</v>
      </c>
      <c r="EK532" t="e">
        <f>AND(#REF!,"AAAAAD7/xYw=")</f>
        <v>#REF!</v>
      </c>
      <c r="EL532" t="e">
        <f>AND(#REF!,"AAAAAD7/xY0=")</f>
        <v>#REF!</v>
      </c>
      <c r="EM532" t="e">
        <f>AND(#REF!,"AAAAAD7/xY4=")</f>
        <v>#REF!</v>
      </c>
      <c r="EN532" t="e">
        <f>AND(#REF!,"AAAAAD7/xY8=")</f>
        <v>#REF!</v>
      </c>
      <c r="EO532" t="e">
        <f>AND(#REF!,"AAAAAD7/xZA=")</f>
        <v>#REF!</v>
      </c>
      <c r="EP532" t="e">
        <f>AND(#REF!,"AAAAAD7/xZE=")</f>
        <v>#REF!</v>
      </c>
      <c r="EQ532" t="e">
        <f>AND(#REF!,"AAAAAD7/xZI=")</f>
        <v>#REF!</v>
      </c>
      <c r="ER532" t="e">
        <f>AND(#REF!,"AAAAAD7/xZM=")</f>
        <v>#REF!</v>
      </c>
      <c r="ES532" t="e">
        <f>IF(#REF!,"AAAAAD7/xZQ=",0)</f>
        <v>#REF!</v>
      </c>
      <c r="ET532" t="e">
        <f>AND(#REF!,"AAAAAD7/xZU=")</f>
        <v>#REF!</v>
      </c>
      <c r="EU532" t="e">
        <f>AND(#REF!,"AAAAAD7/xZY=")</f>
        <v>#REF!</v>
      </c>
      <c r="EV532" t="e">
        <f>AND(#REF!,"AAAAAD7/xZc=")</f>
        <v>#REF!</v>
      </c>
      <c r="EW532" t="e">
        <f>AND(#REF!,"AAAAAD7/xZg=")</f>
        <v>#REF!</v>
      </c>
      <c r="EX532" t="e">
        <f>AND(#REF!,"AAAAAD7/xZk=")</f>
        <v>#REF!</v>
      </c>
      <c r="EY532" t="e">
        <f>AND(#REF!,"AAAAAD7/xZo=")</f>
        <v>#REF!</v>
      </c>
      <c r="EZ532" t="e">
        <f>AND(#REF!,"AAAAAD7/xZs=")</f>
        <v>#REF!</v>
      </c>
      <c r="FA532" t="e">
        <f>AND(#REF!,"AAAAAD7/xZw=")</f>
        <v>#REF!</v>
      </c>
      <c r="FB532" t="e">
        <f>AND(#REF!,"AAAAAD7/xZ0=")</f>
        <v>#REF!</v>
      </c>
      <c r="FC532" t="e">
        <f>AND(#REF!,"AAAAAD7/xZ4=")</f>
        <v>#REF!</v>
      </c>
      <c r="FD532" t="e">
        <f>IF(#REF!,"AAAAAD7/xZ8=",0)</f>
        <v>#REF!</v>
      </c>
      <c r="FE532" t="e">
        <f>AND(#REF!,"AAAAAD7/xaA=")</f>
        <v>#REF!</v>
      </c>
      <c r="FF532" t="e">
        <f>AND(#REF!,"AAAAAD7/xaE=")</f>
        <v>#REF!</v>
      </c>
      <c r="FG532" t="e">
        <f>AND(#REF!,"AAAAAD7/xaI=")</f>
        <v>#REF!</v>
      </c>
      <c r="FH532" t="e">
        <f>AND(#REF!,"AAAAAD7/xaM=")</f>
        <v>#REF!</v>
      </c>
      <c r="FI532" t="e">
        <f>AND(#REF!,"AAAAAD7/xaQ=")</f>
        <v>#REF!</v>
      </c>
      <c r="FJ532" t="e">
        <f>AND(#REF!,"AAAAAD7/xaU=")</f>
        <v>#REF!</v>
      </c>
      <c r="FK532" t="e">
        <f>AND(#REF!,"AAAAAD7/xaY=")</f>
        <v>#REF!</v>
      </c>
      <c r="FL532" t="e">
        <f>AND(#REF!,"AAAAAD7/xac=")</f>
        <v>#REF!</v>
      </c>
      <c r="FM532" t="e">
        <f>AND(#REF!,"AAAAAD7/xag=")</f>
        <v>#REF!</v>
      </c>
      <c r="FN532" t="e">
        <f>AND(#REF!,"AAAAAD7/xak=")</f>
        <v>#REF!</v>
      </c>
      <c r="FO532" t="e">
        <f>IF(#REF!,"AAAAAD7/xao=",0)</f>
        <v>#REF!</v>
      </c>
      <c r="FP532" t="e">
        <f>AND(#REF!,"AAAAAD7/xas=")</f>
        <v>#REF!</v>
      </c>
      <c r="FQ532" t="e">
        <f>AND(#REF!,"AAAAAD7/xaw=")</f>
        <v>#REF!</v>
      </c>
      <c r="FR532" t="e">
        <f>AND(#REF!,"AAAAAD7/xa0=")</f>
        <v>#REF!</v>
      </c>
      <c r="FS532" t="e">
        <f>AND(#REF!,"AAAAAD7/xa4=")</f>
        <v>#REF!</v>
      </c>
      <c r="FT532" t="e">
        <f>AND(#REF!,"AAAAAD7/xa8=")</f>
        <v>#REF!</v>
      </c>
      <c r="FU532" t="e">
        <f>AND(#REF!,"AAAAAD7/xbA=")</f>
        <v>#REF!</v>
      </c>
      <c r="FV532" t="e">
        <f>AND(#REF!,"AAAAAD7/xbE=")</f>
        <v>#REF!</v>
      </c>
      <c r="FW532" t="e">
        <f>AND(#REF!,"AAAAAD7/xbI=")</f>
        <v>#REF!</v>
      </c>
      <c r="FX532" t="e">
        <f>AND(#REF!,"AAAAAD7/xbM=")</f>
        <v>#REF!</v>
      </c>
      <c r="FY532" t="e">
        <f>AND(#REF!,"AAAAAD7/xbQ=")</f>
        <v>#REF!</v>
      </c>
      <c r="FZ532" t="e">
        <f>IF(#REF!,"AAAAAD7/xbU=",0)</f>
        <v>#REF!</v>
      </c>
      <c r="GA532" t="e">
        <f>AND(#REF!,"AAAAAD7/xbY=")</f>
        <v>#REF!</v>
      </c>
      <c r="GB532" t="e">
        <f>AND(#REF!,"AAAAAD7/xbc=")</f>
        <v>#REF!</v>
      </c>
      <c r="GC532" t="e">
        <f>AND(#REF!,"AAAAAD7/xbg=")</f>
        <v>#REF!</v>
      </c>
      <c r="GD532" t="e">
        <f>AND(#REF!,"AAAAAD7/xbk=")</f>
        <v>#REF!</v>
      </c>
      <c r="GE532" t="e">
        <f>AND(#REF!,"AAAAAD7/xbo=")</f>
        <v>#REF!</v>
      </c>
      <c r="GF532" t="e">
        <f>AND(#REF!,"AAAAAD7/xbs=")</f>
        <v>#REF!</v>
      </c>
      <c r="GG532" t="e">
        <f>AND(#REF!,"AAAAAD7/xbw=")</f>
        <v>#REF!</v>
      </c>
      <c r="GH532" t="e">
        <f>AND(#REF!,"AAAAAD7/xb0=")</f>
        <v>#REF!</v>
      </c>
      <c r="GI532" t="e">
        <f>AND(#REF!,"AAAAAD7/xb4=")</f>
        <v>#REF!</v>
      </c>
      <c r="GJ532" t="e">
        <f>AND(#REF!,"AAAAAD7/xb8=")</f>
        <v>#REF!</v>
      </c>
      <c r="GK532" t="e">
        <f>IF(#REF!,"AAAAAD7/xcA=",0)</f>
        <v>#REF!</v>
      </c>
      <c r="GL532" t="e">
        <f>AND(#REF!,"AAAAAD7/xcE=")</f>
        <v>#REF!</v>
      </c>
      <c r="GM532" t="e">
        <f>AND(#REF!,"AAAAAD7/xcI=")</f>
        <v>#REF!</v>
      </c>
      <c r="GN532" t="e">
        <f>AND(#REF!,"AAAAAD7/xcM=")</f>
        <v>#REF!</v>
      </c>
      <c r="GO532" t="e">
        <f>AND(#REF!,"AAAAAD7/xcQ=")</f>
        <v>#REF!</v>
      </c>
      <c r="GP532" t="e">
        <f>AND(#REF!,"AAAAAD7/xcU=")</f>
        <v>#REF!</v>
      </c>
      <c r="GQ532" t="e">
        <f>AND(#REF!,"AAAAAD7/xcY=")</f>
        <v>#REF!</v>
      </c>
      <c r="GR532" t="e">
        <f>AND(#REF!,"AAAAAD7/xcc=")</f>
        <v>#REF!</v>
      </c>
      <c r="GS532" t="e">
        <f>AND(#REF!,"AAAAAD7/xcg=")</f>
        <v>#REF!</v>
      </c>
      <c r="GT532" t="e">
        <f>AND(#REF!,"AAAAAD7/xck=")</f>
        <v>#REF!</v>
      </c>
      <c r="GU532" t="e">
        <f>AND(#REF!,"AAAAAD7/xco=")</f>
        <v>#REF!</v>
      </c>
      <c r="GV532" t="e">
        <f>IF(#REF!,"AAAAAD7/xcs=",0)</f>
        <v>#REF!</v>
      </c>
      <c r="GW532" t="e">
        <f>AND(#REF!,"AAAAAD7/xcw=")</f>
        <v>#REF!</v>
      </c>
      <c r="GX532" t="e">
        <f>AND(#REF!,"AAAAAD7/xc0=")</f>
        <v>#REF!</v>
      </c>
      <c r="GY532" t="e">
        <f>AND(#REF!,"AAAAAD7/xc4=")</f>
        <v>#REF!</v>
      </c>
      <c r="GZ532" t="e">
        <f>AND(#REF!,"AAAAAD7/xc8=")</f>
        <v>#REF!</v>
      </c>
      <c r="HA532" t="e">
        <f>AND(#REF!,"AAAAAD7/xdA=")</f>
        <v>#REF!</v>
      </c>
      <c r="HB532" t="e">
        <f>AND(#REF!,"AAAAAD7/xdE=")</f>
        <v>#REF!</v>
      </c>
      <c r="HC532" t="e">
        <f>AND(#REF!,"AAAAAD7/xdI=")</f>
        <v>#REF!</v>
      </c>
      <c r="HD532" t="e">
        <f>AND(#REF!,"AAAAAD7/xdM=")</f>
        <v>#REF!</v>
      </c>
      <c r="HE532" t="e">
        <f>AND(#REF!,"AAAAAD7/xdQ=")</f>
        <v>#REF!</v>
      </c>
      <c r="HF532" t="e">
        <f>AND(#REF!,"AAAAAD7/xdU=")</f>
        <v>#REF!</v>
      </c>
      <c r="HG532" t="e">
        <f>IF(#REF!,"AAAAAD7/xdY=",0)</f>
        <v>#REF!</v>
      </c>
      <c r="HH532" t="e">
        <f>AND(#REF!,"AAAAAD7/xdc=")</f>
        <v>#REF!</v>
      </c>
      <c r="HI532" t="e">
        <f>AND(#REF!,"AAAAAD7/xdg=")</f>
        <v>#REF!</v>
      </c>
      <c r="HJ532" t="e">
        <f>AND(#REF!,"AAAAAD7/xdk=")</f>
        <v>#REF!</v>
      </c>
      <c r="HK532" t="e">
        <f>AND(#REF!,"AAAAAD7/xdo=")</f>
        <v>#REF!</v>
      </c>
      <c r="HL532" t="e">
        <f>AND(#REF!,"AAAAAD7/xds=")</f>
        <v>#REF!</v>
      </c>
      <c r="HM532" t="e">
        <f>AND(#REF!,"AAAAAD7/xdw=")</f>
        <v>#REF!</v>
      </c>
      <c r="HN532" t="e">
        <f>AND(#REF!,"AAAAAD7/xd0=")</f>
        <v>#REF!</v>
      </c>
      <c r="HO532" t="e">
        <f>AND(#REF!,"AAAAAD7/xd4=")</f>
        <v>#REF!</v>
      </c>
      <c r="HP532" t="e">
        <f>AND(#REF!,"AAAAAD7/xd8=")</f>
        <v>#REF!</v>
      </c>
      <c r="HQ532" t="e">
        <f>AND(#REF!,"AAAAAD7/xeA=")</f>
        <v>#REF!</v>
      </c>
      <c r="HR532" t="e">
        <f>IF(#REF!,"AAAAAD7/xeE=",0)</f>
        <v>#REF!</v>
      </c>
      <c r="HS532" t="e">
        <f>AND(#REF!,"AAAAAD7/xeI=")</f>
        <v>#REF!</v>
      </c>
      <c r="HT532" t="e">
        <f>AND(#REF!,"AAAAAD7/xeM=")</f>
        <v>#REF!</v>
      </c>
      <c r="HU532" t="e">
        <f>AND(#REF!,"AAAAAD7/xeQ=")</f>
        <v>#REF!</v>
      </c>
      <c r="HV532" t="e">
        <f>AND(#REF!,"AAAAAD7/xeU=")</f>
        <v>#REF!</v>
      </c>
      <c r="HW532" t="e">
        <f>AND(#REF!,"AAAAAD7/xeY=")</f>
        <v>#REF!</v>
      </c>
      <c r="HX532" t="e">
        <f>AND(#REF!,"AAAAAD7/xec=")</f>
        <v>#REF!</v>
      </c>
      <c r="HY532" t="e">
        <f>AND(#REF!,"AAAAAD7/xeg=")</f>
        <v>#REF!</v>
      </c>
      <c r="HZ532" t="e">
        <f>AND(#REF!,"AAAAAD7/xek=")</f>
        <v>#REF!</v>
      </c>
      <c r="IA532" t="e">
        <f>AND(#REF!,"AAAAAD7/xeo=")</f>
        <v>#REF!</v>
      </c>
      <c r="IB532" t="e">
        <f>AND(#REF!,"AAAAAD7/xes=")</f>
        <v>#REF!</v>
      </c>
      <c r="IC532" t="e">
        <f>IF(#REF!,"AAAAAD7/xew=",0)</f>
        <v>#REF!</v>
      </c>
      <c r="ID532" t="e">
        <f>AND(#REF!,"AAAAAD7/xe0=")</f>
        <v>#REF!</v>
      </c>
      <c r="IE532" t="e">
        <f>AND(#REF!,"AAAAAD7/xe4=")</f>
        <v>#REF!</v>
      </c>
      <c r="IF532" t="e">
        <f>AND(#REF!,"AAAAAD7/xe8=")</f>
        <v>#REF!</v>
      </c>
      <c r="IG532" t="e">
        <f>AND(#REF!,"AAAAAD7/xfA=")</f>
        <v>#REF!</v>
      </c>
      <c r="IH532" t="e">
        <f>AND(#REF!,"AAAAAD7/xfE=")</f>
        <v>#REF!</v>
      </c>
      <c r="II532" t="e">
        <f>AND(#REF!,"AAAAAD7/xfI=")</f>
        <v>#REF!</v>
      </c>
      <c r="IJ532" t="e">
        <f>AND(#REF!,"AAAAAD7/xfM=")</f>
        <v>#REF!</v>
      </c>
      <c r="IK532" t="e">
        <f>AND(#REF!,"AAAAAD7/xfQ=")</f>
        <v>#REF!</v>
      </c>
      <c r="IL532" t="e">
        <f>AND(#REF!,"AAAAAD7/xfU=")</f>
        <v>#REF!</v>
      </c>
      <c r="IM532" t="e">
        <f>AND(#REF!,"AAAAAD7/xfY=")</f>
        <v>#REF!</v>
      </c>
      <c r="IN532" t="e">
        <f>IF(#REF!,"AAAAAD7/xfc=",0)</f>
        <v>#REF!</v>
      </c>
      <c r="IO532" t="e">
        <f>AND(#REF!,"AAAAAD7/xfg=")</f>
        <v>#REF!</v>
      </c>
      <c r="IP532" t="e">
        <f>AND(#REF!,"AAAAAD7/xfk=")</f>
        <v>#REF!</v>
      </c>
      <c r="IQ532" t="e">
        <f>AND(#REF!,"AAAAAD7/xfo=")</f>
        <v>#REF!</v>
      </c>
      <c r="IR532" t="e">
        <f>AND(#REF!,"AAAAAD7/xfs=")</f>
        <v>#REF!</v>
      </c>
      <c r="IS532" t="e">
        <f>AND(#REF!,"AAAAAD7/xfw=")</f>
        <v>#REF!</v>
      </c>
      <c r="IT532" t="e">
        <f>AND(#REF!,"AAAAAD7/xf0=")</f>
        <v>#REF!</v>
      </c>
      <c r="IU532" t="e">
        <f>AND(#REF!,"AAAAAD7/xf4=")</f>
        <v>#REF!</v>
      </c>
      <c r="IV532" t="e">
        <f>AND(#REF!,"AAAAAD7/xf8=")</f>
        <v>#REF!</v>
      </c>
    </row>
    <row r="533" spans="1:256" x14ac:dyDescent="0.25">
      <c r="A533" t="e">
        <f>AND(#REF!,"AAAAAFuffgA=")</f>
        <v>#REF!</v>
      </c>
      <c r="B533" t="e">
        <f>AND(#REF!,"AAAAAFuffgE=")</f>
        <v>#REF!</v>
      </c>
      <c r="C533" t="e">
        <f>IF(#REF!,"AAAAAFuffgI=",0)</f>
        <v>#REF!</v>
      </c>
      <c r="D533" t="e">
        <f>AND(#REF!,"AAAAAFuffgM=")</f>
        <v>#REF!</v>
      </c>
      <c r="E533" t="e">
        <f>AND(#REF!,"AAAAAFuffgQ=")</f>
        <v>#REF!</v>
      </c>
      <c r="F533" t="e">
        <f>AND(#REF!,"AAAAAFuffgU=")</f>
        <v>#REF!</v>
      </c>
      <c r="G533" t="e">
        <f>AND(#REF!,"AAAAAFuffgY=")</f>
        <v>#REF!</v>
      </c>
      <c r="H533" t="e">
        <f>AND(#REF!,"AAAAAFuffgc=")</f>
        <v>#REF!</v>
      </c>
      <c r="I533" t="e">
        <f>AND(#REF!,"AAAAAFuffgg=")</f>
        <v>#REF!</v>
      </c>
      <c r="J533" t="e">
        <f>AND(#REF!,"AAAAAFuffgk=")</f>
        <v>#REF!</v>
      </c>
      <c r="K533" t="e">
        <f>AND(#REF!,"AAAAAFuffgo=")</f>
        <v>#REF!</v>
      </c>
      <c r="L533" t="e">
        <f>AND(#REF!,"AAAAAFuffgs=")</f>
        <v>#REF!</v>
      </c>
      <c r="M533" t="e">
        <f>AND(#REF!,"AAAAAFuffgw=")</f>
        <v>#REF!</v>
      </c>
      <c r="N533" t="e">
        <f>IF(#REF!,"AAAAAFuffg0=",0)</f>
        <v>#REF!</v>
      </c>
      <c r="O533" t="e">
        <f>AND(#REF!,"AAAAAFuffg4=")</f>
        <v>#REF!</v>
      </c>
      <c r="P533" t="e">
        <f>AND(#REF!,"AAAAAFuffg8=")</f>
        <v>#REF!</v>
      </c>
      <c r="Q533" t="e">
        <f>AND(#REF!,"AAAAAFuffhA=")</f>
        <v>#REF!</v>
      </c>
      <c r="R533" t="e">
        <f>AND(#REF!,"AAAAAFuffhE=")</f>
        <v>#REF!</v>
      </c>
      <c r="S533" t="e">
        <f>AND(#REF!,"AAAAAFuffhI=")</f>
        <v>#REF!</v>
      </c>
      <c r="T533" t="e">
        <f>AND(#REF!,"AAAAAFuffhM=")</f>
        <v>#REF!</v>
      </c>
      <c r="U533" t="e">
        <f>AND(#REF!,"AAAAAFuffhQ=")</f>
        <v>#REF!</v>
      </c>
      <c r="V533" t="e">
        <f>AND(#REF!,"AAAAAFuffhU=")</f>
        <v>#REF!</v>
      </c>
      <c r="W533" t="e">
        <f>AND(#REF!,"AAAAAFuffhY=")</f>
        <v>#REF!</v>
      </c>
      <c r="X533" t="e">
        <f>AND(#REF!,"AAAAAFuffhc=")</f>
        <v>#REF!</v>
      </c>
      <c r="Y533" t="e">
        <f>IF(#REF!,"AAAAAFuffhg=",0)</f>
        <v>#REF!</v>
      </c>
      <c r="Z533" t="e">
        <f>AND(#REF!,"AAAAAFuffhk=")</f>
        <v>#REF!</v>
      </c>
      <c r="AA533" t="e">
        <f>AND(#REF!,"AAAAAFuffho=")</f>
        <v>#REF!</v>
      </c>
      <c r="AB533" t="e">
        <f>AND(#REF!,"AAAAAFuffhs=")</f>
        <v>#REF!</v>
      </c>
      <c r="AC533" t="e">
        <f>AND(#REF!,"AAAAAFuffhw=")</f>
        <v>#REF!</v>
      </c>
      <c r="AD533" t="e">
        <f>AND(#REF!,"AAAAAFuffh0=")</f>
        <v>#REF!</v>
      </c>
      <c r="AE533" t="e">
        <f>AND(#REF!,"AAAAAFuffh4=")</f>
        <v>#REF!</v>
      </c>
      <c r="AF533" t="e">
        <f>AND(#REF!,"AAAAAFuffh8=")</f>
        <v>#REF!</v>
      </c>
      <c r="AG533" t="e">
        <f>AND(#REF!,"AAAAAFuffiA=")</f>
        <v>#REF!</v>
      </c>
      <c r="AH533" t="e">
        <f>AND(#REF!,"AAAAAFuffiE=")</f>
        <v>#REF!</v>
      </c>
      <c r="AI533" t="e">
        <f>AND(#REF!,"AAAAAFuffiI=")</f>
        <v>#REF!</v>
      </c>
      <c r="AJ533" t="e">
        <f>IF(#REF!,"AAAAAFuffiM=",0)</f>
        <v>#REF!</v>
      </c>
      <c r="AK533" t="e">
        <f>AND(#REF!,"AAAAAFuffiQ=")</f>
        <v>#REF!</v>
      </c>
      <c r="AL533" t="e">
        <f>AND(#REF!,"AAAAAFuffiU=")</f>
        <v>#REF!</v>
      </c>
      <c r="AM533" t="e">
        <f>AND(#REF!,"AAAAAFuffiY=")</f>
        <v>#REF!</v>
      </c>
      <c r="AN533" t="e">
        <f>AND(#REF!,"AAAAAFuffic=")</f>
        <v>#REF!</v>
      </c>
      <c r="AO533" t="e">
        <f>AND(#REF!,"AAAAAFuffig=")</f>
        <v>#REF!</v>
      </c>
      <c r="AP533" t="e">
        <f>AND(#REF!,"AAAAAFuffik=")</f>
        <v>#REF!</v>
      </c>
      <c r="AQ533" t="e">
        <f>AND(#REF!,"AAAAAFuffio=")</f>
        <v>#REF!</v>
      </c>
      <c r="AR533" t="e">
        <f>AND(#REF!,"AAAAAFuffis=")</f>
        <v>#REF!</v>
      </c>
      <c r="AS533" t="e">
        <f>AND(#REF!,"AAAAAFuffiw=")</f>
        <v>#REF!</v>
      </c>
      <c r="AT533" t="e">
        <f>AND(#REF!,"AAAAAFuffi0=")</f>
        <v>#REF!</v>
      </c>
      <c r="AU533" t="e">
        <f>IF(#REF!,"AAAAAFuffi4=",0)</f>
        <v>#REF!</v>
      </c>
      <c r="AV533" t="e">
        <f>AND(#REF!,"AAAAAFuffi8=")</f>
        <v>#REF!</v>
      </c>
      <c r="AW533" t="e">
        <f>AND(#REF!,"AAAAAFuffjA=")</f>
        <v>#REF!</v>
      </c>
      <c r="AX533" t="e">
        <f>AND(#REF!,"AAAAAFuffjE=")</f>
        <v>#REF!</v>
      </c>
      <c r="AY533" t="e">
        <f>AND(#REF!,"AAAAAFuffjI=")</f>
        <v>#REF!</v>
      </c>
      <c r="AZ533" t="e">
        <f>AND(#REF!,"AAAAAFuffjM=")</f>
        <v>#REF!</v>
      </c>
      <c r="BA533" t="e">
        <f>AND(#REF!,"AAAAAFuffjQ=")</f>
        <v>#REF!</v>
      </c>
      <c r="BB533" t="e">
        <f>AND(#REF!,"AAAAAFuffjU=")</f>
        <v>#REF!</v>
      </c>
      <c r="BC533" t="e">
        <f>AND(#REF!,"AAAAAFuffjY=")</f>
        <v>#REF!</v>
      </c>
      <c r="BD533" t="e">
        <f>AND(#REF!,"AAAAAFuffjc=")</f>
        <v>#REF!</v>
      </c>
      <c r="BE533" t="e">
        <f>AND(#REF!,"AAAAAFuffjg=")</f>
        <v>#REF!</v>
      </c>
      <c r="BF533" t="e">
        <f>IF(#REF!,"AAAAAFuffjk=",0)</f>
        <v>#REF!</v>
      </c>
      <c r="BG533" t="e">
        <f>AND(#REF!,"AAAAAFuffjo=")</f>
        <v>#REF!</v>
      </c>
      <c r="BH533" t="e">
        <f>AND(#REF!,"AAAAAFuffjs=")</f>
        <v>#REF!</v>
      </c>
      <c r="BI533" t="e">
        <f>AND(#REF!,"AAAAAFuffjw=")</f>
        <v>#REF!</v>
      </c>
      <c r="BJ533" t="e">
        <f>AND(#REF!,"AAAAAFuffj0=")</f>
        <v>#REF!</v>
      </c>
      <c r="BK533" t="e">
        <f>AND(#REF!,"AAAAAFuffj4=")</f>
        <v>#REF!</v>
      </c>
      <c r="BL533" t="e">
        <f>AND(#REF!,"AAAAAFuffj8=")</f>
        <v>#REF!</v>
      </c>
      <c r="BM533" t="e">
        <f>AND(#REF!,"AAAAAFuffkA=")</f>
        <v>#REF!</v>
      </c>
      <c r="BN533" t="e">
        <f>AND(#REF!,"AAAAAFuffkE=")</f>
        <v>#REF!</v>
      </c>
      <c r="BO533" t="e">
        <f>AND(#REF!,"AAAAAFuffkI=")</f>
        <v>#REF!</v>
      </c>
      <c r="BP533" t="e">
        <f>AND(#REF!,"AAAAAFuffkM=")</f>
        <v>#REF!</v>
      </c>
      <c r="BQ533" t="e">
        <f>IF(#REF!,"AAAAAFuffkQ=",0)</f>
        <v>#REF!</v>
      </c>
      <c r="BR533" t="e">
        <f>AND(#REF!,"AAAAAFuffkU=")</f>
        <v>#REF!</v>
      </c>
      <c r="BS533" t="e">
        <f>AND(#REF!,"AAAAAFuffkY=")</f>
        <v>#REF!</v>
      </c>
      <c r="BT533" t="e">
        <f>AND(#REF!,"AAAAAFuffkc=")</f>
        <v>#REF!</v>
      </c>
      <c r="BU533" t="e">
        <f>AND(#REF!,"AAAAAFuffkg=")</f>
        <v>#REF!</v>
      </c>
      <c r="BV533" t="e">
        <f>AND(#REF!,"AAAAAFuffkk=")</f>
        <v>#REF!</v>
      </c>
      <c r="BW533" t="e">
        <f>AND(#REF!,"AAAAAFuffko=")</f>
        <v>#REF!</v>
      </c>
      <c r="BX533" t="e">
        <f>AND(#REF!,"AAAAAFuffks=")</f>
        <v>#REF!</v>
      </c>
      <c r="BY533" t="e">
        <f>AND(#REF!,"AAAAAFuffkw=")</f>
        <v>#REF!</v>
      </c>
      <c r="BZ533" t="e">
        <f>AND(#REF!,"AAAAAFuffk0=")</f>
        <v>#REF!</v>
      </c>
      <c r="CA533" t="e">
        <f>AND(#REF!,"AAAAAFuffk4=")</f>
        <v>#REF!</v>
      </c>
      <c r="CB533" t="e">
        <f>IF(#REF!,"AAAAAFuffk8=",0)</f>
        <v>#REF!</v>
      </c>
      <c r="CC533" t="e">
        <f>AND(#REF!,"AAAAAFufflA=")</f>
        <v>#REF!</v>
      </c>
      <c r="CD533" t="e">
        <f>AND(#REF!,"AAAAAFufflE=")</f>
        <v>#REF!</v>
      </c>
      <c r="CE533" t="e">
        <f>AND(#REF!,"AAAAAFufflI=")</f>
        <v>#REF!</v>
      </c>
      <c r="CF533" t="e">
        <f>AND(#REF!,"AAAAAFufflM=")</f>
        <v>#REF!</v>
      </c>
      <c r="CG533" t="e">
        <f>AND(#REF!,"AAAAAFufflQ=")</f>
        <v>#REF!</v>
      </c>
      <c r="CH533" t="e">
        <f>AND(#REF!,"AAAAAFufflU=")</f>
        <v>#REF!</v>
      </c>
      <c r="CI533" t="e">
        <f>AND(#REF!,"AAAAAFufflY=")</f>
        <v>#REF!</v>
      </c>
      <c r="CJ533" t="e">
        <f>AND(#REF!,"AAAAAFufflc=")</f>
        <v>#REF!</v>
      </c>
      <c r="CK533" t="e">
        <f>AND(#REF!,"AAAAAFufflg=")</f>
        <v>#REF!</v>
      </c>
      <c r="CL533" t="e">
        <f>AND(#REF!,"AAAAAFufflk=")</f>
        <v>#REF!</v>
      </c>
      <c r="CM533" t="e">
        <f>IF(#REF!,"AAAAAFufflo=",0)</f>
        <v>#REF!</v>
      </c>
      <c r="CN533" t="e">
        <f>AND(#REF!,"AAAAAFuffls=")</f>
        <v>#REF!</v>
      </c>
      <c r="CO533" t="e">
        <f>AND(#REF!,"AAAAAFufflw=")</f>
        <v>#REF!</v>
      </c>
      <c r="CP533" t="e">
        <f>AND(#REF!,"AAAAAFuffl0=")</f>
        <v>#REF!</v>
      </c>
      <c r="CQ533" t="e">
        <f>AND(#REF!,"AAAAAFuffl4=")</f>
        <v>#REF!</v>
      </c>
      <c r="CR533" t="e">
        <f>AND(#REF!,"AAAAAFuffl8=")</f>
        <v>#REF!</v>
      </c>
      <c r="CS533" t="e">
        <f>AND(#REF!,"AAAAAFuffmA=")</f>
        <v>#REF!</v>
      </c>
      <c r="CT533" t="e">
        <f>AND(#REF!,"AAAAAFuffmE=")</f>
        <v>#REF!</v>
      </c>
      <c r="CU533" t="e">
        <f>AND(#REF!,"AAAAAFuffmI=")</f>
        <v>#REF!</v>
      </c>
      <c r="CV533" t="e">
        <f>AND(#REF!,"AAAAAFuffmM=")</f>
        <v>#REF!</v>
      </c>
      <c r="CW533" t="e">
        <f>AND(#REF!,"AAAAAFuffmQ=")</f>
        <v>#REF!</v>
      </c>
      <c r="CX533" t="e">
        <f>IF(#REF!,"AAAAAFuffmU=",0)</f>
        <v>#REF!</v>
      </c>
      <c r="CY533" t="e">
        <f>AND(#REF!,"AAAAAFuffmY=")</f>
        <v>#REF!</v>
      </c>
      <c r="CZ533" t="e">
        <f>AND(#REF!,"AAAAAFuffmc=")</f>
        <v>#REF!</v>
      </c>
      <c r="DA533" t="e">
        <f>AND(#REF!,"AAAAAFuffmg=")</f>
        <v>#REF!</v>
      </c>
      <c r="DB533" t="e">
        <f>AND(#REF!,"AAAAAFuffmk=")</f>
        <v>#REF!</v>
      </c>
      <c r="DC533" t="e">
        <f>AND(#REF!,"AAAAAFuffmo=")</f>
        <v>#REF!</v>
      </c>
      <c r="DD533" t="e">
        <f>AND(#REF!,"AAAAAFuffms=")</f>
        <v>#REF!</v>
      </c>
      <c r="DE533" t="e">
        <f>AND(#REF!,"AAAAAFuffmw=")</f>
        <v>#REF!</v>
      </c>
      <c r="DF533" t="e">
        <f>AND(#REF!,"AAAAAFuffm0=")</f>
        <v>#REF!</v>
      </c>
      <c r="DG533" t="e">
        <f>AND(#REF!,"AAAAAFuffm4=")</f>
        <v>#REF!</v>
      </c>
      <c r="DH533" t="e">
        <f>AND(#REF!,"AAAAAFuffm8=")</f>
        <v>#REF!</v>
      </c>
      <c r="DI533" t="e">
        <f>IF(#REF!,"AAAAAFuffnA=",0)</f>
        <v>#REF!</v>
      </c>
      <c r="DJ533" t="e">
        <f>AND(#REF!,"AAAAAFuffnE=")</f>
        <v>#REF!</v>
      </c>
      <c r="DK533" t="e">
        <f>AND(#REF!,"AAAAAFuffnI=")</f>
        <v>#REF!</v>
      </c>
      <c r="DL533" t="e">
        <f>AND(#REF!,"AAAAAFuffnM=")</f>
        <v>#REF!</v>
      </c>
      <c r="DM533" t="e">
        <f>AND(#REF!,"AAAAAFuffnQ=")</f>
        <v>#REF!</v>
      </c>
      <c r="DN533" t="e">
        <f>AND(#REF!,"AAAAAFuffnU=")</f>
        <v>#REF!</v>
      </c>
      <c r="DO533" t="e">
        <f>AND(#REF!,"AAAAAFuffnY=")</f>
        <v>#REF!</v>
      </c>
      <c r="DP533" t="e">
        <f>AND(#REF!,"AAAAAFuffnc=")</f>
        <v>#REF!</v>
      </c>
      <c r="DQ533" t="e">
        <f>AND(#REF!,"AAAAAFuffng=")</f>
        <v>#REF!</v>
      </c>
      <c r="DR533" t="e">
        <f>AND(#REF!,"AAAAAFuffnk=")</f>
        <v>#REF!</v>
      </c>
      <c r="DS533" t="e">
        <f>AND(#REF!,"AAAAAFuffno=")</f>
        <v>#REF!</v>
      </c>
      <c r="DT533" t="e">
        <f>IF(#REF!,"AAAAAFuffns=",0)</f>
        <v>#REF!</v>
      </c>
      <c r="DU533" t="e">
        <f>AND(#REF!,"AAAAAFuffnw=")</f>
        <v>#REF!</v>
      </c>
      <c r="DV533" t="e">
        <f>AND(#REF!,"AAAAAFuffn0=")</f>
        <v>#REF!</v>
      </c>
      <c r="DW533" t="e">
        <f>AND(#REF!,"AAAAAFuffn4=")</f>
        <v>#REF!</v>
      </c>
      <c r="DX533" t="e">
        <f>AND(#REF!,"AAAAAFuffn8=")</f>
        <v>#REF!</v>
      </c>
      <c r="DY533" t="e">
        <f>AND(#REF!,"AAAAAFuffoA=")</f>
        <v>#REF!</v>
      </c>
      <c r="DZ533" t="e">
        <f>AND(#REF!,"AAAAAFuffoE=")</f>
        <v>#REF!</v>
      </c>
      <c r="EA533" t="e">
        <f>AND(#REF!,"AAAAAFuffoI=")</f>
        <v>#REF!</v>
      </c>
      <c r="EB533" t="e">
        <f>AND(#REF!,"AAAAAFuffoM=")</f>
        <v>#REF!</v>
      </c>
      <c r="EC533" t="e">
        <f>AND(#REF!,"AAAAAFuffoQ=")</f>
        <v>#REF!</v>
      </c>
      <c r="ED533" t="e">
        <f>AND(#REF!,"AAAAAFuffoU=")</f>
        <v>#REF!</v>
      </c>
      <c r="EE533" t="e">
        <f>IF(#REF!,"AAAAAFuffoY=",0)</f>
        <v>#REF!</v>
      </c>
      <c r="EF533" t="e">
        <f>AND(#REF!,"AAAAAFuffoc=")</f>
        <v>#REF!</v>
      </c>
      <c r="EG533" t="e">
        <f>AND(#REF!,"AAAAAFuffog=")</f>
        <v>#REF!</v>
      </c>
      <c r="EH533" t="e">
        <f>AND(#REF!,"AAAAAFuffok=")</f>
        <v>#REF!</v>
      </c>
      <c r="EI533" t="e">
        <f>AND(#REF!,"AAAAAFuffoo=")</f>
        <v>#REF!</v>
      </c>
      <c r="EJ533" t="e">
        <f>AND(#REF!,"AAAAAFuffos=")</f>
        <v>#REF!</v>
      </c>
      <c r="EK533" t="e">
        <f>AND(#REF!,"AAAAAFuffow=")</f>
        <v>#REF!</v>
      </c>
      <c r="EL533" t="e">
        <f>AND(#REF!,"AAAAAFuffo0=")</f>
        <v>#REF!</v>
      </c>
      <c r="EM533" t="e">
        <f>AND(#REF!,"AAAAAFuffo4=")</f>
        <v>#REF!</v>
      </c>
      <c r="EN533" t="e">
        <f>AND(#REF!,"AAAAAFuffo8=")</f>
        <v>#REF!</v>
      </c>
      <c r="EO533" t="e">
        <f>AND(#REF!,"AAAAAFuffpA=")</f>
        <v>#REF!</v>
      </c>
      <c r="EP533" t="e">
        <f>IF(#REF!,"AAAAAFuffpE=",0)</f>
        <v>#REF!</v>
      </c>
      <c r="EQ533" t="e">
        <f>AND(#REF!,"AAAAAFuffpI=")</f>
        <v>#REF!</v>
      </c>
      <c r="ER533" t="e">
        <f>AND(#REF!,"AAAAAFuffpM=")</f>
        <v>#REF!</v>
      </c>
      <c r="ES533" t="e">
        <f>AND(#REF!,"AAAAAFuffpQ=")</f>
        <v>#REF!</v>
      </c>
      <c r="ET533" t="e">
        <f>AND(#REF!,"AAAAAFuffpU=")</f>
        <v>#REF!</v>
      </c>
      <c r="EU533" t="e">
        <f>AND(#REF!,"AAAAAFuffpY=")</f>
        <v>#REF!</v>
      </c>
      <c r="EV533" t="e">
        <f>AND(#REF!,"AAAAAFuffpc=")</f>
        <v>#REF!</v>
      </c>
      <c r="EW533" t="e">
        <f>AND(#REF!,"AAAAAFuffpg=")</f>
        <v>#REF!</v>
      </c>
      <c r="EX533" t="e">
        <f>AND(#REF!,"AAAAAFuffpk=")</f>
        <v>#REF!</v>
      </c>
      <c r="EY533" t="e">
        <f>AND(#REF!,"AAAAAFuffpo=")</f>
        <v>#REF!</v>
      </c>
      <c r="EZ533" t="e">
        <f>AND(#REF!,"AAAAAFuffps=")</f>
        <v>#REF!</v>
      </c>
      <c r="FA533" t="e">
        <f>IF(#REF!,"AAAAAFuffpw=",0)</f>
        <v>#REF!</v>
      </c>
      <c r="FB533" t="e">
        <f>AND(#REF!,"AAAAAFuffp0=")</f>
        <v>#REF!</v>
      </c>
      <c r="FC533" t="e">
        <f>AND(#REF!,"AAAAAFuffp4=")</f>
        <v>#REF!</v>
      </c>
      <c r="FD533" t="e">
        <f>AND(#REF!,"AAAAAFuffp8=")</f>
        <v>#REF!</v>
      </c>
      <c r="FE533" t="e">
        <f>AND(#REF!,"AAAAAFuffqA=")</f>
        <v>#REF!</v>
      </c>
      <c r="FF533" t="e">
        <f>AND(#REF!,"AAAAAFuffqE=")</f>
        <v>#REF!</v>
      </c>
      <c r="FG533" t="e">
        <f>AND(#REF!,"AAAAAFuffqI=")</f>
        <v>#REF!</v>
      </c>
      <c r="FH533" t="e">
        <f>AND(#REF!,"AAAAAFuffqM=")</f>
        <v>#REF!</v>
      </c>
      <c r="FI533" t="e">
        <f>AND(#REF!,"AAAAAFuffqQ=")</f>
        <v>#REF!</v>
      </c>
      <c r="FJ533" t="e">
        <f>AND(#REF!,"AAAAAFuffqU=")</f>
        <v>#REF!</v>
      </c>
      <c r="FK533" t="e">
        <f>AND(#REF!,"AAAAAFuffqY=")</f>
        <v>#REF!</v>
      </c>
      <c r="FL533" t="e">
        <f>IF(#REF!,"AAAAAFuffqc=",0)</f>
        <v>#REF!</v>
      </c>
      <c r="FM533" t="e">
        <f>AND(#REF!,"AAAAAFuffqg=")</f>
        <v>#REF!</v>
      </c>
      <c r="FN533" t="e">
        <f>AND(#REF!,"AAAAAFuffqk=")</f>
        <v>#REF!</v>
      </c>
      <c r="FO533" t="e">
        <f>AND(#REF!,"AAAAAFuffqo=")</f>
        <v>#REF!</v>
      </c>
      <c r="FP533" t="e">
        <f>AND(#REF!,"AAAAAFuffqs=")</f>
        <v>#REF!</v>
      </c>
      <c r="FQ533" t="e">
        <f>AND(#REF!,"AAAAAFuffqw=")</f>
        <v>#REF!</v>
      </c>
      <c r="FR533" t="e">
        <f>AND(#REF!,"AAAAAFuffq0=")</f>
        <v>#REF!</v>
      </c>
      <c r="FS533" t="e">
        <f>AND(#REF!,"AAAAAFuffq4=")</f>
        <v>#REF!</v>
      </c>
      <c r="FT533" t="e">
        <f>AND(#REF!,"AAAAAFuffq8=")</f>
        <v>#REF!</v>
      </c>
      <c r="FU533" t="e">
        <f>AND(#REF!,"AAAAAFuffrA=")</f>
        <v>#REF!</v>
      </c>
      <c r="FV533" t="e">
        <f>AND(#REF!,"AAAAAFuffrE=")</f>
        <v>#REF!</v>
      </c>
      <c r="FW533" t="e">
        <f>IF(#REF!,"AAAAAFuffrI=",0)</f>
        <v>#REF!</v>
      </c>
      <c r="FX533" t="e">
        <f>AND(#REF!,"AAAAAFuffrM=")</f>
        <v>#REF!</v>
      </c>
      <c r="FY533" t="e">
        <f>AND(#REF!,"AAAAAFuffrQ=")</f>
        <v>#REF!</v>
      </c>
      <c r="FZ533" t="e">
        <f>AND(#REF!,"AAAAAFuffrU=")</f>
        <v>#REF!</v>
      </c>
      <c r="GA533" t="e">
        <f>AND(#REF!,"AAAAAFuffrY=")</f>
        <v>#REF!</v>
      </c>
      <c r="GB533" t="e">
        <f>AND(#REF!,"AAAAAFuffrc=")</f>
        <v>#REF!</v>
      </c>
      <c r="GC533" t="e">
        <f>AND(#REF!,"AAAAAFuffrg=")</f>
        <v>#REF!</v>
      </c>
      <c r="GD533" t="e">
        <f>AND(#REF!,"AAAAAFuffrk=")</f>
        <v>#REF!</v>
      </c>
      <c r="GE533" t="e">
        <f>AND(#REF!,"AAAAAFuffro=")</f>
        <v>#REF!</v>
      </c>
      <c r="GF533" t="e">
        <f>AND(#REF!,"AAAAAFuffrs=")</f>
        <v>#REF!</v>
      </c>
      <c r="GG533" t="e">
        <f>AND(#REF!,"AAAAAFuffrw=")</f>
        <v>#REF!</v>
      </c>
      <c r="GH533" t="e">
        <f>IF(#REF!,"AAAAAFuffr0=",0)</f>
        <v>#REF!</v>
      </c>
      <c r="GI533" t="e">
        <f>AND(#REF!,"AAAAAFuffr4=")</f>
        <v>#REF!</v>
      </c>
      <c r="GJ533" t="e">
        <f>AND(#REF!,"AAAAAFuffr8=")</f>
        <v>#REF!</v>
      </c>
      <c r="GK533" t="e">
        <f>AND(#REF!,"AAAAAFuffsA=")</f>
        <v>#REF!</v>
      </c>
      <c r="GL533" t="e">
        <f>AND(#REF!,"AAAAAFuffsE=")</f>
        <v>#REF!</v>
      </c>
      <c r="GM533" t="e">
        <f>AND(#REF!,"AAAAAFuffsI=")</f>
        <v>#REF!</v>
      </c>
      <c r="GN533" t="e">
        <f>AND(#REF!,"AAAAAFuffsM=")</f>
        <v>#REF!</v>
      </c>
      <c r="GO533" t="e">
        <f>AND(#REF!,"AAAAAFuffsQ=")</f>
        <v>#REF!</v>
      </c>
      <c r="GP533" t="e">
        <f>AND(#REF!,"AAAAAFuffsU=")</f>
        <v>#REF!</v>
      </c>
      <c r="GQ533" t="e">
        <f>AND(#REF!,"AAAAAFuffsY=")</f>
        <v>#REF!</v>
      </c>
      <c r="GR533" t="e">
        <f>AND(#REF!,"AAAAAFuffsc=")</f>
        <v>#REF!</v>
      </c>
      <c r="GS533" t="e">
        <f>IF(#REF!,"AAAAAFuffsg=",0)</f>
        <v>#REF!</v>
      </c>
      <c r="GT533" t="e">
        <f>AND(#REF!,"AAAAAFuffsk=")</f>
        <v>#REF!</v>
      </c>
      <c r="GU533" t="e">
        <f>AND(#REF!,"AAAAAFuffso=")</f>
        <v>#REF!</v>
      </c>
      <c r="GV533" t="e">
        <f>AND(#REF!,"AAAAAFuffss=")</f>
        <v>#REF!</v>
      </c>
      <c r="GW533" t="e">
        <f>AND(#REF!,"AAAAAFuffsw=")</f>
        <v>#REF!</v>
      </c>
      <c r="GX533" t="e">
        <f>AND(#REF!,"AAAAAFuffs0=")</f>
        <v>#REF!</v>
      </c>
      <c r="GY533" t="e">
        <f>AND(#REF!,"AAAAAFuffs4=")</f>
        <v>#REF!</v>
      </c>
      <c r="GZ533" t="e">
        <f>AND(#REF!,"AAAAAFuffs8=")</f>
        <v>#REF!</v>
      </c>
      <c r="HA533" t="e">
        <f>AND(#REF!,"AAAAAFufftA=")</f>
        <v>#REF!</v>
      </c>
      <c r="HB533" t="e">
        <f>AND(#REF!,"AAAAAFufftE=")</f>
        <v>#REF!</v>
      </c>
      <c r="HC533" t="e">
        <f>AND(#REF!,"AAAAAFufftI=")</f>
        <v>#REF!</v>
      </c>
      <c r="HD533" t="e">
        <f>IF(#REF!,"AAAAAFufftM=",0)</f>
        <v>#REF!</v>
      </c>
      <c r="HE533" t="e">
        <f>AND(#REF!,"AAAAAFufftQ=")</f>
        <v>#REF!</v>
      </c>
      <c r="HF533" t="e">
        <f>AND(#REF!,"AAAAAFufftU=")</f>
        <v>#REF!</v>
      </c>
      <c r="HG533" t="e">
        <f>AND(#REF!,"AAAAAFufftY=")</f>
        <v>#REF!</v>
      </c>
      <c r="HH533" t="e">
        <f>AND(#REF!,"AAAAAFufftc=")</f>
        <v>#REF!</v>
      </c>
      <c r="HI533" t="e">
        <f>AND(#REF!,"AAAAAFufftg=")</f>
        <v>#REF!</v>
      </c>
      <c r="HJ533" t="e">
        <f>AND(#REF!,"AAAAAFufftk=")</f>
        <v>#REF!</v>
      </c>
      <c r="HK533" t="e">
        <f>AND(#REF!,"AAAAAFuffto=")</f>
        <v>#REF!</v>
      </c>
      <c r="HL533" t="e">
        <f>AND(#REF!,"AAAAAFuffts=")</f>
        <v>#REF!</v>
      </c>
      <c r="HM533" t="e">
        <f>AND(#REF!,"AAAAAFufftw=")</f>
        <v>#REF!</v>
      </c>
      <c r="HN533" t="e">
        <f>AND(#REF!,"AAAAAFufft0=")</f>
        <v>#REF!</v>
      </c>
      <c r="HO533" t="e">
        <f>IF(#REF!,"AAAAAFufft4=",0)</f>
        <v>#REF!</v>
      </c>
      <c r="HP533" t="e">
        <f>AND(#REF!,"AAAAAFufft8=")</f>
        <v>#REF!</v>
      </c>
      <c r="HQ533" t="e">
        <f>AND(#REF!,"AAAAAFuffuA=")</f>
        <v>#REF!</v>
      </c>
      <c r="HR533" t="e">
        <f>AND(#REF!,"AAAAAFuffuE=")</f>
        <v>#REF!</v>
      </c>
      <c r="HS533" t="e">
        <f>AND(#REF!,"AAAAAFuffuI=")</f>
        <v>#REF!</v>
      </c>
      <c r="HT533" t="e">
        <f>AND(#REF!,"AAAAAFuffuM=")</f>
        <v>#REF!</v>
      </c>
      <c r="HU533" t="e">
        <f>AND(#REF!,"AAAAAFuffuQ=")</f>
        <v>#REF!</v>
      </c>
      <c r="HV533" t="e">
        <f>AND(#REF!,"AAAAAFuffuU=")</f>
        <v>#REF!</v>
      </c>
      <c r="HW533" t="e">
        <f>AND(#REF!,"AAAAAFuffuY=")</f>
        <v>#REF!</v>
      </c>
      <c r="HX533" t="e">
        <f>AND(#REF!,"AAAAAFuffuc=")</f>
        <v>#REF!</v>
      </c>
      <c r="HY533" t="e">
        <f>AND(#REF!,"AAAAAFuffug=")</f>
        <v>#REF!</v>
      </c>
      <c r="HZ533" t="e">
        <f>IF(#REF!,"AAAAAFuffuk=",0)</f>
        <v>#REF!</v>
      </c>
      <c r="IA533" t="e">
        <f>AND(#REF!,"AAAAAFuffuo=")</f>
        <v>#REF!</v>
      </c>
      <c r="IB533" t="e">
        <f>AND(#REF!,"AAAAAFuffus=")</f>
        <v>#REF!</v>
      </c>
      <c r="IC533" t="e">
        <f>AND(#REF!,"AAAAAFuffuw=")</f>
        <v>#REF!</v>
      </c>
      <c r="ID533" t="e">
        <f>AND(#REF!,"AAAAAFuffu0=")</f>
        <v>#REF!</v>
      </c>
      <c r="IE533" t="e">
        <f>AND(#REF!,"AAAAAFuffu4=")</f>
        <v>#REF!</v>
      </c>
      <c r="IF533" t="e">
        <f>AND(#REF!,"AAAAAFuffu8=")</f>
        <v>#REF!</v>
      </c>
      <c r="IG533" t="e">
        <f>AND(#REF!,"AAAAAFuffvA=")</f>
        <v>#REF!</v>
      </c>
      <c r="IH533" t="e">
        <f>AND(#REF!,"AAAAAFuffvE=")</f>
        <v>#REF!</v>
      </c>
      <c r="II533" t="e">
        <f>AND(#REF!,"AAAAAFuffvI=")</f>
        <v>#REF!</v>
      </c>
      <c r="IJ533" t="e">
        <f>AND(#REF!,"AAAAAFuffvM=")</f>
        <v>#REF!</v>
      </c>
      <c r="IK533" t="e">
        <f>IF(#REF!,"AAAAAFuffvQ=",0)</f>
        <v>#REF!</v>
      </c>
      <c r="IL533" t="e">
        <f>AND(#REF!,"AAAAAFuffvU=")</f>
        <v>#REF!</v>
      </c>
      <c r="IM533" t="e">
        <f>AND(#REF!,"AAAAAFuffvY=")</f>
        <v>#REF!</v>
      </c>
      <c r="IN533" t="e">
        <f>AND(#REF!,"AAAAAFuffvc=")</f>
        <v>#REF!</v>
      </c>
      <c r="IO533" t="e">
        <f>AND(#REF!,"AAAAAFuffvg=")</f>
        <v>#REF!</v>
      </c>
      <c r="IP533" t="e">
        <f>AND(#REF!,"AAAAAFuffvk=")</f>
        <v>#REF!</v>
      </c>
      <c r="IQ533" t="e">
        <f>AND(#REF!,"AAAAAFuffvo=")</f>
        <v>#REF!</v>
      </c>
      <c r="IR533" t="e">
        <f>AND(#REF!,"AAAAAFuffvs=")</f>
        <v>#REF!</v>
      </c>
      <c r="IS533" t="e">
        <f>AND(#REF!,"AAAAAFuffvw=")</f>
        <v>#REF!</v>
      </c>
      <c r="IT533" t="e">
        <f>AND(#REF!,"AAAAAFuffv0=")</f>
        <v>#REF!</v>
      </c>
      <c r="IU533" t="e">
        <f>AND(#REF!,"AAAAAFuffv4=")</f>
        <v>#REF!</v>
      </c>
      <c r="IV533" t="e">
        <f>IF(#REF!,"AAAAAFuffv8=",0)</f>
        <v>#REF!</v>
      </c>
    </row>
    <row r="534" spans="1:256" x14ac:dyDescent="0.25">
      <c r="A534" t="e">
        <f>AND(#REF!,"AAAAADwv9wA=")</f>
        <v>#REF!</v>
      </c>
      <c r="B534" t="e">
        <f>AND(#REF!,"AAAAADwv9wE=")</f>
        <v>#REF!</v>
      </c>
      <c r="C534" t="e">
        <f>AND(#REF!,"AAAAADwv9wI=")</f>
        <v>#REF!</v>
      </c>
      <c r="D534" t="e">
        <f>AND(#REF!,"AAAAADwv9wM=")</f>
        <v>#REF!</v>
      </c>
      <c r="E534" t="e">
        <f>AND(#REF!,"AAAAADwv9wQ=")</f>
        <v>#REF!</v>
      </c>
      <c r="F534" t="e">
        <f>AND(#REF!,"AAAAADwv9wU=")</f>
        <v>#REF!</v>
      </c>
      <c r="G534" t="e">
        <f>AND(#REF!,"AAAAADwv9wY=")</f>
        <v>#REF!</v>
      </c>
      <c r="H534" t="e">
        <f>AND(#REF!,"AAAAADwv9wc=")</f>
        <v>#REF!</v>
      </c>
      <c r="I534" t="e">
        <f>AND(#REF!,"AAAAADwv9wg=")</f>
        <v>#REF!</v>
      </c>
      <c r="J534" t="e">
        <f>AND(#REF!,"AAAAADwv9wk=")</f>
        <v>#REF!</v>
      </c>
      <c r="K534" t="e">
        <f>IF(#REF!,"AAAAADwv9wo=",0)</f>
        <v>#REF!</v>
      </c>
      <c r="L534" t="e">
        <f>AND(#REF!,"AAAAADwv9ws=")</f>
        <v>#REF!</v>
      </c>
      <c r="M534" t="e">
        <f>AND(#REF!,"AAAAADwv9ww=")</f>
        <v>#REF!</v>
      </c>
      <c r="N534" t="e">
        <f>AND(#REF!,"AAAAADwv9w0=")</f>
        <v>#REF!</v>
      </c>
      <c r="O534" t="e">
        <f>AND(#REF!,"AAAAADwv9w4=")</f>
        <v>#REF!</v>
      </c>
      <c r="P534" t="e">
        <f>AND(#REF!,"AAAAADwv9w8=")</f>
        <v>#REF!</v>
      </c>
      <c r="Q534" t="e">
        <f>AND(#REF!,"AAAAADwv9xA=")</f>
        <v>#REF!</v>
      </c>
      <c r="R534" t="e">
        <f>AND(#REF!,"AAAAADwv9xE=")</f>
        <v>#REF!</v>
      </c>
      <c r="S534" t="e">
        <f>AND(#REF!,"AAAAADwv9xI=")</f>
        <v>#REF!</v>
      </c>
      <c r="T534" t="e">
        <f>AND(#REF!,"AAAAADwv9xM=")</f>
        <v>#REF!</v>
      </c>
      <c r="U534" t="e">
        <f>AND(#REF!,"AAAAADwv9xQ=")</f>
        <v>#REF!</v>
      </c>
      <c r="V534" t="e">
        <f>IF(#REF!,"AAAAADwv9xU=",0)</f>
        <v>#REF!</v>
      </c>
      <c r="W534" t="e">
        <f>AND(#REF!,"AAAAADwv9xY=")</f>
        <v>#REF!</v>
      </c>
      <c r="X534" t="e">
        <f>AND(#REF!,"AAAAADwv9xc=")</f>
        <v>#REF!</v>
      </c>
      <c r="Y534" t="e">
        <f>AND(#REF!,"AAAAADwv9xg=")</f>
        <v>#REF!</v>
      </c>
      <c r="Z534" t="e">
        <f>AND(#REF!,"AAAAADwv9xk=")</f>
        <v>#REF!</v>
      </c>
      <c r="AA534" t="e">
        <f>AND(#REF!,"AAAAADwv9xo=")</f>
        <v>#REF!</v>
      </c>
      <c r="AB534" t="e">
        <f>AND(#REF!,"AAAAADwv9xs=")</f>
        <v>#REF!</v>
      </c>
      <c r="AC534" t="e">
        <f>AND(#REF!,"AAAAADwv9xw=")</f>
        <v>#REF!</v>
      </c>
      <c r="AD534" t="e">
        <f>AND(#REF!,"AAAAADwv9x0=")</f>
        <v>#REF!</v>
      </c>
      <c r="AE534" t="e">
        <f>AND(#REF!,"AAAAADwv9x4=")</f>
        <v>#REF!</v>
      </c>
      <c r="AF534" t="e">
        <f>AND(#REF!,"AAAAADwv9x8=")</f>
        <v>#REF!</v>
      </c>
      <c r="AG534" t="e">
        <f>IF(#REF!,"AAAAADwv9yA=",0)</f>
        <v>#REF!</v>
      </c>
      <c r="AH534" t="e">
        <f>AND(#REF!,"AAAAADwv9yE=")</f>
        <v>#REF!</v>
      </c>
      <c r="AI534" t="e">
        <f>AND(#REF!,"AAAAADwv9yI=")</f>
        <v>#REF!</v>
      </c>
      <c r="AJ534" t="e">
        <f>AND(#REF!,"AAAAADwv9yM=")</f>
        <v>#REF!</v>
      </c>
      <c r="AK534" t="e">
        <f>AND(#REF!,"AAAAADwv9yQ=")</f>
        <v>#REF!</v>
      </c>
      <c r="AL534" t="e">
        <f>AND(#REF!,"AAAAADwv9yU=")</f>
        <v>#REF!</v>
      </c>
      <c r="AM534" t="e">
        <f>AND(#REF!,"AAAAADwv9yY=")</f>
        <v>#REF!</v>
      </c>
      <c r="AN534" t="e">
        <f>AND(#REF!,"AAAAADwv9yc=")</f>
        <v>#REF!</v>
      </c>
      <c r="AO534" t="e">
        <f>AND(#REF!,"AAAAADwv9yg=")</f>
        <v>#REF!</v>
      </c>
      <c r="AP534" t="e">
        <f>AND(#REF!,"AAAAADwv9yk=")</f>
        <v>#REF!</v>
      </c>
      <c r="AQ534" t="e">
        <f>AND(#REF!,"AAAAADwv9yo=")</f>
        <v>#REF!</v>
      </c>
      <c r="AR534" t="e">
        <f>IF(#REF!,"AAAAADwv9ys=",0)</f>
        <v>#REF!</v>
      </c>
      <c r="AS534" t="e">
        <f>AND(#REF!,"AAAAADwv9yw=")</f>
        <v>#REF!</v>
      </c>
      <c r="AT534" t="e">
        <f>AND(#REF!,"AAAAADwv9y0=")</f>
        <v>#REF!</v>
      </c>
      <c r="AU534" t="e">
        <f>AND(#REF!,"AAAAADwv9y4=")</f>
        <v>#REF!</v>
      </c>
      <c r="AV534" t="e">
        <f>AND(#REF!,"AAAAADwv9y8=")</f>
        <v>#REF!</v>
      </c>
      <c r="AW534" t="e">
        <f>AND(#REF!,"AAAAADwv9zA=")</f>
        <v>#REF!</v>
      </c>
      <c r="AX534" t="e">
        <f>AND(#REF!,"AAAAADwv9zE=")</f>
        <v>#REF!</v>
      </c>
      <c r="AY534" t="e">
        <f>AND(#REF!,"AAAAADwv9zI=")</f>
        <v>#REF!</v>
      </c>
      <c r="AZ534" t="e">
        <f>AND(#REF!,"AAAAADwv9zM=")</f>
        <v>#REF!</v>
      </c>
      <c r="BA534" t="e">
        <f>AND(#REF!,"AAAAADwv9zQ=")</f>
        <v>#REF!</v>
      </c>
      <c r="BB534" t="e">
        <f>AND(#REF!,"AAAAADwv9zU=")</f>
        <v>#REF!</v>
      </c>
      <c r="BC534" t="e">
        <f>IF(#REF!,"AAAAADwv9zY=",0)</f>
        <v>#REF!</v>
      </c>
      <c r="BD534" t="e">
        <f>AND(#REF!,"AAAAADwv9zc=")</f>
        <v>#REF!</v>
      </c>
      <c r="BE534" t="e">
        <f>AND(#REF!,"AAAAADwv9zg=")</f>
        <v>#REF!</v>
      </c>
      <c r="BF534" t="e">
        <f>AND(#REF!,"AAAAADwv9zk=")</f>
        <v>#REF!</v>
      </c>
      <c r="BG534" t="e">
        <f>AND(#REF!,"AAAAADwv9zo=")</f>
        <v>#REF!</v>
      </c>
      <c r="BH534" t="e">
        <f>AND(#REF!,"AAAAADwv9zs=")</f>
        <v>#REF!</v>
      </c>
      <c r="BI534" t="e">
        <f>AND(#REF!,"AAAAADwv9zw=")</f>
        <v>#REF!</v>
      </c>
      <c r="BJ534" t="e">
        <f>AND(#REF!,"AAAAADwv9z0=")</f>
        <v>#REF!</v>
      </c>
      <c r="BK534" t="e">
        <f>AND(#REF!,"AAAAADwv9z4=")</f>
        <v>#REF!</v>
      </c>
      <c r="BL534" t="e">
        <f>AND(#REF!,"AAAAADwv9z8=")</f>
        <v>#REF!</v>
      </c>
      <c r="BM534" t="e">
        <f>AND(#REF!,"AAAAADwv90A=")</f>
        <v>#REF!</v>
      </c>
      <c r="BN534" t="e">
        <f>IF(#REF!,"AAAAADwv90E=",0)</f>
        <v>#REF!</v>
      </c>
      <c r="BO534" t="e">
        <f>AND(#REF!,"AAAAADwv90I=")</f>
        <v>#REF!</v>
      </c>
      <c r="BP534" t="e">
        <f>AND(#REF!,"AAAAADwv90M=")</f>
        <v>#REF!</v>
      </c>
      <c r="BQ534" t="e">
        <f>AND(#REF!,"AAAAADwv90Q=")</f>
        <v>#REF!</v>
      </c>
      <c r="BR534" t="e">
        <f>AND(#REF!,"AAAAADwv90U=")</f>
        <v>#REF!</v>
      </c>
      <c r="BS534" t="e">
        <f>AND(#REF!,"AAAAADwv90Y=")</f>
        <v>#REF!</v>
      </c>
      <c r="BT534" t="e">
        <f>AND(#REF!,"AAAAADwv90c=")</f>
        <v>#REF!</v>
      </c>
      <c r="BU534" t="e">
        <f>AND(#REF!,"AAAAADwv90g=")</f>
        <v>#REF!</v>
      </c>
      <c r="BV534" t="e">
        <f>AND(#REF!,"AAAAADwv90k=")</f>
        <v>#REF!</v>
      </c>
      <c r="BW534" t="e">
        <f>AND(#REF!,"AAAAADwv90o=")</f>
        <v>#REF!</v>
      </c>
      <c r="BX534" t="e">
        <f>AND(#REF!,"AAAAADwv90s=")</f>
        <v>#REF!</v>
      </c>
      <c r="BY534" t="e">
        <f>IF(#REF!,"AAAAADwv90w=",0)</f>
        <v>#REF!</v>
      </c>
      <c r="BZ534" t="e">
        <f>AND(#REF!,"AAAAADwv900=")</f>
        <v>#REF!</v>
      </c>
      <c r="CA534" t="e">
        <f>AND(#REF!,"AAAAADwv904=")</f>
        <v>#REF!</v>
      </c>
      <c r="CB534" t="e">
        <f>AND(#REF!,"AAAAADwv908=")</f>
        <v>#REF!</v>
      </c>
      <c r="CC534" t="e">
        <f>AND(#REF!,"AAAAADwv91A=")</f>
        <v>#REF!</v>
      </c>
      <c r="CD534" t="e">
        <f>AND(#REF!,"AAAAADwv91E=")</f>
        <v>#REF!</v>
      </c>
      <c r="CE534" t="e">
        <f>AND(#REF!,"AAAAADwv91I=")</f>
        <v>#REF!</v>
      </c>
      <c r="CF534" t="e">
        <f>AND(#REF!,"AAAAADwv91M=")</f>
        <v>#REF!</v>
      </c>
      <c r="CG534" t="e">
        <f>AND(#REF!,"AAAAADwv91Q=")</f>
        <v>#REF!</v>
      </c>
      <c r="CH534" t="e">
        <f>AND(#REF!,"AAAAADwv91U=")</f>
        <v>#REF!</v>
      </c>
      <c r="CI534" t="e">
        <f>AND(#REF!,"AAAAADwv91Y=")</f>
        <v>#REF!</v>
      </c>
      <c r="CJ534" t="e">
        <f>IF(#REF!,"AAAAADwv91c=",0)</f>
        <v>#REF!</v>
      </c>
      <c r="CK534" t="e">
        <f>AND(#REF!,"AAAAADwv91g=")</f>
        <v>#REF!</v>
      </c>
      <c r="CL534" t="e">
        <f>AND(#REF!,"AAAAADwv91k=")</f>
        <v>#REF!</v>
      </c>
      <c r="CM534" t="e">
        <f>AND(#REF!,"AAAAADwv91o=")</f>
        <v>#REF!</v>
      </c>
      <c r="CN534" t="e">
        <f>AND(#REF!,"AAAAADwv91s=")</f>
        <v>#REF!</v>
      </c>
      <c r="CO534" t="e">
        <f>AND(#REF!,"AAAAADwv91w=")</f>
        <v>#REF!</v>
      </c>
      <c r="CP534" t="e">
        <f>AND(#REF!,"AAAAADwv910=")</f>
        <v>#REF!</v>
      </c>
      <c r="CQ534" t="e">
        <f>AND(#REF!,"AAAAADwv914=")</f>
        <v>#REF!</v>
      </c>
      <c r="CR534" t="e">
        <f>AND(#REF!,"AAAAADwv918=")</f>
        <v>#REF!</v>
      </c>
      <c r="CS534" t="e">
        <f>AND(#REF!,"AAAAADwv92A=")</f>
        <v>#REF!</v>
      </c>
      <c r="CT534" t="e">
        <f>AND(#REF!,"AAAAADwv92E=")</f>
        <v>#REF!</v>
      </c>
      <c r="CU534" t="e">
        <f>IF(#REF!,"AAAAADwv92I=",0)</f>
        <v>#REF!</v>
      </c>
      <c r="CV534" t="e">
        <f>AND(#REF!,"AAAAADwv92M=")</f>
        <v>#REF!</v>
      </c>
      <c r="CW534" t="e">
        <f>AND(#REF!,"AAAAADwv92Q=")</f>
        <v>#REF!</v>
      </c>
      <c r="CX534" t="e">
        <f>AND(#REF!,"AAAAADwv92U=")</f>
        <v>#REF!</v>
      </c>
      <c r="CY534" t="e">
        <f>AND(#REF!,"AAAAADwv92Y=")</f>
        <v>#REF!</v>
      </c>
      <c r="CZ534" t="e">
        <f>AND(#REF!,"AAAAADwv92c=")</f>
        <v>#REF!</v>
      </c>
      <c r="DA534" t="e">
        <f>AND(#REF!,"AAAAADwv92g=")</f>
        <v>#REF!</v>
      </c>
      <c r="DB534" t="e">
        <f>AND(#REF!,"AAAAADwv92k=")</f>
        <v>#REF!</v>
      </c>
      <c r="DC534" t="e">
        <f>AND(#REF!,"AAAAADwv92o=")</f>
        <v>#REF!</v>
      </c>
      <c r="DD534" t="e">
        <f>AND(#REF!,"AAAAADwv92s=")</f>
        <v>#REF!</v>
      </c>
      <c r="DE534" t="e">
        <f>AND(#REF!,"AAAAADwv92w=")</f>
        <v>#REF!</v>
      </c>
      <c r="DF534" t="e">
        <f>IF(#REF!,"AAAAADwv920=",0)</f>
        <v>#REF!</v>
      </c>
      <c r="DG534" t="e">
        <f>AND(#REF!,"AAAAADwv924=")</f>
        <v>#REF!</v>
      </c>
      <c r="DH534" t="e">
        <f>AND(#REF!,"AAAAADwv928=")</f>
        <v>#REF!</v>
      </c>
      <c r="DI534" t="e">
        <f>AND(#REF!,"AAAAADwv93A=")</f>
        <v>#REF!</v>
      </c>
      <c r="DJ534" t="e">
        <f>AND(#REF!,"AAAAADwv93E=")</f>
        <v>#REF!</v>
      </c>
      <c r="DK534" t="e">
        <f>AND(#REF!,"AAAAADwv93I=")</f>
        <v>#REF!</v>
      </c>
      <c r="DL534" t="e">
        <f>AND(#REF!,"AAAAADwv93M=")</f>
        <v>#REF!</v>
      </c>
      <c r="DM534" t="e">
        <f>AND(#REF!,"AAAAADwv93Q=")</f>
        <v>#REF!</v>
      </c>
      <c r="DN534" t="e">
        <f>AND(#REF!,"AAAAADwv93U=")</f>
        <v>#REF!</v>
      </c>
      <c r="DO534" t="e">
        <f>AND(#REF!,"AAAAADwv93Y=")</f>
        <v>#REF!</v>
      </c>
      <c r="DP534" t="e">
        <f>AND(#REF!,"AAAAADwv93c=")</f>
        <v>#REF!</v>
      </c>
      <c r="DQ534" t="e">
        <f>IF(#REF!,"AAAAADwv93g=",0)</f>
        <v>#REF!</v>
      </c>
      <c r="DR534" t="e">
        <f>AND(#REF!,"AAAAADwv93k=")</f>
        <v>#REF!</v>
      </c>
      <c r="DS534" t="e">
        <f>AND(#REF!,"AAAAADwv93o=")</f>
        <v>#REF!</v>
      </c>
      <c r="DT534" t="e">
        <f>AND(#REF!,"AAAAADwv93s=")</f>
        <v>#REF!</v>
      </c>
      <c r="DU534" t="e">
        <f>AND(#REF!,"AAAAADwv93w=")</f>
        <v>#REF!</v>
      </c>
      <c r="DV534" t="e">
        <f>AND(#REF!,"AAAAADwv930=")</f>
        <v>#REF!</v>
      </c>
      <c r="DW534" t="e">
        <f>AND(#REF!,"AAAAADwv934=")</f>
        <v>#REF!</v>
      </c>
      <c r="DX534" t="e">
        <f>AND(#REF!,"AAAAADwv938=")</f>
        <v>#REF!</v>
      </c>
      <c r="DY534" t="e">
        <f>AND(#REF!,"AAAAADwv94A=")</f>
        <v>#REF!</v>
      </c>
      <c r="DZ534" t="e">
        <f>AND(#REF!,"AAAAADwv94E=")</f>
        <v>#REF!</v>
      </c>
      <c r="EA534" t="e">
        <f>AND(#REF!,"AAAAADwv94I=")</f>
        <v>#REF!</v>
      </c>
      <c r="EB534" t="e">
        <f>IF(#REF!,"AAAAADwv94M=",0)</f>
        <v>#REF!</v>
      </c>
      <c r="EC534" t="e">
        <f>AND(#REF!,"AAAAADwv94Q=")</f>
        <v>#REF!</v>
      </c>
      <c r="ED534" t="e">
        <f>AND(#REF!,"AAAAADwv94U=")</f>
        <v>#REF!</v>
      </c>
      <c r="EE534" t="e">
        <f>AND(#REF!,"AAAAADwv94Y=")</f>
        <v>#REF!</v>
      </c>
      <c r="EF534" t="e">
        <f>AND(#REF!,"AAAAADwv94c=")</f>
        <v>#REF!</v>
      </c>
      <c r="EG534" t="e">
        <f>AND(#REF!,"AAAAADwv94g=")</f>
        <v>#REF!</v>
      </c>
      <c r="EH534" t="e">
        <f>AND(#REF!,"AAAAADwv94k=")</f>
        <v>#REF!</v>
      </c>
      <c r="EI534" t="e">
        <f>AND(#REF!,"AAAAADwv94o=")</f>
        <v>#REF!</v>
      </c>
      <c r="EJ534" t="e">
        <f>AND(#REF!,"AAAAADwv94s=")</f>
        <v>#REF!</v>
      </c>
      <c r="EK534" t="e">
        <f>AND(#REF!,"AAAAADwv94w=")</f>
        <v>#REF!</v>
      </c>
      <c r="EL534" t="e">
        <f>AND(#REF!,"AAAAADwv940=")</f>
        <v>#REF!</v>
      </c>
      <c r="EM534" t="e">
        <f>IF(#REF!,"AAAAADwv944=",0)</f>
        <v>#REF!</v>
      </c>
      <c r="EN534" t="e">
        <f>AND(#REF!,"AAAAADwv948=")</f>
        <v>#REF!</v>
      </c>
      <c r="EO534" t="e">
        <f>AND(#REF!,"AAAAADwv95A=")</f>
        <v>#REF!</v>
      </c>
      <c r="EP534" t="e">
        <f>AND(#REF!,"AAAAADwv95E=")</f>
        <v>#REF!</v>
      </c>
      <c r="EQ534" t="e">
        <f>AND(#REF!,"AAAAADwv95I=")</f>
        <v>#REF!</v>
      </c>
      <c r="ER534" t="e">
        <f>AND(#REF!,"AAAAADwv95M=")</f>
        <v>#REF!</v>
      </c>
      <c r="ES534" t="e">
        <f>AND(#REF!,"AAAAADwv95Q=")</f>
        <v>#REF!</v>
      </c>
      <c r="ET534" t="e">
        <f>AND(#REF!,"AAAAADwv95U=")</f>
        <v>#REF!</v>
      </c>
      <c r="EU534" t="e">
        <f>AND(#REF!,"AAAAADwv95Y=")</f>
        <v>#REF!</v>
      </c>
      <c r="EV534" t="e">
        <f>AND(#REF!,"AAAAADwv95c=")</f>
        <v>#REF!</v>
      </c>
      <c r="EW534" t="e">
        <f>AND(#REF!,"AAAAADwv95g=")</f>
        <v>#REF!</v>
      </c>
      <c r="EX534" t="e">
        <f>IF(#REF!,"AAAAADwv95k=",0)</f>
        <v>#REF!</v>
      </c>
      <c r="EY534" t="e">
        <f>AND(#REF!,"AAAAADwv95o=")</f>
        <v>#REF!</v>
      </c>
      <c r="EZ534" t="e">
        <f>AND(#REF!,"AAAAADwv95s=")</f>
        <v>#REF!</v>
      </c>
      <c r="FA534" t="e">
        <f>AND(#REF!,"AAAAADwv95w=")</f>
        <v>#REF!</v>
      </c>
      <c r="FB534" t="e">
        <f>AND(#REF!,"AAAAADwv950=")</f>
        <v>#REF!</v>
      </c>
      <c r="FC534" t="e">
        <f>AND(#REF!,"AAAAADwv954=")</f>
        <v>#REF!</v>
      </c>
      <c r="FD534" t="e">
        <f>AND(#REF!,"AAAAADwv958=")</f>
        <v>#REF!</v>
      </c>
      <c r="FE534" t="e">
        <f>AND(#REF!,"AAAAADwv96A=")</f>
        <v>#REF!</v>
      </c>
      <c r="FF534" t="e">
        <f>AND(#REF!,"AAAAADwv96E=")</f>
        <v>#REF!</v>
      </c>
      <c r="FG534" t="e">
        <f>AND(#REF!,"AAAAADwv96I=")</f>
        <v>#REF!</v>
      </c>
      <c r="FH534" t="e">
        <f>AND(#REF!,"AAAAADwv96M=")</f>
        <v>#REF!</v>
      </c>
      <c r="FI534" t="e">
        <f>IF(#REF!,"AAAAADwv96Q=",0)</f>
        <v>#REF!</v>
      </c>
      <c r="FJ534" t="e">
        <f>AND(#REF!,"AAAAADwv96U=")</f>
        <v>#REF!</v>
      </c>
      <c r="FK534" t="e">
        <f>AND(#REF!,"AAAAADwv96Y=")</f>
        <v>#REF!</v>
      </c>
      <c r="FL534" t="e">
        <f>AND(#REF!,"AAAAADwv96c=")</f>
        <v>#REF!</v>
      </c>
      <c r="FM534" t="e">
        <f>AND(#REF!,"AAAAADwv96g=")</f>
        <v>#REF!</v>
      </c>
      <c r="FN534" t="e">
        <f>AND(#REF!,"AAAAADwv96k=")</f>
        <v>#REF!</v>
      </c>
      <c r="FO534" t="e">
        <f>AND(#REF!,"AAAAADwv96o=")</f>
        <v>#REF!</v>
      </c>
      <c r="FP534" t="e">
        <f>AND(#REF!,"AAAAADwv96s=")</f>
        <v>#REF!</v>
      </c>
      <c r="FQ534" t="e">
        <f>AND(#REF!,"AAAAADwv96w=")</f>
        <v>#REF!</v>
      </c>
      <c r="FR534" t="e">
        <f>AND(#REF!,"AAAAADwv960=")</f>
        <v>#REF!</v>
      </c>
      <c r="FS534" t="e">
        <f>AND(#REF!,"AAAAADwv964=")</f>
        <v>#REF!</v>
      </c>
      <c r="FT534" t="e">
        <f>IF(#REF!,"AAAAADwv968=",0)</f>
        <v>#REF!</v>
      </c>
      <c r="FU534" t="e">
        <f>AND(#REF!,"AAAAADwv97A=")</f>
        <v>#REF!</v>
      </c>
      <c r="FV534" t="e">
        <f>AND(#REF!,"AAAAADwv97E=")</f>
        <v>#REF!</v>
      </c>
      <c r="FW534" t="e">
        <f>AND(#REF!,"AAAAADwv97I=")</f>
        <v>#REF!</v>
      </c>
      <c r="FX534" t="e">
        <f>AND(#REF!,"AAAAADwv97M=")</f>
        <v>#REF!</v>
      </c>
      <c r="FY534" t="e">
        <f>AND(#REF!,"AAAAADwv97Q=")</f>
        <v>#REF!</v>
      </c>
      <c r="FZ534" t="e">
        <f>AND(#REF!,"AAAAADwv97U=")</f>
        <v>#REF!</v>
      </c>
      <c r="GA534" t="e">
        <f>AND(#REF!,"AAAAADwv97Y=")</f>
        <v>#REF!</v>
      </c>
      <c r="GB534" t="e">
        <f>AND(#REF!,"AAAAADwv97c=")</f>
        <v>#REF!</v>
      </c>
      <c r="GC534" t="e">
        <f>AND(#REF!,"AAAAADwv97g=")</f>
        <v>#REF!</v>
      </c>
      <c r="GD534" t="e">
        <f>AND(#REF!,"AAAAADwv97k=")</f>
        <v>#REF!</v>
      </c>
      <c r="GE534" t="e">
        <f>IF(#REF!,"AAAAADwv97o=",0)</f>
        <v>#REF!</v>
      </c>
      <c r="GF534" t="e">
        <f>AND(#REF!,"AAAAADwv97s=")</f>
        <v>#REF!</v>
      </c>
      <c r="GG534" t="e">
        <f>AND(#REF!,"AAAAADwv97w=")</f>
        <v>#REF!</v>
      </c>
      <c r="GH534" t="e">
        <f>AND(#REF!,"AAAAADwv970=")</f>
        <v>#REF!</v>
      </c>
      <c r="GI534" t="e">
        <f>AND(#REF!,"AAAAADwv974=")</f>
        <v>#REF!</v>
      </c>
      <c r="GJ534" t="e">
        <f>AND(#REF!,"AAAAADwv978=")</f>
        <v>#REF!</v>
      </c>
      <c r="GK534" t="e">
        <f>AND(#REF!,"AAAAADwv98A=")</f>
        <v>#REF!</v>
      </c>
      <c r="GL534" t="e">
        <f>AND(#REF!,"AAAAADwv98E=")</f>
        <v>#REF!</v>
      </c>
      <c r="GM534" t="e">
        <f>AND(#REF!,"AAAAADwv98I=")</f>
        <v>#REF!</v>
      </c>
      <c r="GN534" t="e">
        <f>AND(#REF!,"AAAAADwv98M=")</f>
        <v>#REF!</v>
      </c>
      <c r="GO534" t="e">
        <f>AND(#REF!,"AAAAADwv98Q=")</f>
        <v>#REF!</v>
      </c>
      <c r="GP534" t="e">
        <f>IF(#REF!,"AAAAADwv98U=",0)</f>
        <v>#REF!</v>
      </c>
      <c r="GQ534" t="e">
        <f>AND(#REF!,"AAAAADwv98Y=")</f>
        <v>#REF!</v>
      </c>
      <c r="GR534" t="e">
        <f>AND(#REF!,"AAAAADwv98c=")</f>
        <v>#REF!</v>
      </c>
      <c r="GS534" t="e">
        <f>AND(#REF!,"AAAAADwv98g=")</f>
        <v>#REF!</v>
      </c>
      <c r="GT534" t="e">
        <f>AND(#REF!,"AAAAADwv98k=")</f>
        <v>#REF!</v>
      </c>
      <c r="GU534" t="e">
        <f>AND(#REF!,"AAAAADwv98o=")</f>
        <v>#REF!</v>
      </c>
      <c r="GV534" t="e">
        <f>AND(#REF!,"AAAAADwv98s=")</f>
        <v>#REF!</v>
      </c>
      <c r="GW534" t="e">
        <f>AND(#REF!,"AAAAADwv98w=")</f>
        <v>#REF!</v>
      </c>
      <c r="GX534" t="e">
        <f>AND(#REF!,"AAAAADwv980=")</f>
        <v>#REF!</v>
      </c>
      <c r="GY534" t="e">
        <f>AND(#REF!,"AAAAADwv984=")</f>
        <v>#REF!</v>
      </c>
      <c r="GZ534" t="e">
        <f>AND(#REF!,"AAAAADwv988=")</f>
        <v>#REF!</v>
      </c>
      <c r="HA534" t="e">
        <f>IF(#REF!,"AAAAADwv99A=",0)</f>
        <v>#REF!</v>
      </c>
      <c r="HB534" t="e">
        <f>AND(#REF!,"AAAAADwv99E=")</f>
        <v>#REF!</v>
      </c>
      <c r="HC534" t="e">
        <f>AND(#REF!,"AAAAADwv99I=")</f>
        <v>#REF!</v>
      </c>
      <c r="HD534" t="e">
        <f>AND(#REF!,"AAAAADwv99M=")</f>
        <v>#REF!</v>
      </c>
      <c r="HE534" t="e">
        <f>AND(#REF!,"AAAAADwv99Q=")</f>
        <v>#REF!</v>
      </c>
      <c r="HF534" t="e">
        <f>AND(#REF!,"AAAAADwv99U=")</f>
        <v>#REF!</v>
      </c>
      <c r="HG534" t="e">
        <f>AND(#REF!,"AAAAADwv99Y=")</f>
        <v>#REF!</v>
      </c>
      <c r="HH534" t="e">
        <f>AND(#REF!,"AAAAADwv99c=")</f>
        <v>#REF!</v>
      </c>
      <c r="HI534" t="e">
        <f>AND(#REF!,"AAAAADwv99g=")</f>
        <v>#REF!</v>
      </c>
      <c r="HJ534" t="e">
        <f>AND(#REF!,"AAAAADwv99k=")</f>
        <v>#REF!</v>
      </c>
      <c r="HK534" t="e">
        <f>AND(#REF!,"AAAAADwv99o=")</f>
        <v>#REF!</v>
      </c>
      <c r="HL534" t="e">
        <f>IF(#REF!,"AAAAADwv99s=",0)</f>
        <v>#REF!</v>
      </c>
      <c r="HM534" t="e">
        <f>AND(#REF!,"AAAAADwv99w=")</f>
        <v>#REF!</v>
      </c>
      <c r="HN534" t="e">
        <f>AND(#REF!,"AAAAADwv990=")</f>
        <v>#REF!</v>
      </c>
      <c r="HO534" t="e">
        <f>AND(#REF!,"AAAAADwv994=")</f>
        <v>#REF!</v>
      </c>
      <c r="HP534" t="e">
        <f>AND(#REF!,"AAAAADwv998=")</f>
        <v>#REF!</v>
      </c>
      <c r="HQ534" t="e">
        <f>AND(#REF!,"AAAAADwv9+A=")</f>
        <v>#REF!</v>
      </c>
      <c r="HR534" t="e">
        <f>AND(#REF!,"AAAAADwv9+E=")</f>
        <v>#REF!</v>
      </c>
      <c r="HS534" t="e">
        <f>AND(#REF!,"AAAAADwv9+I=")</f>
        <v>#REF!</v>
      </c>
      <c r="HT534" t="e">
        <f>AND(#REF!,"AAAAADwv9+M=")</f>
        <v>#REF!</v>
      </c>
      <c r="HU534" t="e">
        <f>AND(#REF!,"AAAAADwv9+Q=")</f>
        <v>#REF!</v>
      </c>
      <c r="HV534" t="e">
        <f>AND(#REF!,"AAAAADwv9+U=")</f>
        <v>#REF!</v>
      </c>
      <c r="HW534" t="e">
        <f>IF(#REF!,"AAAAADwv9+Y=",0)</f>
        <v>#REF!</v>
      </c>
      <c r="HX534" t="e">
        <f>AND(#REF!,"AAAAADwv9+c=")</f>
        <v>#REF!</v>
      </c>
      <c r="HY534" t="e">
        <f>AND(#REF!,"AAAAADwv9+g=")</f>
        <v>#REF!</v>
      </c>
      <c r="HZ534" t="e">
        <f>AND(#REF!,"AAAAADwv9+k=")</f>
        <v>#REF!</v>
      </c>
      <c r="IA534" t="e">
        <f>AND(#REF!,"AAAAADwv9+o=")</f>
        <v>#REF!</v>
      </c>
      <c r="IB534" t="e">
        <f>AND(#REF!,"AAAAADwv9+s=")</f>
        <v>#REF!</v>
      </c>
      <c r="IC534" t="e">
        <f>AND(#REF!,"AAAAADwv9+w=")</f>
        <v>#REF!</v>
      </c>
      <c r="ID534" t="e">
        <f>AND(#REF!,"AAAAADwv9+0=")</f>
        <v>#REF!</v>
      </c>
      <c r="IE534" t="e">
        <f>AND(#REF!,"AAAAADwv9+4=")</f>
        <v>#REF!</v>
      </c>
      <c r="IF534" t="e">
        <f>AND(#REF!,"AAAAADwv9+8=")</f>
        <v>#REF!</v>
      </c>
      <c r="IG534" t="e">
        <f>AND(#REF!,"AAAAADwv9/A=")</f>
        <v>#REF!</v>
      </c>
      <c r="IH534" t="e">
        <f>IF(#REF!,"AAAAADwv9/E=",0)</f>
        <v>#REF!</v>
      </c>
      <c r="II534" t="e">
        <f>AND(#REF!,"AAAAADwv9/I=")</f>
        <v>#REF!</v>
      </c>
      <c r="IJ534" t="e">
        <f>AND(#REF!,"AAAAADwv9/M=")</f>
        <v>#REF!</v>
      </c>
      <c r="IK534" t="e">
        <f>AND(#REF!,"AAAAADwv9/Q=")</f>
        <v>#REF!</v>
      </c>
      <c r="IL534" t="e">
        <f>AND(#REF!,"AAAAADwv9/U=")</f>
        <v>#REF!</v>
      </c>
      <c r="IM534" t="e">
        <f>AND(#REF!,"AAAAADwv9/Y=")</f>
        <v>#REF!</v>
      </c>
      <c r="IN534" t="e">
        <f>AND(#REF!,"AAAAADwv9/c=")</f>
        <v>#REF!</v>
      </c>
      <c r="IO534" t="e">
        <f>AND(#REF!,"AAAAADwv9/g=")</f>
        <v>#REF!</v>
      </c>
      <c r="IP534" t="e">
        <f>AND(#REF!,"AAAAADwv9/k=")</f>
        <v>#REF!</v>
      </c>
      <c r="IQ534" t="e">
        <f>AND(#REF!,"AAAAADwv9/o=")</f>
        <v>#REF!</v>
      </c>
      <c r="IR534" t="e">
        <f>AND(#REF!,"AAAAADwv9/s=")</f>
        <v>#REF!</v>
      </c>
      <c r="IS534" t="e">
        <f>IF(#REF!,"AAAAADwv9/w=",0)</f>
        <v>#REF!</v>
      </c>
      <c r="IT534" t="e">
        <f>AND(#REF!,"AAAAADwv9/0=")</f>
        <v>#REF!</v>
      </c>
      <c r="IU534" t="e">
        <f>AND(#REF!,"AAAAADwv9/4=")</f>
        <v>#REF!</v>
      </c>
      <c r="IV534" t="e">
        <f>AND(#REF!,"AAAAADwv9/8=")</f>
        <v>#REF!</v>
      </c>
    </row>
    <row r="535" spans="1:256" x14ac:dyDescent="0.25">
      <c r="A535" t="e">
        <f>AND(#REF!,"AAAAAB8vbwA=")</f>
        <v>#REF!</v>
      </c>
      <c r="B535" t="e">
        <f>AND(#REF!,"AAAAAB8vbwE=")</f>
        <v>#REF!</v>
      </c>
      <c r="C535" t="e">
        <f>AND(#REF!,"AAAAAB8vbwI=")</f>
        <v>#REF!</v>
      </c>
      <c r="D535" t="e">
        <f>AND(#REF!,"AAAAAB8vbwM=")</f>
        <v>#REF!</v>
      </c>
      <c r="E535" t="e">
        <f>AND(#REF!,"AAAAAB8vbwQ=")</f>
        <v>#REF!</v>
      </c>
      <c r="F535" t="e">
        <f>AND(#REF!,"AAAAAB8vbwU=")</f>
        <v>#REF!</v>
      </c>
      <c r="G535" t="e">
        <f>AND(#REF!,"AAAAAB8vbwY=")</f>
        <v>#REF!</v>
      </c>
      <c r="H535" t="e">
        <f>IF(#REF!,"AAAAAB8vbwc=",0)</f>
        <v>#REF!</v>
      </c>
      <c r="I535" t="e">
        <f>AND(#REF!,"AAAAAB8vbwg=")</f>
        <v>#REF!</v>
      </c>
      <c r="J535" t="e">
        <f>AND(#REF!,"AAAAAB8vbwk=")</f>
        <v>#REF!</v>
      </c>
      <c r="K535" t="e">
        <f>AND(#REF!,"AAAAAB8vbwo=")</f>
        <v>#REF!</v>
      </c>
      <c r="L535" t="e">
        <f>AND(#REF!,"AAAAAB8vbws=")</f>
        <v>#REF!</v>
      </c>
      <c r="M535" t="e">
        <f>AND(#REF!,"AAAAAB8vbww=")</f>
        <v>#REF!</v>
      </c>
      <c r="N535" t="e">
        <f>AND(#REF!,"AAAAAB8vbw0=")</f>
        <v>#REF!</v>
      </c>
      <c r="O535" t="e">
        <f>AND(#REF!,"AAAAAB8vbw4=")</f>
        <v>#REF!</v>
      </c>
      <c r="P535" t="e">
        <f>AND(#REF!,"AAAAAB8vbw8=")</f>
        <v>#REF!</v>
      </c>
      <c r="Q535" t="e">
        <f>AND(#REF!,"AAAAAB8vbxA=")</f>
        <v>#REF!</v>
      </c>
      <c r="R535" t="e">
        <f>AND(#REF!,"AAAAAB8vbxE=")</f>
        <v>#REF!</v>
      </c>
      <c r="S535" t="e">
        <f>IF(#REF!,"AAAAAB8vbxI=",0)</f>
        <v>#REF!</v>
      </c>
      <c r="T535" t="e">
        <f>AND(#REF!,"AAAAAB8vbxM=")</f>
        <v>#REF!</v>
      </c>
      <c r="U535" t="e">
        <f>AND(#REF!,"AAAAAB8vbxQ=")</f>
        <v>#REF!</v>
      </c>
      <c r="V535" t="e">
        <f>AND(#REF!,"AAAAAB8vbxU=")</f>
        <v>#REF!</v>
      </c>
      <c r="W535" t="e">
        <f>AND(#REF!,"AAAAAB8vbxY=")</f>
        <v>#REF!</v>
      </c>
      <c r="X535" t="e">
        <f>AND(#REF!,"AAAAAB8vbxc=")</f>
        <v>#REF!</v>
      </c>
      <c r="Y535" t="e">
        <f>AND(#REF!,"AAAAAB8vbxg=")</f>
        <v>#REF!</v>
      </c>
      <c r="Z535" t="e">
        <f>AND(#REF!,"AAAAAB8vbxk=")</f>
        <v>#REF!</v>
      </c>
      <c r="AA535" t="e">
        <f>AND(#REF!,"AAAAAB8vbxo=")</f>
        <v>#REF!</v>
      </c>
      <c r="AB535" t="e">
        <f>AND(#REF!,"AAAAAB8vbxs=")</f>
        <v>#REF!</v>
      </c>
      <c r="AC535" t="e">
        <f>AND(#REF!,"AAAAAB8vbxw=")</f>
        <v>#REF!</v>
      </c>
      <c r="AD535" t="e">
        <f>IF(#REF!,"AAAAAB8vbx0=",0)</f>
        <v>#REF!</v>
      </c>
      <c r="AE535" t="e">
        <f>AND(#REF!,"AAAAAB8vbx4=")</f>
        <v>#REF!</v>
      </c>
      <c r="AF535" t="e">
        <f>AND(#REF!,"AAAAAB8vbx8=")</f>
        <v>#REF!</v>
      </c>
      <c r="AG535" t="e">
        <f>AND(#REF!,"AAAAAB8vbyA=")</f>
        <v>#REF!</v>
      </c>
      <c r="AH535" t="e">
        <f>AND(#REF!,"AAAAAB8vbyE=")</f>
        <v>#REF!</v>
      </c>
      <c r="AI535" t="e">
        <f>AND(#REF!,"AAAAAB8vbyI=")</f>
        <v>#REF!</v>
      </c>
      <c r="AJ535" t="e">
        <f>AND(#REF!,"AAAAAB8vbyM=")</f>
        <v>#REF!</v>
      </c>
      <c r="AK535" t="e">
        <f>AND(#REF!,"AAAAAB8vbyQ=")</f>
        <v>#REF!</v>
      </c>
      <c r="AL535" t="e">
        <f>AND(#REF!,"AAAAAB8vbyU=")</f>
        <v>#REF!</v>
      </c>
      <c r="AM535" t="e">
        <f>AND(#REF!,"AAAAAB8vbyY=")</f>
        <v>#REF!</v>
      </c>
      <c r="AN535" t="e">
        <f>AND(#REF!,"AAAAAB8vbyc=")</f>
        <v>#REF!</v>
      </c>
      <c r="AO535" t="e">
        <f>IF(#REF!,"AAAAAB8vbyg=",0)</f>
        <v>#REF!</v>
      </c>
      <c r="AP535" t="e">
        <f>AND(#REF!,"AAAAAB8vbyk=")</f>
        <v>#REF!</v>
      </c>
      <c r="AQ535" t="e">
        <f>AND(#REF!,"AAAAAB8vbyo=")</f>
        <v>#REF!</v>
      </c>
      <c r="AR535" t="e">
        <f>AND(#REF!,"AAAAAB8vbys=")</f>
        <v>#REF!</v>
      </c>
      <c r="AS535" t="e">
        <f>AND(#REF!,"AAAAAB8vbyw=")</f>
        <v>#REF!</v>
      </c>
      <c r="AT535" t="e">
        <f>AND(#REF!,"AAAAAB8vby0=")</f>
        <v>#REF!</v>
      </c>
      <c r="AU535" t="e">
        <f>AND(#REF!,"AAAAAB8vby4=")</f>
        <v>#REF!</v>
      </c>
      <c r="AV535" t="e">
        <f>AND(#REF!,"AAAAAB8vby8=")</f>
        <v>#REF!</v>
      </c>
      <c r="AW535" t="e">
        <f>AND(#REF!,"AAAAAB8vbzA=")</f>
        <v>#REF!</v>
      </c>
      <c r="AX535" t="e">
        <f>AND(#REF!,"AAAAAB8vbzE=")</f>
        <v>#REF!</v>
      </c>
      <c r="AY535" t="e">
        <f>AND(#REF!,"AAAAAB8vbzI=")</f>
        <v>#REF!</v>
      </c>
      <c r="AZ535" t="e">
        <f>IF(#REF!,"AAAAAB8vbzM=",0)</f>
        <v>#REF!</v>
      </c>
      <c r="BA535" t="e">
        <f>AND(#REF!,"AAAAAB8vbzQ=")</f>
        <v>#REF!</v>
      </c>
      <c r="BB535" t="e">
        <f>AND(#REF!,"AAAAAB8vbzU=")</f>
        <v>#REF!</v>
      </c>
      <c r="BC535" t="e">
        <f>AND(#REF!,"AAAAAB8vbzY=")</f>
        <v>#REF!</v>
      </c>
      <c r="BD535" t="e">
        <f>AND(#REF!,"AAAAAB8vbzc=")</f>
        <v>#REF!</v>
      </c>
      <c r="BE535" t="e">
        <f>AND(#REF!,"AAAAAB8vbzg=")</f>
        <v>#REF!</v>
      </c>
      <c r="BF535" t="e">
        <f>AND(#REF!,"AAAAAB8vbzk=")</f>
        <v>#REF!</v>
      </c>
      <c r="BG535" t="e">
        <f>AND(#REF!,"AAAAAB8vbzo=")</f>
        <v>#REF!</v>
      </c>
      <c r="BH535" t="e">
        <f>AND(#REF!,"AAAAAB8vbzs=")</f>
        <v>#REF!</v>
      </c>
      <c r="BI535" t="e">
        <f>AND(#REF!,"AAAAAB8vbzw=")</f>
        <v>#REF!</v>
      </c>
      <c r="BJ535" t="e">
        <f>AND(#REF!,"AAAAAB8vbz0=")</f>
        <v>#REF!</v>
      </c>
      <c r="BK535" t="e">
        <f>IF(#REF!,"AAAAAB8vbz4=",0)</f>
        <v>#REF!</v>
      </c>
      <c r="BL535" t="e">
        <f>AND(#REF!,"AAAAAB8vbz8=")</f>
        <v>#REF!</v>
      </c>
      <c r="BM535" t="e">
        <f>AND(#REF!,"AAAAAB8vb0A=")</f>
        <v>#REF!</v>
      </c>
      <c r="BN535" t="e">
        <f>AND(#REF!,"AAAAAB8vb0E=")</f>
        <v>#REF!</v>
      </c>
      <c r="BO535" t="e">
        <f>AND(#REF!,"AAAAAB8vb0I=")</f>
        <v>#REF!</v>
      </c>
      <c r="BP535" t="e">
        <f>AND(#REF!,"AAAAAB8vb0M=")</f>
        <v>#REF!</v>
      </c>
      <c r="BQ535" t="e">
        <f>AND(#REF!,"AAAAAB8vb0Q=")</f>
        <v>#REF!</v>
      </c>
      <c r="BR535" t="e">
        <f>AND(#REF!,"AAAAAB8vb0U=")</f>
        <v>#REF!</v>
      </c>
      <c r="BS535" t="e">
        <f>AND(#REF!,"AAAAAB8vb0Y=")</f>
        <v>#REF!</v>
      </c>
      <c r="BT535" t="e">
        <f>AND(#REF!,"AAAAAB8vb0c=")</f>
        <v>#REF!</v>
      </c>
      <c r="BU535" t="e">
        <f>AND(#REF!,"AAAAAB8vb0g=")</f>
        <v>#REF!</v>
      </c>
      <c r="BV535" t="e">
        <f>IF(#REF!,"AAAAAB8vb0k=",0)</f>
        <v>#REF!</v>
      </c>
      <c r="BW535" t="e">
        <f>AND(#REF!,"AAAAAB8vb0o=")</f>
        <v>#REF!</v>
      </c>
      <c r="BX535" t="e">
        <f>AND(#REF!,"AAAAAB8vb0s=")</f>
        <v>#REF!</v>
      </c>
      <c r="BY535" t="e">
        <f>AND(#REF!,"AAAAAB8vb0w=")</f>
        <v>#REF!</v>
      </c>
      <c r="BZ535" t="e">
        <f>AND(#REF!,"AAAAAB8vb00=")</f>
        <v>#REF!</v>
      </c>
      <c r="CA535" t="e">
        <f>AND(#REF!,"AAAAAB8vb04=")</f>
        <v>#REF!</v>
      </c>
      <c r="CB535" t="e">
        <f>AND(#REF!,"AAAAAB8vb08=")</f>
        <v>#REF!</v>
      </c>
      <c r="CC535" t="e">
        <f>AND(#REF!,"AAAAAB8vb1A=")</f>
        <v>#REF!</v>
      </c>
      <c r="CD535" t="e">
        <f>AND(#REF!,"AAAAAB8vb1E=")</f>
        <v>#REF!</v>
      </c>
      <c r="CE535" t="e">
        <f>AND(#REF!,"AAAAAB8vb1I=")</f>
        <v>#REF!</v>
      </c>
      <c r="CF535" t="e">
        <f>AND(#REF!,"AAAAAB8vb1M=")</f>
        <v>#REF!</v>
      </c>
      <c r="CG535" t="e">
        <f>IF(#REF!,"AAAAAB8vb1Q=",0)</f>
        <v>#REF!</v>
      </c>
      <c r="CH535" t="e">
        <f>AND(#REF!,"AAAAAB8vb1U=")</f>
        <v>#REF!</v>
      </c>
      <c r="CI535" t="e">
        <f>AND(#REF!,"AAAAAB8vb1Y=")</f>
        <v>#REF!</v>
      </c>
      <c r="CJ535" t="e">
        <f>AND(#REF!,"AAAAAB8vb1c=")</f>
        <v>#REF!</v>
      </c>
      <c r="CK535" t="e">
        <f>AND(#REF!,"AAAAAB8vb1g=")</f>
        <v>#REF!</v>
      </c>
      <c r="CL535" t="e">
        <f>AND(#REF!,"AAAAAB8vb1k=")</f>
        <v>#REF!</v>
      </c>
      <c r="CM535" t="e">
        <f>AND(#REF!,"AAAAAB8vb1o=")</f>
        <v>#REF!</v>
      </c>
      <c r="CN535" t="e">
        <f>AND(#REF!,"AAAAAB8vb1s=")</f>
        <v>#REF!</v>
      </c>
      <c r="CO535" t="e">
        <f>AND(#REF!,"AAAAAB8vb1w=")</f>
        <v>#REF!</v>
      </c>
      <c r="CP535" t="e">
        <f>AND(#REF!,"AAAAAB8vb10=")</f>
        <v>#REF!</v>
      </c>
      <c r="CQ535" t="e">
        <f>AND(#REF!,"AAAAAB8vb14=")</f>
        <v>#REF!</v>
      </c>
      <c r="CR535" t="e">
        <f>IF(#REF!,"AAAAAB8vb18=",0)</f>
        <v>#REF!</v>
      </c>
      <c r="CS535" t="e">
        <f>AND(#REF!,"AAAAAB8vb2A=")</f>
        <v>#REF!</v>
      </c>
      <c r="CT535" t="e">
        <f>AND(#REF!,"AAAAAB8vb2E=")</f>
        <v>#REF!</v>
      </c>
      <c r="CU535" t="e">
        <f>AND(#REF!,"AAAAAB8vb2I=")</f>
        <v>#REF!</v>
      </c>
      <c r="CV535" t="e">
        <f>AND(#REF!,"AAAAAB8vb2M=")</f>
        <v>#REF!</v>
      </c>
      <c r="CW535" t="e">
        <f>AND(#REF!,"AAAAAB8vb2Q=")</f>
        <v>#REF!</v>
      </c>
      <c r="CX535" t="e">
        <f>AND(#REF!,"AAAAAB8vb2U=")</f>
        <v>#REF!</v>
      </c>
      <c r="CY535" t="e">
        <f>AND(#REF!,"AAAAAB8vb2Y=")</f>
        <v>#REF!</v>
      </c>
      <c r="CZ535" t="e">
        <f>AND(#REF!,"AAAAAB8vb2c=")</f>
        <v>#REF!</v>
      </c>
      <c r="DA535" t="e">
        <f>AND(#REF!,"AAAAAB8vb2g=")</f>
        <v>#REF!</v>
      </c>
      <c r="DB535" t="e">
        <f>AND(#REF!,"AAAAAB8vb2k=")</f>
        <v>#REF!</v>
      </c>
      <c r="DC535" t="e">
        <f>IF(#REF!,"AAAAAB8vb2o=",0)</f>
        <v>#REF!</v>
      </c>
      <c r="DD535" t="e">
        <f>AND(#REF!,"AAAAAB8vb2s=")</f>
        <v>#REF!</v>
      </c>
      <c r="DE535" t="e">
        <f>AND(#REF!,"AAAAAB8vb2w=")</f>
        <v>#REF!</v>
      </c>
      <c r="DF535" t="e">
        <f>AND(#REF!,"AAAAAB8vb20=")</f>
        <v>#REF!</v>
      </c>
      <c r="DG535" t="e">
        <f>AND(#REF!,"AAAAAB8vb24=")</f>
        <v>#REF!</v>
      </c>
      <c r="DH535" t="e">
        <f>AND(#REF!,"AAAAAB8vb28=")</f>
        <v>#REF!</v>
      </c>
      <c r="DI535" t="e">
        <f>AND(#REF!,"AAAAAB8vb3A=")</f>
        <v>#REF!</v>
      </c>
      <c r="DJ535" t="e">
        <f>AND(#REF!,"AAAAAB8vb3E=")</f>
        <v>#REF!</v>
      </c>
      <c r="DK535" t="e">
        <f>AND(#REF!,"AAAAAB8vb3I=")</f>
        <v>#REF!</v>
      </c>
      <c r="DL535" t="e">
        <f>AND(#REF!,"AAAAAB8vb3M=")</f>
        <v>#REF!</v>
      </c>
      <c r="DM535" t="e">
        <f>AND(#REF!,"AAAAAB8vb3Q=")</f>
        <v>#REF!</v>
      </c>
      <c r="DN535" t="e">
        <f>IF(#REF!,"AAAAAB8vb3U=",0)</f>
        <v>#REF!</v>
      </c>
      <c r="DO535" t="e">
        <f>AND(#REF!,"AAAAAB8vb3Y=")</f>
        <v>#REF!</v>
      </c>
      <c r="DP535" t="e">
        <f>AND(#REF!,"AAAAAB8vb3c=")</f>
        <v>#REF!</v>
      </c>
      <c r="DQ535" t="e">
        <f>AND(#REF!,"AAAAAB8vb3g=")</f>
        <v>#REF!</v>
      </c>
      <c r="DR535" t="e">
        <f>AND(#REF!,"AAAAAB8vb3k=")</f>
        <v>#REF!</v>
      </c>
      <c r="DS535" t="e">
        <f>AND(#REF!,"AAAAAB8vb3o=")</f>
        <v>#REF!</v>
      </c>
      <c r="DT535" t="e">
        <f>AND(#REF!,"AAAAAB8vb3s=")</f>
        <v>#REF!</v>
      </c>
      <c r="DU535" t="e">
        <f>AND(#REF!,"AAAAAB8vb3w=")</f>
        <v>#REF!</v>
      </c>
      <c r="DV535" t="e">
        <f>AND(#REF!,"AAAAAB8vb30=")</f>
        <v>#REF!</v>
      </c>
      <c r="DW535" t="e">
        <f>AND(#REF!,"AAAAAB8vb34=")</f>
        <v>#REF!</v>
      </c>
      <c r="DX535" t="e">
        <f>AND(#REF!,"AAAAAB8vb38=")</f>
        <v>#REF!</v>
      </c>
      <c r="DY535" t="e">
        <f>IF(#REF!,"AAAAAB8vb4A=",0)</f>
        <v>#REF!</v>
      </c>
      <c r="DZ535" t="e">
        <f>AND(#REF!,"AAAAAB8vb4E=")</f>
        <v>#REF!</v>
      </c>
      <c r="EA535" t="e">
        <f>AND(#REF!,"AAAAAB8vb4I=")</f>
        <v>#REF!</v>
      </c>
      <c r="EB535" t="e">
        <f>AND(#REF!,"AAAAAB8vb4M=")</f>
        <v>#REF!</v>
      </c>
      <c r="EC535" t="e">
        <f>AND(#REF!,"AAAAAB8vb4Q=")</f>
        <v>#REF!</v>
      </c>
      <c r="ED535" t="e">
        <f>AND(#REF!,"AAAAAB8vb4U=")</f>
        <v>#REF!</v>
      </c>
      <c r="EE535" t="e">
        <f>AND(#REF!,"AAAAAB8vb4Y=")</f>
        <v>#REF!</v>
      </c>
      <c r="EF535" t="e">
        <f>AND(#REF!,"AAAAAB8vb4c=")</f>
        <v>#REF!</v>
      </c>
      <c r="EG535" t="e">
        <f>AND(#REF!,"AAAAAB8vb4g=")</f>
        <v>#REF!</v>
      </c>
      <c r="EH535" t="e">
        <f>AND(#REF!,"AAAAAB8vb4k=")</f>
        <v>#REF!</v>
      </c>
      <c r="EI535" t="e">
        <f>AND(#REF!,"AAAAAB8vb4o=")</f>
        <v>#REF!</v>
      </c>
      <c r="EJ535" t="e">
        <f>IF(#REF!,"AAAAAB8vb4s=",0)</f>
        <v>#REF!</v>
      </c>
      <c r="EK535" t="e">
        <f>AND(#REF!,"AAAAAB8vb4w=")</f>
        <v>#REF!</v>
      </c>
      <c r="EL535" t="e">
        <f>AND(#REF!,"AAAAAB8vb40=")</f>
        <v>#REF!</v>
      </c>
      <c r="EM535" t="e">
        <f>AND(#REF!,"AAAAAB8vb44=")</f>
        <v>#REF!</v>
      </c>
      <c r="EN535" t="e">
        <f>AND(#REF!,"AAAAAB8vb48=")</f>
        <v>#REF!</v>
      </c>
      <c r="EO535" t="e">
        <f>AND(#REF!,"AAAAAB8vb5A=")</f>
        <v>#REF!</v>
      </c>
      <c r="EP535" t="e">
        <f>AND(#REF!,"AAAAAB8vb5E=")</f>
        <v>#REF!</v>
      </c>
      <c r="EQ535" t="e">
        <f>AND(#REF!,"AAAAAB8vb5I=")</f>
        <v>#REF!</v>
      </c>
      <c r="ER535" t="e">
        <f>AND(#REF!,"AAAAAB8vb5M=")</f>
        <v>#REF!</v>
      </c>
      <c r="ES535" t="e">
        <f>AND(#REF!,"AAAAAB8vb5Q=")</f>
        <v>#REF!</v>
      </c>
      <c r="ET535" t="e">
        <f>AND(#REF!,"AAAAAB8vb5U=")</f>
        <v>#REF!</v>
      </c>
      <c r="EU535" t="e">
        <f>IF(#REF!,"AAAAAB8vb5Y=",0)</f>
        <v>#REF!</v>
      </c>
      <c r="EV535" t="e">
        <f>AND(#REF!,"AAAAAB8vb5c=")</f>
        <v>#REF!</v>
      </c>
      <c r="EW535" t="e">
        <f>AND(#REF!,"AAAAAB8vb5g=")</f>
        <v>#REF!</v>
      </c>
      <c r="EX535" t="e">
        <f>AND(#REF!,"AAAAAB8vb5k=")</f>
        <v>#REF!</v>
      </c>
      <c r="EY535" t="e">
        <f>AND(#REF!,"AAAAAB8vb5o=")</f>
        <v>#REF!</v>
      </c>
      <c r="EZ535" t="e">
        <f>AND(#REF!,"AAAAAB8vb5s=")</f>
        <v>#REF!</v>
      </c>
      <c r="FA535" t="e">
        <f>AND(#REF!,"AAAAAB8vb5w=")</f>
        <v>#REF!</v>
      </c>
      <c r="FB535" t="e">
        <f>AND(#REF!,"AAAAAB8vb50=")</f>
        <v>#REF!</v>
      </c>
      <c r="FC535" t="e">
        <f>AND(#REF!,"AAAAAB8vb54=")</f>
        <v>#REF!</v>
      </c>
      <c r="FD535" t="e">
        <f>AND(#REF!,"AAAAAB8vb58=")</f>
        <v>#REF!</v>
      </c>
      <c r="FE535" t="e">
        <f>AND(#REF!,"AAAAAB8vb6A=")</f>
        <v>#REF!</v>
      </c>
      <c r="FF535" t="e">
        <f>IF(#REF!,"AAAAAB8vb6E=",0)</f>
        <v>#REF!</v>
      </c>
      <c r="FG535" t="e">
        <f>AND(#REF!,"AAAAAB8vb6I=")</f>
        <v>#REF!</v>
      </c>
      <c r="FH535" t="e">
        <f>AND(#REF!,"AAAAAB8vb6M=")</f>
        <v>#REF!</v>
      </c>
      <c r="FI535" t="e">
        <f>AND(#REF!,"AAAAAB8vb6Q=")</f>
        <v>#REF!</v>
      </c>
      <c r="FJ535" t="e">
        <f>AND(#REF!,"AAAAAB8vb6U=")</f>
        <v>#REF!</v>
      </c>
      <c r="FK535" t="e">
        <f>AND(#REF!,"AAAAAB8vb6Y=")</f>
        <v>#REF!</v>
      </c>
      <c r="FL535" t="e">
        <f>AND(#REF!,"AAAAAB8vb6c=")</f>
        <v>#REF!</v>
      </c>
      <c r="FM535" t="e">
        <f>AND(#REF!,"AAAAAB8vb6g=")</f>
        <v>#REF!</v>
      </c>
      <c r="FN535" t="e">
        <f>AND(#REF!,"AAAAAB8vb6k=")</f>
        <v>#REF!</v>
      </c>
      <c r="FO535" t="e">
        <f>AND(#REF!,"AAAAAB8vb6o=")</f>
        <v>#REF!</v>
      </c>
      <c r="FP535" t="e">
        <f>AND(#REF!,"AAAAAB8vb6s=")</f>
        <v>#REF!</v>
      </c>
      <c r="FQ535" t="e">
        <f>IF(#REF!,"AAAAAB8vb6w=",0)</f>
        <v>#REF!</v>
      </c>
      <c r="FR535" t="e">
        <f>AND(#REF!,"AAAAAB8vb60=")</f>
        <v>#REF!</v>
      </c>
      <c r="FS535" t="e">
        <f>AND(#REF!,"AAAAAB8vb64=")</f>
        <v>#REF!</v>
      </c>
      <c r="FT535" t="e">
        <f>AND(#REF!,"AAAAAB8vb68=")</f>
        <v>#REF!</v>
      </c>
      <c r="FU535" t="e">
        <f>AND(#REF!,"AAAAAB8vb7A=")</f>
        <v>#REF!</v>
      </c>
      <c r="FV535" t="e">
        <f>AND(#REF!,"AAAAAB8vb7E=")</f>
        <v>#REF!</v>
      </c>
      <c r="FW535" t="e">
        <f>AND(#REF!,"AAAAAB8vb7I=")</f>
        <v>#REF!</v>
      </c>
      <c r="FX535" t="e">
        <f>AND(#REF!,"AAAAAB8vb7M=")</f>
        <v>#REF!</v>
      </c>
      <c r="FY535" t="e">
        <f>AND(#REF!,"AAAAAB8vb7Q=")</f>
        <v>#REF!</v>
      </c>
      <c r="FZ535" t="e">
        <f>AND(#REF!,"AAAAAB8vb7U=")</f>
        <v>#REF!</v>
      </c>
      <c r="GA535" t="e">
        <f>AND(#REF!,"AAAAAB8vb7Y=")</f>
        <v>#REF!</v>
      </c>
      <c r="GB535" t="e">
        <f>IF(#REF!,"AAAAAB8vb7c=",0)</f>
        <v>#REF!</v>
      </c>
      <c r="GC535" t="e">
        <f>AND(#REF!,"AAAAAB8vb7g=")</f>
        <v>#REF!</v>
      </c>
      <c r="GD535" t="e">
        <f>AND(#REF!,"AAAAAB8vb7k=")</f>
        <v>#REF!</v>
      </c>
      <c r="GE535" t="e">
        <f>AND(#REF!,"AAAAAB8vb7o=")</f>
        <v>#REF!</v>
      </c>
      <c r="GF535" t="e">
        <f>AND(#REF!,"AAAAAB8vb7s=")</f>
        <v>#REF!</v>
      </c>
      <c r="GG535" t="e">
        <f>AND(#REF!,"AAAAAB8vb7w=")</f>
        <v>#REF!</v>
      </c>
      <c r="GH535" t="e">
        <f>AND(#REF!,"AAAAAB8vb70=")</f>
        <v>#REF!</v>
      </c>
      <c r="GI535" t="e">
        <f>AND(#REF!,"AAAAAB8vb74=")</f>
        <v>#REF!</v>
      </c>
      <c r="GJ535" t="e">
        <f>AND(#REF!,"AAAAAB8vb78=")</f>
        <v>#REF!</v>
      </c>
      <c r="GK535" t="e">
        <f>AND(#REF!,"AAAAAB8vb8A=")</f>
        <v>#REF!</v>
      </c>
      <c r="GL535" t="e">
        <f>AND(#REF!,"AAAAAB8vb8E=")</f>
        <v>#REF!</v>
      </c>
      <c r="GM535" t="e">
        <f>IF(#REF!,"AAAAAB8vb8I=",0)</f>
        <v>#REF!</v>
      </c>
      <c r="GN535" t="e">
        <f>AND(#REF!,"AAAAAB8vb8M=")</f>
        <v>#REF!</v>
      </c>
      <c r="GO535" t="e">
        <f>AND(#REF!,"AAAAAB8vb8Q=")</f>
        <v>#REF!</v>
      </c>
      <c r="GP535" t="e">
        <f>AND(#REF!,"AAAAAB8vb8U=")</f>
        <v>#REF!</v>
      </c>
      <c r="GQ535" t="e">
        <f>AND(#REF!,"AAAAAB8vb8Y=")</f>
        <v>#REF!</v>
      </c>
      <c r="GR535" t="e">
        <f>AND(#REF!,"AAAAAB8vb8c=")</f>
        <v>#REF!</v>
      </c>
      <c r="GS535" t="e">
        <f>AND(#REF!,"AAAAAB8vb8g=")</f>
        <v>#REF!</v>
      </c>
      <c r="GT535" t="e">
        <f>AND(#REF!,"AAAAAB8vb8k=")</f>
        <v>#REF!</v>
      </c>
      <c r="GU535" t="e">
        <f>AND(#REF!,"AAAAAB8vb8o=")</f>
        <v>#REF!</v>
      </c>
      <c r="GV535" t="e">
        <f>AND(#REF!,"AAAAAB8vb8s=")</f>
        <v>#REF!</v>
      </c>
      <c r="GW535" t="e">
        <f>AND(#REF!,"AAAAAB8vb8w=")</f>
        <v>#REF!</v>
      </c>
      <c r="GX535" t="e">
        <f>IF(#REF!,"AAAAAB8vb80=",0)</f>
        <v>#REF!</v>
      </c>
      <c r="GY535" t="e">
        <f>AND(#REF!,"AAAAAB8vb84=")</f>
        <v>#REF!</v>
      </c>
      <c r="GZ535" t="e">
        <f>AND(#REF!,"AAAAAB8vb88=")</f>
        <v>#REF!</v>
      </c>
      <c r="HA535" t="e">
        <f>AND(#REF!,"AAAAAB8vb9A=")</f>
        <v>#REF!</v>
      </c>
      <c r="HB535" t="e">
        <f>AND(#REF!,"AAAAAB8vb9E=")</f>
        <v>#REF!</v>
      </c>
      <c r="HC535" t="e">
        <f>AND(#REF!,"AAAAAB8vb9I=")</f>
        <v>#REF!</v>
      </c>
      <c r="HD535" t="e">
        <f>AND(#REF!,"AAAAAB8vb9M=")</f>
        <v>#REF!</v>
      </c>
      <c r="HE535" t="e">
        <f>AND(#REF!,"AAAAAB8vb9Q=")</f>
        <v>#REF!</v>
      </c>
      <c r="HF535" t="e">
        <f>AND(#REF!,"AAAAAB8vb9U=")</f>
        <v>#REF!</v>
      </c>
      <c r="HG535" t="e">
        <f>AND(#REF!,"AAAAAB8vb9Y=")</f>
        <v>#REF!</v>
      </c>
      <c r="HH535" t="e">
        <f>AND(#REF!,"AAAAAB8vb9c=")</f>
        <v>#REF!</v>
      </c>
      <c r="HI535" t="e">
        <f>IF(#REF!,"AAAAAB8vb9g=",0)</f>
        <v>#REF!</v>
      </c>
      <c r="HJ535" t="e">
        <f>AND(#REF!,"AAAAAB8vb9k=")</f>
        <v>#REF!</v>
      </c>
      <c r="HK535" t="e">
        <f>AND(#REF!,"AAAAAB8vb9o=")</f>
        <v>#REF!</v>
      </c>
      <c r="HL535" t="e">
        <f>AND(#REF!,"AAAAAB8vb9s=")</f>
        <v>#REF!</v>
      </c>
      <c r="HM535" t="e">
        <f>AND(#REF!,"AAAAAB8vb9w=")</f>
        <v>#REF!</v>
      </c>
      <c r="HN535" t="e">
        <f>AND(#REF!,"AAAAAB8vb90=")</f>
        <v>#REF!</v>
      </c>
      <c r="HO535" t="e">
        <f>AND(#REF!,"AAAAAB8vb94=")</f>
        <v>#REF!</v>
      </c>
      <c r="HP535" t="e">
        <f>AND(#REF!,"AAAAAB8vb98=")</f>
        <v>#REF!</v>
      </c>
      <c r="HQ535" t="e">
        <f>AND(#REF!,"AAAAAB8vb+A=")</f>
        <v>#REF!</v>
      </c>
      <c r="HR535" t="e">
        <f>AND(#REF!,"AAAAAB8vb+E=")</f>
        <v>#REF!</v>
      </c>
      <c r="HS535" t="e">
        <f>AND(#REF!,"AAAAAB8vb+I=")</f>
        <v>#REF!</v>
      </c>
      <c r="HT535" t="e">
        <f>IF(#REF!,"AAAAAB8vb+M=",0)</f>
        <v>#REF!</v>
      </c>
      <c r="HU535" t="e">
        <f>AND(#REF!,"AAAAAB8vb+Q=")</f>
        <v>#REF!</v>
      </c>
      <c r="HV535" t="e">
        <f>AND(#REF!,"AAAAAB8vb+U=")</f>
        <v>#REF!</v>
      </c>
      <c r="HW535" t="e">
        <f>AND(#REF!,"AAAAAB8vb+Y=")</f>
        <v>#REF!</v>
      </c>
      <c r="HX535" t="e">
        <f>AND(#REF!,"AAAAAB8vb+c=")</f>
        <v>#REF!</v>
      </c>
      <c r="HY535" t="e">
        <f>AND(#REF!,"AAAAAB8vb+g=")</f>
        <v>#REF!</v>
      </c>
      <c r="HZ535" t="e">
        <f>AND(#REF!,"AAAAAB8vb+k=")</f>
        <v>#REF!</v>
      </c>
      <c r="IA535" t="e">
        <f>AND(#REF!,"AAAAAB8vb+o=")</f>
        <v>#REF!</v>
      </c>
      <c r="IB535" t="e">
        <f>AND(#REF!,"AAAAAB8vb+s=")</f>
        <v>#REF!</v>
      </c>
      <c r="IC535" t="e">
        <f>AND(#REF!,"AAAAAB8vb+w=")</f>
        <v>#REF!</v>
      </c>
      <c r="ID535" t="e">
        <f>AND(#REF!,"AAAAAB8vb+0=")</f>
        <v>#REF!</v>
      </c>
      <c r="IE535" t="e">
        <f>IF(#REF!,"AAAAAB8vb+4=",0)</f>
        <v>#REF!</v>
      </c>
      <c r="IF535" t="e">
        <f>AND(#REF!,"AAAAAB8vb+8=")</f>
        <v>#REF!</v>
      </c>
      <c r="IG535" t="e">
        <f>AND(#REF!,"AAAAAB8vb/A=")</f>
        <v>#REF!</v>
      </c>
      <c r="IH535" t="e">
        <f>AND(#REF!,"AAAAAB8vb/E=")</f>
        <v>#REF!</v>
      </c>
      <c r="II535" t="e">
        <f>AND(#REF!,"AAAAAB8vb/I=")</f>
        <v>#REF!</v>
      </c>
      <c r="IJ535" t="e">
        <f>AND(#REF!,"AAAAAB8vb/M=")</f>
        <v>#REF!</v>
      </c>
      <c r="IK535" t="e">
        <f>AND(#REF!,"AAAAAB8vb/Q=")</f>
        <v>#REF!</v>
      </c>
      <c r="IL535" t="e">
        <f>AND(#REF!,"AAAAAB8vb/U=")</f>
        <v>#REF!</v>
      </c>
      <c r="IM535" t="e">
        <f>AND(#REF!,"AAAAAB8vb/Y=")</f>
        <v>#REF!</v>
      </c>
      <c r="IN535" t="e">
        <f>AND(#REF!,"AAAAAB8vb/c=")</f>
        <v>#REF!</v>
      </c>
      <c r="IO535" t="e">
        <f>AND(#REF!,"AAAAAB8vb/g=")</f>
        <v>#REF!</v>
      </c>
      <c r="IP535" t="e">
        <f>IF(#REF!,"AAAAAB8vb/k=",0)</f>
        <v>#REF!</v>
      </c>
      <c r="IQ535" t="e">
        <f>AND(#REF!,"AAAAAB8vb/o=")</f>
        <v>#REF!</v>
      </c>
      <c r="IR535" t="e">
        <f>AND(#REF!,"AAAAAB8vb/s=")</f>
        <v>#REF!</v>
      </c>
      <c r="IS535" t="e">
        <f>AND(#REF!,"AAAAAB8vb/w=")</f>
        <v>#REF!</v>
      </c>
      <c r="IT535" t="e">
        <f>AND(#REF!,"AAAAAB8vb/0=")</f>
        <v>#REF!</v>
      </c>
      <c r="IU535" t="e">
        <f>AND(#REF!,"AAAAAB8vb/4=")</f>
        <v>#REF!</v>
      </c>
      <c r="IV535" t="e">
        <f>AND(#REF!,"AAAAAB8vb/8=")</f>
        <v>#REF!</v>
      </c>
    </row>
    <row r="536" spans="1:256" x14ac:dyDescent="0.25">
      <c r="A536" t="e">
        <f>AND(#REF!,"AAAAAH893wA=")</f>
        <v>#REF!</v>
      </c>
      <c r="B536" t="e">
        <f>AND(#REF!,"AAAAAH893wE=")</f>
        <v>#REF!</v>
      </c>
      <c r="C536" t="e">
        <f>AND(#REF!,"AAAAAH893wI=")</f>
        <v>#REF!</v>
      </c>
      <c r="D536" t="e">
        <f>AND(#REF!,"AAAAAH893wM=")</f>
        <v>#REF!</v>
      </c>
      <c r="E536" t="e">
        <f>IF(#REF!,"AAAAAH893wQ=",0)</f>
        <v>#REF!</v>
      </c>
      <c r="F536" t="e">
        <f>AND(#REF!,"AAAAAH893wU=")</f>
        <v>#REF!</v>
      </c>
      <c r="G536" t="e">
        <f>AND(#REF!,"AAAAAH893wY=")</f>
        <v>#REF!</v>
      </c>
      <c r="H536" t="e">
        <f>AND(#REF!,"AAAAAH893wc=")</f>
        <v>#REF!</v>
      </c>
      <c r="I536" t="e">
        <f>AND(#REF!,"AAAAAH893wg=")</f>
        <v>#REF!</v>
      </c>
      <c r="J536" t="e">
        <f>AND(#REF!,"AAAAAH893wk=")</f>
        <v>#REF!</v>
      </c>
      <c r="K536" t="e">
        <f>AND(#REF!,"AAAAAH893wo=")</f>
        <v>#REF!</v>
      </c>
      <c r="L536" t="e">
        <f>AND(#REF!,"AAAAAH893ws=")</f>
        <v>#REF!</v>
      </c>
      <c r="M536" t="e">
        <f>AND(#REF!,"AAAAAH893ww=")</f>
        <v>#REF!</v>
      </c>
      <c r="N536" t="e">
        <f>AND(#REF!,"AAAAAH893w0=")</f>
        <v>#REF!</v>
      </c>
      <c r="O536" t="e">
        <f>AND(#REF!,"AAAAAH893w4=")</f>
        <v>#REF!</v>
      </c>
      <c r="P536" t="e">
        <f>IF(#REF!,"AAAAAH893w8=",0)</f>
        <v>#REF!</v>
      </c>
      <c r="Q536" t="e">
        <f>AND(#REF!,"AAAAAH893xA=")</f>
        <v>#REF!</v>
      </c>
      <c r="R536" t="e">
        <f>AND(#REF!,"AAAAAH893xE=")</f>
        <v>#REF!</v>
      </c>
      <c r="S536" t="e">
        <f>AND(#REF!,"AAAAAH893xI=")</f>
        <v>#REF!</v>
      </c>
      <c r="T536" t="e">
        <f>AND(#REF!,"AAAAAH893xM=")</f>
        <v>#REF!</v>
      </c>
      <c r="U536" t="e">
        <f>AND(#REF!,"AAAAAH893xQ=")</f>
        <v>#REF!</v>
      </c>
      <c r="V536" t="e">
        <f>AND(#REF!,"AAAAAH893xU=")</f>
        <v>#REF!</v>
      </c>
      <c r="W536" t="e">
        <f>AND(#REF!,"AAAAAH893xY=")</f>
        <v>#REF!</v>
      </c>
      <c r="X536" t="e">
        <f>AND(#REF!,"AAAAAH893xc=")</f>
        <v>#REF!</v>
      </c>
      <c r="Y536" t="e">
        <f>AND(#REF!,"AAAAAH893xg=")</f>
        <v>#REF!</v>
      </c>
      <c r="Z536" t="e">
        <f>AND(#REF!,"AAAAAH893xk=")</f>
        <v>#REF!</v>
      </c>
      <c r="AA536" t="e">
        <f>IF(#REF!,"AAAAAH893xo=",0)</f>
        <v>#REF!</v>
      </c>
      <c r="AB536" t="e">
        <f>AND(#REF!,"AAAAAH893xs=")</f>
        <v>#REF!</v>
      </c>
      <c r="AC536" t="e">
        <f>AND(#REF!,"AAAAAH893xw=")</f>
        <v>#REF!</v>
      </c>
      <c r="AD536" t="e">
        <f>AND(#REF!,"AAAAAH893x0=")</f>
        <v>#REF!</v>
      </c>
      <c r="AE536" t="e">
        <f>AND(#REF!,"AAAAAH893x4=")</f>
        <v>#REF!</v>
      </c>
      <c r="AF536" t="e">
        <f>AND(#REF!,"AAAAAH893x8=")</f>
        <v>#REF!</v>
      </c>
      <c r="AG536" t="e">
        <f>AND(#REF!,"AAAAAH893yA=")</f>
        <v>#REF!</v>
      </c>
      <c r="AH536" t="e">
        <f>AND(#REF!,"AAAAAH893yE=")</f>
        <v>#REF!</v>
      </c>
      <c r="AI536" t="e">
        <f>AND(#REF!,"AAAAAH893yI=")</f>
        <v>#REF!</v>
      </c>
      <c r="AJ536" t="e">
        <f>AND(#REF!,"AAAAAH893yM=")</f>
        <v>#REF!</v>
      </c>
      <c r="AK536" t="e">
        <f>AND(#REF!,"AAAAAH893yQ=")</f>
        <v>#REF!</v>
      </c>
      <c r="AL536" t="e">
        <f>IF(#REF!,"AAAAAH893yU=",0)</f>
        <v>#REF!</v>
      </c>
      <c r="AM536" t="e">
        <f>AND(#REF!,"AAAAAH893yY=")</f>
        <v>#REF!</v>
      </c>
      <c r="AN536" t="e">
        <f>AND(#REF!,"AAAAAH893yc=")</f>
        <v>#REF!</v>
      </c>
      <c r="AO536" t="e">
        <f>AND(#REF!,"AAAAAH893yg=")</f>
        <v>#REF!</v>
      </c>
      <c r="AP536" t="e">
        <f>AND(#REF!,"AAAAAH893yk=")</f>
        <v>#REF!</v>
      </c>
      <c r="AQ536" t="e">
        <f>AND(#REF!,"AAAAAH893yo=")</f>
        <v>#REF!</v>
      </c>
      <c r="AR536" t="e">
        <f>AND(#REF!,"AAAAAH893ys=")</f>
        <v>#REF!</v>
      </c>
      <c r="AS536" t="e">
        <f>AND(#REF!,"AAAAAH893yw=")</f>
        <v>#REF!</v>
      </c>
      <c r="AT536" t="e">
        <f>AND(#REF!,"AAAAAH893y0=")</f>
        <v>#REF!</v>
      </c>
      <c r="AU536" t="e">
        <f>AND(#REF!,"AAAAAH893y4=")</f>
        <v>#REF!</v>
      </c>
      <c r="AV536" t="e">
        <f>AND(#REF!,"AAAAAH893y8=")</f>
        <v>#REF!</v>
      </c>
      <c r="AW536" t="e">
        <f>IF(#REF!,"AAAAAH893zA=",0)</f>
        <v>#REF!</v>
      </c>
      <c r="AX536" t="e">
        <f>AND(#REF!,"AAAAAH893zE=")</f>
        <v>#REF!</v>
      </c>
      <c r="AY536" t="e">
        <f>AND(#REF!,"AAAAAH893zI=")</f>
        <v>#REF!</v>
      </c>
      <c r="AZ536" t="e">
        <f>AND(#REF!,"AAAAAH893zM=")</f>
        <v>#REF!</v>
      </c>
      <c r="BA536" t="e">
        <f>AND(#REF!,"AAAAAH893zQ=")</f>
        <v>#REF!</v>
      </c>
      <c r="BB536" t="e">
        <f>AND(#REF!,"AAAAAH893zU=")</f>
        <v>#REF!</v>
      </c>
      <c r="BC536" t="e">
        <f>AND(#REF!,"AAAAAH893zY=")</f>
        <v>#REF!</v>
      </c>
      <c r="BD536" t="e">
        <f>AND(#REF!,"AAAAAH893zc=")</f>
        <v>#REF!</v>
      </c>
      <c r="BE536" t="e">
        <f>AND(#REF!,"AAAAAH893zg=")</f>
        <v>#REF!</v>
      </c>
      <c r="BF536" t="e">
        <f>AND(#REF!,"AAAAAH893zk=")</f>
        <v>#REF!</v>
      </c>
      <c r="BG536" t="e">
        <f>AND(#REF!,"AAAAAH893zo=")</f>
        <v>#REF!</v>
      </c>
      <c r="BH536" t="e">
        <f>IF(#REF!,"AAAAAH893zs=",0)</f>
        <v>#REF!</v>
      </c>
      <c r="BI536" t="e">
        <f>AND(#REF!,"AAAAAH893zw=")</f>
        <v>#REF!</v>
      </c>
      <c r="BJ536" t="e">
        <f>AND(#REF!,"AAAAAH893z0=")</f>
        <v>#REF!</v>
      </c>
      <c r="BK536" t="e">
        <f>AND(#REF!,"AAAAAH893z4=")</f>
        <v>#REF!</v>
      </c>
      <c r="BL536" t="e">
        <f>AND(#REF!,"AAAAAH893z8=")</f>
        <v>#REF!</v>
      </c>
      <c r="BM536" t="e">
        <f>AND(#REF!,"AAAAAH8930A=")</f>
        <v>#REF!</v>
      </c>
      <c r="BN536" t="e">
        <f>AND(#REF!,"AAAAAH8930E=")</f>
        <v>#REF!</v>
      </c>
      <c r="BO536" t="e">
        <f>AND(#REF!,"AAAAAH8930I=")</f>
        <v>#REF!</v>
      </c>
      <c r="BP536" t="e">
        <f>AND(#REF!,"AAAAAH8930M=")</f>
        <v>#REF!</v>
      </c>
      <c r="BQ536" t="e">
        <f>AND(#REF!,"AAAAAH8930Q=")</f>
        <v>#REF!</v>
      </c>
      <c r="BR536" t="e">
        <f>AND(#REF!,"AAAAAH8930U=")</f>
        <v>#REF!</v>
      </c>
      <c r="BS536" t="e">
        <f>IF(#REF!,"AAAAAH8930Y=",0)</f>
        <v>#REF!</v>
      </c>
      <c r="BT536" t="e">
        <f>AND(#REF!,"AAAAAH8930c=")</f>
        <v>#REF!</v>
      </c>
      <c r="BU536" t="e">
        <f>AND(#REF!,"AAAAAH8930g=")</f>
        <v>#REF!</v>
      </c>
      <c r="BV536" t="e">
        <f>AND(#REF!,"AAAAAH8930k=")</f>
        <v>#REF!</v>
      </c>
      <c r="BW536" t="e">
        <f>AND(#REF!,"AAAAAH8930o=")</f>
        <v>#REF!</v>
      </c>
      <c r="BX536" t="e">
        <f>AND(#REF!,"AAAAAH8930s=")</f>
        <v>#REF!</v>
      </c>
      <c r="BY536" t="e">
        <f>AND(#REF!,"AAAAAH8930w=")</f>
        <v>#REF!</v>
      </c>
      <c r="BZ536" t="e">
        <f>AND(#REF!,"AAAAAH89300=")</f>
        <v>#REF!</v>
      </c>
      <c r="CA536" t="e">
        <f>AND(#REF!,"AAAAAH89304=")</f>
        <v>#REF!</v>
      </c>
      <c r="CB536" t="e">
        <f>AND(#REF!,"AAAAAH89308=")</f>
        <v>#REF!</v>
      </c>
      <c r="CC536" t="e">
        <f>AND(#REF!,"AAAAAH8931A=")</f>
        <v>#REF!</v>
      </c>
      <c r="CD536" t="e">
        <f>IF(#REF!,"AAAAAH8931E=",0)</f>
        <v>#REF!</v>
      </c>
      <c r="CE536" t="e">
        <f>AND(#REF!,"AAAAAH8931I=")</f>
        <v>#REF!</v>
      </c>
      <c r="CF536" t="e">
        <f>AND(#REF!,"AAAAAH8931M=")</f>
        <v>#REF!</v>
      </c>
      <c r="CG536" t="e">
        <f>AND(#REF!,"AAAAAH8931Q=")</f>
        <v>#REF!</v>
      </c>
      <c r="CH536" t="e">
        <f>AND(#REF!,"AAAAAH8931U=")</f>
        <v>#REF!</v>
      </c>
      <c r="CI536" t="e">
        <f>AND(#REF!,"AAAAAH8931Y=")</f>
        <v>#REF!</v>
      </c>
      <c r="CJ536" t="e">
        <f>AND(#REF!,"AAAAAH8931c=")</f>
        <v>#REF!</v>
      </c>
      <c r="CK536" t="e">
        <f>AND(#REF!,"AAAAAH8931g=")</f>
        <v>#REF!</v>
      </c>
      <c r="CL536" t="e">
        <f>AND(#REF!,"AAAAAH8931k=")</f>
        <v>#REF!</v>
      </c>
      <c r="CM536" t="e">
        <f>AND(#REF!,"AAAAAH8931o=")</f>
        <v>#REF!</v>
      </c>
      <c r="CN536" t="e">
        <f>AND(#REF!,"AAAAAH8931s=")</f>
        <v>#REF!</v>
      </c>
      <c r="CO536" t="e">
        <f>IF(#REF!,"AAAAAH8931w=",0)</f>
        <v>#REF!</v>
      </c>
      <c r="CP536" t="e">
        <f>AND(#REF!,"AAAAAH89310=")</f>
        <v>#REF!</v>
      </c>
      <c r="CQ536" t="e">
        <f>AND(#REF!,"AAAAAH89314=")</f>
        <v>#REF!</v>
      </c>
      <c r="CR536" t="e">
        <f>AND(#REF!,"AAAAAH89318=")</f>
        <v>#REF!</v>
      </c>
      <c r="CS536" t="e">
        <f>AND(#REF!,"AAAAAH8932A=")</f>
        <v>#REF!</v>
      </c>
      <c r="CT536" t="e">
        <f>AND(#REF!,"AAAAAH8932E=")</f>
        <v>#REF!</v>
      </c>
      <c r="CU536" t="e">
        <f>AND(#REF!,"AAAAAH8932I=")</f>
        <v>#REF!</v>
      </c>
      <c r="CV536" t="e">
        <f>AND(#REF!,"AAAAAH8932M=")</f>
        <v>#REF!</v>
      </c>
      <c r="CW536" t="e">
        <f>AND(#REF!,"AAAAAH8932Q=")</f>
        <v>#REF!</v>
      </c>
      <c r="CX536" t="e">
        <f>AND(#REF!,"AAAAAH8932U=")</f>
        <v>#REF!</v>
      </c>
      <c r="CY536" t="e">
        <f>AND(#REF!,"AAAAAH8932Y=")</f>
        <v>#REF!</v>
      </c>
      <c r="CZ536" t="e">
        <f>IF(#REF!,"AAAAAH8932c=",0)</f>
        <v>#REF!</v>
      </c>
      <c r="DA536" t="e">
        <f>AND(#REF!,"AAAAAH8932g=")</f>
        <v>#REF!</v>
      </c>
      <c r="DB536" t="e">
        <f>AND(#REF!,"AAAAAH8932k=")</f>
        <v>#REF!</v>
      </c>
      <c r="DC536" t="e">
        <f>AND(#REF!,"AAAAAH8932o=")</f>
        <v>#REF!</v>
      </c>
      <c r="DD536" t="e">
        <f>AND(#REF!,"AAAAAH8932s=")</f>
        <v>#REF!</v>
      </c>
      <c r="DE536" t="e">
        <f>AND(#REF!,"AAAAAH8932w=")</f>
        <v>#REF!</v>
      </c>
      <c r="DF536" t="e">
        <f>AND(#REF!,"AAAAAH89320=")</f>
        <v>#REF!</v>
      </c>
      <c r="DG536" t="e">
        <f>AND(#REF!,"AAAAAH89324=")</f>
        <v>#REF!</v>
      </c>
      <c r="DH536" t="e">
        <f>AND(#REF!,"AAAAAH89328=")</f>
        <v>#REF!</v>
      </c>
      <c r="DI536" t="e">
        <f>AND(#REF!,"AAAAAH8933A=")</f>
        <v>#REF!</v>
      </c>
      <c r="DJ536" t="e">
        <f>AND(#REF!,"AAAAAH8933E=")</f>
        <v>#REF!</v>
      </c>
      <c r="DK536" t="e">
        <f>IF(#REF!,"AAAAAH8933I=",0)</f>
        <v>#REF!</v>
      </c>
      <c r="DL536" t="e">
        <f>AND(#REF!,"AAAAAH8933M=")</f>
        <v>#REF!</v>
      </c>
      <c r="DM536" t="e">
        <f>AND(#REF!,"AAAAAH8933Q=")</f>
        <v>#REF!</v>
      </c>
      <c r="DN536" t="e">
        <f>AND(#REF!,"AAAAAH8933U=")</f>
        <v>#REF!</v>
      </c>
      <c r="DO536" t="e">
        <f>AND(#REF!,"AAAAAH8933Y=")</f>
        <v>#REF!</v>
      </c>
      <c r="DP536" t="e">
        <f>AND(#REF!,"AAAAAH8933c=")</f>
        <v>#REF!</v>
      </c>
      <c r="DQ536" t="e">
        <f>AND(#REF!,"AAAAAH8933g=")</f>
        <v>#REF!</v>
      </c>
      <c r="DR536" t="e">
        <f>AND(#REF!,"AAAAAH8933k=")</f>
        <v>#REF!</v>
      </c>
      <c r="DS536" t="e">
        <f>AND(#REF!,"AAAAAH8933o=")</f>
        <v>#REF!</v>
      </c>
      <c r="DT536" t="e">
        <f>AND(#REF!,"AAAAAH8933s=")</f>
        <v>#REF!</v>
      </c>
      <c r="DU536" t="e">
        <f>AND(#REF!,"AAAAAH8933w=")</f>
        <v>#REF!</v>
      </c>
      <c r="DV536" t="e">
        <f>IF(#REF!,"AAAAAH89330=",0)</f>
        <v>#REF!</v>
      </c>
      <c r="DW536" t="e">
        <f>AND(#REF!,"AAAAAH89334=")</f>
        <v>#REF!</v>
      </c>
      <c r="DX536" t="e">
        <f>AND(#REF!,"AAAAAH89338=")</f>
        <v>#REF!</v>
      </c>
      <c r="DY536" t="e">
        <f>AND(#REF!,"AAAAAH8934A=")</f>
        <v>#REF!</v>
      </c>
      <c r="DZ536" t="e">
        <f>AND(#REF!,"AAAAAH8934E=")</f>
        <v>#REF!</v>
      </c>
      <c r="EA536" t="e">
        <f>AND(#REF!,"AAAAAH8934I=")</f>
        <v>#REF!</v>
      </c>
      <c r="EB536" t="e">
        <f>AND(#REF!,"AAAAAH8934M=")</f>
        <v>#REF!</v>
      </c>
      <c r="EC536" t="e">
        <f>AND(#REF!,"AAAAAH8934Q=")</f>
        <v>#REF!</v>
      </c>
      <c r="ED536" t="e">
        <f>AND(#REF!,"AAAAAH8934U=")</f>
        <v>#REF!</v>
      </c>
      <c r="EE536" t="e">
        <f>AND(#REF!,"AAAAAH8934Y=")</f>
        <v>#REF!</v>
      </c>
      <c r="EF536" t="e">
        <f>AND(#REF!,"AAAAAH8934c=")</f>
        <v>#REF!</v>
      </c>
      <c r="EG536" t="e">
        <f>IF(#REF!,"AAAAAH8934g=",0)</f>
        <v>#REF!</v>
      </c>
      <c r="EH536" t="e">
        <f>AND(#REF!,"AAAAAH8934k=")</f>
        <v>#REF!</v>
      </c>
      <c r="EI536" t="e">
        <f>AND(#REF!,"AAAAAH8934o=")</f>
        <v>#REF!</v>
      </c>
      <c r="EJ536" t="e">
        <f>AND(#REF!,"AAAAAH8934s=")</f>
        <v>#REF!</v>
      </c>
      <c r="EK536" t="e">
        <f>AND(#REF!,"AAAAAH8934w=")</f>
        <v>#REF!</v>
      </c>
      <c r="EL536" t="e">
        <f>AND(#REF!,"AAAAAH89340=")</f>
        <v>#REF!</v>
      </c>
      <c r="EM536" t="e">
        <f>AND(#REF!,"AAAAAH89344=")</f>
        <v>#REF!</v>
      </c>
      <c r="EN536" t="e">
        <f>AND(#REF!,"AAAAAH89348=")</f>
        <v>#REF!</v>
      </c>
      <c r="EO536" t="e">
        <f>AND(#REF!,"AAAAAH8935A=")</f>
        <v>#REF!</v>
      </c>
      <c r="EP536" t="e">
        <f>AND(#REF!,"AAAAAH8935E=")</f>
        <v>#REF!</v>
      </c>
      <c r="EQ536" t="e">
        <f>AND(#REF!,"AAAAAH8935I=")</f>
        <v>#REF!</v>
      </c>
      <c r="ER536" t="e">
        <f>IF(#REF!,"AAAAAH8935M=",0)</f>
        <v>#REF!</v>
      </c>
      <c r="ES536" t="e">
        <f>AND(#REF!,"AAAAAH8935Q=")</f>
        <v>#REF!</v>
      </c>
      <c r="ET536" t="e">
        <f>AND(#REF!,"AAAAAH8935U=")</f>
        <v>#REF!</v>
      </c>
      <c r="EU536" t="e">
        <f>AND(#REF!,"AAAAAH8935Y=")</f>
        <v>#REF!</v>
      </c>
      <c r="EV536" t="e">
        <f>AND(#REF!,"AAAAAH8935c=")</f>
        <v>#REF!</v>
      </c>
      <c r="EW536" t="e">
        <f>AND(#REF!,"AAAAAH8935g=")</f>
        <v>#REF!</v>
      </c>
      <c r="EX536" t="e">
        <f>AND(#REF!,"AAAAAH8935k=")</f>
        <v>#REF!</v>
      </c>
      <c r="EY536" t="e">
        <f>AND(#REF!,"AAAAAH8935o=")</f>
        <v>#REF!</v>
      </c>
      <c r="EZ536" t="e">
        <f>AND(#REF!,"AAAAAH8935s=")</f>
        <v>#REF!</v>
      </c>
      <c r="FA536" t="e">
        <f>AND(#REF!,"AAAAAH8935w=")</f>
        <v>#REF!</v>
      </c>
      <c r="FB536" t="e">
        <f>AND(#REF!,"AAAAAH89350=")</f>
        <v>#REF!</v>
      </c>
      <c r="FC536" t="e">
        <f>IF(#REF!,"AAAAAH89354=",0)</f>
        <v>#REF!</v>
      </c>
      <c r="FD536" t="e">
        <f>AND(#REF!,"AAAAAH89358=")</f>
        <v>#REF!</v>
      </c>
      <c r="FE536" t="e">
        <f>AND(#REF!,"AAAAAH8936A=")</f>
        <v>#REF!</v>
      </c>
      <c r="FF536" t="e">
        <f>AND(#REF!,"AAAAAH8936E=")</f>
        <v>#REF!</v>
      </c>
      <c r="FG536" t="e">
        <f>AND(#REF!,"AAAAAH8936I=")</f>
        <v>#REF!</v>
      </c>
      <c r="FH536" t="e">
        <f>AND(#REF!,"AAAAAH8936M=")</f>
        <v>#REF!</v>
      </c>
      <c r="FI536" t="e">
        <f>AND(#REF!,"AAAAAH8936Q=")</f>
        <v>#REF!</v>
      </c>
      <c r="FJ536" t="e">
        <f>AND(#REF!,"AAAAAH8936U=")</f>
        <v>#REF!</v>
      </c>
      <c r="FK536" t="e">
        <f>AND(#REF!,"AAAAAH8936Y=")</f>
        <v>#REF!</v>
      </c>
      <c r="FL536" t="e">
        <f>AND(#REF!,"AAAAAH8936c=")</f>
        <v>#REF!</v>
      </c>
      <c r="FM536" t="e">
        <f>AND(#REF!,"AAAAAH8936g=")</f>
        <v>#REF!</v>
      </c>
      <c r="FN536" t="e">
        <f>IF(#REF!,"AAAAAH8936k=",0)</f>
        <v>#REF!</v>
      </c>
      <c r="FO536" t="e">
        <f>AND(#REF!,"AAAAAH8936o=")</f>
        <v>#REF!</v>
      </c>
      <c r="FP536" t="e">
        <f>AND(#REF!,"AAAAAH8936s=")</f>
        <v>#REF!</v>
      </c>
      <c r="FQ536" t="e">
        <f>AND(#REF!,"AAAAAH8936w=")</f>
        <v>#REF!</v>
      </c>
      <c r="FR536" t="e">
        <f>AND(#REF!,"AAAAAH89360=")</f>
        <v>#REF!</v>
      </c>
      <c r="FS536" t="e">
        <f>AND(#REF!,"AAAAAH89364=")</f>
        <v>#REF!</v>
      </c>
      <c r="FT536" t="e">
        <f>AND(#REF!,"AAAAAH89368=")</f>
        <v>#REF!</v>
      </c>
      <c r="FU536" t="e">
        <f>AND(#REF!,"AAAAAH8937A=")</f>
        <v>#REF!</v>
      </c>
      <c r="FV536" t="e">
        <f>AND(#REF!,"AAAAAH8937E=")</f>
        <v>#REF!</v>
      </c>
      <c r="FW536" t="e">
        <f>AND(#REF!,"AAAAAH8937I=")</f>
        <v>#REF!</v>
      </c>
      <c r="FX536" t="e">
        <f>AND(#REF!,"AAAAAH8937M=")</f>
        <v>#REF!</v>
      </c>
      <c r="FY536" t="e">
        <f>IF(#REF!,"AAAAAH8937Q=",0)</f>
        <v>#REF!</v>
      </c>
      <c r="FZ536" t="e">
        <f>AND(#REF!,"AAAAAH8937U=")</f>
        <v>#REF!</v>
      </c>
      <c r="GA536" t="e">
        <f>AND(#REF!,"AAAAAH8937Y=")</f>
        <v>#REF!</v>
      </c>
      <c r="GB536" t="e">
        <f>AND(#REF!,"AAAAAH8937c=")</f>
        <v>#REF!</v>
      </c>
      <c r="GC536" t="e">
        <f>AND(#REF!,"AAAAAH8937g=")</f>
        <v>#REF!</v>
      </c>
      <c r="GD536" t="e">
        <f>AND(#REF!,"AAAAAH8937k=")</f>
        <v>#REF!</v>
      </c>
      <c r="GE536" t="e">
        <f>AND(#REF!,"AAAAAH8937o=")</f>
        <v>#REF!</v>
      </c>
      <c r="GF536" t="e">
        <f>AND(#REF!,"AAAAAH8937s=")</f>
        <v>#REF!</v>
      </c>
      <c r="GG536" t="e">
        <f>AND(#REF!,"AAAAAH8937w=")</f>
        <v>#REF!</v>
      </c>
      <c r="GH536" t="e">
        <f>AND(#REF!,"AAAAAH89370=")</f>
        <v>#REF!</v>
      </c>
      <c r="GI536" t="e">
        <f>AND(#REF!,"AAAAAH89374=")</f>
        <v>#REF!</v>
      </c>
      <c r="GJ536" t="e">
        <f>IF(#REF!,"AAAAAH89378=",0)</f>
        <v>#REF!</v>
      </c>
      <c r="GK536" t="e">
        <f>AND(#REF!,"AAAAAH8938A=")</f>
        <v>#REF!</v>
      </c>
      <c r="GL536" t="e">
        <f>AND(#REF!,"AAAAAH8938E=")</f>
        <v>#REF!</v>
      </c>
      <c r="GM536" t="e">
        <f>AND(#REF!,"AAAAAH8938I=")</f>
        <v>#REF!</v>
      </c>
      <c r="GN536" t="e">
        <f>AND(#REF!,"AAAAAH8938M=")</f>
        <v>#REF!</v>
      </c>
      <c r="GO536" t="e">
        <f>AND(#REF!,"AAAAAH8938Q=")</f>
        <v>#REF!</v>
      </c>
      <c r="GP536" t="e">
        <f>AND(#REF!,"AAAAAH8938U=")</f>
        <v>#REF!</v>
      </c>
      <c r="GQ536" t="e">
        <f>AND(#REF!,"AAAAAH8938Y=")</f>
        <v>#REF!</v>
      </c>
      <c r="GR536" t="e">
        <f>AND(#REF!,"AAAAAH8938c=")</f>
        <v>#REF!</v>
      </c>
      <c r="GS536" t="e">
        <f>AND(#REF!,"AAAAAH8938g=")</f>
        <v>#REF!</v>
      </c>
      <c r="GT536" t="e">
        <f>AND(#REF!,"AAAAAH8938k=")</f>
        <v>#REF!</v>
      </c>
      <c r="GU536" t="e">
        <f>IF(#REF!,"AAAAAH8938o=",0)</f>
        <v>#REF!</v>
      </c>
      <c r="GV536" t="e">
        <f>AND(#REF!,"AAAAAH8938s=")</f>
        <v>#REF!</v>
      </c>
      <c r="GW536" t="e">
        <f>AND(#REF!,"AAAAAH8938w=")</f>
        <v>#REF!</v>
      </c>
      <c r="GX536" t="e">
        <f>AND(#REF!,"AAAAAH89380=")</f>
        <v>#REF!</v>
      </c>
      <c r="GY536" t="e">
        <f>AND(#REF!,"AAAAAH89384=")</f>
        <v>#REF!</v>
      </c>
      <c r="GZ536" t="e">
        <f>AND(#REF!,"AAAAAH89388=")</f>
        <v>#REF!</v>
      </c>
      <c r="HA536" t="e">
        <f>AND(#REF!,"AAAAAH8939A=")</f>
        <v>#REF!</v>
      </c>
      <c r="HB536" t="e">
        <f>AND(#REF!,"AAAAAH8939E=")</f>
        <v>#REF!</v>
      </c>
      <c r="HC536" t="e">
        <f>AND(#REF!,"AAAAAH8939I=")</f>
        <v>#REF!</v>
      </c>
      <c r="HD536" t="e">
        <f>AND(#REF!,"AAAAAH8939M=")</f>
        <v>#REF!</v>
      </c>
      <c r="HE536" t="e">
        <f>AND(#REF!,"AAAAAH8939Q=")</f>
        <v>#REF!</v>
      </c>
      <c r="HF536" t="e">
        <f>IF(#REF!,"AAAAAH8939U=",0)</f>
        <v>#REF!</v>
      </c>
      <c r="HG536" t="e">
        <f>AND(#REF!,"AAAAAH8939Y=")</f>
        <v>#REF!</v>
      </c>
      <c r="HH536" t="e">
        <f>AND(#REF!,"AAAAAH8939c=")</f>
        <v>#REF!</v>
      </c>
      <c r="HI536" t="e">
        <f>AND(#REF!,"AAAAAH8939g=")</f>
        <v>#REF!</v>
      </c>
      <c r="HJ536" t="e">
        <f>AND(#REF!,"AAAAAH8939k=")</f>
        <v>#REF!</v>
      </c>
      <c r="HK536" t="e">
        <f>AND(#REF!,"AAAAAH8939o=")</f>
        <v>#REF!</v>
      </c>
      <c r="HL536" t="e">
        <f>AND(#REF!,"AAAAAH8939s=")</f>
        <v>#REF!</v>
      </c>
      <c r="HM536" t="e">
        <f>AND(#REF!,"AAAAAH8939w=")</f>
        <v>#REF!</v>
      </c>
      <c r="HN536" t="e">
        <f>AND(#REF!,"AAAAAH89390=")</f>
        <v>#REF!</v>
      </c>
      <c r="HO536" t="e">
        <f>AND(#REF!,"AAAAAH89394=")</f>
        <v>#REF!</v>
      </c>
      <c r="HP536" t="e">
        <f>AND(#REF!,"AAAAAH89398=")</f>
        <v>#REF!</v>
      </c>
      <c r="HQ536" t="e">
        <f>IF(#REF!,"AAAAAH893+A=",0)</f>
        <v>#REF!</v>
      </c>
      <c r="HR536" t="e">
        <f>AND(#REF!,"AAAAAH893+E=")</f>
        <v>#REF!</v>
      </c>
      <c r="HS536" t="e">
        <f>AND(#REF!,"AAAAAH893+I=")</f>
        <v>#REF!</v>
      </c>
      <c r="HT536" t="e">
        <f>AND(#REF!,"AAAAAH893+M=")</f>
        <v>#REF!</v>
      </c>
      <c r="HU536" t="e">
        <f>AND(#REF!,"AAAAAH893+Q=")</f>
        <v>#REF!</v>
      </c>
      <c r="HV536" t="e">
        <f>AND(#REF!,"AAAAAH893+U=")</f>
        <v>#REF!</v>
      </c>
      <c r="HW536" t="e">
        <f>AND(#REF!,"AAAAAH893+Y=")</f>
        <v>#REF!</v>
      </c>
      <c r="HX536" t="e">
        <f>AND(#REF!,"AAAAAH893+c=")</f>
        <v>#REF!</v>
      </c>
      <c r="HY536" t="e">
        <f>AND(#REF!,"AAAAAH893+g=")</f>
        <v>#REF!</v>
      </c>
      <c r="HZ536" t="e">
        <f>AND(#REF!,"AAAAAH893+k=")</f>
        <v>#REF!</v>
      </c>
      <c r="IA536" t="e">
        <f>AND(#REF!,"AAAAAH893+o=")</f>
        <v>#REF!</v>
      </c>
      <c r="IB536" t="e">
        <f>IF(#REF!,"AAAAAH893+s=",0)</f>
        <v>#REF!</v>
      </c>
      <c r="IC536" t="e">
        <f>AND(#REF!,"AAAAAH893+w=")</f>
        <v>#REF!</v>
      </c>
      <c r="ID536" t="e">
        <f>AND(#REF!,"AAAAAH893+0=")</f>
        <v>#REF!</v>
      </c>
      <c r="IE536" t="e">
        <f>AND(#REF!,"AAAAAH893+4=")</f>
        <v>#REF!</v>
      </c>
      <c r="IF536" t="e">
        <f>AND(#REF!,"AAAAAH893+8=")</f>
        <v>#REF!</v>
      </c>
      <c r="IG536" t="e">
        <f>AND(#REF!,"AAAAAH893/A=")</f>
        <v>#REF!</v>
      </c>
      <c r="IH536" t="e">
        <f>AND(#REF!,"AAAAAH893/E=")</f>
        <v>#REF!</v>
      </c>
      <c r="II536" t="e">
        <f>AND(#REF!,"AAAAAH893/I=")</f>
        <v>#REF!</v>
      </c>
      <c r="IJ536" t="e">
        <f>AND(#REF!,"AAAAAH893/M=")</f>
        <v>#REF!</v>
      </c>
      <c r="IK536" t="e">
        <f>AND(#REF!,"AAAAAH893/Q=")</f>
        <v>#REF!</v>
      </c>
      <c r="IL536" t="e">
        <f>AND(#REF!,"AAAAAH893/U=")</f>
        <v>#REF!</v>
      </c>
      <c r="IM536" t="e">
        <f>IF(#REF!,"AAAAAH893/Y=",0)</f>
        <v>#REF!</v>
      </c>
      <c r="IN536" t="e">
        <f>AND(#REF!,"AAAAAH893/c=")</f>
        <v>#REF!</v>
      </c>
      <c r="IO536" t="e">
        <f>AND(#REF!,"AAAAAH893/g=")</f>
        <v>#REF!</v>
      </c>
      <c r="IP536" t="e">
        <f>AND(#REF!,"AAAAAH893/k=")</f>
        <v>#REF!</v>
      </c>
      <c r="IQ536" t="e">
        <f>AND(#REF!,"AAAAAH893/o=")</f>
        <v>#REF!</v>
      </c>
      <c r="IR536" t="e">
        <f>AND(#REF!,"AAAAAH893/s=")</f>
        <v>#REF!</v>
      </c>
      <c r="IS536" t="e">
        <f>AND(#REF!,"AAAAAH893/w=")</f>
        <v>#REF!</v>
      </c>
      <c r="IT536" t="e">
        <f>AND(#REF!,"AAAAAH893/0=")</f>
        <v>#REF!</v>
      </c>
      <c r="IU536" t="e">
        <f>AND(#REF!,"AAAAAH893/4=")</f>
        <v>#REF!</v>
      </c>
      <c r="IV536" t="e">
        <f>AND(#REF!,"AAAAAH893/8=")</f>
        <v>#REF!</v>
      </c>
    </row>
    <row r="537" spans="1:256" x14ac:dyDescent="0.25">
      <c r="A537" t="e">
        <f>AND(#REF!,"AAAAAH17DwA=")</f>
        <v>#REF!</v>
      </c>
      <c r="B537" t="e">
        <f>IF(#REF!,"AAAAAH17DwE=",0)</f>
        <v>#REF!</v>
      </c>
      <c r="C537" t="e">
        <f>AND(#REF!,"AAAAAH17DwI=")</f>
        <v>#REF!</v>
      </c>
      <c r="D537" t="e">
        <f>AND(#REF!,"AAAAAH17DwM=")</f>
        <v>#REF!</v>
      </c>
      <c r="E537" t="e">
        <f>AND(#REF!,"AAAAAH17DwQ=")</f>
        <v>#REF!</v>
      </c>
      <c r="F537" t="e">
        <f>AND(#REF!,"AAAAAH17DwU=")</f>
        <v>#REF!</v>
      </c>
      <c r="G537" t="e">
        <f>AND(#REF!,"AAAAAH17DwY=")</f>
        <v>#REF!</v>
      </c>
      <c r="H537" t="e">
        <f>AND(#REF!,"AAAAAH17Dwc=")</f>
        <v>#REF!</v>
      </c>
      <c r="I537" t="e">
        <f>AND(#REF!,"AAAAAH17Dwg=")</f>
        <v>#REF!</v>
      </c>
      <c r="J537" t="e">
        <f>AND(#REF!,"AAAAAH17Dwk=")</f>
        <v>#REF!</v>
      </c>
      <c r="K537" t="e">
        <f>AND(#REF!,"AAAAAH17Dwo=")</f>
        <v>#REF!</v>
      </c>
      <c r="L537" t="e">
        <f>AND(#REF!,"AAAAAH17Dws=")</f>
        <v>#REF!</v>
      </c>
      <c r="M537" t="e">
        <f>IF(#REF!,"AAAAAH17Dww=",0)</f>
        <v>#REF!</v>
      </c>
      <c r="N537" t="e">
        <f>AND(#REF!,"AAAAAH17Dw0=")</f>
        <v>#REF!</v>
      </c>
      <c r="O537" t="e">
        <f>AND(#REF!,"AAAAAH17Dw4=")</f>
        <v>#REF!</v>
      </c>
      <c r="P537" t="e">
        <f>AND(#REF!,"AAAAAH17Dw8=")</f>
        <v>#REF!</v>
      </c>
      <c r="Q537" t="e">
        <f>AND(#REF!,"AAAAAH17DxA=")</f>
        <v>#REF!</v>
      </c>
      <c r="R537" t="e">
        <f>AND(#REF!,"AAAAAH17DxE=")</f>
        <v>#REF!</v>
      </c>
      <c r="S537" t="e">
        <f>AND(#REF!,"AAAAAH17DxI=")</f>
        <v>#REF!</v>
      </c>
      <c r="T537" t="e">
        <f>AND(#REF!,"AAAAAH17DxM=")</f>
        <v>#REF!</v>
      </c>
      <c r="U537" t="e">
        <f>AND(#REF!,"AAAAAH17DxQ=")</f>
        <v>#REF!</v>
      </c>
      <c r="V537" t="e">
        <f>AND(#REF!,"AAAAAH17DxU=")</f>
        <v>#REF!</v>
      </c>
      <c r="W537" t="e">
        <f>AND(#REF!,"AAAAAH17DxY=")</f>
        <v>#REF!</v>
      </c>
      <c r="X537" t="e">
        <f>IF(#REF!,"AAAAAH17Dxc=",0)</f>
        <v>#REF!</v>
      </c>
      <c r="Y537" t="e">
        <f>AND(#REF!,"AAAAAH17Dxg=")</f>
        <v>#REF!</v>
      </c>
      <c r="Z537" t="e">
        <f>AND(#REF!,"AAAAAH17Dxk=")</f>
        <v>#REF!</v>
      </c>
      <c r="AA537" t="e">
        <f>AND(#REF!,"AAAAAH17Dxo=")</f>
        <v>#REF!</v>
      </c>
      <c r="AB537" t="e">
        <f>AND(#REF!,"AAAAAH17Dxs=")</f>
        <v>#REF!</v>
      </c>
      <c r="AC537" t="e">
        <f>AND(#REF!,"AAAAAH17Dxw=")</f>
        <v>#REF!</v>
      </c>
      <c r="AD537" t="e">
        <f>AND(#REF!,"AAAAAH17Dx0=")</f>
        <v>#REF!</v>
      </c>
      <c r="AE537" t="e">
        <f>AND(#REF!,"AAAAAH17Dx4=")</f>
        <v>#REF!</v>
      </c>
      <c r="AF537" t="e">
        <f>AND(#REF!,"AAAAAH17Dx8=")</f>
        <v>#REF!</v>
      </c>
      <c r="AG537" t="e">
        <f>AND(#REF!,"AAAAAH17DyA=")</f>
        <v>#REF!</v>
      </c>
      <c r="AH537" t="e">
        <f>AND(#REF!,"AAAAAH17DyE=")</f>
        <v>#REF!</v>
      </c>
      <c r="AI537" t="e">
        <f>IF(#REF!,"AAAAAH17DyI=",0)</f>
        <v>#REF!</v>
      </c>
      <c r="AJ537" t="e">
        <f>AND(#REF!,"AAAAAH17DyM=")</f>
        <v>#REF!</v>
      </c>
      <c r="AK537" t="e">
        <f>AND(#REF!,"AAAAAH17DyQ=")</f>
        <v>#REF!</v>
      </c>
      <c r="AL537" t="e">
        <f>AND(#REF!,"AAAAAH17DyU=")</f>
        <v>#REF!</v>
      </c>
      <c r="AM537" t="e">
        <f>AND(#REF!,"AAAAAH17DyY=")</f>
        <v>#REF!</v>
      </c>
      <c r="AN537" t="e">
        <f>AND(#REF!,"AAAAAH17Dyc=")</f>
        <v>#REF!</v>
      </c>
      <c r="AO537" t="e">
        <f>AND(#REF!,"AAAAAH17Dyg=")</f>
        <v>#REF!</v>
      </c>
      <c r="AP537" t="e">
        <f>AND(#REF!,"AAAAAH17Dyk=")</f>
        <v>#REF!</v>
      </c>
      <c r="AQ537" t="e">
        <f>AND(#REF!,"AAAAAH17Dyo=")</f>
        <v>#REF!</v>
      </c>
      <c r="AR537" t="e">
        <f>AND(#REF!,"AAAAAH17Dys=")</f>
        <v>#REF!</v>
      </c>
      <c r="AS537" t="e">
        <f>AND(#REF!,"AAAAAH17Dyw=")</f>
        <v>#REF!</v>
      </c>
      <c r="AT537" t="e">
        <f>IF(#REF!,"AAAAAH17Dy0=",0)</f>
        <v>#REF!</v>
      </c>
      <c r="AU537" t="e">
        <f>AND(#REF!,"AAAAAH17Dy4=")</f>
        <v>#REF!</v>
      </c>
      <c r="AV537" t="e">
        <f>AND(#REF!,"AAAAAH17Dy8=")</f>
        <v>#REF!</v>
      </c>
      <c r="AW537" t="e">
        <f>AND(#REF!,"AAAAAH17DzA=")</f>
        <v>#REF!</v>
      </c>
      <c r="AX537" t="e">
        <f>AND(#REF!,"AAAAAH17DzE=")</f>
        <v>#REF!</v>
      </c>
      <c r="AY537" t="e">
        <f>AND(#REF!,"AAAAAH17DzI=")</f>
        <v>#REF!</v>
      </c>
      <c r="AZ537" t="e">
        <f>AND(#REF!,"AAAAAH17DzM=")</f>
        <v>#REF!</v>
      </c>
      <c r="BA537" t="e">
        <f>AND(#REF!,"AAAAAH17DzQ=")</f>
        <v>#REF!</v>
      </c>
      <c r="BB537" t="e">
        <f>AND(#REF!,"AAAAAH17DzU=")</f>
        <v>#REF!</v>
      </c>
      <c r="BC537" t="e">
        <f>AND(#REF!,"AAAAAH17DzY=")</f>
        <v>#REF!</v>
      </c>
      <c r="BD537" t="e">
        <f>AND(#REF!,"AAAAAH17Dzc=")</f>
        <v>#REF!</v>
      </c>
      <c r="BE537" t="e">
        <f>IF(#REF!,"AAAAAH17Dzg=",0)</f>
        <v>#REF!</v>
      </c>
      <c r="BF537" t="e">
        <f>AND(#REF!,"AAAAAH17Dzk=")</f>
        <v>#REF!</v>
      </c>
      <c r="BG537" t="e">
        <f>AND(#REF!,"AAAAAH17Dzo=")</f>
        <v>#REF!</v>
      </c>
      <c r="BH537" t="e">
        <f>AND(#REF!,"AAAAAH17Dzs=")</f>
        <v>#REF!</v>
      </c>
      <c r="BI537" t="e">
        <f>AND(#REF!,"AAAAAH17Dzw=")</f>
        <v>#REF!</v>
      </c>
      <c r="BJ537" t="e">
        <f>AND(#REF!,"AAAAAH17Dz0=")</f>
        <v>#REF!</v>
      </c>
      <c r="BK537" t="e">
        <f>AND(#REF!,"AAAAAH17Dz4=")</f>
        <v>#REF!</v>
      </c>
      <c r="BL537" t="e">
        <f>AND(#REF!,"AAAAAH17Dz8=")</f>
        <v>#REF!</v>
      </c>
      <c r="BM537" t="e">
        <f>AND(#REF!,"AAAAAH17D0A=")</f>
        <v>#REF!</v>
      </c>
      <c r="BN537" t="e">
        <f>AND(#REF!,"AAAAAH17D0E=")</f>
        <v>#REF!</v>
      </c>
      <c r="BO537" t="e">
        <f>AND(#REF!,"AAAAAH17D0I=")</f>
        <v>#REF!</v>
      </c>
      <c r="BP537" t="e">
        <f>IF(#REF!,"AAAAAH17D0M=",0)</f>
        <v>#REF!</v>
      </c>
      <c r="BQ537" t="e">
        <f>AND(#REF!,"AAAAAH17D0Q=")</f>
        <v>#REF!</v>
      </c>
      <c r="BR537" t="e">
        <f>AND(#REF!,"AAAAAH17D0U=")</f>
        <v>#REF!</v>
      </c>
      <c r="BS537" t="e">
        <f>AND(#REF!,"AAAAAH17D0Y=")</f>
        <v>#REF!</v>
      </c>
      <c r="BT537" t="e">
        <f>AND(#REF!,"AAAAAH17D0c=")</f>
        <v>#REF!</v>
      </c>
      <c r="BU537" t="e">
        <f>AND(#REF!,"AAAAAH17D0g=")</f>
        <v>#REF!</v>
      </c>
      <c r="BV537" t="e">
        <f>AND(#REF!,"AAAAAH17D0k=")</f>
        <v>#REF!</v>
      </c>
      <c r="BW537" t="e">
        <f>AND(#REF!,"AAAAAH17D0o=")</f>
        <v>#REF!</v>
      </c>
      <c r="BX537" t="e">
        <f>AND(#REF!,"AAAAAH17D0s=")</f>
        <v>#REF!</v>
      </c>
      <c r="BY537" t="e">
        <f>AND(#REF!,"AAAAAH17D0w=")</f>
        <v>#REF!</v>
      </c>
      <c r="BZ537" t="e">
        <f>AND(#REF!,"AAAAAH17D00=")</f>
        <v>#REF!</v>
      </c>
      <c r="CA537" t="e">
        <f>IF(#REF!,"AAAAAH17D04=",0)</f>
        <v>#REF!</v>
      </c>
      <c r="CB537" t="e">
        <f>AND(#REF!,"AAAAAH17D08=")</f>
        <v>#REF!</v>
      </c>
      <c r="CC537" t="e">
        <f>AND(#REF!,"AAAAAH17D1A=")</f>
        <v>#REF!</v>
      </c>
      <c r="CD537" t="e">
        <f>AND(#REF!,"AAAAAH17D1E=")</f>
        <v>#REF!</v>
      </c>
      <c r="CE537" t="e">
        <f>AND(#REF!,"AAAAAH17D1I=")</f>
        <v>#REF!</v>
      </c>
      <c r="CF537" t="e">
        <f>AND(#REF!,"AAAAAH17D1M=")</f>
        <v>#REF!</v>
      </c>
      <c r="CG537" t="e">
        <f>AND(#REF!,"AAAAAH17D1Q=")</f>
        <v>#REF!</v>
      </c>
      <c r="CH537" t="e">
        <f>AND(#REF!,"AAAAAH17D1U=")</f>
        <v>#REF!</v>
      </c>
      <c r="CI537" t="e">
        <f>AND(#REF!,"AAAAAH17D1Y=")</f>
        <v>#REF!</v>
      </c>
      <c r="CJ537" t="e">
        <f>AND(#REF!,"AAAAAH17D1c=")</f>
        <v>#REF!</v>
      </c>
      <c r="CK537" t="e">
        <f>AND(#REF!,"AAAAAH17D1g=")</f>
        <v>#REF!</v>
      </c>
      <c r="CL537" t="e">
        <f>IF(#REF!,"AAAAAH17D1k=",0)</f>
        <v>#REF!</v>
      </c>
      <c r="CM537" t="e">
        <f>AND(#REF!,"AAAAAH17D1o=")</f>
        <v>#REF!</v>
      </c>
      <c r="CN537" t="e">
        <f>AND(#REF!,"AAAAAH17D1s=")</f>
        <v>#REF!</v>
      </c>
      <c r="CO537" t="e">
        <f>AND(#REF!,"AAAAAH17D1w=")</f>
        <v>#REF!</v>
      </c>
      <c r="CP537" t="e">
        <f>AND(#REF!,"AAAAAH17D10=")</f>
        <v>#REF!</v>
      </c>
      <c r="CQ537" t="e">
        <f>AND(#REF!,"AAAAAH17D14=")</f>
        <v>#REF!</v>
      </c>
      <c r="CR537" t="e">
        <f>AND(#REF!,"AAAAAH17D18=")</f>
        <v>#REF!</v>
      </c>
      <c r="CS537" t="e">
        <f>AND(#REF!,"AAAAAH17D2A=")</f>
        <v>#REF!</v>
      </c>
      <c r="CT537" t="e">
        <f>AND(#REF!,"AAAAAH17D2E=")</f>
        <v>#REF!</v>
      </c>
      <c r="CU537" t="e">
        <f>AND(#REF!,"AAAAAH17D2I=")</f>
        <v>#REF!</v>
      </c>
      <c r="CV537" t="e">
        <f>AND(#REF!,"AAAAAH17D2M=")</f>
        <v>#REF!</v>
      </c>
      <c r="CW537" t="e">
        <f>IF(#REF!,"AAAAAH17D2Q=",0)</f>
        <v>#REF!</v>
      </c>
      <c r="CX537" t="e">
        <f>AND(#REF!,"AAAAAH17D2U=")</f>
        <v>#REF!</v>
      </c>
      <c r="CY537" t="e">
        <f>AND(#REF!,"AAAAAH17D2Y=")</f>
        <v>#REF!</v>
      </c>
      <c r="CZ537" t="e">
        <f>AND(#REF!,"AAAAAH17D2c=")</f>
        <v>#REF!</v>
      </c>
      <c r="DA537" t="e">
        <f>AND(#REF!,"AAAAAH17D2g=")</f>
        <v>#REF!</v>
      </c>
      <c r="DB537" t="e">
        <f>AND(#REF!,"AAAAAH17D2k=")</f>
        <v>#REF!</v>
      </c>
      <c r="DC537" t="e">
        <f>AND(#REF!,"AAAAAH17D2o=")</f>
        <v>#REF!</v>
      </c>
      <c r="DD537" t="e">
        <f>AND(#REF!,"AAAAAH17D2s=")</f>
        <v>#REF!</v>
      </c>
      <c r="DE537" t="e">
        <f>AND(#REF!,"AAAAAH17D2w=")</f>
        <v>#REF!</v>
      </c>
      <c r="DF537" t="e">
        <f>AND(#REF!,"AAAAAH17D20=")</f>
        <v>#REF!</v>
      </c>
      <c r="DG537" t="e">
        <f>AND(#REF!,"AAAAAH17D24=")</f>
        <v>#REF!</v>
      </c>
      <c r="DH537" t="e">
        <f>IF(#REF!,"AAAAAH17D28=",0)</f>
        <v>#REF!</v>
      </c>
      <c r="DI537" t="e">
        <f>AND(#REF!,"AAAAAH17D3A=")</f>
        <v>#REF!</v>
      </c>
      <c r="DJ537" t="e">
        <f>AND(#REF!,"AAAAAH17D3E=")</f>
        <v>#REF!</v>
      </c>
      <c r="DK537" t="e">
        <f>AND(#REF!,"AAAAAH17D3I=")</f>
        <v>#REF!</v>
      </c>
      <c r="DL537" t="e">
        <f>AND(#REF!,"AAAAAH17D3M=")</f>
        <v>#REF!</v>
      </c>
      <c r="DM537" t="e">
        <f>AND(#REF!,"AAAAAH17D3Q=")</f>
        <v>#REF!</v>
      </c>
      <c r="DN537" t="e">
        <f>AND(#REF!,"AAAAAH17D3U=")</f>
        <v>#REF!</v>
      </c>
      <c r="DO537" t="e">
        <f>AND(#REF!,"AAAAAH17D3Y=")</f>
        <v>#REF!</v>
      </c>
      <c r="DP537" t="e">
        <f>AND(#REF!,"AAAAAH17D3c=")</f>
        <v>#REF!</v>
      </c>
      <c r="DQ537" t="e">
        <f>AND(#REF!,"AAAAAH17D3g=")</f>
        <v>#REF!</v>
      </c>
      <c r="DR537" t="e">
        <f>AND(#REF!,"AAAAAH17D3k=")</f>
        <v>#REF!</v>
      </c>
      <c r="DS537" t="e">
        <f>IF(#REF!,"AAAAAH17D3o=",0)</f>
        <v>#REF!</v>
      </c>
      <c r="DT537" t="e">
        <f>AND(#REF!,"AAAAAH17D3s=")</f>
        <v>#REF!</v>
      </c>
      <c r="DU537" t="e">
        <f>AND(#REF!,"AAAAAH17D3w=")</f>
        <v>#REF!</v>
      </c>
      <c r="DV537" t="e">
        <f>AND(#REF!,"AAAAAH17D30=")</f>
        <v>#REF!</v>
      </c>
      <c r="DW537" t="e">
        <f>AND(#REF!,"AAAAAH17D34=")</f>
        <v>#REF!</v>
      </c>
      <c r="DX537" t="e">
        <f>AND(#REF!,"AAAAAH17D38=")</f>
        <v>#REF!</v>
      </c>
      <c r="DY537" t="e">
        <f>AND(#REF!,"AAAAAH17D4A=")</f>
        <v>#REF!</v>
      </c>
      <c r="DZ537" t="e">
        <f>AND(#REF!,"AAAAAH17D4E=")</f>
        <v>#REF!</v>
      </c>
      <c r="EA537" t="e">
        <f>AND(#REF!,"AAAAAH17D4I=")</f>
        <v>#REF!</v>
      </c>
      <c r="EB537" t="e">
        <f>AND(#REF!,"AAAAAH17D4M=")</f>
        <v>#REF!</v>
      </c>
      <c r="EC537" t="e">
        <f>AND(#REF!,"AAAAAH17D4Q=")</f>
        <v>#REF!</v>
      </c>
      <c r="ED537" t="e">
        <f>IF(#REF!,"AAAAAH17D4U=",0)</f>
        <v>#REF!</v>
      </c>
      <c r="EE537" t="e">
        <f>AND(#REF!,"AAAAAH17D4Y=")</f>
        <v>#REF!</v>
      </c>
      <c r="EF537" t="e">
        <f>AND(#REF!,"AAAAAH17D4c=")</f>
        <v>#REF!</v>
      </c>
      <c r="EG537" t="e">
        <f>AND(#REF!,"AAAAAH17D4g=")</f>
        <v>#REF!</v>
      </c>
      <c r="EH537" t="e">
        <f>AND(#REF!,"AAAAAH17D4k=")</f>
        <v>#REF!</v>
      </c>
      <c r="EI537" t="e">
        <f>AND(#REF!,"AAAAAH17D4o=")</f>
        <v>#REF!</v>
      </c>
      <c r="EJ537" t="e">
        <f>AND(#REF!,"AAAAAH17D4s=")</f>
        <v>#REF!</v>
      </c>
      <c r="EK537" t="e">
        <f>AND(#REF!,"AAAAAH17D4w=")</f>
        <v>#REF!</v>
      </c>
      <c r="EL537" t="e">
        <f>AND(#REF!,"AAAAAH17D40=")</f>
        <v>#REF!</v>
      </c>
      <c r="EM537" t="e">
        <f>AND(#REF!,"AAAAAH17D44=")</f>
        <v>#REF!</v>
      </c>
      <c r="EN537" t="e">
        <f>AND(#REF!,"AAAAAH17D48=")</f>
        <v>#REF!</v>
      </c>
      <c r="EO537" t="e">
        <f>IF(#REF!,"AAAAAH17D5A=",0)</f>
        <v>#REF!</v>
      </c>
      <c r="EP537" t="e">
        <f>AND(#REF!,"AAAAAH17D5E=")</f>
        <v>#REF!</v>
      </c>
      <c r="EQ537" t="e">
        <f>AND(#REF!,"AAAAAH17D5I=")</f>
        <v>#REF!</v>
      </c>
      <c r="ER537" t="e">
        <f>AND(#REF!,"AAAAAH17D5M=")</f>
        <v>#REF!</v>
      </c>
      <c r="ES537" t="e">
        <f>AND(#REF!,"AAAAAH17D5Q=")</f>
        <v>#REF!</v>
      </c>
      <c r="ET537" t="e">
        <f>AND(#REF!,"AAAAAH17D5U=")</f>
        <v>#REF!</v>
      </c>
      <c r="EU537" t="e">
        <f>AND(#REF!,"AAAAAH17D5Y=")</f>
        <v>#REF!</v>
      </c>
      <c r="EV537" t="e">
        <f>AND(#REF!,"AAAAAH17D5c=")</f>
        <v>#REF!</v>
      </c>
      <c r="EW537" t="e">
        <f>AND(#REF!,"AAAAAH17D5g=")</f>
        <v>#REF!</v>
      </c>
      <c r="EX537" t="e">
        <f>AND(#REF!,"AAAAAH17D5k=")</f>
        <v>#REF!</v>
      </c>
      <c r="EY537" t="e">
        <f>AND(#REF!,"AAAAAH17D5o=")</f>
        <v>#REF!</v>
      </c>
      <c r="EZ537" t="e">
        <f>IF(#REF!,"AAAAAH17D5s=",0)</f>
        <v>#REF!</v>
      </c>
      <c r="FA537" t="e">
        <f>AND(#REF!,"AAAAAH17D5w=")</f>
        <v>#REF!</v>
      </c>
      <c r="FB537" t="e">
        <f>AND(#REF!,"AAAAAH17D50=")</f>
        <v>#REF!</v>
      </c>
      <c r="FC537" t="e">
        <f>AND(#REF!,"AAAAAH17D54=")</f>
        <v>#REF!</v>
      </c>
      <c r="FD537" t="e">
        <f>AND(#REF!,"AAAAAH17D58=")</f>
        <v>#REF!</v>
      </c>
      <c r="FE537" t="e">
        <f>AND(#REF!,"AAAAAH17D6A=")</f>
        <v>#REF!</v>
      </c>
      <c r="FF537" t="e">
        <f>AND(#REF!,"AAAAAH17D6E=")</f>
        <v>#REF!</v>
      </c>
      <c r="FG537" t="e">
        <f>AND(#REF!,"AAAAAH17D6I=")</f>
        <v>#REF!</v>
      </c>
      <c r="FH537" t="e">
        <f>AND(#REF!,"AAAAAH17D6M=")</f>
        <v>#REF!</v>
      </c>
      <c r="FI537" t="e">
        <f>AND(#REF!,"AAAAAH17D6Q=")</f>
        <v>#REF!</v>
      </c>
      <c r="FJ537" t="e">
        <f>AND(#REF!,"AAAAAH17D6U=")</f>
        <v>#REF!</v>
      </c>
      <c r="FK537" t="e">
        <f>IF(#REF!,"AAAAAH17D6Y=",0)</f>
        <v>#REF!</v>
      </c>
      <c r="FL537" t="e">
        <f>AND(#REF!,"AAAAAH17D6c=")</f>
        <v>#REF!</v>
      </c>
      <c r="FM537" t="e">
        <f>AND(#REF!,"AAAAAH17D6g=")</f>
        <v>#REF!</v>
      </c>
      <c r="FN537" t="e">
        <f>AND(#REF!,"AAAAAH17D6k=")</f>
        <v>#REF!</v>
      </c>
      <c r="FO537" t="e">
        <f>AND(#REF!,"AAAAAH17D6o=")</f>
        <v>#REF!</v>
      </c>
      <c r="FP537" t="e">
        <f>AND(#REF!,"AAAAAH17D6s=")</f>
        <v>#REF!</v>
      </c>
      <c r="FQ537" t="e">
        <f>AND(#REF!,"AAAAAH17D6w=")</f>
        <v>#REF!</v>
      </c>
      <c r="FR537" t="e">
        <f>AND(#REF!,"AAAAAH17D60=")</f>
        <v>#REF!</v>
      </c>
      <c r="FS537" t="e">
        <f>AND(#REF!,"AAAAAH17D64=")</f>
        <v>#REF!</v>
      </c>
      <c r="FT537" t="e">
        <f>AND(#REF!,"AAAAAH17D68=")</f>
        <v>#REF!</v>
      </c>
      <c r="FU537" t="e">
        <f>AND(#REF!,"AAAAAH17D7A=")</f>
        <v>#REF!</v>
      </c>
      <c r="FV537" t="e">
        <f>IF(#REF!,"AAAAAH17D7E=",0)</f>
        <v>#REF!</v>
      </c>
      <c r="FW537" t="e">
        <f>AND(#REF!,"AAAAAH17D7I=")</f>
        <v>#REF!</v>
      </c>
      <c r="FX537" t="e">
        <f>AND(#REF!,"AAAAAH17D7M=")</f>
        <v>#REF!</v>
      </c>
      <c r="FY537" t="e">
        <f>AND(#REF!,"AAAAAH17D7Q=")</f>
        <v>#REF!</v>
      </c>
      <c r="FZ537" t="e">
        <f>AND(#REF!,"AAAAAH17D7U=")</f>
        <v>#REF!</v>
      </c>
      <c r="GA537" t="e">
        <f>AND(#REF!,"AAAAAH17D7Y=")</f>
        <v>#REF!</v>
      </c>
      <c r="GB537" t="e">
        <f>AND(#REF!,"AAAAAH17D7c=")</f>
        <v>#REF!</v>
      </c>
      <c r="GC537" t="e">
        <f>AND(#REF!,"AAAAAH17D7g=")</f>
        <v>#REF!</v>
      </c>
      <c r="GD537" t="e">
        <f>AND(#REF!,"AAAAAH17D7k=")</f>
        <v>#REF!</v>
      </c>
      <c r="GE537" t="e">
        <f>AND(#REF!,"AAAAAH17D7o=")</f>
        <v>#REF!</v>
      </c>
      <c r="GF537" t="e">
        <f>AND(#REF!,"AAAAAH17D7s=")</f>
        <v>#REF!</v>
      </c>
      <c r="GG537" t="e">
        <f>IF(#REF!,"AAAAAH17D7w=",0)</f>
        <v>#REF!</v>
      </c>
      <c r="GH537" t="e">
        <f>AND(#REF!,"AAAAAH17D70=")</f>
        <v>#REF!</v>
      </c>
      <c r="GI537" t="e">
        <f>AND(#REF!,"AAAAAH17D74=")</f>
        <v>#REF!</v>
      </c>
      <c r="GJ537" t="e">
        <f>AND(#REF!,"AAAAAH17D78=")</f>
        <v>#REF!</v>
      </c>
      <c r="GK537" t="e">
        <f>AND(#REF!,"AAAAAH17D8A=")</f>
        <v>#REF!</v>
      </c>
      <c r="GL537" t="e">
        <f>AND(#REF!,"AAAAAH17D8E=")</f>
        <v>#REF!</v>
      </c>
      <c r="GM537" t="e">
        <f>AND(#REF!,"AAAAAH17D8I=")</f>
        <v>#REF!</v>
      </c>
      <c r="GN537" t="e">
        <f>AND(#REF!,"AAAAAH17D8M=")</f>
        <v>#REF!</v>
      </c>
      <c r="GO537" t="e">
        <f>AND(#REF!,"AAAAAH17D8Q=")</f>
        <v>#REF!</v>
      </c>
      <c r="GP537" t="e">
        <f>AND(#REF!,"AAAAAH17D8U=")</f>
        <v>#REF!</v>
      </c>
      <c r="GQ537" t="e">
        <f>AND(#REF!,"AAAAAH17D8Y=")</f>
        <v>#REF!</v>
      </c>
      <c r="GR537" t="e">
        <f>IF(#REF!,"AAAAAH17D8c=",0)</f>
        <v>#REF!</v>
      </c>
      <c r="GS537" t="e">
        <f>AND(#REF!,"AAAAAH17D8g=")</f>
        <v>#REF!</v>
      </c>
      <c r="GT537" t="e">
        <f>AND(#REF!,"AAAAAH17D8k=")</f>
        <v>#REF!</v>
      </c>
      <c r="GU537" t="e">
        <f>AND(#REF!,"AAAAAH17D8o=")</f>
        <v>#REF!</v>
      </c>
      <c r="GV537" t="e">
        <f>AND(#REF!,"AAAAAH17D8s=")</f>
        <v>#REF!</v>
      </c>
      <c r="GW537" t="e">
        <f>AND(#REF!,"AAAAAH17D8w=")</f>
        <v>#REF!</v>
      </c>
      <c r="GX537" t="e">
        <f>AND(#REF!,"AAAAAH17D80=")</f>
        <v>#REF!</v>
      </c>
      <c r="GY537" t="e">
        <f>AND(#REF!,"AAAAAH17D84=")</f>
        <v>#REF!</v>
      </c>
      <c r="GZ537" t="e">
        <f>AND(#REF!,"AAAAAH17D88=")</f>
        <v>#REF!</v>
      </c>
      <c r="HA537" t="e">
        <f>AND(#REF!,"AAAAAH17D9A=")</f>
        <v>#REF!</v>
      </c>
      <c r="HB537" t="e">
        <f>AND(#REF!,"AAAAAH17D9E=")</f>
        <v>#REF!</v>
      </c>
      <c r="HC537" t="e">
        <f>IF(#REF!,"AAAAAH17D9I=",0)</f>
        <v>#REF!</v>
      </c>
      <c r="HD537" t="e">
        <f>AND(#REF!,"AAAAAH17D9M=")</f>
        <v>#REF!</v>
      </c>
      <c r="HE537" t="e">
        <f>AND(#REF!,"AAAAAH17D9Q=")</f>
        <v>#REF!</v>
      </c>
      <c r="HF537" t="e">
        <f>AND(#REF!,"AAAAAH17D9U=")</f>
        <v>#REF!</v>
      </c>
      <c r="HG537" t="e">
        <f>AND(#REF!,"AAAAAH17D9Y=")</f>
        <v>#REF!</v>
      </c>
      <c r="HH537" t="e">
        <f>AND(#REF!,"AAAAAH17D9c=")</f>
        <v>#REF!</v>
      </c>
      <c r="HI537" t="e">
        <f>AND(#REF!,"AAAAAH17D9g=")</f>
        <v>#REF!</v>
      </c>
      <c r="HJ537" t="e">
        <f>AND(#REF!,"AAAAAH17D9k=")</f>
        <v>#REF!</v>
      </c>
      <c r="HK537" t="e">
        <f>AND(#REF!,"AAAAAH17D9o=")</f>
        <v>#REF!</v>
      </c>
      <c r="HL537" t="e">
        <f>AND(#REF!,"AAAAAH17D9s=")</f>
        <v>#REF!</v>
      </c>
      <c r="HM537" t="e">
        <f>AND(#REF!,"AAAAAH17D9w=")</f>
        <v>#REF!</v>
      </c>
      <c r="HN537" t="e">
        <f>IF(#REF!,"AAAAAH17D90=",0)</f>
        <v>#REF!</v>
      </c>
      <c r="HO537" t="e">
        <f>AND(#REF!,"AAAAAH17D94=")</f>
        <v>#REF!</v>
      </c>
      <c r="HP537" t="e">
        <f>AND(#REF!,"AAAAAH17D98=")</f>
        <v>#REF!</v>
      </c>
      <c r="HQ537" t="e">
        <f>AND(#REF!,"AAAAAH17D+A=")</f>
        <v>#REF!</v>
      </c>
      <c r="HR537" t="e">
        <f>AND(#REF!,"AAAAAH17D+E=")</f>
        <v>#REF!</v>
      </c>
      <c r="HS537" t="e">
        <f>AND(#REF!,"AAAAAH17D+I=")</f>
        <v>#REF!</v>
      </c>
      <c r="HT537" t="e">
        <f>AND(#REF!,"AAAAAH17D+M=")</f>
        <v>#REF!</v>
      </c>
      <c r="HU537" t="e">
        <f>AND(#REF!,"AAAAAH17D+Q=")</f>
        <v>#REF!</v>
      </c>
      <c r="HV537" t="e">
        <f>AND(#REF!,"AAAAAH17D+U=")</f>
        <v>#REF!</v>
      </c>
      <c r="HW537" t="e">
        <f>AND(#REF!,"AAAAAH17D+Y=")</f>
        <v>#REF!</v>
      </c>
      <c r="HX537" t="e">
        <f>AND(#REF!,"AAAAAH17D+c=")</f>
        <v>#REF!</v>
      </c>
      <c r="HY537" t="e">
        <f>IF(#REF!,"AAAAAH17D+g=",0)</f>
        <v>#REF!</v>
      </c>
      <c r="HZ537" t="e">
        <f>AND(#REF!,"AAAAAH17D+k=")</f>
        <v>#REF!</v>
      </c>
      <c r="IA537" t="e">
        <f>AND(#REF!,"AAAAAH17D+o=")</f>
        <v>#REF!</v>
      </c>
      <c r="IB537" t="e">
        <f>AND(#REF!,"AAAAAH17D+s=")</f>
        <v>#REF!</v>
      </c>
      <c r="IC537" t="e">
        <f>AND(#REF!,"AAAAAH17D+w=")</f>
        <v>#REF!</v>
      </c>
      <c r="ID537" t="e">
        <f>AND(#REF!,"AAAAAH17D+0=")</f>
        <v>#REF!</v>
      </c>
      <c r="IE537" t="e">
        <f>AND(#REF!,"AAAAAH17D+4=")</f>
        <v>#REF!</v>
      </c>
      <c r="IF537" t="e">
        <f>AND(#REF!,"AAAAAH17D+8=")</f>
        <v>#REF!</v>
      </c>
      <c r="IG537" t="e">
        <f>AND(#REF!,"AAAAAH17D/A=")</f>
        <v>#REF!</v>
      </c>
      <c r="IH537" t="e">
        <f>AND(#REF!,"AAAAAH17D/E=")</f>
        <v>#REF!</v>
      </c>
      <c r="II537" t="e">
        <f>AND(#REF!,"AAAAAH17D/I=")</f>
        <v>#REF!</v>
      </c>
      <c r="IJ537" t="e">
        <f>IF(#REF!,"AAAAAH17D/M=",0)</f>
        <v>#REF!</v>
      </c>
      <c r="IK537" t="e">
        <f>AND(#REF!,"AAAAAH17D/Q=")</f>
        <v>#REF!</v>
      </c>
      <c r="IL537" t="e">
        <f>AND(#REF!,"AAAAAH17D/U=")</f>
        <v>#REF!</v>
      </c>
      <c r="IM537" t="e">
        <f>AND(#REF!,"AAAAAH17D/Y=")</f>
        <v>#REF!</v>
      </c>
      <c r="IN537" t="e">
        <f>AND(#REF!,"AAAAAH17D/c=")</f>
        <v>#REF!</v>
      </c>
      <c r="IO537" t="e">
        <f>AND(#REF!,"AAAAAH17D/g=")</f>
        <v>#REF!</v>
      </c>
      <c r="IP537" t="e">
        <f>AND(#REF!,"AAAAAH17D/k=")</f>
        <v>#REF!</v>
      </c>
      <c r="IQ537" t="e">
        <f>AND(#REF!,"AAAAAH17D/o=")</f>
        <v>#REF!</v>
      </c>
      <c r="IR537" t="e">
        <f>AND(#REF!,"AAAAAH17D/s=")</f>
        <v>#REF!</v>
      </c>
      <c r="IS537" t="e">
        <f>AND(#REF!,"AAAAAH17D/w=")</f>
        <v>#REF!</v>
      </c>
      <c r="IT537" t="e">
        <f>AND(#REF!,"AAAAAH17D/0=")</f>
        <v>#REF!</v>
      </c>
      <c r="IU537" t="e">
        <f>IF(#REF!,"AAAAAH17D/4=",0)</f>
        <v>#REF!</v>
      </c>
      <c r="IV537" t="e">
        <f>AND(#REF!,"AAAAAH17D/8=")</f>
        <v>#REF!</v>
      </c>
    </row>
    <row r="538" spans="1:256" x14ac:dyDescent="0.25">
      <c r="A538" t="e">
        <f>AND(#REF!,"AAAAAC7H3wA=")</f>
        <v>#REF!</v>
      </c>
      <c r="B538" t="e">
        <f>AND(#REF!,"AAAAAC7H3wE=")</f>
        <v>#REF!</v>
      </c>
      <c r="C538" t="e">
        <f>AND(#REF!,"AAAAAC7H3wI=")</f>
        <v>#REF!</v>
      </c>
      <c r="D538" t="e">
        <f>AND(#REF!,"AAAAAC7H3wM=")</f>
        <v>#REF!</v>
      </c>
      <c r="E538" t="e">
        <f>AND(#REF!,"AAAAAC7H3wQ=")</f>
        <v>#REF!</v>
      </c>
      <c r="F538" t="e">
        <f>AND(#REF!,"AAAAAC7H3wU=")</f>
        <v>#REF!</v>
      </c>
      <c r="G538" t="e">
        <f>AND(#REF!,"AAAAAC7H3wY=")</f>
        <v>#REF!</v>
      </c>
      <c r="H538" t="e">
        <f>AND(#REF!,"AAAAAC7H3wc=")</f>
        <v>#REF!</v>
      </c>
      <c r="I538" t="e">
        <f>AND(#REF!,"AAAAAC7H3wg=")</f>
        <v>#REF!</v>
      </c>
      <c r="J538" t="e">
        <f>IF(#REF!,"AAAAAC7H3wk=",0)</f>
        <v>#REF!</v>
      </c>
      <c r="K538" t="e">
        <f>AND(#REF!,"AAAAAC7H3wo=")</f>
        <v>#REF!</v>
      </c>
      <c r="L538" t="e">
        <f>AND(#REF!,"AAAAAC7H3ws=")</f>
        <v>#REF!</v>
      </c>
      <c r="M538" t="e">
        <f>AND(#REF!,"AAAAAC7H3ww=")</f>
        <v>#REF!</v>
      </c>
      <c r="N538" t="e">
        <f>AND(#REF!,"AAAAAC7H3w0=")</f>
        <v>#REF!</v>
      </c>
      <c r="O538" t="e">
        <f>AND(#REF!,"AAAAAC7H3w4=")</f>
        <v>#REF!</v>
      </c>
      <c r="P538" t="e">
        <f>AND(#REF!,"AAAAAC7H3w8=")</f>
        <v>#REF!</v>
      </c>
      <c r="Q538" t="e">
        <f>AND(#REF!,"AAAAAC7H3xA=")</f>
        <v>#REF!</v>
      </c>
      <c r="R538" t="e">
        <f>AND(#REF!,"AAAAAC7H3xE=")</f>
        <v>#REF!</v>
      </c>
      <c r="S538" t="e">
        <f>AND(#REF!,"AAAAAC7H3xI=")</f>
        <v>#REF!</v>
      </c>
      <c r="T538" t="e">
        <f>AND(#REF!,"AAAAAC7H3xM=")</f>
        <v>#REF!</v>
      </c>
      <c r="U538" t="e">
        <f>IF(#REF!,"AAAAAC7H3xQ=",0)</f>
        <v>#REF!</v>
      </c>
      <c r="V538" t="e">
        <f>AND(#REF!,"AAAAAC7H3xU=")</f>
        <v>#REF!</v>
      </c>
      <c r="W538" t="e">
        <f>AND(#REF!,"AAAAAC7H3xY=")</f>
        <v>#REF!</v>
      </c>
      <c r="X538" t="e">
        <f>AND(#REF!,"AAAAAC7H3xc=")</f>
        <v>#REF!</v>
      </c>
      <c r="Y538" t="e">
        <f>AND(#REF!,"AAAAAC7H3xg=")</f>
        <v>#REF!</v>
      </c>
      <c r="Z538" t="e">
        <f>AND(#REF!,"AAAAAC7H3xk=")</f>
        <v>#REF!</v>
      </c>
      <c r="AA538" t="e">
        <f>AND(#REF!,"AAAAAC7H3xo=")</f>
        <v>#REF!</v>
      </c>
      <c r="AB538" t="e">
        <f>AND(#REF!,"AAAAAC7H3xs=")</f>
        <v>#REF!</v>
      </c>
      <c r="AC538" t="e">
        <f>AND(#REF!,"AAAAAC7H3xw=")</f>
        <v>#REF!</v>
      </c>
      <c r="AD538" t="e">
        <f>AND(#REF!,"AAAAAC7H3x0=")</f>
        <v>#REF!</v>
      </c>
      <c r="AE538" t="e">
        <f>AND(#REF!,"AAAAAC7H3x4=")</f>
        <v>#REF!</v>
      </c>
      <c r="AF538" t="e">
        <f>IF(#REF!,"AAAAAC7H3x8=",0)</f>
        <v>#REF!</v>
      </c>
      <c r="AG538" t="e">
        <f>AND(#REF!,"AAAAAC7H3yA=")</f>
        <v>#REF!</v>
      </c>
      <c r="AH538" t="e">
        <f>AND(#REF!,"AAAAAC7H3yE=")</f>
        <v>#REF!</v>
      </c>
      <c r="AI538" t="e">
        <f>AND(#REF!,"AAAAAC7H3yI=")</f>
        <v>#REF!</v>
      </c>
      <c r="AJ538" t="e">
        <f>AND(#REF!,"AAAAAC7H3yM=")</f>
        <v>#REF!</v>
      </c>
      <c r="AK538" t="e">
        <f>AND(#REF!,"AAAAAC7H3yQ=")</f>
        <v>#REF!</v>
      </c>
      <c r="AL538" t="e">
        <f>AND(#REF!,"AAAAAC7H3yU=")</f>
        <v>#REF!</v>
      </c>
      <c r="AM538" t="e">
        <f>AND(#REF!,"AAAAAC7H3yY=")</f>
        <v>#REF!</v>
      </c>
      <c r="AN538" t="e">
        <f>AND(#REF!,"AAAAAC7H3yc=")</f>
        <v>#REF!</v>
      </c>
      <c r="AO538" t="e">
        <f>AND(#REF!,"AAAAAC7H3yg=")</f>
        <v>#REF!</v>
      </c>
      <c r="AP538" t="e">
        <f>AND(#REF!,"AAAAAC7H3yk=")</f>
        <v>#REF!</v>
      </c>
      <c r="AQ538" t="e">
        <f>IF(#REF!,"AAAAAC7H3yo=",0)</f>
        <v>#REF!</v>
      </c>
      <c r="AR538" t="e">
        <f>AND(#REF!,"AAAAAC7H3ys=")</f>
        <v>#REF!</v>
      </c>
      <c r="AS538" t="e">
        <f>AND(#REF!,"AAAAAC7H3yw=")</f>
        <v>#REF!</v>
      </c>
      <c r="AT538" t="e">
        <f>AND(#REF!,"AAAAAC7H3y0=")</f>
        <v>#REF!</v>
      </c>
      <c r="AU538" t="e">
        <f>AND(#REF!,"AAAAAC7H3y4=")</f>
        <v>#REF!</v>
      </c>
      <c r="AV538" t="e">
        <f>AND(#REF!,"AAAAAC7H3y8=")</f>
        <v>#REF!</v>
      </c>
      <c r="AW538" t="e">
        <f>AND(#REF!,"AAAAAC7H3zA=")</f>
        <v>#REF!</v>
      </c>
      <c r="AX538" t="e">
        <f>AND(#REF!,"AAAAAC7H3zE=")</f>
        <v>#REF!</v>
      </c>
      <c r="AY538" t="e">
        <f>AND(#REF!,"AAAAAC7H3zI=")</f>
        <v>#REF!</v>
      </c>
      <c r="AZ538" t="e">
        <f>AND(#REF!,"AAAAAC7H3zM=")</f>
        <v>#REF!</v>
      </c>
      <c r="BA538" t="e">
        <f>AND(#REF!,"AAAAAC7H3zQ=")</f>
        <v>#REF!</v>
      </c>
      <c r="BB538" t="e">
        <f>IF(#REF!,"AAAAAC7H3zU=",0)</f>
        <v>#REF!</v>
      </c>
      <c r="BC538" t="e">
        <f>AND(#REF!,"AAAAAC7H3zY=")</f>
        <v>#REF!</v>
      </c>
      <c r="BD538" t="e">
        <f>AND(#REF!,"AAAAAC7H3zc=")</f>
        <v>#REF!</v>
      </c>
      <c r="BE538" t="e">
        <f>AND(#REF!,"AAAAAC7H3zg=")</f>
        <v>#REF!</v>
      </c>
      <c r="BF538" t="e">
        <f>AND(#REF!,"AAAAAC7H3zk=")</f>
        <v>#REF!</v>
      </c>
      <c r="BG538" t="e">
        <f>AND(#REF!,"AAAAAC7H3zo=")</f>
        <v>#REF!</v>
      </c>
      <c r="BH538" t="e">
        <f>AND(#REF!,"AAAAAC7H3zs=")</f>
        <v>#REF!</v>
      </c>
      <c r="BI538" t="e">
        <f>AND(#REF!,"AAAAAC7H3zw=")</f>
        <v>#REF!</v>
      </c>
      <c r="BJ538" t="e">
        <f>AND(#REF!,"AAAAAC7H3z0=")</f>
        <v>#REF!</v>
      </c>
      <c r="BK538" t="e">
        <f>AND(#REF!,"AAAAAC7H3z4=")</f>
        <v>#REF!</v>
      </c>
      <c r="BL538" t="e">
        <f>AND(#REF!,"AAAAAC7H3z8=")</f>
        <v>#REF!</v>
      </c>
      <c r="BM538" t="e">
        <f>IF(#REF!,"AAAAAC7H30A=",0)</f>
        <v>#REF!</v>
      </c>
      <c r="BN538" t="e">
        <f>AND(#REF!,"AAAAAC7H30E=")</f>
        <v>#REF!</v>
      </c>
      <c r="BO538" t="e">
        <f>AND(#REF!,"AAAAAC7H30I=")</f>
        <v>#REF!</v>
      </c>
      <c r="BP538" t="e">
        <f>AND(#REF!,"AAAAAC7H30M=")</f>
        <v>#REF!</v>
      </c>
      <c r="BQ538" t="e">
        <f>AND(#REF!,"AAAAAC7H30Q=")</f>
        <v>#REF!</v>
      </c>
      <c r="BR538" t="e">
        <f>AND(#REF!,"AAAAAC7H30U=")</f>
        <v>#REF!</v>
      </c>
      <c r="BS538" t="e">
        <f>AND(#REF!,"AAAAAC7H30Y=")</f>
        <v>#REF!</v>
      </c>
      <c r="BT538" t="e">
        <f>AND(#REF!,"AAAAAC7H30c=")</f>
        <v>#REF!</v>
      </c>
      <c r="BU538" t="e">
        <f>AND(#REF!,"AAAAAC7H30g=")</f>
        <v>#REF!</v>
      </c>
      <c r="BV538" t="e">
        <f>AND(#REF!,"AAAAAC7H30k=")</f>
        <v>#REF!</v>
      </c>
      <c r="BW538" t="e">
        <f>AND(#REF!,"AAAAAC7H30o=")</f>
        <v>#REF!</v>
      </c>
      <c r="BX538" t="e">
        <f>IF(#REF!,"AAAAAC7H30s=",0)</f>
        <v>#REF!</v>
      </c>
      <c r="BY538" t="e">
        <f>AND(#REF!,"AAAAAC7H30w=")</f>
        <v>#REF!</v>
      </c>
      <c r="BZ538" t="e">
        <f>AND(#REF!,"AAAAAC7H300=")</f>
        <v>#REF!</v>
      </c>
      <c r="CA538" t="e">
        <f>AND(#REF!,"AAAAAC7H304=")</f>
        <v>#REF!</v>
      </c>
      <c r="CB538" t="e">
        <f>AND(#REF!,"AAAAAC7H308=")</f>
        <v>#REF!</v>
      </c>
      <c r="CC538" t="e">
        <f>AND(#REF!,"AAAAAC7H31A=")</f>
        <v>#REF!</v>
      </c>
      <c r="CD538" t="e">
        <f>AND(#REF!,"AAAAAC7H31E=")</f>
        <v>#REF!</v>
      </c>
      <c r="CE538" t="e">
        <f>AND(#REF!,"AAAAAC7H31I=")</f>
        <v>#REF!</v>
      </c>
      <c r="CF538" t="e">
        <f>AND(#REF!,"AAAAAC7H31M=")</f>
        <v>#REF!</v>
      </c>
      <c r="CG538" t="e">
        <f>AND(#REF!,"AAAAAC7H31Q=")</f>
        <v>#REF!</v>
      </c>
      <c r="CH538" t="e">
        <f>AND(#REF!,"AAAAAC7H31U=")</f>
        <v>#REF!</v>
      </c>
      <c r="CI538" t="e">
        <f>IF(#REF!,"AAAAAC7H31Y=",0)</f>
        <v>#REF!</v>
      </c>
      <c r="CJ538" t="e">
        <f>AND(#REF!,"AAAAAC7H31c=")</f>
        <v>#REF!</v>
      </c>
      <c r="CK538" t="e">
        <f>AND(#REF!,"AAAAAC7H31g=")</f>
        <v>#REF!</v>
      </c>
      <c r="CL538" t="e">
        <f>AND(#REF!,"AAAAAC7H31k=")</f>
        <v>#REF!</v>
      </c>
      <c r="CM538" t="e">
        <f>AND(#REF!,"AAAAAC7H31o=")</f>
        <v>#REF!</v>
      </c>
      <c r="CN538" t="e">
        <f>AND(#REF!,"AAAAAC7H31s=")</f>
        <v>#REF!</v>
      </c>
      <c r="CO538" t="e">
        <f>AND(#REF!,"AAAAAC7H31w=")</f>
        <v>#REF!</v>
      </c>
      <c r="CP538" t="e">
        <f>AND(#REF!,"AAAAAC7H310=")</f>
        <v>#REF!</v>
      </c>
      <c r="CQ538" t="e">
        <f>AND(#REF!,"AAAAAC7H314=")</f>
        <v>#REF!</v>
      </c>
      <c r="CR538" t="e">
        <f>AND(#REF!,"AAAAAC7H318=")</f>
        <v>#REF!</v>
      </c>
      <c r="CS538" t="e">
        <f>AND(#REF!,"AAAAAC7H32A=")</f>
        <v>#REF!</v>
      </c>
      <c r="CT538" t="e">
        <f>IF(#REF!,"AAAAAC7H32E=",0)</f>
        <v>#REF!</v>
      </c>
      <c r="CU538" t="e">
        <f>AND(#REF!,"AAAAAC7H32I=")</f>
        <v>#REF!</v>
      </c>
      <c r="CV538" t="e">
        <f>AND(#REF!,"AAAAAC7H32M=")</f>
        <v>#REF!</v>
      </c>
      <c r="CW538" t="e">
        <f>AND(#REF!,"AAAAAC7H32Q=")</f>
        <v>#REF!</v>
      </c>
      <c r="CX538" t="e">
        <f>AND(#REF!,"AAAAAC7H32U=")</f>
        <v>#REF!</v>
      </c>
      <c r="CY538" t="e">
        <f>AND(#REF!,"AAAAAC7H32Y=")</f>
        <v>#REF!</v>
      </c>
      <c r="CZ538" t="e">
        <f>AND(#REF!,"AAAAAC7H32c=")</f>
        <v>#REF!</v>
      </c>
      <c r="DA538" t="e">
        <f>AND(#REF!,"AAAAAC7H32g=")</f>
        <v>#REF!</v>
      </c>
      <c r="DB538" t="e">
        <f>AND(#REF!,"AAAAAC7H32k=")</f>
        <v>#REF!</v>
      </c>
      <c r="DC538" t="e">
        <f>AND(#REF!,"AAAAAC7H32o=")</f>
        <v>#REF!</v>
      </c>
      <c r="DD538" t="e">
        <f>AND(#REF!,"AAAAAC7H32s=")</f>
        <v>#REF!</v>
      </c>
      <c r="DE538" t="e">
        <f>IF(#REF!,"AAAAAC7H32w=",0)</f>
        <v>#REF!</v>
      </c>
      <c r="DF538" t="e">
        <f>AND(#REF!,"AAAAAC7H320=")</f>
        <v>#REF!</v>
      </c>
      <c r="DG538" t="e">
        <f>AND(#REF!,"AAAAAC7H324=")</f>
        <v>#REF!</v>
      </c>
      <c r="DH538" t="e">
        <f>AND(#REF!,"AAAAAC7H328=")</f>
        <v>#REF!</v>
      </c>
      <c r="DI538" t="e">
        <f>AND(#REF!,"AAAAAC7H33A=")</f>
        <v>#REF!</v>
      </c>
      <c r="DJ538" t="e">
        <f>AND(#REF!,"AAAAAC7H33E=")</f>
        <v>#REF!</v>
      </c>
      <c r="DK538" t="e">
        <f>AND(#REF!,"AAAAAC7H33I=")</f>
        <v>#REF!</v>
      </c>
      <c r="DL538" t="e">
        <f>AND(#REF!,"AAAAAC7H33M=")</f>
        <v>#REF!</v>
      </c>
      <c r="DM538" t="e">
        <f>AND(#REF!,"AAAAAC7H33Q=")</f>
        <v>#REF!</v>
      </c>
      <c r="DN538" t="e">
        <f>AND(#REF!,"AAAAAC7H33U=")</f>
        <v>#REF!</v>
      </c>
      <c r="DO538" t="e">
        <f>AND(#REF!,"AAAAAC7H33Y=")</f>
        <v>#REF!</v>
      </c>
      <c r="DP538" t="e">
        <f>IF(#REF!,"AAAAAC7H33c=",0)</f>
        <v>#REF!</v>
      </c>
      <c r="DQ538" t="e">
        <f>AND(#REF!,"AAAAAC7H33g=")</f>
        <v>#REF!</v>
      </c>
      <c r="DR538" t="e">
        <f>AND(#REF!,"AAAAAC7H33k=")</f>
        <v>#REF!</v>
      </c>
      <c r="DS538" t="e">
        <f>AND(#REF!,"AAAAAC7H33o=")</f>
        <v>#REF!</v>
      </c>
      <c r="DT538" t="e">
        <f>AND(#REF!,"AAAAAC7H33s=")</f>
        <v>#REF!</v>
      </c>
      <c r="DU538" t="e">
        <f>AND(#REF!,"AAAAAC7H33w=")</f>
        <v>#REF!</v>
      </c>
      <c r="DV538" t="e">
        <f>AND(#REF!,"AAAAAC7H330=")</f>
        <v>#REF!</v>
      </c>
      <c r="DW538" t="e">
        <f>AND(#REF!,"AAAAAC7H334=")</f>
        <v>#REF!</v>
      </c>
      <c r="DX538" t="e">
        <f>AND(#REF!,"AAAAAC7H338=")</f>
        <v>#REF!</v>
      </c>
      <c r="DY538" t="e">
        <f>AND(#REF!,"AAAAAC7H34A=")</f>
        <v>#REF!</v>
      </c>
      <c r="DZ538" t="e">
        <f>AND(#REF!,"AAAAAC7H34E=")</f>
        <v>#REF!</v>
      </c>
      <c r="EA538" t="e">
        <f>IF(#REF!,"AAAAAC7H34I=",0)</f>
        <v>#REF!</v>
      </c>
      <c r="EB538" t="e">
        <f>AND(#REF!,"AAAAAC7H34M=")</f>
        <v>#REF!</v>
      </c>
      <c r="EC538" t="e">
        <f>AND(#REF!,"AAAAAC7H34Q=")</f>
        <v>#REF!</v>
      </c>
      <c r="ED538" t="e">
        <f>AND(#REF!,"AAAAAC7H34U=")</f>
        <v>#REF!</v>
      </c>
      <c r="EE538" t="e">
        <f>AND(#REF!,"AAAAAC7H34Y=")</f>
        <v>#REF!</v>
      </c>
      <c r="EF538" t="e">
        <f>AND(#REF!,"AAAAAC7H34c=")</f>
        <v>#REF!</v>
      </c>
      <c r="EG538" t="e">
        <f>AND(#REF!,"AAAAAC7H34g=")</f>
        <v>#REF!</v>
      </c>
      <c r="EH538" t="e">
        <f>AND(#REF!,"AAAAAC7H34k=")</f>
        <v>#REF!</v>
      </c>
      <c r="EI538" t="e">
        <f>AND(#REF!,"AAAAAC7H34o=")</f>
        <v>#REF!</v>
      </c>
      <c r="EJ538" t="e">
        <f>AND(#REF!,"AAAAAC7H34s=")</f>
        <v>#REF!</v>
      </c>
      <c r="EK538" t="e">
        <f>AND(#REF!,"AAAAAC7H34w=")</f>
        <v>#REF!</v>
      </c>
      <c r="EL538" t="e">
        <f>IF(#REF!,"AAAAAC7H340=",0)</f>
        <v>#REF!</v>
      </c>
      <c r="EM538" t="e">
        <f>AND(#REF!,"AAAAAC7H344=")</f>
        <v>#REF!</v>
      </c>
      <c r="EN538" t="e">
        <f>AND(#REF!,"AAAAAC7H348=")</f>
        <v>#REF!</v>
      </c>
      <c r="EO538" t="e">
        <f>AND(#REF!,"AAAAAC7H35A=")</f>
        <v>#REF!</v>
      </c>
      <c r="EP538" t="e">
        <f>AND(#REF!,"AAAAAC7H35E=")</f>
        <v>#REF!</v>
      </c>
      <c r="EQ538" t="e">
        <f>AND(#REF!,"AAAAAC7H35I=")</f>
        <v>#REF!</v>
      </c>
      <c r="ER538" t="e">
        <f>AND(#REF!,"AAAAAC7H35M=")</f>
        <v>#REF!</v>
      </c>
      <c r="ES538" t="e">
        <f>AND(#REF!,"AAAAAC7H35Q=")</f>
        <v>#REF!</v>
      </c>
      <c r="ET538" t="e">
        <f>AND(#REF!,"AAAAAC7H35U=")</f>
        <v>#REF!</v>
      </c>
      <c r="EU538" t="e">
        <f>AND(#REF!,"AAAAAC7H35Y=")</f>
        <v>#REF!</v>
      </c>
      <c r="EV538" t="e">
        <f>AND(#REF!,"AAAAAC7H35c=")</f>
        <v>#REF!</v>
      </c>
      <c r="EW538" t="e">
        <f>IF(#REF!,"AAAAAC7H35g=",0)</f>
        <v>#REF!</v>
      </c>
      <c r="EX538" t="e">
        <f>AND(#REF!,"AAAAAC7H35k=")</f>
        <v>#REF!</v>
      </c>
      <c r="EY538" t="e">
        <f>AND(#REF!,"AAAAAC7H35o=")</f>
        <v>#REF!</v>
      </c>
      <c r="EZ538" t="e">
        <f>AND(#REF!,"AAAAAC7H35s=")</f>
        <v>#REF!</v>
      </c>
      <c r="FA538" t="e">
        <f>AND(#REF!,"AAAAAC7H35w=")</f>
        <v>#REF!</v>
      </c>
      <c r="FB538" t="e">
        <f>AND(#REF!,"AAAAAC7H350=")</f>
        <v>#REF!</v>
      </c>
      <c r="FC538" t="e">
        <f>AND(#REF!,"AAAAAC7H354=")</f>
        <v>#REF!</v>
      </c>
      <c r="FD538" t="e">
        <f>AND(#REF!,"AAAAAC7H358=")</f>
        <v>#REF!</v>
      </c>
      <c r="FE538" t="e">
        <f>AND(#REF!,"AAAAAC7H36A=")</f>
        <v>#REF!</v>
      </c>
      <c r="FF538" t="e">
        <f>AND(#REF!,"AAAAAC7H36E=")</f>
        <v>#REF!</v>
      </c>
      <c r="FG538" t="e">
        <f>AND(#REF!,"AAAAAC7H36I=")</f>
        <v>#REF!</v>
      </c>
      <c r="FH538" t="e">
        <f>IF(#REF!,"AAAAAC7H36M=",0)</f>
        <v>#REF!</v>
      </c>
      <c r="FI538" t="e">
        <f>AND(#REF!,"AAAAAC7H36Q=")</f>
        <v>#REF!</v>
      </c>
      <c r="FJ538" t="e">
        <f>AND(#REF!,"AAAAAC7H36U=")</f>
        <v>#REF!</v>
      </c>
      <c r="FK538" t="e">
        <f>AND(#REF!,"AAAAAC7H36Y=")</f>
        <v>#REF!</v>
      </c>
      <c r="FL538" t="e">
        <f>AND(#REF!,"AAAAAC7H36c=")</f>
        <v>#REF!</v>
      </c>
      <c r="FM538" t="e">
        <f>AND(#REF!,"AAAAAC7H36g=")</f>
        <v>#REF!</v>
      </c>
      <c r="FN538" t="e">
        <f>AND(#REF!,"AAAAAC7H36k=")</f>
        <v>#REF!</v>
      </c>
      <c r="FO538" t="e">
        <f>AND(#REF!,"AAAAAC7H36o=")</f>
        <v>#REF!</v>
      </c>
      <c r="FP538" t="e">
        <f>AND(#REF!,"AAAAAC7H36s=")</f>
        <v>#REF!</v>
      </c>
      <c r="FQ538" t="e">
        <f>AND(#REF!,"AAAAAC7H36w=")</f>
        <v>#REF!</v>
      </c>
      <c r="FR538" t="e">
        <f>AND(#REF!,"AAAAAC7H360=")</f>
        <v>#REF!</v>
      </c>
      <c r="FS538" t="e">
        <f>IF(#REF!,"AAAAAC7H364=",0)</f>
        <v>#REF!</v>
      </c>
      <c r="FT538" t="e">
        <f>AND(#REF!,"AAAAAC7H368=")</f>
        <v>#REF!</v>
      </c>
      <c r="FU538" t="e">
        <f>AND(#REF!,"AAAAAC7H37A=")</f>
        <v>#REF!</v>
      </c>
      <c r="FV538" t="e">
        <f>AND(#REF!,"AAAAAC7H37E=")</f>
        <v>#REF!</v>
      </c>
      <c r="FW538" t="e">
        <f>AND(#REF!,"AAAAAC7H37I=")</f>
        <v>#REF!</v>
      </c>
      <c r="FX538" t="e">
        <f>AND(#REF!,"AAAAAC7H37M=")</f>
        <v>#REF!</v>
      </c>
      <c r="FY538" t="e">
        <f>AND(#REF!,"AAAAAC7H37Q=")</f>
        <v>#REF!</v>
      </c>
      <c r="FZ538" t="e">
        <f>AND(#REF!,"AAAAAC7H37U=")</f>
        <v>#REF!</v>
      </c>
      <c r="GA538" t="e">
        <f>AND(#REF!,"AAAAAC7H37Y=")</f>
        <v>#REF!</v>
      </c>
      <c r="GB538" t="e">
        <f>AND(#REF!,"AAAAAC7H37c=")</f>
        <v>#REF!</v>
      </c>
      <c r="GC538" t="e">
        <f>AND(#REF!,"AAAAAC7H37g=")</f>
        <v>#REF!</v>
      </c>
      <c r="GD538" t="e">
        <f>IF(#REF!,"AAAAAC7H37k=",0)</f>
        <v>#REF!</v>
      </c>
      <c r="GE538" t="e">
        <f>AND(#REF!,"AAAAAC7H37o=")</f>
        <v>#REF!</v>
      </c>
      <c r="GF538" t="e">
        <f>AND(#REF!,"AAAAAC7H37s=")</f>
        <v>#REF!</v>
      </c>
      <c r="GG538" t="e">
        <f>AND(#REF!,"AAAAAC7H37w=")</f>
        <v>#REF!</v>
      </c>
      <c r="GH538" t="e">
        <f>AND(#REF!,"AAAAAC7H370=")</f>
        <v>#REF!</v>
      </c>
      <c r="GI538" t="e">
        <f>AND(#REF!,"AAAAAC7H374=")</f>
        <v>#REF!</v>
      </c>
      <c r="GJ538" t="e">
        <f>AND(#REF!,"AAAAAC7H378=")</f>
        <v>#REF!</v>
      </c>
      <c r="GK538" t="e">
        <f>AND(#REF!,"AAAAAC7H38A=")</f>
        <v>#REF!</v>
      </c>
      <c r="GL538" t="e">
        <f>AND(#REF!,"AAAAAC7H38E=")</f>
        <v>#REF!</v>
      </c>
      <c r="GM538" t="e">
        <f>AND(#REF!,"AAAAAC7H38I=")</f>
        <v>#REF!</v>
      </c>
      <c r="GN538" t="e">
        <f>AND(#REF!,"AAAAAC7H38M=")</f>
        <v>#REF!</v>
      </c>
      <c r="GO538" t="e">
        <f>IF(#REF!,"AAAAAC7H38Q=",0)</f>
        <v>#REF!</v>
      </c>
      <c r="GP538" t="e">
        <f>AND(#REF!,"AAAAAC7H38U=")</f>
        <v>#REF!</v>
      </c>
      <c r="GQ538" t="e">
        <f>AND(#REF!,"AAAAAC7H38Y=")</f>
        <v>#REF!</v>
      </c>
      <c r="GR538" t="e">
        <f>AND(#REF!,"AAAAAC7H38c=")</f>
        <v>#REF!</v>
      </c>
      <c r="GS538" t="e">
        <f>AND(#REF!,"AAAAAC7H38g=")</f>
        <v>#REF!</v>
      </c>
      <c r="GT538" t="e">
        <f>AND(#REF!,"AAAAAC7H38k=")</f>
        <v>#REF!</v>
      </c>
      <c r="GU538" t="e">
        <f>AND(#REF!,"AAAAAC7H38o=")</f>
        <v>#REF!</v>
      </c>
      <c r="GV538" t="e">
        <f>AND(#REF!,"AAAAAC7H38s=")</f>
        <v>#REF!</v>
      </c>
      <c r="GW538" t="e">
        <f>AND(#REF!,"AAAAAC7H38w=")</f>
        <v>#REF!</v>
      </c>
      <c r="GX538" t="e">
        <f>AND(#REF!,"AAAAAC7H380=")</f>
        <v>#REF!</v>
      </c>
      <c r="GY538" t="e">
        <f>AND(#REF!,"AAAAAC7H384=")</f>
        <v>#REF!</v>
      </c>
      <c r="GZ538" t="e">
        <f>IF(#REF!,"AAAAAC7H388=",0)</f>
        <v>#REF!</v>
      </c>
      <c r="HA538" t="e">
        <f>AND(#REF!,"AAAAAC7H39A=")</f>
        <v>#REF!</v>
      </c>
      <c r="HB538" t="e">
        <f>AND(#REF!,"AAAAAC7H39E=")</f>
        <v>#REF!</v>
      </c>
      <c r="HC538" t="e">
        <f>AND(#REF!,"AAAAAC7H39I=")</f>
        <v>#REF!</v>
      </c>
      <c r="HD538" t="e">
        <f>AND(#REF!,"AAAAAC7H39M=")</f>
        <v>#REF!</v>
      </c>
      <c r="HE538" t="e">
        <f>AND(#REF!,"AAAAAC7H39Q=")</f>
        <v>#REF!</v>
      </c>
      <c r="HF538" t="e">
        <f>AND(#REF!,"AAAAAC7H39U=")</f>
        <v>#REF!</v>
      </c>
      <c r="HG538" t="e">
        <f>AND(#REF!,"AAAAAC7H39Y=")</f>
        <v>#REF!</v>
      </c>
      <c r="HH538" t="e">
        <f>AND(#REF!,"AAAAAC7H39c=")</f>
        <v>#REF!</v>
      </c>
      <c r="HI538" t="e">
        <f>AND(#REF!,"AAAAAC7H39g=")</f>
        <v>#REF!</v>
      </c>
      <c r="HJ538" t="e">
        <f>AND(#REF!,"AAAAAC7H39k=")</f>
        <v>#REF!</v>
      </c>
      <c r="HK538" t="e">
        <f>IF(#REF!,"AAAAAC7H39o=",0)</f>
        <v>#REF!</v>
      </c>
      <c r="HL538" t="e">
        <f>AND(#REF!,"AAAAAC7H39s=")</f>
        <v>#REF!</v>
      </c>
      <c r="HM538" t="e">
        <f>AND(#REF!,"AAAAAC7H39w=")</f>
        <v>#REF!</v>
      </c>
      <c r="HN538" t="e">
        <f>AND(#REF!,"AAAAAC7H390=")</f>
        <v>#REF!</v>
      </c>
      <c r="HO538" t="e">
        <f>AND(#REF!,"AAAAAC7H394=")</f>
        <v>#REF!</v>
      </c>
      <c r="HP538" t="e">
        <f>AND(#REF!,"AAAAAC7H398=")</f>
        <v>#REF!</v>
      </c>
      <c r="HQ538" t="e">
        <f>AND(#REF!,"AAAAAC7H3+A=")</f>
        <v>#REF!</v>
      </c>
      <c r="HR538" t="e">
        <f>AND(#REF!,"AAAAAC7H3+E=")</f>
        <v>#REF!</v>
      </c>
      <c r="HS538" t="e">
        <f>AND(#REF!,"AAAAAC7H3+I=")</f>
        <v>#REF!</v>
      </c>
      <c r="HT538" t="e">
        <f>AND(#REF!,"AAAAAC7H3+M=")</f>
        <v>#REF!</v>
      </c>
      <c r="HU538" t="e">
        <f>AND(#REF!,"AAAAAC7H3+Q=")</f>
        <v>#REF!</v>
      </c>
      <c r="HV538" t="e">
        <f>IF(#REF!,"AAAAAC7H3+U=",0)</f>
        <v>#REF!</v>
      </c>
      <c r="HW538" t="e">
        <f>AND(#REF!,"AAAAAC7H3+Y=")</f>
        <v>#REF!</v>
      </c>
      <c r="HX538" t="e">
        <f>AND(#REF!,"AAAAAC7H3+c=")</f>
        <v>#REF!</v>
      </c>
      <c r="HY538" t="e">
        <f>AND(#REF!,"AAAAAC7H3+g=")</f>
        <v>#REF!</v>
      </c>
      <c r="HZ538" t="e">
        <f>AND(#REF!,"AAAAAC7H3+k=")</f>
        <v>#REF!</v>
      </c>
      <c r="IA538" t="e">
        <f>AND(#REF!,"AAAAAC7H3+o=")</f>
        <v>#REF!</v>
      </c>
      <c r="IB538" t="e">
        <f>AND(#REF!,"AAAAAC7H3+s=")</f>
        <v>#REF!</v>
      </c>
      <c r="IC538" t="e">
        <f>AND(#REF!,"AAAAAC7H3+w=")</f>
        <v>#REF!</v>
      </c>
      <c r="ID538" t="e">
        <f>AND(#REF!,"AAAAAC7H3+0=")</f>
        <v>#REF!</v>
      </c>
      <c r="IE538" t="e">
        <f>AND(#REF!,"AAAAAC7H3+4=")</f>
        <v>#REF!</v>
      </c>
      <c r="IF538" t="e">
        <f>AND(#REF!,"AAAAAC7H3+8=")</f>
        <v>#REF!</v>
      </c>
      <c r="IG538" t="e">
        <f>IF(#REF!,"AAAAAC7H3/A=",0)</f>
        <v>#REF!</v>
      </c>
      <c r="IH538" t="e">
        <f>AND(#REF!,"AAAAAC7H3/E=")</f>
        <v>#REF!</v>
      </c>
      <c r="II538" t="e">
        <f>AND(#REF!,"AAAAAC7H3/I=")</f>
        <v>#REF!</v>
      </c>
      <c r="IJ538" t="e">
        <f>AND(#REF!,"AAAAAC7H3/M=")</f>
        <v>#REF!</v>
      </c>
      <c r="IK538" t="e">
        <f>AND(#REF!,"AAAAAC7H3/Q=")</f>
        <v>#REF!</v>
      </c>
      <c r="IL538" t="e">
        <f>AND(#REF!,"AAAAAC7H3/U=")</f>
        <v>#REF!</v>
      </c>
      <c r="IM538" t="e">
        <f>AND(#REF!,"AAAAAC7H3/Y=")</f>
        <v>#REF!</v>
      </c>
      <c r="IN538" t="e">
        <f>AND(#REF!,"AAAAAC7H3/c=")</f>
        <v>#REF!</v>
      </c>
      <c r="IO538" t="e">
        <f>AND(#REF!,"AAAAAC7H3/g=")</f>
        <v>#REF!</v>
      </c>
      <c r="IP538" t="e">
        <f>AND(#REF!,"AAAAAC7H3/k=")</f>
        <v>#REF!</v>
      </c>
      <c r="IQ538" t="e">
        <f>AND(#REF!,"AAAAAC7H3/o=")</f>
        <v>#REF!</v>
      </c>
      <c r="IR538" t="e">
        <f>IF(#REF!,"AAAAAC7H3/s=",0)</f>
        <v>#REF!</v>
      </c>
      <c r="IS538" t="e">
        <f>AND(#REF!,"AAAAAC7H3/w=")</f>
        <v>#REF!</v>
      </c>
      <c r="IT538" t="e">
        <f>AND(#REF!,"AAAAAC7H3/0=")</f>
        <v>#REF!</v>
      </c>
      <c r="IU538" t="e">
        <f>AND(#REF!,"AAAAAC7H3/4=")</f>
        <v>#REF!</v>
      </c>
      <c r="IV538" t="e">
        <f>AND(#REF!,"AAAAAC7H3/8=")</f>
        <v>#REF!</v>
      </c>
    </row>
    <row r="539" spans="1:256" x14ac:dyDescent="0.25">
      <c r="A539" t="e">
        <f>AND(#REF!,"AAAAAD/XkAA=")</f>
        <v>#REF!</v>
      </c>
      <c r="B539" t="e">
        <f>AND(#REF!,"AAAAAD/XkAE=")</f>
        <v>#REF!</v>
      </c>
      <c r="C539" t="e">
        <f>AND(#REF!,"AAAAAD/XkAI=")</f>
        <v>#REF!</v>
      </c>
      <c r="D539" t="e">
        <f>AND(#REF!,"AAAAAD/XkAM=")</f>
        <v>#REF!</v>
      </c>
      <c r="E539" t="e">
        <f>AND(#REF!,"AAAAAD/XkAQ=")</f>
        <v>#REF!</v>
      </c>
      <c r="F539" t="e">
        <f>AND(#REF!,"AAAAAD/XkAU=")</f>
        <v>#REF!</v>
      </c>
      <c r="G539" t="e">
        <f>IF(#REF!,"AAAAAD/XkAY=",0)</f>
        <v>#REF!</v>
      </c>
      <c r="H539" t="e">
        <f>AND(#REF!,"AAAAAD/XkAc=")</f>
        <v>#REF!</v>
      </c>
      <c r="I539" t="e">
        <f>AND(#REF!,"AAAAAD/XkAg=")</f>
        <v>#REF!</v>
      </c>
      <c r="J539" t="e">
        <f>AND(#REF!,"AAAAAD/XkAk=")</f>
        <v>#REF!</v>
      </c>
      <c r="K539" t="e">
        <f>AND(#REF!,"AAAAAD/XkAo=")</f>
        <v>#REF!</v>
      </c>
      <c r="L539" t="e">
        <f>AND(#REF!,"AAAAAD/XkAs=")</f>
        <v>#REF!</v>
      </c>
      <c r="M539" t="e">
        <f>AND(#REF!,"AAAAAD/XkAw=")</f>
        <v>#REF!</v>
      </c>
      <c r="N539" t="e">
        <f>AND(#REF!,"AAAAAD/XkA0=")</f>
        <v>#REF!</v>
      </c>
      <c r="O539" t="e">
        <f>AND(#REF!,"AAAAAD/XkA4=")</f>
        <v>#REF!</v>
      </c>
      <c r="P539" t="e">
        <f>AND(#REF!,"AAAAAD/XkA8=")</f>
        <v>#REF!</v>
      </c>
      <c r="Q539" t="e">
        <f>AND(#REF!,"AAAAAD/XkBA=")</f>
        <v>#REF!</v>
      </c>
      <c r="R539" t="e">
        <f>IF(#REF!,"AAAAAD/XkBE=",0)</f>
        <v>#REF!</v>
      </c>
      <c r="S539" t="e">
        <f>AND(#REF!,"AAAAAD/XkBI=")</f>
        <v>#REF!</v>
      </c>
      <c r="T539" t="e">
        <f>AND(#REF!,"AAAAAD/XkBM=")</f>
        <v>#REF!</v>
      </c>
      <c r="U539" t="e">
        <f>AND(#REF!,"AAAAAD/XkBQ=")</f>
        <v>#REF!</v>
      </c>
      <c r="V539" t="e">
        <f>AND(#REF!,"AAAAAD/XkBU=")</f>
        <v>#REF!</v>
      </c>
      <c r="W539" t="e">
        <f>AND(#REF!,"AAAAAD/XkBY=")</f>
        <v>#REF!</v>
      </c>
      <c r="X539" t="e">
        <f>AND(#REF!,"AAAAAD/XkBc=")</f>
        <v>#REF!</v>
      </c>
      <c r="Y539" t="e">
        <f>AND(#REF!,"AAAAAD/XkBg=")</f>
        <v>#REF!</v>
      </c>
      <c r="Z539" t="e">
        <f>AND(#REF!,"AAAAAD/XkBk=")</f>
        <v>#REF!</v>
      </c>
      <c r="AA539" t="e">
        <f>AND(#REF!,"AAAAAD/XkBo=")</f>
        <v>#REF!</v>
      </c>
      <c r="AB539" t="e">
        <f>AND(#REF!,"AAAAAD/XkBs=")</f>
        <v>#REF!</v>
      </c>
      <c r="AC539" t="e">
        <f>IF(#REF!,"AAAAAD/XkBw=",0)</f>
        <v>#REF!</v>
      </c>
      <c r="AD539" t="e">
        <f>AND(#REF!,"AAAAAD/XkB0=")</f>
        <v>#REF!</v>
      </c>
      <c r="AE539" t="e">
        <f>AND(#REF!,"AAAAAD/XkB4=")</f>
        <v>#REF!</v>
      </c>
      <c r="AF539" t="e">
        <f>AND(#REF!,"AAAAAD/XkB8=")</f>
        <v>#REF!</v>
      </c>
      <c r="AG539" t="e">
        <f>AND(#REF!,"AAAAAD/XkCA=")</f>
        <v>#REF!</v>
      </c>
      <c r="AH539" t="e">
        <f>AND(#REF!,"AAAAAD/XkCE=")</f>
        <v>#REF!</v>
      </c>
      <c r="AI539" t="e">
        <f>AND(#REF!,"AAAAAD/XkCI=")</f>
        <v>#REF!</v>
      </c>
      <c r="AJ539" t="e">
        <f>AND(#REF!,"AAAAAD/XkCM=")</f>
        <v>#REF!</v>
      </c>
      <c r="AK539" t="e">
        <f>AND(#REF!,"AAAAAD/XkCQ=")</f>
        <v>#REF!</v>
      </c>
      <c r="AL539" t="e">
        <f>AND(#REF!,"AAAAAD/XkCU=")</f>
        <v>#REF!</v>
      </c>
      <c r="AM539" t="e">
        <f>AND(#REF!,"AAAAAD/XkCY=")</f>
        <v>#REF!</v>
      </c>
      <c r="AN539" t="e">
        <f>IF(#REF!,"AAAAAD/XkCc=",0)</f>
        <v>#REF!</v>
      </c>
      <c r="AO539" t="e">
        <f>AND(#REF!,"AAAAAD/XkCg=")</f>
        <v>#REF!</v>
      </c>
      <c r="AP539" t="e">
        <f>AND(#REF!,"AAAAAD/XkCk=")</f>
        <v>#REF!</v>
      </c>
      <c r="AQ539" t="e">
        <f>AND(#REF!,"AAAAAD/XkCo=")</f>
        <v>#REF!</v>
      </c>
      <c r="AR539" t="e">
        <f>AND(#REF!,"AAAAAD/XkCs=")</f>
        <v>#REF!</v>
      </c>
      <c r="AS539" t="e">
        <f>AND(#REF!,"AAAAAD/XkCw=")</f>
        <v>#REF!</v>
      </c>
      <c r="AT539" t="e">
        <f>AND(#REF!,"AAAAAD/XkC0=")</f>
        <v>#REF!</v>
      </c>
      <c r="AU539" t="e">
        <f>AND(#REF!,"AAAAAD/XkC4=")</f>
        <v>#REF!</v>
      </c>
      <c r="AV539" t="e">
        <f>AND(#REF!,"AAAAAD/XkC8=")</f>
        <v>#REF!</v>
      </c>
      <c r="AW539" t="e">
        <f>AND(#REF!,"AAAAAD/XkDA=")</f>
        <v>#REF!</v>
      </c>
      <c r="AX539" t="e">
        <f>AND(#REF!,"AAAAAD/XkDE=")</f>
        <v>#REF!</v>
      </c>
      <c r="AY539" t="e">
        <f>IF(#REF!,"AAAAAD/XkDI=",0)</f>
        <v>#REF!</v>
      </c>
      <c r="AZ539" t="e">
        <f>AND(#REF!,"AAAAAD/XkDM=")</f>
        <v>#REF!</v>
      </c>
      <c r="BA539" t="e">
        <f>AND(#REF!,"AAAAAD/XkDQ=")</f>
        <v>#REF!</v>
      </c>
      <c r="BB539" t="e">
        <f>AND(#REF!,"AAAAAD/XkDU=")</f>
        <v>#REF!</v>
      </c>
      <c r="BC539" t="e">
        <f>AND(#REF!,"AAAAAD/XkDY=")</f>
        <v>#REF!</v>
      </c>
      <c r="BD539" t="e">
        <f>AND(#REF!,"AAAAAD/XkDc=")</f>
        <v>#REF!</v>
      </c>
      <c r="BE539" t="e">
        <f>AND(#REF!,"AAAAAD/XkDg=")</f>
        <v>#REF!</v>
      </c>
      <c r="BF539" t="e">
        <f>AND(#REF!,"AAAAAD/XkDk=")</f>
        <v>#REF!</v>
      </c>
      <c r="BG539" t="e">
        <f>AND(#REF!,"AAAAAD/XkDo=")</f>
        <v>#REF!</v>
      </c>
      <c r="BH539" t="e">
        <f>AND(#REF!,"AAAAAD/XkDs=")</f>
        <v>#REF!</v>
      </c>
      <c r="BI539" t="e">
        <f>AND(#REF!,"AAAAAD/XkDw=")</f>
        <v>#REF!</v>
      </c>
      <c r="BJ539" t="e">
        <f>IF(#REF!,"AAAAAD/XkD0=",0)</f>
        <v>#REF!</v>
      </c>
      <c r="BK539" t="e">
        <f>AND(#REF!,"AAAAAD/XkD4=")</f>
        <v>#REF!</v>
      </c>
      <c r="BL539" t="e">
        <f>AND(#REF!,"AAAAAD/XkD8=")</f>
        <v>#REF!</v>
      </c>
      <c r="BM539" t="e">
        <f>AND(#REF!,"AAAAAD/XkEA=")</f>
        <v>#REF!</v>
      </c>
      <c r="BN539" t="e">
        <f>AND(#REF!,"AAAAAD/XkEE=")</f>
        <v>#REF!</v>
      </c>
      <c r="BO539" t="e">
        <f>AND(#REF!,"AAAAAD/XkEI=")</f>
        <v>#REF!</v>
      </c>
      <c r="BP539" t="e">
        <f>AND(#REF!,"AAAAAD/XkEM=")</f>
        <v>#REF!</v>
      </c>
      <c r="BQ539" t="e">
        <f>AND(#REF!,"AAAAAD/XkEQ=")</f>
        <v>#REF!</v>
      </c>
      <c r="BR539" t="e">
        <f>AND(#REF!,"AAAAAD/XkEU=")</f>
        <v>#REF!</v>
      </c>
      <c r="BS539" t="e">
        <f>AND(#REF!,"AAAAAD/XkEY=")</f>
        <v>#REF!</v>
      </c>
      <c r="BT539" t="e">
        <f>AND(#REF!,"AAAAAD/XkEc=")</f>
        <v>#REF!</v>
      </c>
      <c r="BU539" t="e">
        <f>IF(#REF!,"AAAAAD/XkEg=",0)</f>
        <v>#REF!</v>
      </c>
      <c r="BV539" t="e">
        <f>AND(#REF!,"AAAAAD/XkEk=")</f>
        <v>#REF!</v>
      </c>
      <c r="BW539" t="e">
        <f>AND(#REF!,"AAAAAD/XkEo=")</f>
        <v>#REF!</v>
      </c>
      <c r="BX539" t="e">
        <f>AND(#REF!,"AAAAAD/XkEs=")</f>
        <v>#REF!</v>
      </c>
      <c r="BY539" t="e">
        <f>AND(#REF!,"AAAAAD/XkEw=")</f>
        <v>#REF!</v>
      </c>
      <c r="BZ539" t="e">
        <f>AND(#REF!,"AAAAAD/XkE0=")</f>
        <v>#REF!</v>
      </c>
      <c r="CA539" t="e">
        <f>AND(#REF!,"AAAAAD/XkE4=")</f>
        <v>#REF!</v>
      </c>
      <c r="CB539" t="e">
        <f>AND(#REF!,"AAAAAD/XkE8=")</f>
        <v>#REF!</v>
      </c>
      <c r="CC539" t="e">
        <f>AND(#REF!,"AAAAAD/XkFA=")</f>
        <v>#REF!</v>
      </c>
      <c r="CD539" t="e">
        <f>AND(#REF!,"AAAAAD/XkFE=")</f>
        <v>#REF!</v>
      </c>
      <c r="CE539" t="e">
        <f>AND(#REF!,"AAAAAD/XkFI=")</f>
        <v>#REF!</v>
      </c>
      <c r="CF539" t="e">
        <f>IF(#REF!,"AAAAAD/XkFM=",0)</f>
        <v>#REF!</v>
      </c>
      <c r="CG539" t="e">
        <f>AND(#REF!,"AAAAAD/XkFQ=")</f>
        <v>#REF!</v>
      </c>
      <c r="CH539" t="e">
        <f>AND(#REF!,"AAAAAD/XkFU=")</f>
        <v>#REF!</v>
      </c>
      <c r="CI539" t="e">
        <f>AND(#REF!,"AAAAAD/XkFY=")</f>
        <v>#REF!</v>
      </c>
      <c r="CJ539" t="e">
        <f>AND(#REF!,"AAAAAD/XkFc=")</f>
        <v>#REF!</v>
      </c>
      <c r="CK539" t="e">
        <f>AND(#REF!,"AAAAAD/XkFg=")</f>
        <v>#REF!</v>
      </c>
      <c r="CL539" t="e">
        <f>AND(#REF!,"AAAAAD/XkFk=")</f>
        <v>#REF!</v>
      </c>
      <c r="CM539" t="e">
        <f>AND(#REF!,"AAAAAD/XkFo=")</f>
        <v>#REF!</v>
      </c>
      <c r="CN539" t="e">
        <f>AND(#REF!,"AAAAAD/XkFs=")</f>
        <v>#REF!</v>
      </c>
      <c r="CO539" t="e">
        <f>AND(#REF!,"AAAAAD/XkFw=")</f>
        <v>#REF!</v>
      </c>
      <c r="CP539" t="e">
        <f>AND(#REF!,"AAAAAD/XkF0=")</f>
        <v>#REF!</v>
      </c>
      <c r="CQ539" t="e">
        <f>IF(#REF!,"AAAAAD/XkF4=",0)</f>
        <v>#REF!</v>
      </c>
      <c r="CR539" t="e">
        <f>AND(#REF!,"AAAAAD/XkF8=")</f>
        <v>#REF!</v>
      </c>
      <c r="CS539" t="e">
        <f>AND(#REF!,"AAAAAD/XkGA=")</f>
        <v>#REF!</v>
      </c>
      <c r="CT539" t="e">
        <f>AND(#REF!,"AAAAAD/XkGE=")</f>
        <v>#REF!</v>
      </c>
      <c r="CU539" t="e">
        <f>AND(#REF!,"AAAAAD/XkGI=")</f>
        <v>#REF!</v>
      </c>
      <c r="CV539" t="e">
        <f>AND(#REF!,"AAAAAD/XkGM=")</f>
        <v>#REF!</v>
      </c>
      <c r="CW539" t="e">
        <f>AND(#REF!,"AAAAAD/XkGQ=")</f>
        <v>#REF!</v>
      </c>
      <c r="CX539" t="e">
        <f>AND(#REF!,"AAAAAD/XkGU=")</f>
        <v>#REF!</v>
      </c>
      <c r="CY539" t="e">
        <f>AND(#REF!,"AAAAAD/XkGY=")</f>
        <v>#REF!</v>
      </c>
      <c r="CZ539" t="e">
        <f>AND(#REF!,"AAAAAD/XkGc=")</f>
        <v>#REF!</v>
      </c>
      <c r="DA539" t="e">
        <f>AND(#REF!,"AAAAAD/XkGg=")</f>
        <v>#REF!</v>
      </c>
      <c r="DB539" t="e">
        <f>IF(#REF!,"AAAAAD/XkGk=",0)</f>
        <v>#REF!</v>
      </c>
      <c r="DC539" t="e">
        <f>AND(#REF!,"AAAAAD/XkGo=")</f>
        <v>#REF!</v>
      </c>
      <c r="DD539" t="e">
        <f>AND(#REF!,"AAAAAD/XkGs=")</f>
        <v>#REF!</v>
      </c>
      <c r="DE539" t="e">
        <f>AND(#REF!,"AAAAAD/XkGw=")</f>
        <v>#REF!</v>
      </c>
      <c r="DF539" t="e">
        <f>AND(#REF!,"AAAAAD/XkG0=")</f>
        <v>#REF!</v>
      </c>
      <c r="DG539" t="e">
        <f>AND(#REF!,"AAAAAD/XkG4=")</f>
        <v>#REF!</v>
      </c>
      <c r="DH539" t="e">
        <f>AND(#REF!,"AAAAAD/XkG8=")</f>
        <v>#REF!</v>
      </c>
      <c r="DI539" t="e">
        <f>AND(#REF!,"AAAAAD/XkHA=")</f>
        <v>#REF!</v>
      </c>
      <c r="DJ539" t="e">
        <f>AND(#REF!,"AAAAAD/XkHE=")</f>
        <v>#REF!</v>
      </c>
      <c r="DK539" t="e">
        <f>AND(#REF!,"AAAAAD/XkHI=")</f>
        <v>#REF!</v>
      </c>
      <c r="DL539" t="e">
        <f>AND(#REF!,"AAAAAD/XkHM=")</f>
        <v>#REF!</v>
      </c>
      <c r="DM539" t="e">
        <f>IF(#REF!,"AAAAAD/XkHQ=",0)</f>
        <v>#REF!</v>
      </c>
      <c r="DN539" t="e">
        <f>AND(#REF!,"AAAAAD/XkHU=")</f>
        <v>#REF!</v>
      </c>
      <c r="DO539" t="e">
        <f>AND(#REF!,"AAAAAD/XkHY=")</f>
        <v>#REF!</v>
      </c>
      <c r="DP539" t="e">
        <f>AND(#REF!,"AAAAAD/XkHc=")</f>
        <v>#REF!</v>
      </c>
      <c r="DQ539" t="e">
        <f>AND(#REF!,"AAAAAD/XkHg=")</f>
        <v>#REF!</v>
      </c>
      <c r="DR539" t="e">
        <f>AND(#REF!,"AAAAAD/XkHk=")</f>
        <v>#REF!</v>
      </c>
      <c r="DS539" t="e">
        <f>AND(#REF!,"AAAAAD/XkHo=")</f>
        <v>#REF!</v>
      </c>
      <c r="DT539" t="e">
        <f>AND(#REF!,"AAAAAD/XkHs=")</f>
        <v>#REF!</v>
      </c>
      <c r="DU539" t="e">
        <f>AND(#REF!,"AAAAAD/XkHw=")</f>
        <v>#REF!</v>
      </c>
      <c r="DV539" t="e">
        <f>AND(#REF!,"AAAAAD/XkH0=")</f>
        <v>#REF!</v>
      </c>
      <c r="DW539" t="e">
        <f>AND(#REF!,"AAAAAD/XkH4=")</f>
        <v>#REF!</v>
      </c>
      <c r="DX539" t="e">
        <f>IF(#REF!,"AAAAAD/XkH8=",0)</f>
        <v>#REF!</v>
      </c>
      <c r="DY539" t="e">
        <f>AND(#REF!,"AAAAAD/XkIA=")</f>
        <v>#REF!</v>
      </c>
      <c r="DZ539" t="e">
        <f>AND(#REF!,"AAAAAD/XkIE=")</f>
        <v>#REF!</v>
      </c>
      <c r="EA539" t="e">
        <f>AND(#REF!,"AAAAAD/XkII=")</f>
        <v>#REF!</v>
      </c>
      <c r="EB539" t="e">
        <f>AND(#REF!,"AAAAAD/XkIM=")</f>
        <v>#REF!</v>
      </c>
      <c r="EC539" t="e">
        <f>AND(#REF!,"AAAAAD/XkIQ=")</f>
        <v>#REF!</v>
      </c>
      <c r="ED539" t="e">
        <f>AND(#REF!,"AAAAAD/XkIU=")</f>
        <v>#REF!</v>
      </c>
      <c r="EE539" t="e">
        <f>AND(#REF!,"AAAAAD/XkIY=")</f>
        <v>#REF!</v>
      </c>
      <c r="EF539" t="e">
        <f>AND(#REF!,"AAAAAD/XkIc=")</f>
        <v>#REF!</v>
      </c>
      <c r="EG539" t="e">
        <f>AND(#REF!,"AAAAAD/XkIg=")</f>
        <v>#REF!</v>
      </c>
      <c r="EH539" t="e">
        <f>AND(#REF!,"AAAAAD/XkIk=")</f>
        <v>#REF!</v>
      </c>
      <c r="EI539" t="e">
        <f>IF(#REF!,"AAAAAD/XkIo=",0)</f>
        <v>#REF!</v>
      </c>
      <c r="EJ539" t="e">
        <f>AND(#REF!,"AAAAAD/XkIs=")</f>
        <v>#REF!</v>
      </c>
      <c r="EK539" t="e">
        <f>AND(#REF!,"AAAAAD/XkIw=")</f>
        <v>#REF!</v>
      </c>
      <c r="EL539" t="e">
        <f>AND(#REF!,"AAAAAD/XkI0=")</f>
        <v>#REF!</v>
      </c>
      <c r="EM539" t="e">
        <f>AND(#REF!,"AAAAAD/XkI4=")</f>
        <v>#REF!</v>
      </c>
      <c r="EN539" t="e">
        <f>AND(#REF!,"AAAAAD/XkI8=")</f>
        <v>#REF!</v>
      </c>
      <c r="EO539" t="e">
        <f>AND(#REF!,"AAAAAD/XkJA=")</f>
        <v>#REF!</v>
      </c>
      <c r="EP539" t="e">
        <f>AND(#REF!,"AAAAAD/XkJE=")</f>
        <v>#REF!</v>
      </c>
      <c r="EQ539" t="e">
        <f>AND(#REF!,"AAAAAD/XkJI=")</f>
        <v>#REF!</v>
      </c>
      <c r="ER539" t="e">
        <f>AND(#REF!,"AAAAAD/XkJM=")</f>
        <v>#REF!</v>
      </c>
      <c r="ES539" t="e">
        <f>AND(#REF!,"AAAAAD/XkJQ=")</f>
        <v>#REF!</v>
      </c>
      <c r="ET539" t="e">
        <f>IF(#REF!,"AAAAAD/XkJU=",0)</f>
        <v>#REF!</v>
      </c>
      <c r="EU539" t="e">
        <f>AND(#REF!,"AAAAAD/XkJY=")</f>
        <v>#REF!</v>
      </c>
      <c r="EV539" t="e">
        <f>AND(#REF!,"AAAAAD/XkJc=")</f>
        <v>#REF!</v>
      </c>
      <c r="EW539" t="e">
        <f>AND(#REF!,"AAAAAD/XkJg=")</f>
        <v>#REF!</v>
      </c>
      <c r="EX539" t="e">
        <f>AND(#REF!,"AAAAAD/XkJk=")</f>
        <v>#REF!</v>
      </c>
      <c r="EY539" t="e">
        <f>AND(#REF!,"AAAAAD/XkJo=")</f>
        <v>#REF!</v>
      </c>
      <c r="EZ539" t="e">
        <f>AND(#REF!,"AAAAAD/XkJs=")</f>
        <v>#REF!</v>
      </c>
      <c r="FA539" t="e">
        <f>AND(#REF!,"AAAAAD/XkJw=")</f>
        <v>#REF!</v>
      </c>
      <c r="FB539" t="e">
        <f>AND(#REF!,"AAAAAD/XkJ0=")</f>
        <v>#REF!</v>
      </c>
      <c r="FC539" t="e">
        <f>AND(#REF!,"AAAAAD/XkJ4=")</f>
        <v>#REF!</v>
      </c>
      <c r="FD539" t="e">
        <f>AND(#REF!,"AAAAAD/XkJ8=")</f>
        <v>#REF!</v>
      </c>
      <c r="FE539" t="e">
        <f>IF(#REF!,"AAAAAD/XkKA=",0)</f>
        <v>#REF!</v>
      </c>
      <c r="FF539" t="e">
        <f>AND(#REF!,"AAAAAD/XkKE=")</f>
        <v>#REF!</v>
      </c>
      <c r="FG539" t="e">
        <f>AND(#REF!,"AAAAAD/XkKI=")</f>
        <v>#REF!</v>
      </c>
      <c r="FH539" t="e">
        <f>AND(#REF!,"AAAAAD/XkKM=")</f>
        <v>#REF!</v>
      </c>
      <c r="FI539" t="e">
        <f>AND(#REF!,"AAAAAD/XkKQ=")</f>
        <v>#REF!</v>
      </c>
      <c r="FJ539" t="e">
        <f>AND(#REF!,"AAAAAD/XkKU=")</f>
        <v>#REF!</v>
      </c>
      <c r="FK539" t="e">
        <f>AND(#REF!,"AAAAAD/XkKY=")</f>
        <v>#REF!</v>
      </c>
      <c r="FL539" t="e">
        <f>AND(#REF!,"AAAAAD/XkKc=")</f>
        <v>#REF!</v>
      </c>
      <c r="FM539" t="e">
        <f>AND(#REF!,"AAAAAD/XkKg=")</f>
        <v>#REF!</v>
      </c>
      <c r="FN539" t="e">
        <f>AND(#REF!,"AAAAAD/XkKk=")</f>
        <v>#REF!</v>
      </c>
      <c r="FO539" t="e">
        <f>AND(#REF!,"AAAAAD/XkKo=")</f>
        <v>#REF!</v>
      </c>
      <c r="FP539" t="e">
        <f>IF(#REF!,"AAAAAD/XkKs=",0)</f>
        <v>#REF!</v>
      </c>
      <c r="FQ539" t="e">
        <f>AND(#REF!,"AAAAAD/XkKw=")</f>
        <v>#REF!</v>
      </c>
      <c r="FR539" t="e">
        <f>AND(#REF!,"AAAAAD/XkK0=")</f>
        <v>#REF!</v>
      </c>
      <c r="FS539" t="e">
        <f>AND(#REF!,"AAAAAD/XkK4=")</f>
        <v>#REF!</v>
      </c>
      <c r="FT539" t="e">
        <f>AND(#REF!,"AAAAAD/XkK8=")</f>
        <v>#REF!</v>
      </c>
      <c r="FU539" t="e">
        <f>AND(#REF!,"AAAAAD/XkLA=")</f>
        <v>#REF!</v>
      </c>
      <c r="FV539" t="e">
        <f>AND(#REF!,"AAAAAD/XkLE=")</f>
        <v>#REF!</v>
      </c>
      <c r="FW539" t="e">
        <f>AND(#REF!,"AAAAAD/XkLI=")</f>
        <v>#REF!</v>
      </c>
      <c r="FX539" t="e">
        <f>AND(#REF!,"AAAAAD/XkLM=")</f>
        <v>#REF!</v>
      </c>
      <c r="FY539" t="e">
        <f>AND(#REF!,"AAAAAD/XkLQ=")</f>
        <v>#REF!</v>
      </c>
      <c r="FZ539" t="e">
        <f>AND(#REF!,"AAAAAD/XkLU=")</f>
        <v>#REF!</v>
      </c>
      <c r="GA539" t="e">
        <f>IF(#REF!,"AAAAAD/XkLY=",0)</f>
        <v>#REF!</v>
      </c>
      <c r="GB539" t="e">
        <f>AND(#REF!,"AAAAAD/XkLc=")</f>
        <v>#REF!</v>
      </c>
      <c r="GC539" t="e">
        <f>AND(#REF!,"AAAAAD/XkLg=")</f>
        <v>#REF!</v>
      </c>
      <c r="GD539" t="e">
        <f>AND(#REF!,"AAAAAD/XkLk=")</f>
        <v>#REF!</v>
      </c>
      <c r="GE539" t="e">
        <f>AND(#REF!,"AAAAAD/XkLo=")</f>
        <v>#REF!</v>
      </c>
      <c r="GF539" t="e">
        <f>AND(#REF!,"AAAAAD/XkLs=")</f>
        <v>#REF!</v>
      </c>
      <c r="GG539" t="e">
        <f>AND(#REF!,"AAAAAD/XkLw=")</f>
        <v>#REF!</v>
      </c>
      <c r="GH539" t="e">
        <f>AND(#REF!,"AAAAAD/XkL0=")</f>
        <v>#REF!</v>
      </c>
      <c r="GI539" t="e">
        <f>AND(#REF!,"AAAAAD/XkL4=")</f>
        <v>#REF!</v>
      </c>
      <c r="GJ539" t="e">
        <f>AND(#REF!,"AAAAAD/XkL8=")</f>
        <v>#REF!</v>
      </c>
      <c r="GK539" t="e">
        <f>AND(#REF!,"AAAAAD/XkMA=")</f>
        <v>#REF!</v>
      </c>
      <c r="GL539" t="e">
        <f>IF(#REF!,"AAAAAD/XkME=",0)</f>
        <v>#REF!</v>
      </c>
      <c r="GM539" t="e">
        <f>AND(#REF!,"AAAAAD/XkMI=")</f>
        <v>#REF!</v>
      </c>
      <c r="GN539" t="e">
        <f>AND(#REF!,"AAAAAD/XkMM=")</f>
        <v>#REF!</v>
      </c>
      <c r="GO539" t="e">
        <f>AND(#REF!,"AAAAAD/XkMQ=")</f>
        <v>#REF!</v>
      </c>
      <c r="GP539" t="e">
        <f>AND(#REF!,"AAAAAD/XkMU=")</f>
        <v>#REF!</v>
      </c>
      <c r="GQ539" t="e">
        <f>AND(#REF!,"AAAAAD/XkMY=")</f>
        <v>#REF!</v>
      </c>
      <c r="GR539" t="e">
        <f>AND(#REF!,"AAAAAD/XkMc=")</f>
        <v>#REF!</v>
      </c>
      <c r="GS539" t="e">
        <f>AND(#REF!,"AAAAAD/XkMg=")</f>
        <v>#REF!</v>
      </c>
      <c r="GT539" t="e">
        <f>AND(#REF!,"AAAAAD/XkMk=")</f>
        <v>#REF!</v>
      </c>
      <c r="GU539" t="e">
        <f>AND(#REF!,"AAAAAD/XkMo=")</f>
        <v>#REF!</v>
      </c>
      <c r="GV539" t="e">
        <f>AND(#REF!,"AAAAAD/XkMs=")</f>
        <v>#REF!</v>
      </c>
      <c r="GW539" t="e">
        <f>IF(#REF!,"AAAAAD/XkMw=",0)</f>
        <v>#REF!</v>
      </c>
      <c r="GX539" t="e">
        <f>AND(#REF!,"AAAAAD/XkM0=")</f>
        <v>#REF!</v>
      </c>
      <c r="GY539" t="e">
        <f>AND(#REF!,"AAAAAD/XkM4=")</f>
        <v>#REF!</v>
      </c>
      <c r="GZ539" t="e">
        <f>AND(#REF!,"AAAAAD/XkM8=")</f>
        <v>#REF!</v>
      </c>
      <c r="HA539" t="e">
        <f>AND(#REF!,"AAAAAD/XkNA=")</f>
        <v>#REF!</v>
      </c>
      <c r="HB539" t="e">
        <f>AND(#REF!,"AAAAAD/XkNE=")</f>
        <v>#REF!</v>
      </c>
      <c r="HC539" t="e">
        <f>AND(#REF!,"AAAAAD/XkNI=")</f>
        <v>#REF!</v>
      </c>
      <c r="HD539" t="e">
        <f>AND(#REF!,"AAAAAD/XkNM=")</f>
        <v>#REF!</v>
      </c>
      <c r="HE539" t="e">
        <f>AND(#REF!,"AAAAAD/XkNQ=")</f>
        <v>#REF!</v>
      </c>
      <c r="HF539" t="e">
        <f>AND(#REF!,"AAAAAD/XkNU=")</f>
        <v>#REF!</v>
      </c>
      <c r="HG539" t="e">
        <f>AND(#REF!,"AAAAAD/XkNY=")</f>
        <v>#REF!</v>
      </c>
      <c r="HH539" t="e">
        <f>IF(#REF!,"AAAAAD/XkNc=",0)</f>
        <v>#REF!</v>
      </c>
      <c r="HI539" t="e">
        <f>AND(#REF!,"AAAAAD/XkNg=")</f>
        <v>#REF!</v>
      </c>
      <c r="HJ539" t="e">
        <f>AND(#REF!,"AAAAAD/XkNk=")</f>
        <v>#REF!</v>
      </c>
      <c r="HK539" t="e">
        <f>AND(#REF!,"AAAAAD/XkNo=")</f>
        <v>#REF!</v>
      </c>
      <c r="HL539" t="e">
        <f>AND(#REF!,"AAAAAD/XkNs=")</f>
        <v>#REF!</v>
      </c>
      <c r="HM539" t="e">
        <f>AND(#REF!,"AAAAAD/XkNw=")</f>
        <v>#REF!</v>
      </c>
      <c r="HN539" t="e">
        <f>AND(#REF!,"AAAAAD/XkN0=")</f>
        <v>#REF!</v>
      </c>
      <c r="HO539" t="e">
        <f>AND(#REF!,"AAAAAD/XkN4=")</f>
        <v>#REF!</v>
      </c>
      <c r="HP539" t="e">
        <f>AND(#REF!,"AAAAAD/XkN8=")</f>
        <v>#REF!</v>
      </c>
      <c r="HQ539" t="e">
        <f>AND(#REF!,"AAAAAD/XkOA=")</f>
        <v>#REF!</v>
      </c>
      <c r="HR539" t="e">
        <f>AND(#REF!,"AAAAAD/XkOE=")</f>
        <v>#REF!</v>
      </c>
      <c r="HS539" t="e">
        <f>IF(#REF!,"AAAAAD/XkOI=",0)</f>
        <v>#REF!</v>
      </c>
      <c r="HT539" t="e">
        <f>AND(#REF!,"AAAAAD/XkOM=")</f>
        <v>#REF!</v>
      </c>
      <c r="HU539" t="e">
        <f>AND(#REF!,"AAAAAD/XkOQ=")</f>
        <v>#REF!</v>
      </c>
      <c r="HV539" t="e">
        <f>AND(#REF!,"AAAAAD/XkOU=")</f>
        <v>#REF!</v>
      </c>
      <c r="HW539" t="e">
        <f>AND(#REF!,"AAAAAD/XkOY=")</f>
        <v>#REF!</v>
      </c>
      <c r="HX539" t="e">
        <f>AND(#REF!,"AAAAAD/XkOc=")</f>
        <v>#REF!</v>
      </c>
      <c r="HY539" t="e">
        <f>AND(#REF!,"AAAAAD/XkOg=")</f>
        <v>#REF!</v>
      </c>
      <c r="HZ539" t="e">
        <f>AND(#REF!,"AAAAAD/XkOk=")</f>
        <v>#REF!</v>
      </c>
      <c r="IA539" t="e">
        <f>AND(#REF!,"AAAAAD/XkOo=")</f>
        <v>#REF!</v>
      </c>
      <c r="IB539" t="e">
        <f>AND(#REF!,"AAAAAD/XkOs=")</f>
        <v>#REF!</v>
      </c>
      <c r="IC539" t="e">
        <f>AND(#REF!,"AAAAAD/XkOw=")</f>
        <v>#REF!</v>
      </c>
      <c r="ID539" t="e">
        <f>IF(#REF!,"AAAAAD/XkO0=",0)</f>
        <v>#REF!</v>
      </c>
      <c r="IE539" t="e">
        <f>AND(#REF!,"AAAAAD/XkO4=")</f>
        <v>#REF!</v>
      </c>
      <c r="IF539" t="e">
        <f>AND(#REF!,"AAAAAD/XkO8=")</f>
        <v>#REF!</v>
      </c>
      <c r="IG539" t="e">
        <f>AND(#REF!,"AAAAAD/XkPA=")</f>
        <v>#REF!</v>
      </c>
      <c r="IH539" t="e">
        <f>AND(#REF!,"AAAAAD/XkPE=")</f>
        <v>#REF!</v>
      </c>
      <c r="II539" t="e">
        <f>AND(#REF!,"AAAAAD/XkPI=")</f>
        <v>#REF!</v>
      </c>
      <c r="IJ539" t="e">
        <f>AND(#REF!,"AAAAAD/XkPM=")</f>
        <v>#REF!</v>
      </c>
      <c r="IK539" t="e">
        <f>AND(#REF!,"AAAAAD/XkPQ=")</f>
        <v>#REF!</v>
      </c>
      <c r="IL539" t="e">
        <f>AND(#REF!,"AAAAAD/XkPU=")</f>
        <v>#REF!</v>
      </c>
      <c r="IM539" t="e">
        <f>AND(#REF!,"AAAAAD/XkPY=")</f>
        <v>#REF!</v>
      </c>
      <c r="IN539" t="e">
        <f>AND(#REF!,"AAAAAD/XkPc=")</f>
        <v>#REF!</v>
      </c>
      <c r="IO539" t="e">
        <f>IF(#REF!,"AAAAAD/XkPg=",0)</f>
        <v>#REF!</v>
      </c>
      <c r="IP539" t="e">
        <f>AND(#REF!,"AAAAAD/XkPk=")</f>
        <v>#REF!</v>
      </c>
      <c r="IQ539" t="e">
        <f>AND(#REF!,"AAAAAD/XkPo=")</f>
        <v>#REF!</v>
      </c>
      <c r="IR539" t="e">
        <f>AND(#REF!,"AAAAAD/XkPs=")</f>
        <v>#REF!</v>
      </c>
      <c r="IS539" t="e">
        <f>AND(#REF!,"AAAAAD/XkPw=")</f>
        <v>#REF!</v>
      </c>
      <c r="IT539" t="e">
        <f>AND(#REF!,"AAAAAD/XkP0=")</f>
        <v>#REF!</v>
      </c>
      <c r="IU539" t="e">
        <f>AND(#REF!,"AAAAAD/XkP4=")</f>
        <v>#REF!</v>
      </c>
      <c r="IV539" t="e">
        <f>AND(#REF!,"AAAAAD/XkP8=")</f>
        <v>#REF!</v>
      </c>
    </row>
    <row r="540" spans="1:256" x14ac:dyDescent="0.25">
      <c r="A540" t="e">
        <f>AND(#REF!,"AAAAAEe/+wA=")</f>
        <v>#REF!</v>
      </c>
      <c r="B540" t="e">
        <f>AND(#REF!,"AAAAAEe/+wE=")</f>
        <v>#REF!</v>
      </c>
      <c r="C540" t="e">
        <f>AND(#REF!,"AAAAAEe/+wI=")</f>
        <v>#REF!</v>
      </c>
      <c r="D540" t="e">
        <f>IF(#REF!,"AAAAAEe/+wM=",0)</f>
        <v>#REF!</v>
      </c>
      <c r="E540" t="e">
        <f>AND(#REF!,"AAAAAEe/+wQ=")</f>
        <v>#REF!</v>
      </c>
      <c r="F540" t="e">
        <f>AND(#REF!,"AAAAAEe/+wU=")</f>
        <v>#REF!</v>
      </c>
      <c r="G540" t="e">
        <f>AND(#REF!,"AAAAAEe/+wY=")</f>
        <v>#REF!</v>
      </c>
      <c r="H540" t="e">
        <f>AND(#REF!,"AAAAAEe/+wc=")</f>
        <v>#REF!</v>
      </c>
      <c r="I540" t="e">
        <f>AND(#REF!,"AAAAAEe/+wg=")</f>
        <v>#REF!</v>
      </c>
      <c r="J540" t="e">
        <f>AND(#REF!,"AAAAAEe/+wk=")</f>
        <v>#REF!</v>
      </c>
      <c r="K540" t="e">
        <f>AND(#REF!,"AAAAAEe/+wo=")</f>
        <v>#REF!</v>
      </c>
      <c r="L540" t="e">
        <f>AND(#REF!,"AAAAAEe/+ws=")</f>
        <v>#REF!</v>
      </c>
      <c r="M540" t="e">
        <f>AND(#REF!,"AAAAAEe/+ww=")</f>
        <v>#REF!</v>
      </c>
      <c r="N540" t="e">
        <f>AND(#REF!,"AAAAAEe/+w0=")</f>
        <v>#REF!</v>
      </c>
      <c r="O540" t="e">
        <f>IF(#REF!,"AAAAAEe/+w4=",0)</f>
        <v>#REF!</v>
      </c>
      <c r="P540" t="e">
        <f>AND(#REF!,"AAAAAEe/+w8=")</f>
        <v>#REF!</v>
      </c>
      <c r="Q540" t="e">
        <f>AND(#REF!,"AAAAAEe/+xA=")</f>
        <v>#REF!</v>
      </c>
      <c r="R540" t="e">
        <f>AND(#REF!,"AAAAAEe/+xE=")</f>
        <v>#REF!</v>
      </c>
      <c r="S540" t="e">
        <f>AND(#REF!,"AAAAAEe/+xI=")</f>
        <v>#REF!</v>
      </c>
      <c r="T540" t="e">
        <f>AND(#REF!,"AAAAAEe/+xM=")</f>
        <v>#REF!</v>
      </c>
      <c r="U540" t="e">
        <f>AND(#REF!,"AAAAAEe/+xQ=")</f>
        <v>#REF!</v>
      </c>
      <c r="V540" t="e">
        <f>AND(#REF!,"AAAAAEe/+xU=")</f>
        <v>#REF!</v>
      </c>
      <c r="W540" t="e">
        <f>AND(#REF!,"AAAAAEe/+xY=")</f>
        <v>#REF!</v>
      </c>
      <c r="X540" t="e">
        <f>AND(#REF!,"AAAAAEe/+xc=")</f>
        <v>#REF!</v>
      </c>
      <c r="Y540" t="e">
        <f>AND(#REF!,"AAAAAEe/+xg=")</f>
        <v>#REF!</v>
      </c>
      <c r="Z540" t="e">
        <f>IF(#REF!,"AAAAAEe/+xk=",0)</f>
        <v>#REF!</v>
      </c>
      <c r="AA540" t="e">
        <f>AND(#REF!,"AAAAAEe/+xo=")</f>
        <v>#REF!</v>
      </c>
      <c r="AB540" t="e">
        <f>AND(#REF!,"AAAAAEe/+xs=")</f>
        <v>#REF!</v>
      </c>
      <c r="AC540" t="e">
        <f>AND(#REF!,"AAAAAEe/+xw=")</f>
        <v>#REF!</v>
      </c>
      <c r="AD540" t="e">
        <f>AND(#REF!,"AAAAAEe/+x0=")</f>
        <v>#REF!</v>
      </c>
      <c r="AE540" t="e">
        <f>AND(#REF!,"AAAAAEe/+x4=")</f>
        <v>#REF!</v>
      </c>
      <c r="AF540" t="e">
        <f>AND(#REF!,"AAAAAEe/+x8=")</f>
        <v>#REF!</v>
      </c>
      <c r="AG540" t="e">
        <f>AND(#REF!,"AAAAAEe/+yA=")</f>
        <v>#REF!</v>
      </c>
      <c r="AH540" t="e">
        <f>AND(#REF!,"AAAAAEe/+yE=")</f>
        <v>#REF!</v>
      </c>
      <c r="AI540" t="e">
        <f>AND(#REF!,"AAAAAEe/+yI=")</f>
        <v>#REF!</v>
      </c>
      <c r="AJ540" t="e">
        <f>AND(#REF!,"AAAAAEe/+yM=")</f>
        <v>#REF!</v>
      </c>
      <c r="AK540" t="e">
        <f>IF(#REF!,"AAAAAEe/+yQ=",0)</f>
        <v>#REF!</v>
      </c>
      <c r="AL540" t="e">
        <f>AND(#REF!,"AAAAAEe/+yU=")</f>
        <v>#REF!</v>
      </c>
      <c r="AM540" t="e">
        <f>AND(#REF!,"AAAAAEe/+yY=")</f>
        <v>#REF!</v>
      </c>
      <c r="AN540" t="e">
        <f>AND(#REF!,"AAAAAEe/+yc=")</f>
        <v>#REF!</v>
      </c>
      <c r="AO540" t="e">
        <f>AND(#REF!,"AAAAAEe/+yg=")</f>
        <v>#REF!</v>
      </c>
      <c r="AP540" t="e">
        <f>AND(#REF!,"AAAAAEe/+yk=")</f>
        <v>#REF!</v>
      </c>
      <c r="AQ540" t="e">
        <f>AND(#REF!,"AAAAAEe/+yo=")</f>
        <v>#REF!</v>
      </c>
      <c r="AR540" t="e">
        <f>AND(#REF!,"AAAAAEe/+ys=")</f>
        <v>#REF!</v>
      </c>
      <c r="AS540" t="e">
        <f>AND(#REF!,"AAAAAEe/+yw=")</f>
        <v>#REF!</v>
      </c>
      <c r="AT540" t="e">
        <f>AND(#REF!,"AAAAAEe/+y0=")</f>
        <v>#REF!</v>
      </c>
      <c r="AU540" t="e">
        <f>AND(#REF!,"AAAAAEe/+y4=")</f>
        <v>#REF!</v>
      </c>
      <c r="AV540" t="e">
        <f>IF(#REF!,"AAAAAEe/+y8=",0)</f>
        <v>#REF!</v>
      </c>
      <c r="AW540" t="e">
        <f>AND(#REF!,"AAAAAEe/+zA=")</f>
        <v>#REF!</v>
      </c>
      <c r="AX540" t="e">
        <f>AND(#REF!,"AAAAAEe/+zE=")</f>
        <v>#REF!</v>
      </c>
      <c r="AY540" t="e">
        <f>AND(#REF!,"AAAAAEe/+zI=")</f>
        <v>#REF!</v>
      </c>
      <c r="AZ540" t="e">
        <f>AND(#REF!,"AAAAAEe/+zM=")</f>
        <v>#REF!</v>
      </c>
      <c r="BA540" t="e">
        <f>AND(#REF!,"AAAAAEe/+zQ=")</f>
        <v>#REF!</v>
      </c>
      <c r="BB540" t="e">
        <f>AND(#REF!,"AAAAAEe/+zU=")</f>
        <v>#REF!</v>
      </c>
      <c r="BC540" t="e">
        <f>AND(#REF!,"AAAAAEe/+zY=")</f>
        <v>#REF!</v>
      </c>
      <c r="BD540" t="e">
        <f>AND(#REF!,"AAAAAEe/+zc=")</f>
        <v>#REF!</v>
      </c>
      <c r="BE540" t="e">
        <f>AND(#REF!,"AAAAAEe/+zg=")</f>
        <v>#REF!</v>
      </c>
      <c r="BF540" t="e">
        <f>AND(#REF!,"AAAAAEe/+zk=")</f>
        <v>#REF!</v>
      </c>
      <c r="BG540" t="e">
        <f>IF(#REF!,"AAAAAEe/+zo=",0)</f>
        <v>#REF!</v>
      </c>
      <c r="BH540" t="e">
        <f>AND(#REF!,"AAAAAEe/+zs=")</f>
        <v>#REF!</v>
      </c>
      <c r="BI540" t="e">
        <f>AND(#REF!,"AAAAAEe/+zw=")</f>
        <v>#REF!</v>
      </c>
      <c r="BJ540" t="e">
        <f>AND(#REF!,"AAAAAEe/+z0=")</f>
        <v>#REF!</v>
      </c>
      <c r="BK540" t="e">
        <f>AND(#REF!,"AAAAAEe/+z4=")</f>
        <v>#REF!</v>
      </c>
      <c r="BL540" t="e">
        <f>AND(#REF!,"AAAAAEe/+z8=")</f>
        <v>#REF!</v>
      </c>
      <c r="BM540" t="e">
        <f>AND(#REF!,"AAAAAEe/+0A=")</f>
        <v>#REF!</v>
      </c>
      <c r="BN540" t="e">
        <f>AND(#REF!,"AAAAAEe/+0E=")</f>
        <v>#REF!</v>
      </c>
      <c r="BO540" t="e">
        <f>AND(#REF!,"AAAAAEe/+0I=")</f>
        <v>#REF!</v>
      </c>
      <c r="BP540" t="e">
        <f>AND(#REF!,"AAAAAEe/+0M=")</f>
        <v>#REF!</v>
      </c>
      <c r="BQ540" t="e">
        <f>AND(#REF!,"AAAAAEe/+0Q=")</f>
        <v>#REF!</v>
      </c>
      <c r="BR540" t="e">
        <f>IF(#REF!,"AAAAAEe/+0U=",0)</f>
        <v>#REF!</v>
      </c>
      <c r="BS540" t="e">
        <f>AND(#REF!,"AAAAAEe/+0Y=")</f>
        <v>#REF!</v>
      </c>
      <c r="BT540" t="e">
        <f>AND(#REF!,"AAAAAEe/+0c=")</f>
        <v>#REF!</v>
      </c>
      <c r="BU540" t="e">
        <f>AND(#REF!,"AAAAAEe/+0g=")</f>
        <v>#REF!</v>
      </c>
      <c r="BV540" t="e">
        <f>AND(#REF!,"AAAAAEe/+0k=")</f>
        <v>#REF!</v>
      </c>
      <c r="BW540" t="e">
        <f>AND(#REF!,"AAAAAEe/+0o=")</f>
        <v>#REF!</v>
      </c>
      <c r="BX540" t="e">
        <f>AND(#REF!,"AAAAAEe/+0s=")</f>
        <v>#REF!</v>
      </c>
      <c r="BY540" t="e">
        <f>AND(#REF!,"AAAAAEe/+0w=")</f>
        <v>#REF!</v>
      </c>
      <c r="BZ540" t="e">
        <f>AND(#REF!,"AAAAAEe/+00=")</f>
        <v>#REF!</v>
      </c>
      <c r="CA540" t="e">
        <f>AND(#REF!,"AAAAAEe/+04=")</f>
        <v>#REF!</v>
      </c>
      <c r="CB540" t="e">
        <f>AND(#REF!,"AAAAAEe/+08=")</f>
        <v>#REF!</v>
      </c>
      <c r="CC540" t="e">
        <f>IF(#REF!,"AAAAAEe/+1A=",0)</f>
        <v>#REF!</v>
      </c>
      <c r="CD540" t="e">
        <f>AND(#REF!,"AAAAAEe/+1E=")</f>
        <v>#REF!</v>
      </c>
      <c r="CE540" t="e">
        <f>AND(#REF!,"AAAAAEe/+1I=")</f>
        <v>#REF!</v>
      </c>
      <c r="CF540" t="e">
        <f>AND(#REF!,"AAAAAEe/+1M=")</f>
        <v>#REF!</v>
      </c>
      <c r="CG540" t="e">
        <f>AND(#REF!,"AAAAAEe/+1Q=")</f>
        <v>#REF!</v>
      </c>
      <c r="CH540" t="e">
        <f>AND(#REF!,"AAAAAEe/+1U=")</f>
        <v>#REF!</v>
      </c>
      <c r="CI540" t="e">
        <f>AND(#REF!,"AAAAAEe/+1Y=")</f>
        <v>#REF!</v>
      </c>
      <c r="CJ540" t="e">
        <f>AND(#REF!,"AAAAAEe/+1c=")</f>
        <v>#REF!</v>
      </c>
      <c r="CK540" t="e">
        <f>AND(#REF!,"AAAAAEe/+1g=")</f>
        <v>#REF!</v>
      </c>
      <c r="CL540" t="e">
        <f>AND(#REF!,"AAAAAEe/+1k=")</f>
        <v>#REF!</v>
      </c>
      <c r="CM540" t="e">
        <f>AND(#REF!,"AAAAAEe/+1o=")</f>
        <v>#REF!</v>
      </c>
      <c r="CN540" t="e">
        <f>IF(#REF!,"AAAAAEe/+1s=",0)</f>
        <v>#REF!</v>
      </c>
      <c r="CO540" t="e">
        <f>AND(#REF!,"AAAAAEe/+1w=")</f>
        <v>#REF!</v>
      </c>
      <c r="CP540" t="e">
        <f>AND(#REF!,"AAAAAEe/+10=")</f>
        <v>#REF!</v>
      </c>
      <c r="CQ540" t="e">
        <f>AND(#REF!,"AAAAAEe/+14=")</f>
        <v>#REF!</v>
      </c>
      <c r="CR540" t="e">
        <f>AND(#REF!,"AAAAAEe/+18=")</f>
        <v>#REF!</v>
      </c>
      <c r="CS540" t="e">
        <f>AND(#REF!,"AAAAAEe/+2A=")</f>
        <v>#REF!</v>
      </c>
      <c r="CT540" t="e">
        <f>AND(#REF!,"AAAAAEe/+2E=")</f>
        <v>#REF!</v>
      </c>
      <c r="CU540" t="e">
        <f>AND(#REF!,"AAAAAEe/+2I=")</f>
        <v>#REF!</v>
      </c>
      <c r="CV540" t="e">
        <f>AND(#REF!,"AAAAAEe/+2M=")</f>
        <v>#REF!</v>
      </c>
      <c r="CW540" t="e">
        <f>AND(#REF!,"AAAAAEe/+2Q=")</f>
        <v>#REF!</v>
      </c>
      <c r="CX540" t="e">
        <f>AND(#REF!,"AAAAAEe/+2U=")</f>
        <v>#REF!</v>
      </c>
      <c r="CY540" t="e">
        <f>IF(#REF!,"AAAAAEe/+2Y=",0)</f>
        <v>#REF!</v>
      </c>
      <c r="CZ540" t="e">
        <f>AND(#REF!,"AAAAAEe/+2c=")</f>
        <v>#REF!</v>
      </c>
      <c r="DA540" t="e">
        <f>AND(#REF!,"AAAAAEe/+2g=")</f>
        <v>#REF!</v>
      </c>
      <c r="DB540" t="e">
        <f>AND(#REF!,"AAAAAEe/+2k=")</f>
        <v>#REF!</v>
      </c>
      <c r="DC540" t="e">
        <f>AND(#REF!,"AAAAAEe/+2o=")</f>
        <v>#REF!</v>
      </c>
      <c r="DD540" t="e">
        <f>AND(#REF!,"AAAAAEe/+2s=")</f>
        <v>#REF!</v>
      </c>
      <c r="DE540" t="e">
        <f>AND(#REF!,"AAAAAEe/+2w=")</f>
        <v>#REF!</v>
      </c>
      <c r="DF540" t="e">
        <f>AND(#REF!,"AAAAAEe/+20=")</f>
        <v>#REF!</v>
      </c>
      <c r="DG540" t="e">
        <f>AND(#REF!,"AAAAAEe/+24=")</f>
        <v>#REF!</v>
      </c>
      <c r="DH540" t="e">
        <f>AND(#REF!,"AAAAAEe/+28=")</f>
        <v>#REF!</v>
      </c>
      <c r="DI540" t="e">
        <f>AND(#REF!,"AAAAAEe/+3A=")</f>
        <v>#REF!</v>
      </c>
      <c r="DJ540" t="e">
        <f>IF(#REF!,"AAAAAEe/+3E=",0)</f>
        <v>#REF!</v>
      </c>
      <c r="DK540" t="e">
        <f>AND(#REF!,"AAAAAEe/+3I=")</f>
        <v>#REF!</v>
      </c>
      <c r="DL540" t="e">
        <f>AND(#REF!,"AAAAAEe/+3M=")</f>
        <v>#REF!</v>
      </c>
      <c r="DM540" t="e">
        <f>AND(#REF!,"AAAAAEe/+3Q=")</f>
        <v>#REF!</v>
      </c>
      <c r="DN540" t="e">
        <f>AND(#REF!,"AAAAAEe/+3U=")</f>
        <v>#REF!</v>
      </c>
      <c r="DO540" t="e">
        <f>AND(#REF!,"AAAAAEe/+3Y=")</f>
        <v>#REF!</v>
      </c>
      <c r="DP540" t="e">
        <f>AND(#REF!,"AAAAAEe/+3c=")</f>
        <v>#REF!</v>
      </c>
      <c r="DQ540" t="e">
        <f>AND(#REF!,"AAAAAEe/+3g=")</f>
        <v>#REF!</v>
      </c>
      <c r="DR540" t="e">
        <f>AND(#REF!,"AAAAAEe/+3k=")</f>
        <v>#REF!</v>
      </c>
      <c r="DS540" t="e">
        <f>AND(#REF!,"AAAAAEe/+3o=")</f>
        <v>#REF!</v>
      </c>
      <c r="DT540" t="e">
        <f>AND(#REF!,"AAAAAEe/+3s=")</f>
        <v>#REF!</v>
      </c>
      <c r="DU540" t="e">
        <f>IF(#REF!,"AAAAAEe/+3w=",0)</f>
        <v>#REF!</v>
      </c>
      <c r="DV540" t="e">
        <f>AND(#REF!,"AAAAAEe/+30=")</f>
        <v>#REF!</v>
      </c>
      <c r="DW540" t="e">
        <f>AND(#REF!,"AAAAAEe/+34=")</f>
        <v>#REF!</v>
      </c>
      <c r="DX540" t="e">
        <f>AND(#REF!,"AAAAAEe/+38=")</f>
        <v>#REF!</v>
      </c>
      <c r="DY540" t="e">
        <f>AND(#REF!,"AAAAAEe/+4A=")</f>
        <v>#REF!</v>
      </c>
      <c r="DZ540" t="e">
        <f>AND(#REF!,"AAAAAEe/+4E=")</f>
        <v>#REF!</v>
      </c>
      <c r="EA540" t="e">
        <f>AND(#REF!,"AAAAAEe/+4I=")</f>
        <v>#REF!</v>
      </c>
      <c r="EB540" t="e">
        <f>AND(#REF!,"AAAAAEe/+4M=")</f>
        <v>#REF!</v>
      </c>
      <c r="EC540" t="e">
        <f>AND(#REF!,"AAAAAEe/+4Q=")</f>
        <v>#REF!</v>
      </c>
      <c r="ED540" t="e">
        <f>AND(#REF!,"AAAAAEe/+4U=")</f>
        <v>#REF!</v>
      </c>
      <c r="EE540" t="e">
        <f>AND(#REF!,"AAAAAEe/+4Y=")</f>
        <v>#REF!</v>
      </c>
      <c r="EF540" t="e">
        <f>IF(#REF!,"AAAAAEe/+4c=",0)</f>
        <v>#REF!</v>
      </c>
      <c r="EG540" t="e">
        <f>AND(#REF!,"AAAAAEe/+4g=")</f>
        <v>#REF!</v>
      </c>
      <c r="EH540" t="e">
        <f>AND(#REF!,"AAAAAEe/+4k=")</f>
        <v>#REF!</v>
      </c>
      <c r="EI540" t="e">
        <f>AND(#REF!,"AAAAAEe/+4o=")</f>
        <v>#REF!</v>
      </c>
      <c r="EJ540" t="e">
        <f>AND(#REF!,"AAAAAEe/+4s=")</f>
        <v>#REF!</v>
      </c>
      <c r="EK540" t="e">
        <f>AND(#REF!,"AAAAAEe/+4w=")</f>
        <v>#REF!</v>
      </c>
      <c r="EL540" t="e">
        <f>AND(#REF!,"AAAAAEe/+40=")</f>
        <v>#REF!</v>
      </c>
      <c r="EM540" t="e">
        <f>AND(#REF!,"AAAAAEe/+44=")</f>
        <v>#REF!</v>
      </c>
      <c r="EN540" t="e">
        <f>AND(#REF!,"AAAAAEe/+48=")</f>
        <v>#REF!</v>
      </c>
      <c r="EO540" t="e">
        <f>AND(#REF!,"AAAAAEe/+5A=")</f>
        <v>#REF!</v>
      </c>
      <c r="EP540" t="e">
        <f>AND(#REF!,"AAAAAEe/+5E=")</f>
        <v>#REF!</v>
      </c>
      <c r="EQ540" t="e">
        <f>IF(#REF!,"AAAAAEe/+5I=",0)</f>
        <v>#REF!</v>
      </c>
      <c r="ER540" t="e">
        <f>AND(#REF!,"AAAAAEe/+5M=")</f>
        <v>#REF!</v>
      </c>
      <c r="ES540" t="e">
        <f>AND(#REF!,"AAAAAEe/+5Q=")</f>
        <v>#REF!</v>
      </c>
      <c r="ET540" t="e">
        <f>AND(#REF!,"AAAAAEe/+5U=")</f>
        <v>#REF!</v>
      </c>
      <c r="EU540" t="e">
        <f>AND(#REF!,"AAAAAEe/+5Y=")</f>
        <v>#REF!</v>
      </c>
      <c r="EV540" t="e">
        <f>AND(#REF!,"AAAAAEe/+5c=")</f>
        <v>#REF!</v>
      </c>
      <c r="EW540" t="e">
        <f>AND(#REF!,"AAAAAEe/+5g=")</f>
        <v>#REF!</v>
      </c>
      <c r="EX540" t="e">
        <f>AND(#REF!,"AAAAAEe/+5k=")</f>
        <v>#REF!</v>
      </c>
      <c r="EY540" t="e">
        <f>AND(#REF!,"AAAAAEe/+5o=")</f>
        <v>#REF!</v>
      </c>
      <c r="EZ540" t="e">
        <f>AND(#REF!,"AAAAAEe/+5s=")</f>
        <v>#REF!</v>
      </c>
      <c r="FA540" t="e">
        <f>AND(#REF!,"AAAAAEe/+5w=")</f>
        <v>#REF!</v>
      </c>
      <c r="FB540" t="e">
        <f>IF(#REF!,"AAAAAEe/+50=",0)</f>
        <v>#REF!</v>
      </c>
      <c r="FC540" t="e">
        <f>AND(#REF!,"AAAAAEe/+54=")</f>
        <v>#REF!</v>
      </c>
      <c r="FD540" t="e">
        <f>AND(#REF!,"AAAAAEe/+58=")</f>
        <v>#REF!</v>
      </c>
      <c r="FE540" t="e">
        <f>AND(#REF!,"AAAAAEe/+6A=")</f>
        <v>#REF!</v>
      </c>
      <c r="FF540" t="e">
        <f>AND(#REF!,"AAAAAEe/+6E=")</f>
        <v>#REF!</v>
      </c>
      <c r="FG540" t="e">
        <f>AND(#REF!,"AAAAAEe/+6I=")</f>
        <v>#REF!</v>
      </c>
      <c r="FH540" t="e">
        <f>AND(#REF!,"AAAAAEe/+6M=")</f>
        <v>#REF!</v>
      </c>
      <c r="FI540" t="e">
        <f>AND(#REF!,"AAAAAEe/+6Q=")</f>
        <v>#REF!</v>
      </c>
      <c r="FJ540" t="e">
        <f>AND(#REF!,"AAAAAEe/+6U=")</f>
        <v>#REF!</v>
      </c>
      <c r="FK540" t="e">
        <f>AND(#REF!,"AAAAAEe/+6Y=")</f>
        <v>#REF!</v>
      </c>
      <c r="FL540" t="e">
        <f>AND(#REF!,"AAAAAEe/+6c=")</f>
        <v>#REF!</v>
      </c>
      <c r="FM540" t="e">
        <f>IF(#REF!,"AAAAAEe/+6g=",0)</f>
        <v>#REF!</v>
      </c>
      <c r="FN540" t="e">
        <f>AND(#REF!,"AAAAAEe/+6k=")</f>
        <v>#REF!</v>
      </c>
      <c r="FO540" t="e">
        <f>AND(#REF!,"AAAAAEe/+6o=")</f>
        <v>#REF!</v>
      </c>
      <c r="FP540" t="e">
        <f>AND(#REF!,"AAAAAEe/+6s=")</f>
        <v>#REF!</v>
      </c>
      <c r="FQ540" t="e">
        <f>AND(#REF!,"AAAAAEe/+6w=")</f>
        <v>#REF!</v>
      </c>
      <c r="FR540" t="e">
        <f>AND(#REF!,"AAAAAEe/+60=")</f>
        <v>#REF!</v>
      </c>
      <c r="FS540" t="e">
        <f>AND(#REF!,"AAAAAEe/+64=")</f>
        <v>#REF!</v>
      </c>
      <c r="FT540" t="e">
        <f>AND(#REF!,"AAAAAEe/+68=")</f>
        <v>#REF!</v>
      </c>
      <c r="FU540" t="e">
        <f>AND(#REF!,"AAAAAEe/+7A=")</f>
        <v>#REF!</v>
      </c>
      <c r="FV540" t="e">
        <f>AND(#REF!,"AAAAAEe/+7E=")</f>
        <v>#REF!</v>
      </c>
      <c r="FW540" t="e">
        <f>AND(#REF!,"AAAAAEe/+7I=")</f>
        <v>#REF!</v>
      </c>
      <c r="FX540" t="e">
        <f>IF(#REF!,"AAAAAEe/+7M=",0)</f>
        <v>#REF!</v>
      </c>
      <c r="FY540" t="e">
        <f>AND(#REF!,"AAAAAEe/+7Q=")</f>
        <v>#REF!</v>
      </c>
      <c r="FZ540" t="e">
        <f>AND(#REF!,"AAAAAEe/+7U=")</f>
        <v>#REF!</v>
      </c>
      <c r="GA540" t="e">
        <f>AND(#REF!,"AAAAAEe/+7Y=")</f>
        <v>#REF!</v>
      </c>
      <c r="GB540" t="e">
        <f>AND(#REF!,"AAAAAEe/+7c=")</f>
        <v>#REF!</v>
      </c>
      <c r="GC540" t="e">
        <f>AND(#REF!,"AAAAAEe/+7g=")</f>
        <v>#REF!</v>
      </c>
      <c r="GD540" t="e">
        <f>AND(#REF!,"AAAAAEe/+7k=")</f>
        <v>#REF!</v>
      </c>
      <c r="GE540" t="e">
        <f>AND(#REF!,"AAAAAEe/+7o=")</f>
        <v>#REF!</v>
      </c>
      <c r="GF540" t="e">
        <f>AND(#REF!,"AAAAAEe/+7s=")</f>
        <v>#REF!</v>
      </c>
      <c r="GG540" t="e">
        <f>AND(#REF!,"AAAAAEe/+7w=")</f>
        <v>#REF!</v>
      </c>
      <c r="GH540" t="e">
        <f>AND(#REF!,"AAAAAEe/+70=")</f>
        <v>#REF!</v>
      </c>
      <c r="GI540" t="e">
        <f>IF(#REF!,"AAAAAEe/+74=",0)</f>
        <v>#REF!</v>
      </c>
      <c r="GJ540" t="e">
        <f>AND(#REF!,"AAAAAEe/+78=")</f>
        <v>#REF!</v>
      </c>
      <c r="GK540" t="e">
        <f>AND(#REF!,"AAAAAEe/+8A=")</f>
        <v>#REF!</v>
      </c>
      <c r="GL540" t="e">
        <f>AND(#REF!,"AAAAAEe/+8E=")</f>
        <v>#REF!</v>
      </c>
      <c r="GM540" t="e">
        <f>AND(#REF!,"AAAAAEe/+8I=")</f>
        <v>#REF!</v>
      </c>
      <c r="GN540" t="e">
        <f>AND(#REF!,"AAAAAEe/+8M=")</f>
        <v>#REF!</v>
      </c>
      <c r="GO540" t="e">
        <f>AND(#REF!,"AAAAAEe/+8Q=")</f>
        <v>#REF!</v>
      </c>
      <c r="GP540" t="e">
        <f>AND(#REF!,"AAAAAEe/+8U=")</f>
        <v>#REF!</v>
      </c>
      <c r="GQ540" t="e">
        <f>AND(#REF!,"AAAAAEe/+8Y=")</f>
        <v>#REF!</v>
      </c>
      <c r="GR540" t="e">
        <f>AND(#REF!,"AAAAAEe/+8c=")</f>
        <v>#REF!</v>
      </c>
      <c r="GS540" t="e">
        <f>AND(#REF!,"AAAAAEe/+8g=")</f>
        <v>#REF!</v>
      </c>
      <c r="GT540" t="e">
        <f>IF(#REF!,"AAAAAEe/+8k=",0)</f>
        <v>#REF!</v>
      </c>
      <c r="GU540" t="e">
        <f>AND(#REF!,"AAAAAEe/+8o=")</f>
        <v>#REF!</v>
      </c>
      <c r="GV540" t="e">
        <f>AND(#REF!,"AAAAAEe/+8s=")</f>
        <v>#REF!</v>
      </c>
      <c r="GW540" t="e">
        <f>AND(#REF!,"AAAAAEe/+8w=")</f>
        <v>#REF!</v>
      </c>
      <c r="GX540" t="e">
        <f>AND(#REF!,"AAAAAEe/+80=")</f>
        <v>#REF!</v>
      </c>
      <c r="GY540" t="e">
        <f>AND(#REF!,"AAAAAEe/+84=")</f>
        <v>#REF!</v>
      </c>
      <c r="GZ540" t="e">
        <f>AND(#REF!,"AAAAAEe/+88=")</f>
        <v>#REF!</v>
      </c>
      <c r="HA540" t="e">
        <f>AND(#REF!,"AAAAAEe/+9A=")</f>
        <v>#REF!</v>
      </c>
      <c r="HB540" t="e">
        <f>AND(#REF!,"AAAAAEe/+9E=")</f>
        <v>#REF!</v>
      </c>
      <c r="HC540" t="e">
        <f>AND(#REF!,"AAAAAEe/+9I=")</f>
        <v>#REF!</v>
      </c>
      <c r="HD540" t="e">
        <f>AND(#REF!,"AAAAAEe/+9M=")</f>
        <v>#REF!</v>
      </c>
      <c r="HE540" t="e">
        <f>IF(#REF!,"AAAAAEe/+9Q=",0)</f>
        <v>#REF!</v>
      </c>
      <c r="HF540" t="e">
        <f>AND(#REF!,"AAAAAEe/+9U=")</f>
        <v>#REF!</v>
      </c>
      <c r="HG540" t="e">
        <f>AND(#REF!,"AAAAAEe/+9Y=")</f>
        <v>#REF!</v>
      </c>
      <c r="HH540" t="e">
        <f>AND(#REF!,"AAAAAEe/+9c=")</f>
        <v>#REF!</v>
      </c>
      <c r="HI540" t="e">
        <f>AND(#REF!,"AAAAAEe/+9g=")</f>
        <v>#REF!</v>
      </c>
      <c r="HJ540" t="e">
        <f>AND(#REF!,"AAAAAEe/+9k=")</f>
        <v>#REF!</v>
      </c>
      <c r="HK540" t="e">
        <f>AND(#REF!,"AAAAAEe/+9o=")</f>
        <v>#REF!</v>
      </c>
      <c r="HL540" t="e">
        <f>AND(#REF!,"AAAAAEe/+9s=")</f>
        <v>#REF!</v>
      </c>
      <c r="HM540" t="e">
        <f>AND(#REF!,"AAAAAEe/+9w=")</f>
        <v>#REF!</v>
      </c>
      <c r="HN540" t="e">
        <f>AND(#REF!,"AAAAAEe/+90=")</f>
        <v>#REF!</v>
      </c>
      <c r="HO540" t="e">
        <f>AND(#REF!,"AAAAAEe/+94=")</f>
        <v>#REF!</v>
      </c>
      <c r="HP540" t="e">
        <f>IF(#REF!,"AAAAAEe/+98=",0)</f>
        <v>#REF!</v>
      </c>
      <c r="HQ540" t="e">
        <f>AND(#REF!,"AAAAAEe/++A=")</f>
        <v>#REF!</v>
      </c>
      <c r="HR540" t="e">
        <f>AND(#REF!,"AAAAAEe/++E=")</f>
        <v>#REF!</v>
      </c>
      <c r="HS540" t="e">
        <f>AND(#REF!,"AAAAAEe/++I=")</f>
        <v>#REF!</v>
      </c>
      <c r="HT540" t="e">
        <f>AND(#REF!,"AAAAAEe/++M=")</f>
        <v>#REF!</v>
      </c>
      <c r="HU540" t="e">
        <f>AND(#REF!,"AAAAAEe/++Q=")</f>
        <v>#REF!</v>
      </c>
      <c r="HV540" t="e">
        <f>AND(#REF!,"AAAAAEe/++U=")</f>
        <v>#REF!</v>
      </c>
      <c r="HW540" t="e">
        <f>AND(#REF!,"AAAAAEe/++Y=")</f>
        <v>#REF!</v>
      </c>
      <c r="HX540" t="e">
        <f>AND(#REF!,"AAAAAEe/++c=")</f>
        <v>#REF!</v>
      </c>
      <c r="HY540" t="e">
        <f>AND(#REF!,"AAAAAEe/++g=")</f>
        <v>#REF!</v>
      </c>
      <c r="HZ540" t="e">
        <f>AND(#REF!,"AAAAAEe/++k=")</f>
        <v>#REF!</v>
      </c>
      <c r="IA540" t="e">
        <f>IF(#REF!,"AAAAAEe/++o=",0)</f>
        <v>#REF!</v>
      </c>
      <c r="IB540" t="e">
        <f>AND(#REF!,"AAAAAEe/++s=")</f>
        <v>#REF!</v>
      </c>
      <c r="IC540" t="e">
        <f>AND(#REF!,"AAAAAEe/++w=")</f>
        <v>#REF!</v>
      </c>
      <c r="ID540" t="e">
        <f>AND(#REF!,"AAAAAEe/++0=")</f>
        <v>#REF!</v>
      </c>
      <c r="IE540" t="e">
        <f>AND(#REF!,"AAAAAEe/++4=")</f>
        <v>#REF!</v>
      </c>
      <c r="IF540" t="e">
        <f>AND(#REF!,"AAAAAEe/++8=")</f>
        <v>#REF!</v>
      </c>
      <c r="IG540" t="e">
        <f>AND(#REF!,"AAAAAEe/+/A=")</f>
        <v>#REF!</v>
      </c>
      <c r="IH540" t="e">
        <f>AND(#REF!,"AAAAAEe/+/E=")</f>
        <v>#REF!</v>
      </c>
      <c r="II540" t="e">
        <f>AND(#REF!,"AAAAAEe/+/I=")</f>
        <v>#REF!</v>
      </c>
      <c r="IJ540" t="e">
        <f>AND(#REF!,"AAAAAEe/+/M=")</f>
        <v>#REF!</v>
      </c>
      <c r="IK540" t="e">
        <f>AND(#REF!,"AAAAAEe/+/Q=")</f>
        <v>#REF!</v>
      </c>
      <c r="IL540" t="e">
        <f>IF(#REF!,"AAAAAEe/+/U=",0)</f>
        <v>#REF!</v>
      </c>
      <c r="IM540" t="e">
        <f>AND(#REF!,"AAAAAEe/+/Y=")</f>
        <v>#REF!</v>
      </c>
      <c r="IN540" t="e">
        <f>AND(#REF!,"AAAAAEe/+/c=")</f>
        <v>#REF!</v>
      </c>
      <c r="IO540" t="e">
        <f>AND(#REF!,"AAAAAEe/+/g=")</f>
        <v>#REF!</v>
      </c>
      <c r="IP540" t="e">
        <f>AND(#REF!,"AAAAAEe/+/k=")</f>
        <v>#REF!</v>
      </c>
      <c r="IQ540" t="e">
        <f>AND(#REF!,"AAAAAEe/+/o=")</f>
        <v>#REF!</v>
      </c>
      <c r="IR540" t="e">
        <f>AND(#REF!,"AAAAAEe/+/s=")</f>
        <v>#REF!</v>
      </c>
      <c r="IS540" t="e">
        <f>AND(#REF!,"AAAAAEe/+/w=")</f>
        <v>#REF!</v>
      </c>
      <c r="IT540" t="e">
        <f>AND(#REF!,"AAAAAEe/+/0=")</f>
        <v>#REF!</v>
      </c>
      <c r="IU540" t="e">
        <f>AND(#REF!,"AAAAAEe/+/4=")</f>
        <v>#REF!</v>
      </c>
      <c r="IV540" t="e">
        <f>AND(#REF!,"AAAAAEe/+/8=")</f>
        <v>#REF!</v>
      </c>
    </row>
    <row r="541" spans="1:256" x14ac:dyDescent="0.25">
      <c r="A541" t="e">
        <f>IF(#REF!,"AAAAAHqNKgA=",0)</f>
        <v>#REF!</v>
      </c>
      <c r="B541" t="e">
        <f>AND(#REF!,"AAAAAHqNKgE=")</f>
        <v>#REF!</v>
      </c>
      <c r="C541" t="e">
        <f>AND(#REF!,"AAAAAHqNKgI=")</f>
        <v>#REF!</v>
      </c>
      <c r="D541" t="e">
        <f>AND(#REF!,"AAAAAHqNKgM=")</f>
        <v>#REF!</v>
      </c>
      <c r="E541" t="e">
        <f>AND(#REF!,"AAAAAHqNKgQ=")</f>
        <v>#REF!</v>
      </c>
      <c r="F541" t="e">
        <f>AND(#REF!,"AAAAAHqNKgU=")</f>
        <v>#REF!</v>
      </c>
      <c r="G541" t="e">
        <f>AND(#REF!,"AAAAAHqNKgY=")</f>
        <v>#REF!</v>
      </c>
      <c r="H541" t="e">
        <f>AND(#REF!,"AAAAAHqNKgc=")</f>
        <v>#REF!</v>
      </c>
      <c r="I541" t="e">
        <f>AND(#REF!,"AAAAAHqNKgg=")</f>
        <v>#REF!</v>
      </c>
      <c r="J541" t="e">
        <f>AND(#REF!,"AAAAAHqNKgk=")</f>
        <v>#REF!</v>
      </c>
      <c r="K541" t="e">
        <f>AND(#REF!,"AAAAAHqNKgo=")</f>
        <v>#REF!</v>
      </c>
      <c r="L541" t="e">
        <f>IF(#REF!,"AAAAAHqNKgs=",0)</f>
        <v>#REF!</v>
      </c>
      <c r="M541" t="e">
        <f>AND(#REF!,"AAAAAHqNKgw=")</f>
        <v>#REF!</v>
      </c>
      <c r="N541" t="e">
        <f>AND(#REF!,"AAAAAHqNKg0=")</f>
        <v>#REF!</v>
      </c>
      <c r="O541" t="e">
        <f>AND(#REF!,"AAAAAHqNKg4=")</f>
        <v>#REF!</v>
      </c>
      <c r="P541" t="e">
        <f>AND(#REF!,"AAAAAHqNKg8=")</f>
        <v>#REF!</v>
      </c>
      <c r="Q541" t="e">
        <f>AND(#REF!,"AAAAAHqNKhA=")</f>
        <v>#REF!</v>
      </c>
      <c r="R541" t="e">
        <f>AND(#REF!,"AAAAAHqNKhE=")</f>
        <v>#REF!</v>
      </c>
      <c r="S541" t="e">
        <f>AND(#REF!,"AAAAAHqNKhI=")</f>
        <v>#REF!</v>
      </c>
      <c r="T541" t="e">
        <f>AND(#REF!,"AAAAAHqNKhM=")</f>
        <v>#REF!</v>
      </c>
      <c r="U541" t="e">
        <f>AND(#REF!,"AAAAAHqNKhQ=")</f>
        <v>#REF!</v>
      </c>
      <c r="V541" t="e">
        <f>AND(#REF!,"AAAAAHqNKhU=")</f>
        <v>#REF!</v>
      </c>
      <c r="W541" t="e">
        <f>IF(#REF!,"AAAAAHqNKhY=",0)</f>
        <v>#REF!</v>
      </c>
      <c r="X541" t="e">
        <f>AND(#REF!,"AAAAAHqNKhc=")</f>
        <v>#REF!</v>
      </c>
      <c r="Y541" t="e">
        <f>AND(#REF!,"AAAAAHqNKhg=")</f>
        <v>#REF!</v>
      </c>
      <c r="Z541" t="e">
        <f>AND(#REF!,"AAAAAHqNKhk=")</f>
        <v>#REF!</v>
      </c>
      <c r="AA541" t="e">
        <f>AND(#REF!,"AAAAAHqNKho=")</f>
        <v>#REF!</v>
      </c>
      <c r="AB541" t="e">
        <f>AND(#REF!,"AAAAAHqNKhs=")</f>
        <v>#REF!</v>
      </c>
      <c r="AC541" t="e">
        <f>AND(#REF!,"AAAAAHqNKhw=")</f>
        <v>#REF!</v>
      </c>
      <c r="AD541" t="e">
        <f>AND(#REF!,"AAAAAHqNKh0=")</f>
        <v>#REF!</v>
      </c>
      <c r="AE541" t="e">
        <f>AND(#REF!,"AAAAAHqNKh4=")</f>
        <v>#REF!</v>
      </c>
      <c r="AF541" t="e">
        <f>AND(#REF!,"AAAAAHqNKh8=")</f>
        <v>#REF!</v>
      </c>
      <c r="AG541" t="e">
        <f>AND(#REF!,"AAAAAHqNKiA=")</f>
        <v>#REF!</v>
      </c>
      <c r="AH541" t="e">
        <f>IF(#REF!,"AAAAAHqNKiE=",0)</f>
        <v>#REF!</v>
      </c>
      <c r="AI541" t="e">
        <f>AND(#REF!,"AAAAAHqNKiI=")</f>
        <v>#REF!</v>
      </c>
      <c r="AJ541" t="e">
        <f>AND(#REF!,"AAAAAHqNKiM=")</f>
        <v>#REF!</v>
      </c>
      <c r="AK541" t="e">
        <f>AND(#REF!,"AAAAAHqNKiQ=")</f>
        <v>#REF!</v>
      </c>
      <c r="AL541" t="e">
        <f>AND(#REF!,"AAAAAHqNKiU=")</f>
        <v>#REF!</v>
      </c>
      <c r="AM541" t="e">
        <f>AND(#REF!,"AAAAAHqNKiY=")</f>
        <v>#REF!</v>
      </c>
      <c r="AN541" t="e">
        <f>AND(#REF!,"AAAAAHqNKic=")</f>
        <v>#REF!</v>
      </c>
      <c r="AO541" t="e">
        <f>AND(#REF!,"AAAAAHqNKig=")</f>
        <v>#REF!</v>
      </c>
      <c r="AP541" t="e">
        <f>AND(#REF!,"AAAAAHqNKik=")</f>
        <v>#REF!</v>
      </c>
      <c r="AQ541" t="e">
        <f>AND(#REF!,"AAAAAHqNKio=")</f>
        <v>#REF!</v>
      </c>
      <c r="AR541" t="e">
        <f>AND(#REF!,"AAAAAHqNKis=")</f>
        <v>#REF!</v>
      </c>
      <c r="AS541" t="e">
        <f>IF(#REF!,"AAAAAHqNKiw=",0)</f>
        <v>#REF!</v>
      </c>
      <c r="AT541" t="e">
        <f>AND(#REF!,"AAAAAHqNKi0=")</f>
        <v>#REF!</v>
      </c>
      <c r="AU541" t="e">
        <f>AND(#REF!,"AAAAAHqNKi4=")</f>
        <v>#REF!</v>
      </c>
      <c r="AV541" t="e">
        <f>AND(#REF!,"AAAAAHqNKi8=")</f>
        <v>#REF!</v>
      </c>
      <c r="AW541" t="e">
        <f>AND(#REF!,"AAAAAHqNKjA=")</f>
        <v>#REF!</v>
      </c>
      <c r="AX541" t="e">
        <f>AND(#REF!,"AAAAAHqNKjE=")</f>
        <v>#REF!</v>
      </c>
      <c r="AY541" t="e">
        <f>AND(#REF!,"AAAAAHqNKjI=")</f>
        <v>#REF!</v>
      </c>
      <c r="AZ541" t="e">
        <f>AND(#REF!,"AAAAAHqNKjM=")</f>
        <v>#REF!</v>
      </c>
      <c r="BA541" t="e">
        <f>AND(#REF!,"AAAAAHqNKjQ=")</f>
        <v>#REF!</v>
      </c>
      <c r="BB541" t="e">
        <f>AND(#REF!,"AAAAAHqNKjU=")</f>
        <v>#REF!</v>
      </c>
      <c r="BC541" t="e">
        <f>AND(#REF!,"AAAAAHqNKjY=")</f>
        <v>#REF!</v>
      </c>
      <c r="BD541" t="e">
        <f>IF(#REF!,"AAAAAHqNKjc=",0)</f>
        <v>#REF!</v>
      </c>
      <c r="BE541" t="e">
        <f>AND(#REF!,"AAAAAHqNKjg=")</f>
        <v>#REF!</v>
      </c>
      <c r="BF541" t="e">
        <f>AND(#REF!,"AAAAAHqNKjk=")</f>
        <v>#REF!</v>
      </c>
      <c r="BG541" t="e">
        <f>AND(#REF!,"AAAAAHqNKjo=")</f>
        <v>#REF!</v>
      </c>
      <c r="BH541" t="e">
        <f>AND(#REF!,"AAAAAHqNKjs=")</f>
        <v>#REF!</v>
      </c>
      <c r="BI541" t="e">
        <f>AND(#REF!,"AAAAAHqNKjw=")</f>
        <v>#REF!</v>
      </c>
      <c r="BJ541" t="e">
        <f>AND(#REF!,"AAAAAHqNKj0=")</f>
        <v>#REF!</v>
      </c>
      <c r="BK541" t="e">
        <f>AND(#REF!,"AAAAAHqNKj4=")</f>
        <v>#REF!</v>
      </c>
      <c r="BL541" t="e">
        <f>AND(#REF!,"AAAAAHqNKj8=")</f>
        <v>#REF!</v>
      </c>
      <c r="BM541" t="e">
        <f>AND(#REF!,"AAAAAHqNKkA=")</f>
        <v>#REF!</v>
      </c>
      <c r="BN541" t="e">
        <f>AND(#REF!,"AAAAAHqNKkE=")</f>
        <v>#REF!</v>
      </c>
      <c r="BO541" t="e">
        <f>IF(#REF!,"AAAAAHqNKkI=",0)</f>
        <v>#REF!</v>
      </c>
      <c r="BP541" t="e">
        <f>AND(#REF!,"AAAAAHqNKkM=")</f>
        <v>#REF!</v>
      </c>
      <c r="BQ541" t="e">
        <f>AND(#REF!,"AAAAAHqNKkQ=")</f>
        <v>#REF!</v>
      </c>
      <c r="BR541" t="e">
        <f>AND(#REF!,"AAAAAHqNKkU=")</f>
        <v>#REF!</v>
      </c>
      <c r="BS541" t="e">
        <f>AND(#REF!,"AAAAAHqNKkY=")</f>
        <v>#REF!</v>
      </c>
      <c r="BT541" t="e">
        <f>AND(#REF!,"AAAAAHqNKkc=")</f>
        <v>#REF!</v>
      </c>
      <c r="BU541" t="e">
        <f>AND(#REF!,"AAAAAHqNKkg=")</f>
        <v>#REF!</v>
      </c>
      <c r="BV541" t="e">
        <f>AND(#REF!,"AAAAAHqNKkk=")</f>
        <v>#REF!</v>
      </c>
      <c r="BW541" t="e">
        <f>AND(#REF!,"AAAAAHqNKko=")</f>
        <v>#REF!</v>
      </c>
      <c r="BX541" t="e">
        <f>AND(#REF!,"AAAAAHqNKks=")</f>
        <v>#REF!</v>
      </c>
      <c r="BY541" t="e">
        <f>AND(#REF!,"AAAAAHqNKkw=")</f>
        <v>#REF!</v>
      </c>
      <c r="BZ541" t="e">
        <f>IF(#REF!,"AAAAAHqNKk0=",0)</f>
        <v>#REF!</v>
      </c>
      <c r="CA541" t="e">
        <f>AND(#REF!,"AAAAAHqNKk4=")</f>
        <v>#REF!</v>
      </c>
      <c r="CB541" t="e">
        <f>AND(#REF!,"AAAAAHqNKk8=")</f>
        <v>#REF!</v>
      </c>
      <c r="CC541" t="e">
        <f>AND(#REF!,"AAAAAHqNKlA=")</f>
        <v>#REF!</v>
      </c>
      <c r="CD541" t="e">
        <f>AND(#REF!,"AAAAAHqNKlE=")</f>
        <v>#REF!</v>
      </c>
      <c r="CE541" t="e">
        <f>AND(#REF!,"AAAAAHqNKlI=")</f>
        <v>#REF!</v>
      </c>
      <c r="CF541" t="e">
        <f>AND(#REF!,"AAAAAHqNKlM=")</f>
        <v>#REF!</v>
      </c>
      <c r="CG541" t="e">
        <f>AND(#REF!,"AAAAAHqNKlQ=")</f>
        <v>#REF!</v>
      </c>
      <c r="CH541" t="e">
        <f>AND(#REF!,"AAAAAHqNKlU=")</f>
        <v>#REF!</v>
      </c>
      <c r="CI541" t="e">
        <f>AND(#REF!,"AAAAAHqNKlY=")</f>
        <v>#REF!</v>
      </c>
      <c r="CJ541" t="e">
        <f>AND(#REF!,"AAAAAHqNKlc=")</f>
        <v>#REF!</v>
      </c>
      <c r="CK541" t="e">
        <f>IF(#REF!,"AAAAAHqNKlg=",0)</f>
        <v>#REF!</v>
      </c>
      <c r="CL541" t="e">
        <f>AND(#REF!,"AAAAAHqNKlk=")</f>
        <v>#REF!</v>
      </c>
      <c r="CM541" t="e">
        <f>AND(#REF!,"AAAAAHqNKlo=")</f>
        <v>#REF!</v>
      </c>
      <c r="CN541" t="e">
        <f>AND(#REF!,"AAAAAHqNKls=")</f>
        <v>#REF!</v>
      </c>
      <c r="CO541" t="e">
        <f>AND(#REF!,"AAAAAHqNKlw=")</f>
        <v>#REF!</v>
      </c>
      <c r="CP541" t="e">
        <f>AND(#REF!,"AAAAAHqNKl0=")</f>
        <v>#REF!</v>
      </c>
      <c r="CQ541" t="e">
        <f>AND(#REF!,"AAAAAHqNKl4=")</f>
        <v>#REF!</v>
      </c>
      <c r="CR541" t="e">
        <f>AND(#REF!,"AAAAAHqNKl8=")</f>
        <v>#REF!</v>
      </c>
      <c r="CS541" t="e">
        <f>AND(#REF!,"AAAAAHqNKmA=")</f>
        <v>#REF!</v>
      </c>
      <c r="CT541" t="e">
        <f>AND(#REF!,"AAAAAHqNKmE=")</f>
        <v>#REF!</v>
      </c>
      <c r="CU541" t="e">
        <f>AND(#REF!,"AAAAAHqNKmI=")</f>
        <v>#REF!</v>
      </c>
      <c r="CV541" t="e">
        <f>IF(#REF!,"AAAAAHqNKmM=",0)</f>
        <v>#REF!</v>
      </c>
      <c r="CW541" t="e">
        <f>AND(#REF!,"AAAAAHqNKmQ=")</f>
        <v>#REF!</v>
      </c>
      <c r="CX541" t="e">
        <f>AND(#REF!,"AAAAAHqNKmU=")</f>
        <v>#REF!</v>
      </c>
      <c r="CY541" t="e">
        <f>AND(#REF!,"AAAAAHqNKmY=")</f>
        <v>#REF!</v>
      </c>
      <c r="CZ541" t="e">
        <f>AND(#REF!,"AAAAAHqNKmc=")</f>
        <v>#REF!</v>
      </c>
      <c r="DA541" t="e">
        <f>AND(#REF!,"AAAAAHqNKmg=")</f>
        <v>#REF!</v>
      </c>
      <c r="DB541" t="e">
        <f>AND(#REF!,"AAAAAHqNKmk=")</f>
        <v>#REF!</v>
      </c>
      <c r="DC541" t="e">
        <f>AND(#REF!,"AAAAAHqNKmo=")</f>
        <v>#REF!</v>
      </c>
      <c r="DD541" t="e">
        <f>AND(#REF!,"AAAAAHqNKms=")</f>
        <v>#REF!</v>
      </c>
      <c r="DE541" t="e">
        <f>AND(#REF!,"AAAAAHqNKmw=")</f>
        <v>#REF!</v>
      </c>
      <c r="DF541" t="e">
        <f>AND(#REF!,"AAAAAHqNKm0=")</f>
        <v>#REF!</v>
      </c>
      <c r="DG541" t="e">
        <f>IF(#REF!,"AAAAAHqNKm4=",0)</f>
        <v>#REF!</v>
      </c>
      <c r="DH541" t="e">
        <f>AND(#REF!,"AAAAAHqNKm8=")</f>
        <v>#REF!</v>
      </c>
      <c r="DI541" t="e">
        <f>AND(#REF!,"AAAAAHqNKnA=")</f>
        <v>#REF!</v>
      </c>
      <c r="DJ541" t="e">
        <f>AND(#REF!,"AAAAAHqNKnE=")</f>
        <v>#REF!</v>
      </c>
      <c r="DK541" t="e">
        <f>AND(#REF!,"AAAAAHqNKnI=")</f>
        <v>#REF!</v>
      </c>
      <c r="DL541" t="e">
        <f>AND(#REF!,"AAAAAHqNKnM=")</f>
        <v>#REF!</v>
      </c>
      <c r="DM541" t="e">
        <f>AND(#REF!,"AAAAAHqNKnQ=")</f>
        <v>#REF!</v>
      </c>
      <c r="DN541" t="e">
        <f>AND(#REF!,"AAAAAHqNKnU=")</f>
        <v>#REF!</v>
      </c>
      <c r="DO541" t="e">
        <f>AND(#REF!,"AAAAAHqNKnY=")</f>
        <v>#REF!</v>
      </c>
      <c r="DP541" t="e">
        <f>AND(#REF!,"AAAAAHqNKnc=")</f>
        <v>#REF!</v>
      </c>
      <c r="DQ541" t="e">
        <f>AND(#REF!,"AAAAAHqNKng=")</f>
        <v>#REF!</v>
      </c>
      <c r="DR541" t="e">
        <f>IF(#REF!,"AAAAAHqNKnk=",0)</f>
        <v>#REF!</v>
      </c>
      <c r="DS541" t="e">
        <f>AND(#REF!,"AAAAAHqNKno=")</f>
        <v>#REF!</v>
      </c>
      <c r="DT541" t="e">
        <f>AND(#REF!,"AAAAAHqNKns=")</f>
        <v>#REF!</v>
      </c>
      <c r="DU541" t="e">
        <f>AND(#REF!,"AAAAAHqNKnw=")</f>
        <v>#REF!</v>
      </c>
      <c r="DV541" t="e">
        <f>AND(#REF!,"AAAAAHqNKn0=")</f>
        <v>#REF!</v>
      </c>
      <c r="DW541" t="e">
        <f>AND(#REF!,"AAAAAHqNKn4=")</f>
        <v>#REF!</v>
      </c>
      <c r="DX541" t="e">
        <f>AND(#REF!,"AAAAAHqNKn8=")</f>
        <v>#REF!</v>
      </c>
      <c r="DY541" t="e">
        <f>AND(#REF!,"AAAAAHqNKoA=")</f>
        <v>#REF!</v>
      </c>
      <c r="DZ541" t="e">
        <f>AND(#REF!,"AAAAAHqNKoE=")</f>
        <v>#REF!</v>
      </c>
      <c r="EA541" t="e">
        <f>AND(#REF!,"AAAAAHqNKoI=")</f>
        <v>#REF!</v>
      </c>
      <c r="EB541" t="e">
        <f>AND(#REF!,"AAAAAHqNKoM=")</f>
        <v>#REF!</v>
      </c>
      <c r="EC541" t="e">
        <f>IF(#REF!,"AAAAAHqNKoQ=",0)</f>
        <v>#REF!</v>
      </c>
      <c r="ED541" t="e">
        <f>AND(#REF!,"AAAAAHqNKoU=")</f>
        <v>#REF!</v>
      </c>
      <c r="EE541" t="e">
        <f>AND(#REF!,"AAAAAHqNKoY=")</f>
        <v>#REF!</v>
      </c>
      <c r="EF541" t="e">
        <f>AND(#REF!,"AAAAAHqNKoc=")</f>
        <v>#REF!</v>
      </c>
      <c r="EG541" t="e">
        <f>AND(#REF!,"AAAAAHqNKog=")</f>
        <v>#REF!</v>
      </c>
      <c r="EH541" t="e">
        <f>AND(#REF!,"AAAAAHqNKok=")</f>
        <v>#REF!</v>
      </c>
      <c r="EI541" t="e">
        <f>AND(#REF!,"AAAAAHqNKoo=")</f>
        <v>#REF!</v>
      </c>
      <c r="EJ541" t="e">
        <f>AND(#REF!,"AAAAAHqNKos=")</f>
        <v>#REF!</v>
      </c>
      <c r="EK541" t="e">
        <f>AND(#REF!,"AAAAAHqNKow=")</f>
        <v>#REF!</v>
      </c>
      <c r="EL541" t="e">
        <f>AND(#REF!,"AAAAAHqNKo0=")</f>
        <v>#REF!</v>
      </c>
      <c r="EM541" t="e">
        <f>AND(#REF!,"AAAAAHqNKo4=")</f>
        <v>#REF!</v>
      </c>
      <c r="EN541" t="e">
        <f>IF(#REF!,"AAAAAHqNKo8=",0)</f>
        <v>#REF!</v>
      </c>
      <c r="EO541" t="e">
        <f>AND(#REF!,"AAAAAHqNKpA=")</f>
        <v>#REF!</v>
      </c>
      <c r="EP541" t="e">
        <f>AND(#REF!,"AAAAAHqNKpE=")</f>
        <v>#REF!</v>
      </c>
      <c r="EQ541" t="e">
        <f>AND(#REF!,"AAAAAHqNKpI=")</f>
        <v>#REF!</v>
      </c>
      <c r="ER541" t="e">
        <f>AND(#REF!,"AAAAAHqNKpM=")</f>
        <v>#REF!</v>
      </c>
      <c r="ES541" t="e">
        <f>AND(#REF!,"AAAAAHqNKpQ=")</f>
        <v>#REF!</v>
      </c>
      <c r="ET541" t="e">
        <f>AND(#REF!,"AAAAAHqNKpU=")</f>
        <v>#REF!</v>
      </c>
      <c r="EU541" t="e">
        <f>AND(#REF!,"AAAAAHqNKpY=")</f>
        <v>#REF!</v>
      </c>
      <c r="EV541" t="e">
        <f>AND(#REF!,"AAAAAHqNKpc=")</f>
        <v>#REF!</v>
      </c>
      <c r="EW541" t="e">
        <f>AND(#REF!,"AAAAAHqNKpg=")</f>
        <v>#REF!</v>
      </c>
      <c r="EX541" t="e">
        <f>AND(#REF!,"AAAAAHqNKpk=")</f>
        <v>#REF!</v>
      </c>
      <c r="EY541" t="e">
        <f>IF(#REF!,"AAAAAHqNKpo=",0)</f>
        <v>#REF!</v>
      </c>
      <c r="EZ541" t="e">
        <f>AND(#REF!,"AAAAAHqNKps=")</f>
        <v>#REF!</v>
      </c>
      <c r="FA541" t="e">
        <f>AND(#REF!,"AAAAAHqNKpw=")</f>
        <v>#REF!</v>
      </c>
      <c r="FB541" t="e">
        <f>AND(#REF!,"AAAAAHqNKp0=")</f>
        <v>#REF!</v>
      </c>
      <c r="FC541" t="e">
        <f>AND(#REF!,"AAAAAHqNKp4=")</f>
        <v>#REF!</v>
      </c>
      <c r="FD541" t="e">
        <f>AND(#REF!,"AAAAAHqNKp8=")</f>
        <v>#REF!</v>
      </c>
      <c r="FE541" t="e">
        <f>AND(#REF!,"AAAAAHqNKqA=")</f>
        <v>#REF!</v>
      </c>
      <c r="FF541" t="e">
        <f>AND(#REF!,"AAAAAHqNKqE=")</f>
        <v>#REF!</v>
      </c>
      <c r="FG541" t="e">
        <f>AND(#REF!,"AAAAAHqNKqI=")</f>
        <v>#REF!</v>
      </c>
      <c r="FH541" t="e">
        <f>AND(#REF!,"AAAAAHqNKqM=")</f>
        <v>#REF!</v>
      </c>
      <c r="FI541" t="e">
        <f>AND(#REF!,"AAAAAHqNKqQ=")</f>
        <v>#REF!</v>
      </c>
      <c r="FJ541" t="e">
        <f>IF(#REF!,"AAAAAHqNKqU=",0)</f>
        <v>#REF!</v>
      </c>
      <c r="FK541" t="e">
        <f>AND(#REF!,"AAAAAHqNKqY=")</f>
        <v>#REF!</v>
      </c>
      <c r="FL541" t="e">
        <f>AND(#REF!,"AAAAAHqNKqc=")</f>
        <v>#REF!</v>
      </c>
      <c r="FM541" t="e">
        <f>AND(#REF!,"AAAAAHqNKqg=")</f>
        <v>#REF!</v>
      </c>
      <c r="FN541" t="e">
        <f>AND(#REF!,"AAAAAHqNKqk=")</f>
        <v>#REF!</v>
      </c>
      <c r="FO541" t="e">
        <f>AND(#REF!,"AAAAAHqNKqo=")</f>
        <v>#REF!</v>
      </c>
      <c r="FP541" t="e">
        <f>AND(#REF!,"AAAAAHqNKqs=")</f>
        <v>#REF!</v>
      </c>
      <c r="FQ541" t="e">
        <f>AND(#REF!,"AAAAAHqNKqw=")</f>
        <v>#REF!</v>
      </c>
      <c r="FR541" t="e">
        <f>AND(#REF!,"AAAAAHqNKq0=")</f>
        <v>#REF!</v>
      </c>
      <c r="FS541" t="e">
        <f>AND(#REF!,"AAAAAHqNKq4=")</f>
        <v>#REF!</v>
      </c>
      <c r="FT541" t="e">
        <f>AND(#REF!,"AAAAAHqNKq8=")</f>
        <v>#REF!</v>
      </c>
      <c r="FU541" t="e">
        <f>IF(#REF!,"AAAAAHqNKrA=",0)</f>
        <v>#REF!</v>
      </c>
      <c r="FV541" t="e">
        <f>AND(#REF!,"AAAAAHqNKrE=")</f>
        <v>#REF!</v>
      </c>
      <c r="FW541" t="e">
        <f>AND(#REF!,"AAAAAHqNKrI=")</f>
        <v>#REF!</v>
      </c>
      <c r="FX541" t="e">
        <f>AND(#REF!,"AAAAAHqNKrM=")</f>
        <v>#REF!</v>
      </c>
      <c r="FY541" t="e">
        <f>AND(#REF!,"AAAAAHqNKrQ=")</f>
        <v>#REF!</v>
      </c>
      <c r="FZ541" t="e">
        <f>AND(#REF!,"AAAAAHqNKrU=")</f>
        <v>#REF!</v>
      </c>
      <c r="GA541" t="e">
        <f>AND(#REF!,"AAAAAHqNKrY=")</f>
        <v>#REF!</v>
      </c>
      <c r="GB541" t="e">
        <f>AND(#REF!,"AAAAAHqNKrc=")</f>
        <v>#REF!</v>
      </c>
      <c r="GC541" t="e">
        <f>AND(#REF!,"AAAAAHqNKrg=")</f>
        <v>#REF!</v>
      </c>
      <c r="GD541" t="e">
        <f>AND(#REF!,"AAAAAHqNKrk=")</f>
        <v>#REF!</v>
      </c>
      <c r="GE541" t="e">
        <f>AND(#REF!,"AAAAAHqNKro=")</f>
        <v>#REF!</v>
      </c>
      <c r="GF541" t="e">
        <f>IF(#REF!,"AAAAAHqNKrs=",0)</f>
        <v>#REF!</v>
      </c>
      <c r="GG541" t="e">
        <f>AND(#REF!,"AAAAAHqNKrw=")</f>
        <v>#REF!</v>
      </c>
      <c r="GH541" t="e">
        <f>AND(#REF!,"AAAAAHqNKr0=")</f>
        <v>#REF!</v>
      </c>
      <c r="GI541" t="e">
        <f>AND(#REF!,"AAAAAHqNKr4=")</f>
        <v>#REF!</v>
      </c>
      <c r="GJ541" t="e">
        <f>AND(#REF!,"AAAAAHqNKr8=")</f>
        <v>#REF!</v>
      </c>
      <c r="GK541" t="e">
        <f>AND(#REF!,"AAAAAHqNKsA=")</f>
        <v>#REF!</v>
      </c>
      <c r="GL541" t="e">
        <f>AND(#REF!,"AAAAAHqNKsE=")</f>
        <v>#REF!</v>
      </c>
      <c r="GM541" t="e">
        <f>AND(#REF!,"AAAAAHqNKsI=")</f>
        <v>#REF!</v>
      </c>
      <c r="GN541" t="e">
        <f>AND(#REF!,"AAAAAHqNKsM=")</f>
        <v>#REF!</v>
      </c>
      <c r="GO541" t="e">
        <f>AND(#REF!,"AAAAAHqNKsQ=")</f>
        <v>#REF!</v>
      </c>
      <c r="GP541" t="e">
        <f>AND(#REF!,"AAAAAHqNKsU=")</f>
        <v>#REF!</v>
      </c>
      <c r="GQ541" t="e">
        <f>IF(#REF!,"AAAAAHqNKsY=",0)</f>
        <v>#REF!</v>
      </c>
      <c r="GR541" t="e">
        <f>AND(#REF!,"AAAAAHqNKsc=")</f>
        <v>#REF!</v>
      </c>
      <c r="GS541" t="e">
        <f>AND(#REF!,"AAAAAHqNKsg=")</f>
        <v>#REF!</v>
      </c>
      <c r="GT541" t="e">
        <f>AND(#REF!,"AAAAAHqNKsk=")</f>
        <v>#REF!</v>
      </c>
      <c r="GU541" t="e">
        <f>AND(#REF!,"AAAAAHqNKso=")</f>
        <v>#REF!</v>
      </c>
      <c r="GV541" t="e">
        <f>AND(#REF!,"AAAAAHqNKss=")</f>
        <v>#REF!</v>
      </c>
      <c r="GW541" t="e">
        <f>AND(#REF!,"AAAAAHqNKsw=")</f>
        <v>#REF!</v>
      </c>
      <c r="GX541" t="e">
        <f>AND(#REF!,"AAAAAHqNKs0=")</f>
        <v>#REF!</v>
      </c>
      <c r="GY541" t="e">
        <f>AND(#REF!,"AAAAAHqNKs4=")</f>
        <v>#REF!</v>
      </c>
      <c r="GZ541" t="e">
        <f>AND(#REF!,"AAAAAHqNKs8=")</f>
        <v>#REF!</v>
      </c>
      <c r="HA541" t="e">
        <f>AND(#REF!,"AAAAAHqNKtA=")</f>
        <v>#REF!</v>
      </c>
      <c r="HB541" t="e">
        <f>IF(#REF!,"AAAAAHqNKtE=",0)</f>
        <v>#REF!</v>
      </c>
      <c r="HC541" t="e">
        <f>AND(#REF!,"AAAAAHqNKtI=")</f>
        <v>#REF!</v>
      </c>
      <c r="HD541" t="e">
        <f>AND(#REF!,"AAAAAHqNKtM=")</f>
        <v>#REF!</v>
      </c>
      <c r="HE541" t="e">
        <f>AND(#REF!,"AAAAAHqNKtQ=")</f>
        <v>#REF!</v>
      </c>
      <c r="HF541" t="e">
        <f>AND(#REF!,"AAAAAHqNKtU=")</f>
        <v>#REF!</v>
      </c>
      <c r="HG541" t="e">
        <f>AND(#REF!,"AAAAAHqNKtY=")</f>
        <v>#REF!</v>
      </c>
      <c r="HH541" t="e">
        <f>AND(#REF!,"AAAAAHqNKtc=")</f>
        <v>#REF!</v>
      </c>
      <c r="HI541" t="e">
        <f>AND(#REF!,"AAAAAHqNKtg=")</f>
        <v>#REF!</v>
      </c>
      <c r="HJ541" t="e">
        <f>AND(#REF!,"AAAAAHqNKtk=")</f>
        <v>#REF!</v>
      </c>
      <c r="HK541" t="e">
        <f>AND(#REF!,"AAAAAHqNKto=")</f>
        <v>#REF!</v>
      </c>
      <c r="HL541" t="e">
        <f>AND(#REF!,"AAAAAHqNKts=")</f>
        <v>#REF!</v>
      </c>
      <c r="HM541" t="e">
        <f>IF(#REF!,"AAAAAHqNKtw=",0)</f>
        <v>#REF!</v>
      </c>
      <c r="HN541" t="e">
        <f>AND(#REF!,"AAAAAHqNKt0=")</f>
        <v>#REF!</v>
      </c>
      <c r="HO541" t="e">
        <f>AND(#REF!,"AAAAAHqNKt4=")</f>
        <v>#REF!</v>
      </c>
      <c r="HP541" t="e">
        <f>AND(#REF!,"AAAAAHqNKt8=")</f>
        <v>#REF!</v>
      </c>
      <c r="HQ541" t="e">
        <f>AND(#REF!,"AAAAAHqNKuA=")</f>
        <v>#REF!</v>
      </c>
      <c r="HR541" t="e">
        <f>AND(#REF!,"AAAAAHqNKuE=")</f>
        <v>#REF!</v>
      </c>
      <c r="HS541" t="e">
        <f>AND(#REF!,"AAAAAHqNKuI=")</f>
        <v>#REF!</v>
      </c>
      <c r="HT541" t="e">
        <f>AND(#REF!,"AAAAAHqNKuM=")</f>
        <v>#REF!</v>
      </c>
      <c r="HU541" t="e">
        <f>AND(#REF!,"AAAAAHqNKuQ=")</f>
        <v>#REF!</v>
      </c>
      <c r="HV541" t="e">
        <f>AND(#REF!,"AAAAAHqNKuU=")</f>
        <v>#REF!</v>
      </c>
      <c r="HW541" t="e">
        <f>AND(#REF!,"AAAAAHqNKuY=")</f>
        <v>#REF!</v>
      </c>
      <c r="HX541" t="e">
        <f>IF(#REF!,"AAAAAHqNKuc=",0)</f>
        <v>#REF!</v>
      </c>
      <c r="HY541" t="e">
        <f>AND(#REF!,"AAAAAHqNKug=")</f>
        <v>#REF!</v>
      </c>
      <c r="HZ541" t="e">
        <f>AND(#REF!,"AAAAAHqNKuk=")</f>
        <v>#REF!</v>
      </c>
      <c r="IA541" t="e">
        <f>AND(#REF!,"AAAAAHqNKuo=")</f>
        <v>#REF!</v>
      </c>
      <c r="IB541" t="e">
        <f>AND(#REF!,"AAAAAHqNKus=")</f>
        <v>#REF!</v>
      </c>
      <c r="IC541" t="e">
        <f>AND(#REF!,"AAAAAHqNKuw=")</f>
        <v>#REF!</v>
      </c>
      <c r="ID541" t="e">
        <f>AND(#REF!,"AAAAAHqNKu0=")</f>
        <v>#REF!</v>
      </c>
      <c r="IE541" t="e">
        <f>AND(#REF!,"AAAAAHqNKu4=")</f>
        <v>#REF!</v>
      </c>
      <c r="IF541" t="e">
        <f>AND(#REF!,"AAAAAHqNKu8=")</f>
        <v>#REF!</v>
      </c>
      <c r="IG541" t="e">
        <f>AND(#REF!,"AAAAAHqNKvA=")</f>
        <v>#REF!</v>
      </c>
      <c r="IH541" t="e">
        <f>AND(#REF!,"AAAAAHqNKvE=")</f>
        <v>#REF!</v>
      </c>
      <c r="II541" t="e">
        <f>IF(#REF!,"AAAAAHqNKvI=",0)</f>
        <v>#REF!</v>
      </c>
      <c r="IJ541" t="e">
        <f>AND(#REF!,"AAAAAHqNKvM=")</f>
        <v>#REF!</v>
      </c>
      <c r="IK541" t="e">
        <f>AND(#REF!,"AAAAAHqNKvQ=")</f>
        <v>#REF!</v>
      </c>
      <c r="IL541" t="e">
        <f>AND(#REF!,"AAAAAHqNKvU=")</f>
        <v>#REF!</v>
      </c>
      <c r="IM541" t="e">
        <f>AND(#REF!,"AAAAAHqNKvY=")</f>
        <v>#REF!</v>
      </c>
      <c r="IN541" t="e">
        <f>AND(#REF!,"AAAAAHqNKvc=")</f>
        <v>#REF!</v>
      </c>
      <c r="IO541" t="e">
        <f>AND(#REF!,"AAAAAHqNKvg=")</f>
        <v>#REF!</v>
      </c>
      <c r="IP541" t="e">
        <f>AND(#REF!,"AAAAAHqNKvk=")</f>
        <v>#REF!</v>
      </c>
      <c r="IQ541" t="e">
        <f>AND(#REF!,"AAAAAHqNKvo=")</f>
        <v>#REF!</v>
      </c>
      <c r="IR541" t="e">
        <f>AND(#REF!,"AAAAAHqNKvs=")</f>
        <v>#REF!</v>
      </c>
      <c r="IS541" t="e">
        <f>AND(#REF!,"AAAAAHqNKvw=")</f>
        <v>#REF!</v>
      </c>
      <c r="IT541" t="e">
        <f>IF(#REF!,"AAAAAHqNKv0=",0)</f>
        <v>#REF!</v>
      </c>
      <c r="IU541" t="e">
        <f>AND(#REF!,"AAAAAHqNKv4=")</f>
        <v>#REF!</v>
      </c>
      <c r="IV541" t="e">
        <f>AND(#REF!,"AAAAAHqNKv8=")</f>
        <v>#REF!</v>
      </c>
    </row>
    <row r="542" spans="1:256" x14ac:dyDescent="0.25">
      <c r="A542" t="e">
        <f>AND(#REF!,"AAAAAEreuQA=")</f>
        <v>#REF!</v>
      </c>
      <c r="B542" t="e">
        <f>AND(#REF!,"AAAAAEreuQE=")</f>
        <v>#REF!</v>
      </c>
      <c r="C542" t="e">
        <f>AND(#REF!,"AAAAAEreuQI=")</f>
        <v>#REF!</v>
      </c>
      <c r="D542" t="e">
        <f>AND(#REF!,"AAAAAEreuQM=")</f>
        <v>#REF!</v>
      </c>
      <c r="E542" t="e">
        <f>AND(#REF!,"AAAAAEreuQQ=")</f>
        <v>#REF!</v>
      </c>
      <c r="F542" t="e">
        <f>AND(#REF!,"AAAAAEreuQU=")</f>
        <v>#REF!</v>
      </c>
      <c r="G542" t="e">
        <f>AND(#REF!,"AAAAAEreuQY=")</f>
        <v>#REF!</v>
      </c>
      <c r="H542" t="e">
        <f>AND(#REF!,"AAAAAEreuQc=")</f>
        <v>#REF!</v>
      </c>
      <c r="I542" t="e">
        <f>IF(#REF!,"AAAAAEreuQg=",0)</f>
        <v>#REF!</v>
      </c>
      <c r="J542" t="e">
        <f>AND(#REF!,"AAAAAEreuQk=")</f>
        <v>#REF!</v>
      </c>
      <c r="K542" t="e">
        <f>AND(#REF!,"AAAAAEreuQo=")</f>
        <v>#REF!</v>
      </c>
      <c r="L542" t="e">
        <f>AND(#REF!,"AAAAAEreuQs=")</f>
        <v>#REF!</v>
      </c>
      <c r="M542" t="e">
        <f>AND(#REF!,"AAAAAEreuQw=")</f>
        <v>#REF!</v>
      </c>
      <c r="N542" t="e">
        <f>AND(#REF!,"AAAAAEreuQ0=")</f>
        <v>#REF!</v>
      </c>
      <c r="O542" t="e">
        <f>AND(#REF!,"AAAAAEreuQ4=")</f>
        <v>#REF!</v>
      </c>
      <c r="P542" t="e">
        <f>AND(#REF!,"AAAAAEreuQ8=")</f>
        <v>#REF!</v>
      </c>
      <c r="Q542" t="e">
        <f>AND(#REF!,"AAAAAEreuRA=")</f>
        <v>#REF!</v>
      </c>
      <c r="R542" t="e">
        <f>AND(#REF!,"AAAAAEreuRE=")</f>
        <v>#REF!</v>
      </c>
      <c r="S542" t="e">
        <f>AND(#REF!,"AAAAAEreuRI=")</f>
        <v>#REF!</v>
      </c>
      <c r="T542" t="e">
        <f>IF(#REF!,"AAAAAEreuRM=",0)</f>
        <v>#REF!</v>
      </c>
      <c r="U542" t="e">
        <f>AND(#REF!,"AAAAAEreuRQ=")</f>
        <v>#REF!</v>
      </c>
      <c r="V542" t="e">
        <f>AND(#REF!,"AAAAAEreuRU=")</f>
        <v>#REF!</v>
      </c>
      <c r="W542" t="e">
        <f>AND(#REF!,"AAAAAEreuRY=")</f>
        <v>#REF!</v>
      </c>
      <c r="X542" t="e">
        <f>AND(#REF!,"AAAAAEreuRc=")</f>
        <v>#REF!</v>
      </c>
      <c r="Y542" t="e">
        <f>AND(#REF!,"AAAAAEreuRg=")</f>
        <v>#REF!</v>
      </c>
      <c r="Z542" t="e">
        <f>AND(#REF!,"AAAAAEreuRk=")</f>
        <v>#REF!</v>
      </c>
      <c r="AA542" t="e">
        <f>AND(#REF!,"AAAAAEreuRo=")</f>
        <v>#REF!</v>
      </c>
      <c r="AB542" t="e">
        <f>AND(#REF!,"AAAAAEreuRs=")</f>
        <v>#REF!</v>
      </c>
      <c r="AC542" t="e">
        <f>AND(#REF!,"AAAAAEreuRw=")</f>
        <v>#REF!</v>
      </c>
      <c r="AD542" t="e">
        <f>AND(#REF!,"AAAAAEreuR0=")</f>
        <v>#REF!</v>
      </c>
      <c r="AE542" t="e">
        <f>IF(#REF!,"AAAAAEreuR4=",0)</f>
        <v>#REF!</v>
      </c>
      <c r="AF542" t="e">
        <f>AND(#REF!,"AAAAAEreuR8=")</f>
        <v>#REF!</v>
      </c>
      <c r="AG542" t="e">
        <f>AND(#REF!,"AAAAAEreuSA=")</f>
        <v>#REF!</v>
      </c>
      <c r="AH542" t="e">
        <f>AND(#REF!,"AAAAAEreuSE=")</f>
        <v>#REF!</v>
      </c>
      <c r="AI542" t="e">
        <f>AND(#REF!,"AAAAAEreuSI=")</f>
        <v>#REF!</v>
      </c>
      <c r="AJ542" t="e">
        <f>AND(#REF!,"AAAAAEreuSM=")</f>
        <v>#REF!</v>
      </c>
      <c r="AK542" t="e">
        <f>AND(#REF!,"AAAAAEreuSQ=")</f>
        <v>#REF!</v>
      </c>
      <c r="AL542" t="e">
        <f>AND(#REF!,"AAAAAEreuSU=")</f>
        <v>#REF!</v>
      </c>
      <c r="AM542" t="e">
        <f>AND(#REF!,"AAAAAEreuSY=")</f>
        <v>#REF!</v>
      </c>
      <c r="AN542" t="e">
        <f>AND(#REF!,"AAAAAEreuSc=")</f>
        <v>#REF!</v>
      </c>
      <c r="AO542" t="e">
        <f>AND(#REF!,"AAAAAEreuSg=")</f>
        <v>#REF!</v>
      </c>
      <c r="AP542" t="e">
        <f>IF(#REF!,"AAAAAEreuSk=",0)</f>
        <v>#REF!</v>
      </c>
      <c r="AQ542" t="e">
        <f>AND(#REF!,"AAAAAEreuSo=")</f>
        <v>#REF!</v>
      </c>
      <c r="AR542" t="e">
        <f>AND(#REF!,"AAAAAEreuSs=")</f>
        <v>#REF!</v>
      </c>
      <c r="AS542" t="e">
        <f>AND(#REF!,"AAAAAEreuSw=")</f>
        <v>#REF!</v>
      </c>
      <c r="AT542" t="e">
        <f>AND(#REF!,"AAAAAEreuS0=")</f>
        <v>#REF!</v>
      </c>
      <c r="AU542" t="e">
        <f>AND(#REF!,"AAAAAEreuS4=")</f>
        <v>#REF!</v>
      </c>
      <c r="AV542" t="e">
        <f>AND(#REF!,"AAAAAEreuS8=")</f>
        <v>#REF!</v>
      </c>
      <c r="AW542" t="e">
        <f>AND(#REF!,"AAAAAEreuTA=")</f>
        <v>#REF!</v>
      </c>
      <c r="AX542" t="e">
        <f>AND(#REF!,"AAAAAEreuTE=")</f>
        <v>#REF!</v>
      </c>
      <c r="AY542" t="e">
        <f>AND(#REF!,"AAAAAEreuTI=")</f>
        <v>#REF!</v>
      </c>
      <c r="AZ542" t="e">
        <f>AND(#REF!,"AAAAAEreuTM=")</f>
        <v>#REF!</v>
      </c>
      <c r="BA542" t="e">
        <f>IF(#REF!,"AAAAAEreuTQ=",0)</f>
        <v>#REF!</v>
      </c>
      <c r="BB542" t="e">
        <f>AND(#REF!,"AAAAAEreuTU=")</f>
        <v>#REF!</v>
      </c>
      <c r="BC542" t="e">
        <f>AND(#REF!,"AAAAAEreuTY=")</f>
        <v>#REF!</v>
      </c>
      <c r="BD542" t="e">
        <f>AND(#REF!,"AAAAAEreuTc=")</f>
        <v>#REF!</v>
      </c>
      <c r="BE542" t="e">
        <f>AND(#REF!,"AAAAAEreuTg=")</f>
        <v>#REF!</v>
      </c>
      <c r="BF542" t="e">
        <f>AND(#REF!,"AAAAAEreuTk=")</f>
        <v>#REF!</v>
      </c>
      <c r="BG542" t="e">
        <f>AND(#REF!,"AAAAAEreuTo=")</f>
        <v>#REF!</v>
      </c>
      <c r="BH542" t="e">
        <f>AND(#REF!,"AAAAAEreuTs=")</f>
        <v>#REF!</v>
      </c>
      <c r="BI542" t="e">
        <f>AND(#REF!,"AAAAAEreuTw=")</f>
        <v>#REF!</v>
      </c>
      <c r="BJ542" t="e">
        <f>AND(#REF!,"AAAAAEreuT0=")</f>
        <v>#REF!</v>
      </c>
      <c r="BK542" t="e">
        <f>AND(#REF!,"AAAAAEreuT4=")</f>
        <v>#REF!</v>
      </c>
      <c r="BL542" t="e">
        <f>IF(#REF!,"AAAAAEreuT8=",0)</f>
        <v>#REF!</v>
      </c>
      <c r="BM542" t="e">
        <f>AND(#REF!,"AAAAAEreuUA=")</f>
        <v>#REF!</v>
      </c>
      <c r="BN542" t="e">
        <f>AND(#REF!,"AAAAAEreuUE=")</f>
        <v>#REF!</v>
      </c>
      <c r="BO542" t="e">
        <f>AND(#REF!,"AAAAAEreuUI=")</f>
        <v>#REF!</v>
      </c>
      <c r="BP542" t="e">
        <f>AND(#REF!,"AAAAAEreuUM=")</f>
        <v>#REF!</v>
      </c>
      <c r="BQ542" t="e">
        <f>AND(#REF!,"AAAAAEreuUQ=")</f>
        <v>#REF!</v>
      </c>
      <c r="BR542" t="e">
        <f>AND(#REF!,"AAAAAEreuUU=")</f>
        <v>#REF!</v>
      </c>
      <c r="BS542" t="e">
        <f>AND(#REF!,"AAAAAEreuUY=")</f>
        <v>#REF!</v>
      </c>
      <c r="BT542" t="e">
        <f>AND(#REF!,"AAAAAEreuUc=")</f>
        <v>#REF!</v>
      </c>
      <c r="BU542" t="e">
        <f>AND(#REF!,"AAAAAEreuUg=")</f>
        <v>#REF!</v>
      </c>
      <c r="BV542" t="e">
        <f>AND(#REF!,"AAAAAEreuUk=")</f>
        <v>#REF!</v>
      </c>
      <c r="BW542" t="e">
        <f>IF(#REF!,"AAAAAEreuUo=",0)</f>
        <v>#REF!</v>
      </c>
      <c r="BX542" t="e">
        <f>AND(#REF!,"AAAAAEreuUs=")</f>
        <v>#REF!</v>
      </c>
      <c r="BY542" t="e">
        <f>AND(#REF!,"AAAAAEreuUw=")</f>
        <v>#REF!</v>
      </c>
      <c r="BZ542" t="e">
        <f>AND(#REF!,"AAAAAEreuU0=")</f>
        <v>#REF!</v>
      </c>
      <c r="CA542" t="e">
        <f>AND(#REF!,"AAAAAEreuU4=")</f>
        <v>#REF!</v>
      </c>
      <c r="CB542" t="e">
        <f>AND(#REF!,"AAAAAEreuU8=")</f>
        <v>#REF!</v>
      </c>
      <c r="CC542" t="e">
        <f>AND(#REF!,"AAAAAEreuVA=")</f>
        <v>#REF!</v>
      </c>
      <c r="CD542" t="e">
        <f>AND(#REF!,"AAAAAEreuVE=")</f>
        <v>#REF!</v>
      </c>
      <c r="CE542" t="e">
        <f>AND(#REF!,"AAAAAEreuVI=")</f>
        <v>#REF!</v>
      </c>
      <c r="CF542" t="e">
        <f>AND(#REF!,"AAAAAEreuVM=")</f>
        <v>#REF!</v>
      </c>
      <c r="CG542" t="e">
        <f>AND(#REF!,"AAAAAEreuVQ=")</f>
        <v>#REF!</v>
      </c>
      <c r="CH542" t="e">
        <f>IF(#REF!,"AAAAAEreuVU=",0)</f>
        <v>#REF!</v>
      </c>
      <c r="CI542" t="e">
        <f>AND(#REF!,"AAAAAEreuVY=")</f>
        <v>#REF!</v>
      </c>
      <c r="CJ542" t="e">
        <f>AND(#REF!,"AAAAAEreuVc=")</f>
        <v>#REF!</v>
      </c>
      <c r="CK542" t="e">
        <f>AND(#REF!,"AAAAAEreuVg=")</f>
        <v>#REF!</v>
      </c>
      <c r="CL542" t="e">
        <f>AND(#REF!,"AAAAAEreuVk=")</f>
        <v>#REF!</v>
      </c>
      <c r="CM542" t="e">
        <f>AND(#REF!,"AAAAAEreuVo=")</f>
        <v>#REF!</v>
      </c>
      <c r="CN542" t="e">
        <f>AND(#REF!,"AAAAAEreuVs=")</f>
        <v>#REF!</v>
      </c>
      <c r="CO542" t="e">
        <f>AND(#REF!,"AAAAAEreuVw=")</f>
        <v>#REF!</v>
      </c>
      <c r="CP542" t="e">
        <f>AND(#REF!,"AAAAAEreuV0=")</f>
        <v>#REF!</v>
      </c>
      <c r="CQ542" t="e">
        <f>AND(#REF!,"AAAAAEreuV4=")</f>
        <v>#REF!</v>
      </c>
      <c r="CR542" t="e">
        <f>AND(#REF!,"AAAAAEreuV8=")</f>
        <v>#REF!</v>
      </c>
      <c r="CS542" t="e">
        <f>IF(#REF!,"AAAAAEreuWA=",0)</f>
        <v>#REF!</v>
      </c>
      <c r="CT542" t="e">
        <f>AND(#REF!,"AAAAAEreuWE=")</f>
        <v>#REF!</v>
      </c>
      <c r="CU542" t="e">
        <f>AND(#REF!,"AAAAAEreuWI=")</f>
        <v>#REF!</v>
      </c>
      <c r="CV542" t="e">
        <f>AND(#REF!,"AAAAAEreuWM=")</f>
        <v>#REF!</v>
      </c>
      <c r="CW542" t="e">
        <f>AND(#REF!,"AAAAAEreuWQ=")</f>
        <v>#REF!</v>
      </c>
      <c r="CX542" t="e">
        <f>AND(#REF!,"AAAAAEreuWU=")</f>
        <v>#REF!</v>
      </c>
      <c r="CY542" t="e">
        <f>AND(#REF!,"AAAAAEreuWY=")</f>
        <v>#REF!</v>
      </c>
      <c r="CZ542" t="e">
        <f>AND(#REF!,"AAAAAEreuWc=")</f>
        <v>#REF!</v>
      </c>
      <c r="DA542" t="e">
        <f>AND(#REF!,"AAAAAEreuWg=")</f>
        <v>#REF!</v>
      </c>
      <c r="DB542" t="e">
        <f>AND(#REF!,"AAAAAEreuWk=")</f>
        <v>#REF!</v>
      </c>
      <c r="DC542" t="e">
        <f>AND(#REF!,"AAAAAEreuWo=")</f>
        <v>#REF!</v>
      </c>
      <c r="DD542" t="e">
        <f>IF(#REF!,"AAAAAEreuWs=",0)</f>
        <v>#REF!</v>
      </c>
      <c r="DE542" t="e">
        <f>AND(#REF!,"AAAAAEreuWw=")</f>
        <v>#REF!</v>
      </c>
      <c r="DF542" t="e">
        <f>AND(#REF!,"AAAAAEreuW0=")</f>
        <v>#REF!</v>
      </c>
      <c r="DG542" t="e">
        <f>AND(#REF!,"AAAAAEreuW4=")</f>
        <v>#REF!</v>
      </c>
      <c r="DH542" t="e">
        <f>AND(#REF!,"AAAAAEreuW8=")</f>
        <v>#REF!</v>
      </c>
      <c r="DI542" t="e">
        <f>AND(#REF!,"AAAAAEreuXA=")</f>
        <v>#REF!</v>
      </c>
      <c r="DJ542" t="e">
        <f>AND(#REF!,"AAAAAEreuXE=")</f>
        <v>#REF!</v>
      </c>
      <c r="DK542" t="e">
        <f>AND(#REF!,"AAAAAEreuXI=")</f>
        <v>#REF!</v>
      </c>
      <c r="DL542" t="e">
        <f>AND(#REF!,"AAAAAEreuXM=")</f>
        <v>#REF!</v>
      </c>
      <c r="DM542" t="e">
        <f>AND(#REF!,"AAAAAEreuXQ=")</f>
        <v>#REF!</v>
      </c>
      <c r="DN542" t="e">
        <f>AND(#REF!,"AAAAAEreuXU=")</f>
        <v>#REF!</v>
      </c>
      <c r="DO542" t="e">
        <f>IF(#REF!,"AAAAAEreuXY=",0)</f>
        <v>#REF!</v>
      </c>
      <c r="DP542" t="e">
        <f>AND(#REF!,"AAAAAEreuXc=")</f>
        <v>#REF!</v>
      </c>
      <c r="DQ542" t="e">
        <f>AND(#REF!,"AAAAAEreuXg=")</f>
        <v>#REF!</v>
      </c>
      <c r="DR542" t="e">
        <f>AND(#REF!,"AAAAAEreuXk=")</f>
        <v>#REF!</v>
      </c>
      <c r="DS542" t="e">
        <f>AND(#REF!,"AAAAAEreuXo=")</f>
        <v>#REF!</v>
      </c>
      <c r="DT542" t="e">
        <f>AND(#REF!,"AAAAAEreuXs=")</f>
        <v>#REF!</v>
      </c>
      <c r="DU542" t="e">
        <f>AND(#REF!,"AAAAAEreuXw=")</f>
        <v>#REF!</v>
      </c>
      <c r="DV542" t="e">
        <f>AND(#REF!,"AAAAAEreuX0=")</f>
        <v>#REF!</v>
      </c>
      <c r="DW542" t="e">
        <f>AND(#REF!,"AAAAAEreuX4=")</f>
        <v>#REF!</v>
      </c>
      <c r="DX542" t="e">
        <f>AND(#REF!,"AAAAAEreuX8=")</f>
        <v>#REF!</v>
      </c>
      <c r="DY542" t="e">
        <f>AND(#REF!,"AAAAAEreuYA=")</f>
        <v>#REF!</v>
      </c>
      <c r="DZ542" t="e">
        <f>IF(#REF!,"AAAAAEreuYE=",0)</f>
        <v>#REF!</v>
      </c>
      <c r="EA542" t="e">
        <f>AND(#REF!,"AAAAAEreuYI=")</f>
        <v>#REF!</v>
      </c>
      <c r="EB542" t="e">
        <f>AND(#REF!,"AAAAAEreuYM=")</f>
        <v>#REF!</v>
      </c>
      <c r="EC542" t="e">
        <f>AND(#REF!,"AAAAAEreuYQ=")</f>
        <v>#REF!</v>
      </c>
      <c r="ED542" t="e">
        <f>AND(#REF!,"AAAAAEreuYU=")</f>
        <v>#REF!</v>
      </c>
      <c r="EE542" t="e">
        <f>AND(#REF!,"AAAAAEreuYY=")</f>
        <v>#REF!</v>
      </c>
      <c r="EF542" t="e">
        <f>AND(#REF!,"AAAAAEreuYc=")</f>
        <v>#REF!</v>
      </c>
      <c r="EG542" t="e">
        <f>AND(#REF!,"AAAAAEreuYg=")</f>
        <v>#REF!</v>
      </c>
      <c r="EH542" t="e">
        <f>AND(#REF!,"AAAAAEreuYk=")</f>
        <v>#REF!</v>
      </c>
      <c r="EI542" t="e">
        <f>AND(#REF!,"AAAAAEreuYo=")</f>
        <v>#REF!</v>
      </c>
      <c r="EJ542" t="e">
        <f>AND(#REF!,"AAAAAEreuYs=")</f>
        <v>#REF!</v>
      </c>
      <c r="EK542" t="e">
        <f>IF(#REF!,"AAAAAEreuYw=",0)</f>
        <v>#REF!</v>
      </c>
      <c r="EL542" t="e">
        <f>AND(#REF!,"AAAAAEreuY0=")</f>
        <v>#REF!</v>
      </c>
      <c r="EM542" t="e">
        <f>AND(#REF!,"AAAAAEreuY4=")</f>
        <v>#REF!</v>
      </c>
      <c r="EN542" t="e">
        <f>AND(#REF!,"AAAAAEreuY8=")</f>
        <v>#REF!</v>
      </c>
      <c r="EO542" t="e">
        <f>AND(#REF!,"AAAAAEreuZA=")</f>
        <v>#REF!</v>
      </c>
      <c r="EP542" t="e">
        <f>AND(#REF!,"AAAAAEreuZE=")</f>
        <v>#REF!</v>
      </c>
      <c r="EQ542" t="e">
        <f>AND(#REF!,"AAAAAEreuZI=")</f>
        <v>#REF!</v>
      </c>
      <c r="ER542" t="e">
        <f>AND(#REF!,"AAAAAEreuZM=")</f>
        <v>#REF!</v>
      </c>
      <c r="ES542" t="e">
        <f>AND(#REF!,"AAAAAEreuZQ=")</f>
        <v>#REF!</v>
      </c>
      <c r="ET542" t="e">
        <f>AND(#REF!,"AAAAAEreuZU=")</f>
        <v>#REF!</v>
      </c>
      <c r="EU542" t="e">
        <f>AND(#REF!,"AAAAAEreuZY=")</f>
        <v>#REF!</v>
      </c>
      <c r="EV542" t="e">
        <f>IF(#REF!,"AAAAAEreuZc=",0)</f>
        <v>#REF!</v>
      </c>
      <c r="EW542" t="e">
        <f>AND(#REF!,"AAAAAEreuZg=")</f>
        <v>#REF!</v>
      </c>
      <c r="EX542" t="e">
        <f>AND(#REF!,"AAAAAEreuZk=")</f>
        <v>#REF!</v>
      </c>
      <c r="EY542" t="e">
        <f>AND(#REF!,"AAAAAEreuZo=")</f>
        <v>#REF!</v>
      </c>
      <c r="EZ542" t="e">
        <f>AND(#REF!,"AAAAAEreuZs=")</f>
        <v>#REF!</v>
      </c>
      <c r="FA542" t="e">
        <f>AND(#REF!,"AAAAAEreuZw=")</f>
        <v>#REF!</v>
      </c>
      <c r="FB542" t="e">
        <f>AND(#REF!,"AAAAAEreuZ0=")</f>
        <v>#REF!</v>
      </c>
      <c r="FC542" t="e">
        <f>AND(#REF!,"AAAAAEreuZ4=")</f>
        <v>#REF!</v>
      </c>
      <c r="FD542" t="e">
        <f>AND(#REF!,"AAAAAEreuZ8=")</f>
        <v>#REF!</v>
      </c>
      <c r="FE542" t="e">
        <f>AND(#REF!,"AAAAAEreuaA=")</f>
        <v>#REF!</v>
      </c>
      <c r="FF542" t="e">
        <f>AND(#REF!,"AAAAAEreuaE=")</f>
        <v>#REF!</v>
      </c>
      <c r="FG542" t="e">
        <f>IF(#REF!,"AAAAAEreuaI=",0)</f>
        <v>#REF!</v>
      </c>
      <c r="FH542" t="e">
        <f>AND(#REF!,"AAAAAEreuaM=")</f>
        <v>#REF!</v>
      </c>
      <c r="FI542" t="e">
        <f>AND(#REF!,"AAAAAEreuaQ=")</f>
        <v>#REF!</v>
      </c>
      <c r="FJ542" t="e">
        <f>AND(#REF!,"AAAAAEreuaU=")</f>
        <v>#REF!</v>
      </c>
      <c r="FK542" t="e">
        <f>AND(#REF!,"AAAAAEreuaY=")</f>
        <v>#REF!</v>
      </c>
      <c r="FL542" t="e">
        <f>AND(#REF!,"AAAAAEreuac=")</f>
        <v>#REF!</v>
      </c>
      <c r="FM542" t="e">
        <f>AND(#REF!,"AAAAAEreuag=")</f>
        <v>#REF!</v>
      </c>
      <c r="FN542" t="e">
        <f>AND(#REF!,"AAAAAEreuak=")</f>
        <v>#REF!</v>
      </c>
      <c r="FO542" t="e">
        <f>AND(#REF!,"AAAAAEreuao=")</f>
        <v>#REF!</v>
      </c>
      <c r="FP542" t="e">
        <f>AND(#REF!,"AAAAAEreuas=")</f>
        <v>#REF!</v>
      </c>
      <c r="FQ542" t="e">
        <f>AND(#REF!,"AAAAAEreuaw=")</f>
        <v>#REF!</v>
      </c>
      <c r="FR542" t="e">
        <f>IF(#REF!,"AAAAAEreua0=",0)</f>
        <v>#REF!</v>
      </c>
      <c r="FS542" t="e">
        <f>AND(#REF!,"AAAAAEreua4=")</f>
        <v>#REF!</v>
      </c>
      <c r="FT542" t="e">
        <f>AND(#REF!,"AAAAAEreua8=")</f>
        <v>#REF!</v>
      </c>
      <c r="FU542" t="e">
        <f>AND(#REF!,"AAAAAEreubA=")</f>
        <v>#REF!</v>
      </c>
      <c r="FV542" t="e">
        <f>AND(#REF!,"AAAAAEreubE=")</f>
        <v>#REF!</v>
      </c>
      <c r="FW542" t="e">
        <f>AND(#REF!,"AAAAAEreubI=")</f>
        <v>#REF!</v>
      </c>
      <c r="FX542" t="e">
        <f>AND(#REF!,"AAAAAEreubM=")</f>
        <v>#REF!</v>
      </c>
      <c r="FY542" t="e">
        <f>AND(#REF!,"AAAAAEreubQ=")</f>
        <v>#REF!</v>
      </c>
      <c r="FZ542" t="e">
        <f>AND(#REF!,"AAAAAEreubU=")</f>
        <v>#REF!</v>
      </c>
      <c r="GA542" t="e">
        <f>AND(#REF!,"AAAAAEreubY=")</f>
        <v>#REF!</v>
      </c>
      <c r="GB542" t="e">
        <f>AND(#REF!,"AAAAAEreubc=")</f>
        <v>#REF!</v>
      </c>
      <c r="GC542" t="e">
        <f>IF(#REF!,"AAAAAEreubg=",0)</f>
        <v>#REF!</v>
      </c>
      <c r="GD542" t="e">
        <f>AND(#REF!,"AAAAAEreubk=")</f>
        <v>#REF!</v>
      </c>
      <c r="GE542" t="e">
        <f>AND(#REF!,"AAAAAEreubo=")</f>
        <v>#REF!</v>
      </c>
      <c r="GF542" t="e">
        <f>AND(#REF!,"AAAAAEreubs=")</f>
        <v>#REF!</v>
      </c>
      <c r="GG542" t="e">
        <f>AND(#REF!,"AAAAAEreubw=")</f>
        <v>#REF!</v>
      </c>
      <c r="GH542" t="e">
        <f>AND(#REF!,"AAAAAEreub0=")</f>
        <v>#REF!</v>
      </c>
      <c r="GI542" t="e">
        <f>AND(#REF!,"AAAAAEreub4=")</f>
        <v>#REF!</v>
      </c>
      <c r="GJ542" t="e">
        <f>AND(#REF!,"AAAAAEreub8=")</f>
        <v>#REF!</v>
      </c>
      <c r="GK542" t="e">
        <f>AND(#REF!,"AAAAAEreucA=")</f>
        <v>#REF!</v>
      </c>
      <c r="GL542" t="e">
        <f>AND(#REF!,"AAAAAEreucE=")</f>
        <v>#REF!</v>
      </c>
      <c r="GM542" t="e">
        <f>AND(#REF!,"AAAAAEreucI=")</f>
        <v>#REF!</v>
      </c>
      <c r="GN542" t="e">
        <f>IF(#REF!,"AAAAAEreucM=",0)</f>
        <v>#REF!</v>
      </c>
      <c r="GO542" t="e">
        <f>AND(#REF!,"AAAAAEreucQ=")</f>
        <v>#REF!</v>
      </c>
      <c r="GP542" t="e">
        <f>AND(#REF!,"AAAAAEreucU=")</f>
        <v>#REF!</v>
      </c>
      <c r="GQ542" t="e">
        <f>AND(#REF!,"AAAAAEreucY=")</f>
        <v>#REF!</v>
      </c>
      <c r="GR542" t="e">
        <f>AND(#REF!,"AAAAAEreucc=")</f>
        <v>#REF!</v>
      </c>
      <c r="GS542" t="e">
        <f>AND(#REF!,"AAAAAEreucg=")</f>
        <v>#REF!</v>
      </c>
      <c r="GT542" t="e">
        <f>AND(#REF!,"AAAAAEreuck=")</f>
        <v>#REF!</v>
      </c>
      <c r="GU542" t="e">
        <f>AND(#REF!,"AAAAAEreuco=")</f>
        <v>#REF!</v>
      </c>
      <c r="GV542" t="e">
        <f>AND(#REF!,"AAAAAEreucs=")</f>
        <v>#REF!</v>
      </c>
      <c r="GW542" t="e">
        <f>AND(#REF!,"AAAAAEreucw=")</f>
        <v>#REF!</v>
      </c>
      <c r="GX542" t="e">
        <f>AND(#REF!,"AAAAAEreuc0=")</f>
        <v>#REF!</v>
      </c>
      <c r="GY542" t="e">
        <f>IF(#REF!,"AAAAAEreuc4=",0)</f>
        <v>#REF!</v>
      </c>
      <c r="GZ542" t="e">
        <f>AND(#REF!,"AAAAAEreuc8=")</f>
        <v>#REF!</v>
      </c>
      <c r="HA542" t="e">
        <f>AND(#REF!,"AAAAAEreudA=")</f>
        <v>#REF!</v>
      </c>
      <c r="HB542" t="e">
        <f>AND(#REF!,"AAAAAEreudE=")</f>
        <v>#REF!</v>
      </c>
      <c r="HC542" t="e">
        <f>AND(#REF!,"AAAAAEreudI=")</f>
        <v>#REF!</v>
      </c>
      <c r="HD542" t="e">
        <f>AND(#REF!,"AAAAAEreudM=")</f>
        <v>#REF!</v>
      </c>
      <c r="HE542" t="e">
        <f>AND(#REF!,"AAAAAEreudQ=")</f>
        <v>#REF!</v>
      </c>
      <c r="HF542" t="e">
        <f>AND(#REF!,"AAAAAEreudU=")</f>
        <v>#REF!</v>
      </c>
      <c r="HG542" t="e">
        <f>AND(#REF!,"AAAAAEreudY=")</f>
        <v>#REF!</v>
      </c>
      <c r="HH542" t="e">
        <f>AND(#REF!,"AAAAAEreudc=")</f>
        <v>#REF!</v>
      </c>
      <c r="HI542" t="e">
        <f>AND(#REF!,"AAAAAEreudg=")</f>
        <v>#REF!</v>
      </c>
      <c r="HJ542" t="e">
        <f>IF(#REF!,"AAAAAEreudk=",0)</f>
        <v>#REF!</v>
      </c>
      <c r="HK542" t="e">
        <f>AND(#REF!,"AAAAAEreudo=")</f>
        <v>#REF!</v>
      </c>
      <c r="HL542" t="e">
        <f>AND(#REF!,"AAAAAEreuds=")</f>
        <v>#REF!</v>
      </c>
      <c r="HM542" t="e">
        <f>AND(#REF!,"AAAAAEreudw=")</f>
        <v>#REF!</v>
      </c>
      <c r="HN542" t="e">
        <f>AND(#REF!,"AAAAAEreud0=")</f>
        <v>#REF!</v>
      </c>
      <c r="HO542" t="e">
        <f>AND(#REF!,"AAAAAEreud4=")</f>
        <v>#REF!</v>
      </c>
      <c r="HP542" t="e">
        <f>AND(#REF!,"AAAAAEreud8=")</f>
        <v>#REF!</v>
      </c>
      <c r="HQ542" t="e">
        <f>AND(#REF!,"AAAAAEreueA=")</f>
        <v>#REF!</v>
      </c>
      <c r="HR542" t="e">
        <f>AND(#REF!,"AAAAAEreueE=")</f>
        <v>#REF!</v>
      </c>
      <c r="HS542" t="e">
        <f>AND(#REF!,"AAAAAEreueI=")</f>
        <v>#REF!</v>
      </c>
      <c r="HT542" t="e">
        <f>AND(#REF!,"AAAAAEreueM=")</f>
        <v>#REF!</v>
      </c>
      <c r="HU542" t="e">
        <f>IF(#REF!,"AAAAAEreueQ=",0)</f>
        <v>#REF!</v>
      </c>
      <c r="HV542" t="e">
        <f>AND(#REF!,"AAAAAEreueU=")</f>
        <v>#REF!</v>
      </c>
      <c r="HW542" t="e">
        <f>AND(#REF!,"AAAAAEreueY=")</f>
        <v>#REF!</v>
      </c>
      <c r="HX542" t="e">
        <f>AND(#REF!,"AAAAAEreuec=")</f>
        <v>#REF!</v>
      </c>
      <c r="HY542" t="e">
        <f>AND(#REF!,"AAAAAEreueg=")</f>
        <v>#REF!</v>
      </c>
      <c r="HZ542" t="e">
        <f>AND(#REF!,"AAAAAEreuek=")</f>
        <v>#REF!</v>
      </c>
      <c r="IA542" t="e">
        <f>AND(#REF!,"AAAAAEreueo=")</f>
        <v>#REF!</v>
      </c>
      <c r="IB542" t="e">
        <f>AND(#REF!,"AAAAAEreues=")</f>
        <v>#REF!</v>
      </c>
      <c r="IC542" t="e">
        <f>AND(#REF!,"AAAAAEreuew=")</f>
        <v>#REF!</v>
      </c>
      <c r="ID542" t="e">
        <f>AND(#REF!,"AAAAAEreue0=")</f>
        <v>#REF!</v>
      </c>
      <c r="IE542" t="e">
        <f>AND(#REF!,"AAAAAEreue4=")</f>
        <v>#REF!</v>
      </c>
      <c r="IF542" t="e">
        <f>IF(#REF!,"AAAAAEreue8=",0)</f>
        <v>#REF!</v>
      </c>
      <c r="IG542" t="e">
        <f>AND(#REF!,"AAAAAEreufA=")</f>
        <v>#REF!</v>
      </c>
      <c r="IH542" t="e">
        <f>AND(#REF!,"AAAAAEreufE=")</f>
        <v>#REF!</v>
      </c>
      <c r="II542" t="e">
        <f>AND(#REF!,"AAAAAEreufI=")</f>
        <v>#REF!</v>
      </c>
      <c r="IJ542" t="e">
        <f>AND(#REF!,"AAAAAEreufM=")</f>
        <v>#REF!</v>
      </c>
      <c r="IK542" t="e">
        <f>AND(#REF!,"AAAAAEreufQ=")</f>
        <v>#REF!</v>
      </c>
      <c r="IL542" t="e">
        <f>AND(#REF!,"AAAAAEreufU=")</f>
        <v>#REF!</v>
      </c>
      <c r="IM542" t="e">
        <f>AND(#REF!,"AAAAAEreufY=")</f>
        <v>#REF!</v>
      </c>
      <c r="IN542" t="e">
        <f>AND(#REF!,"AAAAAEreufc=")</f>
        <v>#REF!</v>
      </c>
      <c r="IO542" t="e">
        <f>AND(#REF!,"AAAAAEreufg=")</f>
        <v>#REF!</v>
      </c>
      <c r="IP542" t="e">
        <f>AND(#REF!,"AAAAAEreufk=")</f>
        <v>#REF!</v>
      </c>
      <c r="IQ542" t="e">
        <f>IF(#REF!,"AAAAAEreufo=",0)</f>
        <v>#REF!</v>
      </c>
      <c r="IR542" t="e">
        <f>AND(#REF!,"AAAAAEreufs=")</f>
        <v>#REF!</v>
      </c>
      <c r="IS542" t="e">
        <f>AND(#REF!,"AAAAAEreufw=")</f>
        <v>#REF!</v>
      </c>
      <c r="IT542" t="e">
        <f>AND(#REF!,"AAAAAEreuf0=")</f>
        <v>#REF!</v>
      </c>
      <c r="IU542" t="e">
        <f>AND(#REF!,"AAAAAEreuf4=")</f>
        <v>#REF!</v>
      </c>
      <c r="IV542" t="e">
        <f>AND(#REF!,"AAAAAEreuf8=")</f>
        <v>#REF!</v>
      </c>
    </row>
    <row r="543" spans="1:256" x14ac:dyDescent="0.25">
      <c r="A543" t="e">
        <f>AND(#REF!,"AAAAAH96VwA=")</f>
        <v>#REF!</v>
      </c>
      <c r="B543" t="e">
        <f>AND(#REF!,"AAAAAH96VwE=")</f>
        <v>#REF!</v>
      </c>
      <c r="C543" t="e">
        <f>AND(#REF!,"AAAAAH96VwI=")</f>
        <v>#REF!</v>
      </c>
      <c r="D543" t="e">
        <f>AND(#REF!,"AAAAAH96VwM=")</f>
        <v>#REF!</v>
      </c>
      <c r="E543" t="e">
        <f>AND(#REF!,"AAAAAH96VwQ=")</f>
        <v>#REF!</v>
      </c>
      <c r="F543" t="e">
        <f>IF(#REF!,"AAAAAH96VwU=",0)</f>
        <v>#REF!</v>
      </c>
      <c r="G543" t="e">
        <f>AND(#REF!,"AAAAAH96VwY=")</f>
        <v>#REF!</v>
      </c>
      <c r="H543" t="e">
        <f>AND(#REF!,"AAAAAH96Vwc=")</f>
        <v>#REF!</v>
      </c>
      <c r="I543" t="e">
        <f>AND(#REF!,"AAAAAH96Vwg=")</f>
        <v>#REF!</v>
      </c>
      <c r="J543" t="e">
        <f>AND(#REF!,"AAAAAH96Vwk=")</f>
        <v>#REF!</v>
      </c>
      <c r="K543" t="e">
        <f>AND(#REF!,"AAAAAH96Vwo=")</f>
        <v>#REF!</v>
      </c>
      <c r="L543" t="e">
        <f>AND(#REF!,"AAAAAH96Vws=")</f>
        <v>#REF!</v>
      </c>
      <c r="M543" t="e">
        <f>AND(#REF!,"AAAAAH96Vww=")</f>
        <v>#REF!</v>
      </c>
      <c r="N543" t="e">
        <f>AND(#REF!,"AAAAAH96Vw0=")</f>
        <v>#REF!</v>
      </c>
      <c r="O543" t="e">
        <f>AND(#REF!,"AAAAAH96Vw4=")</f>
        <v>#REF!</v>
      </c>
      <c r="P543" t="e">
        <f>AND(#REF!,"AAAAAH96Vw8=")</f>
        <v>#REF!</v>
      </c>
      <c r="Q543" t="e">
        <f>IF(#REF!,"AAAAAH96VxA=",0)</f>
        <v>#REF!</v>
      </c>
      <c r="R543" t="e">
        <f>AND(#REF!,"AAAAAH96VxE=")</f>
        <v>#REF!</v>
      </c>
      <c r="S543" t="e">
        <f>AND(#REF!,"AAAAAH96VxI=")</f>
        <v>#REF!</v>
      </c>
      <c r="T543" t="e">
        <f>AND(#REF!,"AAAAAH96VxM=")</f>
        <v>#REF!</v>
      </c>
      <c r="U543" t="e">
        <f>AND(#REF!,"AAAAAH96VxQ=")</f>
        <v>#REF!</v>
      </c>
      <c r="V543" t="e">
        <f>AND(#REF!,"AAAAAH96VxU=")</f>
        <v>#REF!</v>
      </c>
      <c r="W543" t="e">
        <f>AND(#REF!,"AAAAAH96VxY=")</f>
        <v>#REF!</v>
      </c>
      <c r="X543" t="e">
        <f>AND(#REF!,"AAAAAH96Vxc=")</f>
        <v>#REF!</v>
      </c>
      <c r="Y543" t="e">
        <f>AND(#REF!,"AAAAAH96Vxg=")</f>
        <v>#REF!</v>
      </c>
      <c r="Z543" t="e">
        <f>AND(#REF!,"AAAAAH96Vxk=")</f>
        <v>#REF!</v>
      </c>
      <c r="AA543" t="e">
        <f>AND(#REF!,"AAAAAH96Vxo=")</f>
        <v>#REF!</v>
      </c>
      <c r="AB543" t="e">
        <f>IF(#REF!,"AAAAAH96Vxs=",0)</f>
        <v>#REF!</v>
      </c>
      <c r="AC543" t="e">
        <f>AND(#REF!,"AAAAAH96Vxw=")</f>
        <v>#REF!</v>
      </c>
      <c r="AD543" t="e">
        <f>AND(#REF!,"AAAAAH96Vx0=")</f>
        <v>#REF!</v>
      </c>
      <c r="AE543" t="e">
        <f>AND(#REF!,"AAAAAH96Vx4=")</f>
        <v>#REF!</v>
      </c>
      <c r="AF543" t="e">
        <f>AND(#REF!,"AAAAAH96Vx8=")</f>
        <v>#REF!</v>
      </c>
      <c r="AG543" t="e">
        <f>AND(#REF!,"AAAAAH96VyA=")</f>
        <v>#REF!</v>
      </c>
      <c r="AH543" t="e">
        <f>AND(#REF!,"AAAAAH96VyE=")</f>
        <v>#REF!</v>
      </c>
      <c r="AI543" t="e">
        <f>AND(#REF!,"AAAAAH96VyI=")</f>
        <v>#REF!</v>
      </c>
      <c r="AJ543" t="e">
        <f>AND(#REF!,"AAAAAH96VyM=")</f>
        <v>#REF!</v>
      </c>
      <c r="AK543" t="e">
        <f>AND(#REF!,"AAAAAH96VyQ=")</f>
        <v>#REF!</v>
      </c>
      <c r="AL543" t="e">
        <f>AND(#REF!,"AAAAAH96VyU=")</f>
        <v>#REF!</v>
      </c>
      <c r="AM543" t="e">
        <f>IF(#REF!,"AAAAAH96VyY=",0)</f>
        <v>#REF!</v>
      </c>
      <c r="AN543" t="e">
        <f>AND(#REF!,"AAAAAH96Vyc=")</f>
        <v>#REF!</v>
      </c>
      <c r="AO543" t="e">
        <f>AND(#REF!,"AAAAAH96Vyg=")</f>
        <v>#REF!</v>
      </c>
      <c r="AP543" t="e">
        <f>AND(#REF!,"AAAAAH96Vyk=")</f>
        <v>#REF!</v>
      </c>
      <c r="AQ543" t="e">
        <f>AND(#REF!,"AAAAAH96Vyo=")</f>
        <v>#REF!</v>
      </c>
      <c r="AR543" t="e">
        <f>AND(#REF!,"AAAAAH96Vys=")</f>
        <v>#REF!</v>
      </c>
      <c r="AS543" t="e">
        <f>AND(#REF!,"AAAAAH96Vyw=")</f>
        <v>#REF!</v>
      </c>
      <c r="AT543" t="e">
        <f>AND(#REF!,"AAAAAH96Vy0=")</f>
        <v>#REF!</v>
      </c>
      <c r="AU543" t="e">
        <f>AND(#REF!,"AAAAAH96Vy4=")</f>
        <v>#REF!</v>
      </c>
      <c r="AV543" t="e">
        <f>AND(#REF!,"AAAAAH96Vy8=")</f>
        <v>#REF!</v>
      </c>
      <c r="AW543" t="e">
        <f>AND(#REF!,"AAAAAH96VzA=")</f>
        <v>#REF!</v>
      </c>
      <c r="AX543" t="e">
        <f>IF(#REF!,"AAAAAH96VzE=",0)</f>
        <v>#REF!</v>
      </c>
      <c r="AY543" t="e">
        <f>AND(#REF!,"AAAAAH96VzI=")</f>
        <v>#REF!</v>
      </c>
      <c r="AZ543" t="e">
        <f>AND(#REF!,"AAAAAH96VzM=")</f>
        <v>#REF!</v>
      </c>
      <c r="BA543" t="e">
        <f>AND(#REF!,"AAAAAH96VzQ=")</f>
        <v>#REF!</v>
      </c>
      <c r="BB543" t="e">
        <f>AND(#REF!,"AAAAAH96VzU=")</f>
        <v>#REF!</v>
      </c>
      <c r="BC543" t="e">
        <f>AND(#REF!,"AAAAAH96VzY=")</f>
        <v>#REF!</v>
      </c>
      <c r="BD543" t="e">
        <f>AND(#REF!,"AAAAAH96Vzc=")</f>
        <v>#REF!</v>
      </c>
      <c r="BE543" t="e">
        <f>AND(#REF!,"AAAAAH96Vzg=")</f>
        <v>#REF!</v>
      </c>
      <c r="BF543" t="e">
        <f>AND(#REF!,"AAAAAH96Vzk=")</f>
        <v>#REF!</v>
      </c>
      <c r="BG543" t="e">
        <f>AND(#REF!,"AAAAAH96Vzo=")</f>
        <v>#REF!</v>
      </c>
      <c r="BH543" t="e">
        <f>AND(#REF!,"AAAAAH96Vzs=")</f>
        <v>#REF!</v>
      </c>
      <c r="BI543" t="e">
        <f>IF(#REF!,"AAAAAH96Vzw=",0)</f>
        <v>#REF!</v>
      </c>
      <c r="BJ543" t="e">
        <f>AND(#REF!,"AAAAAH96Vz0=")</f>
        <v>#REF!</v>
      </c>
      <c r="BK543" t="e">
        <f>AND(#REF!,"AAAAAH96Vz4=")</f>
        <v>#REF!</v>
      </c>
      <c r="BL543" t="e">
        <f>AND(#REF!,"AAAAAH96Vz8=")</f>
        <v>#REF!</v>
      </c>
      <c r="BM543" t="e">
        <f>AND(#REF!,"AAAAAH96V0A=")</f>
        <v>#REF!</v>
      </c>
      <c r="BN543" t="e">
        <f>AND(#REF!,"AAAAAH96V0E=")</f>
        <v>#REF!</v>
      </c>
      <c r="BO543" t="e">
        <f>AND(#REF!,"AAAAAH96V0I=")</f>
        <v>#REF!</v>
      </c>
      <c r="BP543" t="e">
        <f>AND(#REF!,"AAAAAH96V0M=")</f>
        <v>#REF!</v>
      </c>
      <c r="BQ543" t="e">
        <f>AND(#REF!,"AAAAAH96V0Q=")</f>
        <v>#REF!</v>
      </c>
      <c r="BR543" t="e">
        <f>AND(#REF!,"AAAAAH96V0U=")</f>
        <v>#REF!</v>
      </c>
      <c r="BS543" t="e">
        <f>AND(#REF!,"AAAAAH96V0Y=")</f>
        <v>#REF!</v>
      </c>
      <c r="BT543" t="e">
        <f>IF(#REF!,"AAAAAH96V0c=",0)</f>
        <v>#REF!</v>
      </c>
      <c r="BU543" t="e">
        <f>AND(#REF!,"AAAAAH96V0g=")</f>
        <v>#REF!</v>
      </c>
      <c r="BV543" t="e">
        <f>AND(#REF!,"AAAAAH96V0k=")</f>
        <v>#REF!</v>
      </c>
      <c r="BW543" t="e">
        <f>AND(#REF!,"AAAAAH96V0o=")</f>
        <v>#REF!</v>
      </c>
      <c r="BX543" t="e">
        <f>AND(#REF!,"AAAAAH96V0s=")</f>
        <v>#REF!</v>
      </c>
      <c r="BY543" t="e">
        <f>AND(#REF!,"AAAAAH96V0w=")</f>
        <v>#REF!</v>
      </c>
      <c r="BZ543" t="e">
        <f>AND(#REF!,"AAAAAH96V00=")</f>
        <v>#REF!</v>
      </c>
      <c r="CA543" t="e">
        <f>AND(#REF!,"AAAAAH96V04=")</f>
        <v>#REF!</v>
      </c>
      <c r="CB543" t="e">
        <f>AND(#REF!,"AAAAAH96V08=")</f>
        <v>#REF!</v>
      </c>
      <c r="CC543" t="e">
        <f>AND(#REF!,"AAAAAH96V1A=")</f>
        <v>#REF!</v>
      </c>
      <c r="CD543" t="e">
        <f>AND(#REF!,"AAAAAH96V1E=")</f>
        <v>#REF!</v>
      </c>
      <c r="CE543" t="e">
        <f>IF(#REF!,"AAAAAH96V1I=",0)</f>
        <v>#REF!</v>
      </c>
      <c r="CF543" t="e">
        <f>AND(#REF!,"AAAAAH96V1M=")</f>
        <v>#REF!</v>
      </c>
      <c r="CG543" t="e">
        <f>AND(#REF!,"AAAAAH96V1Q=")</f>
        <v>#REF!</v>
      </c>
      <c r="CH543" t="e">
        <f>AND(#REF!,"AAAAAH96V1U=")</f>
        <v>#REF!</v>
      </c>
      <c r="CI543" t="e">
        <f>AND(#REF!,"AAAAAH96V1Y=")</f>
        <v>#REF!</v>
      </c>
      <c r="CJ543" t="e">
        <f>AND(#REF!,"AAAAAH96V1c=")</f>
        <v>#REF!</v>
      </c>
      <c r="CK543" t="e">
        <f>AND(#REF!,"AAAAAH96V1g=")</f>
        <v>#REF!</v>
      </c>
      <c r="CL543" t="e">
        <f>AND(#REF!,"AAAAAH96V1k=")</f>
        <v>#REF!</v>
      </c>
      <c r="CM543" t="e">
        <f>AND(#REF!,"AAAAAH96V1o=")</f>
        <v>#REF!</v>
      </c>
      <c r="CN543" t="e">
        <f>AND(#REF!,"AAAAAH96V1s=")</f>
        <v>#REF!</v>
      </c>
      <c r="CO543" t="e">
        <f>AND(#REF!,"AAAAAH96V1w=")</f>
        <v>#REF!</v>
      </c>
      <c r="CP543" t="e">
        <f>IF(#REF!,"AAAAAH96V10=",0)</f>
        <v>#REF!</v>
      </c>
      <c r="CQ543" t="e">
        <f>AND(#REF!,"AAAAAH96V14=")</f>
        <v>#REF!</v>
      </c>
      <c r="CR543" t="e">
        <f>AND(#REF!,"AAAAAH96V18=")</f>
        <v>#REF!</v>
      </c>
      <c r="CS543" t="e">
        <f>AND(#REF!,"AAAAAH96V2A=")</f>
        <v>#REF!</v>
      </c>
      <c r="CT543" t="e">
        <f>AND(#REF!,"AAAAAH96V2E=")</f>
        <v>#REF!</v>
      </c>
      <c r="CU543" t="e">
        <f>AND(#REF!,"AAAAAH96V2I=")</f>
        <v>#REF!</v>
      </c>
      <c r="CV543" t="e">
        <f>AND(#REF!,"AAAAAH96V2M=")</f>
        <v>#REF!</v>
      </c>
      <c r="CW543" t="e">
        <f>AND(#REF!,"AAAAAH96V2Q=")</f>
        <v>#REF!</v>
      </c>
      <c r="CX543" t="e">
        <f>AND(#REF!,"AAAAAH96V2U=")</f>
        <v>#REF!</v>
      </c>
      <c r="CY543" t="e">
        <f>AND(#REF!,"AAAAAH96V2Y=")</f>
        <v>#REF!</v>
      </c>
      <c r="CZ543" t="e">
        <f>AND(#REF!,"AAAAAH96V2c=")</f>
        <v>#REF!</v>
      </c>
      <c r="DA543" t="e">
        <f>IF(#REF!,"AAAAAH96V2g=",0)</f>
        <v>#REF!</v>
      </c>
      <c r="DB543" t="e">
        <f>AND(#REF!,"AAAAAH96V2k=")</f>
        <v>#REF!</v>
      </c>
      <c r="DC543" t="e">
        <f>AND(#REF!,"AAAAAH96V2o=")</f>
        <v>#REF!</v>
      </c>
      <c r="DD543" t="e">
        <f>AND(#REF!,"AAAAAH96V2s=")</f>
        <v>#REF!</v>
      </c>
      <c r="DE543" t="e">
        <f>AND(#REF!,"AAAAAH96V2w=")</f>
        <v>#REF!</v>
      </c>
      <c r="DF543" t="e">
        <f>AND(#REF!,"AAAAAH96V20=")</f>
        <v>#REF!</v>
      </c>
      <c r="DG543" t="e">
        <f>AND(#REF!,"AAAAAH96V24=")</f>
        <v>#REF!</v>
      </c>
      <c r="DH543" t="e">
        <f>AND(#REF!,"AAAAAH96V28=")</f>
        <v>#REF!</v>
      </c>
      <c r="DI543" t="e">
        <f>AND(#REF!,"AAAAAH96V3A=")</f>
        <v>#REF!</v>
      </c>
      <c r="DJ543" t="e">
        <f>AND(#REF!,"AAAAAH96V3E=")</f>
        <v>#REF!</v>
      </c>
      <c r="DK543" t="e">
        <f>AND(#REF!,"AAAAAH96V3I=")</f>
        <v>#REF!</v>
      </c>
      <c r="DL543" t="e">
        <f>IF(#REF!,"AAAAAH96V3M=",0)</f>
        <v>#REF!</v>
      </c>
      <c r="DM543" t="e">
        <f>AND(#REF!,"AAAAAH96V3Q=")</f>
        <v>#REF!</v>
      </c>
      <c r="DN543" t="e">
        <f>AND(#REF!,"AAAAAH96V3U=")</f>
        <v>#REF!</v>
      </c>
      <c r="DO543" t="e">
        <f>AND(#REF!,"AAAAAH96V3Y=")</f>
        <v>#REF!</v>
      </c>
      <c r="DP543" t="e">
        <f>AND(#REF!,"AAAAAH96V3c=")</f>
        <v>#REF!</v>
      </c>
      <c r="DQ543" t="e">
        <f>AND(#REF!,"AAAAAH96V3g=")</f>
        <v>#REF!</v>
      </c>
      <c r="DR543" t="e">
        <f>AND(#REF!,"AAAAAH96V3k=")</f>
        <v>#REF!</v>
      </c>
      <c r="DS543" t="e">
        <f>AND(#REF!,"AAAAAH96V3o=")</f>
        <v>#REF!</v>
      </c>
      <c r="DT543" t="e">
        <f>AND(#REF!,"AAAAAH96V3s=")</f>
        <v>#REF!</v>
      </c>
      <c r="DU543" t="e">
        <f>AND(#REF!,"AAAAAH96V3w=")</f>
        <v>#REF!</v>
      </c>
      <c r="DV543" t="e">
        <f>AND(#REF!,"AAAAAH96V30=")</f>
        <v>#REF!</v>
      </c>
      <c r="DW543" t="e">
        <f>IF(#REF!,"AAAAAH96V34=",0)</f>
        <v>#REF!</v>
      </c>
      <c r="DX543" t="e">
        <f>AND(#REF!,"AAAAAH96V38=")</f>
        <v>#REF!</v>
      </c>
      <c r="DY543" t="e">
        <f>AND(#REF!,"AAAAAH96V4A=")</f>
        <v>#REF!</v>
      </c>
      <c r="DZ543" t="e">
        <f>AND(#REF!,"AAAAAH96V4E=")</f>
        <v>#REF!</v>
      </c>
      <c r="EA543" t="e">
        <f>AND(#REF!,"AAAAAH96V4I=")</f>
        <v>#REF!</v>
      </c>
      <c r="EB543" t="e">
        <f>AND(#REF!,"AAAAAH96V4M=")</f>
        <v>#REF!</v>
      </c>
      <c r="EC543" t="e">
        <f>AND(#REF!,"AAAAAH96V4Q=")</f>
        <v>#REF!</v>
      </c>
      <c r="ED543" t="e">
        <f>AND(#REF!,"AAAAAH96V4U=")</f>
        <v>#REF!</v>
      </c>
      <c r="EE543" t="e">
        <f>AND(#REF!,"AAAAAH96V4Y=")</f>
        <v>#REF!</v>
      </c>
      <c r="EF543" t="e">
        <f>AND(#REF!,"AAAAAH96V4c=")</f>
        <v>#REF!</v>
      </c>
      <c r="EG543" t="e">
        <f>AND(#REF!,"AAAAAH96V4g=")</f>
        <v>#REF!</v>
      </c>
      <c r="EH543" t="e">
        <f>IF(#REF!,"AAAAAH96V4k=",0)</f>
        <v>#REF!</v>
      </c>
      <c r="EI543" t="e">
        <f>AND(#REF!,"AAAAAH96V4o=")</f>
        <v>#REF!</v>
      </c>
      <c r="EJ543" t="e">
        <f>AND(#REF!,"AAAAAH96V4s=")</f>
        <v>#REF!</v>
      </c>
      <c r="EK543" t="e">
        <f>AND(#REF!,"AAAAAH96V4w=")</f>
        <v>#REF!</v>
      </c>
      <c r="EL543" t="e">
        <f>AND(#REF!,"AAAAAH96V40=")</f>
        <v>#REF!</v>
      </c>
      <c r="EM543" t="e">
        <f>AND(#REF!,"AAAAAH96V44=")</f>
        <v>#REF!</v>
      </c>
      <c r="EN543" t="e">
        <f>AND(#REF!,"AAAAAH96V48=")</f>
        <v>#REF!</v>
      </c>
      <c r="EO543" t="e">
        <f>AND(#REF!,"AAAAAH96V5A=")</f>
        <v>#REF!</v>
      </c>
      <c r="EP543" t="e">
        <f>AND(#REF!,"AAAAAH96V5E=")</f>
        <v>#REF!</v>
      </c>
      <c r="EQ543" t="e">
        <f>AND(#REF!,"AAAAAH96V5I=")</f>
        <v>#REF!</v>
      </c>
      <c r="ER543" t="e">
        <f>AND(#REF!,"AAAAAH96V5M=")</f>
        <v>#REF!</v>
      </c>
      <c r="ES543" t="e">
        <f>IF(#REF!,"AAAAAH96V5Q=",0)</f>
        <v>#REF!</v>
      </c>
      <c r="ET543" t="e">
        <f>AND(#REF!,"AAAAAH96V5U=")</f>
        <v>#REF!</v>
      </c>
      <c r="EU543" t="e">
        <f>AND(#REF!,"AAAAAH96V5Y=")</f>
        <v>#REF!</v>
      </c>
      <c r="EV543" t="e">
        <f>AND(#REF!,"AAAAAH96V5c=")</f>
        <v>#REF!</v>
      </c>
      <c r="EW543" t="e">
        <f>AND(#REF!,"AAAAAH96V5g=")</f>
        <v>#REF!</v>
      </c>
      <c r="EX543" t="e">
        <f>AND(#REF!,"AAAAAH96V5k=")</f>
        <v>#REF!</v>
      </c>
      <c r="EY543" t="e">
        <f>AND(#REF!,"AAAAAH96V5o=")</f>
        <v>#REF!</v>
      </c>
      <c r="EZ543" t="e">
        <f>AND(#REF!,"AAAAAH96V5s=")</f>
        <v>#REF!</v>
      </c>
      <c r="FA543" t="e">
        <f>AND(#REF!,"AAAAAH96V5w=")</f>
        <v>#REF!</v>
      </c>
      <c r="FB543" t="e">
        <f>AND(#REF!,"AAAAAH96V50=")</f>
        <v>#REF!</v>
      </c>
      <c r="FC543" t="e">
        <f>AND(#REF!,"AAAAAH96V54=")</f>
        <v>#REF!</v>
      </c>
      <c r="FD543" t="e">
        <f>IF(#REF!,"AAAAAH96V58=",0)</f>
        <v>#REF!</v>
      </c>
      <c r="FE543" t="e">
        <f>AND(#REF!,"AAAAAH96V6A=")</f>
        <v>#REF!</v>
      </c>
      <c r="FF543" t="e">
        <f>AND(#REF!,"AAAAAH96V6E=")</f>
        <v>#REF!</v>
      </c>
      <c r="FG543" t="e">
        <f>AND(#REF!,"AAAAAH96V6I=")</f>
        <v>#REF!</v>
      </c>
      <c r="FH543" t="e">
        <f>AND(#REF!,"AAAAAH96V6M=")</f>
        <v>#REF!</v>
      </c>
      <c r="FI543" t="e">
        <f>AND(#REF!,"AAAAAH96V6Q=")</f>
        <v>#REF!</v>
      </c>
      <c r="FJ543" t="e">
        <f>AND(#REF!,"AAAAAH96V6U=")</f>
        <v>#REF!</v>
      </c>
      <c r="FK543" t="e">
        <f>AND(#REF!,"AAAAAH96V6Y=")</f>
        <v>#REF!</v>
      </c>
      <c r="FL543" t="e">
        <f>AND(#REF!,"AAAAAH96V6c=")</f>
        <v>#REF!</v>
      </c>
      <c r="FM543" t="e">
        <f>AND(#REF!,"AAAAAH96V6g=")</f>
        <v>#REF!</v>
      </c>
      <c r="FN543" t="e">
        <f>AND(#REF!,"AAAAAH96V6k=")</f>
        <v>#REF!</v>
      </c>
      <c r="FO543" t="e">
        <f>IF(#REF!,"AAAAAH96V6o=",0)</f>
        <v>#REF!</v>
      </c>
      <c r="FP543" t="e">
        <f>AND(#REF!,"AAAAAH96V6s=")</f>
        <v>#REF!</v>
      </c>
      <c r="FQ543" t="e">
        <f>AND(#REF!,"AAAAAH96V6w=")</f>
        <v>#REF!</v>
      </c>
      <c r="FR543" t="e">
        <f>AND(#REF!,"AAAAAH96V60=")</f>
        <v>#REF!</v>
      </c>
      <c r="FS543" t="e">
        <f>AND(#REF!,"AAAAAH96V64=")</f>
        <v>#REF!</v>
      </c>
      <c r="FT543" t="e">
        <f>AND(#REF!,"AAAAAH96V68=")</f>
        <v>#REF!</v>
      </c>
      <c r="FU543" t="e">
        <f>AND(#REF!,"AAAAAH96V7A=")</f>
        <v>#REF!</v>
      </c>
      <c r="FV543" t="e">
        <f>AND(#REF!,"AAAAAH96V7E=")</f>
        <v>#REF!</v>
      </c>
      <c r="FW543" t="e">
        <f>AND(#REF!,"AAAAAH96V7I=")</f>
        <v>#REF!</v>
      </c>
      <c r="FX543" t="e">
        <f>AND(#REF!,"AAAAAH96V7M=")</f>
        <v>#REF!</v>
      </c>
      <c r="FY543" t="e">
        <f>AND(#REF!,"AAAAAH96V7Q=")</f>
        <v>#REF!</v>
      </c>
      <c r="FZ543" t="e">
        <f>IF(#REF!,"AAAAAH96V7U=",0)</f>
        <v>#REF!</v>
      </c>
      <c r="GA543" t="e">
        <f>AND(#REF!,"AAAAAH96V7Y=")</f>
        <v>#REF!</v>
      </c>
      <c r="GB543" t="e">
        <f>AND(#REF!,"AAAAAH96V7c=")</f>
        <v>#REF!</v>
      </c>
      <c r="GC543" t="e">
        <f>AND(#REF!,"AAAAAH96V7g=")</f>
        <v>#REF!</v>
      </c>
      <c r="GD543" t="e">
        <f>AND(#REF!,"AAAAAH96V7k=")</f>
        <v>#REF!</v>
      </c>
      <c r="GE543" t="e">
        <f>AND(#REF!,"AAAAAH96V7o=")</f>
        <v>#REF!</v>
      </c>
      <c r="GF543" t="e">
        <f>AND(#REF!,"AAAAAH96V7s=")</f>
        <v>#REF!</v>
      </c>
      <c r="GG543" t="e">
        <f>AND(#REF!,"AAAAAH96V7w=")</f>
        <v>#REF!</v>
      </c>
      <c r="GH543" t="e">
        <f>AND(#REF!,"AAAAAH96V70=")</f>
        <v>#REF!</v>
      </c>
      <c r="GI543" t="e">
        <f>AND(#REF!,"AAAAAH96V74=")</f>
        <v>#REF!</v>
      </c>
      <c r="GJ543" t="e">
        <f>AND(#REF!,"AAAAAH96V78=")</f>
        <v>#REF!</v>
      </c>
      <c r="GK543" t="e">
        <f>IF(#REF!,"AAAAAH96V8A=",0)</f>
        <v>#REF!</v>
      </c>
      <c r="GL543" t="e">
        <f>AND(#REF!,"AAAAAH96V8E=")</f>
        <v>#REF!</v>
      </c>
      <c r="GM543" t="e">
        <f>AND(#REF!,"AAAAAH96V8I=")</f>
        <v>#REF!</v>
      </c>
      <c r="GN543" t="e">
        <f>AND(#REF!,"AAAAAH96V8M=")</f>
        <v>#REF!</v>
      </c>
      <c r="GO543" t="e">
        <f>AND(#REF!,"AAAAAH96V8Q=")</f>
        <v>#REF!</v>
      </c>
      <c r="GP543" t="e">
        <f>AND(#REF!,"AAAAAH96V8U=")</f>
        <v>#REF!</v>
      </c>
      <c r="GQ543" t="e">
        <f>AND(#REF!,"AAAAAH96V8Y=")</f>
        <v>#REF!</v>
      </c>
      <c r="GR543" t="e">
        <f>AND(#REF!,"AAAAAH96V8c=")</f>
        <v>#REF!</v>
      </c>
      <c r="GS543" t="e">
        <f>AND(#REF!,"AAAAAH96V8g=")</f>
        <v>#REF!</v>
      </c>
      <c r="GT543" t="e">
        <f>AND(#REF!,"AAAAAH96V8k=")</f>
        <v>#REF!</v>
      </c>
      <c r="GU543" t="e">
        <f>AND(#REF!,"AAAAAH96V8o=")</f>
        <v>#REF!</v>
      </c>
      <c r="GV543" t="e">
        <f>IF(#REF!,"AAAAAH96V8s=",0)</f>
        <v>#REF!</v>
      </c>
      <c r="GW543" t="e">
        <f>AND(#REF!,"AAAAAH96V8w=")</f>
        <v>#REF!</v>
      </c>
      <c r="GX543" t="e">
        <f>AND(#REF!,"AAAAAH96V80=")</f>
        <v>#REF!</v>
      </c>
      <c r="GY543" t="e">
        <f>AND(#REF!,"AAAAAH96V84=")</f>
        <v>#REF!</v>
      </c>
      <c r="GZ543" t="e">
        <f>AND(#REF!,"AAAAAH96V88=")</f>
        <v>#REF!</v>
      </c>
      <c r="HA543" t="e">
        <f>AND(#REF!,"AAAAAH96V9A=")</f>
        <v>#REF!</v>
      </c>
      <c r="HB543" t="e">
        <f>AND(#REF!,"AAAAAH96V9E=")</f>
        <v>#REF!</v>
      </c>
      <c r="HC543" t="e">
        <f>AND(#REF!,"AAAAAH96V9I=")</f>
        <v>#REF!</v>
      </c>
      <c r="HD543" t="e">
        <f>AND(#REF!,"AAAAAH96V9M=")</f>
        <v>#REF!</v>
      </c>
      <c r="HE543" t="e">
        <f>AND(#REF!,"AAAAAH96V9Q=")</f>
        <v>#REF!</v>
      </c>
      <c r="HF543" t="e">
        <f>AND(#REF!,"AAAAAH96V9U=")</f>
        <v>#REF!</v>
      </c>
      <c r="HG543" t="e">
        <f>IF(#REF!,"AAAAAH96V9Y=",0)</f>
        <v>#REF!</v>
      </c>
      <c r="HH543" t="e">
        <f>AND(#REF!,"AAAAAH96V9c=")</f>
        <v>#REF!</v>
      </c>
      <c r="HI543" t="e">
        <f>AND(#REF!,"AAAAAH96V9g=")</f>
        <v>#REF!</v>
      </c>
      <c r="HJ543" t="e">
        <f>AND(#REF!,"AAAAAH96V9k=")</f>
        <v>#REF!</v>
      </c>
      <c r="HK543" t="e">
        <f>AND(#REF!,"AAAAAH96V9o=")</f>
        <v>#REF!</v>
      </c>
      <c r="HL543" t="e">
        <f>AND(#REF!,"AAAAAH96V9s=")</f>
        <v>#REF!</v>
      </c>
      <c r="HM543" t="e">
        <f>AND(#REF!,"AAAAAH96V9w=")</f>
        <v>#REF!</v>
      </c>
      <c r="HN543" t="e">
        <f>AND(#REF!,"AAAAAH96V90=")</f>
        <v>#REF!</v>
      </c>
      <c r="HO543" t="e">
        <f>AND(#REF!,"AAAAAH96V94=")</f>
        <v>#REF!</v>
      </c>
      <c r="HP543" t="e">
        <f>AND(#REF!,"AAAAAH96V98=")</f>
        <v>#REF!</v>
      </c>
      <c r="HQ543" t="e">
        <f>AND(#REF!,"AAAAAH96V+A=")</f>
        <v>#REF!</v>
      </c>
      <c r="HR543" t="e">
        <f>IF(#REF!,"AAAAAH96V+E=",0)</f>
        <v>#REF!</v>
      </c>
      <c r="HS543" t="e">
        <f>AND(#REF!,"AAAAAH96V+I=")</f>
        <v>#REF!</v>
      </c>
      <c r="HT543" t="e">
        <f>AND(#REF!,"AAAAAH96V+M=")</f>
        <v>#REF!</v>
      </c>
      <c r="HU543" t="e">
        <f>AND(#REF!,"AAAAAH96V+Q=")</f>
        <v>#REF!</v>
      </c>
      <c r="HV543" t="e">
        <f>AND(#REF!,"AAAAAH96V+U=")</f>
        <v>#REF!</v>
      </c>
      <c r="HW543" t="e">
        <f>AND(#REF!,"AAAAAH96V+Y=")</f>
        <v>#REF!</v>
      </c>
      <c r="HX543" t="e">
        <f>AND(#REF!,"AAAAAH96V+c=")</f>
        <v>#REF!</v>
      </c>
      <c r="HY543" t="e">
        <f>AND(#REF!,"AAAAAH96V+g=")</f>
        <v>#REF!</v>
      </c>
      <c r="HZ543" t="e">
        <f>AND(#REF!,"AAAAAH96V+k=")</f>
        <v>#REF!</v>
      </c>
      <c r="IA543" t="e">
        <f>AND(#REF!,"AAAAAH96V+o=")</f>
        <v>#REF!</v>
      </c>
      <c r="IB543" t="e">
        <f>AND(#REF!,"AAAAAH96V+s=")</f>
        <v>#REF!</v>
      </c>
      <c r="IC543" t="e">
        <f>IF(#REF!,"AAAAAH96V+w=",0)</f>
        <v>#REF!</v>
      </c>
      <c r="ID543" t="e">
        <f>AND(#REF!,"AAAAAH96V+0=")</f>
        <v>#REF!</v>
      </c>
      <c r="IE543" t="e">
        <f>AND(#REF!,"AAAAAH96V+4=")</f>
        <v>#REF!</v>
      </c>
      <c r="IF543" t="e">
        <f>AND(#REF!,"AAAAAH96V+8=")</f>
        <v>#REF!</v>
      </c>
      <c r="IG543" t="e">
        <f>AND(#REF!,"AAAAAH96V/A=")</f>
        <v>#REF!</v>
      </c>
      <c r="IH543" t="e">
        <f>AND(#REF!,"AAAAAH96V/E=")</f>
        <v>#REF!</v>
      </c>
      <c r="II543" t="e">
        <f>AND(#REF!,"AAAAAH96V/I=")</f>
        <v>#REF!</v>
      </c>
      <c r="IJ543" t="e">
        <f>AND(#REF!,"AAAAAH96V/M=")</f>
        <v>#REF!</v>
      </c>
      <c r="IK543" t="e">
        <f>AND(#REF!,"AAAAAH96V/Q=")</f>
        <v>#REF!</v>
      </c>
      <c r="IL543" t="e">
        <f>AND(#REF!,"AAAAAH96V/U=")</f>
        <v>#REF!</v>
      </c>
      <c r="IM543" t="e">
        <f>AND(#REF!,"AAAAAH96V/Y=")</f>
        <v>#REF!</v>
      </c>
      <c r="IN543" t="e">
        <f>IF(#REF!,"AAAAAH96V/c=",0)</f>
        <v>#REF!</v>
      </c>
      <c r="IO543" t="e">
        <f>AND(#REF!,"AAAAAH96V/g=")</f>
        <v>#REF!</v>
      </c>
      <c r="IP543" t="e">
        <f>AND(#REF!,"AAAAAH96V/k=")</f>
        <v>#REF!</v>
      </c>
      <c r="IQ543" t="e">
        <f>AND(#REF!,"AAAAAH96V/o=")</f>
        <v>#REF!</v>
      </c>
      <c r="IR543" t="e">
        <f>AND(#REF!,"AAAAAH96V/s=")</f>
        <v>#REF!</v>
      </c>
      <c r="IS543" t="e">
        <f>AND(#REF!,"AAAAAH96V/w=")</f>
        <v>#REF!</v>
      </c>
      <c r="IT543" t="e">
        <f>AND(#REF!,"AAAAAH96V/0=")</f>
        <v>#REF!</v>
      </c>
      <c r="IU543" t="e">
        <f>AND(#REF!,"AAAAAH96V/4=")</f>
        <v>#REF!</v>
      </c>
      <c r="IV543" t="e">
        <f>AND(#REF!,"AAAAAH96V/8=")</f>
        <v>#REF!</v>
      </c>
    </row>
    <row r="544" spans="1:256" x14ac:dyDescent="0.25">
      <c r="A544" t="e">
        <f>AND(#REF!,"AAAAAH1rfgA=")</f>
        <v>#REF!</v>
      </c>
      <c r="B544" t="e">
        <f>AND(#REF!,"AAAAAH1rfgE=")</f>
        <v>#REF!</v>
      </c>
      <c r="C544" t="e">
        <f>IF(#REF!,"AAAAAH1rfgI=",0)</f>
        <v>#REF!</v>
      </c>
      <c r="D544" t="e">
        <f>AND(#REF!,"AAAAAH1rfgM=")</f>
        <v>#REF!</v>
      </c>
      <c r="E544" t="e">
        <f>AND(#REF!,"AAAAAH1rfgQ=")</f>
        <v>#REF!</v>
      </c>
      <c r="F544" t="e">
        <f>AND(#REF!,"AAAAAH1rfgU=")</f>
        <v>#REF!</v>
      </c>
      <c r="G544" t="e">
        <f>AND(#REF!,"AAAAAH1rfgY=")</f>
        <v>#REF!</v>
      </c>
      <c r="H544" t="e">
        <f>AND(#REF!,"AAAAAH1rfgc=")</f>
        <v>#REF!</v>
      </c>
      <c r="I544" t="e">
        <f>AND(#REF!,"AAAAAH1rfgg=")</f>
        <v>#REF!</v>
      </c>
      <c r="J544" t="e">
        <f>AND(#REF!,"AAAAAH1rfgk=")</f>
        <v>#REF!</v>
      </c>
      <c r="K544" t="e">
        <f>AND(#REF!,"AAAAAH1rfgo=")</f>
        <v>#REF!</v>
      </c>
      <c r="L544" t="e">
        <f>AND(#REF!,"AAAAAH1rfgs=")</f>
        <v>#REF!</v>
      </c>
      <c r="M544" t="e">
        <f>AND(#REF!,"AAAAAH1rfgw=")</f>
        <v>#REF!</v>
      </c>
      <c r="N544" t="e">
        <f>IF(#REF!,"AAAAAH1rfg0=",0)</f>
        <v>#REF!</v>
      </c>
      <c r="O544" t="e">
        <f>AND(#REF!,"AAAAAH1rfg4=")</f>
        <v>#REF!</v>
      </c>
      <c r="P544" t="e">
        <f>AND(#REF!,"AAAAAH1rfg8=")</f>
        <v>#REF!</v>
      </c>
      <c r="Q544" t="e">
        <f>AND(#REF!,"AAAAAH1rfhA=")</f>
        <v>#REF!</v>
      </c>
      <c r="R544" t="e">
        <f>AND(#REF!,"AAAAAH1rfhE=")</f>
        <v>#REF!</v>
      </c>
      <c r="S544" t="e">
        <f>AND(#REF!,"AAAAAH1rfhI=")</f>
        <v>#REF!</v>
      </c>
      <c r="T544" t="e">
        <f>AND(#REF!,"AAAAAH1rfhM=")</f>
        <v>#REF!</v>
      </c>
      <c r="U544" t="e">
        <f>AND(#REF!,"AAAAAH1rfhQ=")</f>
        <v>#REF!</v>
      </c>
      <c r="V544" t="e">
        <f>AND(#REF!,"AAAAAH1rfhU=")</f>
        <v>#REF!</v>
      </c>
      <c r="W544" t="e">
        <f>AND(#REF!,"AAAAAH1rfhY=")</f>
        <v>#REF!</v>
      </c>
      <c r="X544" t="e">
        <f>AND(#REF!,"AAAAAH1rfhc=")</f>
        <v>#REF!</v>
      </c>
      <c r="Y544" t="e">
        <f>IF(#REF!,"AAAAAH1rfhg=",0)</f>
        <v>#REF!</v>
      </c>
      <c r="Z544" t="e">
        <f>AND(#REF!,"AAAAAH1rfhk=")</f>
        <v>#REF!</v>
      </c>
      <c r="AA544" t="e">
        <f>AND(#REF!,"AAAAAH1rfho=")</f>
        <v>#REF!</v>
      </c>
      <c r="AB544" t="e">
        <f>AND(#REF!,"AAAAAH1rfhs=")</f>
        <v>#REF!</v>
      </c>
      <c r="AC544" t="e">
        <f>AND(#REF!,"AAAAAH1rfhw=")</f>
        <v>#REF!</v>
      </c>
      <c r="AD544" t="e">
        <f>AND(#REF!,"AAAAAH1rfh0=")</f>
        <v>#REF!</v>
      </c>
      <c r="AE544" t="e">
        <f>AND(#REF!,"AAAAAH1rfh4=")</f>
        <v>#REF!</v>
      </c>
      <c r="AF544" t="e">
        <f>AND(#REF!,"AAAAAH1rfh8=")</f>
        <v>#REF!</v>
      </c>
      <c r="AG544" t="e">
        <f>AND(#REF!,"AAAAAH1rfiA=")</f>
        <v>#REF!</v>
      </c>
      <c r="AH544" t="e">
        <f>AND(#REF!,"AAAAAH1rfiE=")</f>
        <v>#REF!</v>
      </c>
      <c r="AI544" t="e">
        <f>AND(#REF!,"AAAAAH1rfiI=")</f>
        <v>#REF!</v>
      </c>
      <c r="AJ544" t="e">
        <f>IF(#REF!,"AAAAAH1rfiM=",0)</f>
        <v>#REF!</v>
      </c>
      <c r="AK544" t="e">
        <f>AND(#REF!,"AAAAAH1rfiQ=")</f>
        <v>#REF!</v>
      </c>
      <c r="AL544" t="e">
        <f>AND(#REF!,"AAAAAH1rfiU=")</f>
        <v>#REF!</v>
      </c>
      <c r="AM544" t="e">
        <f>AND(#REF!,"AAAAAH1rfiY=")</f>
        <v>#REF!</v>
      </c>
      <c r="AN544" t="e">
        <f>AND(#REF!,"AAAAAH1rfic=")</f>
        <v>#REF!</v>
      </c>
      <c r="AO544" t="e">
        <f>AND(#REF!,"AAAAAH1rfig=")</f>
        <v>#REF!</v>
      </c>
      <c r="AP544" t="e">
        <f>AND(#REF!,"AAAAAH1rfik=")</f>
        <v>#REF!</v>
      </c>
      <c r="AQ544" t="e">
        <f>AND(#REF!,"AAAAAH1rfio=")</f>
        <v>#REF!</v>
      </c>
      <c r="AR544" t="e">
        <f>AND(#REF!,"AAAAAH1rfis=")</f>
        <v>#REF!</v>
      </c>
      <c r="AS544" t="e">
        <f>AND(#REF!,"AAAAAH1rfiw=")</f>
        <v>#REF!</v>
      </c>
      <c r="AT544" t="e">
        <f>AND(#REF!,"AAAAAH1rfi0=")</f>
        <v>#REF!</v>
      </c>
      <c r="AU544" t="e">
        <f>IF(#REF!,"AAAAAH1rfi4=",0)</f>
        <v>#REF!</v>
      </c>
      <c r="AV544" t="e">
        <f>AND(#REF!,"AAAAAH1rfi8=")</f>
        <v>#REF!</v>
      </c>
      <c r="AW544" t="e">
        <f>AND(#REF!,"AAAAAH1rfjA=")</f>
        <v>#REF!</v>
      </c>
      <c r="AX544" t="e">
        <f>AND(#REF!,"AAAAAH1rfjE=")</f>
        <v>#REF!</v>
      </c>
      <c r="AY544" t="e">
        <f>AND(#REF!,"AAAAAH1rfjI=")</f>
        <v>#REF!</v>
      </c>
      <c r="AZ544" t="e">
        <f>AND(#REF!,"AAAAAH1rfjM=")</f>
        <v>#REF!</v>
      </c>
      <c r="BA544" t="e">
        <f>AND(#REF!,"AAAAAH1rfjQ=")</f>
        <v>#REF!</v>
      </c>
      <c r="BB544" t="e">
        <f>AND(#REF!,"AAAAAH1rfjU=")</f>
        <v>#REF!</v>
      </c>
      <c r="BC544" t="e">
        <f>AND(#REF!,"AAAAAH1rfjY=")</f>
        <v>#REF!</v>
      </c>
      <c r="BD544" t="e">
        <f>AND(#REF!,"AAAAAH1rfjc=")</f>
        <v>#REF!</v>
      </c>
      <c r="BE544" t="e">
        <f>AND(#REF!,"AAAAAH1rfjg=")</f>
        <v>#REF!</v>
      </c>
      <c r="BF544" t="e">
        <f>IF(#REF!,"AAAAAH1rfjk=",0)</f>
        <v>#REF!</v>
      </c>
      <c r="BG544" t="e">
        <f>AND(#REF!,"AAAAAH1rfjo=")</f>
        <v>#REF!</v>
      </c>
      <c r="BH544" t="e">
        <f>AND(#REF!,"AAAAAH1rfjs=")</f>
        <v>#REF!</v>
      </c>
      <c r="BI544" t="e">
        <f>AND(#REF!,"AAAAAH1rfjw=")</f>
        <v>#REF!</v>
      </c>
      <c r="BJ544" t="e">
        <f>AND(#REF!,"AAAAAH1rfj0=")</f>
        <v>#REF!</v>
      </c>
      <c r="BK544" t="e">
        <f>AND(#REF!,"AAAAAH1rfj4=")</f>
        <v>#REF!</v>
      </c>
      <c r="BL544" t="e">
        <f>AND(#REF!,"AAAAAH1rfj8=")</f>
        <v>#REF!</v>
      </c>
      <c r="BM544" t="e">
        <f>AND(#REF!,"AAAAAH1rfkA=")</f>
        <v>#REF!</v>
      </c>
      <c r="BN544" t="e">
        <f>AND(#REF!,"AAAAAH1rfkE=")</f>
        <v>#REF!</v>
      </c>
      <c r="BO544" t="e">
        <f>AND(#REF!,"AAAAAH1rfkI=")</f>
        <v>#REF!</v>
      </c>
      <c r="BP544" t="e">
        <f>AND(#REF!,"AAAAAH1rfkM=")</f>
        <v>#REF!</v>
      </c>
      <c r="BQ544" t="e">
        <f>IF(#REF!,"AAAAAH1rfkQ=",0)</f>
        <v>#REF!</v>
      </c>
      <c r="BR544" t="e">
        <f>AND(#REF!,"AAAAAH1rfkU=")</f>
        <v>#REF!</v>
      </c>
      <c r="BS544" t="e">
        <f>AND(#REF!,"AAAAAH1rfkY=")</f>
        <v>#REF!</v>
      </c>
      <c r="BT544" t="e">
        <f>AND(#REF!,"AAAAAH1rfkc=")</f>
        <v>#REF!</v>
      </c>
      <c r="BU544" t="e">
        <f>AND(#REF!,"AAAAAH1rfkg=")</f>
        <v>#REF!</v>
      </c>
      <c r="BV544" t="e">
        <f>AND(#REF!,"AAAAAH1rfkk=")</f>
        <v>#REF!</v>
      </c>
      <c r="BW544" t="e">
        <f>AND(#REF!,"AAAAAH1rfko=")</f>
        <v>#REF!</v>
      </c>
      <c r="BX544" t="e">
        <f>AND(#REF!,"AAAAAH1rfks=")</f>
        <v>#REF!</v>
      </c>
      <c r="BY544" t="e">
        <f>AND(#REF!,"AAAAAH1rfkw=")</f>
        <v>#REF!</v>
      </c>
      <c r="BZ544" t="e">
        <f>AND(#REF!,"AAAAAH1rfk0=")</f>
        <v>#REF!</v>
      </c>
      <c r="CA544" t="e">
        <f>AND(#REF!,"AAAAAH1rfk4=")</f>
        <v>#REF!</v>
      </c>
      <c r="CB544" t="e">
        <f>IF(#REF!,"AAAAAH1rfk8=",0)</f>
        <v>#REF!</v>
      </c>
      <c r="CC544" t="e">
        <f>AND(#REF!,"AAAAAH1rflA=")</f>
        <v>#REF!</v>
      </c>
      <c r="CD544" t="e">
        <f>AND(#REF!,"AAAAAH1rflE=")</f>
        <v>#REF!</v>
      </c>
      <c r="CE544" t="e">
        <f>AND(#REF!,"AAAAAH1rflI=")</f>
        <v>#REF!</v>
      </c>
      <c r="CF544" t="e">
        <f>AND(#REF!,"AAAAAH1rflM=")</f>
        <v>#REF!</v>
      </c>
      <c r="CG544" t="e">
        <f>AND(#REF!,"AAAAAH1rflQ=")</f>
        <v>#REF!</v>
      </c>
      <c r="CH544" t="e">
        <f>AND(#REF!,"AAAAAH1rflU=")</f>
        <v>#REF!</v>
      </c>
      <c r="CI544" t="e">
        <f>AND(#REF!,"AAAAAH1rflY=")</f>
        <v>#REF!</v>
      </c>
      <c r="CJ544" t="e">
        <f>AND(#REF!,"AAAAAH1rflc=")</f>
        <v>#REF!</v>
      </c>
      <c r="CK544" t="e">
        <f>AND(#REF!,"AAAAAH1rflg=")</f>
        <v>#REF!</v>
      </c>
      <c r="CL544" t="e">
        <f>AND(#REF!,"AAAAAH1rflk=")</f>
        <v>#REF!</v>
      </c>
      <c r="CM544" t="e">
        <f>IF(#REF!,"AAAAAH1rflo=",0)</f>
        <v>#REF!</v>
      </c>
      <c r="CN544" t="e">
        <f>AND(#REF!,"AAAAAH1rfls=")</f>
        <v>#REF!</v>
      </c>
      <c r="CO544" t="e">
        <f>AND(#REF!,"AAAAAH1rflw=")</f>
        <v>#REF!</v>
      </c>
      <c r="CP544" t="e">
        <f>AND(#REF!,"AAAAAH1rfl0=")</f>
        <v>#REF!</v>
      </c>
      <c r="CQ544" t="e">
        <f>AND(#REF!,"AAAAAH1rfl4=")</f>
        <v>#REF!</v>
      </c>
      <c r="CR544" t="e">
        <f>AND(#REF!,"AAAAAH1rfl8=")</f>
        <v>#REF!</v>
      </c>
      <c r="CS544" t="e">
        <f>AND(#REF!,"AAAAAH1rfmA=")</f>
        <v>#REF!</v>
      </c>
      <c r="CT544" t="e">
        <f>AND(#REF!,"AAAAAH1rfmE=")</f>
        <v>#REF!</v>
      </c>
      <c r="CU544" t="e">
        <f>AND(#REF!,"AAAAAH1rfmI=")</f>
        <v>#REF!</v>
      </c>
      <c r="CV544" t="e">
        <f>AND(#REF!,"AAAAAH1rfmM=")</f>
        <v>#REF!</v>
      </c>
      <c r="CW544" t="e">
        <f>AND(#REF!,"AAAAAH1rfmQ=")</f>
        <v>#REF!</v>
      </c>
      <c r="CX544" t="e">
        <f>IF(#REF!,"AAAAAH1rfmU=",0)</f>
        <v>#REF!</v>
      </c>
      <c r="CY544" t="e">
        <f>AND(#REF!,"AAAAAH1rfmY=")</f>
        <v>#REF!</v>
      </c>
      <c r="CZ544" t="e">
        <f>AND(#REF!,"AAAAAH1rfmc=")</f>
        <v>#REF!</v>
      </c>
      <c r="DA544" t="e">
        <f>AND(#REF!,"AAAAAH1rfmg=")</f>
        <v>#REF!</v>
      </c>
      <c r="DB544" t="e">
        <f>AND(#REF!,"AAAAAH1rfmk=")</f>
        <v>#REF!</v>
      </c>
      <c r="DC544" t="e">
        <f>AND(#REF!,"AAAAAH1rfmo=")</f>
        <v>#REF!</v>
      </c>
      <c r="DD544" t="e">
        <f>AND(#REF!,"AAAAAH1rfms=")</f>
        <v>#REF!</v>
      </c>
      <c r="DE544" t="e">
        <f>AND(#REF!,"AAAAAH1rfmw=")</f>
        <v>#REF!</v>
      </c>
      <c r="DF544" t="e">
        <f>AND(#REF!,"AAAAAH1rfm0=")</f>
        <v>#REF!</v>
      </c>
      <c r="DG544" t="e">
        <f>AND(#REF!,"AAAAAH1rfm4=")</f>
        <v>#REF!</v>
      </c>
      <c r="DH544" t="e">
        <f>AND(#REF!,"AAAAAH1rfm8=")</f>
        <v>#REF!</v>
      </c>
      <c r="DI544" t="e">
        <f>IF(#REF!,"AAAAAH1rfnA=",0)</f>
        <v>#REF!</v>
      </c>
      <c r="DJ544" t="e">
        <f>AND(#REF!,"AAAAAH1rfnE=")</f>
        <v>#REF!</v>
      </c>
      <c r="DK544" t="e">
        <f>AND(#REF!,"AAAAAH1rfnI=")</f>
        <v>#REF!</v>
      </c>
      <c r="DL544" t="e">
        <f>AND(#REF!,"AAAAAH1rfnM=")</f>
        <v>#REF!</v>
      </c>
      <c r="DM544" t="e">
        <f>AND(#REF!,"AAAAAH1rfnQ=")</f>
        <v>#REF!</v>
      </c>
      <c r="DN544" t="e">
        <f>AND(#REF!,"AAAAAH1rfnU=")</f>
        <v>#REF!</v>
      </c>
      <c r="DO544" t="e">
        <f>AND(#REF!,"AAAAAH1rfnY=")</f>
        <v>#REF!</v>
      </c>
      <c r="DP544" t="e">
        <f>AND(#REF!,"AAAAAH1rfnc=")</f>
        <v>#REF!</v>
      </c>
      <c r="DQ544" t="e">
        <f>AND(#REF!,"AAAAAH1rfng=")</f>
        <v>#REF!</v>
      </c>
      <c r="DR544" t="e">
        <f>AND(#REF!,"AAAAAH1rfnk=")</f>
        <v>#REF!</v>
      </c>
      <c r="DS544" t="e">
        <f>AND(#REF!,"AAAAAH1rfno=")</f>
        <v>#REF!</v>
      </c>
      <c r="DT544" t="e">
        <f>IF(#REF!,"AAAAAH1rfns=",0)</f>
        <v>#REF!</v>
      </c>
      <c r="DU544" t="e">
        <f>AND(#REF!,"AAAAAH1rfnw=")</f>
        <v>#REF!</v>
      </c>
      <c r="DV544" t="e">
        <f>AND(#REF!,"AAAAAH1rfn0=")</f>
        <v>#REF!</v>
      </c>
      <c r="DW544" t="e">
        <f>AND(#REF!,"AAAAAH1rfn4=")</f>
        <v>#REF!</v>
      </c>
      <c r="DX544" t="e">
        <f>AND(#REF!,"AAAAAH1rfn8=")</f>
        <v>#REF!</v>
      </c>
      <c r="DY544" t="e">
        <f>AND(#REF!,"AAAAAH1rfoA=")</f>
        <v>#REF!</v>
      </c>
      <c r="DZ544" t="e">
        <f>AND(#REF!,"AAAAAH1rfoE=")</f>
        <v>#REF!</v>
      </c>
      <c r="EA544" t="e">
        <f>AND(#REF!,"AAAAAH1rfoI=")</f>
        <v>#REF!</v>
      </c>
      <c r="EB544" t="e">
        <f>AND(#REF!,"AAAAAH1rfoM=")</f>
        <v>#REF!</v>
      </c>
      <c r="EC544" t="e">
        <f>AND(#REF!,"AAAAAH1rfoQ=")</f>
        <v>#REF!</v>
      </c>
      <c r="ED544" t="e">
        <f>AND(#REF!,"AAAAAH1rfoU=")</f>
        <v>#REF!</v>
      </c>
      <c r="EE544" t="e">
        <f>IF(#REF!,"AAAAAH1rfoY=",0)</f>
        <v>#REF!</v>
      </c>
      <c r="EF544" t="e">
        <f>AND(#REF!,"AAAAAH1rfoc=")</f>
        <v>#REF!</v>
      </c>
      <c r="EG544" t="e">
        <f>AND(#REF!,"AAAAAH1rfog=")</f>
        <v>#REF!</v>
      </c>
      <c r="EH544" t="e">
        <f>AND(#REF!,"AAAAAH1rfok=")</f>
        <v>#REF!</v>
      </c>
      <c r="EI544" t="e">
        <f>AND(#REF!,"AAAAAH1rfoo=")</f>
        <v>#REF!</v>
      </c>
      <c r="EJ544" t="e">
        <f>AND(#REF!,"AAAAAH1rfos=")</f>
        <v>#REF!</v>
      </c>
      <c r="EK544" t="e">
        <f>AND(#REF!,"AAAAAH1rfow=")</f>
        <v>#REF!</v>
      </c>
      <c r="EL544" t="e">
        <f>AND(#REF!,"AAAAAH1rfo0=")</f>
        <v>#REF!</v>
      </c>
      <c r="EM544" t="e">
        <f>AND(#REF!,"AAAAAH1rfo4=")</f>
        <v>#REF!</v>
      </c>
      <c r="EN544" t="e">
        <f>AND(#REF!,"AAAAAH1rfo8=")</f>
        <v>#REF!</v>
      </c>
      <c r="EO544" t="e">
        <f>AND(#REF!,"AAAAAH1rfpA=")</f>
        <v>#REF!</v>
      </c>
      <c r="EP544" t="e">
        <f>IF(#REF!,"AAAAAH1rfpE=",0)</f>
        <v>#REF!</v>
      </c>
      <c r="EQ544" t="e">
        <f>AND(#REF!,"AAAAAH1rfpI=")</f>
        <v>#REF!</v>
      </c>
      <c r="ER544" t="e">
        <f>AND(#REF!,"AAAAAH1rfpM=")</f>
        <v>#REF!</v>
      </c>
      <c r="ES544" t="e">
        <f>AND(#REF!,"AAAAAH1rfpQ=")</f>
        <v>#REF!</v>
      </c>
      <c r="ET544" t="e">
        <f>AND(#REF!,"AAAAAH1rfpU=")</f>
        <v>#REF!</v>
      </c>
      <c r="EU544" t="e">
        <f>AND(#REF!,"AAAAAH1rfpY=")</f>
        <v>#REF!</v>
      </c>
      <c r="EV544" t="e">
        <f>AND(#REF!,"AAAAAH1rfpc=")</f>
        <v>#REF!</v>
      </c>
      <c r="EW544" t="e">
        <f>AND(#REF!,"AAAAAH1rfpg=")</f>
        <v>#REF!</v>
      </c>
      <c r="EX544" t="e">
        <f>AND(#REF!,"AAAAAH1rfpk=")</f>
        <v>#REF!</v>
      </c>
      <c r="EY544" t="e">
        <f>AND(#REF!,"AAAAAH1rfpo=")</f>
        <v>#REF!</v>
      </c>
      <c r="EZ544" t="e">
        <f>AND(#REF!,"AAAAAH1rfps=")</f>
        <v>#REF!</v>
      </c>
      <c r="FA544" t="e">
        <f>IF(#REF!,"AAAAAH1rfpw=",0)</f>
        <v>#REF!</v>
      </c>
      <c r="FB544" t="e">
        <f>AND(#REF!,"AAAAAH1rfp0=")</f>
        <v>#REF!</v>
      </c>
      <c r="FC544" t="e">
        <f>AND(#REF!,"AAAAAH1rfp4=")</f>
        <v>#REF!</v>
      </c>
      <c r="FD544" t="e">
        <f>AND(#REF!,"AAAAAH1rfp8=")</f>
        <v>#REF!</v>
      </c>
      <c r="FE544" t="e">
        <f>AND(#REF!,"AAAAAH1rfqA=")</f>
        <v>#REF!</v>
      </c>
      <c r="FF544" t="e">
        <f>AND(#REF!,"AAAAAH1rfqE=")</f>
        <v>#REF!</v>
      </c>
      <c r="FG544" t="e">
        <f>AND(#REF!,"AAAAAH1rfqI=")</f>
        <v>#REF!</v>
      </c>
      <c r="FH544" t="e">
        <f>AND(#REF!,"AAAAAH1rfqM=")</f>
        <v>#REF!</v>
      </c>
      <c r="FI544" t="e">
        <f>AND(#REF!,"AAAAAH1rfqQ=")</f>
        <v>#REF!</v>
      </c>
      <c r="FJ544" t="e">
        <f>AND(#REF!,"AAAAAH1rfqU=")</f>
        <v>#REF!</v>
      </c>
      <c r="FK544" t="e">
        <f>AND(#REF!,"AAAAAH1rfqY=")</f>
        <v>#REF!</v>
      </c>
      <c r="FL544" t="e">
        <f>IF(#REF!,"AAAAAH1rfqc=",0)</f>
        <v>#REF!</v>
      </c>
      <c r="FM544" t="e">
        <f>AND(#REF!,"AAAAAH1rfqg=")</f>
        <v>#REF!</v>
      </c>
      <c r="FN544" t="e">
        <f>AND(#REF!,"AAAAAH1rfqk=")</f>
        <v>#REF!</v>
      </c>
      <c r="FO544" t="e">
        <f>AND(#REF!,"AAAAAH1rfqo=")</f>
        <v>#REF!</v>
      </c>
      <c r="FP544" t="e">
        <f>AND(#REF!,"AAAAAH1rfqs=")</f>
        <v>#REF!</v>
      </c>
      <c r="FQ544" t="e">
        <f>AND(#REF!,"AAAAAH1rfqw=")</f>
        <v>#REF!</v>
      </c>
      <c r="FR544" t="e">
        <f>AND(#REF!,"AAAAAH1rfq0=")</f>
        <v>#REF!</v>
      </c>
      <c r="FS544" t="e">
        <f>AND(#REF!,"AAAAAH1rfq4=")</f>
        <v>#REF!</v>
      </c>
      <c r="FT544" t="e">
        <f>AND(#REF!,"AAAAAH1rfq8=")</f>
        <v>#REF!</v>
      </c>
      <c r="FU544" t="e">
        <f>AND(#REF!,"AAAAAH1rfrA=")</f>
        <v>#REF!</v>
      </c>
      <c r="FV544" t="e">
        <f>AND(#REF!,"AAAAAH1rfrE=")</f>
        <v>#REF!</v>
      </c>
      <c r="FW544" t="e">
        <f>IF(#REF!,"AAAAAH1rfrI=",0)</f>
        <v>#REF!</v>
      </c>
      <c r="FX544" t="e">
        <f>AND(#REF!,"AAAAAH1rfrM=")</f>
        <v>#REF!</v>
      </c>
      <c r="FY544" t="e">
        <f>AND(#REF!,"AAAAAH1rfrQ=")</f>
        <v>#REF!</v>
      </c>
      <c r="FZ544" t="e">
        <f>AND(#REF!,"AAAAAH1rfrU=")</f>
        <v>#REF!</v>
      </c>
      <c r="GA544" t="e">
        <f>AND(#REF!,"AAAAAH1rfrY=")</f>
        <v>#REF!</v>
      </c>
      <c r="GB544" t="e">
        <f>AND(#REF!,"AAAAAH1rfrc=")</f>
        <v>#REF!</v>
      </c>
      <c r="GC544" t="e">
        <f>AND(#REF!,"AAAAAH1rfrg=")</f>
        <v>#REF!</v>
      </c>
      <c r="GD544" t="e">
        <f>AND(#REF!,"AAAAAH1rfrk=")</f>
        <v>#REF!</v>
      </c>
      <c r="GE544" t="e">
        <f>AND(#REF!,"AAAAAH1rfro=")</f>
        <v>#REF!</v>
      </c>
      <c r="GF544" t="e">
        <f>AND(#REF!,"AAAAAH1rfrs=")</f>
        <v>#REF!</v>
      </c>
      <c r="GG544" t="e">
        <f>AND(#REF!,"AAAAAH1rfrw=")</f>
        <v>#REF!</v>
      </c>
      <c r="GH544" t="e">
        <f>IF(#REF!,"AAAAAH1rfr0=",0)</f>
        <v>#REF!</v>
      </c>
      <c r="GI544" t="e">
        <f>AND(#REF!,"AAAAAH1rfr4=")</f>
        <v>#REF!</v>
      </c>
      <c r="GJ544" t="e">
        <f>AND(#REF!,"AAAAAH1rfr8=")</f>
        <v>#REF!</v>
      </c>
      <c r="GK544" t="e">
        <f>AND(#REF!,"AAAAAH1rfsA=")</f>
        <v>#REF!</v>
      </c>
      <c r="GL544" t="e">
        <f>AND(#REF!,"AAAAAH1rfsE=")</f>
        <v>#REF!</v>
      </c>
      <c r="GM544" t="e">
        <f>AND(#REF!,"AAAAAH1rfsI=")</f>
        <v>#REF!</v>
      </c>
      <c r="GN544" t="e">
        <f>AND(#REF!,"AAAAAH1rfsM=")</f>
        <v>#REF!</v>
      </c>
      <c r="GO544" t="e">
        <f>AND(#REF!,"AAAAAH1rfsQ=")</f>
        <v>#REF!</v>
      </c>
      <c r="GP544" t="e">
        <f>AND(#REF!,"AAAAAH1rfsU=")</f>
        <v>#REF!</v>
      </c>
      <c r="GQ544" t="e">
        <f>AND(#REF!,"AAAAAH1rfsY=")</f>
        <v>#REF!</v>
      </c>
      <c r="GR544" t="e">
        <f>AND(#REF!,"AAAAAH1rfsc=")</f>
        <v>#REF!</v>
      </c>
      <c r="GS544" t="e">
        <f>IF(#REF!,"AAAAAH1rfsg=",0)</f>
        <v>#REF!</v>
      </c>
      <c r="GT544" t="e">
        <f>AND(#REF!,"AAAAAH1rfsk=")</f>
        <v>#REF!</v>
      </c>
      <c r="GU544" t="e">
        <f>AND(#REF!,"AAAAAH1rfso=")</f>
        <v>#REF!</v>
      </c>
      <c r="GV544" t="e">
        <f>AND(#REF!,"AAAAAH1rfss=")</f>
        <v>#REF!</v>
      </c>
      <c r="GW544" t="e">
        <f>AND(#REF!,"AAAAAH1rfsw=")</f>
        <v>#REF!</v>
      </c>
      <c r="GX544" t="e">
        <f>AND(#REF!,"AAAAAH1rfs0=")</f>
        <v>#REF!</v>
      </c>
      <c r="GY544" t="e">
        <f>AND(#REF!,"AAAAAH1rfs4=")</f>
        <v>#REF!</v>
      </c>
      <c r="GZ544" t="e">
        <f>AND(#REF!,"AAAAAH1rfs8=")</f>
        <v>#REF!</v>
      </c>
      <c r="HA544" t="e">
        <f>AND(#REF!,"AAAAAH1rftA=")</f>
        <v>#REF!</v>
      </c>
      <c r="HB544" t="e">
        <f>AND(#REF!,"AAAAAH1rftE=")</f>
        <v>#REF!</v>
      </c>
      <c r="HC544" t="e">
        <f>AND(#REF!,"AAAAAH1rftI=")</f>
        <v>#REF!</v>
      </c>
      <c r="HD544" t="e">
        <f>IF(#REF!,"AAAAAH1rftM=",0)</f>
        <v>#REF!</v>
      </c>
      <c r="HE544" t="e">
        <f>AND(#REF!,"AAAAAH1rftQ=")</f>
        <v>#REF!</v>
      </c>
      <c r="HF544" t="e">
        <f>AND(#REF!,"AAAAAH1rftU=")</f>
        <v>#REF!</v>
      </c>
      <c r="HG544" t="e">
        <f>AND(#REF!,"AAAAAH1rftY=")</f>
        <v>#REF!</v>
      </c>
      <c r="HH544" t="e">
        <f>AND(#REF!,"AAAAAH1rftc=")</f>
        <v>#REF!</v>
      </c>
      <c r="HI544" t="e">
        <f>AND(#REF!,"AAAAAH1rftg=")</f>
        <v>#REF!</v>
      </c>
      <c r="HJ544" t="e">
        <f>AND(#REF!,"AAAAAH1rftk=")</f>
        <v>#REF!</v>
      </c>
      <c r="HK544" t="e">
        <f>AND(#REF!,"AAAAAH1rfto=")</f>
        <v>#REF!</v>
      </c>
      <c r="HL544" t="e">
        <f>AND(#REF!,"AAAAAH1rfts=")</f>
        <v>#REF!</v>
      </c>
      <c r="HM544" t="e">
        <f>AND(#REF!,"AAAAAH1rftw=")</f>
        <v>#REF!</v>
      </c>
      <c r="HN544" t="e">
        <f>AND(#REF!,"AAAAAH1rft0=")</f>
        <v>#REF!</v>
      </c>
      <c r="HO544" t="e">
        <f>IF(#REF!,"AAAAAH1rft4=",0)</f>
        <v>#REF!</v>
      </c>
      <c r="HP544" t="e">
        <f>AND(#REF!,"AAAAAH1rft8=")</f>
        <v>#REF!</v>
      </c>
      <c r="HQ544" t="e">
        <f>AND(#REF!,"AAAAAH1rfuA=")</f>
        <v>#REF!</v>
      </c>
      <c r="HR544" t="e">
        <f>AND(#REF!,"AAAAAH1rfuE=")</f>
        <v>#REF!</v>
      </c>
      <c r="HS544" t="e">
        <f>AND(#REF!,"AAAAAH1rfuI=")</f>
        <v>#REF!</v>
      </c>
      <c r="HT544" t="e">
        <f>AND(#REF!,"AAAAAH1rfuM=")</f>
        <v>#REF!</v>
      </c>
      <c r="HU544" t="e">
        <f>AND(#REF!,"AAAAAH1rfuQ=")</f>
        <v>#REF!</v>
      </c>
      <c r="HV544" t="e">
        <f>AND(#REF!,"AAAAAH1rfuU=")</f>
        <v>#REF!</v>
      </c>
      <c r="HW544" t="e">
        <f>AND(#REF!,"AAAAAH1rfuY=")</f>
        <v>#REF!</v>
      </c>
      <c r="HX544" t="e">
        <f>AND(#REF!,"AAAAAH1rfuc=")</f>
        <v>#REF!</v>
      </c>
      <c r="HY544" t="e">
        <f>AND(#REF!,"AAAAAH1rfug=")</f>
        <v>#REF!</v>
      </c>
      <c r="HZ544" t="e">
        <f>IF(#REF!,"AAAAAH1rfuk=",0)</f>
        <v>#REF!</v>
      </c>
      <c r="IA544" t="e">
        <f>AND(#REF!,"AAAAAH1rfuo=")</f>
        <v>#REF!</v>
      </c>
      <c r="IB544" t="e">
        <f>AND(#REF!,"AAAAAH1rfus=")</f>
        <v>#REF!</v>
      </c>
      <c r="IC544" t="e">
        <f>AND(#REF!,"AAAAAH1rfuw=")</f>
        <v>#REF!</v>
      </c>
      <c r="ID544" t="e">
        <f>AND(#REF!,"AAAAAH1rfu0=")</f>
        <v>#REF!</v>
      </c>
      <c r="IE544" t="e">
        <f>AND(#REF!,"AAAAAH1rfu4=")</f>
        <v>#REF!</v>
      </c>
      <c r="IF544" t="e">
        <f>AND(#REF!,"AAAAAH1rfu8=")</f>
        <v>#REF!</v>
      </c>
      <c r="IG544" t="e">
        <f>AND(#REF!,"AAAAAH1rfvA=")</f>
        <v>#REF!</v>
      </c>
      <c r="IH544" t="e">
        <f>AND(#REF!,"AAAAAH1rfvE=")</f>
        <v>#REF!</v>
      </c>
      <c r="II544" t="e">
        <f>AND(#REF!,"AAAAAH1rfvI=")</f>
        <v>#REF!</v>
      </c>
      <c r="IJ544" t="e">
        <f>AND(#REF!,"AAAAAH1rfvM=")</f>
        <v>#REF!</v>
      </c>
      <c r="IK544" t="e">
        <f>IF(#REF!,"AAAAAH1rfvQ=",0)</f>
        <v>#REF!</v>
      </c>
      <c r="IL544" t="e">
        <f>AND(#REF!,"AAAAAH1rfvU=")</f>
        <v>#REF!</v>
      </c>
      <c r="IM544" t="e">
        <f>AND(#REF!,"AAAAAH1rfvY=")</f>
        <v>#REF!</v>
      </c>
      <c r="IN544" t="e">
        <f>AND(#REF!,"AAAAAH1rfvc=")</f>
        <v>#REF!</v>
      </c>
      <c r="IO544" t="e">
        <f>AND(#REF!,"AAAAAH1rfvg=")</f>
        <v>#REF!</v>
      </c>
      <c r="IP544" t="e">
        <f>AND(#REF!,"AAAAAH1rfvk=")</f>
        <v>#REF!</v>
      </c>
      <c r="IQ544" t="e">
        <f>AND(#REF!,"AAAAAH1rfvo=")</f>
        <v>#REF!</v>
      </c>
      <c r="IR544" t="e">
        <f>AND(#REF!,"AAAAAH1rfvs=")</f>
        <v>#REF!</v>
      </c>
      <c r="IS544" t="e">
        <f>AND(#REF!,"AAAAAH1rfvw=")</f>
        <v>#REF!</v>
      </c>
      <c r="IT544" t="e">
        <f>AND(#REF!,"AAAAAH1rfv0=")</f>
        <v>#REF!</v>
      </c>
      <c r="IU544" t="e">
        <f>AND(#REF!,"AAAAAH1rfv4=")</f>
        <v>#REF!</v>
      </c>
      <c r="IV544" t="e">
        <f>IF(#REF!,"AAAAAH1rfv8=",0)</f>
        <v>#REF!</v>
      </c>
    </row>
    <row r="545" spans="1:256" x14ac:dyDescent="0.25">
      <c r="A545" t="e">
        <f>AND(#REF!,"AAAAAG+f6wA=")</f>
        <v>#REF!</v>
      </c>
      <c r="B545" t="e">
        <f>AND(#REF!,"AAAAAG+f6wE=")</f>
        <v>#REF!</v>
      </c>
      <c r="C545" t="e">
        <f>AND(#REF!,"AAAAAG+f6wI=")</f>
        <v>#REF!</v>
      </c>
      <c r="D545" t="e">
        <f>AND(#REF!,"AAAAAG+f6wM=")</f>
        <v>#REF!</v>
      </c>
      <c r="E545" t="e">
        <f>AND(#REF!,"AAAAAG+f6wQ=")</f>
        <v>#REF!</v>
      </c>
      <c r="F545" t="e">
        <f>AND(#REF!,"AAAAAG+f6wU=")</f>
        <v>#REF!</v>
      </c>
      <c r="G545" t="e">
        <f>AND(#REF!,"AAAAAG+f6wY=")</f>
        <v>#REF!</v>
      </c>
      <c r="H545" t="e">
        <f>AND(#REF!,"AAAAAG+f6wc=")</f>
        <v>#REF!</v>
      </c>
      <c r="I545" t="e">
        <f>AND(#REF!,"AAAAAG+f6wg=")</f>
        <v>#REF!</v>
      </c>
      <c r="J545" t="e">
        <f>AND(#REF!,"AAAAAG+f6wk=")</f>
        <v>#REF!</v>
      </c>
      <c r="K545" t="e">
        <f>IF(#REF!,"AAAAAG+f6wo=",0)</f>
        <v>#REF!</v>
      </c>
      <c r="L545" t="e">
        <f>AND(#REF!,"AAAAAG+f6ws=")</f>
        <v>#REF!</v>
      </c>
      <c r="M545" t="e">
        <f>AND(#REF!,"AAAAAG+f6ww=")</f>
        <v>#REF!</v>
      </c>
      <c r="N545" t="e">
        <f>AND(#REF!,"AAAAAG+f6w0=")</f>
        <v>#REF!</v>
      </c>
      <c r="O545" t="e">
        <f>AND(#REF!,"AAAAAG+f6w4=")</f>
        <v>#REF!</v>
      </c>
      <c r="P545" t="e">
        <f>AND(#REF!,"AAAAAG+f6w8=")</f>
        <v>#REF!</v>
      </c>
      <c r="Q545" t="e">
        <f>AND(#REF!,"AAAAAG+f6xA=")</f>
        <v>#REF!</v>
      </c>
      <c r="R545" t="e">
        <f>AND(#REF!,"AAAAAG+f6xE=")</f>
        <v>#REF!</v>
      </c>
      <c r="S545" t="e">
        <f>AND(#REF!,"AAAAAG+f6xI=")</f>
        <v>#REF!</v>
      </c>
      <c r="T545" t="e">
        <f>AND(#REF!,"AAAAAG+f6xM=")</f>
        <v>#REF!</v>
      </c>
      <c r="U545" t="e">
        <f>AND(#REF!,"AAAAAG+f6xQ=")</f>
        <v>#REF!</v>
      </c>
      <c r="V545" t="e">
        <f>IF(#REF!,"AAAAAG+f6xU=",0)</f>
        <v>#REF!</v>
      </c>
      <c r="W545" t="e">
        <f>AND(#REF!,"AAAAAG+f6xY=")</f>
        <v>#REF!</v>
      </c>
      <c r="X545" t="e">
        <f>AND(#REF!,"AAAAAG+f6xc=")</f>
        <v>#REF!</v>
      </c>
      <c r="Y545" t="e">
        <f>AND(#REF!,"AAAAAG+f6xg=")</f>
        <v>#REF!</v>
      </c>
      <c r="Z545" t="e">
        <f>AND(#REF!,"AAAAAG+f6xk=")</f>
        <v>#REF!</v>
      </c>
      <c r="AA545" t="e">
        <f>AND(#REF!,"AAAAAG+f6xo=")</f>
        <v>#REF!</v>
      </c>
      <c r="AB545" t="e">
        <f>AND(#REF!,"AAAAAG+f6xs=")</f>
        <v>#REF!</v>
      </c>
      <c r="AC545" t="e">
        <f>AND(#REF!,"AAAAAG+f6xw=")</f>
        <v>#REF!</v>
      </c>
      <c r="AD545" t="e">
        <f>AND(#REF!,"AAAAAG+f6x0=")</f>
        <v>#REF!</v>
      </c>
      <c r="AE545" t="e">
        <f>AND(#REF!,"AAAAAG+f6x4=")</f>
        <v>#REF!</v>
      </c>
      <c r="AF545" t="e">
        <f>AND(#REF!,"AAAAAG+f6x8=")</f>
        <v>#REF!</v>
      </c>
      <c r="AG545" t="e">
        <f>IF(#REF!,"AAAAAG+f6yA=",0)</f>
        <v>#REF!</v>
      </c>
      <c r="AH545" t="e">
        <f>AND(#REF!,"AAAAAG+f6yE=")</f>
        <v>#REF!</v>
      </c>
      <c r="AI545" t="e">
        <f>AND(#REF!,"AAAAAG+f6yI=")</f>
        <v>#REF!</v>
      </c>
      <c r="AJ545" t="e">
        <f>AND(#REF!,"AAAAAG+f6yM=")</f>
        <v>#REF!</v>
      </c>
      <c r="AK545" t="e">
        <f>AND(#REF!,"AAAAAG+f6yQ=")</f>
        <v>#REF!</v>
      </c>
      <c r="AL545" t="e">
        <f>AND(#REF!,"AAAAAG+f6yU=")</f>
        <v>#REF!</v>
      </c>
      <c r="AM545" t="e">
        <f>AND(#REF!,"AAAAAG+f6yY=")</f>
        <v>#REF!</v>
      </c>
      <c r="AN545" t="e">
        <f>AND(#REF!,"AAAAAG+f6yc=")</f>
        <v>#REF!</v>
      </c>
      <c r="AO545" t="e">
        <f>AND(#REF!,"AAAAAG+f6yg=")</f>
        <v>#REF!</v>
      </c>
      <c r="AP545" t="e">
        <f>AND(#REF!,"AAAAAG+f6yk=")</f>
        <v>#REF!</v>
      </c>
      <c r="AQ545" t="e">
        <f>AND(#REF!,"AAAAAG+f6yo=")</f>
        <v>#REF!</v>
      </c>
      <c r="AR545" t="e">
        <f>IF(#REF!,"AAAAAG+f6ys=",0)</f>
        <v>#REF!</v>
      </c>
      <c r="AS545" t="e">
        <f>AND(#REF!,"AAAAAG+f6yw=")</f>
        <v>#REF!</v>
      </c>
      <c r="AT545" t="e">
        <f>AND(#REF!,"AAAAAG+f6y0=")</f>
        <v>#REF!</v>
      </c>
      <c r="AU545" t="e">
        <f>AND(#REF!,"AAAAAG+f6y4=")</f>
        <v>#REF!</v>
      </c>
      <c r="AV545" t="e">
        <f>AND(#REF!,"AAAAAG+f6y8=")</f>
        <v>#REF!</v>
      </c>
      <c r="AW545" t="e">
        <f>AND(#REF!,"AAAAAG+f6zA=")</f>
        <v>#REF!</v>
      </c>
      <c r="AX545" t="e">
        <f>AND(#REF!,"AAAAAG+f6zE=")</f>
        <v>#REF!</v>
      </c>
      <c r="AY545" t="e">
        <f>AND(#REF!,"AAAAAG+f6zI=")</f>
        <v>#REF!</v>
      </c>
      <c r="AZ545" t="e">
        <f>AND(#REF!,"AAAAAG+f6zM=")</f>
        <v>#REF!</v>
      </c>
      <c r="BA545" t="e">
        <f>AND(#REF!,"AAAAAG+f6zQ=")</f>
        <v>#REF!</v>
      </c>
      <c r="BB545" t="e">
        <f>AND(#REF!,"AAAAAG+f6zU=")</f>
        <v>#REF!</v>
      </c>
      <c r="BC545" t="e">
        <f>IF(#REF!,"AAAAAG+f6zY=",0)</f>
        <v>#REF!</v>
      </c>
      <c r="BD545" t="e">
        <f>AND(#REF!,"AAAAAG+f6zc=")</f>
        <v>#REF!</v>
      </c>
      <c r="BE545" t="e">
        <f>AND(#REF!,"AAAAAG+f6zg=")</f>
        <v>#REF!</v>
      </c>
      <c r="BF545" t="e">
        <f>AND(#REF!,"AAAAAG+f6zk=")</f>
        <v>#REF!</v>
      </c>
      <c r="BG545" t="e">
        <f>AND(#REF!,"AAAAAG+f6zo=")</f>
        <v>#REF!</v>
      </c>
      <c r="BH545" t="e">
        <f>AND(#REF!,"AAAAAG+f6zs=")</f>
        <v>#REF!</v>
      </c>
      <c r="BI545" t="e">
        <f>AND(#REF!,"AAAAAG+f6zw=")</f>
        <v>#REF!</v>
      </c>
      <c r="BJ545" t="e">
        <f>AND(#REF!,"AAAAAG+f6z0=")</f>
        <v>#REF!</v>
      </c>
      <c r="BK545" t="e">
        <f>AND(#REF!,"AAAAAG+f6z4=")</f>
        <v>#REF!</v>
      </c>
      <c r="BL545" t="e">
        <f>AND(#REF!,"AAAAAG+f6z8=")</f>
        <v>#REF!</v>
      </c>
      <c r="BM545" t="e">
        <f>AND(#REF!,"AAAAAG+f60A=")</f>
        <v>#REF!</v>
      </c>
      <c r="BN545" t="e">
        <f>IF(#REF!,"AAAAAG+f60E=",0)</f>
        <v>#REF!</v>
      </c>
      <c r="BO545" t="e">
        <f>AND(#REF!,"AAAAAG+f60I=")</f>
        <v>#REF!</v>
      </c>
      <c r="BP545" t="e">
        <f>AND(#REF!,"AAAAAG+f60M=")</f>
        <v>#REF!</v>
      </c>
      <c r="BQ545" t="e">
        <f>AND(#REF!,"AAAAAG+f60Q=")</f>
        <v>#REF!</v>
      </c>
      <c r="BR545" t="e">
        <f>AND(#REF!,"AAAAAG+f60U=")</f>
        <v>#REF!</v>
      </c>
      <c r="BS545" t="e">
        <f>AND(#REF!,"AAAAAG+f60Y=")</f>
        <v>#REF!</v>
      </c>
      <c r="BT545" t="e">
        <f>AND(#REF!,"AAAAAG+f60c=")</f>
        <v>#REF!</v>
      </c>
      <c r="BU545" t="e">
        <f>AND(#REF!,"AAAAAG+f60g=")</f>
        <v>#REF!</v>
      </c>
      <c r="BV545" t="e">
        <f>AND(#REF!,"AAAAAG+f60k=")</f>
        <v>#REF!</v>
      </c>
      <c r="BW545" t="e">
        <f>AND(#REF!,"AAAAAG+f60o=")</f>
        <v>#REF!</v>
      </c>
      <c r="BX545" t="e">
        <f>AND(#REF!,"AAAAAG+f60s=")</f>
        <v>#REF!</v>
      </c>
      <c r="BY545" t="e">
        <f>IF(#REF!,"AAAAAG+f60w=",0)</f>
        <v>#REF!</v>
      </c>
      <c r="BZ545" t="e">
        <f>AND(#REF!,"AAAAAG+f600=")</f>
        <v>#REF!</v>
      </c>
      <c r="CA545" t="e">
        <f>AND(#REF!,"AAAAAG+f604=")</f>
        <v>#REF!</v>
      </c>
      <c r="CB545" t="e">
        <f>AND(#REF!,"AAAAAG+f608=")</f>
        <v>#REF!</v>
      </c>
      <c r="CC545" t="e">
        <f>AND(#REF!,"AAAAAG+f61A=")</f>
        <v>#REF!</v>
      </c>
      <c r="CD545" t="e">
        <f>AND(#REF!,"AAAAAG+f61E=")</f>
        <v>#REF!</v>
      </c>
      <c r="CE545" t="e">
        <f>AND(#REF!,"AAAAAG+f61I=")</f>
        <v>#REF!</v>
      </c>
      <c r="CF545" t="e">
        <f>AND(#REF!,"AAAAAG+f61M=")</f>
        <v>#REF!</v>
      </c>
      <c r="CG545" t="e">
        <f>AND(#REF!,"AAAAAG+f61Q=")</f>
        <v>#REF!</v>
      </c>
      <c r="CH545" t="e">
        <f>AND(#REF!,"AAAAAG+f61U=")</f>
        <v>#REF!</v>
      </c>
      <c r="CI545" t="e">
        <f>AND(#REF!,"AAAAAG+f61Y=")</f>
        <v>#REF!</v>
      </c>
      <c r="CJ545" t="e">
        <f>IF(#REF!,"AAAAAG+f61c=",0)</f>
        <v>#REF!</v>
      </c>
      <c r="CK545" t="e">
        <f>AND(#REF!,"AAAAAG+f61g=")</f>
        <v>#REF!</v>
      </c>
      <c r="CL545" t="e">
        <f>AND(#REF!,"AAAAAG+f61k=")</f>
        <v>#REF!</v>
      </c>
      <c r="CM545" t="e">
        <f>AND(#REF!,"AAAAAG+f61o=")</f>
        <v>#REF!</v>
      </c>
      <c r="CN545" t="e">
        <f>AND(#REF!,"AAAAAG+f61s=")</f>
        <v>#REF!</v>
      </c>
      <c r="CO545" t="e">
        <f>AND(#REF!,"AAAAAG+f61w=")</f>
        <v>#REF!</v>
      </c>
      <c r="CP545" t="e">
        <f>AND(#REF!,"AAAAAG+f610=")</f>
        <v>#REF!</v>
      </c>
      <c r="CQ545" t="e">
        <f>AND(#REF!,"AAAAAG+f614=")</f>
        <v>#REF!</v>
      </c>
      <c r="CR545" t="e">
        <f>AND(#REF!,"AAAAAG+f618=")</f>
        <v>#REF!</v>
      </c>
      <c r="CS545" t="e">
        <f>AND(#REF!,"AAAAAG+f62A=")</f>
        <v>#REF!</v>
      </c>
      <c r="CT545" t="e">
        <f>AND(#REF!,"AAAAAG+f62E=")</f>
        <v>#REF!</v>
      </c>
      <c r="CU545" t="e">
        <f>IF(#REF!,"AAAAAG+f62I=",0)</f>
        <v>#REF!</v>
      </c>
      <c r="CV545" t="e">
        <f>AND(#REF!,"AAAAAG+f62M=")</f>
        <v>#REF!</v>
      </c>
      <c r="CW545" t="e">
        <f>AND(#REF!,"AAAAAG+f62Q=")</f>
        <v>#REF!</v>
      </c>
      <c r="CX545" t="e">
        <f>AND(#REF!,"AAAAAG+f62U=")</f>
        <v>#REF!</v>
      </c>
      <c r="CY545" t="e">
        <f>AND(#REF!,"AAAAAG+f62Y=")</f>
        <v>#REF!</v>
      </c>
      <c r="CZ545" t="e">
        <f>AND(#REF!,"AAAAAG+f62c=")</f>
        <v>#REF!</v>
      </c>
      <c r="DA545" t="e">
        <f>AND(#REF!,"AAAAAG+f62g=")</f>
        <v>#REF!</v>
      </c>
      <c r="DB545" t="e">
        <f>AND(#REF!,"AAAAAG+f62k=")</f>
        <v>#REF!</v>
      </c>
      <c r="DC545" t="e">
        <f>AND(#REF!,"AAAAAG+f62o=")</f>
        <v>#REF!</v>
      </c>
      <c r="DD545" t="e">
        <f>AND(#REF!,"AAAAAG+f62s=")</f>
        <v>#REF!</v>
      </c>
      <c r="DE545" t="e">
        <f>AND(#REF!,"AAAAAG+f62w=")</f>
        <v>#REF!</v>
      </c>
      <c r="DF545" t="e">
        <f>IF(#REF!,"AAAAAG+f620=",0)</f>
        <v>#REF!</v>
      </c>
      <c r="DG545" t="e">
        <f>AND(#REF!,"AAAAAG+f624=")</f>
        <v>#REF!</v>
      </c>
      <c r="DH545" t="e">
        <f>AND(#REF!,"AAAAAG+f628=")</f>
        <v>#REF!</v>
      </c>
      <c r="DI545" t="e">
        <f>AND(#REF!,"AAAAAG+f63A=")</f>
        <v>#REF!</v>
      </c>
      <c r="DJ545" t="e">
        <f>AND(#REF!,"AAAAAG+f63E=")</f>
        <v>#REF!</v>
      </c>
      <c r="DK545" t="e">
        <f>AND(#REF!,"AAAAAG+f63I=")</f>
        <v>#REF!</v>
      </c>
      <c r="DL545" t="e">
        <f>AND(#REF!,"AAAAAG+f63M=")</f>
        <v>#REF!</v>
      </c>
      <c r="DM545" t="e">
        <f>AND(#REF!,"AAAAAG+f63Q=")</f>
        <v>#REF!</v>
      </c>
      <c r="DN545" t="e">
        <f>AND(#REF!,"AAAAAG+f63U=")</f>
        <v>#REF!</v>
      </c>
      <c r="DO545" t="e">
        <f>AND(#REF!,"AAAAAG+f63Y=")</f>
        <v>#REF!</v>
      </c>
      <c r="DP545" t="e">
        <f>AND(#REF!,"AAAAAG+f63c=")</f>
        <v>#REF!</v>
      </c>
      <c r="DQ545" t="e">
        <f>IF(#REF!,"AAAAAG+f63g=",0)</f>
        <v>#REF!</v>
      </c>
      <c r="DR545" t="e">
        <f>AND(#REF!,"AAAAAG+f63k=")</f>
        <v>#REF!</v>
      </c>
      <c r="DS545" t="e">
        <f>AND(#REF!,"AAAAAG+f63o=")</f>
        <v>#REF!</v>
      </c>
      <c r="DT545" t="e">
        <f>AND(#REF!,"AAAAAG+f63s=")</f>
        <v>#REF!</v>
      </c>
      <c r="DU545" t="e">
        <f>AND(#REF!,"AAAAAG+f63w=")</f>
        <v>#REF!</v>
      </c>
      <c r="DV545" t="e">
        <f>AND(#REF!,"AAAAAG+f630=")</f>
        <v>#REF!</v>
      </c>
      <c r="DW545" t="e">
        <f>AND(#REF!,"AAAAAG+f634=")</f>
        <v>#REF!</v>
      </c>
      <c r="DX545" t="e">
        <f>AND(#REF!,"AAAAAG+f638=")</f>
        <v>#REF!</v>
      </c>
      <c r="DY545" t="e">
        <f>AND(#REF!,"AAAAAG+f64A=")</f>
        <v>#REF!</v>
      </c>
      <c r="DZ545" t="e">
        <f>AND(#REF!,"AAAAAG+f64E=")</f>
        <v>#REF!</v>
      </c>
      <c r="EA545" t="e">
        <f>AND(#REF!,"AAAAAG+f64I=")</f>
        <v>#REF!</v>
      </c>
      <c r="EB545" t="e">
        <f>IF(#REF!,"AAAAAG+f64M=",0)</f>
        <v>#REF!</v>
      </c>
      <c r="EC545" t="e">
        <f>AND(#REF!,"AAAAAG+f64Q=")</f>
        <v>#REF!</v>
      </c>
      <c r="ED545" t="e">
        <f>AND(#REF!,"AAAAAG+f64U=")</f>
        <v>#REF!</v>
      </c>
      <c r="EE545" t="e">
        <f>AND(#REF!,"AAAAAG+f64Y=")</f>
        <v>#REF!</v>
      </c>
      <c r="EF545" t="e">
        <f>AND(#REF!,"AAAAAG+f64c=")</f>
        <v>#REF!</v>
      </c>
      <c r="EG545" t="e">
        <f>AND(#REF!,"AAAAAG+f64g=")</f>
        <v>#REF!</v>
      </c>
      <c r="EH545" t="e">
        <f>AND(#REF!,"AAAAAG+f64k=")</f>
        <v>#REF!</v>
      </c>
      <c r="EI545" t="e">
        <f>AND(#REF!,"AAAAAG+f64o=")</f>
        <v>#REF!</v>
      </c>
      <c r="EJ545" t="e">
        <f>AND(#REF!,"AAAAAG+f64s=")</f>
        <v>#REF!</v>
      </c>
      <c r="EK545" t="e">
        <f>AND(#REF!,"AAAAAG+f64w=")</f>
        <v>#REF!</v>
      </c>
      <c r="EL545" t="e">
        <f>AND(#REF!,"AAAAAG+f640=")</f>
        <v>#REF!</v>
      </c>
      <c r="EM545" t="e">
        <f>IF(#REF!,"AAAAAG+f644=",0)</f>
        <v>#REF!</v>
      </c>
      <c r="EN545" t="e">
        <f>AND(#REF!,"AAAAAG+f648=")</f>
        <v>#REF!</v>
      </c>
      <c r="EO545" t="e">
        <f>AND(#REF!,"AAAAAG+f65A=")</f>
        <v>#REF!</v>
      </c>
      <c r="EP545" t="e">
        <f>AND(#REF!,"AAAAAG+f65E=")</f>
        <v>#REF!</v>
      </c>
      <c r="EQ545" t="e">
        <f>AND(#REF!,"AAAAAG+f65I=")</f>
        <v>#REF!</v>
      </c>
      <c r="ER545" t="e">
        <f>AND(#REF!,"AAAAAG+f65M=")</f>
        <v>#REF!</v>
      </c>
      <c r="ES545" t="e">
        <f>AND(#REF!,"AAAAAG+f65Q=")</f>
        <v>#REF!</v>
      </c>
      <c r="ET545" t="e">
        <f>AND(#REF!,"AAAAAG+f65U=")</f>
        <v>#REF!</v>
      </c>
      <c r="EU545" t="e">
        <f>AND(#REF!,"AAAAAG+f65Y=")</f>
        <v>#REF!</v>
      </c>
      <c r="EV545" t="e">
        <f>AND(#REF!,"AAAAAG+f65c=")</f>
        <v>#REF!</v>
      </c>
      <c r="EW545" t="e">
        <f>AND(#REF!,"AAAAAG+f65g=")</f>
        <v>#REF!</v>
      </c>
      <c r="EX545" t="e">
        <f>IF(#REF!,"AAAAAG+f65k=",0)</f>
        <v>#REF!</v>
      </c>
      <c r="EY545" t="e">
        <f>AND(#REF!,"AAAAAG+f65o=")</f>
        <v>#REF!</v>
      </c>
      <c r="EZ545" t="e">
        <f>AND(#REF!,"AAAAAG+f65s=")</f>
        <v>#REF!</v>
      </c>
      <c r="FA545" t="e">
        <f>AND(#REF!,"AAAAAG+f65w=")</f>
        <v>#REF!</v>
      </c>
      <c r="FB545" t="e">
        <f>AND(#REF!,"AAAAAG+f650=")</f>
        <v>#REF!</v>
      </c>
      <c r="FC545" t="e">
        <f>AND(#REF!,"AAAAAG+f654=")</f>
        <v>#REF!</v>
      </c>
      <c r="FD545" t="e">
        <f>AND(#REF!,"AAAAAG+f658=")</f>
        <v>#REF!</v>
      </c>
      <c r="FE545" t="e">
        <f>AND(#REF!,"AAAAAG+f66A=")</f>
        <v>#REF!</v>
      </c>
      <c r="FF545" t="e">
        <f>AND(#REF!,"AAAAAG+f66E=")</f>
        <v>#REF!</v>
      </c>
      <c r="FG545" t="e">
        <f>AND(#REF!,"AAAAAG+f66I=")</f>
        <v>#REF!</v>
      </c>
      <c r="FH545" t="e">
        <f>AND(#REF!,"AAAAAG+f66M=")</f>
        <v>#REF!</v>
      </c>
      <c r="FI545" t="e">
        <f>IF(#REF!,"AAAAAG+f66Q=",0)</f>
        <v>#REF!</v>
      </c>
      <c r="FJ545" t="e">
        <f>AND(#REF!,"AAAAAG+f66U=")</f>
        <v>#REF!</v>
      </c>
      <c r="FK545" t="e">
        <f>AND(#REF!,"AAAAAG+f66Y=")</f>
        <v>#REF!</v>
      </c>
      <c r="FL545" t="e">
        <f>AND(#REF!,"AAAAAG+f66c=")</f>
        <v>#REF!</v>
      </c>
      <c r="FM545" t="e">
        <f>AND(#REF!,"AAAAAG+f66g=")</f>
        <v>#REF!</v>
      </c>
      <c r="FN545" t="e">
        <f>AND(#REF!,"AAAAAG+f66k=")</f>
        <v>#REF!</v>
      </c>
      <c r="FO545" t="e">
        <f>AND(#REF!,"AAAAAG+f66o=")</f>
        <v>#REF!</v>
      </c>
      <c r="FP545" t="e">
        <f>AND(#REF!,"AAAAAG+f66s=")</f>
        <v>#REF!</v>
      </c>
      <c r="FQ545" t="e">
        <f>AND(#REF!,"AAAAAG+f66w=")</f>
        <v>#REF!</v>
      </c>
      <c r="FR545" t="e">
        <f>AND(#REF!,"AAAAAG+f660=")</f>
        <v>#REF!</v>
      </c>
      <c r="FS545" t="e">
        <f>AND(#REF!,"AAAAAG+f664=")</f>
        <v>#REF!</v>
      </c>
      <c r="FT545" t="e">
        <f>IF(#REF!,"AAAAAG+f668=",0)</f>
        <v>#REF!</v>
      </c>
      <c r="FU545" t="e">
        <f>AND(#REF!,"AAAAAG+f67A=")</f>
        <v>#REF!</v>
      </c>
      <c r="FV545" t="e">
        <f>AND(#REF!,"AAAAAG+f67E=")</f>
        <v>#REF!</v>
      </c>
      <c r="FW545" t="e">
        <f>AND(#REF!,"AAAAAG+f67I=")</f>
        <v>#REF!</v>
      </c>
      <c r="FX545" t="e">
        <f>AND(#REF!,"AAAAAG+f67M=")</f>
        <v>#REF!</v>
      </c>
      <c r="FY545" t="e">
        <f>AND(#REF!,"AAAAAG+f67Q=")</f>
        <v>#REF!</v>
      </c>
      <c r="FZ545" t="e">
        <f>AND(#REF!,"AAAAAG+f67U=")</f>
        <v>#REF!</v>
      </c>
      <c r="GA545" t="e">
        <f>AND(#REF!,"AAAAAG+f67Y=")</f>
        <v>#REF!</v>
      </c>
      <c r="GB545" t="e">
        <f>AND(#REF!,"AAAAAG+f67c=")</f>
        <v>#REF!</v>
      </c>
      <c r="GC545" t="e">
        <f>AND(#REF!,"AAAAAG+f67g=")</f>
        <v>#REF!</v>
      </c>
      <c r="GD545" t="e">
        <f>AND(#REF!,"AAAAAG+f67k=")</f>
        <v>#REF!</v>
      </c>
      <c r="GE545" t="e">
        <f>IF(#REF!,"AAAAAG+f67o=",0)</f>
        <v>#REF!</v>
      </c>
      <c r="GF545" t="e">
        <f>AND(#REF!,"AAAAAG+f67s=")</f>
        <v>#REF!</v>
      </c>
      <c r="GG545" t="e">
        <f>AND(#REF!,"AAAAAG+f67w=")</f>
        <v>#REF!</v>
      </c>
      <c r="GH545" t="e">
        <f>AND(#REF!,"AAAAAG+f670=")</f>
        <v>#REF!</v>
      </c>
      <c r="GI545" t="e">
        <f>AND(#REF!,"AAAAAG+f674=")</f>
        <v>#REF!</v>
      </c>
      <c r="GJ545" t="e">
        <f>AND(#REF!,"AAAAAG+f678=")</f>
        <v>#REF!</v>
      </c>
      <c r="GK545" t="e">
        <f>AND(#REF!,"AAAAAG+f68A=")</f>
        <v>#REF!</v>
      </c>
      <c r="GL545" t="e">
        <f>AND(#REF!,"AAAAAG+f68E=")</f>
        <v>#REF!</v>
      </c>
      <c r="GM545" t="e">
        <f>AND(#REF!,"AAAAAG+f68I=")</f>
        <v>#REF!</v>
      </c>
      <c r="GN545" t="e">
        <f>AND(#REF!,"AAAAAG+f68M=")</f>
        <v>#REF!</v>
      </c>
      <c r="GO545" t="e">
        <f>AND(#REF!,"AAAAAG+f68Q=")</f>
        <v>#REF!</v>
      </c>
      <c r="GP545" t="e">
        <f>IF(#REF!,"AAAAAG+f68U=",0)</f>
        <v>#REF!</v>
      </c>
      <c r="GQ545" t="e">
        <f>AND(#REF!,"AAAAAG+f68Y=")</f>
        <v>#REF!</v>
      </c>
      <c r="GR545" t="e">
        <f>AND(#REF!,"AAAAAG+f68c=")</f>
        <v>#REF!</v>
      </c>
      <c r="GS545" t="e">
        <f>AND(#REF!,"AAAAAG+f68g=")</f>
        <v>#REF!</v>
      </c>
      <c r="GT545" t="e">
        <f>AND(#REF!,"AAAAAG+f68k=")</f>
        <v>#REF!</v>
      </c>
      <c r="GU545" t="e">
        <f>AND(#REF!,"AAAAAG+f68o=")</f>
        <v>#REF!</v>
      </c>
      <c r="GV545" t="e">
        <f>AND(#REF!,"AAAAAG+f68s=")</f>
        <v>#REF!</v>
      </c>
      <c r="GW545" t="e">
        <f>AND(#REF!,"AAAAAG+f68w=")</f>
        <v>#REF!</v>
      </c>
      <c r="GX545" t="e">
        <f>AND(#REF!,"AAAAAG+f680=")</f>
        <v>#REF!</v>
      </c>
      <c r="GY545" t="e">
        <f>AND(#REF!,"AAAAAG+f684=")</f>
        <v>#REF!</v>
      </c>
      <c r="GZ545" t="e">
        <f>AND(#REF!,"AAAAAG+f688=")</f>
        <v>#REF!</v>
      </c>
      <c r="HA545" t="e">
        <f>IF(#REF!,"AAAAAG+f69A=",0)</f>
        <v>#REF!</v>
      </c>
      <c r="HB545" t="e">
        <f>AND(#REF!,"AAAAAG+f69E=")</f>
        <v>#REF!</v>
      </c>
      <c r="HC545" t="e">
        <f>AND(#REF!,"AAAAAG+f69I=")</f>
        <v>#REF!</v>
      </c>
      <c r="HD545" t="e">
        <f>AND(#REF!,"AAAAAG+f69M=")</f>
        <v>#REF!</v>
      </c>
      <c r="HE545" t="e">
        <f>AND(#REF!,"AAAAAG+f69Q=")</f>
        <v>#REF!</v>
      </c>
      <c r="HF545" t="e">
        <f>AND(#REF!,"AAAAAG+f69U=")</f>
        <v>#REF!</v>
      </c>
      <c r="HG545" t="e">
        <f>AND(#REF!,"AAAAAG+f69Y=")</f>
        <v>#REF!</v>
      </c>
      <c r="HH545" t="e">
        <f>AND(#REF!,"AAAAAG+f69c=")</f>
        <v>#REF!</v>
      </c>
      <c r="HI545" t="e">
        <f>AND(#REF!,"AAAAAG+f69g=")</f>
        <v>#REF!</v>
      </c>
      <c r="HJ545" t="e">
        <f>AND(#REF!,"AAAAAG+f69k=")</f>
        <v>#REF!</v>
      </c>
      <c r="HK545" t="e">
        <f>AND(#REF!,"AAAAAG+f69o=")</f>
        <v>#REF!</v>
      </c>
      <c r="HL545" t="e">
        <f>IF(#REF!,"AAAAAG+f69s=",0)</f>
        <v>#REF!</v>
      </c>
      <c r="HM545" t="e">
        <f>AND(#REF!,"AAAAAG+f69w=")</f>
        <v>#REF!</v>
      </c>
      <c r="HN545" t="e">
        <f>AND(#REF!,"AAAAAG+f690=")</f>
        <v>#REF!</v>
      </c>
      <c r="HO545" t="e">
        <f>AND(#REF!,"AAAAAG+f694=")</f>
        <v>#REF!</v>
      </c>
      <c r="HP545" t="e">
        <f>AND(#REF!,"AAAAAG+f698=")</f>
        <v>#REF!</v>
      </c>
      <c r="HQ545" t="e">
        <f>AND(#REF!,"AAAAAG+f6+A=")</f>
        <v>#REF!</v>
      </c>
      <c r="HR545" t="e">
        <f>AND(#REF!,"AAAAAG+f6+E=")</f>
        <v>#REF!</v>
      </c>
      <c r="HS545" t="e">
        <f>AND(#REF!,"AAAAAG+f6+I=")</f>
        <v>#REF!</v>
      </c>
      <c r="HT545" t="e">
        <f>AND(#REF!,"AAAAAG+f6+M=")</f>
        <v>#REF!</v>
      </c>
      <c r="HU545" t="e">
        <f>AND(#REF!,"AAAAAG+f6+Q=")</f>
        <v>#REF!</v>
      </c>
      <c r="HV545" t="e">
        <f>AND(#REF!,"AAAAAG+f6+U=")</f>
        <v>#REF!</v>
      </c>
      <c r="HW545" t="e">
        <f>IF(#REF!,"AAAAAG+f6+Y=",0)</f>
        <v>#REF!</v>
      </c>
      <c r="HX545" t="e">
        <f>AND(#REF!,"AAAAAG+f6+c=")</f>
        <v>#REF!</v>
      </c>
      <c r="HY545" t="e">
        <f>AND(#REF!,"AAAAAG+f6+g=")</f>
        <v>#REF!</v>
      </c>
      <c r="HZ545" t="e">
        <f>AND(#REF!,"AAAAAG+f6+k=")</f>
        <v>#REF!</v>
      </c>
      <c r="IA545" t="e">
        <f>AND(#REF!,"AAAAAG+f6+o=")</f>
        <v>#REF!</v>
      </c>
      <c r="IB545" t="e">
        <f>AND(#REF!,"AAAAAG+f6+s=")</f>
        <v>#REF!</v>
      </c>
      <c r="IC545" t="e">
        <f>AND(#REF!,"AAAAAG+f6+w=")</f>
        <v>#REF!</v>
      </c>
      <c r="ID545" t="e">
        <f>AND(#REF!,"AAAAAG+f6+0=")</f>
        <v>#REF!</v>
      </c>
      <c r="IE545" t="e">
        <f>AND(#REF!,"AAAAAG+f6+4=")</f>
        <v>#REF!</v>
      </c>
      <c r="IF545" t="e">
        <f>AND(#REF!,"AAAAAG+f6+8=")</f>
        <v>#REF!</v>
      </c>
      <c r="IG545" t="e">
        <f>AND(#REF!,"AAAAAG+f6/A=")</f>
        <v>#REF!</v>
      </c>
      <c r="IH545" t="e">
        <f>IF(#REF!,"AAAAAG+f6/E=",0)</f>
        <v>#REF!</v>
      </c>
      <c r="II545" t="e">
        <f>AND(#REF!,"AAAAAG+f6/I=")</f>
        <v>#REF!</v>
      </c>
      <c r="IJ545" t="e">
        <f>AND(#REF!,"AAAAAG+f6/M=")</f>
        <v>#REF!</v>
      </c>
      <c r="IK545" t="e">
        <f>AND(#REF!,"AAAAAG+f6/Q=")</f>
        <v>#REF!</v>
      </c>
      <c r="IL545" t="e">
        <f>AND(#REF!,"AAAAAG+f6/U=")</f>
        <v>#REF!</v>
      </c>
      <c r="IM545" t="e">
        <f>AND(#REF!,"AAAAAG+f6/Y=")</f>
        <v>#REF!</v>
      </c>
      <c r="IN545" t="e">
        <f>AND(#REF!,"AAAAAG+f6/c=")</f>
        <v>#REF!</v>
      </c>
      <c r="IO545" t="e">
        <f>AND(#REF!,"AAAAAG+f6/g=")</f>
        <v>#REF!</v>
      </c>
      <c r="IP545" t="e">
        <f>AND(#REF!,"AAAAAG+f6/k=")</f>
        <v>#REF!</v>
      </c>
      <c r="IQ545" t="e">
        <f>AND(#REF!,"AAAAAG+f6/o=")</f>
        <v>#REF!</v>
      </c>
      <c r="IR545" t="e">
        <f>AND(#REF!,"AAAAAG+f6/s=")</f>
        <v>#REF!</v>
      </c>
      <c r="IS545" t="e">
        <f>IF(#REF!,"AAAAAG+f6/w=",0)</f>
        <v>#REF!</v>
      </c>
      <c r="IT545" t="e">
        <f>AND(#REF!,"AAAAAG+f6/0=")</f>
        <v>#REF!</v>
      </c>
      <c r="IU545" t="e">
        <f>AND(#REF!,"AAAAAG+f6/4=")</f>
        <v>#REF!</v>
      </c>
      <c r="IV545" t="e">
        <f>AND(#REF!,"AAAAAG+f6/8=")</f>
        <v>#REF!</v>
      </c>
    </row>
    <row r="546" spans="1:256" x14ac:dyDescent="0.25">
      <c r="A546" t="e">
        <f>AND(#REF!,"AAAAAHc9/gA=")</f>
        <v>#REF!</v>
      </c>
      <c r="B546" t="e">
        <f>AND(#REF!,"AAAAAHc9/gE=")</f>
        <v>#REF!</v>
      </c>
      <c r="C546" t="e">
        <f>AND(#REF!,"AAAAAHc9/gI=")</f>
        <v>#REF!</v>
      </c>
      <c r="D546" t="e">
        <f>AND(#REF!,"AAAAAHc9/gM=")</f>
        <v>#REF!</v>
      </c>
      <c r="E546" t="e">
        <f>AND(#REF!,"AAAAAHc9/gQ=")</f>
        <v>#REF!</v>
      </c>
      <c r="F546" t="e">
        <f>AND(#REF!,"AAAAAHc9/gU=")</f>
        <v>#REF!</v>
      </c>
      <c r="G546" t="e">
        <f>AND(#REF!,"AAAAAHc9/gY=")</f>
        <v>#REF!</v>
      </c>
      <c r="H546" t="e">
        <f>IF(#REF!,"AAAAAHc9/gc=",0)</f>
        <v>#REF!</v>
      </c>
      <c r="I546" t="e">
        <f>AND(#REF!,"AAAAAHc9/gg=")</f>
        <v>#REF!</v>
      </c>
      <c r="J546" t="e">
        <f>AND(#REF!,"AAAAAHc9/gk=")</f>
        <v>#REF!</v>
      </c>
      <c r="K546" t="e">
        <f>AND(#REF!,"AAAAAHc9/go=")</f>
        <v>#REF!</v>
      </c>
      <c r="L546" t="e">
        <f>AND(#REF!,"AAAAAHc9/gs=")</f>
        <v>#REF!</v>
      </c>
      <c r="M546" t="e">
        <f>AND(#REF!,"AAAAAHc9/gw=")</f>
        <v>#REF!</v>
      </c>
      <c r="N546" t="e">
        <f>AND(#REF!,"AAAAAHc9/g0=")</f>
        <v>#REF!</v>
      </c>
      <c r="O546" t="e">
        <f>AND(#REF!,"AAAAAHc9/g4=")</f>
        <v>#REF!</v>
      </c>
      <c r="P546" t="e">
        <f>AND(#REF!,"AAAAAHc9/g8=")</f>
        <v>#REF!</v>
      </c>
      <c r="Q546" t="e">
        <f>AND(#REF!,"AAAAAHc9/hA=")</f>
        <v>#REF!</v>
      </c>
      <c r="R546" t="e">
        <f>AND(#REF!,"AAAAAHc9/hE=")</f>
        <v>#REF!</v>
      </c>
      <c r="S546" t="e">
        <f>IF(#REF!,"AAAAAHc9/hI=",0)</f>
        <v>#REF!</v>
      </c>
      <c r="T546" t="e">
        <f>AND(#REF!,"AAAAAHc9/hM=")</f>
        <v>#REF!</v>
      </c>
      <c r="U546" t="e">
        <f>AND(#REF!,"AAAAAHc9/hQ=")</f>
        <v>#REF!</v>
      </c>
      <c r="V546" t="e">
        <f>AND(#REF!,"AAAAAHc9/hU=")</f>
        <v>#REF!</v>
      </c>
      <c r="W546" t="e">
        <f>AND(#REF!,"AAAAAHc9/hY=")</f>
        <v>#REF!</v>
      </c>
      <c r="X546" t="e">
        <f>AND(#REF!,"AAAAAHc9/hc=")</f>
        <v>#REF!</v>
      </c>
      <c r="Y546" t="e">
        <f>AND(#REF!,"AAAAAHc9/hg=")</f>
        <v>#REF!</v>
      </c>
      <c r="Z546" t="e">
        <f>AND(#REF!,"AAAAAHc9/hk=")</f>
        <v>#REF!</v>
      </c>
      <c r="AA546" t="e">
        <f>AND(#REF!,"AAAAAHc9/ho=")</f>
        <v>#REF!</v>
      </c>
      <c r="AB546" t="e">
        <f>AND(#REF!,"AAAAAHc9/hs=")</f>
        <v>#REF!</v>
      </c>
      <c r="AC546" t="e">
        <f>AND(#REF!,"AAAAAHc9/hw=")</f>
        <v>#REF!</v>
      </c>
      <c r="AD546" t="e">
        <f>IF(#REF!,"AAAAAHc9/h0=",0)</f>
        <v>#REF!</v>
      </c>
      <c r="AE546" t="e">
        <f>AND(#REF!,"AAAAAHc9/h4=")</f>
        <v>#REF!</v>
      </c>
      <c r="AF546" t="e">
        <f>AND(#REF!,"AAAAAHc9/h8=")</f>
        <v>#REF!</v>
      </c>
      <c r="AG546" t="e">
        <f>AND(#REF!,"AAAAAHc9/iA=")</f>
        <v>#REF!</v>
      </c>
      <c r="AH546" t="e">
        <f>AND(#REF!,"AAAAAHc9/iE=")</f>
        <v>#REF!</v>
      </c>
      <c r="AI546" t="e">
        <f>AND(#REF!,"AAAAAHc9/iI=")</f>
        <v>#REF!</v>
      </c>
      <c r="AJ546" t="e">
        <f>AND(#REF!,"AAAAAHc9/iM=")</f>
        <v>#REF!</v>
      </c>
      <c r="AK546" t="e">
        <f>AND(#REF!,"AAAAAHc9/iQ=")</f>
        <v>#REF!</v>
      </c>
      <c r="AL546" t="e">
        <f>AND(#REF!,"AAAAAHc9/iU=")</f>
        <v>#REF!</v>
      </c>
      <c r="AM546" t="e">
        <f>AND(#REF!,"AAAAAHc9/iY=")</f>
        <v>#REF!</v>
      </c>
      <c r="AN546" t="e">
        <f>AND(#REF!,"AAAAAHc9/ic=")</f>
        <v>#REF!</v>
      </c>
      <c r="AO546" t="e">
        <f>IF(#REF!,"AAAAAHc9/ig=",0)</f>
        <v>#REF!</v>
      </c>
      <c r="AP546" t="e">
        <f>AND(#REF!,"AAAAAHc9/ik=")</f>
        <v>#REF!</v>
      </c>
      <c r="AQ546" t="e">
        <f>AND(#REF!,"AAAAAHc9/io=")</f>
        <v>#REF!</v>
      </c>
      <c r="AR546" t="e">
        <f>AND(#REF!,"AAAAAHc9/is=")</f>
        <v>#REF!</v>
      </c>
      <c r="AS546" t="e">
        <f>AND(#REF!,"AAAAAHc9/iw=")</f>
        <v>#REF!</v>
      </c>
      <c r="AT546" t="e">
        <f>AND(#REF!,"AAAAAHc9/i0=")</f>
        <v>#REF!</v>
      </c>
      <c r="AU546" t="e">
        <f>AND(#REF!,"AAAAAHc9/i4=")</f>
        <v>#REF!</v>
      </c>
      <c r="AV546" t="e">
        <f>AND(#REF!,"AAAAAHc9/i8=")</f>
        <v>#REF!</v>
      </c>
      <c r="AW546" t="e">
        <f>AND(#REF!,"AAAAAHc9/jA=")</f>
        <v>#REF!</v>
      </c>
      <c r="AX546" t="e">
        <f>AND(#REF!,"AAAAAHc9/jE=")</f>
        <v>#REF!</v>
      </c>
      <c r="AY546" t="e">
        <f>AND(#REF!,"AAAAAHc9/jI=")</f>
        <v>#REF!</v>
      </c>
      <c r="AZ546" t="e">
        <f>IF(#REF!,"AAAAAHc9/jM=",0)</f>
        <v>#REF!</v>
      </c>
      <c r="BA546" t="e">
        <f>AND(#REF!,"AAAAAHc9/jQ=")</f>
        <v>#REF!</v>
      </c>
      <c r="BB546" t="e">
        <f>AND(#REF!,"AAAAAHc9/jU=")</f>
        <v>#REF!</v>
      </c>
      <c r="BC546" t="e">
        <f>AND(#REF!,"AAAAAHc9/jY=")</f>
        <v>#REF!</v>
      </c>
      <c r="BD546" t="e">
        <f>AND(#REF!,"AAAAAHc9/jc=")</f>
        <v>#REF!</v>
      </c>
      <c r="BE546" t="e">
        <f>AND(#REF!,"AAAAAHc9/jg=")</f>
        <v>#REF!</v>
      </c>
      <c r="BF546" t="e">
        <f>AND(#REF!,"AAAAAHc9/jk=")</f>
        <v>#REF!</v>
      </c>
      <c r="BG546" t="e">
        <f>AND(#REF!,"AAAAAHc9/jo=")</f>
        <v>#REF!</v>
      </c>
      <c r="BH546" t="e">
        <f>AND(#REF!,"AAAAAHc9/js=")</f>
        <v>#REF!</v>
      </c>
      <c r="BI546" t="e">
        <f>AND(#REF!,"AAAAAHc9/jw=")</f>
        <v>#REF!</v>
      </c>
      <c r="BJ546" t="e">
        <f>AND(#REF!,"AAAAAHc9/j0=")</f>
        <v>#REF!</v>
      </c>
      <c r="BK546" t="e">
        <f>IF(#REF!,"AAAAAHc9/j4=",0)</f>
        <v>#REF!</v>
      </c>
      <c r="BL546" t="e">
        <f>AND(#REF!,"AAAAAHc9/j8=")</f>
        <v>#REF!</v>
      </c>
      <c r="BM546" t="e">
        <f>AND(#REF!,"AAAAAHc9/kA=")</f>
        <v>#REF!</v>
      </c>
      <c r="BN546" t="e">
        <f>AND(#REF!,"AAAAAHc9/kE=")</f>
        <v>#REF!</v>
      </c>
      <c r="BO546" t="e">
        <f>AND(#REF!,"AAAAAHc9/kI=")</f>
        <v>#REF!</v>
      </c>
      <c r="BP546" t="e">
        <f>AND(#REF!,"AAAAAHc9/kM=")</f>
        <v>#REF!</v>
      </c>
      <c r="BQ546" t="e">
        <f>AND(#REF!,"AAAAAHc9/kQ=")</f>
        <v>#REF!</v>
      </c>
      <c r="BR546" t="e">
        <f>AND(#REF!,"AAAAAHc9/kU=")</f>
        <v>#REF!</v>
      </c>
      <c r="BS546" t="e">
        <f>AND(#REF!,"AAAAAHc9/kY=")</f>
        <v>#REF!</v>
      </c>
      <c r="BT546" t="e">
        <f>AND(#REF!,"AAAAAHc9/kc=")</f>
        <v>#REF!</v>
      </c>
      <c r="BU546" t="e">
        <f>AND(#REF!,"AAAAAHc9/kg=")</f>
        <v>#REF!</v>
      </c>
      <c r="BV546" t="e">
        <f>IF(#REF!,"AAAAAHc9/kk=",0)</f>
        <v>#REF!</v>
      </c>
      <c r="BW546" t="e">
        <f>AND(#REF!,"AAAAAHc9/ko=")</f>
        <v>#REF!</v>
      </c>
      <c r="BX546" t="e">
        <f>AND(#REF!,"AAAAAHc9/ks=")</f>
        <v>#REF!</v>
      </c>
      <c r="BY546" t="e">
        <f>AND(#REF!,"AAAAAHc9/kw=")</f>
        <v>#REF!</v>
      </c>
      <c r="BZ546" t="e">
        <f>AND(#REF!,"AAAAAHc9/k0=")</f>
        <v>#REF!</v>
      </c>
      <c r="CA546" t="e">
        <f>AND(#REF!,"AAAAAHc9/k4=")</f>
        <v>#REF!</v>
      </c>
      <c r="CB546" t="e">
        <f>AND(#REF!,"AAAAAHc9/k8=")</f>
        <v>#REF!</v>
      </c>
      <c r="CC546" t="e">
        <f>AND(#REF!,"AAAAAHc9/lA=")</f>
        <v>#REF!</v>
      </c>
      <c r="CD546" t="e">
        <f>AND(#REF!,"AAAAAHc9/lE=")</f>
        <v>#REF!</v>
      </c>
      <c r="CE546" t="e">
        <f>AND(#REF!,"AAAAAHc9/lI=")</f>
        <v>#REF!</v>
      </c>
      <c r="CF546" t="e">
        <f>AND(#REF!,"AAAAAHc9/lM=")</f>
        <v>#REF!</v>
      </c>
      <c r="CG546" t="e">
        <f>IF(#REF!,"AAAAAHc9/lQ=",0)</f>
        <v>#REF!</v>
      </c>
      <c r="CH546" t="e">
        <f>AND(#REF!,"AAAAAHc9/lU=")</f>
        <v>#REF!</v>
      </c>
      <c r="CI546" t="e">
        <f>AND(#REF!,"AAAAAHc9/lY=")</f>
        <v>#REF!</v>
      </c>
      <c r="CJ546" t="e">
        <f>AND(#REF!,"AAAAAHc9/lc=")</f>
        <v>#REF!</v>
      </c>
      <c r="CK546" t="e">
        <f>AND(#REF!,"AAAAAHc9/lg=")</f>
        <v>#REF!</v>
      </c>
      <c r="CL546" t="e">
        <f>AND(#REF!,"AAAAAHc9/lk=")</f>
        <v>#REF!</v>
      </c>
      <c r="CM546" t="e">
        <f>AND(#REF!,"AAAAAHc9/lo=")</f>
        <v>#REF!</v>
      </c>
      <c r="CN546" t="e">
        <f>AND(#REF!,"AAAAAHc9/ls=")</f>
        <v>#REF!</v>
      </c>
      <c r="CO546" t="e">
        <f>AND(#REF!,"AAAAAHc9/lw=")</f>
        <v>#REF!</v>
      </c>
      <c r="CP546" t="e">
        <f>AND(#REF!,"AAAAAHc9/l0=")</f>
        <v>#REF!</v>
      </c>
      <c r="CQ546" t="e">
        <f>AND(#REF!,"AAAAAHc9/l4=")</f>
        <v>#REF!</v>
      </c>
      <c r="CR546" t="e">
        <f>IF(#REF!,"AAAAAHc9/l8=",0)</f>
        <v>#REF!</v>
      </c>
      <c r="CS546" t="e">
        <f>AND(#REF!,"AAAAAHc9/mA=")</f>
        <v>#REF!</v>
      </c>
      <c r="CT546" t="e">
        <f>AND(#REF!,"AAAAAHc9/mE=")</f>
        <v>#REF!</v>
      </c>
      <c r="CU546" t="e">
        <f>AND(#REF!,"AAAAAHc9/mI=")</f>
        <v>#REF!</v>
      </c>
      <c r="CV546" t="e">
        <f>AND(#REF!,"AAAAAHc9/mM=")</f>
        <v>#REF!</v>
      </c>
      <c r="CW546" t="e">
        <f>AND(#REF!,"AAAAAHc9/mQ=")</f>
        <v>#REF!</v>
      </c>
      <c r="CX546" t="e">
        <f>AND(#REF!,"AAAAAHc9/mU=")</f>
        <v>#REF!</v>
      </c>
      <c r="CY546" t="e">
        <f>AND(#REF!,"AAAAAHc9/mY=")</f>
        <v>#REF!</v>
      </c>
      <c r="CZ546" t="e">
        <f>AND(#REF!,"AAAAAHc9/mc=")</f>
        <v>#REF!</v>
      </c>
      <c r="DA546" t="e">
        <f>AND(#REF!,"AAAAAHc9/mg=")</f>
        <v>#REF!</v>
      </c>
      <c r="DB546" t="e">
        <f>AND(#REF!,"AAAAAHc9/mk=")</f>
        <v>#REF!</v>
      </c>
      <c r="DC546" t="e">
        <f>IF(#REF!,"AAAAAHc9/mo=",0)</f>
        <v>#REF!</v>
      </c>
      <c r="DD546" t="e">
        <f>AND(#REF!,"AAAAAHc9/ms=")</f>
        <v>#REF!</v>
      </c>
      <c r="DE546" t="e">
        <f>AND(#REF!,"AAAAAHc9/mw=")</f>
        <v>#REF!</v>
      </c>
      <c r="DF546" t="e">
        <f>AND(#REF!,"AAAAAHc9/m0=")</f>
        <v>#REF!</v>
      </c>
      <c r="DG546" t="e">
        <f>AND(#REF!,"AAAAAHc9/m4=")</f>
        <v>#REF!</v>
      </c>
      <c r="DH546" t="e">
        <f>AND(#REF!,"AAAAAHc9/m8=")</f>
        <v>#REF!</v>
      </c>
      <c r="DI546" t="e">
        <f>AND(#REF!,"AAAAAHc9/nA=")</f>
        <v>#REF!</v>
      </c>
      <c r="DJ546" t="e">
        <f>AND(#REF!,"AAAAAHc9/nE=")</f>
        <v>#REF!</v>
      </c>
      <c r="DK546" t="e">
        <f>AND(#REF!,"AAAAAHc9/nI=")</f>
        <v>#REF!</v>
      </c>
      <c r="DL546" t="e">
        <f>AND(#REF!,"AAAAAHc9/nM=")</f>
        <v>#REF!</v>
      </c>
      <c r="DM546" t="e">
        <f>AND(#REF!,"AAAAAHc9/nQ=")</f>
        <v>#REF!</v>
      </c>
      <c r="DN546" t="e">
        <f>IF(#REF!,"AAAAAHc9/nU=",0)</f>
        <v>#REF!</v>
      </c>
      <c r="DO546" t="e">
        <f>AND(#REF!,"AAAAAHc9/nY=")</f>
        <v>#REF!</v>
      </c>
      <c r="DP546" t="e">
        <f>AND(#REF!,"AAAAAHc9/nc=")</f>
        <v>#REF!</v>
      </c>
      <c r="DQ546" t="e">
        <f>AND(#REF!,"AAAAAHc9/ng=")</f>
        <v>#REF!</v>
      </c>
      <c r="DR546" t="e">
        <f>AND(#REF!,"AAAAAHc9/nk=")</f>
        <v>#REF!</v>
      </c>
      <c r="DS546" t="e">
        <f>AND(#REF!,"AAAAAHc9/no=")</f>
        <v>#REF!</v>
      </c>
      <c r="DT546" t="e">
        <f>AND(#REF!,"AAAAAHc9/ns=")</f>
        <v>#REF!</v>
      </c>
      <c r="DU546" t="e">
        <f>AND(#REF!,"AAAAAHc9/nw=")</f>
        <v>#REF!</v>
      </c>
      <c r="DV546" t="e">
        <f>AND(#REF!,"AAAAAHc9/n0=")</f>
        <v>#REF!</v>
      </c>
      <c r="DW546" t="e">
        <f>AND(#REF!,"AAAAAHc9/n4=")</f>
        <v>#REF!</v>
      </c>
      <c r="DX546" t="e">
        <f>AND(#REF!,"AAAAAHc9/n8=")</f>
        <v>#REF!</v>
      </c>
      <c r="DY546" t="e">
        <f>IF(#REF!,"AAAAAHc9/oA=",0)</f>
        <v>#REF!</v>
      </c>
      <c r="DZ546" t="e">
        <f>AND(#REF!,"AAAAAHc9/oE=")</f>
        <v>#REF!</v>
      </c>
      <c r="EA546" t="e">
        <f>AND(#REF!,"AAAAAHc9/oI=")</f>
        <v>#REF!</v>
      </c>
      <c r="EB546" t="e">
        <f>AND(#REF!,"AAAAAHc9/oM=")</f>
        <v>#REF!</v>
      </c>
      <c r="EC546" t="e">
        <f>AND(#REF!,"AAAAAHc9/oQ=")</f>
        <v>#REF!</v>
      </c>
      <c r="ED546" t="e">
        <f>AND(#REF!,"AAAAAHc9/oU=")</f>
        <v>#REF!</v>
      </c>
      <c r="EE546" t="e">
        <f>AND(#REF!,"AAAAAHc9/oY=")</f>
        <v>#REF!</v>
      </c>
      <c r="EF546" t="e">
        <f>AND(#REF!,"AAAAAHc9/oc=")</f>
        <v>#REF!</v>
      </c>
      <c r="EG546" t="e">
        <f>AND(#REF!,"AAAAAHc9/og=")</f>
        <v>#REF!</v>
      </c>
      <c r="EH546" t="e">
        <f>AND(#REF!,"AAAAAHc9/ok=")</f>
        <v>#REF!</v>
      </c>
      <c r="EI546" t="e">
        <f>AND(#REF!,"AAAAAHc9/oo=")</f>
        <v>#REF!</v>
      </c>
      <c r="EJ546" t="e">
        <f>IF(#REF!,"AAAAAHc9/os=",0)</f>
        <v>#REF!</v>
      </c>
      <c r="EK546" t="e">
        <f>AND(#REF!,"AAAAAHc9/ow=")</f>
        <v>#REF!</v>
      </c>
      <c r="EL546" t="e">
        <f>AND(#REF!,"AAAAAHc9/o0=")</f>
        <v>#REF!</v>
      </c>
      <c r="EM546" t="e">
        <f>AND(#REF!,"AAAAAHc9/o4=")</f>
        <v>#REF!</v>
      </c>
      <c r="EN546" t="e">
        <f>AND(#REF!,"AAAAAHc9/o8=")</f>
        <v>#REF!</v>
      </c>
      <c r="EO546" t="e">
        <f>AND(#REF!,"AAAAAHc9/pA=")</f>
        <v>#REF!</v>
      </c>
      <c r="EP546" t="e">
        <f>AND(#REF!,"AAAAAHc9/pE=")</f>
        <v>#REF!</v>
      </c>
      <c r="EQ546" t="e">
        <f>AND(#REF!,"AAAAAHc9/pI=")</f>
        <v>#REF!</v>
      </c>
      <c r="ER546" t="e">
        <f>AND(#REF!,"AAAAAHc9/pM=")</f>
        <v>#REF!</v>
      </c>
      <c r="ES546" t="e">
        <f>AND(#REF!,"AAAAAHc9/pQ=")</f>
        <v>#REF!</v>
      </c>
      <c r="ET546" t="e">
        <f>AND(#REF!,"AAAAAHc9/pU=")</f>
        <v>#REF!</v>
      </c>
      <c r="EU546" t="e">
        <f>IF(#REF!,"AAAAAHc9/pY=",0)</f>
        <v>#REF!</v>
      </c>
      <c r="EV546" t="e">
        <f>AND(#REF!,"AAAAAHc9/pc=")</f>
        <v>#REF!</v>
      </c>
      <c r="EW546" t="e">
        <f>AND(#REF!,"AAAAAHc9/pg=")</f>
        <v>#REF!</v>
      </c>
      <c r="EX546" t="e">
        <f>AND(#REF!,"AAAAAHc9/pk=")</f>
        <v>#REF!</v>
      </c>
      <c r="EY546" t="e">
        <f>AND(#REF!,"AAAAAHc9/po=")</f>
        <v>#REF!</v>
      </c>
      <c r="EZ546" t="e">
        <f>AND(#REF!,"AAAAAHc9/ps=")</f>
        <v>#REF!</v>
      </c>
      <c r="FA546" t="e">
        <f>AND(#REF!,"AAAAAHc9/pw=")</f>
        <v>#REF!</v>
      </c>
      <c r="FB546" t="e">
        <f>AND(#REF!,"AAAAAHc9/p0=")</f>
        <v>#REF!</v>
      </c>
      <c r="FC546" t="e">
        <f>AND(#REF!,"AAAAAHc9/p4=")</f>
        <v>#REF!</v>
      </c>
      <c r="FD546" t="e">
        <f>AND(#REF!,"AAAAAHc9/p8=")</f>
        <v>#REF!</v>
      </c>
      <c r="FE546" t="e">
        <f>AND(#REF!,"AAAAAHc9/qA=")</f>
        <v>#REF!</v>
      </c>
      <c r="FF546" t="e">
        <f>IF(#REF!,"AAAAAHc9/qE=",0)</f>
        <v>#REF!</v>
      </c>
      <c r="FG546" t="e">
        <f>AND(#REF!,"AAAAAHc9/qI=")</f>
        <v>#REF!</v>
      </c>
      <c r="FH546" t="e">
        <f>AND(#REF!,"AAAAAHc9/qM=")</f>
        <v>#REF!</v>
      </c>
      <c r="FI546" t="e">
        <f>AND(#REF!,"AAAAAHc9/qQ=")</f>
        <v>#REF!</v>
      </c>
      <c r="FJ546" t="e">
        <f>AND(#REF!,"AAAAAHc9/qU=")</f>
        <v>#REF!</v>
      </c>
      <c r="FK546" t="e">
        <f>AND(#REF!,"AAAAAHc9/qY=")</f>
        <v>#REF!</v>
      </c>
      <c r="FL546" t="e">
        <f>AND(#REF!,"AAAAAHc9/qc=")</f>
        <v>#REF!</v>
      </c>
      <c r="FM546" t="e">
        <f>AND(#REF!,"AAAAAHc9/qg=")</f>
        <v>#REF!</v>
      </c>
      <c r="FN546" t="e">
        <f>AND(#REF!,"AAAAAHc9/qk=")</f>
        <v>#REF!</v>
      </c>
      <c r="FO546" t="e">
        <f>AND(#REF!,"AAAAAHc9/qo=")</f>
        <v>#REF!</v>
      </c>
      <c r="FP546" t="e">
        <f>AND(#REF!,"AAAAAHc9/qs=")</f>
        <v>#REF!</v>
      </c>
      <c r="FQ546" t="e">
        <f>IF(#REF!,"AAAAAHc9/qw=",0)</f>
        <v>#REF!</v>
      </c>
      <c r="FR546" t="e">
        <f>AND(#REF!,"AAAAAHc9/q0=")</f>
        <v>#REF!</v>
      </c>
      <c r="FS546" t="e">
        <f>AND(#REF!,"AAAAAHc9/q4=")</f>
        <v>#REF!</v>
      </c>
      <c r="FT546" t="e">
        <f>AND(#REF!,"AAAAAHc9/q8=")</f>
        <v>#REF!</v>
      </c>
      <c r="FU546" t="e">
        <f>AND(#REF!,"AAAAAHc9/rA=")</f>
        <v>#REF!</v>
      </c>
      <c r="FV546" t="e">
        <f>AND(#REF!,"AAAAAHc9/rE=")</f>
        <v>#REF!</v>
      </c>
      <c r="FW546" t="e">
        <f>AND(#REF!,"AAAAAHc9/rI=")</f>
        <v>#REF!</v>
      </c>
      <c r="FX546" t="e">
        <f>AND(#REF!,"AAAAAHc9/rM=")</f>
        <v>#REF!</v>
      </c>
      <c r="FY546" t="e">
        <f>AND(#REF!,"AAAAAHc9/rQ=")</f>
        <v>#REF!</v>
      </c>
      <c r="FZ546" t="e">
        <f>AND(#REF!,"AAAAAHc9/rU=")</f>
        <v>#REF!</v>
      </c>
      <c r="GA546" t="e">
        <f>AND(#REF!,"AAAAAHc9/rY=")</f>
        <v>#REF!</v>
      </c>
      <c r="GB546" t="e">
        <f>IF(#REF!,"AAAAAHc9/rc=",0)</f>
        <v>#REF!</v>
      </c>
      <c r="GC546" t="e">
        <f>AND(#REF!,"AAAAAHc9/rg=")</f>
        <v>#REF!</v>
      </c>
      <c r="GD546" t="e">
        <f>AND(#REF!,"AAAAAHc9/rk=")</f>
        <v>#REF!</v>
      </c>
      <c r="GE546" t="e">
        <f>AND(#REF!,"AAAAAHc9/ro=")</f>
        <v>#REF!</v>
      </c>
      <c r="GF546" t="e">
        <f>AND(#REF!,"AAAAAHc9/rs=")</f>
        <v>#REF!</v>
      </c>
      <c r="GG546" t="e">
        <f>AND(#REF!,"AAAAAHc9/rw=")</f>
        <v>#REF!</v>
      </c>
      <c r="GH546" t="e">
        <f>AND(#REF!,"AAAAAHc9/r0=")</f>
        <v>#REF!</v>
      </c>
      <c r="GI546" t="e">
        <f>AND(#REF!,"AAAAAHc9/r4=")</f>
        <v>#REF!</v>
      </c>
      <c r="GJ546" t="e">
        <f>AND(#REF!,"AAAAAHc9/r8=")</f>
        <v>#REF!</v>
      </c>
      <c r="GK546" t="e">
        <f>AND(#REF!,"AAAAAHc9/sA=")</f>
        <v>#REF!</v>
      </c>
      <c r="GL546" t="e">
        <f>AND(#REF!,"AAAAAHc9/sE=")</f>
        <v>#REF!</v>
      </c>
      <c r="GM546" t="e">
        <f>IF(#REF!,"AAAAAHc9/sI=",0)</f>
        <v>#REF!</v>
      </c>
      <c r="GN546" t="e">
        <f>AND(#REF!,"AAAAAHc9/sM=")</f>
        <v>#REF!</v>
      </c>
      <c r="GO546" t="e">
        <f>AND(#REF!,"AAAAAHc9/sQ=")</f>
        <v>#REF!</v>
      </c>
      <c r="GP546" t="e">
        <f>AND(#REF!,"AAAAAHc9/sU=")</f>
        <v>#REF!</v>
      </c>
      <c r="GQ546" t="e">
        <f>AND(#REF!,"AAAAAHc9/sY=")</f>
        <v>#REF!</v>
      </c>
      <c r="GR546" t="e">
        <f>AND(#REF!,"AAAAAHc9/sc=")</f>
        <v>#REF!</v>
      </c>
      <c r="GS546" t="e">
        <f>AND(#REF!,"AAAAAHc9/sg=")</f>
        <v>#REF!</v>
      </c>
      <c r="GT546" t="e">
        <f>AND(#REF!,"AAAAAHc9/sk=")</f>
        <v>#REF!</v>
      </c>
      <c r="GU546" t="e">
        <f>AND(#REF!,"AAAAAHc9/so=")</f>
        <v>#REF!</v>
      </c>
      <c r="GV546" t="e">
        <f>AND(#REF!,"AAAAAHc9/ss=")</f>
        <v>#REF!</v>
      </c>
      <c r="GW546" t="e">
        <f>AND(#REF!,"AAAAAHc9/sw=")</f>
        <v>#REF!</v>
      </c>
      <c r="GX546" t="e">
        <f>IF(#REF!,"AAAAAHc9/s0=",0)</f>
        <v>#REF!</v>
      </c>
      <c r="GY546" t="e">
        <f>AND(#REF!,"AAAAAHc9/s4=")</f>
        <v>#REF!</v>
      </c>
      <c r="GZ546" t="e">
        <f>AND(#REF!,"AAAAAHc9/s8=")</f>
        <v>#REF!</v>
      </c>
      <c r="HA546" t="e">
        <f>AND(#REF!,"AAAAAHc9/tA=")</f>
        <v>#REF!</v>
      </c>
      <c r="HB546" t="e">
        <f>AND(#REF!,"AAAAAHc9/tE=")</f>
        <v>#REF!</v>
      </c>
      <c r="HC546" t="e">
        <f>AND(#REF!,"AAAAAHc9/tI=")</f>
        <v>#REF!</v>
      </c>
      <c r="HD546" t="e">
        <f>AND(#REF!,"AAAAAHc9/tM=")</f>
        <v>#REF!</v>
      </c>
      <c r="HE546" t="e">
        <f>AND(#REF!,"AAAAAHc9/tQ=")</f>
        <v>#REF!</v>
      </c>
      <c r="HF546" t="e">
        <f>AND(#REF!,"AAAAAHc9/tU=")</f>
        <v>#REF!</v>
      </c>
      <c r="HG546" t="e">
        <f>AND(#REF!,"AAAAAHc9/tY=")</f>
        <v>#REF!</v>
      </c>
      <c r="HH546" t="e">
        <f>AND(#REF!,"AAAAAHc9/tc=")</f>
        <v>#REF!</v>
      </c>
      <c r="HI546" t="e">
        <f>IF(#REF!,"AAAAAHc9/tg=",0)</f>
        <v>#REF!</v>
      </c>
      <c r="HJ546" t="e">
        <f>AND(#REF!,"AAAAAHc9/tk=")</f>
        <v>#REF!</v>
      </c>
      <c r="HK546" t="e">
        <f>AND(#REF!,"AAAAAHc9/to=")</f>
        <v>#REF!</v>
      </c>
      <c r="HL546" t="e">
        <f>AND(#REF!,"AAAAAHc9/ts=")</f>
        <v>#REF!</v>
      </c>
      <c r="HM546" t="e">
        <f>AND(#REF!,"AAAAAHc9/tw=")</f>
        <v>#REF!</v>
      </c>
      <c r="HN546" t="e">
        <f>AND(#REF!,"AAAAAHc9/t0=")</f>
        <v>#REF!</v>
      </c>
      <c r="HO546" t="e">
        <f>AND(#REF!,"AAAAAHc9/t4=")</f>
        <v>#REF!</v>
      </c>
      <c r="HP546" t="e">
        <f>AND(#REF!,"AAAAAHc9/t8=")</f>
        <v>#REF!</v>
      </c>
      <c r="HQ546" t="e">
        <f>AND(#REF!,"AAAAAHc9/uA=")</f>
        <v>#REF!</v>
      </c>
      <c r="HR546" t="e">
        <f>AND(#REF!,"AAAAAHc9/uE=")</f>
        <v>#REF!</v>
      </c>
      <c r="HS546" t="e">
        <f>AND(#REF!,"AAAAAHc9/uI=")</f>
        <v>#REF!</v>
      </c>
      <c r="HT546" t="e">
        <f>IF(#REF!,"AAAAAHc9/uM=",0)</f>
        <v>#REF!</v>
      </c>
      <c r="HU546" t="e">
        <f>AND(#REF!,"AAAAAHc9/uQ=")</f>
        <v>#REF!</v>
      </c>
      <c r="HV546" t="e">
        <f>AND(#REF!,"AAAAAHc9/uU=")</f>
        <v>#REF!</v>
      </c>
      <c r="HW546" t="e">
        <f>AND(#REF!,"AAAAAHc9/uY=")</f>
        <v>#REF!</v>
      </c>
      <c r="HX546" t="e">
        <f>AND(#REF!,"AAAAAHc9/uc=")</f>
        <v>#REF!</v>
      </c>
      <c r="HY546" t="e">
        <f>AND(#REF!,"AAAAAHc9/ug=")</f>
        <v>#REF!</v>
      </c>
      <c r="HZ546" t="e">
        <f>AND(#REF!,"AAAAAHc9/uk=")</f>
        <v>#REF!</v>
      </c>
      <c r="IA546" t="e">
        <f>AND(#REF!,"AAAAAHc9/uo=")</f>
        <v>#REF!</v>
      </c>
      <c r="IB546" t="e">
        <f>AND(#REF!,"AAAAAHc9/us=")</f>
        <v>#REF!</v>
      </c>
      <c r="IC546" t="e">
        <f>AND(#REF!,"AAAAAHc9/uw=")</f>
        <v>#REF!</v>
      </c>
      <c r="ID546" t="e">
        <f>AND(#REF!,"AAAAAHc9/u0=")</f>
        <v>#REF!</v>
      </c>
      <c r="IE546" t="e">
        <f>IF(#REF!,"AAAAAHc9/u4=",0)</f>
        <v>#REF!</v>
      </c>
      <c r="IF546" t="e">
        <f>AND(#REF!,"AAAAAHc9/u8=")</f>
        <v>#REF!</v>
      </c>
      <c r="IG546" t="e">
        <f>AND(#REF!,"AAAAAHc9/vA=")</f>
        <v>#REF!</v>
      </c>
      <c r="IH546" t="e">
        <f>AND(#REF!,"AAAAAHc9/vE=")</f>
        <v>#REF!</v>
      </c>
      <c r="II546" t="e">
        <f>AND(#REF!,"AAAAAHc9/vI=")</f>
        <v>#REF!</v>
      </c>
      <c r="IJ546" t="e">
        <f>AND(#REF!,"AAAAAHc9/vM=")</f>
        <v>#REF!</v>
      </c>
      <c r="IK546" t="e">
        <f>AND(#REF!,"AAAAAHc9/vQ=")</f>
        <v>#REF!</v>
      </c>
      <c r="IL546" t="e">
        <f>AND(#REF!,"AAAAAHc9/vU=")</f>
        <v>#REF!</v>
      </c>
      <c r="IM546" t="e">
        <f>AND(#REF!,"AAAAAHc9/vY=")</f>
        <v>#REF!</v>
      </c>
      <c r="IN546" t="e">
        <f>AND(#REF!,"AAAAAHc9/vc=")</f>
        <v>#REF!</v>
      </c>
      <c r="IO546" t="e">
        <f>AND(#REF!,"AAAAAHc9/vg=")</f>
        <v>#REF!</v>
      </c>
      <c r="IP546" t="e">
        <f>IF(#REF!,"AAAAAHc9/vk=",0)</f>
        <v>#REF!</v>
      </c>
      <c r="IQ546" t="e">
        <f>AND(#REF!,"AAAAAHc9/vo=")</f>
        <v>#REF!</v>
      </c>
      <c r="IR546" t="e">
        <f>AND(#REF!,"AAAAAHc9/vs=")</f>
        <v>#REF!</v>
      </c>
      <c r="IS546" t="e">
        <f>AND(#REF!,"AAAAAHc9/vw=")</f>
        <v>#REF!</v>
      </c>
      <c r="IT546" t="e">
        <f>AND(#REF!,"AAAAAHc9/v0=")</f>
        <v>#REF!</v>
      </c>
      <c r="IU546" t="e">
        <f>AND(#REF!,"AAAAAHc9/v4=")</f>
        <v>#REF!</v>
      </c>
      <c r="IV546" t="e">
        <f>AND(#REF!,"AAAAAHc9/v8=")</f>
        <v>#REF!</v>
      </c>
    </row>
    <row r="547" spans="1:256" x14ac:dyDescent="0.25">
      <c r="A547" t="e">
        <f>AND(#REF!,"AAAAAD9/6wA=")</f>
        <v>#REF!</v>
      </c>
      <c r="B547" t="e">
        <f>AND(#REF!,"AAAAAD9/6wE=")</f>
        <v>#REF!</v>
      </c>
      <c r="C547" t="e">
        <f>AND(#REF!,"AAAAAD9/6wI=")</f>
        <v>#REF!</v>
      </c>
      <c r="D547" t="e">
        <f>AND(#REF!,"AAAAAD9/6wM=")</f>
        <v>#REF!</v>
      </c>
      <c r="E547" t="e">
        <f>IF(#REF!,"AAAAAD9/6wQ=",0)</f>
        <v>#REF!</v>
      </c>
      <c r="F547" t="e">
        <f>AND(#REF!,"AAAAAD9/6wU=")</f>
        <v>#REF!</v>
      </c>
      <c r="G547" t="e">
        <f>AND(#REF!,"AAAAAD9/6wY=")</f>
        <v>#REF!</v>
      </c>
      <c r="H547" t="e">
        <f>AND(#REF!,"AAAAAD9/6wc=")</f>
        <v>#REF!</v>
      </c>
      <c r="I547" t="e">
        <f>AND(#REF!,"AAAAAD9/6wg=")</f>
        <v>#REF!</v>
      </c>
      <c r="J547" t="e">
        <f>AND(#REF!,"AAAAAD9/6wk=")</f>
        <v>#REF!</v>
      </c>
      <c r="K547" t="e">
        <f>AND(#REF!,"AAAAAD9/6wo=")</f>
        <v>#REF!</v>
      </c>
      <c r="L547" t="e">
        <f>AND(#REF!,"AAAAAD9/6ws=")</f>
        <v>#REF!</v>
      </c>
      <c r="M547" t="e">
        <f>AND(#REF!,"AAAAAD9/6ww=")</f>
        <v>#REF!</v>
      </c>
      <c r="N547" t="e">
        <f>AND(#REF!,"AAAAAD9/6w0=")</f>
        <v>#REF!</v>
      </c>
      <c r="O547" t="e">
        <f>AND(#REF!,"AAAAAD9/6w4=")</f>
        <v>#REF!</v>
      </c>
      <c r="P547" t="e">
        <f>IF(#REF!,"AAAAAD9/6w8=",0)</f>
        <v>#REF!</v>
      </c>
      <c r="Q547" t="e">
        <f>AND(#REF!,"AAAAAD9/6xA=")</f>
        <v>#REF!</v>
      </c>
      <c r="R547" t="e">
        <f>AND(#REF!,"AAAAAD9/6xE=")</f>
        <v>#REF!</v>
      </c>
      <c r="S547" t="e">
        <f>AND(#REF!,"AAAAAD9/6xI=")</f>
        <v>#REF!</v>
      </c>
      <c r="T547" t="e">
        <f>AND(#REF!,"AAAAAD9/6xM=")</f>
        <v>#REF!</v>
      </c>
      <c r="U547" t="e">
        <f>AND(#REF!,"AAAAAD9/6xQ=")</f>
        <v>#REF!</v>
      </c>
      <c r="V547" t="e">
        <f>AND(#REF!,"AAAAAD9/6xU=")</f>
        <v>#REF!</v>
      </c>
      <c r="W547" t="e">
        <f>AND(#REF!,"AAAAAD9/6xY=")</f>
        <v>#REF!</v>
      </c>
      <c r="X547" t="e">
        <f>AND(#REF!,"AAAAAD9/6xc=")</f>
        <v>#REF!</v>
      </c>
      <c r="Y547" t="e">
        <f>AND(#REF!,"AAAAAD9/6xg=")</f>
        <v>#REF!</v>
      </c>
      <c r="Z547" t="e">
        <f>AND(#REF!,"AAAAAD9/6xk=")</f>
        <v>#REF!</v>
      </c>
      <c r="AA547" t="e">
        <f>IF(#REF!,"AAAAAD9/6xo=",0)</f>
        <v>#REF!</v>
      </c>
      <c r="AB547" t="e">
        <f>AND(#REF!,"AAAAAD9/6xs=")</f>
        <v>#REF!</v>
      </c>
      <c r="AC547" t="e">
        <f>AND(#REF!,"AAAAAD9/6xw=")</f>
        <v>#REF!</v>
      </c>
      <c r="AD547" t="e">
        <f>AND(#REF!,"AAAAAD9/6x0=")</f>
        <v>#REF!</v>
      </c>
      <c r="AE547" t="e">
        <f>AND(#REF!,"AAAAAD9/6x4=")</f>
        <v>#REF!</v>
      </c>
      <c r="AF547" t="e">
        <f>AND(#REF!,"AAAAAD9/6x8=")</f>
        <v>#REF!</v>
      </c>
      <c r="AG547" t="e">
        <f>AND(#REF!,"AAAAAD9/6yA=")</f>
        <v>#REF!</v>
      </c>
      <c r="AH547" t="e">
        <f>AND(#REF!,"AAAAAD9/6yE=")</f>
        <v>#REF!</v>
      </c>
      <c r="AI547" t="e">
        <f>AND(#REF!,"AAAAAD9/6yI=")</f>
        <v>#REF!</v>
      </c>
      <c r="AJ547" t="e">
        <f>AND(#REF!,"AAAAAD9/6yM=")</f>
        <v>#REF!</v>
      </c>
      <c r="AK547" t="e">
        <f>AND(#REF!,"AAAAAD9/6yQ=")</f>
        <v>#REF!</v>
      </c>
      <c r="AL547" t="e">
        <f>IF(#REF!,"AAAAAD9/6yU=",0)</f>
        <v>#REF!</v>
      </c>
      <c r="AM547" t="e">
        <f>AND(#REF!,"AAAAAD9/6yY=")</f>
        <v>#REF!</v>
      </c>
      <c r="AN547" t="e">
        <f>AND(#REF!,"AAAAAD9/6yc=")</f>
        <v>#REF!</v>
      </c>
      <c r="AO547" t="e">
        <f>AND(#REF!,"AAAAAD9/6yg=")</f>
        <v>#REF!</v>
      </c>
      <c r="AP547" t="e">
        <f>AND(#REF!,"AAAAAD9/6yk=")</f>
        <v>#REF!</v>
      </c>
      <c r="AQ547" t="e">
        <f>AND(#REF!,"AAAAAD9/6yo=")</f>
        <v>#REF!</v>
      </c>
      <c r="AR547" t="e">
        <f>AND(#REF!,"AAAAAD9/6ys=")</f>
        <v>#REF!</v>
      </c>
      <c r="AS547" t="e">
        <f>AND(#REF!,"AAAAAD9/6yw=")</f>
        <v>#REF!</v>
      </c>
      <c r="AT547" t="e">
        <f>AND(#REF!,"AAAAAD9/6y0=")</f>
        <v>#REF!</v>
      </c>
      <c r="AU547" t="e">
        <f>AND(#REF!,"AAAAAD9/6y4=")</f>
        <v>#REF!</v>
      </c>
      <c r="AV547" t="e">
        <f>AND(#REF!,"AAAAAD9/6y8=")</f>
        <v>#REF!</v>
      </c>
      <c r="AW547" t="e">
        <f>IF(#REF!,"AAAAAD9/6zA=",0)</f>
        <v>#REF!</v>
      </c>
      <c r="AX547" t="e">
        <f>AND(#REF!,"AAAAAD9/6zE=")</f>
        <v>#REF!</v>
      </c>
      <c r="AY547" t="e">
        <f>AND(#REF!,"AAAAAD9/6zI=")</f>
        <v>#REF!</v>
      </c>
      <c r="AZ547" t="e">
        <f>AND(#REF!,"AAAAAD9/6zM=")</f>
        <v>#REF!</v>
      </c>
      <c r="BA547" t="e">
        <f>AND(#REF!,"AAAAAD9/6zQ=")</f>
        <v>#REF!</v>
      </c>
      <c r="BB547" t="e">
        <f>AND(#REF!,"AAAAAD9/6zU=")</f>
        <v>#REF!</v>
      </c>
      <c r="BC547" t="e">
        <f>AND(#REF!,"AAAAAD9/6zY=")</f>
        <v>#REF!</v>
      </c>
      <c r="BD547" t="e">
        <f>AND(#REF!,"AAAAAD9/6zc=")</f>
        <v>#REF!</v>
      </c>
      <c r="BE547" t="e">
        <f>AND(#REF!,"AAAAAD9/6zg=")</f>
        <v>#REF!</v>
      </c>
      <c r="BF547" t="e">
        <f>AND(#REF!,"AAAAAD9/6zk=")</f>
        <v>#REF!</v>
      </c>
      <c r="BG547" t="e">
        <f>AND(#REF!,"AAAAAD9/6zo=")</f>
        <v>#REF!</v>
      </c>
      <c r="BH547" t="e">
        <f>IF(#REF!,"AAAAAD9/6zs=",0)</f>
        <v>#REF!</v>
      </c>
      <c r="BI547" t="e">
        <f>AND(#REF!,"AAAAAD9/6zw=")</f>
        <v>#REF!</v>
      </c>
      <c r="BJ547" t="e">
        <f>AND(#REF!,"AAAAAD9/6z0=")</f>
        <v>#REF!</v>
      </c>
      <c r="BK547" t="e">
        <f>AND(#REF!,"AAAAAD9/6z4=")</f>
        <v>#REF!</v>
      </c>
      <c r="BL547" t="e">
        <f>AND(#REF!,"AAAAAD9/6z8=")</f>
        <v>#REF!</v>
      </c>
      <c r="BM547" t="e">
        <f>AND(#REF!,"AAAAAD9/60A=")</f>
        <v>#REF!</v>
      </c>
      <c r="BN547" t="e">
        <f>AND(#REF!,"AAAAAD9/60E=")</f>
        <v>#REF!</v>
      </c>
      <c r="BO547" t="e">
        <f>AND(#REF!,"AAAAAD9/60I=")</f>
        <v>#REF!</v>
      </c>
      <c r="BP547" t="e">
        <f>AND(#REF!,"AAAAAD9/60M=")</f>
        <v>#REF!</v>
      </c>
      <c r="BQ547" t="e">
        <f>AND(#REF!,"AAAAAD9/60Q=")</f>
        <v>#REF!</v>
      </c>
      <c r="BR547" t="e">
        <f>AND(#REF!,"AAAAAD9/60U=")</f>
        <v>#REF!</v>
      </c>
      <c r="BS547" t="e">
        <f>IF(#REF!,"AAAAAD9/60Y=",0)</f>
        <v>#REF!</v>
      </c>
      <c r="BT547" t="e">
        <f>AND(#REF!,"AAAAAD9/60c=")</f>
        <v>#REF!</v>
      </c>
      <c r="BU547" t="e">
        <f>AND(#REF!,"AAAAAD9/60g=")</f>
        <v>#REF!</v>
      </c>
      <c r="BV547" t="e">
        <f>AND(#REF!,"AAAAAD9/60k=")</f>
        <v>#REF!</v>
      </c>
      <c r="BW547" t="e">
        <f>AND(#REF!,"AAAAAD9/60o=")</f>
        <v>#REF!</v>
      </c>
      <c r="BX547" t="e">
        <f>AND(#REF!,"AAAAAD9/60s=")</f>
        <v>#REF!</v>
      </c>
      <c r="BY547" t="e">
        <f>AND(#REF!,"AAAAAD9/60w=")</f>
        <v>#REF!</v>
      </c>
      <c r="BZ547" t="e">
        <f>AND(#REF!,"AAAAAD9/600=")</f>
        <v>#REF!</v>
      </c>
      <c r="CA547" t="e">
        <f>AND(#REF!,"AAAAAD9/604=")</f>
        <v>#REF!</v>
      </c>
      <c r="CB547" t="e">
        <f>AND(#REF!,"AAAAAD9/608=")</f>
        <v>#REF!</v>
      </c>
      <c r="CC547" t="e">
        <f>AND(#REF!,"AAAAAD9/61A=")</f>
        <v>#REF!</v>
      </c>
      <c r="CD547" t="e">
        <f>IF(#REF!,"AAAAAD9/61E=",0)</f>
        <v>#REF!</v>
      </c>
      <c r="CE547" t="e">
        <f>AND(#REF!,"AAAAAD9/61I=")</f>
        <v>#REF!</v>
      </c>
      <c r="CF547" t="e">
        <f>AND(#REF!,"AAAAAD9/61M=")</f>
        <v>#REF!</v>
      </c>
      <c r="CG547" t="e">
        <f>AND(#REF!,"AAAAAD9/61Q=")</f>
        <v>#REF!</v>
      </c>
      <c r="CH547" t="e">
        <f>AND(#REF!,"AAAAAD9/61U=")</f>
        <v>#REF!</v>
      </c>
      <c r="CI547" t="e">
        <f>AND(#REF!,"AAAAAD9/61Y=")</f>
        <v>#REF!</v>
      </c>
      <c r="CJ547" t="e">
        <f>AND(#REF!,"AAAAAD9/61c=")</f>
        <v>#REF!</v>
      </c>
      <c r="CK547" t="e">
        <f>AND(#REF!,"AAAAAD9/61g=")</f>
        <v>#REF!</v>
      </c>
      <c r="CL547" t="e">
        <f>AND(#REF!,"AAAAAD9/61k=")</f>
        <v>#REF!</v>
      </c>
      <c r="CM547" t="e">
        <f>AND(#REF!,"AAAAAD9/61o=")</f>
        <v>#REF!</v>
      </c>
      <c r="CN547" t="e">
        <f>AND(#REF!,"AAAAAD9/61s=")</f>
        <v>#REF!</v>
      </c>
      <c r="CO547" t="e">
        <f>IF(#REF!,"AAAAAD9/61w=",0)</f>
        <v>#REF!</v>
      </c>
      <c r="CP547" t="e">
        <f>AND(#REF!,"AAAAAD9/610=")</f>
        <v>#REF!</v>
      </c>
      <c r="CQ547" t="e">
        <f>AND(#REF!,"AAAAAD9/614=")</f>
        <v>#REF!</v>
      </c>
      <c r="CR547" t="e">
        <f>AND(#REF!,"AAAAAD9/618=")</f>
        <v>#REF!</v>
      </c>
      <c r="CS547" t="e">
        <f>AND(#REF!,"AAAAAD9/62A=")</f>
        <v>#REF!</v>
      </c>
      <c r="CT547" t="e">
        <f>AND(#REF!,"AAAAAD9/62E=")</f>
        <v>#REF!</v>
      </c>
      <c r="CU547" t="e">
        <f>AND(#REF!,"AAAAAD9/62I=")</f>
        <v>#REF!</v>
      </c>
      <c r="CV547" t="e">
        <f>AND(#REF!,"AAAAAD9/62M=")</f>
        <v>#REF!</v>
      </c>
      <c r="CW547" t="e">
        <f>AND(#REF!,"AAAAAD9/62Q=")</f>
        <v>#REF!</v>
      </c>
      <c r="CX547" t="e">
        <f>AND(#REF!,"AAAAAD9/62U=")</f>
        <v>#REF!</v>
      </c>
      <c r="CY547" t="e">
        <f>AND(#REF!,"AAAAAD9/62Y=")</f>
        <v>#REF!</v>
      </c>
      <c r="CZ547" t="e">
        <f>IF(#REF!,"AAAAAD9/62c=",0)</f>
        <v>#REF!</v>
      </c>
      <c r="DA547" t="e">
        <f>AND(#REF!,"AAAAAD9/62g=")</f>
        <v>#REF!</v>
      </c>
      <c r="DB547" t="e">
        <f>AND(#REF!,"AAAAAD9/62k=")</f>
        <v>#REF!</v>
      </c>
      <c r="DC547" t="e">
        <f>AND(#REF!,"AAAAAD9/62o=")</f>
        <v>#REF!</v>
      </c>
      <c r="DD547" t="e">
        <f>AND(#REF!,"AAAAAD9/62s=")</f>
        <v>#REF!</v>
      </c>
      <c r="DE547" t="e">
        <f>AND(#REF!,"AAAAAD9/62w=")</f>
        <v>#REF!</v>
      </c>
      <c r="DF547" t="e">
        <f>AND(#REF!,"AAAAAD9/620=")</f>
        <v>#REF!</v>
      </c>
      <c r="DG547" t="e">
        <f>AND(#REF!,"AAAAAD9/624=")</f>
        <v>#REF!</v>
      </c>
      <c r="DH547" t="e">
        <f>AND(#REF!,"AAAAAD9/628=")</f>
        <v>#REF!</v>
      </c>
      <c r="DI547" t="e">
        <f>AND(#REF!,"AAAAAD9/63A=")</f>
        <v>#REF!</v>
      </c>
      <c r="DJ547" t="e">
        <f>AND(#REF!,"AAAAAD9/63E=")</f>
        <v>#REF!</v>
      </c>
      <c r="DK547" t="e">
        <f>IF(#REF!,"AAAAAD9/63I=",0)</f>
        <v>#REF!</v>
      </c>
      <c r="DL547" t="e">
        <f>AND(#REF!,"AAAAAD9/63M=")</f>
        <v>#REF!</v>
      </c>
      <c r="DM547" t="e">
        <f>AND(#REF!,"AAAAAD9/63Q=")</f>
        <v>#REF!</v>
      </c>
      <c r="DN547" t="e">
        <f>AND(#REF!,"AAAAAD9/63U=")</f>
        <v>#REF!</v>
      </c>
      <c r="DO547" t="e">
        <f>AND(#REF!,"AAAAAD9/63Y=")</f>
        <v>#REF!</v>
      </c>
      <c r="DP547" t="e">
        <f>AND(#REF!,"AAAAAD9/63c=")</f>
        <v>#REF!</v>
      </c>
      <c r="DQ547" t="e">
        <f>AND(#REF!,"AAAAAD9/63g=")</f>
        <v>#REF!</v>
      </c>
      <c r="DR547" t="e">
        <f>AND(#REF!,"AAAAAD9/63k=")</f>
        <v>#REF!</v>
      </c>
      <c r="DS547" t="e">
        <f>AND(#REF!,"AAAAAD9/63o=")</f>
        <v>#REF!</v>
      </c>
      <c r="DT547" t="e">
        <f>AND(#REF!,"AAAAAD9/63s=")</f>
        <v>#REF!</v>
      </c>
      <c r="DU547" t="e">
        <f>AND(#REF!,"AAAAAD9/63w=")</f>
        <v>#REF!</v>
      </c>
      <c r="DV547" t="e">
        <f>IF(#REF!,"AAAAAD9/630=",0)</f>
        <v>#REF!</v>
      </c>
      <c r="DW547" t="e">
        <f>AND(#REF!,"AAAAAD9/634=")</f>
        <v>#REF!</v>
      </c>
      <c r="DX547" t="e">
        <f>AND(#REF!,"AAAAAD9/638=")</f>
        <v>#REF!</v>
      </c>
      <c r="DY547" t="e">
        <f>AND(#REF!,"AAAAAD9/64A=")</f>
        <v>#REF!</v>
      </c>
      <c r="DZ547" t="e">
        <f>AND(#REF!,"AAAAAD9/64E=")</f>
        <v>#REF!</v>
      </c>
      <c r="EA547" t="e">
        <f>AND(#REF!,"AAAAAD9/64I=")</f>
        <v>#REF!</v>
      </c>
      <c r="EB547" t="e">
        <f>AND(#REF!,"AAAAAD9/64M=")</f>
        <v>#REF!</v>
      </c>
      <c r="EC547" t="e">
        <f>AND(#REF!,"AAAAAD9/64Q=")</f>
        <v>#REF!</v>
      </c>
      <c r="ED547" t="e">
        <f>AND(#REF!,"AAAAAD9/64U=")</f>
        <v>#REF!</v>
      </c>
      <c r="EE547" t="e">
        <f>AND(#REF!,"AAAAAD9/64Y=")</f>
        <v>#REF!</v>
      </c>
      <c r="EF547" t="e">
        <f>AND(#REF!,"AAAAAD9/64c=")</f>
        <v>#REF!</v>
      </c>
      <c r="EG547" t="e">
        <f>IF(#REF!,"AAAAAD9/64g=",0)</f>
        <v>#REF!</v>
      </c>
      <c r="EH547" t="e">
        <f>AND(#REF!,"AAAAAD9/64k=")</f>
        <v>#REF!</v>
      </c>
      <c r="EI547" t="e">
        <f>AND(#REF!,"AAAAAD9/64o=")</f>
        <v>#REF!</v>
      </c>
      <c r="EJ547" t="e">
        <f>AND(#REF!,"AAAAAD9/64s=")</f>
        <v>#REF!</v>
      </c>
      <c r="EK547" t="e">
        <f>AND(#REF!,"AAAAAD9/64w=")</f>
        <v>#REF!</v>
      </c>
      <c r="EL547" t="e">
        <f>AND(#REF!,"AAAAAD9/640=")</f>
        <v>#REF!</v>
      </c>
      <c r="EM547" t="e">
        <f>AND(#REF!,"AAAAAD9/644=")</f>
        <v>#REF!</v>
      </c>
      <c r="EN547" t="e">
        <f>AND(#REF!,"AAAAAD9/648=")</f>
        <v>#REF!</v>
      </c>
      <c r="EO547" t="e">
        <f>AND(#REF!,"AAAAAD9/65A=")</f>
        <v>#REF!</v>
      </c>
      <c r="EP547" t="e">
        <f>AND(#REF!,"AAAAAD9/65E=")</f>
        <v>#REF!</v>
      </c>
      <c r="EQ547" t="e">
        <f>AND(#REF!,"AAAAAD9/65I=")</f>
        <v>#REF!</v>
      </c>
      <c r="ER547" t="e">
        <f>IF(#REF!,"AAAAAD9/65M=",0)</f>
        <v>#REF!</v>
      </c>
      <c r="ES547" t="e">
        <f>AND(#REF!,"AAAAAD9/65Q=")</f>
        <v>#REF!</v>
      </c>
      <c r="ET547" t="e">
        <f>AND(#REF!,"AAAAAD9/65U=")</f>
        <v>#REF!</v>
      </c>
      <c r="EU547" t="e">
        <f>AND(#REF!,"AAAAAD9/65Y=")</f>
        <v>#REF!</v>
      </c>
      <c r="EV547" t="e">
        <f>AND(#REF!,"AAAAAD9/65c=")</f>
        <v>#REF!</v>
      </c>
      <c r="EW547" t="e">
        <f>AND(#REF!,"AAAAAD9/65g=")</f>
        <v>#REF!</v>
      </c>
      <c r="EX547" t="e">
        <f>AND(#REF!,"AAAAAD9/65k=")</f>
        <v>#REF!</v>
      </c>
      <c r="EY547" t="e">
        <f>AND(#REF!,"AAAAAD9/65o=")</f>
        <v>#REF!</v>
      </c>
      <c r="EZ547" t="e">
        <f>AND(#REF!,"AAAAAD9/65s=")</f>
        <v>#REF!</v>
      </c>
      <c r="FA547" t="e">
        <f>AND(#REF!,"AAAAAD9/65w=")</f>
        <v>#REF!</v>
      </c>
      <c r="FB547" t="e">
        <f>AND(#REF!,"AAAAAD9/650=")</f>
        <v>#REF!</v>
      </c>
      <c r="FC547" t="e">
        <f>IF(#REF!,"AAAAAD9/654=",0)</f>
        <v>#REF!</v>
      </c>
      <c r="FD547" t="e">
        <f>AND(#REF!,"AAAAAD9/658=")</f>
        <v>#REF!</v>
      </c>
      <c r="FE547" t="e">
        <f>AND(#REF!,"AAAAAD9/66A=")</f>
        <v>#REF!</v>
      </c>
      <c r="FF547" t="e">
        <f>AND(#REF!,"AAAAAD9/66E=")</f>
        <v>#REF!</v>
      </c>
      <c r="FG547" t="e">
        <f>AND(#REF!,"AAAAAD9/66I=")</f>
        <v>#REF!</v>
      </c>
      <c r="FH547" t="e">
        <f>AND(#REF!,"AAAAAD9/66M=")</f>
        <v>#REF!</v>
      </c>
      <c r="FI547" t="e">
        <f>AND(#REF!,"AAAAAD9/66Q=")</f>
        <v>#REF!</v>
      </c>
      <c r="FJ547" t="e">
        <f>AND(#REF!,"AAAAAD9/66U=")</f>
        <v>#REF!</v>
      </c>
      <c r="FK547" t="e">
        <f>AND(#REF!,"AAAAAD9/66Y=")</f>
        <v>#REF!</v>
      </c>
      <c r="FL547" t="e">
        <f>AND(#REF!,"AAAAAD9/66c=")</f>
        <v>#REF!</v>
      </c>
      <c r="FM547" t="e">
        <f>AND(#REF!,"AAAAAD9/66g=")</f>
        <v>#REF!</v>
      </c>
      <c r="FN547" t="e">
        <f>IF(#REF!,"AAAAAD9/66k=",0)</f>
        <v>#REF!</v>
      </c>
      <c r="FO547" t="e">
        <f>AND(#REF!,"AAAAAD9/66o=")</f>
        <v>#REF!</v>
      </c>
      <c r="FP547" t="e">
        <f>AND(#REF!,"AAAAAD9/66s=")</f>
        <v>#REF!</v>
      </c>
      <c r="FQ547" t="e">
        <f>AND(#REF!,"AAAAAD9/66w=")</f>
        <v>#REF!</v>
      </c>
      <c r="FR547" t="e">
        <f>AND(#REF!,"AAAAAD9/660=")</f>
        <v>#REF!</v>
      </c>
      <c r="FS547" t="e">
        <f>AND(#REF!,"AAAAAD9/664=")</f>
        <v>#REF!</v>
      </c>
      <c r="FT547" t="e">
        <f>AND(#REF!,"AAAAAD9/668=")</f>
        <v>#REF!</v>
      </c>
      <c r="FU547" t="e">
        <f>AND(#REF!,"AAAAAD9/67A=")</f>
        <v>#REF!</v>
      </c>
      <c r="FV547" t="e">
        <f>AND(#REF!,"AAAAAD9/67E=")</f>
        <v>#REF!</v>
      </c>
      <c r="FW547" t="e">
        <f>AND(#REF!,"AAAAAD9/67I=")</f>
        <v>#REF!</v>
      </c>
      <c r="FX547" t="e">
        <f>AND(#REF!,"AAAAAD9/67M=")</f>
        <v>#REF!</v>
      </c>
      <c r="FY547" t="e">
        <f>IF(#REF!,"AAAAAD9/67Q=",0)</f>
        <v>#REF!</v>
      </c>
      <c r="FZ547" t="e">
        <f>AND(#REF!,"AAAAAD9/67U=")</f>
        <v>#REF!</v>
      </c>
      <c r="GA547" t="e">
        <f>AND(#REF!,"AAAAAD9/67Y=")</f>
        <v>#REF!</v>
      </c>
      <c r="GB547" t="e">
        <f>AND(#REF!,"AAAAAD9/67c=")</f>
        <v>#REF!</v>
      </c>
      <c r="GC547" t="e">
        <f>AND(#REF!,"AAAAAD9/67g=")</f>
        <v>#REF!</v>
      </c>
      <c r="GD547" t="e">
        <f>AND(#REF!,"AAAAAD9/67k=")</f>
        <v>#REF!</v>
      </c>
      <c r="GE547" t="e">
        <f>AND(#REF!,"AAAAAD9/67o=")</f>
        <v>#REF!</v>
      </c>
      <c r="GF547" t="e">
        <f>AND(#REF!,"AAAAAD9/67s=")</f>
        <v>#REF!</v>
      </c>
      <c r="GG547" t="e">
        <f>AND(#REF!,"AAAAAD9/67w=")</f>
        <v>#REF!</v>
      </c>
      <c r="GH547" t="e">
        <f>AND(#REF!,"AAAAAD9/670=")</f>
        <v>#REF!</v>
      </c>
      <c r="GI547" t="e">
        <f>AND(#REF!,"AAAAAD9/674=")</f>
        <v>#REF!</v>
      </c>
      <c r="GJ547" t="e">
        <f>IF(#REF!,"AAAAAD9/678=",0)</f>
        <v>#REF!</v>
      </c>
      <c r="GK547" t="e">
        <f>AND(#REF!,"AAAAAD9/68A=")</f>
        <v>#REF!</v>
      </c>
      <c r="GL547" t="e">
        <f>AND(#REF!,"AAAAAD9/68E=")</f>
        <v>#REF!</v>
      </c>
      <c r="GM547" t="e">
        <f>AND(#REF!,"AAAAAD9/68I=")</f>
        <v>#REF!</v>
      </c>
      <c r="GN547" t="e">
        <f>AND(#REF!,"AAAAAD9/68M=")</f>
        <v>#REF!</v>
      </c>
      <c r="GO547" t="e">
        <f>AND(#REF!,"AAAAAD9/68Q=")</f>
        <v>#REF!</v>
      </c>
      <c r="GP547" t="e">
        <f>AND(#REF!,"AAAAAD9/68U=")</f>
        <v>#REF!</v>
      </c>
      <c r="GQ547" t="e">
        <f>AND(#REF!,"AAAAAD9/68Y=")</f>
        <v>#REF!</v>
      </c>
      <c r="GR547" t="e">
        <f>AND(#REF!,"AAAAAD9/68c=")</f>
        <v>#REF!</v>
      </c>
      <c r="GS547" t="e">
        <f>AND(#REF!,"AAAAAD9/68g=")</f>
        <v>#REF!</v>
      </c>
      <c r="GT547" t="e">
        <f>AND(#REF!,"AAAAAD9/68k=")</f>
        <v>#REF!</v>
      </c>
      <c r="GU547" t="e">
        <f>IF(#REF!,"AAAAAD9/68o=",0)</f>
        <v>#REF!</v>
      </c>
      <c r="GV547" t="e">
        <f>AND(#REF!,"AAAAAD9/68s=")</f>
        <v>#REF!</v>
      </c>
      <c r="GW547" t="e">
        <f>AND(#REF!,"AAAAAD9/68w=")</f>
        <v>#REF!</v>
      </c>
      <c r="GX547" t="e">
        <f>AND(#REF!,"AAAAAD9/680=")</f>
        <v>#REF!</v>
      </c>
      <c r="GY547" t="e">
        <f>AND(#REF!,"AAAAAD9/684=")</f>
        <v>#REF!</v>
      </c>
      <c r="GZ547" t="e">
        <f>AND(#REF!,"AAAAAD9/688=")</f>
        <v>#REF!</v>
      </c>
      <c r="HA547" t="e">
        <f>AND(#REF!,"AAAAAD9/69A=")</f>
        <v>#REF!</v>
      </c>
      <c r="HB547" t="e">
        <f>AND(#REF!,"AAAAAD9/69E=")</f>
        <v>#REF!</v>
      </c>
      <c r="HC547" t="e">
        <f>AND(#REF!,"AAAAAD9/69I=")</f>
        <v>#REF!</v>
      </c>
      <c r="HD547" t="e">
        <f>AND(#REF!,"AAAAAD9/69M=")</f>
        <v>#REF!</v>
      </c>
      <c r="HE547" t="e">
        <f>AND(#REF!,"AAAAAD9/69Q=")</f>
        <v>#REF!</v>
      </c>
      <c r="HF547" t="e">
        <f>IF(#REF!,"AAAAAD9/69U=",0)</f>
        <v>#REF!</v>
      </c>
      <c r="HG547" t="e">
        <f>AND(#REF!,"AAAAAD9/69Y=")</f>
        <v>#REF!</v>
      </c>
      <c r="HH547" t="e">
        <f>AND(#REF!,"AAAAAD9/69c=")</f>
        <v>#REF!</v>
      </c>
      <c r="HI547" t="e">
        <f>AND(#REF!,"AAAAAD9/69g=")</f>
        <v>#REF!</v>
      </c>
      <c r="HJ547" t="e">
        <f>AND(#REF!,"AAAAAD9/69k=")</f>
        <v>#REF!</v>
      </c>
      <c r="HK547" t="e">
        <f>AND(#REF!,"AAAAAD9/69o=")</f>
        <v>#REF!</v>
      </c>
      <c r="HL547" t="e">
        <f>AND(#REF!,"AAAAAD9/69s=")</f>
        <v>#REF!</v>
      </c>
      <c r="HM547" t="e">
        <f>AND(#REF!,"AAAAAD9/69w=")</f>
        <v>#REF!</v>
      </c>
      <c r="HN547" t="e">
        <f>AND(#REF!,"AAAAAD9/690=")</f>
        <v>#REF!</v>
      </c>
      <c r="HO547" t="e">
        <f>AND(#REF!,"AAAAAD9/694=")</f>
        <v>#REF!</v>
      </c>
      <c r="HP547" t="e">
        <f>AND(#REF!,"AAAAAD9/698=")</f>
        <v>#REF!</v>
      </c>
      <c r="HQ547" t="e">
        <f>IF(#REF!,"AAAAAD9/6+A=",0)</f>
        <v>#REF!</v>
      </c>
      <c r="HR547" t="e">
        <f>AND(#REF!,"AAAAAD9/6+E=")</f>
        <v>#REF!</v>
      </c>
      <c r="HS547" t="e">
        <f>AND(#REF!,"AAAAAD9/6+I=")</f>
        <v>#REF!</v>
      </c>
      <c r="HT547" t="e">
        <f>AND(#REF!,"AAAAAD9/6+M=")</f>
        <v>#REF!</v>
      </c>
      <c r="HU547" t="e">
        <f>AND(#REF!,"AAAAAD9/6+Q=")</f>
        <v>#REF!</v>
      </c>
      <c r="HV547" t="e">
        <f>AND(#REF!,"AAAAAD9/6+U=")</f>
        <v>#REF!</v>
      </c>
      <c r="HW547" t="e">
        <f>AND(#REF!,"AAAAAD9/6+Y=")</f>
        <v>#REF!</v>
      </c>
      <c r="HX547" t="e">
        <f>AND(#REF!,"AAAAAD9/6+c=")</f>
        <v>#REF!</v>
      </c>
      <c r="HY547" t="e">
        <f>AND(#REF!,"AAAAAD9/6+g=")</f>
        <v>#REF!</v>
      </c>
      <c r="HZ547" t="e">
        <f>AND(#REF!,"AAAAAD9/6+k=")</f>
        <v>#REF!</v>
      </c>
      <c r="IA547" t="e">
        <f>AND(#REF!,"AAAAAD9/6+o=")</f>
        <v>#REF!</v>
      </c>
      <c r="IB547" t="e">
        <f>IF(#REF!,"AAAAAD9/6+s=",0)</f>
        <v>#REF!</v>
      </c>
      <c r="IC547" t="e">
        <f>AND(#REF!,"AAAAAD9/6+w=")</f>
        <v>#REF!</v>
      </c>
      <c r="ID547" t="e">
        <f>AND(#REF!,"AAAAAD9/6+0=")</f>
        <v>#REF!</v>
      </c>
      <c r="IE547" t="e">
        <f>AND(#REF!,"AAAAAD9/6+4=")</f>
        <v>#REF!</v>
      </c>
      <c r="IF547" t="e">
        <f>AND(#REF!,"AAAAAD9/6+8=")</f>
        <v>#REF!</v>
      </c>
      <c r="IG547" t="e">
        <f>AND(#REF!,"AAAAAD9/6/A=")</f>
        <v>#REF!</v>
      </c>
      <c r="IH547" t="e">
        <f>AND(#REF!,"AAAAAD9/6/E=")</f>
        <v>#REF!</v>
      </c>
      <c r="II547" t="e">
        <f>AND(#REF!,"AAAAAD9/6/I=")</f>
        <v>#REF!</v>
      </c>
      <c r="IJ547" t="e">
        <f>AND(#REF!,"AAAAAD9/6/M=")</f>
        <v>#REF!</v>
      </c>
      <c r="IK547" t="e">
        <f>AND(#REF!,"AAAAAD9/6/Q=")</f>
        <v>#REF!</v>
      </c>
      <c r="IL547" t="e">
        <f>AND(#REF!,"AAAAAD9/6/U=")</f>
        <v>#REF!</v>
      </c>
      <c r="IM547" t="e">
        <f>IF(#REF!,"AAAAAD9/6/Y=",0)</f>
        <v>#REF!</v>
      </c>
      <c r="IN547" t="e">
        <f>AND(#REF!,"AAAAAD9/6/c=")</f>
        <v>#REF!</v>
      </c>
      <c r="IO547" t="e">
        <f>AND(#REF!,"AAAAAD9/6/g=")</f>
        <v>#REF!</v>
      </c>
      <c r="IP547" t="e">
        <f>AND(#REF!,"AAAAAD9/6/k=")</f>
        <v>#REF!</v>
      </c>
      <c r="IQ547" t="e">
        <f>AND(#REF!,"AAAAAD9/6/o=")</f>
        <v>#REF!</v>
      </c>
      <c r="IR547" t="e">
        <f>AND(#REF!,"AAAAAD9/6/s=")</f>
        <v>#REF!</v>
      </c>
      <c r="IS547" t="e">
        <f>AND(#REF!,"AAAAAD9/6/w=")</f>
        <v>#REF!</v>
      </c>
      <c r="IT547" t="e">
        <f>AND(#REF!,"AAAAAD9/6/0=")</f>
        <v>#REF!</v>
      </c>
      <c r="IU547" t="e">
        <f>AND(#REF!,"AAAAAD9/6/4=")</f>
        <v>#REF!</v>
      </c>
      <c r="IV547" t="e">
        <f>AND(#REF!,"AAAAAD9/6/8=")</f>
        <v>#REF!</v>
      </c>
    </row>
    <row r="548" spans="1:256" x14ac:dyDescent="0.25">
      <c r="A548" t="e">
        <f>AND(#REF!,"AAAAAF5ffgA=")</f>
        <v>#REF!</v>
      </c>
      <c r="B548" t="e">
        <f>IF(#REF!,"AAAAAF5ffgE=",0)</f>
        <v>#REF!</v>
      </c>
      <c r="C548" t="e">
        <f>AND(#REF!,"AAAAAF5ffgI=")</f>
        <v>#REF!</v>
      </c>
      <c r="D548" t="e">
        <f>AND(#REF!,"AAAAAF5ffgM=")</f>
        <v>#REF!</v>
      </c>
      <c r="E548" t="e">
        <f>AND(#REF!,"AAAAAF5ffgQ=")</f>
        <v>#REF!</v>
      </c>
      <c r="F548" t="e">
        <f>AND(#REF!,"AAAAAF5ffgU=")</f>
        <v>#REF!</v>
      </c>
      <c r="G548" t="e">
        <f>AND(#REF!,"AAAAAF5ffgY=")</f>
        <v>#REF!</v>
      </c>
      <c r="H548" t="e">
        <f>AND(#REF!,"AAAAAF5ffgc=")</f>
        <v>#REF!</v>
      </c>
      <c r="I548" t="e">
        <f>AND(#REF!,"AAAAAF5ffgg=")</f>
        <v>#REF!</v>
      </c>
      <c r="J548" t="e">
        <f>AND(#REF!,"AAAAAF5ffgk=")</f>
        <v>#REF!</v>
      </c>
      <c r="K548" t="e">
        <f>AND(#REF!,"AAAAAF5ffgo=")</f>
        <v>#REF!</v>
      </c>
      <c r="L548" t="e">
        <f>AND(#REF!,"AAAAAF5ffgs=")</f>
        <v>#REF!</v>
      </c>
      <c r="M548" t="e">
        <f>IF(#REF!,"AAAAAF5ffgw=",0)</f>
        <v>#REF!</v>
      </c>
      <c r="N548" t="e">
        <f>AND(#REF!,"AAAAAF5ffg0=")</f>
        <v>#REF!</v>
      </c>
      <c r="O548" t="e">
        <f>AND(#REF!,"AAAAAF5ffg4=")</f>
        <v>#REF!</v>
      </c>
      <c r="P548" t="e">
        <f>AND(#REF!,"AAAAAF5ffg8=")</f>
        <v>#REF!</v>
      </c>
      <c r="Q548" t="e">
        <f>AND(#REF!,"AAAAAF5ffhA=")</f>
        <v>#REF!</v>
      </c>
      <c r="R548" t="e">
        <f>AND(#REF!,"AAAAAF5ffhE=")</f>
        <v>#REF!</v>
      </c>
      <c r="S548" t="e">
        <f>AND(#REF!,"AAAAAF5ffhI=")</f>
        <v>#REF!</v>
      </c>
      <c r="T548" t="e">
        <f>AND(#REF!,"AAAAAF5ffhM=")</f>
        <v>#REF!</v>
      </c>
      <c r="U548" t="e">
        <f>AND(#REF!,"AAAAAF5ffhQ=")</f>
        <v>#REF!</v>
      </c>
      <c r="V548" t="e">
        <f>AND(#REF!,"AAAAAF5ffhU=")</f>
        <v>#REF!</v>
      </c>
      <c r="W548" t="e">
        <f>AND(#REF!,"AAAAAF5ffhY=")</f>
        <v>#REF!</v>
      </c>
      <c r="X548" t="e">
        <f>IF(#REF!,"AAAAAF5ffhc=",0)</f>
        <v>#REF!</v>
      </c>
      <c r="Y548" t="e">
        <f>AND(#REF!,"AAAAAF5ffhg=")</f>
        <v>#REF!</v>
      </c>
      <c r="Z548" t="e">
        <f>AND(#REF!,"AAAAAF5ffhk=")</f>
        <v>#REF!</v>
      </c>
      <c r="AA548" t="e">
        <f>AND(#REF!,"AAAAAF5ffho=")</f>
        <v>#REF!</v>
      </c>
      <c r="AB548" t="e">
        <f>AND(#REF!,"AAAAAF5ffhs=")</f>
        <v>#REF!</v>
      </c>
      <c r="AC548" t="e">
        <f>AND(#REF!,"AAAAAF5ffhw=")</f>
        <v>#REF!</v>
      </c>
      <c r="AD548" t="e">
        <f>AND(#REF!,"AAAAAF5ffh0=")</f>
        <v>#REF!</v>
      </c>
      <c r="AE548" t="e">
        <f>AND(#REF!,"AAAAAF5ffh4=")</f>
        <v>#REF!</v>
      </c>
      <c r="AF548" t="e">
        <f>AND(#REF!,"AAAAAF5ffh8=")</f>
        <v>#REF!</v>
      </c>
      <c r="AG548" t="e">
        <f>AND(#REF!,"AAAAAF5ffiA=")</f>
        <v>#REF!</v>
      </c>
      <c r="AH548" t="e">
        <f>AND(#REF!,"AAAAAF5ffiE=")</f>
        <v>#REF!</v>
      </c>
      <c r="AI548" t="e">
        <f>IF(#REF!,"AAAAAF5ffiI=",0)</f>
        <v>#REF!</v>
      </c>
      <c r="AJ548" t="e">
        <f>AND(#REF!,"AAAAAF5ffiM=")</f>
        <v>#REF!</v>
      </c>
      <c r="AK548" t="e">
        <f>AND(#REF!,"AAAAAF5ffiQ=")</f>
        <v>#REF!</v>
      </c>
      <c r="AL548" t="e">
        <f>AND(#REF!,"AAAAAF5ffiU=")</f>
        <v>#REF!</v>
      </c>
      <c r="AM548" t="e">
        <f>AND(#REF!,"AAAAAF5ffiY=")</f>
        <v>#REF!</v>
      </c>
      <c r="AN548" t="e">
        <f>AND(#REF!,"AAAAAF5ffic=")</f>
        <v>#REF!</v>
      </c>
      <c r="AO548" t="e">
        <f>AND(#REF!,"AAAAAF5ffig=")</f>
        <v>#REF!</v>
      </c>
      <c r="AP548" t="e">
        <f>AND(#REF!,"AAAAAF5ffik=")</f>
        <v>#REF!</v>
      </c>
      <c r="AQ548" t="e">
        <f>AND(#REF!,"AAAAAF5ffio=")</f>
        <v>#REF!</v>
      </c>
      <c r="AR548" t="e">
        <f>AND(#REF!,"AAAAAF5ffis=")</f>
        <v>#REF!</v>
      </c>
      <c r="AS548" t="e">
        <f>AND(#REF!,"AAAAAF5ffiw=")</f>
        <v>#REF!</v>
      </c>
      <c r="AT548" t="e">
        <f>IF(#REF!,"AAAAAF5ffi0=",0)</f>
        <v>#REF!</v>
      </c>
      <c r="AU548" t="e">
        <f>AND(#REF!,"AAAAAF5ffi4=")</f>
        <v>#REF!</v>
      </c>
      <c r="AV548" t="e">
        <f>AND(#REF!,"AAAAAF5ffi8=")</f>
        <v>#REF!</v>
      </c>
      <c r="AW548" t="e">
        <f>AND(#REF!,"AAAAAF5ffjA=")</f>
        <v>#REF!</v>
      </c>
      <c r="AX548" t="e">
        <f>AND(#REF!,"AAAAAF5ffjE=")</f>
        <v>#REF!</v>
      </c>
      <c r="AY548" t="e">
        <f>AND(#REF!,"AAAAAF5ffjI=")</f>
        <v>#REF!</v>
      </c>
      <c r="AZ548" t="e">
        <f>AND(#REF!,"AAAAAF5ffjM=")</f>
        <v>#REF!</v>
      </c>
      <c r="BA548" t="e">
        <f>AND(#REF!,"AAAAAF5ffjQ=")</f>
        <v>#REF!</v>
      </c>
      <c r="BB548" t="e">
        <f>AND(#REF!,"AAAAAF5ffjU=")</f>
        <v>#REF!</v>
      </c>
      <c r="BC548" t="e">
        <f>AND(#REF!,"AAAAAF5ffjY=")</f>
        <v>#REF!</v>
      </c>
      <c r="BD548" t="e">
        <f>AND(#REF!,"AAAAAF5ffjc=")</f>
        <v>#REF!</v>
      </c>
      <c r="BE548" t="e">
        <f>IF(#REF!,"AAAAAF5ffjg=",0)</f>
        <v>#REF!</v>
      </c>
      <c r="BF548" t="e">
        <f>AND(#REF!,"AAAAAF5ffjk=")</f>
        <v>#REF!</v>
      </c>
      <c r="BG548" t="e">
        <f>AND(#REF!,"AAAAAF5ffjo=")</f>
        <v>#REF!</v>
      </c>
      <c r="BH548" t="e">
        <f>AND(#REF!,"AAAAAF5ffjs=")</f>
        <v>#REF!</v>
      </c>
      <c r="BI548" t="e">
        <f>AND(#REF!,"AAAAAF5ffjw=")</f>
        <v>#REF!</v>
      </c>
      <c r="BJ548" t="e">
        <f>AND(#REF!,"AAAAAF5ffj0=")</f>
        <v>#REF!</v>
      </c>
      <c r="BK548" t="e">
        <f>AND(#REF!,"AAAAAF5ffj4=")</f>
        <v>#REF!</v>
      </c>
      <c r="BL548" t="e">
        <f>AND(#REF!,"AAAAAF5ffj8=")</f>
        <v>#REF!</v>
      </c>
      <c r="BM548" t="e">
        <f>AND(#REF!,"AAAAAF5ffkA=")</f>
        <v>#REF!</v>
      </c>
      <c r="BN548" t="e">
        <f>AND(#REF!,"AAAAAF5ffkE=")</f>
        <v>#REF!</v>
      </c>
      <c r="BO548" t="e">
        <f>AND(#REF!,"AAAAAF5ffkI=")</f>
        <v>#REF!</v>
      </c>
      <c r="BP548" t="e">
        <f>IF(#REF!,"AAAAAF5ffkM=",0)</f>
        <v>#REF!</v>
      </c>
      <c r="BQ548" t="e">
        <f>AND(#REF!,"AAAAAF5ffkQ=")</f>
        <v>#REF!</v>
      </c>
      <c r="BR548" t="e">
        <f>AND(#REF!,"AAAAAF5ffkU=")</f>
        <v>#REF!</v>
      </c>
      <c r="BS548" t="e">
        <f>AND(#REF!,"AAAAAF5ffkY=")</f>
        <v>#REF!</v>
      </c>
      <c r="BT548" t="e">
        <f>AND(#REF!,"AAAAAF5ffkc=")</f>
        <v>#REF!</v>
      </c>
      <c r="BU548" t="e">
        <f>AND(#REF!,"AAAAAF5ffkg=")</f>
        <v>#REF!</v>
      </c>
      <c r="BV548" t="e">
        <f>AND(#REF!,"AAAAAF5ffkk=")</f>
        <v>#REF!</v>
      </c>
      <c r="BW548" t="e">
        <f>AND(#REF!,"AAAAAF5ffko=")</f>
        <v>#REF!</v>
      </c>
      <c r="BX548" t="e">
        <f>AND(#REF!,"AAAAAF5ffks=")</f>
        <v>#REF!</v>
      </c>
      <c r="BY548" t="e">
        <f>AND(#REF!,"AAAAAF5ffkw=")</f>
        <v>#REF!</v>
      </c>
      <c r="BZ548" t="e">
        <f>AND(#REF!,"AAAAAF5ffk0=")</f>
        <v>#REF!</v>
      </c>
      <c r="CA548" t="e">
        <f>IF(#REF!,"AAAAAF5ffk4=",0)</f>
        <v>#REF!</v>
      </c>
      <c r="CB548" t="e">
        <f>AND(#REF!,"AAAAAF5ffk8=")</f>
        <v>#REF!</v>
      </c>
      <c r="CC548" t="e">
        <f>AND(#REF!,"AAAAAF5fflA=")</f>
        <v>#REF!</v>
      </c>
      <c r="CD548" t="e">
        <f>AND(#REF!,"AAAAAF5fflE=")</f>
        <v>#REF!</v>
      </c>
      <c r="CE548" t="e">
        <f>AND(#REF!,"AAAAAF5fflI=")</f>
        <v>#REF!</v>
      </c>
      <c r="CF548" t="e">
        <f>AND(#REF!,"AAAAAF5fflM=")</f>
        <v>#REF!</v>
      </c>
      <c r="CG548" t="e">
        <f>AND(#REF!,"AAAAAF5fflQ=")</f>
        <v>#REF!</v>
      </c>
      <c r="CH548" t="e">
        <f>AND(#REF!,"AAAAAF5fflU=")</f>
        <v>#REF!</v>
      </c>
      <c r="CI548" t="e">
        <f>AND(#REF!,"AAAAAF5fflY=")</f>
        <v>#REF!</v>
      </c>
      <c r="CJ548" t="e">
        <f>AND(#REF!,"AAAAAF5fflc=")</f>
        <v>#REF!</v>
      </c>
      <c r="CK548" t="e">
        <f>AND(#REF!,"AAAAAF5fflg=")</f>
        <v>#REF!</v>
      </c>
      <c r="CL548" t="e">
        <f>IF(#REF!,"AAAAAF5fflk=",0)</f>
        <v>#REF!</v>
      </c>
      <c r="CM548" t="e">
        <f>AND(#REF!,"AAAAAF5fflo=")</f>
        <v>#REF!</v>
      </c>
      <c r="CN548" t="e">
        <f>AND(#REF!,"AAAAAF5ffls=")</f>
        <v>#REF!</v>
      </c>
      <c r="CO548" t="e">
        <f>AND(#REF!,"AAAAAF5fflw=")</f>
        <v>#REF!</v>
      </c>
      <c r="CP548" t="e">
        <f>AND(#REF!,"AAAAAF5ffl0=")</f>
        <v>#REF!</v>
      </c>
      <c r="CQ548" t="e">
        <f>AND(#REF!,"AAAAAF5ffl4=")</f>
        <v>#REF!</v>
      </c>
      <c r="CR548" t="e">
        <f>AND(#REF!,"AAAAAF5ffl8=")</f>
        <v>#REF!</v>
      </c>
      <c r="CS548" t="e">
        <f>AND(#REF!,"AAAAAF5ffmA=")</f>
        <v>#REF!</v>
      </c>
      <c r="CT548" t="e">
        <f>AND(#REF!,"AAAAAF5ffmE=")</f>
        <v>#REF!</v>
      </c>
      <c r="CU548" t="e">
        <f>AND(#REF!,"AAAAAF5ffmI=")</f>
        <v>#REF!</v>
      </c>
      <c r="CV548" t="e">
        <f>AND(#REF!,"AAAAAF5ffmM=")</f>
        <v>#REF!</v>
      </c>
      <c r="CW548" t="e">
        <f>IF(#REF!,"AAAAAF5ffmQ=",0)</f>
        <v>#REF!</v>
      </c>
      <c r="CX548" t="e">
        <f>AND(#REF!,"AAAAAF5ffmU=")</f>
        <v>#REF!</v>
      </c>
      <c r="CY548" t="e">
        <f>AND(#REF!,"AAAAAF5ffmY=")</f>
        <v>#REF!</v>
      </c>
      <c r="CZ548" t="e">
        <f>AND(#REF!,"AAAAAF5ffmc=")</f>
        <v>#REF!</v>
      </c>
      <c r="DA548" t="e">
        <f>AND(#REF!,"AAAAAF5ffmg=")</f>
        <v>#REF!</v>
      </c>
      <c r="DB548" t="e">
        <f>AND(#REF!,"AAAAAF5ffmk=")</f>
        <v>#REF!</v>
      </c>
      <c r="DC548" t="e">
        <f>AND(#REF!,"AAAAAF5ffmo=")</f>
        <v>#REF!</v>
      </c>
      <c r="DD548" t="e">
        <f>AND(#REF!,"AAAAAF5ffms=")</f>
        <v>#REF!</v>
      </c>
      <c r="DE548" t="e">
        <f>AND(#REF!,"AAAAAF5ffmw=")</f>
        <v>#REF!</v>
      </c>
      <c r="DF548" t="e">
        <f>AND(#REF!,"AAAAAF5ffm0=")</f>
        <v>#REF!</v>
      </c>
      <c r="DG548" t="e">
        <f>AND(#REF!,"AAAAAF5ffm4=")</f>
        <v>#REF!</v>
      </c>
      <c r="DH548" t="e">
        <f>IF(#REF!,"AAAAAF5ffm8=",0)</f>
        <v>#REF!</v>
      </c>
      <c r="DI548" t="e">
        <f>AND(#REF!,"AAAAAF5ffnA=")</f>
        <v>#REF!</v>
      </c>
      <c r="DJ548" t="e">
        <f>AND(#REF!,"AAAAAF5ffnE=")</f>
        <v>#REF!</v>
      </c>
      <c r="DK548" t="e">
        <f>AND(#REF!,"AAAAAF5ffnI=")</f>
        <v>#REF!</v>
      </c>
      <c r="DL548" t="e">
        <f>AND(#REF!,"AAAAAF5ffnM=")</f>
        <v>#REF!</v>
      </c>
      <c r="DM548" t="e">
        <f>AND(#REF!,"AAAAAF5ffnQ=")</f>
        <v>#REF!</v>
      </c>
      <c r="DN548" t="e">
        <f>AND(#REF!,"AAAAAF5ffnU=")</f>
        <v>#REF!</v>
      </c>
      <c r="DO548" t="e">
        <f>AND(#REF!,"AAAAAF5ffnY=")</f>
        <v>#REF!</v>
      </c>
      <c r="DP548" t="e">
        <f>AND(#REF!,"AAAAAF5ffnc=")</f>
        <v>#REF!</v>
      </c>
      <c r="DQ548" t="e">
        <f>AND(#REF!,"AAAAAF5ffng=")</f>
        <v>#REF!</v>
      </c>
      <c r="DR548" t="e">
        <f>AND(#REF!,"AAAAAF5ffnk=")</f>
        <v>#REF!</v>
      </c>
      <c r="DS548" t="e">
        <f>IF(#REF!,"AAAAAF5ffno=",0)</f>
        <v>#REF!</v>
      </c>
      <c r="DT548" t="e">
        <f>AND(#REF!,"AAAAAF5ffns=")</f>
        <v>#REF!</v>
      </c>
      <c r="DU548" t="e">
        <f>AND(#REF!,"AAAAAF5ffnw=")</f>
        <v>#REF!</v>
      </c>
      <c r="DV548" t="e">
        <f>AND(#REF!,"AAAAAF5ffn0=")</f>
        <v>#REF!</v>
      </c>
      <c r="DW548" t="e">
        <f>AND(#REF!,"AAAAAF5ffn4=")</f>
        <v>#REF!</v>
      </c>
      <c r="DX548" t="e">
        <f>AND(#REF!,"AAAAAF5ffn8=")</f>
        <v>#REF!</v>
      </c>
      <c r="DY548" t="e">
        <f>AND(#REF!,"AAAAAF5ffoA=")</f>
        <v>#REF!</v>
      </c>
      <c r="DZ548" t="e">
        <f>AND(#REF!,"AAAAAF5ffoE=")</f>
        <v>#REF!</v>
      </c>
      <c r="EA548" t="e">
        <f>AND(#REF!,"AAAAAF5ffoI=")</f>
        <v>#REF!</v>
      </c>
      <c r="EB548" t="e">
        <f>AND(#REF!,"AAAAAF5ffoM=")</f>
        <v>#REF!</v>
      </c>
      <c r="EC548" t="e">
        <f>AND(#REF!,"AAAAAF5ffoQ=")</f>
        <v>#REF!</v>
      </c>
      <c r="ED548" t="e">
        <f>IF(#REF!,"AAAAAF5ffoU=",0)</f>
        <v>#REF!</v>
      </c>
      <c r="EE548" t="e">
        <f>AND(#REF!,"AAAAAF5ffoY=")</f>
        <v>#REF!</v>
      </c>
      <c r="EF548" t="e">
        <f>AND(#REF!,"AAAAAF5ffoc=")</f>
        <v>#REF!</v>
      </c>
      <c r="EG548" t="e">
        <f>AND(#REF!,"AAAAAF5ffog=")</f>
        <v>#REF!</v>
      </c>
      <c r="EH548" t="e">
        <f>AND(#REF!,"AAAAAF5ffok=")</f>
        <v>#REF!</v>
      </c>
      <c r="EI548" t="e">
        <f>AND(#REF!,"AAAAAF5ffoo=")</f>
        <v>#REF!</v>
      </c>
      <c r="EJ548" t="e">
        <f>AND(#REF!,"AAAAAF5ffos=")</f>
        <v>#REF!</v>
      </c>
      <c r="EK548" t="e">
        <f>AND(#REF!,"AAAAAF5ffow=")</f>
        <v>#REF!</v>
      </c>
      <c r="EL548" t="e">
        <f>AND(#REF!,"AAAAAF5ffo0=")</f>
        <v>#REF!</v>
      </c>
      <c r="EM548" t="e">
        <f>AND(#REF!,"AAAAAF5ffo4=")</f>
        <v>#REF!</v>
      </c>
      <c r="EN548" t="e">
        <f>AND(#REF!,"AAAAAF5ffo8=")</f>
        <v>#REF!</v>
      </c>
      <c r="EO548" t="e">
        <f>IF(#REF!,"AAAAAF5ffpA=",0)</f>
        <v>#REF!</v>
      </c>
      <c r="EP548" t="e">
        <f>AND(#REF!,"AAAAAF5ffpE=")</f>
        <v>#REF!</v>
      </c>
      <c r="EQ548" t="e">
        <f>AND(#REF!,"AAAAAF5ffpI=")</f>
        <v>#REF!</v>
      </c>
      <c r="ER548" t="e">
        <f>AND(#REF!,"AAAAAF5ffpM=")</f>
        <v>#REF!</v>
      </c>
      <c r="ES548" t="e">
        <f>AND(#REF!,"AAAAAF5ffpQ=")</f>
        <v>#REF!</v>
      </c>
      <c r="ET548" t="e">
        <f>AND(#REF!,"AAAAAF5ffpU=")</f>
        <v>#REF!</v>
      </c>
      <c r="EU548" t="e">
        <f>AND(#REF!,"AAAAAF5ffpY=")</f>
        <v>#REF!</v>
      </c>
      <c r="EV548" t="e">
        <f>AND(#REF!,"AAAAAF5ffpc=")</f>
        <v>#REF!</v>
      </c>
      <c r="EW548" t="e">
        <f>AND(#REF!,"AAAAAF5ffpg=")</f>
        <v>#REF!</v>
      </c>
      <c r="EX548" t="e">
        <f>AND(#REF!,"AAAAAF5ffpk=")</f>
        <v>#REF!</v>
      </c>
      <c r="EY548" t="e">
        <f>AND(#REF!,"AAAAAF5ffpo=")</f>
        <v>#REF!</v>
      </c>
      <c r="EZ548" t="e">
        <f>IF(#REF!,"AAAAAF5ffps=",0)</f>
        <v>#REF!</v>
      </c>
      <c r="FA548" t="e">
        <f>AND(#REF!,"AAAAAF5ffpw=")</f>
        <v>#REF!</v>
      </c>
      <c r="FB548" t="e">
        <f>AND(#REF!,"AAAAAF5ffp0=")</f>
        <v>#REF!</v>
      </c>
      <c r="FC548" t="e">
        <f>AND(#REF!,"AAAAAF5ffp4=")</f>
        <v>#REF!</v>
      </c>
      <c r="FD548" t="e">
        <f>AND(#REF!,"AAAAAF5ffp8=")</f>
        <v>#REF!</v>
      </c>
      <c r="FE548" t="e">
        <f>AND(#REF!,"AAAAAF5ffqA=")</f>
        <v>#REF!</v>
      </c>
      <c r="FF548" t="e">
        <f>AND(#REF!,"AAAAAF5ffqE=")</f>
        <v>#REF!</v>
      </c>
      <c r="FG548" t="e">
        <f>AND(#REF!,"AAAAAF5ffqI=")</f>
        <v>#REF!</v>
      </c>
      <c r="FH548" t="e">
        <f>AND(#REF!,"AAAAAF5ffqM=")</f>
        <v>#REF!</v>
      </c>
      <c r="FI548" t="e">
        <f>AND(#REF!,"AAAAAF5ffqQ=")</f>
        <v>#REF!</v>
      </c>
      <c r="FJ548" t="e">
        <f>AND(#REF!,"AAAAAF5ffqU=")</f>
        <v>#REF!</v>
      </c>
      <c r="FK548" t="e">
        <f>IF(#REF!,"AAAAAF5ffqY=",0)</f>
        <v>#REF!</v>
      </c>
      <c r="FL548" t="e">
        <f>AND(#REF!,"AAAAAF5ffqc=")</f>
        <v>#REF!</v>
      </c>
      <c r="FM548" t="e">
        <f>AND(#REF!,"AAAAAF5ffqg=")</f>
        <v>#REF!</v>
      </c>
      <c r="FN548" t="e">
        <f>AND(#REF!,"AAAAAF5ffqk=")</f>
        <v>#REF!</v>
      </c>
      <c r="FO548" t="e">
        <f>AND(#REF!,"AAAAAF5ffqo=")</f>
        <v>#REF!</v>
      </c>
      <c r="FP548" t="e">
        <f>AND(#REF!,"AAAAAF5ffqs=")</f>
        <v>#REF!</v>
      </c>
      <c r="FQ548" t="e">
        <f>AND(#REF!,"AAAAAF5ffqw=")</f>
        <v>#REF!</v>
      </c>
      <c r="FR548" t="e">
        <f>AND(#REF!,"AAAAAF5ffq0=")</f>
        <v>#REF!</v>
      </c>
      <c r="FS548" t="e">
        <f>AND(#REF!,"AAAAAF5ffq4=")</f>
        <v>#REF!</v>
      </c>
      <c r="FT548" t="e">
        <f>AND(#REF!,"AAAAAF5ffq8=")</f>
        <v>#REF!</v>
      </c>
      <c r="FU548" t="e">
        <f>AND(#REF!,"AAAAAF5ffrA=")</f>
        <v>#REF!</v>
      </c>
      <c r="FV548" t="e">
        <f>IF(#REF!,"AAAAAF5ffrE=",0)</f>
        <v>#REF!</v>
      </c>
      <c r="FW548" t="e">
        <f>AND(#REF!,"AAAAAF5ffrI=")</f>
        <v>#REF!</v>
      </c>
      <c r="FX548" t="e">
        <f>AND(#REF!,"AAAAAF5ffrM=")</f>
        <v>#REF!</v>
      </c>
      <c r="FY548" t="e">
        <f>AND(#REF!,"AAAAAF5ffrQ=")</f>
        <v>#REF!</v>
      </c>
      <c r="FZ548" t="e">
        <f>AND(#REF!,"AAAAAF5ffrU=")</f>
        <v>#REF!</v>
      </c>
      <c r="GA548" t="e">
        <f>AND(#REF!,"AAAAAF5ffrY=")</f>
        <v>#REF!</v>
      </c>
      <c r="GB548" t="e">
        <f>AND(#REF!,"AAAAAF5ffrc=")</f>
        <v>#REF!</v>
      </c>
      <c r="GC548" t="e">
        <f>AND(#REF!,"AAAAAF5ffrg=")</f>
        <v>#REF!</v>
      </c>
      <c r="GD548" t="e">
        <f>AND(#REF!,"AAAAAF5ffrk=")</f>
        <v>#REF!</v>
      </c>
      <c r="GE548" t="e">
        <f>AND(#REF!,"AAAAAF5ffro=")</f>
        <v>#REF!</v>
      </c>
      <c r="GF548" t="e">
        <f>AND(#REF!,"AAAAAF5ffrs=")</f>
        <v>#REF!</v>
      </c>
      <c r="GG548" t="e">
        <f>IF(#REF!,"AAAAAF5ffrw=",0)</f>
        <v>#REF!</v>
      </c>
      <c r="GH548" t="e">
        <f>AND(#REF!,"AAAAAF5ffr0=")</f>
        <v>#REF!</v>
      </c>
      <c r="GI548" t="e">
        <f>AND(#REF!,"AAAAAF5ffr4=")</f>
        <v>#REF!</v>
      </c>
      <c r="GJ548" t="e">
        <f>AND(#REF!,"AAAAAF5ffr8=")</f>
        <v>#REF!</v>
      </c>
      <c r="GK548" t="e">
        <f>AND(#REF!,"AAAAAF5ffsA=")</f>
        <v>#REF!</v>
      </c>
      <c r="GL548" t="e">
        <f>AND(#REF!,"AAAAAF5ffsE=")</f>
        <v>#REF!</v>
      </c>
      <c r="GM548" t="e">
        <f>AND(#REF!,"AAAAAF5ffsI=")</f>
        <v>#REF!</v>
      </c>
      <c r="GN548" t="e">
        <f>AND(#REF!,"AAAAAF5ffsM=")</f>
        <v>#REF!</v>
      </c>
      <c r="GO548" t="e">
        <f>AND(#REF!,"AAAAAF5ffsQ=")</f>
        <v>#REF!</v>
      </c>
      <c r="GP548" t="e">
        <f>AND(#REF!,"AAAAAF5ffsU=")</f>
        <v>#REF!</v>
      </c>
      <c r="GQ548" t="e">
        <f>AND(#REF!,"AAAAAF5ffsY=")</f>
        <v>#REF!</v>
      </c>
      <c r="GR548" t="e">
        <f>IF(#REF!,"AAAAAF5ffsc=",0)</f>
        <v>#REF!</v>
      </c>
      <c r="GS548" t="e">
        <f>AND(#REF!,"AAAAAF5ffsg=")</f>
        <v>#REF!</v>
      </c>
      <c r="GT548" t="e">
        <f>AND(#REF!,"AAAAAF5ffsk=")</f>
        <v>#REF!</v>
      </c>
      <c r="GU548" t="e">
        <f>AND(#REF!,"AAAAAF5ffso=")</f>
        <v>#REF!</v>
      </c>
      <c r="GV548" t="e">
        <f>AND(#REF!,"AAAAAF5ffss=")</f>
        <v>#REF!</v>
      </c>
      <c r="GW548" t="e">
        <f>AND(#REF!,"AAAAAF5ffsw=")</f>
        <v>#REF!</v>
      </c>
      <c r="GX548" t="e">
        <f>AND(#REF!,"AAAAAF5ffs0=")</f>
        <v>#REF!</v>
      </c>
      <c r="GY548" t="e">
        <f>AND(#REF!,"AAAAAF5ffs4=")</f>
        <v>#REF!</v>
      </c>
      <c r="GZ548" t="e">
        <f>AND(#REF!,"AAAAAF5ffs8=")</f>
        <v>#REF!</v>
      </c>
      <c r="HA548" t="e">
        <f>AND(#REF!,"AAAAAF5fftA=")</f>
        <v>#REF!</v>
      </c>
      <c r="HB548" t="e">
        <f>AND(#REF!,"AAAAAF5fftE=")</f>
        <v>#REF!</v>
      </c>
      <c r="HC548" t="e">
        <f>IF(#REF!,"AAAAAF5fftI=",0)</f>
        <v>#REF!</v>
      </c>
      <c r="HD548" t="e">
        <f>AND(#REF!,"AAAAAF5fftM=")</f>
        <v>#REF!</v>
      </c>
      <c r="HE548" t="e">
        <f>AND(#REF!,"AAAAAF5fftQ=")</f>
        <v>#REF!</v>
      </c>
      <c r="HF548" t="e">
        <f>AND(#REF!,"AAAAAF5fftU=")</f>
        <v>#REF!</v>
      </c>
      <c r="HG548" t="e">
        <f>AND(#REF!,"AAAAAF5fftY=")</f>
        <v>#REF!</v>
      </c>
      <c r="HH548" t="e">
        <f>AND(#REF!,"AAAAAF5fftc=")</f>
        <v>#REF!</v>
      </c>
      <c r="HI548" t="e">
        <f>AND(#REF!,"AAAAAF5fftg=")</f>
        <v>#REF!</v>
      </c>
      <c r="HJ548" t="e">
        <f>AND(#REF!,"AAAAAF5fftk=")</f>
        <v>#REF!</v>
      </c>
      <c r="HK548" t="e">
        <f>AND(#REF!,"AAAAAF5ffto=")</f>
        <v>#REF!</v>
      </c>
      <c r="HL548" t="e">
        <f>AND(#REF!,"AAAAAF5ffts=")</f>
        <v>#REF!</v>
      </c>
      <c r="HM548" t="e">
        <f>AND(#REF!,"AAAAAF5fftw=")</f>
        <v>#REF!</v>
      </c>
      <c r="HN548" t="e">
        <f>IF(#REF!,"AAAAAF5fft0=",0)</f>
        <v>#REF!</v>
      </c>
      <c r="HO548" t="e">
        <f>AND(#REF!,"AAAAAF5fft4=")</f>
        <v>#REF!</v>
      </c>
      <c r="HP548" t="e">
        <f>AND(#REF!,"AAAAAF5fft8=")</f>
        <v>#REF!</v>
      </c>
      <c r="HQ548" t="e">
        <f>AND(#REF!,"AAAAAF5ffuA=")</f>
        <v>#REF!</v>
      </c>
      <c r="HR548" t="e">
        <f>AND(#REF!,"AAAAAF5ffuE=")</f>
        <v>#REF!</v>
      </c>
      <c r="HS548" t="e">
        <f>AND(#REF!,"AAAAAF5ffuI=")</f>
        <v>#REF!</v>
      </c>
      <c r="HT548" t="e">
        <f>AND(#REF!,"AAAAAF5ffuM=")</f>
        <v>#REF!</v>
      </c>
      <c r="HU548" t="e">
        <f>AND(#REF!,"AAAAAF5ffuQ=")</f>
        <v>#REF!</v>
      </c>
      <c r="HV548" t="e">
        <f>AND(#REF!,"AAAAAF5ffuU=")</f>
        <v>#REF!</v>
      </c>
      <c r="HW548" t="e">
        <f>AND(#REF!,"AAAAAF5ffuY=")</f>
        <v>#REF!</v>
      </c>
      <c r="HX548" t="e">
        <f>AND(#REF!,"AAAAAF5ffuc=")</f>
        <v>#REF!</v>
      </c>
      <c r="HY548" t="e">
        <f>IF(#REF!,"AAAAAF5ffug=",0)</f>
        <v>#REF!</v>
      </c>
      <c r="HZ548" t="e">
        <f>AND(#REF!,"AAAAAF5ffuk=")</f>
        <v>#REF!</v>
      </c>
      <c r="IA548" t="e">
        <f>AND(#REF!,"AAAAAF5ffuo=")</f>
        <v>#REF!</v>
      </c>
      <c r="IB548" t="e">
        <f>AND(#REF!,"AAAAAF5ffus=")</f>
        <v>#REF!</v>
      </c>
      <c r="IC548" t="e">
        <f>AND(#REF!,"AAAAAF5ffuw=")</f>
        <v>#REF!</v>
      </c>
      <c r="ID548" t="e">
        <f>AND(#REF!,"AAAAAF5ffu0=")</f>
        <v>#REF!</v>
      </c>
      <c r="IE548" t="e">
        <f>AND(#REF!,"AAAAAF5ffu4=")</f>
        <v>#REF!</v>
      </c>
      <c r="IF548" t="e">
        <f>AND(#REF!,"AAAAAF5ffu8=")</f>
        <v>#REF!</v>
      </c>
      <c r="IG548" t="e">
        <f>AND(#REF!,"AAAAAF5ffvA=")</f>
        <v>#REF!</v>
      </c>
      <c r="IH548" t="e">
        <f>AND(#REF!,"AAAAAF5ffvE=")</f>
        <v>#REF!</v>
      </c>
      <c r="II548" t="e">
        <f>AND(#REF!,"AAAAAF5ffvI=")</f>
        <v>#REF!</v>
      </c>
      <c r="IJ548" t="e">
        <f>IF(#REF!,"AAAAAF5ffvM=",0)</f>
        <v>#REF!</v>
      </c>
      <c r="IK548" t="e">
        <f>AND(#REF!,"AAAAAF5ffvQ=")</f>
        <v>#REF!</v>
      </c>
      <c r="IL548" t="e">
        <f>AND(#REF!,"AAAAAF5ffvU=")</f>
        <v>#REF!</v>
      </c>
      <c r="IM548" t="e">
        <f>AND(#REF!,"AAAAAF5ffvY=")</f>
        <v>#REF!</v>
      </c>
      <c r="IN548" t="e">
        <f>AND(#REF!,"AAAAAF5ffvc=")</f>
        <v>#REF!</v>
      </c>
      <c r="IO548" t="e">
        <f>AND(#REF!,"AAAAAF5ffvg=")</f>
        <v>#REF!</v>
      </c>
      <c r="IP548" t="e">
        <f>AND(#REF!,"AAAAAF5ffvk=")</f>
        <v>#REF!</v>
      </c>
      <c r="IQ548" t="e">
        <f>AND(#REF!,"AAAAAF5ffvo=")</f>
        <v>#REF!</v>
      </c>
      <c r="IR548" t="e">
        <f>AND(#REF!,"AAAAAF5ffvs=")</f>
        <v>#REF!</v>
      </c>
      <c r="IS548" t="e">
        <f>AND(#REF!,"AAAAAF5ffvw=")</f>
        <v>#REF!</v>
      </c>
      <c r="IT548" t="e">
        <f>AND(#REF!,"AAAAAF5ffv0=")</f>
        <v>#REF!</v>
      </c>
      <c r="IU548" t="e">
        <f>IF(#REF!,"AAAAAF5ffv4=",0)</f>
        <v>#REF!</v>
      </c>
      <c r="IV548" t="e">
        <f>AND(#REF!,"AAAAAF5ffv8=")</f>
        <v>#REF!</v>
      </c>
    </row>
    <row r="549" spans="1:256" x14ac:dyDescent="0.25">
      <c r="A549" t="e">
        <f>AND(#REF!,"AAAAAHbf8wA=")</f>
        <v>#REF!</v>
      </c>
      <c r="B549" t="e">
        <f>AND(#REF!,"AAAAAHbf8wE=")</f>
        <v>#REF!</v>
      </c>
      <c r="C549" t="e">
        <f>AND(#REF!,"AAAAAHbf8wI=")</f>
        <v>#REF!</v>
      </c>
      <c r="D549" t="e">
        <f>AND(#REF!,"AAAAAHbf8wM=")</f>
        <v>#REF!</v>
      </c>
      <c r="E549" t="e">
        <f>AND(#REF!,"AAAAAHbf8wQ=")</f>
        <v>#REF!</v>
      </c>
      <c r="F549" t="e">
        <f>AND(#REF!,"AAAAAHbf8wU=")</f>
        <v>#REF!</v>
      </c>
      <c r="G549" t="e">
        <f>AND(#REF!,"AAAAAHbf8wY=")</f>
        <v>#REF!</v>
      </c>
      <c r="H549" t="e">
        <f>AND(#REF!,"AAAAAHbf8wc=")</f>
        <v>#REF!</v>
      </c>
      <c r="I549" t="e">
        <f>AND(#REF!,"AAAAAHbf8wg=")</f>
        <v>#REF!</v>
      </c>
      <c r="J549" t="e">
        <f>IF(#REF!,"AAAAAHbf8wk=",0)</f>
        <v>#REF!</v>
      </c>
      <c r="K549" t="e">
        <f>AND(#REF!,"AAAAAHbf8wo=")</f>
        <v>#REF!</v>
      </c>
      <c r="L549" t="e">
        <f>AND(#REF!,"AAAAAHbf8ws=")</f>
        <v>#REF!</v>
      </c>
      <c r="M549" t="e">
        <f>AND(#REF!,"AAAAAHbf8ww=")</f>
        <v>#REF!</v>
      </c>
      <c r="N549" t="e">
        <f>AND(#REF!,"AAAAAHbf8w0=")</f>
        <v>#REF!</v>
      </c>
      <c r="O549" t="e">
        <f>AND(#REF!,"AAAAAHbf8w4=")</f>
        <v>#REF!</v>
      </c>
      <c r="P549" t="e">
        <f>AND(#REF!,"AAAAAHbf8w8=")</f>
        <v>#REF!</v>
      </c>
      <c r="Q549" t="e">
        <f>AND(#REF!,"AAAAAHbf8xA=")</f>
        <v>#REF!</v>
      </c>
      <c r="R549" t="e">
        <f>AND(#REF!,"AAAAAHbf8xE=")</f>
        <v>#REF!</v>
      </c>
      <c r="S549" t="e">
        <f>AND(#REF!,"AAAAAHbf8xI=")</f>
        <v>#REF!</v>
      </c>
      <c r="T549" t="e">
        <f>AND(#REF!,"AAAAAHbf8xM=")</f>
        <v>#REF!</v>
      </c>
      <c r="U549" t="e">
        <f>IF(#REF!,"AAAAAHbf8xQ=",0)</f>
        <v>#REF!</v>
      </c>
      <c r="V549" t="e">
        <f>AND(#REF!,"AAAAAHbf8xU=")</f>
        <v>#REF!</v>
      </c>
      <c r="W549" t="e">
        <f>AND(#REF!,"AAAAAHbf8xY=")</f>
        <v>#REF!</v>
      </c>
      <c r="X549" t="e">
        <f>AND(#REF!,"AAAAAHbf8xc=")</f>
        <v>#REF!</v>
      </c>
      <c r="Y549" t="e">
        <f>AND(#REF!,"AAAAAHbf8xg=")</f>
        <v>#REF!</v>
      </c>
      <c r="Z549" t="e">
        <f>AND(#REF!,"AAAAAHbf8xk=")</f>
        <v>#REF!</v>
      </c>
      <c r="AA549" t="e">
        <f>AND(#REF!,"AAAAAHbf8xo=")</f>
        <v>#REF!</v>
      </c>
      <c r="AB549" t="e">
        <f>AND(#REF!,"AAAAAHbf8xs=")</f>
        <v>#REF!</v>
      </c>
      <c r="AC549" t="e">
        <f>AND(#REF!,"AAAAAHbf8xw=")</f>
        <v>#REF!</v>
      </c>
      <c r="AD549" t="e">
        <f>AND(#REF!,"AAAAAHbf8x0=")</f>
        <v>#REF!</v>
      </c>
      <c r="AE549" t="e">
        <f>AND(#REF!,"AAAAAHbf8x4=")</f>
        <v>#REF!</v>
      </c>
      <c r="AF549" t="e">
        <f>IF(#REF!,"AAAAAHbf8x8=",0)</f>
        <v>#REF!</v>
      </c>
      <c r="AG549" t="e">
        <f>AND(#REF!,"AAAAAHbf8yA=")</f>
        <v>#REF!</v>
      </c>
      <c r="AH549" t="e">
        <f>AND(#REF!,"AAAAAHbf8yE=")</f>
        <v>#REF!</v>
      </c>
      <c r="AI549" t="e">
        <f>AND(#REF!,"AAAAAHbf8yI=")</f>
        <v>#REF!</v>
      </c>
      <c r="AJ549" t="e">
        <f>AND(#REF!,"AAAAAHbf8yM=")</f>
        <v>#REF!</v>
      </c>
      <c r="AK549" t="e">
        <f>AND(#REF!,"AAAAAHbf8yQ=")</f>
        <v>#REF!</v>
      </c>
      <c r="AL549" t="e">
        <f>AND(#REF!,"AAAAAHbf8yU=")</f>
        <v>#REF!</v>
      </c>
      <c r="AM549" t="e">
        <f>AND(#REF!,"AAAAAHbf8yY=")</f>
        <v>#REF!</v>
      </c>
      <c r="AN549" t="e">
        <f>AND(#REF!,"AAAAAHbf8yc=")</f>
        <v>#REF!</v>
      </c>
      <c r="AO549" t="e">
        <f>AND(#REF!,"AAAAAHbf8yg=")</f>
        <v>#REF!</v>
      </c>
      <c r="AP549" t="e">
        <f>AND(#REF!,"AAAAAHbf8yk=")</f>
        <v>#REF!</v>
      </c>
      <c r="AQ549" t="e">
        <f>IF(#REF!,"AAAAAHbf8yo=",0)</f>
        <v>#REF!</v>
      </c>
      <c r="AR549" t="e">
        <f>AND(#REF!,"AAAAAHbf8ys=")</f>
        <v>#REF!</v>
      </c>
      <c r="AS549" t="e">
        <f>AND(#REF!,"AAAAAHbf8yw=")</f>
        <v>#REF!</v>
      </c>
      <c r="AT549" t="e">
        <f>AND(#REF!,"AAAAAHbf8y0=")</f>
        <v>#REF!</v>
      </c>
      <c r="AU549" t="e">
        <f>AND(#REF!,"AAAAAHbf8y4=")</f>
        <v>#REF!</v>
      </c>
      <c r="AV549" t="e">
        <f>AND(#REF!,"AAAAAHbf8y8=")</f>
        <v>#REF!</v>
      </c>
      <c r="AW549" t="e">
        <f>AND(#REF!,"AAAAAHbf8zA=")</f>
        <v>#REF!</v>
      </c>
      <c r="AX549" t="e">
        <f>AND(#REF!,"AAAAAHbf8zE=")</f>
        <v>#REF!</v>
      </c>
      <c r="AY549" t="e">
        <f>AND(#REF!,"AAAAAHbf8zI=")</f>
        <v>#REF!</v>
      </c>
      <c r="AZ549" t="e">
        <f>AND(#REF!,"AAAAAHbf8zM=")</f>
        <v>#REF!</v>
      </c>
      <c r="BA549" t="e">
        <f>AND(#REF!,"AAAAAHbf8zQ=")</f>
        <v>#REF!</v>
      </c>
      <c r="BB549" t="e">
        <f>IF(#REF!,"AAAAAHbf8zU=",0)</f>
        <v>#REF!</v>
      </c>
      <c r="BC549" t="e">
        <f>AND(#REF!,"AAAAAHbf8zY=")</f>
        <v>#REF!</v>
      </c>
      <c r="BD549" t="e">
        <f>AND(#REF!,"AAAAAHbf8zc=")</f>
        <v>#REF!</v>
      </c>
      <c r="BE549" t="e">
        <f>AND(#REF!,"AAAAAHbf8zg=")</f>
        <v>#REF!</v>
      </c>
      <c r="BF549" t="e">
        <f>AND(#REF!,"AAAAAHbf8zk=")</f>
        <v>#REF!</v>
      </c>
      <c r="BG549" t="e">
        <f>AND(#REF!,"AAAAAHbf8zo=")</f>
        <v>#REF!</v>
      </c>
      <c r="BH549" t="e">
        <f>AND(#REF!,"AAAAAHbf8zs=")</f>
        <v>#REF!</v>
      </c>
      <c r="BI549" t="e">
        <f>AND(#REF!,"AAAAAHbf8zw=")</f>
        <v>#REF!</v>
      </c>
      <c r="BJ549" t="e">
        <f>AND(#REF!,"AAAAAHbf8z0=")</f>
        <v>#REF!</v>
      </c>
      <c r="BK549" t="e">
        <f>AND(#REF!,"AAAAAHbf8z4=")</f>
        <v>#REF!</v>
      </c>
      <c r="BL549" t="e">
        <f>AND(#REF!,"AAAAAHbf8z8=")</f>
        <v>#REF!</v>
      </c>
      <c r="BM549" t="e">
        <f>IF(#REF!,"AAAAAHbf80A=",0)</f>
        <v>#REF!</v>
      </c>
      <c r="BN549" t="e">
        <f>AND(#REF!,"AAAAAHbf80E=")</f>
        <v>#REF!</v>
      </c>
      <c r="BO549" t="e">
        <f>AND(#REF!,"AAAAAHbf80I=")</f>
        <v>#REF!</v>
      </c>
      <c r="BP549" t="e">
        <f>AND(#REF!,"AAAAAHbf80M=")</f>
        <v>#REF!</v>
      </c>
      <c r="BQ549" t="e">
        <f>AND(#REF!,"AAAAAHbf80Q=")</f>
        <v>#REF!</v>
      </c>
      <c r="BR549" t="e">
        <f>AND(#REF!,"AAAAAHbf80U=")</f>
        <v>#REF!</v>
      </c>
      <c r="BS549" t="e">
        <f>AND(#REF!,"AAAAAHbf80Y=")</f>
        <v>#REF!</v>
      </c>
      <c r="BT549" t="e">
        <f>AND(#REF!,"AAAAAHbf80c=")</f>
        <v>#REF!</v>
      </c>
      <c r="BU549" t="e">
        <f>AND(#REF!,"AAAAAHbf80g=")</f>
        <v>#REF!</v>
      </c>
      <c r="BV549" t="e">
        <f>AND(#REF!,"AAAAAHbf80k=")</f>
        <v>#REF!</v>
      </c>
      <c r="BW549" t="e">
        <f>AND(#REF!,"AAAAAHbf80o=")</f>
        <v>#REF!</v>
      </c>
      <c r="BX549" t="e">
        <f>IF(#REF!,"AAAAAHbf80s=",0)</f>
        <v>#REF!</v>
      </c>
      <c r="BY549" t="e">
        <f>AND(#REF!,"AAAAAHbf80w=")</f>
        <v>#REF!</v>
      </c>
      <c r="BZ549" t="e">
        <f>AND(#REF!,"AAAAAHbf800=")</f>
        <v>#REF!</v>
      </c>
      <c r="CA549" t="e">
        <f>AND(#REF!,"AAAAAHbf804=")</f>
        <v>#REF!</v>
      </c>
      <c r="CB549" t="e">
        <f>AND(#REF!,"AAAAAHbf808=")</f>
        <v>#REF!</v>
      </c>
      <c r="CC549" t="e">
        <f>AND(#REF!,"AAAAAHbf81A=")</f>
        <v>#REF!</v>
      </c>
      <c r="CD549" t="e">
        <f>AND(#REF!,"AAAAAHbf81E=")</f>
        <v>#REF!</v>
      </c>
      <c r="CE549" t="e">
        <f>AND(#REF!,"AAAAAHbf81I=")</f>
        <v>#REF!</v>
      </c>
      <c r="CF549" t="e">
        <f>AND(#REF!,"AAAAAHbf81M=")</f>
        <v>#REF!</v>
      </c>
      <c r="CG549" t="e">
        <f>AND(#REF!,"AAAAAHbf81Q=")</f>
        <v>#REF!</v>
      </c>
      <c r="CH549" t="e">
        <f>AND(#REF!,"AAAAAHbf81U=")</f>
        <v>#REF!</v>
      </c>
      <c r="CI549" t="e">
        <f>IF(#REF!,"AAAAAHbf81Y=",0)</f>
        <v>#REF!</v>
      </c>
      <c r="CJ549" t="e">
        <f>AND(#REF!,"AAAAAHbf81c=")</f>
        <v>#REF!</v>
      </c>
      <c r="CK549" t="e">
        <f>AND(#REF!,"AAAAAHbf81g=")</f>
        <v>#REF!</v>
      </c>
      <c r="CL549" t="e">
        <f>AND(#REF!,"AAAAAHbf81k=")</f>
        <v>#REF!</v>
      </c>
      <c r="CM549" t="e">
        <f>AND(#REF!,"AAAAAHbf81o=")</f>
        <v>#REF!</v>
      </c>
      <c r="CN549" t="e">
        <f>AND(#REF!,"AAAAAHbf81s=")</f>
        <v>#REF!</v>
      </c>
      <c r="CO549" t="e">
        <f>AND(#REF!,"AAAAAHbf81w=")</f>
        <v>#REF!</v>
      </c>
      <c r="CP549" t="e">
        <f>AND(#REF!,"AAAAAHbf810=")</f>
        <v>#REF!</v>
      </c>
      <c r="CQ549" t="e">
        <f>AND(#REF!,"AAAAAHbf814=")</f>
        <v>#REF!</v>
      </c>
      <c r="CR549" t="e">
        <f>AND(#REF!,"AAAAAHbf818=")</f>
        <v>#REF!</v>
      </c>
      <c r="CS549" t="e">
        <f>AND(#REF!,"AAAAAHbf82A=")</f>
        <v>#REF!</v>
      </c>
      <c r="CT549" t="e">
        <f>IF(#REF!,"AAAAAHbf82E=",0)</f>
        <v>#REF!</v>
      </c>
      <c r="CU549" t="e">
        <f>AND(#REF!,"AAAAAHbf82I=")</f>
        <v>#REF!</v>
      </c>
      <c r="CV549" t="e">
        <f>AND(#REF!,"AAAAAHbf82M=")</f>
        <v>#REF!</v>
      </c>
      <c r="CW549" t="e">
        <f>AND(#REF!,"AAAAAHbf82Q=")</f>
        <v>#REF!</v>
      </c>
      <c r="CX549" t="e">
        <f>AND(#REF!,"AAAAAHbf82U=")</f>
        <v>#REF!</v>
      </c>
      <c r="CY549" t="e">
        <f>AND(#REF!,"AAAAAHbf82Y=")</f>
        <v>#REF!</v>
      </c>
      <c r="CZ549" t="e">
        <f>AND(#REF!,"AAAAAHbf82c=")</f>
        <v>#REF!</v>
      </c>
      <c r="DA549" t="e">
        <f>AND(#REF!,"AAAAAHbf82g=")</f>
        <v>#REF!</v>
      </c>
      <c r="DB549" t="e">
        <f>AND(#REF!,"AAAAAHbf82k=")</f>
        <v>#REF!</v>
      </c>
      <c r="DC549" t="e">
        <f>AND(#REF!,"AAAAAHbf82o=")</f>
        <v>#REF!</v>
      </c>
      <c r="DD549" t="e">
        <f>AND(#REF!,"AAAAAHbf82s=")</f>
        <v>#REF!</v>
      </c>
      <c r="DE549" t="e">
        <f>IF(#REF!,"AAAAAHbf82w=",0)</f>
        <v>#REF!</v>
      </c>
      <c r="DF549" t="e">
        <f>AND(#REF!,"AAAAAHbf820=")</f>
        <v>#REF!</v>
      </c>
      <c r="DG549" t="e">
        <f>AND(#REF!,"AAAAAHbf824=")</f>
        <v>#REF!</v>
      </c>
      <c r="DH549" t="e">
        <f>AND(#REF!,"AAAAAHbf828=")</f>
        <v>#REF!</v>
      </c>
      <c r="DI549" t="e">
        <f>AND(#REF!,"AAAAAHbf83A=")</f>
        <v>#REF!</v>
      </c>
      <c r="DJ549" t="e">
        <f>AND(#REF!,"AAAAAHbf83E=")</f>
        <v>#REF!</v>
      </c>
      <c r="DK549" t="e">
        <f>AND(#REF!,"AAAAAHbf83I=")</f>
        <v>#REF!</v>
      </c>
      <c r="DL549" t="e">
        <f>AND(#REF!,"AAAAAHbf83M=")</f>
        <v>#REF!</v>
      </c>
      <c r="DM549" t="e">
        <f>AND(#REF!,"AAAAAHbf83Q=")</f>
        <v>#REF!</v>
      </c>
      <c r="DN549" t="e">
        <f>AND(#REF!,"AAAAAHbf83U=")</f>
        <v>#REF!</v>
      </c>
      <c r="DO549" t="e">
        <f>AND(#REF!,"AAAAAHbf83Y=")</f>
        <v>#REF!</v>
      </c>
      <c r="DP549" t="e">
        <f>IF(#REF!,"AAAAAHbf83c=",0)</f>
        <v>#REF!</v>
      </c>
      <c r="DQ549" t="e">
        <f>AND(#REF!,"AAAAAHbf83g=")</f>
        <v>#REF!</v>
      </c>
      <c r="DR549" t="e">
        <f>AND(#REF!,"AAAAAHbf83k=")</f>
        <v>#REF!</v>
      </c>
      <c r="DS549" t="e">
        <f>AND(#REF!,"AAAAAHbf83o=")</f>
        <v>#REF!</v>
      </c>
      <c r="DT549" t="e">
        <f>AND(#REF!,"AAAAAHbf83s=")</f>
        <v>#REF!</v>
      </c>
      <c r="DU549" t="e">
        <f>AND(#REF!,"AAAAAHbf83w=")</f>
        <v>#REF!</v>
      </c>
      <c r="DV549" t="e">
        <f>AND(#REF!,"AAAAAHbf830=")</f>
        <v>#REF!</v>
      </c>
      <c r="DW549" t="e">
        <f>AND(#REF!,"AAAAAHbf834=")</f>
        <v>#REF!</v>
      </c>
      <c r="DX549" t="e">
        <f>AND(#REF!,"AAAAAHbf838=")</f>
        <v>#REF!</v>
      </c>
      <c r="DY549" t="e">
        <f>AND(#REF!,"AAAAAHbf84A=")</f>
        <v>#REF!</v>
      </c>
      <c r="DZ549" t="e">
        <f>AND(#REF!,"AAAAAHbf84E=")</f>
        <v>#REF!</v>
      </c>
      <c r="EA549" t="e">
        <f>IF(#REF!,"AAAAAHbf84I=",0)</f>
        <v>#REF!</v>
      </c>
      <c r="EB549" t="e">
        <f>AND(#REF!,"AAAAAHbf84M=")</f>
        <v>#REF!</v>
      </c>
      <c r="EC549" t="e">
        <f>AND(#REF!,"AAAAAHbf84Q=")</f>
        <v>#REF!</v>
      </c>
      <c r="ED549" t="e">
        <f>AND(#REF!,"AAAAAHbf84U=")</f>
        <v>#REF!</v>
      </c>
      <c r="EE549" t="e">
        <f>AND(#REF!,"AAAAAHbf84Y=")</f>
        <v>#REF!</v>
      </c>
      <c r="EF549" t="e">
        <f>AND(#REF!,"AAAAAHbf84c=")</f>
        <v>#REF!</v>
      </c>
      <c r="EG549" t="e">
        <f>AND(#REF!,"AAAAAHbf84g=")</f>
        <v>#REF!</v>
      </c>
      <c r="EH549" t="e">
        <f>AND(#REF!,"AAAAAHbf84k=")</f>
        <v>#REF!</v>
      </c>
      <c r="EI549" t="e">
        <f>AND(#REF!,"AAAAAHbf84o=")</f>
        <v>#REF!</v>
      </c>
      <c r="EJ549" t="e">
        <f>AND(#REF!,"AAAAAHbf84s=")</f>
        <v>#REF!</v>
      </c>
      <c r="EK549" t="e">
        <f>AND(#REF!,"AAAAAHbf84w=")</f>
        <v>#REF!</v>
      </c>
      <c r="EL549" t="e">
        <f>IF(#REF!,"AAAAAHbf840=",0)</f>
        <v>#REF!</v>
      </c>
      <c r="EM549" t="e">
        <f>AND(#REF!,"AAAAAHbf844=")</f>
        <v>#REF!</v>
      </c>
      <c r="EN549" t="e">
        <f>AND(#REF!,"AAAAAHbf848=")</f>
        <v>#REF!</v>
      </c>
      <c r="EO549" t="e">
        <f>AND(#REF!,"AAAAAHbf85A=")</f>
        <v>#REF!</v>
      </c>
      <c r="EP549" t="e">
        <f>AND(#REF!,"AAAAAHbf85E=")</f>
        <v>#REF!</v>
      </c>
      <c r="EQ549" t="e">
        <f>AND(#REF!,"AAAAAHbf85I=")</f>
        <v>#REF!</v>
      </c>
      <c r="ER549" t="e">
        <f>AND(#REF!,"AAAAAHbf85M=")</f>
        <v>#REF!</v>
      </c>
      <c r="ES549" t="e">
        <f>AND(#REF!,"AAAAAHbf85Q=")</f>
        <v>#REF!</v>
      </c>
      <c r="ET549" t="e">
        <f>AND(#REF!,"AAAAAHbf85U=")</f>
        <v>#REF!</v>
      </c>
      <c r="EU549" t="e">
        <f>AND(#REF!,"AAAAAHbf85Y=")</f>
        <v>#REF!</v>
      </c>
      <c r="EV549" t="e">
        <f>AND(#REF!,"AAAAAHbf85c=")</f>
        <v>#REF!</v>
      </c>
      <c r="EW549" t="e">
        <f>IF(#REF!,"AAAAAHbf85g=",0)</f>
        <v>#REF!</v>
      </c>
      <c r="EX549" t="e">
        <f>AND(#REF!,"AAAAAHbf85k=")</f>
        <v>#REF!</v>
      </c>
      <c r="EY549" t="e">
        <f>AND(#REF!,"AAAAAHbf85o=")</f>
        <v>#REF!</v>
      </c>
      <c r="EZ549" t="e">
        <f>AND(#REF!,"AAAAAHbf85s=")</f>
        <v>#REF!</v>
      </c>
      <c r="FA549" t="e">
        <f>AND(#REF!,"AAAAAHbf85w=")</f>
        <v>#REF!</v>
      </c>
      <c r="FB549" t="e">
        <f>AND(#REF!,"AAAAAHbf850=")</f>
        <v>#REF!</v>
      </c>
      <c r="FC549" t="e">
        <f>AND(#REF!,"AAAAAHbf854=")</f>
        <v>#REF!</v>
      </c>
      <c r="FD549" t="e">
        <f>AND(#REF!,"AAAAAHbf858=")</f>
        <v>#REF!</v>
      </c>
      <c r="FE549" t="e">
        <f>AND(#REF!,"AAAAAHbf86A=")</f>
        <v>#REF!</v>
      </c>
      <c r="FF549" t="e">
        <f>AND(#REF!,"AAAAAHbf86E=")</f>
        <v>#REF!</v>
      </c>
      <c r="FG549" t="e">
        <f>AND(#REF!,"AAAAAHbf86I=")</f>
        <v>#REF!</v>
      </c>
      <c r="FH549" t="e">
        <f>IF(#REF!,"AAAAAHbf86M=",0)</f>
        <v>#REF!</v>
      </c>
      <c r="FI549" t="e">
        <f>AND(#REF!,"AAAAAHbf86Q=")</f>
        <v>#REF!</v>
      </c>
      <c r="FJ549" t="e">
        <f>AND(#REF!,"AAAAAHbf86U=")</f>
        <v>#REF!</v>
      </c>
      <c r="FK549" t="e">
        <f>AND(#REF!,"AAAAAHbf86Y=")</f>
        <v>#REF!</v>
      </c>
      <c r="FL549" t="e">
        <f>AND(#REF!,"AAAAAHbf86c=")</f>
        <v>#REF!</v>
      </c>
      <c r="FM549" t="e">
        <f>AND(#REF!,"AAAAAHbf86g=")</f>
        <v>#REF!</v>
      </c>
      <c r="FN549" t="e">
        <f>AND(#REF!,"AAAAAHbf86k=")</f>
        <v>#REF!</v>
      </c>
      <c r="FO549" t="e">
        <f>AND(#REF!,"AAAAAHbf86o=")</f>
        <v>#REF!</v>
      </c>
      <c r="FP549" t="e">
        <f>AND(#REF!,"AAAAAHbf86s=")</f>
        <v>#REF!</v>
      </c>
      <c r="FQ549" t="e">
        <f>AND(#REF!,"AAAAAHbf86w=")</f>
        <v>#REF!</v>
      </c>
      <c r="FR549" t="e">
        <f>AND(#REF!,"AAAAAHbf860=")</f>
        <v>#REF!</v>
      </c>
      <c r="FS549" t="e">
        <f>IF(#REF!,"AAAAAHbf864=",0)</f>
        <v>#REF!</v>
      </c>
      <c r="FT549" t="e">
        <f>AND(#REF!,"AAAAAHbf868=")</f>
        <v>#REF!</v>
      </c>
      <c r="FU549" t="e">
        <f>AND(#REF!,"AAAAAHbf87A=")</f>
        <v>#REF!</v>
      </c>
      <c r="FV549" t="e">
        <f>AND(#REF!,"AAAAAHbf87E=")</f>
        <v>#REF!</v>
      </c>
      <c r="FW549" t="e">
        <f>AND(#REF!,"AAAAAHbf87I=")</f>
        <v>#REF!</v>
      </c>
      <c r="FX549" t="e">
        <f>AND(#REF!,"AAAAAHbf87M=")</f>
        <v>#REF!</v>
      </c>
      <c r="FY549" t="e">
        <f>AND(#REF!,"AAAAAHbf87Q=")</f>
        <v>#REF!</v>
      </c>
      <c r="FZ549" t="e">
        <f>AND(#REF!,"AAAAAHbf87U=")</f>
        <v>#REF!</v>
      </c>
      <c r="GA549" t="e">
        <f>AND(#REF!,"AAAAAHbf87Y=")</f>
        <v>#REF!</v>
      </c>
      <c r="GB549" t="e">
        <f>AND(#REF!,"AAAAAHbf87c=")</f>
        <v>#REF!</v>
      </c>
      <c r="GC549" t="e">
        <f>AND(#REF!,"AAAAAHbf87g=")</f>
        <v>#REF!</v>
      </c>
      <c r="GD549" t="e">
        <f>IF(#REF!,"AAAAAHbf87k=",0)</f>
        <v>#REF!</v>
      </c>
      <c r="GE549" t="e">
        <f>AND(#REF!,"AAAAAHbf87o=")</f>
        <v>#REF!</v>
      </c>
      <c r="GF549" t="e">
        <f>AND(#REF!,"AAAAAHbf87s=")</f>
        <v>#REF!</v>
      </c>
      <c r="GG549" t="e">
        <f>AND(#REF!,"AAAAAHbf87w=")</f>
        <v>#REF!</v>
      </c>
      <c r="GH549" t="e">
        <f>AND(#REF!,"AAAAAHbf870=")</f>
        <v>#REF!</v>
      </c>
      <c r="GI549" t="e">
        <f>AND(#REF!,"AAAAAHbf874=")</f>
        <v>#REF!</v>
      </c>
      <c r="GJ549" t="e">
        <f>AND(#REF!,"AAAAAHbf878=")</f>
        <v>#REF!</v>
      </c>
      <c r="GK549" t="e">
        <f>AND(#REF!,"AAAAAHbf88A=")</f>
        <v>#REF!</v>
      </c>
      <c r="GL549" t="e">
        <f>AND(#REF!,"AAAAAHbf88E=")</f>
        <v>#REF!</v>
      </c>
      <c r="GM549" t="e">
        <f>AND(#REF!,"AAAAAHbf88I=")</f>
        <v>#REF!</v>
      </c>
      <c r="GN549" t="e">
        <f>AND(#REF!,"AAAAAHbf88M=")</f>
        <v>#REF!</v>
      </c>
      <c r="GO549" t="e">
        <f>IF(#REF!,"AAAAAHbf88Q=",0)</f>
        <v>#REF!</v>
      </c>
      <c r="GP549" t="e">
        <f>AND(#REF!,"AAAAAHbf88U=")</f>
        <v>#REF!</v>
      </c>
      <c r="GQ549" t="e">
        <f>AND(#REF!,"AAAAAHbf88Y=")</f>
        <v>#REF!</v>
      </c>
      <c r="GR549" t="e">
        <f>AND(#REF!,"AAAAAHbf88c=")</f>
        <v>#REF!</v>
      </c>
      <c r="GS549" t="e">
        <f>AND(#REF!,"AAAAAHbf88g=")</f>
        <v>#REF!</v>
      </c>
      <c r="GT549" t="e">
        <f>AND(#REF!,"AAAAAHbf88k=")</f>
        <v>#REF!</v>
      </c>
      <c r="GU549" t="e">
        <f>AND(#REF!,"AAAAAHbf88o=")</f>
        <v>#REF!</v>
      </c>
      <c r="GV549" t="e">
        <f>AND(#REF!,"AAAAAHbf88s=")</f>
        <v>#REF!</v>
      </c>
      <c r="GW549" t="e">
        <f>AND(#REF!,"AAAAAHbf88w=")</f>
        <v>#REF!</v>
      </c>
      <c r="GX549" t="e">
        <f>AND(#REF!,"AAAAAHbf880=")</f>
        <v>#REF!</v>
      </c>
      <c r="GY549" t="e">
        <f>AND(#REF!,"AAAAAHbf884=")</f>
        <v>#REF!</v>
      </c>
      <c r="GZ549" t="e">
        <f>IF(#REF!,"AAAAAHbf888=",0)</f>
        <v>#REF!</v>
      </c>
      <c r="HA549" t="e">
        <f>AND(#REF!,"AAAAAHbf89A=")</f>
        <v>#REF!</v>
      </c>
      <c r="HB549" t="e">
        <f>AND(#REF!,"AAAAAHbf89E=")</f>
        <v>#REF!</v>
      </c>
      <c r="HC549" t="e">
        <f>AND(#REF!,"AAAAAHbf89I=")</f>
        <v>#REF!</v>
      </c>
      <c r="HD549" t="e">
        <f>AND(#REF!,"AAAAAHbf89M=")</f>
        <v>#REF!</v>
      </c>
      <c r="HE549" t="e">
        <f>AND(#REF!,"AAAAAHbf89Q=")</f>
        <v>#REF!</v>
      </c>
      <c r="HF549" t="e">
        <f>AND(#REF!,"AAAAAHbf89U=")</f>
        <v>#REF!</v>
      </c>
      <c r="HG549" t="e">
        <f>AND(#REF!,"AAAAAHbf89Y=")</f>
        <v>#REF!</v>
      </c>
      <c r="HH549" t="e">
        <f>AND(#REF!,"AAAAAHbf89c=")</f>
        <v>#REF!</v>
      </c>
      <c r="HI549" t="e">
        <f>AND(#REF!,"AAAAAHbf89g=")</f>
        <v>#REF!</v>
      </c>
      <c r="HJ549" t="e">
        <f>AND(#REF!,"AAAAAHbf89k=")</f>
        <v>#REF!</v>
      </c>
      <c r="HK549" t="e">
        <f>IF(#REF!,"AAAAAHbf89o=",0)</f>
        <v>#REF!</v>
      </c>
      <c r="HL549" t="e">
        <f>AND(#REF!,"AAAAAHbf89s=")</f>
        <v>#REF!</v>
      </c>
      <c r="HM549" t="e">
        <f>AND(#REF!,"AAAAAHbf89w=")</f>
        <v>#REF!</v>
      </c>
      <c r="HN549" t="e">
        <f>AND(#REF!,"AAAAAHbf890=")</f>
        <v>#REF!</v>
      </c>
      <c r="HO549" t="e">
        <f>AND(#REF!,"AAAAAHbf894=")</f>
        <v>#REF!</v>
      </c>
      <c r="HP549" t="e">
        <f>AND(#REF!,"AAAAAHbf898=")</f>
        <v>#REF!</v>
      </c>
      <c r="HQ549" t="e">
        <f>AND(#REF!,"AAAAAHbf8+A=")</f>
        <v>#REF!</v>
      </c>
      <c r="HR549" t="e">
        <f>AND(#REF!,"AAAAAHbf8+E=")</f>
        <v>#REF!</v>
      </c>
      <c r="HS549" t="e">
        <f>AND(#REF!,"AAAAAHbf8+I=")</f>
        <v>#REF!</v>
      </c>
      <c r="HT549" t="e">
        <f>AND(#REF!,"AAAAAHbf8+M=")</f>
        <v>#REF!</v>
      </c>
      <c r="HU549" t="e">
        <f>AND(#REF!,"AAAAAHbf8+Q=")</f>
        <v>#REF!</v>
      </c>
      <c r="HV549" t="e">
        <f>IF(#REF!,"AAAAAHbf8+U=",0)</f>
        <v>#REF!</v>
      </c>
      <c r="HW549" t="e">
        <f>AND(#REF!,"AAAAAHbf8+Y=")</f>
        <v>#REF!</v>
      </c>
      <c r="HX549" t="e">
        <f>AND(#REF!,"AAAAAHbf8+c=")</f>
        <v>#REF!</v>
      </c>
      <c r="HY549" t="e">
        <f>AND(#REF!,"AAAAAHbf8+g=")</f>
        <v>#REF!</v>
      </c>
      <c r="HZ549" t="e">
        <f>AND(#REF!,"AAAAAHbf8+k=")</f>
        <v>#REF!</v>
      </c>
      <c r="IA549" t="e">
        <f>AND(#REF!,"AAAAAHbf8+o=")</f>
        <v>#REF!</v>
      </c>
      <c r="IB549" t="e">
        <f>AND(#REF!,"AAAAAHbf8+s=")</f>
        <v>#REF!</v>
      </c>
      <c r="IC549" t="e">
        <f>AND(#REF!,"AAAAAHbf8+w=")</f>
        <v>#REF!</v>
      </c>
      <c r="ID549" t="e">
        <f>AND(#REF!,"AAAAAHbf8+0=")</f>
        <v>#REF!</v>
      </c>
      <c r="IE549" t="e">
        <f>AND(#REF!,"AAAAAHbf8+4=")</f>
        <v>#REF!</v>
      </c>
      <c r="IF549" t="e">
        <f>AND(#REF!,"AAAAAHbf8+8=")</f>
        <v>#REF!</v>
      </c>
      <c r="IG549" t="e">
        <f>IF(#REF!,"AAAAAHbf8/A=",0)</f>
        <v>#REF!</v>
      </c>
      <c r="IH549" t="e">
        <f>AND(#REF!,"AAAAAHbf8/E=")</f>
        <v>#REF!</v>
      </c>
      <c r="II549" t="e">
        <f>AND(#REF!,"AAAAAHbf8/I=")</f>
        <v>#REF!</v>
      </c>
      <c r="IJ549" t="e">
        <f>AND(#REF!,"AAAAAHbf8/M=")</f>
        <v>#REF!</v>
      </c>
      <c r="IK549" t="e">
        <f>AND(#REF!,"AAAAAHbf8/Q=")</f>
        <v>#REF!</v>
      </c>
      <c r="IL549" t="e">
        <f>AND(#REF!,"AAAAAHbf8/U=")</f>
        <v>#REF!</v>
      </c>
      <c r="IM549" t="e">
        <f>AND(#REF!,"AAAAAHbf8/Y=")</f>
        <v>#REF!</v>
      </c>
      <c r="IN549" t="e">
        <f>AND(#REF!,"AAAAAHbf8/c=")</f>
        <v>#REF!</v>
      </c>
      <c r="IO549" t="e">
        <f>AND(#REF!,"AAAAAHbf8/g=")</f>
        <v>#REF!</v>
      </c>
      <c r="IP549" t="e">
        <f>AND(#REF!,"AAAAAHbf8/k=")</f>
        <v>#REF!</v>
      </c>
      <c r="IQ549" t="e">
        <f>AND(#REF!,"AAAAAHbf8/o=")</f>
        <v>#REF!</v>
      </c>
      <c r="IR549" t="e">
        <f>IF(#REF!,"AAAAAHbf8/s=",0)</f>
        <v>#REF!</v>
      </c>
      <c r="IS549" t="e">
        <f>AND(#REF!,"AAAAAHbf8/w=")</f>
        <v>#REF!</v>
      </c>
      <c r="IT549" t="e">
        <f>AND(#REF!,"AAAAAHbf8/0=")</f>
        <v>#REF!</v>
      </c>
      <c r="IU549" t="e">
        <f>AND(#REF!,"AAAAAHbf8/4=")</f>
        <v>#REF!</v>
      </c>
      <c r="IV549" t="e">
        <f>AND(#REF!,"AAAAAHbf8/8=")</f>
        <v>#REF!</v>
      </c>
    </row>
    <row r="550" spans="1:256" x14ac:dyDescent="0.25">
      <c r="A550" t="e">
        <f>AND(#REF!,"AAAAAH7PvwA=")</f>
        <v>#REF!</v>
      </c>
      <c r="B550" t="e">
        <f>AND(#REF!,"AAAAAH7PvwE=")</f>
        <v>#REF!</v>
      </c>
      <c r="C550" t="e">
        <f>AND(#REF!,"AAAAAH7PvwI=")</f>
        <v>#REF!</v>
      </c>
      <c r="D550" t="e">
        <f>AND(#REF!,"AAAAAH7PvwM=")</f>
        <v>#REF!</v>
      </c>
      <c r="E550" t="e">
        <f>AND(#REF!,"AAAAAH7PvwQ=")</f>
        <v>#REF!</v>
      </c>
      <c r="F550" t="e">
        <f>AND(#REF!,"AAAAAH7PvwU=")</f>
        <v>#REF!</v>
      </c>
      <c r="G550" t="e">
        <f>IF(#REF!,"AAAAAH7PvwY=",0)</f>
        <v>#REF!</v>
      </c>
      <c r="H550" t="e">
        <f>AND(#REF!,"AAAAAH7Pvwc=")</f>
        <v>#REF!</v>
      </c>
      <c r="I550" t="e">
        <f>AND(#REF!,"AAAAAH7Pvwg=")</f>
        <v>#REF!</v>
      </c>
      <c r="J550" t="e">
        <f>AND(#REF!,"AAAAAH7Pvwk=")</f>
        <v>#REF!</v>
      </c>
      <c r="K550" t="e">
        <f>AND(#REF!,"AAAAAH7Pvwo=")</f>
        <v>#REF!</v>
      </c>
      <c r="L550" t="e">
        <f>AND(#REF!,"AAAAAH7Pvws=")</f>
        <v>#REF!</v>
      </c>
      <c r="M550" t="e">
        <f>AND(#REF!,"AAAAAH7Pvww=")</f>
        <v>#REF!</v>
      </c>
      <c r="N550" t="e">
        <f>AND(#REF!,"AAAAAH7Pvw0=")</f>
        <v>#REF!</v>
      </c>
      <c r="O550" t="e">
        <f>AND(#REF!,"AAAAAH7Pvw4=")</f>
        <v>#REF!</v>
      </c>
      <c r="P550" t="e">
        <f>AND(#REF!,"AAAAAH7Pvw8=")</f>
        <v>#REF!</v>
      </c>
      <c r="Q550" t="e">
        <f>AND(#REF!,"AAAAAH7PvxA=")</f>
        <v>#REF!</v>
      </c>
      <c r="R550" t="e">
        <f>IF(#REF!,"AAAAAH7PvxE=",0)</f>
        <v>#REF!</v>
      </c>
      <c r="S550" t="e">
        <f>AND(#REF!,"AAAAAH7PvxI=")</f>
        <v>#REF!</v>
      </c>
      <c r="T550" t="e">
        <f>AND(#REF!,"AAAAAH7PvxM=")</f>
        <v>#REF!</v>
      </c>
      <c r="U550" t="e">
        <f>AND(#REF!,"AAAAAH7PvxQ=")</f>
        <v>#REF!</v>
      </c>
      <c r="V550" t="e">
        <f>AND(#REF!,"AAAAAH7PvxU=")</f>
        <v>#REF!</v>
      </c>
      <c r="W550" t="e">
        <f>AND(#REF!,"AAAAAH7PvxY=")</f>
        <v>#REF!</v>
      </c>
      <c r="X550" t="e">
        <f>AND(#REF!,"AAAAAH7Pvxc=")</f>
        <v>#REF!</v>
      </c>
      <c r="Y550" t="e">
        <f>AND(#REF!,"AAAAAH7Pvxg=")</f>
        <v>#REF!</v>
      </c>
      <c r="Z550" t="e">
        <f>AND(#REF!,"AAAAAH7Pvxk=")</f>
        <v>#REF!</v>
      </c>
      <c r="AA550" t="e">
        <f>AND(#REF!,"AAAAAH7Pvxo=")</f>
        <v>#REF!</v>
      </c>
      <c r="AB550" t="e">
        <f>AND(#REF!,"AAAAAH7Pvxs=")</f>
        <v>#REF!</v>
      </c>
      <c r="AC550" t="e">
        <f>IF(#REF!,"AAAAAH7Pvxw=",0)</f>
        <v>#REF!</v>
      </c>
      <c r="AD550" t="e">
        <f>AND(#REF!,"AAAAAH7Pvx0=")</f>
        <v>#REF!</v>
      </c>
      <c r="AE550" t="e">
        <f>AND(#REF!,"AAAAAH7Pvx4=")</f>
        <v>#REF!</v>
      </c>
      <c r="AF550" t="e">
        <f>AND(#REF!,"AAAAAH7Pvx8=")</f>
        <v>#REF!</v>
      </c>
      <c r="AG550" t="e">
        <f>AND(#REF!,"AAAAAH7PvyA=")</f>
        <v>#REF!</v>
      </c>
      <c r="AH550" t="e">
        <f>AND(#REF!,"AAAAAH7PvyE=")</f>
        <v>#REF!</v>
      </c>
      <c r="AI550" t="e">
        <f>AND(#REF!,"AAAAAH7PvyI=")</f>
        <v>#REF!</v>
      </c>
      <c r="AJ550" t="e">
        <f>AND(#REF!,"AAAAAH7PvyM=")</f>
        <v>#REF!</v>
      </c>
      <c r="AK550" t="e">
        <f>AND(#REF!,"AAAAAH7PvyQ=")</f>
        <v>#REF!</v>
      </c>
      <c r="AL550" t="e">
        <f>AND(#REF!,"AAAAAH7PvyU=")</f>
        <v>#REF!</v>
      </c>
      <c r="AM550" t="e">
        <f>AND(#REF!,"AAAAAH7PvyY=")</f>
        <v>#REF!</v>
      </c>
      <c r="AN550" t="e">
        <f>IF(#REF!,"AAAAAH7Pvyc=",0)</f>
        <v>#REF!</v>
      </c>
      <c r="AO550" t="e">
        <f>AND(#REF!,"AAAAAH7Pvyg=")</f>
        <v>#REF!</v>
      </c>
      <c r="AP550" t="e">
        <f>AND(#REF!,"AAAAAH7Pvyk=")</f>
        <v>#REF!</v>
      </c>
      <c r="AQ550" t="e">
        <f>AND(#REF!,"AAAAAH7Pvyo=")</f>
        <v>#REF!</v>
      </c>
      <c r="AR550" t="e">
        <f>AND(#REF!,"AAAAAH7Pvys=")</f>
        <v>#REF!</v>
      </c>
      <c r="AS550" t="e">
        <f>AND(#REF!,"AAAAAH7Pvyw=")</f>
        <v>#REF!</v>
      </c>
      <c r="AT550" t="e">
        <f>AND(#REF!,"AAAAAH7Pvy0=")</f>
        <v>#REF!</v>
      </c>
      <c r="AU550" t="e">
        <f>AND(#REF!,"AAAAAH7Pvy4=")</f>
        <v>#REF!</v>
      </c>
      <c r="AV550" t="e">
        <f>AND(#REF!,"AAAAAH7Pvy8=")</f>
        <v>#REF!</v>
      </c>
      <c r="AW550" t="e">
        <f>AND(#REF!,"AAAAAH7PvzA=")</f>
        <v>#REF!</v>
      </c>
      <c r="AX550" t="e">
        <f>AND(#REF!,"AAAAAH7PvzE=")</f>
        <v>#REF!</v>
      </c>
      <c r="AY550" t="e">
        <f>IF(#REF!,"AAAAAH7PvzI=",0)</f>
        <v>#REF!</v>
      </c>
      <c r="AZ550" t="e">
        <f>AND(#REF!,"AAAAAH7PvzM=")</f>
        <v>#REF!</v>
      </c>
      <c r="BA550" t="e">
        <f>AND(#REF!,"AAAAAH7PvzQ=")</f>
        <v>#REF!</v>
      </c>
      <c r="BB550" t="e">
        <f>AND(#REF!,"AAAAAH7PvzU=")</f>
        <v>#REF!</v>
      </c>
      <c r="BC550" t="e">
        <f>AND(#REF!,"AAAAAH7PvzY=")</f>
        <v>#REF!</v>
      </c>
      <c r="BD550" t="e">
        <f>AND(#REF!,"AAAAAH7Pvzc=")</f>
        <v>#REF!</v>
      </c>
      <c r="BE550" t="e">
        <f>AND(#REF!,"AAAAAH7Pvzg=")</f>
        <v>#REF!</v>
      </c>
      <c r="BF550" t="e">
        <f>AND(#REF!,"AAAAAH7Pvzk=")</f>
        <v>#REF!</v>
      </c>
      <c r="BG550" t="e">
        <f>AND(#REF!,"AAAAAH7Pvzo=")</f>
        <v>#REF!</v>
      </c>
      <c r="BH550" t="e">
        <f>AND(#REF!,"AAAAAH7Pvzs=")</f>
        <v>#REF!</v>
      </c>
      <c r="BI550" t="e">
        <f>AND(#REF!,"AAAAAH7Pvzw=")</f>
        <v>#REF!</v>
      </c>
      <c r="BJ550" t="e">
        <f>IF(#REF!,"AAAAAH7Pvz0=",0)</f>
        <v>#REF!</v>
      </c>
      <c r="BK550" t="e">
        <f>AND(#REF!,"AAAAAH7Pvz4=")</f>
        <v>#REF!</v>
      </c>
      <c r="BL550" t="e">
        <f>AND(#REF!,"AAAAAH7Pvz8=")</f>
        <v>#REF!</v>
      </c>
      <c r="BM550" t="e">
        <f>AND(#REF!,"AAAAAH7Pv0A=")</f>
        <v>#REF!</v>
      </c>
      <c r="BN550" t="e">
        <f>AND(#REF!,"AAAAAH7Pv0E=")</f>
        <v>#REF!</v>
      </c>
      <c r="BO550" t="e">
        <f>AND(#REF!,"AAAAAH7Pv0I=")</f>
        <v>#REF!</v>
      </c>
      <c r="BP550" t="e">
        <f>AND(#REF!,"AAAAAH7Pv0M=")</f>
        <v>#REF!</v>
      </c>
      <c r="BQ550" t="e">
        <f>AND(#REF!,"AAAAAH7Pv0Q=")</f>
        <v>#REF!</v>
      </c>
      <c r="BR550" t="e">
        <f>AND(#REF!,"AAAAAH7Pv0U=")</f>
        <v>#REF!</v>
      </c>
      <c r="BS550" t="e">
        <f>AND(#REF!,"AAAAAH7Pv0Y=")</f>
        <v>#REF!</v>
      </c>
      <c r="BT550" t="e">
        <f>AND(#REF!,"AAAAAH7Pv0c=")</f>
        <v>#REF!</v>
      </c>
      <c r="BU550" t="e">
        <f>IF(#REF!,"AAAAAH7Pv0g=",0)</f>
        <v>#REF!</v>
      </c>
      <c r="BV550" t="e">
        <f>AND(#REF!,"AAAAAH7Pv0k=")</f>
        <v>#REF!</v>
      </c>
      <c r="BW550" t="e">
        <f>AND(#REF!,"AAAAAH7Pv0o=")</f>
        <v>#REF!</v>
      </c>
      <c r="BX550" t="e">
        <f>AND(#REF!,"AAAAAH7Pv0s=")</f>
        <v>#REF!</v>
      </c>
      <c r="BY550" t="e">
        <f>AND(#REF!,"AAAAAH7Pv0w=")</f>
        <v>#REF!</v>
      </c>
      <c r="BZ550" t="e">
        <f>AND(#REF!,"AAAAAH7Pv00=")</f>
        <v>#REF!</v>
      </c>
      <c r="CA550" t="e">
        <f>AND(#REF!,"AAAAAH7Pv04=")</f>
        <v>#REF!</v>
      </c>
      <c r="CB550" t="e">
        <f>AND(#REF!,"AAAAAH7Pv08=")</f>
        <v>#REF!</v>
      </c>
      <c r="CC550" t="e">
        <f>AND(#REF!,"AAAAAH7Pv1A=")</f>
        <v>#REF!</v>
      </c>
      <c r="CD550" t="e">
        <f>AND(#REF!,"AAAAAH7Pv1E=")</f>
        <v>#REF!</v>
      </c>
      <c r="CE550" t="e">
        <f>AND(#REF!,"AAAAAH7Pv1I=")</f>
        <v>#REF!</v>
      </c>
      <c r="CF550" t="e">
        <f>IF(#REF!,"AAAAAH7Pv1M=",0)</f>
        <v>#REF!</v>
      </c>
      <c r="CG550" t="e">
        <f>AND(#REF!,"AAAAAH7Pv1Q=")</f>
        <v>#REF!</v>
      </c>
      <c r="CH550" t="e">
        <f>AND(#REF!,"AAAAAH7Pv1U=")</f>
        <v>#REF!</v>
      </c>
      <c r="CI550" t="e">
        <f>AND(#REF!,"AAAAAH7Pv1Y=")</f>
        <v>#REF!</v>
      </c>
      <c r="CJ550" t="e">
        <f>AND(#REF!,"AAAAAH7Pv1c=")</f>
        <v>#REF!</v>
      </c>
      <c r="CK550" t="e">
        <f>AND(#REF!,"AAAAAH7Pv1g=")</f>
        <v>#REF!</v>
      </c>
      <c r="CL550" t="e">
        <f>AND(#REF!,"AAAAAH7Pv1k=")</f>
        <v>#REF!</v>
      </c>
      <c r="CM550" t="e">
        <f>AND(#REF!,"AAAAAH7Pv1o=")</f>
        <v>#REF!</v>
      </c>
      <c r="CN550" t="e">
        <f>AND(#REF!,"AAAAAH7Pv1s=")</f>
        <v>#REF!</v>
      </c>
      <c r="CO550" t="e">
        <f>AND(#REF!,"AAAAAH7Pv1w=")</f>
        <v>#REF!</v>
      </c>
      <c r="CP550" t="e">
        <f>AND(#REF!,"AAAAAH7Pv10=")</f>
        <v>#REF!</v>
      </c>
      <c r="CQ550" t="e">
        <f>IF(#REF!,"AAAAAH7Pv14=",0)</f>
        <v>#REF!</v>
      </c>
      <c r="CR550" t="e">
        <f>AND(#REF!,"AAAAAH7Pv18=")</f>
        <v>#REF!</v>
      </c>
      <c r="CS550" t="e">
        <f>AND(#REF!,"AAAAAH7Pv2A=")</f>
        <v>#REF!</v>
      </c>
      <c r="CT550" t="e">
        <f>AND(#REF!,"AAAAAH7Pv2E=")</f>
        <v>#REF!</v>
      </c>
      <c r="CU550" t="e">
        <f>AND(#REF!,"AAAAAH7Pv2I=")</f>
        <v>#REF!</v>
      </c>
      <c r="CV550" t="e">
        <f>AND(#REF!,"AAAAAH7Pv2M=")</f>
        <v>#REF!</v>
      </c>
      <c r="CW550" t="e">
        <f>AND(#REF!,"AAAAAH7Pv2Q=")</f>
        <v>#REF!</v>
      </c>
      <c r="CX550" t="e">
        <f>AND(#REF!,"AAAAAH7Pv2U=")</f>
        <v>#REF!</v>
      </c>
      <c r="CY550" t="e">
        <f>AND(#REF!,"AAAAAH7Pv2Y=")</f>
        <v>#REF!</v>
      </c>
      <c r="CZ550" t="e">
        <f>AND(#REF!,"AAAAAH7Pv2c=")</f>
        <v>#REF!</v>
      </c>
      <c r="DA550" t="e">
        <f>AND(#REF!,"AAAAAH7Pv2g=")</f>
        <v>#REF!</v>
      </c>
      <c r="DB550" t="e">
        <f>IF(#REF!,"AAAAAH7Pv2k=",0)</f>
        <v>#REF!</v>
      </c>
      <c r="DC550" t="e">
        <f>AND(#REF!,"AAAAAH7Pv2o=")</f>
        <v>#REF!</v>
      </c>
      <c r="DD550" t="e">
        <f>AND(#REF!,"AAAAAH7Pv2s=")</f>
        <v>#REF!</v>
      </c>
      <c r="DE550" t="e">
        <f>AND(#REF!,"AAAAAH7Pv2w=")</f>
        <v>#REF!</v>
      </c>
      <c r="DF550" t="e">
        <f>AND(#REF!,"AAAAAH7Pv20=")</f>
        <v>#REF!</v>
      </c>
      <c r="DG550" t="e">
        <f>AND(#REF!,"AAAAAH7Pv24=")</f>
        <v>#REF!</v>
      </c>
      <c r="DH550" t="e">
        <f>AND(#REF!,"AAAAAH7Pv28=")</f>
        <v>#REF!</v>
      </c>
      <c r="DI550" t="e">
        <f>AND(#REF!,"AAAAAH7Pv3A=")</f>
        <v>#REF!</v>
      </c>
      <c r="DJ550" t="e">
        <f>AND(#REF!,"AAAAAH7Pv3E=")</f>
        <v>#REF!</v>
      </c>
      <c r="DK550" t="e">
        <f>AND(#REF!,"AAAAAH7Pv3I=")</f>
        <v>#REF!</v>
      </c>
      <c r="DL550" t="e">
        <f>AND(#REF!,"AAAAAH7Pv3M=")</f>
        <v>#REF!</v>
      </c>
      <c r="DM550" t="e">
        <f>IF(#REF!,"AAAAAH7Pv3Q=",0)</f>
        <v>#REF!</v>
      </c>
      <c r="DN550" t="e">
        <f>AND(#REF!,"AAAAAH7Pv3U=")</f>
        <v>#REF!</v>
      </c>
      <c r="DO550" t="e">
        <f>AND(#REF!,"AAAAAH7Pv3Y=")</f>
        <v>#REF!</v>
      </c>
      <c r="DP550" t="e">
        <f>AND(#REF!,"AAAAAH7Pv3c=")</f>
        <v>#REF!</v>
      </c>
      <c r="DQ550" t="e">
        <f>AND(#REF!,"AAAAAH7Pv3g=")</f>
        <v>#REF!</v>
      </c>
      <c r="DR550" t="e">
        <f>AND(#REF!,"AAAAAH7Pv3k=")</f>
        <v>#REF!</v>
      </c>
      <c r="DS550" t="e">
        <f>AND(#REF!,"AAAAAH7Pv3o=")</f>
        <v>#REF!</v>
      </c>
      <c r="DT550" t="e">
        <f>AND(#REF!,"AAAAAH7Pv3s=")</f>
        <v>#REF!</v>
      </c>
      <c r="DU550" t="e">
        <f>AND(#REF!,"AAAAAH7Pv3w=")</f>
        <v>#REF!</v>
      </c>
      <c r="DV550" t="e">
        <f>AND(#REF!,"AAAAAH7Pv30=")</f>
        <v>#REF!</v>
      </c>
      <c r="DW550" t="e">
        <f>AND(#REF!,"AAAAAH7Pv34=")</f>
        <v>#REF!</v>
      </c>
      <c r="DX550" t="e">
        <f>IF(#REF!,"AAAAAH7Pv38=",0)</f>
        <v>#REF!</v>
      </c>
      <c r="DY550" t="e">
        <f>AND(#REF!,"AAAAAH7Pv4A=")</f>
        <v>#REF!</v>
      </c>
      <c r="DZ550" t="e">
        <f>AND(#REF!,"AAAAAH7Pv4E=")</f>
        <v>#REF!</v>
      </c>
      <c r="EA550" t="e">
        <f>AND(#REF!,"AAAAAH7Pv4I=")</f>
        <v>#REF!</v>
      </c>
      <c r="EB550" t="e">
        <f>AND(#REF!,"AAAAAH7Pv4M=")</f>
        <v>#REF!</v>
      </c>
      <c r="EC550" t="e">
        <f>AND(#REF!,"AAAAAH7Pv4Q=")</f>
        <v>#REF!</v>
      </c>
      <c r="ED550" t="e">
        <f>AND(#REF!,"AAAAAH7Pv4U=")</f>
        <v>#REF!</v>
      </c>
      <c r="EE550" t="e">
        <f>AND(#REF!,"AAAAAH7Pv4Y=")</f>
        <v>#REF!</v>
      </c>
      <c r="EF550" t="e">
        <f>AND(#REF!,"AAAAAH7Pv4c=")</f>
        <v>#REF!</v>
      </c>
      <c r="EG550" t="e">
        <f>AND(#REF!,"AAAAAH7Pv4g=")</f>
        <v>#REF!</v>
      </c>
      <c r="EH550" t="e">
        <f>AND(#REF!,"AAAAAH7Pv4k=")</f>
        <v>#REF!</v>
      </c>
      <c r="EI550" t="e">
        <f>IF(#REF!,"AAAAAH7Pv4o=",0)</f>
        <v>#REF!</v>
      </c>
      <c r="EJ550" t="e">
        <f>AND(#REF!,"AAAAAH7Pv4s=")</f>
        <v>#REF!</v>
      </c>
      <c r="EK550" t="e">
        <f>AND(#REF!,"AAAAAH7Pv4w=")</f>
        <v>#REF!</v>
      </c>
      <c r="EL550" t="e">
        <f>AND(#REF!,"AAAAAH7Pv40=")</f>
        <v>#REF!</v>
      </c>
      <c r="EM550" t="e">
        <f>AND(#REF!,"AAAAAH7Pv44=")</f>
        <v>#REF!</v>
      </c>
      <c r="EN550" t="e">
        <f>AND(#REF!,"AAAAAH7Pv48=")</f>
        <v>#REF!</v>
      </c>
      <c r="EO550" t="e">
        <f>AND(#REF!,"AAAAAH7Pv5A=")</f>
        <v>#REF!</v>
      </c>
      <c r="EP550" t="e">
        <f>AND(#REF!,"AAAAAH7Pv5E=")</f>
        <v>#REF!</v>
      </c>
      <c r="EQ550" t="e">
        <f>AND(#REF!,"AAAAAH7Pv5I=")</f>
        <v>#REF!</v>
      </c>
      <c r="ER550" t="e">
        <f>AND(#REF!,"AAAAAH7Pv5M=")</f>
        <v>#REF!</v>
      </c>
      <c r="ES550" t="e">
        <f>AND(#REF!,"AAAAAH7Pv5Q=")</f>
        <v>#REF!</v>
      </c>
      <c r="ET550" t="e">
        <f>IF(#REF!,"AAAAAH7Pv5U=",0)</f>
        <v>#REF!</v>
      </c>
      <c r="EU550" t="e">
        <f>AND(#REF!,"AAAAAH7Pv5Y=")</f>
        <v>#REF!</v>
      </c>
      <c r="EV550" t="e">
        <f>AND(#REF!,"AAAAAH7Pv5c=")</f>
        <v>#REF!</v>
      </c>
      <c r="EW550" t="e">
        <f>AND(#REF!,"AAAAAH7Pv5g=")</f>
        <v>#REF!</v>
      </c>
      <c r="EX550" t="e">
        <f>AND(#REF!,"AAAAAH7Pv5k=")</f>
        <v>#REF!</v>
      </c>
      <c r="EY550" t="e">
        <f>AND(#REF!,"AAAAAH7Pv5o=")</f>
        <v>#REF!</v>
      </c>
      <c r="EZ550" t="e">
        <f>AND(#REF!,"AAAAAH7Pv5s=")</f>
        <v>#REF!</v>
      </c>
      <c r="FA550" t="e">
        <f>AND(#REF!,"AAAAAH7Pv5w=")</f>
        <v>#REF!</v>
      </c>
      <c r="FB550" t="e">
        <f>AND(#REF!,"AAAAAH7Pv50=")</f>
        <v>#REF!</v>
      </c>
      <c r="FC550" t="e">
        <f>AND(#REF!,"AAAAAH7Pv54=")</f>
        <v>#REF!</v>
      </c>
      <c r="FD550" t="e">
        <f>AND(#REF!,"AAAAAH7Pv58=")</f>
        <v>#REF!</v>
      </c>
      <c r="FE550" t="e">
        <f>IF(#REF!,"AAAAAH7Pv6A=",0)</f>
        <v>#REF!</v>
      </c>
      <c r="FF550" t="e">
        <f>AND(#REF!,"AAAAAH7Pv6E=")</f>
        <v>#REF!</v>
      </c>
      <c r="FG550" t="e">
        <f>AND(#REF!,"AAAAAH7Pv6I=")</f>
        <v>#REF!</v>
      </c>
      <c r="FH550" t="e">
        <f>AND(#REF!,"AAAAAH7Pv6M=")</f>
        <v>#REF!</v>
      </c>
      <c r="FI550" t="e">
        <f>AND(#REF!,"AAAAAH7Pv6Q=")</f>
        <v>#REF!</v>
      </c>
      <c r="FJ550" t="e">
        <f>AND(#REF!,"AAAAAH7Pv6U=")</f>
        <v>#REF!</v>
      </c>
      <c r="FK550" t="e">
        <f>AND(#REF!,"AAAAAH7Pv6Y=")</f>
        <v>#REF!</v>
      </c>
      <c r="FL550" t="e">
        <f>AND(#REF!,"AAAAAH7Pv6c=")</f>
        <v>#REF!</v>
      </c>
      <c r="FM550" t="e">
        <f>AND(#REF!,"AAAAAH7Pv6g=")</f>
        <v>#REF!</v>
      </c>
      <c r="FN550" t="e">
        <f>AND(#REF!,"AAAAAH7Pv6k=")</f>
        <v>#REF!</v>
      </c>
      <c r="FO550" t="e">
        <f>AND(#REF!,"AAAAAH7Pv6o=")</f>
        <v>#REF!</v>
      </c>
      <c r="FP550" t="e">
        <f>IF(#REF!,"AAAAAH7Pv6s=",0)</f>
        <v>#REF!</v>
      </c>
      <c r="FQ550" t="e">
        <f>AND(#REF!,"AAAAAH7Pv6w=")</f>
        <v>#REF!</v>
      </c>
      <c r="FR550" t="e">
        <f>AND(#REF!,"AAAAAH7Pv60=")</f>
        <v>#REF!</v>
      </c>
      <c r="FS550" t="e">
        <f>AND(#REF!,"AAAAAH7Pv64=")</f>
        <v>#REF!</v>
      </c>
      <c r="FT550" t="e">
        <f>AND(#REF!,"AAAAAH7Pv68=")</f>
        <v>#REF!</v>
      </c>
      <c r="FU550" t="e">
        <f>AND(#REF!,"AAAAAH7Pv7A=")</f>
        <v>#REF!</v>
      </c>
      <c r="FV550" t="e">
        <f>AND(#REF!,"AAAAAH7Pv7E=")</f>
        <v>#REF!</v>
      </c>
      <c r="FW550" t="e">
        <f>AND(#REF!,"AAAAAH7Pv7I=")</f>
        <v>#REF!</v>
      </c>
      <c r="FX550" t="e">
        <f>AND(#REF!,"AAAAAH7Pv7M=")</f>
        <v>#REF!</v>
      </c>
      <c r="FY550" t="e">
        <f>AND(#REF!,"AAAAAH7Pv7Q=")</f>
        <v>#REF!</v>
      </c>
      <c r="FZ550" t="e">
        <f>AND(#REF!,"AAAAAH7Pv7U=")</f>
        <v>#REF!</v>
      </c>
      <c r="GA550" t="e">
        <f>IF(#REF!,"AAAAAH7Pv7Y=",0)</f>
        <v>#REF!</v>
      </c>
      <c r="GB550" t="e">
        <f>AND(#REF!,"AAAAAH7Pv7c=")</f>
        <v>#REF!</v>
      </c>
      <c r="GC550" t="e">
        <f>AND(#REF!,"AAAAAH7Pv7g=")</f>
        <v>#REF!</v>
      </c>
      <c r="GD550" t="e">
        <f>AND(#REF!,"AAAAAH7Pv7k=")</f>
        <v>#REF!</v>
      </c>
      <c r="GE550" t="e">
        <f>AND(#REF!,"AAAAAH7Pv7o=")</f>
        <v>#REF!</v>
      </c>
      <c r="GF550" t="e">
        <f>AND(#REF!,"AAAAAH7Pv7s=")</f>
        <v>#REF!</v>
      </c>
      <c r="GG550" t="e">
        <f>AND(#REF!,"AAAAAH7Pv7w=")</f>
        <v>#REF!</v>
      </c>
      <c r="GH550" t="e">
        <f>AND(#REF!,"AAAAAH7Pv70=")</f>
        <v>#REF!</v>
      </c>
      <c r="GI550" t="e">
        <f>AND(#REF!,"AAAAAH7Pv74=")</f>
        <v>#REF!</v>
      </c>
      <c r="GJ550" t="e">
        <f>AND(#REF!,"AAAAAH7Pv78=")</f>
        <v>#REF!</v>
      </c>
      <c r="GK550" t="e">
        <f>AND(#REF!,"AAAAAH7Pv8A=")</f>
        <v>#REF!</v>
      </c>
      <c r="GL550" t="e">
        <f>IF(#REF!,"AAAAAH7Pv8E=",0)</f>
        <v>#REF!</v>
      </c>
      <c r="GM550" t="e">
        <f>AND(#REF!,"AAAAAH7Pv8I=")</f>
        <v>#REF!</v>
      </c>
      <c r="GN550" t="e">
        <f>AND(#REF!,"AAAAAH7Pv8M=")</f>
        <v>#REF!</v>
      </c>
      <c r="GO550" t="e">
        <f>AND(#REF!,"AAAAAH7Pv8Q=")</f>
        <v>#REF!</v>
      </c>
      <c r="GP550" t="e">
        <f>AND(#REF!,"AAAAAH7Pv8U=")</f>
        <v>#REF!</v>
      </c>
      <c r="GQ550" t="e">
        <f>AND(#REF!,"AAAAAH7Pv8Y=")</f>
        <v>#REF!</v>
      </c>
      <c r="GR550" t="e">
        <f>AND(#REF!,"AAAAAH7Pv8c=")</f>
        <v>#REF!</v>
      </c>
      <c r="GS550" t="e">
        <f>AND(#REF!,"AAAAAH7Pv8g=")</f>
        <v>#REF!</v>
      </c>
      <c r="GT550" t="e">
        <f>AND(#REF!,"AAAAAH7Pv8k=")</f>
        <v>#REF!</v>
      </c>
      <c r="GU550" t="e">
        <f>AND(#REF!,"AAAAAH7Pv8o=")</f>
        <v>#REF!</v>
      </c>
      <c r="GV550" t="e">
        <f>AND(#REF!,"AAAAAH7Pv8s=")</f>
        <v>#REF!</v>
      </c>
      <c r="GW550" t="e">
        <f>IF(#REF!,"AAAAAH7Pv8w=",0)</f>
        <v>#REF!</v>
      </c>
      <c r="GX550" t="e">
        <f>AND(#REF!,"AAAAAH7Pv80=")</f>
        <v>#REF!</v>
      </c>
      <c r="GY550" t="e">
        <f>AND(#REF!,"AAAAAH7Pv84=")</f>
        <v>#REF!</v>
      </c>
      <c r="GZ550" t="e">
        <f>AND(#REF!,"AAAAAH7Pv88=")</f>
        <v>#REF!</v>
      </c>
      <c r="HA550" t="e">
        <f>AND(#REF!,"AAAAAH7Pv9A=")</f>
        <v>#REF!</v>
      </c>
      <c r="HB550" t="e">
        <f>AND(#REF!,"AAAAAH7Pv9E=")</f>
        <v>#REF!</v>
      </c>
      <c r="HC550" t="e">
        <f>AND(#REF!,"AAAAAH7Pv9I=")</f>
        <v>#REF!</v>
      </c>
      <c r="HD550" t="e">
        <f>AND(#REF!,"AAAAAH7Pv9M=")</f>
        <v>#REF!</v>
      </c>
      <c r="HE550" t="e">
        <f>AND(#REF!,"AAAAAH7Pv9Q=")</f>
        <v>#REF!</v>
      </c>
      <c r="HF550" t="e">
        <f>AND(#REF!,"AAAAAH7Pv9U=")</f>
        <v>#REF!</v>
      </c>
      <c r="HG550" t="e">
        <f>AND(#REF!,"AAAAAH7Pv9Y=")</f>
        <v>#REF!</v>
      </c>
      <c r="HH550" t="e">
        <f>IF(#REF!,"AAAAAH7Pv9c=",0)</f>
        <v>#REF!</v>
      </c>
      <c r="HI550" t="e">
        <f>AND(#REF!,"AAAAAH7Pv9g=")</f>
        <v>#REF!</v>
      </c>
      <c r="HJ550" t="e">
        <f>AND(#REF!,"AAAAAH7Pv9k=")</f>
        <v>#REF!</v>
      </c>
      <c r="HK550" t="e">
        <f>AND(#REF!,"AAAAAH7Pv9o=")</f>
        <v>#REF!</v>
      </c>
      <c r="HL550" t="e">
        <f>AND(#REF!,"AAAAAH7Pv9s=")</f>
        <v>#REF!</v>
      </c>
      <c r="HM550" t="e">
        <f>AND(#REF!,"AAAAAH7Pv9w=")</f>
        <v>#REF!</v>
      </c>
      <c r="HN550" t="e">
        <f>AND(#REF!,"AAAAAH7Pv90=")</f>
        <v>#REF!</v>
      </c>
      <c r="HO550" t="e">
        <f>AND(#REF!,"AAAAAH7Pv94=")</f>
        <v>#REF!</v>
      </c>
      <c r="HP550" t="e">
        <f>AND(#REF!,"AAAAAH7Pv98=")</f>
        <v>#REF!</v>
      </c>
      <c r="HQ550" t="e">
        <f>AND(#REF!,"AAAAAH7Pv+A=")</f>
        <v>#REF!</v>
      </c>
      <c r="HR550" t="e">
        <f>AND(#REF!,"AAAAAH7Pv+E=")</f>
        <v>#REF!</v>
      </c>
      <c r="HS550" t="e">
        <f>IF(#REF!,"AAAAAH7Pv+I=",0)</f>
        <v>#REF!</v>
      </c>
      <c r="HT550" t="e">
        <f>AND(#REF!,"AAAAAH7Pv+M=")</f>
        <v>#REF!</v>
      </c>
      <c r="HU550" t="e">
        <f>AND(#REF!,"AAAAAH7Pv+Q=")</f>
        <v>#REF!</v>
      </c>
      <c r="HV550" t="e">
        <f>AND(#REF!,"AAAAAH7Pv+U=")</f>
        <v>#REF!</v>
      </c>
      <c r="HW550" t="e">
        <f>AND(#REF!,"AAAAAH7Pv+Y=")</f>
        <v>#REF!</v>
      </c>
      <c r="HX550" t="e">
        <f>AND(#REF!,"AAAAAH7Pv+c=")</f>
        <v>#REF!</v>
      </c>
      <c r="HY550" t="e">
        <f>AND(#REF!,"AAAAAH7Pv+g=")</f>
        <v>#REF!</v>
      </c>
      <c r="HZ550" t="e">
        <f>AND(#REF!,"AAAAAH7Pv+k=")</f>
        <v>#REF!</v>
      </c>
      <c r="IA550" t="e">
        <f>AND(#REF!,"AAAAAH7Pv+o=")</f>
        <v>#REF!</v>
      </c>
      <c r="IB550" t="e">
        <f>AND(#REF!,"AAAAAH7Pv+s=")</f>
        <v>#REF!</v>
      </c>
      <c r="IC550" t="e">
        <f>AND(#REF!,"AAAAAH7Pv+w=")</f>
        <v>#REF!</v>
      </c>
      <c r="ID550" t="e">
        <f>IF(#REF!,"AAAAAH7Pv+0=",0)</f>
        <v>#REF!</v>
      </c>
      <c r="IE550" t="e">
        <f>AND(#REF!,"AAAAAH7Pv+4=")</f>
        <v>#REF!</v>
      </c>
      <c r="IF550" t="e">
        <f>AND(#REF!,"AAAAAH7Pv+8=")</f>
        <v>#REF!</v>
      </c>
      <c r="IG550" t="e">
        <f>AND(#REF!,"AAAAAH7Pv/A=")</f>
        <v>#REF!</v>
      </c>
      <c r="IH550" t="e">
        <f>AND(#REF!,"AAAAAH7Pv/E=")</f>
        <v>#REF!</v>
      </c>
      <c r="II550" t="e">
        <f>AND(#REF!,"AAAAAH7Pv/I=")</f>
        <v>#REF!</v>
      </c>
      <c r="IJ550" t="e">
        <f>AND(#REF!,"AAAAAH7Pv/M=")</f>
        <v>#REF!</v>
      </c>
      <c r="IK550" t="e">
        <f>AND(#REF!,"AAAAAH7Pv/Q=")</f>
        <v>#REF!</v>
      </c>
      <c r="IL550" t="e">
        <f>AND(#REF!,"AAAAAH7Pv/U=")</f>
        <v>#REF!</v>
      </c>
      <c r="IM550" t="e">
        <f>AND(#REF!,"AAAAAH7Pv/Y=")</f>
        <v>#REF!</v>
      </c>
      <c r="IN550" t="e">
        <f>AND(#REF!,"AAAAAH7Pv/c=")</f>
        <v>#REF!</v>
      </c>
      <c r="IO550" t="e">
        <f>IF(#REF!,"AAAAAH7Pv/g=",0)</f>
        <v>#REF!</v>
      </c>
      <c r="IP550" t="e">
        <f>AND(#REF!,"AAAAAH7Pv/k=")</f>
        <v>#REF!</v>
      </c>
      <c r="IQ550" t="e">
        <f>AND(#REF!,"AAAAAH7Pv/o=")</f>
        <v>#REF!</v>
      </c>
      <c r="IR550" t="e">
        <f>AND(#REF!,"AAAAAH7Pv/s=")</f>
        <v>#REF!</v>
      </c>
      <c r="IS550" t="e">
        <f>AND(#REF!,"AAAAAH7Pv/w=")</f>
        <v>#REF!</v>
      </c>
      <c r="IT550" t="e">
        <f>AND(#REF!,"AAAAAH7Pv/0=")</f>
        <v>#REF!</v>
      </c>
      <c r="IU550" t="e">
        <f>AND(#REF!,"AAAAAH7Pv/4=")</f>
        <v>#REF!</v>
      </c>
      <c r="IV550" t="e">
        <f>AND(#REF!,"AAAAAH7Pv/8=")</f>
        <v>#REF!</v>
      </c>
    </row>
    <row r="551" spans="1:256" x14ac:dyDescent="0.25">
      <c r="A551" t="e">
        <f>AND(#REF!,"AAAAAG0ZfQA=")</f>
        <v>#REF!</v>
      </c>
      <c r="B551" t="e">
        <f>AND(#REF!,"AAAAAG0ZfQE=")</f>
        <v>#REF!</v>
      </c>
      <c r="C551" t="e">
        <f>AND(#REF!,"AAAAAG0ZfQI=")</f>
        <v>#REF!</v>
      </c>
      <c r="D551" t="e">
        <f>IF(#REF!,"AAAAAG0ZfQM=",0)</f>
        <v>#REF!</v>
      </c>
      <c r="E551" t="e">
        <f>AND(#REF!,"AAAAAG0ZfQQ=")</f>
        <v>#REF!</v>
      </c>
      <c r="F551" t="e">
        <f>AND(#REF!,"AAAAAG0ZfQU=")</f>
        <v>#REF!</v>
      </c>
      <c r="G551" t="e">
        <f>AND(#REF!,"AAAAAG0ZfQY=")</f>
        <v>#REF!</v>
      </c>
      <c r="H551" t="e">
        <f>AND(#REF!,"AAAAAG0ZfQc=")</f>
        <v>#REF!</v>
      </c>
      <c r="I551" t="e">
        <f>AND(#REF!,"AAAAAG0ZfQg=")</f>
        <v>#REF!</v>
      </c>
      <c r="J551" t="e">
        <f>AND(#REF!,"AAAAAG0ZfQk=")</f>
        <v>#REF!</v>
      </c>
      <c r="K551" t="e">
        <f>AND(#REF!,"AAAAAG0ZfQo=")</f>
        <v>#REF!</v>
      </c>
      <c r="L551" t="e">
        <f>AND(#REF!,"AAAAAG0ZfQs=")</f>
        <v>#REF!</v>
      </c>
      <c r="M551" t="e">
        <f>AND(#REF!,"AAAAAG0ZfQw=")</f>
        <v>#REF!</v>
      </c>
      <c r="N551" t="e">
        <f>AND(#REF!,"AAAAAG0ZfQ0=")</f>
        <v>#REF!</v>
      </c>
      <c r="O551" t="e">
        <f>IF(#REF!,"AAAAAG0ZfQ4=",0)</f>
        <v>#REF!</v>
      </c>
      <c r="P551" t="e">
        <f>AND(#REF!,"AAAAAG0ZfQ8=")</f>
        <v>#REF!</v>
      </c>
      <c r="Q551" t="e">
        <f>AND(#REF!,"AAAAAG0ZfRA=")</f>
        <v>#REF!</v>
      </c>
      <c r="R551" t="e">
        <f>AND(#REF!,"AAAAAG0ZfRE=")</f>
        <v>#REF!</v>
      </c>
      <c r="S551" t="e">
        <f>AND(#REF!,"AAAAAG0ZfRI=")</f>
        <v>#REF!</v>
      </c>
      <c r="T551" t="e">
        <f>AND(#REF!,"AAAAAG0ZfRM=")</f>
        <v>#REF!</v>
      </c>
      <c r="U551" t="e">
        <f>AND(#REF!,"AAAAAG0ZfRQ=")</f>
        <v>#REF!</v>
      </c>
      <c r="V551" t="e">
        <f>AND(#REF!,"AAAAAG0ZfRU=")</f>
        <v>#REF!</v>
      </c>
      <c r="W551" t="e">
        <f>AND(#REF!,"AAAAAG0ZfRY=")</f>
        <v>#REF!</v>
      </c>
      <c r="X551" t="e">
        <f>AND(#REF!,"AAAAAG0ZfRc=")</f>
        <v>#REF!</v>
      </c>
      <c r="Y551" t="e">
        <f>AND(#REF!,"AAAAAG0ZfRg=")</f>
        <v>#REF!</v>
      </c>
      <c r="Z551" t="e">
        <f>IF(#REF!,"AAAAAG0ZfRk=",0)</f>
        <v>#REF!</v>
      </c>
      <c r="AA551" t="e">
        <f>AND(#REF!,"AAAAAG0ZfRo=")</f>
        <v>#REF!</v>
      </c>
      <c r="AB551" t="e">
        <f>AND(#REF!,"AAAAAG0ZfRs=")</f>
        <v>#REF!</v>
      </c>
      <c r="AC551" t="e">
        <f>AND(#REF!,"AAAAAG0ZfRw=")</f>
        <v>#REF!</v>
      </c>
      <c r="AD551" t="e">
        <f>AND(#REF!,"AAAAAG0ZfR0=")</f>
        <v>#REF!</v>
      </c>
      <c r="AE551" t="e">
        <f>AND(#REF!,"AAAAAG0ZfR4=")</f>
        <v>#REF!</v>
      </c>
      <c r="AF551" t="e">
        <f>AND(#REF!,"AAAAAG0ZfR8=")</f>
        <v>#REF!</v>
      </c>
      <c r="AG551" t="e">
        <f>AND(#REF!,"AAAAAG0ZfSA=")</f>
        <v>#REF!</v>
      </c>
      <c r="AH551" t="e">
        <f>AND(#REF!,"AAAAAG0ZfSE=")</f>
        <v>#REF!</v>
      </c>
      <c r="AI551" t="e">
        <f>AND(#REF!,"AAAAAG0ZfSI=")</f>
        <v>#REF!</v>
      </c>
      <c r="AJ551" t="e">
        <f>AND(#REF!,"AAAAAG0ZfSM=")</f>
        <v>#REF!</v>
      </c>
      <c r="AK551" t="e">
        <f>IF(#REF!,"AAAAAG0ZfSQ=",0)</f>
        <v>#REF!</v>
      </c>
      <c r="AL551" t="e">
        <f>AND(#REF!,"AAAAAG0ZfSU=")</f>
        <v>#REF!</v>
      </c>
      <c r="AM551" t="e">
        <f>AND(#REF!,"AAAAAG0ZfSY=")</f>
        <v>#REF!</v>
      </c>
      <c r="AN551" t="e">
        <f>AND(#REF!,"AAAAAG0ZfSc=")</f>
        <v>#REF!</v>
      </c>
      <c r="AO551" t="e">
        <f>AND(#REF!,"AAAAAG0ZfSg=")</f>
        <v>#REF!</v>
      </c>
      <c r="AP551" t="e">
        <f>AND(#REF!,"AAAAAG0ZfSk=")</f>
        <v>#REF!</v>
      </c>
      <c r="AQ551" t="e">
        <f>AND(#REF!,"AAAAAG0ZfSo=")</f>
        <v>#REF!</v>
      </c>
      <c r="AR551" t="e">
        <f>AND(#REF!,"AAAAAG0ZfSs=")</f>
        <v>#REF!</v>
      </c>
      <c r="AS551" t="e">
        <f>AND(#REF!,"AAAAAG0ZfSw=")</f>
        <v>#REF!</v>
      </c>
      <c r="AT551" t="e">
        <f>AND(#REF!,"AAAAAG0ZfS0=")</f>
        <v>#REF!</v>
      </c>
      <c r="AU551" t="e">
        <f>AND(#REF!,"AAAAAG0ZfS4=")</f>
        <v>#REF!</v>
      </c>
      <c r="AV551" t="e">
        <f>IF(#REF!,"AAAAAG0ZfS8=",0)</f>
        <v>#REF!</v>
      </c>
      <c r="AW551" t="e">
        <f>AND(#REF!,"AAAAAG0ZfTA=")</f>
        <v>#REF!</v>
      </c>
      <c r="AX551" t="e">
        <f>AND(#REF!,"AAAAAG0ZfTE=")</f>
        <v>#REF!</v>
      </c>
      <c r="AY551" t="e">
        <f>AND(#REF!,"AAAAAG0ZfTI=")</f>
        <v>#REF!</v>
      </c>
      <c r="AZ551" t="e">
        <f>AND(#REF!,"AAAAAG0ZfTM=")</f>
        <v>#REF!</v>
      </c>
      <c r="BA551" t="e">
        <f>AND(#REF!,"AAAAAG0ZfTQ=")</f>
        <v>#REF!</v>
      </c>
      <c r="BB551" t="e">
        <f>AND(#REF!,"AAAAAG0ZfTU=")</f>
        <v>#REF!</v>
      </c>
      <c r="BC551" t="e">
        <f>AND(#REF!,"AAAAAG0ZfTY=")</f>
        <v>#REF!</v>
      </c>
      <c r="BD551" t="e">
        <f>AND(#REF!,"AAAAAG0ZfTc=")</f>
        <v>#REF!</v>
      </c>
      <c r="BE551" t="e">
        <f>AND(#REF!,"AAAAAG0ZfTg=")</f>
        <v>#REF!</v>
      </c>
      <c r="BF551" t="e">
        <f>AND(#REF!,"AAAAAG0ZfTk=")</f>
        <v>#REF!</v>
      </c>
      <c r="BG551" t="e">
        <f>IF(#REF!,"AAAAAG0ZfTo=",0)</f>
        <v>#REF!</v>
      </c>
      <c r="BH551" t="e">
        <f>AND(#REF!,"AAAAAG0ZfTs=")</f>
        <v>#REF!</v>
      </c>
      <c r="BI551" t="e">
        <f>AND(#REF!,"AAAAAG0ZfTw=")</f>
        <v>#REF!</v>
      </c>
      <c r="BJ551" t="e">
        <f>AND(#REF!,"AAAAAG0ZfT0=")</f>
        <v>#REF!</v>
      </c>
      <c r="BK551" t="e">
        <f>AND(#REF!,"AAAAAG0ZfT4=")</f>
        <v>#REF!</v>
      </c>
      <c r="BL551" t="e">
        <f>AND(#REF!,"AAAAAG0ZfT8=")</f>
        <v>#REF!</v>
      </c>
      <c r="BM551" t="e">
        <f>AND(#REF!,"AAAAAG0ZfUA=")</f>
        <v>#REF!</v>
      </c>
      <c r="BN551" t="e">
        <f>AND(#REF!,"AAAAAG0ZfUE=")</f>
        <v>#REF!</v>
      </c>
      <c r="BO551" t="e">
        <f>AND(#REF!,"AAAAAG0ZfUI=")</f>
        <v>#REF!</v>
      </c>
      <c r="BP551" t="e">
        <f>AND(#REF!,"AAAAAG0ZfUM=")</f>
        <v>#REF!</v>
      </c>
      <c r="BQ551" t="e">
        <f>AND(#REF!,"AAAAAG0ZfUQ=")</f>
        <v>#REF!</v>
      </c>
      <c r="BR551" t="e">
        <f>IF(#REF!,"AAAAAG0ZfUU=",0)</f>
        <v>#REF!</v>
      </c>
      <c r="BS551" t="e">
        <f>AND(#REF!,"AAAAAG0ZfUY=")</f>
        <v>#REF!</v>
      </c>
      <c r="BT551" t="e">
        <f>AND(#REF!,"AAAAAG0ZfUc=")</f>
        <v>#REF!</v>
      </c>
      <c r="BU551" t="e">
        <f>AND(#REF!,"AAAAAG0ZfUg=")</f>
        <v>#REF!</v>
      </c>
      <c r="BV551" t="e">
        <f>AND(#REF!,"AAAAAG0ZfUk=")</f>
        <v>#REF!</v>
      </c>
      <c r="BW551" t="e">
        <f>AND(#REF!,"AAAAAG0ZfUo=")</f>
        <v>#REF!</v>
      </c>
      <c r="BX551" t="e">
        <f>AND(#REF!,"AAAAAG0ZfUs=")</f>
        <v>#REF!</v>
      </c>
      <c r="BY551" t="e">
        <f>AND(#REF!,"AAAAAG0ZfUw=")</f>
        <v>#REF!</v>
      </c>
      <c r="BZ551" t="e">
        <f>AND(#REF!,"AAAAAG0ZfU0=")</f>
        <v>#REF!</v>
      </c>
      <c r="CA551" t="e">
        <f>AND(#REF!,"AAAAAG0ZfU4=")</f>
        <v>#REF!</v>
      </c>
      <c r="CB551" t="e">
        <f>AND(#REF!,"AAAAAG0ZfU8=")</f>
        <v>#REF!</v>
      </c>
      <c r="CC551" t="e">
        <f>IF(#REF!,"AAAAAG0ZfVA=",0)</f>
        <v>#REF!</v>
      </c>
      <c r="CD551" t="e">
        <f>AND(#REF!,"AAAAAG0ZfVE=")</f>
        <v>#REF!</v>
      </c>
      <c r="CE551" t="e">
        <f>AND(#REF!,"AAAAAG0ZfVI=")</f>
        <v>#REF!</v>
      </c>
      <c r="CF551" t="e">
        <f>AND(#REF!,"AAAAAG0ZfVM=")</f>
        <v>#REF!</v>
      </c>
      <c r="CG551" t="e">
        <f>AND(#REF!,"AAAAAG0ZfVQ=")</f>
        <v>#REF!</v>
      </c>
      <c r="CH551" t="e">
        <f>AND(#REF!,"AAAAAG0ZfVU=")</f>
        <v>#REF!</v>
      </c>
      <c r="CI551" t="e">
        <f>AND(#REF!,"AAAAAG0ZfVY=")</f>
        <v>#REF!</v>
      </c>
      <c r="CJ551" t="e">
        <f>AND(#REF!,"AAAAAG0ZfVc=")</f>
        <v>#REF!</v>
      </c>
      <c r="CK551" t="e">
        <f>AND(#REF!,"AAAAAG0ZfVg=")</f>
        <v>#REF!</v>
      </c>
      <c r="CL551" t="e">
        <f>AND(#REF!,"AAAAAG0ZfVk=")</f>
        <v>#REF!</v>
      </c>
      <c r="CM551" t="e">
        <f>AND(#REF!,"AAAAAG0ZfVo=")</f>
        <v>#REF!</v>
      </c>
      <c r="CN551" t="e">
        <f>IF(#REF!,"AAAAAG0ZfVs=",0)</f>
        <v>#REF!</v>
      </c>
      <c r="CO551" t="e">
        <f>AND(#REF!,"AAAAAG0ZfVw=")</f>
        <v>#REF!</v>
      </c>
      <c r="CP551" t="e">
        <f>AND(#REF!,"AAAAAG0ZfV0=")</f>
        <v>#REF!</v>
      </c>
      <c r="CQ551" t="e">
        <f>AND(#REF!,"AAAAAG0ZfV4=")</f>
        <v>#REF!</v>
      </c>
      <c r="CR551" t="e">
        <f>AND(#REF!,"AAAAAG0ZfV8=")</f>
        <v>#REF!</v>
      </c>
      <c r="CS551" t="e">
        <f>AND(#REF!,"AAAAAG0ZfWA=")</f>
        <v>#REF!</v>
      </c>
      <c r="CT551" t="e">
        <f>AND(#REF!,"AAAAAG0ZfWE=")</f>
        <v>#REF!</v>
      </c>
      <c r="CU551" t="e">
        <f>AND(#REF!,"AAAAAG0ZfWI=")</f>
        <v>#REF!</v>
      </c>
      <c r="CV551" t="e">
        <f>AND(#REF!,"AAAAAG0ZfWM=")</f>
        <v>#REF!</v>
      </c>
      <c r="CW551" t="e">
        <f>AND(#REF!,"AAAAAG0ZfWQ=")</f>
        <v>#REF!</v>
      </c>
      <c r="CX551" t="e">
        <f>AND(#REF!,"AAAAAG0ZfWU=")</f>
        <v>#REF!</v>
      </c>
      <c r="CY551" t="e">
        <f>IF(#REF!,"AAAAAG0ZfWY=",0)</f>
        <v>#REF!</v>
      </c>
      <c r="CZ551" t="e">
        <f>AND(#REF!,"AAAAAG0ZfWc=")</f>
        <v>#REF!</v>
      </c>
      <c r="DA551" t="e">
        <f>AND(#REF!,"AAAAAG0ZfWg=")</f>
        <v>#REF!</v>
      </c>
      <c r="DB551" t="e">
        <f>AND(#REF!,"AAAAAG0ZfWk=")</f>
        <v>#REF!</v>
      </c>
      <c r="DC551" t="e">
        <f>AND(#REF!,"AAAAAG0ZfWo=")</f>
        <v>#REF!</v>
      </c>
      <c r="DD551" t="e">
        <f>AND(#REF!,"AAAAAG0ZfWs=")</f>
        <v>#REF!</v>
      </c>
      <c r="DE551" t="e">
        <f>AND(#REF!,"AAAAAG0ZfWw=")</f>
        <v>#REF!</v>
      </c>
      <c r="DF551" t="e">
        <f>AND(#REF!,"AAAAAG0ZfW0=")</f>
        <v>#REF!</v>
      </c>
      <c r="DG551" t="e">
        <f>AND(#REF!,"AAAAAG0ZfW4=")</f>
        <v>#REF!</v>
      </c>
      <c r="DH551" t="e">
        <f>AND(#REF!,"AAAAAG0ZfW8=")</f>
        <v>#REF!</v>
      </c>
      <c r="DI551" t="e">
        <f>AND(#REF!,"AAAAAG0ZfXA=")</f>
        <v>#REF!</v>
      </c>
      <c r="DJ551" t="e">
        <f>IF(#REF!,"AAAAAG0ZfXE=",0)</f>
        <v>#REF!</v>
      </c>
      <c r="DK551" t="e">
        <f>AND(#REF!,"AAAAAG0ZfXI=")</f>
        <v>#REF!</v>
      </c>
      <c r="DL551" t="e">
        <f>AND(#REF!,"AAAAAG0ZfXM=")</f>
        <v>#REF!</v>
      </c>
      <c r="DM551" t="e">
        <f>AND(#REF!,"AAAAAG0ZfXQ=")</f>
        <v>#REF!</v>
      </c>
      <c r="DN551" t="e">
        <f>AND(#REF!,"AAAAAG0ZfXU=")</f>
        <v>#REF!</v>
      </c>
      <c r="DO551" t="e">
        <f>AND(#REF!,"AAAAAG0ZfXY=")</f>
        <v>#REF!</v>
      </c>
      <c r="DP551" t="e">
        <f>AND(#REF!,"AAAAAG0ZfXc=")</f>
        <v>#REF!</v>
      </c>
      <c r="DQ551" t="e">
        <f>AND(#REF!,"AAAAAG0ZfXg=")</f>
        <v>#REF!</v>
      </c>
      <c r="DR551" t="e">
        <f>AND(#REF!,"AAAAAG0ZfXk=")</f>
        <v>#REF!</v>
      </c>
      <c r="DS551" t="e">
        <f>AND(#REF!,"AAAAAG0ZfXo=")</f>
        <v>#REF!</v>
      </c>
      <c r="DT551" t="e">
        <f>AND(#REF!,"AAAAAG0ZfXs=")</f>
        <v>#REF!</v>
      </c>
      <c r="DU551" t="e">
        <f>IF(#REF!,"AAAAAG0ZfXw=",0)</f>
        <v>#REF!</v>
      </c>
      <c r="DV551" t="e">
        <f>AND(#REF!,"AAAAAG0ZfX0=")</f>
        <v>#REF!</v>
      </c>
      <c r="DW551" t="e">
        <f>AND(#REF!,"AAAAAG0ZfX4=")</f>
        <v>#REF!</v>
      </c>
      <c r="DX551" t="e">
        <f>AND(#REF!,"AAAAAG0ZfX8=")</f>
        <v>#REF!</v>
      </c>
      <c r="DY551" t="e">
        <f>AND(#REF!,"AAAAAG0ZfYA=")</f>
        <v>#REF!</v>
      </c>
      <c r="DZ551" t="e">
        <f>AND(#REF!,"AAAAAG0ZfYE=")</f>
        <v>#REF!</v>
      </c>
      <c r="EA551" t="e">
        <f>AND(#REF!,"AAAAAG0ZfYI=")</f>
        <v>#REF!</v>
      </c>
      <c r="EB551" t="e">
        <f>AND(#REF!,"AAAAAG0ZfYM=")</f>
        <v>#REF!</v>
      </c>
      <c r="EC551" t="e">
        <f>AND(#REF!,"AAAAAG0ZfYQ=")</f>
        <v>#REF!</v>
      </c>
      <c r="ED551" t="e">
        <f>AND(#REF!,"AAAAAG0ZfYU=")</f>
        <v>#REF!</v>
      </c>
      <c r="EE551" t="e">
        <f>AND(#REF!,"AAAAAG0ZfYY=")</f>
        <v>#REF!</v>
      </c>
      <c r="EF551" t="e">
        <f>IF(#REF!,"AAAAAG0ZfYc=",0)</f>
        <v>#REF!</v>
      </c>
      <c r="EG551" t="e">
        <f>AND(#REF!,"AAAAAG0ZfYg=")</f>
        <v>#REF!</v>
      </c>
      <c r="EH551" t="e">
        <f>AND(#REF!,"AAAAAG0ZfYk=")</f>
        <v>#REF!</v>
      </c>
      <c r="EI551" t="e">
        <f>AND(#REF!,"AAAAAG0ZfYo=")</f>
        <v>#REF!</v>
      </c>
      <c r="EJ551" t="e">
        <f>AND(#REF!,"AAAAAG0ZfYs=")</f>
        <v>#REF!</v>
      </c>
      <c r="EK551" t="e">
        <f>AND(#REF!,"AAAAAG0ZfYw=")</f>
        <v>#REF!</v>
      </c>
      <c r="EL551" t="e">
        <f>AND(#REF!,"AAAAAG0ZfY0=")</f>
        <v>#REF!</v>
      </c>
      <c r="EM551" t="e">
        <f>AND(#REF!,"AAAAAG0ZfY4=")</f>
        <v>#REF!</v>
      </c>
      <c r="EN551" t="e">
        <f>AND(#REF!,"AAAAAG0ZfY8=")</f>
        <v>#REF!</v>
      </c>
      <c r="EO551" t="e">
        <f>AND(#REF!,"AAAAAG0ZfZA=")</f>
        <v>#REF!</v>
      </c>
      <c r="EP551" t="e">
        <f>AND(#REF!,"AAAAAG0ZfZE=")</f>
        <v>#REF!</v>
      </c>
      <c r="EQ551" t="e">
        <f>IF(#REF!,"AAAAAG0ZfZI=",0)</f>
        <v>#REF!</v>
      </c>
      <c r="ER551" t="e">
        <f>AND(#REF!,"AAAAAG0ZfZM=")</f>
        <v>#REF!</v>
      </c>
      <c r="ES551" t="e">
        <f>AND(#REF!,"AAAAAG0ZfZQ=")</f>
        <v>#REF!</v>
      </c>
      <c r="ET551" t="e">
        <f>AND(#REF!,"AAAAAG0ZfZU=")</f>
        <v>#REF!</v>
      </c>
      <c r="EU551" t="e">
        <f>AND(#REF!,"AAAAAG0ZfZY=")</f>
        <v>#REF!</v>
      </c>
      <c r="EV551" t="e">
        <f>AND(#REF!,"AAAAAG0ZfZc=")</f>
        <v>#REF!</v>
      </c>
      <c r="EW551" t="e">
        <f>AND(#REF!,"AAAAAG0ZfZg=")</f>
        <v>#REF!</v>
      </c>
      <c r="EX551" t="e">
        <f>AND(#REF!,"AAAAAG0ZfZk=")</f>
        <v>#REF!</v>
      </c>
      <c r="EY551" t="e">
        <f>AND(#REF!,"AAAAAG0ZfZo=")</f>
        <v>#REF!</v>
      </c>
      <c r="EZ551" t="e">
        <f>AND(#REF!,"AAAAAG0ZfZs=")</f>
        <v>#REF!</v>
      </c>
      <c r="FA551" t="e">
        <f>AND(#REF!,"AAAAAG0ZfZw=")</f>
        <v>#REF!</v>
      </c>
      <c r="FB551" t="e">
        <f>IF(#REF!,"AAAAAG0ZfZ0=",0)</f>
        <v>#REF!</v>
      </c>
      <c r="FC551" t="e">
        <f>AND(#REF!,"AAAAAG0ZfZ4=")</f>
        <v>#REF!</v>
      </c>
      <c r="FD551" t="e">
        <f>AND(#REF!,"AAAAAG0ZfZ8=")</f>
        <v>#REF!</v>
      </c>
      <c r="FE551" t="e">
        <f>AND(#REF!,"AAAAAG0ZfaA=")</f>
        <v>#REF!</v>
      </c>
      <c r="FF551" t="e">
        <f>AND(#REF!,"AAAAAG0ZfaE=")</f>
        <v>#REF!</v>
      </c>
      <c r="FG551" t="e">
        <f>AND(#REF!,"AAAAAG0ZfaI=")</f>
        <v>#REF!</v>
      </c>
      <c r="FH551" t="e">
        <f>AND(#REF!,"AAAAAG0ZfaM=")</f>
        <v>#REF!</v>
      </c>
      <c r="FI551" t="e">
        <f>AND(#REF!,"AAAAAG0ZfaQ=")</f>
        <v>#REF!</v>
      </c>
      <c r="FJ551" t="e">
        <f>AND(#REF!,"AAAAAG0ZfaU=")</f>
        <v>#REF!</v>
      </c>
      <c r="FK551" t="e">
        <f>AND(#REF!,"AAAAAG0ZfaY=")</f>
        <v>#REF!</v>
      </c>
      <c r="FL551" t="e">
        <f>AND(#REF!,"AAAAAG0Zfac=")</f>
        <v>#REF!</v>
      </c>
      <c r="FM551" t="e">
        <f>IF(#REF!,"AAAAAG0Zfag=",0)</f>
        <v>#REF!</v>
      </c>
      <c r="FN551" t="e">
        <f>AND(#REF!,"AAAAAG0Zfak=")</f>
        <v>#REF!</v>
      </c>
      <c r="FO551" t="e">
        <f>AND(#REF!,"AAAAAG0Zfao=")</f>
        <v>#REF!</v>
      </c>
      <c r="FP551" t="e">
        <f>AND(#REF!,"AAAAAG0Zfas=")</f>
        <v>#REF!</v>
      </c>
      <c r="FQ551" t="e">
        <f>AND(#REF!,"AAAAAG0Zfaw=")</f>
        <v>#REF!</v>
      </c>
      <c r="FR551" t="e">
        <f>AND(#REF!,"AAAAAG0Zfa0=")</f>
        <v>#REF!</v>
      </c>
      <c r="FS551" t="e">
        <f>AND(#REF!,"AAAAAG0Zfa4=")</f>
        <v>#REF!</v>
      </c>
      <c r="FT551" t="e">
        <f>AND(#REF!,"AAAAAG0Zfa8=")</f>
        <v>#REF!</v>
      </c>
      <c r="FU551" t="e">
        <f>AND(#REF!,"AAAAAG0ZfbA=")</f>
        <v>#REF!</v>
      </c>
      <c r="FV551" t="e">
        <f>AND(#REF!,"AAAAAG0ZfbE=")</f>
        <v>#REF!</v>
      </c>
      <c r="FW551" t="e">
        <f>AND(#REF!,"AAAAAG0ZfbI=")</f>
        <v>#REF!</v>
      </c>
      <c r="FX551" t="e">
        <f>IF(#REF!,"AAAAAG0ZfbM=",0)</f>
        <v>#REF!</v>
      </c>
      <c r="FY551" t="e">
        <f>AND(#REF!,"AAAAAG0ZfbQ=")</f>
        <v>#REF!</v>
      </c>
      <c r="FZ551" t="e">
        <f>AND(#REF!,"AAAAAG0ZfbU=")</f>
        <v>#REF!</v>
      </c>
      <c r="GA551" t="e">
        <f>AND(#REF!,"AAAAAG0ZfbY=")</f>
        <v>#REF!</v>
      </c>
      <c r="GB551" t="e">
        <f>AND(#REF!,"AAAAAG0Zfbc=")</f>
        <v>#REF!</v>
      </c>
      <c r="GC551" t="e">
        <f>AND(#REF!,"AAAAAG0Zfbg=")</f>
        <v>#REF!</v>
      </c>
      <c r="GD551" t="e">
        <f>AND(#REF!,"AAAAAG0Zfbk=")</f>
        <v>#REF!</v>
      </c>
      <c r="GE551" t="e">
        <f>AND(#REF!,"AAAAAG0Zfbo=")</f>
        <v>#REF!</v>
      </c>
      <c r="GF551" t="e">
        <f>AND(#REF!,"AAAAAG0Zfbs=")</f>
        <v>#REF!</v>
      </c>
      <c r="GG551" t="e">
        <f>AND(#REF!,"AAAAAG0Zfbw=")</f>
        <v>#REF!</v>
      </c>
      <c r="GH551" t="e">
        <f>AND(#REF!,"AAAAAG0Zfb0=")</f>
        <v>#REF!</v>
      </c>
      <c r="GI551" t="e">
        <f>IF(#REF!,"AAAAAG0Zfb4=",0)</f>
        <v>#REF!</v>
      </c>
      <c r="GJ551" t="e">
        <f>AND(#REF!,"AAAAAG0Zfb8=")</f>
        <v>#REF!</v>
      </c>
      <c r="GK551" t="e">
        <f>AND(#REF!,"AAAAAG0ZfcA=")</f>
        <v>#REF!</v>
      </c>
      <c r="GL551" t="e">
        <f>AND(#REF!,"AAAAAG0ZfcE=")</f>
        <v>#REF!</v>
      </c>
      <c r="GM551" t="e">
        <f>AND(#REF!,"AAAAAG0ZfcI=")</f>
        <v>#REF!</v>
      </c>
      <c r="GN551" t="e">
        <f>AND(#REF!,"AAAAAG0ZfcM=")</f>
        <v>#REF!</v>
      </c>
      <c r="GO551" t="e">
        <f>AND(#REF!,"AAAAAG0ZfcQ=")</f>
        <v>#REF!</v>
      </c>
      <c r="GP551" t="e">
        <f>AND(#REF!,"AAAAAG0ZfcU=")</f>
        <v>#REF!</v>
      </c>
      <c r="GQ551" t="e">
        <f>AND(#REF!,"AAAAAG0ZfcY=")</f>
        <v>#REF!</v>
      </c>
      <c r="GR551" t="e">
        <f>AND(#REF!,"AAAAAG0Zfcc=")</f>
        <v>#REF!</v>
      </c>
      <c r="GS551" t="e">
        <f>AND(#REF!,"AAAAAG0Zfcg=")</f>
        <v>#REF!</v>
      </c>
      <c r="GT551" t="e">
        <f>IF(#REF!,"AAAAAG0Zfck=",0)</f>
        <v>#REF!</v>
      </c>
      <c r="GU551" t="e">
        <f>AND(#REF!,"AAAAAG0Zfco=")</f>
        <v>#REF!</v>
      </c>
      <c r="GV551" t="e">
        <f>AND(#REF!,"AAAAAG0Zfcs=")</f>
        <v>#REF!</v>
      </c>
      <c r="GW551" t="e">
        <f>AND(#REF!,"AAAAAG0Zfcw=")</f>
        <v>#REF!</v>
      </c>
      <c r="GX551" t="e">
        <f>AND(#REF!,"AAAAAG0Zfc0=")</f>
        <v>#REF!</v>
      </c>
      <c r="GY551" t="e">
        <f>AND(#REF!,"AAAAAG0Zfc4=")</f>
        <v>#REF!</v>
      </c>
      <c r="GZ551" t="e">
        <f>AND(#REF!,"AAAAAG0Zfc8=")</f>
        <v>#REF!</v>
      </c>
      <c r="HA551" t="e">
        <f>AND(#REF!,"AAAAAG0ZfdA=")</f>
        <v>#REF!</v>
      </c>
      <c r="HB551" t="e">
        <f>AND(#REF!,"AAAAAG0ZfdE=")</f>
        <v>#REF!</v>
      </c>
      <c r="HC551" t="e">
        <f>AND(#REF!,"AAAAAG0ZfdI=")</f>
        <v>#REF!</v>
      </c>
      <c r="HD551" t="e">
        <f>AND(#REF!,"AAAAAG0ZfdM=")</f>
        <v>#REF!</v>
      </c>
      <c r="HE551" t="e">
        <f>IF(#REF!,"AAAAAG0ZfdQ=",0)</f>
        <v>#REF!</v>
      </c>
      <c r="HF551" t="e">
        <f>AND(#REF!,"AAAAAG0ZfdU=")</f>
        <v>#REF!</v>
      </c>
      <c r="HG551" t="e">
        <f>AND(#REF!,"AAAAAG0ZfdY=")</f>
        <v>#REF!</v>
      </c>
      <c r="HH551" t="e">
        <f>AND(#REF!,"AAAAAG0Zfdc=")</f>
        <v>#REF!</v>
      </c>
      <c r="HI551" t="e">
        <f>AND(#REF!,"AAAAAG0Zfdg=")</f>
        <v>#REF!</v>
      </c>
      <c r="HJ551" t="e">
        <f>AND(#REF!,"AAAAAG0Zfdk=")</f>
        <v>#REF!</v>
      </c>
      <c r="HK551" t="e">
        <f>AND(#REF!,"AAAAAG0Zfdo=")</f>
        <v>#REF!</v>
      </c>
      <c r="HL551" t="e">
        <f>AND(#REF!,"AAAAAG0Zfds=")</f>
        <v>#REF!</v>
      </c>
      <c r="HM551" t="e">
        <f>AND(#REF!,"AAAAAG0Zfdw=")</f>
        <v>#REF!</v>
      </c>
      <c r="HN551" t="e">
        <f>AND(#REF!,"AAAAAG0Zfd0=")</f>
        <v>#REF!</v>
      </c>
      <c r="HO551" t="e">
        <f>AND(#REF!,"AAAAAG0Zfd4=")</f>
        <v>#REF!</v>
      </c>
      <c r="HP551" t="e">
        <f>IF(#REF!,"AAAAAG0Zfd8=",0)</f>
        <v>#REF!</v>
      </c>
      <c r="HQ551" t="e">
        <f>AND(#REF!,"AAAAAG0ZfeA=")</f>
        <v>#REF!</v>
      </c>
      <c r="HR551" t="e">
        <f>AND(#REF!,"AAAAAG0ZfeE=")</f>
        <v>#REF!</v>
      </c>
      <c r="HS551" t="e">
        <f>AND(#REF!,"AAAAAG0ZfeI=")</f>
        <v>#REF!</v>
      </c>
      <c r="HT551" t="e">
        <f>AND(#REF!,"AAAAAG0ZfeM=")</f>
        <v>#REF!</v>
      </c>
      <c r="HU551" t="e">
        <f>AND(#REF!,"AAAAAG0ZfeQ=")</f>
        <v>#REF!</v>
      </c>
      <c r="HV551" t="e">
        <f>AND(#REF!,"AAAAAG0ZfeU=")</f>
        <v>#REF!</v>
      </c>
      <c r="HW551" t="e">
        <f>AND(#REF!,"AAAAAG0ZfeY=")</f>
        <v>#REF!</v>
      </c>
      <c r="HX551" t="e">
        <f>AND(#REF!,"AAAAAG0Zfec=")</f>
        <v>#REF!</v>
      </c>
      <c r="HY551" t="e">
        <f>AND(#REF!,"AAAAAG0Zfeg=")</f>
        <v>#REF!</v>
      </c>
      <c r="HZ551" t="e">
        <f>AND(#REF!,"AAAAAG0Zfek=")</f>
        <v>#REF!</v>
      </c>
      <c r="IA551" t="e">
        <f>IF(#REF!,"AAAAAG0Zfeo=",0)</f>
        <v>#REF!</v>
      </c>
      <c r="IB551" t="e">
        <f>AND(#REF!,"AAAAAG0Zfes=")</f>
        <v>#REF!</v>
      </c>
      <c r="IC551" t="e">
        <f>AND(#REF!,"AAAAAG0Zfew=")</f>
        <v>#REF!</v>
      </c>
      <c r="ID551" t="e">
        <f>AND(#REF!,"AAAAAG0Zfe0=")</f>
        <v>#REF!</v>
      </c>
      <c r="IE551" t="e">
        <f>AND(#REF!,"AAAAAG0Zfe4=")</f>
        <v>#REF!</v>
      </c>
      <c r="IF551" t="e">
        <f>AND(#REF!,"AAAAAG0Zfe8=")</f>
        <v>#REF!</v>
      </c>
      <c r="IG551" t="e">
        <f>AND(#REF!,"AAAAAG0ZffA=")</f>
        <v>#REF!</v>
      </c>
      <c r="IH551" t="e">
        <f>AND(#REF!,"AAAAAG0ZffE=")</f>
        <v>#REF!</v>
      </c>
      <c r="II551" t="e">
        <f>AND(#REF!,"AAAAAG0ZffI=")</f>
        <v>#REF!</v>
      </c>
      <c r="IJ551" t="e">
        <f>AND(#REF!,"AAAAAG0ZffM=")</f>
        <v>#REF!</v>
      </c>
      <c r="IK551" t="e">
        <f>AND(#REF!,"AAAAAG0ZffQ=")</f>
        <v>#REF!</v>
      </c>
      <c r="IL551" t="e">
        <f>IF(#REF!,"AAAAAG0ZffU=",0)</f>
        <v>#REF!</v>
      </c>
      <c r="IM551" t="e">
        <f>AND(#REF!,"AAAAAG0ZffY=")</f>
        <v>#REF!</v>
      </c>
      <c r="IN551" t="e">
        <f>AND(#REF!,"AAAAAG0Zffc=")</f>
        <v>#REF!</v>
      </c>
      <c r="IO551" t="e">
        <f>AND(#REF!,"AAAAAG0Zffg=")</f>
        <v>#REF!</v>
      </c>
      <c r="IP551" t="e">
        <f>AND(#REF!,"AAAAAG0Zffk=")</f>
        <v>#REF!</v>
      </c>
      <c r="IQ551" t="e">
        <f>AND(#REF!,"AAAAAG0Zffo=")</f>
        <v>#REF!</v>
      </c>
      <c r="IR551" t="e">
        <f>AND(#REF!,"AAAAAG0Zffs=")</f>
        <v>#REF!</v>
      </c>
      <c r="IS551" t="e">
        <f>AND(#REF!,"AAAAAG0Zffw=")</f>
        <v>#REF!</v>
      </c>
      <c r="IT551" t="e">
        <f>AND(#REF!,"AAAAAG0Zff0=")</f>
        <v>#REF!</v>
      </c>
      <c r="IU551" t="e">
        <f>AND(#REF!,"AAAAAG0Zff4=")</f>
        <v>#REF!</v>
      </c>
      <c r="IV551" t="e">
        <f>AND(#REF!,"AAAAAG0Zff8=")</f>
        <v>#REF!</v>
      </c>
    </row>
    <row r="552" spans="1:256" x14ac:dyDescent="0.25">
      <c r="A552" t="e">
        <f>IF(#REF!,"AAAAAGv7/wA=",0)</f>
        <v>#REF!</v>
      </c>
      <c r="B552" t="e">
        <f>AND(#REF!,"AAAAAGv7/wE=")</f>
        <v>#REF!</v>
      </c>
      <c r="C552" t="e">
        <f>AND(#REF!,"AAAAAGv7/wI=")</f>
        <v>#REF!</v>
      </c>
      <c r="D552" t="e">
        <f>AND(#REF!,"AAAAAGv7/wM=")</f>
        <v>#REF!</v>
      </c>
      <c r="E552" t="e">
        <f>AND(#REF!,"AAAAAGv7/wQ=")</f>
        <v>#REF!</v>
      </c>
      <c r="F552" t="e">
        <f>AND(#REF!,"AAAAAGv7/wU=")</f>
        <v>#REF!</v>
      </c>
      <c r="G552" t="e">
        <f>AND(#REF!,"AAAAAGv7/wY=")</f>
        <v>#REF!</v>
      </c>
      <c r="H552" t="e">
        <f>AND(#REF!,"AAAAAGv7/wc=")</f>
        <v>#REF!</v>
      </c>
      <c r="I552" t="e">
        <f>AND(#REF!,"AAAAAGv7/wg=")</f>
        <v>#REF!</v>
      </c>
      <c r="J552" t="e">
        <f>AND(#REF!,"AAAAAGv7/wk=")</f>
        <v>#REF!</v>
      </c>
      <c r="K552" t="e">
        <f>AND(#REF!,"AAAAAGv7/wo=")</f>
        <v>#REF!</v>
      </c>
      <c r="L552" t="e">
        <f>IF(#REF!,"AAAAAGv7/ws=",0)</f>
        <v>#REF!</v>
      </c>
      <c r="M552" t="e">
        <f>AND(#REF!,"AAAAAGv7/ww=")</f>
        <v>#REF!</v>
      </c>
      <c r="N552" t="e">
        <f>AND(#REF!,"AAAAAGv7/w0=")</f>
        <v>#REF!</v>
      </c>
      <c r="O552" t="e">
        <f>AND(#REF!,"AAAAAGv7/w4=")</f>
        <v>#REF!</v>
      </c>
      <c r="P552" t="e">
        <f>AND(#REF!,"AAAAAGv7/w8=")</f>
        <v>#REF!</v>
      </c>
      <c r="Q552" t="e">
        <f>AND(#REF!,"AAAAAGv7/xA=")</f>
        <v>#REF!</v>
      </c>
      <c r="R552" t="e">
        <f>AND(#REF!,"AAAAAGv7/xE=")</f>
        <v>#REF!</v>
      </c>
      <c r="S552" t="e">
        <f>AND(#REF!,"AAAAAGv7/xI=")</f>
        <v>#REF!</v>
      </c>
      <c r="T552" t="e">
        <f>AND(#REF!,"AAAAAGv7/xM=")</f>
        <v>#REF!</v>
      </c>
      <c r="U552" t="e">
        <f>AND(#REF!,"AAAAAGv7/xQ=")</f>
        <v>#REF!</v>
      </c>
      <c r="V552" t="e">
        <f>AND(#REF!,"AAAAAGv7/xU=")</f>
        <v>#REF!</v>
      </c>
      <c r="W552" t="e">
        <f>IF(#REF!,"AAAAAGv7/xY=",0)</f>
        <v>#REF!</v>
      </c>
      <c r="X552" t="e">
        <f>AND(#REF!,"AAAAAGv7/xc=")</f>
        <v>#REF!</v>
      </c>
      <c r="Y552" t="e">
        <f>AND(#REF!,"AAAAAGv7/xg=")</f>
        <v>#REF!</v>
      </c>
      <c r="Z552" t="e">
        <f>AND(#REF!,"AAAAAGv7/xk=")</f>
        <v>#REF!</v>
      </c>
      <c r="AA552" t="e">
        <f>AND(#REF!,"AAAAAGv7/xo=")</f>
        <v>#REF!</v>
      </c>
      <c r="AB552" t="e">
        <f>AND(#REF!,"AAAAAGv7/xs=")</f>
        <v>#REF!</v>
      </c>
      <c r="AC552" t="e">
        <f>AND(#REF!,"AAAAAGv7/xw=")</f>
        <v>#REF!</v>
      </c>
      <c r="AD552" t="e">
        <f>AND(#REF!,"AAAAAGv7/x0=")</f>
        <v>#REF!</v>
      </c>
      <c r="AE552" t="e">
        <f>AND(#REF!,"AAAAAGv7/x4=")</f>
        <v>#REF!</v>
      </c>
      <c r="AF552" t="e">
        <f>AND(#REF!,"AAAAAGv7/x8=")</f>
        <v>#REF!</v>
      </c>
      <c r="AG552" t="e">
        <f>AND(#REF!,"AAAAAGv7/yA=")</f>
        <v>#REF!</v>
      </c>
      <c r="AH552" t="e">
        <f>IF(#REF!,"AAAAAGv7/yE=",0)</f>
        <v>#REF!</v>
      </c>
      <c r="AI552" t="e">
        <f>AND(#REF!,"AAAAAGv7/yI=")</f>
        <v>#REF!</v>
      </c>
      <c r="AJ552" t="e">
        <f>AND(#REF!,"AAAAAGv7/yM=")</f>
        <v>#REF!</v>
      </c>
      <c r="AK552" t="e">
        <f>AND(#REF!,"AAAAAGv7/yQ=")</f>
        <v>#REF!</v>
      </c>
      <c r="AL552" t="e">
        <f>AND(#REF!,"AAAAAGv7/yU=")</f>
        <v>#REF!</v>
      </c>
      <c r="AM552" t="e">
        <f>AND(#REF!,"AAAAAGv7/yY=")</f>
        <v>#REF!</v>
      </c>
      <c r="AN552" t="e">
        <f>AND(#REF!,"AAAAAGv7/yc=")</f>
        <v>#REF!</v>
      </c>
      <c r="AO552" t="e">
        <f>AND(#REF!,"AAAAAGv7/yg=")</f>
        <v>#REF!</v>
      </c>
      <c r="AP552" t="e">
        <f>AND(#REF!,"AAAAAGv7/yk=")</f>
        <v>#REF!</v>
      </c>
      <c r="AQ552" t="e">
        <f>AND(#REF!,"AAAAAGv7/yo=")</f>
        <v>#REF!</v>
      </c>
      <c r="AR552" t="e">
        <f>AND(#REF!,"AAAAAGv7/ys=")</f>
        <v>#REF!</v>
      </c>
      <c r="AS552" t="e">
        <f>IF(#REF!,"AAAAAGv7/yw=",0)</f>
        <v>#REF!</v>
      </c>
      <c r="AT552" t="e">
        <f>AND(#REF!,"AAAAAGv7/y0=")</f>
        <v>#REF!</v>
      </c>
      <c r="AU552" t="e">
        <f>AND(#REF!,"AAAAAGv7/y4=")</f>
        <v>#REF!</v>
      </c>
      <c r="AV552" t="e">
        <f>AND(#REF!,"AAAAAGv7/y8=")</f>
        <v>#REF!</v>
      </c>
      <c r="AW552" t="e">
        <f>AND(#REF!,"AAAAAGv7/zA=")</f>
        <v>#REF!</v>
      </c>
      <c r="AX552" t="e">
        <f>AND(#REF!,"AAAAAGv7/zE=")</f>
        <v>#REF!</v>
      </c>
      <c r="AY552" t="e">
        <f>AND(#REF!,"AAAAAGv7/zI=")</f>
        <v>#REF!</v>
      </c>
      <c r="AZ552" t="e">
        <f>AND(#REF!,"AAAAAGv7/zM=")</f>
        <v>#REF!</v>
      </c>
      <c r="BA552" t="e">
        <f>AND(#REF!,"AAAAAGv7/zQ=")</f>
        <v>#REF!</v>
      </c>
      <c r="BB552" t="e">
        <f>AND(#REF!,"AAAAAGv7/zU=")</f>
        <v>#REF!</v>
      </c>
      <c r="BC552" t="e">
        <f>AND(#REF!,"AAAAAGv7/zY=")</f>
        <v>#REF!</v>
      </c>
      <c r="BD552" t="e">
        <f>IF(#REF!,"AAAAAGv7/zc=",0)</f>
        <v>#REF!</v>
      </c>
      <c r="BE552" t="e">
        <f>AND(#REF!,"AAAAAGv7/zg=")</f>
        <v>#REF!</v>
      </c>
      <c r="BF552" t="e">
        <f>AND(#REF!,"AAAAAGv7/zk=")</f>
        <v>#REF!</v>
      </c>
      <c r="BG552" t="e">
        <f>AND(#REF!,"AAAAAGv7/zo=")</f>
        <v>#REF!</v>
      </c>
      <c r="BH552" t="e">
        <f>AND(#REF!,"AAAAAGv7/zs=")</f>
        <v>#REF!</v>
      </c>
      <c r="BI552" t="e">
        <f>AND(#REF!,"AAAAAGv7/zw=")</f>
        <v>#REF!</v>
      </c>
      <c r="BJ552" t="e">
        <f>AND(#REF!,"AAAAAGv7/z0=")</f>
        <v>#REF!</v>
      </c>
      <c r="BK552" t="e">
        <f>AND(#REF!,"AAAAAGv7/z4=")</f>
        <v>#REF!</v>
      </c>
      <c r="BL552" t="e">
        <f>AND(#REF!,"AAAAAGv7/z8=")</f>
        <v>#REF!</v>
      </c>
      <c r="BM552" t="e">
        <f>AND(#REF!,"AAAAAGv7/0A=")</f>
        <v>#REF!</v>
      </c>
      <c r="BN552" t="e">
        <f>AND(#REF!,"AAAAAGv7/0E=")</f>
        <v>#REF!</v>
      </c>
      <c r="BO552" t="e">
        <f>IF(#REF!,"AAAAAGv7/0I=",0)</f>
        <v>#REF!</v>
      </c>
      <c r="BP552" t="e">
        <f>AND(#REF!,"AAAAAGv7/0M=")</f>
        <v>#REF!</v>
      </c>
      <c r="BQ552" t="e">
        <f>AND(#REF!,"AAAAAGv7/0Q=")</f>
        <v>#REF!</v>
      </c>
      <c r="BR552" t="e">
        <f>AND(#REF!,"AAAAAGv7/0U=")</f>
        <v>#REF!</v>
      </c>
      <c r="BS552" t="e">
        <f>AND(#REF!,"AAAAAGv7/0Y=")</f>
        <v>#REF!</v>
      </c>
      <c r="BT552" t="e">
        <f>AND(#REF!,"AAAAAGv7/0c=")</f>
        <v>#REF!</v>
      </c>
      <c r="BU552" t="e">
        <f>AND(#REF!,"AAAAAGv7/0g=")</f>
        <v>#REF!</v>
      </c>
      <c r="BV552" t="e">
        <f>AND(#REF!,"AAAAAGv7/0k=")</f>
        <v>#REF!</v>
      </c>
      <c r="BW552" t="e">
        <f>AND(#REF!,"AAAAAGv7/0o=")</f>
        <v>#REF!</v>
      </c>
      <c r="BX552" t="e">
        <f>AND(#REF!,"AAAAAGv7/0s=")</f>
        <v>#REF!</v>
      </c>
      <c r="BY552" t="e">
        <f>AND(#REF!,"AAAAAGv7/0w=")</f>
        <v>#REF!</v>
      </c>
      <c r="BZ552" t="e">
        <f>IF(#REF!,"AAAAAGv7/00=",0)</f>
        <v>#REF!</v>
      </c>
      <c r="CA552" t="e">
        <f>AND(#REF!,"AAAAAGv7/04=")</f>
        <v>#REF!</v>
      </c>
      <c r="CB552" t="e">
        <f>AND(#REF!,"AAAAAGv7/08=")</f>
        <v>#REF!</v>
      </c>
      <c r="CC552" t="e">
        <f>AND(#REF!,"AAAAAGv7/1A=")</f>
        <v>#REF!</v>
      </c>
      <c r="CD552" t="e">
        <f>AND(#REF!,"AAAAAGv7/1E=")</f>
        <v>#REF!</v>
      </c>
      <c r="CE552" t="e">
        <f>AND(#REF!,"AAAAAGv7/1I=")</f>
        <v>#REF!</v>
      </c>
      <c r="CF552" t="e">
        <f>AND(#REF!,"AAAAAGv7/1M=")</f>
        <v>#REF!</v>
      </c>
      <c r="CG552" t="e">
        <f>AND(#REF!,"AAAAAGv7/1Q=")</f>
        <v>#REF!</v>
      </c>
      <c r="CH552" t="e">
        <f>AND(#REF!,"AAAAAGv7/1U=")</f>
        <v>#REF!</v>
      </c>
      <c r="CI552" t="e">
        <f>AND(#REF!,"AAAAAGv7/1Y=")</f>
        <v>#REF!</v>
      </c>
      <c r="CJ552" t="e">
        <f>AND(#REF!,"AAAAAGv7/1c=")</f>
        <v>#REF!</v>
      </c>
      <c r="CK552" t="e">
        <f>IF(#REF!,"AAAAAGv7/1g=",0)</f>
        <v>#REF!</v>
      </c>
      <c r="CL552" t="e">
        <f>AND(#REF!,"AAAAAGv7/1k=")</f>
        <v>#REF!</v>
      </c>
      <c r="CM552" t="e">
        <f>AND(#REF!,"AAAAAGv7/1o=")</f>
        <v>#REF!</v>
      </c>
      <c r="CN552" t="e">
        <f>AND(#REF!,"AAAAAGv7/1s=")</f>
        <v>#REF!</v>
      </c>
      <c r="CO552" t="e">
        <f>AND(#REF!,"AAAAAGv7/1w=")</f>
        <v>#REF!</v>
      </c>
      <c r="CP552" t="e">
        <f>AND(#REF!,"AAAAAGv7/10=")</f>
        <v>#REF!</v>
      </c>
      <c r="CQ552" t="e">
        <f>AND(#REF!,"AAAAAGv7/14=")</f>
        <v>#REF!</v>
      </c>
      <c r="CR552" t="e">
        <f>AND(#REF!,"AAAAAGv7/18=")</f>
        <v>#REF!</v>
      </c>
      <c r="CS552" t="e">
        <f>AND(#REF!,"AAAAAGv7/2A=")</f>
        <v>#REF!</v>
      </c>
      <c r="CT552" t="e">
        <f>AND(#REF!,"AAAAAGv7/2E=")</f>
        <v>#REF!</v>
      </c>
      <c r="CU552" t="e">
        <f>AND(#REF!,"AAAAAGv7/2I=")</f>
        <v>#REF!</v>
      </c>
      <c r="CV552" t="e">
        <f>IF(#REF!,"AAAAAGv7/2M=",0)</f>
        <v>#REF!</v>
      </c>
      <c r="CW552" t="e">
        <f>AND(#REF!,"AAAAAGv7/2Q=")</f>
        <v>#REF!</v>
      </c>
      <c r="CX552" t="e">
        <f>AND(#REF!,"AAAAAGv7/2U=")</f>
        <v>#REF!</v>
      </c>
      <c r="CY552" t="e">
        <f>AND(#REF!,"AAAAAGv7/2Y=")</f>
        <v>#REF!</v>
      </c>
      <c r="CZ552" t="e">
        <f>AND(#REF!,"AAAAAGv7/2c=")</f>
        <v>#REF!</v>
      </c>
      <c r="DA552" t="e">
        <f>AND(#REF!,"AAAAAGv7/2g=")</f>
        <v>#REF!</v>
      </c>
      <c r="DB552" t="e">
        <f>AND(#REF!,"AAAAAGv7/2k=")</f>
        <v>#REF!</v>
      </c>
      <c r="DC552" t="e">
        <f>AND(#REF!,"AAAAAGv7/2o=")</f>
        <v>#REF!</v>
      </c>
      <c r="DD552" t="e">
        <f>AND(#REF!,"AAAAAGv7/2s=")</f>
        <v>#REF!</v>
      </c>
      <c r="DE552" t="e">
        <f>AND(#REF!,"AAAAAGv7/2w=")</f>
        <v>#REF!</v>
      </c>
      <c r="DF552" t="e">
        <f>AND(#REF!,"AAAAAGv7/20=")</f>
        <v>#REF!</v>
      </c>
      <c r="DG552" t="e">
        <f>IF(#REF!,"AAAAAGv7/24=",0)</f>
        <v>#REF!</v>
      </c>
      <c r="DH552" t="e">
        <f>AND(#REF!,"AAAAAGv7/28=")</f>
        <v>#REF!</v>
      </c>
      <c r="DI552" t="e">
        <f>AND(#REF!,"AAAAAGv7/3A=")</f>
        <v>#REF!</v>
      </c>
      <c r="DJ552" t="e">
        <f>AND(#REF!,"AAAAAGv7/3E=")</f>
        <v>#REF!</v>
      </c>
      <c r="DK552" t="e">
        <f>AND(#REF!,"AAAAAGv7/3I=")</f>
        <v>#REF!</v>
      </c>
      <c r="DL552" t="e">
        <f>AND(#REF!,"AAAAAGv7/3M=")</f>
        <v>#REF!</v>
      </c>
      <c r="DM552" t="e">
        <f>AND(#REF!,"AAAAAGv7/3Q=")</f>
        <v>#REF!</v>
      </c>
      <c r="DN552" t="e">
        <f>AND(#REF!,"AAAAAGv7/3U=")</f>
        <v>#REF!</v>
      </c>
      <c r="DO552" t="e">
        <f>AND(#REF!,"AAAAAGv7/3Y=")</f>
        <v>#REF!</v>
      </c>
      <c r="DP552" t="e">
        <f>AND(#REF!,"AAAAAGv7/3c=")</f>
        <v>#REF!</v>
      </c>
      <c r="DQ552" t="e">
        <f>AND(#REF!,"AAAAAGv7/3g=")</f>
        <v>#REF!</v>
      </c>
      <c r="DR552" t="e">
        <f>IF(#REF!,"AAAAAGv7/3k=",0)</f>
        <v>#REF!</v>
      </c>
      <c r="DS552" t="e">
        <f>AND(#REF!,"AAAAAGv7/3o=")</f>
        <v>#REF!</v>
      </c>
      <c r="DT552" t="e">
        <f>AND(#REF!,"AAAAAGv7/3s=")</f>
        <v>#REF!</v>
      </c>
      <c r="DU552" t="e">
        <f>AND(#REF!,"AAAAAGv7/3w=")</f>
        <v>#REF!</v>
      </c>
      <c r="DV552" t="e">
        <f>AND(#REF!,"AAAAAGv7/30=")</f>
        <v>#REF!</v>
      </c>
      <c r="DW552" t="e">
        <f>AND(#REF!,"AAAAAGv7/34=")</f>
        <v>#REF!</v>
      </c>
      <c r="DX552" t="e">
        <f>AND(#REF!,"AAAAAGv7/38=")</f>
        <v>#REF!</v>
      </c>
      <c r="DY552" t="e">
        <f>AND(#REF!,"AAAAAGv7/4A=")</f>
        <v>#REF!</v>
      </c>
      <c r="DZ552" t="e">
        <f>AND(#REF!,"AAAAAGv7/4E=")</f>
        <v>#REF!</v>
      </c>
      <c r="EA552" t="e">
        <f>AND(#REF!,"AAAAAGv7/4I=")</f>
        <v>#REF!</v>
      </c>
      <c r="EB552" t="e">
        <f>AND(#REF!,"AAAAAGv7/4M=")</f>
        <v>#REF!</v>
      </c>
      <c r="EC552" t="e">
        <f>IF(#REF!,"AAAAAGv7/4Q=",0)</f>
        <v>#REF!</v>
      </c>
      <c r="ED552" t="e">
        <f>AND(#REF!,"AAAAAGv7/4U=")</f>
        <v>#REF!</v>
      </c>
      <c r="EE552" t="e">
        <f>AND(#REF!,"AAAAAGv7/4Y=")</f>
        <v>#REF!</v>
      </c>
      <c r="EF552" t="e">
        <f>AND(#REF!,"AAAAAGv7/4c=")</f>
        <v>#REF!</v>
      </c>
      <c r="EG552" t="e">
        <f>AND(#REF!,"AAAAAGv7/4g=")</f>
        <v>#REF!</v>
      </c>
      <c r="EH552" t="e">
        <f>AND(#REF!,"AAAAAGv7/4k=")</f>
        <v>#REF!</v>
      </c>
      <c r="EI552" t="e">
        <f>AND(#REF!,"AAAAAGv7/4o=")</f>
        <v>#REF!</v>
      </c>
      <c r="EJ552" t="e">
        <f>AND(#REF!,"AAAAAGv7/4s=")</f>
        <v>#REF!</v>
      </c>
      <c r="EK552" t="e">
        <f>AND(#REF!,"AAAAAGv7/4w=")</f>
        <v>#REF!</v>
      </c>
      <c r="EL552" t="e">
        <f>AND(#REF!,"AAAAAGv7/40=")</f>
        <v>#REF!</v>
      </c>
      <c r="EM552" t="e">
        <f>AND(#REF!,"AAAAAGv7/44=")</f>
        <v>#REF!</v>
      </c>
      <c r="EN552" t="e">
        <f>IF(#REF!,"AAAAAGv7/48=",0)</f>
        <v>#REF!</v>
      </c>
      <c r="EO552" t="e">
        <f>AND(#REF!,"AAAAAGv7/5A=")</f>
        <v>#REF!</v>
      </c>
      <c r="EP552" t="e">
        <f>AND(#REF!,"AAAAAGv7/5E=")</f>
        <v>#REF!</v>
      </c>
      <c r="EQ552" t="e">
        <f>AND(#REF!,"AAAAAGv7/5I=")</f>
        <v>#REF!</v>
      </c>
      <c r="ER552" t="e">
        <f>AND(#REF!,"AAAAAGv7/5M=")</f>
        <v>#REF!</v>
      </c>
      <c r="ES552" t="e">
        <f>AND(#REF!,"AAAAAGv7/5Q=")</f>
        <v>#REF!</v>
      </c>
      <c r="ET552" t="e">
        <f>AND(#REF!,"AAAAAGv7/5U=")</f>
        <v>#REF!</v>
      </c>
      <c r="EU552" t="e">
        <f>AND(#REF!,"AAAAAGv7/5Y=")</f>
        <v>#REF!</v>
      </c>
      <c r="EV552" t="e">
        <f>AND(#REF!,"AAAAAGv7/5c=")</f>
        <v>#REF!</v>
      </c>
      <c r="EW552" t="e">
        <f>AND(#REF!,"AAAAAGv7/5g=")</f>
        <v>#REF!</v>
      </c>
      <c r="EX552" t="e">
        <f>AND(#REF!,"AAAAAGv7/5k=")</f>
        <v>#REF!</v>
      </c>
      <c r="EY552" t="e">
        <f>IF(#REF!,"AAAAAGv7/5o=",0)</f>
        <v>#REF!</v>
      </c>
      <c r="EZ552" t="e">
        <f>AND(#REF!,"AAAAAGv7/5s=")</f>
        <v>#REF!</v>
      </c>
      <c r="FA552" t="e">
        <f>AND(#REF!,"AAAAAGv7/5w=")</f>
        <v>#REF!</v>
      </c>
      <c r="FB552" t="e">
        <f>AND(#REF!,"AAAAAGv7/50=")</f>
        <v>#REF!</v>
      </c>
      <c r="FC552" t="e">
        <f>AND(#REF!,"AAAAAGv7/54=")</f>
        <v>#REF!</v>
      </c>
      <c r="FD552" t="e">
        <f>AND(#REF!,"AAAAAGv7/58=")</f>
        <v>#REF!</v>
      </c>
      <c r="FE552" t="e">
        <f>AND(#REF!,"AAAAAGv7/6A=")</f>
        <v>#REF!</v>
      </c>
      <c r="FF552" t="e">
        <f>AND(#REF!,"AAAAAGv7/6E=")</f>
        <v>#REF!</v>
      </c>
      <c r="FG552" t="e">
        <f>AND(#REF!,"AAAAAGv7/6I=")</f>
        <v>#REF!</v>
      </c>
      <c r="FH552" t="e">
        <f>AND(#REF!,"AAAAAGv7/6M=")</f>
        <v>#REF!</v>
      </c>
      <c r="FI552" t="e">
        <f>AND(#REF!,"AAAAAGv7/6Q=")</f>
        <v>#REF!</v>
      </c>
      <c r="FJ552" t="e">
        <f>IF(#REF!,"AAAAAGv7/6U=",0)</f>
        <v>#REF!</v>
      </c>
      <c r="FK552" t="e">
        <f>AND(#REF!,"AAAAAGv7/6Y=")</f>
        <v>#REF!</v>
      </c>
      <c r="FL552" t="e">
        <f>AND(#REF!,"AAAAAGv7/6c=")</f>
        <v>#REF!</v>
      </c>
      <c r="FM552" t="e">
        <f>AND(#REF!,"AAAAAGv7/6g=")</f>
        <v>#REF!</v>
      </c>
      <c r="FN552" t="e">
        <f>AND(#REF!,"AAAAAGv7/6k=")</f>
        <v>#REF!</v>
      </c>
      <c r="FO552" t="e">
        <f>AND(#REF!,"AAAAAGv7/6o=")</f>
        <v>#REF!</v>
      </c>
      <c r="FP552" t="e">
        <f>AND(#REF!,"AAAAAGv7/6s=")</f>
        <v>#REF!</v>
      </c>
      <c r="FQ552" t="e">
        <f>AND(#REF!,"AAAAAGv7/6w=")</f>
        <v>#REF!</v>
      </c>
      <c r="FR552" t="e">
        <f>AND(#REF!,"AAAAAGv7/60=")</f>
        <v>#REF!</v>
      </c>
      <c r="FS552" t="e">
        <f>AND(#REF!,"AAAAAGv7/64=")</f>
        <v>#REF!</v>
      </c>
      <c r="FT552" t="e">
        <f>AND(#REF!,"AAAAAGv7/68=")</f>
        <v>#REF!</v>
      </c>
      <c r="FU552" t="e">
        <f>IF(#REF!,"AAAAAGv7/7A=",0)</f>
        <v>#REF!</v>
      </c>
      <c r="FV552" t="e">
        <f>AND(#REF!,"AAAAAGv7/7E=")</f>
        <v>#REF!</v>
      </c>
      <c r="FW552" t="e">
        <f>AND(#REF!,"AAAAAGv7/7I=")</f>
        <v>#REF!</v>
      </c>
      <c r="FX552" t="e">
        <f>AND(#REF!,"AAAAAGv7/7M=")</f>
        <v>#REF!</v>
      </c>
      <c r="FY552" t="e">
        <f>AND(#REF!,"AAAAAGv7/7Q=")</f>
        <v>#REF!</v>
      </c>
      <c r="FZ552" t="e">
        <f>AND(#REF!,"AAAAAGv7/7U=")</f>
        <v>#REF!</v>
      </c>
      <c r="GA552" t="e">
        <f>AND(#REF!,"AAAAAGv7/7Y=")</f>
        <v>#REF!</v>
      </c>
      <c r="GB552" t="e">
        <f>AND(#REF!,"AAAAAGv7/7c=")</f>
        <v>#REF!</v>
      </c>
      <c r="GC552" t="e">
        <f>AND(#REF!,"AAAAAGv7/7g=")</f>
        <v>#REF!</v>
      </c>
      <c r="GD552" t="e">
        <f>AND(#REF!,"AAAAAGv7/7k=")</f>
        <v>#REF!</v>
      </c>
      <c r="GE552" t="e">
        <f>AND(#REF!,"AAAAAGv7/7o=")</f>
        <v>#REF!</v>
      </c>
      <c r="GF552" t="e">
        <f>IF(#REF!,"AAAAAGv7/7s=",0)</f>
        <v>#REF!</v>
      </c>
      <c r="GG552" t="e">
        <f>AND(#REF!,"AAAAAGv7/7w=")</f>
        <v>#REF!</v>
      </c>
      <c r="GH552" t="e">
        <f>AND(#REF!,"AAAAAGv7/70=")</f>
        <v>#REF!</v>
      </c>
      <c r="GI552" t="e">
        <f>AND(#REF!,"AAAAAGv7/74=")</f>
        <v>#REF!</v>
      </c>
      <c r="GJ552" t="e">
        <f>AND(#REF!,"AAAAAGv7/78=")</f>
        <v>#REF!</v>
      </c>
      <c r="GK552" t="e">
        <f>AND(#REF!,"AAAAAGv7/8A=")</f>
        <v>#REF!</v>
      </c>
      <c r="GL552" t="e">
        <f>AND(#REF!,"AAAAAGv7/8E=")</f>
        <v>#REF!</v>
      </c>
      <c r="GM552" t="e">
        <f>AND(#REF!,"AAAAAGv7/8I=")</f>
        <v>#REF!</v>
      </c>
      <c r="GN552" t="e">
        <f>AND(#REF!,"AAAAAGv7/8M=")</f>
        <v>#REF!</v>
      </c>
      <c r="GO552" t="e">
        <f>AND(#REF!,"AAAAAGv7/8Q=")</f>
        <v>#REF!</v>
      </c>
      <c r="GP552" t="e">
        <f>AND(#REF!,"AAAAAGv7/8U=")</f>
        <v>#REF!</v>
      </c>
      <c r="GQ552" t="e">
        <f>IF(#REF!,"AAAAAGv7/8Y=",0)</f>
        <v>#REF!</v>
      </c>
      <c r="GR552" t="e">
        <f>AND(#REF!,"AAAAAGv7/8c=")</f>
        <v>#REF!</v>
      </c>
      <c r="GS552" t="e">
        <f>AND(#REF!,"AAAAAGv7/8g=")</f>
        <v>#REF!</v>
      </c>
      <c r="GT552" t="e">
        <f>AND(#REF!,"AAAAAGv7/8k=")</f>
        <v>#REF!</v>
      </c>
      <c r="GU552" t="e">
        <f>AND(#REF!,"AAAAAGv7/8o=")</f>
        <v>#REF!</v>
      </c>
      <c r="GV552" t="e">
        <f>AND(#REF!,"AAAAAGv7/8s=")</f>
        <v>#REF!</v>
      </c>
      <c r="GW552" t="e">
        <f>AND(#REF!,"AAAAAGv7/8w=")</f>
        <v>#REF!</v>
      </c>
      <c r="GX552" t="e">
        <f>AND(#REF!,"AAAAAGv7/80=")</f>
        <v>#REF!</v>
      </c>
      <c r="GY552" t="e">
        <f>AND(#REF!,"AAAAAGv7/84=")</f>
        <v>#REF!</v>
      </c>
      <c r="GZ552" t="e">
        <f>AND(#REF!,"AAAAAGv7/88=")</f>
        <v>#REF!</v>
      </c>
      <c r="HA552" t="e">
        <f>AND(#REF!,"AAAAAGv7/9A=")</f>
        <v>#REF!</v>
      </c>
      <c r="HB552" t="e">
        <f>IF(#REF!,"AAAAAGv7/9E=",0)</f>
        <v>#REF!</v>
      </c>
      <c r="HC552" t="e">
        <f>AND(#REF!,"AAAAAGv7/9I=")</f>
        <v>#REF!</v>
      </c>
      <c r="HD552" t="e">
        <f>AND(#REF!,"AAAAAGv7/9M=")</f>
        <v>#REF!</v>
      </c>
      <c r="HE552" t="e">
        <f>AND(#REF!,"AAAAAGv7/9Q=")</f>
        <v>#REF!</v>
      </c>
      <c r="HF552" t="e">
        <f>AND(#REF!,"AAAAAGv7/9U=")</f>
        <v>#REF!</v>
      </c>
      <c r="HG552" t="e">
        <f>AND(#REF!,"AAAAAGv7/9Y=")</f>
        <v>#REF!</v>
      </c>
      <c r="HH552" t="e">
        <f>AND(#REF!,"AAAAAGv7/9c=")</f>
        <v>#REF!</v>
      </c>
      <c r="HI552" t="e">
        <f>AND(#REF!,"AAAAAGv7/9g=")</f>
        <v>#REF!</v>
      </c>
      <c r="HJ552" t="e">
        <f>AND(#REF!,"AAAAAGv7/9k=")</f>
        <v>#REF!</v>
      </c>
      <c r="HK552" t="e">
        <f>AND(#REF!,"AAAAAGv7/9o=")</f>
        <v>#REF!</v>
      </c>
      <c r="HL552" t="e">
        <f>AND(#REF!,"AAAAAGv7/9s=")</f>
        <v>#REF!</v>
      </c>
      <c r="HM552" t="e">
        <f>IF(#REF!,"AAAAAGv7/9w=",0)</f>
        <v>#REF!</v>
      </c>
      <c r="HN552" t="e">
        <f>AND(#REF!,"AAAAAGv7/90=")</f>
        <v>#REF!</v>
      </c>
      <c r="HO552" t="e">
        <f>AND(#REF!,"AAAAAGv7/94=")</f>
        <v>#REF!</v>
      </c>
      <c r="HP552" t="e">
        <f>AND(#REF!,"AAAAAGv7/98=")</f>
        <v>#REF!</v>
      </c>
      <c r="HQ552" t="e">
        <f>AND(#REF!,"AAAAAGv7/+A=")</f>
        <v>#REF!</v>
      </c>
      <c r="HR552" t="e">
        <f>AND(#REF!,"AAAAAGv7/+E=")</f>
        <v>#REF!</v>
      </c>
      <c r="HS552" t="e">
        <f>AND(#REF!,"AAAAAGv7/+I=")</f>
        <v>#REF!</v>
      </c>
      <c r="HT552" t="e">
        <f>AND(#REF!,"AAAAAGv7/+M=")</f>
        <v>#REF!</v>
      </c>
      <c r="HU552" t="e">
        <f>AND(#REF!,"AAAAAGv7/+Q=")</f>
        <v>#REF!</v>
      </c>
      <c r="HV552" t="e">
        <f>AND(#REF!,"AAAAAGv7/+U=")</f>
        <v>#REF!</v>
      </c>
      <c r="HW552" t="e">
        <f>AND(#REF!,"AAAAAGv7/+Y=")</f>
        <v>#REF!</v>
      </c>
      <c r="HX552" t="e">
        <f>IF(#REF!,"AAAAAGv7/+c=",0)</f>
        <v>#REF!</v>
      </c>
      <c r="HY552" t="e">
        <f>AND(#REF!,"AAAAAGv7/+g=")</f>
        <v>#REF!</v>
      </c>
      <c r="HZ552" t="e">
        <f>AND(#REF!,"AAAAAGv7/+k=")</f>
        <v>#REF!</v>
      </c>
      <c r="IA552" t="e">
        <f>AND(#REF!,"AAAAAGv7/+o=")</f>
        <v>#REF!</v>
      </c>
      <c r="IB552" t="e">
        <f>AND(#REF!,"AAAAAGv7/+s=")</f>
        <v>#REF!</v>
      </c>
      <c r="IC552" t="e">
        <f>AND(#REF!,"AAAAAGv7/+w=")</f>
        <v>#REF!</v>
      </c>
      <c r="ID552" t="e">
        <f>AND(#REF!,"AAAAAGv7/+0=")</f>
        <v>#REF!</v>
      </c>
      <c r="IE552" t="e">
        <f>AND(#REF!,"AAAAAGv7/+4=")</f>
        <v>#REF!</v>
      </c>
      <c r="IF552" t="e">
        <f>AND(#REF!,"AAAAAGv7/+8=")</f>
        <v>#REF!</v>
      </c>
      <c r="IG552" t="e">
        <f>AND(#REF!,"AAAAAGv7//A=")</f>
        <v>#REF!</v>
      </c>
      <c r="IH552" t="e">
        <f>AND(#REF!,"AAAAAGv7//E=")</f>
        <v>#REF!</v>
      </c>
      <c r="II552" t="e">
        <f>IF(#REF!,"AAAAAGv7//I=",0)</f>
        <v>#REF!</v>
      </c>
      <c r="IJ552" t="e">
        <f>AND(#REF!,"AAAAAGv7//M=")</f>
        <v>#REF!</v>
      </c>
      <c r="IK552" t="e">
        <f>AND(#REF!,"AAAAAGv7//Q=")</f>
        <v>#REF!</v>
      </c>
      <c r="IL552" t="e">
        <f>AND(#REF!,"AAAAAGv7//U=")</f>
        <v>#REF!</v>
      </c>
      <c r="IM552" t="e">
        <f>AND(#REF!,"AAAAAGv7//Y=")</f>
        <v>#REF!</v>
      </c>
      <c r="IN552" t="e">
        <f>AND(#REF!,"AAAAAGv7//c=")</f>
        <v>#REF!</v>
      </c>
      <c r="IO552" t="e">
        <f>AND(#REF!,"AAAAAGv7//g=")</f>
        <v>#REF!</v>
      </c>
      <c r="IP552" t="e">
        <f>AND(#REF!,"AAAAAGv7//k=")</f>
        <v>#REF!</v>
      </c>
      <c r="IQ552" t="e">
        <f>AND(#REF!,"AAAAAGv7//o=")</f>
        <v>#REF!</v>
      </c>
      <c r="IR552" t="e">
        <f>AND(#REF!,"AAAAAGv7//s=")</f>
        <v>#REF!</v>
      </c>
      <c r="IS552" t="e">
        <f>AND(#REF!,"AAAAAGv7//w=")</f>
        <v>#REF!</v>
      </c>
      <c r="IT552" t="e">
        <f>IF(#REF!,"AAAAAGv7//0=",0)</f>
        <v>#REF!</v>
      </c>
      <c r="IU552" t="e">
        <f>AND(#REF!,"AAAAAGv7//4=")</f>
        <v>#REF!</v>
      </c>
      <c r="IV552" t="e">
        <f>AND(#REF!,"AAAAAGv7//8=")</f>
        <v>#REF!</v>
      </c>
    </row>
    <row r="553" spans="1:256" x14ac:dyDescent="0.25">
      <c r="A553" t="e">
        <f>AND(#REF!,"AAAAAH/n/wA=")</f>
        <v>#REF!</v>
      </c>
      <c r="B553" t="e">
        <f>AND(#REF!,"AAAAAH/n/wE=")</f>
        <v>#REF!</v>
      </c>
      <c r="C553" t="e">
        <f>AND(#REF!,"AAAAAH/n/wI=")</f>
        <v>#REF!</v>
      </c>
      <c r="D553" t="e">
        <f>AND(#REF!,"AAAAAH/n/wM=")</f>
        <v>#REF!</v>
      </c>
      <c r="E553" t="e">
        <f>AND(#REF!,"AAAAAH/n/wQ=")</f>
        <v>#REF!</v>
      </c>
      <c r="F553" t="e">
        <f>AND(#REF!,"AAAAAH/n/wU=")</f>
        <v>#REF!</v>
      </c>
      <c r="G553" t="e">
        <f>AND(#REF!,"AAAAAH/n/wY=")</f>
        <v>#REF!</v>
      </c>
      <c r="H553" t="e">
        <f>AND(#REF!,"AAAAAH/n/wc=")</f>
        <v>#REF!</v>
      </c>
      <c r="I553" t="e">
        <f>IF(#REF!,"AAAAAH/n/wg=",0)</f>
        <v>#REF!</v>
      </c>
      <c r="J553" t="e">
        <f>AND(#REF!,"AAAAAH/n/wk=")</f>
        <v>#REF!</v>
      </c>
      <c r="K553" t="e">
        <f>AND(#REF!,"AAAAAH/n/wo=")</f>
        <v>#REF!</v>
      </c>
      <c r="L553" t="e">
        <f>AND(#REF!,"AAAAAH/n/ws=")</f>
        <v>#REF!</v>
      </c>
      <c r="M553" t="e">
        <f>AND(#REF!,"AAAAAH/n/ww=")</f>
        <v>#REF!</v>
      </c>
      <c r="N553" t="e">
        <f>AND(#REF!,"AAAAAH/n/w0=")</f>
        <v>#REF!</v>
      </c>
      <c r="O553" t="e">
        <f>AND(#REF!,"AAAAAH/n/w4=")</f>
        <v>#REF!</v>
      </c>
      <c r="P553" t="e">
        <f>AND(#REF!,"AAAAAH/n/w8=")</f>
        <v>#REF!</v>
      </c>
      <c r="Q553" t="e">
        <f>AND(#REF!,"AAAAAH/n/xA=")</f>
        <v>#REF!</v>
      </c>
      <c r="R553" t="e">
        <f>AND(#REF!,"AAAAAH/n/xE=")</f>
        <v>#REF!</v>
      </c>
      <c r="S553" t="e">
        <f>AND(#REF!,"AAAAAH/n/xI=")</f>
        <v>#REF!</v>
      </c>
      <c r="T553" t="e">
        <f>IF(#REF!,"AAAAAH/n/xM=",0)</f>
        <v>#REF!</v>
      </c>
      <c r="U553" t="e">
        <f>AND(#REF!,"AAAAAH/n/xQ=")</f>
        <v>#REF!</v>
      </c>
      <c r="V553" t="e">
        <f>AND(#REF!,"AAAAAH/n/xU=")</f>
        <v>#REF!</v>
      </c>
      <c r="W553" t="e">
        <f>AND(#REF!,"AAAAAH/n/xY=")</f>
        <v>#REF!</v>
      </c>
      <c r="X553" t="e">
        <f>AND(#REF!,"AAAAAH/n/xc=")</f>
        <v>#REF!</v>
      </c>
      <c r="Y553" t="e">
        <f>AND(#REF!,"AAAAAH/n/xg=")</f>
        <v>#REF!</v>
      </c>
      <c r="Z553" t="e">
        <f>AND(#REF!,"AAAAAH/n/xk=")</f>
        <v>#REF!</v>
      </c>
      <c r="AA553" t="e">
        <f>AND(#REF!,"AAAAAH/n/xo=")</f>
        <v>#REF!</v>
      </c>
      <c r="AB553" t="e">
        <f>AND(#REF!,"AAAAAH/n/xs=")</f>
        <v>#REF!</v>
      </c>
      <c r="AC553" t="e">
        <f>AND(#REF!,"AAAAAH/n/xw=")</f>
        <v>#REF!</v>
      </c>
      <c r="AD553" t="e">
        <f>AND(#REF!,"AAAAAH/n/x0=")</f>
        <v>#REF!</v>
      </c>
      <c r="AE553" t="e">
        <f>IF(#REF!,"AAAAAH/n/x4=",0)</f>
        <v>#REF!</v>
      </c>
      <c r="AF553" t="e">
        <f>AND(#REF!,"AAAAAH/n/x8=")</f>
        <v>#REF!</v>
      </c>
      <c r="AG553" t="e">
        <f>AND(#REF!,"AAAAAH/n/yA=")</f>
        <v>#REF!</v>
      </c>
      <c r="AH553" t="e">
        <f>AND(#REF!,"AAAAAH/n/yE=")</f>
        <v>#REF!</v>
      </c>
      <c r="AI553" t="e">
        <f>AND(#REF!,"AAAAAH/n/yI=")</f>
        <v>#REF!</v>
      </c>
      <c r="AJ553" t="e">
        <f>AND(#REF!,"AAAAAH/n/yM=")</f>
        <v>#REF!</v>
      </c>
      <c r="AK553" t="e">
        <f>AND(#REF!,"AAAAAH/n/yQ=")</f>
        <v>#REF!</v>
      </c>
      <c r="AL553" t="e">
        <f>AND(#REF!,"AAAAAH/n/yU=")</f>
        <v>#REF!</v>
      </c>
      <c r="AM553" t="e">
        <f>AND(#REF!,"AAAAAH/n/yY=")</f>
        <v>#REF!</v>
      </c>
      <c r="AN553" t="e">
        <f>AND(#REF!,"AAAAAH/n/yc=")</f>
        <v>#REF!</v>
      </c>
      <c r="AO553" t="e">
        <f>AND(#REF!,"AAAAAH/n/yg=")</f>
        <v>#REF!</v>
      </c>
      <c r="AP553" t="e">
        <f>IF(#REF!,"AAAAAH/n/yk=",0)</f>
        <v>#REF!</v>
      </c>
      <c r="AQ553" t="e">
        <f>AND(#REF!,"AAAAAH/n/yo=")</f>
        <v>#REF!</v>
      </c>
      <c r="AR553" t="e">
        <f>AND(#REF!,"AAAAAH/n/ys=")</f>
        <v>#REF!</v>
      </c>
      <c r="AS553" t="e">
        <f>AND(#REF!,"AAAAAH/n/yw=")</f>
        <v>#REF!</v>
      </c>
      <c r="AT553" t="e">
        <f>AND(#REF!,"AAAAAH/n/y0=")</f>
        <v>#REF!</v>
      </c>
      <c r="AU553" t="e">
        <f>AND(#REF!,"AAAAAH/n/y4=")</f>
        <v>#REF!</v>
      </c>
      <c r="AV553" t="e">
        <f>AND(#REF!,"AAAAAH/n/y8=")</f>
        <v>#REF!</v>
      </c>
      <c r="AW553" t="e">
        <f>AND(#REF!,"AAAAAH/n/zA=")</f>
        <v>#REF!</v>
      </c>
      <c r="AX553" t="e">
        <f>AND(#REF!,"AAAAAH/n/zE=")</f>
        <v>#REF!</v>
      </c>
      <c r="AY553" t="e">
        <f>AND(#REF!,"AAAAAH/n/zI=")</f>
        <v>#REF!</v>
      </c>
      <c r="AZ553" t="e">
        <f>AND(#REF!,"AAAAAH/n/zM=")</f>
        <v>#REF!</v>
      </c>
      <c r="BA553" t="e">
        <f>IF(#REF!,"AAAAAH/n/zQ=",0)</f>
        <v>#REF!</v>
      </c>
      <c r="BB553" t="e">
        <f>AND(#REF!,"AAAAAH/n/zU=")</f>
        <v>#REF!</v>
      </c>
      <c r="BC553" t="e">
        <f>AND(#REF!,"AAAAAH/n/zY=")</f>
        <v>#REF!</v>
      </c>
      <c r="BD553" t="e">
        <f>AND(#REF!,"AAAAAH/n/zc=")</f>
        <v>#REF!</v>
      </c>
      <c r="BE553" t="e">
        <f>AND(#REF!,"AAAAAH/n/zg=")</f>
        <v>#REF!</v>
      </c>
      <c r="BF553" t="e">
        <f>AND(#REF!,"AAAAAH/n/zk=")</f>
        <v>#REF!</v>
      </c>
      <c r="BG553" t="e">
        <f>AND(#REF!,"AAAAAH/n/zo=")</f>
        <v>#REF!</v>
      </c>
      <c r="BH553" t="e">
        <f>AND(#REF!,"AAAAAH/n/zs=")</f>
        <v>#REF!</v>
      </c>
      <c r="BI553" t="e">
        <f>AND(#REF!,"AAAAAH/n/zw=")</f>
        <v>#REF!</v>
      </c>
      <c r="BJ553" t="e">
        <f>AND(#REF!,"AAAAAH/n/z0=")</f>
        <v>#REF!</v>
      </c>
      <c r="BK553" t="e">
        <f>AND(#REF!,"AAAAAH/n/z4=")</f>
        <v>#REF!</v>
      </c>
      <c r="BL553" t="e">
        <f>IF(#REF!,"AAAAAH/n/z8=",0)</f>
        <v>#REF!</v>
      </c>
      <c r="BM553" t="e">
        <f>AND(#REF!,"AAAAAH/n/0A=")</f>
        <v>#REF!</v>
      </c>
      <c r="BN553" t="e">
        <f>AND(#REF!,"AAAAAH/n/0E=")</f>
        <v>#REF!</v>
      </c>
      <c r="BO553" t="e">
        <f>AND(#REF!,"AAAAAH/n/0I=")</f>
        <v>#REF!</v>
      </c>
      <c r="BP553" t="e">
        <f>AND(#REF!,"AAAAAH/n/0M=")</f>
        <v>#REF!</v>
      </c>
      <c r="BQ553" t="e">
        <f>AND(#REF!,"AAAAAH/n/0Q=")</f>
        <v>#REF!</v>
      </c>
      <c r="BR553" t="e">
        <f>AND(#REF!,"AAAAAH/n/0U=")</f>
        <v>#REF!</v>
      </c>
      <c r="BS553" t="e">
        <f>AND(#REF!,"AAAAAH/n/0Y=")</f>
        <v>#REF!</v>
      </c>
      <c r="BT553" t="e">
        <f>AND(#REF!,"AAAAAH/n/0c=")</f>
        <v>#REF!</v>
      </c>
      <c r="BU553" t="e">
        <f>AND(#REF!,"AAAAAH/n/0g=")</f>
        <v>#REF!</v>
      </c>
      <c r="BV553" t="e">
        <f>AND(#REF!,"AAAAAH/n/0k=")</f>
        <v>#REF!</v>
      </c>
      <c r="BW553" t="e">
        <f>IF(#REF!,"AAAAAH/n/0o=",0)</f>
        <v>#REF!</v>
      </c>
      <c r="BX553" t="e">
        <f>AND(#REF!,"AAAAAH/n/0s=")</f>
        <v>#REF!</v>
      </c>
      <c r="BY553" t="e">
        <f>AND(#REF!,"AAAAAH/n/0w=")</f>
        <v>#REF!</v>
      </c>
      <c r="BZ553" t="e">
        <f>AND(#REF!,"AAAAAH/n/00=")</f>
        <v>#REF!</v>
      </c>
      <c r="CA553" t="e">
        <f>AND(#REF!,"AAAAAH/n/04=")</f>
        <v>#REF!</v>
      </c>
      <c r="CB553" t="e">
        <f>AND(#REF!,"AAAAAH/n/08=")</f>
        <v>#REF!</v>
      </c>
      <c r="CC553" t="e">
        <f>AND(#REF!,"AAAAAH/n/1A=")</f>
        <v>#REF!</v>
      </c>
      <c r="CD553" t="e">
        <f>AND(#REF!,"AAAAAH/n/1E=")</f>
        <v>#REF!</v>
      </c>
      <c r="CE553" t="e">
        <f>AND(#REF!,"AAAAAH/n/1I=")</f>
        <v>#REF!</v>
      </c>
      <c r="CF553" t="e">
        <f>AND(#REF!,"AAAAAH/n/1M=")</f>
        <v>#REF!</v>
      </c>
      <c r="CG553" t="e">
        <f>AND(#REF!,"AAAAAH/n/1Q=")</f>
        <v>#REF!</v>
      </c>
      <c r="CH553" t="e">
        <f>IF(#REF!,"AAAAAH/n/1U=",0)</f>
        <v>#REF!</v>
      </c>
      <c r="CI553" t="e">
        <f>AND(#REF!,"AAAAAH/n/1Y=")</f>
        <v>#REF!</v>
      </c>
      <c r="CJ553" t="e">
        <f>AND(#REF!,"AAAAAH/n/1c=")</f>
        <v>#REF!</v>
      </c>
      <c r="CK553" t="e">
        <f>AND(#REF!,"AAAAAH/n/1g=")</f>
        <v>#REF!</v>
      </c>
      <c r="CL553" t="e">
        <f>AND(#REF!,"AAAAAH/n/1k=")</f>
        <v>#REF!</v>
      </c>
      <c r="CM553" t="e">
        <f>AND(#REF!,"AAAAAH/n/1o=")</f>
        <v>#REF!</v>
      </c>
      <c r="CN553" t="e">
        <f>AND(#REF!,"AAAAAH/n/1s=")</f>
        <v>#REF!</v>
      </c>
      <c r="CO553" t="e">
        <f>AND(#REF!,"AAAAAH/n/1w=")</f>
        <v>#REF!</v>
      </c>
      <c r="CP553" t="e">
        <f>AND(#REF!,"AAAAAH/n/10=")</f>
        <v>#REF!</v>
      </c>
      <c r="CQ553" t="e">
        <f>AND(#REF!,"AAAAAH/n/14=")</f>
        <v>#REF!</v>
      </c>
      <c r="CR553" t="e">
        <f>AND(#REF!,"AAAAAH/n/18=")</f>
        <v>#REF!</v>
      </c>
      <c r="CS553" t="e">
        <f>IF(#REF!,"AAAAAH/n/2A=",0)</f>
        <v>#REF!</v>
      </c>
      <c r="CT553" t="e">
        <f>AND(#REF!,"AAAAAH/n/2E=")</f>
        <v>#REF!</v>
      </c>
      <c r="CU553" t="e">
        <f>AND(#REF!,"AAAAAH/n/2I=")</f>
        <v>#REF!</v>
      </c>
      <c r="CV553" t="e">
        <f>AND(#REF!,"AAAAAH/n/2M=")</f>
        <v>#REF!</v>
      </c>
      <c r="CW553" t="e">
        <f>AND(#REF!,"AAAAAH/n/2Q=")</f>
        <v>#REF!</v>
      </c>
      <c r="CX553" t="e">
        <f>AND(#REF!,"AAAAAH/n/2U=")</f>
        <v>#REF!</v>
      </c>
      <c r="CY553" t="e">
        <f>AND(#REF!,"AAAAAH/n/2Y=")</f>
        <v>#REF!</v>
      </c>
      <c r="CZ553" t="e">
        <f>AND(#REF!,"AAAAAH/n/2c=")</f>
        <v>#REF!</v>
      </c>
      <c r="DA553" t="e">
        <f>AND(#REF!,"AAAAAH/n/2g=")</f>
        <v>#REF!</v>
      </c>
      <c r="DB553" t="e">
        <f>AND(#REF!,"AAAAAH/n/2k=")</f>
        <v>#REF!</v>
      </c>
      <c r="DC553" t="e">
        <f>AND(#REF!,"AAAAAH/n/2o=")</f>
        <v>#REF!</v>
      </c>
      <c r="DD553" t="e">
        <f>IF(#REF!,"AAAAAH/n/2s=",0)</f>
        <v>#REF!</v>
      </c>
      <c r="DE553" t="e">
        <f>AND(#REF!,"AAAAAH/n/2w=")</f>
        <v>#REF!</v>
      </c>
      <c r="DF553" t="e">
        <f>AND(#REF!,"AAAAAH/n/20=")</f>
        <v>#REF!</v>
      </c>
      <c r="DG553" t="e">
        <f>AND(#REF!,"AAAAAH/n/24=")</f>
        <v>#REF!</v>
      </c>
      <c r="DH553" t="e">
        <f>AND(#REF!,"AAAAAH/n/28=")</f>
        <v>#REF!</v>
      </c>
      <c r="DI553" t="e">
        <f>AND(#REF!,"AAAAAH/n/3A=")</f>
        <v>#REF!</v>
      </c>
      <c r="DJ553" t="e">
        <f>AND(#REF!,"AAAAAH/n/3E=")</f>
        <v>#REF!</v>
      </c>
      <c r="DK553" t="e">
        <f>AND(#REF!,"AAAAAH/n/3I=")</f>
        <v>#REF!</v>
      </c>
      <c r="DL553" t="e">
        <f>AND(#REF!,"AAAAAH/n/3M=")</f>
        <v>#REF!</v>
      </c>
      <c r="DM553" t="e">
        <f>AND(#REF!,"AAAAAH/n/3Q=")</f>
        <v>#REF!</v>
      </c>
      <c r="DN553" t="e">
        <f>AND(#REF!,"AAAAAH/n/3U=")</f>
        <v>#REF!</v>
      </c>
      <c r="DO553" t="e">
        <f>IF(#REF!,"AAAAAH/n/3Y=",0)</f>
        <v>#REF!</v>
      </c>
      <c r="DP553" t="e">
        <f>AND(#REF!,"AAAAAH/n/3c=")</f>
        <v>#REF!</v>
      </c>
      <c r="DQ553" t="e">
        <f>AND(#REF!,"AAAAAH/n/3g=")</f>
        <v>#REF!</v>
      </c>
      <c r="DR553" t="e">
        <f>AND(#REF!,"AAAAAH/n/3k=")</f>
        <v>#REF!</v>
      </c>
      <c r="DS553" t="e">
        <f>AND(#REF!,"AAAAAH/n/3o=")</f>
        <v>#REF!</v>
      </c>
      <c r="DT553" t="e">
        <f>AND(#REF!,"AAAAAH/n/3s=")</f>
        <v>#REF!</v>
      </c>
      <c r="DU553" t="e">
        <f>AND(#REF!,"AAAAAH/n/3w=")</f>
        <v>#REF!</v>
      </c>
      <c r="DV553" t="e">
        <f>AND(#REF!,"AAAAAH/n/30=")</f>
        <v>#REF!</v>
      </c>
      <c r="DW553" t="e">
        <f>AND(#REF!,"AAAAAH/n/34=")</f>
        <v>#REF!</v>
      </c>
      <c r="DX553" t="e">
        <f>AND(#REF!,"AAAAAH/n/38=")</f>
        <v>#REF!</v>
      </c>
      <c r="DY553" t="e">
        <f>AND(#REF!,"AAAAAH/n/4A=")</f>
        <v>#REF!</v>
      </c>
      <c r="DZ553" t="e">
        <f>IF(#REF!,"AAAAAH/n/4E=",0)</f>
        <v>#REF!</v>
      </c>
      <c r="EA553" t="e">
        <f>AND(#REF!,"AAAAAH/n/4I=")</f>
        <v>#REF!</v>
      </c>
      <c r="EB553" t="e">
        <f>AND(#REF!,"AAAAAH/n/4M=")</f>
        <v>#REF!</v>
      </c>
      <c r="EC553" t="e">
        <f>AND(#REF!,"AAAAAH/n/4Q=")</f>
        <v>#REF!</v>
      </c>
      <c r="ED553" t="e">
        <f>AND(#REF!,"AAAAAH/n/4U=")</f>
        <v>#REF!</v>
      </c>
      <c r="EE553" t="e">
        <f>AND(#REF!,"AAAAAH/n/4Y=")</f>
        <v>#REF!</v>
      </c>
      <c r="EF553" t="e">
        <f>AND(#REF!,"AAAAAH/n/4c=")</f>
        <v>#REF!</v>
      </c>
      <c r="EG553" t="e">
        <f>AND(#REF!,"AAAAAH/n/4g=")</f>
        <v>#REF!</v>
      </c>
      <c r="EH553" t="e">
        <f>AND(#REF!,"AAAAAH/n/4k=")</f>
        <v>#REF!</v>
      </c>
      <c r="EI553" t="e">
        <f>AND(#REF!,"AAAAAH/n/4o=")</f>
        <v>#REF!</v>
      </c>
      <c r="EJ553" t="e">
        <f>AND(#REF!,"AAAAAH/n/4s=")</f>
        <v>#REF!</v>
      </c>
      <c r="EK553" t="e">
        <f>IF(#REF!,"AAAAAH/n/4w=",0)</f>
        <v>#REF!</v>
      </c>
      <c r="EL553" t="e">
        <f>AND(#REF!,"AAAAAH/n/40=")</f>
        <v>#REF!</v>
      </c>
      <c r="EM553" t="e">
        <f>AND(#REF!,"AAAAAH/n/44=")</f>
        <v>#REF!</v>
      </c>
      <c r="EN553" t="e">
        <f>AND(#REF!,"AAAAAH/n/48=")</f>
        <v>#REF!</v>
      </c>
      <c r="EO553" t="e">
        <f>AND(#REF!,"AAAAAH/n/5A=")</f>
        <v>#REF!</v>
      </c>
      <c r="EP553" t="e">
        <f>AND(#REF!,"AAAAAH/n/5E=")</f>
        <v>#REF!</v>
      </c>
      <c r="EQ553" t="e">
        <f>AND(#REF!,"AAAAAH/n/5I=")</f>
        <v>#REF!</v>
      </c>
      <c r="ER553" t="e">
        <f>AND(#REF!,"AAAAAH/n/5M=")</f>
        <v>#REF!</v>
      </c>
      <c r="ES553" t="e">
        <f>AND(#REF!,"AAAAAH/n/5Q=")</f>
        <v>#REF!</v>
      </c>
      <c r="ET553" t="e">
        <f>AND(#REF!,"AAAAAH/n/5U=")</f>
        <v>#REF!</v>
      </c>
      <c r="EU553" t="e">
        <f>AND(#REF!,"AAAAAH/n/5Y=")</f>
        <v>#REF!</v>
      </c>
      <c r="EV553" t="e">
        <f>IF(#REF!,"AAAAAH/n/5c=",0)</f>
        <v>#REF!</v>
      </c>
      <c r="EW553" t="e">
        <f>AND(#REF!,"AAAAAH/n/5g=")</f>
        <v>#REF!</v>
      </c>
      <c r="EX553" t="e">
        <f>AND(#REF!,"AAAAAH/n/5k=")</f>
        <v>#REF!</v>
      </c>
      <c r="EY553" t="e">
        <f>AND(#REF!,"AAAAAH/n/5o=")</f>
        <v>#REF!</v>
      </c>
      <c r="EZ553" t="e">
        <f>AND(#REF!,"AAAAAH/n/5s=")</f>
        <v>#REF!</v>
      </c>
      <c r="FA553" t="e">
        <f>AND(#REF!,"AAAAAH/n/5w=")</f>
        <v>#REF!</v>
      </c>
      <c r="FB553" t="e">
        <f>AND(#REF!,"AAAAAH/n/50=")</f>
        <v>#REF!</v>
      </c>
      <c r="FC553" t="e">
        <f>AND(#REF!,"AAAAAH/n/54=")</f>
        <v>#REF!</v>
      </c>
      <c r="FD553" t="e">
        <f>AND(#REF!,"AAAAAH/n/58=")</f>
        <v>#REF!</v>
      </c>
      <c r="FE553" t="e">
        <f>AND(#REF!,"AAAAAH/n/6A=")</f>
        <v>#REF!</v>
      </c>
      <c r="FF553" t="e">
        <f>AND(#REF!,"AAAAAH/n/6E=")</f>
        <v>#REF!</v>
      </c>
      <c r="FG553" t="e">
        <f>IF(#REF!,"AAAAAH/n/6I=",0)</f>
        <v>#REF!</v>
      </c>
      <c r="FH553" t="e">
        <f>AND(#REF!,"AAAAAH/n/6M=")</f>
        <v>#REF!</v>
      </c>
      <c r="FI553" t="e">
        <f>AND(#REF!,"AAAAAH/n/6Q=")</f>
        <v>#REF!</v>
      </c>
      <c r="FJ553" t="e">
        <f>AND(#REF!,"AAAAAH/n/6U=")</f>
        <v>#REF!</v>
      </c>
      <c r="FK553" t="e">
        <f>AND(#REF!,"AAAAAH/n/6Y=")</f>
        <v>#REF!</v>
      </c>
      <c r="FL553" t="e">
        <f>AND(#REF!,"AAAAAH/n/6c=")</f>
        <v>#REF!</v>
      </c>
      <c r="FM553" t="e">
        <f>AND(#REF!,"AAAAAH/n/6g=")</f>
        <v>#REF!</v>
      </c>
      <c r="FN553" t="e">
        <f>AND(#REF!,"AAAAAH/n/6k=")</f>
        <v>#REF!</v>
      </c>
      <c r="FO553" t="e">
        <f>AND(#REF!,"AAAAAH/n/6o=")</f>
        <v>#REF!</v>
      </c>
      <c r="FP553" t="e">
        <f>AND(#REF!,"AAAAAH/n/6s=")</f>
        <v>#REF!</v>
      </c>
      <c r="FQ553" t="e">
        <f>AND(#REF!,"AAAAAH/n/6w=")</f>
        <v>#REF!</v>
      </c>
      <c r="FR553" t="e">
        <f>IF(#REF!,"AAAAAH/n/60=",0)</f>
        <v>#REF!</v>
      </c>
      <c r="FS553" t="e">
        <f>AND(#REF!,"AAAAAH/n/64=")</f>
        <v>#REF!</v>
      </c>
      <c r="FT553" t="e">
        <f>AND(#REF!,"AAAAAH/n/68=")</f>
        <v>#REF!</v>
      </c>
      <c r="FU553" t="e">
        <f>AND(#REF!,"AAAAAH/n/7A=")</f>
        <v>#REF!</v>
      </c>
      <c r="FV553" t="e">
        <f>AND(#REF!,"AAAAAH/n/7E=")</f>
        <v>#REF!</v>
      </c>
      <c r="FW553" t="e">
        <f>AND(#REF!,"AAAAAH/n/7I=")</f>
        <v>#REF!</v>
      </c>
      <c r="FX553" t="e">
        <f>AND(#REF!,"AAAAAH/n/7M=")</f>
        <v>#REF!</v>
      </c>
      <c r="FY553" t="e">
        <f>AND(#REF!,"AAAAAH/n/7Q=")</f>
        <v>#REF!</v>
      </c>
      <c r="FZ553" t="e">
        <f>AND(#REF!,"AAAAAH/n/7U=")</f>
        <v>#REF!</v>
      </c>
      <c r="GA553" t="e">
        <f>AND(#REF!,"AAAAAH/n/7Y=")</f>
        <v>#REF!</v>
      </c>
      <c r="GB553" t="e">
        <f>AND(#REF!,"AAAAAH/n/7c=")</f>
        <v>#REF!</v>
      </c>
      <c r="GC553" t="e">
        <f>IF(#REF!,"AAAAAH/n/7g=",0)</f>
        <v>#REF!</v>
      </c>
      <c r="GD553" t="e">
        <f>AND(#REF!,"AAAAAH/n/7k=")</f>
        <v>#REF!</v>
      </c>
      <c r="GE553" t="e">
        <f>AND(#REF!,"AAAAAH/n/7o=")</f>
        <v>#REF!</v>
      </c>
      <c r="GF553" t="e">
        <f>AND(#REF!,"AAAAAH/n/7s=")</f>
        <v>#REF!</v>
      </c>
      <c r="GG553" t="e">
        <f>AND(#REF!,"AAAAAH/n/7w=")</f>
        <v>#REF!</v>
      </c>
      <c r="GH553" t="e">
        <f>AND(#REF!,"AAAAAH/n/70=")</f>
        <v>#REF!</v>
      </c>
      <c r="GI553" t="e">
        <f>AND(#REF!,"AAAAAH/n/74=")</f>
        <v>#REF!</v>
      </c>
      <c r="GJ553" t="e">
        <f>AND(#REF!,"AAAAAH/n/78=")</f>
        <v>#REF!</v>
      </c>
      <c r="GK553" t="e">
        <f>AND(#REF!,"AAAAAH/n/8A=")</f>
        <v>#REF!</v>
      </c>
      <c r="GL553" t="e">
        <f>AND(#REF!,"AAAAAH/n/8E=")</f>
        <v>#REF!</v>
      </c>
      <c r="GM553" t="e">
        <f>AND(#REF!,"AAAAAH/n/8I=")</f>
        <v>#REF!</v>
      </c>
      <c r="GN553" t="e">
        <f>IF(#REF!,"AAAAAH/n/8M=",0)</f>
        <v>#REF!</v>
      </c>
      <c r="GO553" t="e">
        <f>AND(#REF!,"AAAAAH/n/8Q=")</f>
        <v>#REF!</v>
      </c>
      <c r="GP553" t="e">
        <f>AND(#REF!,"AAAAAH/n/8U=")</f>
        <v>#REF!</v>
      </c>
      <c r="GQ553" t="e">
        <f>AND(#REF!,"AAAAAH/n/8Y=")</f>
        <v>#REF!</v>
      </c>
      <c r="GR553" t="e">
        <f>AND(#REF!,"AAAAAH/n/8c=")</f>
        <v>#REF!</v>
      </c>
      <c r="GS553" t="e">
        <f>AND(#REF!,"AAAAAH/n/8g=")</f>
        <v>#REF!</v>
      </c>
      <c r="GT553" t="e">
        <f>AND(#REF!,"AAAAAH/n/8k=")</f>
        <v>#REF!</v>
      </c>
      <c r="GU553" t="e">
        <f>AND(#REF!,"AAAAAH/n/8o=")</f>
        <v>#REF!</v>
      </c>
      <c r="GV553" t="e">
        <f>AND(#REF!,"AAAAAH/n/8s=")</f>
        <v>#REF!</v>
      </c>
      <c r="GW553" t="e">
        <f>AND(#REF!,"AAAAAH/n/8w=")</f>
        <v>#REF!</v>
      </c>
      <c r="GX553" t="e">
        <f>AND(#REF!,"AAAAAH/n/80=")</f>
        <v>#REF!</v>
      </c>
      <c r="GY553" t="e">
        <f>IF(#REF!,"AAAAAH/n/84=",0)</f>
        <v>#REF!</v>
      </c>
      <c r="GZ553" t="e">
        <f>AND(#REF!,"AAAAAH/n/88=")</f>
        <v>#REF!</v>
      </c>
      <c r="HA553" t="e">
        <f>AND(#REF!,"AAAAAH/n/9A=")</f>
        <v>#REF!</v>
      </c>
      <c r="HB553" t="e">
        <f>AND(#REF!,"AAAAAH/n/9E=")</f>
        <v>#REF!</v>
      </c>
      <c r="HC553" t="e">
        <f>AND(#REF!,"AAAAAH/n/9I=")</f>
        <v>#REF!</v>
      </c>
      <c r="HD553" t="e">
        <f>AND(#REF!,"AAAAAH/n/9M=")</f>
        <v>#REF!</v>
      </c>
      <c r="HE553" t="e">
        <f>AND(#REF!,"AAAAAH/n/9Q=")</f>
        <v>#REF!</v>
      </c>
      <c r="HF553" t="e">
        <f>AND(#REF!,"AAAAAH/n/9U=")</f>
        <v>#REF!</v>
      </c>
      <c r="HG553" t="e">
        <f>AND(#REF!,"AAAAAH/n/9Y=")</f>
        <v>#REF!</v>
      </c>
      <c r="HH553" t="e">
        <f>AND(#REF!,"AAAAAH/n/9c=")</f>
        <v>#REF!</v>
      </c>
      <c r="HI553" t="e">
        <f>AND(#REF!,"AAAAAH/n/9g=")</f>
        <v>#REF!</v>
      </c>
      <c r="HJ553" t="e">
        <f>IF(#REF!,"AAAAAH/n/9k=",0)</f>
        <v>#REF!</v>
      </c>
      <c r="HK553" t="e">
        <f>AND(#REF!,"AAAAAH/n/9o=")</f>
        <v>#REF!</v>
      </c>
      <c r="HL553" t="e">
        <f>AND(#REF!,"AAAAAH/n/9s=")</f>
        <v>#REF!</v>
      </c>
      <c r="HM553" t="e">
        <f>AND(#REF!,"AAAAAH/n/9w=")</f>
        <v>#REF!</v>
      </c>
      <c r="HN553" t="e">
        <f>AND(#REF!,"AAAAAH/n/90=")</f>
        <v>#REF!</v>
      </c>
      <c r="HO553" t="e">
        <f>AND(#REF!,"AAAAAH/n/94=")</f>
        <v>#REF!</v>
      </c>
      <c r="HP553" t="e">
        <f>AND(#REF!,"AAAAAH/n/98=")</f>
        <v>#REF!</v>
      </c>
      <c r="HQ553" t="e">
        <f>AND(#REF!,"AAAAAH/n/+A=")</f>
        <v>#REF!</v>
      </c>
      <c r="HR553" t="e">
        <f>AND(#REF!,"AAAAAH/n/+E=")</f>
        <v>#REF!</v>
      </c>
      <c r="HS553" t="e">
        <f>AND(#REF!,"AAAAAH/n/+I=")</f>
        <v>#REF!</v>
      </c>
      <c r="HT553" t="e">
        <f>AND(#REF!,"AAAAAH/n/+M=")</f>
        <v>#REF!</v>
      </c>
      <c r="HU553" t="e">
        <f>IF(#REF!,"AAAAAH/n/+Q=",0)</f>
        <v>#REF!</v>
      </c>
      <c r="HV553" t="e">
        <f>AND(#REF!,"AAAAAH/n/+U=")</f>
        <v>#REF!</v>
      </c>
      <c r="HW553" t="e">
        <f>AND(#REF!,"AAAAAH/n/+Y=")</f>
        <v>#REF!</v>
      </c>
      <c r="HX553" t="e">
        <f>AND(#REF!,"AAAAAH/n/+c=")</f>
        <v>#REF!</v>
      </c>
      <c r="HY553" t="e">
        <f>AND(#REF!,"AAAAAH/n/+g=")</f>
        <v>#REF!</v>
      </c>
      <c r="HZ553" t="e">
        <f>AND(#REF!,"AAAAAH/n/+k=")</f>
        <v>#REF!</v>
      </c>
      <c r="IA553" t="e">
        <f>AND(#REF!,"AAAAAH/n/+o=")</f>
        <v>#REF!</v>
      </c>
      <c r="IB553" t="e">
        <f>AND(#REF!,"AAAAAH/n/+s=")</f>
        <v>#REF!</v>
      </c>
      <c r="IC553" t="e">
        <f>AND(#REF!,"AAAAAH/n/+w=")</f>
        <v>#REF!</v>
      </c>
      <c r="ID553" t="e">
        <f>AND(#REF!,"AAAAAH/n/+0=")</f>
        <v>#REF!</v>
      </c>
      <c r="IE553" t="e">
        <f>AND(#REF!,"AAAAAH/n/+4=")</f>
        <v>#REF!</v>
      </c>
      <c r="IF553" t="e">
        <f>IF(#REF!,"AAAAAH/n/+8=",0)</f>
        <v>#REF!</v>
      </c>
      <c r="IG553" t="e">
        <f>AND(#REF!,"AAAAAH/n//A=")</f>
        <v>#REF!</v>
      </c>
      <c r="IH553" t="e">
        <f>AND(#REF!,"AAAAAH/n//E=")</f>
        <v>#REF!</v>
      </c>
      <c r="II553" t="e">
        <f>AND(#REF!,"AAAAAH/n//I=")</f>
        <v>#REF!</v>
      </c>
      <c r="IJ553" t="e">
        <f>AND(#REF!,"AAAAAH/n//M=")</f>
        <v>#REF!</v>
      </c>
      <c r="IK553" t="e">
        <f>AND(#REF!,"AAAAAH/n//Q=")</f>
        <v>#REF!</v>
      </c>
      <c r="IL553" t="e">
        <f>AND(#REF!,"AAAAAH/n//U=")</f>
        <v>#REF!</v>
      </c>
      <c r="IM553" t="e">
        <f>AND(#REF!,"AAAAAH/n//Y=")</f>
        <v>#REF!</v>
      </c>
      <c r="IN553" t="e">
        <f>AND(#REF!,"AAAAAH/n//c=")</f>
        <v>#REF!</v>
      </c>
      <c r="IO553" t="e">
        <f>AND(#REF!,"AAAAAH/n//g=")</f>
        <v>#REF!</v>
      </c>
      <c r="IP553" t="e">
        <f>AND(#REF!,"AAAAAH/n//k=")</f>
        <v>#REF!</v>
      </c>
      <c r="IQ553" t="e">
        <f>IF(#REF!,"AAAAAH/n//o=",0)</f>
        <v>#REF!</v>
      </c>
      <c r="IR553" t="e">
        <f>AND(#REF!,"AAAAAH/n//s=")</f>
        <v>#REF!</v>
      </c>
      <c r="IS553" t="e">
        <f>AND(#REF!,"AAAAAH/n//w=")</f>
        <v>#REF!</v>
      </c>
      <c r="IT553" t="e">
        <f>AND(#REF!,"AAAAAH/n//0=")</f>
        <v>#REF!</v>
      </c>
      <c r="IU553" t="e">
        <f>AND(#REF!,"AAAAAH/n//4=")</f>
        <v>#REF!</v>
      </c>
      <c r="IV553" t="e">
        <f>AND(#REF!,"AAAAAH/n//8=")</f>
        <v>#REF!</v>
      </c>
    </row>
    <row r="554" spans="1:256" x14ac:dyDescent="0.25">
      <c r="A554" t="e">
        <f>AND(#REF!,"AAAAAGT2nQA=")</f>
        <v>#REF!</v>
      </c>
      <c r="B554" t="e">
        <f>AND(#REF!,"AAAAAGT2nQE=")</f>
        <v>#REF!</v>
      </c>
      <c r="C554" t="e">
        <f>AND(#REF!,"AAAAAGT2nQI=")</f>
        <v>#REF!</v>
      </c>
      <c r="D554" t="e">
        <f>AND(#REF!,"AAAAAGT2nQM=")</f>
        <v>#REF!</v>
      </c>
      <c r="E554" t="e">
        <f>AND(#REF!,"AAAAAGT2nQQ=")</f>
        <v>#REF!</v>
      </c>
      <c r="F554" t="e">
        <f>IF(#REF!,"AAAAAGT2nQU=",0)</f>
        <v>#REF!</v>
      </c>
      <c r="G554" t="e">
        <f>AND(#REF!,"AAAAAGT2nQY=")</f>
        <v>#REF!</v>
      </c>
      <c r="H554" t="e">
        <f>AND(#REF!,"AAAAAGT2nQc=")</f>
        <v>#REF!</v>
      </c>
      <c r="I554" t="e">
        <f>AND(#REF!,"AAAAAGT2nQg=")</f>
        <v>#REF!</v>
      </c>
      <c r="J554" t="e">
        <f>AND(#REF!,"AAAAAGT2nQk=")</f>
        <v>#REF!</v>
      </c>
      <c r="K554" t="e">
        <f>AND(#REF!,"AAAAAGT2nQo=")</f>
        <v>#REF!</v>
      </c>
      <c r="L554" t="e">
        <f>AND(#REF!,"AAAAAGT2nQs=")</f>
        <v>#REF!</v>
      </c>
      <c r="M554" t="e">
        <f>AND(#REF!,"AAAAAGT2nQw=")</f>
        <v>#REF!</v>
      </c>
      <c r="N554" t="e">
        <f>AND(#REF!,"AAAAAGT2nQ0=")</f>
        <v>#REF!</v>
      </c>
      <c r="O554" t="e">
        <f>AND(#REF!,"AAAAAGT2nQ4=")</f>
        <v>#REF!</v>
      </c>
      <c r="P554" t="e">
        <f>AND(#REF!,"AAAAAGT2nQ8=")</f>
        <v>#REF!</v>
      </c>
      <c r="Q554" t="e">
        <f>IF(#REF!,"AAAAAGT2nRA=",0)</f>
        <v>#REF!</v>
      </c>
      <c r="R554" t="e">
        <f>AND(#REF!,"AAAAAGT2nRE=")</f>
        <v>#REF!</v>
      </c>
      <c r="S554" t="e">
        <f>AND(#REF!,"AAAAAGT2nRI=")</f>
        <v>#REF!</v>
      </c>
      <c r="T554" t="e">
        <f>AND(#REF!,"AAAAAGT2nRM=")</f>
        <v>#REF!</v>
      </c>
      <c r="U554" t="e">
        <f>AND(#REF!,"AAAAAGT2nRQ=")</f>
        <v>#REF!</v>
      </c>
      <c r="V554" t="e">
        <f>AND(#REF!,"AAAAAGT2nRU=")</f>
        <v>#REF!</v>
      </c>
      <c r="W554" t="e">
        <f>AND(#REF!,"AAAAAGT2nRY=")</f>
        <v>#REF!</v>
      </c>
      <c r="X554" t="e">
        <f>AND(#REF!,"AAAAAGT2nRc=")</f>
        <v>#REF!</v>
      </c>
      <c r="Y554" t="e">
        <f>AND(#REF!,"AAAAAGT2nRg=")</f>
        <v>#REF!</v>
      </c>
      <c r="Z554" t="e">
        <f>AND(#REF!,"AAAAAGT2nRk=")</f>
        <v>#REF!</v>
      </c>
      <c r="AA554" t="e">
        <f>AND(#REF!,"AAAAAGT2nRo=")</f>
        <v>#REF!</v>
      </c>
      <c r="AB554" t="e">
        <f>IF(#REF!,"AAAAAGT2nRs=",0)</f>
        <v>#REF!</v>
      </c>
      <c r="AC554" t="e">
        <f>AND(#REF!,"AAAAAGT2nRw=")</f>
        <v>#REF!</v>
      </c>
      <c r="AD554" t="e">
        <f>AND(#REF!,"AAAAAGT2nR0=")</f>
        <v>#REF!</v>
      </c>
      <c r="AE554" t="e">
        <f>AND(#REF!,"AAAAAGT2nR4=")</f>
        <v>#REF!</v>
      </c>
      <c r="AF554" t="e">
        <f>AND(#REF!,"AAAAAGT2nR8=")</f>
        <v>#REF!</v>
      </c>
      <c r="AG554" t="e">
        <f>AND(#REF!,"AAAAAGT2nSA=")</f>
        <v>#REF!</v>
      </c>
      <c r="AH554" t="e">
        <f>AND(#REF!,"AAAAAGT2nSE=")</f>
        <v>#REF!</v>
      </c>
      <c r="AI554" t="e">
        <f>AND(#REF!,"AAAAAGT2nSI=")</f>
        <v>#REF!</v>
      </c>
      <c r="AJ554" t="e">
        <f>AND(#REF!,"AAAAAGT2nSM=")</f>
        <v>#REF!</v>
      </c>
      <c r="AK554" t="e">
        <f>AND(#REF!,"AAAAAGT2nSQ=")</f>
        <v>#REF!</v>
      </c>
      <c r="AL554" t="e">
        <f>AND(#REF!,"AAAAAGT2nSU=")</f>
        <v>#REF!</v>
      </c>
      <c r="AM554" t="e">
        <f>IF(#REF!,"AAAAAGT2nSY=",0)</f>
        <v>#REF!</v>
      </c>
      <c r="AN554" t="e">
        <f>AND(#REF!,"AAAAAGT2nSc=")</f>
        <v>#REF!</v>
      </c>
      <c r="AO554" t="e">
        <f>AND(#REF!,"AAAAAGT2nSg=")</f>
        <v>#REF!</v>
      </c>
      <c r="AP554" t="e">
        <f>AND(#REF!,"AAAAAGT2nSk=")</f>
        <v>#REF!</v>
      </c>
      <c r="AQ554" t="e">
        <f>AND(#REF!,"AAAAAGT2nSo=")</f>
        <v>#REF!</v>
      </c>
      <c r="AR554" t="e">
        <f>AND(#REF!,"AAAAAGT2nSs=")</f>
        <v>#REF!</v>
      </c>
      <c r="AS554" t="e">
        <f>AND(#REF!,"AAAAAGT2nSw=")</f>
        <v>#REF!</v>
      </c>
      <c r="AT554" t="e">
        <f>AND(#REF!,"AAAAAGT2nS0=")</f>
        <v>#REF!</v>
      </c>
      <c r="AU554" t="e">
        <f>AND(#REF!,"AAAAAGT2nS4=")</f>
        <v>#REF!</v>
      </c>
      <c r="AV554" t="e">
        <f>AND(#REF!,"AAAAAGT2nS8=")</f>
        <v>#REF!</v>
      </c>
      <c r="AW554" t="e">
        <f>AND(#REF!,"AAAAAGT2nTA=")</f>
        <v>#REF!</v>
      </c>
      <c r="AX554" t="e">
        <f>IF(#REF!,"AAAAAGT2nTE=",0)</f>
        <v>#REF!</v>
      </c>
      <c r="AY554" t="e">
        <f>AND(#REF!,"AAAAAGT2nTI=")</f>
        <v>#REF!</v>
      </c>
      <c r="AZ554" t="e">
        <f>AND(#REF!,"AAAAAGT2nTM=")</f>
        <v>#REF!</v>
      </c>
      <c r="BA554" t="e">
        <f>AND(#REF!,"AAAAAGT2nTQ=")</f>
        <v>#REF!</v>
      </c>
      <c r="BB554" t="e">
        <f>AND(#REF!,"AAAAAGT2nTU=")</f>
        <v>#REF!</v>
      </c>
      <c r="BC554" t="e">
        <f>AND(#REF!,"AAAAAGT2nTY=")</f>
        <v>#REF!</v>
      </c>
      <c r="BD554" t="e">
        <f>AND(#REF!,"AAAAAGT2nTc=")</f>
        <v>#REF!</v>
      </c>
      <c r="BE554" t="e">
        <f>AND(#REF!,"AAAAAGT2nTg=")</f>
        <v>#REF!</v>
      </c>
      <c r="BF554" t="e">
        <f>AND(#REF!,"AAAAAGT2nTk=")</f>
        <v>#REF!</v>
      </c>
      <c r="BG554" t="e">
        <f>AND(#REF!,"AAAAAGT2nTo=")</f>
        <v>#REF!</v>
      </c>
      <c r="BH554" t="e">
        <f>AND(#REF!,"AAAAAGT2nTs=")</f>
        <v>#REF!</v>
      </c>
      <c r="BI554" t="e">
        <f>IF(#REF!,"AAAAAGT2nTw=",0)</f>
        <v>#REF!</v>
      </c>
      <c r="BJ554" t="e">
        <f>AND(#REF!,"AAAAAGT2nT0=")</f>
        <v>#REF!</v>
      </c>
      <c r="BK554" t="e">
        <f>AND(#REF!,"AAAAAGT2nT4=")</f>
        <v>#REF!</v>
      </c>
      <c r="BL554" t="e">
        <f>AND(#REF!,"AAAAAGT2nT8=")</f>
        <v>#REF!</v>
      </c>
      <c r="BM554" t="e">
        <f>AND(#REF!,"AAAAAGT2nUA=")</f>
        <v>#REF!</v>
      </c>
      <c r="BN554" t="e">
        <f>AND(#REF!,"AAAAAGT2nUE=")</f>
        <v>#REF!</v>
      </c>
      <c r="BO554" t="e">
        <f>AND(#REF!,"AAAAAGT2nUI=")</f>
        <v>#REF!</v>
      </c>
      <c r="BP554" t="e">
        <f>AND(#REF!,"AAAAAGT2nUM=")</f>
        <v>#REF!</v>
      </c>
      <c r="BQ554" t="e">
        <f>AND(#REF!,"AAAAAGT2nUQ=")</f>
        <v>#REF!</v>
      </c>
      <c r="BR554" t="e">
        <f>AND(#REF!,"AAAAAGT2nUU=")</f>
        <v>#REF!</v>
      </c>
      <c r="BS554" t="e">
        <f>AND(#REF!,"AAAAAGT2nUY=")</f>
        <v>#REF!</v>
      </c>
      <c r="BT554" t="e">
        <f>IF(#REF!,"AAAAAGT2nUc=",0)</f>
        <v>#REF!</v>
      </c>
      <c r="BU554" t="e">
        <f>AND(#REF!,"AAAAAGT2nUg=")</f>
        <v>#REF!</v>
      </c>
      <c r="BV554" t="e">
        <f>AND(#REF!,"AAAAAGT2nUk=")</f>
        <v>#REF!</v>
      </c>
      <c r="BW554" t="e">
        <f>AND(#REF!,"AAAAAGT2nUo=")</f>
        <v>#REF!</v>
      </c>
      <c r="BX554" t="e">
        <f>AND(#REF!,"AAAAAGT2nUs=")</f>
        <v>#REF!</v>
      </c>
      <c r="BY554" t="e">
        <f>AND(#REF!,"AAAAAGT2nUw=")</f>
        <v>#REF!</v>
      </c>
      <c r="BZ554" t="e">
        <f>AND(#REF!,"AAAAAGT2nU0=")</f>
        <v>#REF!</v>
      </c>
      <c r="CA554" t="e">
        <f>AND(#REF!,"AAAAAGT2nU4=")</f>
        <v>#REF!</v>
      </c>
      <c r="CB554" t="e">
        <f>AND(#REF!,"AAAAAGT2nU8=")</f>
        <v>#REF!</v>
      </c>
      <c r="CC554" t="e">
        <f>AND(#REF!,"AAAAAGT2nVA=")</f>
        <v>#REF!</v>
      </c>
      <c r="CD554" t="e">
        <f>AND(#REF!,"AAAAAGT2nVE=")</f>
        <v>#REF!</v>
      </c>
      <c r="CE554" t="e">
        <f>IF(#REF!,"AAAAAGT2nVI=",0)</f>
        <v>#REF!</v>
      </c>
      <c r="CF554" t="e">
        <f>AND(#REF!,"AAAAAGT2nVM=")</f>
        <v>#REF!</v>
      </c>
      <c r="CG554" t="e">
        <f>AND(#REF!,"AAAAAGT2nVQ=")</f>
        <v>#REF!</v>
      </c>
      <c r="CH554" t="e">
        <f>AND(#REF!,"AAAAAGT2nVU=")</f>
        <v>#REF!</v>
      </c>
      <c r="CI554" t="e">
        <f>AND(#REF!,"AAAAAGT2nVY=")</f>
        <v>#REF!</v>
      </c>
      <c r="CJ554" t="e">
        <f>AND(#REF!,"AAAAAGT2nVc=")</f>
        <v>#REF!</v>
      </c>
      <c r="CK554" t="e">
        <f>AND(#REF!,"AAAAAGT2nVg=")</f>
        <v>#REF!</v>
      </c>
      <c r="CL554" t="e">
        <f>AND(#REF!,"AAAAAGT2nVk=")</f>
        <v>#REF!</v>
      </c>
      <c r="CM554" t="e">
        <f>AND(#REF!,"AAAAAGT2nVo=")</f>
        <v>#REF!</v>
      </c>
      <c r="CN554" t="e">
        <f>AND(#REF!,"AAAAAGT2nVs=")</f>
        <v>#REF!</v>
      </c>
      <c r="CO554" t="e">
        <f>AND(#REF!,"AAAAAGT2nVw=")</f>
        <v>#REF!</v>
      </c>
      <c r="CP554" t="e">
        <f>IF(#REF!,"AAAAAGT2nV0=",0)</f>
        <v>#REF!</v>
      </c>
      <c r="CQ554" t="e">
        <f>AND(#REF!,"AAAAAGT2nV4=")</f>
        <v>#REF!</v>
      </c>
      <c r="CR554" t="e">
        <f>AND(#REF!,"AAAAAGT2nV8=")</f>
        <v>#REF!</v>
      </c>
      <c r="CS554" t="e">
        <f>AND(#REF!,"AAAAAGT2nWA=")</f>
        <v>#REF!</v>
      </c>
      <c r="CT554" t="e">
        <f>AND(#REF!,"AAAAAGT2nWE=")</f>
        <v>#REF!</v>
      </c>
      <c r="CU554" t="e">
        <f>AND(#REF!,"AAAAAGT2nWI=")</f>
        <v>#REF!</v>
      </c>
      <c r="CV554" t="e">
        <f>AND(#REF!,"AAAAAGT2nWM=")</f>
        <v>#REF!</v>
      </c>
      <c r="CW554" t="e">
        <f>AND(#REF!,"AAAAAGT2nWQ=")</f>
        <v>#REF!</v>
      </c>
      <c r="CX554" t="e">
        <f>AND(#REF!,"AAAAAGT2nWU=")</f>
        <v>#REF!</v>
      </c>
      <c r="CY554" t="e">
        <f>AND(#REF!,"AAAAAGT2nWY=")</f>
        <v>#REF!</v>
      </c>
      <c r="CZ554" t="e">
        <f>AND(#REF!,"AAAAAGT2nWc=")</f>
        <v>#REF!</v>
      </c>
      <c r="DA554" t="e">
        <f>IF(#REF!,"AAAAAGT2nWg=",0)</f>
        <v>#REF!</v>
      </c>
      <c r="DB554" t="e">
        <f>AND(#REF!,"AAAAAGT2nWk=")</f>
        <v>#REF!</v>
      </c>
      <c r="DC554" t="e">
        <f>AND(#REF!,"AAAAAGT2nWo=")</f>
        <v>#REF!</v>
      </c>
      <c r="DD554" t="e">
        <f>AND(#REF!,"AAAAAGT2nWs=")</f>
        <v>#REF!</v>
      </c>
      <c r="DE554" t="e">
        <f>AND(#REF!,"AAAAAGT2nWw=")</f>
        <v>#REF!</v>
      </c>
      <c r="DF554" t="e">
        <f>AND(#REF!,"AAAAAGT2nW0=")</f>
        <v>#REF!</v>
      </c>
      <c r="DG554" t="e">
        <f>AND(#REF!,"AAAAAGT2nW4=")</f>
        <v>#REF!</v>
      </c>
      <c r="DH554" t="e">
        <f>AND(#REF!,"AAAAAGT2nW8=")</f>
        <v>#REF!</v>
      </c>
      <c r="DI554" t="e">
        <f>AND(#REF!,"AAAAAGT2nXA=")</f>
        <v>#REF!</v>
      </c>
      <c r="DJ554" t="e">
        <f>AND(#REF!,"AAAAAGT2nXE=")</f>
        <v>#REF!</v>
      </c>
      <c r="DK554" t="e">
        <f>AND(#REF!,"AAAAAGT2nXI=")</f>
        <v>#REF!</v>
      </c>
      <c r="DL554" t="e">
        <f>IF(#REF!,"AAAAAGT2nXM=",0)</f>
        <v>#REF!</v>
      </c>
      <c r="DM554" t="e">
        <f>AND(#REF!,"AAAAAGT2nXQ=")</f>
        <v>#REF!</v>
      </c>
      <c r="DN554" t="e">
        <f>AND(#REF!,"AAAAAGT2nXU=")</f>
        <v>#REF!</v>
      </c>
      <c r="DO554" t="e">
        <f>AND(#REF!,"AAAAAGT2nXY=")</f>
        <v>#REF!</v>
      </c>
      <c r="DP554" t="e">
        <f>AND(#REF!,"AAAAAGT2nXc=")</f>
        <v>#REF!</v>
      </c>
      <c r="DQ554" t="e">
        <f>AND(#REF!,"AAAAAGT2nXg=")</f>
        <v>#REF!</v>
      </c>
      <c r="DR554" t="e">
        <f>AND(#REF!,"AAAAAGT2nXk=")</f>
        <v>#REF!</v>
      </c>
      <c r="DS554" t="e">
        <f>AND(#REF!,"AAAAAGT2nXo=")</f>
        <v>#REF!</v>
      </c>
      <c r="DT554" t="e">
        <f>AND(#REF!,"AAAAAGT2nXs=")</f>
        <v>#REF!</v>
      </c>
      <c r="DU554" t="e">
        <f>AND(#REF!,"AAAAAGT2nXw=")</f>
        <v>#REF!</v>
      </c>
      <c r="DV554" t="e">
        <f>AND(#REF!,"AAAAAGT2nX0=")</f>
        <v>#REF!</v>
      </c>
      <c r="DW554" t="e">
        <f>IF(#REF!,"AAAAAGT2nX4=",0)</f>
        <v>#REF!</v>
      </c>
      <c r="DX554" t="e">
        <f>AND(#REF!,"AAAAAGT2nX8=")</f>
        <v>#REF!</v>
      </c>
      <c r="DY554" t="e">
        <f>AND(#REF!,"AAAAAGT2nYA=")</f>
        <v>#REF!</v>
      </c>
      <c r="DZ554" t="e">
        <f>AND(#REF!,"AAAAAGT2nYE=")</f>
        <v>#REF!</v>
      </c>
      <c r="EA554" t="e">
        <f>AND(#REF!,"AAAAAGT2nYI=")</f>
        <v>#REF!</v>
      </c>
      <c r="EB554" t="e">
        <f>AND(#REF!,"AAAAAGT2nYM=")</f>
        <v>#REF!</v>
      </c>
      <c r="EC554" t="e">
        <f>AND(#REF!,"AAAAAGT2nYQ=")</f>
        <v>#REF!</v>
      </c>
      <c r="ED554" t="e">
        <f>AND(#REF!,"AAAAAGT2nYU=")</f>
        <v>#REF!</v>
      </c>
      <c r="EE554" t="e">
        <f>AND(#REF!,"AAAAAGT2nYY=")</f>
        <v>#REF!</v>
      </c>
      <c r="EF554" t="e">
        <f>AND(#REF!,"AAAAAGT2nYc=")</f>
        <v>#REF!</v>
      </c>
      <c r="EG554" t="e">
        <f>AND(#REF!,"AAAAAGT2nYg=")</f>
        <v>#REF!</v>
      </c>
      <c r="EH554" t="e">
        <f>IF(#REF!,"AAAAAGT2nYk=",0)</f>
        <v>#REF!</v>
      </c>
      <c r="EI554" t="e">
        <f>AND(#REF!,"AAAAAGT2nYo=")</f>
        <v>#REF!</v>
      </c>
      <c r="EJ554" t="e">
        <f>AND(#REF!,"AAAAAGT2nYs=")</f>
        <v>#REF!</v>
      </c>
      <c r="EK554" t="e">
        <f>AND(#REF!,"AAAAAGT2nYw=")</f>
        <v>#REF!</v>
      </c>
      <c r="EL554" t="e">
        <f>AND(#REF!,"AAAAAGT2nY0=")</f>
        <v>#REF!</v>
      </c>
      <c r="EM554" t="e">
        <f>AND(#REF!,"AAAAAGT2nY4=")</f>
        <v>#REF!</v>
      </c>
      <c r="EN554" t="e">
        <f>AND(#REF!,"AAAAAGT2nY8=")</f>
        <v>#REF!</v>
      </c>
      <c r="EO554" t="e">
        <f>AND(#REF!,"AAAAAGT2nZA=")</f>
        <v>#REF!</v>
      </c>
      <c r="EP554" t="e">
        <f>AND(#REF!,"AAAAAGT2nZE=")</f>
        <v>#REF!</v>
      </c>
      <c r="EQ554" t="e">
        <f>AND(#REF!,"AAAAAGT2nZI=")</f>
        <v>#REF!</v>
      </c>
      <c r="ER554" t="e">
        <f>AND(#REF!,"AAAAAGT2nZM=")</f>
        <v>#REF!</v>
      </c>
      <c r="ES554" t="e">
        <f>IF(#REF!,"AAAAAGT2nZQ=",0)</f>
        <v>#REF!</v>
      </c>
      <c r="ET554" t="e">
        <f>AND(#REF!,"AAAAAGT2nZU=")</f>
        <v>#REF!</v>
      </c>
      <c r="EU554" t="e">
        <f>AND(#REF!,"AAAAAGT2nZY=")</f>
        <v>#REF!</v>
      </c>
      <c r="EV554" t="e">
        <f>AND(#REF!,"AAAAAGT2nZc=")</f>
        <v>#REF!</v>
      </c>
      <c r="EW554" t="e">
        <f>AND(#REF!,"AAAAAGT2nZg=")</f>
        <v>#REF!</v>
      </c>
      <c r="EX554" t="e">
        <f>AND(#REF!,"AAAAAGT2nZk=")</f>
        <v>#REF!</v>
      </c>
      <c r="EY554" t="e">
        <f>AND(#REF!,"AAAAAGT2nZo=")</f>
        <v>#REF!</v>
      </c>
      <c r="EZ554" t="e">
        <f>AND(#REF!,"AAAAAGT2nZs=")</f>
        <v>#REF!</v>
      </c>
      <c r="FA554" t="e">
        <f>AND(#REF!,"AAAAAGT2nZw=")</f>
        <v>#REF!</v>
      </c>
      <c r="FB554" t="e">
        <f>AND(#REF!,"AAAAAGT2nZ0=")</f>
        <v>#REF!</v>
      </c>
      <c r="FC554" t="e">
        <f>AND(#REF!,"AAAAAGT2nZ4=")</f>
        <v>#REF!</v>
      </c>
      <c r="FD554" t="e">
        <f>IF(#REF!,"AAAAAGT2nZ8=",0)</f>
        <v>#REF!</v>
      </c>
      <c r="FE554" t="e">
        <f>AND(#REF!,"AAAAAGT2naA=")</f>
        <v>#REF!</v>
      </c>
      <c r="FF554" t="e">
        <f>AND(#REF!,"AAAAAGT2naE=")</f>
        <v>#REF!</v>
      </c>
      <c r="FG554" t="e">
        <f>AND(#REF!,"AAAAAGT2naI=")</f>
        <v>#REF!</v>
      </c>
      <c r="FH554" t="e">
        <f>AND(#REF!,"AAAAAGT2naM=")</f>
        <v>#REF!</v>
      </c>
      <c r="FI554" t="e">
        <f>AND(#REF!,"AAAAAGT2naQ=")</f>
        <v>#REF!</v>
      </c>
      <c r="FJ554" t="e">
        <f>AND(#REF!,"AAAAAGT2naU=")</f>
        <v>#REF!</v>
      </c>
      <c r="FK554" t="e">
        <f>AND(#REF!,"AAAAAGT2naY=")</f>
        <v>#REF!</v>
      </c>
      <c r="FL554" t="e">
        <f>AND(#REF!,"AAAAAGT2nac=")</f>
        <v>#REF!</v>
      </c>
      <c r="FM554" t="e">
        <f>AND(#REF!,"AAAAAGT2nag=")</f>
        <v>#REF!</v>
      </c>
      <c r="FN554" t="e">
        <f>AND(#REF!,"AAAAAGT2nak=")</f>
        <v>#REF!</v>
      </c>
      <c r="FO554" t="e">
        <f>IF(#REF!,"AAAAAGT2nao=",0)</f>
        <v>#REF!</v>
      </c>
      <c r="FP554" t="e">
        <f>AND(#REF!,"AAAAAGT2nas=")</f>
        <v>#REF!</v>
      </c>
      <c r="FQ554" t="e">
        <f>AND(#REF!,"AAAAAGT2naw=")</f>
        <v>#REF!</v>
      </c>
      <c r="FR554" t="e">
        <f>AND(#REF!,"AAAAAGT2na0=")</f>
        <v>#REF!</v>
      </c>
      <c r="FS554" t="e">
        <f>AND(#REF!,"AAAAAGT2na4=")</f>
        <v>#REF!</v>
      </c>
      <c r="FT554" t="e">
        <f>AND(#REF!,"AAAAAGT2na8=")</f>
        <v>#REF!</v>
      </c>
      <c r="FU554" t="e">
        <f>AND(#REF!,"AAAAAGT2nbA=")</f>
        <v>#REF!</v>
      </c>
      <c r="FV554" t="e">
        <f>AND(#REF!,"AAAAAGT2nbE=")</f>
        <v>#REF!</v>
      </c>
      <c r="FW554" t="e">
        <f>AND(#REF!,"AAAAAGT2nbI=")</f>
        <v>#REF!</v>
      </c>
      <c r="FX554" t="e">
        <f>AND(#REF!,"AAAAAGT2nbM=")</f>
        <v>#REF!</v>
      </c>
      <c r="FY554" t="e">
        <f>AND(#REF!,"AAAAAGT2nbQ=")</f>
        <v>#REF!</v>
      </c>
      <c r="FZ554" t="e">
        <f>IF(#REF!,"AAAAAGT2nbU=",0)</f>
        <v>#REF!</v>
      </c>
      <c r="GA554" t="e">
        <f>AND(#REF!,"AAAAAGT2nbY=")</f>
        <v>#REF!</v>
      </c>
      <c r="GB554" t="e">
        <f>AND(#REF!,"AAAAAGT2nbc=")</f>
        <v>#REF!</v>
      </c>
      <c r="GC554" t="e">
        <f>AND(#REF!,"AAAAAGT2nbg=")</f>
        <v>#REF!</v>
      </c>
      <c r="GD554" t="e">
        <f>AND(#REF!,"AAAAAGT2nbk=")</f>
        <v>#REF!</v>
      </c>
      <c r="GE554" t="e">
        <f>AND(#REF!,"AAAAAGT2nbo=")</f>
        <v>#REF!</v>
      </c>
      <c r="GF554" t="e">
        <f>AND(#REF!,"AAAAAGT2nbs=")</f>
        <v>#REF!</v>
      </c>
      <c r="GG554" t="e">
        <f>AND(#REF!,"AAAAAGT2nbw=")</f>
        <v>#REF!</v>
      </c>
      <c r="GH554" t="e">
        <f>AND(#REF!,"AAAAAGT2nb0=")</f>
        <v>#REF!</v>
      </c>
      <c r="GI554" t="e">
        <f>AND(#REF!,"AAAAAGT2nb4=")</f>
        <v>#REF!</v>
      </c>
      <c r="GJ554" t="e">
        <f>AND(#REF!,"AAAAAGT2nb8=")</f>
        <v>#REF!</v>
      </c>
      <c r="GK554" t="e">
        <f>IF(#REF!,"AAAAAGT2ncA=",0)</f>
        <v>#REF!</v>
      </c>
      <c r="GL554" t="e">
        <f>AND(#REF!,"AAAAAGT2ncE=")</f>
        <v>#REF!</v>
      </c>
      <c r="GM554" t="e">
        <f>AND(#REF!,"AAAAAGT2ncI=")</f>
        <v>#REF!</v>
      </c>
      <c r="GN554" t="e">
        <f>AND(#REF!,"AAAAAGT2ncM=")</f>
        <v>#REF!</v>
      </c>
      <c r="GO554" t="e">
        <f>AND(#REF!,"AAAAAGT2ncQ=")</f>
        <v>#REF!</v>
      </c>
      <c r="GP554" t="e">
        <f>AND(#REF!,"AAAAAGT2ncU=")</f>
        <v>#REF!</v>
      </c>
      <c r="GQ554" t="e">
        <f>AND(#REF!,"AAAAAGT2ncY=")</f>
        <v>#REF!</v>
      </c>
      <c r="GR554" t="e">
        <f>AND(#REF!,"AAAAAGT2ncc=")</f>
        <v>#REF!</v>
      </c>
      <c r="GS554" t="e">
        <f>AND(#REF!,"AAAAAGT2ncg=")</f>
        <v>#REF!</v>
      </c>
      <c r="GT554" t="e">
        <f>AND(#REF!,"AAAAAGT2nck=")</f>
        <v>#REF!</v>
      </c>
      <c r="GU554" t="e">
        <f>AND(#REF!,"AAAAAGT2nco=")</f>
        <v>#REF!</v>
      </c>
      <c r="GV554" t="e">
        <f>IF(#REF!,"AAAAAGT2ncs=",0)</f>
        <v>#REF!</v>
      </c>
      <c r="GW554" t="e">
        <f>AND(#REF!,"AAAAAGT2ncw=")</f>
        <v>#REF!</v>
      </c>
      <c r="GX554" t="e">
        <f>AND(#REF!,"AAAAAGT2nc0=")</f>
        <v>#REF!</v>
      </c>
      <c r="GY554" t="e">
        <f>AND(#REF!,"AAAAAGT2nc4=")</f>
        <v>#REF!</v>
      </c>
      <c r="GZ554" t="e">
        <f>AND(#REF!,"AAAAAGT2nc8=")</f>
        <v>#REF!</v>
      </c>
      <c r="HA554" t="e">
        <f>AND(#REF!,"AAAAAGT2ndA=")</f>
        <v>#REF!</v>
      </c>
      <c r="HB554" t="e">
        <f>AND(#REF!,"AAAAAGT2ndE=")</f>
        <v>#REF!</v>
      </c>
      <c r="HC554" t="e">
        <f>AND(#REF!,"AAAAAGT2ndI=")</f>
        <v>#REF!</v>
      </c>
      <c r="HD554" t="e">
        <f>AND(#REF!,"AAAAAGT2ndM=")</f>
        <v>#REF!</v>
      </c>
      <c r="HE554" t="e">
        <f>AND(#REF!,"AAAAAGT2ndQ=")</f>
        <v>#REF!</v>
      </c>
      <c r="HF554" t="e">
        <f>AND(#REF!,"AAAAAGT2ndU=")</f>
        <v>#REF!</v>
      </c>
      <c r="HG554" t="e">
        <f>IF(#REF!,"AAAAAGT2ndY=",0)</f>
        <v>#REF!</v>
      </c>
      <c r="HH554" t="e">
        <f>AND(#REF!,"AAAAAGT2ndc=")</f>
        <v>#REF!</v>
      </c>
      <c r="HI554" t="e">
        <f>AND(#REF!,"AAAAAGT2ndg=")</f>
        <v>#REF!</v>
      </c>
      <c r="HJ554" t="e">
        <f>AND(#REF!,"AAAAAGT2ndk=")</f>
        <v>#REF!</v>
      </c>
      <c r="HK554" t="e">
        <f>AND(#REF!,"AAAAAGT2ndo=")</f>
        <v>#REF!</v>
      </c>
      <c r="HL554" t="e">
        <f>AND(#REF!,"AAAAAGT2nds=")</f>
        <v>#REF!</v>
      </c>
      <c r="HM554" t="e">
        <f>AND(#REF!,"AAAAAGT2ndw=")</f>
        <v>#REF!</v>
      </c>
      <c r="HN554" t="e">
        <f>AND(#REF!,"AAAAAGT2nd0=")</f>
        <v>#REF!</v>
      </c>
      <c r="HO554" t="e">
        <f>AND(#REF!,"AAAAAGT2nd4=")</f>
        <v>#REF!</v>
      </c>
      <c r="HP554" t="e">
        <f>AND(#REF!,"AAAAAGT2nd8=")</f>
        <v>#REF!</v>
      </c>
      <c r="HQ554" t="e">
        <f>AND(#REF!,"AAAAAGT2neA=")</f>
        <v>#REF!</v>
      </c>
      <c r="HR554" t="e">
        <f>IF(#REF!,"AAAAAGT2neE=",0)</f>
        <v>#REF!</v>
      </c>
      <c r="HS554" t="e">
        <f>AND(#REF!,"AAAAAGT2neI=")</f>
        <v>#REF!</v>
      </c>
      <c r="HT554" t="e">
        <f>AND(#REF!,"AAAAAGT2neM=")</f>
        <v>#REF!</v>
      </c>
      <c r="HU554" t="e">
        <f>AND(#REF!,"AAAAAGT2neQ=")</f>
        <v>#REF!</v>
      </c>
      <c r="HV554" t="e">
        <f>AND(#REF!,"AAAAAGT2neU=")</f>
        <v>#REF!</v>
      </c>
      <c r="HW554" t="e">
        <f>AND(#REF!,"AAAAAGT2neY=")</f>
        <v>#REF!</v>
      </c>
      <c r="HX554" t="e">
        <f>AND(#REF!,"AAAAAGT2nec=")</f>
        <v>#REF!</v>
      </c>
      <c r="HY554" t="e">
        <f>AND(#REF!,"AAAAAGT2neg=")</f>
        <v>#REF!</v>
      </c>
      <c r="HZ554" t="e">
        <f>AND(#REF!,"AAAAAGT2nek=")</f>
        <v>#REF!</v>
      </c>
      <c r="IA554" t="e">
        <f>AND(#REF!,"AAAAAGT2neo=")</f>
        <v>#REF!</v>
      </c>
      <c r="IB554" t="e">
        <f>AND(#REF!,"AAAAAGT2nes=")</f>
        <v>#REF!</v>
      </c>
      <c r="IC554" t="e">
        <f>IF(#REF!,"AAAAAGT2new=",0)</f>
        <v>#REF!</v>
      </c>
      <c r="ID554" t="e">
        <f>AND(#REF!,"AAAAAGT2ne0=")</f>
        <v>#REF!</v>
      </c>
      <c r="IE554" t="e">
        <f>AND(#REF!,"AAAAAGT2ne4=")</f>
        <v>#REF!</v>
      </c>
      <c r="IF554" t="e">
        <f>AND(#REF!,"AAAAAGT2ne8=")</f>
        <v>#REF!</v>
      </c>
      <c r="IG554" t="e">
        <f>AND(#REF!,"AAAAAGT2nfA=")</f>
        <v>#REF!</v>
      </c>
      <c r="IH554" t="e">
        <f>AND(#REF!,"AAAAAGT2nfE=")</f>
        <v>#REF!</v>
      </c>
      <c r="II554" t="e">
        <f>AND(#REF!,"AAAAAGT2nfI=")</f>
        <v>#REF!</v>
      </c>
      <c r="IJ554" t="e">
        <f>AND(#REF!,"AAAAAGT2nfM=")</f>
        <v>#REF!</v>
      </c>
      <c r="IK554" t="e">
        <f>AND(#REF!,"AAAAAGT2nfQ=")</f>
        <v>#REF!</v>
      </c>
      <c r="IL554" t="e">
        <f>AND(#REF!,"AAAAAGT2nfU=")</f>
        <v>#REF!</v>
      </c>
      <c r="IM554" t="e">
        <f>AND(#REF!,"AAAAAGT2nfY=")</f>
        <v>#REF!</v>
      </c>
      <c r="IN554" t="e">
        <f>IF(#REF!,"AAAAAGT2nfc=",0)</f>
        <v>#REF!</v>
      </c>
      <c r="IO554" t="e">
        <f>AND(#REF!,"AAAAAGT2nfg=")</f>
        <v>#REF!</v>
      </c>
      <c r="IP554" t="e">
        <f>AND(#REF!,"AAAAAGT2nfk=")</f>
        <v>#REF!</v>
      </c>
      <c r="IQ554" t="e">
        <f>AND(#REF!,"AAAAAGT2nfo=")</f>
        <v>#REF!</v>
      </c>
      <c r="IR554" t="e">
        <f>AND(#REF!,"AAAAAGT2nfs=")</f>
        <v>#REF!</v>
      </c>
      <c r="IS554" t="e">
        <f>AND(#REF!,"AAAAAGT2nfw=")</f>
        <v>#REF!</v>
      </c>
      <c r="IT554" t="e">
        <f>AND(#REF!,"AAAAAGT2nf0=")</f>
        <v>#REF!</v>
      </c>
      <c r="IU554" t="e">
        <f>AND(#REF!,"AAAAAGT2nf4=")</f>
        <v>#REF!</v>
      </c>
      <c r="IV554" t="e">
        <f>AND(#REF!,"AAAAAGT2nf8=")</f>
        <v>#REF!</v>
      </c>
    </row>
    <row r="555" spans="1:256" x14ac:dyDescent="0.25">
      <c r="A555" t="e">
        <f>AND(#REF!,"AAAAABrbzwA=")</f>
        <v>#REF!</v>
      </c>
      <c r="B555" t="e">
        <f>AND(#REF!,"AAAAABrbzwE=")</f>
        <v>#REF!</v>
      </c>
      <c r="C555" t="e">
        <f>IF(#REF!,"AAAAABrbzwI=",0)</f>
        <v>#REF!</v>
      </c>
      <c r="D555" t="e">
        <f>AND(#REF!,"AAAAABrbzwM=")</f>
        <v>#REF!</v>
      </c>
      <c r="E555" t="e">
        <f>AND(#REF!,"AAAAABrbzwQ=")</f>
        <v>#REF!</v>
      </c>
      <c r="F555" t="e">
        <f>AND(#REF!,"AAAAABrbzwU=")</f>
        <v>#REF!</v>
      </c>
      <c r="G555" t="e">
        <f>AND(#REF!,"AAAAABrbzwY=")</f>
        <v>#REF!</v>
      </c>
      <c r="H555" t="e">
        <f>AND(#REF!,"AAAAABrbzwc=")</f>
        <v>#REF!</v>
      </c>
      <c r="I555" t="e">
        <f>AND(#REF!,"AAAAABrbzwg=")</f>
        <v>#REF!</v>
      </c>
      <c r="J555" t="e">
        <f>AND(#REF!,"AAAAABrbzwk=")</f>
        <v>#REF!</v>
      </c>
      <c r="K555" t="e">
        <f>AND(#REF!,"AAAAABrbzwo=")</f>
        <v>#REF!</v>
      </c>
      <c r="L555" t="e">
        <f>AND(#REF!,"AAAAABrbzws=")</f>
        <v>#REF!</v>
      </c>
      <c r="M555" t="e">
        <f>AND(#REF!,"AAAAABrbzww=")</f>
        <v>#REF!</v>
      </c>
      <c r="N555" t="e">
        <f>IF(#REF!,"AAAAABrbzw0=",0)</f>
        <v>#REF!</v>
      </c>
      <c r="O555" t="e">
        <f>AND(#REF!,"AAAAABrbzw4=")</f>
        <v>#REF!</v>
      </c>
      <c r="P555" t="e">
        <f>AND(#REF!,"AAAAABrbzw8=")</f>
        <v>#REF!</v>
      </c>
      <c r="Q555" t="e">
        <f>AND(#REF!,"AAAAABrbzxA=")</f>
        <v>#REF!</v>
      </c>
      <c r="R555" t="e">
        <f>AND(#REF!,"AAAAABrbzxE=")</f>
        <v>#REF!</v>
      </c>
      <c r="S555" t="e">
        <f>AND(#REF!,"AAAAABrbzxI=")</f>
        <v>#REF!</v>
      </c>
      <c r="T555" t="e">
        <f>AND(#REF!,"AAAAABrbzxM=")</f>
        <v>#REF!</v>
      </c>
      <c r="U555" t="e">
        <f>AND(#REF!,"AAAAABrbzxQ=")</f>
        <v>#REF!</v>
      </c>
      <c r="V555" t="e">
        <f>AND(#REF!,"AAAAABrbzxU=")</f>
        <v>#REF!</v>
      </c>
      <c r="W555" t="e">
        <f>AND(#REF!,"AAAAABrbzxY=")</f>
        <v>#REF!</v>
      </c>
      <c r="X555" t="e">
        <f>AND(#REF!,"AAAAABrbzxc=")</f>
        <v>#REF!</v>
      </c>
      <c r="Y555" t="e">
        <f>IF(#REF!,"AAAAABrbzxg=",0)</f>
        <v>#REF!</v>
      </c>
      <c r="Z555" t="e">
        <f>AND(#REF!,"AAAAABrbzxk=")</f>
        <v>#REF!</v>
      </c>
      <c r="AA555" t="e">
        <f>AND(#REF!,"AAAAABrbzxo=")</f>
        <v>#REF!</v>
      </c>
      <c r="AB555" t="e">
        <f>AND(#REF!,"AAAAABrbzxs=")</f>
        <v>#REF!</v>
      </c>
      <c r="AC555" t="e">
        <f>AND(#REF!,"AAAAABrbzxw=")</f>
        <v>#REF!</v>
      </c>
      <c r="AD555" t="e">
        <f>AND(#REF!,"AAAAABrbzx0=")</f>
        <v>#REF!</v>
      </c>
      <c r="AE555" t="e">
        <f>AND(#REF!,"AAAAABrbzx4=")</f>
        <v>#REF!</v>
      </c>
      <c r="AF555" t="e">
        <f>AND(#REF!,"AAAAABrbzx8=")</f>
        <v>#REF!</v>
      </c>
      <c r="AG555" t="e">
        <f>AND(#REF!,"AAAAABrbzyA=")</f>
        <v>#REF!</v>
      </c>
      <c r="AH555" t="e">
        <f>AND(#REF!,"AAAAABrbzyE=")</f>
        <v>#REF!</v>
      </c>
      <c r="AI555" t="e">
        <f>AND(#REF!,"AAAAABrbzyI=")</f>
        <v>#REF!</v>
      </c>
      <c r="AJ555" t="e">
        <f>IF(#REF!,"AAAAABrbzyM=",0)</f>
        <v>#REF!</v>
      </c>
      <c r="AK555" t="e">
        <f>AND(#REF!,"AAAAABrbzyQ=")</f>
        <v>#REF!</v>
      </c>
      <c r="AL555" t="e">
        <f>AND(#REF!,"AAAAABrbzyU=")</f>
        <v>#REF!</v>
      </c>
      <c r="AM555" t="e">
        <f>AND(#REF!,"AAAAABrbzyY=")</f>
        <v>#REF!</v>
      </c>
      <c r="AN555" t="e">
        <f>AND(#REF!,"AAAAABrbzyc=")</f>
        <v>#REF!</v>
      </c>
      <c r="AO555" t="e">
        <f>AND(#REF!,"AAAAABrbzyg=")</f>
        <v>#REF!</v>
      </c>
      <c r="AP555" t="e">
        <f>AND(#REF!,"AAAAABrbzyk=")</f>
        <v>#REF!</v>
      </c>
      <c r="AQ555" t="e">
        <f>AND(#REF!,"AAAAABrbzyo=")</f>
        <v>#REF!</v>
      </c>
      <c r="AR555" t="e">
        <f>AND(#REF!,"AAAAABrbzys=")</f>
        <v>#REF!</v>
      </c>
      <c r="AS555" t="e">
        <f>AND(#REF!,"AAAAABrbzyw=")</f>
        <v>#REF!</v>
      </c>
      <c r="AT555" t="e">
        <f>AND(#REF!,"AAAAABrbzy0=")</f>
        <v>#REF!</v>
      </c>
      <c r="AU555" t="e">
        <f>IF(#REF!,"AAAAABrbzy4=",0)</f>
        <v>#REF!</v>
      </c>
      <c r="AV555" t="e">
        <f>AND(#REF!,"AAAAABrbzy8=")</f>
        <v>#REF!</v>
      </c>
      <c r="AW555" t="e">
        <f>AND(#REF!,"AAAAABrbzzA=")</f>
        <v>#REF!</v>
      </c>
      <c r="AX555" t="e">
        <f>AND(#REF!,"AAAAABrbzzE=")</f>
        <v>#REF!</v>
      </c>
      <c r="AY555" t="e">
        <f>AND(#REF!,"AAAAABrbzzI=")</f>
        <v>#REF!</v>
      </c>
      <c r="AZ555" t="e">
        <f>AND(#REF!,"AAAAABrbzzM=")</f>
        <v>#REF!</v>
      </c>
      <c r="BA555" t="e">
        <f>AND(#REF!,"AAAAABrbzzQ=")</f>
        <v>#REF!</v>
      </c>
      <c r="BB555" t="e">
        <f>AND(#REF!,"AAAAABrbzzU=")</f>
        <v>#REF!</v>
      </c>
      <c r="BC555" t="e">
        <f>AND(#REF!,"AAAAABrbzzY=")</f>
        <v>#REF!</v>
      </c>
      <c r="BD555" t="e">
        <f>AND(#REF!,"AAAAABrbzzc=")</f>
        <v>#REF!</v>
      </c>
      <c r="BE555" t="e">
        <f>AND(#REF!,"AAAAABrbzzg=")</f>
        <v>#REF!</v>
      </c>
      <c r="BF555" t="e">
        <f>IF(#REF!,"AAAAABrbzzk=",0)</f>
        <v>#REF!</v>
      </c>
      <c r="BG555" t="e">
        <f>AND(#REF!,"AAAAABrbzzo=")</f>
        <v>#REF!</v>
      </c>
      <c r="BH555" t="e">
        <f>AND(#REF!,"AAAAABrbzzs=")</f>
        <v>#REF!</v>
      </c>
      <c r="BI555" t="e">
        <f>AND(#REF!,"AAAAABrbzzw=")</f>
        <v>#REF!</v>
      </c>
      <c r="BJ555" t="e">
        <f>AND(#REF!,"AAAAABrbzz0=")</f>
        <v>#REF!</v>
      </c>
      <c r="BK555" t="e">
        <f>AND(#REF!,"AAAAABrbzz4=")</f>
        <v>#REF!</v>
      </c>
      <c r="BL555" t="e">
        <f>AND(#REF!,"AAAAABrbzz8=")</f>
        <v>#REF!</v>
      </c>
      <c r="BM555" t="e">
        <f>AND(#REF!,"AAAAABrbz0A=")</f>
        <v>#REF!</v>
      </c>
      <c r="BN555" t="e">
        <f>AND(#REF!,"AAAAABrbz0E=")</f>
        <v>#REF!</v>
      </c>
      <c r="BO555" t="e">
        <f>AND(#REF!,"AAAAABrbz0I=")</f>
        <v>#REF!</v>
      </c>
      <c r="BP555" t="e">
        <f>AND(#REF!,"AAAAABrbz0M=")</f>
        <v>#REF!</v>
      </c>
      <c r="BQ555" t="e">
        <f>IF(#REF!,"AAAAABrbz0Q=",0)</f>
        <v>#REF!</v>
      </c>
      <c r="BR555" t="e">
        <f>AND(#REF!,"AAAAABrbz0U=")</f>
        <v>#REF!</v>
      </c>
      <c r="BS555" t="e">
        <f>AND(#REF!,"AAAAABrbz0Y=")</f>
        <v>#REF!</v>
      </c>
      <c r="BT555" t="e">
        <f>AND(#REF!,"AAAAABrbz0c=")</f>
        <v>#REF!</v>
      </c>
      <c r="BU555" t="e">
        <f>AND(#REF!,"AAAAABrbz0g=")</f>
        <v>#REF!</v>
      </c>
      <c r="BV555" t="e">
        <f>AND(#REF!,"AAAAABrbz0k=")</f>
        <v>#REF!</v>
      </c>
      <c r="BW555" t="e">
        <f>AND(#REF!,"AAAAABrbz0o=")</f>
        <v>#REF!</v>
      </c>
      <c r="BX555" t="e">
        <f>AND(#REF!,"AAAAABrbz0s=")</f>
        <v>#REF!</v>
      </c>
      <c r="BY555" t="e">
        <f>AND(#REF!,"AAAAABrbz0w=")</f>
        <v>#REF!</v>
      </c>
      <c r="BZ555" t="e">
        <f>AND(#REF!,"AAAAABrbz00=")</f>
        <v>#REF!</v>
      </c>
      <c r="CA555" t="e">
        <f>AND(#REF!,"AAAAABrbz04=")</f>
        <v>#REF!</v>
      </c>
      <c r="CB555" t="e">
        <f>IF(#REF!,"AAAAABrbz08=",0)</f>
        <v>#REF!</v>
      </c>
      <c r="CC555" t="e">
        <f>AND(#REF!,"AAAAABrbz1A=")</f>
        <v>#REF!</v>
      </c>
      <c r="CD555" t="e">
        <f>AND(#REF!,"AAAAABrbz1E=")</f>
        <v>#REF!</v>
      </c>
      <c r="CE555" t="e">
        <f>AND(#REF!,"AAAAABrbz1I=")</f>
        <v>#REF!</v>
      </c>
      <c r="CF555" t="e">
        <f>AND(#REF!,"AAAAABrbz1M=")</f>
        <v>#REF!</v>
      </c>
      <c r="CG555" t="e">
        <f>AND(#REF!,"AAAAABrbz1Q=")</f>
        <v>#REF!</v>
      </c>
      <c r="CH555" t="e">
        <f>AND(#REF!,"AAAAABrbz1U=")</f>
        <v>#REF!</v>
      </c>
      <c r="CI555" t="e">
        <f>AND(#REF!,"AAAAABrbz1Y=")</f>
        <v>#REF!</v>
      </c>
      <c r="CJ555" t="e">
        <f>AND(#REF!,"AAAAABrbz1c=")</f>
        <v>#REF!</v>
      </c>
      <c r="CK555" t="e">
        <f>AND(#REF!,"AAAAABrbz1g=")</f>
        <v>#REF!</v>
      </c>
      <c r="CL555" t="e">
        <f>AND(#REF!,"AAAAABrbz1k=")</f>
        <v>#REF!</v>
      </c>
      <c r="CM555" t="e">
        <f>IF(#REF!,"AAAAABrbz1o=",0)</f>
        <v>#REF!</v>
      </c>
      <c r="CN555" t="e">
        <f>AND(#REF!,"AAAAABrbz1s=")</f>
        <v>#REF!</v>
      </c>
      <c r="CO555" t="e">
        <f>AND(#REF!,"AAAAABrbz1w=")</f>
        <v>#REF!</v>
      </c>
      <c r="CP555" t="e">
        <f>AND(#REF!,"AAAAABrbz10=")</f>
        <v>#REF!</v>
      </c>
      <c r="CQ555" t="e">
        <f>AND(#REF!,"AAAAABrbz14=")</f>
        <v>#REF!</v>
      </c>
      <c r="CR555" t="e">
        <f>AND(#REF!,"AAAAABrbz18=")</f>
        <v>#REF!</v>
      </c>
      <c r="CS555" t="e">
        <f>AND(#REF!,"AAAAABrbz2A=")</f>
        <v>#REF!</v>
      </c>
      <c r="CT555" t="e">
        <f>AND(#REF!,"AAAAABrbz2E=")</f>
        <v>#REF!</v>
      </c>
      <c r="CU555" t="e">
        <f>AND(#REF!,"AAAAABrbz2I=")</f>
        <v>#REF!</v>
      </c>
      <c r="CV555" t="e">
        <f>AND(#REF!,"AAAAABrbz2M=")</f>
        <v>#REF!</v>
      </c>
      <c r="CW555" t="e">
        <f>AND(#REF!,"AAAAABrbz2Q=")</f>
        <v>#REF!</v>
      </c>
      <c r="CX555" t="e">
        <f>IF(#REF!,"AAAAABrbz2U=",0)</f>
        <v>#REF!</v>
      </c>
      <c r="CY555" t="e">
        <f>AND(#REF!,"AAAAABrbz2Y=")</f>
        <v>#REF!</v>
      </c>
      <c r="CZ555" t="e">
        <f>AND(#REF!,"AAAAABrbz2c=")</f>
        <v>#REF!</v>
      </c>
      <c r="DA555" t="e">
        <f>AND(#REF!,"AAAAABrbz2g=")</f>
        <v>#REF!</v>
      </c>
      <c r="DB555" t="e">
        <f>AND(#REF!,"AAAAABrbz2k=")</f>
        <v>#REF!</v>
      </c>
      <c r="DC555" t="e">
        <f>AND(#REF!,"AAAAABrbz2o=")</f>
        <v>#REF!</v>
      </c>
      <c r="DD555" t="e">
        <f>AND(#REF!,"AAAAABrbz2s=")</f>
        <v>#REF!</v>
      </c>
      <c r="DE555" t="e">
        <f>AND(#REF!,"AAAAABrbz2w=")</f>
        <v>#REF!</v>
      </c>
      <c r="DF555" t="e">
        <f>AND(#REF!,"AAAAABrbz20=")</f>
        <v>#REF!</v>
      </c>
      <c r="DG555" t="e">
        <f>AND(#REF!,"AAAAABrbz24=")</f>
        <v>#REF!</v>
      </c>
      <c r="DH555" t="e">
        <f>AND(#REF!,"AAAAABrbz28=")</f>
        <v>#REF!</v>
      </c>
      <c r="DI555" t="e">
        <f>IF(#REF!,"AAAAABrbz3A=",0)</f>
        <v>#REF!</v>
      </c>
      <c r="DJ555" t="e">
        <f>AND(#REF!,"AAAAABrbz3E=")</f>
        <v>#REF!</v>
      </c>
      <c r="DK555" t="e">
        <f>AND(#REF!,"AAAAABrbz3I=")</f>
        <v>#REF!</v>
      </c>
      <c r="DL555" t="e">
        <f>AND(#REF!,"AAAAABrbz3M=")</f>
        <v>#REF!</v>
      </c>
      <c r="DM555" t="e">
        <f>AND(#REF!,"AAAAABrbz3Q=")</f>
        <v>#REF!</v>
      </c>
      <c r="DN555" t="e">
        <f>AND(#REF!,"AAAAABrbz3U=")</f>
        <v>#REF!</v>
      </c>
      <c r="DO555" t="e">
        <f>AND(#REF!,"AAAAABrbz3Y=")</f>
        <v>#REF!</v>
      </c>
      <c r="DP555" t="e">
        <f>AND(#REF!,"AAAAABrbz3c=")</f>
        <v>#REF!</v>
      </c>
      <c r="DQ555" t="e">
        <f>AND(#REF!,"AAAAABrbz3g=")</f>
        <v>#REF!</v>
      </c>
      <c r="DR555" t="e">
        <f>AND(#REF!,"AAAAABrbz3k=")</f>
        <v>#REF!</v>
      </c>
      <c r="DS555" t="e">
        <f>AND(#REF!,"AAAAABrbz3o=")</f>
        <v>#REF!</v>
      </c>
      <c r="DT555" t="e">
        <f>IF(#REF!,"AAAAABrbz3s=",0)</f>
        <v>#REF!</v>
      </c>
      <c r="DU555" t="e">
        <f>AND(#REF!,"AAAAABrbz3w=")</f>
        <v>#REF!</v>
      </c>
      <c r="DV555" t="e">
        <f>AND(#REF!,"AAAAABrbz30=")</f>
        <v>#REF!</v>
      </c>
      <c r="DW555" t="e">
        <f>AND(#REF!,"AAAAABrbz34=")</f>
        <v>#REF!</v>
      </c>
      <c r="DX555" t="e">
        <f>AND(#REF!,"AAAAABrbz38=")</f>
        <v>#REF!</v>
      </c>
      <c r="DY555" t="e">
        <f>AND(#REF!,"AAAAABrbz4A=")</f>
        <v>#REF!</v>
      </c>
      <c r="DZ555" t="e">
        <f>AND(#REF!,"AAAAABrbz4E=")</f>
        <v>#REF!</v>
      </c>
      <c r="EA555" t="e">
        <f>AND(#REF!,"AAAAABrbz4I=")</f>
        <v>#REF!</v>
      </c>
      <c r="EB555" t="e">
        <f>AND(#REF!,"AAAAABrbz4M=")</f>
        <v>#REF!</v>
      </c>
      <c r="EC555" t="e">
        <f>AND(#REF!,"AAAAABrbz4Q=")</f>
        <v>#REF!</v>
      </c>
      <c r="ED555" t="e">
        <f>AND(#REF!,"AAAAABrbz4U=")</f>
        <v>#REF!</v>
      </c>
      <c r="EE555" t="e">
        <f>IF(#REF!,"AAAAABrbz4Y=",0)</f>
        <v>#REF!</v>
      </c>
      <c r="EF555" t="e">
        <f>AND(#REF!,"AAAAABrbz4c=")</f>
        <v>#REF!</v>
      </c>
      <c r="EG555" t="e">
        <f>AND(#REF!,"AAAAABrbz4g=")</f>
        <v>#REF!</v>
      </c>
      <c r="EH555" t="e">
        <f>AND(#REF!,"AAAAABrbz4k=")</f>
        <v>#REF!</v>
      </c>
      <c r="EI555" t="e">
        <f>AND(#REF!,"AAAAABrbz4o=")</f>
        <v>#REF!</v>
      </c>
      <c r="EJ555" t="e">
        <f>AND(#REF!,"AAAAABrbz4s=")</f>
        <v>#REF!</v>
      </c>
      <c r="EK555" t="e">
        <f>AND(#REF!,"AAAAABrbz4w=")</f>
        <v>#REF!</v>
      </c>
      <c r="EL555" t="e">
        <f>AND(#REF!,"AAAAABrbz40=")</f>
        <v>#REF!</v>
      </c>
      <c r="EM555" t="e">
        <f>AND(#REF!,"AAAAABrbz44=")</f>
        <v>#REF!</v>
      </c>
      <c r="EN555" t="e">
        <f>AND(#REF!,"AAAAABrbz48=")</f>
        <v>#REF!</v>
      </c>
      <c r="EO555" t="e">
        <f>AND(#REF!,"AAAAABrbz5A=")</f>
        <v>#REF!</v>
      </c>
      <c r="EP555" t="e">
        <f>IF(#REF!,"AAAAABrbz5E=",0)</f>
        <v>#REF!</v>
      </c>
      <c r="EQ555" t="e">
        <f>AND(#REF!,"AAAAABrbz5I=")</f>
        <v>#REF!</v>
      </c>
      <c r="ER555" t="e">
        <f>AND(#REF!,"AAAAABrbz5M=")</f>
        <v>#REF!</v>
      </c>
      <c r="ES555" t="e">
        <f>AND(#REF!,"AAAAABrbz5Q=")</f>
        <v>#REF!</v>
      </c>
      <c r="ET555" t="e">
        <f>AND(#REF!,"AAAAABrbz5U=")</f>
        <v>#REF!</v>
      </c>
      <c r="EU555" t="e">
        <f>AND(#REF!,"AAAAABrbz5Y=")</f>
        <v>#REF!</v>
      </c>
      <c r="EV555" t="e">
        <f>AND(#REF!,"AAAAABrbz5c=")</f>
        <v>#REF!</v>
      </c>
      <c r="EW555" t="e">
        <f>AND(#REF!,"AAAAABrbz5g=")</f>
        <v>#REF!</v>
      </c>
      <c r="EX555" t="e">
        <f>AND(#REF!,"AAAAABrbz5k=")</f>
        <v>#REF!</v>
      </c>
      <c r="EY555" t="e">
        <f>AND(#REF!,"AAAAABrbz5o=")</f>
        <v>#REF!</v>
      </c>
      <c r="EZ555" t="e">
        <f>AND(#REF!,"AAAAABrbz5s=")</f>
        <v>#REF!</v>
      </c>
      <c r="FA555" t="e">
        <f>IF(#REF!,"AAAAABrbz5w=",0)</f>
        <v>#REF!</v>
      </c>
      <c r="FB555" t="e">
        <f>AND(#REF!,"AAAAABrbz50=")</f>
        <v>#REF!</v>
      </c>
      <c r="FC555" t="e">
        <f>AND(#REF!,"AAAAABrbz54=")</f>
        <v>#REF!</v>
      </c>
      <c r="FD555" t="e">
        <f>AND(#REF!,"AAAAABrbz58=")</f>
        <v>#REF!</v>
      </c>
      <c r="FE555" t="e">
        <f>AND(#REF!,"AAAAABrbz6A=")</f>
        <v>#REF!</v>
      </c>
      <c r="FF555" t="e">
        <f>AND(#REF!,"AAAAABrbz6E=")</f>
        <v>#REF!</v>
      </c>
      <c r="FG555" t="e">
        <f>AND(#REF!,"AAAAABrbz6I=")</f>
        <v>#REF!</v>
      </c>
      <c r="FH555" t="e">
        <f>AND(#REF!,"AAAAABrbz6M=")</f>
        <v>#REF!</v>
      </c>
      <c r="FI555" t="e">
        <f>AND(#REF!,"AAAAABrbz6Q=")</f>
        <v>#REF!</v>
      </c>
      <c r="FJ555" t="e">
        <f>AND(#REF!,"AAAAABrbz6U=")</f>
        <v>#REF!</v>
      </c>
      <c r="FK555" t="e">
        <f>AND(#REF!,"AAAAABrbz6Y=")</f>
        <v>#REF!</v>
      </c>
      <c r="FL555" t="e">
        <f>IF(#REF!,"AAAAABrbz6c=",0)</f>
        <v>#REF!</v>
      </c>
      <c r="FM555" t="e">
        <f>AND(#REF!,"AAAAABrbz6g=")</f>
        <v>#REF!</v>
      </c>
      <c r="FN555" t="e">
        <f>AND(#REF!,"AAAAABrbz6k=")</f>
        <v>#REF!</v>
      </c>
      <c r="FO555" t="e">
        <f>AND(#REF!,"AAAAABrbz6o=")</f>
        <v>#REF!</v>
      </c>
      <c r="FP555" t="e">
        <f>AND(#REF!,"AAAAABrbz6s=")</f>
        <v>#REF!</v>
      </c>
      <c r="FQ555" t="e">
        <f>AND(#REF!,"AAAAABrbz6w=")</f>
        <v>#REF!</v>
      </c>
      <c r="FR555" t="e">
        <f>AND(#REF!,"AAAAABrbz60=")</f>
        <v>#REF!</v>
      </c>
      <c r="FS555" t="e">
        <f>AND(#REF!,"AAAAABrbz64=")</f>
        <v>#REF!</v>
      </c>
      <c r="FT555" t="e">
        <f>AND(#REF!,"AAAAABrbz68=")</f>
        <v>#REF!</v>
      </c>
      <c r="FU555" t="e">
        <f>AND(#REF!,"AAAAABrbz7A=")</f>
        <v>#REF!</v>
      </c>
      <c r="FV555" t="e">
        <f>AND(#REF!,"AAAAABrbz7E=")</f>
        <v>#REF!</v>
      </c>
      <c r="FW555" t="e">
        <f>IF(#REF!,"AAAAABrbz7I=",0)</f>
        <v>#REF!</v>
      </c>
      <c r="FX555" t="e">
        <f>AND(#REF!,"AAAAABrbz7M=")</f>
        <v>#REF!</v>
      </c>
      <c r="FY555" t="e">
        <f>AND(#REF!,"AAAAABrbz7Q=")</f>
        <v>#REF!</v>
      </c>
      <c r="FZ555" t="e">
        <f>AND(#REF!,"AAAAABrbz7U=")</f>
        <v>#REF!</v>
      </c>
      <c r="GA555" t="e">
        <f>AND(#REF!,"AAAAABrbz7Y=")</f>
        <v>#REF!</v>
      </c>
      <c r="GB555" t="e">
        <f>AND(#REF!,"AAAAABrbz7c=")</f>
        <v>#REF!</v>
      </c>
      <c r="GC555" t="e">
        <f>AND(#REF!,"AAAAABrbz7g=")</f>
        <v>#REF!</v>
      </c>
      <c r="GD555" t="e">
        <f>AND(#REF!,"AAAAABrbz7k=")</f>
        <v>#REF!</v>
      </c>
      <c r="GE555" t="e">
        <f>AND(#REF!,"AAAAABrbz7o=")</f>
        <v>#REF!</v>
      </c>
      <c r="GF555" t="e">
        <f>AND(#REF!,"AAAAABrbz7s=")</f>
        <v>#REF!</v>
      </c>
      <c r="GG555" t="e">
        <f>AND(#REF!,"AAAAABrbz7w=")</f>
        <v>#REF!</v>
      </c>
      <c r="GH555" t="e">
        <f>IF(#REF!,"AAAAABrbz70=",0)</f>
        <v>#REF!</v>
      </c>
      <c r="GI555" t="e">
        <f>AND(#REF!,"AAAAABrbz74=")</f>
        <v>#REF!</v>
      </c>
      <c r="GJ555" t="e">
        <f>AND(#REF!,"AAAAABrbz78=")</f>
        <v>#REF!</v>
      </c>
      <c r="GK555" t="e">
        <f>AND(#REF!,"AAAAABrbz8A=")</f>
        <v>#REF!</v>
      </c>
      <c r="GL555" t="e">
        <f>AND(#REF!,"AAAAABrbz8E=")</f>
        <v>#REF!</v>
      </c>
      <c r="GM555" t="e">
        <f>AND(#REF!,"AAAAABrbz8I=")</f>
        <v>#REF!</v>
      </c>
      <c r="GN555" t="e">
        <f>AND(#REF!,"AAAAABrbz8M=")</f>
        <v>#REF!</v>
      </c>
      <c r="GO555" t="e">
        <f>AND(#REF!,"AAAAABrbz8Q=")</f>
        <v>#REF!</v>
      </c>
      <c r="GP555" t="e">
        <f>AND(#REF!,"AAAAABrbz8U=")</f>
        <v>#REF!</v>
      </c>
      <c r="GQ555" t="e">
        <f>AND(#REF!,"AAAAABrbz8Y=")</f>
        <v>#REF!</v>
      </c>
      <c r="GR555" t="e">
        <f>AND(#REF!,"AAAAABrbz8c=")</f>
        <v>#REF!</v>
      </c>
      <c r="GS555" t="e">
        <f>IF(#REF!,"AAAAABrbz8g=",0)</f>
        <v>#REF!</v>
      </c>
      <c r="GT555" t="e">
        <f>AND(#REF!,"AAAAABrbz8k=")</f>
        <v>#REF!</v>
      </c>
      <c r="GU555" t="e">
        <f>AND(#REF!,"AAAAABrbz8o=")</f>
        <v>#REF!</v>
      </c>
      <c r="GV555" t="e">
        <f>AND(#REF!,"AAAAABrbz8s=")</f>
        <v>#REF!</v>
      </c>
      <c r="GW555" t="e">
        <f>AND(#REF!,"AAAAABrbz8w=")</f>
        <v>#REF!</v>
      </c>
      <c r="GX555" t="e">
        <f>AND(#REF!,"AAAAABrbz80=")</f>
        <v>#REF!</v>
      </c>
      <c r="GY555" t="e">
        <f>AND(#REF!,"AAAAABrbz84=")</f>
        <v>#REF!</v>
      </c>
      <c r="GZ555" t="e">
        <f>AND(#REF!,"AAAAABrbz88=")</f>
        <v>#REF!</v>
      </c>
      <c r="HA555" t="e">
        <f>AND(#REF!,"AAAAABrbz9A=")</f>
        <v>#REF!</v>
      </c>
      <c r="HB555" t="e">
        <f>AND(#REF!,"AAAAABrbz9E=")</f>
        <v>#REF!</v>
      </c>
      <c r="HC555" t="e">
        <f>AND(#REF!,"AAAAABrbz9I=")</f>
        <v>#REF!</v>
      </c>
      <c r="HD555" t="e">
        <f>IF(#REF!,"AAAAABrbz9M=",0)</f>
        <v>#REF!</v>
      </c>
      <c r="HE555" t="e">
        <f>AND(#REF!,"AAAAABrbz9Q=")</f>
        <v>#REF!</v>
      </c>
      <c r="HF555" t="e">
        <f>AND(#REF!,"AAAAABrbz9U=")</f>
        <v>#REF!</v>
      </c>
      <c r="HG555" t="e">
        <f>AND(#REF!,"AAAAABrbz9Y=")</f>
        <v>#REF!</v>
      </c>
      <c r="HH555" t="e">
        <f>AND(#REF!,"AAAAABrbz9c=")</f>
        <v>#REF!</v>
      </c>
      <c r="HI555" t="e">
        <f>AND(#REF!,"AAAAABrbz9g=")</f>
        <v>#REF!</v>
      </c>
      <c r="HJ555" t="e">
        <f>AND(#REF!,"AAAAABrbz9k=")</f>
        <v>#REF!</v>
      </c>
      <c r="HK555" t="e">
        <f>AND(#REF!,"AAAAABrbz9o=")</f>
        <v>#REF!</v>
      </c>
      <c r="HL555" t="e">
        <f>AND(#REF!,"AAAAABrbz9s=")</f>
        <v>#REF!</v>
      </c>
      <c r="HM555" t="e">
        <f>AND(#REF!,"AAAAABrbz9w=")</f>
        <v>#REF!</v>
      </c>
      <c r="HN555" t="e">
        <f>AND(#REF!,"AAAAABrbz90=")</f>
        <v>#REF!</v>
      </c>
      <c r="HO555" t="e">
        <f>IF(#REF!,"AAAAABrbz94=",0)</f>
        <v>#REF!</v>
      </c>
      <c r="HP555" t="e">
        <f>AND(#REF!,"AAAAABrbz98=")</f>
        <v>#REF!</v>
      </c>
      <c r="HQ555" t="e">
        <f>AND(#REF!,"AAAAABrbz+A=")</f>
        <v>#REF!</v>
      </c>
      <c r="HR555" t="e">
        <f>AND(#REF!,"AAAAABrbz+E=")</f>
        <v>#REF!</v>
      </c>
      <c r="HS555" t="e">
        <f>AND(#REF!,"AAAAABrbz+I=")</f>
        <v>#REF!</v>
      </c>
      <c r="HT555" t="e">
        <f>AND(#REF!,"AAAAABrbz+M=")</f>
        <v>#REF!</v>
      </c>
      <c r="HU555" t="e">
        <f>AND(#REF!,"AAAAABrbz+Q=")</f>
        <v>#REF!</v>
      </c>
      <c r="HV555" t="e">
        <f>AND(#REF!,"AAAAABrbz+U=")</f>
        <v>#REF!</v>
      </c>
      <c r="HW555" t="e">
        <f>AND(#REF!,"AAAAABrbz+Y=")</f>
        <v>#REF!</v>
      </c>
      <c r="HX555" t="e">
        <f>AND(#REF!,"AAAAABrbz+c=")</f>
        <v>#REF!</v>
      </c>
      <c r="HY555" t="e">
        <f>AND(#REF!,"AAAAABrbz+g=")</f>
        <v>#REF!</v>
      </c>
      <c r="HZ555" t="e">
        <f>IF(#REF!,"AAAAABrbz+k=",0)</f>
        <v>#REF!</v>
      </c>
      <c r="IA555" t="e">
        <f>AND(#REF!,"AAAAABrbz+o=")</f>
        <v>#REF!</v>
      </c>
      <c r="IB555" t="e">
        <f>AND(#REF!,"AAAAABrbz+s=")</f>
        <v>#REF!</v>
      </c>
      <c r="IC555" t="e">
        <f>AND(#REF!,"AAAAABrbz+w=")</f>
        <v>#REF!</v>
      </c>
      <c r="ID555" t="e">
        <f>AND(#REF!,"AAAAABrbz+0=")</f>
        <v>#REF!</v>
      </c>
      <c r="IE555" t="e">
        <f>AND(#REF!,"AAAAABrbz+4=")</f>
        <v>#REF!</v>
      </c>
      <c r="IF555" t="e">
        <f>AND(#REF!,"AAAAABrbz+8=")</f>
        <v>#REF!</v>
      </c>
      <c r="IG555" t="e">
        <f>AND(#REF!,"AAAAABrbz/A=")</f>
        <v>#REF!</v>
      </c>
      <c r="IH555" t="e">
        <f>AND(#REF!,"AAAAABrbz/E=")</f>
        <v>#REF!</v>
      </c>
      <c r="II555" t="e">
        <f>AND(#REF!,"AAAAABrbz/I=")</f>
        <v>#REF!</v>
      </c>
      <c r="IJ555" t="e">
        <f>AND(#REF!,"AAAAABrbz/M=")</f>
        <v>#REF!</v>
      </c>
      <c r="IK555" t="e">
        <f>IF(#REF!,"AAAAABrbz/Q=",0)</f>
        <v>#REF!</v>
      </c>
      <c r="IL555" t="e">
        <f>AND(#REF!,"AAAAABrbz/U=")</f>
        <v>#REF!</v>
      </c>
      <c r="IM555" t="e">
        <f>AND(#REF!,"AAAAABrbz/Y=")</f>
        <v>#REF!</v>
      </c>
      <c r="IN555" t="e">
        <f>AND(#REF!,"AAAAABrbz/c=")</f>
        <v>#REF!</v>
      </c>
      <c r="IO555" t="e">
        <f>AND(#REF!,"AAAAABrbz/g=")</f>
        <v>#REF!</v>
      </c>
      <c r="IP555" t="e">
        <f>AND(#REF!,"AAAAABrbz/k=")</f>
        <v>#REF!</v>
      </c>
      <c r="IQ555" t="e">
        <f>AND(#REF!,"AAAAABrbz/o=")</f>
        <v>#REF!</v>
      </c>
      <c r="IR555" t="e">
        <f>AND(#REF!,"AAAAABrbz/s=")</f>
        <v>#REF!</v>
      </c>
      <c r="IS555" t="e">
        <f>AND(#REF!,"AAAAABrbz/w=")</f>
        <v>#REF!</v>
      </c>
      <c r="IT555" t="e">
        <f>AND(#REF!,"AAAAABrbz/0=")</f>
        <v>#REF!</v>
      </c>
      <c r="IU555" t="e">
        <f>AND(#REF!,"AAAAABrbz/4=")</f>
        <v>#REF!</v>
      </c>
      <c r="IV555" t="e">
        <f>IF(#REF!,"AAAAABrbz/8=",0)</f>
        <v>#REF!</v>
      </c>
    </row>
    <row r="556" spans="1:256" x14ac:dyDescent="0.25">
      <c r="A556" t="e">
        <f>AND(#REF!,"AAAAAHzL/wA=")</f>
        <v>#REF!</v>
      </c>
      <c r="B556" t="e">
        <f>AND(#REF!,"AAAAAHzL/wE=")</f>
        <v>#REF!</v>
      </c>
      <c r="C556" t="e">
        <f>AND(#REF!,"AAAAAHzL/wI=")</f>
        <v>#REF!</v>
      </c>
      <c r="D556" t="e">
        <f>AND(#REF!,"AAAAAHzL/wM=")</f>
        <v>#REF!</v>
      </c>
      <c r="E556" t="e">
        <f>AND(#REF!,"AAAAAHzL/wQ=")</f>
        <v>#REF!</v>
      </c>
      <c r="F556" t="e">
        <f>AND(#REF!,"AAAAAHzL/wU=")</f>
        <v>#REF!</v>
      </c>
      <c r="G556" t="e">
        <f>AND(#REF!,"AAAAAHzL/wY=")</f>
        <v>#REF!</v>
      </c>
      <c r="H556" t="e">
        <f>AND(#REF!,"AAAAAHzL/wc=")</f>
        <v>#REF!</v>
      </c>
      <c r="I556" t="e">
        <f>AND(#REF!,"AAAAAHzL/wg=")</f>
        <v>#REF!</v>
      </c>
      <c r="J556" t="e">
        <f>AND(#REF!,"AAAAAHzL/wk=")</f>
        <v>#REF!</v>
      </c>
      <c r="K556" t="e">
        <f>IF(#REF!,"AAAAAHzL/wo=",0)</f>
        <v>#REF!</v>
      </c>
      <c r="L556" t="e">
        <f>AND(#REF!,"AAAAAHzL/ws=")</f>
        <v>#REF!</v>
      </c>
      <c r="M556" t="e">
        <f>AND(#REF!,"AAAAAHzL/ww=")</f>
        <v>#REF!</v>
      </c>
      <c r="N556" t="e">
        <f>AND(#REF!,"AAAAAHzL/w0=")</f>
        <v>#REF!</v>
      </c>
      <c r="O556" t="e">
        <f>AND(#REF!,"AAAAAHzL/w4=")</f>
        <v>#REF!</v>
      </c>
      <c r="P556" t="e">
        <f>AND(#REF!,"AAAAAHzL/w8=")</f>
        <v>#REF!</v>
      </c>
      <c r="Q556" t="e">
        <f>AND(#REF!,"AAAAAHzL/xA=")</f>
        <v>#REF!</v>
      </c>
      <c r="R556" t="e">
        <f>AND(#REF!,"AAAAAHzL/xE=")</f>
        <v>#REF!</v>
      </c>
      <c r="S556" t="e">
        <f>AND(#REF!,"AAAAAHzL/xI=")</f>
        <v>#REF!</v>
      </c>
      <c r="T556" t="e">
        <f>AND(#REF!,"AAAAAHzL/xM=")</f>
        <v>#REF!</v>
      </c>
      <c r="U556" t="e">
        <f>AND(#REF!,"AAAAAHzL/xQ=")</f>
        <v>#REF!</v>
      </c>
      <c r="V556" t="e">
        <f>IF(#REF!,"AAAAAHzL/xU=",0)</f>
        <v>#REF!</v>
      </c>
      <c r="W556" t="e">
        <f>AND(#REF!,"AAAAAHzL/xY=")</f>
        <v>#REF!</v>
      </c>
      <c r="X556" t="e">
        <f>AND(#REF!,"AAAAAHzL/xc=")</f>
        <v>#REF!</v>
      </c>
      <c r="Y556" t="e">
        <f>AND(#REF!,"AAAAAHzL/xg=")</f>
        <v>#REF!</v>
      </c>
      <c r="Z556" t="e">
        <f>AND(#REF!,"AAAAAHzL/xk=")</f>
        <v>#REF!</v>
      </c>
      <c r="AA556" t="e">
        <f>AND(#REF!,"AAAAAHzL/xo=")</f>
        <v>#REF!</v>
      </c>
      <c r="AB556" t="e">
        <f>AND(#REF!,"AAAAAHzL/xs=")</f>
        <v>#REF!</v>
      </c>
      <c r="AC556" t="e">
        <f>AND(#REF!,"AAAAAHzL/xw=")</f>
        <v>#REF!</v>
      </c>
      <c r="AD556" t="e">
        <f>AND(#REF!,"AAAAAHzL/x0=")</f>
        <v>#REF!</v>
      </c>
      <c r="AE556" t="e">
        <f>AND(#REF!,"AAAAAHzL/x4=")</f>
        <v>#REF!</v>
      </c>
      <c r="AF556" t="e">
        <f>AND(#REF!,"AAAAAHzL/x8=")</f>
        <v>#REF!</v>
      </c>
      <c r="AG556" t="e">
        <f>IF(#REF!,"AAAAAHzL/yA=",0)</f>
        <v>#REF!</v>
      </c>
      <c r="AH556" t="e">
        <f>AND(#REF!,"AAAAAHzL/yE=")</f>
        <v>#REF!</v>
      </c>
      <c r="AI556" t="e">
        <f>AND(#REF!,"AAAAAHzL/yI=")</f>
        <v>#REF!</v>
      </c>
      <c r="AJ556" t="e">
        <f>AND(#REF!,"AAAAAHzL/yM=")</f>
        <v>#REF!</v>
      </c>
      <c r="AK556" t="e">
        <f>AND(#REF!,"AAAAAHzL/yQ=")</f>
        <v>#REF!</v>
      </c>
      <c r="AL556" t="e">
        <f>AND(#REF!,"AAAAAHzL/yU=")</f>
        <v>#REF!</v>
      </c>
      <c r="AM556" t="e">
        <f>AND(#REF!,"AAAAAHzL/yY=")</f>
        <v>#REF!</v>
      </c>
      <c r="AN556" t="e">
        <f>AND(#REF!,"AAAAAHzL/yc=")</f>
        <v>#REF!</v>
      </c>
      <c r="AO556" t="e">
        <f>AND(#REF!,"AAAAAHzL/yg=")</f>
        <v>#REF!</v>
      </c>
      <c r="AP556" t="e">
        <f>AND(#REF!,"AAAAAHzL/yk=")</f>
        <v>#REF!</v>
      </c>
      <c r="AQ556" t="e">
        <f>AND(#REF!,"AAAAAHzL/yo=")</f>
        <v>#REF!</v>
      </c>
      <c r="AR556" t="e">
        <f>IF(#REF!,"AAAAAHzL/ys=",0)</f>
        <v>#REF!</v>
      </c>
      <c r="AS556" t="e">
        <f>AND(#REF!,"AAAAAHzL/yw=")</f>
        <v>#REF!</v>
      </c>
      <c r="AT556" t="e">
        <f>AND(#REF!,"AAAAAHzL/y0=")</f>
        <v>#REF!</v>
      </c>
      <c r="AU556" t="e">
        <f>AND(#REF!,"AAAAAHzL/y4=")</f>
        <v>#REF!</v>
      </c>
      <c r="AV556" t="e">
        <f>AND(#REF!,"AAAAAHzL/y8=")</f>
        <v>#REF!</v>
      </c>
      <c r="AW556" t="e">
        <f>AND(#REF!,"AAAAAHzL/zA=")</f>
        <v>#REF!</v>
      </c>
      <c r="AX556" t="e">
        <f>AND(#REF!,"AAAAAHzL/zE=")</f>
        <v>#REF!</v>
      </c>
      <c r="AY556" t="e">
        <f>AND(#REF!,"AAAAAHzL/zI=")</f>
        <v>#REF!</v>
      </c>
      <c r="AZ556" t="e">
        <f>AND(#REF!,"AAAAAHzL/zM=")</f>
        <v>#REF!</v>
      </c>
      <c r="BA556" t="e">
        <f>AND(#REF!,"AAAAAHzL/zQ=")</f>
        <v>#REF!</v>
      </c>
      <c r="BB556" t="e">
        <f>AND(#REF!,"AAAAAHzL/zU=")</f>
        <v>#REF!</v>
      </c>
      <c r="BC556" t="e">
        <f>IF(#REF!,"AAAAAHzL/zY=",0)</f>
        <v>#REF!</v>
      </c>
      <c r="BD556" t="e">
        <f>AND(#REF!,"AAAAAHzL/zc=")</f>
        <v>#REF!</v>
      </c>
      <c r="BE556" t="e">
        <f>AND(#REF!,"AAAAAHzL/zg=")</f>
        <v>#REF!</v>
      </c>
      <c r="BF556" t="e">
        <f>AND(#REF!,"AAAAAHzL/zk=")</f>
        <v>#REF!</v>
      </c>
      <c r="BG556" t="e">
        <f>AND(#REF!,"AAAAAHzL/zo=")</f>
        <v>#REF!</v>
      </c>
      <c r="BH556" t="e">
        <f>AND(#REF!,"AAAAAHzL/zs=")</f>
        <v>#REF!</v>
      </c>
      <c r="BI556" t="e">
        <f>AND(#REF!,"AAAAAHzL/zw=")</f>
        <v>#REF!</v>
      </c>
      <c r="BJ556" t="e">
        <f>AND(#REF!,"AAAAAHzL/z0=")</f>
        <v>#REF!</v>
      </c>
      <c r="BK556" t="e">
        <f>AND(#REF!,"AAAAAHzL/z4=")</f>
        <v>#REF!</v>
      </c>
      <c r="BL556" t="e">
        <f>AND(#REF!,"AAAAAHzL/z8=")</f>
        <v>#REF!</v>
      </c>
      <c r="BM556" t="e">
        <f>AND(#REF!,"AAAAAHzL/0A=")</f>
        <v>#REF!</v>
      </c>
      <c r="BN556" t="e">
        <f>IF(#REF!,"AAAAAHzL/0E=",0)</f>
        <v>#REF!</v>
      </c>
      <c r="BO556" t="e">
        <f>AND(#REF!,"AAAAAHzL/0I=")</f>
        <v>#REF!</v>
      </c>
      <c r="BP556" t="e">
        <f>AND(#REF!,"AAAAAHzL/0M=")</f>
        <v>#REF!</v>
      </c>
      <c r="BQ556" t="e">
        <f>AND(#REF!,"AAAAAHzL/0Q=")</f>
        <v>#REF!</v>
      </c>
      <c r="BR556" t="e">
        <f>AND(#REF!,"AAAAAHzL/0U=")</f>
        <v>#REF!</v>
      </c>
      <c r="BS556" t="e">
        <f>AND(#REF!,"AAAAAHzL/0Y=")</f>
        <v>#REF!</v>
      </c>
      <c r="BT556" t="e">
        <f>AND(#REF!,"AAAAAHzL/0c=")</f>
        <v>#REF!</v>
      </c>
      <c r="BU556" t="e">
        <f>AND(#REF!,"AAAAAHzL/0g=")</f>
        <v>#REF!</v>
      </c>
      <c r="BV556" t="e">
        <f>AND(#REF!,"AAAAAHzL/0k=")</f>
        <v>#REF!</v>
      </c>
      <c r="BW556" t="e">
        <f>AND(#REF!,"AAAAAHzL/0o=")</f>
        <v>#REF!</v>
      </c>
      <c r="BX556" t="e">
        <f>AND(#REF!,"AAAAAHzL/0s=")</f>
        <v>#REF!</v>
      </c>
      <c r="BY556" t="e">
        <f>IF(#REF!,"AAAAAHzL/0w=",0)</f>
        <v>#REF!</v>
      </c>
      <c r="BZ556" t="e">
        <f>AND(#REF!,"AAAAAHzL/00=")</f>
        <v>#REF!</v>
      </c>
      <c r="CA556" t="e">
        <f>AND(#REF!,"AAAAAHzL/04=")</f>
        <v>#REF!</v>
      </c>
      <c r="CB556" t="e">
        <f>AND(#REF!,"AAAAAHzL/08=")</f>
        <v>#REF!</v>
      </c>
      <c r="CC556" t="e">
        <f>AND(#REF!,"AAAAAHzL/1A=")</f>
        <v>#REF!</v>
      </c>
      <c r="CD556" t="e">
        <f>AND(#REF!,"AAAAAHzL/1E=")</f>
        <v>#REF!</v>
      </c>
      <c r="CE556" t="e">
        <f>AND(#REF!,"AAAAAHzL/1I=")</f>
        <v>#REF!</v>
      </c>
      <c r="CF556" t="e">
        <f>AND(#REF!,"AAAAAHzL/1M=")</f>
        <v>#REF!</v>
      </c>
      <c r="CG556" t="e">
        <f>AND(#REF!,"AAAAAHzL/1Q=")</f>
        <v>#REF!</v>
      </c>
      <c r="CH556" t="e">
        <f>AND(#REF!,"AAAAAHzL/1U=")</f>
        <v>#REF!</v>
      </c>
      <c r="CI556" t="e">
        <f>AND(#REF!,"AAAAAHzL/1Y=")</f>
        <v>#REF!</v>
      </c>
      <c r="CJ556" t="e">
        <f>IF(#REF!,"AAAAAHzL/1c=",0)</f>
        <v>#REF!</v>
      </c>
      <c r="CK556" t="e">
        <f>AND(#REF!,"AAAAAHzL/1g=")</f>
        <v>#REF!</v>
      </c>
      <c r="CL556" t="e">
        <f>AND(#REF!,"AAAAAHzL/1k=")</f>
        <v>#REF!</v>
      </c>
      <c r="CM556" t="e">
        <f>AND(#REF!,"AAAAAHzL/1o=")</f>
        <v>#REF!</v>
      </c>
      <c r="CN556" t="e">
        <f>AND(#REF!,"AAAAAHzL/1s=")</f>
        <v>#REF!</v>
      </c>
      <c r="CO556" t="e">
        <f>AND(#REF!,"AAAAAHzL/1w=")</f>
        <v>#REF!</v>
      </c>
      <c r="CP556" t="e">
        <f>AND(#REF!,"AAAAAHzL/10=")</f>
        <v>#REF!</v>
      </c>
      <c r="CQ556" t="e">
        <f>AND(#REF!,"AAAAAHzL/14=")</f>
        <v>#REF!</v>
      </c>
      <c r="CR556" t="e">
        <f>AND(#REF!,"AAAAAHzL/18=")</f>
        <v>#REF!</v>
      </c>
      <c r="CS556" t="e">
        <f>AND(#REF!,"AAAAAHzL/2A=")</f>
        <v>#REF!</v>
      </c>
      <c r="CT556" t="e">
        <f>AND(#REF!,"AAAAAHzL/2E=")</f>
        <v>#REF!</v>
      </c>
      <c r="CU556" t="e">
        <f>IF(#REF!,"AAAAAHzL/2I=",0)</f>
        <v>#REF!</v>
      </c>
      <c r="CV556" t="e">
        <f>AND(#REF!,"AAAAAHzL/2M=")</f>
        <v>#REF!</v>
      </c>
      <c r="CW556" t="e">
        <f>AND(#REF!,"AAAAAHzL/2Q=")</f>
        <v>#REF!</v>
      </c>
      <c r="CX556" t="e">
        <f>AND(#REF!,"AAAAAHzL/2U=")</f>
        <v>#REF!</v>
      </c>
      <c r="CY556" t="e">
        <f>AND(#REF!,"AAAAAHzL/2Y=")</f>
        <v>#REF!</v>
      </c>
      <c r="CZ556" t="e">
        <f>AND(#REF!,"AAAAAHzL/2c=")</f>
        <v>#REF!</v>
      </c>
      <c r="DA556" t="e">
        <f>AND(#REF!,"AAAAAHzL/2g=")</f>
        <v>#REF!</v>
      </c>
      <c r="DB556" t="e">
        <f>AND(#REF!,"AAAAAHzL/2k=")</f>
        <v>#REF!</v>
      </c>
      <c r="DC556" t="e">
        <f>AND(#REF!,"AAAAAHzL/2o=")</f>
        <v>#REF!</v>
      </c>
      <c r="DD556" t="e">
        <f>AND(#REF!,"AAAAAHzL/2s=")</f>
        <v>#REF!</v>
      </c>
      <c r="DE556" t="e">
        <f>AND(#REF!,"AAAAAHzL/2w=")</f>
        <v>#REF!</v>
      </c>
      <c r="DF556" t="e">
        <f>IF(#REF!,"AAAAAHzL/20=",0)</f>
        <v>#REF!</v>
      </c>
      <c r="DG556" t="e">
        <f>AND(#REF!,"AAAAAHzL/24=")</f>
        <v>#REF!</v>
      </c>
      <c r="DH556" t="e">
        <f>AND(#REF!,"AAAAAHzL/28=")</f>
        <v>#REF!</v>
      </c>
      <c r="DI556" t="e">
        <f>AND(#REF!,"AAAAAHzL/3A=")</f>
        <v>#REF!</v>
      </c>
      <c r="DJ556" t="e">
        <f>AND(#REF!,"AAAAAHzL/3E=")</f>
        <v>#REF!</v>
      </c>
      <c r="DK556" t="e">
        <f>AND(#REF!,"AAAAAHzL/3I=")</f>
        <v>#REF!</v>
      </c>
      <c r="DL556" t="e">
        <f>AND(#REF!,"AAAAAHzL/3M=")</f>
        <v>#REF!</v>
      </c>
      <c r="DM556" t="e">
        <f>AND(#REF!,"AAAAAHzL/3Q=")</f>
        <v>#REF!</v>
      </c>
      <c r="DN556" t="e">
        <f>AND(#REF!,"AAAAAHzL/3U=")</f>
        <v>#REF!</v>
      </c>
      <c r="DO556" t="e">
        <f>AND(#REF!,"AAAAAHzL/3Y=")</f>
        <v>#REF!</v>
      </c>
      <c r="DP556" t="e">
        <f>AND(#REF!,"AAAAAHzL/3c=")</f>
        <v>#REF!</v>
      </c>
      <c r="DQ556" t="e">
        <f>IF(#REF!,"AAAAAHzL/3g=",0)</f>
        <v>#REF!</v>
      </c>
      <c r="DR556" t="e">
        <f>AND(#REF!,"AAAAAHzL/3k=")</f>
        <v>#REF!</v>
      </c>
      <c r="DS556" t="e">
        <f>AND(#REF!,"AAAAAHzL/3o=")</f>
        <v>#REF!</v>
      </c>
      <c r="DT556" t="e">
        <f>AND(#REF!,"AAAAAHzL/3s=")</f>
        <v>#REF!</v>
      </c>
      <c r="DU556" t="e">
        <f>AND(#REF!,"AAAAAHzL/3w=")</f>
        <v>#REF!</v>
      </c>
      <c r="DV556" t="e">
        <f>AND(#REF!,"AAAAAHzL/30=")</f>
        <v>#REF!</v>
      </c>
      <c r="DW556" t="e">
        <f>AND(#REF!,"AAAAAHzL/34=")</f>
        <v>#REF!</v>
      </c>
      <c r="DX556" t="e">
        <f>AND(#REF!,"AAAAAHzL/38=")</f>
        <v>#REF!</v>
      </c>
      <c r="DY556" t="e">
        <f>AND(#REF!,"AAAAAHzL/4A=")</f>
        <v>#REF!</v>
      </c>
      <c r="DZ556" t="e">
        <f>AND(#REF!,"AAAAAHzL/4E=")</f>
        <v>#REF!</v>
      </c>
      <c r="EA556" t="e">
        <f>AND(#REF!,"AAAAAHzL/4I=")</f>
        <v>#REF!</v>
      </c>
      <c r="EB556" t="e">
        <f>IF(#REF!,"AAAAAHzL/4M=",0)</f>
        <v>#REF!</v>
      </c>
      <c r="EC556" t="e">
        <f>AND(#REF!,"AAAAAHzL/4Q=")</f>
        <v>#REF!</v>
      </c>
      <c r="ED556" t="e">
        <f>AND(#REF!,"AAAAAHzL/4U=")</f>
        <v>#REF!</v>
      </c>
      <c r="EE556" t="e">
        <f>AND(#REF!,"AAAAAHzL/4Y=")</f>
        <v>#REF!</v>
      </c>
      <c r="EF556" t="e">
        <f>AND(#REF!,"AAAAAHzL/4c=")</f>
        <v>#REF!</v>
      </c>
      <c r="EG556" t="e">
        <f>AND(#REF!,"AAAAAHzL/4g=")</f>
        <v>#REF!</v>
      </c>
      <c r="EH556" t="e">
        <f>AND(#REF!,"AAAAAHzL/4k=")</f>
        <v>#REF!</v>
      </c>
      <c r="EI556" t="e">
        <f>AND(#REF!,"AAAAAHzL/4o=")</f>
        <v>#REF!</v>
      </c>
      <c r="EJ556" t="e">
        <f>AND(#REF!,"AAAAAHzL/4s=")</f>
        <v>#REF!</v>
      </c>
      <c r="EK556" t="e">
        <f>AND(#REF!,"AAAAAHzL/4w=")</f>
        <v>#REF!</v>
      </c>
      <c r="EL556" t="e">
        <f>AND(#REF!,"AAAAAHzL/40=")</f>
        <v>#REF!</v>
      </c>
      <c r="EM556" t="e">
        <f>IF(#REF!,"AAAAAHzL/44=",0)</f>
        <v>#REF!</v>
      </c>
      <c r="EN556" t="e">
        <f>AND(#REF!,"AAAAAHzL/48=")</f>
        <v>#REF!</v>
      </c>
      <c r="EO556" t="e">
        <f>AND(#REF!,"AAAAAHzL/5A=")</f>
        <v>#REF!</v>
      </c>
      <c r="EP556" t="e">
        <f>AND(#REF!,"AAAAAHzL/5E=")</f>
        <v>#REF!</v>
      </c>
      <c r="EQ556" t="e">
        <f>AND(#REF!,"AAAAAHzL/5I=")</f>
        <v>#REF!</v>
      </c>
      <c r="ER556" t="e">
        <f>AND(#REF!,"AAAAAHzL/5M=")</f>
        <v>#REF!</v>
      </c>
      <c r="ES556" t="e">
        <f>AND(#REF!,"AAAAAHzL/5Q=")</f>
        <v>#REF!</v>
      </c>
      <c r="ET556" t="e">
        <f>AND(#REF!,"AAAAAHzL/5U=")</f>
        <v>#REF!</v>
      </c>
      <c r="EU556" t="e">
        <f>AND(#REF!,"AAAAAHzL/5Y=")</f>
        <v>#REF!</v>
      </c>
      <c r="EV556" t="e">
        <f>AND(#REF!,"AAAAAHzL/5c=")</f>
        <v>#REF!</v>
      </c>
      <c r="EW556" t="e">
        <f>AND(#REF!,"AAAAAHzL/5g=")</f>
        <v>#REF!</v>
      </c>
      <c r="EX556" t="e">
        <f>IF(#REF!,"AAAAAHzL/5k=",0)</f>
        <v>#REF!</v>
      </c>
      <c r="EY556" t="e">
        <f>AND(#REF!,"AAAAAHzL/5o=")</f>
        <v>#REF!</v>
      </c>
      <c r="EZ556" t="e">
        <f>AND(#REF!,"AAAAAHzL/5s=")</f>
        <v>#REF!</v>
      </c>
      <c r="FA556" t="e">
        <f>AND(#REF!,"AAAAAHzL/5w=")</f>
        <v>#REF!</v>
      </c>
      <c r="FB556" t="e">
        <f>AND(#REF!,"AAAAAHzL/50=")</f>
        <v>#REF!</v>
      </c>
      <c r="FC556" t="e">
        <f>AND(#REF!,"AAAAAHzL/54=")</f>
        <v>#REF!</v>
      </c>
      <c r="FD556" t="e">
        <f>AND(#REF!,"AAAAAHzL/58=")</f>
        <v>#REF!</v>
      </c>
      <c r="FE556" t="e">
        <f>AND(#REF!,"AAAAAHzL/6A=")</f>
        <v>#REF!</v>
      </c>
      <c r="FF556" t="e">
        <f>AND(#REF!,"AAAAAHzL/6E=")</f>
        <v>#REF!</v>
      </c>
      <c r="FG556" t="e">
        <f>AND(#REF!,"AAAAAHzL/6I=")</f>
        <v>#REF!</v>
      </c>
      <c r="FH556" t="e">
        <f>AND(#REF!,"AAAAAHzL/6M=")</f>
        <v>#REF!</v>
      </c>
      <c r="FI556" t="e">
        <f>IF(#REF!,"AAAAAHzL/6Q=",0)</f>
        <v>#REF!</v>
      </c>
      <c r="FJ556" t="e">
        <f>AND(#REF!,"AAAAAHzL/6U=")</f>
        <v>#REF!</v>
      </c>
      <c r="FK556" t="e">
        <f>AND(#REF!,"AAAAAHzL/6Y=")</f>
        <v>#REF!</v>
      </c>
      <c r="FL556" t="e">
        <f>AND(#REF!,"AAAAAHzL/6c=")</f>
        <v>#REF!</v>
      </c>
      <c r="FM556" t="e">
        <f>AND(#REF!,"AAAAAHzL/6g=")</f>
        <v>#REF!</v>
      </c>
      <c r="FN556" t="e">
        <f>AND(#REF!,"AAAAAHzL/6k=")</f>
        <v>#REF!</v>
      </c>
      <c r="FO556" t="e">
        <f>AND(#REF!,"AAAAAHzL/6o=")</f>
        <v>#REF!</v>
      </c>
      <c r="FP556" t="e">
        <f>AND(#REF!,"AAAAAHzL/6s=")</f>
        <v>#REF!</v>
      </c>
      <c r="FQ556" t="e">
        <f>AND(#REF!,"AAAAAHzL/6w=")</f>
        <v>#REF!</v>
      </c>
      <c r="FR556" t="e">
        <f>AND(#REF!,"AAAAAHzL/60=")</f>
        <v>#REF!</v>
      </c>
      <c r="FS556" t="e">
        <f>AND(#REF!,"AAAAAHzL/64=")</f>
        <v>#REF!</v>
      </c>
      <c r="FT556" t="e">
        <f>IF(#REF!,"AAAAAHzL/68=",0)</f>
        <v>#REF!</v>
      </c>
      <c r="FU556" t="e">
        <f>AND(#REF!,"AAAAAHzL/7A=")</f>
        <v>#REF!</v>
      </c>
      <c r="FV556" t="e">
        <f>AND(#REF!,"AAAAAHzL/7E=")</f>
        <v>#REF!</v>
      </c>
      <c r="FW556" t="e">
        <f>AND(#REF!,"AAAAAHzL/7I=")</f>
        <v>#REF!</v>
      </c>
      <c r="FX556" t="e">
        <f>AND(#REF!,"AAAAAHzL/7M=")</f>
        <v>#REF!</v>
      </c>
      <c r="FY556" t="e">
        <f>AND(#REF!,"AAAAAHzL/7Q=")</f>
        <v>#REF!</v>
      </c>
      <c r="FZ556" t="e">
        <f>AND(#REF!,"AAAAAHzL/7U=")</f>
        <v>#REF!</v>
      </c>
      <c r="GA556" t="e">
        <f>AND(#REF!,"AAAAAHzL/7Y=")</f>
        <v>#REF!</v>
      </c>
      <c r="GB556" t="e">
        <f>AND(#REF!,"AAAAAHzL/7c=")</f>
        <v>#REF!</v>
      </c>
      <c r="GC556" t="e">
        <f>AND(#REF!,"AAAAAHzL/7g=")</f>
        <v>#REF!</v>
      </c>
      <c r="GD556" t="e">
        <f>AND(#REF!,"AAAAAHzL/7k=")</f>
        <v>#REF!</v>
      </c>
      <c r="GE556" t="e">
        <f>IF(#REF!,"AAAAAHzL/7o=",0)</f>
        <v>#REF!</v>
      </c>
      <c r="GF556" t="e">
        <f>AND(#REF!,"AAAAAHzL/7s=")</f>
        <v>#REF!</v>
      </c>
      <c r="GG556" t="e">
        <f>AND(#REF!,"AAAAAHzL/7w=")</f>
        <v>#REF!</v>
      </c>
      <c r="GH556" t="e">
        <f>AND(#REF!,"AAAAAHzL/70=")</f>
        <v>#REF!</v>
      </c>
      <c r="GI556" t="e">
        <f>AND(#REF!,"AAAAAHzL/74=")</f>
        <v>#REF!</v>
      </c>
      <c r="GJ556" t="e">
        <f>AND(#REF!,"AAAAAHzL/78=")</f>
        <v>#REF!</v>
      </c>
      <c r="GK556" t="e">
        <f>AND(#REF!,"AAAAAHzL/8A=")</f>
        <v>#REF!</v>
      </c>
      <c r="GL556" t="e">
        <f>AND(#REF!,"AAAAAHzL/8E=")</f>
        <v>#REF!</v>
      </c>
      <c r="GM556" t="e">
        <f>AND(#REF!,"AAAAAHzL/8I=")</f>
        <v>#REF!</v>
      </c>
      <c r="GN556" t="e">
        <f>AND(#REF!,"AAAAAHzL/8M=")</f>
        <v>#REF!</v>
      </c>
      <c r="GO556" t="e">
        <f>AND(#REF!,"AAAAAHzL/8Q=")</f>
        <v>#REF!</v>
      </c>
      <c r="GP556" t="e">
        <f>IF(#REF!,"AAAAAHzL/8U=",0)</f>
        <v>#REF!</v>
      </c>
      <c r="GQ556" t="e">
        <f>AND(#REF!,"AAAAAHzL/8Y=")</f>
        <v>#REF!</v>
      </c>
      <c r="GR556" t="e">
        <f>AND(#REF!,"AAAAAHzL/8c=")</f>
        <v>#REF!</v>
      </c>
      <c r="GS556" t="e">
        <f>AND(#REF!,"AAAAAHzL/8g=")</f>
        <v>#REF!</v>
      </c>
      <c r="GT556" t="e">
        <f>AND(#REF!,"AAAAAHzL/8k=")</f>
        <v>#REF!</v>
      </c>
      <c r="GU556" t="e">
        <f>AND(#REF!,"AAAAAHzL/8o=")</f>
        <v>#REF!</v>
      </c>
      <c r="GV556" t="e">
        <f>AND(#REF!,"AAAAAHzL/8s=")</f>
        <v>#REF!</v>
      </c>
      <c r="GW556" t="e">
        <f>AND(#REF!,"AAAAAHzL/8w=")</f>
        <v>#REF!</v>
      </c>
      <c r="GX556" t="e">
        <f>AND(#REF!,"AAAAAHzL/80=")</f>
        <v>#REF!</v>
      </c>
      <c r="GY556" t="e">
        <f>AND(#REF!,"AAAAAHzL/84=")</f>
        <v>#REF!</v>
      </c>
      <c r="GZ556" t="e">
        <f>AND(#REF!,"AAAAAHzL/88=")</f>
        <v>#REF!</v>
      </c>
      <c r="HA556" t="e">
        <f>IF(#REF!,"AAAAAHzL/9A=",0)</f>
        <v>#REF!</v>
      </c>
      <c r="HB556" t="e">
        <f>AND(#REF!,"AAAAAHzL/9E=")</f>
        <v>#REF!</v>
      </c>
      <c r="HC556" t="e">
        <f>AND(#REF!,"AAAAAHzL/9I=")</f>
        <v>#REF!</v>
      </c>
      <c r="HD556" t="e">
        <f>AND(#REF!,"AAAAAHzL/9M=")</f>
        <v>#REF!</v>
      </c>
      <c r="HE556" t="e">
        <f>AND(#REF!,"AAAAAHzL/9Q=")</f>
        <v>#REF!</v>
      </c>
      <c r="HF556" t="e">
        <f>AND(#REF!,"AAAAAHzL/9U=")</f>
        <v>#REF!</v>
      </c>
      <c r="HG556" t="e">
        <f>AND(#REF!,"AAAAAHzL/9Y=")</f>
        <v>#REF!</v>
      </c>
      <c r="HH556" t="e">
        <f>AND(#REF!,"AAAAAHzL/9c=")</f>
        <v>#REF!</v>
      </c>
      <c r="HI556" t="e">
        <f>AND(#REF!,"AAAAAHzL/9g=")</f>
        <v>#REF!</v>
      </c>
      <c r="HJ556" t="e">
        <f>AND(#REF!,"AAAAAHzL/9k=")</f>
        <v>#REF!</v>
      </c>
      <c r="HK556" t="e">
        <f>AND(#REF!,"AAAAAHzL/9o=")</f>
        <v>#REF!</v>
      </c>
      <c r="HL556" t="e">
        <f>IF(#REF!,"AAAAAHzL/9s=",0)</f>
        <v>#REF!</v>
      </c>
      <c r="HM556" t="e">
        <f>AND(#REF!,"AAAAAHzL/9w=")</f>
        <v>#REF!</v>
      </c>
      <c r="HN556" t="e">
        <f>AND(#REF!,"AAAAAHzL/90=")</f>
        <v>#REF!</v>
      </c>
      <c r="HO556" t="e">
        <f>AND(#REF!,"AAAAAHzL/94=")</f>
        <v>#REF!</v>
      </c>
      <c r="HP556" t="e">
        <f>AND(#REF!,"AAAAAHzL/98=")</f>
        <v>#REF!</v>
      </c>
      <c r="HQ556" t="e">
        <f>AND(#REF!,"AAAAAHzL/+A=")</f>
        <v>#REF!</v>
      </c>
      <c r="HR556" t="e">
        <f>AND(#REF!,"AAAAAHzL/+E=")</f>
        <v>#REF!</v>
      </c>
      <c r="HS556" t="e">
        <f>AND(#REF!,"AAAAAHzL/+I=")</f>
        <v>#REF!</v>
      </c>
      <c r="HT556" t="e">
        <f>AND(#REF!,"AAAAAHzL/+M=")</f>
        <v>#REF!</v>
      </c>
      <c r="HU556" t="e">
        <f>AND(#REF!,"AAAAAHzL/+Q=")</f>
        <v>#REF!</v>
      </c>
      <c r="HV556" t="e">
        <f>AND(#REF!,"AAAAAHzL/+U=")</f>
        <v>#REF!</v>
      </c>
      <c r="HW556" t="e">
        <f>IF(#REF!,"AAAAAHzL/+Y=",0)</f>
        <v>#REF!</v>
      </c>
      <c r="HX556" t="e">
        <f>AND(#REF!,"AAAAAHzL/+c=")</f>
        <v>#REF!</v>
      </c>
      <c r="HY556" t="e">
        <f>AND(#REF!,"AAAAAHzL/+g=")</f>
        <v>#REF!</v>
      </c>
      <c r="HZ556" t="e">
        <f>AND(#REF!,"AAAAAHzL/+k=")</f>
        <v>#REF!</v>
      </c>
      <c r="IA556" t="e">
        <f>AND(#REF!,"AAAAAHzL/+o=")</f>
        <v>#REF!</v>
      </c>
      <c r="IB556" t="e">
        <f>AND(#REF!,"AAAAAHzL/+s=")</f>
        <v>#REF!</v>
      </c>
      <c r="IC556" t="e">
        <f>AND(#REF!,"AAAAAHzL/+w=")</f>
        <v>#REF!</v>
      </c>
      <c r="ID556" t="e">
        <f>AND(#REF!,"AAAAAHzL/+0=")</f>
        <v>#REF!</v>
      </c>
      <c r="IE556" t="e">
        <f>AND(#REF!,"AAAAAHzL/+4=")</f>
        <v>#REF!</v>
      </c>
      <c r="IF556" t="e">
        <f>AND(#REF!,"AAAAAHzL/+8=")</f>
        <v>#REF!</v>
      </c>
      <c r="IG556" t="e">
        <f>AND(#REF!,"AAAAAHzL//A=")</f>
        <v>#REF!</v>
      </c>
      <c r="IH556" t="e">
        <f>IF(#REF!,"AAAAAHzL//E=",0)</f>
        <v>#REF!</v>
      </c>
      <c r="II556" t="e">
        <f>AND(#REF!,"AAAAAHzL//I=")</f>
        <v>#REF!</v>
      </c>
      <c r="IJ556" t="e">
        <f>AND(#REF!,"AAAAAHzL//M=")</f>
        <v>#REF!</v>
      </c>
      <c r="IK556" t="e">
        <f>AND(#REF!,"AAAAAHzL//Q=")</f>
        <v>#REF!</v>
      </c>
      <c r="IL556" t="e">
        <f>AND(#REF!,"AAAAAHzL//U=")</f>
        <v>#REF!</v>
      </c>
      <c r="IM556" t="e">
        <f>AND(#REF!,"AAAAAHzL//Y=")</f>
        <v>#REF!</v>
      </c>
      <c r="IN556" t="e">
        <f>AND(#REF!,"AAAAAHzL//c=")</f>
        <v>#REF!</v>
      </c>
      <c r="IO556" t="e">
        <f>AND(#REF!,"AAAAAHzL//g=")</f>
        <v>#REF!</v>
      </c>
      <c r="IP556" t="e">
        <f>AND(#REF!,"AAAAAHzL//k=")</f>
        <v>#REF!</v>
      </c>
      <c r="IQ556" t="e">
        <f>AND(#REF!,"AAAAAHzL//o=")</f>
        <v>#REF!</v>
      </c>
      <c r="IR556" t="e">
        <f>AND(#REF!,"AAAAAHzL//s=")</f>
        <v>#REF!</v>
      </c>
      <c r="IS556" t="e">
        <f>IF(#REF!,"AAAAAHzL//w=",0)</f>
        <v>#REF!</v>
      </c>
      <c r="IT556" t="e">
        <f>AND(#REF!,"AAAAAHzL//0=")</f>
        <v>#REF!</v>
      </c>
      <c r="IU556" t="e">
        <f>AND(#REF!,"AAAAAHzL//4=")</f>
        <v>#REF!</v>
      </c>
      <c r="IV556" t="e">
        <f>AND(#REF!,"AAAAAHzL//8=")</f>
        <v>#REF!</v>
      </c>
    </row>
    <row r="557" spans="1:256" x14ac:dyDescent="0.25">
      <c r="A557" t="e">
        <f>AND(#REF!,"AAAAAHt/7gA=")</f>
        <v>#REF!</v>
      </c>
      <c r="B557" t="e">
        <f>AND(#REF!,"AAAAAHt/7gE=")</f>
        <v>#REF!</v>
      </c>
      <c r="C557" t="e">
        <f>AND(#REF!,"AAAAAHt/7gI=")</f>
        <v>#REF!</v>
      </c>
      <c r="D557" t="e">
        <f>AND(#REF!,"AAAAAHt/7gM=")</f>
        <v>#REF!</v>
      </c>
      <c r="E557" t="e">
        <f>AND(#REF!,"AAAAAHt/7gQ=")</f>
        <v>#REF!</v>
      </c>
      <c r="F557" t="e">
        <f>AND(#REF!,"AAAAAHt/7gU=")</f>
        <v>#REF!</v>
      </c>
      <c r="G557" t="e">
        <f>AND(#REF!,"AAAAAHt/7gY=")</f>
        <v>#REF!</v>
      </c>
      <c r="H557" t="e">
        <f>IF(#REF!,"AAAAAHt/7gc=",0)</f>
        <v>#REF!</v>
      </c>
      <c r="I557" t="e">
        <f>AND(#REF!,"AAAAAHt/7gg=")</f>
        <v>#REF!</v>
      </c>
      <c r="J557" t="e">
        <f>AND(#REF!,"AAAAAHt/7gk=")</f>
        <v>#REF!</v>
      </c>
      <c r="K557" t="e">
        <f>AND(#REF!,"AAAAAHt/7go=")</f>
        <v>#REF!</v>
      </c>
      <c r="L557" t="e">
        <f>AND(#REF!,"AAAAAHt/7gs=")</f>
        <v>#REF!</v>
      </c>
      <c r="M557" t="e">
        <f>AND(#REF!,"AAAAAHt/7gw=")</f>
        <v>#REF!</v>
      </c>
      <c r="N557" t="e">
        <f>AND(#REF!,"AAAAAHt/7g0=")</f>
        <v>#REF!</v>
      </c>
      <c r="O557" t="e">
        <f>AND(#REF!,"AAAAAHt/7g4=")</f>
        <v>#REF!</v>
      </c>
      <c r="P557" t="e">
        <f>AND(#REF!,"AAAAAHt/7g8=")</f>
        <v>#REF!</v>
      </c>
      <c r="Q557" t="e">
        <f>AND(#REF!,"AAAAAHt/7hA=")</f>
        <v>#REF!</v>
      </c>
      <c r="R557" t="e">
        <f>AND(#REF!,"AAAAAHt/7hE=")</f>
        <v>#REF!</v>
      </c>
      <c r="S557" t="e">
        <f>IF(#REF!,"AAAAAHt/7hI=",0)</f>
        <v>#REF!</v>
      </c>
      <c r="T557" t="e">
        <f>AND(#REF!,"AAAAAHt/7hM=")</f>
        <v>#REF!</v>
      </c>
      <c r="U557" t="e">
        <f>AND(#REF!,"AAAAAHt/7hQ=")</f>
        <v>#REF!</v>
      </c>
      <c r="V557" t="e">
        <f>AND(#REF!,"AAAAAHt/7hU=")</f>
        <v>#REF!</v>
      </c>
      <c r="W557" t="e">
        <f>AND(#REF!,"AAAAAHt/7hY=")</f>
        <v>#REF!</v>
      </c>
      <c r="X557" t="e">
        <f>AND(#REF!,"AAAAAHt/7hc=")</f>
        <v>#REF!</v>
      </c>
      <c r="Y557" t="e">
        <f>AND(#REF!,"AAAAAHt/7hg=")</f>
        <v>#REF!</v>
      </c>
      <c r="Z557" t="e">
        <f>AND(#REF!,"AAAAAHt/7hk=")</f>
        <v>#REF!</v>
      </c>
      <c r="AA557" t="e">
        <f>AND(#REF!,"AAAAAHt/7ho=")</f>
        <v>#REF!</v>
      </c>
      <c r="AB557" t="e">
        <f>AND(#REF!,"AAAAAHt/7hs=")</f>
        <v>#REF!</v>
      </c>
      <c r="AC557" t="e">
        <f>AND(#REF!,"AAAAAHt/7hw=")</f>
        <v>#REF!</v>
      </c>
      <c r="AD557" t="e">
        <f>IF(#REF!,"AAAAAHt/7h0=",0)</f>
        <v>#REF!</v>
      </c>
      <c r="AE557" t="e">
        <f>AND(#REF!,"AAAAAHt/7h4=")</f>
        <v>#REF!</v>
      </c>
      <c r="AF557" t="e">
        <f>AND(#REF!,"AAAAAHt/7h8=")</f>
        <v>#REF!</v>
      </c>
      <c r="AG557" t="e">
        <f>AND(#REF!,"AAAAAHt/7iA=")</f>
        <v>#REF!</v>
      </c>
      <c r="AH557" t="e">
        <f>AND(#REF!,"AAAAAHt/7iE=")</f>
        <v>#REF!</v>
      </c>
      <c r="AI557" t="e">
        <f>AND(#REF!,"AAAAAHt/7iI=")</f>
        <v>#REF!</v>
      </c>
      <c r="AJ557" t="e">
        <f>AND(#REF!,"AAAAAHt/7iM=")</f>
        <v>#REF!</v>
      </c>
      <c r="AK557" t="e">
        <f>AND(#REF!,"AAAAAHt/7iQ=")</f>
        <v>#REF!</v>
      </c>
      <c r="AL557" t="e">
        <f>AND(#REF!,"AAAAAHt/7iU=")</f>
        <v>#REF!</v>
      </c>
      <c r="AM557" t="e">
        <f>AND(#REF!,"AAAAAHt/7iY=")</f>
        <v>#REF!</v>
      </c>
      <c r="AN557" t="e">
        <f>AND(#REF!,"AAAAAHt/7ic=")</f>
        <v>#REF!</v>
      </c>
      <c r="AO557" t="e">
        <f>IF(#REF!,"AAAAAHt/7ig=",0)</f>
        <v>#REF!</v>
      </c>
      <c r="AP557" t="e">
        <f>AND(#REF!,"AAAAAHt/7ik=")</f>
        <v>#REF!</v>
      </c>
      <c r="AQ557" t="e">
        <f>AND(#REF!,"AAAAAHt/7io=")</f>
        <v>#REF!</v>
      </c>
      <c r="AR557" t="e">
        <f>AND(#REF!,"AAAAAHt/7is=")</f>
        <v>#REF!</v>
      </c>
      <c r="AS557" t="e">
        <f>AND(#REF!,"AAAAAHt/7iw=")</f>
        <v>#REF!</v>
      </c>
      <c r="AT557" t="e">
        <f>AND(#REF!,"AAAAAHt/7i0=")</f>
        <v>#REF!</v>
      </c>
      <c r="AU557" t="e">
        <f>AND(#REF!,"AAAAAHt/7i4=")</f>
        <v>#REF!</v>
      </c>
      <c r="AV557" t="e">
        <f>AND(#REF!,"AAAAAHt/7i8=")</f>
        <v>#REF!</v>
      </c>
      <c r="AW557" t="e">
        <f>AND(#REF!,"AAAAAHt/7jA=")</f>
        <v>#REF!</v>
      </c>
      <c r="AX557" t="e">
        <f>AND(#REF!,"AAAAAHt/7jE=")</f>
        <v>#REF!</v>
      </c>
      <c r="AY557" t="e">
        <f>AND(#REF!,"AAAAAHt/7jI=")</f>
        <v>#REF!</v>
      </c>
      <c r="AZ557" t="e">
        <f>IF(#REF!,"AAAAAHt/7jM=",0)</f>
        <v>#REF!</v>
      </c>
      <c r="BA557" t="e">
        <f>AND(#REF!,"AAAAAHt/7jQ=")</f>
        <v>#REF!</v>
      </c>
      <c r="BB557" t="e">
        <f>AND(#REF!,"AAAAAHt/7jU=")</f>
        <v>#REF!</v>
      </c>
      <c r="BC557" t="e">
        <f>AND(#REF!,"AAAAAHt/7jY=")</f>
        <v>#REF!</v>
      </c>
      <c r="BD557" t="e">
        <f>AND(#REF!,"AAAAAHt/7jc=")</f>
        <v>#REF!</v>
      </c>
      <c r="BE557" t="e">
        <f>AND(#REF!,"AAAAAHt/7jg=")</f>
        <v>#REF!</v>
      </c>
      <c r="BF557" t="e">
        <f>AND(#REF!,"AAAAAHt/7jk=")</f>
        <v>#REF!</v>
      </c>
      <c r="BG557" t="e">
        <f>AND(#REF!,"AAAAAHt/7jo=")</f>
        <v>#REF!</v>
      </c>
      <c r="BH557" t="e">
        <f>AND(#REF!,"AAAAAHt/7js=")</f>
        <v>#REF!</v>
      </c>
      <c r="BI557" t="e">
        <f>AND(#REF!,"AAAAAHt/7jw=")</f>
        <v>#REF!</v>
      </c>
      <c r="BJ557" t="e">
        <f>AND(#REF!,"AAAAAHt/7j0=")</f>
        <v>#REF!</v>
      </c>
      <c r="BK557" t="e">
        <f>IF(#REF!,"AAAAAHt/7j4=",0)</f>
        <v>#REF!</v>
      </c>
      <c r="BL557" t="e">
        <f>AND(#REF!,"AAAAAHt/7j8=")</f>
        <v>#REF!</v>
      </c>
      <c r="BM557" t="e">
        <f>AND(#REF!,"AAAAAHt/7kA=")</f>
        <v>#REF!</v>
      </c>
      <c r="BN557" t="e">
        <f>AND(#REF!,"AAAAAHt/7kE=")</f>
        <v>#REF!</v>
      </c>
      <c r="BO557" t="e">
        <f>AND(#REF!,"AAAAAHt/7kI=")</f>
        <v>#REF!</v>
      </c>
      <c r="BP557" t="e">
        <f>AND(#REF!,"AAAAAHt/7kM=")</f>
        <v>#REF!</v>
      </c>
      <c r="BQ557" t="e">
        <f>AND(#REF!,"AAAAAHt/7kQ=")</f>
        <v>#REF!</v>
      </c>
      <c r="BR557" t="e">
        <f>AND(#REF!,"AAAAAHt/7kU=")</f>
        <v>#REF!</v>
      </c>
      <c r="BS557" t="e">
        <f>AND(#REF!,"AAAAAHt/7kY=")</f>
        <v>#REF!</v>
      </c>
      <c r="BT557" t="e">
        <f>AND(#REF!,"AAAAAHt/7kc=")</f>
        <v>#REF!</v>
      </c>
      <c r="BU557" t="e">
        <f>AND(#REF!,"AAAAAHt/7kg=")</f>
        <v>#REF!</v>
      </c>
      <c r="BV557" t="e">
        <f>IF(#REF!,"AAAAAHt/7kk=",0)</f>
        <v>#REF!</v>
      </c>
      <c r="BW557" t="e">
        <f>AND(#REF!,"AAAAAHt/7ko=")</f>
        <v>#REF!</v>
      </c>
      <c r="BX557" t="e">
        <f>AND(#REF!,"AAAAAHt/7ks=")</f>
        <v>#REF!</v>
      </c>
      <c r="BY557" t="e">
        <f>AND(#REF!,"AAAAAHt/7kw=")</f>
        <v>#REF!</v>
      </c>
      <c r="BZ557" t="e">
        <f>AND(#REF!,"AAAAAHt/7k0=")</f>
        <v>#REF!</v>
      </c>
      <c r="CA557" t="e">
        <f>AND(#REF!,"AAAAAHt/7k4=")</f>
        <v>#REF!</v>
      </c>
      <c r="CB557" t="e">
        <f>AND(#REF!,"AAAAAHt/7k8=")</f>
        <v>#REF!</v>
      </c>
      <c r="CC557" t="e">
        <f>AND(#REF!,"AAAAAHt/7lA=")</f>
        <v>#REF!</v>
      </c>
      <c r="CD557" t="e">
        <f>AND(#REF!,"AAAAAHt/7lE=")</f>
        <v>#REF!</v>
      </c>
      <c r="CE557" t="e">
        <f>AND(#REF!,"AAAAAHt/7lI=")</f>
        <v>#REF!</v>
      </c>
      <c r="CF557" t="e">
        <f>AND(#REF!,"AAAAAHt/7lM=")</f>
        <v>#REF!</v>
      </c>
      <c r="CG557" t="e">
        <f>IF(#REF!,"AAAAAHt/7lQ=",0)</f>
        <v>#REF!</v>
      </c>
      <c r="CH557" t="e">
        <f>AND(#REF!,"AAAAAHt/7lU=")</f>
        <v>#REF!</v>
      </c>
      <c r="CI557" t="e">
        <f>AND(#REF!,"AAAAAHt/7lY=")</f>
        <v>#REF!</v>
      </c>
      <c r="CJ557" t="e">
        <f>AND(#REF!,"AAAAAHt/7lc=")</f>
        <v>#REF!</v>
      </c>
      <c r="CK557" t="e">
        <f>AND(#REF!,"AAAAAHt/7lg=")</f>
        <v>#REF!</v>
      </c>
      <c r="CL557" t="e">
        <f>AND(#REF!,"AAAAAHt/7lk=")</f>
        <v>#REF!</v>
      </c>
      <c r="CM557" t="e">
        <f>AND(#REF!,"AAAAAHt/7lo=")</f>
        <v>#REF!</v>
      </c>
      <c r="CN557" t="e">
        <f>AND(#REF!,"AAAAAHt/7ls=")</f>
        <v>#REF!</v>
      </c>
      <c r="CO557" t="e">
        <f>AND(#REF!,"AAAAAHt/7lw=")</f>
        <v>#REF!</v>
      </c>
      <c r="CP557" t="e">
        <f>AND(#REF!,"AAAAAHt/7l0=")</f>
        <v>#REF!</v>
      </c>
      <c r="CQ557" t="e">
        <f>AND(#REF!,"AAAAAHt/7l4=")</f>
        <v>#REF!</v>
      </c>
      <c r="CR557" t="e">
        <f>IF(#REF!,"AAAAAHt/7l8=",0)</f>
        <v>#REF!</v>
      </c>
      <c r="CS557" t="e">
        <f>AND(#REF!,"AAAAAHt/7mA=")</f>
        <v>#REF!</v>
      </c>
      <c r="CT557" t="e">
        <f>AND(#REF!,"AAAAAHt/7mE=")</f>
        <v>#REF!</v>
      </c>
      <c r="CU557" t="e">
        <f>AND(#REF!,"AAAAAHt/7mI=")</f>
        <v>#REF!</v>
      </c>
      <c r="CV557" t="e">
        <f>AND(#REF!,"AAAAAHt/7mM=")</f>
        <v>#REF!</v>
      </c>
      <c r="CW557" t="e">
        <f>AND(#REF!,"AAAAAHt/7mQ=")</f>
        <v>#REF!</v>
      </c>
      <c r="CX557" t="e">
        <f>AND(#REF!,"AAAAAHt/7mU=")</f>
        <v>#REF!</v>
      </c>
      <c r="CY557" t="e">
        <f>AND(#REF!,"AAAAAHt/7mY=")</f>
        <v>#REF!</v>
      </c>
      <c r="CZ557" t="e">
        <f>AND(#REF!,"AAAAAHt/7mc=")</f>
        <v>#REF!</v>
      </c>
      <c r="DA557" t="e">
        <f>AND(#REF!,"AAAAAHt/7mg=")</f>
        <v>#REF!</v>
      </c>
      <c r="DB557" t="e">
        <f>AND(#REF!,"AAAAAHt/7mk=")</f>
        <v>#REF!</v>
      </c>
      <c r="DC557" t="e">
        <f>IF(#REF!,"AAAAAHt/7mo=",0)</f>
        <v>#REF!</v>
      </c>
      <c r="DD557" t="e">
        <f>AND(#REF!,"AAAAAHt/7ms=")</f>
        <v>#REF!</v>
      </c>
      <c r="DE557" t="e">
        <f>AND(#REF!,"AAAAAHt/7mw=")</f>
        <v>#REF!</v>
      </c>
      <c r="DF557" t="e">
        <f>AND(#REF!,"AAAAAHt/7m0=")</f>
        <v>#REF!</v>
      </c>
      <c r="DG557" t="e">
        <f>AND(#REF!,"AAAAAHt/7m4=")</f>
        <v>#REF!</v>
      </c>
      <c r="DH557" t="e">
        <f>AND(#REF!,"AAAAAHt/7m8=")</f>
        <v>#REF!</v>
      </c>
      <c r="DI557" t="e">
        <f>AND(#REF!,"AAAAAHt/7nA=")</f>
        <v>#REF!</v>
      </c>
      <c r="DJ557" t="e">
        <f>AND(#REF!,"AAAAAHt/7nE=")</f>
        <v>#REF!</v>
      </c>
      <c r="DK557" t="e">
        <f>AND(#REF!,"AAAAAHt/7nI=")</f>
        <v>#REF!</v>
      </c>
      <c r="DL557" t="e">
        <f>AND(#REF!,"AAAAAHt/7nM=")</f>
        <v>#REF!</v>
      </c>
      <c r="DM557" t="e">
        <f>AND(#REF!,"AAAAAHt/7nQ=")</f>
        <v>#REF!</v>
      </c>
      <c r="DN557" t="e">
        <f>IF(#REF!,"AAAAAHt/7nU=",0)</f>
        <v>#REF!</v>
      </c>
      <c r="DO557" t="e">
        <f>AND(#REF!,"AAAAAHt/7nY=")</f>
        <v>#REF!</v>
      </c>
      <c r="DP557" t="e">
        <f>AND(#REF!,"AAAAAHt/7nc=")</f>
        <v>#REF!</v>
      </c>
      <c r="DQ557" t="e">
        <f>AND(#REF!,"AAAAAHt/7ng=")</f>
        <v>#REF!</v>
      </c>
      <c r="DR557" t="e">
        <f>AND(#REF!,"AAAAAHt/7nk=")</f>
        <v>#REF!</v>
      </c>
      <c r="DS557" t="e">
        <f>AND(#REF!,"AAAAAHt/7no=")</f>
        <v>#REF!</v>
      </c>
      <c r="DT557" t="e">
        <f>AND(#REF!,"AAAAAHt/7ns=")</f>
        <v>#REF!</v>
      </c>
      <c r="DU557" t="e">
        <f>AND(#REF!,"AAAAAHt/7nw=")</f>
        <v>#REF!</v>
      </c>
      <c r="DV557" t="e">
        <f>AND(#REF!,"AAAAAHt/7n0=")</f>
        <v>#REF!</v>
      </c>
      <c r="DW557" t="e">
        <f>AND(#REF!,"AAAAAHt/7n4=")</f>
        <v>#REF!</v>
      </c>
      <c r="DX557" t="e">
        <f>AND(#REF!,"AAAAAHt/7n8=")</f>
        <v>#REF!</v>
      </c>
      <c r="DY557" t="e">
        <f>IF(#REF!,"AAAAAHt/7oA=",0)</f>
        <v>#REF!</v>
      </c>
      <c r="DZ557" t="e">
        <f>AND(#REF!,"AAAAAHt/7oE=")</f>
        <v>#REF!</v>
      </c>
      <c r="EA557" t="e">
        <f>AND(#REF!,"AAAAAHt/7oI=")</f>
        <v>#REF!</v>
      </c>
      <c r="EB557" t="e">
        <f>AND(#REF!,"AAAAAHt/7oM=")</f>
        <v>#REF!</v>
      </c>
      <c r="EC557" t="e">
        <f>AND(#REF!,"AAAAAHt/7oQ=")</f>
        <v>#REF!</v>
      </c>
      <c r="ED557" t="e">
        <f>AND(#REF!,"AAAAAHt/7oU=")</f>
        <v>#REF!</v>
      </c>
      <c r="EE557" t="e">
        <f>AND(#REF!,"AAAAAHt/7oY=")</f>
        <v>#REF!</v>
      </c>
      <c r="EF557" t="e">
        <f>AND(#REF!,"AAAAAHt/7oc=")</f>
        <v>#REF!</v>
      </c>
      <c r="EG557" t="e">
        <f>AND(#REF!,"AAAAAHt/7og=")</f>
        <v>#REF!</v>
      </c>
      <c r="EH557" t="e">
        <f>AND(#REF!,"AAAAAHt/7ok=")</f>
        <v>#REF!</v>
      </c>
      <c r="EI557" t="e">
        <f>AND(#REF!,"AAAAAHt/7oo=")</f>
        <v>#REF!</v>
      </c>
      <c r="EJ557" t="e">
        <f>IF(#REF!,"AAAAAHt/7os=",0)</f>
        <v>#REF!</v>
      </c>
      <c r="EK557" t="e">
        <f>AND(#REF!,"AAAAAHt/7ow=")</f>
        <v>#REF!</v>
      </c>
      <c r="EL557" t="e">
        <f>AND(#REF!,"AAAAAHt/7o0=")</f>
        <v>#REF!</v>
      </c>
      <c r="EM557" t="e">
        <f>AND(#REF!,"AAAAAHt/7o4=")</f>
        <v>#REF!</v>
      </c>
      <c r="EN557" t="e">
        <f>AND(#REF!,"AAAAAHt/7o8=")</f>
        <v>#REF!</v>
      </c>
      <c r="EO557" t="e">
        <f>AND(#REF!,"AAAAAHt/7pA=")</f>
        <v>#REF!</v>
      </c>
      <c r="EP557" t="e">
        <f>AND(#REF!,"AAAAAHt/7pE=")</f>
        <v>#REF!</v>
      </c>
      <c r="EQ557" t="e">
        <f>AND(#REF!,"AAAAAHt/7pI=")</f>
        <v>#REF!</v>
      </c>
      <c r="ER557" t="e">
        <f>AND(#REF!,"AAAAAHt/7pM=")</f>
        <v>#REF!</v>
      </c>
      <c r="ES557" t="e">
        <f>AND(#REF!,"AAAAAHt/7pQ=")</f>
        <v>#REF!</v>
      </c>
      <c r="ET557" t="e">
        <f>AND(#REF!,"AAAAAHt/7pU=")</f>
        <v>#REF!</v>
      </c>
      <c r="EU557" t="e">
        <f>IF(#REF!,"AAAAAHt/7pY=",0)</f>
        <v>#REF!</v>
      </c>
      <c r="EV557" t="e">
        <f>AND(#REF!,"AAAAAHt/7pc=")</f>
        <v>#REF!</v>
      </c>
      <c r="EW557" t="e">
        <f>AND(#REF!,"AAAAAHt/7pg=")</f>
        <v>#REF!</v>
      </c>
      <c r="EX557" t="e">
        <f>AND(#REF!,"AAAAAHt/7pk=")</f>
        <v>#REF!</v>
      </c>
      <c r="EY557" t="e">
        <f>AND(#REF!,"AAAAAHt/7po=")</f>
        <v>#REF!</v>
      </c>
      <c r="EZ557" t="e">
        <f>AND(#REF!,"AAAAAHt/7ps=")</f>
        <v>#REF!</v>
      </c>
      <c r="FA557" t="e">
        <f>AND(#REF!,"AAAAAHt/7pw=")</f>
        <v>#REF!</v>
      </c>
      <c r="FB557" t="e">
        <f>AND(#REF!,"AAAAAHt/7p0=")</f>
        <v>#REF!</v>
      </c>
      <c r="FC557" t="e">
        <f>AND(#REF!,"AAAAAHt/7p4=")</f>
        <v>#REF!</v>
      </c>
      <c r="FD557" t="e">
        <f>AND(#REF!,"AAAAAHt/7p8=")</f>
        <v>#REF!</v>
      </c>
      <c r="FE557" t="e">
        <f>AND(#REF!,"AAAAAHt/7qA=")</f>
        <v>#REF!</v>
      </c>
      <c r="FF557" t="e">
        <f>IF(#REF!,"AAAAAHt/7qE=",0)</f>
        <v>#REF!</v>
      </c>
      <c r="FG557" t="e">
        <f>AND(#REF!,"AAAAAHt/7qI=")</f>
        <v>#REF!</v>
      </c>
      <c r="FH557" t="e">
        <f>AND(#REF!,"AAAAAHt/7qM=")</f>
        <v>#REF!</v>
      </c>
      <c r="FI557" t="e">
        <f>AND(#REF!,"AAAAAHt/7qQ=")</f>
        <v>#REF!</v>
      </c>
      <c r="FJ557" t="e">
        <f>AND(#REF!,"AAAAAHt/7qU=")</f>
        <v>#REF!</v>
      </c>
      <c r="FK557" t="e">
        <f>AND(#REF!,"AAAAAHt/7qY=")</f>
        <v>#REF!</v>
      </c>
      <c r="FL557" t="e">
        <f>AND(#REF!,"AAAAAHt/7qc=")</f>
        <v>#REF!</v>
      </c>
      <c r="FM557" t="e">
        <f>AND(#REF!,"AAAAAHt/7qg=")</f>
        <v>#REF!</v>
      </c>
      <c r="FN557" t="e">
        <f>AND(#REF!,"AAAAAHt/7qk=")</f>
        <v>#REF!</v>
      </c>
      <c r="FO557" t="e">
        <f>AND(#REF!,"AAAAAHt/7qo=")</f>
        <v>#REF!</v>
      </c>
      <c r="FP557" t="e">
        <f>AND(#REF!,"AAAAAHt/7qs=")</f>
        <v>#REF!</v>
      </c>
      <c r="FQ557" t="e">
        <f>IF(#REF!,"AAAAAHt/7qw=",0)</f>
        <v>#REF!</v>
      </c>
      <c r="FR557" t="e">
        <f>AND(#REF!,"AAAAAHt/7q0=")</f>
        <v>#REF!</v>
      </c>
      <c r="FS557" t="e">
        <f>AND(#REF!,"AAAAAHt/7q4=")</f>
        <v>#REF!</v>
      </c>
      <c r="FT557" t="e">
        <f>AND(#REF!,"AAAAAHt/7q8=")</f>
        <v>#REF!</v>
      </c>
      <c r="FU557" t="e">
        <f>AND(#REF!,"AAAAAHt/7rA=")</f>
        <v>#REF!</v>
      </c>
      <c r="FV557" t="e">
        <f>AND(#REF!,"AAAAAHt/7rE=")</f>
        <v>#REF!</v>
      </c>
      <c r="FW557" t="e">
        <f>AND(#REF!,"AAAAAHt/7rI=")</f>
        <v>#REF!</v>
      </c>
      <c r="FX557" t="e">
        <f>AND(#REF!,"AAAAAHt/7rM=")</f>
        <v>#REF!</v>
      </c>
      <c r="FY557" t="e">
        <f>AND(#REF!,"AAAAAHt/7rQ=")</f>
        <v>#REF!</v>
      </c>
      <c r="FZ557" t="e">
        <f>AND(#REF!,"AAAAAHt/7rU=")</f>
        <v>#REF!</v>
      </c>
      <c r="GA557" t="e">
        <f>AND(#REF!,"AAAAAHt/7rY=")</f>
        <v>#REF!</v>
      </c>
      <c r="GB557" t="e">
        <f>IF(#REF!,"AAAAAHt/7rc=",0)</f>
        <v>#REF!</v>
      </c>
      <c r="GC557" t="e">
        <f>AND(#REF!,"AAAAAHt/7rg=")</f>
        <v>#REF!</v>
      </c>
      <c r="GD557" t="e">
        <f>AND(#REF!,"AAAAAHt/7rk=")</f>
        <v>#REF!</v>
      </c>
      <c r="GE557" t="e">
        <f>AND(#REF!,"AAAAAHt/7ro=")</f>
        <v>#REF!</v>
      </c>
      <c r="GF557" t="e">
        <f>AND(#REF!,"AAAAAHt/7rs=")</f>
        <v>#REF!</v>
      </c>
      <c r="GG557" t="e">
        <f>AND(#REF!,"AAAAAHt/7rw=")</f>
        <v>#REF!</v>
      </c>
      <c r="GH557" t="e">
        <f>AND(#REF!,"AAAAAHt/7r0=")</f>
        <v>#REF!</v>
      </c>
      <c r="GI557" t="e">
        <f>AND(#REF!,"AAAAAHt/7r4=")</f>
        <v>#REF!</v>
      </c>
      <c r="GJ557" t="e">
        <f>AND(#REF!,"AAAAAHt/7r8=")</f>
        <v>#REF!</v>
      </c>
      <c r="GK557" t="e">
        <f>AND(#REF!,"AAAAAHt/7sA=")</f>
        <v>#REF!</v>
      </c>
      <c r="GL557" t="e">
        <f>AND(#REF!,"AAAAAHt/7sE=")</f>
        <v>#REF!</v>
      </c>
      <c r="GM557" t="e">
        <f>IF(#REF!,"AAAAAHt/7sI=",0)</f>
        <v>#REF!</v>
      </c>
      <c r="GN557" t="e">
        <f>AND(#REF!,"AAAAAHt/7sM=")</f>
        <v>#REF!</v>
      </c>
      <c r="GO557" t="e">
        <f>AND(#REF!,"AAAAAHt/7sQ=")</f>
        <v>#REF!</v>
      </c>
      <c r="GP557" t="e">
        <f>AND(#REF!,"AAAAAHt/7sU=")</f>
        <v>#REF!</v>
      </c>
      <c r="GQ557" t="e">
        <f>AND(#REF!,"AAAAAHt/7sY=")</f>
        <v>#REF!</v>
      </c>
      <c r="GR557" t="e">
        <f>AND(#REF!,"AAAAAHt/7sc=")</f>
        <v>#REF!</v>
      </c>
      <c r="GS557" t="e">
        <f>AND(#REF!,"AAAAAHt/7sg=")</f>
        <v>#REF!</v>
      </c>
      <c r="GT557" t="e">
        <f>AND(#REF!,"AAAAAHt/7sk=")</f>
        <v>#REF!</v>
      </c>
      <c r="GU557" t="e">
        <f>AND(#REF!,"AAAAAHt/7so=")</f>
        <v>#REF!</v>
      </c>
      <c r="GV557" t="e">
        <f>AND(#REF!,"AAAAAHt/7ss=")</f>
        <v>#REF!</v>
      </c>
      <c r="GW557" t="e">
        <f>AND(#REF!,"AAAAAHt/7sw=")</f>
        <v>#REF!</v>
      </c>
      <c r="GX557" t="e">
        <f>IF(#REF!,"AAAAAHt/7s0=",0)</f>
        <v>#REF!</v>
      </c>
      <c r="GY557" t="e">
        <f>AND(#REF!,"AAAAAHt/7s4=")</f>
        <v>#REF!</v>
      </c>
      <c r="GZ557" t="e">
        <f>AND(#REF!,"AAAAAHt/7s8=")</f>
        <v>#REF!</v>
      </c>
      <c r="HA557" t="e">
        <f>AND(#REF!,"AAAAAHt/7tA=")</f>
        <v>#REF!</v>
      </c>
      <c r="HB557" t="e">
        <f>AND(#REF!,"AAAAAHt/7tE=")</f>
        <v>#REF!</v>
      </c>
      <c r="HC557" t="e">
        <f>AND(#REF!,"AAAAAHt/7tI=")</f>
        <v>#REF!</v>
      </c>
      <c r="HD557" t="e">
        <f>AND(#REF!,"AAAAAHt/7tM=")</f>
        <v>#REF!</v>
      </c>
      <c r="HE557" t="e">
        <f>AND(#REF!,"AAAAAHt/7tQ=")</f>
        <v>#REF!</v>
      </c>
      <c r="HF557" t="e">
        <f>AND(#REF!,"AAAAAHt/7tU=")</f>
        <v>#REF!</v>
      </c>
      <c r="HG557" t="e">
        <f>AND(#REF!,"AAAAAHt/7tY=")</f>
        <v>#REF!</v>
      </c>
      <c r="HH557" t="e">
        <f>AND(#REF!,"AAAAAHt/7tc=")</f>
        <v>#REF!</v>
      </c>
      <c r="HI557" t="e">
        <f>IF(#REF!,"AAAAAHt/7tg=",0)</f>
        <v>#REF!</v>
      </c>
      <c r="HJ557" t="e">
        <f>AND(#REF!,"AAAAAHt/7tk=")</f>
        <v>#REF!</v>
      </c>
      <c r="HK557" t="e">
        <f>AND(#REF!,"AAAAAHt/7to=")</f>
        <v>#REF!</v>
      </c>
      <c r="HL557" t="e">
        <f>AND(#REF!,"AAAAAHt/7ts=")</f>
        <v>#REF!</v>
      </c>
      <c r="HM557" t="e">
        <f>AND(#REF!,"AAAAAHt/7tw=")</f>
        <v>#REF!</v>
      </c>
      <c r="HN557" t="e">
        <f>AND(#REF!,"AAAAAHt/7t0=")</f>
        <v>#REF!</v>
      </c>
      <c r="HO557" t="e">
        <f>AND(#REF!,"AAAAAHt/7t4=")</f>
        <v>#REF!</v>
      </c>
      <c r="HP557" t="e">
        <f>AND(#REF!,"AAAAAHt/7t8=")</f>
        <v>#REF!</v>
      </c>
      <c r="HQ557" t="e">
        <f>AND(#REF!,"AAAAAHt/7uA=")</f>
        <v>#REF!</v>
      </c>
      <c r="HR557" t="e">
        <f>AND(#REF!,"AAAAAHt/7uE=")</f>
        <v>#REF!</v>
      </c>
      <c r="HS557" t="e">
        <f>AND(#REF!,"AAAAAHt/7uI=")</f>
        <v>#REF!</v>
      </c>
      <c r="HT557" t="e">
        <f>IF(#REF!,"AAAAAHt/7uM=",0)</f>
        <v>#REF!</v>
      </c>
      <c r="HU557" t="e">
        <f>AND(#REF!,"AAAAAHt/7uQ=")</f>
        <v>#REF!</v>
      </c>
      <c r="HV557" t="e">
        <f>AND(#REF!,"AAAAAHt/7uU=")</f>
        <v>#REF!</v>
      </c>
      <c r="HW557" t="e">
        <f>AND(#REF!,"AAAAAHt/7uY=")</f>
        <v>#REF!</v>
      </c>
      <c r="HX557" t="e">
        <f>AND(#REF!,"AAAAAHt/7uc=")</f>
        <v>#REF!</v>
      </c>
      <c r="HY557" t="e">
        <f>AND(#REF!,"AAAAAHt/7ug=")</f>
        <v>#REF!</v>
      </c>
      <c r="HZ557" t="e">
        <f>AND(#REF!,"AAAAAHt/7uk=")</f>
        <v>#REF!</v>
      </c>
      <c r="IA557" t="e">
        <f>AND(#REF!,"AAAAAHt/7uo=")</f>
        <v>#REF!</v>
      </c>
      <c r="IB557" t="e">
        <f>AND(#REF!,"AAAAAHt/7us=")</f>
        <v>#REF!</v>
      </c>
      <c r="IC557" t="e">
        <f>AND(#REF!,"AAAAAHt/7uw=")</f>
        <v>#REF!</v>
      </c>
      <c r="ID557" t="e">
        <f>AND(#REF!,"AAAAAHt/7u0=")</f>
        <v>#REF!</v>
      </c>
      <c r="IE557" t="e">
        <f>IF(#REF!,"AAAAAHt/7u4=",0)</f>
        <v>#REF!</v>
      </c>
      <c r="IF557" t="e">
        <f>AND(#REF!,"AAAAAHt/7u8=")</f>
        <v>#REF!</v>
      </c>
      <c r="IG557" t="e">
        <f>AND(#REF!,"AAAAAHt/7vA=")</f>
        <v>#REF!</v>
      </c>
      <c r="IH557" t="e">
        <f>AND(#REF!,"AAAAAHt/7vE=")</f>
        <v>#REF!</v>
      </c>
      <c r="II557" t="e">
        <f>AND(#REF!,"AAAAAHt/7vI=")</f>
        <v>#REF!</v>
      </c>
      <c r="IJ557" t="e">
        <f>AND(#REF!,"AAAAAHt/7vM=")</f>
        <v>#REF!</v>
      </c>
      <c r="IK557" t="e">
        <f>AND(#REF!,"AAAAAHt/7vQ=")</f>
        <v>#REF!</v>
      </c>
      <c r="IL557" t="e">
        <f>AND(#REF!,"AAAAAHt/7vU=")</f>
        <v>#REF!</v>
      </c>
      <c r="IM557" t="e">
        <f>AND(#REF!,"AAAAAHt/7vY=")</f>
        <v>#REF!</v>
      </c>
      <c r="IN557" t="e">
        <f>AND(#REF!,"AAAAAHt/7vc=")</f>
        <v>#REF!</v>
      </c>
      <c r="IO557" t="e">
        <f>AND(#REF!,"AAAAAHt/7vg=")</f>
        <v>#REF!</v>
      </c>
      <c r="IP557" t="e">
        <f>IF(#REF!,"AAAAAHt/7vk=",0)</f>
        <v>#REF!</v>
      </c>
      <c r="IQ557" t="e">
        <f>AND(#REF!,"AAAAAHt/7vo=")</f>
        <v>#REF!</v>
      </c>
      <c r="IR557" t="e">
        <f>AND(#REF!,"AAAAAHt/7vs=")</f>
        <v>#REF!</v>
      </c>
      <c r="IS557" t="e">
        <f>AND(#REF!,"AAAAAHt/7vw=")</f>
        <v>#REF!</v>
      </c>
      <c r="IT557" t="e">
        <f>AND(#REF!,"AAAAAHt/7v0=")</f>
        <v>#REF!</v>
      </c>
      <c r="IU557" t="e">
        <f>AND(#REF!,"AAAAAHt/7v4=")</f>
        <v>#REF!</v>
      </c>
      <c r="IV557" t="e">
        <f>AND(#REF!,"AAAAAHt/7v8=")</f>
        <v>#REF!</v>
      </c>
    </row>
    <row r="558" spans="1:256" x14ac:dyDescent="0.25">
      <c r="A558" t="e">
        <f>AND(#REF!,"AAAAAHf3/gA=")</f>
        <v>#REF!</v>
      </c>
      <c r="B558" t="e">
        <f>AND(#REF!,"AAAAAHf3/gE=")</f>
        <v>#REF!</v>
      </c>
      <c r="C558" t="e">
        <f>AND(#REF!,"AAAAAHf3/gI=")</f>
        <v>#REF!</v>
      </c>
      <c r="D558" t="e">
        <f>AND(#REF!,"AAAAAHf3/gM=")</f>
        <v>#REF!</v>
      </c>
      <c r="E558" t="e">
        <f>IF(#REF!,"AAAAAHf3/gQ=",0)</f>
        <v>#REF!</v>
      </c>
      <c r="F558" t="e">
        <f>AND(#REF!,"AAAAAHf3/gU=")</f>
        <v>#REF!</v>
      </c>
      <c r="G558" t="e">
        <f>AND(#REF!,"AAAAAHf3/gY=")</f>
        <v>#REF!</v>
      </c>
      <c r="H558" t="e">
        <f>AND(#REF!,"AAAAAHf3/gc=")</f>
        <v>#REF!</v>
      </c>
      <c r="I558" t="e">
        <f>AND(#REF!,"AAAAAHf3/gg=")</f>
        <v>#REF!</v>
      </c>
      <c r="J558" t="e">
        <f>AND(#REF!,"AAAAAHf3/gk=")</f>
        <v>#REF!</v>
      </c>
      <c r="K558" t="e">
        <f>AND(#REF!,"AAAAAHf3/go=")</f>
        <v>#REF!</v>
      </c>
      <c r="L558" t="e">
        <f>AND(#REF!,"AAAAAHf3/gs=")</f>
        <v>#REF!</v>
      </c>
      <c r="M558" t="e">
        <f>AND(#REF!,"AAAAAHf3/gw=")</f>
        <v>#REF!</v>
      </c>
      <c r="N558" t="e">
        <f>AND(#REF!,"AAAAAHf3/g0=")</f>
        <v>#REF!</v>
      </c>
      <c r="O558" t="e">
        <f>AND(#REF!,"AAAAAHf3/g4=")</f>
        <v>#REF!</v>
      </c>
      <c r="P558" t="e">
        <f>IF(#REF!,"AAAAAHf3/g8=",0)</f>
        <v>#REF!</v>
      </c>
      <c r="Q558" t="e">
        <f>AND(#REF!,"AAAAAHf3/hA=")</f>
        <v>#REF!</v>
      </c>
      <c r="R558" t="e">
        <f>AND(#REF!,"AAAAAHf3/hE=")</f>
        <v>#REF!</v>
      </c>
      <c r="S558" t="e">
        <f>AND(#REF!,"AAAAAHf3/hI=")</f>
        <v>#REF!</v>
      </c>
      <c r="T558" t="e">
        <f>AND(#REF!,"AAAAAHf3/hM=")</f>
        <v>#REF!</v>
      </c>
      <c r="U558" t="e">
        <f>AND(#REF!,"AAAAAHf3/hQ=")</f>
        <v>#REF!</v>
      </c>
      <c r="V558" t="e">
        <f>AND(#REF!,"AAAAAHf3/hU=")</f>
        <v>#REF!</v>
      </c>
      <c r="W558" t="e">
        <f>AND(#REF!,"AAAAAHf3/hY=")</f>
        <v>#REF!</v>
      </c>
      <c r="X558" t="e">
        <f>AND(#REF!,"AAAAAHf3/hc=")</f>
        <v>#REF!</v>
      </c>
      <c r="Y558" t="e">
        <f>AND(#REF!,"AAAAAHf3/hg=")</f>
        <v>#REF!</v>
      </c>
      <c r="Z558" t="e">
        <f>AND(#REF!,"AAAAAHf3/hk=")</f>
        <v>#REF!</v>
      </c>
      <c r="AA558" t="e">
        <f>IF(#REF!,"AAAAAHf3/ho=",0)</f>
        <v>#REF!</v>
      </c>
      <c r="AB558" t="e">
        <f>AND(#REF!,"AAAAAHf3/hs=")</f>
        <v>#REF!</v>
      </c>
      <c r="AC558" t="e">
        <f>AND(#REF!,"AAAAAHf3/hw=")</f>
        <v>#REF!</v>
      </c>
      <c r="AD558" t="e">
        <f>AND(#REF!,"AAAAAHf3/h0=")</f>
        <v>#REF!</v>
      </c>
      <c r="AE558" t="e">
        <f>AND(#REF!,"AAAAAHf3/h4=")</f>
        <v>#REF!</v>
      </c>
      <c r="AF558" t="e">
        <f>AND(#REF!,"AAAAAHf3/h8=")</f>
        <v>#REF!</v>
      </c>
      <c r="AG558" t="e">
        <f>AND(#REF!,"AAAAAHf3/iA=")</f>
        <v>#REF!</v>
      </c>
      <c r="AH558" t="e">
        <f>AND(#REF!,"AAAAAHf3/iE=")</f>
        <v>#REF!</v>
      </c>
      <c r="AI558" t="e">
        <f>AND(#REF!,"AAAAAHf3/iI=")</f>
        <v>#REF!</v>
      </c>
      <c r="AJ558" t="e">
        <f>AND(#REF!,"AAAAAHf3/iM=")</f>
        <v>#REF!</v>
      </c>
      <c r="AK558" t="e">
        <f>AND(#REF!,"AAAAAHf3/iQ=")</f>
        <v>#REF!</v>
      </c>
      <c r="AL558" t="e">
        <f>IF(#REF!,"AAAAAHf3/iU=",0)</f>
        <v>#REF!</v>
      </c>
      <c r="AM558" t="e">
        <f>AND(#REF!,"AAAAAHf3/iY=")</f>
        <v>#REF!</v>
      </c>
      <c r="AN558" t="e">
        <f>AND(#REF!,"AAAAAHf3/ic=")</f>
        <v>#REF!</v>
      </c>
      <c r="AO558" t="e">
        <f>AND(#REF!,"AAAAAHf3/ig=")</f>
        <v>#REF!</v>
      </c>
      <c r="AP558" t="e">
        <f>AND(#REF!,"AAAAAHf3/ik=")</f>
        <v>#REF!</v>
      </c>
      <c r="AQ558" t="e">
        <f>AND(#REF!,"AAAAAHf3/io=")</f>
        <v>#REF!</v>
      </c>
      <c r="AR558" t="e">
        <f>AND(#REF!,"AAAAAHf3/is=")</f>
        <v>#REF!</v>
      </c>
      <c r="AS558" t="e">
        <f>AND(#REF!,"AAAAAHf3/iw=")</f>
        <v>#REF!</v>
      </c>
      <c r="AT558" t="e">
        <f>AND(#REF!,"AAAAAHf3/i0=")</f>
        <v>#REF!</v>
      </c>
      <c r="AU558" t="e">
        <f>AND(#REF!,"AAAAAHf3/i4=")</f>
        <v>#REF!</v>
      </c>
      <c r="AV558" t="e">
        <f>AND(#REF!,"AAAAAHf3/i8=")</f>
        <v>#REF!</v>
      </c>
      <c r="AW558" t="e">
        <f>IF(#REF!,"AAAAAHf3/jA=",0)</f>
        <v>#REF!</v>
      </c>
      <c r="AX558" t="e">
        <f>AND(#REF!,"AAAAAHf3/jE=")</f>
        <v>#REF!</v>
      </c>
      <c r="AY558" t="e">
        <f>AND(#REF!,"AAAAAHf3/jI=")</f>
        <v>#REF!</v>
      </c>
      <c r="AZ558" t="e">
        <f>AND(#REF!,"AAAAAHf3/jM=")</f>
        <v>#REF!</v>
      </c>
      <c r="BA558" t="e">
        <f>AND(#REF!,"AAAAAHf3/jQ=")</f>
        <v>#REF!</v>
      </c>
      <c r="BB558" t="e">
        <f>AND(#REF!,"AAAAAHf3/jU=")</f>
        <v>#REF!</v>
      </c>
      <c r="BC558" t="e">
        <f>AND(#REF!,"AAAAAHf3/jY=")</f>
        <v>#REF!</v>
      </c>
      <c r="BD558" t="e">
        <f>AND(#REF!,"AAAAAHf3/jc=")</f>
        <v>#REF!</v>
      </c>
      <c r="BE558" t="e">
        <f>AND(#REF!,"AAAAAHf3/jg=")</f>
        <v>#REF!</v>
      </c>
      <c r="BF558" t="e">
        <f>AND(#REF!,"AAAAAHf3/jk=")</f>
        <v>#REF!</v>
      </c>
      <c r="BG558" t="e">
        <f>AND(#REF!,"AAAAAHf3/jo=")</f>
        <v>#REF!</v>
      </c>
      <c r="BH558" t="e">
        <f>IF(#REF!,"AAAAAHf3/js=",0)</f>
        <v>#REF!</v>
      </c>
      <c r="BI558" t="e">
        <f>AND(#REF!,"AAAAAHf3/jw=")</f>
        <v>#REF!</v>
      </c>
      <c r="BJ558" t="e">
        <f>AND(#REF!,"AAAAAHf3/j0=")</f>
        <v>#REF!</v>
      </c>
      <c r="BK558" t="e">
        <f>AND(#REF!,"AAAAAHf3/j4=")</f>
        <v>#REF!</v>
      </c>
      <c r="BL558" t="e">
        <f>AND(#REF!,"AAAAAHf3/j8=")</f>
        <v>#REF!</v>
      </c>
      <c r="BM558" t="e">
        <f>AND(#REF!,"AAAAAHf3/kA=")</f>
        <v>#REF!</v>
      </c>
      <c r="BN558" t="e">
        <f>AND(#REF!,"AAAAAHf3/kE=")</f>
        <v>#REF!</v>
      </c>
      <c r="BO558" t="e">
        <f>AND(#REF!,"AAAAAHf3/kI=")</f>
        <v>#REF!</v>
      </c>
      <c r="BP558" t="e">
        <f>AND(#REF!,"AAAAAHf3/kM=")</f>
        <v>#REF!</v>
      </c>
      <c r="BQ558" t="e">
        <f>AND(#REF!,"AAAAAHf3/kQ=")</f>
        <v>#REF!</v>
      </c>
      <c r="BR558" t="e">
        <f>AND(#REF!,"AAAAAHf3/kU=")</f>
        <v>#REF!</v>
      </c>
      <c r="BS558" t="e">
        <f>IF(#REF!,"AAAAAHf3/kY=",0)</f>
        <v>#REF!</v>
      </c>
      <c r="BT558" t="e">
        <f>AND(#REF!,"AAAAAHf3/kc=")</f>
        <v>#REF!</v>
      </c>
      <c r="BU558" t="e">
        <f>AND(#REF!,"AAAAAHf3/kg=")</f>
        <v>#REF!</v>
      </c>
      <c r="BV558" t="e">
        <f>AND(#REF!,"AAAAAHf3/kk=")</f>
        <v>#REF!</v>
      </c>
      <c r="BW558" t="e">
        <f>AND(#REF!,"AAAAAHf3/ko=")</f>
        <v>#REF!</v>
      </c>
      <c r="BX558" t="e">
        <f>AND(#REF!,"AAAAAHf3/ks=")</f>
        <v>#REF!</v>
      </c>
      <c r="BY558" t="e">
        <f>AND(#REF!,"AAAAAHf3/kw=")</f>
        <v>#REF!</v>
      </c>
      <c r="BZ558" t="e">
        <f>AND(#REF!,"AAAAAHf3/k0=")</f>
        <v>#REF!</v>
      </c>
      <c r="CA558" t="e">
        <f>AND(#REF!,"AAAAAHf3/k4=")</f>
        <v>#REF!</v>
      </c>
      <c r="CB558" t="e">
        <f>AND(#REF!,"AAAAAHf3/k8=")</f>
        <v>#REF!</v>
      </c>
      <c r="CC558" t="e">
        <f>AND(#REF!,"AAAAAHf3/lA=")</f>
        <v>#REF!</v>
      </c>
      <c r="CD558" t="e">
        <f>IF(#REF!,"AAAAAHf3/lE=",0)</f>
        <v>#REF!</v>
      </c>
      <c r="CE558" t="e">
        <f>AND(#REF!,"AAAAAHf3/lI=")</f>
        <v>#REF!</v>
      </c>
      <c r="CF558" t="e">
        <f>AND(#REF!,"AAAAAHf3/lM=")</f>
        <v>#REF!</v>
      </c>
      <c r="CG558" t="e">
        <f>AND(#REF!,"AAAAAHf3/lQ=")</f>
        <v>#REF!</v>
      </c>
      <c r="CH558" t="e">
        <f>AND(#REF!,"AAAAAHf3/lU=")</f>
        <v>#REF!</v>
      </c>
      <c r="CI558" t="e">
        <f>AND(#REF!,"AAAAAHf3/lY=")</f>
        <v>#REF!</v>
      </c>
      <c r="CJ558" t="e">
        <f>AND(#REF!,"AAAAAHf3/lc=")</f>
        <v>#REF!</v>
      </c>
      <c r="CK558" t="e">
        <f>AND(#REF!,"AAAAAHf3/lg=")</f>
        <v>#REF!</v>
      </c>
      <c r="CL558" t="e">
        <f>AND(#REF!,"AAAAAHf3/lk=")</f>
        <v>#REF!</v>
      </c>
      <c r="CM558" t="e">
        <f>AND(#REF!,"AAAAAHf3/lo=")</f>
        <v>#REF!</v>
      </c>
      <c r="CN558" t="e">
        <f>AND(#REF!,"AAAAAHf3/ls=")</f>
        <v>#REF!</v>
      </c>
      <c r="CO558" t="e">
        <f>IF(#REF!,"AAAAAHf3/lw=",0)</f>
        <v>#REF!</v>
      </c>
      <c r="CP558" t="e">
        <f>AND(#REF!,"AAAAAHf3/l0=")</f>
        <v>#REF!</v>
      </c>
      <c r="CQ558" t="e">
        <f>AND(#REF!,"AAAAAHf3/l4=")</f>
        <v>#REF!</v>
      </c>
      <c r="CR558" t="e">
        <f>AND(#REF!,"AAAAAHf3/l8=")</f>
        <v>#REF!</v>
      </c>
      <c r="CS558" t="e">
        <f>AND(#REF!,"AAAAAHf3/mA=")</f>
        <v>#REF!</v>
      </c>
      <c r="CT558" t="e">
        <f>AND(#REF!,"AAAAAHf3/mE=")</f>
        <v>#REF!</v>
      </c>
      <c r="CU558" t="e">
        <f>AND(#REF!,"AAAAAHf3/mI=")</f>
        <v>#REF!</v>
      </c>
      <c r="CV558" t="e">
        <f>AND(#REF!,"AAAAAHf3/mM=")</f>
        <v>#REF!</v>
      </c>
      <c r="CW558" t="e">
        <f>AND(#REF!,"AAAAAHf3/mQ=")</f>
        <v>#REF!</v>
      </c>
      <c r="CX558" t="e">
        <f>AND(#REF!,"AAAAAHf3/mU=")</f>
        <v>#REF!</v>
      </c>
      <c r="CY558" t="e">
        <f>AND(#REF!,"AAAAAHf3/mY=")</f>
        <v>#REF!</v>
      </c>
      <c r="CZ558" t="e">
        <f>IF(#REF!,"AAAAAHf3/mc=",0)</f>
        <v>#REF!</v>
      </c>
      <c r="DA558" t="e">
        <f>AND(#REF!,"AAAAAHf3/mg=")</f>
        <v>#REF!</v>
      </c>
      <c r="DB558" t="e">
        <f>AND(#REF!,"AAAAAHf3/mk=")</f>
        <v>#REF!</v>
      </c>
      <c r="DC558" t="e">
        <f>AND(#REF!,"AAAAAHf3/mo=")</f>
        <v>#REF!</v>
      </c>
      <c r="DD558" t="e">
        <f>AND(#REF!,"AAAAAHf3/ms=")</f>
        <v>#REF!</v>
      </c>
      <c r="DE558" t="e">
        <f>AND(#REF!,"AAAAAHf3/mw=")</f>
        <v>#REF!</v>
      </c>
      <c r="DF558" t="e">
        <f>AND(#REF!,"AAAAAHf3/m0=")</f>
        <v>#REF!</v>
      </c>
      <c r="DG558" t="e">
        <f>AND(#REF!,"AAAAAHf3/m4=")</f>
        <v>#REF!</v>
      </c>
      <c r="DH558" t="e">
        <f>AND(#REF!,"AAAAAHf3/m8=")</f>
        <v>#REF!</v>
      </c>
      <c r="DI558" t="e">
        <f>AND(#REF!,"AAAAAHf3/nA=")</f>
        <v>#REF!</v>
      </c>
      <c r="DJ558" t="e">
        <f>AND(#REF!,"AAAAAHf3/nE=")</f>
        <v>#REF!</v>
      </c>
      <c r="DK558" t="e">
        <f>IF(#REF!,"AAAAAHf3/nI=",0)</f>
        <v>#REF!</v>
      </c>
      <c r="DL558" t="e">
        <f>AND(#REF!,"AAAAAHf3/nM=")</f>
        <v>#REF!</v>
      </c>
      <c r="DM558" t="e">
        <f>AND(#REF!,"AAAAAHf3/nQ=")</f>
        <v>#REF!</v>
      </c>
      <c r="DN558" t="e">
        <f>AND(#REF!,"AAAAAHf3/nU=")</f>
        <v>#REF!</v>
      </c>
      <c r="DO558" t="e">
        <f>AND(#REF!,"AAAAAHf3/nY=")</f>
        <v>#REF!</v>
      </c>
      <c r="DP558" t="e">
        <f>AND(#REF!,"AAAAAHf3/nc=")</f>
        <v>#REF!</v>
      </c>
      <c r="DQ558" t="e">
        <f>AND(#REF!,"AAAAAHf3/ng=")</f>
        <v>#REF!</v>
      </c>
      <c r="DR558" t="e">
        <f>AND(#REF!,"AAAAAHf3/nk=")</f>
        <v>#REF!</v>
      </c>
      <c r="DS558" t="e">
        <f>AND(#REF!,"AAAAAHf3/no=")</f>
        <v>#REF!</v>
      </c>
      <c r="DT558" t="e">
        <f>AND(#REF!,"AAAAAHf3/ns=")</f>
        <v>#REF!</v>
      </c>
      <c r="DU558" t="e">
        <f>AND(#REF!,"AAAAAHf3/nw=")</f>
        <v>#REF!</v>
      </c>
      <c r="DV558" t="e">
        <f>IF(#REF!,"AAAAAHf3/n0=",0)</f>
        <v>#REF!</v>
      </c>
      <c r="DW558" t="e">
        <f>AND(#REF!,"AAAAAHf3/n4=")</f>
        <v>#REF!</v>
      </c>
      <c r="DX558" t="e">
        <f>AND(#REF!,"AAAAAHf3/n8=")</f>
        <v>#REF!</v>
      </c>
      <c r="DY558" t="e">
        <f>AND(#REF!,"AAAAAHf3/oA=")</f>
        <v>#REF!</v>
      </c>
      <c r="DZ558" t="e">
        <f>AND(#REF!,"AAAAAHf3/oE=")</f>
        <v>#REF!</v>
      </c>
      <c r="EA558" t="e">
        <f>AND(#REF!,"AAAAAHf3/oI=")</f>
        <v>#REF!</v>
      </c>
      <c r="EB558" t="e">
        <f>AND(#REF!,"AAAAAHf3/oM=")</f>
        <v>#REF!</v>
      </c>
      <c r="EC558" t="e">
        <f>AND(#REF!,"AAAAAHf3/oQ=")</f>
        <v>#REF!</v>
      </c>
      <c r="ED558" t="e">
        <f>AND(#REF!,"AAAAAHf3/oU=")</f>
        <v>#REF!</v>
      </c>
      <c r="EE558" t="e">
        <f>AND(#REF!,"AAAAAHf3/oY=")</f>
        <v>#REF!</v>
      </c>
      <c r="EF558" t="e">
        <f>AND(#REF!,"AAAAAHf3/oc=")</f>
        <v>#REF!</v>
      </c>
      <c r="EG558" t="e">
        <f>IF(#REF!,"AAAAAHf3/og=",0)</f>
        <v>#REF!</v>
      </c>
      <c r="EH558" t="e">
        <f>AND(#REF!,"AAAAAHf3/ok=")</f>
        <v>#REF!</v>
      </c>
      <c r="EI558" t="e">
        <f>AND(#REF!,"AAAAAHf3/oo=")</f>
        <v>#REF!</v>
      </c>
      <c r="EJ558" t="e">
        <f>AND(#REF!,"AAAAAHf3/os=")</f>
        <v>#REF!</v>
      </c>
      <c r="EK558" t="e">
        <f>AND(#REF!,"AAAAAHf3/ow=")</f>
        <v>#REF!</v>
      </c>
      <c r="EL558" t="e">
        <f>AND(#REF!,"AAAAAHf3/o0=")</f>
        <v>#REF!</v>
      </c>
      <c r="EM558" t="e">
        <f>AND(#REF!,"AAAAAHf3/o4=")</f>
        <v>#REF!</v>
      </c>
      <c r="EN558" t="e">
        <f>AND(#REF!,"AAAAAHf3/o8=")</f>
        <v>#REF!</v>
      </c>
      <c r="EO558" t="e">
        <f>AND(#REF!,"AAAAAHf3/pA=")</f>
        <v>#REF!</v>
      </c>
      <c r="EP558" t="e">
        <f>AND(#REF!,"AAAAAHf3/pE=")</f>
        <v>#REF!</v>
      </c>
      <c r="EQ558" t="e">
        <f>AND(#REF!,"AAAAAHf3/pI=")</f>
        <v>#REF!</v>
      </c>
      <c r="ER558" t="e">
        <f>IF(#REF!,"AAAAAHf3/pM=",0)</f>
        <v>#REF!</v>
      </c>
      <c r="ES558" t="e">
        <f>AND(#REF!,"AAAAAHf3/pQ=")</f>
        <v>#REF!</v>
      </c>
      <c r="ET558" t="e">
        <f>AND(#REF!,"AAAAAHf3/pU=")</f>
        <v>#REF!</v>
      </c>
      <c r="EU558" t="e">
        <f>AND(#REF!,"AAAAAHf3/pY=")</f>
        <v>#REF!</v>
      </c>
      <c r="EV558" t="e">
        <f>AND(#REF!,"AAAAAHf3/pc=")</f>
        <v>#REF!</v>
      </c>
      <c r="EW558" t="e">
        <f>AND(#REF!,"AAAAAHf3/pg=")</f>
        <v>#REF!</v>
      </c>
      <c r="EX558" t="e">
        <f>AND(#REF!,"AAAAAHf3/pk=")</f>
        <v>#REF!</v>
      </c>
      <c r="EY558" t="e">
        <f>AND(#REF!,"AAAAAHf3/po=")</f>
        <v>#REF!</v>
      </c>
      <c r="EZ558" t="e">
        <f>AND(#REF!,"AAAAAHf3/ps=")</f>
        <v>#REF!</v>
      </c>
      <c r="FA558" t="e">
        <f>AND(#REF!,"AAAAAHf3/pw=")</f>
        <v>#REF!</v>
      </c>
      <c r="FB558" t="e">
        <f>AND(#REF!,"AAAAAHf3/p0=")</f>
        <v>#REF!</v>
      </c>
      <c r="FC558" t="e">
        <f>IF(#REF!,"AAAAAHf3/p4=",0)</f>
        <v>#REF!</v>
      </c>
      <c r="FD558" t="e">
        <f>AND(#REF!,"AAAAAHf3/p8=")</f>
        <v>#REF!</v>
      </c>
      <c r="FE558" t="e">
        <f>AND(#REF!,"AAAAAHf3/qA=")</f>
        <v>#REF!</v>
      </c>
      <c r="FF558" t="e">
        <f>AND(#REF!,"AAAAAHf3/qE=")</f>
        <v>#REF!</v>
      </c>
      <c r="FG558" t="e">
        <f>AND(#REF!,"AAAAAHf3/qI=")</f>
        <v>#REF!</v>
      </c>
      <c r="FH558" t="e">
        <f>AND(#REF!,"AAAAAHf3/qM=")</f>
        <v>#REF!</v>
      </c>
      <c r="FI558" t="e">
        <f>AND(#REF!,"AAAAAHf3/qQ=")</f>
        <v>#REF!</v>
      </c>
      <c r="FJ558" t="e">
        <f>AND(#REF!,"AAAAAHf3/qU=")</f>
        <v>#REF!</v>
      </c>
      <c r="FK558" t="e">
        <f>AND(#REF!,"AAAAAHf3/qY=")</f>
        <v>#REF!</v>
      </c>
      <c r="FL558" t="e">
        <f>AND(#REF!,"AAAAAHf3/qc=")</f>
        <v>#REF!</v>
      </c>
      <c r="FM558" t="e">
        <f>AND(#REF!,"AAAAAHf3/qg=")</f>
        <v>#REF!</v>
      </c>
      <c r="FN558" t="e">
        <f>IF(#REF!,"AAAAAHf3/qk=",0)</f>
        <v>#REF!</v>
      </c>
      <c r="FO558" t="e">
        <f>AND(#REF!,"AAAAAHf3/qo=")</f>
        <v>#REF!</v>
      </c>
      <c r="FP558" t="e">
        <f>AND(#REF!,"AAAAAHf3/qs=")</f>
        <v>#REF!</v>
      </c>
      <c r="FQ558" t="e">
        <f>AND(#REF!,"AAAAAHf3/qw=")</f>
        <v>#REF!</v>
      </c>
      <c r="FR558" t="e">
        <f>AND(#REF!,"AAAAAHf3/q0=")</f>
        <v>#REF!</v>
      </c>
      <c r="FS558" t="e">
        <f>AND(#REF!,"AAAAAHf3/q4=")</f>
        <v>#REF!</v>
      </c>
      <c r="FT558" t="e">
        <f>AND(#REF!,"AAAAAHf3/q8=")</f>
        <v>#REF!</v>
      </c>
      <c r="FU558" t="e">
        <f>AND(#REF!,"AAAAAHf3/rA=")</f>
        <v>#REF!</v>
      </c>
      <c r="FV558" t="e">
        <f>AND(#REF!,"AAAAAHf3/rE=")</f>
        <v>#REF!</v>
      </c>
      <c r="FW558" t="e">
        <f>AND(#REF!,"AAAAAHf3/rI=")</f>
        <v>#REF!</v>
      </c>
      <c r="FX558" t="e">
        <f>AND(#REF!,"AAAAAHf3/rM=")</f>
        <v>#REF!</v>
      </c>
      <c r="FY558" t="e">
        <f>IF(#REF!,"AAAAAHf3/rQ=",0)</f>
        <v>#REF!</v>
      </c>
      <c r="FZ558" t="e">
        <f>AND(#REF!,"AAAAAHf3/rU=")</f>
        <v>#REF!</v>
      </c>
      <c r="GA558" t="e">
        <f>AND(#REF!,"AAAAAHf3/rY=")</f>
        <v>#REF!</v>
      </c>
      <c r="GB558" t="e">
        <f>AND(#REF!,"AAAAAHf3/rc=")</f>
        <v>#REF!</v>
      </c>
      <c r="GC558" t="e">
        <f>AND(#REF!,"AAAAAHf3/rg=")</f>
        <v>#REF!</v>
      </c>
      <c r="GD558" t="e">
        <f>AND(#REF!,"AAAAAHf3/rk=")</f>
        <v>#REF!</v>
      </c>
      <c r="GE558" t="e">
        <f>AND(#REF!,"AAAAAHf3/ro=")</f>
        <v>#REF!</v>
      </c>
      <c r="GF558" t="e">
        <f>AND(#REF!,"AAAAAHf3/rs=")</f>
        <v>#REF!</v>
      </c>
      <c r="GG558" t="e">
        <f>AND(#REF!,"AAAAAHf3/rw=")</f>
        <v>#REF!</v>
      </c>
      <c r="GH558" t="e">
        <f>AND(#REF!,"AAAAAHf3/r0=")</f>
        <v>#REF!</v>
      </c>
      <c r="GI558" t="e">
        <f>AND(#REF!,"AAAAAHf3/r4=")</f>
        <v>#REF!</v>
      </c>
      <c r="GJ558" t="e">
        <f>IF(#REF!,"AAAAAHf3/r8=",0)</f>
        <v>#REF!</v>
      </c>
      <c r="GK558" t="e">
        <f>AND(#REF!,"AAAAAHf3/sA=")</f>
        <v>#REF!</v>
      </c>
      <c r="GL558" t="e">
        <f>AND(#REF!,"AAAAAHf3/sE=")</f>
        <v>#REF!</v>
      </c>
      <c r="GM558" t="e">
        <f>AND(#REF!,"AAAAAHf3/sI=")</f>
        <v>#REF!</v>
      </c>
      <c r="GN558" t="e">
        <f>AND(#REF!,"AAAAAHf3/sM=")</f>
        <v>#REF!</v>
      </c>
      <c r="GO558" t="e">
        <f>AND(#REF!,"AAAAAHf3/sQ=")</f>
        <v>#REF!</v>
      </c>
      <c r="GP558" t="e">
        <f>AND(#REF!,"AAAAAHf3/sU=")</f>
        <v>#REF!</v>
      </c>
      <c r="GQ558" t="e">
        <f>AND(#REF!,"AAAAAHf3/sY=")</f>
        <v>#REF!</v>
      </c>
      <c r="GR558" t="e">
        <f>AND(#REF!,"AAAAAHf3/sc=")</f>
        <v>#REF!</v>
      </c>
      <c r="GS558" t="e">
        <f>AND(#REF!,"AAAAAHf3/sg=")</f>
        <v>#REF!</v>
      </c>
      <c r="GT558" t="e">
        <f>AND(#REF!,"AAAAAHf3/sk=")</f>
        <v>#REF!</v>
      </c>
      <c r="GU558" t="e">
        <f>IF(#REF!,"AAAAAHf3/so=",0)</f>
        <v>#REF!</v>
      </c>
      <c r="GV558" t="e">
        <f>AND(#REF!,"AAAAAHf3/ss=")</f>
        <v>#REF!</v>
      </c>
      <c r="GW558" t="e">
        <f>AND(#REF!,"AAAAAHf3/sw=")</f>
        <v>#REF!</v>
      </c>
      <c r="GX558" t="e">
        <f>AND(#REF!,"AAAAAHf3/s0=")</f>
        <v>#REF!</v>
      </c>
      <c r="GY558" t="e">
        <f>AND(#REF!,"AAAAAHf3/s4=")</f>
        <v>#REF!</v>
      </c>
      <c r="GZ558" t="e">
        <f>AND(#REF!,"AAAAAHf3/s8=")</f>
        <v>#REF!</v>
      </c>
      <c r="HA558" t="e">
        <f>AND(#REF!,"AAAAAHf3/tA=")</f>
        <v>#REF!</v>
      </c>
      <c r="HB558" t="e">
        <f>AND(#REF!,"AAAAAHf3/tE=")</f>
        <v>#REF!</v>
      </c>
      <c r="HC558" t="e">
        <f>AND(#REF!,"AAAAAHf3/tI=")</f>
        <v>#REF!</v>
      </c>
      <c r="HD558" t="e">
        <f>AND(#REF!,"AAAAAHf3/tM=")</f>
        <v>#REF!</v>
      </c>
      <c r="HE558" t="e">
        <f>AND(#REF!,"AAAAAHf3/tQ=")</f>
        <v>#REF!</v>
      </c>
      <c r="HF558" t="e">
        <f>IF(#REF!,"AAAAAHf3/tU=",0)</f>
        <v>#REF!</v>
      </c>
      <c r="HG558" t="e">
        <f>AND(#REF!,"AAAAAHf3/tY=")</f>
        <v>#REF!</v>
      </c>
      <c r="HH558" t="e">
        <f>AND(#REF!,"AAAAAHf3/tc=")</f>
        <v>#REF!</v>
      </c>
      <c r="HI558" t="e">
        <f>AND(#REF!,"AAAAAHf3/tg=")</f>
        <v>#REF!</v>
      </c>
      <c r="HJ558" t="e">
        <f>AND(#REF!,"AAAAAHf3/tk=")</f>
        <v>#REF!</v>
      </c>
      <c r="HK558" t="e">
        <f>AND(#REF!,"AAAAAHf3/to=")</f>
        <v>#REF!</v>
      </c>
      <c r="HL558" t="e">
        <f>AND(#REF!,"AAAAAHf3/ts=")</f>
        <v>#REF!</v>
      </c>
      <c r="HM558" t="e">
        <f>AND(#REF!,"AAAAAHf3/tw=")</f>
        <v>#REF!</v>
      </c>
      <c r="HN558" t="e">
        <f>AND(#REF!,"AAAAAHf3/t0=")</f>
        <v>#REF!</v>
      </c>
      <c r="HO558" t="e">
        <f>AND(#REF!,"AAAAAHf3/t4=")</f>
        <v>#REF!</v>
      </c>
      <c r="HP558" t="e">
        <f>AND(#REF!,"AAAAAHf3/t8=")</f>
        <v>#REF!</v>
      </c>
      <c r="HQ558" t="e">
        <f>IF(#REF!,"AAAAAHf3/uA=",0)</f>
        <v>#REF!</v>
      </c>
      <c r="HR558" t="e">
        <f>AND(#REF!,"AAAAAHf3/uE=")</f>
        <v>#REF!</v>
      </c>
      <c r="HS558" t="e">
        <f>AND(#REF!,"AAAAAHf3/uI=")</f>
        <v>#REF!</v>
      </c>
      <c r="HT558" t="e">
        <f>AND(#REF!,"AAAAAHf3/uM=")</f>
        <v>#REF!</v>
      </c>
      <c r="HU558" t="e">
        <f>AND(#REF!,"AAAAAHf3/uQ=")</f>
        <v>#REF!</v>
      </c>
      <c r="HV558" t="e">
        <f>AND(#REF!,"AAAAAHf3/uU=")</f>
        <v>#REF!</v>
      </c>
      <c r="HW558" t="e">
        <f>AND(#REF!,"AAAAAHf3/uY=")</f>
        <v>#REF!</v>
      </c>
      <c r="HX558" t="e">
        <f>AND(#REF!,"AAAAAHf3/uc=")</f>
        <v>#REF!</v>
      </c>
      <c r="HY558" t="e">
        <f>AND(#REF!,"AAAAAHf3/ug=")</f>
        <v>#REF!</v>
      </c>
      <c r="HZ558" t="e">
        <f>AND(#REF!,"AAAAAHf3/uk=")</f>
        <v>#REF!</v>
      </c>
      <c r="IA558" t="e">
        <f>AND(#REF!,"AAAAAHf3/uo=")</f>
        <v>#REF!</v>
      </c>
      <c r="IB558" t="e">
        <f>IF(#REF!,"AAAAAHf3/us=",0)</f>
        <v>#REF!</v>
      </c>
      <c r="IC558" t="e">
        <f>AND(#REF!,"AAAAAHf3/uw=")</f>
        <v>#REF!</v>
      </c>
      <c r="ID558" t="e">
        <f>AND(#REF!,"AAAAAHf3/u0=")</f>
        <v>#REF!</v>
      </c>
      <c r="IE558" t="e">
        <f>AND(#REF!,"AAAAAHf3/u4=")</f>
        <v>#REF!</v>
      </c>
      <c r="IF558" t="e">
        <f>AND(#REF!,"AAAAAHf3/u8=")</f>
        <v>#REF!</v>
      </c>
      <c r="IG558" t="e">
        <f>AND(#REF!,"AAAAAHf3/vA=")</f>
        <v>#REF!</v>
      </c>
      <c r="IH558" t="e">
        <f>AND(#REF!,"AAAAAHf3/vE=")</f>
        <v>#REF!</v>
      </c>
      <c r="II558" t="e">
        <f>AND(#REF!,"AAAAAHf3/vI=")</f>
        <v>#REF!</v>
      </c>
      <c r="IJ558" t="e">
        <f>AND(#REF!,"AAAAAHf3/vM=")</f>
        <v>#REF!</v>
      </c>
      <c r="IK558" t="e">
        <f>AND(#REF!,"AAAAAHf3/vQ=")</f>
        <v>#REF!</v>
      </c>
      <c r="IL558" t="e">
        <f>AND(#REF!,"AAAAAHf3/vU=")</f>
        <v>#REF!</v>
      </c>
      <c r="IM558" t="e">
        <f>IF(#REF!,"AAAAAHf3/vY=",0)</f>
        <v>#REF!</v>
      </c>
      <c r="IN558" t="e">
        <f>AND(#REF!,"AAAAAHf3/vc=")</f>
        <v>#REF!</v>
      </c>
      <c r="IO558" t="e">
        <f>AND(#REF!,"AAAAAHf3/vg=")</f>
        <v>#REF!</v>
      </c>
      <c r="IP558" t="e">
        <f>AND(#REF!,"AAAAAHf3/vk=")</f>
        <v>#REF!</v>
      </c>
      <c r="IQ558" t="e">
        <f>AND(#REF!,"AAAAAHf3/vo=")</f>
        <v>#REF!</v>
      </c>
      <c r="IR558" t="e">
        <f>AND(#REF!,"AAAAAHf3/vs=")</f>
        <v>#REF!</v>
      </c>
      <c r="IS558" t="e">
        <f>AND(#REF!,"AAAAAHf3/vw=")</f>
        <v>#REF!</v>
      </c>
      <c r="IT558" t="e">
        <f>AND(#REF!,"AAAAAHf3/v0=")</f>
        <v>#REF!</v>
      </c>
      <c r="IU558" t="e">
        <f>AND(#REF!,"AAAAAHf3/v4=")</f>
        <v>#REF!</v>
      </c>
      <c r="IV558" t="e">
        <f>AND(#REF!,"AAAAAHf3/v8=")</f>
        <v>#REF!</v>
      </c>
    </row>
    <row r="559" spans="1:256" x14ac:dyDescent="0.25">
      <c r="A559" t="e">
        <f>AND(#REF!,"AAAAAB3nfwA=")</f>
        <v>#REF!</v>
      </c>
      <c r="B559" t="e">
        <f>IF(#REF!,"AAAAAB3nfwE=",0)</f>
        <v>#REF!</v>
      </c>
      <c r="C559" t="e">
        <f>AND(#REF!,"AAAAAB3nfwI=")</f>
        <v>#REF!</v>
      </c>
      <c r="D559" t="e">
        <f>AND(#REF!,"AAAAAB3nfwM=")</f>
        <v>#REF!</v>
      </c>
      <c r="E559" t="e">
        <f>AND(#REF!,"AAAAAB3nfwQ=")</f>
        <v>#REF!</v>
      </c>
      <c r="F559" t="e">
        <f>AND(#REF!,"AAAAAB3nfwU=")</f>
        <v>#REF!</v>
      </c>
      <c r="G559" t="e">
        <f>AND(#REF!,"AAAAAB3nfwY=")</f>
        <v>#REF!</v>
      </c>
      <c r="H559" t="e">
        <f>AND(#REF!,"AAAAAB3nfwc=")</f>
        <v>#REF!</v>
      </c>
      <c r="I559" t="e">
        <f>AND(#REF!,"AAAAAB3nfwg=")</f>
        <v>#REF!</v>
      </c>
      <c r="J559" t="e">
        <f>AND(#REF!,"AAAAAB3nfwk=")</f>
        <v>#REF!</v>
      </c>
      <c r="K559" t="e">
        <f>AND(#REF!,"AAAAAB3nfwo=")</f>
        <v>#REF!</v>
      </c>
      <c r="L559" t="e">
        <f>AND(#REF!,"AAAAAB3nfws=")</f>
        <v>#REF!</v>
      </c>
      <c r="M559" t="e">
        <f>IF(#REF!,"AAAAAB3nfww=",0)</f>
        <v>#REF!</v>
      </c>
      <c r="N559" t="e">
        <f>AND(#REF!,"AAAAAB3nfw0=")</f>
        <v>#REF!</v>
      </c>
      <c r="O559" t="e">
        <f>AND(#REF!,"AAAAAB3nfw4=")</f>
        <v>#REF!</v>
      </c>
      <c r="P559" t="e">
        <f>AND(#REF!,"AAAAAB3nfw8=")</f>
        <v>#REF!</v>
      </c>
      <c r="Q559" t="e">
        <f>AND(#REF!,"AAAAAB3nfxA=")</f>
        <v>#REF!</v>
      </c>
      <c r="R559" t="e">
        <f>AND(#REF!,"AAAAAB3nfxE=")</f>
        <v>#REF!</v>
      </c>
      <c r="S559" t="e">
        <f>AND(#REF!,"AAAAAB3nfxI=")</f>
        <v>#REF!</v>
      </c>
      <c r="T559" t="e">
        <f>AND(#REF!,"AAAAAB3nfxM=")</f>
        <v>#REF!</v>
      </c>
      <c r="U559" t="e">
        <f>AND(#REF!,"AAAAAB3nfxQ=")</f>
        <v>#REF!</v>
      </c>
      <c r="V559" t="e">
        <f>AND(#REF!,"AAAAAB3nfxU=")</f>
        <v>#REF!</v>
      </c>
      <c r="W559" t="e">
        <f>AND(#REF!,"AAAAAB3nfxY=")</f>
        <v>#REF!</v>
      </c>
      <c r="X559" t="e">
        <f>IF(#REF!,"AAAAAB3nfxc=",0)</f>
        <v>#REF!</v>
      </c>
      <c r="Y559" t="e">
        <f>AND(#REF!,"AAAAAB3nfxg=")</f>
        <v>#REF!</v>
      </c>
      <c r="Z559" t="e">
        <f>AND(#REF!,"AAAAAB3nfxk=")</f>
        <v>#REF!</v>
      </c>
      <c r="AA559" t="e">
        <f>AND(#REF!,"AAAAAB3nfxo=")</f>
        <v>#REF!</v>
      </c>
      <c r="AB559" t="e">
        <f>AND(#REF!,"AAAAAB3nfxs=")</f>
        <v>#REF!</v>
      </c>
      <c r="AC559" t="e">
        <f>AND(#REF!,"AAAAAB3nfxw=")</f>
        <v>#REF!</v>
      </c>
      <c r="AD559" t="e">
        <f>AND(#REF!,"AAAAAB3nfx0=")</f>
        <v>#REF!</v>
      </c>
      <c r="AE559" t="e">
        <f>AND(#REF!,"AAAAAB3nfx4=")</f>
        <v>#REF!</v>
      </c>
      <c r="AF559" t="e">
        <f>AND(#REF!,"AAAAAB3nfx8=")</f>
        <v>#REF!</v>
      </c>
      <c r="AG559" t="e">
        <f>AND(#REF!,"AAAAAB3nfyA=")</f>
        <v>#REF!</v>
      </c>
      <c r="AH559" t="e">
        <f>AND(#REF!,"AAAAAB3nfyE=")</f>
        <v>#REF!</v>
      </c>
      <c r="AI559" t="e">
        <f>IF(#REF!,"AAAAAB3nfyI=",0)</f>
        <v>#REF!</v>
      </c>
      <c r="AJ559" t="e">
        <f>AND(#REF!,"AAAAAB3nfyM=")</f>
        <v>#REF!</v>
      </c>
      <c r="AK559" t="e">
        <f>AND(#REF!,"AAAAAB3nfyQ=")</f>
        <v>#REF!</v>
      </c>
      <c r="AL559" t="e">
        <f>AND(#REF!,"AAAAAB3nfyU=")</f>
        <v>#REF!</v>
      </c>
      <c r="AM559" t="e">
        <f>AND(#REF!,"AAAAAB3nfyY=")</f>
        <v>#REF!</v>
      </c>
      <c r="AN559" t="e">
        <f>AND(#REF!,"AAAAAB3nfyc=")</f>
        <v>#REF!</v>
      </c>
      <c r="AO559" t="e">
        <f>AND(#REF!,"AAAAAB3nfyg=")</f>
        <v>#REF!</v>
      </c>
      <c r="AP559" t="e">
        <f>AND(#REF!,"AAAAAB3nfyk=")</f>
        <v>#REF!</v>
      </c>
      <c r="AQ559" t="e">
        <f>AND(#REF!,"AAAAAB3nfyo=")</f>
        <v>#REF!</v>
      </c>
      <c r="AR559" t="e">
        <f>AND(#REF!,"AAAAAB3nfys=")</f>
        <v>#REF!</v>
      </c>
      <c r="AS559" t="e">
        <f>AND(#REF!,"AAAAAB3nfyw=")</f>
        <v>#REF!</v>
      </c>
      <c r="AT559" t="e">
        <f>IF(#REF!,"AAAAAB3nfy0=",0)</f>
        <v>#REF!</v>
      </c>
      <c r="AU559" t="e">
        <f>AND(#REF!,"AAAAAB3nfy4=")</f>
        <v>#REF!</v>
      </c>
      <c r="AV559" t="e">
        <f>AND(#REF!,"AAAAAB3nfy8=")</f>
        <v>#REF!</v>
      </c>
      <c r="AW559" t="e">
        <f>AND(#REF!,"AAAAAB3nfzA=")</f>
        <v>#REF!</v>
      </c>
      <c r="AX559" t="e">
        <f>AND(#REF!,"AAAAAB3nfzE=")</f>
        <v>#REF!</v>
      </c>
      <c r="AY559" t="e">
        <f>AND(#REF!,"AAAAAB3nfzI=")</f>
        <v>#REF!</v>
      </c>
      <c r="AZ559" t="e">
        <f>AND(#REF!,"AAAAAB3nfzM=")</f>
        <v>#REF!</v>
      </c>
      <c r="BA559" t="e">
        <f>AND(#REF!,"AAAAAB3nfzQ=")</f>
        <v>#REF!</v>
      </c>
      <c r="BB559" t="e">
        <f>AND(#REF!,"AAAAAB3nfzU=")</f>
        <v>#REF!</v>
      </c>
      <c r="BC559" t="e">
        <f>AND(#REF!,"AAAAAB3nfzY=")</f>
        <v>#REF!</v>
      </c>
      <c r="BD559" t="e">
        <f>AND(#REF!,"AAAAAB3nfzc=")</f>
        <v>#REF!</v>
      </c>
      <c r="BE559" t="e">
        <f>IF(#REF!,"AAAAAB3nfzg=",0)</f>
        <v>#REF!</v>
      </c>
      <c r="BF559" t="e">
        <f>AND(#REF!,"AAAAAB3nfzk=")</f>
        <v>#REF!</v>
      </c>
      <c r="BG559" t="e">
        <f>AND(#REF!,"AAAAAB3nfzo=")</f>
        <v>#REF!</v>
      </c>
      <c r="BH559" t="e">
        <f>AND(#REF!,"AAAAAB3nfzs=")</f>
        <v>#REF!</v>
      </c>
      <c r="BI559" t="e">
        <f>AND(#REF!,"AAAAAB3nfzw=")</f>
        <v>#REF!</v>
      </c>
      <c r="BJ559" t="e">
        <f>AND(#REF!,"AAAAAB3nfz0=")</f>
        <v>#REF!</v>
      </c>
      <c r="BK559" t="e">
        <f>AND(#REF!,"AAAAAB3nfz4=")</f>
        <v>#REF!</v>
      </c>
      <c r="BL559" t="e">
        <f>AND(#REF!,"AAAAAB3nfz8=")</f>
        <v>#REF!</v>
      </c>
      <c r="BM559" t="e">
        <f>AND(#REF!,"AAAAAB3nf0A=")</f>
        <v>#REF!</v>
      </c>
      <c r="BN559" t="e">
        <f>AND(#REF!,"AAAAAB3nf0E=")</f>
        <v>#REF!</v>
      </c>
      <c r="BO559" t="e">
        <f>AND(#REF!,"AAAAAB3nf0I=")</f>
        <v>#REF!</v>
      </c>
      <c r="BP559" t="e">
        <f>IF(#REF!,"AAAAAB3nf0M=",0)</f>
        <v>#REF!</v>
      </c>
      <c r="BQ559" t="e">
        <f>AND(#REF!,"AAAAAB3nf0Q=")</f>
        <v>#REF!</v>
      </c>
      <c r="BR559" t="e">
        <f>AND(#REF!,"AAAAAB3nf0U=")</f>
        <v>#REF!</v>
      </c>
      <c r="BS559" t="e">
        <f>AND(#REF!,"AAAAAB3nf0Y=")</f>
        <v>#REF!</v>
      </c>
      <c r="BT559" t="e">
        <f>AND(#REF!,"AAAAAB3nf0c=")</f>
        <v>#REF!</v>
      </c>
      <c r="BU559" t="e">
        <f>AND(#REF!,"AAAAAB3nf0g=")</f>
        <v>#REF!</v>
      </c>
      <c r="BV559" t="e">
        <f>AND(#REF!,"AAAAAB3nf0k=")</f>
        <v>#REF!</v>
      </c>
      <c r="BW559" t="e">
        <f>AND(#REF!,"AAAAAB3nf0o=")</f>
        <v>#REF!</v>
      </c>
      <c r="BX559" t="e">
        <f>AND(#REF!,"AAAAAB3nf0s=")</f>
        <v>#REF!</v>
      </c>
      <c r="BY559" t="e">
        <f>AND(#REF!,"AAAAAB3nf0w=")</f>
        <v>#REF!</v>
      </c>
      <c r="BZ559" t="e">
        <f>AND(#REF!,"AAAAAB3nf00=")</f>
        <v>#REF!</v>
      </c>
      <c r="CA559" t="e">
        <f>IF(#REF!,"AAAAAB3nf04=",0)</f>
        <v>#REF!</v>
      </c>
      <c r="CB559" t="e">
        <f>AND(#REF!,"AAAAAB3nf08=")</f>
        <v>#REF!</v>
      </c>
      <c r="CC559" t="e">
        <f>AND(#REF!,"AAAAAB3nf1A=")</f>
        <v>#REF!</v>
      </c>
      <c r="CD559" t="e">
        <f>AND(#REF!,"AAAAAB3nf1E=")</f>
        <v>#REF!</v>
      </c>
      <c r="CE559" t="e">
        <f>AND(#REF!,"AAAAAB3nf1I=")</f>
        <v>#REF!</v>
      </c>
      <c r="CF559" t="e">
        <f>AND(#REF!,"AAAAAB3nf1M=")</f>
        <v>#REF!</v>
      </c>
      <c r="CG559" t="e">
        <f>AND(#REF!,"AAAAAB3nf1Q=")</f>
        <v>#REF!</v>
      </c>
      <c r="CH559" t="e">
        <f>AND(#REF!,"AAAAAB3nf1U=")</f>
        <v>#REF!</v>
      </c>
      <c r="CI559" t="e">
        <f>AND(#REF!,"AAAAAB3nf1Y=")</f>
        <v>#REF!</v>
      </c>
      <c r="CJ559" t="e">
        <f>AND(#REF!,"AAAAAB3nf1c=")</f>
        <v>#REF!</v>
      </c>
      <c r="CK559" t="e">
        <f>AND(#REF!,"AAAAAB3nf1g=")</f>
        <v>#REF!</v>
      </c>
      <c r="CL559" t="e">
        <f>IF(#REF!,"AAAAAB3nf1k=",0)</f>
        <v>#REF!</v>
      </c>
      <c r="CM559" t="e">
        <f>AND(#REF!,"AAAAAB3nf1o=")</f>
        <v>#REF!</v>
      </c>
      <c r="CN559" t="e">
        <f>AND(#REF!,"AAAAAB3nf1s=")</f>
        <v>#REF!</v>
      </c>
      <c r="CO559" t="e">
        <f>AND(#REF!,"AAAAAB3nf1w=")</f>
        <v>#REF!</v>
      </c>
      <c r="CP559" t="e">
        <f>AND(#REF!,"AAAAAB3nf10=")</f>
        <v>#REF!</v>
      </c>
      <c r="CQ559" t="e">
        <f>AND(#REF!,"AAAAAB3nf14=")</f>
        <v>#REF!</v>
      </c>
      <c r="CR559" t="e">
        <f>AND(#REF!,"AAAAAB3nf18=")</f>
        <v>#REF!</v>
      </c>
      <c r="CS559" t="e">
        <f>AND(#REF!,"AAAAAB3nf2A=")</f>
        <v>#REF!</v>
      </c>
      <c r="CT559" t="e">
        <f>AND(#REF!,"AAAAAB3nf2E=")</f>
        <v>#REF!</v>
      </c>
      <c r="CU559" t="e">
        <f>AND(#REF!,"AAAAAB3nf2I=")</f>
        <v>#REF!</v>
      </c>
      <c r="CV559" t="e">
        <f>AND(#REF!,"AAAAAB3nf2M=")</f>
        <v>#REF!</v>
      </c>
      <c r="CW559" t="e">
        <f>IF(#REF!,"AAAAAB3nf2Q=",0)</f>
        <v>#REF!</v>
      </c>
      <c r="CX559" t="e">
        <f>AND(#REF!,"AAAAAB3nf2U=")</f>
        <v>#REF!</v>
      </c>
      <c r="CY559" t="e">
        <f>AND(#REF!,"AAAAAB3nf2Y=")</f>
        <v>#REF!</v>
      </c>
      <c r="CZ559" t="e">
        <f>AND(#REF!,"AAAAAB3nf2c=")</f>
        <v>#REF!</v>
      </c>
      <c r="DA559" t="e">
        <f>AND(#REF!,"AAAAAB3nf2g=")</f>
        <v>#REF!</v>
      </c>
      <c r="DB559" t="e">
        <f>AND(#REF!,"AAAAAB3nf2k=")</f>
        <v>#REF!</v>
      </c>
      <c r="DC559" t="e">
        <f>AND(#REF!,"AAAAAB3nf2o=")</f>
        <v>#REF!</v>
      </c>
      <c r="DD559" t="e">
        <f>AND(#REF!,"AAAAAB3nf2s=")</f>
        <v>#REF!</v>
      </c>
      <c r="DE559" t="e">
        <f>AND(#REF!,"AAAAAB3nf2w=")</f>
        <v>#REF!</v>
      </c>
      <c r="DF559" t="e">
        <f>AND(#REF!,"AAAAAB3nf20=")</f>
        <v>#REF!</v>
      </c>
      <c r="DG559" t="e">
        <f>AND(#REF!,"AAAAAB3nf24=")</f>
        <v>#REF!</v>
      </c>
      <c r="DH559" t="e">
        <f>IF(#REF!,"AAAAAB3nf28=",0)</f>
        <v>#REF!</v>
      </c>
      <c r="DI559" t="e">
        <f>AND(#REF!,"AAAAAB3nf3A=")</f>
        <v>#REF!</v>
      </c>
      <c r="DJ559" t="e">
        <f>AND(#REF!,"AAAAAB3nf3E=")</f>
        <v>#REF!</v>
      </c>
      <c r="DK559" t="e">
        <f>AND(#REF!,"AAAAAB3nf3I=")</f>
        <v>#REF!</v>
      </c>
      <c r="DL559" t="e">
        <f>AND(#REF!,"AAAAAB3nf3M=")</f>
        <v>#REF!</v>
      </c>
      <c r="DM559" t="e">
        <f>AND(#REF!,"AAAAAB3nf3Q=")</f>
        <v>#REF!</v>
      </c>
      <c r="DN559" t="e">
        <f>AND(#REF!,"AAAAAB3nf3U=")</f>
        <v>#REF!</v>
      </c>
      <c r="DO559" t="e">
        <f>AND(#REF!,"AAAAAB3nf3Y=")</f>
        <v>#REF!</v>
      </c>
      <c r="DP559" t="e">
        <f>AND(#REF!,"AAAAAB3nf3c=")</f>
        <v>#REF!</v>
      </c>
      <c r="DQ559" t="e">
        <f>AND(#REF!,"AAAAAB3nf3g=")</f>
        <v>#REF!</v>
      </c>
      <c r="DR559" t="e">
        <f>AND(#REF!,"AAAAAB3nf3k=")</f>
        <v>#REF!</v>
      </c>
      <c r="DS559" t="e">
        <f>IF(#REF!,"AAAAAB3nf3o=",0)</f>
        <v>#REF!</v>
      </c>
      <c r="DT559" t="e">
        <f>AND(#REF!,"AAAAAB3nf3s=")</f>
        <v>#REF!</v>
      </c>
      <c r="DU559" t="e">
        <f>AND(#REF!,"AAAAAB3nf3w=")</f>
        <v>#REF!</v>
      </c>
      <c r="DV559" t="e">
        <f>AND(#REF!,"AAAAAB3nf30=")</f>
        <v>#REF!</v>
      </c>
      <c r="DW559" t="e">
        <f>AND(#REF!,"AAAAAB3nf34=")</f>
        <v>#REF!</v>
      </c>
      <c r="DX559" t="e">
        <f>AND(#REF!,"AAAAAB3nf38=")</f>
        <v>#REF!</v>
      </c>
      <c r="DY559" t="e">
        <f>AND(#REF!,"AAAAAB3nf4A=")</f>
        <v>#REF!</v>
      </c>
      <c r="DZ559" t="e">
        <f>AND(#REF!,"AAAAAB3nf4E=")</f>
        <v>#REF!</v>
      </c>
      <c r="EA559" t="e">
        <f>AND(#REF!,"AAAAAB3nf4I=")</f>
        <v>#REF!</v>
      </c>
      <c r="EB559" t="e">
        <f>AND(#REF!,"AAAAAB3nf4M=")</f>
        <v>#REF!</v>
      </c>
      <c r="EC559" t="e">
        <f>AND(#REF!,"AAAAAB3nf4Q=")</f>
        <v>#REF!</v>
      </c>
      <c r="ED559" t="e">
        <f>IF(#REF!,"AAAAAB3nf4U=",0)</f>
        <v>#REF!</v>
      </c>
      <c r="EE559" t="e">
        <f>AND(#REF!,"AAAAAB3nf4Y=")</f>
        <v>#REF!</v>
      </c>
      <c r="EF559" t="e">
        <f>AND(#REF!,"AAAAAB3nf4c=")</f>
        <v>#REF!</v>
      </c>
      <c r="EG559" t="e">
        <f>AND(#REF!,"AAAAAB3nf4g=")</f>
        <v>#REF!</v>
      </c>
      <c r="EH559" t="e">
        <f>AND(#REF!,"AAAAAB3nf4k=")</f>
        <v>#REF!</v>
      </c>
      <c r="EI559" t="e">
        <f>AND(#REF!,"AAAAAB3nf4o=")</f>
        <v>#REF!</v>
      </c>
      <c r="EJ559" t="e">
        <f>AND(#REF!,"AAAAAB3nf4s=")</f>
        <v>#REF!</v>
      </c>
      <c r="EK559" t="e">
        <f>AND(#REF!,"AAAAAB3nf4w=")</f>
        <v>#REF!</v>
      </c>
      <c r="EL559" t="e">
        <f>AND(#REF!,"AAAAAB3nf40=")</f>
        <v>#REF!</v>
      </c>
      <c r="EM559" t="e">
        <f>AND(#REF!,"AAAAAB3nf44=")</f>
        <v>#REF!</v>
      </c>
      <c r="EN559" t="e">
        <f>AND(#REF!,"AAAAAB3nf48=")</f>
        <v>#REF!</v>
      </c>
      <c r="EO559" t="e">
        <f>IF(#REF!,"AAAAAB3nf5A=",0)</f>
        <v>#REF!</v>
      </c>
      <c r="EP559" t="e">
        <f>AND(#REF!,"AAAAAB3nf5E=")</f>
        <v>#REF!</v>
      </c>
      <c r="EQ559" t="e">
        <f>AND(#REF!,"AAAAAB3nf5I=")</f>
        <v>#REF!</v>
      </c>
      <c r="ER559" t="e">
        <f>AND(#REF!,"AAAAAB3nf5M=")</f>
        <v>#REF!</v>
      </c>
      <c r="ES559" t="e">
        <f>AND(#REF!,"AAAAAB3nf5Q=")</f>
        <v>#REF!</v>
      </c>
      <c r="ET559" t="e">
        <f>AND(#REF!,"AAAAAB3nf5U=")</f>
        <v>#REF!</v>
      </c>
      <c r="EU559" t="e">
        <f>AND(#REF!,"AAAAAB3nf5Y=")</f>
        <v>#REF!</v>
      </c>
      <c r="EV559" t="e">
        <f>AND(#REF!,"AAAAAB3nf5c=")</f>
        <v>#REF!</v>
      </c>
      <c r="EW559" t="e">
        <f>AND(#REF!,"AAAAAB3nf5g=")</f>
        <v>#REF!</v>
      </c>
      <c r="EX559" t="e">
        <f>AND(#REF!,"AAAAAB3nf5k=")</f>
        <v>#REF!</v>
      </c>
      <c r="EY559" t="e">
        <f>AND(#REF!,"AAAAAB3nf5o=")</f>
        <v>#REF!</v>
      </c>
      <c r="EZ559" t="e">
        <f>IF(#REF!,"AAAAAB3nf5s=",0)</f>
        <v>#REF!</v>
      </c>
      <c r="FA559" t="e">
        <f>AND(#REF!,"AAAAAB3nf5w=")</f>
        <v>#REF!</v>
      </c>
      <c r="FB559" t="e">
        <f>AND(#REF!,"AAAAAB3nf50=")</f>
        <v>#REF!</v>
      </c>
      <c r="FC559" t="e">
        <f>AND(#REF!,"AAAAAB3nf54=")</f>
        <v>#REF!</v>
      </c>
      <c r="FD559" t="e">
        <f>AND(#REF!,"AAAAAB3nf58=")</f>
        <v>#REF!</v>
      </c>
      <c r="FE559" t="e">
        <f>AND(#REF!,"AAAAAB3nf6A=")</f>
        <v>#REF!</v>
      </c>
      <c r="FF559" t="e">
        <f>AND(#REF!,"AAAAAB3nf6E=")</f>
        <v>#REF!</v>
      </c>
      <c r="FG559" t="e">
        <f>AND(#REF!,"AAAAAB3nf6I=")</f>
        <v>#REF!</v>
      </c>
      <c r="FH559" t="e">
        <f>AND(#REF!,"AAAAAB3nf6M=")</f>
        <v>#REF!</v>
      </c>
      <c r="FI559" t="e">
        <f>AND(#REF!,"AAAAAB3nf6Q=")</f>
        <v>#REF!</v>
      </c>
      <c r="FJ559" t="e">
        <f>AND(#REF!,"AAAAAB3nf6U=")</f>
        <v>#REF!</v>
      </c>
      <c r="FK559" t="e">
        <f>IF(#REF!,"AAAAAB3nf6Y=",0)</f>
        <v>#REF!</v>
      </c>
      <c r="FL559" t="e">
        <f>AND(#REF!,"AAAAAB3nf6c=")</f>
        <v>#REF!</v>
      </c>
      <c r="FM559" t="e">
        <f>AND(#REF!,"AAAAAB3nf6g=")</f>
        <v>#REF!</v>
      </c>
      <c r="FN559" t="e">
        <f>AND(#REF!,"AAAAAB3nf6k=")</f>
        <v>#REF!</v>
      </c>
      <c r="FO559" t="e">
        <f>AND(#REF!,"AAAAAB3nf6o=")</f>
        <v>#REF!</v>
      </c>
      <c r="FP559" t="e">
        <f>AND(#REF!,"AAAAAB3nf6s=")</f>
        <v>#REF!</v>
      </c>
      <c r="FQ559" t="e">
        <f>AND(#REF!,"AAAAAB3nf6w=")</f>
        <v>#REF!</v>
      </c>
      <c r="FR559" t="e">
        <f>AND(#REF!,"AAAAAB3nf60=")</f>
        <v>#REF!</v>
      </c>
      <c r="FS559" t="e">
        <f>AND(#REF!,"AAAAAB3nf64=")</f>
        <v>#REF!</v>
      </c>
      <c r="FT559" t="e">
        <f>AND(#REF!,"AAAAAB3nf68=")</f>
        <v>#REF!</v>
      </c>
      <c r="FU559" t="e">
        <f>AND(#REF!,"AAAAAB3nf7A=")</f>
        <v>#REF!</v>
      </c>
      <c r="FV559" t="e">
        <f>IF(#REF!,"AAAAAB3nf7E=",0)</f>
        <v>#REF!</v>
      </c>
      <c r="FW559" t="e">
        <f>AND(#REF!,"AAAAAB3nf7I=")</f>
        <v>#REF!</v>
      </c>
      <c r="FX559" t="e">
        <f>AND(#REF!,"AAAAAB3nf7M=")</f>
        <v>#REF!</v>
      </c>
      <c r="FY559" t="e">
        <f>AND(#REF!,"AAAAAB3nf7Q=")</f>
        <v>#REF!</v>
      </c>
      <c r="FZ559" t="e">
        <f>AND(#REF!,"AAAAAB3nf7U=")</f>
        <v>#REF!</v>
      </c>
      <c r="GA559" t="e">
        <f>AND(#REF!,"AAAAAB3nf7Y=")</f>
        <v>#REF!</v>
      </c>
      <c r="GB559" t="e">
        <f>AND(#REF!,"AAAAAB3nf7c=")</f>
        <v>#REF!</v>
      </c>
      <c r="GC559" t="e">
        <f>AND(#REF!,"AAAAAB3nf7g=")</f>
        <v>#REF!</v>
      </c>
      <c r="GD559" t="e">
        <f>AND(#REF!,"AAAAAB3nf7k=")</f>
        <v>#REF!</v>
      </c>
      <c r="GE559" t="e">
        <f>AND(#REF!,"AAAAAB3nf7o=")</f>
        <v>#REF!</v>
      </c>
      <c r="GF559" t="e">
        <f>AND(#REF!,"AAAAAB3nf7s=")</f>
        <v>#REF!</v>
      </c>
      <c r="GG559" t="e">
        <f>IF(#REF!,"AAAAAB3nf7w=",0)</f>
        <v>#REF!</v>
      </c>
      <c r="GH559" t="e">
        <f>AND(#REF!,"AAAAAB3nf70=")</f>
        <v>#REF!</v>
      </c>
      <c r="GI559" t="e">
        <f>AND(#REF!,"AAAAAB3nf74=")</f>
        <v>#REF!</v>
      </c>
      <c r="GJ559" t="e">
        <f>AND(#REF!,"AAAAAB3nf78=")</f>
        <v>#REF!</v>
      </c>
      <c r="GK559" t="e">
        <f>AND(#REF!,"AAAAAB3nf8A=")</f>
        <v>#REF!</v>
      </c>
      <c r="GL559" t="e">
        <f>AND(#REF!,"AAAAAB3nf8E=")</f>
        <v>#REF!</v>
      </c>
      <c r="GM559" t="e">
        <f>AND(#REF!,"AAAAAB3nf8I=")</f>
        <v>#REF!</v>
      </c>
      <c r="GN559" t="e">
        <f>AND(#REF!,"AAAAAB3nf8M=")</f>
        <v>#REF!</v>
      </c>
      <c r="GO559" t="e">
        <f>AND(#REF!,"AAAAAB3nf8Q=")</f>
        <v>#REF!</v>
      </c>
      <c r="GP559" t="e">
        <f>AND(#REF!,"AAAAAB3nf8U=")</f>
        <v>#REF!</v>
      </c>
      <c r="GQ559" t="e">
        <f>AND(#REF!,"AAAAAB3nf8Y=")</f>
        <v>#REF!</v>
      </c>
      <c r="GR559" t="e">
        <f>IF(#REF!,"AAAAAB3nf8c=",0)</f>
        <v>#REF!</v>
      </c>
      <c r="GS559" t="e">
        <f>AND(#REF!,"AAAAAB3nf8g=")</f>
        <v>#REF!</v>
      </c>
      <c r="GT559" t="e">
        <f>AND(#REF!,"AAAAAB3nf8k=")</f>
        <v>#REF!</v>
      </c>
      <c r="GU559" t="e">
        <f>AND(#REF!,"AAAAAB3nf8o=")</f>
        <v>#REF!</v>
      </c>
      <c r="GV559" t="e">
        <f>AND(#REF!,"AAAAAB3nf8s=")</f>
        <v>#REF!</v>
      </c>
      <c r="GW559" t="e">
        <f>AND(#REF!,"AAAAAB3nf8w=")</f>
        <v>#REF!</v>
      </c>
      <c r="GX559" t="e">
        <f>AND(#REF!,"AAAAAB3nf80=")</f>
        <v>#REF!</v>
      </c>
      <c r="GY559" t="e">
        <f>AND(#REF!,"AAAAAB3nf84=")</f>
        <v>#REF!</v>
      </c>
      <c r="GZ559" t="e">
        <f>AND(#REF!,"AAAAAB3nf88=")</f>
        <v>#REF!</v>
      </c>
      <c r="HA559" t="e">
        <f>AND(#REF!,"AAAAAB3nf9A=")</f>
        <v>#REF!</v>
      </c>
      <c r="HB559" t="e">
        <f>AND(#REF!,"AAAAAB3nf9E=")</f>
        <v>#REF!</v>
      </c>
      <c r="HC559" t="e">
        <f>IF(#REF!,"AAAAAB3nf9I=",0)</f>
        <v>#REF!</v>
      </c>
      <c r="HD559" t="e">
        <f>AND(#REF!,"AAAAAB3nf9M=")</f>
        <v>#REF!</v>
      </c>
      <c r="HE559" t="e">
        <f>AND(#REF!,"AAAAAB3nf9Q=")</f>
        <v>#REF!</v>
      </c>
      <c r="HF559" t="e">
        <f>AND(#REF!,"AAAAAB3nf9U=")</f>
        <v>#REF!</v>
      </c>
      <c r="HG559" t="e">
        <f>AND(#REF!,"AAAAAB3nf9Y=")</f>
        <v>#REF!</v>
      </c>
      <c r="HH559" t="e">
        <f>AND(#REF!,"AAAAAB3nf9c=")</f>
        <v>#REF!</v>
      </c>
      <c r="HI559" t="e">
        <f>AND(#REF!,"AAAAAB3nf9g=")</f>
        <v>#REF!</v>
      </c>
      <c r="HJ559" t="e">
        <f>AND(#REF!,"AAAAAB3nf9k=")</f>
        <v>#REF!</v>
      </c>
      <c r="HK559" t="e">
        <f>AND(#REF!,"AAAAAB3nf9o=")</f>
        <v>#REF!</v>
      </c>
      <c r="HL559" t="e">
        <f>AND(#REF!,"AAAAAB3nf9s=")</f>
        <v>#REF!</v>
      </c>
      <c r="HM559" t="e">
        <f>AND(#REF!,"AAAAAB3nf9w=")</f>
        <v>#REF!</v>
      </c>
      <c r="HN559" t="e">
        <f>IF(#REF!,"AAAAAB3nf90=",0)</f>
        <v>#REF!</v>
      </c>
      <c r="HO559" t="e">
        <f>AND(#REF!,"AAAAAB3nf94=")</f>
        <v>#REF!</v>
      </c>
      <c r="HP559" t="e">
        <f>AND(#REF!,"AAAAAB3nf98=")</f>
        <v>#REF!</v>
      </c>
      <c r="HQ559" t="e">
        <f>AND(#REF!,"AAAAAB3nf+A=")</f>
        <v>#REF!</v>
      </c>
      <c r="HR559" t="e">
        <f>AND(#REF!,"AAAAAB3nf+E=")</f>
        <v>#REF!</v>
      </c>
      <c r="HS559" t="e">
        <f>AND(#REF!,"AAAAAB3nf+I=")</f>
        <v>#REF!</v>
      </c>
      <c r="HT559" t="e">
        <f>AND(#REF!,"AAAAAB3nf+M=")</f>
        <v>#REF!</v>
      </c>
      <c r="HU559" t="e">
        <f>AND(#REF!,"AAAAAB3nf+Q=")</f>
        <v>#REF!</v>
      </c>
      <c r="HV559" t="e">
        <f>AND(#REF!,"AAAAAB3nf+U=")</f>
        <v>#REF!</v>
      </c>
      <c r="HW559" t="e">
        <f>AND(#REF!,"AAAAAB3nf+Y=")</f>
        <v>#REF!</v>
      </c>
      <c r="HX559" t="e">
        <f>AND(#REF!,"AAAAAB3nf+c=")</f>
        <v>#REF!</v>
      </c>
      <c r="HY559" t="e">
        <f>IF(#REF!,"AAAAAB3nf+g=",0)</f>
        <v>#REF!</v>
      </c>
      <c r="HZ559" t="e">
        <f>AND(#REF!,"AAAAAB3nf+k=")</f>
        <v>#REF!</v>
      </c>
      <c r="IA559" t="e">
        <f>AND(#REF!,"AAAAAB3nf+o=")</f>
        <v>#REF!</v>
      </c>
      <c r="IB559" t="e">
        <f>AND(#REF!,"AAAAAB3nf+s=")</f>
        <v>#REF!</v>
      </c>
      <c r="IC559" t="e">
        <f>AND(#REF!,"AAAAAB3nf+w=")</f>
        <v>#REF!</v>
      </c>
      <c r="ID559" t="e">
        <f>AND(#REF!,"AAAAAB3nf+0=")</f>
        <v>#REF!</v>
      </c>
      <c r="IE559" t="e">
        <f>AND(#REF!,"AAAAAB3nf+4=")</f>
        <v>#REF!</v>
      </c>
      <c r="IF559" t="e">
        <f>AND(#REF!,"AAAAAB3nf+8=")</f>
        <v>#REF!</v>
      </c>
      <c r="IG559" t="e">
        <f>AND(#REF!,"AAAAAB3nf/A=")</f>
        <v>#REF!</v>
      </c>
      <c r="IH559" t="e">
        <f>AND(#REF!,"AAAAAB3nf/E=")</f>
        <v>#REF!</v>
      </c>
      <c r="II559" t="e">
        <f>AND(#REF!,"AAAAAB3nf/I=")</f>
        <v>#REF!</v>
      </c>
      <c r="IJ559" t="e">
        <f>IF(#REF!,"AAAAAB3nf/M=",0)</f>
        <v>#REF!</v>
      </c>
      <c r="IK559" t="e">
        <f>AND(#REF!,"AAAAAB3nf/Q=")</f>
        <v>#REF!</v>
      </c>
      <c r="IL559" t="e">
        <f>AND(#REF!,"AAAAAB3nf/U=")</f>
        <v>#REF!</v>
      </c>
      <c r="IM559" t="e">
        <f>AND(#REF!,"AAAAAB3nf/Y=")</f>
        <v>#REF!</v>
      </c>
      <c r="IN559" t="e">
        <f>AND(#REF!,"AAAAAB3nf/c=")</f>
        <v>#REF!</v>
      </c>
      <c r="IO559" t="e">
        <f>AND(#REF!,"AAAAAB3nf/g=")</f>
        <v>#REF!</v>
      </c>
      <c r="IP559" t="e">
        <f>AND(#REF!,"AAAAAB3nf/k=")</f>
        <v>#REF!</v>
      </c>
      <c r="IQ559" t="e">
        <f>AND(#REF!,"AAAAAB3nf/o=")</f>
        <v>#REF!</v>
      </c>
      <c r="IR559" t="e">
        <f>AND(#REF!,"AAAAAB3nf/s=")</f>
        <v>#REF!</v>
      </c>
      <c r="IS559" t="e">
        <f>AND(#REF!,"AAAAAB3nf/w=")</f>
        <v>#REF!</v>
      </c>
      <c r="IT559" t="e">
        <f>AND(#REF!,"AAAAAB3nf/0=")</f>
        <v>#REF!</v>
      </c>
      <c r="IU559" t="e">
        <f>IF(#REF!,"AAAAAB3nf/4=",0)</f>
        <v>#REF!</v>
      </c>
      <c r="IV559" t="e">
        <f>AND(#REF!,"AAAAAB3nf/8=")</f>
        <v>#REF!</v>
      </c>
    </row>
    <row r="560" spans="1:256" x14ac:dyDescent="0.25">
      <c r="A560" t="e">
        <f>AND(#REF!,"AAAAAH6//wA=")</f>
        <v>#REF!</v>
      </c>
      <c r="B560" t="e">
        <f>AND(#REF!,"AAAAAH6//wE=")</f>
        <v>#REF!</v>
      </c>
      <c r="C560" t="e">
        <f>AND(#REF!,"AAAAAH6//wI=")</f>
        <v>#REF!</v>
      </c>
      <c r="D560" t="e">
        <f>AND(#REF!,"AAAAAH6//wM=")</f>
        <v>#REF!</v>
      </c>
      <c r="E560" t="e">
        <f>AND(#REF!,"AAAAAH6//wQ=")</f>
        <v>#REF!</v>
      </c>
      <c r="F560" t="e">
        <f>AND(#REF!,"AAAAAH6//wU=")</f>
        <v>#REF!</v>
      </c>
      <c r="G560" t="e">
        <f>AND(#REF!,"AAAAAH6//wY=")</f>
        <v>#REF!</v>
      </c>
      <c r="H560" t="e">
        <f>AND(#REF!,"AAAAAH6//wc=")</f>
        <v>#REF!</v>
      </c>
      <c r="I560" t="e">
        <f>AND(#REF!,"AAAAAH6//wg=")</f>
        <v>#REF!</v>
      </c>
      <c r="J560" t="e">
        <f>IF(#REF!,"AAAAAH6//wk=",0)</f>
        <v>#REF!</v>
      </c>
      <c r="K560" t="e">
        <f>AND(#REF!,"AAAAAH6//wo=")</f>
        <v>#REF!</v>
      </c>
      <c r="L560" t="e">
        <f>AND(#REF!,"AAAAAH6//ws=")</f>
        <v>#REF!</v>
      </c>
      <c r="M560" t="e">
        <f>AND(#REF!,"AAAAAH6//ww=")</f>
        <v>#REF!</v>
      </c>
      <c r="N560" t="e">
        <f>AND(#REF!,"AAAAAH6//w0=")</f>
        <v>#REF!</v>
      </c>
      <c r="O560" t="e">
        <f>AND(#REF!,"AAAAAH6//w4=")</f>
        <v>#REF!</v>
      </c>
      <c r="P560" t="e">
        <f>AND(#REF!,"AAAAAH6//w8=")</f>
        <v>#REF!</v>
      </c>
      <c r="Q560" t="e">
        <f>AND(#REF!,"AAAAAH6//xA=")</f>
        <v>#REF!</v>
      </c>
      <c r="R560" t="e">
        <f>AND(#REF!,"AAAAAH6//xE=")</f>
        <v>#REF!</v>
      </c>
      <c r="S560" t="e">
        <f>AND(#REF!,"AAAAAH6//xI=")</f>
        <v>#REF!</v>
      </c>
      <c r="T560" t="e">
        <f>AND(#REF!,"AAAAAH6//xM=")</f>
        <v>#REF!</v>
      </c>
      <c r="U560" t="e">
        <f>IF(#REF!,"AAAAAH6//xQ=",0)</f>
        <v>#REF!</v>
      </c>
      <c r="V560" t="e">
        <f>AND(#REF!,"AAAAAH6//xU=")</f>
        <v>#REF!</v>
      </c>
      <c r="W560" t="e">
        <f>AND(#REF!,"AAAAAH6//xY=")</f>
        <v>#REF!</v>
      </c>
      <c r="X560" t="e">
        <f>AND(#REF!,"AAAAAH6//xc=")</f>
        <v>#REF!</v>
      </c>
      <c r="Y560" t="e">
        <f>AND(#REF!,"AAAAAH6//xg=")</f>
        <v>#REF!</v>
      </c>
      <c r="Z560" t="e">
        <f>AND(#REF!,"AAAAAH6//xk=")</f>
        <v>#REF!</v>
      </c>
      <c r="AA560" t="e">
        <f>AND(#REF!,"AAAAAH6//xo=")</f>
        <v>#REF!</v>
      </c>
      <c r="AB560" t="e">
        <f>AND(#REF!,"AAAAAH6//xs=")</f>
        <v>#REF!</v>
      </c>
      <c r="AC560" t="e">
        <f>AND(#REF!,"AAAAAH6//xw=")</f>
        <v>#REF!</v>
      </c>
      <c r="AD560" t="e">
        <f>AND(#REF!,"AAAAAH6//x0=")</f>
        <v>#REF!</v>
      </c>
      <c r="AE560" t="e">
        <f>AND(#REF!,"AAAAAH6//x4=")</f>
        <v>#REF!</v>
      </c>
      <c r="AF560" t="e">
        <f>IF(#REF!,"AAAAAH6//x8=",0)</f>
        <v>#REF!</v>
      </c>
      <c r="AG560" t="e">
        <f>AND(#REF!,"AAAAAH6//yA=")</f>
        <v>#REF!</v>
      </c>
      <c r="AH560" t="e">
        <f>AND(#REF!,"AAAAAH6//yE=")</f>
        <v>#REF!</v>
      </c>
      <c r="AI560" t="e">
        <f>AND(#REF!,"AAAAAH6//yI=")</f>
        <v>#REF!</v>
      </c>
      <c r="AJ560" t="e">
        <f>AND(#REF!,"AAAAAH6//yM=")</f>
        <v>#REF!</v>
      </c>
      <c r="AK560" t="e">
        <f>AND(#REF!,"AAAAAH6//yQ=")</f>
        <v>#REF!</v>
      </c>
      <c r="AL560" t="e">
        <f>AND(#REF!,"AAAAAH6//yU=")</f>
        <v>#REF!</v>
      </c>
      <c r="AM560" t="e">
        <f>AND(#REF!,"AAAAAH6//yY=")</f>
        <v>#REF!</v>
      </c>
      <c r="AN560" t="e">
        <f>AND(#REF!,"AAAAAH6//yc=")</f>
        <v>#REF!</v>
      </c>
      <c r="AO560" t="e">
        <f>AND(#REF!,"AAAAAH6//yg=")</f>
        <v>#REF!</v>
      </c>
      <c r="AP560" t="e">
        <f>AND(#REF!,"AAAAAH6//yk=")</f>
        <v>#REF!</v>
      </c>
      <c r="AQ560" t="e">
        <f>IF(#REF!,"AAAAAH6//yo=",0)</f>
        <v>#REF!</v>
      </c>
      <c r="AR560" t="e">
        <f>AND(#REF!,"AAAAAH6//ys=")</f>
        <v>#REF!</v>
      </c>
      <c r="AS560" t="e">
        <f>AND(#REF!,"AAAAAH6//yw=")</f>
        <v>#REF!</v>
      </c>
      <c r="AT560" t="e">
        <f>AND(#REF!,"AAAAAH6//y0=")</f>
        <v>#REF!</v>
      </c>
      <c r="AU560" t="e">
        <f>AND(#REF!,"AAAAAH6//y4=")</f>
        <v>#REF!</v>
      </c>
      <c r="AV560" t="e">
        <f>AND(#REF!,"AAAAAH6//y8=")</f>
        <v>#REF!</v>
      </c>
      <c r="AW560" t="e">
        <f>AND(#REF!,"AAAAAH6//zA=")</f>
        <v>#REF!</v>
      </c>
      <c r="AX560" t="e">
        <f>AND(#REF!,"AAAAAH6//zE=")</f>
        <v>#REF!</v>
      </c>
      <c r="AY560" t="e">
        <f>AND(#REF!,"AAAAAH6//zI=")</f>
        <v>#REF!</v>
      </c>
      <c r="AZ560" t="e">
        <f>AND(#REF!,"AAAAAH6//zM=")</f>
        <v>#REF!</v>
      </c>
      <c r="BA560" t="e">
        <f>AND(#REF!,"AAAAAH6//zQ=")</f>
        <v>#REF!</v>
      </c>
      <c r="BB560" t="e">
        <f>IF(#REF!,"AAAAAH6//zU=",0)</f>
        <v>#REF!</v>
      </c>
      <c r="BC560" t="e">
        <f>AND(#REF!,"AAAAAH6//zY=")</f>
        <v>#REF!</v>
      </c>
      <c r="BD560" t="e">
        <f>AND(#REF!,"AAAAAH6//zc=")</f>
        <v>#REF!</v>
      </c>
      <c r="BE560" t="e">
        <f>AND(#REF!,"AAAAAH6//zg=")</f>
        <v>#REF!</v>
      </c>
      <c r="BF560" t="e">
        <f>AND(#REF!,"AAAAAH6//zk=")</f>
        <v>#REF!</v>
      </c>
      <c r="BG560" t="e">
        <f>AND(#REF!,"AAAAAH6//zo=")</f>
        <v>#REF!</v>
      </c>
      <c r="BH560" t="e">
        <f>AND(#REF!,"AAAAAH6//zs=")</f>
        <v>#REF!</v>
      </c>
      <c r="BI560" t="e">
        <f>AND(#REF!,"AAAAAH6//zw=")</f>
        <v>#REF!</v>
      </c>
      <c r="BJ560" t="e">
        <f>AND(#REF!,"AAAAAH6//z0=")</f>
        <v>#REF!</v>
      </c>
      <c r="BK560" t="e">
        <f>AND(#REF!,"AAAAAH6//z4=")</f>
        <v>#REF!</v>
      </c>
      <c r="BL560" t="e">
        <f>AND(#REF!,"AAAAAH6//z8=")</f>
        <v>#REF!</v>
      </c>
      <c r="BM560" t="e">
        <f>IF(#REF!,"AAAAAH6//0A=",0)</f>
        <v>#REF!</v>
      </c>
      <c r="BN560" t="e">
        <f>AND(#REF!,"AAAAAH6//0E=")</f>
        <v>#REF!</v>
      </c>
      <c r="BO560" t="e">
        <f>AND(#REF!,"AAAAAH6//0I=")</f>
        <v>#REF!</v>
      </c>
      <c r="BP560" t="e">
        <f>AND(#REF!,"AAAAAH6//0M=")</f>
        <v>#REF!</v>
      </c>
      <c r="BQ560" t="e">
        <f>AND(#REF!,"AAAAAH6//0Q=")</f>
        <v>#REF!</v>
      </c>
      <c r="BR560" t="e">
        <f>AND(#REF!,"AAAAAH6//0U=")</f>
        <v>#REF!</v>
      </c>
      <c r="BS560" t="e">
        <f>AND(#REF!,"AAAAAH6//0Y=")</f>
        <v>#REF!</v>
      </c>
      <c r="BT560" t="e">
        <f>AND(#REF!,"AAAAAH6//0c=")</f>
        <v>#REF!</v>
      </c>
      <c r="BU560" t="e">
        <f>AND(#REF!,"AAAAAH6//0g=")</f>
        <v>#REF!</v>
      </c>
      <c r="BV560" t="e">
        <f>AND(#REF!,"AAAAAH6//0k=")</f>
        <v>#REF!</v>
      </c>
      <c r="BW560" t="e">
        <f>AND(#REF!,"AAAAAH6//0o=")</f>
        <v>#REF!</v>
      </c>
      <c r="BX560" t="e">
        <f>IF(#REF!,"AAAAAH6//0s=",0)</f>
        <v>#REF!</v>
      </c>
      <c r="BY560" t="e">
        <f>AND(#REF!,"AAAAAH6//0w=")</f>
        <v>#REF!</v>
      </c>
      <c r="BZ560" t="e">
        <f>AND(#REF!,"AAAAAH6//00=")</f>
        <v>#REF!</v>
      </c>
      <c r="CA560" t="e">
        <f>AND(#REF!,"AAAAAH6//04=")</f>
        <v>#REF!</v>
      </c>
      <c r="CB560" t="e">
        <f>AND(#REF!,"AAAAAH6//08=")</f>
        <v>#REF!</v>
      </c>
      <c r="CC560" t="e">
        <f>AND(#REF!,"AAAAAH6//1A=")</f>
        <v>#REF!</v>
      </c>
      <c r="CD560" t="e">
        <f>AND(#REF!,"AAAAAH6//1E=")</f>
        <v>#REF!</v>
      </c>
      <c r="CE560" t="e">
        <f>AND(#REF!,"AAAAAH6//1I=")</f>
        <v>#REF!</v>
      </c>
      <c r="CF560" t="e">
        <f>AND(#REF!,"AAAAAH6//1M=")</f>
        <v>#REF!</v>
      </c>
      <c r="CG560" t="e">
        <f>AND(#REF!,"AAAAAH6//1Q=")</f>
        <v>#REF!</v>
      </c>
      <c r="CH560" t="e">
        <f>AND(#REF!,"AAAAAH6//1U=")</f>
        <v>#REF!</v>
      </c>
      <c r="CI560" t="e">
        <f>IF(#REF!,"AAAAAH6//1Y=",0)</f>
        <v>#REF!</v>
      </c>
      <c r="CJ560" t="e">
        <f>AND(#REF!,"AAAAAH6//1c=")</f>
        <v>#REF!</v>
      </c>
      <c r="CK560" t="e">
        <f>AND(#REF!,"AAAAAH6//1g=")</f>
        <v>#REF!</v>
      </c>
      <c r="CL560" t="e">
        <f>AND(#REF!,"AAAAAH6//1k=")</f>
        <v>#REF!</v>
      </c>
      <c r="CM560" t="e">
        <f>AND(#REF!,"AAAAAH6//1o=")</f>
        <v>#REF!</v>
      </c>
      <c r="CN560" t="e">
        <f>AND(#REF!,"AAAAAH6//1s=")</f>
        <v>#REF!</v>
      </c>
      <c r="CO560" t="e">
        <f>AND(#REF!,"AAAAAH6//1w=")</f>
        <v>#REF!</v>
      </c>
      <c r="CP560" t="e">
        <f>AND(#REF!,"AAAAAH6//10=")</f>
        <v>#REF!</v>
      </c>
      <c r="CQ560" t="e">
        <f>AND(#REF!,"AAAAAH6//14=")</f>
        <v>#REF!</v>
      </c>
      <c r="CR560" t="e">
        <f>AND(#REF!,"AAAAAH6//18=")</f>
        <v>#REF!</v>
      </c>
      <c r="CS560" t="e">
        <f>AND(#REF!,"AAAAAH6//2A=")</f>
        <v>#REF!</v>
      </c>
      <c r="CT560" t="e">
        <f>IF(#REF!,"AAAAAH6//2E=",0)</f>
        <v>#REF!</v>
      </c>
      <c r="CU560" t="e">
        <f>AND(#REF!,"AAAAAH6//2I=")</f>
        <v>#REF!</v>
      </c>
      <c r="CV560" t="e">
        <f>AND(#REF!,"AAAAAH6//2M=")</f>
        <v>#REF!</v>
      </c>
      <c r="CW560" t="e">
        <f>AND(#REF!,"AAAAAH6//2Q=")</f>
        <v>#REF!</v>
      </c>
      <c r="CX560" t="e">
        <f>AND(#REF!,"AAAAAH6//2U=")</f>
        <v>#REF!</v>
      </c>
      <c r="CY560" t="e">
        <f>AND(#REF!,"AAAAAH6//2Y=")</f>
        <v>#REF!</v>
      </c>
      <c r="CZ560" t="e">
        <f>AND(#REF!,"AAAAAH6//2c=")</f>
        <v>#REF!</v>
      </c>
      <c r="DA560" t="e">
        <f>AND(#REF!,"AAAAAH6//2g=")</f>
        <v>#REF!</v>
      </c>
      <c r="DB560" t="e">
        <f>AND(#REF!,"AAAAAH6//2k=")</f>
        <v>#REF!</v>
      </c>
      <c r="DC560" t="e">
        <f>AND(#REF!,"AAAAAH6//2o=")</f>
        <v>#REF!</v>
      </c>
      <c r="DD560" t="e">
        <f>AND(#REF!,"AAAAAH6//2s=")</f>
        <v>#REF!</v>
      </c>
      <c r="DE560" t="e">
        <f>IF(#REF!,"AAAAAH6//2w=",0)</f>
        <v>#REF!</v>
      </c>
      <c r="DF560" t="e">
        <f>AND(#REF!,"AAAAAH6//20=")</f>
        <v>#REF!</v>
      </c>
      <c r="DG560" t="e">
        <f>AND(#REF!,"AAAAAH6//24=")</f>
        <v>#REF!</v>
      </c>
      <c r="DH560" t="e">
        <f>AND(#REF!,"AAAAAH6//28=")</f>
        <v>#REF!</v>
      </c>
      <c r="DI560" t="e">
        <f>AND(#REF!,"AAAAAH6//3A=")</f>
        <v>#REF!</v>
      </c>
      <c r="DJ560" t="e">
        <f>AND(#REF!,"AAAAAH6//3E=")</f>
        <v>#REF!</v>
      </c>
      <c r="DK560" t="e">
        <f>AND(#REF!,"AAAAAH6//3I=")</f>
        <v>#REF!</v>
      </c>
      <c r="DL560" t="e">
        <f>AND(#REF!,"AAAAAH6//3M=")</f>
        <v>#REF!</v>
      </c>
      <c r="DM560" t="e">
        <f>AND(#REF!,"AAAAAH6//3Q=")</f>
        <v>#REF!</v>
      </c>
      <c r="DN560" t="e">
        <f>AND(#REF!,"AAAAAH6//3U=")</f>
        <v>#REF!</v>
      </c>
      <c r="DO560" t="e">
        <f>AND(#REF!,"AAAAAH6//3Y=")</f>
        <v>#REF!</v>
      </c>
      <c r="DP560" t="e">
        <f>IF(#REF!,"AAAAAH6//3c=",0)</f>
        <v>#REF!</v>
      </c>
      <c r="DQ560" t="e">
        <f>AND(#REF!,"AAAAAH6//3g=")</f>
        <v>#REF!</v>
      </c>
      <c r="DR560" t="e">
        <f>AND(#REF!,"AAAAAH6//3k=")</f>
        <v>#REF!</v>
      </c>
      <c r="DS560" t="e">
        <f>AND(#REF!,"AAAAAH6//3o=")</f>
        <v>#REF!</v>
      </c>
      <c r="DT560" t="e">
        <f>AND(#REF!,"AAAAAH6//3s=")</f>
        <v>#REF!</v>
      </c>
      <c r="DU560" t="e">
        <f>AND(#REF!,"AAAAAH6//3w=")</f>
        <v>#REF!</v>
      </c>
      <c r="DV560" t="e">
        <f>AND(#REF!,"AAAAAH6//30=")</f>
        <v>#REF!</v>
      </c>
      <c r="DW560" t="e">
        <f>AND(#REF!,"AAAAAH6//34=")</f>
        <v>#REF!</v>
      </c>
      <c r="DX560" t="e">
        <f>AND(#REF!,"AAAAAH6//38=")</f>
        <v>#REF!</v>
      </c>
      <c r="DY560" t="e">
        <f>AND(#REF!,"AAAAAH6//4A=")</f>
        <v>#REF!</v>
      </c>
      <c r="DZ560" t="e">
        <f>AND(#REF!,"AAAAAH6//4E=")</f>
        <v>#REF!</v>
      </c>
      <c r="EA560" t="e">
        <f>IF(#REF!,"AAAAAH6//4I=",0)</f>
        <v>#REF!</v>
      </c>
      <c r="EB560" t="e">
        <f>AND(#REF!,"AAAAAH6//4M=")</f>
        <v>#REF!</v>
      </c>
      <c r="EC560" t="e">
        <f>AND(#REF!,"AAAAAH6//4Q=")</f>
        <v>#REF!</v>
      </c>
      <c r="ED560" t="e">
        <f>AND(#REF!,"AAAAAH6//4U=")</f>
        <v>#REF!</v>
      </c>
      <c r="EE560" t="e">
        <f>AND(#REF!,"AAAAAH6//4Y=")</f>
        <v>#REF!</v>
      </c>
      <c r="EF560" t="e">
        <f>AND(#REF!,"AAAAAH6//4c=")</f>
        <v>#REF!</v>
      </c>
      <c r="EG560" t="e">
        <f>AND(#REF!,"AAAAAH6//4g=")</f>
        <v>#REF!</v>
      </c>
      <c r="EH560" t="e">
        <f>AND(#REF!,"AAAAAH6//4k=")</f>
        <v>#REF!</v>
      </c>
      <c r="EI560" t="e">
        <f>AND(#REF!,"AAAAAH6//4o=")</f>
        <v>#REF!</v>
      </c>
      <c r="EJ560" t="e">
        <f>AND(#REF!,"AAAAAH6//4s=")</f>
        <v>#REF!</v>
      </c>
      <c r="EK560" t="e">
        <f>AND(#REF!,"AAAAAH6//4w=")</f>
        <v>#REF!</v>
      </c>
      <c r="EL560" t="e">
        <f>IF(#REF!,"AAAAAH6//40=",0)</f>
        <v>#REF!</v>
      </c>
      <c r="EM560" t="e">
        <f>AND(#REF!,"AAAAAH6//44=")</f>
        <v>#REF!</v>
      </c>
      <c r="EN560" t="e">
        <f>AND(#REF!,"AAAAAH6//48=")</f>
        <v>#REF!</v>
      </c>
      <c r="EO560" t="e">
        <f>AND(#REF!,"AAAAAH6//5A=")</f>
        <v>#REF!</v>
      </c>
      <c r="EP560" t="e">
        <f>AND(#REF!,"AAAAAH6//5E=")</f>
        <v>#REF!</v>
      </c>
      <c r="EQ560" t="e">
        <f>AND(#REF!,"AAAAAH6//5I=")</f>
        <v>#REF!</v>
      </c>
      <c r="ER560" t="e">
        <f>AND(#REF!,"AAAAAH6//5M=")</f>
        <v>#REF!</v>
      </c>
      <c r="ES560" t="e">
        <f>AND(#REF!,"AAAAAH6//5Q=")</f>
        <v>#REF!</v>
      </c>
      <c r="ET560" t="e">
        <f>AND(#REF!,"AAAAAH6//5U=")</f>
        <v>#REF!</v>
      </c>
      <c r="EU560" t="e">
        <f>AND(#REF!,"AAAAAH6//5Y=")</f>
        <v>#REF!</v>
      </c>
      <c r="EV560" t="e">
        <f>AND(#REF!,"AAAAAH6//5c=")</f>
        <v>#REF!</v>
      </c>
      <c r="EW560" t="e">
        <f>IF(#REF!,"AAAAAH6//5g=",0)</f>
        <v>#REF!</v>
      </c>
      <c r="EX560" t="e">
        <f>AND(#REF!,"AAAAAH6//5k=")</f>
        <v>#REF!</v>
      </c>
      <c r="EY560" t="e">
        <f>AND(#REF!,"AAAAAH6//5o=")</f>
        <v>#REF!</v>
      </c>
      <c r="EZ560" t="e">
        <f>AND(#REF!,"AAAAAH6//5s=")</f>
        <v>#REF!</v>
      </c>
      <c r="FA560" t="e">
        <f>AND(#REF!,"AAAAAH6//5w=")</f>
        <v>#REF!</v>
      </c>
      <c r="FB560" t="e">
        <f>AND(#REF!,"AAAAAH6//50=")</f>
        <v>#REF!</v>
      </c>
      <c r="FC560" t="e">
        <f>AND(#REF!,"AAAAAH6//54=")</f>
        <v>#REF!</v>
      </c>
      <c r="FD560" t="e">
        <f>AND(#REF!,"AAAAAH6//58=")</f>
        <v>#REF!</v>
      </c>
      <c r="FE560" t="e">
        <f>AND(#REF!,"AAAAAH6//6A=")</f>
        <v>#REF!</v>
      </c>
      <c r="FF560" t="e">
        <f>AND(#REF!,"AAAAAH6//6E=")</f>
        <v>#REF!</v>
      </c>
      <c r="FG560" t="e">
        <f>AND(#REF!,"AAAAAH6//6I=")</f>
        <v>#REF!</v>
      </c>
      <c r="FH560" t="e">
        <f>IF(#REF!,"AAAAAH6//6M=",0)</f>
        <v>#REF!</v>
      </c>
      <c r="FI560" t="e">
        <f>AND(#REF!,"AAAAAH6//6Q=")</f>
        <v>#REF!</v>
      </c>
      <c r="FJ560" t="e">
        <f>AND(#REF!,"AAAAAH6//6U=")</f>
        <v>#REF!</v>
      </c>
      <c r="FK560" t="e">
        <f>AND(#REF!,"AAAAAH6//6Y=")</f>
        <v>#REF!</v>
      </c>
      <c r="FL560" t="e">
        <f>AND(#REF!,"AAAAAH6//6c=")</f>
        <v>#REF!</v>
      </c>
      <c r="FM560" t="e">
        <f>AND(#REF!,"AAAAAH6//6g=")</f>
        <v>#REF!</v>
      </c>
      <c r="FN560" t="e">
        <f>AND(#REF!,"AAAAAH6//6k=")</f>
        <v>#REF!</v>
      </c>
      <c r="FO560" t="e">
        <f>AND(#REF!,"AAAAAH6//6o=")</f>
        <v>#REF!</v>
      </c>
      <c r="FP560" t="e">
        <f>AND(#REF!,"AAAAAH6//6s=")</f>
        <v>#REF!</v>
      </c>
      <c r="FQ560" t="e">
        <f>AND(#REF!,"AAAAAH6//6w=")</f>
        <v>#REF!</v>
      </c>
      <c r="FR560" t="e">
        <f>AND(#REF!,"AAAAAH6//60=")</f>
        <v>#REF!</v>
      </c>
      <c r="FS560" t="e">
        <f>IF(#REF!,"AAAAAH6//64=",0)</f>
        <v>#REF!</v>
      </c>
      <c r="FT560" t="e">
        <f>AND(#REF!,"AAAAAH6//68=")</f>
        <v>#REF!</v>
      </c>
      <c r="FU560" t="e">
        <f>AND(#REF!,"AAAAAH6//7A=")</f>
        <v>#REF!</v>
      </c>
      <c r="FV560" t="e">
        <f>AND(#REF!,"AAAAAH6//7E=")</f>
        <v>#REF!</v>
      </c>
      <c r="FW560" t="e">
        <f>AND(#REF!,"AAAAAH6//7I=")</f>
        <v>#REF!</v>
      </c>
      <c r="FX560" t="e">
        <f>AND(#REF!,"AAAAAH6//7M=")</f>
        <v>#REF!</v>
      </c>
      <c r="FY560" t="e">
        <f>AND(#REF!,"AAAAAH6//7Q=")</f>
        <v>#REF!</v>
      </c>
      <c r="FZ560" t="e">
        <f>AND(#REF!,"AAAAAH6//7U=")</f>
        <v>#REF!</v>
      </c>
      <c r="GA560" t="e">
        <f>AND(#REF!,"AAAAAH6//7Y=")</f>
        <v>#REF!</v>
      </c>
      <c r="GB560" t="e">
        <f>AND(#REF!,"AAAAAH6//7c=")</f>
        <v>#REF!</v>
      </c>
      <c r="GC560" t="e">
        <f>AND(#REF!,"AAAAAH6//7g=")</f>
        <v>#REF!</v>
      </c>
      <c r="GD560" t="e">
        <f>IF(#REF!,"AAAAAH6//7k=",0)</f>
        <v>#REF!</v>
      </c>
      <c r="GE560" t="e">
        <f>AND(#REF!,"AAAAAH6//7o=")</f>
        <v>#REF!</v>
      </c>
      <c r="GF560" t="e">
        <f>AND(#REF!,"AAAAAH6//7s=")</f>
        <v>#REF!</v>
      </c>
      <c r="GG560" t="e">
        <f>AND(#REF!,"AAAAAH6//7w=")</f>
        <v>#REF!</v>
      </c>
      <c r="GH560" t="e">
        <f>AND(#REF!,"AAAAAH6//70=")</f>
        <v>#REF!</v>
      </c>
      <c r="GI560" t="e">
        <f>AND(#REF!,"AAAAAH6//74=")</f>
        <v>#REF!</v>
      </c>
      <c r="GJ560" t="e">
        <f>AND(#REF!,"AAAAAH6//78=")</f>
        <v>#REF!</v>
      </c>
      <c r="GK560" t="e">
        <f>AND(#REF!,"AAAAAH6//8A=")</f>
        <v>#REF!</v>
      </c>
      <c r="GL560" t="e">
        <f>AND(#REF!,"AAAAAH6//8E=")</f>
        <v>#REF!</v>
      </c>
      <c r="GM560" t="e">
        <f>AND(#REF!,"AAAAAH6//8I=")</f>
        <v>#REF!</v>
      </c>
      <c r="GN560" t="e">
        <f>AND(#REF!,"AAAAAH6//8M=")</f>
        <v>#REF!</v>
      </c>
      <c r="GO560" t="e">
        <f>IF(#REF!,"AAAAAH6//8Q=",0)</f>
        <v>#REF!</v>
      </c>
      <c r="GP560" t="e">
        <f>AND(#REF!,"AAAAAH6//8U=")</f>
        <v>#REF!</v>
      </c>
      <c r="GQ560" t="e">
        <f>AND(#REF!,"AAAAAH6//8Y=")</f>
        <v>#REF!</v>
      </c>
      <c r="GR560" t="e">
        <f>AND(#REF!,"AAAAAH6//8c=")</f>
        <v>#REF!</v>
      </c>
      <c r="GS560" t="e">
        <f>AND(#REF!,"AAAAAH6//8g=")</f>
        <v>#REF!</v>
      </c>
      <c r="GT560" t="e">
        <f>AND(#REF!,"AAAAAH6//8k=")</f>
        <v>#REF!</v>
      </c>
      <c r="GU560" t="e">
        <f>AND(#REF!,"AAAAAH6//8o=")</f>
        <v>#REF!</v>
      </c>
      <c r="GV560" t="e">
        <f>AND(#REF!,"AAAAAH6//8s=")</f>
        <v>#REF!</v>
      </c>
      <c r="GW560" t="e">
        <f>AND(#REF!,"AAAAAH6//8w=")</f>
        <v>#REF!</v>
      </c>
      <c r="GX560" t="e">
        <f>AND(#REF!,"AAAAAH6//80=")</f>
        <v>#REF!</v>
      </c>
      <c r="GY560" t="e">
        <f>AND(#REF!,"AAAAAH6//84=")</f>
        <v>#REF!</v>
      </c>
      <c r="GZ560" t="e">
        <f>IF(#REF!,"AAAAAH6//88=",0)</f>
        <v>#REF!</v>
      </c>
      <c r="HA560" t="e">
        <f>AND(#REF!,"AAAAAH6//9A=")</f>
        <v>#REF!</v>
      </c>
      <c r="HB560" t="e">
        <f>AND(#REF!,"AAAAAH6//9E=")</f>
        <v>#REF!</v>
      </c>
      <c r="HC560" t="e">
        <f>AND(#REF!,"AAAAAH6//9I=")</f>
        <v>#REF!</v>
      </c>
      <c r="HD560" t="e">
        <f>AND(#REF!,"AAAAAH6//9M=")</f>
        <v>#REF!</v>
      </c>
      <c r="HE560" t="e">
        <f>AND(#REF!,"AAAAAH6//9Q=")</f>
        <v>#REF!</v>
      </c>
      <c r="HF560" t="e">
        <f>AND(#REF!,"AAAAAH6//9U=")</f>
        <v>#REF!</v>
      </c>
      <c r="HG560" t="e">
        <f>AND(#REF!,"AAAAAH6//9Y=")</f>
        <v>#REF!</v>
      </c>
      <c r="HH560" t="e">
        <f>AND(#REF!,"AAAAAH6//9c=")</f>
        <v>#REF!</v>
      </c>
      <c r="HI560" t="e">
        <f>AND(#REF!,"AAAAAH6//9g=")</f>
        <v>#REF!</v>
      </c>
      <c r="HJ560" t="e">
        <f>AND(#REF!,"AAAAAH6//9k=")</f>
        <v>#REF!</v>
      </c>
      <c r="HK560" t="e">
        <f>IF(#REF!,"AAAAAH6//9o=",0)</f>
        <v>#REF!</v>
      </c>
      <c r="HL560" t="e">
        <f>AND(#REF!,"AAAAAH6//9s=")</f>
        <v>#REF!</v>
      </c>
      <c r="HM560" t="e">
        <f>AND(#REF!,"AAAAAH6//9w=")</f>
        <v>#REF!</v>
      </c>
      <c r="HN560" t="e">
        <f>AND(#REF!,"AAAAAH6//90=")</f>
        <v>#REF!</v>
      </c>
      <c r="HO560" t="e">
        <f>AND(#REF!,"AAAAAH6//94=")</f>
        <v>#REF!</v>
      </c>
      <c r="HP560" t="e">
        <f>AND(#REF!,"AAAAAH6//98=")</f>
        <v>#REF!</v>
      </c>
      <c r="HQ560" t="e">
        <f>AND(#REF!,"AAAAAH6//+A=")</f>
        <v>#REF!</v>
      </c>
      <c r="HR560" t="e">
        <f>AND(#REF!,"AAAAAH6//+E=")</f>
        <v>#REF!</v>
      </c>
      <c r="HS560" t="e">
        <f>AND(#REF!,"AAAAAH6//+I=")</f>
        <v>#REF!</v>
      </c>
      <c r="HT560" t="e">
        <f>AND(#REF!,"AAAAAH6//+M=")</f>
        <v>#REF!</v>
      </c>
      <c r="HU560" t="e">
        <f>AND(#REF!,"AAAAAH6//+Q=")</f>
        <v>#REF!</v>
      </c>
      <c r="HV560" t="e">
        <f>IF(#REF!,"AAAAAH6//+U=",0)</f>
        <v>#REF!</v>
      </c>
      <c r="HW560" t="e">
        <f>AND(#REF!,"AAAAAH6//+Y=")</f>
        <v>#REF!</v>
      </c>
      <c r="HX560" t="e">
        <f>AND(#REF!,"AAAAAH6//+c=")</f>
        <v>#REF!</v>
      </c>
      <c r="HY560" t="e">
        <f>AND(#REF!,"AAAAAH6//+g=")</f>
        <v>#REF!</v>
      </c>
      <c r="HZ560" t="e">
        <f>AND(#REF!,"AAAAAH6//+k=")</f>
        <v>#REF!</v>
      </c>
      <c r="IA560" t="e">
        <f>AND(#REF!,"AAAAAH6//+o=")</f>
        <v>#REF!</v>
      </c>
      <c r="IB560" t="e">
        <f>AND(#REF!,"AAAAAH6//+s=")</f>
        <v>#REF!</v>
      </c>
      <c r="IC560" t="e">
        <f>AND(#REF!,"AAAAAH6//+w=")</f>
        <v>#REF!</v>
      </c>
      <c r="ID560" t="e">
        <f>AND(#REF!,"AAAAAH6//+0=")</f>
        <v>#REF!</v>
      </c>
      <c r="IE560" t="e">
        <f>AND(#REF!,"AAAAAH6//+4=")</f>
        <v>#REF!</v>
      </c>
      <c r="IF560" t="e">
        <f>AND(#REF!,"AAAAAH6//+8=")</f>
        <v>#REF!</v>
      </c>
      <c r="IG560" t="e">
        <f>IF(#REF!,"AAAAAH6///A=",0)</f>
        <v>#REF!</v>
      </c>
      <c r="IH560" t="e">
        <f>AND(#REF!,"AAAAAH6///E=")</f>
        <v>#REF!</v>
      </c>
      <c r="II560" t="e">
        <f>AND(#REF!,"AAAAAH6///I=")</f>
        <v>#REF!</v>
      </c>
      <c r="IJ560" t="e">
        <f>AND(#REF!,"AAAAAH6///M=")</f>
        <v>#REF!</v>
      </c>
      <c r="IK560" t="e">
        <f>AND(#REF!,"AAAAAH6///Q=")</f>
        <v>#REF!</v>
      </c>
      <c r="IL560" t="e">
        <f>AND(#REF!,"AAAAAH6///U=")</f>
        <v>#REF!</v>
      </c>
      <c r="IM560" t="e">
        <f>AND(#REF!,"AAAAAH6///Y=")</f>
        <v>#REF!</v>
      </c>
      <c r="IN560" t="e">
        <f>AND(#REF!,"AAAAAH6///c=")</f>
        <v>#REF!</v>
      </c>
      <c r="IO560" t="e">
        <f>AND(#REF!,"AAAAAH6///g=")</f>
        <v>#REF!</v>
      </c>
      <c r="IP560" t="e">
        <f>AND(#REF!,"AAAAAH6///k=")</f>
        <v>#REF!</v>
      </c>
      <c r="IQ560" t="e">
        <f>AND(#REF!,"AAAAAH6///o=")</f>
        <v>#REF!</v>
      </c>
      <c r="IR560" t="e">
        <f>IF(#REF!,"AAAAAH6///s=",0)</f>
        <v>#REF!</v>
      </c>
      <c r="IS560" t="e">
        <f>AND(#REF!,"AAAAAH6///w=")</f>
        <v>#REF!</v>
      </c>
      <c r="IT560" t="e">
        <f>AND(#REF!,"AAAAAH6///0=")</f>
        <v>#REF!</v>
      </c>
      <c r="IU560" t="e">
        <f>AND(#REF!,"AAAAAH6///4=")</f>
        <v>#REF!</v>
      </c>
      <c r="IV560" t="e">
        <f>AND(#REF!,"AAAAAH6///8=")</f>
        <v>#REF!</v>
      </c>
    </row>
    <row r="561" spans="1:256" x14ac:dyDescent="0.25">
      <c r="A561" t="e">
        <f>AND(#REF!,"AAAAAHfX/gA=")</f>
        <v>#REF!</v>
      </c>
      <c r="B561" t="e">
        <f>AND(#REF!,"AAAAAHfX/gE=")</f>
        <v>#REF!</v>
      </c>
      <c r="C561" t="e">
        <f>AND(#REF!,"AAAAAHfX/gI=")</f>
        <v>#REF!</v>
      </c>
      <c r="D561" t="e">
        <f>AND(#REF!,"AAAAAHfX/gM=")</f>
        <v>#REF!</v>
      </c>
      <c r="E561" t="e">
        <f>AND(#REF!,"AAAAAHfX/gQ=")</f>
        <v>#REF!</v>
      </c>
      <c r="F561" t="e">
        <f>AND(#REF!,"AAAAAHfX/gU=")</f>
        <v>#REF!</v>
      </c>
      <c r="G561" t="e">
        <f>IF(#REF!,"AAAAAHfX/gY=",0)</f>
        <v>#REF!</v>
      </c>
      <c r="H561" t="e">
        <f>AND(#REF!,"AAAAAHfX/gc=")</f>
        <v>#REF!</v>
      </c>
      <c r="I561" t="e">
        <f>AND(#REF!,"AAAAAHfX/gg=")</f>
        <v>#REF!</v>
      </c>
      <c r="J561" t="e">
        <f>AND(#REF!,"AAAAAHfX/gk=")</f>
        <v>#REF!</v>
      </c>
      <c r="K561" t="e">
        <f>AND(#REF!,"AAAAAHfX/go=")</f>
        <v>#REF!</v>
      </c>
      <c r="L561" t="e">
        <f>AND(#REF!,"AAAAAHfX/gs=")</f>
        <v>#REF!</v>
      </c>
      <c r="M561" t="e">
        <f>AND(#REF!,"AAAAAHfX/gw=")</f>
        <v>#REF!</v>
      </c>
      <c r="N561" t="e">
        <f>AND(#REF!,"AAAAAHfX/g0=")</f>
        <v>#REF!</v>
      </c>
      <c r="O561" t="e">
        <f>AND(#REF!,"AAAAAHfX/g4=")</f>
        <v>#REF!</v>
      </c>
      <c r="P561" t="e">
        <f>AND(#REF!,"AAAAAHfX/g8=")</f>
        <v>#REF!</v>
      </c>
      <c r="Q561" t="e">
        <f>AND(#REF!,"AAAAAHfX/hA=")</f>
        <v>#REF!</v>
      </c>
      <c r="R561" t="e">
        <f>IF(#REF!,"AAAAAHfX/hE=",0)</f>
        <v>#REF!</v>
      </c>
      <c r="S561" t="e">
        <f>AND(#REF!,"AAAAAHfX/hI=")</f>
        <v>#REF!</v>
      </c>
      <c r="T561" t="e">
        <f>AND(#REF!,"AAAAAHfX/hM=")</f>
        <v>#REF!</v>
      </c>
      <c r="U561" t="e">
        <f>AND(#REF!,"AAAAAHfX/hQ=")</f>
        <v>#REF!</v>
      </c>
      <c r="V561" t="e">
        <f>AND(#REF!,"AAAAAHfX/hU=")</f>
        <v>#REF!</v>
      </c>
      <c r="W561" t="e">
        <f>AND(#REF!,"AAAAAHfX/hY=")</f>
        <v>#REF!</v>
      </c>
      <c r="X561" t="e">
        <f>AND(#REF!,"AAAAAHfX/hc=")</f>
        <v>#REF!</v>
      </c>
      <c r="Y561" t="e">
        <f>AND(#REF!,"AAAAAHfX/hg=")</f>
        <v>#REF!</v>
      </c>
      <c r="Z561" t="e">
        <f>AND(#REF!,"AAAAAHfX/hk=")</f>
        <v>#REF!</v>
      </c>
      <c r="AA561" t="e">
        <f>AND(#REF!,"AAAAAHfX/ho=")</f>
        <v>#REF!</v>
      </c>
      <c r="AB561" t="e">
        <f>AND(#REF!,"AAAAAHfX/hs=")</f>
        <v>#REF!</v>
      </c>
      <c r="AC561" t="e">
        <f>IF(#REF!,"AAAAAHfX/hw=",0)</f>
        <v>#REF!</v>
      </c>
      <c r="AD561" t="e">
        <f>AND(#REF!,"AAAAAHfX/h0=")</f>
        <v>#REF!</v>
      </c>
      <c r="AE561" t="e">
        <f>AND(#REF!,"AAAAAHfX/h4=")</f>
        <v>#REF!</v>
      </c>
      <c r="AF561" t="e">
        <f>AND(#REF!,"AAAAAHfX/h8=")</f>
        <v>#REF!</v>
      </c>
      <c r="AG561" t="e">
        <f>AND(#REF!,"AAAAAHfX/iA=")</f>
        <v>#REF!</v>
      </c>
      <c r="AH561" t="e">
        <f>AND(#REF!,"AAAAAHfX/iE=")</f>
        <v>#REF!</v>
      </c>
      <c r="AI561" t="e">
        <f>AND(#REF!,"AAAAAHfX/iI=")</f>
        <v>#REF!</v>
      </c>
      <c r="AJ561" t="e">
        <f>AND(#REF!,"AAAAAHfX/iM=")</f>
        <v>#REF!</v>
      </c>
      <c r="AK561" t="e">
        <f>AND(#REF!,"AAAAAHfX/iQ=")</f>
        <v>#REF!</v>
      </c>
      <c r="AL561" t="e">
        <f>AND(#REF!,"AAAAAHfX/iU=")</f>
        <v>#REF!</v>
      </c>
      <c r="AM561" t="e">
        <f>AND(#REF!,"AAAAAHfX/iY=")</f>
        <v>#REF!</v>
      </c>
      <c r="AN561" t="e">
        <f>IF(#REF!,"AAAAAHfX/ic=",0)</f>
        <v>#REF!</v>
      </c>
      <c r="AO561" t="e">
        <f>AND(#REF!,"AAAAAHfX/ig=")</f>
        <v>#REF!</v>
      </c>
      <c r="AP561" t="e">
        <f>AND(#REF!,"AAAAAHfX/ik=")</f>
        <v>#REF!</v>
      </c>
      <c r="AQ561" t="e">
        <f>AND(#REF!,"AAAAAHfX/io=")</f>
        <v>#REF!</v>
      </c>
      <c r="AR561" t="e">
        <f>AND(#REF!,"AAAAAHfX/is=")</f>
        <v>#REF!</v>
      </c>
      <c r="AS561" t="e">
        <f>AND(#REF!,"AAAAAHfX/iw=")</f>
        <v>#REF!</v>
      </c>
      <c r="AT561" t="e">
        <f>AND(#REF!,"AAAAAHfX/i0=")</f>
        <v>#REF!</v>
      </c>
      <c r="AU561" t="e">
        <f>AND(#REF!,"AAAAAHfX/i4=")</f>
        <v>#REF!</v>
      </c>
      <c r="AV561" t="e">
        <f>AND(#REF!,"AAAAAHfX/i8=")</f>
        <v>#REF!</v>
      </c>
      <c r="AW561" t="e">
        <f>AND(#REF!,"AAAAAHfX/jA=")</f>
        <v>#REF!</v>
      </c>
      <c r="AX561" t="e">
        <f>AND(#REF!,"AAAAAHfX/jE=")</f>
        <v>#REF!</v>
      </c>
      <c r="AY561" t="e">
        <f>IF(#REF!,"AAAAAHfX/jI=",0)</f>
        <v>#REF!</v>
      </c>
      <c r="AZ561" t="e">
        <f>AND(#REF!,"AAAAAHfX/jM=")</f>
        <v>#REF!</v>
      </c>
      <c r="BA561" t="e">
        <f>AND(#REF!,"AAAAAHfX/jQ=")</f>
        <v>#REF!</v>
      </c>
      <c r="BB561" t="e">
        <f>AND(#REF!,"AAAAAHfX/jU=")</f>
        <v>#REF!</v>
      </c>
      <c r="BC561" t="e">
        <f>AND(#REF!,"AAAAAHfX/jY=")</f>
        <v>#REF!</v>
      </c>
      <c r="BD561" t="e">
        <f>AND(#REF!,"AAAAAHfX/jc=")</f>
        <v>#REF!</v>
      </c>
      <c r="BE561" t="e">
        <f>AND(#REF!,"AAAAAHfX/jg=")</f>
        <v>#REF!</v>
      </c>
      <c r="BF561" t="e">
        <f>AND(#REF!,"AAAAAHfX/jk=")</f>
        <v>#REF!</v>
      </c>
      <c r="BG561" t="e">
        <f>AND(#REF!,"AAAAAHfX/jo=")</f>
        <v>#REF!</v>
      </c>
      <c r="BH561" t="e">
        <f>AND(#REF!,"AAAAAHfX/js=")</f>
        <v>#REF!</v>
      </c>
      <c r="BI561" t="e">
        <f>AND(#REF!,"AAAAAHfX/jw=")</f>
        <v>#REF!</v>
      </c>
      <c r="BJ561" t="e">
        <f>IF(#REF!,"AAAAAHfX/j0=",0)</f>
        <v>#REF!</v>
      </c>
      <c r="BK561" t="e">
        <f>AND(#REF!,"AAAAAHfX/j4=")</f>
        <v>#REF!</v>
      </c>
      <c r="BL561" t="e">
        <f>AND(#REF!,"AAAAAHfX/j8=")</f>
        <v>#REF!</v>
      </c>
      <c r="BM561" t="e">
        <f>AND(#REF!,"AAAAAHfX/kA=")</f>
        <v>#REF!</v>
      </c>
      <c r="BN561" t="e">
        <f>AND(#REF!,"AAAAAHfX/kE=")</f>
        <v>#REF!</v>
      </c>
      <c r="BO561" t="e">
        <f>AND(#REF!,"AAAAAHfX/kI=")</f>
        <v>#REF!</v>
      </c>
      <c r="BP561" t="e">
        <f>AND(#REF!,"AAAAAHfX/kM=")</f>
        <v>#REF!</v>
      </c>
      <c r="BQ561" t="e">
        <f>AND(#REF!,"AAAAAHfX/kQ=")</f>
        <v>#REF!</v>
      </c>
      <c r="BR561" t="e">
        <f>AND(#REF!,"AAAAAHfX/kU=")</f>
        <v>#REF!</v>
      </c>
      <c r="BS561" t="e">
        <f>AND(#REF!,"AAAAAHfX/kY=")</f>
        <v>#REF!</v>
      </c>
      <c r="BT561" t="e">
        <f>AND(#REF!,"AAAAAHfX/kc=")</f>
        <v>#REF!</v>
      </c>
      <c r="BU561" t="e">
        <f>IF(#REF!,"AAAAAHfX/kg=",0)</f>
        <v>#REF!</v>
      </c>
      <c r="BV561" t="e">
        <f>AND(#REF!,"AAAAAHfX/kk=")</f>
        <v>#REF!</v>
      </c>
      <c r="BW561" t="e">
        <f>AND(#REF!,"AAAAAHfX/ko=")</f>
        <v>#REF!</v>
      </c>
      <c r="BX561" t="e">
        <f>AND(#REF!,"AAAAAHfX/ks=")</f>
        <v>#REF!</v>
      </c>
      <c r="BY561" t="e">
        <f>AND(#REF!,"AAAAAHfX/kw=")</f>
        <v>#REF!</v>
      </c>
      <c r="BZ561" t="e">
        <f>AND(#REF!,"AAAAAHfX/k0=")</f>
        <v>#REF!</v>
      </c>
      <c r="CA561" t="e">
        <f>AND(#REF!,"AAAAAHfX/k4=")</f>
        <v>#REF!</v>
      </c>
      <c r="CB561" t="e">
        <f>AND(#REF!,"AAAAAHfX/k8=")</f>
        <v>#REF!</v>
      </c>
      <c r="CC561" t="e">
        <f>AND(#REF!,"AAAAAHfX/lA=")</f>
        <v>#REF!</v>
      </c>
      <c r="CD561" t="e">
        <f>AND(#REF!,"AAAAAHfX/lE=")</f>
        <v>#REF!</v>
      </c>
      <c r="CE561" t="e">
        <f>AND(#REF!,"AAAAAHfX/lI=")</f>
        <v>#REF!</v>
      </c>
      <c r="CF561" t="e">
        <f>IF(#REF!,"AAAAAHfX/lM=",0)</f>
        <v>#REF!</v>
      </c>
      <c r="CG561" t="e">
        <f>AND(#REF!,"AAAAAHfX/lQ=")</f>
        <v>#REF!</v>
      </c>
      <c r="CH561" t="e">
        <f>AND(#REF!,"AAAAAHfX/lU=")</f>
        <v>#REF!</v>
      </c>
      <c r="CI561" t="e">
        <f>AND(#REF!,"AAAAAHfX/lY=")</f>
        <v>#REF!</v>
      </c>
      <c r="CJ561" t="e">
        <f>AND(#REF!,"AAAAAHfX/lc=")</f>
        <v>#REF!</v>
      </c>
      <c r="CK561" t="e">
        <f>AND(#REF!,"AAAAAHfX/lg=")</f>
        <v>#REF!</v>
      </c>
      <c r="CL561" t="e">
        <f>AND(#REF!,"AAAAAHfX/lk=")</f>
        <v>#REF!</v>
      </c>
      <c r="CM561" t="e">
        <f>AND(#REF!,"AAAAAHfX/lo=")</f>
        <v>#REF!</v>
      </c>
      <c r="CN561" t="e">
        <f>AND(#REF!,"AAAAAHfX/ls=")</f>
        <v>#REF!</v>
      </c>
      <c r="CO561" t="e">
        <f>AND(#REF!,"AAAAAHfX/lw=")</f>
        <v>#REF!</v>
      </c>
      <c r="CP561" t="e">
        <f>AND(#REF!,"AAAAAHfX/l0=")</f>
        <v>#REF!</v>
      </c>
      <c r="CQ561" t="e">
        <f>IF(#REF!,"AAAAAHfX/l4=",0)</f>
        <v>#REF!</v>
      </c>
      <c r="CR561" t="e">
        <f>AND(#REF!,"AAAAAHfX/l8=")</f>
        <v>#REF!</v>
      </c>
      <c r="CS561" t="e">
        <f>AND(#REF!,"AAAAAHfX/mA=")</f>
        <v>#REF!</v>
      </c>
      <c r="CT561" t="e">
        <f>AND(#REF!,"AAAAAHfX/mE=")</f>
        <v>#REF!</v>
      </c>
      <c r="CU561" t="e">
        <f>AND(#REF!,"AAAAAHfX/mI=")</f>
        <v>#REF!</v>
      </c>
      <c r="CV561" t="e">
        <f>AND(#REF!,"AAAAAHfX/mM=")</f>
        <v>#REF!</v>
      </c>
      <c r="CW561" t="e">
        <f>AND(#REF!,"AAAAAHfX/mQ=")</f>
        <v>#REF!</v>
      </c>
      <c r="CX561" t="e">
        <f>AND(#REF!,"AAAAAHfX/mU=")</f>
        <v>#REF!</v>
      </c>
      <c r="CY561" t="e">
        <f>AND(#REF!,"AAAAAHfX/mY=")</f>
        <v>#REF!</v>
      </c>
      <c r="CZ561" t="e">
        <f>AND(#REF!,"AAAAAHfX/mc=")</f>
        <v>#REF!</v>
      </c>
      <c r="DA561" t="e">
        <f>AND(#REF!,"AAAAAHfX/mg=")</f>
        <v>#REF!</v>
      </c>
      <c r="DB561" t="e">
        <f>IF(#REF!,"AAAAAHfX/mk=",0)</f>
        <v>#REF!</v>
      </c>
      <c r="DC561" t="e">
        <f>AND(#REF!,"AAAAAHfX/mo=")</f>
        <v>#REF!</v>
      </c>
      <c r="DD561" t="e">
        <f>AND(#REF!,"AAAAAHfX/ms=")</f>
        <v>#REF!</v>
      </c>
      <c r="DE561" t="e">
        <f>AND(#REF!,"AAAAAHfX/mw=")</f>
        <v>#REF!</v>
      </c>
      <c r="DF561" t="e">
        <f>AND(#REF!,"AAAAAHfX/m0=")</f>
        <v>#REF!</v>
      </c>
      <c r="DG561" t="e">
        <f>AND(#REF!,"AAAAAHfX/m4=")</f>
        <v>#REF!</v>
      </c>
      <c r="DH561" t="e">
        <f>AND(#REF!,"AAAAAHfX/m8=")</f>
        <v>#REF!</v>
      </c>
      <c r="DI561" t="e">
        <f>AND(#REF!,"AAAAAHfX/nA=")</f>
        <v>#REF!</v>
      </c>
      <c r="DJ561" t="e">
        <f>AND(#REF!,"AAAAAHfX/nE=")</f>
        <v>#REF!</v>
      </c>
      <c r="DK561" t="e">
        <f>AND(#REF!,"AAAAAHfX/nI=")</f>
        <v>#REF!</v>
      </c>
      <c r="DL561" t="e">
        <f>AND(#REF!,"AAAAAHfX/nM=")</f>
        <v>#REF!</v>
      </c>
      <c r="DM561" t="e">
        <f>IF(#REF!,"AAAAAHfX/nQ=",0)</f>
        <v>#REF!</v>
      </c>
      <c r="DN561" t="e">
        <f>AND(#REF!,"AAAAAHfX/nU=")</f>
        <v>#REF!</v>
      </c>
      <c r="DO561" t="e">
        <f>AND(#REF!,"AAAAAHfX/nY=")</f>
        <v>#REF!</v>
      </c>
      <c r="DP561" t="e">
        <f>AND(#REF!,"AAAAAHfX/nc=")</f>
        <v>#REF!</v>
      </c>
      <c r="DQ561" t="e">
        <f>AND(#REF!,"AAAAAHfX/ng=")</f>
        <v>#REF!</v>
      </c>
      <c r="DR561" t="e">
        <f>AND(#REF!,"AAAAAHfX/nk=")</f>
        <v>#REF!</v>
      </c>
      <c r="DS561" t="e">
        <f>AND(#REF!,"AAAAAHfX/no=")</f>
        <v>#REF!</v>
      </c>
      <c r="DT561" t="e">
        <f>AND(#REF!,"AAAAAHfX/ns=")</f>
        <v>#REF!</v>
      </c>
      <c r="DU561" t="e">
        <f>AND(#REF!,"AAAAAHfX/nw=")</f>
        <v>#REF!</v>
      </c>
      <c r="DV561" t="e">
        <f>AND(#REF!,"AAAAAHfX/n0=")</f>
        <v>#REF!</v>
      </c>
      <c r="DW561" t="e">
        <f>AND(#REF!,"AAAAAHfX/n4=")</f>
        <v>#REF!</v>
      </c>
      <c r="DX561" t="e">
        <f>IF(#REF!,"AAAAAHfX/n8=",0)</f>
        <v>#REF!</v>
      </c>
      <c r="DY561" t="e">
        <f>AND(#REF!,"AAAAAHfX/oA=")</f>
        <v>#REF!</v>
      </c>
      <c r="DZ561" t="e">
        <f>AND(#REF!,"AAAAAHfX/oE=")</f>
        <v>#REF!</v>
      </c>
      <c r="EA561" t="e">
        <f>AND(#REF!,"AAAAAHfX/oI=")</f>
        <v>#REF!</v>
      </c>
      <c r="EB561" t="e">
        <f>AND(#REF!,"AAAAAHfX/oM=")</f>
        <v>#REF!</v>
      </c>
      <c r="EC561" t="e">
        <f>AND(#REF!,"AAAAAHfX/oQ=")</f>
        <v>#REF!</v>
      </c>
      <c r="ED561" t="e">
        <f>AND(#REF!,"AAAAAHfX/oU=")</f>
        <v>#REF!</v>
      </c>
      <c r="EE561" t="e">
        <f>AND(#REF!,"AAAAAHfX/oY=")</f>
        <v>#REF!</v>
      </c>
      <c r="EF561" t="e">
        <f>AND(#REF!,"AAAAAHfX/oc=")</f>
        <v>#REF!</v>
      </c>
      <c r="EG561" t="e">
        <f>AND(#REF!,"AAAAAHfX/og=")</f>
        <v>#REF!</v>
      </c>
      <c r="EH561" t="e">
        <f>AND(#REF!,"AAAAAHfX/ok=")</f>
        <v>#REF!</v>
      </c>
      <c r="EI561" t="e">
        <f>IF(#REF!,"AAAAAHfX/oo=",0)</f>
        <v>#REF!</v>
      </c>
      <c r="EJ561" t="e">
        <f>AND(#REF!,"AAAAAHfX/os=")</f>
        <v>#REF!</v>
      </c>
      <c r="EK561" t="e">
        <f>AND(#REF!,"AAAAAHfX/ow=")</f>
        <v>#REF!</v>
      </c>
      <c r="EL561" t="e">
        <f>AND(#REF!,"AAAAAHfX/o0=")</f>
        <v>#REF!</v>
      </c>
      <c r="EM561" t="e">
        <f>AND(#REF!,"AAAAAHfX/o4=")</f>
        <v>#REF!</v>
      </c>
      <c r="EN561" t="e">
        <f>AND(#REF!,"AAAAAHfX/o8=")</f>
        <v>#REF!</v>
      </c>
      <c r="EO561" t="e">
        <f>AND(#REF!,"AAAAAHfX/pA=")</f>
        <v>#REF!</v>
      </c>
      <c r="EP561" t="e">
        <f>AND(#REF!,"AAAAAHfX/pE=")</f>
        <v>#REF!</v>
      </c>
      <c r="EQ561" t="e">
        <f>AND(#REF!,"AAAAAHfX/pI=")</f>
        <v>#REF!</v>
      </c>
      <c r="ER561" t="e">
        <f>AND(#REF!,"AAAAAHfX/pM=")</f>
        <v>#REF!</v>
      </c>
      <c r="ES561" t="e">
        <f>AND(#REF!,"AAAAAHfX/pQ=")</f>
        <v>#REF!</v>
      </c>
      <c r="ET561" t="e">
        <f>IF(#REF!,"AAAAAHfX/pU=",0)</f>
        <v>#REF!</v>
      </c>
      <c r="EU561" t="e">
        <f>AND(#REF!,"AAAAAHfX/pY=")</f>
        <v>#REF!</v>
      </c>
      <c r="EV561" t="e">
        <f>AND(#REF!,"AAAAAHfX/pc=")</f>
        <v>#REF!</v>
      </c>
      <c r="EW561" t="e">
        <f>AND(#REF!,"AAAAAHfX/pg=")</f>
        <v>#REF!</v>
      </c>
      <c r="EX561" t="e">
        <f>AND(#REF!,"AAAAAHfX/pk=")</f>
        <v>#REF!</v>
      </c>
      <c r="EY561" t="e">
        <f>AND(#REF!,"AAAAAHfX/po=")</f>
        <v>#REF!</v>
      </c>
      <c r="EZ561" t="e">
        <f>AND(#REF!,"AAAAAHfX/ps=")</f>
        <v>#REF!</v>
      </c>
      <c r="FA561" t="e">
        <f>AND(#REF!,"AAAAAHfX/pw=")</f>
        <v>#REF!</v>
      </c>
      <c r="FB561" t="e">
        <f>AND(#REF!,"AAAAAHfX/p0=")</f>
        <v>#REF!</v>
      </c>
      <c r="FC561" t="e">
        <f>AND(#REF!,"AAAAAHfX/p4=")</f>
        <v>#REF!</v>
      </c>
      <c r="FD561" t="e">
        <f>AND(#REF!,"AAAAAHfX/p8=")</f>
        <v>#REF!</v>
      </c>
      <c r="FE561" t="e">
        <f>IF(#REF!,"AAAAAHfX/qA=",0)</f>
        <v>#REF!</v>
      </c>
      <c r="FF561" t="e">
        <f>AND(#REF!,"AAAAAHfX/qE=")</f>
        <v>#REF!</v>
      </c>
      <c r="FG561" t="e">
        <f>AND(#REF!,"AAAAAHfX/qI=")</f>
        <v>#REF!</v>
      </c>
      <c r="FH561" t="e">
        <f>AND(#REF!,"AAAAAHfX/qM=")</f>
        <v>#REF!</v>
      </c>
      <c r="FI561" t="e">
        <f>AND(#REF!,"AAAAAHfX/qQ=")</f>
        <v>#REF!</v>
      </c>
      <c r="FJ561" t="e">
        <f>AND(#REF!,"AAAAAHfX/qU=")</f>
        <v>#REF!</v>
      </c>
      <c r="FK561" t="e">
        <f>AND(#REF!,"AAAAAHfX/qY=")</f>
        <v>#REF!</v>
      </c>
      <c r="FL561" t="e">
        <f>AND(#REF!,"AAAAAHfX/qc=")</f>
        <v>#REF!</v>
      </c>
      <c r="FM561" t="e">
        <f>AND(#REF!,"AAAAAHfX/qg=")</f>
        <v>#REF!</v>
      </c>
      <c r="FN561" t="e">
        <f>AND(#REF!,"AAAAAHfX/qk=")</f>
        <v>#REF!</v>
      </c>
      <c r="FO561" t="e">
        <f>AND(#REF!,"AAAAAHfX/qo=")</f>
        <v>#REF!</v>
      </c>
      <c r="FP561" t="e">
        <f>IF(#REF!,"AAAAAHfX/qs=",0)</f>
        <v>#REF!</v>
      </c>
      <c r="FQ561" t="e">
        <f>AND(#REF!,"AAAAAHfX/qw=")</f>
        <v>#REF!</v>
      </c>
      <c r="FR561" t="e">
        <f>AND(#REF!,"AAAAAHfX/q0=")</f>
        <v>#REF!</v>
      </c>
      <c r="FS561" t="e">
        <f>AND(#REF!,"AAAAAHfX/q4=")</f>
        <v>#REF!</v>
      </c>
      <c r="FT561" t="e">
        <f>AND(#REF!,"AAAAAHfX/q8=")</f>
        <v>#REF!</v>
      </c>
      <c r="FU561" t="e">
        <f>AND(#REF!,"AAAAAHfX/rA=")</f>
        <v>#REF!</v>
      </c>
      <c r="FV561" t="e">
        <f>AND(#REF!,"AAAAAHfX/rE=")</f>
        <v>#REF!</v>
      </c>
      <c r="FW561" t="e">
        <f>AND(#REF!,"AAAAAHfX/rI=")</f>
        <v>#REF!</v>
      </c>
      <c r="FX561" t="e">
        <f>AND(#REF!,"AAAAAHfX/rM=")</f>
        <v>#REF!</v>
      </c>
      <c r="FY561" t="e">
        <f>AND(#REF!,"AAAAAHfX/rQ=")</f>
        <v>#REF!</v>
      </c>
      <c r="FZ561" t="e">
        <f>AND(#REF!,"AAAAAHfX/rU=")</f>
        <v>#REF!</v>
      </c>
      <c r="GA561" t="e">
        <f>IF(#REF!,"AAAAAHfX/rY=",0)</f>
        <v>#REF!</v>
      </c>
      <c r="GB561" t="e">
        <f>AND(#REF!,"AAAAAHfX/rc=")</f>
        <v>#REF!</v>
      </c>
      <c r="GC561" t="e">
        <f>AND(#REF!,"AAAAAHfX/rg=")</f>
        <v>#REF!</v>
      </c>
      <c r="GD561" t="e">
        <f>AND(#REF!,"AAAAAHfX/rk=")</f>
        <v>#REF!</v>
      </c>
      <c r="GE561" t="e">
        <f>AND(#REF!,"AAAAAHfX/ro=")</f>
        <v>#REF!</v>
      </c>
      <c r="GF561" t="e">
        <f>AND(#REF!,"AAAAAHfX/rs=")</f>
        <v>#REF!</v>
      </c>
      <c r="GG561" t="e">
        <f>AND(#REF!,"AAAAAHfX/rw=")</f>
        <v>#REF!</v>
      </c>
      <c r="GH561" t="e">
        <f>AND(#REF!,"AAAAAHfX/r0=")</f>
        <v>#REF!</v>
      </c>
      <c r="GI561" t="e">
        <f>AND(#REF!,"AAAAAHfX/r4=")</f>
        <v>#REF!</v>
      </c>
      <c r="GJ561" t="e">
        <f>AND(#REF!,"AAAAAHfX/r8=")</f>
        <v>#REF!</v>
      </c>
      <c r="GK561" t="e">
        <f>AND(#REF!,"AAAAAHfX/sA=")</f>
        <v>#REF!</v>
      </c>
      <c r="GL561" t="e">
        <f>IF(#REF!,"AAAAAHfX/sE=",0)</f>
        <v>#REF!</v>
      </c>
      <c r="GM561" t="e">
        <f>AND(#REF!,"AAAAAHfX/sI=")</f>
        <v>#REF!</v>
      </c>
      <c r="GN561" t="e">
        <f>AND(#REF!,"AAAAAHfX/sM=")</f>
        <v>#REF!</v>
      </c>
      <c r="GO561" t="e">
        <f>AND(#REF!,"AAAAAHfX/sQ=")</f>
        <v>#REF!</v>
      </c>
      <c r="GP561" t="e">
        <f>AND(#REF!,"AAAAAHfX/sU=")</f>
        <v>#REF!</v>
      </c>
      <c r="GQ561" t="e">
        <f>AND(#REF!,"AAAAAHfX/sY=")</f>
        <v>#REF!</v>
      </c>
      <c r="GR561" t="e">
        <f>AND(#REF!,"AAAAAHfX/sc=")</f>
        <v>#REF!</v>
      </c>
      <c r="GS561" t="e">
        <f>AND(#REF!,"AAAAAHfX/sg=")</f>
        <v>#REF!</v>
      </c>
      <c r="GT561" t="e">
        <f>AND(#REF!,"AAAAAHfX/sk=")</f>
        <v>#REF!</v>
      </c>
      <c r="GU561" t="e">
        <f>AND(#REF!,"AAAAAHfX/so=")</f>
        <v>#REF!</v>
      </c>
      <c r="GV561" t="e">
        <f>AND(#REF!,"AAAAAHfX/ss=")</f>
        <v>#REF!</v>
      </c>
      <c r="GW561" t="e">
        <f>IF(#REF!,"AAAAAHfX/sw=",0)</f>
        <v>#REF!</v>
      </c>
      <c r="GX561" t="e">
        <f>AND(#REF!,"AAAAAHfX/s0=")</f>
        <v>#REF!</v>
      </c>
      <c r="GY561" t="e">
        <f>AND(#REF!,"AAAAAHfX/s4=")</f>
        <v>#REF!</v>
      </c>
      <c r="GZ561" t="e">
        <f>AND(#REF!,"AAAAAHfX/s8=")</f>
        <v>#REF!</v>
      </c>
      <c r="HA561" t="e">
        <f>AND(#REF!,"AAAAAHfX/tA=")</f>
        <v>#REF!</v>
      </c>
      <c r="HB561" t="e">
        <f>AND(#REF!,"AAAAAHfX/tE=")</f>
        <v>#REF!</v>
      </c>
      <c r="HC561" t="e">
        <f>AND(#REF!,"AAAAAHfX/tI=")</f>
        <v>#REF!</v>
      </c>
      <c r="HD561" t="e">
        <f>AND(#REF!,"AAAAAHfX/tM=")</f>
        <v>#REF!</v>
      </c>
      <c r="HE561" t="e">
        <f>AND(#REF!,"AAAAAHfX/tQ=")</f>
        <v>#REF!</v>
      </c>
      <c r="HF561" t="e">
        <f>AND(#REF!,"AAAAAHfX/tU=")</f>
        <v>#REF!</v>
      </c>
      <c r="HG561" t="e">
        <f>AND(#REF!,"AAAAAHfX/tY=")</f>
        <v>#REF!</v>
      </c>
      <c r="HH561" t="e">
        <f>IF(#REF!,"AAAAAHfX/tc=",0)</f>
        <v>#REF!</v>
      </c>
      <c r="HI561" t="e">
        <f>AND(#REF!,"AAAAAHfX/tg=")</f>
        <v>#REF!</v>
      </c>
      <c r="HJ561" t="e">
        <f>AND(#REF!,"AAAAAHfX/tk=")</f>
        <v>#REF!</v>
      </c>
      <c r="HK561" t="e">
        <f>AND(#REF!,"AAAAAHfX/to=")</f>
        <v>#REF!</v>
      </c>
      <c r="HL561" t="e">
        <f>AND(#REF!,"AAAAAHfX/ts=")</f>
        <v>#REF!</v>
      </c>
      <c r="HM561" t="e">
        <f>AND(#REF!,"AAAAAHfX/tw=")</f>
        <v>#REF!</v>
      </c>
      <c r="HN561" t="e">
        <f>AND(#REF!,"AAAAAHfX/t0=")</f>
        <v>#REF!</v>
      </c>
      <c r="HO561" t="e">
        <f>AND(#REF!,"AAAAAHfX/t4=")</f>
        <v>#REF!</v>
      </c>
      <c r="HP561" t="e">
        <f>AND(#REF!,"AAAAAHfX/t8=")</f>
        <v>#REF!</v>
      </c>
      <c r="HQ561" t="e">
        <f>AND(#REF!,"AAAAAHfX/uA=")</f>
        <v>#REF!</v>
      </c>
      <c r="HR561" t="e">
        <f>AND(#REF!,"AAAAAHfX/uE=")</f>
        <v>#REF!</v>
      </c>
      <c r="HS561" t="e">
        <f>IF(#REF!,"AAAAAHfX/uI=",0)</f>
        <v>#REF!</v>
      </c>
      <c r="HT561" t="e">
        <f>AND(#REF!,"AAAAAHfX/uM=")</f>
        <v>#REF!</v>
      </c>
      <c r="HU561" t="e">
        <f>AND(#REF!,"AAAAAHfX/uQ=")</f>
        <v>#REF!</v>
      </c>
      <c r="HV561" t="e">
        <f>AND(#REF!,"AAAAAHfX/uU=")</f>
        <v>#REF!</v>
      </c>
      <c r="HW561" t="e">
        <f>AND(#REF!,"AAAAAHfX/uY=")</f>
        <v>#REF!</v>
      </c>
      <c r="HX561" t="e">
        <f>AND(#REF!,"AAAAAHfX/uc=")</f>
        <v>#REF!</v>
      </c>
      <c r="HY561" t="e">
        <f>AND(#REF!,"AAAAAHfX/ug=")</f>
        <v>#REF!</v>
      </c>
      <c r="HZ561" t="e">
        <f>AND(#REF!,"AAAAAHfX/uk=")</f>
        <v>#REF!</v>
      </c>
      <c r="IA561" t="e">
        <f>AND(#REF!,"AAAAAHfX/uo=")</f>
        <v>#REF!</v>
      </c>
      <c r="IB561" t="e">
        <f>AND(#REF!,"AAAAAHfX/us=")</f>
        <v>#REF!</v>
      </c>
      <c r="IC561" t="e">
        <f>AND(#REF!,"AAAAAHfX/uw=")</f>
        <v>#REF!</v>
      </c>
      <c r="ID561" t="e">
        <f>IF(#REF!,"AAAAAHfX/u0=",0)</f>
        <v>#REF!</v>
      </c>
      <c r="IE561" t="e">
        <f>AND(#REF!,"AAAAAHfX/u4=")</f>
        <v>#REF!</v>
      </c>
      <c r="IF561" t="e">
        <f>AND(#REF!,"AAAAAHfX/u8=")</f>
        <v>#REF!</v>
      </c>
      <c r="IG561" t="e">
        <f>AND(#REF!,"AAAAAHfX/vA=")</f>
        <v>#REF!</v>
      </c>
      <c r="IH561" t="e">
        <f>AND(#REF!,"AAAAAHfX/vE=")</f>
        <v>#REF!</v>
      </c>
      <c r="II561" t="e">
        <f>AND(#REF!,"AAAAAHfX/vI=")</f>
        <v>#REF!</v>
      </c>
      <c r="IJ561" t="e">
        <f>AND(#REF!,"AAAAAHfX/vM=")</f>
        <v>#REF!</v>
      </c>
      <c r="IK561" t="e">
        <f>AND(#REF!,"AAAAAHfX/vQ=")</f>
        <v>#REF!</v>
      </c>
      <c r="IL561" t="e">
        <f>AND(#REF!,"AAAAAHfX/vU=")</f>
        <v>#REF!</v>
      </c>
      <c r="IM561" t="e">
        <f>AND(#REF!,"AAAAAHfX/vY=")</f>
        <v>#REF!</v>
      </c>
      <c r="IN561" t="e">
        <f>AND(#REF!,"AAAAAHfX/vc=")</f>
        <v>#REF!</v>
      </c>
      <c r="IO561" t="e">
        <f>IF(#REF!,"AAAAAHfX/vg=",0)</f>
        <v>#REF!</v>
      </c>
      <c r="IP561" t="e">
        <f>AND(#REF!,"AAAAAHfX/vk=")</f>
        <v>#REF!</v>
      </c>
      <c r="IQ561" t="e">
        <f>AND(#REF!,"AAAAAHfX/vo=")</f>
        <v>#REF!</v>
      </c>
      <c r="IR561" t="e">
        <f>AND(#REF!,"AAAAAHfX/vs=")</f>
        <v>#REF!</v>
      </c>
      <c r="IS561" t="e">
        <f>AND(#REF!,"AAAAAHfX/vw=")</f>
        <v>#REF!</v>
      </c>
      <c r="IT561" t="e">
        <f>AND(#REF!,"AAAAAHfX/v0=")</f>
        <v>#REF!</v>
      </c>
      <c r="IU561" t="e">
        <f>AND(#REF!,"AAAAAHfX/v4=")</f>
        <v>#REF!</v>
      </c>
      <c r="IV561" t="e">
        <f>AND(#REF!,"AAAAAHfX/v8=")</f>
        <v>#REF!</v>
      </c>
    </row>
    <row r="562" spans="1:256" x14ac:dyDescent="0.25">
      <c r="A562" t="e">
        <f>AND(#REF!,"AAAAAH7+/wA=")</f>
        <v>#REF!</v>
      </c>
      <c r="B562" t="e">
        <f>AND(#REF!,"AAAAAH7+/wE=")</f>
        <v>#REF!</v>
      </c>
      <c r="C562" t="e">
        <f>AND(#REF!,"AAAAAH7+/wI=")</f>
        <v>#REF!</v>
      </c>
      <c r="D562" t="e">
        <f>IF(#REF!,"AAAAAH7+/wM=",0)</f>
        <v>#REF!</v>
      </c>
      <c r="E562" t="e">
        <f>AND(#REF!,"AAAAAH7+/wQ=")</f>
        <v>#REF!</v>
      </c>
      <c r="F562" t="e">
        <f>AND(#REF!,"AAAAAH7+/wU=")</f>
        <v>#REF!</v>
      </c>
      <c r="G562" t="e">
        <f>AND(#REF!,"AAAAAH7+/wY=")</f>
        <v>#REF!</v>
      </c>
      <c r="H562" t="e">
        <f>AND(#REF!,"AAAAAH7+/wc=")</f>
        <v>#REF!</v>
      </c>
      <c r="I562" t="e">
        <f>AND(#REF!,"AAAAAH7+/wg=")</f>
        <v>#REF!</v>
      </c>
      <c r="J562" t="e">
        <f>AND(#REF!,"AAAAAH7+/wk=")</f>
        <v>#REF!</v>
      </c>
      <c r="K562" t="e">
        <f>AND(#REF!,"AAAAAH7+/wo=")</f>
        <v>#REF!</v>
      </c>
      <c r="L562" t="e">
        <f>AND(#REF!,"AAAAAH7+/ws=")</f>
        <v>#REF!</v>
      </c>
      <c r="M562" t="e">
        <f>AND(#REF!,"AAAAAH7+/ww=")</f>
        <v>#REF!</v>
      </c>
      <c r="N562" t="e">
        <f>AND(#REF!,"AAAAAH7+/w0=")</f>
        <v>#REF!</v>
      </c>
      <c r="O562" t="e">
        <f>IF(#REF!,"AAAAAH7+/w4=",0)</f>
        <v>#REF!</v>
      </c>
      <c r="P562" t="e">
        <f>AND(#REF!,"AAAAAH7+/w8=")</f>
        <v>#REF!</v>
      </c>
      <c r="Q562" t="e">
        <f>AND(#REF!,"AAAAAH7+/xA=")</f>
        <v>#REF!</v>
      </c>
      <c r="R562" t="e">
        <f>AND(#REF!,"AAAAAH7+/xE=")</f>
        <v>#REF!</v>
      </c>
      <c r="S562" t="e">
        <f>AND(#REF!,"AAAAAH7+/xI=")</f>
        <v>#REF!</v>
      </c>
      <c r="T562" t="e">
        <f>AND(#REF!,"AAAAAH7+/xM=")</f>
        <v>#REF!</v>
      </c>
      <c r="U562" t="e">
        <f>AND(#REF!,"AAAAAH7+/xQ=")</f>
        <v>#REF!</v>
      </c>
      <c r="V562" t="e">
        <f>AND(#REF!,"AAAAAH7+/xU=")</f>
        <v>#REF!</v>
      </c>
      <c r="W562" t="e">
        <f>AND(#REF!,"AAAAAH7+/xY=")</f>
        <v>#REF!</v>
      </c>
      <c r="X562" t="e">
        <f>AND(#REF!,"AAAAAH7+/xc=")</f>
        <v>#REF!</v>
      </c>
      <c r="Y562" t="e">
        <f>AND(#REF!,"AAAAAH7+/xg=")</f>
        <v>#REF!</v>
      </c>
      <c r="Z562" t="e">
        <f>IF(#REF!,"AAAAAH7+/xk=",0)</f>
        <v>#REF!</v>
      </c>
      <c r="AA562" t="e">
        <f>AND(#REF!,"AAAAAH7+/xo=")</f>
        <v>#REF!</v>
      </c>
      <c r="AB562" t="e">
        <f>AND(#REF!,"AAAAAH7+/xs=")</f>
        <v>#REF!</v>
      </c>
      <c r="AC562" t="e">
        <f>AND(#REF!,"AAAAAH7+/xw=")</f>
        <v>#REF!</v>
      </c>
      <c r="AD562" t="e">
        <f>AND(#REF!,"AAAAAH7+/x0=")</f>
        <v>#REF!</v>
      </c>
      <c r="AE562" t="e">
        <f>AND(#REF!,"AAAAAH7+/x4=")</f>
        <v>#REF!</v>
      </c>
      <c r="AF562" t="e">
        <f>AND(#REF!,"AAAAAH7+/x8=")</f>
        <v>#REF!</v>
      </c>
      <c r="AG562" t="e">
        <f>AND(#REF!,"AAAAAH7+/yA=")</f>
        <v>#REF!</v>
      </c>
      <c r="AH562" t="e">
        <f>AND(#REF!,"AAAAAH7+/yE=")</f>
        <v>#REF!</v>
      </c>
      <c r="AI562" t="e">
        <f>AND(#REF!,"AAAAAH7+/yI=")</f>
        <v>#REF!</v>
      </c>
      <c r="AJ562" t="e">
        <f>AND(#REF!,"AAAAAH7+/yM=")</f>
        <v>#REF!</v>
      </c>
      <c r="AK562" t="e">
        <f>IF(#REF!,"AAAAAH7+/yQ=",0)</f>
        <v>#REF!</v>
      </c>
      <c r="AL562" t="e">
        <f>AND(#REF!,"AAAAAH7+/yU=")</f>
        <v>#REF!</v>
      </c>
      <c r="AM562" t="e">
        <f>AND(#REF!,"AAAAAH7+/yY=")</f>
        <v>#REF!</v>
      </c>
      <c r="AN562" t="e">
        <f>AND(#REF!,"AAAAAH7+/yc=")</f>
        <v>#REF!</v>
      </c>
      <c r="AO562" t="e">
        <f>AND(#REF!,"AAAAAH7+/yg=")</f>
        <v>#REF!</v>
      </c>
      <c r="AP562" t="e">
        <f>AND(#REF!,"AAAAAH7+/yk=")</f>
        <v>#REF!</v>
      </c>
      <c r="AQ562" t="e">
        <f>AND(#REF!,"AAAAAH7+/yo=")</f>
        <v>#REF!</v>
      </c>
      <c r="AR562" t="e">
        <f>AND(#REF!,"AAAAAH7+/ys=")</f>
        <v>#REF!</v>
      </c>
      <c r="AS562" t="e">
        <f>AND(#REF!,"AAAAAH7+/yw=")</f>
        <v>#REF!</v>
      </c>
      <c r="AT562" t="e">
        <f>AND(#REF!,"AAAAAH7+/y0=")</f>
        <v>#REF!</v>
      </c>
      <c r="AU562" t="e">
        <f>AND(#REF!,"AAAAAH7+/y4=")</f>
        <v>#REF!</v>
      </c>
      <c r="AV562" t="e">
        <f>IF(#REF!,"AAAAAH7+/y8=",0)</f>
        <v>#REF!</v>
      </c>
      <c r="AW562" t="e">
        <f>AND(#REF!,"AAAAAH7+/zA=")</f>
        <v>#REF!</v>
      </c>
      <c r="AX562" t="e">
        <f>AND(#REF!,"AAAAAH7+/zE=")</f>
        <v>#REF!</v>
      </c>
      <c r="AY562" t="e">
        <f>AND(#REF!,"AAAAAH7+/zI=")</f>
        <v>#REF!</v>
      </c>
      <c r="AZ562" t="e">
        <f>AND(#REF!,"AAAAAH7+/zM=")</f>
        <v>#REF!</v>
      </c>
      <c r="BA562" t="e">
        <f>AND(#REF!,"AAAAAH7+/zQ=")</f>
        <v>#REF!</v>
      </c>
      <c r="BB562" t="e">
        <f>AND(#REF!,"AAAAAH7+/zU=")</f>
        <v>#REF!</v>
      </c>
      <c r="BC562" t="e">
        <f>AND(#REF!,"AAAAAH7+/zY=")</f>
        <v>#REF!</v>
      </c>
      <c r="BD562" t="e">
        <f>AND(#REF!,"AAAAAH7+/zc=")</f>
        <v>#REF!</v>
      </c>
      <c r="BE562" t="e">
        <f>AND(#REF!,"AAAAAH7+/zg=")</f>
        <v>#REF!</v>
      </c>
      <c r="BF562" t="e">
        <f>AND(#REF!,"AAAAAH7+/zk=")</f>
        <v>#REF!</v>
      </c>
      <c r="BG562" t="e">
        <f>IF(#REF!,"AAAAAH7+/zo=",0)</f>
        <v>#REF!</v>
      </c>
      <c r="BH562" t="e">
        <f>AND(#REF!,"AAAAAH7+/zs=")</f>
        <v>#REF!</v>
      </c>
      <c r="BI562" t="e">
        <f>AND(#REF!,"AAAAAH7+/zw=")</f>
        <v>#REF!</v>
      </c>
      <c r="BJ562" t="e">
        <f>AND(#REF!,"AAAAAH7+/z0=")</f>
        <v>#REF!</v>
      </c>
      <c r="BK562" t="e">
        <f>AND(#REF!,"AAAAAH7+/z4=")</f>
        <v>#REF!</v>
      </c>
      <c r="BL562" t="e">
        <f>AND(#REF!,"AAAAAH7+/z8=")</f>
        <v>#REF!</v>
      </c>
      <c r="BM562" t="e">
        <f>AND(#REF!,"AAAAAH7+/0A=")</f>
        <v>#REF!</v>
      </c>
      <c r="BN562" t="e">
        <f>AND(#REF!,"AAAAAH7+/0E=")</f>
        <v>#REF!</v>
      </c>
      <c r="BO562" t="e">
        <f>AND(#REF!,"AAAAAH7+/0I=")</f>
        <v>#REF!</v>
      </c>
      <c r="BP562" t="e">
        <f>AND(#REF!,"AAAAAH7+/0M=")</f>
        <v>#REF!</v>
      </c>
      <c r="BQ562" t="e">
        <f>AND(#REF!,"AAAAAH7+/0Q=")</f>
        <v>#REF!</v>
      </c>
      <c r="BR562" t="e">
        <f>IF(#REF!,"AAAAAH7+/0U=",0)</f>
        <v>#REF!</v>
      </c>
      <c r="BS562" t="e">
        <f>AND(#REF!,"AAAAAH7+/0Y=")</f>
        <v>#REF!</v>
      </c>
      <c r="BT562" t="e">
        <f>AND(#REF!,"AAAAAH7+/0c=")</f>
        <v>#REF!</v>
      </c>
      <c r="BU562" t="e">
        <f>AND(#REF!,"AAAAAH7+/0g=")</f>
        <v>#REF!</v>
      </c>
      <c r="BV562" t="e">
        <f>AND(#REF!,"AAAAAH7+/0k=")</f>
        <v>#REF!</v>
      </c>
      <c r="BW562" t="e">
        <f>AND(#REF!,"AAAAAH7+/0o=")</f>
        <v>#REF!</v>
      </c>
      <c r="BX562" t="e">
        <f>AND(#REF!,"AAAAAH7+/0s=")</f>
        <v>#REF!</v>
      </c>
      <c r="BY562" t="e">
        <f>AND(#REF!,"AAAAAH7+/0w=")</f>
        <v>#REF!</v>
      </c>
      <c r="BZ562" t="e">
        <f>AND(#REF!,"AAAAAH7+/00=")</f>
        <v>#REF!</v>
      </c>
      <c r="CA562" t="e">
        <f>AND(#REF!,"AAAAAH7+/04=")</f>
        <v>#REF!</v>
      </c>
      <c r="CB562" t="e">
        <f>AND(#REF!,"AAAAAH7+/08=")</f>
        <v>#REF!</v>
      </c>
      <c r="CC562" t="e">
        <f>IF(#REF!,"AAAAAH7+/1A=",0)</f>
        <v>#REF!</v>
      </c>
      <c r="CD562" t="e">
        <f>AND(#REF!,"AAAAAH7+/1E=")</f>
        <v>#REF!</v>
      </c>
      <c r="CE562" t="e">
        <f>AND(#REF!,"AAAAAH7+/1I=")</f>
        <v>#REF!</v>
      </c>
      <c r="CF562" t="e">
        <f>AND(#REF!,"AAAAAH7+/1M=")</f>
        <v>#REF!</v>
      </c>
      <c r="CG562" t="e">
        <f>AND(#REF!,"AAAAAH7+/1Q=")</f>
        <v>#REF!</v>
      </c>
      <c r="CH562" t="e">
        <f>AND(#REF!,"AAAAAH7+/1U=")</f>
        <v>#REF!</v>
      </c>
      <c r="CI562" t="e">
        <f>AND(#REF!,"AAAAAH7+/1Y=")</f>
        <v>#REF!</v>
      </c>
      <c r="CJ562" t="e">
        <f>AND(#REF!,"AAAAAH7+/1c=")</f>
        <v>#REF!</v>
      </c>
      <c r="CK562" t="e">
        <f>AND(#REF!,"AAAAAH7+/1g=")</f>
        <v>#REF!</v>
      </c>
      <c r="CL562" t="e">
        <f>AND(#REF!,"AAAAAH7+/1k=")</f>
        <v>#REF!</v>
      </c>
      <c r="CM562" t="e">
        <f>AND(#REF!,"AAAAAH7+/1o=")</f>
        <v>#REF!</v>
      </c>
      <c r="CN562" t="e">
        <f>IF(#REF!,"AAAAAH7+/1s=",0)</f>
        <v>#REF!</v>
      </c>
      <c r="CO562" t="e">
        <f>AND(#REF!,"AAAAAH7+/1w=")</f>
        <v>#REF!</v>
      </c>
      <c r="CP562" t="e">
        <f>AND(#REF!,"AAAAAH7+/10=")</f>
        <v>#REF!</v>
      </c>
      <c r="CQ562" t="e">
        <f>AND(#REF!,"AAAAAH7+/14=")</f>
        <v>#REF!</v>
      </c>
      <c r="CR562" t="e">
        <f>AND(#REF!,"AAAAAH7+/18=")</f>
        <v>#REF!</v>
      </c>
      <c r="CS562" t="e">
        <f>AND(#REF!,"AAAAAH7+/2A=")</f>
        <v>#REF!</v>
      </c>
      <c r="CT562" t="e">
        <f>AND(#REF!,"AAAAAH7+/2E=")</f>
        <v>#REF!</v>
      </c>
      <c r="CU562" t="e">
        <f>AND(#REF!,"AAAAAH7+/2I=")</f>
        <v>#REF!</v>
      </c>
      <c r="CV562" t="e">
        <f>AND(#REF!,"AAAAAH7+/2M=")</f>
        <v>#REF!</v>
      </c>
      <c r="CW562" t="e">
        <f>AND(#REF!,"AAAAAH7+/2Q=")</f>
        <v>#REF!</v>
      </c>
      <c r="CX562" t="e">
        <f>AND(#REF!,"AAAAAH7+/2U=")</f>
        <v>#REF!</v>
      </c>
      <c r="CY562" t="e">
        <f>IF(#REF!,"AAAAAH7+/2Y=",0)</f>
        <v>#REF!</v>
      </c>
      <c r="CZ562" t="e">
        <f>AND(#REF!,"AAAAAH7+/2c=")</f>
        <v>#REF!</v>
      </c>
      <c r="DA562" t="e">
        <f>AND(#REF!,"AAAAAH7+/2g=")</f>
        <v>#REF!</v>
      </c>
      <c r="DB562" t="e">
        <f>AND(#REF!,"AAAAAH7+/2k=")</f>
        <v>#REF!</v>
      </c>
      <c r="DC562" t="e">
        <f>AND(#REF!,"AAAAAH7+/2o=")</f>
        <v>#REF!</v>
      </c>
      <c r="DD562" t="e">
        <f>AND(#REF!,"AAAAAH7+/2s=")</f>
        <v>#REF!</v>
      </c>
      <c r="DE562" t="e">
        <f>AND(#REF!,"AAAAAH7+/2w=")</f>
        <v>#REF!</v>
      </c>
      <c r="DF562" t="e">
        <f>AND(#REF!,"AAAAAH7+/20=")</f>
        <v>#REF!</v>
      </c>
      <c r="DG562" t="e">
        <f>AND(#REF!,"AAAAAH7+/24=")</f>
        <v>#REF!</v>
      </c>
      <c r="DH562" t="e">
        <f>AND(#REF!,"AAAAAH7+/28=")</f>
        <v>#REF!</v>
      </c>
      <c r="DI562" t="e">
        <f>AND(#REF!,"AAAAAH7+/3A=")</f>
        <v>#REF!</v>
      </c>
      <c r="DJ562" t="e">
        <f>IF(#REF!,"AAAAAH7+/3E=",0)</f>
        <v>#REF!</v>
      </c>
      <c r="DK562" t="e">
        <f>AND(#REF!,"AAAAAH7+/3I=")</f>
        <v>#REF!</v>
      </c>
      <c r="DL562" t="e">
        <f>AND(#REF!,"AAAAAH7+/3M=")</f>
        <v>#REF!</v>
      </c>
      <c r="DM562" t="e">
        <f>AND(#REF!,"AAAAAH7+/3Q=")</f>
        <v>#REF!</v>
      </c>
      <c r="DN562" t="e">
        <f>AND(#REF!,"AAAAAH7+/3U=")</f>
        <v>#REF!</v>
      </c>
      <c r="DO562" t="e">
        <f>AND(#REF!,"AAAAAH7+/3Y=")</f>
        <v>#REF!</v>
      </c>
      <c r="DP562" t="e">
        <f>AND(#REF!,"AAAAAH7+/3c=")</f>
        <v>#REF!</v>
      </c>
      <c r="DQ562" t="e">
        <f>AND(#REF!,"AAAAAH7+/3g=")</f>
        <v>#REF!</v>
      </c>
      <c r="DR562" t="e">
        <f>AND(#REF!,"AAAAAH7+/3k=")</f>
        <v>#REF!</v>
      </c>
      <c r="DS562" t="e">
        <f>AND(#REF!,"AAAAAH7+/3o=")</f>
        <v>#REF!</v>
      </c>
      <c r="DT562" t="e">
        <f>AND(#REF!,"AAAAAH7+/3s=")</f>
        <v>#REF!</v>
      </c>
      <c r="DU562" t="e">
        <f>IF(#REF!,"AAAAAH7+/3w=",0)</f>
        <v>#REF!</v>
      </c>
      <c r="DV562" t="e">
        <f>AND(#REF!,"AAAAAH7+/30=")</f>
        <v>#REF!</v>
      </c>
      <c r="DW562" t="e">
        <f>AND(#REF!,"AAAAAH7+/34=")</f>
        <v>#REF!</v>
      </c>
      <c r="DX562" t="e">
        <f>AND(#REF!,"AAAAAH7+/38=")</f>
        <v>#REF!</v>
      </c>
      <c r="DY562" t="e">
        <f>AND(#REF!,"AAAAAH7+/4A=")</f>
        <v>#REF!</v>
      </c>
      <c r="DZ562" t="e">
        <f>AND(#REF!,"AAAAAH7+/4E=")</f>
        <v>#REF!</v>
      </c>
      <c r="EA562" t="e">
        <f>AND(#REF!,"AAAAAH7+/4I=")</f>
        <v>#REF!</v>
      </c>
      <c r="EB562" t="e">
        <f>AND(#REF!,"AAAAAH7+/4M=")</f>
        <v>#REF!</v>
      </c>
      <c r="EC562" t="e">
        <f>AND(#REF!,"AAAAAH7+/4Q=")</f>
        <v>#REF!</v>
      </c>
      <c r="ED562" t="e">
        <f>AND(#REF!,"AAAAAH7+/4U=")</f>
        <v>#REF!</v>
      </c>
      <c r="EE562" t="e">
        <f>AND(#REF!,"AAAAAH7+/4Y=")</f>
        <v>#REF!</v>
      </c>
      <c r="EF562" t="e">
        <f>IF(#REF!,"AAAAAH7+/4c=",0)</f>
        <v>#REF!</v>
      </c>
      <c r="EG562" t="e">
        <f>AND(#REF!,"AAAAAH7+/4g=")</f>
        <v>#REF!</v>
      </c>
      <c r="EH562" t="e">
        <f>AND(#REF!,"AAAAAH7+/4k=")</f>
        <v>#REF!</v>
      </c>
      <c r="EI562" t="e">
        <f>AND(#REF!,"AAAAAH7+/4o=")</f>
        <v>#REF!</v>
      </c>
      <c r="EJ562" t="e">
        <f>AND(#REF!,"AAAAAH7+/4s=")</f>
        <v>#REF!</v>
      </c>
      <c r="EK562" t="e">
        <f>AND(#REF!,"AAAAAH7+/4w=")</f>
        <v>#REF!</v>
      </c>
      <c r="EL562" t="e">
        <f>AND(#REF!,"AAAAAH7+/40=")</f>
        <v>#REF!</v>
      </c>
      <c r="EM562" t="e">
        <f>AND(#REF!,"AAAAAH7+/44=")</f>
        <v>#REF!</v>
      </c>
      <c r="EN562" t="e">
        <f>AND(#REF!,"AAAAAH7+/48=")</f>
        <v>#REF!</v>
      </c>
      <c r="EO562" t="e">
        <f>AND(#REF!,"AAAAAH7+/5A=")</f>
        <v>#REF!</v>
      </c>
      <c r="EP562" t="e">
        <f>AND(#REF!,"AAAAAH7+/5E=")</f>
        <v>#REF!</v>
      </c>
      <c r="EQ562" t="e">
        <f>IF(#REF!,"AAAAAH7+/5I=",0)</f>
        <v>#REF!</v>
      </c>
      <c r="ER562" t="e">
        <f>AND(#REF!,"AAAAAH7+/5M=")</f>
        <v>#REF!</v>
      </c>
      <c r="ES562" t="e">
        <f>AND(#REF!,"AAAAAH7+/5Q=")</f>
        <v>#REF!</v>
      </c>
      <c r="ET562" t="e">
        <f>AND(#REF!,"AAAAAH7+/5U=")</f>
        <v>#REF!</v>
      </c>
      <c r="EU562" t="e">
        <f>AND(#REF!,"AAAAAH7+/5Y=")</f>
        <v>#REF!</v>
      </c>
      <c r="EV562" t="e">
        <f>AND(#REF!,"AAAAAH7+/5c=")</f>
        <v>#REF!</v>
      </c>
      <c r="EW562" t="e">
        <f>AND(#REF!,"AAAAAH7+/5g=")</f>
        <v>#REF!</v>
      </c>
      <c r="EX562" t="e">
        <f>AND(#REF!,"AAAAAH7+/5k=")</f>
        <v>#REF!</v>
      </c>
      <c r="EY562" t="e">
        <f>AND(#REF!,"AAAAAH7+/5o=")</f>
        <v>#REF!</v>
      </c>
      <c r="EZ562" t="e">
        <f>AND(#REF!,"AAAAAH7+/5s=")</f>
        <v>#REF!</v>
      </c>
      <c r="FA562" t="e">
        <f>AND(#REF!,"AAAAAH7+/5w=")</f>
        <v>#REF!</v>
      </c>
      <c r="FB562" t="e">
        <f>IF(#REF!,"AAAAAH7+/50=",0)</f>
        <v>#REF!</v>
      </c>
      <c r="FC562" t="e">
        <f>AND(#REF!,"AAAAAH7+/54=")</f>
        <v>#REF!</v>
      </c>
      <c r="FD562" t="e">
        <f>AND(#REF!,"AAAAAH7+/58=")</f>
        <v>#REF!</v>
      </c>
      <c r="FE562" t="e">
        <f>AND(#REF!,"AAAAAH7+/6A=")</f>
        <v>#REF!</v>
      </c>
      <c r="FF562" t="e">
        <f>AND(#REF!,"AAAAAH7+/6E=")</f>
        <v>#REF!</v>
      </c>
      <c r="FG562" t="e">
        <f>AND(#REF!,"AAAAAH7+/6I=")</f>
        <v>#REF!</v>
      </c>
      <c r="FH562" t="e">
        <f>AND(#REF!,"AAAAAH7+/6M=")</f>
        <v>#REF!</v>
      </c>
      <c r="FI562" t="e">
        <f>AND(#REF!,"AAAAAH7+/6Q=")</f>
        <v>#REF!</v>
      </c>
      <c r="FJ562" t="e">
        <f>AND(#REF!,"AAAAAH7+/6U=")</f>
        <v>#REF!</v>
      </c>
      <c r="FK562" t="e">
        <f>AND(#REF!,"AAAAAH7+/6Y=")</f>
        <v>#REF!</v>
      </c>
      <c r="FL562" t="e">
        <f>AND(#REF!,"AAAAAH7+/6c=")</f>
        <v>#REF!</v>
      </c>
      <c r="FM562" t="e">
        <f>IF(#REF!,"AAAAAH7+/6g=",0)</f>
        <v>#REF!</v>
      </c>
      <c r="FN562" t="e">
        <f>AND(#REF!,"AAAAAH7+/6k=")</f>
        <v>#REF!</v>
      </c>
      <c r="FO562" t="e">
        <f>AND(#REF!,"AAAAAH7+/6o=")</f>
        <v>#REF!</v>
      </c>
      <c r="FP562" t="e">
        <f>AND(#REF!,"AAAAAH7+/6s=")</f>
        <v>#REF!</v>
      </c>
      <c r="FQ562" t="e">
        <f>AND(#REF!,"AAAAAH7+/6w=")</f>
        <v>#REF!</v>
      </c>
      <c r="FR562" t="e">
        <f>AND(#REF!,"AAAAAH7+/60=")</f>
        <v>#REF!</v>
      </c>
      <c r="FS562" t="e">
        <f>AND(#REF!,"AAAAAH7+/64=")</f>
        <v>#REF!</v>
      </c>
      <c r="FT562" t="e">
        <f>AND(#REF!,"AAAAAH7+/68=")</f>
        <v>#REF!</v>
      </c>
      <c r="FU562" t="e">
        <f>AND(#REF!,"AAAAAH7+/7A=")</f>
        <v>#REF!</v>
      </c>
      <c r="FV562" t="e">
        <f>AND(#REF!,"AAAAAH7+/7E=")</f>
        <v>#REF!</v>
      </c>
      <c r="FW562" t="e">
        <f>AND(#REF!,"AAAAAH7+/7I=")</f>
        <v>#REF!</v>
      </c>
      <c r="FX562" t="e">
        <f>IF(#REF!,"AAAAAH7+/7M=",0)</f>
        <v>#REF!</v>
      </c>
      <c r="FY562" t="e">
        <f>AND(#REF!,"AAAAAH7+/7Q=")</f>
        <v>#REF!</v>
      </c>
      <c r="FZ562" t="e">
        <f>AND(#REF!,"AAAAAH7+/7U=")</f>
        <v>#REF!</v>
      </c>
      <c r="GA562" t="e">
        <f>AND(#REF!,"AAAAAH7+/7Y=")</f>
        <v>#REF!</v>
      </c>
      <c r="GB562" t="e">
        <f>AND(#REF!,"AAAAAH7+/7c=")</f>
        <v>#REF!</v>
      </c>
      <c r="GC562" t="e">
        <f>AND(#REF!,"AAAAAH7+/7g=")</f>
        <v>#REF!</v>
      </c>
      <c r="GD562" t="e">
        <f>AND(#REF!,"AAAAAH7+/7k=")</f>
        <v>#REF!</v>
      </c>
      <c r="GE562" t="e">
        <f>AND(#REF!,"AAAAAH7+/7o=")</f>
        <v>#REF!</v>
      </c>
      <c r="GF562" t="e">
        <f>AND(#REF!,"AAAAAH7+/7s=")</f>
        <v>#REF!</v>
      </c>
      <c r="GG562" t="e">
        <f>AND(#REF!,"AAAAAH7+/7w=")</f>
        <v>#REF!</v>
      </c>
      <c r="GH562" t="e">
        <f>AND(#REF!,"AAAAAH7+/70=")</f>
        <v>#REF!</v>
      </c>
      <c r="GI562" t="e">
        <f>IF(#REF!,"AAAAAH7+/74=",0)</f>
        <v>#REF!</v>
      </c>
      <c r="GJ562" t="e">
        <f>AND(#REF!,"AAAAAH7+/78=")</f>
        <v>#REF!</v>
      </c>
      <c r="GK562" t="e">
        <f>AND(#REF!,"AAAAAH7+/8A=")</f>
        <v>#REF!</v>
      </c>
      <c r="GL562" t="e">
        <f>AND(#REF!,"AAAAAH7+/8E=")</f>
        <v>#REF!</v>
      </c>
      <c r="GM562" t="e">
        <f>AND(#REF!,"AAAAAH7+/8I=")</f>
        <v>#REF!</v>
      </c>
      <c r="GN562" t="e">
        <f>AND(#REF!,"AAAAAH7+/8M=")</f>
        <v>#REF!</v>
      </c>
      <c r="GO562" t="e">
        <f>AND(#REF!,"AAAAAH7+/8Q=")</f>
        <v>#REF!</v>
      </c>
      <c r="GP562" t="e">
        <f>AND(#REF!,"AAAAAH7+/8U=")</f>
        <v>#REF!</v>
      </c>
      <c r="GQ562" t="e">
        <f>AND(#REF!,"AAAAAH7+/8Y=")</f>
        <v>#REF!</v>
      </c>
      <c r="GR562" t="e">
        <f>AND(#REF!,"AAAAAH7+/8c=")</f>
        <v>#REF!</v>
      </c>
      <c r="GS562" t="e">
        <f>AND(#REF!,"AAAAAH7+/8g=")</f>
        <v>#REF!</v>
      </c>
      <c r="GT562" t="e">
        <f>IF(#REF!,"AAAAAH7+/8k=",0)</f>
        <v>#REF!</v>
      </c>
      <c r="GU562" t="e">
        <f>AND(#REF!,"AAAAAH7+/8o=")</f>
        <v>#REF!</v>
      </c>
      <c r="GV562" t="e">
        <f>AND(#REF!,"AAAAAH7+/8s=")</f>
        <v>#REF!</v>
      </c>
      <c r="GW562" t="e">
        <f>AND(#REF!,"AAAAAH7+/8w=")</f>
        <v>#REF!</v>
      </c>
      <c r="GX562" t="e">
        <f>AND(#REF!,"AAAAAH7+/80=")</f>
        <v>#REF!</v>
      </c>
      <c r="GY562" t="e">
        <f>AND(#REF!,"AAAAAH7+/84=")</f>
        <v>#REF!</v>
      </c>
      <c r="GZ562" t="e">
        <f>AND(#REF!,"AAAAAH7+/88=")</f>
        <v>#REF!</v>
      </c>
      <c r="HA562" t="e">
        <f>AND(#REF!,"AAAAAH7+/9A=")</f>
        <v>#REF!</v>
      </c>
      <c r="HB562" t="e">
        <f>AND(#REF!,"AAAAAH7+/9E=")</f>
        <v>#REF!</v>
      </c>
      <c r="HC562" t="e">
        <f>AND(#REF!,"AAAAAH7+/9I=")</f>
        <v>#REF!</v>
      </c>
      <c r="HD562" t="e">
        <f>AND(#REF!,"AAAAAH7+/9M=")</f>
        <v>#REF!</v>
      </c>
      <c r="HE562" t="e">
        <f>IF(#REF!,"AAAAAH7+/9Q=",0)</f>
        <v>#REF!</v>
      </c>
      <c r="HF562" t="e">
        <f>AND(#REF!,"AAAAAH7+/9U=")</f>
        <v>#REF!</v>
      </c>
      <c r="HG562" t="e">
        <f>AND(#REF!,"AAAAAH7+/9Y=")</f>
        <v>#REF!</v>
      </c>
      <c r="HH562" t="e">
        <f>AND(#REF!,"AAAAAH7+/9c=")</f>
        <v>#REF!</v>
      </c>
      <c r="HI562" t="e">
        <f>AND(#REF!,"AAAAAH7+/9g=")</f>
        <v>#REF!</v>
      </c>
      <c r="HJ562" t="e">
        <f>AND(#REF!,"AAAAAH7+/9k=")</f>
        <v>#REF!</v>
      </c>
      <c r="HK562" t="e">
        <f>AND(#REF!,"AAAAAH7+/9o=")</f>
        <v>#REF!</v>
      </c>
      <c r="HL562" t="e">
        <f>AND(#REF!,"AAAAAH7+/9s=")</f>
        <v>#REF!</v>
      </c>
      <c r="HM562" t="e">
        <f>AND(#REF!,"AAAAAH7+/9w=")</f>
        <v>#REF!</v>
      </c>
      <c r="HN562" t="e">
        <f>AND(#REF!,"AAAAAH7+/90=")</f>
        <v>#REF!</v>
      </c>
      <c r="HO562" t="e">
        <f>AND(#REF!,"AAAAAH7+/94=")</f>
        <v>#REF!</v>
      </c>
      <c r="HP562" t="e">
        <f>IF(#REF!,"AAAAAH7+/98=",0)</f>
        <v>#REF!</v>
      </c>
      <c r="HQ562" t="e">
        <f>AND(#REF!,"AAAAAH7+/+A=")</f>
        <v>#REF!</v>
      </c>
      <c r="HR562" t="e">
        <f>AND(#REF!,"AAAAAH7+/+E=")</f>
        <v>#REF!</v>
      </c>
      <c r="HS562" t="e">
        <f>AND(#REF!,"AAAAAH7+/+I=")</f>
        <v>#REF!</v>
      </c>
      <c r="HT562" t="e">
        <f>AND(#REF!,"AAAAAH7+/+M=")</f>
        <v>#REF!</v>
      </c>
      <c r="HU562" t="e">
        <f>AND(#REF!,"AAAAAH7+/+Q=")</f>
        <v>#REF!</v>
      </c>
      <c r="HV562" t="e">
        <f>AND(#REF!,"AAAAAH7+/+U=")</f>
        <v>#REF!</v>
      </c>
      <c r="HW562" t="e">
        <f>AND(#REF!,"AAAAAH7+/+Y=")</f>
        <v>#REF!</v>
      </c>
      <c r="HX562" t="e">
        <f>AND(#REF!,"AAAAAH7+/+c=")</f>
        <v>#REF!</v>
      </c>
      <c r="HY562" t="e">
        <f>AND(#REF!,"AAAAAH7+/+g=")</f>
        <v>#REF!</v>
      </c>
      <c r="HZ562" t="e">
        <f>AND(#REF!,"AAAAAH7+/+k=")</f>
        <v>#REF!</v>
      </c>
      <c r="IA562" t="e">
        <f>IF(#REF!,"AAAAAH7+/+o=",0)</f>
        <v>#REF!</v>
      </c>
      <c r="IB562" t="e">
        <f>AND(#REF!,"AAAAAH7+/+s=")</f>
        <v>#REF!</v>
      </c>
      <c r="IC562" t="e">
        <f>AND(#REF!,"AAAAAH7+/+w=")</f>
        <v>#REF!</v>
      </c>
      <c r="ID562" t="e">
        <f>AND(#REF!,"AAAAAH7+/+0=")</f>
        <v>#REF!</v>
      </c>
      <c r="IE562" t="e">
        <f>AND(#REF!,"AAAAAH7+/+4=")</f>
        <v>#REF!</v>
      </c>
      <c r="IF562" t="e">
        <f>AND(#REF!,"AAAAAH7+/+8=")</f>
        <v>#REF!</v>
      </c>
      <c r="IG562" t="e">
        <f>AND(#REF!,"AAAAAH7+//A=")</f>
        <v>#REF!</v>
      </c>
      <c r="IH562" t="e">
        <f>AND(#REF!,"AAAAAH7+//E=")</f>
        <v>#REF!</v>
      </c>
      <c r="II562" t="e">
        <f>AND(#REF!,"AAAAAH7+//I=")</f>
        <v>#REF!</v>
      </c>
      <c r="IJ562" t="e">
        <f>AND(#REF!,"AAAAAH7+//M=")</f>
        <v>#REF!</v>
      </c>
      <c r="IK562" t="e">
        <f>AND(#REF!,"AAAAAH7+//Q=")</f>
        <v>#REF!</v>
      </c>
      <c r="IL562" t="e">
        <f>IF(#REF!,"AAAAAH7+//U=",0)</f>
        <v>#REF!</v>
      </c>
      <c r="IM562" t="e">
        <f>AND(#REF!,"AAAAAH7+//Y=")</f>
        <v>#REF!</v>
      </c>
      <c r="IN562" t="e">
        <f>AND(#REF!,"AAAAAH7+//c=")</f>
        <v>#REF!</v>
      </c>
      <c r="IO562" t="e">
        <f>AND(#REF!,"AAAAAH7+//g=")</f>
        <v>#REF!</v>
      </c>
      <c r="IP562" t="e">
        <f>AND(#REF!,"AAAAAH7+//k=")</f>
        <v>#REF!</v>
      </c>
      <c r="IQ562" t="e">
        <f>AND(#REF!,"AAAAAH7+//o=")</f>
        <v>#REF!</v>
      </c>
      <c r="IR562" t="e">
        <f>AND(#REF!,"AAAAAH7+//s=")</f>
        <v>#REF!</v>
      </c>
      <c r="IS562" t="e">
        <f>AND(#REF!,"AAAAAH7+//w=")</f>
        <v>#REF!</v>
      </c>
      <c r="IT562" t="e">
        <f>AND(#REF!,"AAAAAH7+//0=")</f>
        <v>#REF!</v>
      </c>
      <c r="IU562" t="e">
        <f>AND(#REF!,"AAAAAH7+//4=")</f>
        <v>#REF!</v>
      </c>
      <c r="IV562" t="e">
        <f>AND(#REF!,"AAAAAH7+//8=")</f>
        <v>#REF!</v>
      </c>
    </row>
    <row r="563" spans="1:256" x14ac:dyDescent="0.25">
      <c r="A563" t="e">
        <f>IF(#REF!,"AAAAAG4CfQA=",0)</f>
        <v>#REF!</v>
      </c>
      <c r="B563" t="e">
        <f>AND(#REF!,"AAAAAG4CfQE=")</f>
        <v>#REF!</v>
      </c>
      <c r="C563" t="e">
        <f>AND(#REF!,"AAAAAG4CfQI=")</f>
        <v>#REF!</v>
      </c>
      <c r="D563" t="e">
        <f>AND(#REF!,"AAAAAG4CfQM=")</f>
        <v>#REF!</v>
      </c>
      <c r="E563" t="e">
        <f>AND(#REF!,"AAAAAG4CfQQ=")</f>
        <v>#REF!</v>
      </c>
      <c r="F563" t="e">
        <f>AND(#REF!,"AAAAAG4CfQU=")</f>
        <v>#REF!</v>
      </c>
      <c r="G563" t="e">
        <f>AND(#REF!,"AAAAAG4CfQY=")</f>
        <v>#REF!</v>
      </c>
      <c r="H563" t="e">
        <f>AND(#REF!,"AAAAAG4CfQc=")</f>
        <v>#REF!</v>
      </c>
      <c r="I563" t="e">
        <f>AND(#REF!,"AAAAAG4CfQg=")</f>
        <v>#REF!</v>
      </c>
      <c r="J563" t="e">
        <f>AND(#REF!,"AAAAAG4CfQk=")</f>
        <v>#REF!</v>
      </c>
      <c r="K563" t="e">
        <f>AND(#REF!,"AAAAAG4CfQo=")</f>
        <v>#REF!</v>
      </c>
      <c r="L563" t="e">
        <f>IF(#REF!,"AAAAAG4CfQs=",0)</f>
        <v>#REF!</v>
      </c>
      <c r="M563" t="e">
        <f>AND(#REF!,"AAAAAG4CfQw=")</f>
        <v>#REF!</v>
      </c>
      <c r="N563" t="e">
        <f>AND(#REF!,"AAAAAG4CfQ0=")</f>
        <v>#REF!</v>
      </c>
      <c r="O563" t="e">
        <f>AND(#REF!,"AAAAAG4CfQ4=")</f>
        <v>#REF!</v>
      </c>
      <c r="P563" t="e">
        <f>AND(#REF!,"AAAAAG4CfQ8=")</f>
        <v>#REF!</v>
      </c>
      <c r="Q563" t="e">
        <f>AND(#REF!,"AAAAAG4CfRA=")</f>
        <v>#REF!</v>
      </c>
      <c r="R563" t="e">
        <f>AND(#REF!,"AAAAAG4CfRE=")</f>
        <v>#REF!</v>
      </c>
      <c r="S563" t="e">
        <f>AND(#REF!,"AAAAAG4CfRI=")</f>
        <v>#REF!</v>
      </c>
      <c r="T563" t="e">
        <f>AND(#REF!,"AAAAAG4CfRM=")</f>
        <v>#REF!</v>
      </c>
      <c r="U563" t="e">
        <f>AND(#REF!,"AAAAAG4CfRQ=")</f>
        <v>#REF!</v>
      </c>
      <c r="V563" t="e">
        <f>AND(#REF!,"AAAAAG4CfRU=")</f>
        <v>#REF!</v>
      </c>
      <c r="W563" t="e">
        <f>IF(#REF!,"AAAAAG4CfRY=",0)</f>
        <v>#REF!</v>
      </c>
      <c r="X563" t="e">
        <f>AND(#REF!,"AAAAAG4CfRc=")</f>
        <v>#REF!</v>
      </c>
      <c r="Y563" t="e">
        <f>AND(#REF!,"AAAAAG4CfRg=")</f>
        <v>#REF!</v>
      </c>
      <c r="Z563" t="e">
        <f>AND(#REF!,"AAAAAG4CfRk=")</f>
        <v>#REF!</v>
      </c>
      <c r="AA563" t="e">
        <f>AND(#REF!,"AAAAAG4CfRo=")</f>
        <v>#REF!</v>
      </c>
      <c r="AB563" t="e">
        <f>AND(#REF!,"AAAAAG4CfRs=")</f>
        <v>#REF!</v>
      </c>
      <c r="AC563" t="e">
        <f>AND(#REF!,"AAAAAG4CfRw=")</f>
        <v>#REF!</v>
      </c>
      <c r="AD563" t="e">
        <f>AND(#REF!,"AAAAAG4CfR0=")</f>
        <v>#REF!</v>
      </c>
      <c r="AE563" t="e">
        <f>AND(#REF!,"AAAAAG4CfR4=")</f>
        <v>#REF!</v>
      </c>
      <c r="AF563" t="e">
        <f>AND(#REF!,"AAAAAG4CfR8=")</f>
        <v>#REF!</v>
      </c>
      <c r="AG563" t="e">
        <f>AND(#REF!,"AAAAAG4CfSA=")</f>
        <v>#REF!</v>
      </c>
      <c r="AH563" t="e">
        <f>IF(#REF!,"AAAAAG4CfSE=",0)</f>
        <v>#REF!</v>
      </c>
      <c r="AI563" t="e">
        <f>AND(#REF!,"AAAAAG4CfSI=")</f>
        <v>#REF!</v>
      </c>
      <c r="AJ563" t="e">
        <f>AND(#REF!,"AAAAAG4CfSM=")</f>
        <v>#REF!</v>
      </c>
      <c r="AK563" t="e">
        <f>AND(#REF!,"AAAAAG4CfSQ=")</f>
        <v>#REF!</v>
      </c>
      <c r="AL563" t="e">
        <f>AND(#REF!,"AAAAAG4CfSU=")</f>
        <v>#REF!</v>
      </c>
      <c r="AM563" t="e">
        <f>AND(#REF!,"AAAAAG4CfSY=")</f>
        <v>#REF!</v>
      </c>
      <c r="AN563" t="e">
        <f>AND(#REF!,"AAAAAG4CfSc=")</f>
        <v>#REF!</v>
      </c>
      <c r="AO563" t="e">
        <f>AND(#REF!,"AAAAAG4CfSg=")</f>
        <v>#REF!</v>
      </c>
      <c r="AP563" t="e">
        <f>AND(#REF!,"AAAAAG4CfSk=")</f>
        <v>#REF!</v>
      </c>
      <c r="AQ563" t="e">
        <f>AND(#REF!,"AAAAAG4CfSo=")</f>
        <v>#REF!</v>
      </c>
      <c r="AR563" t="e">
        <f>AND(#REF!,"AAAAAG4CfSs=")</f>
        <v>#REF!</v>
      </c>
      <c r="AS563" t="e">
        <f>IF(#REF!,"AAAAAG4CfSw=",0)</f>
        <v>#REF!</v>
      </c>
      <c r="AT563" t="e">
        <f>AND(#REF!,"AAAAAG4CfS0=")</f>
        <v>#REF!</v>
      </c>
      <c r="AU563" t="e">
        <f>AND(#REF!,"AAAAAG4CfS4=")</f>
        <v>#REF!</v>
      </c>
      <c r="AV563" t="e">
        <f>AND(#REF!,"AAAAAG4CfS8=")</f>
        <v>#REF!</v>
      </c>
      <c r="AW563" t="e">
        <f>AND(#REF!,"AAAAAG4CfTA=")</f>
        <v>#REF!</v>
      </c>
      <c r="AX563" t="e">
        <f>AND(#REF!,"AAAAAG4CfTE=")</f>
        <v>#REF!</v>
      </c>
      <c r="AY563" t="e">
        <f>AND(#REF!,"AAAAAG4CfTI=")</f>
        <v>#REF!</v>
      </c>
      <c r="AZ563" t="e">
        <f>AND(#REF!,"AAAAAG4CfTM=")</f>
        <v>#REF!</v>
      </c>
      <c r="BA563" t="e">
        <f>AND(#REF!,"AAAAAG4CfTQ=")</f>
        <v>#REF!</v>
      </c>
      <c r="BB563" t="e">
        <f>AND(#REF!,"AAAAAG4CfTU=")</f>
        <v>#REF!</v>
      </c>
      <c r="BC563" t="e">
        <f>AND(#REF!,"AAAAAG4CfTY=")</f>
        <v>#REF!</v>
      </c>
      <c r="BD563" t="e">
        <f>IF(#REF!,"AAAAAG4CfTc=",0)</f>
        <v>#REF!</v>
      </c>
      <c r="BE563" t="e">
        <f>AND(#REF!,"AAAAAG4CfTg=")</f>
        <v>#REF!</v>
      </c>
      <c r="BF563" t="e">
        <f>AND(#REF!,"AAAAAG4CfTk=")</f>
        <v>#REF!</v>
      </c>
      <c r="BG563" t="e">
        <f>AND(#REF!,"AAAAAG4CfTo=")</f>
        <v>#REF!</v>
      </c>
      <c r="BH563" t="e">
        <f>AND(#REF!,"AAAAAG4CfTs=")</f>
        <v>#REF!</v>
      </c>
      <c r="BI563" t="e">
        <f>AND(#REF!,"AAAAAG4CfTw=")</f>
        <v>#REF!</v>
      </c>
      <c r="BJ563" t="e">
        <f>AND(#REF!,"AAAAAG4CfT0=")</f>
        <v>#REF!</v>
      </c>
      <c r="BK563" t="e">
        <f>AND(#REF!,"AAAAAG4CfT4=")</f>
        <v>#REF!</v>
      </c>
      <c r="BL563" t="e">
        <f>AND(#REF!,"AAAAAG4CfT8=")</f>
        <v>#REF!</v>
      </c>
      <c r="BM563" t="e">
        <f>AND(#REF!,"AAAAAG4CfUA=")</f>
        <v>#REF!</v>
      </c>
      <c r="BN563" t="e">
        <f>AND(#REF!,"AAAAAG4CfUE=")</f>
        <v>#REF!</v>
      </c>
      <c r="BO563" t="e">
        <f>IF(#REF!,"AAAAAG4CfUI=",0)</f>
        <v>#REF!</v>
      </c>
      <c r="BP563" t="e">
        <f>AND(#REF!,"AAAAAG4CfUM=")</f>
        <v>#REF!</v>
      </c>
      <c r="BQ563" t="e">
        <f>AND(#REF!,"AAAAAG4CfUQ=")</f>
        <v>#REF!</v>
      </c>
      <c r="BR563" t="e">
        <f>AND(#REF!,"AAAAAG4CfUU=")</f>
        <v>#REF!</v>
      </c>
      <c r="BS563" t="e">
        <f>AND(#REF!,"AAAAAG4CfUY=")</f>
        <v>#REF!</v>
      </c>
      <c r="BT563" t="e">
        <f>AND(#REF!,"AAAAAG4CfUc=")</f>
        <v>#REF!</v>
      </c>
      <c r="BU563" t="e">
        <f>AND(#REF!,"AAAAAG4CfUg=")</f>
        <v>#REF!</v>
      </c>
      <c r="BV563" t="e">
        <f>AND(#REF!,"AAAAAG4CfUk=")</f>
        <v>#REF!</v>
      </c>
      <c r="BW563" t="e">
        <f>AND(#REF!,"AAAAAG4CfUo=")</f>
        <v>#REF!</v>
      </c>
      <c r="BX563" t="e">
        <f>AND(#REF!,"AAAAAG4CfUs=")</f>
        <v>#REF!</v>
      </c>
      <c r="BY563" t="e">
        <f>AND(#REF!,"AAAAAG4CfUw=")</f>
        <v>#REF!</v>
      </c>
      <c r="BZ563" t="e">
        <f>IF(#REF!,"AAAAAG4CfU0=",0)</f>
        <v>#REF!</v>
      </c>
      <c r="CA563" t="e">
        <f>AND(#REF!,"AAAAAG4CfU4=")</f>
        <v>#REF!</v>
      </c>
      <c r="CB563" t="e">
        <f>AND(#REF!,"AAAAAG4CfU8=")</f>
        <v>#REF!</v>
      </c>
      <c r="CC563" t="e">
        <f>AND(#REF!,"AAAAAG4CfVA=")</f>
        <v>#REF!</v>
      </c>
      <c r="CD563" t="e">
        <f>AND(#REF!,"AAAAAG4CfVE=")</f>
        <v>#REF!</v>
      </c>
      <c r="CE563" t="e">
        <f>AND(#REF!,"AAAAAG4CfVI=")</f>
        <v>#REF!</v>
      </c>
      <c r="CF563" t="e">
        <f>AND(#REF!,"AAAAAG4CfVM=")</f>
        <v>#REF!</v>
      </c>
      <c r="CG563" t="e">
        <f>AND(#REF!,"AAAAAG4CfVQ=")</f>
        <v>#REF!</v>
      </c>
      <c r="CH563" t="e">
        <f>AND(#REF!,"AAAAAG4CfVU=")</f>
        <v>#REF!</v>
      </c>
      <c r="CI563" t="e">
        <f>AND(#REF!,"AAAAAG4CfVY=")</f>
        <v>#REF!</v>
      </c>
      <c r="CJ563" t="e">
        <f>AND(#REF!,"AAAAAG4CfVc=")</f>
        <v>#REF!</v>
      </c>
      <c r="CK563" t="e">
        <f>IF(#REF!,"AAAAAG4CfVg=",0)</f>
        <v>#REF!</v>
      </c>
      <c r="CL563" t="e">
        <f>AND(#REF!,"AAAAAG4CfVk=")</f>
        <v>#REF!</v>
      </c>
      <c r="CM563" t="e">
        <f>AND(#REF!,"AAAAAG4CfVo=")</f>
        <v>#REF!</v>
      </c>
      <c r="CN563" t="e">
        <f>AND(#REF!,"AAAAAG4CfVs=")</f>
        <v>#REF!</v>
      </c>
      <c r="CO563" t="e">
        <f>AND(#REF!,"AAAAAG4CfVw=")</f>
        <v>#REF!</v>
      </c>
      <c r="CP563" t="e">
        <f>AND(#REF!,"AAAAAG4CfV0=")</f>
        <v>#REF!</v>
      </c>
      <c r="CQ563" t="e">
        <f>AND(#REF!,"AAAAAG4CfV4=")</f>
        <v>#REF!</v>
      </c>
      <c r="CR563" t="e">
        <f>AND(#REF!,"AAAAAG4CfV8=")</f>
        <v>#REF!</v>
      </c>
      <c r="CS563" t="e">
        <f>AND(#REF!,"AAAAAG4CfWA=")</f>
        <v>#REF!</v>
      </c>
      <c r="CT563" t="e">
        <f>AND(#REF!,"AAAAAG4CfWE=")</f>
        <v>#REF!</v>
      </c>
      <c r="CU563" t="e">
        <f>AND(#REF!,"AAAAAG4CfWI=")</f>
        <v>#REF!</v>
      </c>
      <c r="CV563" t="e">
        <f>IF(#REF!,"AAAAAG4CfWM=",0)</f>
        <v>#REF!</v>
      </c>
      <c r="CW563" t="e">
        <f>AND(#REF!,"AAAAAG4CfWQ=")</f>
        <v>#REF!</v>
      </c>
      <c r="CX563" t="e">
        <f>AND(#REF!,"AAAAAG4CfWU=")</f>
        <v>#REF!</v>
      </c>
      <c r="CY563" t="e">
        <f>AND(#REF!,"AAAAAG4CfWY=")</f>
        <v>#REF!</v>
      </c>
      <c r="CZ563" t="e">
        <f>AND(#REF!,"AAAAAG4CfWc=")</f>
        <v>#REF!</v>
      </c>
      <c r="DA563" t="e">
        <f>AND(#REF!,"AAAAAG4CfWg=")</f>
        <v>#REF!</v>
      </c>
      <c r="DB563" t="e">
        <f>AND(#REF!,"AAAAAG4CfWk=")</f>
        <v>#REF!</v>
      </c>
      <c r="DC563" t="e">
        <f>AND(#REF!,"AAAAAG4CfWo=")</f>
        <v>#REF!</v>
      </c>
      <c r="DD563" t="e">
        <f>AND(#REF!,"AAAAAG4CfWs=")</f>
        <v>#REF!</v>
      </c>
      <c r="DE563" t="e">
        <f>AND(#REF!,"AAAAAG4CfWw=")</f>
        <v>#REF!</v>
      </c>
      <c r="DF563" t="e">
        <f>AND(#REF!,"AAAAAG4CfW0=")</f>
        <v>#REF!</v>
      </c>
      <c r="DG563" t="e">
        <f>IF(#REF!,"AAAAAG4CfW4=",0)</f>
        <v>#REF!</v>
      </c>
      <c r="DH563" t="e">
        <f>AND(#REF!,"AAAAAG4CfW8=")</f>
        <v>#REF!</v>
      </c>
      <c r="DI563" t="e">
        <f>AND(#REF!,"AAAAAG4CfXA=")</f>
        <v>#REF!</v>
      </c>
      <c r="DJ563" t="e">
        <f>AND(#REF!,"AAAAAG4CfXE=")</f>
        <v>#REF!</v>
      </c>
      <c r="DK563" t="e">
        <f>AND(#REF!,"AAAAAG4CfXI=")</f>
        <v>#REF!</v>
      </c>
      <c r="DL563" t="e">
        <f>AND(#REF!,"AAAAAG4CfXM=")</f>
        <v>#REF!</v>
      </c>
      <c r="DM563" t="e">
        <f>AND(#REF!,"AAAAAG4CfXQ=")</f>
        <v>#REF!</v>
      </c>
      <c r="DN563" t="e">
        <f>AND(#REF!,"AAAAAG4CfXU=")</f>
        <v>#REF!</v>
      </c>
      <c r="DO563" t="e">
        <f>AND(#REF!,"AAAAAG4CfXY=")</f>
        <v>#REF!</v>
      </c>
      <c r="DP563" t="e">
        <f>AND(#REF!,"AAAAAG4CfXc=")</f>
        <v>#REF!</v>
      </c>
      <c r="DQ563" t="e">
        <f>AND(#REF!,"AAAAAG4CfXg=")</f>
        <v>#REF!</v>
      </c>
      <c r="DR563" t="e">
        <f>IF(#REF!,"AAAAAG4CfXk=",0)</f>
        <v>#REF!</v>
      </c>
      <c r="DS563" t="e">
        <f>AND(#REF!,"AAAAAG4CfXo=")</f>
        <v>#REF!</v>
      </c>
      <c r="DT563" t="e">
        <f>AND(#REF!,"AAAAAG4CfXs=")</f>
        <v>#REF!</v>
      </c>
      <c r="DU563" t="e">
        <f>AND(#REF!,"AAAAAG4CfXw=")</f>
        <v>#REF!</v>
      </c>
      <c r="DV563" t="e">
        <f>AND(#REF!,"AAAAAG4CfX0=")</f>
        <v>#REF!</v>
      </c>
      <c r="DW563" t="e">
        <f>AND(#REF!,"AAAAAG4CfX4=")</f>
        <v>#REF!</v>
      </c>
      <c r="DX563" t="e">
        <f>AND(#REF!,"AAAAAG4CfX8=")</f>
        <v>#REF!</v>
      </c>
      <c r="DY563" t="e">
        <f>AND(#REF!,"AAAAAG4CfYA=")</f>
        <v>#REF!</v>
      </c>
      <c r="DZ563" t="e">
        <f>AND(#REF!,"AAAAAG4CfYE=")</f>
        <v>#REF!</v>
      </c>
      <c r="EA563" t="e">
        <f>AND(#REF!,"AAAAAG4CfYI=")</f>
        <v>#REF!</v>
      </c>
      <c r="EB563" t="e">
        <f>AND(#REF!,"AAAAAG4CfYM=")</f>
        <v>#REF!</v>
      </c>
      <c r="EC563" t="e">
        <f>IF(#REF!,"AAAAAG4CfYQ=",0)</f>
        <v>#REF!</v>
      </c>
      <c r="ED563" t="e">
        <f>AND(#REF!,"AAAAAG4CfYU=")</f>
        <v>#REF!</v>
      </c>
      <c r="EE563" t="e">
        <f>AND(#REF!,"AAAAAG4CfYY=")</f>
        <v>#REF!</v>
      </c>
      <c r="EF563" t="e">
        <f>AND(#REF!,"AAAAAG4CfYc=")</f>
        <v>#REF!</v>
      </c>
      <c r="EG563" t="e">
        <f>AND(#REF!,"AAAAAG4CfYg=")</f>
        <v>#REF!</v>
      </c>
      <c r="EH563" t="e">
        <f>AND(#REF!,"AAAAAG4CfYk=")</f>
        <v>#REF!</v>
      </c>
      <c r="EI563" t="e">
        <f>AND(#REF!,"AAAAAG4CfYo=")</f>
        <v>#REF!</v>
      </c>
      <c r="EJ563" t="e">
        <f>AND(#REF!,"AAAAAG4CfYs=")</f>
        <v>#REF!</v>
      </c>
      <c r="EK563" t="e">
        <f>AND(#REF!,"AAAAAG4CfYw=")</f>
        <v>#REF!</v>
      </c>
      <c r="EL563" t="e">
        <f>AND(#REF!,"AAAAAG4CfY0=")</f>
        <v>#REF!</v>
      </c>
      <c r="EM563" t="e">
        <f>AND(#REF!,"AAAAAG4CfY4=")</f>
        <v>#REF!</v>
      </c>
      <c r="EN563" t="e">
        <f>IF(#REF!,"AAAAAG4CfY8=",0)</f>
        <v>#REF!</v>
      </c>
      <c r="EO563" t="e">
        <f>AND(#REF!,"AAAAAG4CfZA=")</f>
        <v>#REF!</v>
      </c>
      <c r="EP563" t="e">
        <f>AND(#REF!,"AAAAAG4CfZE=")</f>
        <v>#REF!</v>
      </c>
      <c r="EQ563" t="e">
        <f>AND(#REF!,"AAAAAG4CfZI=")</f>
        <v>#REF!</v>
      </c>
      <c r="ER563" t="e">
        <f>AND(#REF!,"AAAAAG4CfZM=")</f>
        <v>#REF!</v>
      </c>
      <c r="ES563" t="e">
        <f>AND(#REF!,"AAAAAG4CfZQ=")</f>
        <v>#REF!</v>
      </c>
      <c r="ET563" t="e">
        <f>AND(#REF!,"AAAAAG4CfZU=")</f>
        <v>#REF!</v>
      </c>
      <c r="EU563" t="e">
        <f>AND(#REF!,"AAAAAG4CfZY=")</f>
        <v>#REF!</v>
      </c>
      <c r="EV563" t="e">
        <f>AND(#REF!,"AAAAAG4CfZc=")</f>
        <v>#REF!</v>
      </c>
      <c r="EW563" t="e">
        <f>AND(#REF!,"AAAAAG4CfZg=")</f>
        <v>#REF!</v>
      </c>
      <c r="EX563" t="e">
        <f>AND(#REF!,"AAAAAG4CfZk=")</f>
        <v>#REF!</v>
      </c>
      <c r="EY563" t="e">
        <f>IF(#REF!,"AAAAAG4CfZo=",0)</f>
        <v>#REF!</v>
      </c>
      <c r="EZ563" t="e">
        <f>AND(#REF!,"AAAAAG4CfZs=")</f>
        <v>#REF!</v>
      </c>
      <c r="FA563" t="e">
        <f>AND(#REF!,"AAAAAG4CfZw=")</f>
        <v>#REF!</v>
      </c>
      <c r="FB563" t="e">
        <f>AND(#REF!,"AAAAAG4CfZ0=")</f>
        <v>#REF!</v>
      </c>
      <c r="FC563" t="e">
        <f>AND(#REF!,"AAAAAG4CfZ4=")</f>
        <v>#REF!</v>
      </c>
      <c r="FD563" t="e">
        <f>AND(#REF!,"AAAAAG4CfZ8=")</f>
        <v>#REF!</v>
      </c>
      <c r="FE563" t="e">
        <f>AND(#REF!,"AAAAAG4CfaA=")</f>
        <v>#REF!</v>
      </c>
      <c r="FF563" t="e">
        <f>AND(#REF!,"AAAAAG4CfaE=")</f>
        <v>#REF!</v>
      </c>
      <c r="FG563" t="e">
        <f>AND(#REF!,"AAAAAG4CfaI=")</f>
        <v>#REF!</v>
      </c>
      <c r="FH563" t="e">
        <f>AND(#REF!,"AAAAAG4CfaM=")</f>
        <v>#REF!</v>
      </c>
      <c r="FI563" t="e">
        <f>AND(#REF!,"AAAAAG4CfaQ=")</f>
        <v>#REF!</v>
      </c>
      <c r="FJ563" t="e">
        <f>IF(#REF!,"AAAAAG4CfaU=",0)</f>
        <v>#REF!</v>
      </c>
      <c r="FK563" t="e">
        <f>AND(#REF!,"AAAAAG4CfaY=")</f>
        <v>#REF!</v>
      </c>
      <c r="FL563" t="e">
        <f>AND(#REF!,"AAAAAG4Cfac=")</f>
        <v>#REF!</v>
      </c>
      <c r="FM563" t="e">
        <f>AND(#REF!,"AAAAAG4Cfag=")</f>
        <v>#REF!</v>
      </c>
      <c r="FN563" t="e">
        <f>AND(#REF!,"AAAAAG4Cfak=")</f>
        <v>#REF!</v>
      </c>
      <c r="FO563" t="e">
        <f>AND(#REF!,"AAAAAG4Cfao=")</f>
        <v>#REF!</v>
      </c>
      <c r="FP563" t="e">
        <f>AND(#REF!,"AAAAAG4Cfas=")</f>
        <v>#REF!</v>
      </c>
      <c r="FQ563" t="e">
        <f>AND(#REF!,"AAAAAG4Cfaw=")</f>
        <v>#REF!</v>
      </c>
      <c r="FR563" t="e">
        <f>AND(#REF!,"AAAAAG4Cfa0=")</f>
        <v>#REF!</v>
      </c>
      <c r="FS563" t="e">
        <f>AND(#REF!,"AAAAAG4Cfa4=")</f>
        <v>#REF!</v>
      </c>
      <c r="FT563" t="e">
        <f>AND(#REF!,"AAAAAG4Cfa8=")</f>
        <v>#REF!</v>
      </c>
      <c r="FU563" t="e">
        <f>IF(#REF!,"AAAAAG4CfbA=",0)</f>
        <v>#REF!</v>
      </c>
      <c r="FV563" t="e">
        <f>AND(#REF!,"AAAAAG4CfbE=")</f>
        <v>#REF!</v>
      </c>
      <c r="FW563" t="e">
        <f>AND(#REF!,"AAAAAG4CfbI=")</f>
        <v>#REF!</v>
      </c>
      <c r="FX563" t="e">
        <f>AND(#REF!,"AAAAAG4CfbM=")</f>
        <v>#REF!</v>
      </c>
      <c r="FY563" t="e">
        <f>AND(#REF!,"AAAAAG4CfbQ=")</f>
        <v>#REF!</v>
      </c>
      <c r="FZ563" t="e">
        <f>AND(#REF!,"AAAAAG4CfbU=")</f>
        <v>#REF!</v>
      </c>
      <c r="GA563" t="e">
        <f>AND(#REF!,"AAAAAG4CfbY=")</f>
        <v>#REF!</v>
      </c>
      <c r="GB563" t="e">
        <f>AND(#REF!,"AAAAAG4Cfbc=")</f>
        <v>#REF!</v>
      </c>
      <c r="GC563" t="e">
        <f>AND(#REF!,"AAAAAG4Cfbg=")</f>
        <v>#REF!</v>
      </c>
      <c r="GD563" t="e">
        <f>AND(#REF!,"AAAAAG4Cfbk=")</f>
        <v>#REF!</v>
      </c>
      <c r="GE563" t="e">
        <f>AND(#REF!,"AAAAAG4Cfbo=")</f>
        <v>#REF!</v>
      </c>
      <c r="GF563" t="e">
        <f>IF(#REF!,"AAAAAG4Cfbs=",0)</f>
        <v>#REF!</v>
      </c>
      <c r="GG563" t="e">
        <f>AND(#REF!,"AAAAAG4Cfbw=")</f>
        <v>#REF!</v>
      </c>
      <c r="GH563" t="e">
        <f>AND(#REF!,"AAAAAG4Cfb0=")</f>
        <v>#REF!</v>
      </c>
      <c r="GI563" t="e">
        <f>AND(#REF!,"AAAAAG4Cfb4=")</f>
        <v>#REF!</v>
      </c>
      <c r="GJ563" t="e">
        <f>AND(#REF!,"AAAAAG4Cfb8=")</f>
        <v>#REF!</v>
      </c>
      <c r="GK563" t="e">
        <f>AND(#REF!,"AAAAAG4CfcA=")</f>
        <v>#REF!</v>
      </c>
      <c r="GL563" t="e">
        <f>AND(#REF!,"AAAAAG4CfcE=")</f>
        <v>#REF!</v>
      </c>
      <c r="GM563" t="e">
        <f>AND(#REF!,"AAAAAG4CfcI=")</f>
        <v>#REF!</v>
      </c>
      <c r="GN563" t="e">
        <f>AND(#REF!,"AAAAAG4CfcM=")</f>
        <v>#REF!</v>
      </c>
      <c r="GO563" t="e">
        <f>AND(#REF!,"AAAAAG4CfcQ=")</f>
        <v>#REF!</v>
      </c>
      <c r="GP563" t="e">
        <f>AND(#REF!,"AAAAAG4CfcU=")</f>
        <v>#REF!</v>
      </c>
      <c r="GQ563" t="e">
        <f>IF(#REF!,"AAAAAG4CfcY=",0)</f>
        <v>#REF!</v>
      </c>
      <c r="GR563" t="e">
        <f>AND(#REF!,"AAAAAG4Cfcc=")</f>
        <v>#REF!</v>
      </c>
      <c r="GS563" t="e">
        <f>AND(#REF!,"AAAAAG4Cfcg=")</f>
        <v>#REF!</v>
      </c>
      <c r="GT563" t="e">
        <f>AND(#REF!,"AAAAAG4Cfck=")</f>
        <v>#REF!</v>
      </c>
      <c r="GU563" t="e">
        <f>AND(#REF!,"AAAAAG4Cfco=")</f>
        <v>#REF!</v>
      </c>
      <c r="GV563" t="e">
        <f>AND(#REF!,"AAAAAG4Cfcs=")</f>
        <v>#REF!</v>
      </c>
      <c r="GW563" t="e">
        <f>AND(#REF!,"AAAAAG4Cfcw=")</f>
        <v>#REF!</v>
      </c>
      <c r="GX563" t="e">
        <f>AND(#REF!,"AAAAAG4Cfc0=")</f>
        <v>#REF!</v>
      </c>
      <c r="GY563" t="e">
        <f>AND(#REF!,"AAAAAG4Cfc4=")</f>
        <v>#REF!</v>
      </c>
      <c r="GZ563" t="e">
        <f>AND(#REF!,"AAAAAG4Cfc8=")</f>
        <v>#REF!</v>
      </c>
      <c r="HA563" t="e">
        <f>AND(#REF!,"AAAAAG4CfdA=")</f>
        <v>#REF!</v>
      </c>
      <c r="HB563" t="e">
        <f>IF(#REF!,"AAAAAG4CfdE=",0)</f>
        <v>#REF!</v>
      </c>
      <c r="HC563" t="e">
        <f>AND(#REF!,"AAAAAG4CfdI=")</f>
        <v>#REF!</v>
      </c>
      <c r="HD563" t="e">
        <f>AND(#REF!,"AAAAAG4CfdM=")</f>
        <v>#REF!</v>
      </c>
      <c r="HE563" t="e">
        <f>AND(#REF!,"AAAAAG4CfdQ=")</f>
        <v>#REF!</v>
      </c>
      <c r="HF563" t="e">
        <f>AND(#REF!,"AAAAAG4CfdU=")</f>
        <v>#REF!</v>
      </c>
      <c r="HG563" t="e">
        <f>AND(#REF!,"AAAAAG4CfdY=")</f>
        <v>#REF!</v>
      </c>
      <c r="HH563" t="e">
        <f>AND(#REF!,"AAAAAG4Cfdc=")</f>
        <v>#REF!</v>
      </c>
      <c r="HI563" t="e">
        <f>AND(#REF!,"AAAAAG4Cfdg=")</f>
        <v>#REF!</v>
      </c>
      <c r="HJ563" t="e">
        <f>AND(#REF!,"AAAAAG4Cfdk=")</f>
        <v>#REF!</v>
      </c>
      <c r="HK563" t="e">
        <f>AND(#REF!,"AAAAAG4Cfdo=")</f>
        <v>#REF!</v>
      </c>
      <c r="HL563" t="e">
        <f>AND(#REF!,"AAAAAG4Cfds=")</f>
        <v>#REF!</v>
      </c>
      <c r="HM563" t="e">
        <f>IF(#REF!,"AAAAAG4Cfdw=",0)</f>
        <v>#REF!</v>
      </c>
      <c r="HN563" t="e">
        <f>AND(#REF!,"AAAAAG4Cfd0=")</f>
        <v>#REF!</v>
      </c>
      <c r="HO563" t="e">
        <f>AND(#REF!,"AAAAAG4Cfd4=")</f>
        <v>#REF!</v>
      </c>
      <c r="HP563" t="e">
        <f>AND(#REF!,"AAAAAG4Cfd8=")</f>
        <v>#REF!</v>
      </c>
      <c r="HQ563" t="e">
        <f>AND(#REF!,"AAAAAG4CfeA=")</f>
        <v>#REF!</v>
      </c>
      <c r="HR563" t="e">
        <f>AND(#REF!,"AAAAAG4CfeE=")</f>
        <v>#REF!</v>
      </c>
      <c r="HS563" t="e">
        <f>AND(#REF!,"AAAAAG4CfeI=")</f>
        <v>#REF!</v>
      </c>
      <c r="HT563" t="e">
        <f>AND(#REF!,"AAAAAG4CfeM=")</f>
        <v>#REF!</v>
      </c>
      <c r="HU563" t="e">
        <f>AND(#REF!,"AAAAAG4CfeQ=")</f>
        <v>#REF!</v>
      </c>
      <c r="HV563" t="e">
        <f>AND(#REF!,"AAAAAG4CfeU=")</f>
        <v>#REF!</v>
      </c>
      <c r="HW563" t="e">
        <f>AND(#REF!,"AAAAAG4CfeY=")</f>
        <v>#REF!</v>
      </c>
      <c r="HX563" t="e">
        <f>IF(#REF!,"AAAAAG4Cfec=",0)</f>
        <v>#REF!</v>
      </c>
      <c r="HY563" t="e">
        <f>AND(#REF!,"AAAAAG4Cfeg=")</f>
        <v>#REF!</v>
      </c>
      <c r="HZ563" t="e">
        <f>AND(#REF!,"AAAAAG4Cfek=")</f>
        <v>#REF!</v>
      </c>
      <c r="IA563" t="e">
        <f>AND(#REF!,"AAAAAG4Cfeo=")</f>
        <v>#REF!</v>
      </c>
      <c r="IB563" t="e">
        <f>AND(#REF!,"AAAAAG4Cfes=")</f>
        <v>#REF!</v>
      </c>
      <c r="IC563" t="e">
        <f>AND(#REF!,"AAAAAG4Cfew=")</f>
        <v>#REF!</v>
      </c>
      <c r="ID563" t="e">
        <f>AND(#REF!,"AAAAAG4Cfe0=")</f>
        <v>#REF!</v>
      </c>
      <c r="IE563" t="e">
        <f>AND(#REF!,"AAAAAG4Cfe4=")</f>
        <v>#REF!</v>
      </c>
      <c r="IF563" t="e">
        <f>AND(#REF!,"AAAAAG4Cfe8=")</f>
        <v>#REF!</v>
      </c>
      <c r="IG563" t="e">
        <f>AND(#REF!,"AAAAAG4CffA=")</f>
        <v>#REF!</v>
      </c>
      <c r="IH563" t="e">
        <f>AND(#REF!,"AAAAAG4CffE=")</f>
        <v>#REF!</v>
      </c>
      <c r="II563" t="e">
        <f>IF(#REF!,"AAAAAG4CffI=",0)</f>
        <v>#REF!</v>
      </c>
      <c r="IJ563" t="e">
        <f>AND(#REF!,"AAAAAG4CffM=")</f>
        <v>#REF!</v>
      </c>
      <c r="IK563" t="e">
        <f>AND(#REF!,"AAAAAG4CffQ=")</f>
        <v>#REF!</v>
      </c>
      <c r="IL563" t="e">
        <f>AND(#REF!,"AAAAAG4CffU=")</f>
        <v>#REF!</v>
      </c>
      <c r="IM563" t="e">
        <f>AND(#REF!,"AAAAAG4CffY=")</f>
        <v>#REF!</v>
      </c>
      <c r="IN563" t="e">
        <f>AND(#REF!,"AAAAAG4Cffc=")</f>
        <v>#REF!</v>
      </c>
      <c r="IO563" t="e">
        <f>AND(#REF!,"AAAAAG4Cffg=")</f>
        <v>#REF!</v>
      </c>
      <c r="IP563" t="e">
        <f>AND(#REF!,"AAAAAG4Cffk=")</f>
        <v>#REF!</v>
      </c>
      <c r="IQ563" t="e">
        <f>AND(#REF!,"AAAAAG4Cffo=")</f>
        <v>#REF!</v>
      </c>
      <c r="IR563" t="e">
        <f>AND(#REF!,"AAAAAG4Cffs=")</f>
        <v>#REF!</v>
      </c>
      <c r="IS563" t="e">
        <f>AND(#REF!,"AAAAAG4Cffw=")</f>
        <v>#REF!</v>
      </c>
      <c r="IT563" t="e">
        <f>IF(#REF!,"AAAAAG4Cff0=",0)</f>
        <v>#REF!</v>
      </c>
      <c r="IU563" t="e">
        <f>AND(#REF!,"AAAAAG4Cff4=")</f>
        <v>#REF!</v>
      </c>
      <c r="IV563" t="e">
        <f>AND(#REF!,"AAAAAG4Cff8=")</f>
        <v>#REF!</v>
      </c>
    </row>
    <row r="564" spans="1:256" x14ac:dyDescent="0.25">
      <c r="A564" t="e">
        <f>AND(#REF!,"AAAAAH/efgA=")</f>
        <v>#REF!</v>
      </c>
      <c r="B564" t="e">
        <f>AND(#REF!,"AAAAAH/efgE=")</f>
        <v>#REF!</v>
      </c>
      <c r="C564" t="e">
        <f>AND(#REF!,"AAAAAH/efgI=")</f>
        <v>#REF!</v>
      </c>
      <c r="D564" t="e">
        <f>AND(#REF!,"AAAAAH/efgM=")</f>
        <v>#REF!</v>
      </c>
      <c r="E564" t="e">
        <f>AND(#REF!,"AAAAAH/efgQ=")</f>
        <v>#REF!</v>
      </c>
      <c r="F564" t="e">
        <f>AND(#REF!,"AAAAAH/efgU=")</f>
        <v>#REF!</v>
      </c>
      <c r="G564" t="e">
        <f>AND(#REF!,"AAAAAH/efgY=")</f>
        <v>#REF!</v>
      </c>
      <c r="H564" t="e">
        <f>AND(#REF!,"AAAAAH/efgc=")</f>
        <v>#REF!</v>
      </c>
      <c r="I564" t="e">
        <f>IF(#REF!,"AAAAAH/efgg=",0)</f>
        <v>#REF!</v>
      </c>
      <c r="J564" t="e">
        <f>AND(#REF!,"AAAAAH/efgk=")</f>
        <v>#REF!</v>
      </c>
      <c r="K564" t="e">
        <f>AND(#REF!,"AAAAAH/efgo=")</f>
        <v>#REF!</v>
      </c>
      <c r="L564" t="e">
        <f>AND(#REF!,"AAAAAH/efgs=")</f>
        <v>#REF!</v>
      </c>
      <c r="M564" t="e">
        <f>AND(#REF!,"AAAAAH/efgw=")</f>
        <v>#REF!</v>
      </c>
      <c r="N564" t="e">
        <f>AND(#REF!,"AAAAAH/efg0=")</f>
        <v>#REF!</v>
      </c>
      <c r="O564" t="e">
        <f>AND(#REF!,"AAAAAH/efg4=")</f>
        <v>#REF!</v>
      </c>
      <c r="P564" t="e">
        <f>AND(#REF!,"AAAAAH/efg8=")</f>
        <v>#REF!</v>
      </c>
      <c r="Q564" t="e">
        <f>AND(#REF!,"AAAAAH/efhA=")</f>
        <v>#REF!</v>
      </c>
      <c r="R564" t="e">
        <f>AND(#REF!,"AAAAAH/efhE=")</f>
        <v>#REF!</v>
      </c>
      <c r="S564" t="e">
        <f>AND(#REF!,"AAAAAH/efhI=")</f>
        <v>#REF!</v>
      </c>
      <c r="T564" t="e">
        <f>IF(#REF!,"AAAAAH/efhM=",0)</f>
        <v>#REF!</v>
      </c>
      <c r="U564" t="e">
        <f>AND(#REF!,"AAAAAH/efhQ=")</f>
        <v>#REF!</v>
      </c>
      <c r="V564" t="e">
        <f>AND(#REF!,"AAAAAH/efhU=")</f>
        <v>#REF!</v>
      </c>
      <c r="W564" t="e">
        <f>AND(#REF!,"AAAAAH/efhY=")</f>
        <v>#REF!</v>
      </c>
      <c r="X564" t="e">
        <f>AND(#REF!,"AAAAAH/efhc=")</f>
        <v>#REF!</v>
      </c>
      <c r="Y564" t="e">
        <f>AND(#REF!,"AAAAAH/efhg=")</f>
        <v>#REF!</v>
      </c>
      <c r="Z564" t="e">
        <f>AND(#REF!,"AAAAAH/efhk=")</f>
        <v>#REF!</v>
      </c>
      <c r="AA564" t="e">
        <f>AND(#REF!,"AAAAAH/efho=")</f>
        <v>#REF!</v>
      </c>
      <c r="AB564" t="e">
        <f>AND(#REF!,"AAAAAH/efhs=")</f>
        <v>#REF!</v>
      </c>
      <c r="AC564" t="e">
        <f>AND(#REF!,"AAAAAH/efhw=")</f>
        <v>#REF!</v>
      </c>
      <c r="AD564" t="e">
        <f>AND(#REF!,"AAAAAH/efh0=")</f>
        <v>#REF!</v>
      </c>
      <c r="AE564" t="e">
        <f>IF(#REF!,"AAAAAH/efh4=",0)</f>
        <v>#REF!</v>
      </c>
      <c r="AF564" t="e">
        <f>AND(#REF!,"AAAAAH/efh8=")</f>
        <v>#REF!</v>
      </c>
      <c r="AG564" t="e">
        <f>AND(#REF!,"AAAAAH/efiA=")</f>
        <v>#REF!</v>
      </c>
      <c r="AH564" t="e">
        <f>AND(#REF!,"AAAAAH/efiE=")</f>
        <v>#REF!</v>
      </c>
      <c r="AI564" t="e">
        <f>AND(#REF!,"AAAAAH/efiI=")</f>
        <v>#REF!</v>
      </c>
      <c r="AJ564" t="e">
        <f>AND(#REF!,"AAAAAH/efiM=")</f>
        <v>#REF!</v>
      </c>
      <c r="AK564" t="e">
        <f>AND(#REF!,"AAAAAH/efiQ=")</f>
        <v>#REF!</v>
      </c>
      <c r="AL564" t="e">
        <f>AND(#REF!,"AAAAAH/efiU=")</f>
        <v>#REF!</v>
      </c>
      <c r="AM564" t="e">
        <f>AND(#REF!,"AAAAAH/efiY=")</f>
        <v>#REF!</v>
      </c>
      <c r="AN564" t="e">
        <f>AND(#REF!,"AAAAAH/efic=")</f>
        <v>#REF!</v>
      </c>
      <c r="AO564" t="e">
        <f>AND(#REF!,"AAAAAH/efig=")</f>
        <v>#REF!</v>
      </c>
      <c r="AP564" t="e">
        <f>IF(#REF!,"AAAAAH/efik=",0)</f>
        <v>#REF!</v>
      </c>
      <c r="AQ564" t="e">
        <f>AND(#REF!,"AAAAAH/efio=")</f>
        <v>#REF!</v>
      </c>
      <c r="AR564" t="e">
        <f>AND(#REF!,"AAAAAH/efis=")</f>
        <v>#REF!</v>
      </c>
      <c r="AS564" t="e">
        <f>AND(#REF!,"AAAAAH/efiw=")</f>
        <v>#REF!</v>
      </c>
      <c r="AT564" t="e">
        <f>AND(#REF!,"AAAAAH/efi0=")</f>
        <v>#REF!</v>
      </c>
      <c r="AU564" t="e">
        <f>AND(#REF!,"AAAAAH/efi4=")</f>
        <v>#REF!</v>
      </c>
      <c r="AV564" t="e">
        <f>AND(#REF!,"AAAAAH/efi8=")</f>
        <v>#REF!</v>
      </c>
      <c r="AW564" t="e">
        <f>AND(#REF!,"AAAAAH/efjA=")</f>
        <v>#REF!</v>
      </c>
      <c r="AX564" t="e">
        <f>AND(#REF!,"AAAAAH/efjE=")</f>
        <v>#REF!</v>
      </c>
      <c r="AY564" t="e">
        <f>AND(#REF!,"AAAAAH/efjI=")</f>
        <v>#REF!</v>
      </c>
      <c r="AZ564" t="e">
        <f>AND(#REF!,"AAAAAH/efjM=")</f>
        <v>#REF!</v>
      </c>
      <c r="BA564" t="e">
        <f>IF(#REF!,"AAAAAH/efjQ=",0)</f>
        <v>#REF!</v>
      </c>
      <c r="BB564" t="e">
        <f>AND(#REF!,"AAAAAH/efjU=")</f>
        <v>#REF!</v>
      </c>
      <c r="BC564" t="e">
        <f>AND(#REF!,"AAAAAH/efjY=")</f>
        <v>#REF!</v>
      </c>
      <c r="BD564" t="e">
        <f>AND(#REF!,"AAAAAH/efjc=")</f>
        <v>#REF!</v>
      </c>
      <c r="BE564" t="e">
        <f>AND(#REF!,"AAAAAH/efjg=")</f>
        <v>#REF!</v>
      </c>
      <c r="BF564" t="e">
        <f>AND(#REF!,"AAAAAH/efjk=")</f>
        <v>#REF!</v>
      </c>
      <c r="BG564" t="e">
        <f>AND(#REF!,"AAAAAH/efjo=")</f>
        <v>#REF!</v>
      </c>
      <c r="BH564" t="e">
        <f>AND(#REF!,"AAAAAH/efjs=")</f>
        <v>#REF!</v>
      </c>
      <c r="BI564" t="e">
        <f>AND(#REF!,"AAAAAH/efjw=")</f>
        <v>#REF!</v>
      </c>
      <c r="BJ564" t="e">
        <f>AND(#REF!,"AAAAAH/efj0=")</f>
        <v>#REF!</v>
      </c>
      <c r="BK564" t="e">
        <f>AND(#REF!,"AAAAAH/efj4=")</f>
        <v>#REF!</v>
      </c>
      <c r="BL564" t="e">
        <f>IF(#REF!,"AAAAAH/efj8=",0)</f>
        <v>#REF!</v>
      </c>
      <c r="BM564" t="e">
        <f>AND(#REF!,"AAAAAH/efkA=")</f>
        <v>#REF!</v>
      </c>
      <c r="BN564" t="e">
        <f>AND(#REF!,"AAAAAH/efkE=")</f>
        <v>#REF!</v>
      </c>
      <c r="BO564" t="e">
        <f>AND(#REF!,"AAAAAH/efkI=")</f>
        <v>#REF!</v>
      </c>
      <c r="BP564" t="e">
        <f>AND(#REF!,"AAAAAH/efkM=")</f>
        <v>#REF!</v>
      </c>
      <c r="BQ564" t="e">
        <f>AND(#REF!,"AAAAAH/efkQ=")</f>
        <v>#REF!</v>
      </c>
      <c r="BR564" t="e">
        <f>AND(#REF!,"AAAAAH/efkU=")</f>
        <v>#REF!</v>
      </c>
      <c r="BS564" t="e">
        <f>AND(#REF!,"AAAAAH/efkY=")</f>
        <v>#REF!</v>
      </c>
      <c r="BT564" t="e">
        <f>AND(#REF!,"AAAAAH/efkc=")</f>
        <v>#REF!</v>
      </c>
      <c r="BU564" t="e">
        <f>AND(#REF!,"AAAAAH/efkg=")</f>
        <v>#REF!</v>
      </c>
      <c r="BV564" t="e">
        <f>AND(#REF!,"AAAAAH/efkk=")</f>
        <v>#REF!</v>
      </c>
      <c r="BW564" t="e">
        <f>IF(#REF!,"AAAAAH/efko=",0)</f>
        <v>#REF!</v>
      </c>
      <c r="BX564" t="e">
        <f>AND(#REF!,"AAAAAH/efks=")</f>
        <v>#REF!</v>
      </c>
      <c r="BY564" t="e">
        <f>AND(#REF!,"AAAAAH/efkw=")</f>
        <v>#REF!</v>
      </c>
      <c r="BZ564" t="e">
        <f>AND(#REF!,"AAAAAH/efk0=")</f>
        <v>#REF!</v>
      </c>
      <c r="CA564" t="e">
        <f>AND(#REF!,"AAAAAH/efk4=")</f>
        <v>#REF!</v>
      </c>
      <c r="CB564" t="e">
        <f>AND(#REF!,"AAAAAH/efk8=")</f>
        <v>#REF!</v>
      </c>
      <c r="CC564" t="e">
        <f>AND(#REF!,"AAAAAH/eflA=")</f>
        <v>#REF!</v>
      </c>
      <c r="CD564" t="e">
        <f>AND(#REF!,"AAAAAH/eflE=")</f>
        <v>#REF!</v>
      </c>
      <c r="CE564" t="e">
        <f>AND(#REF!,"AAAAAH/eflI=")</f>
        <v>#REF!</v>
      </c>
      <c r="CF564" t="e">
        <f>AND(#REF!,"AAAAAH/eflM=")</f>
        <v>#REF!</v>
      </c>
      <c r="CG564" t="e">
        <f>AND(#REF!,"AAAAAH/eflQ=")</f>
        <v>#REF!</v>
      </c>
      <c r="CH564" t="e">
        <f>IF(#REF!,"AAAAAH/eflU=",0)</f>
        <v>#REF!</v>
      </c>
      <c r="CI564" t="e">
        <f>AND(#REF!,"AAAAAH/eflY=")</f>
        <v>#REF!</v>
      </c>
      <c r="CJ564" t="e">
        <f>AND(#REF!,"AAAAAH/eflc=")</f>
        <v>#REF!</v>
      </c>
      <c r="CK564" t="e">
        <f>AND(#REF!,"AAAAAH/eflg=")</f>
        <v>#REF!</v>
      </c>
      <c r="CL564" t="e">
        <f>AND(#REF!,"AAAAAH/eflk=")</f>
        <v>#REF!</v>
      </c>
      <c r="CM564" t="e">
        <f>AND(#REF!,"AAAAAH/eflo=")</f>
        <v>#REF!</v>
      </c>
      <c r="CN564" t="e">
        <f>AND(#REF!,"AAAAAH/efls=")</f>
        <v>#REF!</v>
      </c>
      <c r="CO564" t="e">
        <f>AND(#REF!,"AAAAAH/eflw=")</f>
        <v>#REF!</v>
      </c>
      <c r="CP564" t="e">
        <f>AND(#REF!,"AAAAAH/efl0=")</f>
        <v>#REF!</v>
      </c>
      <c r="CQ564" t="e">
        <f>AND(#REF!,"AAAAAH/efl4=")</f>
        <v>#REF!</v>
      </c>
      <c r="CR564" t="e">
        <f>AND(#REF!,"AAAAAH/efl8=")</f>
        <v>#REF!</v>
      </c>
      <c r="CS564" t="e">
        <f>IF(#REF!,"AAAAAH/efmA=",0)</f>
        <v>#REF!</v>
      </c>
      <c r="CT564" t="e">
        <f>AND(#REF!,"AAAAAH/efmE=")</f>
        <v>#REF!</v>
      </c>
      <c r="CU564" t="e">
        <f>AND(#REF!,"AAAAAH/efmI=")</f>
        <v>#REF!</v>
      </c>
      <c r="CV564" t="e">
        <f>AND(#REF!,"AAAAAH/efmM=")</f>
        <v>#REF!</v>
      </c>
      <c r="CW564" t="e">
        <f>AND(#REF!,"AAAAAH/efmQ=")</f>
        <v>#REF!</v>
      </c>
      <c r="CX564" t="e">
        <f>AND(#REF!,"AAAAAH/efmU=")</f>
        <v>#REF!</v>
      </c>
      <c r="CY564" t="e">
        <f>AND(#REF!,"AAAAAH/efmY=")</f>
        <v>#REF!</v>
      </c>
      <c r="CZ564" t="e">
        <f>AND(#REF!,"AAAAAH/efmc=")</f>
        <v>#REF!</v>
      </c>
      <c r="DA564" t="e">
        <f>AND(#REF!,"AAAAAH/efmg=")</f>
        <v>#REF!</v>
      </c>
      <c r="DB564" t="e">
        <f>AND(#REF!,"AAAAAH/efmk=")</f>
        <v>#REF!</v>
      </c>
      <c r="DC564" t="e">
        <f>AND(#REF!,"AAAAAH/efmo=")</f>
        <v>#REF!</v>
      </c>
      <c r="DD564" t="e">
        <f>IF(#REF!,"AAAAAH/efms=",0)</f>
        <v>#REF!</v>
      </c>
      <c r="DE564" t="e">
        <f>AND(#REF!,"AAAAAH/efmw=")</f>
        <v>#REF!</v>
      </c>
      <c r="DF564" t="e">
        <f>AND(#REF!,"AAAAAH/efm0=")</f>
        <v>#REF!</v>
      </c>
      <c r="DG564" t="e">
        <f>AND(#REF!,"AAAAAH/efm4=")</f>
        <v>#REF!</v>
      </c>
      <c r="DH564" t="e">
        <f>AND(#REF!,"AAAAAH/efm8=")</f>
        <v>#REF!</v>
      </c>
      <c r="DI564" t="e">
        <f>AND(#REF!,"AAAAAH/efnA=")</f>
        <v>#REF!</v>
      </c>
      <c r="DJ564" t="e">
        <f>AND(#REF!,"AAAAAH/efnE=")</f>
        <v>#REF!</v>
      </c>
      <c r="DK564" t="e">
        <f>AND(#REF!,"AAAAAH/efnI=")</f>
        <v>#REF!</v>
      </c>
      <c r="DL564" t="e">
        <f>AND(#REF!,"AAAAAH/efnM=")</f>
        <v>#REF!</v>
      </c>
      <c r="DM564" t="e">
        <f>AND(#REF!,"AAAAAH/efnQ=")</f>
        <v>#REF!</v>
      </c>
      <c r="DN564" t="e">
        <f>AND(#REF!,"AAAAAH/efnU=")</f>
        <v>#REF!</v>
      </c>
      <c r="DO564" t="e">
        <f>IF(#REF!,"AAAAAH/efnY=",0)</f>
        <v>#REF!</v>
      </c>
      <c r="DP564" t="e">
        <f>AND(#REF!,"AAAAAH/efnc=")</f>
        <v>#REF!</v>
      </c>
      <c r="DQ564" t="e">
        <f>AND(#REF!,"AAAAAH/efng=")</f>
        <v>#REF!</v>
      </c>
      <c r="DR564" t="e">
        <f>AND(#REF!,"AAAAAH/efnk=")</f>
        <v>#REF!</v>
      </c>
      <c r="DS564" t="e">
        <f>AND(#REF!,"AAAAAH/efno=")</f>
        <v>#REF!</v>
      </c>
      <c r="DT564" t="e">
        <f>AND(#REF!,"AAAAAH/efns=")</f>
        <v>#REF!</v>
      </c>
      <c r="DU564" t="e">
        <f>AND(#REF!,"AAAAAH/efnw=")</f>
        <v>#REF!</v>
      </c>
      <c r="DV564" t="e">
        <f>AND(#REF!,"AAAAAH/efn0=")</f>
        <v>#REF!</v>
      </c>
      <c r="DW564" t="e">
        <f>AND(#REF!,"AAAAAH/efn4=")</f>
        <v>#REF!</v>
      </c>
      <c r="DX564" t="e">
        <f>AND(#REF!,"AAAAAH/efn8=")</f>
        <v>#REF!</v>
      </c>
      <c r="DY564" t="e">
        <f>AND(#REF!,"AAAAAH/efoA=")</f>
        <v>#REF!</v>
      </c>
      <c r="DZ564" t="e">
        <f>IF(#REF!,"AAAAAH/efoE=",0)</f>
        <v>#REF!</v>
      </c>
      <c r="EA564" t="e">
        <f>AND(#REF!,"AAAAAH/efoI=")</f>
        <v>#REF!</v>
      </c>
      <c r="EB564" t="e">
        <f>AND(#REF!,"AAAAAH/efoM=")</f>
        <v>#REF!</v>
      </c>
      <c r="EC564" t="e">
        <f>AND(#REF!,"AAAAAH/efoQ=")</f>
        <v>#REF!</v>
      </c>
      <c r="ED564" t="e">
        <f>AND(#REF!,"AAAAAH/efoU=")</f>
        <v>#REF!</v>
      </c>
      <c r="EE564" t="e">
        <f>AND(#REF!,"AAAAAH/efoY=")</f>
        <v>#REF!</v>
      </c>
      <c r="EF564" t="e">
        <f>AND(#REF!,"AAAAAH/efoc=")</f>
        <v>#REF!</v>
      </c>
      <c r="EG564" t="e">
        <f>AND(#REF!,"AAAAAH/efog=")</f>
        <v>#REF!</v>
      </c>
      <c r="EH564" t="e">
        <f>AND(#REF!,"AAAAAH/efok=")</f>
        <v>#REF!</v>
      </c>
      <c r="EI564" t="e">
        <f>AND(#REF!,"AAAAAH/efoo=")</f>
        <v>#REF!</v>
      </c>
      <c r="EJ564" t="e">
        <f>AND(#REF!,"AAAAAH/efos=")</f>
        <v>#REF!</v>
      </c>
      <c r="EK564" t="e">
        <f>IF(#REF!,"AAAAAH/efow=",0)</f>
        <v>#REF!</v>
      </c>
      <c r="EL564" t="e">
        <f>AND(#REF!,"AAAAAH/efo0=")</f>
        <v>#REF!</v>
      </c>
      <c r="EM564" t="e">
        <f>AND(#REF!,"AAAAAH/efo4=")</f>
        <v>#REF!</v>
      </c>
      <c r="EN564" t="e">
        <f>AND(#REF!,"AAAAAH/efo8=")</f>
        <v>#REF!</v>
      </c>
      <c r="EO564" t="e">
        <f>AND(#REF!,"AAAAAH/efpA=")</f>
        <v>#REF!</v>
      </c>
      <c r="EP564" t="e">
        <f>AND(#REF!,"AAAAAH/efpE=")</f>
        <v>#REF!</v>
      </c>
      <c r="EQ564" t="e">
        <f>AND(#REF!,"AAAAAH/efpI=")</f>
        <v>#REF!</v>
      </c>
      <c r="ER564" t="e">
        <f>AND(#REF!,"AAAAAH/efpM=")</f>
        <v>#REF!</v>
      </c>
      <c r="ES564" t="e">
        <f>AND(#REF!,"AAAAAH/efpQ=")</f>
        <v>#REF!</v>
      </c>
      <c r="ET564" t="e">
        <f>AND(#REF!,"AAAAAH/efpU=")</f>
        <v>#REF!</v>
      </c>
      <c r="EU564" t="e">
        <f>AND(#REF!,"AAAAAH/efpY=")</f>
        <v>#REF!</v>
      </c>
      <c r="EV564" t="e">
        <f>IF(#REF!,"AAAAAH/efpc=",0)</f>
        <v>#REF!</v>
      </c>
      <c r="EW564" t="e">
        <f>AND(#REF!,"AAAAAH/efpg=")</f>
        <v>#REF!</v>
      </c>
      <c r="EX564" t="e">
        <f>AND(#REF!,"AAAAAH/efpk=")</f>
        <v>#REF!</v>
      </c>
      <c r="EY564" t="e">
        <f>AND(#REF!,"AAAAAH/efpo=")</f>
        <v>#REF!</v>
      </c>
      <c r="EZ564" t="e">
        <f>AND(#REF!,"AAAAAH/efps=")</f>
        <v>#REF!</v>
      </c>
      <c r="FA564" t="e">
        <f>AND(#REF!,"AAAAAH/efpw=")</f>
        <v>#REF!</v>
      </c>
      <c r="FB564" t="e">
        <f>AND(#REF!,"AAAAAH/efp0=")</f>
        <v>#REF!</v>
      </c>
      <c r="FC564" t="e">
        <f>AND(#REF!,"AAAAAH/efp4=")</f>
        <v>#REF!</v>
      </c>
      <c r="FD564" t="e">
        <f>AND(#REF!,"AAAAAH/efp8=")</f>
        <v>#REF!</v>
      </c>
      <c r="FE564" t="e">
        <f>AND(#REF!,"AAAAAH/efqA=")</f>
        <v>#REF!</v>
      </c>
      <c r="FF564" t="e">
        <f>AND(#REF!,"AAAAAH/efqE=")</f>
        <v>#REF!</v>
      </c>
      <c r="FG564" t="e">
        <f>IF(#REF!,"AAAAAH/efqI=",0)</f>
        <v>#REF!</v>
      </c>
      <c r="FH564" t="e">
        <f>AND(#REF!,"AAAAAH/efqM=")</f>
        <v>#REF!</v>
      </c>
      <c r="FI564" t="e">
        <f>AND(#REF!,"AAAAAH/efqQ=")</f>
        <v>#REF!</v>
      </c>
      <c r="FJ564" t="e">
        <f>AND(#REF!,"AAAAAH/efqU=")</f>
        <v>#REF!</v>
      </c>
      <c r="FK564" t="e">
        <f>AND(#REF!,"AAAAAH/efqY=")</f>
        <v>#REF!</v>
      </c>
      <c r="FL564" t="e">
        <f>AND(#REF!,"AAAAAH/efqc=")</f>
        <v>#REF!</v>
      </c>
      <c r="FM564" t="e">
        <f>AND(#REF!,"AAAAAH/efqg=")</f>
        <v>#REF!</v>
      </c>
      <c r="FN564" t="e">
        <f>AND(#REF!,"AAAAAH/efqk=")</f>
        <v>#REF!</v>
      </c>
      <c r="FO564" t="e">
        <f>AND(#REF!,"AAAAAH/efqo=")</f>
        <v>#REF!</v>
      </c>
      <c r="FP564" t="e">
        <f>AND(#REF!,"AAAAAH/efqs=")</f>
        <v>#REF!</v>
      </c>
      <c r="FQ564" t="e">
        <f>AND(#REF!,"AAAAAH/efqw=")</f>
        <v>#REF!</v>
      </c>
      <c r="FR564" t="e">
        <f>IF(#REF!,"AAAAAH/efq0=",0)</f>
        <v>#REF!</v>
      </c>
      <c r="FS564" t="e">
        <f>AND(#REF!,"AAAAAH/efq4=")</f>
        <v>#REF!</v>
      </c>
      <c r="FT564" t="e">
        <f>AND(#REF!,"AAAAAH/efq8=")</f>
        <v>#REF!</v>
      </c>
      <c r="FU564" t="e">
        <f>AND(#REF!,"AAAAAH/efrA=")</f>
        <v>#REF!</v>
      </c>
      <c r="FV564" t="e">
        <f>AND(#REF!,"AAAAAH/efrE=")</f>
        <v>#REF!</v>
      </c>
      <c r="FW564" t="e">
        <f>AND(#REF!,"AAAAAH/efrI=")</f>
        <v>#REF!</v>
      </c>
      <c r="FX564" t="e">
        <f>AND(#REF!,"AAAAAH/efrM=")</f>
        <v>#REF!</v>
      </c>
      <c r="FY564" t="e">
        <f>AND(#REF!,"AAAAAH/efrQ=")</f>
        <v>#REF!</v>
      </c>
      <c r="FZ564" t="e">
        <f>AND(#REF!,"AAAAAH/efrU=")</f>
        <v>#REF!</v>
      </c>
      <c r="GA564" t="e">
        <f>AND(#REF!,"AAAAAH/efrY=")</f>
        <v>#REF!</v>
      </c>
      <c r="GB564" t="e">
        <f>AND(#REF!,"AAAAAH/efrc=")</f>
        <v>#REF!</v>
      </c>
      <c r="GC564" t="e">
        <f>IF(#REF!,"AAAAAH/efrg=",0)</f>
        <v>#REF!</v>
      </c>
      <c r="GD564" t="e">
        <f>AND(#REF!,"AAAAAH/efrk=")</f>
        <v>#REF!</v>
      </c>
      <c r="GE564" t="e">
        <f>AND(#REF!,"AAAAAH/efro=")</f>
        <v>#REF!</v>
      </c>
      <c r="GF564" t="e">
        <f>AND(#REF!,"AAAAAH/efrs=")</f>
        <v>#REF!</v>
      </c>
      <c r="GG564" t="e">
        <f>AND(#REF!,"AAAAAH/efrw=")</f>
        <v>#REF!</v>
      </c>
      <c r="GH564" t="e">
        <f>AND(#REF!,"AAAAAH/efr0=")</f>
        <v>#REF!</v>
      </c>
      <c r="GI564" t="e">
        <f>AND(#REF!,"AAAAAH/efr4=")</f>
        <v>#REF!</v>
      </c>
      <c r="GJ564" t="e">
        <f>AND(#REF!,"AAAAAH/efr8=")</f>
        <v>#REF!</v>
      </c>
      <c r="GK564" t="e">
        <f>AND(#REF!,"AAAAAH/efsA=")</f>
        <v>#REF!</v>
      </c>
      <c r="GL564" t="e">
        <f>AND(#REF!,"AAAAAH/efsE=")</f>
        <v>#REF!</v>
      </c>
      <c r="GM564" t="e">
        <f>AND(#REF!,"AAAAAH/efsI=")</f>
        <v>#REF!</v>
      </c>
      <c r="GN564" t="e">
        <f>IF(#REF!,"AAAAAH/efsM=",0)</f>
        <v>#REF!</v>
      </c>
      <c r="GO564" t="e">
        <f>AND(#REF!,"AAAAAH/efsQ=")</f>
        <v>#REF!</v>
      </c>
      <c r="GP564" t="e">
        <f>AND(#REF!,"AAAAAH/efsU=")</f>
        <v>#REF!</v>
      </c>
      <c r="GQ564" t="e">
        <f>AND(#REF!,"AAAAAH/efsY=")</f>
        <v>#REF!</v>
      </c>
      <c r="GR564" t="e">
        <f>AND(#REF!,"AAAAAH/efsc=")</f>
        <v>#REF!</v>
      </c>
      <c r="GS564" t="e">
        <f>AND(#REF!,"AAAAAH/efsg=")</f>
        <v>#REF!</v>
      </c>
      <c r="GT564" t="e">
        <f>AND(#REF!,"AAAAAH/efsk=")</f>
        <v>#REF!</v>
      </c>
      <c r="GU564" t="e">
        <f>AND(#REF!,"AAAAAH/efso=")</f>
        <v>#REF!</v>
      </c>
      <c r="GV564" t="e">
        <f>AND(#REF!,"AAAAAH/efss=")</f>
        <v>#REF!</v>
      </c>
      <c r="GW564" t="e">
        <f>AND(#REF!,"AAAAAH/efsw=")</f>
        <v>#REF!</v>
      </c>
      <c r="GX564" t="e">
        <f>AND(#REF!,"AAAAAH/efs0=")</f>
        <v>#REF!</v>
      </c>
      <c r="GY564" t="e">
        <f>IF(#REF!,"AAAAAH/efs4=",0)</f>
        <v>#REF!</v>
      </c>
      <c r="GZ564" t="e">
        <f>AND(#REF!,"AAAAAH/efs8=")</f>
        <v>#REF!</v>
      </c>
      <c r="HA564" t="e">
        <f>AND(#REF!,"AAAAAH/eftA=")</f>
        <v>#REF!</v>
      </c>
      <c r="HB564" t="e">
        <f>AND(#REF!,"AAAAAH/eftE=")</f>
        <v>#REF!</v>
      </c>
      <c r="HC564" t="e">
        <f>AND(#REF!,"AAAAAH/eftI=")</f>
        <v>#REF!</v>
      </c>
      <c r="HD564" t="e">
        <f>AND(#REF!,"AAAAAH/eftM=")</f>
        <v>#REF!</v>
      </c>
      <c r="HE564" t="e">
        <f>AND(#REF!,"AAAAAH/eftQ=")</f>
        <v>#REF!</v>
      </c>
      <c r="HF564" t="e">
        <f>AND(#REF!,"AAAAAH/eftU=")</f>
        <v>#REF!</v>
      </c>
      <c r="HG564" t="e">
        <f>AND(#REF!,"AAAAAH/eftY=")</f>
        <v>#REF!</v>
      </c>
      <c r="HH564" t="e">
        <f>AND(#REF!,"AAAAAH/eftc=")</f>
        <v>#REF!</v>
      </c>
      <c r="HI564" t="e">
        <f>AND(#REF!,"AAAAAH/eftg=")</f>
        <v>#REF!</v>
      </c>
      <c r="HJ564" t="e">
        <f>IF(#REF!,"AAAAAH/eftk=",0)</f>
        <v>#REF!</v>
      </c>
      <c r="HK564" t="e">
        <f>AND(#REF!,"AAAAAH/efto=")</f>
        <v>#REF!</v>
      </c>
      <c r="HL564" t="e">
        <f>AND(#REF!,"AAAAAH/efts=")</f>
        <v>#REF!</v>
      </c>
      <c r="HM564" t="e">
        <f>AND(#REF!,"AAAAAH/eftw=")</f>
        <v>#REF!</v>
      </c>
      <c r="HN564" t="e">
        <f>AND(#REF!,"AAAAAH/eft0=")</f>
        <v>#REF!</v>
      </c>
      <c r="HO564" t="e">
        <f>AND(#REF!,"AAAAAH/eft4=")</f>
        <v>#REF!</v>
      </c>
      <c r="HP564" t="e">
        <f>AND(#REF!,"AAAAAH/eft8=")</f>
        <v>#REF!</v>
      </c>
      <c r="HQ564" t="e">
        <f>AND(#REF!,"AAAAAH/efuA=")</f>
        <v>#REF!</v>
      </c>
      <c r="HR564" t="e">
        <f>AND(#REF!,"AAAAAH/efuE=")</f>
        <v>#REF!</v>
      </c>
      <c r="HS564" t="e">
        <f>AND(#REF!,"AAAAAH/efuI=")</f>
        <v>#REF!</v>
      </c>
      <c r="HT564" t="e">
        <f>AND(#REF!,"AAAAAH/efuM=")</f>
        <v>#REF!</v>
      </c>
      <c r="HU564" t="e">
        <f>IF(#REF!,"AAAAAH/efuQ=",0)</f>
        <v>#REF!</v>
      </c>
      <c r="HV564" t="e">
        <f>AND(#REF!,"AAAAAH/efuU=")</f>
        <v>#REF!</v>
      </c>
      <c r="HW564" t="e">
        <f>AND(#REF!,"AAAAAH/efuY=")</f>
        <v>#REF!</v>
      </c>
      <c r="HX564" t="e">
        <f>AND(#REF!,"AAAAAH/efuc=")</f>
        <v>#REF!</v>
      </c>
      <c r="HY564" t="e">
        <f>AND(#REF!,"AAAAAH/efug=")</f>
        <v>#REF!</v>
      </c>
      <c r="HZ564" t="e">
        <f>AND(#REF!,"AAAAAH/efuk=")</f>
        <v>#REF!</v>
      </c>
      <c r="IA564" t="e">
        <f>AND(#REF!,"AAAAAH/efuo=")</f>
        <v>#REF!</v>
      </c>
      <c r="IB564" t="e">
        <f>AND(#REF!,"AAAAAH/efus=")</f>
        <v>#REF!</v>
      </c>
      <c r="IC564" t="e">
        <f>AND(#REF!,"AAAAAH/efuw=")</f>
        <v>#REF!</v>
      </c>
      <c r="ID564" t="e">
        <f>AND(#REF!,"AAAAAH/efu0=")</f>
        <v>#REF!</v>
      </c>
      <c r="IE564" t="e">
        <f>AND(#REF!,"AAAAAH/efu4=")</f>
        <v>#REF!</v>
      </c>
      <c r="IF564" t="e">
        <f>IF(#REF!,"AAAAAH/efu8=",0)</f>
        <v>#REF!</v>
      </c>
      <c r="IG564" t="e">
        <f>AND(#REF!,"AAAAAH/efvA=")</f>
        <v>#REF!</v>
      </c>
      <c r="IH564" t="e">
        <f>AND(#REF!,"AAAAAH/efvE=")</f>
        <v>#REF!</v>
      </c>
      <c r="II564" t="e">
        <f>AND(#REF!,"AAAAAH/efvI=")</f>
        <v>#REF!</v>
      </c>
      <c r="IJ564" t="e">
        <f>AND(#REF!,"AAAAAH/efvM=")</f>
        <v>#REF!</v>
      </c>
      <c r="IK564" t="e">
        <f>AND(#REF!,"AAAAAH/efvQ=")</f>
        <v>#REF!</v>
      </c>
      <c r="IL564" t="e">
        <f>AND(#REF!,"AAAAAH/efvU=")</f>
        <v>#REF!</v>
      </c>
      <c r="IM564" t="e">
        <f>AND(#REF!,"AAAAAH/efvY=")</f>
        <v>#REF!</v>
      </c>
      <c r="IN564" t="e">
        <f>AND(#REF!,"AAAAAH/efvc=")</f>
        <v>#REF!</v>
      </c>
      <c r="IO564" t="e">
        <f>AND(#REF!,"AAAAAH/efvg=")</f>
        <v>#REF!</v>
      </c>
      <c r="IP564" t="e">
        <f>AND(#REF!,"AAAAAH/efvk=")</f>
        <v>#REF!</v>
      </c>
      <c r="IQ564" t="e">
        <f>IF(#REF!,"AAAAAH/efvo=",0)</f>
        <v>#REF!</v>
      </c>
      <c r="IR564" t="e">
        <f>AND(#REF!,"AAAAAH/efvs=")</f>
        <v>#REF!</v>
      </c>
      <c r="IS564" t="e">
        <f>AND(#REF!,"AAAAAH/efvw=")</f>
        <v>#REF!</v>
      </c>
      <c r="IT564" t="e">
        <f>AND(#REF!,"AAAAAH/efv0=")</f>
        <v>#REF!</v>
      </c>
      <c r="IU564" t="e">
        <f>AND(#REF!,"AAAAAH/efv4=")</f>
        <v>#REF!</v>
      </c>
      <c r="IV564" t="e">
        <f>AND(#REF!,"AAAAAH/efv8=")</f>
        <v>#REF!</v>
      </c>
    </row>
    <row r="565" spans="1:256" x14ac:dyDescent="0.25">
      <c r="A565" t="e">
        <f>AND(#REF!,"AAAAAHk7rQA=")</f>
        <v>#REF!</v>
      </c>
      <c r="B565" t="e">
        <f>AND(#REF!,"AAAAAHk7rQE=")</f>
        <v>#REF!</v>
      </c>
      <c r="C565" t="e">
        <f>AND(#REF!,"AAAAAHk7rQI=")</f>
        <v>#REF!</v>
      </c>
      <c r="D565" t="e">
        <f>AND(#REF!,"AAAAAHk7rQM=")</f>
        <v>#REF!</v>
      </c>
      <c r="E565" t="e">
        <f>AND(#REF!,"AAAAAHk7rQQ=")</f>
        <v>#REF!</v>
      </c>
      <c r="F565" t="e">
        <f>IF(#REF!,"AAAAAHk7rQU=",0)</f>
        <v>#REF!</v>
      </c>
      <c r="G565" t="e">
        <f>AND(#REF!,"AAAAAHk7rQY=")</f>
        <v>#REF!</v>
      </c>
      <c r="H565" t="e">
        <f>AND(#REF!,"AAAAAHk7rQc=")</f>
        <v>#REF!</v>
      </c>
      <c r="I565" t="e">
        <f>AND(#REF!,"AAAAAHk7rQg=")</f>
        <v>#REF!</v>
      </c>
      <c r="J565" t="e">
        <f>AND(#REF!,"AAAAAHk7rQk=")</f>
        <v>#REF!</v>
      </c>
      <c r="K565" t="e">
        <f>AND(#REF!,"AAAAAHk7rQo=")</f>
        <v>#REF!</v>
      </c>
      <c r="L565" t="e">
        <f>AND(#REF!,"AAAAAHk7rQs=")</f>
        <v>#REF!</v>
      </c>
      <c r="M565" t="e">
        <f>AND(#REF!,"AAAAAHk7rQw=")</f>
        <v>#REF!</v>
      </c>
      <c r="N565" t="e">
        <f>AND(#REF!,"AAAAAHk7rQ0=")</f>
        <v>#REF!</v>
      </c>
      <c r="O565" t="e">
        <f>AND(#REF!,"AAAAAHk7rQ4=")</f>
        <v>#REF!</v>
      </c>
      <c r="P565" t="e">
        <f>AND(#REF!,"AAAAAHk7rQ8=")</f>
        <v>#REF!</v>
      </c>
      <c r="Q565" t="e">
        <f>IF(#REF!,"AAAAAHk7rRA=",0)</f>
        <v>#REF!</v>
      </c>
      <c r="R565" t="e">
        <f>AND(#REF!,"AAAAAHk7rRE=")</f>
        <v>#REF!</v>
      </c>
      <c r="S565" t="e">
        <f>AND(#REF!,"AAAAAHk7rRI=")</f>
        <v>#REF!</v>
      </c>
      <c r="T565" t="e">
        <f>AND(#REF!,"AAAAAHk7rRM=")</f>
        <v>#REF!</v>
      </c>
      <c r="U565" t="e">
        <f>AND(#REF!,"AAAAAHk7rRQ=")</f>
        <v>#REF!</v>
      </c>
      <c r="V565" t="e">
        <f>AND(#REF!,"AAAAAHk7rRU=")</f>
        <v>#REF!</v>
      </c>
      <c r="W565" t="e">
        <f>AND(#REF!,"AAAAAHk7rRY=")</f>
        <v>#REF!</v>
      </c>
      <c r="X565" t="e">
        <f>AND(#REF!,"AAAAAHk7rRc=")</f>
        <v>#REF!</v>
      </c>
      <c r="Y565" t="e">
        <f>AND(#REF!,"AAAAAHk7rRg=")</f>
        <v>#REF!</v>
      </c>
      <c r="Z565" t="e">
        <f>AND(#REF!,"AAAAAHk7rRk=")</f>
        <v>#REF!</v>
      </c>
      <c r="AA565" t="e">
        <f>AND(#REF!,"AAAAAHk7rRo=")</f>
        <v>#REF!</v>
      </c>
      <c r="AB565" t="e">
        <f>IF(#REF!,"AAAAAHk7rRs=",0)</f>
        <v>#REF!</v>
      </c>
      <c r="AC565" t="e">
        <f>AND(#REF!,"AAAAAHk7rRw=")</f>
        <v>#REF!</v>
      </c>
      <c r="AD565" t="e">
        <f>AND(#REF!,"AAAAAHk7rR0=")</f>
        <v>#REF!</v>
      </c>
      <c r="AE565" t="e">
        <f>AND(#REF!,"AAAAAHk7rR4=")</f>
        <v>#REF!</v>
      </c>
      <c r="AF565" t="e">
        <f>AND(#REF!,"AAAAAHk7rR8=")</f>
        <v>#REF!</v>
      </c>
      <c r="AG565" t="e">
        <f>AND(#REF!,"AAAAAHk7rSA=")</f>
        <v>#REF!</v>
      </c>
      <c r="AH565" t="e">
        <f>AND(#REF!,"AAAAAHk7rSE=")</f>
        <v>#REF!</v>
      </c>
      <c r="AI565" t="e">
        <f>AND(#REF!,"AAAAAHk7rSI=")</f>
        <v>#REF!</v>
      </c>
      <c r="AJ565" t="e">
        <f>AND(#REF!,"AAAAAHk7rSM=")</f>
        <v>#REF!</v>
      </c>
      <c r="AK565" t="e">
        <f>AND(#REF!,"AAAAAHk7rSQ=")</f>
        <v>#REF!</v>
      </c>
      <c r="AL565" t="e">
        <f>AND(#REF!,"AAAAAHk7rSU=")</f>
        <v>#REF!</v>
      </c>
      <c r="AM565" t="e">
        <f>IF(#REF!,"AAAAAHk7rSY=",0)</f>
        <v>#REF!</v>
      </c>
      <c r="AN565" t="e">
        <f>AND(#REF!,"AAAAAHk7rSc=")</f>
        <v>#REF!</v>
      </c>
      <c r="AO565" t="e">
        <f>AND(#REF!,"AAAAAHk7rSg=")</f>
        <v>#REF!</v>
      </c>
      <c r="AP565" t="e">
        <f>AND(#REF!,"AAAAAHk7rSk=")</f>
        <v>#REF!</v>
      </c>
      <c r="AQ565" t="e">
        <f>AND(#REF!,"AAAAAHk7rSo=")</f>
        <v>#REF!</v>
      </c>
      <c r="AR565" t="e">
        <f>AND(#REF!,"AAAAAHk7rSs=")</f>
        <v>#REF!</v>
      </c>
      <c r="AS565" t="e">
        <f>AND(#REF!,"AAAAAHk7rSw=")</f>
        <v>#REF!</v>
      </c>
      <c r="AT565" t="e">
        <f>AND(#REF!,"AAAAAHk7rS0=")</f>
        <v>#REF!</v>
      </c>
      <c r="AU565" t="e">
        <f>AND(#REF!,"AAAAAHk7rS4=")</f>
        <v>#REF!</v>
      </c>
      <c r="AV565" t="e">
        <f>AND(#REF!,"AAAAAHk7rS8=")</f>
        <v>#REF!</v>
      </c>
      <c r="AW565" t="e">
        <f>AND(#REF!,"AAAAAHk7rTA=")</f>
        <v>#REF!</v>
      </c>
      <c r="AX565" t="e">
        <f>IF(#REF!,"AAAAAHk7rTE=",0)</f>
        <v>#REF!</v>
      </c>
      <c r="AY565" t="e">
        <f>AND(#REF!,"AAAAAHk7rTI=")</f>
        <v>#REF!</v>
      </c>
      <c r="AZ565" t="e">
        <f>AND(#REF!,"AAAAAHk7rTM=")</f>
        <v>#REF!</v>
      </c>
      <c r="BA565" t="e">
        <f>AND(#REF!,"AAAAAHk7rTQ=")</f>
        <v>#REF!</v>
      </c>
      <c r="BB565" t="e">
        <f>AND(#REF!,"AAAAAHk7rTU=")</f>
        <v>#REF!</v>
      </c>
      <c r="BC565" t="e">
        <f>AND(#REF!,"AAAAAHk7rTY=")</f>
        <v>#REF!</v>
      </c>
      <c r="BD565" t="e">
        <f>AND(#REF!,"AAAAAHk7rTc=")</f>
        <v>#REF!</v>
      </c>
      <c r="BE565" t="e">
        <f>AND(#REF!,"AAAAAHk7rTg=")</f>
        <v>#REF!</v>
      </c>
      <c r="BF565" t="e">
        <f>AND(#REF!,"AAAAAHk7rTk=")</f>
        <v>#REF!</v>
      </c>
      <c r="BG565" t="e">
        <f>AND(#REF!,"AAAAAHk7rTo=")</f>
        <v>#REF!</v>
      </c>
      <c r="BH565" t="e">
        <f>AND(#REF!,"AAAAAHk7rTs=")</f>
        <v>#REF!</v>
      </c>
      <c r="BI565" t="e">
        <f>IF(#REF!,"AAAAAHk7rTw=",0)</f>
        <v>#REF!</v>
      </c>
      <c r="BJ565" t="e">
        <f>AND(#REF!,"AAAAAHk7rT0=")</f>
        <v>#REF!</v>
      </c>
      <c r="BK565" t="e">
        <f>AND(#REF!,"AAAAAHk7rT4=")</f>
        <v>#REF!</v>
      </c>
      <c r="BL565" t="e">
        <f>AND(#REF!,"AAAAAHk7rT8=")</f>
        <v>#REF!</v>
      </c>
      <c r="BM565" t="e">
        <f>AND(#REF!,"AAAAAHk7rUA=")</f>
        <v>#REF!</v>
      </c>
      <c r="BN565" t="e">
        <f>AND(#REF!,"AAAAAHk7rUE=")</f>
        <v>#REF!</v>
      </c>
      <c r="BO565" t="e">
        <f>AND(#REF!,"AAAAAHk7rUI=")</f>
        <v>#REF!</v>
      </c>
      <c r="BP565" t="e">
        <f>AND(#REF!,"AAAAAHk7rUM=")</f>
        <v>#REF!</v>
      </c>
      <c r="BQ565" t="e">
        <f>AND(#REF!,"AAAAAHk7rUQ=")</f>
        <v>#REF!</v>
      </c>
      <c r="BR565" t="e">
        <f>AND(#REF!,"AAAAAHk7rUU=")</f>
        <v>#REF!</v>
      </c>
      <c r="BS565" t="e">
        <f>AND(#REF!,"AAAAAHk7rUY=")</f>
        <v>#REF!</v>
      </c>
      <c r="BT565" t="e">
        <f>IF(#REF!,"AAAAAHk7rUc=",0)</f>
        <v>#REF!</v>
      </c>
      <c r="BU565" t="e">
        <f>AND(#REF!,"AAAAAHk7rUg=")</f>
        <v>#REF!</v>
      </c>
      <c r="BV565" t="e">
        <f>AND(#REF!,"AAAAAHk7rUk=")</f>
        <v>#REF!</v>
      </c>
      <c r="BW565" t="e">
        <f>AND(#REF!,"AAAAAHk7rUo=")</f>
        <v>#REF!</v>
      </c>
      <c r="BX565" t="e">
        <f>AND(#REF!,"AAAAAHk7rUs=")</f>
        <v>#REF!</v>
      </c>
      <c r="BY565" t="e">
        <f>AND(#REF!,"AAAAAHk7rUw=")</f>
        <v>#REF!</v>
      </c>
      <c r="BZ565" t="e">
        <f>AND(#REF!,"AAAAAHk7rU0=")</f>
        <v>#REF!</v>
      </c>
      <c r="CA565" t="e">
        <f>AND(#REF!,"AAAAAHk7rU4=")</f>
        <v>#REF!</v>
      </c>
      <c r="CB565" t="e">
        <f>AND(#REF!,"AAAAAHk7rU8=")</f>
        <v>#REF!</v>
      </c>
      <c r="CC565" t="e">
        <f>AND(#REF!,"AAAAAHk7rVA=")</f>
        <v>#REF!</v>
      </c>
      <c r="CD565" t="e">
        <f>AND(#REF!,"AAAAAHk7rVE=")</f>
        <v>#REF!</v>
      </c>
      <c r="CE565" t="e">
        <f>IF(#REF!,"AAAAAHk7rVI=",0)</f>
        <v>#REF!</v>
      </c>
      <c r="CF565" t="e">
        <f>AND(#REF!,"AAAAAHk7rVM=")</f>
        <v>#REF!</v>
      </c>
      <c r="CG565" t="e">
        <f>AND(#REF!,"AAAAAHk7rVQ=")</f>
        <v>#REF!</v>
      </c>
      <c r="CH565" t="e">
        <f>AND(#REF!,"AAAAAHk7rVU=")</f>
        <v>#REF!</v>
      </c>
      <c r="CI565" t="e">
        <f>AND(#REF!,"AAAAAHk7rVY=")</f>
        <v>#REF!</v>
      </c>
      <c r="CJ565" t="e">
        <f>AND(#REF!,"AAAAAHk7rVc=")</f>
        <v>#REF!</v>
      </c>
      <c r="CK565" t="e">
        <f>AND(#REF!,"AAAAAHk7rVg=")</f>
        <v>#REF!</v>
      </c>
      <c r="CL565" t="e">
        <f>AND(#REF!,"AAAAAHk7rVk=")</f>
        <v>#REF!</v>
      </c>
      <c r="CM565" t="e">
        <f>AND(#REF!,"AAAAAHk7rVo=")</f>
        <v>#REF!</v>
      </c>
      <c r="CN565" t="e">
        <f>AND(#REF!,"AAAAAHk7rVs=")</f>
        <v>#REF!</v>
      </c>
      <c r="CO565" t="e">
        <f>AND(#REF!,"AAAAAHk7rVw=")</f>
        <v>#REF!</v>
      </c>
      <c r="CP565" t="e">
        <f>IF(#REF!,"AAAAAHk7rV0=",0)</f>
        <v>#REF!</v>
      </c>
      <c r="CQ565" t="e">
        <f>AND(#REF!,"AAAAAHk7rV4=")</f>
        <v>#REF!</v>
      </c>
      <c r="CR565" t="e">
        <f>AND(#REF!,"AAAAAHk7rV8=")</f>
        <v>#REF!</v>
      </c>
      <c r="CS565" t="e">
        <f>AND(#REF!,"AAAAAHk7rWA=")</f>
        <v>#REF!</v>
      </c>
      <c r="CT565" t="e">
        <f>AND(#REF!,"AAAAAHk7rWE=")</f>
        <v>#REF!</v>
      </c>
      <c r="CU565" t="e">
        <f>AND(#REF!,"AAAAAHk7rWI=")</f>
        <v>#REF!</v>
      </c>
      <c r="CV565" t="e">
        <f>AND(#REF!,"AAAAAHk7rWM=")</f>
        <v>#REF!</v>
      </c>
      <c r="CW565" t="e">
        <f>AND(#REF!,"AAAAAHk7rWQ=")</f>
        <v>#REF!</v>
      </c>
      <c r="CX565" t="e">
        <f>AND(#REF!,"AAAAAHk7rWU=")</f>
        <v>#REF!</v>
      </c>
      <c r="CY565" t="e">
        <f>AND(#REF!,"AAAAAHk7rWY=")</f>
        <v>#REF!</v>
      </c>
      <c r="CZ565" t="e">
        <f>AND(#REF!,"AAAAAHk7rWc=")</f>
        <v>#REF!</v>
      </c>
      <c r="DA565" t="e">
        <f>IF(#REF!,"AAAAAHk7rWg=",0)</f>
        <v>#REF!</v>
      </c>
      <c r="DB565" t="e">
        <f>AND(#REF!,"AAAAAHk7rWk=")</f>
        <v>#REF!</v>
      </c>
      <c r="DC565" t="e">
        <f>AND(#REF!,"AAAAAHk7rWo=")</f>
        <v>#REF!</v>
      </c>
      <c r="DD565" t="e">
        <f>AND(#REF!,"AAAAAHk7rWs=")</f>
        <v>#REF!</v>
      </c>
      <c r="DE565" t="e">
        <f>AND(#REF!,"AAAAAHk7rWw=")</f>
        <v>#REF!</v>
      </c>
      <c r="DF565" t="e">
        <f>AND(#REF!,"AAAAAHk7rW0=")</f>
        <v>#REF!</v>
      </c>
      <c r="DG565" t="e">
        <f>AND(#REF!,"AAAAAHk7rW4=")</f>
        <v>#REF!</v>
      </c>
      <c r="DH565" t="e">
        <f>AND(#REF!,"AAAAAHk7rW8=")</f>
        <v>#REF!</v>
      </c>
      <c r="DI565" t="e">
        <f>AND(#REF!,"AAAAAHk7rXA=")</f>
        <v>#REF!</v>
      </c>
      <c r="DJ565" t="e">
        <f>AND(#REF!,"AAAAAHk7rXE=")</f>
        <v>#REF!</v>
      </c>
      <c r="DK565" t="e">
        <f>AND(#REF!,"AAAAAHk7rXI=")</f>
        <v>#REF!</v>
      </c>
      <c r="DL565" t="e">
        <f>IF(#REF!,"AAAAAHk7rXM=",0)</f>
        <v>#REF!</v>
      </c>
      <c r="DM565" t="e">
        <f>AND(#REF!,"AAAAAHk7rXQ=")</f>
        <v>#REF!</v>
      </c>
      <c r="DN565" t="e">
        <f>AND(#REF!,"AAAAAHk7rXU=")</f>
        <v>#REF!</v>
      </c>
      <c r="DO565" t="e">
        <f>AND(#REF!,"AAAAAHk7rXY=")</f>
        <v>#REF!</v>
      </c>
      <c r="DP565" t="e">
        <f>AND(#REF!,"AAAAAHk7rXc=")</f>
        <v>#REF!</v>
      </c>
      <c r="DQ565" t="e">
        <f>AND(#REF!,"AAAAAHk7rXg=")</f>
        <v>#REF!</v>
      </c>
      <c r="DR565" t="e">
        <f>AND(#REF!,"AAAAAHk7rXk=")</f>
        <v>#REF!</v>
      </c>
      <c r="DS565" t="e">
        <f>AND(#REF!,"AAAAAHk7rXo=")</f>
        <v>#REF!</v>
      </c>
      <c r="DT565" t="e">
        <f>AND(#REF!,"AAAAAHk7rXs=")</f>
        <v>#REF!</v>
      </c>
      <c r="DU565" t="e">
        <f>AND(#REF!,"AAAAAHk7rXw=")</f>
        <v>#REF!</v>
      </c>
      <c r="DV565" t="e">
        <f>AND(#REF!,"AAAAAHk7rX0=")</f>
        <v>#REF!</v>
      </c>
      <c r="DW565" t="e">
        <f>IF(#REF!,"AAAAAHk7rX4=",0)</f>
        <v>#REF!</v>
      </c>
      <c r="DX565" t="e">
        <f>AND(#REF!,"AAAAAHk7rX8=")</f>
        <v>#REF!</v>
      </c>
      <c r="DY565" t="e">
        <f>AND(#REF!,"AAAAAHk7rYA=")</f>
        <v>#REF!</v>
      </c>
      <c r="DZ565" t="e">
        <f>AND(#REF!,"AAAAAHk7rYE=")</f>
        <v>#REF!</v>
      </c>
      <c r="EA565" t="e">
        <f>AND(#REF!,"AAAAAHk7rYI=")</f>
        <v>#REF!</v>
      </c>
      <c r="EB565" t="e">
        <f>AND(#REF!,"AAAAAHk7rYM=")</f>
        <v>#REF!</v>
      </c>
      <c r="EC565" t="e">
        <f>AND(#REF!,"AAAAAHk7rYQ=")</f>
        <v>#REF!</v>
      </c>
      <c r="ED565" t="e">
        <f>AND(#REF!,"AAAAAHk7rYU=")</f>
        <v>#REF!</v>
      </c>
      <c r="EE565" t="e">
        <f>AND(#REF!,"AAAAAHk7rYY=")</f>
        <v>#REF!</v>
      </c>
      <c r="EF565" t="e">
        <f>AND(#REF!,"AAAAAHk7rYc=")</f>
        <v>#REF!</v>
      </c>
      <c r="EG565" t="e">
        <f>AND(#REF!,"AAAAAHk7rYg=")</f>
        <v>#REF!</v>
      </c>
      <c r="EH565" t="e">
        <f>IF(#REF!,"AAAAAHk7rYk=",0)</f>
        <v>#REF!</v>
      </c>
      <c r="EI565" t="e">
        <f>AND(#REF!,"AAAAAHk7rYo=")</f>
        <v>#REF!</v>
      </c>
      <c r="EJ565" t="e">
        <f>AND(#REF!,"AAAAAHk7rYs=")</f>
        <v>#REF!</v>
      </c>
      <c r="EK565" t="e">
        <f>AND(#REF!,"AAAAAHk7rYw=")</f>
        <v>#REF!</v>
      </c>
      <c r="EL565" t="e">
        <f>AND(#REF!,"AAAAAHk7rY0=")</f>
        <v>#REF!</v>
      </c>
      <c r="EM565" t="e">
        <f>AND(#REF!,"AAAAAHk7rY4=")</f>
        <v>#REF!</v>
      </c>
      <c r="EN565" t="e">
        <f>AND(#REF!,"AAAAAHk7rY8=")</f>
        <v>#REF!</v>
      </c>
      <c r="EO565" t="e">
        <f>AND(#REF!,"AAAAAHk7rZA=")</f>
        <v>#REF!</v>
      </c>
      <c r="EP565" t="e">
        <f>AND(#REF!,"AAAAAHk7rZE=")</f>
        <v>#REF!</v>
      </c>
      <c r="EQ565" t="e">
        <f>AND(#REF!,"AAAAAHk7rZI=")</f>
        <v>#REF!</v>
      </c>
      <c r="ER565" t="e">
        <f>AND(#REF!,"AAAAAHk7rZM=")</f>
        <v>#REF!</v>
      </c>
      <c r="ES565" t="e">
        <f>IF(#REF!,"AAAAAHk7rZQ=",0)</f>
        <v>#REF!</v>
      </c>
      <c r="ET565" t="e">
        <f>AND(#REF!,"AAAAAHk7rZU=")</f>
        <v>#REF!</v>
      </c>
      <c r="EU565" t="e">
        <f>AND(#REF!,"AAAAAHk7rZY=")</f>
        <v>#REF!</v>
      </c>
      <c r="EV565" t="e">
        <f>AND(#REF!,"AAAAAHk7rZc=")</f>
        <v>#REF!</v>
      </c>
      <c r="EW565" t="e">
        <f>AND(#REF!,"AAAAAHk7rZg=")</f>
        <v>#REF!</v>
      </c>
      <c r="EX565" t="e">
        <f>AND(#REF!,"AAAAAHk7rZk=")</f>
        <v>#REF!</v>
      </c>
      <c r="EY565" t="e">
        <f>AND(#REF!,"AAAAAHk7rZo=")</f>
        <v>#REF!</v>
      </c>
      <c r="EZ565" t="e">
        <f>AND(#REF!,"AAAAAHk7rZs=")</f>
        <v>#REF!</v>
      </c>
      <c r="FA565" t="e">
        <f>AND(#REF!,"AAAAAHk7rZw=")</f>
        <v>#REF!</v>
      </c>
      <c r="FB565" t="e">
        <f>AND(#REF!,"AAAAAHk7rZ0=")</f>
        <v>#REF!</v>
      </c>
      <c r="FC565" t="e">
        <f>AND(#REF!,"AAAAAHk7rZ4=")</f>
        <v>#REF!</v>
      </c>
      <c r="FD565" t="e">
        <f>IF(#REF!,"AAAAAHk7rZ8=",0)</f>
        <v>#REF!</v>
      </c>
      <c r="FE565" t="e">
        <f>AND(#REF!,"AAAAAHk7raA=")</f>
        <v>#REF!</v>
      </c>
      <c r="FF565" t="e">
        <f>AND(#REF!,"AAAAAHk7raE=")</f>
        <v>#REF!</v>
      </c>
      <c r="FG565" t="e">
        <f>AND(#REF!,"AAAAAHk7raI=")</f>
        <v>#REF!</v>
      </c>
      <c r="FH565" t="e">
        <f>AND(#REF!,"AAAAAHk7raM=")</f>
        <v>#REF!</v>
      </c>
      <c r="FI565" t="e">
        <f>AND(#REF!,"AAAAAHk7raQ=")</f>
        <v>#REF!</v>
      </c>
      <c r="FJ565" t="e">
        <f>AND(#REF!,"AAAAAHk7raU=")</f>
        <v>#REF!</v>
      </c>
      <c r="FK565" t="e">
        <f>AND(#REF!,"AAAAAHk7raY=")</f>
        <v>#REF!</v>
      </c>
      <c r="FL565" t="e">
        <f>AND(#REF!,"AAAAAHk7rac=")</f>
        <v>#REF!</v>
      </c>
      <c r="FM565" t="e">
        <f>AND(#REF!,"AAAAAHk7rag=")</f>
        <v>#REF!</v>
      </c>
      <c r="FN565" t="e">
        <f>AND(#REF!,"AAAAAHk7rak=")</f>
        <v>#REF!</v>
      </c>
      <c r="FO565" t="e">
        <f>IF(#REF!,"AAAAAHk7rao=",0)</f>
        <v>#REF!</v>
      </c>
      <c r="FP565" t="e">
        <f>AND(#REF!,"AAAAAHk7ras=")</f>
        <v>#REF!</v>
      </c>
      <c r="FQ565" t="e">
        <f>AND(#REF!,"AAAAAHk7raw=")</f>
        <v>#REF!</v>
      </c>
      <c r="FR565" t="e">
        <f>AND(#REF!,"AAAAAHk7ra0=")</f>
        <v>#REF!</v>
      </c>
      <c r="FS565" t="e">
        <f>AND(#REF!,"AAAAAHk7ra4=")</f>
        <v>#REF!</v>
      </c>
      <c r="FT565" t="e">
        <f>AND(#REF!,"AAAAAHk7ra8=")</f>
        <v>#REF!</v>
      </c>
      <c r="FU565" t="e">
        <f>AND(#REF!,"AAAAAHk7rbA=")</f>
        <v>#REF!</v>
      </c>
      <c r="FV565" t="e">
        <f>AND(#REF!,"AAAAAHk7rbE=")</f>
        <v>#REF!</v>
      </c>
      <c r="FW565" t="e">
        <f>AND(#REF!,"AAAAAHk7rbI=")</f>
        <v>#REF!</v>
      </c>
      <c r="FX565" t="e">
        <f>AND(#REF!,"AAAAAHk7rbM=")</f>
        <v>#REF!</v>
      </c>
      <c r="FY565" t="e">
        <f>AND(#REF!,"AAAAAHk7rbQ=")</f>
        <v>#REF!</v>
      </c>
      <c r="FZ565" t="e">
        <f>IF(#REF!,"AAAAAHk7rbU=",0)</f>
        <v>#REF!</v>
      </c>
      <c r="GA565" t="e">
        <f>AND(#REF!,"AAAAAHk7rbY=")</f>
        <v>#REF!</v>
      </c>
      <c r="GB565" t="e">
        <f>AND(#REF!,"AAAAAHk7rbc=")</f>
        <v>#REF!</v>
      </c>
      <c r="GC565" t="e">
        <f>AND(#REF!,"AAAAAHk7rbg=")</f>
        <v>#REF!</v>
      </c>
      <c r="GD565" t="e">
        <f>AND(#REF!,"AAAAAHk7rbk=")</f>
        <v>#REF!</v>
      </c>
      <c r="GE565" t="e">
        <f>AND(#REF!,"AAAAAHk7rbo=")</f>
        <v>#REF!</v>
      </c>
      <c r="GF565" t="e">
        <f>AND(#REF!,"AAAAAHk7rbs=")</f>
        <v>#REF!</v>
      </c>
      <c r="GG565" t="e">
        <f>AND(#REF!,"AAAAAHk7rbw=")</f>
        <v>#REF!</v>
      </c>
      <c r="GH565" t="e">
        <f>AND(#REF!,"AAAAAHk7rb0=")</f>
        <v>#REF!</v>
      </c>
      <c r="GI565" t="e">
        <f>AND(#REF!,"AAAAAHk7rb4=")</f>
        <v>#REF!</v>
      </c>
      <c r="GJ565" t="e">
        <f>AND(#REF!,"AAAAAHk7rb8=")</f>
        <v>#REF!</v>
      </c>
      <c r="GK565" t="e">
        <f>IF(#REF!,"AAAAAHk7rcA=",0)</f>
        <v>#REF!</v>
      </c>
      <c r="GL565" t="e">
        <f>AND(#REF!,"AAAAAHk7rcE=")</f>
        <v>#REF!</v>
      </c>
      <c r="GM565" t="e">
        <f>AND(#REF!,"AAAAAHk7rcI=")</f>
        <v>#REF!</v>
      </c>
      <c r="GN565" t="e">
        <f>AND(#REF!,"AAAAAHk7rcM=")</f>
        <v>#REF!</v>
      </c>
      <c r="GO565" t="e">
        <f>AND(#REF!,"AAAAAHk7rcQ=")</f>
        <v>#REF!</v>
      </c>
      <c r="GP565" t="e">
        <f>AND(#REF!,"AAAAAHk7rcU=")</f>
        <v>#REF!</v>
      </c>
      <c r="GQ565" t="e">
        <f>AND(#REF!,"AAAAAHk7rcY=")</f>
        <v>#REF!</v>
      </c>
      <c r="GR565" t="e">
        <f>AND(#REF!,"AAAAAHk7rcc=")</f>
        <v>#REF!</v>
      </c>
      <c r="GS565" t="e">
        <f>AND(#REF!,"AAAAAHk7rcg=")</f>
        <v>#REF!</v>
      </c>
      <c r="GT565" t="e">
        <f>AND(#REF!,"AAAAAHk7rck=")</f>
        <v>#REF!</v>
      </c>
      <c r="GU565" t="e">
        <f>AND(#REF!,"AAAAAHk7rco=")</f>
        <v>#REF!</v>
      </c>
      <c r="GV565" t="e">
        <f>IF(#REF!,"AAAAAHk7rcs=",0)</f>
        <v>#REF!</v>
      </c>
      <c r="GW565" t="e">
        <f>AND(#REF!,"AAAAAHk7rcw=")</f>
        <v>#REF!</v>
      </c>
      <c r="GX565" t="e">
        <f>AND(#REF!,"AAAAAHk7rc0=")</f>
        <v>#REF!</v>
      </c>
      <c r="GY565" t="e">
        <f>AND(#REF!,"AAAAAHk7rc4=")</f>
        <v>#REF!</v>
      </c>
      <c r="GZ565" t="e">
        <f>AND(#REF!,"AAAAAHk7rc8=")</f>
        <v>#REF!</v>
      </c>
      <c r="HA565" t="e">
        <f>AND(#REF!,"AAAAAHk7rdA=")</f>
        <v>#REF!</v>
      </c>
      <c r="HB565" t="e">
        <f>AND(#REF!,"AAAAAHk7rdE=")</f>
        <v>#REF!</v>
      </c>
      <c r="HC565" t="e">
        <f>AND(#REF!,"AAAAAHk7rdI=")</f>
        <v>#REF!</v>
      </c>
      <c r="HD565" t="e">
        <f>AND(#REF!,"AAAAAHk7rdM=")</f>
        <v>#REF!</v>
      </c>
      <c r="HE565" t="e">
        <f>AND(#REF!,"AAAAAHk7rdQ=")</f>
        <v>#REF!</v>
      </c>
      <c r="HF565" t="e">
        <f>AND(#REF!,"AAAAAHk7rdU=")</f>
        <v>#REF!</v>
      </c>
      <c r="HG565" t="e">
        <f>IF(#REF!,"AAAAAHk7rdY=",0)</f>
        <v>#REF!</v>
      </c>
      <c r="HH565" t="e">
        <f>AND(#REF!,"AAAAAHk7rdc=")</f>
        <v>#REF!</v>
      </c>
      <c r="HI565" t="e">
        <f>AND(#REF!,"AAAAAHk7rdg=")</f>
        <v>#REF!</v>
      </c>
      <c r="HJ565" t="e">
        <f>AND(#REF!,"AAAAAHk7rdk=")</f>
        <v>#REF!</v>
      </c>
      <c r="HK565" t="e">
        <f>AND(#REF!,"AAAAAHk7rdo=")</f>
        <v>#REF!</v>
      </c>
      <c r="HL565" t="e">
        <f>AND(#REF!,"AAAAAHk7rds=")</f>
        <v>#REF!</v>
      </c>
      <c r="HM565" t="e">
        <f>AND(#REF!,"AAAAAHk7rdw=")</f>
        <v>#REF!</v>
      </c>
      <c r="HN565" t="e">
        <f>AND(#REF!,"AAAAAHk7rd0=")</f>
        <v>#REF!</v>
      </c>
      <c r="HO565" t="e">
        <f>AND(#REF!,"AAAAAHk7rd4=")</f>
        <v>#REF!</v>
      </c>
      <c r="HP565" t="e">
        <f>AND(#REF!,"AAAAAHk7rd8=")</f>
        <v>#REF!</v>
      </c>
      <c r="HQ565" t="e">
        <f>AND(#REF!,"AAAAAHk7reA=")</f>
        <v>#REF!</v>
      </c>
      <c r="HR565" t="e">
        <f>IF(#REF!,"AAAAAHk7reE=",0)</f>
        <v>#REF!</v>
      </c>
      <c r="HS565" t="e">
        <f>AND(#REF!,"AAAAAHk7reI=")</f>
        <v>#REF!</v>
      </c>
      <c r="HT565" t="e">
        <f>AND(#REF!,"AAAAAHk7reM=")</f>
        <v>#REF!</v>
      </c>
      <c r="HU565" t="e">
        <f>AND(#REF!,"AAAAAHk7reQ=")</f>
        <v>#REF!</v>
      </c>
      <c r="HV565" t="e">
        <f>AND(#REF!,"AAAAAHk7reU=")</f>
        <v>#REF!</v>
      </c>
      <c r="HW565" t="e">
        <f>AND(#REF!,"AAAAAHk7reY=")</f>
        <v>#REF!</v>
      </c>
      <c r="HX565" t="e">
        <f>AND(#REF!,"AAAAAHk7rec=")</f>
        <v>#REF!</v>
      </c>
      <c r="HY565" t="e">
        <f>AND(#REF!,"AAAAAHk7reg=")</f>
        <v>#REF!</v>
      </c>
      <c r="HZ565" t="e">
        <f>AND(#REF!,"AAAAAHk7rek=")</f>
        <v>#REF!</v>
      </c>
      <c r="IA565" t="e">
        <f>AND(#REF!,"AAAAAHk7reo=")</f>
        <v>#REF!</v>
      </c>
      <c r="IB565" t="e">
        <f>AND(#REF!,"AAAAAHk7res=")</f>
        <v>#REF!</v>
      </c>
      <c r="IC565" t="e">
        <f>IF(#REF!,"AAAAAHk7rew=",0)</f>
        <v>#REF!</v>
      </c>
      <c r="ID565" t="e">
        <f>AND(#REF!,"AAAAAHk7re0=")</f>
        <v>#REF!</v>
      </c>
      <c r="IE565" t="e">
        <f>AND(#REF!,"AAAAAHk7re4=")</f>
        <v>#REF!</v>
      </c>
      <c r="IF565" t="e">
        <f>AND(#REF!,"AAAAAHk7re8=")</f>
        <v>#REF!</v>
      </c>
      <c r="IG565" t="e">
        <f>AND(#REF!,"AAAAAHk7rfA=")</f>
        <v>#REF!</v>
      </c>
      <c r="IH565" t="e">
        <f>AND(#REF!,"AAAAAHk7rfE=")</f>
        <v>#REF!</v>
      </c>
      <c r="II565" t="e">
        <f>AND(#REF!,"AAAAAHk7rfI=")</f>
        <v>#REF!</v>
      </c>
      <c r="IJ565" t="e">
        <f>AND(#REF!,"AAAAAHk7rfM=")</f>
        <v>#REF!</v>
      </c>
      <c r="IK565" t="e">
        <f>AND(#REF!,"AAAAAHk7rfQ=")</f>
        <v>#REF!</v>
      </c>
      <c r="IL565" t="e">
        <f>AND(#REF!,"AAAAAHk7rfU=")</f>
        <v>#REF!</v>
      </c>
      <c r="IM565" t="e">
        <f>AND(#REF!,"AAAAAHk7rfY=")</f>
        <v>#REF!</v>
      </c>
      <c r="IN565" t="e">
        <f>IF(#REF!,"AAAAAHk7rfc=",0)</f>
        <v>#REF!</v>
      </c>
      <c r="IO565" t="e">
        <f>AND(#REF!,"AAAAAHk7rfg=")</f>
        <v>#REF!</v>
      </c>
      <c r="IP565" t="e">
        <f>AND(#REF!,"AAAAAHk7rfk=")</f>
        <v>#REF!</v>
      </c>
      <c r="IQ565" t="e">
        <f>AND(#REF!,"AAAAAHk7rfo=")</f>
        <v>#REF!</v>
      </c>
      <c r="IR565" t="e">
        <f>AND(#REF!,"AAAAAHk7rfs=")</f>
        <v>#REF!</v>
      </c>
      <c r="IS565" t="e">
        <f>AND(#REF!,"AAAAAHk7rfw=")</f>
        <v>#REF!</v>
      </c>
      <c r="IT565" t="e">
        <f>AND(#REF!,"AAAAAHk7rf0=")</f>
        <v>#REF!</v>
      </c>
      <c r="IU565" t="e">
        <f>AND(#REF!,"AAAAAHk7rf4=")</f>
        <v>#REF!</v>
      </c>
      <c r="IV565" t="e">
        <f>AND(#REF!,"AAAAAHk7rf8=")</f>
        <v>#REF!</v>
      </c>
    </row>
    <row r="566" spans="1:256" x14ac:dyDescent="0.25">
      <c r="A566" t="e">
        <f>AND(#REF!,"AAAAAF7+PwA=")</f>
        <v>#REF!</v>
      </c>
      <c r="B566" t="e">
        <f>AND(#REF!,"AAAAAF7+PwE=")</f>
        <v>#REF!</v>
      </c>
      <c r="C566" t="e">
        <f>IF(#REF!,"AAAAAF7+PwI=",0)</f>
        <v>#REF!</v>
      </c>
      <c r="D566" t="e">
        <f>AND(#REF!,"AAAAAF7+PwM=")</f>
        <v>#REF!</v>
      </c>
      <c r="E566" t="e">
        <f>AND(#REF!,"AAAAAF7+PwQ=")</f>
        <v>#REF!</v>
      </c>
      <c r="F566" t="e">
        <f>AND(#REF!,"AAAAAF7+PwU=")</f>
        <v>#REF!</v>
      </c>
      <c r="G566" t="e">
        <f>AND(#REF!,"AAAAAF7+PwY=")</f>
        <v>#REF!</v>
      </c>
      <c r="H566" t="e">
        <f>AND(#REF!,"AAAAAF7+Pwc=")</f>
        <v>#REF!</v>
      </c>
      <c r="I566" t="e">
        <f>AND(#REF!,"AAAAAF7+Pwg=")</f>
        <v>#REF!</v>
      </c>
      <c r="J566" t="e">
        <f>AND(#REF!,"AAAAAF7+Pwk=")</f>
        <v>#REF!</v>
      </c>
      <c r="K566" t="e">
        <f>AND(#REF!,"AAAAAF7+Pwo=")</f>
        <v>#REF!</v>
      </c>
      <c r="L566" t="e">
        <f>AND(#REF!,"AAAAAF7+Pws=")</f>
        <v>#REF!</v>
      </c>
      <c r="M566" t="e">
        <f>AND(#REF!,"AAAAAF7+Pww=")</f>
        <v>#REF!</v>
      </c>
      <c r="N566" t="e">
        <f>IF(#REF!,"AAAAAF7+Pw0=",0)</f>
        <v>#REF!</v>
      </c>
      <c r="O566" t="e">
        <f>AND(#REF!,"AAAAAF7+Pw4=")</f>
        <v>#REF!</v>
      </c>
      <c r="P566" t="e">
        <f>AND(#REF!,"AAAAAF7+Pw8=")</f>
        <v>#REF!</v>
      </c>
      <c r="Q566" t="e">
        <f>AND(#REF!,"AAAAAF7+PxA=")</f>
        <v>#REF!</v>
      </c>
      <c r="R566" t="e">
        <f>AND(#REF!,"AAAAAF7+PxE=")</f>
        <v>#REF!</v>
      </c>
      <c r="S566" t="e">
        <f>AND(#REF!,"AAAAAF7+PxI=")</f>
        <v>#REF!</v>
      </c>
      <c r="T566" t="e">
        <f>AND(#REF!,"AAAAAF7+PxM=")</f>
        <v>#REF!</v>
      </c>
      <c r="U566" t="e">
        <f>AND(#REF!,"AAAAAF7+PxQ=")</f>
        <v>#REF!</v>
      </c>
      <c r="V566" t="e">
        <f>AND(#REF!,"AAAAAF7+PxU=")</f>
        <v>#REF!</v>
      </c>
      <c r="W566" t="e">
        <f>AND(#REF!,"AAAAAF7+PxY=")</f>
        <v>#REF!</v>
      </c>
      <c r="X566" t="e">
        <f>AND(#REF!,"AAAAAF7+Pxc=")</f>
        <v>#REF!</v>
      </c>
      <c r="Y566" t="e">
        <f>IF(#REF!,"AAAAAF7+Pxg=",0)</f>
        <v>#REF!</v>
      </c>
      <c r="Z566" t="e">
        <f>AND(#REF!,"AAAAAF7+Pxk=")</f>
        <v>#REF!</v>
      </c>
      <c r="AA566" t="e">
        <f>AND(#REF!,"AAAAAF7+Pxo=")</f>
        <v>#REF!</v>
      </c>
      <c r="AB566" t="e">
        <f>AND(#REF!,"AAAAAF7+Pxs=")</f>
        <v>#REF!</v>
      </c>
      <c r="AC566" t="e">
        <f>AND(#REF!,"AAAAAF7+Pxw=")</f>
        <v>#REF!</v>
      </c>
      <c r="AD566" t="e">
        <f>AND(#REF!,"AAAAAF7+Px0=")</f>
        <v>#REF!</v>
      </c>
      <c r="AE566" t="e">
        <f>AND(#REF!,"AAAAAF7+Px4=")</f>
        <v>#REF!</v>
      </c>
      <c r="AF566" t="e">
        <f>AND(#REF!,"AAAAAF7+Px8=")</f>
        <v>#REF!</v>
      </c>
      <c r="AG566" t="e">
        <f>AND(#REF!,"AAAAAF7+PyA=")</f>
        <v>#REF!</v>
      </c>
      <c r="AH566" t="e">
        <f>AND(#REF!,"AAAAAF7+PyE=")</f>
        <v>#REF!</v>
      </c>
      <c r="AI566" t="e">
        <f>AND(#REF!,"AAAAAF7+PyI=")</f>
        <v>#REF!</v>
      </c>
      <c r="AJ566" t="e">
        <f>IF(#REF!,"AAAAAF7+PyM=",0)</f>
        <v>#REF!</v>
      </c>
      <c r="AK566" t="e">
        <f>AND(#REF!,"AAAAAF7+PyQ=")</f>
        <v>#REF!</v>
      </c>
      <c r="AL566" t="e">
        <f>AND(#REF!,"AAAAAF7+PyU=")</f>
        <v>#REF!</v>
      </c>
      <c r="AM566" t="e">
        <f>AND(#REF!,"AAAAAF7+PyY=")</f>
        <v>#REF!</v>
      </c>
      <c r="AN566" t="e">
        <f>AND(#REF!,"AAAAAF7+Pyc=")</f>
        <v>#REF!</v>
      </c>
      <c r="AO566" t="e">
        <f>AND(#REF!,"AAAAAF7+Pyg=")</f>
        <v>#REF!</v>
      </c>
      <c r="AP566" t="e">
        <f>AND(#REF!,"AAAAAF7+Pyk=")</f>
        <v>#REF!</v>
      </c>
      <c r="AQ566" t="e">
        <f>AND(#REF!,"AAAAAF7+Pyo=")</f>
        <v>#REF!</v>
      </c>
      <c r="AR566" t="e">
        <f>AND(#REF!,"AAAAAF7+Pys=")</f>
        <v>#REF!</v>
      </c>
      <c r="AS566" t="e">
        <f>AND(#REF!,"AAAAAF7+Pyw=")</f>
        <v>#REF!</v>
      </c>
      <c r="AT566" t="e">
        <f>AND(#REF!,"AAAAAF7+Py0=")</f>
        <v>#REF!</v>
      </c>
      <c r="AU566" t="e">
        <f>IF(#REF!,"AAAAAF7+Py4=",0)</f>
        <v>#REF!</v>
      </c>
      <c r="AV566" t="e">
        <f>AND(#REF!,"AAAAAF7+Py8=")</f>
        <v>#REF!</v>
      </c>
      <c r="AW566" t="e">
        <f>AND(#REF!,"AAAAAF7+PzA=")</f>
        <v>#REF!</v>
      </c>
      <c r="AX566" t="e">
        <f>AND(#REF!,"AAAAAF7+PzE=")</f>
        <v>#REF!</v>
      </c>
      <c r="AY566" t="e">
        <f>AND(#REF!,"AAAAAF7+PzI=")</f>
        <v>#REF!</v>
      </c>
      <c r="AZ566" t="e">
        <f>AND(#REF!,"AAAAAF7+PzM=")</f>
        <v>#REF!</v>
      </c>
      <c r="BA566" t="e">
        <f>AND(#REF!,"AAAAAF7+PzQ=")</f>
        <v>#REF!</v>
      </c>
      <c r="BB566" t="e">
        <f>AND(#REF!,"AAAAAF7+PzU=")</f>
        <v>#REF!</v>
      </c>
      <c r="BC566" t="e">
        <f>AND(#REF!,"AAAAAF7+PzY=")</f>
        <v>#REF!</v>
      </c>
      <c r="BD566" t="e">
        <f>AND(#REF!,"AAAAAF7+Pzc=")</f>
        <v>#REF!</v>
      </c>
      <c r="BE566" t="e">
        <f>AND(#REF!,"AAAAAF7+Pzg=")</f>
        <v>#REF!</v>
      </c>
      <c r="BF566" t="e">
        <f>IF(#REF!,"AAAAAF7+Pzk=",0)</f>
        <v>#REF!</v>
      </c>
      <c r="BG566" t="e">
        <f>AND(#REF!,"AAAAAF7+Pzo=")</f>
        <v>#REF!</v>
      </c>
      <c r="BH566" t="e">
        <f>AND(#REF!,"AAAAAF7+Pzs=")</f>
        <v>#REF!</v>
      </c>
      <c r="BI566" t="e">
        <f>AND(#REF!,"AAAAAF7+Pzw=")</f>
        <v>#REF!</v>
      </c>
      <c r="BJ566" t="e">
        <f>AND(#REF!,"AAAAAF7+Pz0=")</f>
        <v>#REF!</v>
      </c>
      <c r="BK566" t="e">
        <f>AND(#REF!,"AAAAAF7+Pz4=")</f>
        <v>#REF!</v>
      </c>
      <c r="BL566" t="e">
        <f>AND(#REF!,"AAAAAF7+Pz8=")</f>
        <v>#REF!</v>
      </c>
      <c r="BM566" t="e">
        <f>AND(#REF!,"AAAAAF7+P0A=")</f>
        <v>#REF!</v>
      </c>
      <c r="BN566" t="e">
        <f>AND(#REF!,"AAAAAF7+P0E=")</f>
        <v>#REF!</v>
      </c>
      <c r="BO566" t="e">
        <f>AND(#REF!,"AAAAAF7+P0I=")</f>
        <v>#REF!</v>
      </c>
      <c r="BP566" t="e">
        <f>AND(#REF!,"AAAAAF7+P0M=")</f>
        <v>#REF!</v>
      </c>
      <c r="BQ566" t="e">
        <f>IF(#REF!,"AAAAAF7+P0Q=",0)</f>
        <v>#REF!</v>
      </c>
      <c r="BR566" t="e">
        <f>AND(#REF!,"AAAAAF7+P0U=")</f>
        <v>#REF!</v>
      </c>
      <c r="BS566" t="e">
        <f>AND(#REF!,"AAAAAF7+P0Y=")</f>
        <v>#REF!</v>
      </c>
      <c r="BT566" t="e">
        <f>AND(#REF!,"AAAAAF7+P0c=")</f>
        <v>#REF!</v>
      </c>
      <c r="BU566" t="e">
        <f>AND(#REF!,"AAAAAF7+P0g=")</f>
        <v>#REF!</v>
      </c>
      <c r="BV566" t="e">
        <f>AND(#REF!,"AAAAAF7+P0k=")</f>
        <v>#REF!</v>
      </c>
      <c r="BW566" t="e">
        <f>AND(#REF!,"AAAAAF7+P0o=")</f>
        <v>#REF!</v>
      </c>
      <c r="BX566" t="e">
        <f>AND(#REF!,"AAAAAF7+P0s=")</f>
        <v>#REF!</v>
      </c>
      <c r="BY566" t="e">
        <f>AND(#REF!,"AAAAAF7+P0w=")</f>
        <v>#REF!</v>
      </c>
      <c r="BZ566" t="e">
        <f>AND(#REF!,"AAAAAF7+P00=")</f>
        <v>#REF!</v>
      </c>
      <c r="CA566" t="e">
        <f>AND(#REF!,"AAAAAF7+P04=")</f>
        <v>#REF!</v>
      </c>
      <c r="CB566" t="e">
        <f>IF(#REF!,"AAAAAF7+P08=",0)</f>
        <v>#REF!</v>
      </c>
      <c r="CC566" t="e">
        <f>AND(#REF!,"AAAAAF7+P1A=")</f>
        <v>#REF!</v>
      </c>
      <c r="CD566" t="e">
        <f>AND(#REF!,"AAAAAF7+P1E=")</f>
        <v>#REF!</v>
      </c>
      <c r="CE566" t="e">
        <f>AND(#REF!,"AAAAAF7+P1I=")</f>
        <v>#REF!</v>
      </c>
      <c r="CF566" t="e">
        <f>AND(#REF!,"AAAAAF7+P1M=")</f>
        <v>#REF!</v>
      </c>
      <c r="CG566" t="e">
        <f>AND(#REF!,"AAAAAF7+P1Q=")</f>
        <v>#REF!</v>
      </c>
      <c r="CH566" t="e">
        <f>AND(#REF!,"AAAAAF7+P1U=")</f>
        <v>#REF!</v>
      </c>
      <c r="CI566" t="e">
        <f>AND(#REF!,"AAAAAF7+P1Y=")</f>
        <v>#REF!</v>
      </c>
      <c r="CJ566" t="e">
        <f>AND(#REF!,"AAAAAF7+P1c=")</f>
        <v>#REF!</v>
      </c>
      <c r="CK566" t="e">
        <f>AND(#REF!,"AAAAAF7+P1g=")</f>
        <v>#REF!</v>
      </c>
      <c r="CL566" t="e">
        <f>AND(#REF!,"AAAAAF7+P1k=")</f>
        <v>#REF!</v>
      </c>
      <c r="CM566" t="e">
        <f>IF(#REF!,"AAAAAF7+P1o=",0)</f>
        <v>#REF!</v>
      </c>
      <c r="CN566" t="e">
        <f>AND(#REF!,"AAAAAF7+P1s=")</f>
        <v>#REF!</v>
      </c>
      <c r="CO566" t="e">
        <f>AND(#REF!,"AAAAAF7+P1w=")</f>
        <v>#REF!</v>
      </c>
      <c r="CP566" t="e">
        <f>AND(#REF!,"AAAAAF7+P10=")</f>
        <v>#REF!</v>
      </c>
      <c r="CQ566" t="e">
        <f>AND(#REF!,"AAAAAF7+P14=")</f>
        <v>#REF!</v>
      </c>
      <c r="CR566" t="e">
        <f>AND(#REF!,"AAAAAF7+P18=")</f>
        <v>#REF!</v>
      </c>
      <c r="CS566" t="e">
        <f>AND(#REF!,"AAAAAF7+P2A=")</f>
        <v>#REF!</v>
      </c>
      <c r="CT566" t="e">
        <f>AND(#REF!,"AAAAAF7+P2E=")</f>
        <v>#REF!</v>
      </c>
      <c r="CU566" t="e">
        <f>AND(#REF!,"AAAAAF7+P2I=")</f>
        <v>#REF!</v>
      </c>
      <c r="CV566" t="e">
        <f>AND(#REF!,"AAAAAF7+P2M=")</f>
        <v>#REF!</v>
      </c>
      <c r="CW566" t="e">
        <f>AND(#REF!,"AAAAAF7+P2Q=")</f>
        <v>#REF!</v>
      </c>
      <c r="CX566" t="e">
        <f>IF(#REF!,"AAAAAF7+P2U=",0)</f>
        <v>#REF!</v>
      </c>
      <c r="CY566" t="e">
        <f>AND(#REF!,"AAAAAF7+P2Y=")</f>
        <v>#REF!</v>
      </c>
      <c r="CZ566" t="e">
        <f>AND(#REF!,"AAAAAF7+P2c=")</f>
        <v>#REF!</v>
      </c>
      <c r="DA566" t="e">
        <f>AND(#REF!,"AAAAAF7+P2g=")</f>
        <v>#REF!</v>
      </c>
      <c r="DB566" t="e">
        <f>AND(#REF!,"AAAAAF7+P2k=")</f>
        <v>#REF!</v>
      </c>
      <c r="DC566" t="e">
        <f>AND(#REF!,"AAAAAF7+P2o=")</f>
        <v>#REF!</v>
      </c>
      <c r="DD566" t="e">
        <f>AND(#REF!,"AAAAAF7+P2s=")</f>
        <v>#REF!</v>
      </c>
      <c r="DE566" t="e">
        <f>AND(#REF!,"AAAAAF7+P2w=")</f>
        <v>#REF!</v>
      </c>
      <c r="DF566" t="e">
        <f>AND(#REF!,"AAAAAF7+P20=")</f>
        <v>#REF!</v>
      </c>
      <c r="DG566" t="e">
        <f>AND(#REF!,"AAAAAF7+P24=")</f>
        <v>#REF!</v>
      </c>
      <c r="DH566" t="e">
        <f>AND(#REF!,"AAAAAF7+P28=")</f>
        <v>#REF!</v>
      </c>
      <c r="DI566" t="e">
        <f>IF(#REF!,"AAAAAF7+P3A=",0)</f>
        <v>#REF!</v>
      </c>
      <c r="DJ566" t="e">
        <f>AND(#REF!,"AAAAAF7+P3E=")</f>
        <v>#REF!</v>
      </c>
      <c r="DK566" t="e">
        <f>AND(#REF!,"AAAAAF7+P3I=")</f>
        <v>#REF!</v>
      </c>
      <c r="DL566" t="e">
        <f>AND(#REF!,"AAAAAF7+P3M=")</f>
        <v>#REF!</v>
      </c>
      <c r="DM566" t="e">
        <f>AND(#REF!,"AAAAAF7+P3Q=")</f>
        <v>#REF!</v>
      </c>
      <c r="DN566" t="e">
        <f>AND(#REF!,"AAAAAF7+P3U=")</f>
        <v>#REF!</v>
      </c>
      <c r="DO566" t="e">
        <f>AND(#REF!,"AAAAAF7+P3Y=")</f>
        <v>#REF!</v>
      </c>
      <c r="DP566" t="e">
        <f>AND(#REF!,"AAAAAF7+P3c=")</f>
        <v>#REF!</v>
      </c>
      <c r="DQ566" t="e">
        <f>AND(#REF!,"AAAAAF7+P3g=")</f>
        <v>#REF!</v>
      </c>
      <c r="DR566" t="e">
        <f>AND(#REF!,"AAAAAF7+P3k=")</f>
        <v>#REF!</v>
      </c>
      <c r="DS566" t="e">
        <f>AND(#REF!,"AAAAAF7+P3o=")</f>
        <v>#REF!</v>
      </c>
      <c r="DT566" t="e">
        <f>IF(#REF!,"AAAAAF7+P3s=",0)</f>
        <v>#REF!</v>
      </c>
      <c r="DU566" t="e">
        <f>AND(#REF!,"AAAAAF7+P3w=")</f>
        <v>#REF!</v>
      </c>
      <c r="DV566" t="e">
        <f>AND(#REF!,"AAAAAF7+P30=")</f>
        <v>#REF!</v>
      </c>
      <c r="DW566" t="e">
        <f>AND(#REF!,"AAAAAF7+P34=")</f>
        <v>#REF!</v>
      </c>
      <c r="DX566" t="e">
        <f>AND(#REF!,"AAAAAF7+P38=")</f>
        <v>#REF!</v>
      </c>
      <c r="DY566" t="e">
        <f>AND(#REF!,"AAAAAF7+P4A=")</f>
        <v>#REF!</v>
      </c>
      <c r="DZ566" t="e">
        <f>AND(#REF!,"AAAAAF7+P4E=")</f>
        <v>#REF!</v>
      </c>
      <c r="EA566" t="e">
        <f>AND(#REF!,"AAAAAF7+P4I=")</f>
        <v>#REF!</v>
      </c>
      <c r="EB566" t="e">
        <f>AND(#REF!,"AAAAAF7+P4M=")</f>
        <v>#REF!</v>
      </c>
      <c r="EC566" t="e">
        <f>AND(#REF!,"AAAAAF7+P4Q=")</f>
        <v>#REF!</v>
      </c>
      <c r="ED566" t="e">
        <f>AND(#REF!,"AAAAAF7+P4U=")</f>
        <v>#REF!</v>
      </c>
      <c r="EE566" t="e">
        <f>IF(#REF!,"AAAAAF7+P4Y=",0)</f>
        <v>#REF!</v>
      </c>
      <c r="EF566" t="e">
        <f>AND(#REF!,"AAAAAF7+P4c=")</f>
        <v>#REF!</v>
      </c>
      <c r="EG566" t="e">
        <f>AND(#REF!,"AAAAAF7+P4g=")</f>
        <v>#REF!</v>
      </c>
      <c r="EH566" t="e">
        <f>AND(#REF!,"AAAAAF7+P4k=")</f>
        <v>#REF!</v>
      </c>
      <c r="EI566" t="e">
        <f>AND(#REF!,"AAAAAF7+P4o=")</f>
        <v>#REF!</v>
      </c>
      <c r="EJ566" t="e">
        <f>AND(#REF!,"AAAAAF7+P4s=")</f>
        <v>#REF!</v>
      </c>
      <c r="EK566" t="e">
        <f>AND(#REF!,"AAAAAF7+P4w=")</f>
        <v>#REF!</v>
      </c>
      <c r="EL566" t="e">
        <f>AND(#REF!,"AAAAAF7+P40=")</f>
        <v>#REF!</v>
      </c>
      <c r="EM566" t="e">
        <f>AND(#REF!,"AAAAAF7+P44=")</f>
        <v>#REF!</v>
      </c>
      <c r="EN566" t="e">
        <f>AND(#REF!,"AAAAAF7+P48=")</f>
        <v>#REF!</v>
      </c>
      <c r="EO566" t="e">
        <f>AND(#REF!,"AAAAAF7+P5A=")</f>
        <v>#REF!</v>
      </c>
      <c r="EP566" t="e">
        <f>IF(#REF!,"AAAAAF7+P5E=",0)</f>
        <v>#REF!</v>
      </c>
      <c r="EQ566" t="e">
        <f>AND(#REF!,"AAAAAF7+P5I=")</f>
        <v>#REF!</v>
      </c>
      <c r="ER566" t="e">
        <f>AND(#REF!,"AAAAAF7+P5M=")</f>
        <v>#REF!</v>
      </c>
      <c r="ES566" t="e">
        <f>AND(#REF!,"AAAAAF7+P5Q=")</f>
        <v>#REF!</v>
      </c>
      <c r="ET566" t="e">
        <f>AND(#REF!,"AAAAAF7+P5U=")</f>
        <v>#REF!</v>
      </c>
      <c r="EU566" t="e">
        <f>AND(#REF!,"AAAAAF7+P5Y=")</f>
        <v>#REF!</v>
      </c>
      <c r="EV566" t="e">
        <f>AND(#REF!,"AAAAAF7+P5c=")</f>
        <v>#REF!</v>
      </c>
      <c r="EW566" t="e">
        <f>AND(#REF!,"AAAAAF7+P5g=")</f>
        <v>#REF!</v>
      </c>
      <c r="EX566" t="e">
        <f>AND(#REF!,"AAAAAF7+P5k=")</f>
        <v>#REF!</v>
      </c>
      <c r="EY566" t="e">
        <f>AND(#REF!,"AAAAAF7+P5o=")</f>
        <v>#REF!</v>
      </c>
      <c r="EZ566" t="e">
        <f>AND(#REF!,"AAAAAF7+P5s=")</f>
        <v>#REF!</v>
      </c>
      <c r="FA566" t="e">
        <f>IF(#REF!,"AAAAAF7+P5w=",0)</f>
        <v>#REF!</v>
      </c>
      <c r="FB566" t="e">
        <f>AND(#REF!,"AAAAAF7+P50=")</f>
        <v>#REF!</v>
      </c>
      <c r="FC566" t="e">
        <f>AND(#REF!,"AAAAAF7+P54=")</f>
        <v>#REF!</v>
      </c>
      <c r="FD566" t="e">
        <f>AND(#REF!,"AAAAAF7+P58=")</f>
        <v>#REF!</v>
      </c>
      <c r="FE566" t="e">
        <f>AND(#REF!,"AAAAAF7+P6A=")</f>
        <v>#REF!</v>
      </c>
      <c r="FF566" t="e">
        <f>AND(#REF!,"AAAAAF7+P6E=")</f>
        <v>#REF!</v>
      </c>
      <c r="FG566" t="e">
        <f>AND(#REF!,"AAAAAF7+P6I=")</f>
        <v>#REF!</v>
      </c>
      <c r="FH566" t="e">
        <f>AND(#REF!,"AAAAAF7+P6M=")</f>
        <v>#REF!</v>
      </c>
      <c r="FI566" t="e">
        <f>AND(#REF!,"AAAAAF7+P6Q=")</f>
        <v>#REF!</v>
      </c>
      <c r="FJ566" t="e">
        <f>AND(#REF!,"AAAAAF7+P6U=")</f>
        <v>#REF!</v>
      </c>
      <c r="FK566" t="e">
        <f>AND(#REF!,"AAAAAF7+P6Y=")</f>
        <v>#REF!</v>
      </c>
      <c r="FL566" t="e">
        <f>IF(#REF!,"AAAAAF7+P6c=",0)</f>
        <v>#REF!</v>
      </c>
      <c r="FM566" t="e">
        <f>AND(#REF!,"AAAAAF7+P6g=")</f>
        <v>#REF!</v>
      </c>
      <c r="FN566" t="e">
        <f>AND(#REF!,"AAAAAF7+P6k=")</f>
        <v>#REF!</v>
      </c>
      <c r="FO566" t="e">
        <f>AND(#REF!,"AAAAAF7+P6o=")</f>
        <v>#REF!</v>
      </c>
      <c r="FP566" t="e">
        <f>AND(#REF!,"AAAAAF7+P6s=")</f>
        <v>#REF!</v>
      </c>
      <c r="FQ566" t="e">
        <f>AND(#REF!,"AAAAAF7+P6w=")</f>
        <v>#REF!</v>
      </c>
      <c r="FR566" t="e">
        <f>AND(#REF!,"AAAAAF7+P60=")</f>
        <v>#REF!</v>
      </c>
      <c r="FS566" t="e">
        <f>AND(#REF!,"AAAAAF7+P64=")</f>
        <v>#REF!</v>
      </c>
      <c r="FT566" t="e">
        <f>AND(#REF!,"AAAAAF7+P68=")</f>
        <v>#REF!</v>
      </c>
      <c r="FU566" t="e">
        <f>AND(#REF!,"AAAAAF7+P7A=")</f>
        <v>#REF!</v>
      </c>
      <c r="FV566" t="e">
        <f>AND(#REF!,"AAAAAF7+P7E=")</f>
        <v>#REF!</v>
      </c>
      <c r="FW566" t="e">
        <f>IF(#REF!,"AAAAAF7+P7I=",0)</f>
        <v>#REF!</v>
      </c>
      <c r="FX566" t="e">
        <f>AND(#REF!,"AAAAAF7+P7M=")</f>
        <v>#REF!</v>
      </c>
      <c r="FY566" t="e">
        <f>AND(#REF!,"AAAAAF7+P7Q=")</f>
        <v>#REF!</v>
      </c>
      <c r="FZ566" t="e">
        <f>AND(#REF!,"AAAAAF7+P7U=")</f>
        <v>#REF!</v>
      </c>
      <c r="GA566" t="e">
        <f>AND(#REF!,"AAAAAF7+P7Y=")</f>
        <v>#REF!</v>
      </c>
      <c r="GB566" t="e">
        <f>AND(#REF!,"AAAAAF7+P7c=")</f>
        <v>#REF!</v>
      </c>
      <c r="GC566" t="e">
        <f>AND(#REF!,"AAAAAF7+P7g=")</f>
        <v>#REF!</v>
      </c>
      <c r="GD566" t="e">
        <f>AND(#REF!,"AAAAAF7+P7k=")</f>
        <v>#REF!</v>
      </c>
      <c r="GE566" t="e">
        <f>AND(#REF!,"AAAAAF7+P7o=")</f>
        <v>#REF!</v>
      </c>
      <c r="GF566" t="e">
        <f>AND(#REF!,"AAAAAF7+P7s=")</f>
        <v>#REF!</v>
      </c>
      <c r="GG566" t="e">
        <f>AND(#REF!,"AAAAAF7+P7w=")</f>
        <v>#REF!</v>
      </c>
      <c r="GH566" t="e">
        <f>IF(#REF!,"AAAAAF7+P70=",0)</f>
        <v>#REF!</v>
      </c>
      <c r="GI566" t="e">
        <f>AND(#REF!,"AAAAAF7+P74=")</f>
        <v>#REF!</v>
      </c>
      <c r="GJ566" t="e">
        <f>AND(#REF!,"AAAAAF7+P78=")</f>
        <v>#REF!</v>
      </c>
      <c r="GK566" t="e">
        <f>AND(#REF!,"AAAAAF7+P8A=")</f>
        <v>#REF!</v>
      </c>
      <c r="GL566" t="e">
        <f>AND(#REF!,"AAAAAF7+P8E=")</f>
        <v>#REF!</v>
      </c>
      <c r="GM566" t="e">
        <f>AND(#REF!,"AAAAAF7+P8I=")</f>
        <v>#REF!</v>
      </c>
      <c r="GN566" t="e">
        <f>AND(#REF!,"AAAAAF7+P8M=")</f>
        <v>#REF!</v>
      </c>
      <c r="GO566" t="e">
        <f>AND(#REF!,"AAAAAF7+P8Q=")</f>
        <v>#REF!</v>
      </c>
      <c r="GP566" t="e">
        <f>AND(#REF!,"AAAAAF7+P8U=")</f>
        <v>#REF!</v>
      </c>
      <c r="GQ566" t="e">
        <f>AND(#REF!,"AAAAAF7+P8Y=")</f>
        <v>#REF!</v>
      </c>
      <c r="GR566" t="e">
        <f>AND(#REF!,"AAAAAF7+P8c=")</f>
        <v>#REF!</v>
      </c>
      <c r="GS566" t="e">
        <f>IF(#REF!,"AAAAAF7+P8g=",0)</f>
        <v>#REF!</v>
      </c>
      <c r="GT566" t="e">
        <f>AND(#REF!,"AAAAAF7+P8k=")</f>
        <v>#REF!</v>
      </c>
      <c r="GU566" t="e">
        <f>AND(#REF!,"AAAAAF7+P8o=")</f>
        <v>#REF!</v>
      </c>
      <c r="GV566" t="e">
        <f>AND(#REF!,"AAAAAF7+P8s=")</f>
        <v>#REF!</v>
      </c>
      <c r="GW566" t="e">
        <f>AND(#REF!,"AAAAAF7+P8w=")</f>
        <v>#REF!</v>
      </c>
      <c r="GX566" t="e">
        <f>AND(#REF!,"AAAAAF7+P80=")</f>
        <v>#REF!</v>
      </c>
      <c r="GY566" t="e">
        <f>AND(#REF!,"AAAAAF7+P84=")</f>
        <v>#REF!</v>
      </c>
      <c r="GZ566" t="e">
        <f>AND(#REF!,"AAAAAF7+P88=")</f>
        <v>#REF!</v>
      </c>
      <c r="HA566" t="e">
        <f>AND(#REF!,"AAAAAF7+P9A=")</f>
        <v>#REF!</v>
      </c>
      <c r="HB566" t="e">
        <f>AND(#REF!,"AAAAAF7+P9E=")</f>
        <v>#REF!</v>
      </c>
      <c r="HC566" t="e">
        <f>AND(#REF!,"AAAAAF7+P9I=")</f>
        <v>#REF!</v>
      </c>
      <c r="HD566" t="e">
        <f>IF(#REF!,"AAAAAF7+P9M=",0)</f>
        <v>#REF!</v>
      </c>
      <c r="HE566" t="e">
        <f>AND(#REF!,"AAAAAF7+P9Q=")</f>
        <v>#REF!</v>
      </c>
      <c r="HF566" t="e">
        <f>AND(#REF!,"AAAAAF7+P9U=")</f>
        <v>#REF!</v>
      </c>
      <c r="HG566" t="e">
        <f>AND(#REF!,"AAAAAF7+P9Y=")</f>
        <v>#REF!</v>
      </c>
      <c r="HH566" t="e">
        <f>AND(#REF!,"AAAAAF7+P9c=")</f>
        <v>#REF!</v>
      </c>
      <c r="HI566" t="e">
        <f>AND(#REF!,"AAAAAF7+P9g=")</f>
        <v>#REF!</v>
      </c>
      <c r="HJ566" t="e">
        <f>AND(#REF!,"AAAAAF7+P9k=")</f>
        <v>#REF!</v>
      </c>
      <c r="HK566" t="e">
        <f>AND(#REF!,"AAAAAF7+P9o=")</f>
        <v>#REF!</v>
      </c>
      <c r="HL566" t="e">
        <f>AND(#REF!,"AAAAAF7+P9s=")</f>
        <v>#REF!</v>
      </c>
      <c r="HM566" t="e">
        <f>AND(#REF!,"AAAAAF7+P9w=")</f>
        <v>#REF!</v>
      </c>
      <c r="HN566" t="e">
        <f>AND(#REF!,"AAAAAF7+P90=")</f>
        <v>#REF!</v>
      </c>
      <c r="HO566" t="e">
        <f>IF(#REF!,"AAAAAF7+P94=",0)</f>
        <v>#REF!</v>
      </c>
      <c r="HP566" t="e">
        <f>AND(#REF!,"AAAAAF7+P98=")</f>
        <v>#REF!</v>
      </c>
      <c r="HQ566" t="e">
        <f>AND(#REF!,"AAAAAF7+P+A=")</f>
        <v>#REF!</v>
      </c>
      <c r="HR566" t="e">
        <f>AND(#REF!,"AAAAAF7+P+E=")</f>
        <v>#REF!</v>
      </c>
      <c r="HS566" t="e">
        <f>AND(#REF!,"AAAAAF7+P+I=")</f>
        <v>#REF!</v>
      </c>
      <c r="HT566" t="e">
        <f>AND(#REF!,"AAAAAF7+P+M=")</f>
        <v>#REF!</v>
      </c>
      <c r="HU566" t="e">
        <f>AND(#REF!,"AAAAAF7+P+Q=")</f>
        <v>#REF!</v>
      </c>
      <c r="HV566" t="e">
        <f>AND(#REF!,"AAAAAF7+P+U=")</f>
        <v>#REF!</v>
      </c>
      <c r="HW566" t="e">
        <f>AND(#REF!,"AAAAAF7+P+Y=")</f>
        <v>#REF!</v>
      </c>
      <c r="HX566" t="e">
        <f>AND(#REF!,"AAAAAF7+P+c=")</f>
        <v>#REF!</v>
      </c>
      <c r="HY566" t="e">
        <f>AND(#REF!,"AAAAAF7+P+g=")</f>
        <v>#REF!</v>
      </c>
      <c r="HZ566" t="e">
        <f>IF(#REF!,"AAAAAF7+P+k=",0)</f>
        <v>#REF!</v>
      </c>
      <c r="IA566" t="e">
        <f>AND(#REF!,"AAAAAF7+P+o=")</f>
        <v>#REF!</v>
      </c>
      <c r="IB566" t="e">
        <f>AND(#REF!,"AAAAAF7+P+s=")</f>
        <v>#REF!</v>
      </c>
      <c r="IC566" t="e">
        <f>AND(#REF!,"AAAAAF7+P+w=")</f>
        <v>#REF!</v>
      </c>
      <c r="ID566" t="e">
        <f>AND(#REF!,"AAAAAF7+P+0=")</f>
        <v>#REF!</v>
      </c>
      <c r="IE566" t="e">
        <f>AND(#REF!,"AAAAAF7+P+4=")</f>
        <v>#REF!</v>
      </c>
      <c r="IF566" t="e">
        <f>AND(#REF!,"AAAAAF7+P+8=")</f>
        <v>#REF!</v>
      </c>
      <c r="IG566" t="e">
        <f>AND(#REF!,"AAAAAF7+P/A=")</f>
        <v>#REF!</v>
      </c>
      <c r="IH566" t="e">
        <f>AND(#REF!,"AAAAAF7+P/E=")</f>
        <v>#REF!</v>
      </c>
      <c r="II566" t="e">
        <f>AND(#REF!,"AAAAAF7+P/I=")</f>
        <v>#REF!</v>
      </c>
      <c r="IJ566" t="e">
        <f>AND(#REF!,"AAAAAF7+P/M=")</f>
        <v>#REF!</v>
      </c>
      <c r="IK566" t="e">
        <f>IF(#REF!,"AAAAAF7+P/Q=",0)</f>
        <v>#REF!</v>
      </c>
      <c r="IL566" t="e">
        <f>AND(#REF!,"AAAAAF7+P/U=")</f>
        <v>#REF!</v>
      </c>
      <c r="IM566" t="e">
        <f>AND(#REF!,"AAAAAF7+P/Y=")</f>
        <v>#REF!</v>
      </c>
      <c r="IN566" t="e">
        <f>AND(#REF!,"AAAAAF7+P/c=")</f>
        <v>#REF!</v>
      </c>
      <c r="IO566" t="e">
        <f>AND(#REF!,"AAAAAF7+P/g=")</f>
        <v>#REF!</v>
      </c>
      <c r="IP566" t="e">
        <f>AND(#REF!,"AAAAAF7+P/k=")</f>
        <v>#REF!</v>
      </c>
      <c r="IQ566" t="e">
        <f>AND(#REF!,"AAAAAF7+P/o=")</f>
        <v>#REF!</v>
      </c>
      <c r="IR566" t="e">
        <f>AND(#REF!,"AAAAAF7+P/s=")</f>
        <v>#REF!</v>
      </c>
      <c r="IS566" t="e">
        <f>AND(#REF!,"AAAAAF7+P/w=")</f>
        <v>#REF!</v>
      </c>
      <c r="IT566" t="e">
        <f>AND(#REF!,"AAAAAF7+P/0=")</f>
        <v>#REF!</v>
      </c>
      <c r="IU566" t="e">
        <f>AND(#REF!,"AAAAAF7+P/4=")</f>
        <v>#REF!</v>
      </c>
      <c r="IV566" t="e">
        <f>IF(#REF!,"AAAAAF7+P/8=",0)</f>
        <v>#REF!</v>
      </c>
    </row>
    <row r="567" spans="1:256" x14ac:dyDescent="0.25">
      <c r="A567" t="e">
        <f>AND(#REF!,"AAAAAD/fewA=")</f>
        <v>#REF!</v>
      </c>
      <c r="B567" t="e">
        <f>AND(#REF!,"AAAAAD/fewE=")</f>
        <v>#REF!</v>
      </c>
      <c r="C567" t="e">
        <f>AND(#REF!,"AAAAAD/fewI=")</f>
        <v>#REF!</v>
      </c>
      <c r="D567" t="e">
        <f>AND(#REF!,"AAAAAD/fewM=")</f>
        <v>#REF!</v>
      </c>
      <c r="E567" t="e">
        <f>AND(#REF!,"AAAAAD/fewQ=")</f>
        <v>#REF!</v>
      </c>
      <c r="F567" t="e">
        <f>AND(#REF!,"AAAAAD/fewU=")</f>
        <v>#REF!</v>
      </c>
      <c r="G567" t="e">
        <f>AND(#REF!,"AAAAAD/fewY=")</f>
        <v>#REF!</v>
      </c>
      <c r="H567" t="e">
        <f>AND(#REF!,"AAAAAD/fewc=")</f>
        <v>#REF!</v>
      </c>
      <c r="I567" t="e">
        <f>AND(#REF!,"AAAAAD/fewg=")</f>
        <v>#REF!</v>
      </c>
      <c r="J567" t="e">
        <f>AND(#REF!,"AAAAAD/fewk=")</f>
        <v>#REF!</v>
      </c>
      <c r="K567" t="e">
        <f>IF(#REF!,"AAAAAD/fewo=",0)</f>
        <v>#REF!</v>
      </c>
      <c r="L567" t="e">
        <f>AND(#REF!,"AAAAAD/fews=")</f>
        <v>#REF!</v>
      </c>
      <c r="M567" t="e">
        <f>AND(#REF!,"AAAAAD/feww=")</f>
        <v>#REF!</v>
      </c>
      <c r="N567" t="e">
        <f>AND(#REF!,"AAAAAD/few0=")</f>
        <v>#REF!</v>
      </c>
      <c r="O567" t="e">
        <f>AND(#REF!,"AAAAAD/few4=")</f>
        <v>#REF!</v>
      </c>
      <c r="P567" t="e">
        <f>AND(#REF!,"AAAAAD/few8=")</f>
        <v>#REF!</v>
      </c>
      <c r="Q567" t="e">
        <f>AND(#REF!,"AAAAAD/fexA=")</f>
        <v>#REF!</v>
      </c>
      <c r="R567" t="e">
        <f>AND(#REF!,"AAAAAD/fexE=")</f>
        <v>#REF!</v>
      </c>
      <c r="S567" t="e">
        <f>AND(#REF!,"AAAAAD/fexI=")</f>
        <v>#REF!</v>
      </c>
      <c r="T567" t="e">
        <f>AND(#REF!,"AAAAAD/fexM=")</f>
        <v>#REF!</v>
      </c>
      <c r="U567" t="e">
        <f>AND(#REF!,"AAAAAD/fexQ=")</f>
        <v>#REF!</v>
      </c>
      <c r="V567" t="e">
        <f>IF(#REF!,"AAAAAD/fexU=",0)</f>
        <v>#REF!</v>
      </c>
      <c r="W567" t="e">
        <f>AND(#REF!,"AAAAAD/fexY=")</f>
        <v>#REF!</v>
      </c>
      <c r="X567" t="e">
        <f>AND(#REF!,"AAAAAD/fexc=")</f>
        <v>#REF!</v>
      </c>
      <c r="Y567" t="e">
        <f>AND(#REF!,"AAAAAD/fexg=")</f>
        <v>#REF!</v>
      </c>
      <c r="Z567" t="e">
        <f>AND(#REF!,"AAAAAD/fexk=")</f>
        <v>#REF!</v>
      </c>
      <c r="AA567" t="e">
        <f>AND(#REF!,"AAAAAD/fexo=")</f>
        <v>#REF!</v>
      </c>
      <c r="AB567" t="e">
        <f>AND(#REF!,"AAAAAD/fexs=")</f>
        <v>#REF!</v>
      </c>
      <c r="AC567" t="e">
        <f>AND(#REF!,"AAAAAD/fexw=")</f>
        <v>#REF!</v>
      </c>
      <c r="AD567" t="e">
        <f>AND(#REF!,"AAAAAD/fex0=")</f>
        <v>#REF!</v>
      </c>
      <c r="AE567" t="e">
        <f>AND(#REF!,"AAAAAD/fex4=")</f>
        <v>#REF!</v>
      </c>
      <c r="AF567" t="e">
        <f>AND(#REF!,"AAAAAD/fex8=")</f>
        <v>#REF!</v>
      </c>
      <c r="AG567" t="e">
        <f>IF(#REF!,"AAAAAD/feyA=",0)</f>
        <v>#REF!</v>
      </c>
      <c r="AH567" t="e">
        <f>AND(#REF!,"AAAAAD/feyE=")</f>
        <v>#REF!</v>
      </c>
      <c r="AI567" t="e">
        <f>AND(#REF!,"AAAAAD/feyI=")</f>
        <v>#REF!</v>
      </c>
      <c r="AJ567" t="e">
        <f>AND(#REF!,"AAAAAD/feyM=")</f>
        <v>#REF!</v>
      </c>
      <c r="AK567" t="e">
        <f>AND(#REF!,"AAAAAD/feyQ=")</f>
        <v>#REF!</v>
      </c>
      <c r="AL567" t="e">
        <f>AND(#REF!,"AAAAAD/feyU=")</f>
        <v>#REF!</v>
      </c>
      <c r="AM567" t="e">
        <f>AND(#REF!,"AAAAAD/feyY=")</f>
        <v>#REF!</v>
      </c>
      <c r="AN567" t="e">
        <f>AND(#REF!,"AAAAAD/feyc=")</f>
        <v>#REF!</v>
      </c>
      <c r="AO567" t="e">
        <f>AND(#REF!,"AAAAAD/feyg=")</f>
        <v>#REF!</v>
      </c>
      <c r="AP567" t="e">
        <f>AND(#REF!,"AAAAAD/feyk=")</f>
        <v>#REF!</v>
      </c>
      <c r="AQ567" t="e">
        <f>AND(#REF!,"AAAAAD/feyo=")</f>
        <v>#REF!</v>
      </c>
      <c r="AR567" t="e">
        <f>IF(#REF!,"AAAAAD/feys=",0)</f>
        <v>#REF!</v>
      </c>
      <c r="AS567" t="e">
        <f>AND(#REF!,"AAAAAD/feyw=")</f>
        <v>#REF!</v>
      </c>
      <c r="AT567" t="e">
        <f>AND(#REF!,"AAAAAD/fey0=")</f>
        <v>#REF!</v>
      </c>
      <c r="AU567" t="e">
        <f>AND(#REF!,"AAAAAD/fey4=")</f>
        <v>#REF!</v>
      </c>
      <c r="AV567" t="e">
        <f>AND(#REF!,"AAAAAD/fey8=")</f>
        <v>#REF!</v>
      </c>
      <c r="AW567" t="e">
        <f>AND(#REF!,"AAAAAD/fezA=")</f>
        <v>#REF!</v>
      </c>
      <c r="AX567" t="e">
        <f>AND(#REF!,"AAAAAD/fezE=")</f>
        <v>#REF!</v>
      </c>
      <c r="AY567" t="e">
        <f>AND(#REF!,"AAAAAD/fezI=")</f>
        <v>#REF!</v>
      </c>
      <c r="AZ567" t="e">
        <f>AND(#REF!,"AAAAAD/fezM=")</f>
        <v>#REF!</v>
      </c>
      <c r="BA567" t="e">
        <f>AND(#REF!,"AAAAAD/fezQ=")</f>
        <v>#REF!</v>
      </c>
      <c r="BB567" t="e">
        <f>AND(#REF!,"AAAAAD/fezU=")</f>
        <v>#REF!</v>
      </c>
      <c r="BC567" t="e">
        <f>IF(#REF!,"AAAAAD/fezY=",0)</f>
        <v>#REF!</v>
      </c>
      <c r="BD567" t="e">
        <f>AND(#REF!,"AAAAAD/fezc=")</f>
        <v>#REF!</v>
      </c>
      <c r="BE567" t="e">
        <f>AND(#REF!,"AAAAAD/fezg=")</f>
        <v>#REF!</v>
      </c>
      <c r="BF567" t="e">
        <f>AND(#REF!,"AAAAAD/fezk=")</f>
        <v>#REF!</v>
      </c>
      <c r="BG567" t="e">
        <f>AND(#REF!,"AAAAAD/fezo=")</f>
        <v>#REF!</v>
      </c>
      <c r="BH567" t="e">
        <f>AND(#REF!,"AAAAAD/fezs=")</f>
        <v>#REF!</v>
      </c>
      <c r="BI567" t="e">
        <f>AND(#REF!,"AAAAAD/fezw=")</f>
        <v>#REF!</v>
      </c>
      <c r="BJ567" t="e">
        <f>AND(#REF!,"AAAAAD/fez0=")</f>
        <v>#REF!</v>
      </c>
      <c r="BK567" t="e">
        <f>AND(#REF!,"AAAAAD/fez4=")</f>
        <v>#REF!</v>
      </c>
      <c r="BL567" t="e">
        <f>AND(#REF!,"AAAAAD/fez8=")</f>
        <v>#REF!</v>
      </c>
      <c r="BM567" t="e">
        <f>AND(#REF!,"AAAAAD/fe0A=")</f>
        <v>#REF!</v>
      </c>
      <c r="BN567" t="e">
        <f>IF(#REF!,"AAAAAD/fe0E=",0)</f>
        <v>#REF!</v>
      </c>
      <c r="BO567" t="e">
        <f>AND(#REF!,"AAAAAD/fe0I=")</f>
        <v>#REF!</v>
      </c>
      <c r="BP567" t="e">
        <f>AND(#REF!,"AAAAAD/fe0M=")</f>
        <v>#REF!</v>
      </c>
      <c r="BQ567" t="e">
        <f>AND(#REF!,"AAAAAD/fe0Q=")</f>
        <v>#REF!</v>
      </c>
      <c r="BR567" t="e">
        <f>AND(#REF!,"AAAAAD/fe0U=")</f>
        <v>#REF!</v>
      </c>
      <c r="BS567" t="e">
        <f>AND(#REF!,"AAAAAD/fe0Y=")</f>
        <v>#REF!</v>
      </c>
      <c r="BT567" t="e">
        <f>AND(#REF!,"AAAAAD/fe0c=")</f>
        <v>#REF!</v>
      </c>
      <c r="BU567" t="e">
        <f>AND(#REF!,"AAAAAD/fe0g=")</f>
        <v>#REF!</v>
      </c>
      <c r="BV567" t="e">
        <f>AND(#REF!,"AAAAAD/fe0k=")</f>
        <v>#REF!</v>
      </c>
      <c r="BW567" t="e">
        <f>AND(#REF!,"AAAAAD/fe0o=")</f>
        <v>#REF!</v>
      </c>
      <c r="BX567" t="e">
        <f>AND(#REF!,"AAAAAD/fe0s=")</f>
        <v>#REF!</v>
      </c>
      <c r="BY567" t="e">
        <f>IF(#REF!,"AAAAAD/fe0w=",0)</f>
        <v>#REF!</v>
      </c>
      <c r="BZ567" t="e">
        <f>AND(#REF!,"AAAAAD/fe00=")</f>
        <v>#REF!</v>
      </c>
      <c r="CA567" t="e">
        <f>AND(#REF!,"AAAAAD/fe04=")</f>
        <v>#REF!</v>
      </c>
      <c r="CB567" t="e">
        <f>AND(#REF!,"AAAAAD/fe08=")</f>
        <v>#REF!</v>
      </c>
      <c r="CC567" t="e">
        <f>AND(#REF!,"AAAAAD/fe1A=")</f>
        <v>#REF!</v>
      </c>
      <c r="CD567" t="e">
        <f>AND(#REF!,"AAAAAD/fe1E=")</f>
        <v>#REF!</v>
      </c>
      <c r="CE567" t="e">
        <f>AND(#REF!,"AAAAAD/fe1I=")</f>
        <v>#REF!</v>
      </c>
      <c r="CF567" t="e">
        <f>AND(#REF!,"AAAAAD/fe1M=")</f>
        <v>#REF!</v>
      </c>
      <c r="CG567" t="e">
        <f>AND(#REF!,"AAAAAD/fe1Q=")</f>
        <v>#REF!</v>
      </c>
      <c r="CH567" t="e">
        <f>AND(#REF!,"AAAAAD/fe1U=")</f>
        <v>#REF!</v>
      </c>
      <c r="CI567" t="e">
        <f>AND(#REF!,"AAAAAD/fe1Y=")</f>
        <v>#REF!</v>
      </c>
      <c r="CJ567" t="e">
        <f>IF(#REF!,"AAAAAD/fe1c=",0)</f>
        <v>#REF!</v>
      </c>
      <c r="CK567" t="e">
        <f>AND(#REF!,"AAAAAD/fe1g=")</f>
        <v>#REF!</v>
      </c>
      <c r="CL567" t="e">
        <f>AND(#REF!,"AAAAAD/fe1k=")</f>
        <v>#REF!</v>
      </c>
      <c r="CM567" t="e">
        <f>AND(#REF!,"AAAAAD/fe1o=")</f>
        <v>#REF!</v>
      </c>
      <c r="CN567" t="e">
        <f>AND(#REF!,"AAAAAD/fe1s=")</f>
        <v>#REF!</v>
      </c>
      <c r="CO567" t="e">
        <f>AND(#REF!,"AAAAAD/fe1w=")</f>
        <v>#REF!</v>
      </c>
      <c r="CP567" t="e">
        <f>AND(#REF!,"AAAAAD/fe10=")</f>
        <v>#REF!</v>
      </c>
      <c r="CQ567" t="e">
        <f>AND(#REF!,"AAAAAD/fe14=")</f>
        <v>#REF!</v>
      </c>
      <c r="CR567" t="e">
        <f>AND(#REF!,"AAAAAD/fe18=")</f>
        <v>#REF!</v>
      </c>
      <c r="CS567" t="e">
        <f>AND(#REF!,"AAAAAD/fe2A=")</f>
        <v>#REF!</v>
      </c>
      <c r="CT567" t="e">
        <f>AND(#REF!,"AAAAAD/fe2E=")</f>
        <v>#REF!</v>
      </c>
      <c r="CU567" t="e">
        <f>IF(#REF!,"AAAAAD/fe2I=",0)</f>
        <v>#REF!</v>
      </c>
      <c r="CV567" t="e">
        <f>AND(#REF!,"AAAAAD/fe2M=")</f>
        <v>#REF!</v>
      </c>
      <c r="CW567" t="e">
        <f>AND(#REF!,"AAAAAD/fe2Q=")</f>
        <v>#REF!</v>
      </c>
      <c r="CX567" t="e">
        <f>AND(#REF!,"AAAAAD/fe2U=")</f>
        <v>#REF!</v>
      </c>
      <c r="CY567" t="e">
        <f>AND(#REF!,"AAAAAD/fe2Y=")</f>
        <v>#REF!</v>
      </c>
      <c r="CZ567" t="e">
        <f>AND(#REF!,"AAAAAD/fe2c=")</f>
        <v>#REF!</v>
      </c>
      <c r="DA567" t="e">
        <f>AND(#REF!,"AAAAAD/fe2g=")</f>
        <v>#REF!</v>
      </c>
      <c r="DB567" t="e">
        <f>AND(#REF!,"AAAAAD/fe2k=")</f>
        <v>#REF!</v>
      </c>
      <c r="DC567" t="e">
        <f>AND(#REF!,"AAAAAD/fe2o=")</f>
        <v>#REF!</v>
      </c>
      <c r="DD567" t="e">
        <f>AND(#REF!,"AAAAAD/fe2s=")</f>
        <v>#REF!</v>
      </c>
      <c r="DE567" t="e">
        <f>AND(#REF!,"AAAAAD/fe2w=")</f>
        <v>#REF!</v>
      </c>
      <c r="DF567" t="e">
        <f>IF(#REF!,"AAAAAD/fe20=",0)</f>
        <v>#REF!</v>
      </c>
      <c r="DG567" t="e">
        <f>AND(#REF!,"AAAAAD/fe24=")</f>
        <v>#REF!</v>
      </c>
      <c r="DH567" t="e">
        <f>AND(#REF!,"AAAAAD/fe28=")</f>
        <v>#REF!</v>
      </c>
      <c r="DI567" t="e">
        <f>AND(#REF!,"AAAAAD/fe3A=")</f>
        <v>#REF!</v>
      </c>
      <c r="DJ567" t="e">
        <f>AND(#REF!,"AAAAAD/fe3E=")</f>
        <v>#REF!</v>
      </c>
      <c r="DK567" t="e">
        <f>AND(#REF!,"AAAAAD/fe3I=")</f>
        <v>#REF!</v>
      </c>
      <c r="DL567" t="e">
        <f>AND(#REF!,"AAAAAD/fe3M=")</f>
        <v>#REF!</v>
      </c>
      <c r="DM567" t="e">
        <f>AND(#REF!,"AAAAAD/fe3Q=")</f>
        <v>#REF!</v>
      </c>
      <c r="DN567" t="e">
        <f>AND(#REF!,"AAAAAD/fe3U=")</f>
        <v>#REF!</v>
      </c>
      <c r="DO567" t="e">
        <f>AND(#REF!,"AAAAAD/fe3Y=")</f>
        <v>#REF!</v>
      </c>
      <c r="DP567" t="e">
        <f>AND(#REF!,"AAAAAD/fe3c=")</f>
        <v>#REF!</v>
      </c>
      <c r="DQ567" t="e">
        <f>IF(#REF!,"AAAAAD/fe3g=",0)</f>
        <v>#REF!</v>
      </c>
      <c r="DR567" t="e">
        <f>AND(#REF!,"AAAAAD/fe3k=")</f>
        <v>#REF!</v>
      </c>
      <c r="DS567" t="e">
        <f>AND(#REF!,"AAAAAD/fe3o=")</f>
        <v>#REF!</v>
      </c>
      <c r="DT567" t="e">
        <f>AND(#REF!,"AAAAAD/fe3s=")</f>
        <v>#REF!</v>
      </c>
      <c r="DU567" t="e">
        <f>AND(#REF!,"AAAAAD/fe3w=")</f>
        <v>#REF!</v>
      </c>
      <c r="DV567" t="e">
        <f>AND(#REF!,"AAAAAD/fe30=")</f>
        <v>#REF!</v>
      </c>
      <c r="DW567" t="e">
        <f>AND(#REF!,"AAAAAD/fe34=")</f>
        <v>#REF!</v>
      </c>
      <c r="DX567" t="e">
        <f>AND(#REF!,"AAAAAD/fe38=")</f>
        <v>#REF!</v>
      </c>
      <c r="DY567" t="e">
        <f>AND(#REF!,"AAAAAD/fe4A=")</f>
        <v>#REF!</v>
      </c>
      <c r="DZ567" t="e">
        <f>AND(#REF!,"AAAAAD/fe4E=")</f>
        <v>#REF!</v>
      </c>
      <c r="EA567" t="e">
        <f>AND(#REF!,"AAAAAD/fe4I=")</f>
        <v>#REF!</v>
      </c>
      <c r="EB567" t="e">
        <f>IF(#REF!,"AAAAAD/fe4M=",0)</f>
        <v>#REF!</v>
      </c>
      <c r="EC567" t="e">
        <f>AND(#REF!,"AAAAAD/fe4Q=")</f>
        <v>#REF!</v>
      </c>
      <c r="ED567" t="e">
        <f>AND(#REF!,"AAAAAD/fe4U=")</f>
        <v>#REF!</v>
      </c>
      <c r="EE567" t="e">
        <f>AND(#REF!,"AAAAAD/fe4Y=")</f>
        <v>#REF!</v>
      </c>
      <c r="EF567" t="e">
        <f>AND(#REF!,"AAAAAD/fe4c=")</f>
        <v>#REF!</v>
      </c>
      <c r="EG567" t="e">
        <f>AND(#REF!,"AAAAAD/fe4g=")</f>
        <v>#REF!</v>
      </c>
      <c r="EH567" t="e">
        <f>AND(#REF!,"AAAAAD/fe4k=")</f>
        <v>#REF!</v>
      </c>
      <c r="EI567" t="e">
        <f>AND(#REF!,"AAAAAD/fe4o=")</f>
        <v>#REF!</v>
      </c>
      <c r="EJ567" t="e">
        <f>AND(#REF!,"AAAAAD/fe4s=")</f>
        <v>#REF!</v>
      </c>
      <c r="EK567" t="e">
        <f>AND(#REF!,"AAAAAD/fe4w=")</f>
        <v>#REF!</v>
      </c>
      <c r="EL567" t="e">
        <f>AND(#REF!,"AAAAAD/fe40=")</f>
        <v>#REF!</v>
      </c>
      <c r="EM567" t="e">
        <f>IF(#REF!,"AAAAAD/fe44=",0)</f>
        <v>#REF!</v>
      </c>
      <c r="EN567" t="e">
        <f>AND(#REF!,"AAAAAD/fe48=")</f>
        <v>#REF!</v>
      </c>
      <c r="EO567" t="e">
        <f>AND(#REF!,"AAAAAD/fe5A=")</f>
        <v>#REF!</v>
      </c>
      <c r="EP567" t="e">
        <f>AND(#REF!,"AAAAAD/fe5E=")</f>
        <v>#REF!</v>
      </c>
      <c r="EQ567" t="e">
        <f>AND(#REF!,"AAAAAD/fe5I=")</f>
        <v>#REF!</v>
      </c>
      <c r="ER567" t="e">
        <f>AND(#REF!,"AAAAAD/fe5M=")</f>
        <v>#REF!</v>
      </c>
      <c r="ES567" t="e">
        <f>AND(#REF!,"AAAAAD/fe5Q=")</f>
        <v>#REF!</v>
      </c>
      <c r="ET567" t="e">
        <f>AND(#REF!,"AAAAAD/fe5U=")</f>
        <v>#REF!</v>
      </c>
      <c r="EU567" t="e">
        <f>AND(#REF!,"AAAAAD/fe5Y=")</f>
        <v>#REF!</v>
      </c>
      <c r="EV567" t="e">
        <f>AND(#REF!,"AAAAAD/fe5c=")</f>
        <v>#REF!</v>
      </c>
      <c r="EW567" t="e">
        <f>AND(#REF!,"AAAAAD/fe5g=")</f>
        <v>#REF!</v>
      </c>
      <c r="EX567" t="e">
        <f>IF(#REF!,"AAAAAD/fe5k=",0)</f>
        <v>#REF!</v>
      </c>
      <c r="EY567" t="e">
        <f>AND(#REF!,"AAAAAD/fe5o=")</f>
        <v>#REF!</v>
      </c>
      <c r="EZ567" t="e">
        <f>AND(#REF!,"AAAAAD/fe5s=")</f>
        <v>#REF!</v>
      </c>
      <c r="FA567" t="e">
        <f>AND(#REF!,"AAAAAD/fe5w=")</f>
        <v>#REF!</v>
      </c>
      <c r="FB567" t="e">
        <f>AND(#REF!,"AAAAAD/fe50=")</f>
        <v>#REF!</v>
      </c>
      <c r="FC567" t="e">
        <f>AND(#REF!,"AAAAAD/fe54=")</f>
        <v>#REF!</v>
      </c>
      <c r="FD567" t="e">
        <f>AND(#REF!,"AAAAAD/fe58=")</f>
        <v>#REF!</v>
      </c>
      <c r="FE567" t="e">
        <f>AND(#REF!,"AAAAAD/fe6A=")</f>
        <v>#REF!</v>
      </c>
      <c r="FF567" t="e">
        <f>AND(#REF!,"AAAAAD/fe6E=")</f>
        <v>#REF!</v>
      </c>
      <c r="FG567" t="e">
        <f>AND(#REF!,"AAAAAD/fe6I=")</f>
        <v>#REF!</v>
      </c>
      <c r="FH567" t="e">
        <f>AND(#REF!,"AAAAAD/fe6M=")</f>
        <v>#REF!</v>
      </c>
      <c r="FI567" t="e">
        <f>IF(#REF!,"AAAAAD/fe6Q=",0)</f>
        <v>#REF!</v>
      </c>
      <c r="FJ567" t="e">
        <f>AND(#REF!,"AAAAAD/fe6U=")</f>
        <v>#REF!</v>
      </c>
      <c r="FK567" t="e">
        <f>AND(#REF!,"AAAAAD/fe6Y=")</f>
        <v>#REF!</v>
      </c>
      <c r="FL567" t="e">
        <f>AND(#REF!,"AAAAAD/fe6c=")</f>
        <v>#REF!</v>
      </c>
      <c r="FM567" t="e">
        <f>AND(#REF!,"AAAAAD/fe6g=")</f>
        <v>#REF!</v>
      </c>
      <c r="FN567" t="e">
        <f>AND(#REF!,"AAAAAD/fe6k=")</f>
        <v>#REF!</v>
      </c>
      <c r="FO567" t="e">
        <f>AND(#REF!,"AAAAAD/fe6o=")</f>
        <v>#REF!</v>
      </c>
      <c r="FP567" t="e">
        <f>AND(#REF!,"AAAAAD/fe6s=")</f>
        <v>#REF!</v>
      </c>
      <c r="FQ567" t="e">
        <f>AND(#REF!,"AAAAAD/fe6w=")</f>
        <v>#REF!</v>
      </c>
      <c r="FR567" t="e">
        <f>AND(#REF!,"AAAAAD/fe60=")</f>
        <v>#REF!</v>
      </c>
      <c r="FS567" t="e">
        <f>AND(#REF!,"AAAAAD/fe64=")</f>
        <v>#REF!</v>
      </c>
      <c r="FT567" t="e">
        <f>IF(#REF!,"AAAAAD/fe68=",0)</f>
        <v>#REF!</v>
      </c>
      <c r="FU567" t="e">
        <f>AND(#REF!,"AAAAAD/fe7A=")</f>
        <v>#REF!</v>
      </c>
      <c r="FV567" t="e">
        <f>AND(#REF!,"AAAAAD/fe7E=")</f>
        <v>#REF!</v>
      </c>
      <c r="FW567" t="e">
        <f>AND(#REF!,"AAAAAD/fe7I=")</f>
        <v>#REF!</v>
      </c>
      <c r="FX567" t="e">
        <f>AND(#REF!,"AAAAAD/fe7M=")</f>
        <v>#REF!</v>
      </c>
      <c r="FY567" t="e">
        <f>AND(#REF!,"AAAAAD/fe7Q=")</f>
        <v>#REF!</v>
      </c>
      <c r="FZ567" t="e">
        <f>AND(#REF!,"AAAAAD/fe7U=")</f>
        <v>#REF!</v>
      </c>
      <c r="GA567" t="e">
        <f>AND(#REF!,"AAAAAD/fe7Y=")</f>
        <v>#REF!</v>
      </c>
      <c r="GB567" t="e">
        <f>AND(#REF!,"AAAAAD/fe7c=")</f>
        <v>#REF!</v>
      </c>
      <c r="GC567" t="e">
        <f>AND(#REF!,"AAAAAD/fe7g=")</f>
        <v>#REF!</v>
      </c>
      <c r="GD567" t="e">
        <f>AND(#REF!,"AAAAAD/fe7k=")</f>
        <v>#REF!</v>
      </c>
      <c r="GE567" t="e">
        <f>IF(#REF!,"AAAAAD/fe7o=",0)</f>
        <v>#REF!</v>
      </c>
      <c r="GF567" t="e">
        <f>AND(#REF!,"AAAAAD/fe7s=")</f>
        <v>#REF!</v>
      </c>
      <c r="GG567" t="e">
        <f>AND(#REF!,"AAAAAD/fe7w=")</f>
        <v>#REF!</v>
      </c>
      <c r="GH567" t="e">
        <f>AND(#REF!,"AAAAAD/fe70=")</f>
        <v>#REF!</v>
      </c>
      <c r="GI567" t="e">
        <f>AND(#REF!,"AAAAAD/fe74=")</f>
        <v>#REF!</v>
      </c>
      <c r="GJ567" t="e">
        <f>AND(#REF!,"AAAAAD/fe78=")</f>
        <v>#REF!</v>
      </c>
      <c r="GK567" t="e">
        <f>AND(#REF!,"AAAAAD/fe8A=")</f>
        <v>#REF!</v>
      </c>
      <c r="GL567" t="e">
        <f>AND(#REF!,"AAAAAD/fe8E=")</f>
        <v>#REF!</v>
      </c>
      <c r="GM567" t="e">
        <f>AND(#REF!,"AAAAAD/fe8I=")</f>
        <v>#REF!</v>
      </c>
      <c r="GN567" t="e">
        <f>AND(#REF!,"AAAAAD/fe8M=")</f>
        <v>#REF!</v>
      </c>
      <c r="GO567" t="e">
        <f>AND(#REF!,"AAAAAD/fe8Q=")</f>
        <v>#REF!</v>
      </c>
      <c r="GP567" t="e">
        <f>IF(#REF!,"AAAAAD/fe8U=",0)</f>
        <v>#REF!</v>
      </c>
      <c r="GQ567" t="e">
        <f>AND(#REF!,"AAAAAD/fe8Y=")</f>
        <v>#REF!</v>
      </c>
      <c r="GR567" t="e">
        <f>AND(#REF!,"AAAAAD/fe8c=")</f>
        <v>#REF!</v>
      </c>
      <c r="GS567" t="e">
        <f>AND(#REF!,"AAAAAD/fe8g=")</f>
        <v>#REF!</v>
      </c>
      <c r="GT567" t="e">
        <f>AND(#REF!,"AAAAAD/fe8k=")</f>
        <v>#REF!</v>
      </c>
      <c r="GU567" t="e">
        <f>AND(#REF!,"AAAAAD/fe8o=")</f>
        <v>#REF!</v>
      </c>
      <c r="GV567" t="e">
        <f>AND(#REF!,"AAAAAD/fe8s=")</f>
        <v>#REF!</v>
      </c>
      <c r="GW567" t="e">
        <f>AND(#REF!,"AAAAAD/fe8w=")</f>
        <v>#REF!</v>
      </c>
      <c r="GX567" t="e">
        <f>AND(#REF!,"AAAAAD/fe80=")</f>
        <v>#REF!</v>
      </c>
      <c r="GY567" t="e">
        <f>AND(#REF!,"AAAAAD/fe84=")</f>
        <v>#REF!</v>
      </c>
      <c r="GZ567" t="e">
        <f>AND(#REF!,"AAAAAD/fe88=")</f>
        <v>#REF!</v>
      </c>
      <c r="HA567" t="e">
        <f>IF(#REF!,"AAAAAD/fe9A=",0)</f>
        <v>#REF!</v>
      </c>
      <c r="HB567" t="e">
        <f>AND(#REF!,"AAAAAD/fe9E=")</f>
        <v>#REF!</v>
      </c>
      <c r="HC567" t="e">
        <f>AND(#REF!,"AAAAAD/fe9I=")</f>
        <v>#REF!</v>
      </c>
      <c r="HD567" t="e">
        <f>AND(#REF!,"AAAAAD/fe9M=")</f>
        <v>#REF!</v>
      </c>
      <c r="HE567" t="e">
        <f>AND(#REF!,"AAAAAD/fe9Q=")</f>
        <v>#REF!</v>
      </c>
      <c r="HF567" t="e">
        <f>AND(#REF!,"AAAAAD/fe9U=")</f>
        <v>#REF!</v>
      </c>
      <c r="HG567" t="e">
        <f>AND(#REF!,"AAAAAD/fe9Y=")</f>
        <v>#REF!</v>
      </c>
      <c r="HH567" t="e">
        <f>AND(#REF!,"AAAAAD/fe9c=")</f>
        <v>#REF!</v>
      </c>
      <c r="HI567" t="e">
        <f>AND(#REF!,"AAAAAD/fe9g=")</f>
        <v>#REF!</v>
      </c>
      <c r="HJ567" t="e">
        <f>AND(#REF!,"AAAAAD/fe9k=")</f>
        <v>#REF!</v>
      </c>
      <c r="HK567" t="e">
        <f>AND(#REF!,"AAAAAD/fe9o=")</f>
        <v>#REF!</v>
      </c>
      <c r="HL567" t="e">
        <f>IF(#REF!,"AAAAAD/fe9s=",0)</f>
        <v>#REF!</v>
      </c>
      <c r="HM567" t="e">
        <f>AND(#REF!,"AAAAAD/fe9w=")</f>
        <v>#REF!</v>
      </c>
      <c r="HN567" t="e">
        <f>AND(#REF!,"AAAAAD/fe90=")</f>
        <v>#REF!</v>
      </c>
      <c r="HO567" t="e">
        <f>AND(#REF!,"AAAAAD/fe94=")</f>
        <v>#REF!</v>
      </c>
      <c r="HP567" t="e">
        <f>AND(#REF!,"AAAAAD/fe98=")</f>
        <v>#REF!</v>
      </c>
      <c r="HQ567" t="e">
        <f>AND(#REF!,"AAAAAD/fe+A=")</f>
        <v>#REF!</v>
      </c>
      <c r="HR567" t="e">
        <f>AND(#REF!,"AAAAAD/fe+E=")</f>
        <v>#REF!</v>
      </c>
      <c r="HS567" t="e">
        <f>AND(#REF!,"AAAAAD/fe+I=")</f>
        <v>#REF!</v>
      </c>
      <c r="HT567" t="e">
        <f>AND(#REF!,"AAAAAD/fe+M=")</f>
        <v>#REF!</v>
      </c>
      <c r="HU567" t="e">
        <f>AND(#REF!,"AAAAAD/fe+Q=")</f>
        <v>#REF!</v>
      </c>
      <c r="HV567" t="e">
        <f>AND(#REF!,"AAAAAD/fe+U=")</f>
        <v>#REF!</v>
      </c>
      <c r="HW567" t="e">
        <f>IF(#REF!,"AAAAAD/fe+Y=",0)</f>
        <v>#REF!</v>
      </c>
      <c r="HX567" t="e">
        <f>AND(#REF!,"AAAAAD/fe+c=")</f>
        <v>#REF!</v>
      </c>
      <c r="HY567" t="e">
        <f>AND(#REF!,"AAAAAD/fe+g=")</f>
        <v>#REF!</v>
      </c>
      <c r="HZ567" t="e">
        <f>AND(#REF!,"AAAAAD/fe+k=")</f>
        <v>#REF!</v>
      </c>
      <c r="IA567" t="e">
        <f>AND(#REF!,"AAAAAD/fe+o=")</f>
        <v>#REF!</v>
      </c>
      <c r="IB567" t="e">
        <f>AND(#REF!,"AAAAAD/fe+s=")</f>
        <v>#REF!</v>
      </c>
      <c r="IC567" t="e">
        <f>AND(#REF!,"AAAAAD/fe+w=")</f>
        <v>#REF!</v>
      </c>
      <c r="ID567" t="e">
        <f>AND(#REF!,"AAAAAD/fe+0=")</f>
        <v>#REF!</v>
      </c>
      <c r="IE567" t="e">
        <f>AND(#REF!,"AAAAAD/fe+4=")</f>
        <v>#REF!</v>
      </c>
      <c r="IF567" t="e">
        <f>AND(#REF!,"AAAAAD/fe+8=")</f>
        <v>#REF!</v>
      </c>
      <c r="IG567" t="e">
        <f>AND(#REF!,"AAAAAD/fe/A=")</f>
        <v>#REF!</v>
      </c>
      <c r="IH567" t="e">
        <f>IF(#REF!,"AAAAAD/fe/E=",0)</f>
        <v>#REF!</v>
      </c>
      <c r="II567" t="e">
        <f>AND(#REF!,"AAAAAD/fe/I=")</f>
        <v>#REF!</v>
      </c>
      <c r="IJ567" t="e">
        <f>AND(#REF!,"AAAAAD/fe/M=")</f>
        <v>#REF!</v>
      </c>
      <c r="IK567" t="e">
        <f>AND(#REF!,"AAAAAD/fe/Q=")</f>
        <v>#REF!</v>
      </c>
      <c r="IL567" t="e">
        <f>AND(#REF!,"AAAAAD/fe/U=")</f>
        <v>#REF!</v>
      </c>
      <c r="IM567" t="e">
        <f>AND(#REF!,"AAAAAD/fe/Y=")</f>
        <v>#REF!</v>
      </c>
      <c r="IN567" t="e">
        <f>AND(#REF!,"AAAAAD/fe/c=")</f>
        <v>#REF!</v>
      </c>
      <c r="IO567" t="e">
        <f>AND(#REF!,"AAAAAD/fe/g=")</f>
        <v>#REF!</v>
      </c>
      <c r="IP567" t="e">
        <f>AND(#REF!,"AAAAAD/fe/k=")</f>
        <v>#REF!</v>
      </c>
      <c r="IQ567" t="e">
        <f>AND(#REF!,"AAAAAD/fe/o=")</f>
        <v>#REF!</v>
      </c>
      <c r="IR567" t="e">
        <f>AND(#REF!,"AAAAAD/fe/s=")</f>
        <v>#REF!</v>
      </c>
      <c r="IS567" t="e">
        <f>IF(#REF!,"AAAAAD/fe/w=",0)</f>
        <v>#REF!</v>
      </c>
      <c r="IT567" t="e">
        <f>AND(#REF!,"AAAAAD/fe/0=")</f>
        <v>#REF!</v>
      </c>
      <c r="IU567" t="e">
        <f>AND(#REF!,"AAAAAD/fe/4=")</f>
        <v>#REF!</v>
      </c>
      <c r="IV567" t="e">
        <f>AND(#REF!,"AAAAAD/fe/8=")</f>
        <v>#REF!</v>
      </c>
    </row>
    <row r="568" spans="1:256" x14ac:dyDescent="0.25">
      <c r="A568" t="e">
        <f>AND(#REF!,"AAAAAH+X3gA=")</f>
        <v>#REF!</v>
      </c>
      <c r="B568" t="e">
        <f>AND(#REF!,"AAAAAH+X3gE=")</f>
        <v>#REF!</v>
      </c>
      <c r="C568" t="e">
        <f>AND(#REF!,"AAAAAH+X3gI=")</f>
        <v>#REF!</v>
      </c>
      <c r="D568" t="e">
        <f>AND(#REF!,"AAAAAH+X3gM=")</f>
        <v>#REF!</v>
      </c>
      <c r="E568" t="e">
        <f>AND(#REF!,"AAAAAH+X3gQ=")</f>
        <v>#REF!</v>
      </c>
      <c r="F568" t="e">
        <f>AND(#REF!,"AAAAAH+X3gU=")</f>
        <v>#REF!</v>
      </c>
      <c r="G568" t="e">
        <f>AND(#REF!,"AAAAAH+X3gY=")</f>
        <v>#REF!</v>
      </c>
      <c r="H568" t="e">
        <f>IF(#REF!,"AAAAAH+X3gc=",0)</f>
        <v>#REF!</v>
      </c>
      <c r="I568" t="e">
        <f>AND(#REF!,"AAAAAH+X3gg=")</f>
        <v>#REF!</v>
      </c>
      <c r="J568" t="e">
        <f>AND(#REF!,"AAAAAH+X3gk=")</f>
        <v>#REF!</v>
      </c>
      <c r="K568" t="e">
        <f>AND(#REF!,"AAAAAH+X3go=")</f>
        <v>#REF!</v>
      </c>
      <c r="L568" t="e">
        <f>AND(#REF!,"AAAAAH+X3gs=")</f>
        <v>#REF!</v>
      </c>
      <c r="M568" t="e">
        <f>AND(#REF!,"AAAAAH+X3gw=")</f>
        <v>#REF!</v>
      </c>
      <c r="N568" t="e">
        <f>AND(#REF!,"AAAAAH+X3g0=")</f>
        <v>#REF!</v>
      </c>
      <c r="O568" t="e">
        <f>AND(#REF!,"AAAAAH+X3g4=")</f>
        <v>#REF!</v>
      </c>
      <c r="P568" t="e">
        <f>AND(#REF!,"AAAAAH+X3g8=")</f>
        <v>#REF!</v>
      </c>
      <c r="Q568" t="e">
        <f>AND(#REF!,"AAAAAH+X3hA=")</f>
        <v>#REF!</v>
      </c>
      <c r="R568" t="e">
        <f>AND(#REF!,"AAAAAH+X3hE=")</f>
        <v>#REF!</v>
      </c>
      <c r="S568" t="e">
        <f>IF(#REF!,"AAAAAH+X3hI=",0)</f>
        <v>#REF!</v>
      </c>
      <c r="T568" t="e">
        <f>AND(#REF!,"AAAAAH+X3hM=")</f>
        <v>#REF!</v>
      </c>
      <c r="U568" t="e">
        <f>AND(#REF!,"AAAAAH+X3hQ=")</f>
        <v>#REF!</v>
      </c>
      <c r="V568" t="e">
        <f>AND(#REF!,"AAAAAH+X3hU=")</f>
        <v>#REF!</v>
      </c>
      <c r="W568" t="e">
        <f>AND(#REF!,"AAAAAH+X3hY=")</f>
        <v>#REF!</v>
      </c>
      <c r="X568" t="e">
        <f>AND(#REF!,"AAAAAH+X3hc=")</f>
        <v>#REF!</v>
      </c>
      <c r="Y568" t="e">
        <f>AND(#REF!,"AAAAAH+X3hg=")</f>
        <v>#REF!</v>
      </c>
      <c r="Z568" t="e">
        <f>AND(#REF!,"AAAAAH+X3hk=")</f>
        <v>#REF!</v>
      </c>
      <c r="AA568" t="e">
        <f>AND(#REF!,"AAAAAH+X3ho=")</f>
        <v>#REF!</v>
      </c>
      <c r="AB568" t="e">
        <f>AND(#REF!,"AAAAAH+X3hs=")</f>
        <v>#REF!</v>
      </c>
      <c r="AC568" t="e">
        <f>AND(#REF!,"AAAAAH+X3hw=")</f>
        <v>#REF!</v>
      </c>
      <c r="AD568" t="e">
        <f>IF(#REF!,"AAAAAH+X3h0=",0)</f>
        <v>#REF!</v>
      </c>
      <c r="AE568" t="e">
        <f>AND(#REF!,"AAAAAH+X3h4=")</f>
        <v>#REF!</v>
      </c>
      <c r="AF568" t="e">
        <f>AND(#REF!,"AAAAAH+X3h8=")</f>
        <v>#REF!</v>
      </c>
      <c r="AG568" t="e">
        <f>AND(#REF!,"AAAAAH+X3iA=")</f>
        <v>#REF!</v>
      </c>
      <c r="AH568" t="e">
        <f>AND(#REF!,"AAAAAH+X3iE=")</f>
        <v>#REF!</v>
      </c>
      <c r="AI568" t="e">
        <f>AND(#REF!,"AAAAAH+X3iI=")</f>
        <v>#REF!</v>
      </c>
      <c r="AJ568" t="e">
        <f>AND(#REF!,"AAAAAH+X3iM=")</f>
        <v>#REF!</v>
      </c>
      <c r="AK568" t="e">
        <f>AND(#REF!,"AAAAAH+X3iQ=")</f>
        <v>#REF!</v>
      </c>
      <c r="AL568" t="e">
        <f>AND(#REF!,"AAAAAH+X3iU=")</f>
        <v>#REF!</v>
      </c>
      <c r="AM568" t="e">
        <f>AND(#REF!,"AAAAAH+X3iY=")</f>
        <v>#REF!</v>
      </c>
      <c r="AN568" t="e">
        <f>AND(#REF!,"AAAAAH+X3ic=")</f>
        <v>#REF!</v>
      </c>
      <c r="AO568" t="e">
        <f>IF(#REF!,"AAAAAH+X3ig=",0)</f>
        <v>#REF!</v>
      </c>
      <c r="AP568" t="e">
        <f>AND(#REF!,"AAAAAH+X3ik=")</f>
        <v>#REF!</v>
      </c>
      <c r="AQ568" t="e">
        <f>AND(#REF!,"AAAAAH+X3io=")</f>
        <v>#REF!</v>
      </c>
      <c r="AR568" t="e">
        <f>AND(#REF!,"AAAAAH+X3is=")</f>
        <v>#REF!</v>
      </c>
      <c r="AS568" t="e">
        <f>AND(#REF!,"AAAAAH+X3iw=")</f>
        <v>#REF!</v>
      </c>
      <c r="AT568" t="e">
        <f>AND(#REF!,"AAAAAH+X3i0=")</f>
        <v>#REF!</v>
      </c>
      <c r="AU568" t="e">
        <f>AND(#REF!,"AAAAAH+X3i4=")</f>
        <v>#REF!</v>
      </c>
      <c r="AV568" t="e">
        <f>AND(#REF!,"AAAAAH+X3i8=")</f>
        <v>#REF!</v>
      </c>
      <c r="AW568" t="e">
        <f>AND(#REF!,"AAAAAH+X3jA=")</f>
        <v>#REF!</v>
      </c>
      <c r="AX568" t="e">
        <f>AND(#REF!,"AAAAAH+X3jE=")</f>
        <v>#REF!</v>
      </c>
      <c r="AY568" t="e">
        <f>AND(#REF!,"AAAAAH+X3jI=")</f>
        <v>#REF!</v>
      </c>
      <c r="AZ568" t="e">
        <f>IF(#REF!,"AAAAAH+X3jM=",0)</f>
        <v>#REF!</v>
      </c>
      <c r="BA568" t="e">
        <f>AND(#REF!,"AAAAAH+X3jQ=")</f>
        <v>#REF!</v>
      </c>
      <c r="BB568" t="e">
        <f>AND(#REF!,"AAAAAH+X3jU=")</f>
        <v>#REF!</v>
      </c>
      <c r="BC568" t="e">
        <f>AND(#REF!,"AAAAAH+X3jY=")</f>
        <v>#REF!</v>
      </c>
      <c r="BD568" t="e">
        <f>AND(#REF!,"AAAAAH+X3jc=")</f>
        <v>#REF!</v>
      </c>
      <c r="BE568" t="e">
        <f>AND(#REF!,"AAAAAH+X3jg=")</f>
        <v>#REF!</v>
      </c>
      <c r="BF568" t="e">
        <f>AND(#REF!,"AAAAAH+X3jk=")</f>
        <v>#REF!</v>
      </c>
      <c r="BG568" t="e">
        <f>AND(#REF!,"AAAAAH+X3jo=")</f>
        <v>#REF!</v>
      </c>
      <c r="BH568" t="e">
        <f>AND(#REF!,"AAAAAH+X3js=")</f>
        <v>#REF!</v>
      </c>
      <c r="BI568" t="e">
        <f>AND(#REF!,"AAAAAH+X3jw=")</f>
        <v>#REF!</v>
      </c>
      <c r="BJ568" t="e">
        <f>AND(#REF!,"AAAAAH+X3j0=")</f>
        <v>#REF!</v>
      </c>
      <c r="BK568" t="e">
        <f>IF(#REF!,"AAAAAH+X3j4=",0)</f>
        <v>#REF!</v>
      </c>
      <c r="BL568" t="e">
        <f>AND(#REF!,"AAAAAH+X3j8=")</f>
        <v>#REF!</v>
      </c>
      <c r="BM568" t="e">
        <f>AND(#REF!,"AAAAAH+X3kA=")</f>
        <v>#REF!</v>
      </c>
      <c r="BN568" t="e">
        <f>AND(#REF!,"AAAAAH+X3kE=")</f>
        <v>#REF!</v>
      </c>
      <c r="BO568" t="e">
        <f>AND(#REF!,"AAAAAH+X3kI=")</f>
        <v>#REF!</v>
      </c>
      <c r="BP568" t="e">
        <f>AND(#REF!,"AAAAAH+X3kM=")</f>
        <v>#REF!</v>
      </c>
      <c r="BQ568" t="e">
        <f>AND(#REF!,"AAAAAH+X3kQ=")</f>
        <v>#REF!</v>
      </c>
      <c r="BR568" t="e">
        <f>AND(#REF!,"AAAAAH+X3kU=")</f>
        <v>#REF!</v>
      </c>
      <c r="BS568" t="e">
        <f>AND(#REF!,"AAAAAH+X3kY=")</f>
        <v>#REF!</v>
      </c>
      <c r="BT568" t="e">
        <f>AND(#REF!,"AAAAAH+X3kc=")</f>
        <v>#REF!</v>
      </c>
      <c r="BU568" t="e">
        <f>AND(#REF!,"AAAAAH+X3kg=")</f>
        <v>#REF!</v>
      </c>
      <c r="BV568" t="e">
        <f>IF(#REF!,"AAAAAH+X3kk=",0)</f>
        <v>#REF!</v>
      </c>
      <c r="BW568" t="e">
        <f>AND(#REF!,"AAAAAH+X3ko=")</f>
        <v>#REF!</v>
      </c>
      <c r="BX568" t="e">
        <f>AND(#REF!,"AAAAAH+X3ks=")</f>
        <v>#REF!</v>
      </c>
      <c r="BY568" t="e">
        <f>AND(#REF!,"AAAAAH+X3kw=")</f>
        <v>#REF!</v>
      </c>
      <c r="BZ568" t="e">
        <f>AND(#REF!,"AAAAAH+X3k0=")</f>
        <v>#REF!</v>
      </c>
      <c r="CA568" t="e">
        <f>AND(#REF!,"AAAAAH+X3k4=")</f>
        <v>#REF!</v>
      </c>
      <c r="CB568" t="e">
        <f>AND(#REF!,"AAAAAH+X3k8=")</f>
        <v>#REF!</v>
      </c>
      <c r="CC568" t="e">
        <f>AND(#REF!,"AAAAAH+X3lA=")</f>
        <v>#REF!</v>
      </c>
      <c r="CD568" t="e">
        <f>AND(#REF!,"AAAAAH+X3lE=")</f>
        <v>#REF!</v>
      </c>
      <c r="CE568" t="e">
        <f>AND(#REF!,"AAAAAH+X3lI=")</f>
        <v>#REF!</v>
      </c>
      <c r="CF568" t="e">
        <f>AND(#REF!,"AAAAAH+X3lM=")</f>
        <v>#REF!</v>
      </c>
      <c r="CG568" t="e">
        <f>IF(#REF!,"AAAAAH+X3lQ=",0)</f>
        <v>#REF!</v>
      </c>
      <c r="CH568" t="e">
        <f>AND(#REF!,"AAAAAH+X3lU=")</f>
        <v>#REF!</v>
      </c>
      <c r="CI568" t="e">
        <f>AND(#REF!,"AAAAAH+X3lY=")</f>
        <v>#REF!</v>
      </c>
      <c r="CJ568" t="e">
        <f>AND(#REF!,"AAAAAH+X3lc=")</f>
        <v>#REF!</v>
      </c>
      <c r="CK568" t="e">
        <f>AND(#REF!,"AAAAAH+X3lg=")</f>
        <v>#REF!</v>
      </c>
      <c r="CL568" t="e">
        <f>AND(#REF!,"AAAAAH+X3lk=")</f>
        <v>#REF!</v>
      </c>
      <c r="CM568" t="e">
        <f>AND(#REF!,"AAAAAH+X3lo=")</f>
        <v>#REF!</v>
      </c>
      <c r="CN568" t="e">
        <f>AND(#REF!,"AAAAAH+X3ls=")</f>
        <v>#REF!</v>
      </c>
      <c r="CO568" t="e">
        <f>AND(#REF!,"AAAAAH+X3lw=")</f>
        <v>#REF!</v>
      </c>
      <c r="CP568" t="e">
        <f>AND(#REF!,"AAAAAH+X3l0=")</f>
        <v>#REF!</v>
      </c>
      <c r="CQ568" t="e">
        <f>AND(#REF!,"AAAAAH+X3l4=")</f>
        <v>#REF!</v>
      </c>
      <c r="CR568" t="e">
        <f>IF(#REF!,"AAAAAH+X3l8=",0)</f>
        <v>#REF!</v>
      </c>
      <c r="CS568" t="e">
        <f>AND(#REF!,"AAAAAH+X3mA=")</f>
        <v>#REF!</v>
      </c>
      <c r="CT568" t="e">
        <f>AND(#REF!,"AAAAAH+X3mE=")</f>
        <v>#REF!</v>
      </c>
      <c r="CU568" t="e">
        <f>AND(#REF!,"AAAAAH+X3mI=")</f>
        <v>#REF!</v>
      </c>
      <c r="CV568" t="e">
        <f>AND(#REF!,"AAAAAH+X3mM=")</f>
        <v>#REF!</v>
      </c>
      <c r="CW568" t="e">
        <f>AND(#REF!,"AAAAAH+X3mQ=")</f>
        <v>#REF!</v>
      </c>
      <c r="CX568" t="e">
        <f>AND(#REF!,"AAAAAH+X3mU=")</f>
        <v>#REF!</v>
      </c>
      <c r="CY568" t="e">
        <f>AND(#REF!,"AAAAAH+X3mY=")</f>
        <v>#REF!</v>
      </c>
      <c r="CZ568" t="e">
        <f>AND(#REF!,"AAAAAH+X3mc=")</f>
        <v>#REF!</v>
      </c>
      <c r="DA568" t="e">
        <f>AND(#REF!,"AAAAAH+X3mg=")</f>
        <v>#REF!</v>
      </c>
      <c r="DB568" t="e">
        <f>AND(#REF!,"AAAAAH+X3mk=")</f>
        <v>#REF!</v>
      </c>
      <c r="DC568" t="e">
        <f>IF(#REF!,"AAAAAH+X3mo=",0)</f>
        <v>#REF!</v>
      </c>
      <c r="DD568" t="e">
        <f>AND(#REF!,"AAAAAH+X3ms=")</f>
        <v>#REF!</v>
      </c>
      <c r="DE568" t="e">
        <f>AND(#REF!,"AAAAAH+X3mw=")</f>
        <v>#REF!</v>
      </c>
      <c r="DF568" t="e">
        <f>AND(#REF!,"AAAAAH+X3m0=")</f>
        <v>#REF!</v>
      </c>
      <c r="DG568" t="e">
        <f>AND(#REF!,"AAAAAH+X3m4=")</f>
        <v>#REF!</v>
      </c>
      <c r="DH568" t="e">
        <f>AND(#REF!,"AAAAAH+X3m8=")</f>
        <v>#REF!</v>
      </c>
      <c r="DI568" t="e">
        <f>AND(#REF!,"AAAAAH+X3nA=")</f>
        <v>#REF!</v>
      </c>
      <c r="DJ568" t="e">
        <f>AND(#REF!,"AAAAAH+X3nE=")</f>
        <v>#REF!</v>
      </c>
      <c r="DK568" t="e">
        <f>AND(#REF!,"AAAAAH+X3nI=")</f>
        <v>#REF!</v>
      </c>
      <c r="DL568" t="e">
        <f>AND(#REF!,"AAAAAH+X3nM=")</f>
        <v>#REF!</v>
      </c>
      <c r="DM568" t="e">
        <f>AND(#REF!,"AAAAAH+X3nQ=")</f>
        <v>#REF!</v>
      </c>
      <c r="DN568" t="e">
        <f>IF(#REF!,"AAAAAH+X3nU=",0)</f>
        <v>#REF!</v>
      </c>
      <c r="DO568" t="e">
        <f>AND(#REF!,"AAAAAH+X3nY=")</f>
        <v>#REF!</v>
      </c>
      <c r="DP568" t="e">
        <f>AND(#REF!,"AAAAAH+X3nc=")</f>
        <v>#REF!</v>
      </c>
      <c r="DQ568" t="e">
        <f>AND(#REF!,"AAAAAH+X3ng=")</f>
        <v>#REF!</v>
      </c>
      <c r="DR568" t="e">
        <f>AND(#REF!,"AAAAAH+X3nk=")</f>
        <v>#REF!</v>
      </c>
      <c r="DS568" t="e">
        <f>AND(#REF!,"AAAAAH+X3no=")</f>
        <v>#REF!</v>
      </c>
      <c r="DT568" t="e">
        <f>AND(#REF!,"AAAAAH+X3ns=")</f>
        <v>#REF!</v>
      </c>
      <c r="DU568" t="e">
        <f>AND(#REF!,"AAAAAH+X3nw=")</f>
        <v>#REF!</v>
      </c>
      <c r="DV568" t="e">
        <f>AND(#REF!,"AAAAAH+X3n0=")</f>
        <v>#REF!</v>
      </c>
      <c r="DW568" t="e">
        <f>AND(#REF!,"AAAAAH+X3n4=")</f>
        <v>#REF!</v>
      </c>
      <c r="DX568" t="e">
        <f>AND(#REF!,"AAAAAH+X3n8=")</f>
        <v>#REF!</v>
      </c>
      <c r="DY568" t="e">
        <f>IF(#REF!,"AAAAAH+X3oA=",0)</f>
        <v>#REF!</v>
      </c>
      <c r="DZ568" t="e">
        <f>AND(#REF!,"AAAAAH+X3oE=")</f>
        <v>#REF!</v>
      </c>
      <c r="EA568" t="e">
        <f>AND(#REF!,"AAAAAH+X3oI=")</f>
        <v>#REF!</v>
      </c>
      <c r="EB568" t="e">
        <f>AND(#REF!,"AAAAAH+X3oM=")</f>
        <v>#REF!</v>
      </c>
      <c r="EC568" t="e">
        <f>AND(#REF!,"AAAAAH+X3oQ=")</f>
        <v>#REF!</v>
      </c>
      <c r="ED568" t="e">
        <f>AND(#REF!,"AAAAAH+X3oU=")</f>
        <v>#REF!</v>
      </c>
      <c r="EE568" t="e">
        <f>AND(#REF!,"AAAAAH+X3oY=")</f>
        <v>#REF!</v>
      </c>
      <c r="EF568" t="e">
        <f>AND(#REF!,"AAAAAH+X3oc=")</f>
        <v>#REF!</v>
      </c>
      <c r="EG568" t="e">
        <f>AND(#REF!,"AAAAAH+X3og=")</f>
        <v>#REF!</v>
      </c>
      <c r="EH568" t="e">
        <f>AND(#REF!,"AAAAAH+X3ok=")</f>
        <v>#REF!</v>
      </c>
      <c r="EI568" t="e">
        <f>AND(#REF!,"AAAAAH+X3oo=")</f>
        <v>#REF!</v>
      </c>
      <c r="EJ568" t="e">
        <f>IF(#REF!,"AAAAAH+X3os=",0)</f>
        <v>#REF!</v>
      </c>
      <c r="EK568" t="e">
        <f>AND(#REF!,"AAAAAH+X3ow=")</f>
        <v>#REF!</v>
      </c>
      <c r="EL568" t="e">
        <f>AND(#REF!,"AAAAAH+X3o0=")</f>
        <v>#REF!</v>
      </c>
      <c r="EM568" t="e">
        <f>AND(#REF!,"AAAAAH+X3o4=")</f>
        <v>#REF!</v>
      </c>
      <c r="EN568" t="e">
        <f>AND(#REF!,"AAAAAH+X3o8=")</f>
        <v>#REF!</v>
      </c>
      <c r="EO568" t="e">
        <f>AND(#REF!,"AAAAAH+X3pA=")</f>
        <v>#REF!</v>
      </c>
      <c r="EP568" t="e">
        <f>AND(#REF!,"AAAAAH+X3pE=")</f>
        <v>#REF!</v>
      </c>
      <c r="EQ568" t="e">
        <f>AND(#REF!,"AAAAAH+X3pI=")</f>
        <v>#REF!</v>
      </c>
      <c r="ER568" t="e">
        <f>AND(#REF!,"AAAAAH+X3pM=")</f>
        <v>#REF!</v>
      </c>
      <c r="ES568" t="e">
        <f>AND(#REF!,"AAAAAH+X3pQ=")</f>
        <v>#REF!</v>
      </c>
      <c r="ET568" t="e">
        <f>AND(#REF!,"AAAAAH+X3pU=")</f>
        <v>#REF!</v>
      </c>
      <c r="EU568" t="e">
        <f>IF(#REF!,"AAAAAH+X3pY=",0)</f>
        <v>#REF!</v>
      </c>
      <c r="EV568" t="e">
        <f>AND(#REF!,"AAAAAH+X3pc=")</f>
        <v>#REF!</v>
      </c>
      <c r="EW568" t="e">
        <f>AND(#REF!,"AAAAAH+X3pg=")</f>
        <v>#REF!</v>
      </c>
      <c r="EX568" t="e">
        <f>AND(#REF!,"AAAAAH+X3pk=")</f>
        <v>#REF!</v>
      </c>
      <c r="EY568" t="e">
        <f>AND(#REF!,"AAAAAH+X3po=")</f>
        <v>#REF!</v>
      </c>
      <c r="EZ568" t="e">
        <f>AND(#REF!,"AAAAAH+X3ps=")</f>
        <v>#REF!</v>
      </c>
      <c r="FA568" t="e">
        <f>AND(#REF!,"AAAAAH+X3pw=")</f>
        <v>#REF!</v>
      </c>
      <c r="FB568" t="e">
        <f>AND(#REF!,"AAAAAH+X3p0=")</f>
        <v>#REF!</v>
      </c>
      <c r="FC568" t="e">
        <f>AND(#REF!,"AAAAAH+X3p4=")</f>
        <v>#REF!</v>
      </c>
      <c r="FD568" t="e">
        <f>AND(#REF!,"AAAAAH+X3p8=")</f>
        <v>#REF!</v>
      </c>
      <c r="FE568" t="e">
        <f>AND(#REF!,"AAAAAH+X3qA=")</f>
        <v>#REF!</v>
      </c>
      <c r="FF568" t="e">
        <f>IF(#REF!,"AAAAAH+X3qE=",0)</f>
        <v>#REF!</v>
      </c>
      <c r="FG568" t="e">
        <f>AND(#REF!,"AAAAAH+X3qI=")</f>
        <v>#REF!</v>
      </c>
      <c r="FH568" t="e">
        <f>AND(#REF!,"AAAAAH+X3qM=")</f>
        <v>#REF!</v>
      </c>
      <c r="FI568" t="e">
        <f>AND(#REF!,"AAAAAH+X3qQ=")</f>
        <v>#REF!</v>
      </c>
      <c r="FJ568" t="e">
        <f>AND(#REF!,"AAAAAH+X3qU=")</f>
        <v>#REF!</v>
      </c>
      <c r="FK568" t="e">
        <f>AND(#REF!,"AAAAAH+X3qY=")</f>
        <v>#REF!</v>
      </c>
      <c r="FL568" t="e">
        <f>AND(#REF!,"AAAAAH+X3qc=")</f>
        <v>#REF!</v>
      </c>
      <c r="FM568" t="e">
        <f>AND(#REF!,"AAAAAH+X3qg=")</f>
        <v>#REF!</v>
      </c>
      <c r="FN568" t="e">
        <f>AND(#REF!,"AAAAAH+X3qk=")</f>
        <v>#REF!</v>
      </c>
      <c r="FO568" t="e">
        <f>AND(#REF!,"AAAAAH+X3qo=")</f>
        <v>#REF!</v>
      </c>
      <c r="FP568" t="e">
        <f>AND(#REF!,"AAAAAH+X3qs=")</f>
        <v>#REF!</v>
      </c>
      <c r="FQ568" t="e">
        <f>IF(#REF!,"AAAAAH+X3qw=",0)</f>
        <v>#REF!</v>
      </c>
      <c r="FR568" t="e">
        <f>AND(#REF!,"AAAAAH+X3q0=")</f>
        <v>#REF!</v>
      </c>
      <c r="FS568" t="e">
        <f>AND(#REF!,"AAAAAH+X3q4=")</f>
        <v>#REF!</v>
      </c>
      <c r="FT568" t="e">
        <f>AND(#REF!,"AAAAAH+X3q8=")</f>
        <v>#REF!</v>
      </c>
      <c r="FU568" t="e">
        <f>AND(#REF!,"AAAAAH+X3rA=")</f>
        <v>#REF!</v>
      </c>
      <c r="FV568" t="e">
        <f>AND(#REF!,"AAAAAH+X3rE=")</f>
        <v>#REF!</v>
      </c>
      <c r="FW568" t="e">
        <f>AND(#REF!,"AAAAAH+X3rI=")</f>
        <v>#REF!</v>
      </c>
      <c r="FX568" t="e">
        <f>AND(#REF!,"AAAAAH+X3rM=")</f>
        <v>#REF!</v>
      </c>
      <c r="FY568" t="e">
        <f>AND(#REF!,"AAAAAH+X3rQ=")</f>
        <v>#REF!</v>
      </c>
      <c r="FZ568" t="e">
        <f>AND(#REF!,"AAAAAH+X3rU=")</f>
        <v>#REF!</v>
      </c>
      <c r="GA568" t="e">
        <f>AND(#REF!,"AAAAAH+X3rY=")</f>
        <v>#REF!</v>
      </c>
      <c r="GB568" t="e">
        <f>IF(#REF!,"AAAAAH+X3rc=",0)</f>
        <v>#REF!</v>
      </c>
      <c r="GC568" t="e">
        <f>AND(#REF!,"AAAAAH+X3rg=")</f>
        <v>#REF!</v>
      </c>
      <c r="GD568" t="e">
        <f>AND(#REF!,"AAAAAH+X3rk=")</f>
        <v>#REF!</v>
      </c>
      <c r="GE568" t="e">
        <f>AND(#REF!,"AAAAAH+X3ro=")</f>
        <v>#REF!</v>
      </c>
      <c r="GF568" t="e">
        <f>AND(#REF!,"AAAAAH+X3rs=")</f>
        <v>#REF!</v>
      </c>
      <c r="GG568" t="e">
        <f>AND(#REF!,"AAAAAH+X3rw=")</f>
        <v>#REF!</v>
      </c>
      <c r="GH568" t="e">
        <f>AND(#REF!,"AAAAAH+X3r0=")</f>
        <v>#REF!</v>
      </c>
      <c r="GI568" t="e">
        <f>AND(#REF!,"AAAAAH+X3r4=")</f>
        <v>#REF!</v>
      </c>
      <c r="GJ568" t="e">
        <f>AND(#REF!,"AAAAAH+X3r8=")</f>
        <v>#REF!</v>
      </c>
      <c r="GK568" t="e">
        <f>AND(#REF!,"AAAAAH+X3sA=")</f>
        <v>#REF!</v>
      </c>
      <c r="GL568" t="e">
        <f>AND(#REF!,"AAAAAH+X3sE=")</f>
        <v>#REF!</v>
      </c>
      <c r="GM568" t="e">
        <f>IF(#REF!,"AAAAAH+X3sI=",0)</f>
        <v>#REF!</v>
      </c>
      <c r="GN568" t="e">
        <f>AND(#REF!,"AAAAAH+X3sM=")</f>
        <v>#REF!</v>
      </c>
      <c r="GO568" t="e">
        <f>AND(#REF!,"AAAAAH+X3sQ=")</f>
        <v>#REF!</v>
      </c>
      <c r="GP568" t="e">
        <f>AND(#REF!,"AAAAAH+X3sU=")</f>
        <v>#REF!</v>
      </c>
      <c r="GQ568" t="e">
        <f>AND(#REF!,"AAAAAH+X3sY=")</f>
        <v>#REF!</v>
      </c>
      <c r="GR568" t="e">
        <f>AND(#REF!,"AAAAAH+X3sc=")</f>
        <v>#REF!</v>
      </c>
      <c r="GS568" t="e">
        <f>AND(#REF!,"AAAAAH+X3sg=")</f>
        <v>#REF!</v>
      </c>
      <c r="GT568" t="e">
        <f>AND(#REF!,"AAAAAH+X3sk=")</f>
        <v>#REF!</v>
      </c>
      <c r="GU568" t="e">
        <f>AND(#REF!,"AAAAAH+X3so=")</f>
        <v>#REF!</v>
      </c>
      <c r="GV568" t="e">
        <f>AND(#REF!,"AAAAAH+X3ss=")</f>
        <v>#REF!</v>
      </c>
      <c r="GW568" t="e">
        <f>AND(#REF!,"AAAAAH+X3sw=")</f>
        <v>#REF!</v>
      </c>
      <c r="GX568" t="e">
        <f>IF(#REF!,"AAAAAH+X3s0=",0)</f>
        <v>#REF!</v>
      </c>
      <c r="GY568" t="e">
        <f>AND(#REF!,"AAAAAH+X3s4=")</f>
        <v>#REF!</v>
      </c>
      <c r="GZ568" t="e">
        <f>AND(#REF!,"AAAAAH+X3s8=")</f>
        <v>#REF!</v>
      </c>
      <c r="HA568" t="e">
        <f>AND(#REF!,"AAAAAH+X3tA=")</f>
        <v>#REF!</v>
      </c>
      <c r="HB568" t="e">
        <f>AND(#REF!,"AAAAAH+X3tE=")</f>
        <v>#REF!</v>
      </c>
      <c r="HC568" t="e">
        <f>AND(#REF!,"AAAAAH+X3tI=")</f>
        <v>#REF!</v>
      </c>
      <c r="HD568" t="e">
        <f>AND(#REF!,"AAAAAH+X3tM=")</f>
        <v>#REF!</v>
      </c>
      <c r="HE568" t="e">
        <f>AND(#REF!,"AAAAAH+X3tQ=")</f>
        <v>#REF!</v>
      </c>
      <c r="HF568" t="e">
        <f>AND(#REF!,"AAAAAH+X3tU=")</f>
        <v>#REF!</v>
      </c>
      <c r="HG568" t="e">
        <f>AND(#REF!,"AAAAAH+X3tY=")</f>
        <v>#REF!</v>
      </c>
      <c r="HH568" t="e">
        <f>AND(#REF!,"AAAAAH+X3tc=")</f>
        <v>#REF!</v>
      </c>
      <c r="HI568" t="e">
        <f>IF(#REF!,"AAAAAH+X3tg=",0)</f>
        <v>#REF!</v>
      </c>
      <c r="HJ568" t="e">
        <f>AND(#REF!,"AAAAAH+X3tk=")</f>
        <v>#REF!</v>
      </c>
      <c r="HK568" t="e">
        <f>AND(#REF!,"AAAAAH+X3to=")</f>
        <v>#REF!</v>
      </c>
      <c r="HL568" t="e">
        <f>AND(#REF!,"AAAAAH+X3ts=")</f>
        <v>#REF!</v>
      </c>
      <c r="HM568" t="e">
        <f>AND(#REF!,"AAAAAH+X3tw=")</f>
        <v>#REF!</v>
      </c>
      <c r="HN568" t="e">
        <f>AND(#REF!,"AAAAAH+X3t0=")</f>
        <v>#REF!</v>
      </c>
      <c r="HO568" t="e">
        <f>AND(#REF!,"AAAAAH+X3t4=")</f>
        <v>#REF!</v>
      </c>
      <c r="HP568" t="e">
        <f>AND(#REF!,"AAAAAH+X3t8=")</f>
        <v>#REF!</v>
      </c>
      <c r="HQ568" t="e">
        <f>AND(#REF!,"AAAAAH+X3uA=")</f>
        <v>#REF!</v>
      </c>
      <c r="HR568" t="e">
        <f>AND(#REF!,"AAAAAH+X3uE=")</f>
        <v>#REF!</v>
      </c>
      <c r="HS568" t="e">
        <f>AND(#REF!,"AAAAAH+X3uI=")</f>
        <v>#REF!</v>
      </c>
      <c r="HT568" t="e">
        <f>IF(#REF!,"AAAAAH+X3uM=",0)</f>
        <v>#REF!</v>
      </c>
      <c r="HU568" t="e">
        <f>AND(#REF!,"AAAAAH+X3uQ=")</f>
        <v>#REF!</v>
      </c>
      <c r="HV568" t="e">
        <f>AND(#REF!,"AAAAAH+X3uU=")</f>
        <v>#REF!</v>
      </c>
      <c r="HW568" t="e">
        <f>AND(#REF!,"AAAAAH+X3uY=")</f>
        <v>#REF!</v>
      </c>
      <c r="HX568" t="e">
        <f>AND(#REF!,"AAAAAH+X3uc=")</f>
        <v>#REF!</v>
      </c>
      <c r="HY568" t="e">
        <f>AND(#REF!,"AAAAAH+X3ug=")</f>
        <v>#REF!</v>
      </c>
      <c r="HZ568" t="e">
        <f>AND(#REF!,"AAAAAH+X3uk=")</f>
        <v>#REF!</v>
      </c>
      <c r="IA568" t="e">
        <f>AND(#REF!,"AAAAAH+X3uo=")</f>
        <v>#REF!</v>
      </c>
      <c r="IB568" t="e">
        <f>AND(#REF!,"AAAAAH+X3us=")</f>
        <v>#REF!</v>
      </c>
      <c r="IC568" t="e">
        <f>AND(#REF!,"AAAAAH+X3uw=")</f>
        <v>#REF!</v>
      </c>
      <c r="ID568" t="e">
        <f>AND(#REF!,"AAAAAH+X3u0=")</f>
        <v>#REF!</v>
      </c>
      <c r="IE568" t="e">
        <f>IF(#REF!,"AAAAAH+X3u4=",0)</f>
        <v>#REF!</v>
      </c>
      <c r="IF568" t="e">
        <f>AND(#REF!,"AAAAAH+X3u8=")</f>
        <v>#REF!</v>
      </c>
      <c r="IG568" t="e">
        <f>AND(#REF!,"AAAAAH+X3vA=")</f>
        <v>#REF!</v>
      </c>
      <c r="IH568" t="e">
        <f>AND(#REF!,"AAAAAH+X3vE=")</f>
        <v>#REF!</v>
      </c>
      <c r="II568" t="e">
        <f>AND(#REF!,"AAAAAH+X3vI=")</f>
        <v>#REF!</v>
      </c>
      <c r="IJ568" t="e">
        <f>AND(#REF!,"AAAAAH+X3vM=")</f>
        <v>#REF!</v>
      </c>
      <c r="IK568" t="e">
        <f>AND(#REF!,"AAAAAH+X3vQ=")</f>
        <v>#REF!</v>
      </c>
      <c r="IL568" t="e">
        <f>AND(#REF!,"AAAAAH+X3vU=")</f>
        <v>#REF!</v>
      </c>
      <c r="IM568" t="e">
        <f>AND(#REF!,"AAAAAH+X3vY=")</f>
        <v>#REF!</v>
      </c>
      <c r="IN568" t="e">
        <f>AND(#REF!,"AAAAAH+X3vc=")</f>
        <v>#REF!</v>
      </c>
      <c r="IO568" t="e">
        <f>AND(#REF!,"AAAAAH+X3vg=")</f>
        <v>#REF!</v>
      </c>
      <c r="IP568" t="e">
        <f>IF(#REF!,"AAAAAH+X3vk=",0)</f>
        <v>#REF!</v>
      </c>
      <c r="IQ568" t="e">
        <f>AND(#REF!,"AAAAAH+X3vo=")</f>
        <v>#REF!</v>
      </c>
      <c r="IR568" t="e">
        <f>AND(#REF!,"AAAAAH+X3vs=")</f>
        <v>#REF!</v>
      </c>
      <c r="IS568" t="e">
        <f>AND(#REF!,"AAAAAH+X3vw=")</f>
        <v>#REF!</v>
      </c>
      <c r="IT568" t="e">
        <f>AND(#REF!,"AAAAAH+X3v0=")</f>
        <v>#REF!</v>
      </c>
      <c r="IU568" t="e">
        <f>AND(#REF!,"AAAAAH+X3v4=")</f>
        <v>#REF!</v>
      </c>
      <c r="IV568" t="e">
        <f>AND(#REF!,"AAAAAH+X3v8=")</f>
        <v>#REF!</v>
      </c>
    </row>
    <row r="569" spans="1:256" x14ac:dyDescent="0.25">
      <c r="A569" t="e">
        <f>AND(#REF!,"AAAAAH9tvgA=")</f>
        <v>#REF!</v>
      </c>
      <c r="B569" t="e">
        <f>AND(#REF!,"AAAAAH9tvgE=")</f>
        <v>#REF!</v>
      </c>
      <c r="C569" t="e">
        <f>AND(#REF!,"AAAAAH9tvgI=")</f>
        <v>#REF!</v>
      </c>
      <c r="D569" t="e">
        <f>AND(#REF!,"AAAAAH9tvgM=")</f>
        <v>#REF!</v>
      </c>
      <c r="E569" t="e">
        <f>IF(#REF!,"AAAAAH9tvgQ=",0)</f>
        <v>#REF!</v>
      </c>
      <c r="F569" t="e">
        <f>AND(#REF!,"AAAAAH9tvgU=")</f>
        <v>#REF!</v>
      </c>
      <c r="G569" t="e">
        <f>AND(#REF!,"AAAAAH9tvgY=")</f>
        <v>#REF!</v>
      </c>
      <c r="H569" t="e">
        <f>AND(#REF!,"AAAAAH9tvgc=")</f>
        <v>#REF!</v>
      </c>
      <c r="I569" t="e">
        <f>AND(#REF!,"AAAAAH9tvgg=")</f>
        <v>#REF!</v>
      </c>
      <c r="J569" t="e">
        <f>AND(#REF!,"AAAAAH9tvgk=")</f>
        <v>#REF!</v>
      </c>
      <c r="K569" t="e">
        <f>AND(#REF!,"AAAAAH9tvgo=")</f>
        <v>#REF!</v>
      </c>
      <c r="L569" t="e">
        <f>AND(#REF!,"AAAAAH9tvgs=")</f>
        <v>#REF!</v>
      </c>
      <c r="M569" t="e">
        <f>AND(#REF!,"AAAAAH9tvgw=")</f>
        <v>#REF!</v>
      </c>
      <c r="N569" t="e">
        <f>AND(#REF!,"AAAAAH9tvg0=")</f>
        <v>#REF!</v>
      </c>
      <c r="O569" t="e">
        <f>AND(#REF!,"AAAAAH9tvg4=")</f>
        <v>#REF!</v>
      </c>
      <c r="P569" t="e">
        <f>IF(#REF!,"AAAAAH9tvg8=",0)</f>
        <v>#REF!</v>
      </c>
      <c r="Q569" t="e">
        <f>AND(#REF!,"AAAAAH9tvhA=")</f>
        <v>#REF!</v>
      </c>
      <c r="R569" t="e">
        <f>AND(#REF!,"AAAAAH9tvhE=")</f>
        <v>#REF!</v>
      </c>
      <c r="S569" t="e">
        <f>AND(#REF!,"AAAAAH9tvhI=")</f>
        <v>#REF!</v>
      </c>
      <c r="T569" t="e">
        <f>AND(#REF!,"AAAAAH9tvhM=")</f>
        <v>#REF!</v>
      </c>
      <c r="U569" t="e">
        <f>AND(#REF!,"AAAAAH9tvhQ=")</f>
        <v>#REF!</v>
      </c>
      <c r="V569" t="e">
        <f>AND(#REF!,"AAAAAH9tvhU=")</f>
        <v>#REF!</v>
      </c>
      <c r="W569" t="e">
        <f>AND(#REF!,"AAAAAH9tvhY=")</f>
        <v>#REF!</v>
      </c>
      <c r="X569" t="e">
        <f>AND(#REF!,"AAAAAH9tvhc=")</f>
        <v>#REF!</v>
      </c>
      <c r="Y569" t="e">
        <f>AND(#REF!,"AAAAAH9tvhg=")</f>
        <v>#REF!</v>
      </c>
      <c r="Z569" t="e">
        <f>AND(#REF!,"AAAAAH9tvhk=")</f>
        <v>#REF!</v>
      </c>
      <c r="AA569" t="e">
        <f>IF(#REF!,"AAAAAH9tvho=",0)</f>
        <v>#REF!</v>
      </c>
      <c r="AB569" t="e">
        <f>AND(#REF!,"AAAAAH9tvhs=")</f>
        <v>#REF!</v>
      </c>
      <c r="AC569" t="e">
        <f>AND(#REF!,"AAAAAH9tvhw=")</f>
        <v>#REF!</v>
      </c>
      <c r="AD569" t="e">
        <f>AND(#REF!,"AAAAAH9tvh0=")</f>
        <v>#REF!</v>
      </c>
      <c r="AE569" t="e">
        <f>AND(#REF!,"AAAAAH9tvh4=")</f>
        <v>#REF!</v>
      </c>
      <c r="AF569" t="e">
        <f>AND(#REF!,"AAAAAH9tvh8=")</f>
        <v>#REF!</v>
      </c>
      <c r="AG569" t="e">
        <f>AND(#REF!,"AAAAAH9tviA=")</f>
        <v>#REF!</v>
      </c>
      <c r="AH569" t="e">
        <f>AND(#REF!,"AAAAAH9tviE=")</f>
        <v>#REF!</v>
      </c>
      <c r="AI569" t="e">
        <f>AND(#REF!,"AAAAAH9tviI=")</f>
        <v>#REF!</v>
      </c>
      <c r="AJ569" t="e">
        <f>AND(#REF!,"AAAAAH9tviM=")</f>
        <v>#REF!</v>
      </c>
      <c r="AK569" t="e">
        <f>AND(#REF!,"AAAAAH9tviQ=")</f>
        <v>#REF!</v>
      </c>
      <c r="AL569" t="e">
        <f>IF(#REF!,"AAAAAH9tviU=",0)</f>
        <v>#REF!</v>
      </c>
      <c r="AM569" t="e">
        <f>AND(#REF!,"AAAAAH9tviY=")</f>
        <v>#REF!</v>
      </c>
      <c r="AN569" t="e">
        <f>AND(#REF!,"AAAAAH9tvic=")</f>
        <v>#REF!</v>
      </c>
      <c r="AO569" t="e">
        <f>AND(#REF!,"AAAAAH9tvig=")</f>
        <v>#REF!</v>
      </c>
      <c r="AP569" t="e">
        <f>AND(#REF!,"AAAAAH9tvik=")</f>
        <v>#REF!</v>
      </c>
      <c r="AQ569" t="e">
        <f>AND(#REF!,"AAAAAH9tvio=")</f>
        <v>#REF!</v>
      </c>
      <c r="AR569" t="e">
        <f>AND(#REF!,"AAAAAH9tvis=")</f>
        <v>#REF!</v>
      </c>
      <c r="AS569" t="e">
        <f>AND(#REF!,"AAAAAH9tviw=")</f>
        <v>#REF!</v>
      </c>
      <c r="AT569" t="e">
        <f>AND(#REF!,"AAAAAH9tvi0=")</f>
        <v>#REF!</v>
      </c>
      <c r="AU569" t="e">
        <f>AND(#REF!,"AAAAAH9tvi4=")</f>
        <v>#REF!</v>
      </c>
      <c r="AV569" t="e">
        <f>AND(#REF!,"AAAAAH9tvi8=")</f>
        <v>#REF!</v>
      </c>
      <c r="AW569" t="e">
        <f>IF(#REF!,"AAAAAH9tvjA=",0)</f>
        <v>#REF!</v>
      </c>
      <c r="AX569" t="e">
        <f>AND(#REF!,"AAAAAH9tvjE=")</f>
        <v>#REF!</v>
      </c>
      <c r="AY569" t="e">
        <f>AND(#REF!,"AAAAAH9tvjI=")</f>
        <v>#REF!</v>
      </c>
      <c r="AZ569" t="e">
        <f>AND(#REF!,"AAAAAH9tvjM=")</f>
        <v>#REF!</v>
      </c>
      <c r="BA569" t="e">
        <f>AND(#REF!,"AAAAAH9tvjQ=")</f>
        <v>#REF!</v>
      </c>
      <c r="BB569" t="e">
        <f>AND(#REF!,"AAAAAH9tvjU=")</f>
        <v>#REF!</v>
      </c>
      <c r="BC569" t="e">
        <f>AND(#REF!,"AAAAAH9tvjY=")</f>
        <v>#REF!</v>
      </c>
      <c r="BD569" t="e">
        <f>AND(#REF!,"AAAAAH9tvjc=")</f>
        <v>#REF!</v>
      </c>
      <c r="BE569" t="e">
        <f>AND(#REF!,"AAAAAH9tvjg=")</f>
        <v>#REF!</v>
      </c>
      <c r="BF569" t="e">
        <f>AND(#REF!,"AAAAAH9tvjk=")</f>
        <v>#REF!</v>
      </c>
      <c r="BG569" t="e">
        <f>AND(#REF!,"AAAAAH9tvjo=")</f>
        <v>#REF!</v>
      </c>
      <c r="BH569" t="e">
        <f>IF(#REF!,"AAAAAH9tvjs=",0)</f>
        <v>#REF!</v>
      </c>
      <c r="BI569" t="e">
        <f>AND(#REF!,"AAAAAH9tvjw=")</f>
        <v>#REF!</v>
      </c>
      <c r="BJ569" t="e">
        <f>AND(#REF!,"AAAAAH9tvj0=")</f>
        <v>#REF!</v>
      </c>
      <c r="BK569" t="e">
        <f>AND(#REF!,"AAAAAH9tvj4=")</f>
        <v>#REF!</v>
      </c>
      <c r="BL569" t="e">
        <f>AND(#REF!,"AAAAAH9tvj8=")</f>
        <v>#REF!</v>
      </c>
      <c r="BM569" t="e">
        <f>AND(#REF!,"AAAAAH9tvkA=")</f>
        <v>#REF!</v>
      </c>
      <c r="BN569" t="e">
        <f>AND(#REF!,"AAAAAH9tvkE=")</f>
        <v>#REF!</v>
      </c>
      <c r="BO569" t="e">
        <f>AND(#REF!,"AAAAAH9tvkI=")</f>
        <v>#REF!</v>
      </c>
      <c r="BP569" t="e">
        <f>AND(#REF!,"AAAAAH9tvkM=")</f>
        <v>#REF!</v>
      </c>
      <c r="BQ569" t="e">
        <f>AND(#REF!,"AAAAAH9tvkQ=")</f>
        <v>#REF!</v>
      </c>
      <c r="BR569" t="e">
        <f>AND(#REF!,"AAAAAH9tvkU=")</f>
        <v>#REF!</v>
      </c>
      <c r="BS569" t="e">
        <f>IF(#REF!,"AAAAAH9tvkY=",0)</f>
        <v>#REF!</v>
      </c>
      <c r="BT569" t="e">
        <f>AND(#REF!,"AAAAAH9tvkc=")</f>
        <v>#REF!</v>
      </c>
      <c r="BU569" t="e">
        <f>AND(#REF!,"AAAAAH9tvkg=")</f>
        <v>#REF!</v>
      </c>
      <c r="BV569" t="e">
        <f>AND(#REF!,"AAAAAH9tvkk=")</f>
        <v>#REF!</v>
      </c>
      <c r="BW569" t="e">
        <f>AND(#REF!,"AAAAAH9tvko=")</f>
        <v>#REF!</v>
      </c>
      <c r="BX569" t="e">
        <f>AND(#REF!,"AAAAAH9tvks=")</f>
        <v>#REF!</v>
      </c>
      <c r="BY569" t="e">
        <f>AND(#REF!,"AAAAAH9tvkw=")</f>
        <v>#REF!</v>
      </c>
      <c r="BZ569" t="e">
        <f>AND(#REF!,"AAAAAH9tvk0=")</f>
        <v>#REF!</v>
      </c>
      <c r="CA569" t="e">
        <f>AND(#REF!,"AAAAAH9tvk4=")</f>
        <v>#REF!</v>
      </c>
      <c r="CB569" t="e">
        <f>AND(#REF!,"AAAAAH9tvk8=")</f>
        <v>#REF!</v>
      </c>
      <c r="CC569" t="e">
        <f>AND(#REF!,"AAAAAH9tvlA=")</f>
        <v>#REF!</v>
      </c>
      <c r="CD569" t="e">
        <f>IF(#REF!,"AAAAAH9tvlE=",0)</f>
        <v>#REF!</v>
      </c>
      <c r="CE569" t="e">
        <f>AND(#REF!,"AAAAAH9tvlI=")</f>
        <v>#REF!</v>
      </c>
      <c r="CF569" t="e">
        <f>AND(#REF!,"AAAAAH9tvlM=")</f>
        <v>#REF!</v>
      </c>
      <c r="CG569" t="e">
        <f>AND(#REF!,"AAAAAH9tvlQ=")</f>
        <v>#REF!</v>
      </c>
      <c r="CH569" t="e">
        <f>AND(#REF!,"AAAAAH9tvlU=")</f>
        <v>#REF!</v>
      </c>
      <c r="CI569" t="e">
        <f>AND(#REF!,"AAAAAH9tvlY=")</f>
        <v>#REF!</v>
      </c>
      <c r="CJ569" t="e">
        <f>AND(#REF!,"AAAAAH9tvlc=")</f>
        <v>#REF!</v>
      </c>
      <c r="CK569" t="e">
        <f>AND(#REF!,"AAAAAH9tvlg=")</f>
        <v>#REF!</v>
      </c>
      <c r="CL569" t="e">
        <f>AND(#REF!,"AAAAAH9tvlk=")</f>
        <v>#REF!</v>
      </c>
      <c r="CM569" t="e">
        <f>AND(#REF!,"AAAAAH9tvlo=")</f>
        <v>#REF!</v>
      </c>
      <c r="CN569" t="e">
        <f>AND(#REF!,"AAAAAH9tvls=")</f>
        <v>#REF!</v>
      </c>
      <c r="CO569" t="e">
        <f>IF(#REF!,"AAAAAH9tvlw=",0)</f>
        <v>#REF!</v>
      </c>
      <c r="CP569" t="e">
        <f>AND(#REF!,"AAAAAH9tvl0=")</f>
        <v>#REF!</v>
      </c>
      <c r="CQ569" t="e">
        <f>AND(#REF!,"AAAAAH9tvl4=")</f>
        <v>#REF!</v>
      </c>
      <c r="CR569" t="e">
        <f>AND(#REF!,"AAAAAH9tvl8=")</f>
        <v>#REF!</v>
      </c>
      <c r="CS569" t="e">
        <f>AND(#REF!,"AAAAAH9tvmA=")</f>
        <v>#REF!</v>
      </c>
      <c r="CT569" t="e">
        <f>AND(#REF!,"AAAAAH9tvmE=")</f>
        <v>#REF!</v>
      </c>
      <c r="CU569" t="e">
        <f>AND(#REF!,"AAAAAH9tvmI=")</f>
        <v>#REF!</v>
      </c>
      <c r="CV569" t="e">
        <f>AND(#REF!,"AAAAAH9tvmM=")</f>
        <v>#REF!</v>
      </c>
      <c r="CW569" t="e">
        <f>AND(#REF!,"AAAAAH9tvmQ=")</f>
        <v>#REF!</v>
      </c>
      <c r="CX569" t="e">
        <f>AND(#REF!,"AAAAAH9tvmU=")</f>
        <v>#REF!</v>
      </c>
      <c r="CY569" t="e">
        <f>AND(#REF!,"AAAAAH9tvmY=")</f>
        <v>#REF!</v>
      </c>
      <c r="CZ569" t="e">
        <f>IF(#REF!,"AAAAAH9tvmc=",0)</f>
        <v>#REF!</v>
      </c>
      <c r="DA569" t="e">
        <f>AND(#REF!,"AAAAAH9tvmg=")</f>
        <v>#REF!</v>
      </c>
      <c r="DB569" t="e">
        <f>AND(#REF!,"AAAAAH9tvmk=")</f>
        <v>#REF!</v>
      </c>
      <c r="DC569" t="e">
        <f>AND(#REF!,"AAAAAH9tvmo=")</f>
        <v>#REF!</v>
      </c>
      <c r="DD569" t="e">
        <f>AND(#REF!,"AAAAAH9tvms=")</f>
        <v>#REF!</v>
      </c>
      <c r="DE569" t="e">
        <f>AND(#REF!,"AAAAAH9tvmw=")</f>
        <v>#REF!</v>
      </c>
      <c r="DF569" t="e">
        <f>AND(#REF!,"AAAAAH9tvm0=")</f>
        <v>#REF!</v>
      </c>
      <c r="DG569" t="e">
        <f>AND(#REF!,"AAAAAH9tvm4=")</f>
        <v>#REF!</v>
      </c>
      <c r="DH569" t="e">
        <f>AND(#REF!,"AAAAAH9tvm8=")</f>
        <v>#REF!</v>
      </c>
      <c r="DI569" t="e">
        <f>AND(#REF!,"AAAAAH9tvnA=")</f>
        <v>#REF!</v>
      </c>
      <c r="DJ569" t="e">
        <f>AND(#REF!,"AAAAAH9tvnE=")</f>
        <v>#REF!</v>
      </c>
      <c r="DK569" t="e">
        <f>IF(#REF!,"AAAAAH9tvnI=",0)</f>
        <v>#REF!</v>
      </c>
      <c r="DL569" t="e">
        <f>AND(#REF!,"AAAAAH9tvnM=")</f>
        <v>#REF!</v>
      </c>
      <c r="DM569" t="e">
        <f>AND(#REF!,"AAAAAH9tvnQ=")</f>
        <v>#REF!</v>
      </c>
      <c r="DN569" t="e">
        <f>AND(#REF!,"AAAAAH9tvnU=")</f>
        <v>#REF!</v>
      </c>
      <c r="DO569" t="e">
        <f>AND(#REF!,"AAAAAH9tvnY=")</f>
        <v>#REF!</v>
      </c>
      <c r="DP569" t="e">
        <f>AND(#REF!,"AAAAAH9tvnc=")</f>
        <v>#REF!</v>
      </c>
      <c r="DQ569" t="e">
        <f>AND(#REF!,"AAAAAH9tvng=")</f>
        <v>#REF!</v>
      </c>
      <c r="DR569" t="e">
        <f>AND(#REF!,"AAAAAH9tvnk=")</f>
        <v>#REF!</v>
      </c>
      <c r="DS569" t="e">
        <f>AND(#REF!,"AAAAAH9tvno=")</f>
        <v>#REF!</v>
      </c>
      <c r="DT569" t="e">
        <f>AND(#REF!,"AAAAAH9tvns=")</f>
        <v>#REF!</v>
      </c>
      <c r="DU569" t="e">
        <f>AND(#REF!,"AAAAAH9tvnw=")</f>
        <v>#REF!</v>
      </c>
      <c r="DV569" t="e">
        <f>IF(#REF!,"AAAAAH9tvn0=",0)</f>
        <v>#REF!</v>
      </c>
      <c r="DW569" t="e">
        <f>AND(#REF!,"AAAAAH9tvn4=")</f>
        <v>#REF!</v>
      </c>
      <c r="DX569" t="e">
        <f>AND(#REF!,"AAAAAH9tvn8=")</f>
        <v>#REF!</v>
      </c>
      <c r="DY569" t="e">
        <f>AND(#REF!,"AAAAAH9tvoA=")</f>
        <v>#REF!</v>
      </c>
      <c r="DZ569" t="e">
        <f>AND(#REF!,"AAAAAH9tvoE=")</f>
        <v>#REF!</v>
      </c>
      <c r="EA569" t="e">
        <f>AND(#REF!,"AAAAAH9tvoI=")</f>
        <v>#REF!</v>
      </c>
      <c r="EB569" t="e">
        <f>AND(#REF!,"AAAAAH9tvoM=")</f>
        <v>#REF!</v>
      </c>
      <c r="EC569" t="e">
        <f>AND(#REF!,"AAAAAH9tvoQ=")</f>
        <v>#REF!</v>
      </c>
      <c r="ED569" t="e">
        <f>AND(#REF!,"AAAAAH9tvoU=")</f>
        <v>#REF!</v>
      </c>
      <c r="EE569" t="e">
        <f>AND(#REF!,"AAAAAH9tvoY=")</f>
        <v>#REF!</v>
      </c>
      <c r="EF569" t="e">
        <f>AND(#REF!,"AAAAAH9tvoc=")</f>
        <v>#REF!</v>
      </c>
      <c r="EG569" t="e">
        <f>IF(#REF!,"AAAAAH9tvog=",0)</f>
        <v>#REF!</v>
      </c>
      <c r="EH569" t="e">
        <f>AND(#REF!,"AAAAAH9tvok=")</f>
        <v>#REF!</v>
      </c>
      <c r="EI569" t="e">
        <f>AND(#REF!,"AAAAAH9tvoo=")</f>
        <v>#REF!</v>
      </c>
      <c r="EJ569" t="e">
        <f>AND(#REF!,"AAAAAH9tvos=")</f>
        <v>#REF!</v>
      </c>
      <c r="EK569" t="e">
        <f>AND(#REF!,"AAAAAH9tvow=")</f>
        <v>#REF!</v>
      </c>
      <c r="EL569" t="e">
        <f>AND(#REF!,"AAAAAH9tvo0=")</f>
        <v>#REF!</v>
      </c>
      <c r="EM569" t="e">
        <f>AND(#REF!,"AAAAAH9tvo4=")</f>
        <v>#REF!</v>
      </c>
      <c r="EN569" t="e">
        <f>AND(#REF!,"AAAAAH9tvo8=")</f>
        <v>#REF!</v>
      </c>
      <c r="EO569" t="e">
        <f>AND(#REF!,"AAAAAH9tvpA=")</f>
        <v>#REF!</v>
      </c>
      <c r="EP569" t="e">
        <f>AND(#REF!,"AAAAAH9tvpE=")</f>
        <v>#REF!</v>
      </c>
      <c r="EQ569" t="e">
        <f>AND(#REF!,"AAAAAH9tvpI=")</f>
        <v>#REF!</v>
      </c>
      <c r="ER569" t="e">
        <f>IF(#REF!,"AAAAAH9tvpM=",0)</f>
        <v>#REF!</v>
      </c>
      <c r="ES569" t="e">
        <f>AND(#REF!,"AAAAAH9tvpQ=")</f>
        <v>#REF!</v>
      </c>
      <c r="ET569" t="e">
        <f>AND(#REF!,"AAAAAH9tvpU=")</f>
        <v>#REF!</v>
      </c>
      <c r="EU569" t="e">
        <f>AND(#REF!,"AAAAAH9tvpY=")</f>
        <v>#REF!</v>
      </c>
      <c r="EV569" t="e">
        <f>AND(#REF!,"AAAAAH9tvpc=")</f>
        <v>#REF!</v>
      </c>
      <c r="EW569" t="e">
        <f>AND(#REF!,"AAAAAH9tvpg=")</f>
        <v>#REF!</v>
      </c>
      <c r="EX569" t="e">
        <f>AND(#REF!,"AAAAAH9tvpk=")</f>
        <v>#REF!</v>
      </c>
      <c r="EY569" t="e">
        <f>AND(#REF!,"AAAAAH9tvpo=")</f>
        <v>#REF!</v>
      </c>
      <c r="EZ569" t="e">
        <f>AND(#REF!,"AAAAAH9tvps=")</f>
        <v>#REF!</v>
      </c>
      <c r="FA569" t="e">
        <f>AND(#REF!,"AAAAAH9tvpw=")</f>
        <v>#REF!</v>
      </c>
      <c r="FB569" t="e">
        <f>AND(#REF!,"AAAAAH9tvp0=")</f>
        <v>#REF!</v>
      </c>
      <c r="FC569" t="e">
        <f>IF(#REF!,"AAAAAH9tvp4=",0)</f>
        <v>#REF!</v>
      </c>
      <c r="FD569" t="e">
        <f>AND(#REF!,"AAAAAH9tvp8=")</f>
        <v>#REF!</v>
      </c>
      <c r="FE569" t="e">
        <f>AND(#REF!,"AAAAAH9tvqA=")</f>
        <v>#REF!</v>
      </c>
      <c r="FF569" t="e">
        <f>AND(#REF!,"AAAAAH9tvqE=")</f>
        <v>#REF!</v>
      </c>
      <c r="FG569" t="e">
        <f>AND(#REF!,"AAAAAH9tvqI=")</f>
        <v>#REF!</v>
      </c>
      <c r="FH569" t="e">
        <f>AND(#REF!,"AAAAAH9tvqM=")</f>
        <v>#REF!</v>
      </c>
      <c r="FI569" t="e">
        <f>AND(#REF!,"AAAAAH9tvqQ=")</f>
        <v>#REF!</v>
      </c>
      <c r="FJ569" t="e">
        <f>AND(#REF!,"AAAAAH9tvqU=")</f>
        <v>#REF!</v>
      </c>
      <c r="FK569" t="e">
        <f>AND(#REF!,"AAAAAH9tvqY=")</f>
        <v>#REF!</v>
      </c>
      <c r="FL569" t="e">
        <f>AND(#REF!,"AAAAAH9tvqc=")</f>
        <v>#REF!</v>
      </c>
      <c r="FM569" t="e">
        <f>AND(#REF!,"AAAAAH9tvqg=")</f>
        <v>#REF!</v>
      </c>
      <c r="FN569" t="e">
        <f>IF(#REF!,"AAAAAH9tvqk=",0)</f>
        <v>#REF!</v>
      </c>
      <c r="FO569" t="e">
        <f>AND(#REF!,"AAAAAH9tvqo=")</f>
        <v>#REF!</v>
      </c>
      <c r="FP569" t="e">
        <f>AND(#REF!,"AAAAAH9tvqs=")</f>
        <v>#REF!</v>
      </c>
      <c r="FQ569" t="e">
        <f>AND(#REF!,"AAAAAH9tvqw=")</f>
        <v>#REF!</v>
      </c>
      <c r="FR569" t="e">
        <f>AND(#REF!,"AAAAAH9tvq0=")</f>
        <v>#REF!</v>
      </c>
      <c r="FS569" t="e">
        <f>AND(#REF!,"AAAAAH9tvq4=")</f>
        <v>#REF!</v>
      </c>
      <c r="FT569" t="e">
        <f>AND(#REF!,"AAAAAH9tvq8=")</f>
        <v>#REF!</v>
      </c>
      <c r="FU569" t="e">
        <f>AND(#REF!,"AAAAAH9tvrA=")</f>
        <v>#REF!</v>
      </c>
      <c r="FV569" t="e">
        <f>AND(#REF!,"AAAAAH9tvrE=")</f>
        <v>#REF!</v>
      </c>
      <c r="FW569" t="e">
        <f>AND(#REF!,"AAAAAH9tvrI=")</f>
        <v>#REF!</v>
      </c>
      <c r="FX569" t="e">
        <f>AND(#REF!,"AAAAAH9tvrM=")</f>
        <v>#REF!</v>
      </c>
      <c r="FY569" t="e">
        <f>IF(#REF!,"AAAAAH9tvrQ=",0)</f>
        <v>#REF!</v>
      </c>
      <c r="FZ569" t="e">
        <f>AND(#REF!,"AAAAAH9tvrU=")</f>
        <v>#REF!</v>
      </c>
      <c r="GA569" t="e">
        <f>AND(#REF!,"AAAAAH9tvrY=")</f>
        <v>#REF!</v>
      </c>
      <c r="GB569" t="e">
        <f>AND(#REF!,"AAAAAH9tvrc=")</f>
        <v>#REF!</v>
      </c>
      <c r="GC569" t="e">
        <f>AND(#REF!,"AAAAAH9tvrg=")</f>
        <v>#REF!</v>
      </c>
      <c r="GD569" t="e">
        <f>AND(#REF!,"AAAAAH9tvrk=")</f>
        <v>#REF!</v>
      </c>
      <c r="GE569" t="e">
        <f>AND(#REF!,"AAAAAH9tvro=")</f>
        <v>#REF!</v>
      </c>
      <c r="GF569" t="e">
        <f>AND(#REF!,"AAAAAH9tvrs=")</f>
        <v>#REF!</v>
      </c>
      <c r="GG569" t="e">
        <f>AND(#REF!,"AAAAAH9tvrw=")</f>
        <v>#REF!</v>
      </c>
      <c r="GH569" t="e">
        <f>AND(#REF!,"AAAAAH9tvr0=")</f>
        <v>#REF!</v>
      </c>
      <c r="GI569" t="e">
        <f>AND(#REF!,"AAAAAH9tvr4=")</f>
        <v>#REF!</v>
      </c>
      <c r="GJ569" t="e">
        <f>IF(#REF!,"AAAAAH9tvr8=",0)</f>
        <v>#REF!</v>
      </c>
      <c r="GK569" t="e">
        <f>AND(#REF!,"AAAAAH9tvsA=")</f>
        <v>#REF!</v>
      </c>
      <c r="GL569" t="e">
        <f>AND(#REF!,"AAAAAH9tvsE=")</f>
        <v>#REF!</v>
      </c>
      <c r="GM569" t="e">
        <f>AND(#REF!,"AAAAAH9tvsI=")</f>
        <v>#REF!</v>
      </c>
      <c r="GN569" t="e">
        <f>AND(#REF!,"AAAAAH9tvsM=")</f>
        <v>#REF!</v>
      </c>
      <c r="GO569" t="e">
        <f>AND(#REF!,"AAAAAH9tvsQ=")</f>
        <v>#REF!</v>
      </c>
      <c r="GP569" t="e">
        <f>AND(#REF!,"AAAAAH9tvsU=")</f>
        <v>#REF!</v>
      </c>
      <c r="GQ569" t="e">
        <f>AND(#REF!,"AAAAAH9tvsY=")</f>
        <v>#REF!</v>
      </c>
      <c r="GR569" t="e">
        <f>AND(#REF!,"AAAAAH9tvsc=")</f>
        <v>#REF!</v>
      </c>
      <c r="GS569" t="e">
        <f>AND(#REF!,"AAAAAH9tvsg=")</f>
        <v>#REF!</v>
      </c>
      <c r="GT569" t="e">
        <f>AND(#REF!,"AAAAAH9tvsk=")</f>
        <v>#REF!</v>
      </c>
      <c r="GU569" t="e">
        <f>IF(#REF!,"AAAAAH9tvso=",0)</f>
        <v>#REF!</v>
      </c>
      <c r="GV569" t="e">
        <f>AND(#REF!,"AAAAAH9tvss=")</f>
        <v>#REF!</v>
      </c>
      <c r="GW569" t="e">
        <f>AND(#REF!,"AAAAAH9tvsw=")</f>
        <v>#REF!</v>
      </c>
      <c r="GX569" t="e">
        <f>AND(#REF!,"AAAAAH9tvs0=")</f>
        <v>#REF!</v>
      </c>
      <c r="GY569" t="e">
        <f>AND(#REF!,"AAAAAH9tvs4=")</f>
        <v>#REF!</v>
      </c>
      <c r="GZ569" t="e">
        <f>AND(#REF!,"AAAAAH9tvs8=")</f>
        <v>#REF!</v>
      </c>
      <c r="HA569" t="e">
        <f>AND(#REF!,"AAAAAH9tvtA=")</f>
        <v>#REF!</v>
      </c>
      <c r="HB569" t="e">
        <f>AND(#REF!,"AAAAAH9tvtE=")</f>
        <v>#REF!</v>
      </c>
      <c r="HC569" t="e">
        <f>AND(#REF!,"AAAAAH9tvtI=")</f>
        <v>#REF!</v>
      </c>
      <c r="HD569" t="e">
        <f>AND(#REF!,"AAAAAH9tvtM=")</f>
        <v>#REF!</v>
      </c>
      <c r="HE569" t="e">
        <f>AND(#REF!,"AAAAAH9tvtQ=")</f>
        <v>#REF!</v>
      </c>
      <c r="HF569" t="e">
        <f>IF(#REF!,"AAAAAH9tvtU=",0)</f>
        <v>#REF!</v>
      </c>
      <c r="HG569" t="e">
        <f>AND(#REF!,"AAAAAH9tvtY=")</f>
        <v>#REF!</v>
      </c>
      <c r="HH569" t="e">
        <f>AND(#REF!,"AAAAAH9tvtc=")</f>
        <v>#REF!</v>
      </c>
      <c r="HI569" t="e">
        <f>AND(#REF!,"AAAAAH9tvtg=")</f>
        <v>#REF!</v>
      </c>
      <c r="HJ569" t="e">
        <f>AND(#REF!,"AAAAAH9tvtk=")</f>
        <v>#REF!</v>
      </c>
      <c r="HK569" t="e">
        <f>AND(#REF!,"AAAAAH9tvto=")</f>
        <v>#REF!</v>
      </c>
      <c r="HL569" t="e">
        <f>AND(#REF!,"AAAAAH9tvts=")</f>
        <v>#REF!</v>
      </c>
      <c r="HM569" t="e">
        <f>AND(#REF!,"AAAAAH9tvtw=")</f>
        <v>#REF!</v>
      </c>
      <c r="HN569" t="e">
        <f>AND(#REF!,"AAAAAH9tvt0=")</f>
        <v>#REF!</v>
      </c>
      <c r="HO569" t="e">
        <f>AND(#REF!,"AAAAAH9tvt4=")</f>
        <v>#REF!</v>
      </c>
      <c r="HP569" t="e">
        <f>AND(#REF!,"AAAAAH9tvt8=")</f>
        <v>#REF!</v>
      </c>
      <c r="HQ569" t="e">
        <f>IF(#REF!,"AAAAAH9tvuA=",0)</f>
        <v>#REF!</v>
      </c>
      <c r="HR569" t="e">
        <f>AND(#REF!,"AAAAAH9tvuE=")</f>
        <v>#REF!</v>
      </c>
      <c r="HS569" t="e">
        <f>AND(#REF!,"AAAAAH9tvuI=")</f>
        <v>#REF!</v>
      </c>
      <c r="HT569" t="e">
        <f>AND(#REF!,"AAAAAH9tvuM=")</f>
        <v>#REF!</v>
      </c>
      <c r="HU569" t="e">
        <f>AND(#REF!,"AAAAAH9tvuQ=")</f>
        <v>#REF!</v>
      </c>
      <c r="HV569" t="e">
        <f>AND(#REF!,"AAAAAH9tvuU=")</f>
        <v>#REF!</v>
      </c>
      <c r="HW569" t="e">
        <f>AND(#REF!,"AAAAAH9tvuY=")</f>
        <v>#REF!</v>
      </c>
      <c r="HX569" t="e">
        <f>AND(#REF!,"AAAAAH9tvuc=")</f>
        <v>#REF!</v>
      </c>
      <c r="HY569" t="e">
        <f>AND(#REF!,"AAAAAH9tvug=")</f>
        <v>#REF!</v>
      </c>
      <c r="HZ569" t="e">
        <f>AND(#REF!,"AAAAAH9tvuk=")</f>
        <v>#REF!</v>
      </c>
      <c r="IA569" t="e">
        <f>AND(#REF!,"AAAAAH9tvuo=")</f>
        <v>#REF!</v>
      </c>
      <c r="IB569" t="e">
        <f>IF(#REF!,"AAAAAH9tvus=",0)</f>
        <v>#REF!</v>
      </c>
      <c r="IC569" t="e">
        <f>AND(#REF!,"AAAAAH9tvuw=")</f>
        <v>#REF!</v>
      </c>
      <c r="ID569" t="e">
        <f>AND(#REF!,"AAAAAH9tvu0=")</f>
        <v>#REF!</v>
      </c>
      <c r="IE569" t="e">
        <f>AND(#REF!,"AAAAAH9tvu4=")</f>
        <v>#REF!</v>
      </c>
      <c r="IF569" t="e">
        <f>AND(#REF!,"AAAAAH9tvu8=")</f>
        <v>#REF!</v>
      </c>
      <c r="IG569" t="e">
        <f>AND(#REF!,"AAAAAH9tvvA=")</f>
        <v>#REF!</v>
      </c>
      <c r="IH569" t="e">
        <f>AND(#REF!,"AAAAAH9tvvE=")</f>
        <v>#REF!</v>
      </c>
      <c r="II569" t="e">
        <f>AND(#REF!,"AAAAAH9tvvI=")</f>
        <v>#REF!</v>
      </c>
      <c r="IJ569" t="e">
        <f>AND(#REF!,"AAAAAH9tvvM=")</f>
        <v>#REF!</v>
      </c>
      <c r="IK569" t="e">
        <f>AND(#REF!,"AAAAAH9tvvQ=")</f>
        <v>#REF!</v>
      </c>
      <c r="IL569" t="e">
        <f>AND(#REF!,"AAAAAH9tvvU=")</f>
        <v>#REF!</v>
      </c>
      <c r="IM569" t="e">
        <f>IF(#REF!,"AAAAAH9tvvY=",0)</f>
        <v>#REF!</v>
      </c>
      <c r="IN569" t="e">
        <f>AND(#REF!,"AAAAAH9tvvc=")</f>
        <v>#REF!</v>
      </c>
      <c r="IO569" t="e">
        <f>AND(#REF!,"AAAAAH9tvvg=")</f>
        <v>#REF!</v>
      </c>
      <c r="IP569" t="e">
        <f>AND(#REF!,"AAAAAH9tvvk=")</f>
        <v>#REF!</v>
      </c>
      <c r="IQ569" t="e">
        <f>AND(#REF!,"AAAAAH9tvvo=")</f>
        <v>#REF!</v>
      </c>
      <c r="IR569" t="e">
        <f>AND(#REF!,"AAAAAH9tvvs=")</f>
        <v>#REF!</v>
      </c>
      <c r="IS569" t="e">
        <f>AND(#REF!,"AAAAAH9tvvw=")</f>
        <v>#REF!</v>
      </c>
      <c r="IT569" t="e">
        <f>AND(#REF!,"AAAAAH9tvv0=")</f>
        <v>#REF!</v>
      </c>
      <c r="IU569" t="e">
        <f>AND(#REF!,"AAAAAH9tvv4=")</f>
        <v>#REF!</v>
      </c>
      <c r="IV569" t="e">
        <f>AND(#REF!,"AAAAAH9tvv8=")</f>
        <v>#REF!</v>
      </c>
    </row>
    <row r="570" spans="1:256" x14ac:dyDescent="0.25">
      <c r="A570" t="e">
        <f>AND(#REF!,"AAAAAG9SPwA=")</f>
        <v>#REF!</v>
      </c>
      <c r="B570" t="e">
        <f>IF(#REF!,"AAAAAG9SPwE=",0)</f>
        <v>#REF!</v>
      </c>
      <c r="C570" t="e">
        <f>AND(#REF!,"AAAAAG9SPwI=")</f>
        <v>#REF!</v>
      </c>
      <c r="D570" t="e">
        <f>AND(#REF!,"AAAAAG9SPwM=")</f>
        <v>#REF!</v>
      </c>
      <c r="E570" t="e">
        <f>AND(#REF!,"AAAAAG9SPwQ=")</f>
        <v>#REF!</v>
      </c>
      <c r="F570" t="e">
        <f>AND(#REF!,"AAAAAG9SPwU=")</f>
        <v>#REF!</v>
      </c>
      <c r="G570" t="e">
        <f>AND(#REF!,"AAAAAG9SPwY=")</f>
        <v>#REF!</v>
      </c>
      <c r="H570" t="e">
        <f>AND(#REF!,"AAAAAG9SPwc=")</f>
        <v>#REF!</v>
      </c>
      <c r="I570" t="e">
        <f>AND(#REF!,"AAAAAG9SPwg=")</f>
        <v>#REF!</v>
      </c>
      <c r="J570" t="e">
        <f>AND(#REF!,"AAAAAG9SPwk=")</f>
        <v>#REF!</v>
      </c>
      <c r="K570" t="e">
        <f>AND(#REF!,"AAAAAG9SPwo=")</f>
        <v>#REF!</v>
      </c>
      <c r="L570" t="e">
        <f>AND(#REF!,"AAAAAG9SPws=")</f>
        <v>#REF!</v>
      </c>
      <c r="M570" t="e">
        <f>IF(#REF!,"AAAAAG9SPww=",0)</f>
        <v>#REF!</v>
      </c>
      <c r="N570" t="e">
        <f>AND(#REF!,"AAAAAG9SPw0=")</f>
        <v>#REF!</v>
      </c>
      <c r="O570" t="e">
        <f>AND(#REF!,"AAAAAG9SPw4=")</f>
        <v>#REF!</v>
      </c>
      <c r="P570" t="e">
        <f>AND(#REF!,"AAAAAG9SPw8=")</f>
        <v>#REF!</v>
      </c>
      <c r="Q570" t="e">
        <f>AND(#REF!,"AAAAAG9SPxA=")</f>
        <v>#REF!</v>
      </c>
      <c r="R570" t="e">
        <f>AND(#REF!,"AAAAAG9SPxE=")</f>
        <v>#REF!</v>
      </c>
      <c r="S570" t="e">
        <f>AND(#REF!,"AAAAAG9SPxI=")</f>
        <v>#REF!</v>
      </c>
      <c r="T570" t="e">
        <f>AND(#REF!,"AAAAAG9SPxM=")</f>
        <v>#REF!</v>
      </c>
      <c r="U570" t="e">
        <f>AND(#REF!,"AAAAAG9SPxQ=")</f>
        <v>#REF!</v>
      </c>
      <c r="V570" t="e">
        <f>AND(#REF!,"AAAAAG9SPxU=")</f>
        <v>#REF!</v>
      </c>
      <c r="W570" t="e">
        <f>AND(#REF!,"AAAAAG9SPxY=")</f>
        <v>#REF!</v>
      </c>
      <c r="X570" t="e">
        <f>IF(#REF!,"AAAAAG9SPxc=",0)</f>
        <v>#REF!</v>
      </c>
      <c r="Y570" t="e">
        <f>AND(#REF!,"AAAAAG9SPxg=")</f>
        <v>#REF!</v>
      </c>
      <c r="Z570" t="e">
        <f>AND(#REF!,"AAAAAG9SPxk=")</f>
        <v>#REF!</v>
      </c>
      <c r="AA570" t="e">
        <f>AND(#REF!,"AAAAAG9SPxo=")</f>
        <v>#REF!</v>
      </c>
      <c r="AB570" t="e">
        <f>AND(#REF!,"AAAAAG9SPxs=")</f>
        <v>#REF!</v>
      </c>
      <c r="AC570" t="e">
        <f>AND(#REF!,"AAAAAG9SPxw=")</f>
        <v>#REF!</v>
      </c>
      <c r="AD570" t="e">
        <f>AND(#REF!,"AAAAAG9SPx0=")</f>
        <v>#REF!</v>
      </c>
      <c r="AE570" t="e">
        <f>AND(#REF!,"AAAAAG9SPx4=")</f>
        <v>#REF!</v>
      </c>
      <c r="AF570" t="e">
        <f>AND(#REF!,"AAAAAG9SPx8=")</f>
        <v>#REF!</v>
      </c>
      <c r="AG570" t="e">
        <f>AND(#REF!,"AAAAAG9SPyA=")</f>
        <v>#REF!</v>
      </c>
      <c r="AH570" t="e">
        <f>AND(#REF!,"AAAAAG9SPyE=")</f>
        <v>#REF!</v>
      </c>
      <c r="AI570" t="e">
        <f>IF(#REF!,"AAAAAG9SPyI=",0)</f>
        <v>#REF!</v>
      </c>
      <c r="AJ570" t="e">
        <f>AND(#REF!,"AAAAAG9SPyM=")</f>
        <v>#REF!</v>
      </c>
      <c r="AK570" t="e">
        <f>AND(#REF!,"AAAAAG9SPyQ=")</f>
        <v>#REF!</v>
      </c>
      <c r="AL570" t="e">
        <f>AND(#REF!,"AAAAAG9SPyU=")</f>
        <v>#REF!</v>
      </c>
      <c r="AM570" t="e">
        <f>AND(#REF!,"AAAAAG9SPyY=")</f>
        <v>#REF!</v>
      </c>
      <c r="AN570" t="e">
        <f>AND(#REF!,"AAAAAG9SPyc=")</f>
        <v>#REF!</v>
      </c>
      <c r="AO570" t="e">
        <f>AND(#REF!,"AAAAAG9SPyg=")</f>
        <v>#REF!</v>
      </c>
      <c r="AP570" t="e">
        <f>AND(#REF!,"AAAAAG9SPyk=")</f>
        <v>#REF!</v>
      </c>
      <c r="AQ570" t="e">
        <f>AND(#REF!,"AAAAAG9SPyo=")</f>
        <v>#REF!</v>
      </c>
      <c r="AR570" t="e">
        <f>AND(#REF!,"AAAAAG9SPys=")</f>
        <v>#REF!</v>
      </c>
      <c r="AS570" t="e">
        <f>AND(#REF!,"AAAAAG9SPyw=")</f>
        <v>#REF!</v>
      </c>
      <c r="AT570" t="e">
        <f>IF(#REF!,"AAAAAG9SPy0=",0)</f>
        <v>#REF!</v>
      </c>
      <c r="AU570" t="e">
        <f>AND(#REF!,"AAAAAG9SPy4=")</f>
        <v>#REF!</v>
      </c>
      <c r="AV570" t="e">
        <f>AND(#REF!,"AAAAAG9SPy8=")</f>
        <v>#REF!</v>
      </c>
      <c r="AW570" t="e">
        <f>AND(#REF!,"AAAAAG9SPzA=")</f>
        <v>#REF!</v>
      </c>
      <c r="AX570" t="e">
        <f>AND(#REF!,"AAAAAG9SPzE=")</f>
        <v>#REF!</v>
      </c>
      <c r="AY570" t="e">
        <f>AND(#REF!,"AAAAAG9SPzI=")</f>
        <v>#REF!</v>
      </c>
      <c r="AZ570" t="e">
        <f>AND(#REF!,"AAAAAG9SPzM=")</f>
        <v>#REF!</v>
      </c>
      <c r="BA570" t="e">
        <f>AND(#REF!,"AAAAAG9SPzQ=")</f>
        <v>#REF!</v>
      </c>
      <c r="BB570" t="e">
        <f>AND(#REF!,"AAAAAG9SPzU=")</f>
        <v>#REF!</v>
      </c>
      <c r="BC570" t="e">
        <f>AND(#REF!,"AAAAAG9SPzY=")</f>
        <v>#REF!</v>
      </c>
      <c r="BD570" t="e">
        <f>AND(#REF!,"AAAAAG9SPzc=")</f>
        <v>#REF!</v>
      </c>
      <c r="BE570" t="e">
        <f>IF(#REF!,"AAAAAG9SPzg=",0)</f>
        <v>#REF!</v>
      </c>
      <c r="BF570" t="e">
        <f>AND(#REF!,"AAAAAG9SPzk=")</f>
        <v>#REF!</v>
      </c>
      <c r="BG570" t="e">
        <f>AND(#REF!,"AAAAAG9SPzo=")</f>
        <v>#REF!</v>
      </c>
      <c r="BH570" t="e">
        <f>AND(#REF!,"AAAAAG9SPzs=")</f>
        <v>#REF!</v>
      </c>
      <c r="BI570" t="e">
        <f>AND(#REF!,"AAAAAG9SPzw=")</f>
        <v>#REF!</v>
      </c>
      <c r="BJ570" t="e">
        <f>AND(#REF!,"AAAAAG9SPz0=")</f>
        <v>#REF!</v>
      </c>
      <c r="BK570" t="e">
        <f>AND(#REF!,"AAAAAG9SPz4=")</f>
        <v>#REF!</v>
      </c>
      <c r="BL570" t="e">
        <f>AND(#REF!,"AAAAAG9SPz8=")</f>
        <v>#REF!</v>
      </c>
      <c r="BM570" t="e">
        <f>AND(#REF!,"AAAAAG9SP0A=")</f>
        <v>#REF!</v>
      </c>
      <c r="BN570" t="e">
        <f>AND(#REF!,"AAAAAG9SP0E=")</f>
        <v>#REF!</v>
      </c>
      <c r="BO570" t="e">
        <f>AND(#REF!,"AAAAAG9SP0I=")</f>
        <v>#REF!</v>
      </c>
      <c r="BP570" t="e">
        <f>IF(#REF!,"AAAAAG9SP0M=",0)</f>
        <v>#REF!</v>
      </c>
      <c r="BQ570" t="e">
        <f>AND(#REF!,"AAAAAG9SP0Q=")</f>
        <v>#REF!</v>
      </c>
      <c r="BR570" t="e">
        <f>AND(#REF!,"AAAAAG9SP0U=")</f>
        <v>#REF!</v>
      </c>
      <c r="BS570" t="e">
        <f>AND(#REF!,"AAAAAG9SP0Y=")</f>
        <v>#REF!</v>
      </c>
      <c r="BT570" t="e">
        <f>AND(#REF!,"AAAAAG9SP0c=")</f>
        <v>#REF!</v>
      </c>
      <c r="BU570" t="e">
        <f>AND(#REF!,"AAAAAG9SP0g=")</f>
        <v>#REF!</v>
      </c>
      <c r="BV570" t="e">
        <f>AND(#REF!,"AAAAAG9SP0k=")</f>
        <v>#REF!</v>
      </c>
      <c r="BW570" t="e">
        <f>AND(#REF!,"AAAAAG9SP0o=")</f>
        <v>#REF!</v>
      </c>
      <c r="BX570" t="e">
        <f>AND(#REF!,"AAAAAG9SP0s=")</f>
        <v>#REF!</v>
      </c>
      <c r="BY570" t="e">
        <f>AND(#REF!,"AAAAAG9SP0w=")</f>
        <v>#REF!</v>
      </c>
      <c r="BZ570" t="e">
        <f>AND(#REF!,"AAAAAG9SP00=")</f>
        <v>#REF!</v>
      </c>
      <c r="CA570" t="e">
        <f>IF(#REF!,"AAAAAG9SP04=",0)</f>
        <v>#REF!</v>
      </c>
      <c r="CB570" t="e">
        <f>AND(#REF!,"AAAAAG9SP08=")</f>
        <v>#REF!</v>
      </c>
      <c r="CC570" t="e">
        <f>AND(#REF!,"AAAAAG9SP1A=")</f>
        <v>#REF!</v>
      </c>
      <c r="CD570" t="e">
        <f>AND(#REF!,"AAAAAG9SP1E=")</f>
        <v>#REF!</v>
      </c>
      <c r="CE570" t="e">
        <f>AND(#REF!,"AAAAAG9SP1I=")</f>
        <v>#REF!</v>
      </c>
      <c r="CF570" t="e">
        <f>AND(#REF!,"AAAAAG9SP1M=")</f>
        <v>#REF!</v>
      </c>
      <c r="CG570" t="e">
        <f>AND(#REF!,"AAAAAG9SP1Q=")</f>
        <v>#REF!</v>
      </c>
      <c r="CH570" t="e">
        <f>AND(#REF!,"AAAAAG9SP1U=")</f>
        <v>#REF!</v>
      </c>
      <c r="CI570" t="e">
        <f>AND(#REF!,"AAAAAG9SP1Y=")</f>
        <v>#REF!</v>
      </c>
      <c r="CJ570" t="e">
        <f>AND(#REF!,"AAAAAG9SP1c=")</f>
        <v>#REF!</v>
      </c>
      <c r="CK570" t="e">
        <f>AND(#REF!,"AAAAAG9SP1g=")</f>
        <v>#REF!</v>
      </c>
      <c r="CL570" t="e">
        <f>IF(#REF!,"AAAAAG9SP1k=",0)</f>
        <v>#REF!</v>
      </c>
      <c r="CM570" t="e">
        <f>AND(#REF!,"AAAAAG9SP1o=")</f>
        <v>#REF!</v>
      </c>
      <c r="CN570" t="e">
        <f>AND(#REF!,"AAAAAG9SP1s=")</f>
        <v>#REF!</v>
      </c>
      <c r="CO570" t="e">
        <f>AND(#REF!,"AAAAAG9SP1w=")</f>
        <v>#REF!</v>
      </c>
      <c r="CP570" t="e">
        <f>AND(#REF!,"AAAAAG9SP10=")</f>
        <v>#REF!</v>
      </c>
      <c r="CQ570" t="e">
        <f>AND(#REF!,"AAAAAG9SP14=")</f>
        <v>#REF!</v>
      </c>
      <c r="CR570" t="e">
        <f>AND(#REF!,"AAAAAG9SP18=")</f>
        <v>#REF!</v>
      </c>
      <c r="CS570" t="e">
        <f>AND(#REF!,"AAAAAG9SP2A=")</f>
        <v>#REF!</v>
      </c>
      <c r="CT570" t="e">
        <f>AND(#REF!,"AAAAAG9SP2E=")</f>
        <v>#REF!</v>
      </c>
      <c r="CU570" t="e">
        <f>AND(#REF!,"AAAAAG9SP2I=")</f>
        <v>#REF!</v>
      </c>
      <c r="CV570" t="e">
        <f>AND(#REF!,"AAAAAG9SP2M=")</f>
        <v>#REF!</v>
      </c>
      <c r="CW570" t="e">
        <f>IF(#REF!,"AAAAAG9SP2Q=",0)</f>
        <v>#REF!</v>
      </c>
      <c r="CX570" t="e">
        <f>AND(#REF!,"AAAAAG9SP2U=")</f>
        <v>#REF!</v>
      </c>
      <c r="CY570" t="e">
        <f>AND(#REF!,"AAAAAG9SP2Y=")</f>
        <v>#REF!</v>
      </c>
      <c r="CZ570" t="e">
        <f>AND(#REF!,"AAAAAG9SP2c=")</f>
        <v>#REF!</v>
      </c>
      <c r="DA570" t="e">
        <f>AND(#REF!,"AAAAAG9SP2g=")</f>
        <v>#REF!</v>
      </c>
      <c r="DB570" t="e">
        <f>AND(#REF!,"AAAAAG9SP2k=")</f>
        <v>#REF!</v>
      </c>
      <c r="DC570" t="e">
        <f>AND(#REF!,"AAAAAG9SP2o=")</f>
        <v>#REF!</v>
      </c>
      <c r="DD570" t="e">
        <f>AND(#REF!,"AAAAAG9SP2s=")</f>
        <v>#REF!</v>
      </c>
      <c r="DE570" t="e">
        <f>AND(#REF!,"AAAAAG9SP2w=")</f>
        <v>#REF!</v>
      </c>
      <c r="DF570" t="e">
        <f>AND(#REF!,"AAAAAG9SP20=")</f>
        <v>#REF!</v>
      </c>
      <c r="DG570" t="e">
        <f>AND(#REF!,"AAAAAG9SP24=")</f>
        <v>#REF!</v>
      </c>
      <c r="DH570" t="e">
        <f>IF(#REF!,"AAAAAG9SP28=",0)</f>
        <v>#REF!</v>
      </c>
      <c r="DI570" t="e">
        <f>AND(#REF!,"AAAAAG9SP3A=")</f>
        <v>#REF!</v>
      </c>
      <c r="DJ570" t="e">
        <f>AND(#REF!,"AAAAAG9SP3E=")</f>
        <v>#REF!</v>
      </c>
      <c r="DK570" t="e">
        <f>AND(#REF!,"AAAAAG9SP3I=")</f>
        <v>#REF!</v>
      </c>
      <c r="DL570" t="e">
        <f>AND(#REF!,"AAAAAG9SP3M=")</f>
        <v>#REF!</v>
      </c>
      <c r="DM570" t="e">
        <f>AND(#REF!,"AAAAAG9SP3Q=")</f>
        <v>#REF!</v>
      </c>
      <c r="DN570" t="e">
        <f>AND(#REF!,"AAAAAG9SP3U=")</f>
        <v>#REF!</v>
      </c>
      <c r="DO570" t="e">
        <f>AND(#REF!,"AAAAAG9SP3Y=")</f>
        <v>#REF!</v>
      </c>
      <c r="DP570" t="e">
        <f>AND(#REF!,"AAAAAG9SP3c=")</f>
        <v>#REF!</v>
      </c>
      <c r="DQ570" t="e">
        <f>AND(#REF!,"AAAAAG9SP3g=")</f>
        <v>#REF!</v>
      </c>
      <c r="DR570" t="e">
        <f>AND(#REF!,"AAAAAG9SP3k=")</f>
        <v>#REF!</v>
      </c>
      <c r="DS570" t="e">
        <f>IF(#REF!,"AAAAAG9SP3o=",0)</f>
        <v>#REF!</v>
      </c>
      <c r="DT570" t="e">
        <f>AND(#REF!,"AAAAAG9SP3s=")</f>
        <v>#REF!</v>
      </c>
      <c r="DU570" t="e">
        <f>AND(#REF!,"AAAAAG9SP3w=")</f>
        <v>#REF!</v>
      </c>
      <c r="DV570" t="e">
        <f>AND(#REF!,"AAAAAG9SP30=")</f>
        <v>#REF!</v>
      </c>
      <c r="DW570" t="e">
        <f>AND(#REF!,"AAAAAG9SP34=")</f>
        <v>#REF!</v>
      </c>
      <c r="DX570" t="e">
        <f>AND(#REF!,"AAAAAG9SP38=")</f>
        <v>#REF!</v>
      </c>
      <c r="DY570" t="e">
        <f>AND(#REF!,"AAAAAG9SP4A=")</f>
        <v>#REF!</v>
      </c>
      <c r="DZ570" t="e">
        <f>AND(#REF!,"AAAAAG9SP4E=")</f>
        <v>#REF!</v>
      </c>
      <c r="EA570" t="e">
        <f>AND(#REF!,"AAAAAG9SP4I=")</f>
        <v>#REF!</v>
      </c>
      <c r="EB570" t="e">
        <f>AND(#REF!,"AAAAAG9SP4M=")</f>
        <v>#REF!</v>
      </c>
      <c r="EC570" t="e">
        <f>AND(#REF!,"AAAAAG9SP4Q=")</f>
        <v>#REF!</v>
      </c>
      <c r="ED570" t="e">
        <f>IF(#REF!,"AAAAAG9SP4U=",0)</f>
        <v>#REF!</v>
      </c>
      <c r="EE570" t="e">
        <f>AND(#REF!,"AAAAAG9SP4Y=")</f>
        <v>#REF!</v>
      </c>
      <c r="EF570" t="e">
        <f>AND(#REF!,"AAAAAG9SP4c=")</f>
        <v>#REF!</v>
      </c>
      <c r="EG570" t="e">
        <f>AND(#REF!,"AAAAAG9SP4g=")</f>
        <v>#REF!</v>
      </c>
      <c r="EH570" t="e">
        <f>AND(#REF!,"AAAAAG9SP4k=")</f>
        <v>#REF!</v>
      </c>
      <c r="EI570" t="e">
        <f>AND(#REF!,"AAAAAG9SP4o=")</f>
        <v>#REF!</v>
      </c>
      <c r="EJ570" t="e">
        <f>AND(#REF!,"AAAAAG9SP4s=")</f>
        <v>#REF!</v>
      </c>
      <c r="EK570" t="e">
        <f>AND(#REF!,"AAAAAG9SP4w=")</f>
        <v>#REF!</v>
      </c>
      <c r="EL570" t="e">
        <f>AND(#REF!,"AAAAAG9SP40=")</f>
        <v>#REF!</v>
      </c>
      <c r="EM570" t="e">
        <f>AND(#REF!,"AAAAAG9SP44=")</f>
        <v>#REF!</v>
      </c>
      <c r="EN570" t="e">
        <f>AND(#REF!,"AAAAAG9SP48=")</f>
        <v>#REF!</v>
      </c>
      <c r="EO570" t="e">
        <f>IF(#REF!,"AAAAAG9SP5A=",0)</f>
        <v>#REF!</v>
      </c>
      <c r="EP570" t="e">
        <f>AND(#REF!,"AAAAAG9SP5E=")</f>
        <v>#REF!</v>
      </c>
      <c r="EQ570" t="e">
        <f>AND(#REF!,"AAAAAG9SP5I=")</f>
        <v>#REF!</v>
      </c>
      <c r="ER570" t="e">
        <f>AND(#REF!,"AAAAAG9SP5M=")</f>
        <v>#REF!</v>
      </c>
      <c r="ES570" t="e">
        <f>AND(#REF!,"AAAAAG9SP5Q=")</f>
        <v>#REF!</v>
      </c>
      <c r="ET570" t="e">
        <f>AND(#REF!,"AAAAAG9SP5U=")</f>
        <v>#REF!</v>
      </c>
      <c r="EU570" t="e">
        <f>AND(#REF!,"AAAAAG9SP5Y=")</f>
        <v>#REF!</v>
      </c>
      <c r="EV570" t="e">
        <f>AND(#REF!,"AAAAAG9SP5c=")</f>
        <v>#REF!</v>
      </c>
      <c r="EW570" t="e">
        <f>AND(#REF!,"AAAAAG9SP5g=")</f>
        <v>#REF!</v>
      </c>
      <c r="EX570" t="e">
        <f>AND(#REF!,"AAAAAG9SP5k=")</f>
        <v>#REF!</v>
      </c>
      <c r="EY570" t="e">
        <f>AND(#REF!,"AAAAAG9SP5o=")</f>
        <v>#REF!</v>
      </c>
      <c r="EZ570" t="e">
        <f>IF(#REF!,"AAAAAG9SP5s=",0)</f>
        <v>#REF!</v>
      </c>
      <c r="FA570" t="e">
        <f>AND(#REF!,"AAAAAG9SP5w=")</f>
        <v>#REF!</v>
      </c>
      <c r="FB570" t="e">
        <f>AND(#REF!,"AAAAAG9SP50=")</f>
        <v>#REF!</v>
      </c>
      <c r="FC570" t="e">
        <f>AND(#REF!,"AAAAAG9SP54=")</f>
        <v>#REF!</v>
      </c>
      <c r="FD570" t="e">
        <f>AND(#REF!,"AAAAAG9SP58=")</f>
        <v>#REF!</v>
      </c>
      <c r="FE570" t="e">
        <f>AND(#REF!,"AAAAAG9SP6A=")</f>
        <v>#REF!</v>
      </c>
      <c r="FF570" t="e">
        <f>AND(#REF!,"AAAAAG9SP6E=")</f>
        <v>#REF!</v>
      </c>
      <c r="FG570" t="e">
        <f>AND(#REF!,"AAAAAG9SP6I=")</f>
        <v>#REF!</v>
      </c>
      <c r="FH570" t="e">
        <f>AND(#REF!,"AAAAAG9SP6M=")</f>
        <v>#REF!</v>
      </c>
      <c r="FI570" t="e">
        <f>AND(#REF!,"AAAAAG9SP6Q=")</f>
        <v>#REF!</v>
      </c>
      <c r="FJ570" t="e">
        <f>AND(#REF!,"AAAAAG9SP6U=")</f>
        <v>#REF!</v>
      </c>
      <c r="FK570" t="e">
        <f>IF(#REF!,"AAAAAG9SP6Y=",0)</f>
        <v>#REF!</v>
      </c>
      <c r="FL570" t="e">
        <f>AND(#REF!,"AAAAAG9SP6c=")</f>
        <v>#REF!</v>
      </c>
      <c r="FM570" t="e">
        <f>AND(#REF!,"AAAAAG9SP6g=")</f>
        <v>#REF!</v>
      </c>
      <c r="FN570" t="e">
        <f>AND(#REF!,"AAAAAG9SP6k=")</f>
        <v>#REF!</v>
      </c>
      <c r="FO570" t="e">
        <f>AND(#REF!,"AAAAAG9SP6o=")</f>
        <v>#REF!</v>
      </c>
      <c r="FP570" t="e">
        <f>AND(#REF!,"AAAAAG9SP6s=")</f>
        <v>#REF!</v>
      </c>
      <c r="FQ570" t="e">
        <f>AND(#REF!,"AAAAAG9SP6w=")</f>
        <v>#REF!</v>
      </c>
      <c r="FR570" t="e">
        <f>AND(#REF!,"AAAAAG9SP60=")</f>
        <v>#REF!</v>
      </c>
      <c r="FS570" t="e">
        <f>AND(#REF!,"AAAAAG9SP64=")</f>
        <v>#REF!</v>
      </c>
      <c r="FT570" t="e">
        <f>AND(#REF!,"AAAAAG9SP68=")</f>
        <v>#REF!</v>
      </c>
      <c r="FU570" t="e">
        <f>AND(#REF!,"AAAAAG9SP7A=")</f>
        <v>#REF!</v>
      </c>
      <c r="FV570" t="e">
        <f>IF(#REF!,"AAAAAG9SP7E=",0)</f>
        <v>#REF!</v>
      </c>
      <c r="FW570" t="e">
        <f>AND(#REF!,"AAAAAG9SP7I=")</f>
        <v>#REF!</v>
      </c>
      <c r="FX570" t="e">
        <f>AND(#REF!,"AAAAAG9SP7M=")</f>
        <v>#REF!</v>
      </c>
      <c r="FY570" t="e">
        <f>AND(#REF!,"AAAAAG9SP7Q=")</f>
        <v>#REF!</v>
      </c>
      <c r="FZ570" t="e">
        <f>AND(#REF!,"AAAAAG9SP7U=")</f>
        <v>#REF!</v>
      </c>
      <c r="GA570" t="e">
        <f>AND(#REF!,"AAAAAG9SP7Y=")</f>
        <v>#REF!</v>
      </c>
      <c r="GB570" t="e">
        <f>AND(#REF!,"AAAAAG9SP7c=")</f>
        <v>#REF!</v>
      </c>
      <c r="GC570" t="e">
        <f>AND(#REF!,"AAAAAG9SP7g=")</f>
        <v>#REF!</v>
      </c>
      <c r="GD570" t="e">
        <f>AND(#REF!,"AAAAAG9SP7k=")</f>
        <v>#REF!</v>
      </c>
      <c r="GE570" t="e">
        <f>AND(#REF!,"AAAAAG9SP7o=")</f>
        <v>#REF!</v>
      </c>
      <c r="GF570" t="e">
        <f>AND(#REF!,"AAAAAG9SP7s=")</f>
        <v>#REF!</v>
      </c>
      <c r="GG570" t="e">
        <f>IF(#REF!,"AAAAAG9SP7w=",0)</f>
        <v>#REF!</v>
      </c>
      <c r="GH570" t="e">
        <f>AND(#REF!,"AAAAAG9SP70=")</f>
        <v>#REF!</v>
      </c>
      <c r="GI570" t="e">
        <f>AND(#REF!,"AAAAAG9SP74=")</f>
        <v>#REF!</v>
      </c>
      <c r="GJ570" t="e">
        <f>AND(#REF!,"AAAAAG9SP78=")</f>
        <v>#REF!</v>
      </c>
      <c r="GK570" t="e">
        <f>AND(#REF!,"AAAAAG9SP8A=")</f>
        <v>#REF!</v>
      </c>
      <c r="GL570" t="e">
        <f>AND(#REF!,"AAAAAG9SP8E=")</f>
        <v>#REF!</v>
      </c>
      <c r="GM570" t="e">
        <f>AND(#REF!,"AAAAAG9SP8I=")</f>
        <v>#REF!</v>
      </c>
      <c r="GN570" t="e">
        <f>AND(#REF!,"AAAAAG9SP8M=")</f>
        <v>#REF!</v>
      </c>
      <c r="GO570" t="e">
        <f>AND(#REF!,"AAAAAG9SP8Q=")</f>
        <v>#REF!</v>
      </c>
      <c r="GP570" t="e">
        <f>AND(#REF!,"AAAAAG9SP8U=")</f>
        <v>#REF!</v>
      </c>
      <c r="GQ570" t="e">
        <f>AND(#REF!,"AAAAAG9SP8Y=")</f>
        <v>#REF!</v>
      </c>
      <c r="GR570" t="e">
        <f>IF(#REF!,"AAAAAG9SP8c=",0)</f>
        <v>#REF!</v>
      </c>
      <c r="GS570" t="e">
        <f>AND(#REF!,"AAAAAG9SP8g=")</f>
        <v>#REF!</v>
      </c>
      <c r="GT570" t="e">
        <f>AND(#REF!,"AAAAAG9SP8k=")</f>
        <v>#REF!</v>
      </c>
      <c r="GU570" t="e">
        <f>AND(#REF!,"AAAAAG9SP8o=")</f>
        <v>#REF!</v>
      </c>
      <c r="GV570" t="e">
        <f>AND(#REF!,"AAAAAG9SP8s=")</f>
        <v>#REF!</v>
      </c>
      <c r="GW570" t="e">
        <f>AND(#REF!,"AAAAAG9SP8w=")</f>
        <v>#REF!</v>
      </c>
      <c r="GX570" t="e">
        <f>AND(#REF!,"AAAAAG9SP80=")</f>
        <v>#REF!</v>
      </c>
      <c r="GY570" t="e">
        <f>AND(#REF!,"AAAAAG9SP84=")</f>
        <v>#REF!</v>
      </c>
      <c r="GZ570" t="e">
        <f>AND(#REF!,"AAAAAG9SP88=")</f>
        <v>#REF!</v>
      </c>
      <c r="HA570" t="e">
        <f>AND(#REF!,"AAAAAG9SP9A=")</f>
        <v>#REF!</v>
      </c>
      <c r="HB570" t="e">
        <f>AND(#REF!,"AAAAAG9SP9E=")</f>
        <v>#REF!</v>
      </c>
      <c r="HC570" t="e">
        <f>IF(#REF!,"AAAAAG9SP9I=",0)</f>
        <v>#REF!</v>
      </c>
      <c r="HD570" t="e">
        <f>AND(#REF!,"AAAAAG9SP9M=")</f>
        <v>#REF!</v>
      </c>
      <c r="HE570" t="e">
        <f>AND(#REF!,"AAAAAG9SP9Q=")</f>
        <v>#REF!</v>
      </c>
      <c r="HF570" t="e">
        <f>AND(#REF!,"AAAAAG9SP9U=")</f>
        <v>#REF!</v>
      </c>
      <c r="HG570" t="e">
        <f>AND(#REF!,"AAAAAG9SP9Y=")</f>
        <v>#REF!</v>
      </c>
      <c r="HH570" t="e">
        <f>AND(#REF!,"AAAAAG9SP9c=")</f>
        <v>#REF!</v>
      </c>
      <c r="HI570" t="e">
        <f>AND(#REF!,"AAAAAG9SP9g=")</f>
        <v>#REF!</v>
      </c>
      <c r="HJ570" t="e">
        <f>AND(#REF!,"AAAAAG9SP9k=")</f>
        <v>#REF!</v>
      </c>
      <c r="HK570" t="e">
        <f>AND(#REF!,"AAAAAG9SP9o=")</f>
        <v>#REF!</v>
      </c>
      <c r="HL570" t="e">
        <f>AND(#REF!,"AAAAAG9SP9s=")</f>
        <v>#REF!</v>
      </c>
      <c r="HM570" t="e">
        <f>AND(#REF!,"AAAAAG9SP9w=")</f>
        <v>#REF!</v>
      </c>
      <c r="HN570" t="e">
        <f>IF(#REF!,"AAAAAG9SP90=",0)</f>
        <v>#REF!</v>
      </c>
      <c r="HO570" t="e">
        <f>AND(#REF!,"AAAAAG9SP94=")</f>
        <v>#REF!</v>
      </c>
      <c r="HP570" t="e">
        <f>AND(#REF!,"AAAAAG9SP98=")</f>
        <v>#REF!</v>
      </c>
      <c r="HQ570" t="e">
        <f>AND(#REF!,"AAAAAG9SP+A=")</f>
        <v>#REF!</v>
      </c>
      <c r="HR570" t="e">
        <f>AND(#REF!,"AAAAAG9SP+E=")</f>
        <v>#REF!</v>
      </c>
      <c r="HS570" t="e">
        <f>AND(#REF!,"AAAAAG9SP+I=")</f>
        <v>#REF!</v>
      </c>
      <c r="HT570" t="e">
        <f>AND(#REF!,"AAAAAG9SP+M=")</f>
        <v>#REF!</v>
      </c>
      <c r="HU570" t="e">
        <f>AND(#REF!,"AAAAAG9SP+Q=")</f>
        <v>#REF!</v>
      </c>
      <c r="HV570" t="e">
        <f>AND(#REF!,"AAAAAG9SP+U=")</f>
        <v>#REF!</v>
      </c>
      <c r="HW570" t="e">
        <f>AND(#REF!,"AAAAAG9SP+Y=")</f>
        <v>#REF!</v>
      </c>
      <c r="HX570" t="e">
        <f>AND(#REF!,"AAAAAG9SP+c=")</f>
        <v>#REF!</v>
      </c>
      <c r="HY570" t="e">
        <f>IF(#REF!,"AAAAAG9SP+g=",0)</f>
        <v>#REF!</v>
      </c>
      <c r="HZ570" t="e">
        <f>AND(#REF!,"AAAAAG9SP+k=")</f>
        <v>#REF!</v>
      </c>
      <c r="IA570" t="e">
        <f>AND(#REF!,"AAAAAG9SP+o=")</f>
        <v>#REF!</v>
      </c>
      <c r="IB570" t="e">
        <f>AND(#REF!,"AAAAAG9SP+s=")</f>
        <v>#REF!</v>
      </c>
      <c r="IC570" t="e">
        <f>AND(#REF!,"AAAAAG9SP+w=")</f>
        <v>#REF!</v>
      </c>
      <c r="ID570" t="e">
        <f>AND(#REF!,"AAAAAG9SP+0=")</f>
        <v>#REF!</v>
      </c>
      <c r="IE570" t="e">
        <f>AND(#REF!,"AAAAAG9SP+4=")</f>
        <v>#REF!</v>
      </c>
      <c r="IF570" t="e">
        <f>AND(#REF!,"AAAAAG9SP+8=")</f>
        <v>#REF!</v>
      </c>
      <c r="IG570" t="e">
        <f>AND(#REF!,"AAAAAG9SP/A=")</f>
        <v>#REF!</v>
      </c>
      <c r="IH570" t="e">
        <f>AND(#REF!,"AAAAAG9SP/E=")</f>
        <v>#REF!</v>
      </c>
      <c r="II570" t="e">
        <f>AND(#REF!,"AAAAAG9SP/I=")</f>
        <v>#REF!</v>
      </c>
      <c r="IJ570" t="e">
        <f>IF(#REF!,"AAAAAG9SP/M=",0)</f>
        <v>#REF!</v>
      </c>
      <c r="IK570" t="e">
        <f>AND(#REF!,"AAAAAG9SP/Q=")</f>
        <v>#REF!</v>
      </c>
      <c r="IL570" t="e">
        <f>AND(#REF!,"AAAAAG9SP/U=")</f>
        <v>#REF!</v>
      </c>
      <c r="IM570" t="e">
        <f>AND(#REF!,"AAAAAG9SP/Y=")</f>
        <v>#REF!</v>
      </c>
      <c r="IN570" t="e">
        <f>AND(#REF!,"AAAAAG9SP/c=")</f>
        <v>#REF!</v>
      </c>
      <c r="IO570" t="e">
        <f>AND(#REF!,"AAAAAG9SP/g=")</f>
        <v>#REF!</v>
      </c>
      <c r="IP570" t="e">
        <f>AND(#REF!,"AAAAAG9SP/k=")</f>
        <v>#REF!</v>
      </c>
      <c r="IQ570" t="e">
        <f>AND(#REF!,"AAAAAG9SP/o=")</f>
        <v>#REF!</v>
      </c>
      <c r="IR570" t="e">
        <f>AND(#REF!,"AAAAAG9SP/s=")</f>
        <v>#REF!</v>
      </c>
      <c r="IS570" t="e">
        <f>AND(#REF!,"AAAAAG9SP/w=")</f>
        <v>#REF!</v>
      </c>
      <c r="IT570" t="e">
        <f>AND(#REF!,"AAAAAG9SP/0=")</f>
        <v>#REF!</v>
      </c>
      <c r="IU570" t="e">
        <f>IF(#REF!,"AAAAAG9SP/4=",0)</f>
        <v>#REF!</v>
      </c>
      <c r="IV570" t="e">
        <f>AND(#REF!,"AAAAAG9SP/8=")</f>
        <v>#REF!</v>
      </c>
    </row>
    <row r="571" spans="1:256" x14ac:dyDescent="0.25">
      <c r="A571" t="e">
        <f>AND(#REF!,"AAAAAB975gA=")</f>
        <v>#REF!</v>
      </c>
      <c r="B571" t="e">
        <f>AND(#REF!,"AAAAAB975gE=")</f>
        <v>#REF!</v>
      </c>
      <c r="C571" t="e">
        <f>AND(#REF!,"AAAAAB975gI=")</f>
        <v>#REF!</v>
      </c>
      <c r="D571" t="e">
        <f>AND(#REF!,"AAAAAB975gM=")</f>
        <v>#REF!</v>
      </c>
      <c r="E571" t="e">
        <f>AND(#REF!,"AAAAAB975gQ=")</f>
        <v>#REF!</v>
      </c>
      <c r="F571" t="e">
        <f>AND(#REF!,"AAAAAB975gU=")</f>
        <v>#REF!</v>
      </c>
      <c r="G571" t="e">
        <f>AND(#REF!,"AAAAAB975gY=")</f>
        <v>#REF!</v>
      </c>
      <c r="H571" t="e">
        <f>AND(#REF!,"AAAAAB975gc=")</f>
        <v>#REF!</v>
      </c>
      <c r="I571" t="e">
        <f>AND(#REF!,"AAAAAB975gg=")</f>
        <v>#REF!</v>
      </c>
      <c r="J571" t="e">
        <f>IF(#REF!,"AAAAAB975gk=",0)</f>
        <v>#REF!</v>
      </c>
      <c r="K571" t="e">
        <f>AND(#REF!,"AAAAAB975go=")</f>
        <v>#REF!</v>
      </c>
      <c r="L571" t="e">
        <f>AND(#REF!,"AAAAAB975gs=")</f>
        <v>#REF!</v>
      </c>
      <c r="M571" t="e">
        <f>AND(#REF!,"AAAAAB975gw=")</f>
        <v>#REF!</v>
      </c>
      <c r="N571" t="e">
        <f>AND(#REF!,"AAAAAB975g0=")</f>
        <v>#REF!</v>
      </c>
      <c r="O571" t="e">
        <f>AND(#REF!,"AAAAAB975g4=")</f>
        <v>#REF!</v>
      </c>
      <c r="P571" t="e">
        <f>AND(#REF!,"AAAAAB975g8=")</f>
        <v>#REF!</v>
      </c>
      <c r="Q571" t="e">
        <f>AND(#REF!,"AAAAAB975hA=")</f>
        <v>#REF!</v>
      </c>
      <c r="R571" t="e">
        <f>AND(#REF!,"AAAAAB975hE=")</f>
        <v>#REF!</v>
      </c>
      <c r="S571" t="e">
        <f>AND(#REF!,"AAAAAB975hI=")</f>
        <v>#REF!</v>
      </c>
      <c r="T571" t="e">
        <f>AND(#REF!,"AAAAAB975hM=")</f>
        <v>#REF!</v>
      </c>
      <c r="U571" t="e">
        <f>IF(#REF!,"AAAAAB975hQ=",0)</f>
        <v>#REF!</v>
      </c>
      <c r="V571" t="e">
        <f>AND(#REF!,"AAAAAB975hU=")</f>
        <v>#REF!</v>
      </c>
      <c r="W571" t="e">
        <f>AND(#REF!,"AAAAAB975hY=")</f>
        <v>#REF!</v>
      </c>
      <c r="X571" t="e">
        <f>AND(#REF!,"AAAAAB975hc=")</f>
        <v>#REF!</v>
      </c>
      <c r="Y571" t="e">
        <f>AND(#REF!,"AAAAAB975hg=")</f>
        <v>#REF!</v>
      </c>
      <c r="Z571" t="e">
        <f>AND(#REF!,"AAAAAB975hk=")</f>
        <v>#REF!</v>
      </c>
      <c r="AA571" t="e">
        <f>AND(#REF!,"AAAAAB975ho=")</f>
        <v>#REF!</v>
      </c>
      <c r="AB571" t="e">
        <f>AND(#REF!,"AAAAAB975hs=")</f>
        <v>#REF!</v>
      </c>
      <c r="AC571" t="e">
        <f>AND(#REF!,"AAAAAB975hw=")</f>
        <v>#REF!</v>
      </c>
      <c r="AD571" t="e">
        <f>AND(#REF!,"AAAAAB975h0=")</f>
        <v>#REF!</v>
      </c>
      <c r="AE571" t="e">
        <f>AND(#REF!,"AAAAAB975h4=")</f>
        <v>#REF!</v>
      </c>
      <c r="AF571" t="e">
        <f>IF(#REF!,"AAAAAB975h8=",0)</f>
        <v>#REF!</v>
      </c>
      <c r="AG571" t="e">
        <f>AND(#REF!,"AAAAAB975iA=")</f>
        <v>#REF!</v>
      </c>
      <c r="AH571" t="e">
        <f>AND(#REF!,"AAAAAB975iE=")</f>
        <v>#REF!</v>
      </c>
      <c r="AI571" t="e">
        <f>AND(#REF!,"AAAAAB975iI=")</f>
        <v>#REF!</v>
      </c>
      <c r="AJ571" t="e">
        <f>AND(#REF!,"AAAAAB975iM=")</f>
        <v>#REF!</v>
      </c>
      <c r="AK571" t="e">
        <f>AND(#REF!,"AAAAAB975iQ=")</f>
        <v>#REF!</v>
      </c>
      <c r="AL571" t="e">
        <f>AND(#REF!,"AAAAAB975iU=")</f>
        <v>#REF!</v>
      </c>
      <c r="AM571" t="e">
        <f>AND(#REF!,"AAAAAB975iY=")</f>
        <v>#REF!</v>
      </c>
      <c r="AN571" t="e">
        <f>AND(#REF!,"AAAAAB975ic=")</f>
        <v>#REF!</v>
      </c>
      <c r="AO571" t="e">
        <f>AND(#REF!,"AAAAAB975ig=")</f>
        <v>#REF!</v>
      </c>
      <c r="AP571" t="e">
        <f>AND(#REF!,"AAAAAB975ik=")</f>
        <v>#REF!</v>
      </c>
      <c r="AQ571" t="e">
        <f>IF(#REF!,"AAAAAB975io=",0)</f>
        <v>#REF!</v>
      </c>
      <c r="AR571" t="e">
        <f>AND(#REF!,"AAAAAB975is=")</f>
        <v>#REF!</v>
      </c>
      <c r="AS571" t="e">
        <f>AND(#REF!,"AAAAAB975iw=")</f>
        <v>#REF!</v>
      </c>
      <c r="AT571" t="e">
        <f>AND(#REF!,"AAAAAB975i0=")</f>
        <v>#REF!</v>
      </c>
      <c r="AU571" t="e">
        <f>AND(#REF!,"AAAAAB975i4=")</f>
        <v>#REF!</v>
      </c>
      <c r="AV571" t="e">
        <f>AND(#REF!,"AAAAAB975i8=")</f>
        <v>#REF!</v>
      </c>
      <c r="AW571" t="e">
        <f>AND(#REF!,"AAAAAB975jA=")</f>
        <v>#REF!</v>
      </c>
      <c r="AX571" t="e">
        <f>AND(#REF!,"AAAAAB975jE=")</f>
        <v>#REF!</v>
      </c>
      <c r="AY571" t="e">
        <f>AND(#REF!,"AAAAAB975jI=")</f>
        <v>#REF!</v>
      </c>
      <c r="AZ571" t="e">
        <f>AND(#REF!,"AAAAAB975jM=")</f>
        <v>#REF!</v>
      </c>
      <c r="BA571" t="e">
        <f>AND(#REF!,"AAAAAB975jQ=")</f>
        <v>#REF!</v>
      </c>
      <c r="BB571" t="e">
        <f>IF(#REF!,"AAAAAB975jU=",0)</f>
        <v>#REF!</v>
      </c>
      <c r="BC571" t="e">
        <f>AND(#REF!,"AAAAAB975jY=")</f>
        <v>#REF!</v>
      </c>
      <c r="BD571" t="e">
        <f>AND(#REF!,"AAAAAB975jc=")</f>
        <v>#REF!</v>
      </c>
      <c r="BE571" t="e">
        <f>AND(#REF!,"AAAAAB975jg=")</f>
        <v>#REF!</v>
      </c>
      <c r="BF571" t="e">
        <f>AND(#REF!,"AAAAAB975jk=")</f>
        <v>#REF!</v>
      </c>
      <c r="BG571" t="e">
        <f>AND(#REF!,"AAAAAB975jo=")</f>
        <v>#REF!</v>
      </c>
      <c r="BH571" t="e">
        <f>AND(#REF!,"AAAAAB975js=")</f>
        <v>#REF!</v>
      </c>
      <c r="BI571" t="e">
        <f>AND(#REF!,"AAAAAB975jw=")</f>
        <v>#REF!</v>
      </c>
      <c r="BJ571" t="e">
        <f>AND(#REF!,"AAAAAB975j0=")</f>
        <v>#REF!</v>
      </c>
      <c r="BK571" t="e">
        <f>AND(#REF!,"AAAAAB975j4=")</f>
        <v>#REF!</v>
      </c>
      <c r="BL571" t="e">
        <f>AND(#REF!,"AAAAAB975j8=")</f>
        <v>#REF!</v>
      </c>
      <c r="BM571" t="e">
        <f>IF(#REF!,"AAAAAB975kA=",0)</f>
        <v>#REF!</v>
      </c>
      <c r="BN571" t="e">
        <f>AND(#REF!,"AAAAAB975kE=")</f>
        <v>#REF!</v>
      </c>
      <c r="BO571" t="e">
        <f>AND(#REF!,"AAAAAB975kI=")</f>
        <v>#REF!</v>
      </c>
      <c r="BP571" t="e">
        <f>AND(#REF!,"AAAAAB975kM=")</f>
        <v>#REF!</v>
      </c>
      <c r="BQ571" t="e">
        <f>AND(#REF!,"AAAAAB975kQ=")</f>
        <v>#REF!</v>
      </c>
      <c r="BR571" t="e">
        <f>AND(#REF!,"AAAAAB975kU=")</f>
        <v>#REF!</v>
      </c>
      <c r="BS571" t="e">
        <f>AND(#REF!,"AAAAAB975kY=")</f>
        <v>#REF!</v>
      </c>
      <c r="BT571" t="e">
        <f>AND(#REF!,"AAAAAB975kc=")</f>
        <v>#REF!</v>
      </c>
      <c r="BU571" t="e">
        <f>AND(#REF!,"AAAAAB975kg=")</f>
        <v>#REF!</v>
      </c>
      <c r="BV571" t="e">
        <f>AND(#REF!,"AAAAAB975kk=")</f>
        <v>#REF!</v>
      </c>
      <c r="BW571" t="e">
        <f>AND(#REF!,"AAAAAB975ko=")</f>
        <v>#REF!</v>
      </c>
      <c r="BX571" t="e">
        <f>IF(#REF!,"AAAAAB975ks=",0)</f>
        <v>#REF!</v>
      </c>
      <c r="BY571" t="e">
        <f>AND(#REF!,"AAAAAB975kw=")</f>
        <v>#REF!</v>
      </c>
      <c r="BZ571" t="e">
        <f>AND(#REF!,"AAAAAB975k0=")</f>
        <v>#REF!</v>
      </c>
      <c r="CA571" t="e">
        <f>AND(#REF!,"AAAAAB975k4=")</f>
        <v>#REF!</v>
      </c>
      <c r="CB571" t="e">
        <f>AND(#REF!,"AAAAAB975k8=")</f>
        <v>#REF!</v>
      </c>
      <c r="CC571" t="e">
        <f>AND(#REF!,"AAAAAB975lA=")</f>
        <v>#REF!</v>
      </c>
      <c r="CD571" t="e">
        <f>AND(#REF!,"AAAAAB975lE=")</f>
        <v>#REF!</v>
      </c>
      <c r="CE571" t="e">
        <f>AND(#REF!,"AAAAAB975lI=")</f>
        <v>#REF!</v>
      </c>
      <c r="CF571" t="e">
        <f>AND(#REF!,"AAAAAB975lM=")</f>
        <v>#REF!</v>
      </c>
      <c r="CG571" t="e">
        <f>AND(#REF!,"AAAAAB975lQ=")</f>
        <v>#REF!</v>
      </c>
      <c r="CH571" t="e">
        <f>AND(#REF!,"AAAAAB975lU=")</f>
        <v>#REF!</v>
      </c>
      <c r="CI571" t="e">
        <f>IF(#REF!,"AAAAAB975lY=",0)</f>
        <v>#REF!</v>
      </c>
      <c r="CJ571" t="e">
        <f>AND(#REF!,"AAAAAB975lc=")</f>
        <v>#REF!</v>
      </c>
      <c r="CK571" t="e">
        <f>AND(#REF!,"AAAAAB975lg=")</f>
        <v>#REF!</v>
      </c>
      <c r="CL571" t="e">
        <f>AND(#REF!,"AAAAAB975lk=")</f>
        <v>#REF!</v>
      </c>
      <c r="CM571" t="e">
        <f>AND(#REF!,"AAAAAB975lo=")</f>
        <v>#REF!</v>
      </c>
      <c r="CN571" t="e">
        <f>AND(#REF!,"AAAAAB975ls=")</f>
        <v>#REF!</v>
      </c>
      <c r="CO571" t="e">
        <f>AND(#REF!,"AAAAAB975lw=")</f>
        <v>#REF!</v>
      </c>
      <c r="CP571" t="e">
        <f>AND(#REF!,"AAAAAB975l0=")</f>
        <v>#REF!</v>
      </c>
      <c r="CQ571" t="e">
        <f>AND(#REF!,"AAAAAB975l4=")</f>
        <v>#REF!</v>
      </c>
      <c r="CR571" t="e">
        <f>AND(#REF!,"AAAAAB975l8=")</f>
        <v>#REF!</v>
      </c>
      <c r="CS571" t="e">
        <f>AND(#REF!,"AAAAAB975mA=")</f>
        <v>#REF!</v>
      </c>
      <c r="CT571" t="e">
        <f>IF(#REF!,"AAAAAB975mE=",0)</f>
        <v>#REF!</v>
      </c>
      <c r="CU571" t="e">
        <f>AND(#REF!,"AAAAAB975mI=")</f>
        <v>#REF!</v>
      </c>
      <c r="CV571" t="e">
        <f>AND(#REF!,"AAAAAB975mM=")</f>
        <v>#REF!</v>
      </c>
      <c r="CW571" t="e">
        <f>AND(#REF!,"AAAAAB975mQ=")</f>
        <v>#REF!</v>
      </c>
      <c r="CX571" t="e">
        <f>AND(#REF!,"AAAAAB975mU=")</f>
        <v>#REF!</v>
      </c>
      <c r="CY571" t="e">
        <f>AND(#REF!,"AAAAAB975mY=")</f>
        <v>#REF!</v>
      </c>
      <c r="CZ571" t="e">
        <f>AND(#REF!,"AAAAAB975mc=")</f>
        <v>#REF!</v>
      </c>
      <c r="DA571" t="e">
        <f>AND(#REF!,"AAAAAB975mg=")</f>
        <v>#REF!</v>
      </c>
      <c r="DB571" t="e">
        <f>AND(#REF!,"AAAAAB975mk=")</f>
        <v>#REF!</v>
      </c>
      <c r="DC571" t="e">
        <f>AND(#REF!,"AAAAAB975mo=")</f>
        <v>#REF!</v>
      </c>
      <c r="DD571" t="e">
        <f>AND(#REF!,"AAAAAB975ms=")</f>
        <v>#REF!</v>
      </c>
      <c r="DE571" t="e">
        <f>IF(#REF!,"AAAAAB975mw=",0)</f>
        <v>#REF!</v>
      </c>
      <c r="DF571" t="e">
        <f>AND(#REF!,"AAAAAB975m0=")</f>
        <v>#REF!</v>
      </c>
      <c r="DG571" t="e">
        <f>AND(#REF!,"AAAAAB975m4=")</f>
        <v>#REF!</v>
      </c>
      <c r="DH571" t="e">
        <f>AND(#REF!,"AAAAAB975m8=")</f>
        <v>#REF!</v>
      </c>
      <c r="DI571" t="e">
        <f>AND(#REF!,"AAAAAB975nA=")</f>
        <v>#REF!</v>
      </c>
      <c r="DJ571" t="e">
        <f>AND(#REF!,"AAAAAB975nE=")</f>
        <v>#REF!</v>
      </c>
      <c r="DK571" t="e">
        <f>AND(#REF!,"AAAAAB975nI=")</f>
        <v>#REF!</v>
      </c>
      <c r="DL571" t="e">
        <f>AND(#REF!,"AAAAAB975nM=")</f>
        <v>#REF!</v>
      </c>
      <c r="DM571" t="e">
        <f>AND(#REF!,"AAAAAB975nQ=")</f>
        <v>#REF!</v>
      </c>
      <c r="DN571" t="e">
        <f>AND(#REF!,"AAAAAB975nU=")</f>
        <v>#REF!</v>
      </c>
      <c r="DO571" t="e">
        <f>AND(#REF!,"AAAAAB975nY=")</f>
        <v>#REF!</v>
      </c>
      <c r="DP571" t="e">
        <f>IF(#REF!,"AAAAAB975nc=",0)</f>
        <v>#REF!</v>
      </c>
      <c r="DQ571" t="e">
        <f>AND(#REF!,"AAAAAB975ng=")</f>
        <v>#REF!</v>
      </c>
      <c r="DR571" t="e">
        <f>AND(#REF!,"AAAAAB975nk=")</f>
        <v>#REF!</v>
      </c>
      <c r="DS571" t="e">
        <f>AND(#REF!,"AAAAAB975no=")</f>
        <v>#REF!</v>
      </c>
      <c r="DT571" t="e">
        <f>AND(#REF!,"AAAAAB975ns=")</f>
        <v>#REF!</v>
      </c>
      <c r="DU571" t="e">
        <f>AND(#REF!,"AAAAAB975nw=")</f>
        <v>#REF!</v>
      </c>
      <c r="DV571" t="e">
        <f>AND(#REF!,"AAAAAB975n0=")</f>
        <v>#REF!</v>
      </c>
      <c r="DW571" t="e">
        <f>AND(#REF!,"AAAAAB975n4=")</f>
        <v>#REF!</v>
      </c>
      <c r="DX571" t="e">
        <f>AND(#REF!,"AAAAAB975n8=")</f>
        <v>#REF!</v>
      </c>
      <c r="DY571" t="e">
        <f>AND(#REF!,"AAAAAB975oA=")</f>
        <v>#REF!</v>
      </c>
      <c r="DZ571" t="e">
        <f>AND(#REF!,"AAAAAB975oE=")</f>
        <v>#REF!</v>
      </c>
      <c r="EA571" t="e">
        <f>IF(#REF!,"AAAAAB975oI=",0)</f>
        <v>#REF!</v>
      </c>
      <c r="EB571" t="e">
        <f>AND(#REF!,"AAAAAB975oM=")</f>
        <v>#REF!</v>
      </c>
      <c r="EC571" t="e">
        <f>AND(#REF!,"AAAAAB975oQ=")</f>
        <v>#REF!</v>
      </c>
      <c r="ED571" t="e">
        <f>AND(#REF!,"AAAAAB975oU=")</f>
        <v>#REF!</v>
      </c>
      <c r="EE571" t="e">
        <f>AND(#REF!,"AAAAAB975oY=")</f>
        <v>#REF!</v>
      </c>
      <c r="EF571" t="e">
        <f>AND(#REF!,"AAAAAB975oc=")</f>
        <v>#REF!</v>
      </c>
      <c r="EG571" t="e">
        <f>AND(#REF!,"AAAAAB975og=")</f>
        <v>#REF!</v>
      </c>
      <c r="EH571" t="e">
        <f>AND(#REF!,"AAAAAB975ok=")</f>
        <v>#REF!</v>
      </c>
      <c r="EI571" t="e">
        <f>AND(#REF!,"AAAAAB975oo=")</f>
        <v>#REF!</v>
      </c>
      <c r="EJ571" t="e">
        <f>AND(#REF!,"AAAAAB975os=")</f>
        <v>#REF!</v>
      </c>
      <c r="EK571" t="e">
        <f>AND(#REF!,"AAAAAB975ow=")</f>
        <v>#REF!</v>
      </c>
      <c r="EL571" t="e">
        <f>IF(#REF!,"AAAAAB975o0=",0)</f>
        <v>#REF!</v>
      </c>
      <c r="EM571" t="e">
        <f>AND(#REF!,"AAAAAB975o4=")</f>
        <v>#REF!</v>
      </c>
      <c r="EN571" t="e">
        <f>AND(#REF!,"AAAAAB975o8=")</f>
        <v>#REF!</v>
      </c>
      <c r="EO571" t="e">
        <f>AND(#REF!,"AAAAAB975pA=")</f>
        <v>#REF!</v>
      </c>
      <c r="EP571" t="e">
        <f>AND(#REF!,"AAAAAB975pE=")</f>
        <v>#REF!</v>
      </c>
      <c r="EQ571" t="e">
        <f>AND(#REF!,"AAAAAB975pI=")</f>
        <v>#REF!</v>
      </c>
      <c r="ER571" t="e">
        <f>AND(#REF!,"AAAAAB975pM=")</f>
        <v>#REF!</v>
      </c>
      <c r="ES571" t="e">
        <f>AND(#REF!,"AAAAAB975pQ=")</f>
        <v>#REF!</v>
      </c>
      <c r="ET571" t="e">
        <f>AND(#REF!,"AAAAAB975pU=")</f>
        <v>#REF!</v>
      </c>
      <c r="EU571" t="e">
        <f>AND(#REF!,"AAAAAB975pY=")</f>
        <v>#REF!</v>
      </c>
      <c r="EV571" t="e">
        <f>AND(#REF!,"AAAAAB975pc=")</f>
        <v>#REF!</v>
      </c>
      <c r="EW571" t="e">
        <f>IF(#REF!,"AAAAAB975pg=",0)</f>
        <v>#REF!</v>
      </c>
      <c r="EX571" t="e">
        <f>AND(#REF!,"AAAAAB975pk=")</f>
        <v>#REF!</v>
      </c>
      <c r="EY571" t="e">
        <f>AND(#REF!,"AAAAAB975po=")</f>
        <v>#REF!</v>
      </c>
      <c r="EZ571" t="e">
        <f>AND(#REF!,"AAAAAB975ps=")</f>
        <v>#REF!</v>
      </c>
      <c r="FA571" t="e">
        <f>AND(#REF!,"AAAAAB975pw=")</f>
        <v>#REF!</v>
      </c>
      <c r="FB571" t="e">
        <f>AND(#REF!,"AAAAAB975p0=")</f>
        <v>#REF!</v>
      </c>
      <c r="FC571" t="e">
        <f>AND(#REF!,"AAAAAB975p4=")</f>
        <v>#REF!</v>
      </c>
      <c r="FD571" t="e">
        <f>AND(#REF!,"AAAAAB975p8=")</f>
        <v>#REF!</v>
      </c>
      <c r="FE571" t="e">
        <f>AND(#REF!,"AAAAAB975qA=")</f>
        <v>#REF!</v>
      </c>
      <c r="FF571" t="e">
        <f>AND(#REF!,"AAAAAB975qE=")</f>
        <v>#REF!</v>
      </c>
      <c r="FG571" t="e">
        <f>AND(#REF!,"AAAAAB975qI=")</f>
        <v>#REF!</v>
      </c>
      <c r="FH571" t="e">
        <f>IF(#REF!,"AAAAAB975qM=",0)</f>
        <v>#REF!</v>
      </c>
      <c r="FI571" t="e">
        <f>AND(#REF!,"AAAAAB975qQ=")</f>
        <v>#REF!</v>
      </c>
      <c r="FJ571" t="e">
        <f>AND(#REF!,"AAAAAB975qU=")</f>
        <v>#REF!</v>
      </c>
      <c r="FK571" t="e">
        <f>AND(#REF!,"AAAAAB975qY=")</f>
        <v>#REF!</v>
      </c>
      <c r="FL571" t="e">
        <f>AND(#REF!,"AAAAAB975qc=")</f>
        <v>#REF!</v>
      </c>
      <c r="FM571" t="e">
        <f>AND(#REF!,"AAAAAB975qg=")</f>
        <v>#REF!</v>
      </c>
      <c r="FN571" t="e">
        <f>AND(#REF!,"AAAAAB975qk=")</f>
        <v>#REF!</v>
      </c>
      <c r="FO571" t="e">
        <f>AND(#REF!,"AAAAAB975qo=")</f>
        <v>#REF!</v>
      </c>
      <c r="FP571" t="e">
        <f>AND(#REF!,"AAAAAB975qs=")</f>
        <v>#REF!</v>
      </c>
      <c r="FQ571" t="e">
        <f>AND(#REF!,"AAAAAB975qw=")</f>
        <v>#REF!</v>
      </c>
      <c r="FR571" t="e">
        <f>AND(#REF!,"AAAAAB975q0=")</f>
        <v>#REF!</v>
      </c>
      <c r="FS571" t="e">
        <f>IF(#REF!,"AAAAAB975q4=",0)</f>
        <v>#REF!</v>
      </c>
      <c r="FT571" t="e">
        <f>AND(#REF!,"AAAAAB975q8=")</f>
        <v>#REF!</v>
      </c>
      <c r="FU571" t="e">
        <f>AND(#REF!,"AAAAAB975rA=")</f>
        <v>#REF!</v>
      </c>
      <c r="FV571" t="e">
        <f>AND(#REF!,"AAAAAB975rE=")</f>
        <v>#REF!</v>
      </c>
      <c r="FW571" t="e">
        <f>AND(#REF!,"AAAAAB975rI=")</f>
        <v>#REF!</v>
      </c>
      <c r="FX571" t="e">
        <f>AND(#REF!,"AAAAAB975rM=")</f>
        <v>#REF!</v>
      </c>
      <c r="FY571" t="e">
        <f>AND(#REF!,"AAAAAB975rQ=")</f>
        <v>#REF!</v>
      </c>
      <c r="FZ571" t="e">
        <f>AND(#REF!,"AAAAAB975rU=")</f>
        <v>#REF!</v>
      </c>
      <c r="GA571" t="e">
        <f>AND(#REF!,"AAAAAB975rY=")</f>
        <v>#REF!</v>
      </c>
      <c r="GB571" t="e">
        <f>AND(#REF!,"AAAAAB975rc=")</f>
        <v>#REF!</v>
      </c>
      <c r="GC571" t="e">
        <f>AND(#REF!,"AAAAAB975rg=")</f>
        <v>#REF!</v>
      </c>
      <c r="GD571" t="e">
        <f>IF(#REF!,"AAAAAB975rk=",0)</f>
        <v>#REF!</v>
      </c>
      <c r="GE571" t="e">
        <f>AND(#REF!,"AAAAAB975ro=")</f>
        <v>#REF!</v>
      </c>
      <c r="GF571" t="e">
        <f>AND(#REF!,"AAAAAB975rs=")</f>
        <v>#REF!</v>
      </c>
      <c r="GG571" t="e">
        <f>AND(#REF!,"AAAAAB975rw=")</f>
        <v>#REF!</v>
      </c>
      <c r="GH571" t="e">
        <f>AND(#REF!,"AAAAAB975r0=")</f>
        <v>#REF!</v>
      </c>
      <c r="GI571" t="e">
        <f>AND(#REF!,"AAAAAB975r4=")</f>
        <v>#REF!</v>
      </c>
      <c r="GJ571" t="e">
        <f>AND(#REF!,"AAAAAB975r8=")</f>
        <v>#REF!</v>
      </c>
      <c r="GK571" t="e">
        <f>AND(#REF!,"AAAAAB975sA=")</f>
        <v>#REF!</v>
      </c>
      <c r="GL571" t="e">
        <f>AND(#REF!,"AAAAAB975sE=")</f>
        <v>#REF!</v>
      </c>
      <c r="GM571" t="e">
        <f>AND(#REF!,"AAAAAB975sI=")</f>
        <v>#REF!</v>
      </c>
      <c r="GN571" t="e">
        <f>AND(#REF!,"AAAAAB975sM=")</f>
        <v>#REF!</v>
      </c>
      <c r="GO571" t="e">
        <f>IF(#REF!,"AAAAAB975sQ=",0)</f>
        <v>#REF!</v>
      </c>
      <c r="GP571" t="e">
        <f>AND(#REF!,"AAAAAB975sU=")</f>
        <v>#REF!</v>
      </c>
      <c r="GQ571" t="e">
        <f>AND(#REF!,"AAAAAB975sY=")</f>
        <v>#REF!</v>
      </c>
      <c r="GR571" t="e">
        <f>AND(#REF!,"AAAAAB975sc=")</f>
        <v>#REF!</v>
      </c>
      <c r="GS571" t="e">
        <f>AND(#REF!,"AAAAAB975sg=")</f>
        <v>#REF!</v>
      </c>
      <c r="GT571" t="e">
        <f>AND(#REF!,"AAAAAB975sk=")</f>
        <v>#REF!</v>
      </c>
      <c r="GU571" t="e">
        <f>AND(#REF!,"AAAAAB975so=")</f>
        <v>#REF!</v>
      </c>
      <c r="GV571" t="e">
        <f>AND(#REF!,"AAAAAB975ss=")</f>
        <v>#REF!</v>
      </c>
      <c r="GW571" t="e">
        <f>AND(#REF!,"AAAAAB975sw=")</f>
        <v>#REF!</v>
      </c>
      <c r="GX571" t="e">
        <f>AND(#REF!,"AAAAAB975s0=")</f>
        <v>#REF!</v>
      </c>
      <c r="GY571" t="e">
        <f>AND(#REF!,"AAAAAB975s4=")</f>
        <v>#REF!</v>
      </c>
      <c r="GZ571" t="e">
        <f>IF(#REF!,"AAAAAB975s8=",0)</f>
        <v>#REF!</v>
      </c>
      <c r="HA571" t="e">
        <f>AND(#REF!,"AAAAAB975tA=")</f>
        <v>#REF!</v>
      </c>
      <c r="HB571" t="e">
        <f>AND(#REF!,"AAAAAB975tE=")</f>
        <v>#REF!</v>
      </c>
      <c r="HC571" t="e">
        <f>AND(#REF!,"AAAAAB975tI=")</f>
        <v>#REF!</v>
      </c>
      <c r="HD571" t="e">
        <f>AND(#REF!,"AAAAAB975tM=")</f>
        <v>#REF!</v>
      </c>
      <c r="HE571" t="e">
        <f>AND(#REF!,"AAAAAB975tQ=")</f>
        <v>#REF!</v>
      </c>
      <c r="HF571" t="e">
        <f>AND(#REF!,"AAAAAB975tU=")</f>
        <v>#REF!</v>
      </c>
      <c r="HG571" t="e">
        <f>AND(#REF!,"AAAAAB975tY=")</f>
        <v>#REF!</v>
      </c>
      <c r="HH571" t="e">
        <f>AND(#REF!,"AAAAAB975tc=")</f>
        <v>#REF!</v>
      </c>
      <c r="HI571" t="e">
        <f>AND(#REF!,"AAAAAB975tg=")</f>
        <v>#REF!</v>
      </c>
      <c r="HJ571" t="e">
        <f>AND(#REF!,"AAAAAB975tk=")</f>
        <v>#REF!</v>
      </c>
      <c r="HK571" t="e">
        <f>IF(#REF!,"AAAAAB975to=",0)</f>
        <v>#REF!</v>
      </c>
      <c r="HL571" t="e">
        <f>AND(#REF!,"AAAAAB975ts=")</f>
        <v>#REF!</v>
      </c>
      <c r="HM571" t="e">
        <f>AND(#REF!,"AAAAAB975tw=")</f>
        <v>#REF!</v>
      </c>
      <c r="HN571" t="e">
        <f>AND(#REF!,"AAAAAB975t0=")</f>
        <v>#REF!</v>
      </c>
      <c r="HO571" t="e">
        <f>AND(#REF!,"AAAAAB975t4=")</f>
        <v>#REF!</v>
      </c>
      <c r="HP571" t="e">
        <f>AND(#REF!,"AAAAAB975t8=")</f>
        <v>#REF!</v>
      </c>
      <c r="HQ571" t="e">
        <f>AND(#REF!,"AAAAAB975uA=")</f>
        <v>#REF!</v>
      </c>
      <c r="HR571" t="e">
        <f>AND(#REF!,"AAAAAB975uE=")</f>
        <v>#REF!</v>
      </c>
      <c r="HS571" t="e">
        <f>AND(#REF!,"AAAAAB975uI=")</f>
        <v>#REF!</v>
      </c>
      <c r="HT571" t="e">
        <f>AND(#REF!,"AAAAAB975uM=")</f>
        <v>#REF!</v>
      </c>
      <c r="HU571" t="e">
        <f>AND(#REF!,"AAAAAB975uQ=")</f>
        <v>#REF!</v>
      </c>
      <c r="HV571" t="e">
        <f>IF(#REF!,"AAAAAB975uU=",0)</f>
        <v>#REF!</v>
      </c>
      <c r="HW571" t="e">
        <f>AND(#REF!,"AAAAAB975uY=")</f>
        <v>#REF!</v>
      </c>
      <c r="HX571" t="e">
        <f>AND(#REF!,"AAAAAB975uc=")</f>
        <v>#REF!</v>
      </c>
      <c r="HY571" t="e">
        <f>AND(#REF!,"AAAAAB975ug=")</f>
        <v>#REF!</v>
      </c>
      <c r="HZ571" t="e">
        <f>AND(#REF!,"AAAAAB975uk=")</f>
        <v>#REF!</v>
      </c>
      <c r="IA571" t="e">
        <f>AND(#REF!,"AAAAAB975uo=")</f>
        <v>#REF!</v>
      </c>
      <c r="IB571" t="e">
        <f>AND(#REF!,"AAAAAB975us=")</f>
        <v>#REF!</v>
      </c>
      <c r="IC571" t="e">
        <f>AND(#REF!,"AAAAAB975uw=")</f>
        <v>#REF!</v>
      </c>
      <c r="ID571" t="e">
        <f>AND(#REF!,"AAAAAB975u0=")</f>
        <v>#REF!</v>
      </c>
      <c r="IE571" t="e">
        <f>AND(#REF!,"AAAAAB975u4=")</f>
        <v>#REF!</v>
      </c>
      <c r="IF571" t="e">
        <f>AND(#REF!,"AAAAAB975u8=")</f>
        <v>#REF!</v>
      </c>
      <c r="IG571" t="e">
        <f>IF(#REF!,"AAAAAB975vA=",0)</f>
        <v>#REF!</v>
      </c>
      <c r="IH571" t="e">
        <f>AND(#REF!,"AAAAAB975vE=")</f>
        <v>#REF!</v>
      </c>
      <c r="II571" t="e">
        <f>AND(#REF!,"AAAAAB975vI=")</f>
        <v>#REF!</v>
      </c>
      <c r="IJ571" t="e">
        <f>AND(#REF!,"AAAAAB975vM=")</f>
        <v>#REF!</v>
      </c>
      <c r="IK571" t="e">
        <f>AND(#REF!,"AAAAAB975vQ=")</f>
        <v>#REF!</v>
      </c>
      <c r="IL571" t="e">
        <f>AND(#REF!,"AAAAAB975vU=")</f>
        <v>#REF!</v>
      </c>
      <c r="IM571" t="e">
        <f>AND(#REF!,"AAAAAB975vY=")</f>
        <v>#REF!</v>
      </c>
      <c r="IN571" t="e">
        <f>AND(#REF!,"AAAAAB975vc=")</f>
        <v>#REF!</v>
      </c>
      <c r="IO571" t="e">
        <f>AND(#REF!,"AAAAAB975vg=")</f>
        <v>#REF!</v>
      </c>
      <c r="IP571" t="e">
        <f>AND(#REF!,"AAAAAB975vk=")</f>
        <v>#REF!</v>
      </c>
      <c r="IQ571" t="e">
        <f>AND(#REF!,"AAAAAB975vo=")</f>
        <v>#REF!</v>
      </c>
      <c r="IR571" t="e">
        <f>IF(#REF!,"AAAAAB975vs=",0)</f>
        <v>#REF!</v>
      </c>
      <c r="IS571" t="e">
        <f>AND(#REF!,"AAAAAB975vw=")</f>
        <v>#REF!</v>
      </c>
      <c r="IT571" t="e">
        <f>AND(#REF!,"AAAAAB975v0=")</f>
        <v>#REF!</v>
      </c>
      <c r="IU571" t="e">
        <f>AND(#REF!,"AAAAAB975v4=")</f>
        <v>#REF!</v>
      </c>
      <c r="IV571" t="e">
        <f>AND(#REF!,"AAAAAB975v8=")</f>
        <v>#REF!</v>
      </c>
    </row>
    <row r="572" spans="1:256" x14ac:dyDescent="0.25">
      <c r="A572" t="e">
        <f>AND(#REF!,"AAAAADb//wA=")</f>
        <v>#REF!</v>
      </c>
      <c r="B572" t="e">
        <f>AND(#REF!,"AAAAADb//wE=")</f>
        <v>#REF!</v>
      </c>
      <c r="C572" t="e">
        <f>AND(#REF!,"AAAAADb//wI=")</f>
        <v>#REF!</v>
      </c>
      <c r="D572" t="e">
        <f>AND(#REF!,"AAAAADb//wM=")</f>
        <v>#REF!</v>
      </c>
      <c r="E572" t="e">
        <f>AND(#REF!,"AAAAADb//wQ=")</f>
        <v>#REF!</v>
      </c>
      <c r="F572" t="e">
        <f>AND(#REF!,"AAAAADb//wU=")</f>
        <v>#REF!</v>
      </c>
      <c r="G572" t="e">
        <f>IF(#REF!,"AAAAADb//wY=",0)</f>
        <v>#REF!</v>
      </c>
      <c r="H572" t="e">
        <f>AND(#REF!,"AAAAADb//wc=")</f>
        <v>#REF!</v>
      </c>
      <c r="I572" t="e">
        <f>AND(#REF!,"AAAAADb//wg=")</f>
        <v>#REF!</v>
      </c>
      <c r="J572" t="e">
        <f>AND(#REF!,"AAAAADb//wk=")</f>
        <v>#REF!</v>
      </c>
      <c r="K572" t="e">
        <f>AND(#REF!,"AAAAADb//wo=")</f>
        <v>#REF!</v>
      </c>
      <c r="L572" t="e">
        <f>AND(#REF!,"AAAAADb//ws=")</f>
        <v>#REF!</v>
      </c>
      <c r="M572" t="e">
        <f>AND(#REF!,"AAAAADb//ww=")</f>
        <v>#REF!</v>
      </c>
      <c r="N572" t="e">
        <f>AND(#REF!,"AAAAADb//w0=")</f>
        <v>#REF!</v>
      </c>
      <c r="O572" t="e">
        <f>AND(#REF!,"AAAAADb//w4=")</f>
        <v>#REF!</v>
      </c>
      <c r="P572" t="e">
        <f>AND(#REF!,"AAAAADb//w8=")</f>
        <v>#REF!</v>
      </c>
      <c r="Q572" t="e">
        <f>AND(#REF!,"AAAAADb//xA=")</f>
        <v>#REF!</v>
      </c>
      <c r="R572" t="e">
        <f>IF(#REF!,"AAAAADb//xE=",0)</f>
        <v>#REF!</v>
      </c>
      <c r="S572" t="e">
        <f>AND(#REF!,"AAAAADb//xI=")</f>
        <v>#REF!</v>
      </c>
      <c r="T572" t="e">
        <f>AND(#REF!,"AAAAADb//xM=")</f>
        <v>#REF!</v>
      </c>
      <c r="U572" t="e">
        <f>AND(#REF!,"AAAAADb//xQ=")</f>
        <v>#REF!</v>
      </c>
      <c r="V572" t="e">
        <f>AND(#REF!,"AAAAADb//xU=")</f>
        <v>#REF!</v>
      </c>
      <c r="W572" t="e">
        <f>AND(#REF!,"AAAAADb//xY=")</f>
        <v>#REF!</v>
      </c>
      <c r="X572" t="e">
        <f>AND(#REF!,"AAAAADb//xc=")</f>
        <v>#REF!</v>
      </c>
      <c r="Y572" t="e">
        <f>AND(#REF!,"AAAAADb//xg=")</f>
        <v>#REF!</v>
      </c>
      <c r="Z572" t="e">
        <f>AND(#REF!,"AAAAADb//xk=")</f>
        <v>#REF!</v>
      </c>
      <c r="AA572" t="e">
        <f>AND(#REF!,"AAAAADb//xo=")</f>
        <v>#REF!</v>
      </c>
      <c r="AB572" t="e">
        <f>AND(#REF!,"AAAAADb//xs=")</f>
        <v>#REF!</v>
      </c>
      <c r="AC572" t="e">
        <f>IF(#REF!,"AAAAADb//xw=",0)</f>
        <v>#REF!</v>
      </c>
      <c r="AD572" t="e">
        <f>AND(#REF!,"AAAAADb//x0=")</f>
        <v>#REF!</v>
      </c>
      <c r="AE572" t="e">
        <f>AND(#REF!,"AAAAADb//x4=")</f>
        <v>#REF!</v>
      </c>
      <c r="AF572" t="e">
        <f>AND(#REF!,"AAAAADb//x8=")</f>
        <v>#REF!</v>
      </c>
      <c r="AG572" t="e">
        <f>AND(#REF!,"AAAAADb//yA=")</f>
        <v>#REF!</v>
      </c>
      <c r="AH572" t="e">
        <f>AND(#REF!,"AAAAADb//yE=")</f>
        <v>#REF!</v>
      </c>
      <c r="AI572" t="e">
        <f>AND(#REF!,"AAAAADb//yI=")</f>
        <v>#REF!</v>
      </c>
      <c r="AJ572" t="e">
        <f>AND(#REF!,"AAAAADb//yM=")</f>
        <v>#REF!</v>
      </c>
      <c r="AK572" t="e">
        <f>AND(#REF!,"AAAAADb//yQ=")</f>
        <v>#REF!</v>
      </c>
      <c r="AL572" t="e">
        <f>AND(#REF!,"AAAAADb//yU=")</f>
        <v>#REF!</v>
      </c>
      <c r="AM572" t="e">
        <f>AND(#REF!,"AAAAADb//yY=")</f>
        <v>#REF!</v>
      </c>
      <c r="AN572" t="e">
        <f>IF(#REF!,"AAAAADb//yc=",0)</f>
        <v>#REF!</v>
      </c>
      <c r="AO572" t="e">
        <f>AND(#REF!,"AAAAADb//yg=")</f>
        <v>#REF!</v>
      </c>
      <c r="AP572" t="e">
        <f>AND(#REF!,"AAAAADb//yk=")</f>
        <v>#REF!</v>
      </c>
      <c r="AQ572" t="e">
        <f>AND(#REF!,"AAAAADb//yo=")</f>
        <v>#REF!</v>
      </c>
      <c r="AR572" t="e">
        <f>AND(#REF!,"AAAAADb//ys=")</f>
        <v>#REF!</v>
      </c>
      <c r="AS572" t="e">
        <f>AND(#REF!,"AAAAADb//yw=")</f>
        <v>#REF!</v>
      </c>
      <c r="AT572" t="e">
        <f>AND(#REF!,"AAAAADb//y0=")</f>
        <v>#REF!</v>
      </c>
      <c r="AU572" t="e">
        <f>AND(#REF!,"AAAAADb//y4=")</f>
        <v>#REF!</v>
      </c>
      <c r="AV572" t="e">
        <f>AND(#REF!,"AAAAADb//y8=")</f>
        <v>#REF!</v>
      </c>
      <c r="AW572" t="e">
        <f>AND(#REF!,"AAAAADb//zA=")</f>
        <v>#REF!</v>
      </c>
      <c r="AX572" t="e">
        <f>AND(#REF!,"AAAAADb//zE=")</f>
        <v>#REF!</v>
      </c>
      <c r="AY572" t="e">
        <f>IF(#REF!,"AAAAADb//zI=",0)</f>
        <v>#REF!</v>
      </c>
      <c r="AZ572" t="e">
        <f>AND(#REF!,"AAAAADb//zM=")</f>
        <v>#REF!</v>
      </c>
      <c r="BA572" t="e">
        <f>AND(#REF!,"AAAAADb//zQ=")</f>
        <v>#REF!</v>
      </c>
      <c r="BB572" t="e">
        <f>AND(#REF!,"AAAAADb//zU=")</f>
        <v>#REF!</v>
      </c>
      <c r="BC572" t="e">
        <f>AND(#REF!,"AAAAADb//zY=")</f>
        <v>#REF!</v>
      </c>
      <c r="BD572" t="e">
        <f>AND(#REF!,"AAAAADb//zc=")</f>
        <v>#REF!</v>
      </c>
      <c r="BE572" t="e">
        <f>AND(#REF!,"AAAAADb//zg=")</f>
        <v>#REF!</v>
      </c>
      <c r="BF572" t="e">
        <f>AND(#REF!,"AAAAADb//zk=")</f>
        <v>#REF!</v>
      </c>
      <c r="BG572" t="e">
        <f>AND(#REF!,"AAAAADb//zo=")</f>
        <v>#REF!</v>
      </c>
      <c r="BH572" t="e">
        <f>AND(#REF!,"AAAAADb//zs=")</f>
        <v>#REF!</v>
      </c>
      <c r="BI572" t="e">
        <f>AND(#REF!,"AAAAADb//zw=")</f>
        <v>#REF!</v>
      </c>
      <c r="BJ572" t="e">
        <f>IF(#REF!,"AAAAADb//z0=",0)</f>
        <v>#REF!</v>
      </c>
      <c r="BK572" t="e">
        <f>AND(#REF!,"AAAAADb//z4=")</f>
        <v>#REF!</v>
      </c>
      <c r="BL572" t="e">
        <f>AND(#REF!,"AAAAADb//z8=")</f>
        <v>#REF!</v>
      </c>
      <c r="BM572" t="e">
        <f>AND(#REF!,"AAAAADb//0A=")</f>
        <v>#REF!</v>
      </c>
      <c r="BN572" t="e">
        <f>AND(#REF!,"AAAAADb//0E=")</f>
        <v>#REF!</v>
      </c>
      <c r="BO572" t="e">
        <f>AND(#REF!,"AAAAADb//0I=")</f>
        <v>#REF!</v>
      </c>
      <c r="BP572" t="e">
        <f>AND(#REF!,"AAAAADb//0M=")</f>
        <v>#REF!</v>
      </c>
      <c r="BQ572" t="e">
        <f>AND(#REF!,"AAAAADb//0Q=")</f>
        <v>#REF!</v>
      </c>
      <c r="BR572" t="e">
        <f>AND(#REF!,"AAAAADb//0U=")</f>
        <v>#REF!</v>
      </c>
      <c r="BS572" t="e">
        <f>AND(#REF!,"AAAAADb//0Y=")</f>
        <v>#REF!</v>
      </c>
      <c r="BT572" t="e">
        <f>AND(#REF!,"AAAAADb//0c=")</f>
        <v>#REF!</v>
      </c>
      <c r="BU572" t="e">
        <f>IF(#REF!,"AAAAADb//0g=",0)</f>
        <v>#REF!</v>
      </c>
      <c r="BV572" t="e">
        <f>AND(#REF!,"AAAAADb//0k=")</f>
        <v>#REF!</v>
      </c>
      <c r="BW572" t="e">
        <f>AND(#REF!,"AAAAADb//0o=")</f>
        <v>#REF!</v>
      </c>
      <c r="BX572" t="e">
        <f>AND(#REF!,"AAAAADb//0s=")</f>
        <v>#REF!</v>
      </c>
      <c r="BY572" t="e">
        <f>AND(#REF!,"AAAAADb//0w=")</f>
        <v>#REF!</v>
      </c>
      <c r="BZ572" t="e">
        <f>AND(#REF!,"AAAAADb//00=")</f>
        <v>#REF!</v>
      </c>
      <c r="CA572" t="e">
        <f>AND(#REF!,"AAAAADb//04=")</f>
        <v>#REF!</v>
      </c>
      <c r="CB572" t="e">
        <f>AND(#REF!,"AAAAADb//08=")</f>
        <v>#REF!</v>
      </c>
      <c r="CC572" t="e">
        <f>AND(#REF!,"AAAAADb//1A=")</f>
        <v>#REF!</v>
      </c>
      <c r="CD572" t="e">
        <f>AND(#REF!,"AAAAADb//1E=")</f>
        <v>#REF!</v>
      </c>
      <c r="CE572" t="e">
        <f>AND(#REF!,"AAAAADb//1I=")</f>
        <v>#REF!</v>
      </c>
      <c r="CF572" t="e">
        <f>IF(#REF!,"AAAAADb//1M=",0)</f>
        <v>#REF!</v>
      </c>
      <c r="CG572" t="e">
        <f>AND(#REF!,"AAAAADb//1Q=")</f>
        <v>#REF!</v>
      </c>
      <c r="CH572" t="e">
        <f>AND(#REF!,"AAAAADb//1U=")</f>
        <v>#REF!</v>
      </c>
      <c r="CI572" t="e">
        <f>AND(#REF!,"AAAAADb//1Y=")</f>
        <v>#REF!</v>
      </c>
      <c r="CJ572" t="e">
        <f>AND(#REF!,"AAAAADb//1c=")</f>
        <v>#REF!</v>
      </c>
      <c r="CK572" t="e">
        <f>AND(#REF!,"AAAAADb//1g=")</f>
        <v>#REF!</v>
      </c>
      <c r="CL572" t="e">
        <f>AND(#REF!,"AAAAADb//1k=")</f>
        <v>#REF!</v>
      </c>
      <c r="CM572" t="e">
        <f>AND(#REF!,"AAAAADb//1o=")</f>
        <v>#REF!</v>
      </c>
      <c r="CN572" t="e">
        <f>AND(#REF!,"AAAAADb//1s=")</f>
        <v>#REF!</v>
      </c>
      <c r="CO572" t="e">
        <f>AND(#REF!,"AAAAADb//1w=")</f>
        <v>#REF!</v>
      </c>
      <c r="CP572" t="e">
        <f>AND(#REF!,"AAAAADb//10=")</f>
        <v>#REF!</v>
      </c>
      <c r="CQ572" t="e">
        <f>IF(#REF!,"AAAAADb//14=",0)</f>
        <v>#REF!</v>
      </c>
      <c r="CR572" t="e">
        <f>AND(#REF!,"AAAAADb//18=")</f>
        <v>#REF!</v>
      </c>
      <c r="CS572" t="e">
        <f>AND(#REF!,"AAAAADb//2A=")</f>
        <v>#REF!</v>
      </c>
      <c r="CT572" t="e">
        <f>AND(#REF!,"AAAAADb//2E=")</f>
        <v>#REF!</v>
      </c>
      <c r="CU572" t="e">
        <f>AND(#REF!,"AAAAADb//2I=")</f>
        <v>#REF!</v>
      </c>
      <c r="CV572" t="e">
        <f>AND(#REF!,"AAAAADb//2M=")</f>
        <v>#REF!</v>
      </c>
      <c r="CW572" t="e">
        <f>AND(#REF!,"AAAAADb//2Q=")</f>
        <v>#REF!</v>
      </c>
      <c r="CX572" t="e">
        <f>AND(#REF!,"AAAAADb//2U=")</f>
        <v>#REF!</v>
      </c>
      <c r="CY572" t="e">
        <f>AND(#REF!,"AAAAADb//2Y=")</f>
        <v>#REF!</v>
      </c>
      <c r="CZ572" t="e">
        <f>AND(#REF!,"AAAAADb//2c=")</f>
        <v>#REF!</v>
      </c>
      <c r="DA572" t="e">
        <f>AND(#REF!,"AAAAADb//2g=")</f>
        <v>#REF!</v>
      </c>
      <c r="DB572" t="e">
        <f>IF(#REF!,"AAAAADb//2k=",0)</f>
        <v>#REF!</v>
      </c>
      <c r="DC572" t="e">
        <f>AND(#REF!,"AAAAADb//2o=")</f>
        <v>#REF!</v>
      </c>
      <c r="DD572" t="e">
        <f>AND(#REF!,"AAAAADb//2s=")</f>
        <v>#REF!</v>
      </c>
      <c r="DE572" t="e">
        <f>AND(#REF!,"AAAAADb//2w=")</f>
        <v>#REF!</v>
      </c>
      <c r="DF572" t="e">
        <f>AND(#REF!,"AAAAADb//20=")</f>
        <v>#REF!</v>
      </c>
      <c r="DG572" t="e">
        <f>AND(#REF!,"AAAAADb//24=")</f>
        <v>#REF!</v>
      </c>
      <c r="DH572" t="e">
        <f>AND(#REF!,"AAAAADb//28=")</f>
        <v>#REF!</v>
      </c>
      <c r="DI572" t="e">
        <f>AND(#REF!,"AAAAADb//3A=")</f>
        <v>#REF!</v>
      </c>
      <c r="DJ572" t="e">
        <f>AND(#REF!,"AAAAADb//3E=")</f>
        <v>#REF!</v>
      </c>
      <c r="DK572" t="e">
        <f>AND(#REF!,"AAAAADb//3I=")</f>
        <v>#REF!</v>
      </c>
      <c r="DL572" t="e">
        <f>AND(#REF!,"AAAAADb//3M=")</f>
        <v>#REF!</v>
      </c>
      <c r="DM572" t="e">
        <f>IF(#REF!,"AAAAADb//3Q=",0)</f>
        <v>#REF!</v>
      </c>
      <c r="DN572" t="e">
        <f>AND(#REF!,"AAAAADb//3U=")</f>
        <v>#REF!</v>
      </c>
      <c r="DO572" t="e">
        <f>AND(#REF!,"AAAAADb//3Y=")</f>
        <v>#REF!</v>
      </c>
      <c r="DP572" t="e">
        <f>AND(#REF!,"AAAAADb//3c=")</f>
        <v>#REF!</v>
      </c>
      <c r="DQ572" t="e">
        <f>AND(#REF!,"AAAAADb//3g=")</f>
        <v>#REF!</v>
      </c>
      <c r="DR572" t="e">
        <f>AND(#REF!,"AAAAADb//3k=")</f>
        <v>#REF!</v>
      </c>
      <c r="DS572" t="e">
        <f>AND(#REF!,"AAAAADb//3o=")</f>
        <v>#REF!</v>
      </c>
      <c r="DT572" t="e">
        <f>AND(#REF!,"AAAAADb//3s=")</f>
        <v>#REF!</v>
      </c>
      <c r="DU572" t="e">
        <f>AND(#REF!,"AAAAADb//3w=")</f>
        <v>#REF!</v>
      </c>
      <c r="DV572" t="e">
        <f>AND(#REF!,"AAAAADb//30=")</f>
        <v>#REF!</v>
      </c>
      <c r="DW572" t="e">
        <f>AND(#REF!,"AAAAADb//34=")</f>
        <v>#REF!</v>
      </c>
      <c r="DX572" t="e">
        <f>IF(#REF!,"AAAAADb//38=",0)</f>
        <v>#REF!</v>
      </c>
      <c r="DY572" t="e">
        <f>AND(#REF!,"AAAAADb//4A=")</f>
        <v>#REF!</v>
      </c>
      <c r="DZ572" t="e">
        <f>AND(#REF!,"AAAAADb//4E=")</f>
        <v>#REF!</v>
      </c>
      <c r="EA572" t="e">
        <f>AND(#REF!,"AAAAADb//4I=")</f>
        <v>#REF!</v>
      </c>
      <c r="EB572" t="e">
        <f>AND(#REF!,"AAAAADb//4M=")</f>
        <v>#REF!</v>
      </c>
      <c r="EC572" t="e">
        <f>AND(#REF!,"AAAAADb//4Q=")</f>
        <v>#REF!</v>
      </c>
      <c r="ED572" t="e">
        <f>AND(#REF!,"AAAAADb//4U=")</f>
        <v>#REF!</v>
      </c>
      <c r="EE572" t="e">
        <f>AND(#REF!,"AAAAADb//4Y=")</f>
        <v>#REF!</v>
      </c>
      <c r="EF572" t="e">
        <f>AND(#REF!,"AAAAADb//4c=")</f>
        <v>#REF!</v>
      </c>
      <c r="EG572" t="e">
        <f>AND(#REF!,"AAAAADb//4g=")</f>
        <v>#REF!</v>
      </c>
      <c r="EH572" t="e">
        <f>AND(#REF!,"AAAAADb//4k=")</f>
        <v>#REF!</v>
      </c>
      <c r="EI572" t="e">
        <f>IF(#REF!,"AAAAADb//4o=",0)</f>
        <v>#REF!</v>
      </c>
      <c r="EJ572" t="e">
        <f>AND(#REF!,"AAAAADb//4s=")</f>
        <v>#REF!</v>
      </c>
      <c r="EK572" t="e">
        <f>AND(#REF!,"AAAAADb//4w=")</f>
        <v>#REF!</v>
      </c>
      <c r="EL572" t="e">
        <f>AND(#REF!,"AAAAADb//40=")</f>
        <v>#REF!</v>
      </c>
      <c r="EM572" t="e">
        <f>AND(#REF!,"AAAAADb//44=")</f>
        <v>#REF!</v>
      </c>
      <c r="EN572" t="e">
        <f>AND(#REF!,"AAAAADb//48=")</f>
        <v>#REF!</v>
      </c>
      <c r="EO572" t="e">
        <f>AND(#REF!,"AAAAADb//5A=")</f>
        <v>#REF!</v>
      </c>
      <c r="EP572" t="e">
        <f>AND(#REF!,"AAAAADb//5E=")</f>
        <v>#REF!</v>
      </c>
      <c r="EQ572" t="e">
        <f>AND(#REF!,"AAAAADb//5I=")</f>
        <v>#REF!</v>
      </c>
      <c r="ER572" t="e">
        <f>AND(#REF!,"AAAAADb//5M=")</f>
        <v>#REF!</v>
      </c>
      <c r="ES572" t="e">
        <f>AND(#REF!,"AAAAADb//5Q=")</f>
        <v>#REF!</v>
      </c>
      <c r="ET572" t="e">
        <f>IF(#REF!,"AAAAADb//5U=",0)</f>
        <v>#REF!</v>
      </c>
      <c r="EU572" t="e">
        <f>AND(#REF!,"AAAAADb//5Y=")</f>
        <v>#REF!</v>
      </c>
      <c r="EV572" t="e">
        <f>AND(#REF!,"AAAAADb//5c=")</f>
        <v>#REF!</v>
      </c>
      <c r="EW572" t="e">
        <f>AND(#REF!,"AAAAADb//5g=")</f>
        <v>#REF!</v>
      </c>
      <c r="EX572" t="e">
        <f>AND(#REF!,"AAAAADb//5k=")</f>
        <v>#REF!</v>
      </c>
      <c r="EY572" t="e">
        <f>AND(#REF!,"AAAAADb//5o=")</f>
        <v>#REF!</v>
      </c>
      <c r="EZ572" t="e">
        <f>AND(#REF!,"AAAAADb//5s=")</f>
        <v>#REF!</v>
      </c>
      <c r="FA572" t="e">
        <f>AND(#REF!,"AAAAADb//5w=")</f>
        <v>#REF!</v>
      </c>
      <c r="FB572" t="e">
        <f>AND(#REF!,"AAAAADb//50=")</f>
        <v>#REF!</v>
      </c>
      <c r="FC572" t="e">
        <f>AND(#REF!,"AAAAADb//54=")</f>
        <v>#REF!</v>
      </c>
      <c r="FD572" t="e">
        <f>AND(#REF!,"AAAAADb//58=")</f>
        <v>#REF!</v>
      </c>
      <c r="FE572" t="e">
        <f>IF(#REF!,"AAAAADb//6A=",0)</f>
        <v>#REF!</v>
      </c>
      <c r="FF572" t="e">
        <f>AND(#REF!,"AAAAADb//6E=")</f>
        <v>#REF!</v>
      </c>
      <c r="FG572" t="e">
        <f>AND(#REF!,"AAAAADb//6I=")</f>
        <v>#REF!</v>
      </c>
      <c r="FH572" t="e">
        <f>AND(#REF!,"AAAAADb//6M=")</f>
        <v>#REF!</v>
      </c>
      <c r="FI572" t="e">
        <f>AND(#REF!,"AAAAADb//6Q=")</f>
        <v>#REF!</v>
      </c>
      <c r="FJ572" t="e">
        <f>AND(#REF!,"AAAAADb//6U=")</f>
        <v>#REF!</v>
      </c>
      <c r="FK572" t="e">
        <f>AND(#REF!,"AAAAADb//6Y=")</f>
        <v>#REF!</v>
      </c>
      <c r="FL572" t="e">
        <f>AND(#REF!,"AAAAADb//6c=")</f>
        <v>#REF!</v>
      </c>
      <c r="FM572" t="e">
        <f>AND(#REF!,"AAAAADb//6g=")</f>
        <v>#REF!</v>
      </c>
      <c r="FN572" t="e">
        <f>AND(#REF!,"AAAAADb//6k=")</f>
        <v>#REF!</v>
      </c>
      <c r="FO572" t="e">
        <f>AND(#REF!,"AAAAADb//6o=")</f>
        <v>#REF!</v>
      </c>
      <c r="FP572" t="e">
        <f>IF(#REF!,"AAAAADb//6s=",0)</f>
        <v>#REF!</v>
      </c>
      <c r="FQ572" t="e">
        <f>AND(#REF!,"AAAAADb//6w=")</f>
        <v>#REF!</v>
      </c>
      <c r="FR572" t="e">
        <f>AND(#REF!,"AAAAADb//60=")</f>
        <v>#REF!</v>
      </c>
      <c r="FS572" t="e">
        <f>AND(#REF!,"AAAAADb//64=")</f>
        <v>#REF!</v>
      </c>
      <c r="FT572" t="e">
        <f>AND(#REF!,"AAAAADb//68=")</f>
        <v>#REF!</v>
      </c>
      <c r="FU572" t="e">
        <f>AND(#REF!,"AAAAADb//7A=")</f>
        <v>#REF!</v>
      </c>
      <c r="FV572" t="e">
        <f>AND(#REF!,"AAAAADb//7E=")</f>
        <v>#REF!</v>
      </c>
      <c r="FW572" t="e">
        <f>AND(#REF!,"AAAAADb//7I=")</f>
        <v>#REF!</v>
      </c>
      <c r="FX572" t="e">
        <f>AND(#REF!,"AAAAADb//7M=")</f>
        <v>#REF!</v>
      </c>
      <c r="FY572" t="e">
        <f>AND(#REF!,"AAAAADb//7Q=")</f>
        <v>#REF!</v>
      </c>
      <c r="FZ572" t="e">
        <f>AND(#REF!,"AAAAADb//7U=")</f>
        <v>#REF!</v>
      </c>
      <c r="GA572" t="e">
        <f>IF(#REF!,"AAAAADb//7Y=",0)</f>
        <v>#REF!</v>
      </c>
      <c r="GB572" t="e">
        <f>AND(#REF!,"AAAAADb//7c=")</f>
        <v>#REF!</v>
      </c>
      <c r="GC572" t="e">
        <f>AND(#REF!,"AAAAADb//7g=")</f>
        <v>#REF!</v>
      </c>
      <c r="GD572" t="e">
        <f>AND(#REF!,"AAAAADb//7k=")</f>
        <v>#REF!</v>
      </c>
      <c r="GE572" t="e">
        <f>AND(#REF!,"AAAAADb//7o=")</f>
        <v>#REF!</v>
      </c>
      <c r="GF572" t="e">
        <f>AND(#REF!,"AAAAADb//7s=")</f>
        <v>#REF!</v>
      </c>
      <c r="GG572" t="e">
        <f>AND(#REF!,"AAAAADb//7w=")</f>
        <v>#REF!</v>
      </c>
      <c r="GH572" t="e">
        <f>AND(#REF!,"AAAAADb//70=")</f>
        <v>#REF!</v>
      </c>
      <c r="GI572" t="e">
        <f>AND(#REF!,"AAAAADb//74=")</f>
        <v>#REF!</v>
      </c>
      <c r="GJ572" t="e">
        <f>AND(#REF!,"AAAAADb//78=")</f>
        <v>#REF!</v>
      </c>
      <c r="GK572" t="e">
        <f>AND(#REF!,"AAAAADb//8A=")</f>
        <v>#REF!</v>
      </c>
      <c r="GL572" t="e">
        <f>IF(#REF!,"AAAAADb//8E=",0)</f>
        <v>#REF!</v>
      </c>
      <c r="GM572" t="e">
        <f>AND(#REF!,"AAAAADb//8I=")</f>
        <v>#REF!</v>
      </c>
      <c r="GN572" t="e">
        <f>AND(#REF!,"AAAAADb//8M=")</f>
        <v>#REF!</v>
      </c>
      <c r="GO572" t="e">
        <f>AND(#REF!,"AAAAADb//8Q=")</f>
        <v>#REF!</v>
      </c>
      <c r="GP572" t="e">
        <f>AND(#REF!,"AAAAADb//8U=")</f>
        <v>#REF!</v>
      </c>
      <c r="GQ572" t="e">
        <f>AND(#REF!,"AAAAADb//8Y=")</f>
        <v>#REF!</v>
      </c>
      <c r="GR572" t="e">
        <f>AND(#REF!,"AAAAADb//8c=")</f>
        <v>#REF!</v>
      </c>
      <c r="GS572" t="e">
        <f>AND(#REF!,"AAAAADb//8g=")</f>
        <v>#REF!</v>
      </c>
      <c r="GT572" t="e">
        <f>AND(#REF!,"AAAAADb//8k=")</f>
        <v>#REF!</v>
      </c>
      <c r="GU572" t="e">
        <f>AND(#REF!,"AAAAADb//8o=")</f>
        <v>#REF!</v>
      </c>
      <c r="GV572" t="e">
        <f>AND(#REF!,"AAAAADb//8s=")</f>
        <v>#REF!</v>
      </c>
      <c r="GW572" t="e">
        <f>IF(#REF!,"AAAAADb//8w=",0)</f>
        <v>#REF!</v>
      </c>
      <c r="GX572" t="e">
        <f>AND(#REF!,"AAAAADb//80=")</f>
        <v>#REF!</v>
      </c>
      <c r="GY572" t="e">
        <f>AND(#REF!,"AAAAADb//84=")</f>
        <v>#REF!</v>
      </c>
      <c r="GZ572" t="e">
        <f>AND(#REF!,"AAAAADb//88=")</f>
        <v>#REF!</v>
      </c>
      <c r="HA572" t="e">
        <f>AND(#REF!,"AAAAADb//9A=")</f>
        <v>#REF!</v>
      </c>
      <c r="HB572" t="e">
        <f>AND(#REF!,"AAAAADb//9E=")</f>
        <v>#REF!</v>
      </c>
      <c r="HC572" t="e">
        <f>AND(#REF!,"AAAAADb//9I=")</f>
        <v>#REF!</v>
      </c>
      <c r="HD572" t="e">
        <f>AND(#REF!,"AAAAADb//9M=")</f>
        <v>#REF!</v>
      </c>
      <c r="HE572" t="e">
        <f>AND(#REF!,"AAAAADb//9Q=")</f>
        <v>#REF!</v>
      </c>
      <c r="HF572" t="e">
        <f>AND(#REF!,"AAAAADb//9U=")</f>
        <v>#REF!</v>
      </c>
      <c r="HG572" t="e">
        <f>AND(#REF!,"AAAAADb//9Y=")</f>
        <v>#REF!</v>
      </c>
      <c r="HH572" t="e">
        <f>IF(#REF!,"AAAAADb//9c=",0)</f>
        <v>#REF!</v>
      </c>
      <c r="HI572" t="e">
        <f>AND(#REF!,"AAAAADb//9g=")</f>
        <v>#REF!</v>
      </c>
      <c r="HJ572" t="e">
        <f>AND(#REF!,"AAAAADb//9k=")</f>
        <v>#REF!</v>
      </c>
      <c r="HK572" t="e">
        <f>AND(#REF!,"AAAAADb//9o=")</f>
        <v>#REF!</v>
      </c>
      <c r="HL572" t="e">
        <f>AND(#REF!,"AAAAADb//9s=")</f>
        <v>#REF!</v>
      </c>
      <c r="HM572" t="e">
        <f>AND(#REF!,"AAAAADb//9w=")</f>
        <v>#REF!</v>
      </c>
      <c r="HN572" t="e">
        <f>AND(#REF!,"AAAAADb//90=")</f>
        <v>#REF!</v>
      </c>
      <c r="HO572" t="e">
        <f>AND(#REF!,"AAAAADb//94=")</f>
        <v>#REF!</v>
      </c>
      <c r="HP572" t="e">
        <f>AND(#REF!,"AAAAADb//98=")</f>
        <v>#REF!</v>
      </c>
      <c r="HQ572" t="e">
        <f>AND(#REF!,"AAAAADb//+A=")</f>
        <v>#REF!</v>
      </c>
      <c r="HR572" t="e">
        <f>AND(#REF!,"AAAAADb//+E=")</f>
        <v>#REF!</v>
      </c>
      <c r="HS572" t="e">
        <f>IF(#REF!,"AAAAADb//+I=",0)</f>
        <v>#REF!</v>
      </c>
      <c r="HT572" t="e">
        <f>AND(#REF!,"AAAAADb//+M=")</f>
        <v>#REF!</v>
      </c>
      <c r="HU572" t="e">
        <f>AND(#REF!,"AAAAADb//+Q=")</f>
        <v>#REF!</v>
      </c>
      <c r="HV572" t="e">
        <f>AND(#REF!,"AAAAADb//+U=")</f>
        <v>#REF!</v>
      </c>
      <c r="HW572" t="e">
        <f>AND(#REF!,"AAAAADb//+Y=")</f>
        <v>#REF!</v>
      </c>
      <c r="HX572" t="e">
        <f>AND(#REF!,"AAAAADb//+c=")</f>
        <v>#REF!</v>
      </c>
      <c r="HY572" t="e">
        <f>AND(#REF!,"AAAAADb//+g=")</f>
        <v>#REF!</v>
      </c>
      <c r="HZ572" t="e">
        <f>AND(#REF!,"AAAAADb//+k=")</f>
        <v>#REF!</v>
      </c>
      <c r="IA572" t="e">
        <f>AND(#REF!,"AAAAADb//+o=")</f>
        <v>#REF!</v>
      </c>
      <c r="IB572" t="e">
        <f>AND(#REF!,"AAAAADb//+s=")</f>
        <v>#REF!</v>
      </c>
      <c r="IC572" t="e">
        <f>AND(#REF!,"AAAAADb//+w=")</f>
        <v>#REF!</v>
      </c>
      <c r="ID572" t="e">
        <f>IF(#REF!,"AAAAADb//+0=",0)</f>
        <v>#REF!</v>
      </c>
      <c r="IE572" t="e">
        <f>AND(#REF!,"AAAAADb//+4=")</f>
        <v>#REF!</v>
      </c>
      <c r="IF572" t="e">
        <f>AND(#REF!,"AAAAADb//+8=")</f>
        <v>#REF!</v>
      </c>
      <c r="IG572" t="e">
        <f>AND(#REF!,"AAAAADb///A=")</f>
        <v>#REF!</v>
      </c>
      <c r="IH572" t="e">
        <f>AND(#REF!,"AAAAADb///E=")</f>
        <v>#REF!</v>
      </c>
      <c r="II572" t="e">
        <f>AND(#REF!,"AAAAADb///I=")</f>
        <v>#REF!</v>
      </c>
      <c r="IJ572" t="e">
        <f>AND(#REF!,"AAAAADb///M=")</f>
        <v>#REF!</v>
      </c>
      <c r="IK572" t="e">
        <f>AND(#REF!,"AAAAADb///Q=")</f>
        <v>#REF!</v>
      </c>
      <c r="IL572" t="e">
        <f>AND(#REF!,"AAAAADb///U=")</f>
        <v>#REF!</v>
      </c>
      <c r="IM572" t="e">
        <f>AND(#REF!,"AAAAADb///Y=")</f>
        <v>#REF!</v>
      </c>
      <c r="IN572" t="e">
        <f>AND(#REF!,"AAAAADb///c=")</f>
        <v>#REF!</v>
      </c>
      <c r="IO572" t="e">
        <f>IF(#REF!,"AAAAADb///g=",0)</f>
        <v>#REF!</v>
      </c>
      <c r="IP572" t="e">
        <f>AND(#REF!,"AAAAADb///k=")</f>
        <v>#REF!</v>
      </c>
      <c r="IQ572" t="e">
        <f>AND(#REF!,"AAAAADb///o=")</f>
        <v>#REF!</v>
      </c>
      <c r="IR572" t="e">
        <f>AND(#REF!,"AAAAADb///s=")</f>
        <v>#REF!</v>
      </c>
      <c r="IS572" t="e">
        <f>AND(#REF!,"AAAAADb///w=")</f>
        <v>#REF!</v>
      </c>
      <c r="IT572" t="e">
        <f>AND(#REF!,"AAAAADb///0=")</f>
        <v>#REF!</v>
      </c>
      <c r="IU572" t="e">
        <f>AND(#REF!,"AAAAADb///4=")</f>
        <v>#REF!</v>
      </c>
      <c r="IV572" t="e">
        <f>AND(#REF!,"AAAAADb///8=")</f>
        <v>#REF!</v>
      </c>
    </row>
    <row r="573" spans="1:256" x14ac:dyDescent="0.25">
      <c r="A573" t="e">
        <f>AND(#REF!,"AAAAAH/fygA=")</f>
        <v>#REF!</v>
      </c>
      <c r="B573" t="e">
        <f>AND(#REF!,"AAAAAH/fygE=")</f>
        <v>#REF!</v>
      </c>
      <c r="C573" t="e">
        <f>AND(#REF!,"AAAAAH/fygI=")</f>
        <v>#REF!</v>
      </c>
      <c r="D573" t="e">
        <f>IF(#REF!,"AAAAAH/fygM=",0)</f>
        <v>#REF!</v>
      </c>
      <c r="E573" t="e">
        <f>AND(#REF!,"AAAAAH/fygQ=")</f>
        <v>#REF!</v>
      </c>
      <c r="F573" t="e">
        <f>AND(#REF!,"AAAAAH/fygU=")</f>
        <v>#REF!</v>
      </c>
      <c r="G573" t="e">
        <f>AND(#REF!,"AAAAAH/fygY=")</f>
        <v>#REF!</v>
      </c>
      <c r="H573" t="e">
        <f>AND(#REF!,"AAAAAH/fygc=")</f>
        <v>#REF!</v>
      </c>
      <c r="I573" t="e">
        <f>AND(#REF!,"AAAAAH/fygg=")</f>
        <v>#REF!</v>
      </c>
      <c r="J573" t="e">
        <f>AND(#REF!,"AAAAAH/fygk=")</f>
        <v>#REF!</v>
      </c>
      <c r="K573" t="e">
        <f>AND(#REF!,"AAAAAH/fygo=")</f>
        <v>#REF!</v>
      </c>
      <c r="L573" t="e">
        <f>AND(#REF!,"AAAAAH/fygs=")</f>
        <v>#REF!</v>
      </c>
      <c r="M573" t="e">
        <f>AND(#REF!,"AAAAAH/fygw=")</f>
        <v>#REF!</v>
      </c>
      <c r="N573" t="e">
        <f>AND(#REF!,"AAAAAH/fyg0=")</f>
        <v>#REF!</v>
      </c>
      <c r="O573" t="e">
        <f>IF(#REF!,"AAAAAH/fyg4=",0)</f>
        <v>#REF!</v>
      </c>
      <c r="P573" t="e">
        <f>AND(#REF!,"AAAAAH/fyg8=")</f>
        <v>#REF!</v>
      </c>
      <c r="Q573" t="e">
        <f>AND(#REF!,"AAAAAH/fyhA=")</f>
        <v>#REF!</v>
      </c>
      <c r="R573" t="e">
        <f>AND(#REF!,"AAAAAH/fyhE=")</f>
        <v>#REF!</v>
      </c>
      <c r="S573" t="e">
        <f>AND(#REF!,"AAAAAH/fyhI=")</f>
        <v>#REF!</v>
      </c>
      <c r="T573" t="e">
        <f>AND(#REF!,"AAAAAH/fyhM=")</f>
        <v>#REF!</v>
      </c>
      <c r="U573" t="e">
        <f>AND(#REF!,"AAAAAH/fyhQ=")</f>
        <v>#REF!</v>
      </c>
      <c r="V573" t="e">
        <f>AND(#REF!,"AAAAAH/fyhU=")</f>
        <v>#REF!</v>
      </c>
      <c r="W573" t="e">
        <f>AND(#REF!,"AAAAAH/fyhY=")</f>
        <v>#REF!</v>
      </c>
      <c r="X573" t="e">
        <f>AND(#REF!,"AAAAAH/fyhc=")</f>
        <v>#REF!</v>
      </c>
      <c r="Y573" t="e">
        <f>AND(#REF!,"AAAAAH/fyhg=")</f>
        <v>#REF!</v>
      </c>
      <c r="Z573" t="e">
        <f>IF(#REF!,"AAAAAH/fyhk=",0)</f>
        <v>#REF!</v>
      </c>
      <c r="AA573" t="e">
        <f>AND(#REF!,"AAAAAH/fyho=")</f>
        <v>#REF!</v>
      </c>
      <c r="AB573" t="e">
        <f>AND(#REF!,"AAAAAH/fyhs=")</f>
        <v>#REF!</v>
      </c>
      <c r="AC573" t="e">
        <f>AND(#REF!,"AAAAAH/fyhw=")</f>
        <v>#REF!</v>
      </c>
      <c r="AD573" t="e">
        <f>AND(#REF!,"AAAAAH/fyh0=")</f>
        <v>#REF!</v>
      </c>
      <c r="AE573" t="e">
        <f>AND(#REF!,"AAAAAH/fyh4=")</f>
        <v>#REF!</v>
      </c>
      <c r="AF573" t="e">
        <f>AND(#REF!,"AAAAAH/fyh8=")</f>
        <v>#REF!</v>
      </c>
      <c r="AG573" t="e">
        <f>AND(#REF!,"AAAAAH/fyiA=")</f>
        <v>#REF!</v>
      </c>
      <c r="AH573" t="e">
        <f>AND(#REF!,"AAAAAH/fyiE=")</f>
        <v>#REF!</v>
      </c>
      <c r="AI573" t="e">
        <f>AND(#REF!,"AAAAAH/fyiI=")</f>
        <v>#REF!</v>
      </c>
      <c r="AJ573" t="e">
        <f>AND(#REF!,"AAAAAH/fyiM=")</f>
        <v>#REF!</v>
      </c>
      <c r="AK573" t="e">
        <f>IF(#REF!,"AAAAAH/fyiQ=",0)</f>
        <v>#REF!</v>
      </c>
      <c r="AL573" t="e">
        <f>AND(#REF!,"AAAAAH/fyiU=")</f>
        <v>#REF!</v>
      </c>
      <c r="AM573" t="e">
        <f>AND(#REF!,"AAAAAH/fyiY=")</f>
        <v>#REF!</v>
      </c>
      <c r="AN573" t="e">
        <f>AND(#REF!,"AAAAAH/fyic=")</f>
        <v>#REF!</v>
      </c>
      <c r="AO573" t="e">
        <f>AND(#REF!,"AAAAAH/fyig=")</f>
        <v>#REF!</v>
      </c>
      <c r="AP573" t="e">
        <f>AND(#REF!,"AAAAAH/fyik=")</f>
        <v>#REF!</v>
      </c>
      <c r="AQ573" t="e">
        <f>AND(#REF!,"AAAAAH/fyio=")</f>
        <v>#REF!</v>
      </c>
      <c r="AR573" t="e">
        <f>AND(#REF!,"AAAAAH/fyis=")</f>
        <v>#REF!</v>
      </c>
      <c r="AS573" t="e">
        <f>AND(#REF!,"AAAAAH/fyiw=")</f>
        <v>#REF!</v>
      </c>
      <c r="AT573" t="e">
        <f>AND(#REF!,"AAAAAH/fyi0=")</f>
        <v>#REF!</v>
      </c>
      <c r="AU573" t="e">
        <f>AND(#REF!,"AAAAAH/fyi4=")</f>
        <v>#REF!</v>
      </c>
      <c r="AV573" t="e">
        <f>IF(#REF!,"AAAAAH/fyi8=",0)</f>
        <v>#REF!</v>
      </c>
      <c r="AW573" t="e">
        <f>AND(#REF!,"AAAAAH/fyjA=")</f>
        <v>#REF!</v>
      </c>
      <c r="AX573" t="e">
        <f>AND(#REF!,"AAAAAH/fyjE=")</f>
        <v>#REF!</v>
      </c>
      <c r="AY573" t="e">
        <f>AND(#REF!,"AAAAAH/fyjI=")</f>
        <v>#REF!</v>
      </c>
      <c r="AZ573" t="e">
        <f>AND(#REF!,"AAAAAH/fyjM=")</f>
        <v>#REF!</v>
      </c>
      <c r="BA573" t="e">
        <f>AND(#REF!,"AAAAAH/fyjQ=")</f>
        <v>#REF!</v>
      </c>
      <c r="BB573" t="e">
        <f>AND(#REF!,"AAAAAH/fyjU=")</f>
        <v>#REF!</v>
      </c>
      <c r="BC573" t="e">
        <f>AND(#REF!,"AAAAAH/fyjY=")</f>
        <v>#REF!</v>
      </c>
      <c r="BD573" t="e">
        <f>AND(#REF!,"AAAAAH/fyjc=")</f>
        <v>#REF!</v>
      </c>
      <c r="BE573" t="e">
        <f>AND(#REF!,"AAAAAH/fyjg=")</f>
        <v>#REF!</v>
      </c>
      <c r="BF573" t="e">
        <f>AND(#REF!,"AAAAAH/fyjk=")</f>
        <v>#REF!</v>
      </c>
      <c r="BG573" t="e">
        <f>IF(#REF!,"AAAAAH/fyjo=",0)</f>
        <v>#REF!</v>
      </c>
      <c r="BH573" t="e">
        <f>AND(#REF!,"AAAAAH/fyjs=")</f>
        <v>#REF!</v>
      </c>
      <c r="BI573" t="e">
        <f>AND(#REF!,"AAAAAH/fyjw=")</f>
        <v>#REF!</v>
      </c>
      <c r="BJ573" t="e">
        <f>AND(#REF!,"AAAAAH/fyj0=")</f>
        <v>#REF!</v>
      </c>
      <c r="BK573" t="e">
        <f>AND(#REF!,"AAAAAH/fyj4=")</f>
        <v>#REF!</v>
      </c>
      <c r="BL573" t="e">
        <f>AND(#REF!,"AAAAAH/fyj8=")</f>
        <v>#REF!</v>
      </c>
      <c r="BM573" t="e">
        <f>AND(#REF!,"AAAAAH/fykA=")</f>
        <v>#REF!</v>
      </c>
      <c r="BN573" t="e">
        <f>AND(#REF!,"AAAAAH/fykE=")</f>
        <v>#REF!</v>
      </c>
      <c r="BO573" t="e">
        <f>AND(#REF!,"AAAAAH/fykI=")</f>
        <v>#REF!</v>
      </c>
      <c r="BP573" t="e">
        <f>AND(#REF!,"AAAAAH/fykM=")</f>
        <v>#REF!</v>
      </c>
      <c r="BQ573" t="e">
        <f>AND(#REF!,"AAAAAH/fykQ=")</f>
        <v>#REF!</v>
      </c>
      <c r="BR573" t="e">
        <f>IF(#REF!,"AAAAAH/fykU=",0)</f>
        <v>#REF!</v>
      </c>
      <c r="BS573" t="e">
        <f>AND(#REF!,"AAAAAH/fykY=")</f>
        <v>#REF!</v>
      </c>
      <c r="BT573" t="e">
        <f>AND(#REF!,"AAAAAH/fykc=")</f>
        <v>#REF!</v>
      </c>
      <c r="BU573" t="e">
        <f>AND(#REF!,"AAAAAH/fykg=")</f>
        <v>#REF!</v>
      </c>
      <c r="BV573" t="e">
        <f>AND(#REF!,"AAAAAH/fykk=")</f>
        <v>#REF!</v>
      </c>
      <c r="BW573" t="e">
        <f>AND(#REF!,"AAAAAH/fyko=")</f>
        <v>#REF!</v>
      </c>
      <c r="BX573" t="e">
        <f>AND(#REF!,"AAAAAH/fyks=")</f>
        <v>#REF!</v>
      </c>
      <c r="BY573" t="e">
        <f>AND(#REF!,"AAAAAH/fykw=")</f>
        <v>#REF!</v>
      </c>
      <c r="BZ573" t="e">
        <f>AND(#REF!,"AAAAAH/fyk0=")</f>
        <v>#REF!</v>
      </c>
      <c r="CA573" t="e">
        <f>AND(#REF!,"AAAAAH/fyk4=")</f>
        <v>#REF!</v>
      </c>
      <c r="CB573" t="e">
        <f>AND(#REF!,"AAAAAH/fyk8=")</f>
        <v>#REF!</v>
      </c>
      <c r="CC573" t="e">
        <f>IF(#REF!,"AAAAAH/fylA=",0)</f>
        <v>#REF!</v>
      </c>
      <c r="CD573" t="e">
        <f>AND(#REF!,"AAAAAH/fylE=")</f>
        <v>#REF!</v>
      </c>
      <c r="CE573" t="e">
        <f>AND(#REF!,"AAAAAH/fylI=")</f>
        <v>#REF!</v>
      </c>
      <c r="CF573" t="e">
        <f>AND(#REF!,"AAAAAH/fylM=")</f>
        <v>#REF!</v>
      </c>
      <c r="CG573" t="e">
        <f>AND(#REF!,"AAAAAH/fylQ=")</f>
        <v>#REF!</v>
      </c>
      <c r="CH573" t="e">
        <f>AND(#REF!,"AAAAAH/fylU=")</f>
        <v>#REF!</v>
      </c>
      <c r="CI573" t="e">
        <f>AND(#REF!,"AAAAAH/fylY=")</f>
        <v>#REF!</v>
      </c>
      <c r="CJ573" t="e">
        <f>AND(#REF!,"AAAAAH/fylc=")</f>
        <v>#REF!</v>
      </c>
      <c r="CK573" t="e">
        <f>AND(#REF!,"AAAAAH/fylg=")</f>
        <v>#REF!</v>
      </c>
      <c r="CL573" t="e">
        <f>AND(#REF!,"AAAAAH/fylk=")</f>
        <v>#REF!</v>
      </c>
      <c r="CM573" t="e">
        <f>AND(#REF!,"AAAAAH/fylo=")</f>
        <v>#REF!</v>
      </c>
      <c r="CN573" t="e">
        <f>IF(#REF!,"AAAAAH/fyls=",0)</f>
        <v>#REF!</v>
      </c>
      <c r="CO573" t="e">
        <f>AND(#REF!,"AAAAAH/fylw=")</f>
        <v>#REF!</v>
      </c>
      <c r="CP573" t="e">
        <f>AND(#REF!,"AAAAAH/fyl0=")</f>
        <v>#REF!</v>
      </c>
      <c r="CQ573" t="e">
        <f>AND(#REF!,"AAAAAH/fyl4=")</f>
        <v>#REF!</v>
      </c>
      <c r="CR573" t="e">
        <f>AND(#REF!,"AAAAAH/fyl8=")</f>
        <v>#REF!</v>
      </c>
      <c r="CS573" t="e">
        <f>AND(#REF!,"AAAAAH/fymA=")</f>
        <v>#REF!</v>
      </c>
      <c r="CT573" t="e">
        <f>AND(#REF!,"AAAAAH/fymE=")</f>
        <v>#REF!</v>
      </c>
      <c r="CU573" t="e">
        <f>AND(#REF!,"AAAAAH/fymI=")</f>
        <v>#REF!</v>
      </c>
      <c r="CV573" t="e">
        <f>AND(#REF!,"AAAAAH/fymM=")</f>
        <v>#REF!</v>
      </c>
      <c r="CW573" t="e">
        <f>AND(#REF!,"AAAAAH/fymQ=")</f>
        <v>#REF!</v>
      </c>
      <c r="CX573" t="e">
        <f>AND(#REF!,"AAAAAH/fymU=")</f>
        <v>#REF!</v>
      </c>
      <c r="CY573" t="e">
        <f>IF(#REF!,"AAAAAH/fymY=",0)</f>
        <v>#REF!</v>
      </c>
      <c r="CZ573" t="e">
        <f>AND(#REF!,"AAAAAH/fymc=")</f>
        <v>#REF!</v>
      </c>
      <c r="DA573" t="e">
        <f>AND(#REF!,"AAAAAH/fymg=")</f>
        <v>#REF!</v>
      </c>
      <c r="DB573" t="e">
        <f>AND(#REF!,"AAAAAH/fymk=")</f>
        <v>#REF!</v>
      </c>
      <c r="DC573" t="e">
        <f>AND(#REF!,"AAAAAH/fymo=")</f>
        <v>#REF!</v>
      </c>
      <c r="DD573" t="e">
        <f>AND(#REF!,"AAAAAH/fyms=")</f>
        <v>#REF!</v>
      </c>
      <c r="DE573" t="e">
        <f>AND(#REF!,"AAAAAH/fymw=")</f>
        <v>#REF!</v>
      </c>
      <c r="DF573" t="e">
        <f>AND(#REF!,"AAAAAH/fym0=")</f>
        <v>#REF!</v>
      </c>
      <c r="DG573" t="e">
        <f>AND(#REF!,"AAAAAH/fym4=")</f>
        <v>#REF!</v>
      </c>
      <c r="DH573" t="e">
        <f>AND(#REF!,"AAAAAH/fym8=")</f>
        <v>#REF!</v>
      </c>
      <c r="DI573" t="e">
        <f>AND(#REF!,"AAAAAH/fynA=")</f>
        <v>#REF!</v>
      </c>
      <c r="DJ573" t="e">
        <f>IF(#REF!,"AAAAAH/fynE=",0)</f>
        <v>#REF!</v>
      </c>
      <c r="DK573" t="e">
        <f>AND(#REF!,"AAAAAH/fynI=")</f>
        <v>#REF!</v>
      </c>
      <c r="DL573" t="e">
        <f>AND(#REF!,"AAAAAH/fynM=")</f>
        <v>#REF!</v>
      </c>
      <c r="DM573" t="e">
        <f>AND(#REF!,"AAAAAH/fynQ=")</f>
        <v>#REF!</v>
      </c>
      <c r="DN573" t="e">
        <f>AND(#REF!,"AAAAAH/fynU=")</f>
        <v>#REF!</v>
      </c>
      <c r="DO573" t="e">
        <f>AND(#REF!,"AAAAAH/fynY=")</f>
        <v>#REF!</v>
      </c>
      <c r="DP573" t="e">
        <f>AND(#REF!,"AAAAAH/fync=")</f>
        <v>#REF!</v>
      </c>
      <c r="DQ573" t="e">
        <f>AND(#REF!,"AAAAAH/fyng=")</f>
        <v>#REF!</v>
      </c>
      <c r="DR573" t="e">
        <f>AND(#REF!,"AAAAAH/fynk=")</f>
        <v>#REF!</v>
      </c>
      <c r="DS573" t="e">
        <f>AND(#REF!,"AAAAAH/fyno=")</f>
        <v>#REF!</v>
      </c>
      <c r="DT573" t="e">
        <f>AND(#REF!,"AAAAAH/fyns=")</f>
        <v>#REF!</v>
      </c>
      <c r="DU573" t="e">
        <f>IF(#REF!,"AAAAAH/fynw=",0)</f>
        <v>#REF!</v>
      </c>
      <c r="DV573" t="e">
        <f>AND(#REF!,"AAAAAH/fyn0=")</f>
        <v>#REF!</v>
      </c>
      <c r="DW573" t="e">
        <f>AND(#REF!,"AAAAAH/fyn4=")</f>
        <v>#REF!</v>
      </c>
      <c r="DX573" t="e">
        <f>AND(#REF!,"AAAAAH/fyn8=")</f>
        <v>#REF!</v>
      </c>
      <c r="DY573" t="e">
        <f>AND(#REF!,"AAAAAH/fyoA=")</f>
        <v>#REF!</v>
      </c>
      <c r="DZ573" t="e">
        <f>AND(#REF!,"AAAAAH/fyoE=")</f>
        <v>#REF!</v>
      </c>
      <c r="EA573" t="e">
        <f>AND(#REF!,"AAAAAH/fyoI=")</f>
        <v>#REF!</v>
      </c>
      <c r="EB573" t="e">
        <f>AND(#REF!,"AAAAAH/fyoM=")</f>
        <v>#REF!</v>
      </c>
      <c r="EC573" t="e">
        <f>AND(#REF!,"AAAAAH/fyoQ=")</f>
        <v>#REF!</v>
      </c>
      <c r="ED573" t="e">
        <f>AND(#REF!,"AAAAAH/fyoU=")</f>
        <v>#REF!</v>
      </c>
      <c r="EE573" t="e">
        <f>AND(#REF!,"AAAAAH/fyoY=")</f>
        <v>#REF!</v>
      </c>
      <c r="EF573" t="e">
        <f>IF(#REF!,"AAAAAH/fyoc=",0)</f>
        <v>#REF!</v>
      </c>
      <c r="EG573" t="e">
        <f>AND(#REF!,"AAAAAH/fyog=")</f>
        <v>#REF!</v>
      </c>
      <c r="EH573" t="e">
        <f>AND(#REF!,"AAAAAH/fyok=")</f>
        <v>#REF!</v>
      </c>
      <c r="EI573" t="e">
        <f>AND(#REF!,"AAAAAH/fyoo=")</f>
        <v>#REF!</v>
      </c>
      <c r="EJ573" t="e">
        <f>AND(#REF!,"AAAAAH/fyos=")</f>
        <v>#REF!</v>
      </c>
      <c r="EK573" t="e">
        <f>AND(#REF!,"AAAAAH/fyow=")</f>
        <v>#REF!</v>
      </c>
      <c r="EL573" t="e">
        <f>AND(#REF!,"AAAAAH/fyo0=")</f>
        <v>#REF!</v>
      </c>
      <c r="EM573" t="e">
        <f>AND(#REF!,"AAAAAH/fyo4=")</f>
        <v>#REF!</v>
      </c>
      <c r="EN573" t="e">
        <f>AND(#REF!,"AAAAAH/fyo8=")</f>
        <v>#REF!</v>
      </c>
      <c r="EO573" t="e">
        <f>AND(#REF!,"AAAAAH/fypA=")</f>
        <v>#REF!</v>
      </c>
      <c r="EP573" t="e">
        <f>AND(#REF!,"AAAAAH/fypE=")</f>
        <v>#REF!</v>
      </c>
      <c r="EQ573" t="e">
        <f>IF(#REF!,"AAAAAH/fypI=",0)</f>
        <v>#REF!</v>
      </c>
      <c r="ER573" t="e">
        <f>AND(#REF!,"AAAAAH/fypM=")</f>
        <v>#REF!</v>
      </c>
      <c r="ES573" t="e">
        <f>AND(#REF!,"AAAAAH/fypQ=")</f>
        <v>#REF!</v>
      </c>
      <c r="ET573" t="e">
        <f>AND(#REF!,"AAAAAH/fypU=")</f>
        <v>#REF!</v>
      </c>
      <c r="EU573" t="e">
        <f>AND(#REF!,"AAAAAH/fypY=")</f>
        <v>#REF!</v>
      </c>
      <c r="EV573" t="e">
        <f>AND(#REF!,"AAAAAH/fypc=")</f>
        <v>#REF!</v>
      </c>
      <c r="EW573" t="e">
        <f>AND(#REF!,"AAAAAH/fypg=")</f>
        <v>#REF!</v>
      </c>
      <c r="EX573" t="e">
        <f>AND(#REF!,"AAAAAH/fypk=")</f>
        <v>#REF!</v>
      </c>
      <c r="EY573" t="e">
        <f>AND(#REF!,"AAAAAH/fypo=")</f>
        <v>#REF!</v>
      </c>
      <c r="EZ573" t="e">
        <f>AND(#REF!,"AAAAAH/fyps=")</f>
        <v>#REF!</v>
      </c>
      <c r="FA573" t="e">
        <f>AND(#REF!,"AAAAAH/fypw=")</f>
        <v>#REF!</v>
      </c>
      <c r="FB573" t="e">
        <f>IF(#REF!,"AAAAAH/fyp0=",0)</f>
        <v>#REF!</v>
      </c>
      <c r="FC573" t="e">
        <f>AND(#REF!,"AAAAAH/fyp4=")</f>
        <v>#REF!</v>
      </c>
      <c r="FD573" t="e">
        <f>AND(#REF!,"AAAAAH/fyp8=")</f>
        <v>#REF!</v>
      </c>
      <c r="FE573" t="e">
        <f>AND(#REF!,"AAAAAH/fyqA=")</f>
        <v>#REF!</v>
      </c>
      <c r="FF573" t="e">
        <f>AND(#REF!,"AAAAAH/fyqE=")</f>
        <v>#REF!</v>
      </c>
      <c r="FG573" t="e">
        <f>AND(#REF!,"AAAAAH/fyqI=")</f>
        <v>#REF!</v>
      </c>
      <c r="FH573" t="e">
        <f>AND(#REF!,"AAAAAH/fyqM=")</f>
        <v>#REF!</v>
      </c>
      <c r="FI573" t="e">
        <f>AND(#REF!,"AAAAAH/fyqQ=")</f>
        <v>#REF!</v>
      </c>
      <c r="FJ573" t="e">
        <f>AND(#REF!,"AAAAAH/fyqU=")</f>
        <v>#REF!</v>
      </c>
      <c r="FK573" t="e">
        <f>AND(#REF!,"AAAAAH/fyqY=")</f>
        <v>#REF!</v>
      </c>
      <c r="FL573" t="e">
        <f>AND(#REF!,"AAAAAH/fyqc=")</f>
        <v>#REF!</v>
      </c>
      <c r="FM573" t="e">
        <f>IF(#REF!,"AAAAAH/fyqg=",0)</f>
        <v>#REF!</v>
      </c>
      <c r="FN573" t="e">
        <f>AND(#REF!,"AAAAAH/fyqk=")</f>
        <v>#REF!</v>
      </c>
      <c r="FO573" t="e">
        <f>AND(#REF!,"AAAAAH/fyqo=")</f>
        <v>#REF!</v>
      </c>
      <c r="FP573" t="e">
        <f>AND(#REF!,"AAAAAH/fyqs=")</f>
        <v>#REF!</v>
      </c>
      <c r="FQ573" t="e">
        <f>AND(#REF!,"AAAAAH/fyqw=")</f>
        <v>#REF!</v>
      </c>
      <c r="FR573" t="e">
        <f>AND(#REF!,"AAAAAH/fyq0=")</f>
        <v>#REF!</v>
      </c>
      <c r="FS573" t="e">
        <f>AND(#REF!,"AAAAAH/fyq4=")</f>
        <v>#REF!</v>
      </c>
      <c r="FT573" t="e">
        <f>AND(#REF!,"AAAAAH/fyq8=")</f>
        <v>#REF!</v>
      </c>
      <c r="FU573" t="e">
        <f>AND(#REF!,"AAAAAH/fyrA=")</f>
        <v>#REF!</v>
      </c>
      <c r="FV573" t="e">
        <f>AND(#REF!,"AAAAAH/fyrE=")</f>
        <v>#REF!</v>
      </c>
      <c r="FW573" t="e">
        <f>AND(#REF!,"AAAAAH/fyrI=")</f>
        <v>#REF!</v>
      </c>
      <c r="FX573" t="e">
        <f>IF(#REF!,"AAAAAH/fyrM=",0)</f>
        <v>#REF!</v>
      </c>
      <c r="FY573" t="e">
        <f>AND(#REF!,"AAAAAH/fyrQ=")</f>
        <v>#REF!</v>
      </c>
      <c r="FZ573" t="e">
        <f>AND(#REF!,"AAAAAH/fyrU=")</f>
        <v>#REF!</v>
      </c>
      <c r="GA573" t="e">
        <f>AND(#REF!,"AAAAAH/fyrY=")</f>
        <v>#REF!</v>
      </c>
      <c r="GB573" t="e">
        <f>AND(#REF!,"AAAAAH/fyrc=")</f>
        <v>#REF!</v>
      </c>
      <c r="GC573" t="e">
        <f>AND(#REF!,"AAAAAH/fyrg=")</f>
        <v>#REF!</v>
      </c>
      <c r="GD573" t="e">
        <f>AND(#REF!,"AAAAAH/fyrk=")</f>
        <v>#REF!</v>
      </c>
      <c r="GE573" t="e">
        <f>AND(#REF!,"AAAAAH/fyro=")</f>
        <v>#REF!</v>
      </c>
      <c r="GF573" t="e">
        <f>AND(#REF!,"AAAAAH/fyrs=")</f>
        <v>#REF!</v>
      </c>
      <c r="GG573" t="e">
        <f>AND(#REF!,"AAAAAH/fyrw=")</f>
        <v>#REF!</v>
      </c>
      <c r="GH573" t="e">
        <f>AND(#REF!,"AAAAAH/fyr0=")</f>
        <v>#REF!</v>
      </c>
      <c r="GI573" t="e">
        <f>IF(#REF!,"AAAAAH/fyr4=",0)</f>
        <v>#REF!</v>
      </c>
      <c r="GJ573" t="e">
        <f>AND(#REF!,"AAAAAH/fyr8=")</f>
        <v>#REF!</v>
      </c>
      <c r="GK573" t="e">
        <f>AND(#REF!,"AAAAAH/fysA=")</f>
        <v>#REF!</v>
      </c>
      <c r="GL573" t="e">
        <f>AND(#REF!,"AAAAAH/fysE=")</f>
        <v>#REF!</v>
      </c>
      <c r="GM573" t="e">
        <f>AND(#REF!,"AAAAAH/fysI=")</f>
        <v>#REF!</v>
      </c>
      <c r="GN573" t="e">
        <f>AND(#REF!,"AAAAAH/fysM=")</f>
        <v>#REF!</v>
      </c>
      <c r="GO573" t="e">
        <f>AND(#REF!,"AAAAAH/fysQ=")</f>
        <v>#REF!</v>
      </c>
      <c r="GP573" t="e">
        <f>AND(#REF!,"AAAAAH/fysU=")</f>
        <v>#REF!</v>
      </c>
      <c r="GQ573" t="e">
        <f>AND(#REF!,"AAAAAH/fysY=")</f>
        <v>#REF!</v>
      </c>
      <c r="GR573" t="e">
        <f>AND(#REF!,"AAAAAH/fysc=")</f>
        <v>#REF!</v>
      </c>
      <c r="GS573" t="e">
        <f>AND(#REF!,"AAAAAH/fysg=")</f>
        <v>#REF!</v>
      </c>
      <c r="GT573" t="e">
        <f>IF(#REF!,"AAAAAH/fysk=",0)</f>
        <v>#REF!</v>
      </c>
      <c r="GU573" t="e">
        <f>AND(#REF!,"AAAAAH/fyso=")</f>
        <v>#REF!</v>
      </c>
      <c r="GV573" t="e">
        <f>AND(#REF!,"AAAAAH/fyss=")</f>
        <v>#REF!</v>
      </c>
      <c r="GW573" t="e">
        <f>AND(#REF!,"AAAAAH/fysw=")</f>
        <v>#REF!</v>
      </c>
      <c r="GX573" t="e">
        <f>AND(#REF!,"AAAAAH/fys0=")</f>
        <v>#REF!</v>
      </c>
      <c r="GY573" t="e">
        <f>AND(#REF!,"AAAAAH/fys4=")</f>
        <v>#REF!</v>
      </c>
      <c r="GZ573" t="e">
        <f>AND(#REF!,"AAAAAH/fys8=")</f>
        <v>#REF!</v>
      </c>
      <c r="HA573" t="e">
        <f>AND(#REF!,"AAAAAH/fytA=")</f>
        <v>#REF!</v>
      </c>
      <c r="HB573" t="e">
        <f>AND(#REF!,"AAAAAH/fytE=")</f>
        <v>#REF!</v>
      </c>
      <c r="HC573" t="e">
        <f>AND(#REF!,"AAAAAH/fytI=")</f>
        <v>#REF!</v>
      </c>
      <c r="HD573" t="e">
        <f>AND(#REF!,"AAAAAH/fytM=")</f>
        <v>#REF!</v>
      </c>
      <c r="HE573" t="e">
        <f>IF(#REF!,"AAAAAH/fytQ=",0)</f>
        <v>#REF!</v>
      </c>
      <c r="HF573" t="e">
        <f>AND(#REF!,"AAAAAH/fytU=")</f>
        <v>#REF!</v>
      </c>
      <c r="HG573" t="e">
        <f>AND(#REF!,"AAAAAH/fytY=")</f>
        <v>#REF!</v>
      </c>
      <c r="HH573" t="e">
        <f>AND(#REF!,"AAAAAH/fytc=")</f>
        <v>#REF!</v>
      </c>
      <c r="HI573" t="e">
        <f>AND(#REF!,"AAAAAH/fytg=")</f>
        <v>#REF!</v>
      </c>
      <c r="HJ573" t="e">
        <f>AND(#REF!,"AAAAAH/fytk=")</f>
        <v>#REF!</v>
      </c>
      <c r="HK573" t="e">
        <f>AND(#REF!,"AAAAAH/fyto=")</f>
        <v>#REF!</v>
      </c>
      <c r="HL573" t="e">
        <f>AND(#REF!,"AAAAAH/fyts=")</f>
        <v>#REF!</v>
      </c>
      <c r="HM573" t="e">
        <f>AND(#REF!,"AAAAAH/fytw=")</f>
        <v>#REF!</v>
      </c>
      <c r="HN573" t="e">
        <f>AND(#REF!,"AAAAAH/fyt0=")</f>
        <v>#REF!</v>
      </c>
      <c r="HO573" t="e">
        <f>AND(#REF!,"AAAAAH/fyt4=")</f>
        <v>#REF!</v>
      </c>
      <c r="HP573" t="e">
        <f>IF(#REF!,"AAAAAH/fyt8=",0)</f>
        <v>#REF!</v>
      </c>
      <c r="HQ573" t="e">
        <f>AND(#REF!,"AAAAAH/fyuA=")</f>
        <v>#REF!</v>
      </c>
      <c r="HR573" t="e">
        <f>AND(#REF!,"AAAAAH/fyuE=")</f>
        <v>#REF!</v>
      </c>
      <c r="HS573" t="e">
        <f>AND(#REF!,"AAAAAH/fyuI=")</f>
        <v>#REF!</v>
      </c>
      <c r="HT573" t="e">
        <f>AND(#REF!,"AAAAAH/fyuM=")</f>
        <v>#REF!</v>
      </c>
      <c r="HU573" t="e">
        <f>AND(#REF!,"AAAAAH/fyuQ=")</f>
        <v>#REF!</v>
      </c>
      <c r="HV573" t="e">
        <f>AND(#REF!,"AAAAAH/fyuU=")</f>
        <v>#REF!</v>
      </c>
      <c r="HW573" t="e">
        <f>AND(#REF!,"AAAAAH/fyuY=")</f>
        <v>#REF!</v>
      </c>
      <c r="HX573" t="e">
        <f>AND(#REF!,"AAAAAH/fyuc=")</f>
        <v>#REF!</v>
      </c>
      <c r="HY573" t="e">
        <f>AND(#REF!,"AAAAAH/fyug=")</f>
        <v>#REF!</v>
      </c>
      <c r="HZ573" t="e">
        <f>AND(#REF!,"AAAAAH/fyuk=")</f>
        <v>#REF!</v>
      </c>
      <c r="IA573" t="e">
        <f>IF(#REF!,"AAAAAH/fyuo=",0)</f>
        <v>#REF!</v>
      </c>
      <c r="IB573" t="e">
        <f>AND(#REF!,"AAAAAH/fyus=")</f>
        <v>#REF!</v>
      </c>
      <c r="IC573" t="e">
        <f>AND(#REF!,"AAAAAH/fyuw=")</f>
        <v>#REF!</v>
      </c>
      <c r="ID573" t="e">
        <f>AND(#REF!,"AAAAAH/fyu0=")</f>
        <v>#REF!</v>
      </c>
      <c r="IE573" t="e">
        <f>AND(#REF!,"AAAAAH/fyu4=")</f>
        <v>#REF!</v>
      </c>
      <c r="IF573" t="e">
        <f>AND(#REF!,"AAAAAH/fyu8=")</f>
        <v>#REF!</v>
      </c>
      <c r="IG573" t="e">
        <f>AND(#REF!,"AAAAAH/fyvA=")</f>
        <v>#REF!</v>
      </c>
      <c r="IH573" t="e">
        <f>AND(#REF!,"AAAAAH/fyvE=")</f>
        <v>#REF!</v>
      </c>
      <c r="II573" t="e">
        <f>AND(#REF!,"AAAAAH/fyvI=")</f>
        <v>#REF!</v>
      </c>
      <c r="IJ573" t="e">
        <f>AND(#REF!,"AAAAAH/fyvM=")</f>
        <v>#REF!</v>
      </c>
      <c r="IK573" t="e">
        <f>AND(#REF!,"AAAAAH/fyvQ=")</f>
        <v>#REF!</v>
      </c>
      <c r="IL573" t="e">
        <f>IF(#REF!,"AAAAAH/fyvU=",0)</f>
        <v>#REF!</v>
      </c>
      <c r="IM573" t="e">
        <f>AND(#REF!,"AAAAAH/fyvY=")</f>
        <v>#REF!</v>
      </c>
      <c r="IN573" t="e">
        <f>AND(#REF!,"AAAAAH/fyvc=")</f>
        <v>#REF!</v>
      </c>
      <c r="IO573" t="e">
        <f>AND(#REF!,"AAAAAH/fyvg=")</f>
        <v>#REF!</v>
      </c>
      <c r="IP573" t="e">
        <f>AND(#REF!,"AAAAAH/fyvk=")</f>
        <v>#REF!</v>
      </c>
      <c r="IQ573" t="e">
        <f>AND(#REF!,"AAAAAH/fyvo=")</f>
        <v>#REF!</v>
      </c>
      <c r="IR573" t="e">
        <f>AND(#REF!,"AAAAAH/fyvs=")</f>
        <v>#REF!</v>
      </c>
      <c r="IS573" t="e">
        <f>AND(#REF!,"AAAAAH/fyvw=")</f>
        <v>#REF!</v>
      </c>
      <c r="IT573" t="e">
        <f>AND(#REF!,"AAAAAH/fyv0=")</f>
        <v>#REF!</v>
      </c>
      <c r="IU573" t="e">
        <f>AND(#REF!,"AAAAAH/fyv4=")</f>
        <v>#REF!</v>
      </c>
      <c r="IV573" t="e">
        <f>AND(#REF!,"AAAAAH/fyv8=")</f>
        <v>#REF!</v>
      </c>
    </row>
    <row r="574" spans="1:256" x14ac:dyDescent="0.25">
      <c r="A574" t="e">
        <f>IF(#REF!,"AAAAAHnOxwA=",0)</f>
        <v>#REF!</v>
      </c>
      <c r="B574" t="e">
        <f>AND(#REF!,"AAAAAHnOxwE=")</f>
        <v>#REF!</v>
      </c>
      <c r="C574" t="e">
        <f>AND(#REF!,"AAAAAHnOxwI=")</f>
        <v>#REF!</v>
      </c>
      <c r="D574" t="e">
        <f>AND(#REF!,"AAAAAHnOxwM=")</f>
        <v>#REF!</v>
      </c>
      <c r="E574" t="e">
        <f>AND(#REF!,"AAAAAHnOxwQ=")</f>
        <v>#REF!</v>
      </c>
      <c r="F574" t="e">
        <f>AND(#REF!,"AAAAAHnOxwU=")</f>
        <v>#REF!</v>
      </c>
      <c r="G574" t="e">
        <f>AND(#REF!,"AAAAAHnOxwY=")</f>
        <v>#REF!</v>
      </c>
      <c r="H574" t="e">
        <f>AND(#REF!,"AAAAAHnOxwc=")</f>
        <v>#REF!</v>
      </c>
      <c r="I574" t="e">
        <f>AND(#REF!,"AAAAAHnOxwg=")</f>
        <v>#REF!</v>
      </c>
      <c r="J574" t="e">
        <f>AND(#REF!,"AAAAAHnOxwk=")</f>
        <v>#REF!</v>
      </c>
      <c r="K574" t="e">
        <f>AND(#REF!,"AAAAAHnOxwo=")</f>
        <v>#REF!</v>
      </c>
      <c r="L574" t="e">
        <f>IF(#REF!,"AAAAAHnOxws=",0)</f>
        <v>#REF!</v>
      </c>
      <c r="M574" t="e">
        <f>AND(#REF!,"AAAAAHnOxww=")</f>
        <v>#REF!</v>
      </c>
      <c r="N574" t="e">
        <f>AND(#REF!,"AAAAAHnOxw0=")</f>
        <v>#REF!</v>
      </c>
      <c r="O574" t="e">
        <f>AND(#REF!,"AAAAAHnOxw4=")</f>
        <v>#REF!</v>
      </c>
      <c r="P574" t="e">
        <f>AND(#REF!,"AAAAAHnOxw8=")</f>
        <v>#REF!</v>
      </c>
      <c r="Q574" t="e">
        <f>AND(#REF!,"AAAAAHnOxxA=")</f>
        <v>#REF!</v>
      </c>
      <c r="R574" t="e">
        <f>AND(#REF!,"AAAAAHnOxxE=")</f>
        <v>#REF!</v>
      </c>
      <c r="S574" t="e">
        <f>AND(#REF!,"AAAAAHnOxxI=")</f>
        <v>#REF!</v>
      </c>
      <c r="T574" t="e">
        <f>AND(#REF!,"AAAAAHnOxxM=")</f>
        <v>#REF!</v>
      </c>
      <c r="U574" t="e">
        <f>AND(#REF!,"AAAAAHnOxxQ=")</f>
        <v>#REF!</v>
      </c>
      <c r="V574" t="e">
        <f>AND(#REF!,"AAAAAHnOxxU=")</f>
        <v>#REF!</v>
      </c>
      <c r="W574" t="e">
        <f>IF(#REF!,"AAAAAHnOxxY=",0)</f>
        <v>#REF!</v>
      </c>
      <c r="X574" t="e">
        <f>AND(#REF!,"AAAAAHnOxxc=")</f>
        <v>#REF!</v>
      </c>
      <c r="Y574" t="e">
        <f>AND(#REF!,"AAAAAHnOxxg=")</f>
        <v>#REF!</v>
      </c>
      <c r="Z574" t="e">
        <f>AND(#REF!,"AAAAAHnOxxk=")</f>
        <v>#REF!</v>
      </c>
      <c r="AA574" t="e">
        <f>AND(#REF!,"AAAAAHnOxxo=")</f>
        <v>#REF!</v>
      </c>
      <c r="AB574" t="e">
        <f>AND(#REF!,"AAAAAHnOxxs=")</f>
        <v>#REF!</v>
      </c>
      <c r="AC574" t="e">
        <f>AND(#REF!,"AAAAAHnOxxw=")</f>
        <v>#REF!</v>
      </c>
      <c r="AD574" t="e">
        <f>AND(#REF!,"AAAAAHnOxx0=")</f>
        <v>#REF!</v>
      </c>
      <c r="AE574" t="e">
        <f>AND(#REF!,"AAAAAHnOxx4=")</f>
        <v>#REF!</v>
      </c>
      <c r="AF574" t="e">
        <f>AND(#REF!,"AAAAAHnOxx8=")</f>
        <v>#REF!</v>
      </c>
      <c r="AG574" t="e">
        <f>AND(#REF!,"AAAAAHnOxyA=")</f>
        <v>#REF!</v>
      </c>
      <c r="AH574" t="e">
        <f>IF(#REF!,"AAAAAHnOxyE=",0)</f>
        <v>#REF!</v>
      </c>
      <c r="AI574" t="e">
        <f>AND(#REF!,"AAAAAHnOxyI=")</f>
        <v>#REF!</v>
      </c>
      <c r="AJ574" t="e">
        <f>AND(#REF!,"AAAAAHnOxyM=")</f>
        <v>#REF!</v>
      </c>
      <c r="AK574" t="e">
        <f>AND(#REF!,"AAAAAHnOxyQ=")</f>
        <v>#REF!</v>
      </c>
      <c r="AL574" t="e">
        <f>AND(#REF!,"AAAAAHnOxyU=")</f>
        <v>#REF!</v>
      </c>
      <c r="AM574" t="e">
        <f>AND(#REF!,"AAAAAHnOxyY=")</f>
        <v>#REF!</v>
      </c>
      <c r="AN574" t="e">
        <f>AND(#REF!,"AAAAAHnOxyc=")</f>
        <v>#REF!</v>
      </c>
      <c r="AO574" t="e">
        <f>AND(#REF!,"AAAAAHnOxyg=")</f>
        <v>#REF!</v>
      </c>
      <c r="AP574" t="e">
        <f>AND(#REF!,"AAAAAHnOxyk=")</f>
        <v>#REF!</v>
      </c>
      <c r="AQ574" t="e">
        <f>AND(#REF!,"AAAAAHnOxyo=")</f>
        <v>#REF!</v>
      </c>
      <c r="AR574" t="e">
        <f>AND(#REF!,"AAAAAHnOxys=")</f>
        <v>#REF!</v>
      </c>
      <c r="AS574" t="e">
        <f>IF(#REF!,"AAAAAHnOxyw=",0)</f>
        <v>#REF!</v>
      </c>
      <c r="AT574" t="e">
        <f>AND(#REF!,"AAAAAHnOxy0=")</f>
        <v>#REF!</v>
      </c>
      <c r="AU574" t="e">
        <f>AND(#REF!,"AAAAAHnOxy4=")</f>
        <v>#REF!</v>
      </c>
      <c r="AV574" t="e">
        <f>AND(#REF!,"AAAAAHnOxy8=")</f>
        <v>#REF!</v>
      </c>
      <c r="AW574" t="e">
        <f>AND(#REF!,"AAAAAHnOxzA=")</f>
        <v>#REF!</v>
      </c>
      <c r="AX574" t="e">
        <f>AND(#REF!,"AAAAAHnOxzE=")</f>
        <v>#REF!</v>
      </c>
      <c r="AY574" t="e">
        <f>AND(#REF!,"AAAAAHnOxzI=")</f>
        <v>#REF!</v>
      </c>
      <c r="AZ574" t="e">
        <f>AND(#REF!,"AAAAAHnOxzM=")</f>
        <v>#REF!</v>
      </c>
      <c r="BA574" t="e">
        <f>AND(#REF!,"AAAAAHnOxzQ=")</f>
        <v>#REF!</v>
      </c>
      <c r="BB574" t="e">
        <f>AND(#REF!,"AAAAAHnOxzU=")</f>
        <v>#REF!</v>
      </c>
      <c r="BC574" t="e">
        <f>AND(#REF!,"AAAAAHnOxzY=")</f>
        <v>#REF!</v>
      </c>
      <c r="BD574" t="e">
        <f>IF(#REF!,"AAAAAHnOxzc=",0)</f>
        <v>#REF!</v>
      </c>
      <c r="BE574" t="e">
        <f>AND(#REF!,"AAAAAHnOxzg=")</f>
        <v>#REF!</v>
      </c>
      <c r="BF574" t="e">
        <f>AND(#REF!,"AAAAAHnOxzk=")</f>
        <v>#REF!</v>
      </c>
      <c r="BG574" t="e">
        <f>AND(#REF!,"AAAAAHnOxzo=")</f>
        <v>#REF!</v>
      </c>
      <c r="BH574" t="e">
        <f>AND(#REF!,"AAAAAHnOxzs=")</f>
        <v>#REF!</v>
      </c>
      <c r="BI574" t="e">
        <f>AND(#REF!,"AAAAAHnOxzw=")</f>
        <v>#REF!</v>
      </c>
      <c r="BJ574" t="e">
        <f>AND(#REF!,"AAAAAHnOxz0=")</f>
        <v>#REF!</v>
      </c>
      <c r="BK574" t="e">
        <f>AND(#REF!,"AAAAAHnOxz4=")</f>
        <v>#REF!</v>
      </c>
      <c r="BL574" t="e">
        <f>AND(#REF!,"AAAAAHnOxz8=")</f>
        <v>#REF!</v>
      </c>
      <c r="BM574" t="e">
        <f>AND(#REF!,"AAAAAHnOx0A=")</f>
        <v>#REF!</v>
      </c>
      <c r="BN574" t="e">
        <f>AND(#REF!,"AAAAAHnOx0E=")</f>
        <v>#REF!</v>
      </c>
      <c r="BO574" t="e">
        <f>IF(#REF!,"AAAAAHnOx0I=",0)</f>
        <v>#REF!</v>
      </c>
      <c r="BP574" t="e">
        <f>AND(#REF!,"AAAAAHnOx0M=")</f>
        <v>#REF!</v>
      </c>
      <c r="BQ574" t="e">
        <f>AND(#REF!,"AAAAAHnOx0Q=")</f>
        <v>#REF!</v>
      </c>
      <c r="BR574" t="e">
        <f>AND(#REF!,"AAAAAHnOx0U=")</f>
        <v>#REF!</v>
      </c>
      <c r="BS574" t="e">
        <f>AND(#REF!,"AAAAAHnOx0Y=")</f>
        <v>#REF!</v>
      </c>
      <c r="BT574" t="e">
        <f>AND(#REF!,"AAAAAHnOx0c=")</f>
        <v>#REF!</v>
      </c>
      <c r="BU574" t="e">
        <f>AND(#REF!,"AAAAAHnOx0g=")</f>
        <v>#REF!</v>
      </c>
      <c r="BV574" t="e">
        <f>AND(#REF!,"AAAAAHnOx0k=")</f>
        <v>#REF!</v>
      </c>
      <c r="BW574" t="e">
        <f>AND(#REF!,"AAAAAHnOx0o=")</f>
        <v>#REF!</v>
      </c>
      <c r="BX574" t="e">
        <f>AND(#REF!,"AAAAAHnOx0s=")</f>
        <v>#REF!</v>
      </c>
      <c r="BY574" t="e">
        <f>AND(#REF!,"AAAAAHnOx0w=")</f>
        <v>#REF!</v>
      </c>
      <c r="BZ574" t="e">
        <f>IF(#REF!,"AAAAAHnOx00=",0)</f>
        <v>#REF!</v>
      </c>
      <c r="CA574" t="e">
        <f>AND(#REF!,"AAAAAHnOx04=")</f>
        <v>#REF!</v>
      </c>
      <c r="CB574" t="e">
        <f>AND(#REF!,"AAAAAHnOx08=")</f>
        <v>#REF!</v>
      </c>
      <c r="CC574" t="e">
        <f>AND(#REF!,"AAAAAHnOx1A=")</f>
        <v>#REF!</v>
      </c>
      <c r="CD574" t="e">
        <f>AND(#REF!,"AAAAAHnOx1E=")</f>
        <v>#REF!</v>
      </c>
      <c r="CE574" t="e">
        <f>AND(#REF!,"AAAAAHnOx1I=")</f>
        <v>#REF!</v>
      </c>
      <c r="CF574" t="e">
        <f>AND(#REF!,"AAAAAHnOx1M=")</f>
        <v>#REF!</v>
      </c>
      <c r="CG574" t="e">
        <f>AND(#REF!,"AAAAAHnOx1Q=")</f>
        <v>#REF!</v>
      </c>
      <c r="CH574" t="e">
        <f>AND(#REF!,"AAAAAHnOx1U=")</f>
        <v>#REF!</v>
      </c>
      <c r="CI574" t="e">
        <f>AND(#REF!,"AAAAAHnOx1Y=")</f>
        <v>#REF!</v>
      </c>
      <c r="CJ574" t="e">
        <f>AND(#REF!,"AAAAAHnOx1c=")</f>
        <v>#REF!</v>
      </c>
      <c r="CK574" t="e">
        <f>IF(#REF!,"AAAAAHnOx1g=",0)</f>
        <v>#REF!</v>
      </c>
      <c r="CL574" t="e">
        <f>AND(#REF!,"AAAAAHnOx1k=")</f>
        <v>#REF!</v>
      </c>
      <c r="CM574" t="e">
        <f>AND(#REF!,"AAAAAHnOx1o=")</f>
        <v>#REF!</v>
      </c>
      <c r="CN574" t="e">
        <f>AND(#REF!,"AAAAAHnOx1s=")</f>
        <v>#REF!</v>
      </c>
      <c r="CO574" t="e">
        <f>AND(#REF!,"AAAAAHnOx1w=")</f>
        <v>#REF!</v>
      </c>
      <c r="CP574" t="e">
        <f>AND(#REF!,"AAAAAHnOx10=")</f>
        <v>#REF!</v>
      </c>
      <c r="CQ574" t="e">
        <f>AND(#REF!,"AAAAAHnOx14=")</f>
        <v>#REF!</v>
      </c>
      <c r="CR574" t="e">
        <f>AND(#REF!,"AAAAAHnOx18=")</f>
        <v>#REF!</v>
      </c>
      <c r="CS574" t="e">
        <f>AND(#REF!,"AAAAAHnOx2A=")</f>
        <v>#REF!</v>
      </c>
      <c r="CT574" t="e">
        <f>AND(#REF!,"AAAAAHnOx2E=")</f>
        <v>#REF!</v>
      </c>
      <c r="CU574" t="e">
        <f>AND(#REF!,"AAAAAHnOx2I=")</f>
        <v>#REF!</v>
      </c>
      <c r="CV574" t="e">
        <f>IF(#REF!,"AAAAAHnOx2M=",0)</f>
        <v>#REF!</v>
      </c>
      <c r="CW574" t="e">
        <f>AND(#REF!,"AAAAAHnOx2Q=")</f>
        <v>#REF!</v>
      </c>
      <c r="CX574" t="e">
        <f>AND(#REF!,"AAAAAHnOx2U=")</f>
        <v>#REF!</v>
      </c>
      <c r="CY574" t="e">
        <f>AND(#REF!,"AAAAAHnOx2Y=")</f>
        <v>#REF!</v>
      </c>
      <c r="CZ574" t="e">
        <f>AND(#REF!,"AAAAAHnOx2c=")</f>
        <v>#REF!</v>
      </c>
      <c r="DA574" t="e">
        <f>AND(#REF!,"AAAAAHnOx2g=")</f>
        <v>#REF!</v>
      </c>
      <c r="DB574" t="e">
        <f>AND(#REF!,"AAAAAHnOx2k=")</f>
        <v>#REF!</v>
      </c>
      <c r="DC574" t="e">
        <f>AND(#REF!,"AAAAAHnOx2o=")</f>
        <v>#REF!</v>
      </c>
      <c r="DD574" t="e">
        <f>AND(#REF!,"AAAAAHnOx2s=")</f>
        <v>#REF!</v>
      </c>
      <c r="DE574" t="e">
        <f>AND(#REF!,"AAAAAHnOx2w=")</f>
        <v>#REF!</v>
      </c>
      <c r="DF574" t="e">
        <f>AND(#REF!,"AAAAAHnOx20=")</f>
        <v>#REF!</v>
      </c>
      <c r="DG574" t="e">
        <f>IF(#REF!,"AAAAAHnOx24=",0)</f>
        <v>#REF!</v>
      </c>
      <c r="DH574" t="e">
        <f>AND(#REF!,"AAAAAHnOx28=")</f>
        <v>#REF!</v>
      </c>
      <c r="DI574" t="e">
        <f>AND(#REF!,"AAAAAHnOx3A=")</f>
        <v>#REF!</v>
      </c>
      <c r="DJ574" t="e">
        <f>AND(#REF!,"AAAAAHnOx3E=")</f>
        <v>#REF!</v>
      </c>
      <c r="DK574" t="e">
        <f>AND(#REF!,"AAAAAHnOx3I=")</f>
        <v>#REF!</v>
      </c>
      <c r="DL574" t="e">
        <f>AND(#REF!,"AAAAAHnOx3M=")</f>
        <v>#REF!</v>
      </c>
      <c r="DM574" t="e">
        <f>AND(#REF!,"AAAAAHnOx3Q=")</f>
        <v>#REF!</v>
      </c>
      <c r="DN574" t="e">
        <f>AND(#REF!,"AAAAAHnOx3U=")</f>
        <v>#REF!</v>
      </c>
      <c r="DO574" t="e">
        <f>AND(#REF!,"AAAAAHnOx3Y=")</f>
        <v>#REF!</v>
      </c>
      <c r="DP574" t="e">
        <f>AND(#REF!,"AAAAAHnOx3c=")</f>
        <v>#REF!</v>
      </c>
      <c r="DQ574" t="e">
        <f>AND(#REF!,"AAAAAHnOx3g=")</f>
        <v>#REF!</v>
      </c>
      <c r="DR574" t="e">
        <f>IF(#REF!,"AAAAAHnOx3k=",0)</f>
        <v>#REF!</v>
      </c>
      <c r="DS574" t="e">
        <f>AND(#REF!,"AAAAAHnOx3o=")</f>
        <v>#REF!</v>
      </c>
      <c r="DT574" t="e">
        <f>AND(#REF!,"AAAAAHnOx3s=")</f>
        <v>#REF!</v>
      </c>
      <c r="DU574" t="e">
        <f>AND(#REF!,"AAAAAHnOx3w=")</f>
        <v>#REF!</v>
      </c>
      <c r="DV574" t="e">
        <f>AND(#REF!,"AAAAAHnOx30=")</f>
        <v>#REF!</v>
      </c>
      <c r="DW574" t="e">
        <f>AND(#REF!,"AAAAAHnOx34=")</f>
        <v>#REF!</v>
      </c>
      <c r="DX574" t="e">
        <f>AND(#REF!,"AAAAAHnOx38=")</f>
        <v>#REF!</v>
      </c>
      <c r="DY574" t="e">
        <f>AND(#REF!,"AAAAAHnOx4A=")</f>
        <v>#REF!</v>
      </c>
      <c r="DZ574" t="e">
        <f>AND(#REF!,"AAAAAHnOx4E=")</f>
        <v>#REF!</v>
      </c>
      <c r="EA574" t="e">
        <f>AND(#REF!,"AAAAAHnOx4I=")</f>
        <v>#REF!</v>
      </c>
      <c r="EB574" t="e">
        <f>AND(#REF!,"AAAAAHnOx4M=")</f>
        <v>#REF!</v>
      </c>
      <c r="EC574" t="e">
        <f>IF(#REF!,"AAAAAHnOx4Q=",0)</f>
        <v>#REF!</v>
      </c>
      <c r="ED574" t="e">
        <f>AND(#REF!,"AAAAAHnOx4U=")</f>
        <v>#REF!</v>
      </c>
      <c r="EE574" t="e">
        <f>AND(#REF!,"AAAAAHnOx4Y=")</f>
        <v>#REF!</v>
      </c>
      <c r="EF574" t="e">
        <f>AND(#REF!,"AAAAAHnOx4c=")</f>
        <v>#REF!</v>
      </c>
      <c r="EG574" t="e">
        <f>AND(#REF!,"AAAAAHnOx4g=")</f>
        <v>#REF!</v>
      </c>
      <c r="EH574" t="e">
        <f>AND(#REF!,"AAAAAHnOx4k=")</f>
        <v>#REF!</v>
      </c>
      <c r="EI574" t="e">
        <f>AND(#REF!,"AAAAAHnOx4o=")</f>
        <v>#REF!</v>
      </c>
      <c r="EJ574" t="e">
        <f>AND(#REF!,"AAAAAHnOx4s=")</f>
        <v>#REF!</v>
      </c>
      <c r="EK574" t="e">
        <f>AND(#REF!,"AAAAAHnOx4w=")</f>
        <v>#REF!</v>
      </c>
      <c r="EL574" t="e">
        <f>AND(#REF!,"AAAAAHnOx40=")</f>
        <v>#REF!</v>
      </c>
      <c r="EM574" t="e">
        <f>AND(#REF!,"AAAAAHnOx44=")</f>
        <v>#REF!</v>
      </c>
      <c r="EN574" t="e">
        <f>IF(#REF!,"AAAAAHnOx48=",0)</f>
        <v>#REF!</v>
      </c>
      <c r="EO574" t="e">
        <f>AND(#REF!,"AAAAAHnOx5A=")</f>
        <v>#REF!</v>
      </c>
      <c r="EP574" t="e">
        <f>AND(#REF!,"AAAAAHnOx5E=")</f>
        <v>#REF!</v>
      </c>
      <c r="EQ574" t="e">
        <f>AND(#REF!,"AAAAAHnOx5I=")</f>
        <v>#REF!</v>
      </c>
      <c r="ER574" t="e">
        <f>AND(#REF!,"AAAAAHnOx5M=")</f>
        <v>#REF!</v>
      </c>
      <c r="ES574" t="e">
        <f>AND(#REF!,"AAAAAHnOx5Q=")</f>
        <v>#REF!</v>
      </c>
      <c r="ET574" t="e">
        <f>AND(#REF!,"AAAAAHnOx5U=")</f>
        <v>#REF!</v>
      </c>
      <c r="EU574" t="e">
        <f>AND(#REF!,"AAAAAHnOx5Y=")</f>
        <v>#REF!</v>
      </c>
      <c r="EV574" t="e">
        <f>AND(#REF!,"AAAAAHnOx5c=")</f>
        <v>#REF!</v>
      </c>
      <c r="EW574" t="e">
        <f>AND(#REF!,"AAAAAHnOx5g=")</f>
        <v>#REF!</v>
      </c>
      <c r="EX574" t="e">
        <f>AND(#REF!,"AAAAAHnOx5k=")</f>
        <v>#REF!</v>
      </c>
      <c r="EY574" t="e">
        <f>IF(#REF!,"AAAAAHnOx5o=",0)</f>
        <v>#REF!</v>
      </c>
      <c r="EZ574" t="e">
        <f>AND(#REF!,"AAAAAHnOx5s=")</f>
        <v>#REF!</v>
      </c>
      <c r="FA574" t="e">
        <f>AND(#REF!,"AAAAAHnOx5w=")</f>
        <v>#REF!</v>
      </c>
      <c r="FB574" t="e">
        <f>AND(#REF!,"AAAAAHnOx50=")</f>
        <v>#REF!</v>
      </c>
      <c r="FC574" t="e">
        <f>AND(#REF!,"AAAAAHnOx54=")</f>
        <v>#REF!</v>
      </c>
      <c r="FD574" t="e">
        <f>AND(#REF!,"AAAAAHnOx58=")</f>
        <v>#REF!</v>
      </c>
      <c r="FE574" t="e">
        <f>AND(#REF!,"AAAAAHnOx6A=")</f>
        <v>#REF!</v>
      </c>
      <c r="FF574" t="e">
        <f>AND(#REF!,"AAAAAHnOx6E=")</f>
        <v>#REF!</v>
      </c>
      <c r="FG574" t="e">
        <f>AND(#REF!,"AAAAAHnOx6I=")</f>
        <v>#REF!</v>
      </c>
      <c r="FH574" t="e">
        <f>AND(#REF!,"AAAAAHnOx6M=")</f>
        <v>#REF!</v>
      </c>
      <c r="FI574" t="e">
        <f>AND(#REF!,"AAAAAHnOx6Q=")</f>
        <v>#REF!</v>
      </c>
      <c r="FJ574" t="e">
        <f>IF(#REF!,"AAAAAHnOx6U=",0)</f>
        <v>#REF!</v>
      </c>
      <c r="FK574" t="e">
        <f>AND(#REF!,"AAAAAHnOx6Y=")</f>
        <v>#REF!</v>
      </c>
      <c r="FL574" t="e">
        <f>AND(#REF!,"AAAAAHnOx6c=")</f>
        <v>#REF!</v>
      </c>
      <c r="FM574" t="e">
        <f>AND(#REF!,"AAAAAHnOx6g=")</f>
        <v>#REF!</v>
      </c>
      <c r="FN574" t="e">
        <f>AND(#REF!,"AAAAAHnOx6k=")</f>
        <v>#REF!</v>
      </c>
      <c r="FO574" t="e">
        <f>AND(#REF!,"AAAAAHnOx6o=")</f>
        <v>#REF!</v>
      </c>
      <c r="FP574" t="e">
        <f>AND(#REF!,"AAAAAHnOx6s=")</f>
        <v>#REF!</v>
      </c>
      <c r="FQ574" t="e">
        <f>AND(#REF!,"AAAAAHnOx6w=")</f>
        <v>#REF!</v>
      </c>
      <c r="FR574" t="e">
        <f>AND(#REF!,"AAAAAHnOx60=")</f>
        <v>#REF!</v>
      </c>
      <c r="FS574" t="e">
        <f>AND(#REF!,"AAAAAHnOx64=")</f>
        <v>#REF!</v>
      </c>
      <c r="FT574" t="e">
        <f>AND(#REF!,"AAAAAHnOx68=")</f>
        <v>#REF!</v>
      </c>
      <c r="FU574" t="e">
        <f>IF(#REF!,"AAAAAHnOx7A=",0)</f>
        <v>#REF!</v>
      </c>
      <c r="FV574" t="e">
        <f>AND(#REF!,"AAAAAHnOx7E=")</f>
        <v>#REF!</v>
      </c>
      <c r="FW574" t="e">
        <f>AND(#REF!,"AAAAAHnOx7I=")</f>
        <v>#REF!</v>
      </c>
      <c r="FX574" t="e">
        <f>AND(#REF!,"AAAAAHnOx7M=")</f>
        <v>#REF!</v>
      </c>
      <c r="FY574" t="e">
        <f>AND(#REF!,"AAAAAHnOx7Q=")</f>
        <v>#REF!</v>
      </c>
      <c r="FZ574" t="e">
        <f>AND(#REF!,"AAAAAHnOx7U=")</f>
        <v>#REF!</v>
      </c>
      <c r="GA574" t="e">
        <f>AND(#REF!,"AAAAAHnOx7Y=")</f>
        <v>#REF!</v>
      </c>
      <c r="GB574" t="e">
        <f>AND(#REF!,"AAAAAHnOx7c=")</f>
        <v>#REF!</v>
      </c>
      <c r="GC574" t="e">
        <f>AND(#REF!,"AAAAAHnOx7g=")</f>
        <v>#REF!</v>
      </c>
      <c r="GD574" t="e">
        <f>AND(#REF!,"AAAAAHnOx7k=")</f>
        <v>#REF!</v>
      </c>
      <c r="GE574" t="e">
        <f>AND(#REF!,"AAAAAHnOx7o=")</f>
        <v>#REF!</v>
      </c>
      <c r="GF574" t="e">
        <f>IF(#REF!,"AAAAAHnOx7s=",0)</f>
        <v>#REF!</v>
      </c>
      <c r="GG574" t="e">
        <f>AND(#REF!,"AAAAAHnOx7w=")</f>
        <v>#REF!</v>
      </c>
      <c r="GH574" t="e">
        <f>AND(#REF!,"AAAAAHnOx70=")</f>
        <v>#REF!</v>
      </c>
      <c r="GI574" t="e">
        <f>AND(#REF!,"AAAAAHnOx74=")</f>
        <v>#REF!</v>
      </c>
      <c r="GJ574" t="e">
        <f>AND(#REF!,"AAAAAHnOx78=")</f>
        <v>#REF!</v>
      </c>
      <c r="GK574" t="e">
        <f>AND(#REF!,"AAAAAHnOx8A=")</f>
        <v>#REF!</v>
      </c>
      <c r="GL574" t="e">
        <f>AND(#REF!,"AAAAAHnOx8E=")</f>
        <v>#REF!</v>
      </c>
      <c r="GM574" t="e">
        <f>AND(#REF!,"AAAAAHnOx8I=")</f>
        <v>#REF!</v>
      </c>
      <c r="GN574" t="e">
        <f>AND(#REF!,"AAAAAHnOx8M=")</f>
        <v>#REF!</v>
      </c>
      <c r="GO574" t="e">
        <f>AND(#REF!,"AAAAAHnOx8Q=")</f>
        <v>#REF!</v>
      </c>
      <c r="GP574" t="e">
        <f>AND(#REF!,"AAAAAHnOx8U=")</f>
        <v>#REF!</v>
      </c>
      <c r="GQ574" t="e">
        <f>IF(#REF!,"AAAAAHnOx8Y=",0)</f>
        <v>#REF!</v>
      </c>
      <c r="GR574" t="e">
        <f>AND(#REF!,"AAAAAHnOx8c=")</f>
        <v>#REF!</v>
      </c>
      <c r="GS574" t="e">
        <f>AND(#REF!,"AAAAAHnOx8g=")</f>
        <v>#REF!</v>
      </c>
      <c r="GT574" t="e">
        <f>AND(#REF!,"AAAAAHnOx8k=")</f>
        <v>#REF!</v>
      </c>
      <c r="GU574" t="e">
        <f>AND(#REF!,"AAAAAHnOx8o=")</f>
        <v>#REF!</v>
      </c>
      <c r="GV574" t="e">
        <f>AND(#REF!,"AAAAAHnOx8s=")</f>
        <v>#REF!</v>
      </c>
      <c r="GW574" t="e">
        <f>AND(#REF!,"AAAAAHnOx8w=")</f>
        <v>#REF!</v>
      </c>
      <c r="GX574" t="e">
        <f>AND(#REF!,"AAAAAHnOx80=")</f>
        <v>#REF!</v>
      </c>
      <c r="GY574" t="e">
        <f>AND(#REF!,"AAAAAHnOx84=")</f>
        <v>#REF!</v>
      </c>
      <c r="GZ574" t="e">
        <f>AND(#REF!,"AAAAAHnOx88=")</f>
        <v>#REF!</v>
      </c>
      <c r="HA574" t="e">
        <f>AND(#REF!,"AAAAAHnOx9A=")</f>
        <v>#REF!</v>
      </c>
      <c r="HB574" t="e">
        <f>IF(#REF!,"AAAAAHnOx9E=",0)</f>
        <v>#REF!</v>
      </c>
      <c r="HC574" t="e">
        <f>AND(#REF!,"AAAAAHnOx9I=")</f>
        <v>#REF!</v>
      </c>
      <c r="HD574" t="e">
        <f>AND(#REF!,"AAAAAHnOx9M=")</f>
        <v>#REF!</v>
      </c>
      <c r="HE574" t="e">
        <f>AND(#REF!,"AAAAAHnOx9Q=")</f>
        <v>#REF!</v>
      </c>
      <c r="HF574" t="e">
        <f>AND(#REF!,"AAAAAHnOx9U=")</f>
        <v>#REF!</v>
      </c>
      <c r="HG574" t="e">
        <f>AND(#REF!,"AAAAAHnOx9Y=")</f>
        <v>#REF!</v>
      </c>
      <c r="HH574" t="e">
        <f>AND(#REF!,"AAAAAHnOx9c=")</f>
        <v>#REF!</v>
      </c>
      <c r="HI574" t="e">
        <f>AND(#REF!,"AAAAAHnOx9g=")</f>
        <v>#REF!</v>
      </c>
      <c r="HJ574" t="e">
        <f>AND(#REF!,"AAAAAHnOx9k=")</f>
        <v>#REF!</v>
      </c>
      <c r="HK574" t="e">
        <f>AND(#REF!,"AAAAAHnOx9o=")</f>
        <v>#REF!</v>
      </c>
      <c r="HL574" t="e">
        <f>AND(#REF!,"AAAAAHnOx9s=")</f>
        <v>#REF!</v>
      </c>
      <c r="HM574" t="e">
        <f>IF(#REF!,"AAAAAHnOx9w=",0)</f>
        <v>#REF!</v>
      </c>
      <c r="HN574" t="e">
        <f>AND(#REF!,"AAAAAHnOx90=")</f>
        <v>#REF!</v>
      </c>
      <c r="HO574" t="e">
        <f>AND(#REF!,"AAAAAHnOx94=")</f>
        <v>#REF!</v>
      </c>
      <c r="HP574" t="e">
        <f>AND(#REF!,"AAAAAHnOx98=")</f>
        <v>#REF!</v>
      </c>
      <c r="HQ574" t="e">
        <f>AND(#REF!,"AAAAAHnOx+A=")</f>
        <v>#REF!</v>
      </c>
      <c r="HR574" t="e">
        <f>AND(#REF!,"AAAAAHnOx+E=")</f>
        <v>#REF!</v>
      </c>
      <c r="HS574" t="e">
        <f>AND(#REF!,"AAAAAHnOx+I=")</f>
        <v>#REF!</v>
      </c>
      <c r="HT574" t="e">
        <f>AND(#REF!,"AAAAAHnOx+M=")</f>
        <v>#REF!</v>
      </c>
      <c r="HU574" t="e">
        <f>AND(#REF!,"AAAAAHnOx+Q=")</f>
        <v>#REF!</v>
      </c>
      <c r="HV574" t="e">
        <f>AND(#REF!,"AAAAAHnOx+U=")</f>
        <v>#REF!</v>
      </c>
      <c r="HW574" t="e">
        <f>AND(#REF!,"AAAAAHnOx+Y=")</f>
        <v>#REF!</v>
      </c>
      <c r="HX574" t="e">
        <f>IF(#REF!,"AAAAAHnOx+c=",0)</f>
        <v>#REF!</v>
      </c>
      <c r="HY574" t="e">
        <f>AND(#REF!,"AAAAAHnOx+g=")</f>
        <v>#REF!</v>
      </c>
      <c r="HZ574" t="e">
        <f>AND(#REF!,"AAAAAHnOx+k=")</f>
        <v>#REF!</v>
      </c>
      <c r="IA574" t="e">
        <f>AND(#REF!,"AAAAAHnOx+o=")</f>
        <v>#REF!</v>
      </c>
      <c r="IB574" t="e">
        <f>AND(#REF!,"AAAAAHnOx+s=")</f>
        <v>#REF!</v>
      </c>
      <c r="IC574" t="e">
        <f>AND(#REF!,"AAAAAHnOx+w=")</f>
        <v>#REF!</v>
      </c>
      <c r="ID574" t="e">
        <f>AND(#REF!,"AAAAAHnOx+0=")</f>
        <v>#REF!</v>
      </c>
      <c r="IE574" t="e">
        <f>AND(#REF!,"AAAAAHnOx+4=")</f>
        <v>#REF!</v>
      </c>
      <c r="IF574" t="e">
        <f>AND(#REF!,"AAAAAHnOx+8=")</f>
        <v>#REF!</v>
      </c>
      <c r="IG574" t="e">
        <f>AND(#REF!,"AAAAAHnOx/A=")</f>
        <v>#REF!</v>
      </c>
      <c r="IH574" t="e">
        <f>AND(#REF!,"AAAAAHnOx/E=")</f>
        <v>#REF!</v>
      </c>
      <c r="II574" t="e">
        <f>IF(#REF!,"AAAAAHnOx/I=",0)</f>
        <v>#REF!</v>
      </c>
      <c r="IJ574" t="e">
        <f>AND(#REF!,"AAAAAHnOx/M=")</f>
        <v>#REF!</v>
      </c>
      <c r="IK574" t="e">
        <f>AND(#REF!,"AAAAAHnOx/Q=")</f>
        <v>#REF!</v>
      </c>
      <c r="IL574" t="e">
        <f>AND(#REF!,"AAAAAHnOx/U=")</f>
        <v>#REF!</v>
      </c>
      <c r="IM574" t="e">
        <f>AND(#REF!,"AAAAAHnOx/Y=")</f>
        <v>#REF!</v>
      </c>
      <c r="IN574" t="e">
        <f>AND(#REF!,"AAAAAHnOx/c=")</f>
        <v>#REF!</v>
      </c>
      <c r="IO574" t="e">
        <f>AND(#REF!,"AAAAAHnOx/g=")</f>
        <v>#REF!</v>
      </c>
      <c r="IP574" t="e">
        <f>AND(#REF!,"AAAAAHnOx/k=")</f>
        <v>#REF!</v>
      </c>
      <c r="IQ574" t="e">
        <f>AND(#REF!,"AAAAAHnOx/o=")</f>
        <v>#REF!</v>
      </c>
      <c r="IR574" t="e">
        <f>AND(#REF!,"AAAAAHnOx/s=")</f>
        <v>#REF!</v>
      </c>
      <c r="IS574" t="e">
        <f>AND(#REF!,"AAAAAHnOx/w=")</f>
        <v>#REF!</v>
      </c>
      <c r="IT574" t="e">
        <f>IF(#REF!,"AAAAAHnOx/0=",0)</f>
        <v>#REF!</v>
      </c>
      <c r="IU574" t="e">
        <f>AND(#REF!,"AAAAAHnOx/4=")</f>
        <v>#REF!</v>
      </c>
      <c r="IV574" t="e">
        <f>AND(#REF!,"AAAAAHnOx/8=")</f>
        <v>#REF!</v>
      </c>
    </row>
    <row r="575" spans="1:256" x14ac:dyDescent="0.25">
      <c r="A575" t="e">
        <f>AND(#REF!,"AAAAAEfX9wA=")</f>
        <v>#REF!</v>
      </c>
      <c r="B575" t="e">
        <f>AND(#REF!,"AAAAAEfX9wE=")</f>
        <v>#REF!</v>
      </c>
      <c r="C575" t="e">
        <f>AND(#REF!,"AAAAAEfX9wI=")</f>
        <v>#REF!</v>
      </c>
      <c r="D575" t="e">
        <f>AND(#REF!,"AAAAAEfX9wM=")</f>
        <v>#REF!</v>
      </c>
      <c r="E575" t="e">
        <f>AND(#REF!,"AAAAAEfX9wQ=")</f>
        <v>#REF!</v>
      </c>
      <c r="F575" t="e">
        <f>AND(#REF!,"AAAAAEfX9wU=")</f>
        <v>#REF!</v>
      </c>
      <c r="G575" t="e">
        <f>AND(#REF!,"AAAAAEfX9wY=")</f>
        <v>#REF!</v>
      </c>
      <c r="H575" t="e">
        <f>AND(#REF!,"AAAAAEfX9wc=")</f>
        <v>#REF!</v>
      </c>
      <c r="I575" t="e">
        <f>IF(#REF!,"AAAAAEfX9wg=",0)</f>
        <v>#REF!</v>
      </c>
      <c r="J575" t="e">
        <f>AND(#REF!,"AAAAAEfX9wk=")</f>
        <v>#REF!</v>
      </c>
      <c r="K575" t="e">
        <f>AND(#REF!,"AAAAAEfX9wo=")</f>
        <v>#REF!</v>
      </c>
      <c r="L575" t="e">
        <f>AND(#REF!,"AAAAAEfX9ws=")</f>
        <v>#REF!</v>
      </c>
      <c r="M575" t="e">
        <f>AND(#REF!,"AAAAAEfX9ww=")</f>
        <v>#REF!</v>
      </c>
      <c r="N575" t="e">
        <f>AND(#REF!,"AAAAAEfX9w0=")</f>
        <v>#REF!</v>
      </c>
      <c r="O575" t="e">
        <f>AND(#REF!,"AAAAAEfX9w4=")</f>
        <v>#REF!</v>
      </c>
      <c r="P575" t="e">
        <f>AND(#REF!,"AAAAAEfX9w8=")</f>
        <v>#REF!</v>
      </c>
      <c r="Q575" t="e">
        <f>AND(#REF!,"AAAAAEfX9xA=")</f>
        <v>#REF!</v>
      </c>
      <c r="R575" t="e">
        <f>AND(#REF!,"AAAAAEfX9xE=")</f>
        <v>#REF!</v>
      </c>
      <c r="S575" t="e">
        <f>AND(#REF!,"AAAAAEfX9xI=")</f>
        <v>#REF!</v>
      </c>
      <c r="T575" t="e">
        <f>IF(#REF!,"AAAAAEfX9xM=",0)</f>
        <v>#REF!</v>
      </c>
      <c r="U575" t="e">
        <f>AND(#REF!,"AAAAAEfX9xQ=")</f>
        <v>#REF!</v>
      </c>
      <c r="V575" t="e">
        <f>AND(#REF!,"AAAAAEfX9xU=")</f>
        <v>#REF!</v>
      </c>
      <c r="W575" t="e">
        <f>AND(#REF!,"AAAAAEfX9xY=")</f>
        <v>#REF!</v>
      </c>
      <c r="X575" t="e">
        <f>AND(#REF!,"AAAAAEfX9xc=")</f>
        <v>#REF!</v>
      </c>
      <c r="Y575" t="e">
        <f>AND(#REF!,"AAAAAEfX9xg=")</f>
        <v>#REF!</v>
      </c>
      <c r="Z575" t="e">
        <f>AND(#REF!,"AAAAAEfX9xk=")</f>
        <v>#REF!</v>
      </c>
      <c r="AA575" t="e">
        <f>AND(#REF!,"AAAAAEfX9xo=")</f>
        <v>#REF!</v>
      </c>
      <c r="AB575" t="e">
        <f>AND(#REF!,"AAAAAEfX9xs=")</f>
        <v>#REF!</v>
      </c>
      <c r="AC575" t="e">
        <f>AND(#REF!,"AAAAAEfX9xw=")</f>
        <v>#REF!</v>
      </c>
      <c r="AD575" t="e">
        <f>AND(#REF!,"AAAAAEfX9x0=")</f>
        <v>#REF!</v>
      </c>
      <c r="AE575" t="e">
        <f>IF(#REF!,"AAAAAEfX9x4=",0)</f>
        <v>#REF!</v>
      </c>
      <c r="AF575" t="e">
        <f>AND(#REF!,"AAAAAEfX9x8=")</f>
        <v>#REF!</v>
      </c>
      <c r="AG575" t="e">
        <f>AND(#REF!,"AAAAAEfX9yA=")</f>
        <v>#REF!</v>
      </c>
      <c r="AH575" t="e">
        <f>AND(#REF!,"AAAAAEfX9yE=")</f>
        <v>#REF!</v>
      </c>
      <c r="AI575" t="e">
        <f>AND(#REF!,"AAAAAEfX9yI=")</f>
        <v>#REF!</v>
      </c>
      <c r="AJ575" t="e">
        <f>AND(#REF!,"AAAAAEfX9yM=")</f>
        <v>#REF!</v>
      </c>
      <c r="AK575" t="e">
        <f>AND(#REF!,"AAAAAEfX9yQ=")</f>
        <v>#REF!</v>
      </c>
      <c r="AL575" t="e">
        <f>AND(#REF!,"AAAAAEfX9yU=")</f>
        <v>#REF!</v>
      </c>
      <c r="AM575" t="e">
        <f>AND(#REF!,"AAAAAEfX9yY=")</f>
        <v>#REF!</v>
      </c>
      <c r="AN575" t="e">
        <f>AND(#REF!,"AAAAAEfX9yc=")</f>
        <v>#REF!</v>
      </c>
      <c r="AO575" t="e">
        <f>AND(#REF!,"AAAAAEfX9yg=")</f>
        <v>#REF!</v>
      </c>
      <c r="AP575" t="e">
        <f>IF(#REF!,"AAAAAEfX9yk=",0)</f>
        <v>#REF!</v>
      </c>
      <c r="AQ575" t="e">
        <f>AND(#REF!,"AAAAAEfX9yo=")</f>
        <v>#REF!</v>
      </c>
      <c r="AR575" t="e">
        <f>AND(#REF!,"AAAAAEfX9ys=")</f>
        <v>#REF!</v>
      </c>
      <c r="AS575" t="e">
        <f>AND(#REF!,"AAAAAEfX9yw=")</f>
        <v>#REF!</v>
      </c>
      <c r="AT575" t="e">
        <f>AND(#REF!,"AAAAAEfX9y0=")</f>
        <v>#REF!</v>
      </c>
      <c r="AU575" t="e">
        <f>AND(#REF!,"AAAAAEfX9y4=")</f>
        <v>#REF!</v>
      </c>
      <c r="AV575" t="e">
        <f>AND(#REF!,"AAAAAEfX9y8=")</f>
        <v>#REF!</v>
      </c>
      <c r="AW575" t="e">
        <f>AND(#REF!,"AAAAAEfX9zA=")</f>
        <v>#REF!</v>
      </c>
      <c r="AX575" t="e">
        <f>AND(#REF!,"AAAAAEfX9zE=")</f>
        <v>#REF!</v>
      </c>
      <c r="AY575" t="e">
        <f>AND(#REF!,"AAAAAEfX9zI=")</f>
        <v>#REF!</v>
      </c>
      <c r="AZ575" t="e">
        <f>AND(#REF!,"AAAAAEfX9zM=")</f>
        <v>#REF!</v>
      </c>
      <c r="BA575" t="e">
        <f>IF(#REF!,"AAAAAEfX9zQ=",0)</f>
        <v>#REF!</v>
      </c>
      <c r="BB575" t="e">
        <f>AND(#REF!,"AAAAAEfX9zU=")</f>
        <v>#REF!</v>
      </c>
      <c r="BC575" t="e">
        <f>AND(#REF!,"AAAAAEfX9zY=")</f>
        <v>#REF!</v>
      </c>
      <c r="BD575" t="e">
        <f>AND(#REF!,"AAAAAEfX9zc=")</f>
        <v>#REF!</v>
      </c>
      <c r="BE575" t="e">
        <f>AND(#REF!,"AAAAAEfX9zg=")</f>
        <v>#REF!</v>
      </c>
      <c r="BF575" t="e">
        <f>AND(#REF!,"AAAAAEfX9zk=")</f>
        <v>#REF!</v>
      </c>
      <c r="BG575" t="e">
        <f>AND(#REF!,"AAAAAEfX9zo=")</f>
        <v>#REF!</v>
      </c>
      <c r="BH575" t="e">
        <f>AND(#REF!,"AAAAAEfX9zs=")</f>
        <v>#REF!</v>
      </c>
      <c r="BI575" t="e">
        <f>AND(#REF!,"AAAAAEfX9zw=")</f>
        <v>#REF!</v>
      </c>
      <c r="BJ575" t="e">
        <f>AND(#REF!,"AAAAAEfX9z0=")</f>
        <v>#REF!</v>
      </c>
      <c r="BK575" t="e">
        <f>AND(#REF!,"AAAAAEfX9z4=")</f>
        <v>#REF!</v>
      </c>
      <c r="BL575" t="e">
        <f>IF(#REF!,"AAAAAEfX9z8=",0)</f>
        <v>#REF!</v>
      </c>
      <c r="BM575" t="e">
        <f>AND(#REF!,"AAAAAEfX90A=")</f>
        <v>#REF!</v>
      </c>
      <c r="BN575" t="e">
        <f>AND(#REF!,"AAAAAEfX90E=")</f>
        <v>#REF!</v>
      </c>
      <c r="BO575" t="e">
        <f>AND(#REF!,"AAAAAEfX90I=")</f>
        <v>#REF!</v>
      </c>
      <c r="BP575" t="e">
        <f>AND(#REF!,"AAAAAEfX90M=")</f>
        <v>#REF!</v>
      </c>
      <c r="BQ575" t="e">
        <f>AND(#REF!,"AAAAAEfX90Q=")</f>
        <v>#REF!</v>
      </c>
      <c r="BR575" t="e">
        <f>AND(#REF!,"AAAAAEfX90U=")</f>
        <v>#REF!</v>
      </c>
      <c r="BS575" t="e">
        <f>AND(#REF!,"AAAAAEfX90Y=")</f>
        <v>#REF!</v>
      </c>
      <c r="BT575" t="e">
        <f>AND(#REF!,"AAAAAEfX90c=")</f>
        <v>#REF!</v>
      </c>
      <c r="BU575" t="e">
        <f>AND(#REF!,"AAAAAEfX90g=")</f>
        <v>#REF!</v>
      </c>
      <c r="BV575" t="e">
        <f>AND(#REF!,"AAAAAEfX90k=")</f>
        <v>#REF!</v>
      </c>
      <c r="BW575" t="e">
        <f>IF(#REF!,"AAAAAEfX90o=",0)</f>
        <v>#REF!</v>
      </c>
      <c r="BX575" t="e">
        <f>AND(#REF!,"AAAAAEfX90s=")</f>
        <v>#REF!</v>
      </c>
      <c r="BY575" t="e">
        <f>AND(#REF!,"AAAAAEfX90w=")</f>
        <v>#REF!</v>
      </c>
      <c r="BZ575" t="e">
        <f>AND(#REF!,"AAAAAEfX900=")</f>
        <v>#REF!</v>
      </c>
      <c r="CA575" t="e">
        <f>AND(#REF!,"AAAAAEfX904=")</f>
        <v>#REF!</v>
      </c>
      <c r="CB575" t="e">
        <f>AND(#REF!,"AAAAAEfX908=")</f>
        <v>#REF!</v>
      </c>
      <c r="CC575" t="e">
        <f>AND(#REF!,"AAAAAEfX91A=")</f>
        <v>#REF!</v>
      </c>
      <c r="CD575" t="e">
        <f>AND(#REF!,"AAAAAEfX91E=")</f>
        <v>#REF!</v>
      </c>
      <c r="CE575" t="e">
        <f>AND(#REF!,"AAAAAEfX91I=")</f>
        <v>#REF!</v>
      </c>
      <c r="CF575" t="e">
        <f>AND(#REF!,"AAAAAEfX91M=")</f>
        <v>#REF!</v>
      </c>
      <c r="CG575" t="e">
        <f>AND(#REF!,"AAAAAEfX91Q=")</f>
        <v>#REF!</v>
      </c>
      <c r="CH575" t="e">
        <f>IF(#REF!,"AAAAAEfX91U=",0)</f>
        <v>#REF!</v>
      </c>
      <c r="CI575" t="e">
        <f>AND(#REF!,"AAAAAEfX91Y=")</f>
        <v>#REF!</v>
      </c>
      <c r="CJ575" t="e">
        <f>AND(#REF!,"AAAAAEfX91c=")</f>
        <v>#REF!</v>
      </c>
      <c r="CK575" t="e">
        <f>AND(#REF!,"AAAAAEfX91g=")</f>
        <v>#REF!</v>
      </c>
      <c r="CL575" t="e">
        <f>AND(#REF!,"AAAAAEfX91k=")</f>
        <v>#REF!</v>
      </c>
      <c r="CM575" t="e">
        <f>AND(#REF!,"AAAAAEfX91o=")</f>
        <v>#REF!</v>
      </c>
      <c r="CN575" t="e">
        <f>AND(#REF!,"AAAAAEfX91s=")</f>
        <v>#REF!</v>
      </c>
      <c r="CO575" t="e">
        <f>AND(#REF!,"AAAAAEfX91w=")</f>
        <v>#REF!</v>
      </c>
      <c r="CP575" t="e">
        <f>AND(#REF!,"AAAAAEfX910=")</f>
        <v>#REF!</v>
      </c>
      <c r="CQ575" t="e">
        <f>AND(#REF!,"AAAAAEfX914=")</f>
        <v>#REF!</v>
      </c>
      <c r="CR575" t="e">
        <f>AND(#REF!,"AAAAAEfX918=")</f>
        <v>#REF!</v>
      </c>
      <c r="CS575" t="e">
        <f>IF(#REF!,"AAAAAEfX92A=",0)</f>
        <v>#REF!</v>
      </c>
      <c r="CT575" t="e">
        <f>AND(#REF!,"AAAAAEfX92E=")</f>
        <v>#REF!</v>
      </c>
      <c r="CU575" t="e">
        <f>AND(#REF!,"AAAAAEfX92I=")</f>
        <v>#REF!</v>
      </c>
      <c r="CV575" t="e">
        <f>AND(#REF!,"AAAAAEfX92M=")</f>
        <v>#REF!</v>
      </c>
      <c r="CW575" t="e">
        <f>AND(#REF!,"AAAAAEfX92Q=")</f>
        <v>#REF!</v>
      </c>
      <c r="CX575" t="e">
        <f>AND(#REF!,"AAAAAEfX92U=")</f>
        <v>#REF!</v>
      </c>
      <c r="CY575" t="e">
        <f>AND(#REF!,"AAAAAEfX92Y=")</f>
        <v>#REF!</v>
      </c>
      <c r="CZ575" t="e">
        <f>AND(#REF!,"AAAAAEfX92c=")</f>
        <v>#REF!</v>
      </c>
      <c r="DA575" t="e">
        <f>AND(#REF!,"AAAAAEfX92g=")</f>
        <v>#REF!</v>
      </c>
      <c r="DB575" t="e">
        <f>AND(#REF!,"AAAAAEfX92k=")</f>
        <v>#REF!</v>
      </c>
      <c r="DC575" t="e">
        <f>AND(#REF!,"AAAAAEfX92o=")</f>
        <v>#REF!</v>
      </c>
      <c r="DD575" t="e">
        <f>IF(#REF!,"AAAAAEfX92s=",0)</f>
        <v>#REF!</v>
      </c>
      <c r="DE575" t="e">
        <f>AND(#REF!,"AAAAAEfX92w=")</f>
        <v>#REF!</v>
      </c>
      <c r="DF575" t="e">
        <f>AND(#REF!,"AAAAAEfX920=")</f>
        <v>#REF!</v>
      </c>
      <c r="DG575" t="e">
        <f>AND(#REF!,"AAAAAEfX924=")</f>
        <v>#REF!</v>
      </c>
      <c r="DH575" t="e">
        <f>AND(#REF!,"AAAAAEfX928=")</f>
        <v>#REF!</v>
      </c>
      <c r="DI575" t="e">
        <f>AND(#REF!,"AAAAAEfX93A=")</f>
        <v>#REF!</v>
      </c>
      <c r="DJ575" t="e">
        <f>AND(#REF!,"AAAAAEfX93E=")</f>
        <v>#REF!</v>
      </c>
      <c r="DK575" t="e">
        <f>AND(#REF!,"AAAAAEfX93I=")</f>
        <v>#REF!</v>
      </c>
      <c r="DL575" t="e">
        <f>AND(#REF!,"AAAAAEfX93M=")</f>
        <v>#REF!</v>
      </c>
      <c r="DM575" t="e">
        <f>AND(#REF!,"AAAAAEfX93Q=")</f>
        <v>#REF!</v>
      </c>
      <c r="DN575" t="e">
        <f>AND(#REF!,"AAAAAEfX93U=")</f>
        <v>#REF!</v>
      </c>
      <c r="DO575" t="e">
        <f>IF(#REF!,"AAAAAEfX93Y=",0)</f>
        <v>#REF!</v>
      </c>
      <c r="DP575" t="e">
        <f>AND(#REF!,"AAAAAEfX93c=")</f>
        <v>#REF!</v>
      </c>
      <c r="DQ575" t="e">
        <f>AND(#REF!,"AAAAAEfX93g=")</f>
        <v>#REF!</v>
      </c>
      <c r="DR575" t="e">
        <f>AND(#REF!,"AAAAAEfX93k=")</f>
        <v>#REF!</v>
      </c>
      <c r="DS575" t="e">
        <f>AND(#REF!,"AAAAAEfX93o=")</f>
        <v>#REF!</v>
      </c>
      <c r="DT575" t="e">
        <f>AND(#REF!,"AAAAAEfX93s=")</f>
        <v>#REF!</v>
      </c>
      <c r="DU575" t="e">
        <f>AND(#REF!,"AAAAAEfX93w=")</f>
        <v>#REF!</v>
      </c>
      <c r="DV575" t="e">
        <f>AND(#REF!,"AAAAAEfX930=")</f>
        <v>#REF!</v>
      </c>
      <c r="DW575" t="e">
        <f>AND(#REF!,"AAAAAEfX934=")</f>
        <v>#REF!</v>
      </c>
      <c r="DX575" t="e">
        <f>AND(#REF!,"AAAAAEfX938=")</f>
        <v>#REF!</v>
      </c>
      <c r="DY575" t="e">
        <f>AND(#REF!,"AAAAAEfX94A=")</f>
        <v>#REF!</v>
      </c>
      <c r="DZ575" t="e">
        <f>IF(#REF!,"AAAAAEfX94E=",0)</f>
        <v>#REF!</v>
      </c>
      <c r="EA575" t="e">
        <f>AND(#REF!,"AAAAAEfX94I=")</f>
        <v>#REF!</v>
      </c>
      <c r="EB575" t="e">
        <f>AND(#REF!,"AAAAAEfX94M=")</f>
        <v>#REF!</v>
      </c>
      <c r="EC575" t="e">
        <f>AND(#REF!,"AAAAAEfX94Q=")</f>
        <v>#REF!</v>
      </c>
      <c r="ED575" t="e">
        <f>AND(#REF!,"AAAAAEfX94U=")</f>
        <v>#REF!</v>
      </c>
      <c r="EE575" t="e">
        <f>AND(#REF!,"AAAAAEfX94Y=")</f>
        <v>#REF!</v>
      </c>
      <c r="EF575" t="e">
        <f>AND(#REF!,"AAAAAEfX94c=")</f>
        <v>#REF!</v>
      </c>
      <c r="EG575" t="e">
        <f>AND(#REF!,"AAAAAEfX94g=")</f>
        <v>#REF!</v>
      </c>
      <c r="EH575" t="e">
        <f>AND(#REF!,"AAAAAEfX94k=")</f>
        <v>#REF!</v>
      </c>
      <c r="EI575" t="e">
        <f>AND(#REF!,"AAAAAEfX94o=")</f>
        <v>#REF!</v>
      </c>
      <c r="EJ575" t="e">
        <f>AND(#REF!,"AAAAAEfX94s=")</f>
        <v>#REF!</v>
      </c>
      <c r="EK575" t="e">
        <f>IF(#REF!,"AAAAAEfX94w=",0)</f>
        <v>#REF!</v>
      </c>
      <c r="EL575" t="e">
        <f>AND(#REF!,"AAAAAEfX940=")</f>
        <v>#REF!</v>
      </c>
      <c r="EM575" t="e">
        <f>AND(#REF!,"AAAAAEfX944=")</f>
        <v>#REF!</v>
      </c>
      <c r="EN575" t="e">
        <f>AND(#REF!,"AAAAAEfX948=")</f>
        <v>#REF!</v>
      </c>
      <c r="EO575" t="e">
        <f>AND(#REF!,"AAAAAEfX95A=")</f>
        <v>#REF!</v>
      </c>
      <c r="EP575" t="e">
        <f>AND(#REF!,"AAAAAEfX95E=")</f>
        <v>#REF!</v>
      </c>
      <c r="EQ575" t="e">
        <f>AND(#REF!,"AAAAAEfX95I=")</f>
        <v>#REF!</v>
      </c>
      <c r="ER575" t="e">
        <f>AND(#REF!,"AAAAAEfX95M=")</f>
        <v>#REF!</v>
      </c>
      <c r="ES575" t="e">
        <f>AND(#REF!,"AAAAAEfX95Q=")</f>
        <v>#REF!</v>
      </c>
      <c r="ET575" t="e">
        <f>AND(#REF!,"AAAAAEfX95U=")</f>
        <v>#REF!</v>
      </c>
      <c r="EU575" t="e">
        <f>AND(#REF!,"AAAAAEfX95Y=")</f>
        <v>#REF!</v>
      </c>
      <c r="EV575" t="e">
        <f>IF(#REF!,"AAAAAEfX95c=",0)</f>
        <v>#REF!</v>
      </c>
      <c r="EW575" t="e">
        <f>AND(#REF!,"AAAAAEfX95g=")</f>
        <v>#REF!</v>
      </c>
      <c r="EX575" t="e">
        <f>AND(#REF!,"AAAAAEfX95k=")</f>
        <v>#REF!</v>
      </c>
      <c r="EY575" t="e">
        <f>AND(#REF!,"AAAAAEfX95o=")</f>
        <v>#REF!</v>
      </c>
      <c r="EZ575" t="e">
        <f>AND(#REF!,"AAAAAEfX95s=")</f>
        <v>#REF!</v>
      </c>
      <c r="FA575" t="e">
        <f>AND(#REF!,"AAAAAEfX95w=")</f>
        <v>#REF!</v>
      </c>
      <c r="FB575" t="e">
        <f>AND(#REF!,"AAAAAEfX950=")</f>
        <v>#REF!</v>
      </c>
      <c r="FC575" t="e">
        <f>AND(#REF!,"AAAAAEfX954=")</f>
        <v>#REF!</v>
      </c>
      <c r="FD575" t="e">
        <f>AND(#REF!,"AAAAAEfX958=")</f>
        <v>#REF!</v>
      </c>
      <c r="FE575" t="e">
        <f>AND(#REF!,"AAAAAEfX96A=")</f>
        <v>#REF!</v>
      </c>
      <c r="FF575" t="e">
        <f>AND(#REF!,"AAAAAEfX96E=")</f>
        <v>#REF!</v>
      </c>
      <c r="FG575" t="e">
        <f>IF(#REF!,"AAAAAEfX96I=",0)</f>
        <v>#REF!</v>
      </c>
      <c r="FH575" t="e">
        <f>AND(#REF!,"AAAAAEfX96M=")</f>
        <v>#REF!</v>
      </c>
      <c r="FI575" t="e">
        <f>AND(#REF!,"AAAAAEfX96Q=")</f>
        <v>#REF!</v>
      </c>
      <c r="FJ575" t="e">
        <f>AND(#REF!,"AAAAAEfX96U=")</f>
        <v>#REF!</v>
      </c>
      <c r="FK575" t="e">
        <f>AND(#REF!,"AAAAAEfX96Y=")</f>
        <v>#REF!</v>
      </c>
      <c r="FL575" t="e">
        <f>AND(#REF!,"AAAAAEfX96c=")</f>
        <v>#REF!</v>
      </c>
      <c r="FM575" t="e">
        <f>AND(#REF!,"AAAAAEfX96g=")</f>
        <v>#REF!</v>
      </c>
      <c r="FN575" t="e">
        <f>AND(#REF!,"AAAAAEfX96k=")</f>
        <v>#REF!</v>
      </c>
      <c r="FO575" t="e">
        <f>AND(#REF!,"AAAAAEfX96o=")</f>
        <v>#REF!</v>
      </c>
      <c r="FP575" t="e">
        <f>AND(#REF!,"AAAAAEfX96s=")</f>
        <v>#REF!</v>
      </c>
      <c r="FQ575" t="e">
        <f>AND(#REF!,"AAAAAEfX96w=")</f>
        <v>#REF!</v>
      </c>
      <c r="FR575" t="e">
        <f>IF(#REF!,"AAAAAEfX960=",0)</f>
        <v>#REF!</v>
      </c>
      <c r="FS575" t="e">
        <f>AND(#REF!,"AAAAAEfX964=")</f>
        <v>#REF!</v>
      </c>
      <c r="FT575" t="e">
        <f>AND(#REF!,"AAAAAEfX968=")</f>
        <v>#REF!</v>
      </c>
      <c r="FU575" t="e">
        <f>AND(#REF!,"AAAAAEfX97A=")</f>
        <v>#REF!</v>
      </c>
      <c r="FV575" t="e">
        <f>AND(#REF!,"AAAAAEfX97E=")</f>
        <v>#REF!</v>
      </c>
      <c r="FW575" t="e">
        <f>AND(#REF!,"AAAAAEfX97I=")</f>
        <v>#REF!</v>
      </c>
      <c r="FX575" t="e">
        <f>AND(#REF!,"AAAAAEfX97M=")</f>
        <v>#REF!</v>
      </c>
      <c r="FY575" t="e">
        <f>AND(#REF!,"AAAAAEfX97Q=")</f>
        <v>#REF!</v>
      </c>
      <c r="FZ575" t="e">
        <f>AND(#REF!,"AAAAAEfX97U=")</f>
        <v>#REF!</v>
      </c>
      <c r="GA575" t="e">
        <f>AND(#REF!,"AAAAAEfX97Y=")</f>
        <v>#REF!</v>
      </c>
      <c r="GB575" t="e">
        <f>AND(#REF!,"AAAAAEfX97c=")</f>
        <v>#REF!</v>
      </c>
      <c r="GC575" t="e">
        <f>IF(#REF!,"AAAAAEfX97g=",0)</f>
        <v>#REF!</v>
      </c>
      <c r="GD575" t="e">
        <f>AND(#REF!,"AAAAAEfX97k=")</f>
        <v>#REF!</v>
      </c>
      <c r="GE575" t="e">
        <f>AND(#REF!,"AAAAAEfX97o=")</f>
        <v>#REF!</v>
      </c>
      <c r="GF575" t="e">
        <f>AND(#REF!,"AAAAAEfX97s=")</f>
        <v>#REF!</v>
      </c>
      <c r="GG575" t="e">
        <f>AND(#REF!,"AAAAAEfX97w=")</f>
        <v>#REF!</v>
      </c>
      <c r="GH575" t="e">
        <f>AND(#REF!,"AAAAAEfX970=")</f>
        <v>#REF!</v>
      </c>
      <c r="GI575" t="e">
        <f>AND(#REF!,"AAAAAEfX974=")</f>
        <v>#REF!</v>
      </c>
      <c r="GJ575" t="e">
        <f>AND(#REF!,"AAAAAEfX978=")</f>
        <v>#REF!</v>
      </c>
      <c r="GK575" t="e">
        <f>AND(#REF!,"AAAAAEfX98A=")</f>
        <v>#REF!</v>
      </c>
      <c r="GL575" t="e">
        <f>AND(#REF!,"AAAAAEfX98E=")</f>
        <v>#REF!</v>
      </c>
      <c r="GM575" t="e">
        <f>AND(#REF!,"AAAAAEfX98I=")</f>
        <v>#REF!</v>
      </c>
      <c r="GN575" t="e">
        <f>IF(#REF!,"AAAAAEfX98M=",0)</f>
        <v>#REF!</v>
      </c>
      <c r="GO575" t="e">
        <f>AND(#REF!,"AAAAAEfX98Q=")</f>
        <v>#REF!</v>
      </c>
      <c r="GP575" t="e">
        <f>AND(#REF!,"AAAAAEfX98U=")</f>
        <v>#REF!</v>
      </c>
      <c r="GQ575" t="e">
        <f>AND(#REF!,"AAAAAEfX98Y=")</f>
        <v>#REF!</v>
      </c>
      <c r="GR575" t="e">
        <f>AND(#REF!,"AAAAAEfX98c=")</f>
        <v>#REF!</v>
      </c>
      <c r="GS575" t="e">
        <f>AND(#REF!,"AAAAAEfX98g=")</f>
        <v>#REF!</v>
      </c>
      <c r="GT575" t="e">
        <f>AND(#REF!,"AAAAAEfX98k=")</f>
        <v>#REF!</v>
      </c>
      <c r="GU575" t="e">
        <f>AND(#REF!,"AAAAAEfX98o=")</f>
        <v>#REF!</v>
      </c>
      <c r="GV575" t="e">
        <f>AND(#REF!,"AAAAAEfX98s=")</f>
        <v>#REF!</v>
      </c>
      <c r="GW575" t="e">
        <f>AND(#REF!,"AAAAAEfX98w=")</f>
        <v>#REF!</v>
      </c>
      <c r="GX575" t="e">
        <f>AND(#REF!,"AAAAAEfX980=")</f>
        <v>#REF!</v>
      </c>
      <c r="GY575" t="e">
        <f>IF(#REF!,"AAAAAEfX984=",0)</f>
        <v>#REF!</v>
      </c>
      <c r="GZ575" t="e">
        <f>AND(#REF!,"AAAAAEfX988=")</f>
        <v>#REF!</v>
      </c>
      <c r="HA575" t="e">
        <f>AND(#REF!,"AAAAAEfX99A=")</f>
        <v>#REF!</v>
      </c>
      <c r="HB575" t="e">
        <f>AND(#REF!,"AAAAAEfX99E=")</f>
        <v>#REF!</v>
      </c>
      <c r="HC575" t="e">
        <f>AND(#REF!,"AAAAAEfX99I=")</f>
        <v>#REF!</v>
      </c>
      <c r="HD575" t="e">
        <f>AND(#REF!,"AAAAAEfX99M=")</f>
        <v>#REF!</v>
      </c>
      <c r="HE575" t="e">
        <f>AND(#REF!,"AAAAAEfX99Q=")</f>
        <v>#REF!</v>
      </c>
      <c r="HF575" t="e">
        <f>AND(#REF!,"AAAAAEfX99U=")</f>
        <v>#REF!</v>
      </c>
      <c r="HG575" t="e">
        <f>AND(#REF!,"AAAAAEfX99Y=")</f>
        <v>#REF!</v>
      </c>
      <c r="HH575" t="e">
        <f>AND(#REF!,"AAAAAEfX99c=")</f>
        <v>#REF!</v>
      </c>
      <c r="HI575" t="e">
        <f>AND(#REF!,"AAAAAEfX99g=")</f>
        <v>#REF!</v>
      </c>
      <c r="HJ575" t="e">
        <f>IF(#REF!,"AAAAAEfX99k=",0)</f>
        <v>#REF!</v>
      </c>
      <c r="HK575" t="e">
        <f>AND(#REF!,"AAAAAEfX99o=")</f>
        <v>#REF!</v>
      </c>
      <c r="HL575" t="e">
        <f>AND(#REF!,"AAAAAEfX99s=")</f>
        <v>#REF!</v>
      </c>
      <c r="HM575" t="e">
        <f>AND(#REF!,"AAAAAEfX99w=")</f>
        <v>#REF!</v>
      </c>
      <c r="HN575" t="e">
        <f>AND(#REF!,"AAAAAEfX990=")</f>
        <v>#REF!</v>
      </c>
      <c r="HO575" t="e">
        <f>AND(#REF!,"AAAAAEfX994=")</f>
        <v>#REF!</v>
      </c>
      <c r="HP575" t="e">
        <f>AND(#REF!,"AAAAAEfX998=")</f>
        <v>#REF!</v>
      </c>
      <c r="HQ575" t="e">
        <f>AND(#REF!,"AAAAAEfX9+A=")</f>
        <v>#REF!</v>
      </c>
      <c r="HR575" t="e">
        <f>AND(#REF!,"AAAAAEfX9+E=")</f>
        <v>#REF!</v>
      </c>
      <c r="HS575" t="e">
        <f>AND(#REF!,"AAAAAEfX9+I=")</f>
        <v>#REF!</v>
      </c>
      <c r="HT575" t="e">
        <f>AND(#REF!,"AAAAAEfX9+M=")</f>
        <v>#REF!</v>
      </c>
      <c r="HU575" t="e">
        <f>IF(#REF!,"AAAAAEfX9+Q=",0)</f>
        <v>#REF!</v>
      </c>
      <c r="HV575" t="e">
        <f>AND(#REF!,"AAAAAEfX9+U=")</f>
        <v>#REF!</v>
      </c>
      <c r="HW575" t="e">
        <f>AND(#REF!,"AAAAAEfX9+Y=")</f>
        <v>#REF!</v>
      </c>
      <c r="HX575" t="e">
        <f>AND(#REF!,"AAAAAEfX9+c=")</f>
        <v>#REF!</v>
      </c>
      <c r="HY575" t="e">
        <f>AND(#REF!,"AAAAAEfX9+g=")</f>
        <v>#REF!</v>
      </c>
      <c r="HZ575" t="e">
        <f>AND(#REF!,"AAAAAEfX9+k=")</f>
        <v>#REF!</v>
      </c>
      <c r="IA575" t="e">
        <f>AND(#REF!,"AAAAAEfX9+o=")</f>
        <v>#REF!</v>
      </c>
      <c r="IB575" t="e">
        <f>AND(#REF!,"AAAAAEfX9+s=")</f>
        <v>#REF!</v>
      </c>
      <c r="IC575" t="e">
        <f>AND(#REF!,"AAAAAEfX9+w=")</f>
        <v>#REF!</v>
      </c>
      <c r="ID575" t="e">
        <f>AND(#REF!,"AAAAAEfX9+0=")</f>
        <v>#REF!</v>
      </c>
      <c r="IE575" t="e">
        <f>AND(#REF!,"AAAAAEfX9+4=")</f>
        <v>#REF!</v>
      </c>
      <c r="IF575" t="e">
        <f>IF(#REF!,"AAAAAEfX9+8=",0)</f>
        <v>#REF!</v>
      </c>
      <c r="IG575" t="e">
        <f>AND(#REF!,"AAAAAEfX9/A=")</f>
        <v>#REF!</v>
      </c>
      <c r="IH575" t="e">
        <f>AND(#REF!,"AAAAAEfX9/E=")</f>
        <v>#REF!</v>
      </c>
      <c r="II575" t="e">
        <f>AND(#REF!,"AAAAAEfX9/I=")</f>
        <v>#REF!</v>
      </c>
      <c r="IJ575" t="e">
        <f>AND(#REF!,"AAAAAEfX9/M=")</f>
        <v>#REF!</v>
      </c>
      <c r="IK575" t="e">
        <f>AND(#REF!,"AAAAAEfX9/Q=")</f>
        <v>#REF!</v>
      </c>
      <c r="IL575" t="e">
        <f>AND(#REF!,"AAAAAEfX9/U=")</f>
        <v>#REF!</v>
      </c>
      <c r="IM575" t="e">
        <f>AND(#REF!,"AAAAAEfX9/Y=")</f>
        <v>#REF!</v>
      </c>
      <c r="IN575" t="e">
        <f>AND(#REF!,"AAAAAEfX9/c=")</f>
        <v>#REF!</v>
      </c>
      <c r="IO575" t="e">
        <f>AND(#REF!,"AAAAAEfX9/g=")</f>
        <v>#REF!</v>
      </c>
      <c r="IP575" t="e">
        <f>AND(#REF!,"AAAAAEfX9/k=")</f>
        <v>#REF!</v>
      </c>
      <c r="IQ575" t="e">
        <f>IF(#REF!,"AAAAAEfX9/o=",0)</f>
        <v>#REF!</v>
      </c>
      <c r="IR575" t="e">
        <f>AND(#REF!,"AAAAAEfX9/s=")</f>
        <v>#REF!</v>
      </c>
      <c r="IS575" t="e">
        <f>AND(#REF!,"AAAAAEfX9/w=")</f>
        <v>#REF!</v>
      </c>
      <c r="IT575" t="e">
        <f>AND(#REF!,"AAAAAEfX9/0=")</f>
        <v>#REF!</v>
      </c>
      <c r="IU575" t="e">
        <f>AND(#REF!,"AAAAAEfX9/4=")</f>
        <v>#REF!</v>
      </c>
      <c r="IV575" t="e">
        <f>AND(#REF!,"AAAAAEfX9/8=")</f>
        <v>#REF!</v>
      </c>
    </row>
    <row r="576" spans="1:256" x14ac:dyDescent="0.25">
      <c r="A576" t="e">
        <f>AND(#REF!,"AAAAAAd5PQA=")</f>
        <v>#REF!</v>
      </c>
      <c r="B576" t="e">
        <f>AND(#REF!,"AAAAAAd5PQE=")</f>
        <v>#REF!</v>
      </c>
      <c r="C576" t="e">
        <f>AND(#REF!,"AAAAAAd5PQI=")</f>
        <v>#REF!</v>
      </c>
      <c r="D576" t="e">
        <f>AND(#REF!,"AAAAAAd5PQM=")</f>
        <v>#REF!</v>
      </c>
      <c r="E576" t="e">
        <f>AND(#REF!,"AAAAAAd5PQQ=")</f>
        <v>#REF!</v>
      </c>
      <c r="F576" t="e">
        <f>IF(#REF!,"AAAAAAd5PQU=",0)</f>
        <v>#REF!</v>
      </c>
      <c r="G576" t="e">
        <f>AND(#REF!,"AAAAAAd5PQY=")</f>
        <v>#REF!</v>
      </c>
      <c r="H576" t="e">
        <f>AND(#REF!,"AAAAAAd5PQc=")</f>
        <v>#REF!</v>
      </c>
      <c r="I576" t="e">
        <f>AND(#REF!,"AAAAAAd5PQg=")</f>
        <v>#REF!</v>
      </c>
      <c r="J576" t="e">
        <f>AND(#REF!,"AAAAAAd5PQk=")</f>
        <v>#REF!</v>
      </c>
      <c r="K576" t="e">
        <f>AND(#REF!,"AAAAAAd5PQo=")</f>
        <v>#REF!</v>
      </c>
      <c r="L576" t="e">
        <f>AND(#REF!,"AAAAAAd5PQs=")</f>
        <v>#REF!</v>
      </c>
      <c r="M576" t="e">
        <f>AND(#REF!,"AAAAAAd5PQw=")</f>
        <v>#REF!</v>
      </c>
      <c r="N576" t="e">
        <f>AND(#REF!,"AAAAAAd5PQ0=")</f>
        <v>#REF!</v>
      </c>
      <c r="O576" t="e">
        <f>AND(#REF!,"AAAAAAd5PQ4=")</f>
        <v>#REF!</v>
      </c>
      <c r="P576" t="e">
        <f>AND(#REF!,"AAAAAAd5PQ8=")</f>
        <v>#REF!</v>
      </c>
      <c r="Q576" t="e">
        <f>IF(#REF!,"AAAAAAd5PRA=",0)</f>
        <v>#REF!</v>
      </c>
      <c r="R576" t="e">
        <f>AND(#REF!,"AAAAAAd5PRE=")</f>
        <v>#REF!</v>
      </c>
      <c r="S576" t="e">
        <f>AND(#REF!,"AAAAAAd5PRI=")</f>
        <v>#REF!</v>
      </c>
      <c r="T576" t="e">
        <f>AND(#REF!,"AAAAAAd5PRM=")</f>
        <v>#REF!</v>
      </c>
      <c r="U576" t="e">
        <f>AND(#REF!,"AAAAAAd5PRQ=")</f>
        <v>#REF!</v>
      </c>
      <c r="V576" t="e">
        <f>AND(#REF!,"AAAAAAd5PRU=")</f>
        <v>#REF!</v>
      </c>
      <c r="W576" t="e">
        <f>AND(#REF!,"AAAAAAd5PRY=")</f>
        <v>#REF!</v>
      </c>
      <c r="X576" t="e">
        <f>AND(#REF!,"AAAAAAd5PRc=")</f>
        <v>#REF!</v>
      </c>
      <c r="Y576" t="e">
        <f>AND(#REF!,"AAAAAAd5PRg=")</f>
        <v>#REF!</v>
      </c>
      <c r="Z576" t="e">
        <f>AND(#REF!,"AAAAAAd5PRk=")</f>
        <v>#REF!</v>
      </c>
      <c r="AA576" t="e">
        <f>AND(#REF!,"AAAAAAd5PRo=")</f>
        <v>#REF!</v>
      </c>
      <c r="AB576" t="e">
        <f>IF(#REF!,"AAAAAAd5PRs=",0)</f>
        <v>#REF!</v>
      </c>
      <c r="AC576" t="e">
        <f>AND(#REF!,"AAAAAAd5PRw=")</f>
        <v>#REF!</v>
      </c>
      <c r="AD576" t="e">
        <f>AND(#REF!,"AAAAAAd5PR0=")</f>
        <v>#REF!</v>
      </c>
      <c r="AE576" t="e">
        <f>AND(#REF!,"AAAAAAd5PR4=")</f>
        <v>#REF!</v>
      </c>
      <c r="AF576" t="e">
        <f>AND(#REF!,"AAAAAAd5PR8=")</f>
        <v>#REF!</v>
      </c>
      <c r="AG576" t="e">
        <f>AND(#REF!,"AAAAAAd5PSA=")</f>
        <v>#REF!</v>
      </c>
      <c r="AH576" t="e">
        <f>AND(#REF!,"AAAAAAd5PSE=")</f>
        <v>#REF!</v>
      </c>
      <c r="AI576" t="e">
        <f>AND(#REF!,"AAAAAAd5PSI=")</f>
        <v>#REF!</v>
      </c>
      <c r="AJ576" t="e">
        <f>AND(#REF!,"AAAAAAd5PSM=")</f>
        <v>#REF!</v>
      </c>
      <c r="AK576" t="e">
        <f>AND(#REF!,"AAAAAAd5PSQ=")</f>
        <v>#REF!</v>
      </c>
      <c r="AL576" t="e">
        <f>AND(#REF!,"AAAAAAd5PSU=")</f>
        <v>#REF!</v>
      </c>
      <c r="AM576" t="e">
        <f>IF(#REF!,"AAAAAAd5PSY=",0)</f>
        <v>#REF!</v>
      </c>
      <c r="AN576" t="e">
        <f>AND(#REF!,"AAAAAAd5PSc=")</f>
        <v>#REF!</v>
      </c>
      <c r="AO576" t="e">
        <f>AND(#REF!,"AAAAAAd5PSg=")</f>
        <v>#REF!</v>
      </c>
      <c r="AP576" t="e">
        <f>AND(#REF!,"AAAAAAd5PSk=")</f>
        <v>#REF!</v>
      </c>
      <c r="AQ576" t="e">
        <f>AND(#REF!,"AAAAAAd5PSo=")</f>
        <v>#REF!</v>
      </c>
      <c r="AR576" t="e">
        <f>AND(#REF!,"AAAAAAd5PSs=")</f>
        <v>#REF!</v>
      </c>
      <c r="AS576" t="e">
        <f>AND(#REF!,"AAAAAAd5PSw=")</f>
        <v>#REF!</v>
      </c>
      <c r="AT576" t="e">
        <f>AND(#REF!,"AAAAAAd5PS0=")</f>
        <v>#REF!</v>
      </c>
      <c r="AU576" t="e">
        <f>AND(#REF!,"AAAAAAd5PS4=")</f>
        <v>#REF!</v>
      </c>
      <c r="AV576" t="e">
        <f>AND(#REF!,"AAAAAAd5PS8=")</f>
        <v>#REF!</v>
      </c>
      <c r="AW576" t="e">
        <f>AND(#REF!,"AAAAAAd5PTA=")</f>
        <v>#REF!</v>
      </c>
      <c r="AX576" t="e">
        <f>IF(#REF!,"AAAAAAd5PTE=",0)</f>
        <v>#REF!</v>
      </c>
      <c r="AY576" t="e">
        <f>AND(#REF!,"AAAAAAd5PTI=")</f>
        <v>#REF!</v>
      </c>
      <c r="AZ576" t="e">
        <f>AND(#REF!,"AAAAAAd5PTM=")</f>
        <v>#REF!</v>
      </c>
      <c r="BA576" t="e">
        <f>AND(#REF!,"AAAAAAd5PTQ=")</f>
        <v>#REF!</v>
      </c>
      <c r="BB576" t="e">
        <f>AND(#REF!,"AAAAAAd5PTU=")</f>
        <v>#REF!</v>
      </c>
      <c r="BC576" t="e">
        <f>AND(#REF!,"AAAAAAd5PTY=")</f>
        <v>#REF!</v>
      </c>
      <c r="BD576" t="e">
        <f>AND(#REF!,"AAAAAAd5PTc=")</f>
        <v>#REF!</v>
      </c>
      <c r="BE576" t="e">
        <f>AND(#REF!,"AAAAAAd5PTg=")</f>
        <v>#REF!</v>
      </c>
      <c r="BF576" t="e">
        <f>AND(#REF!,"AAAAAAd5PTk=")</f>
        <v>#REF!</v>
      </c>
      <c r="BG576" t="e">
        <f>AND(#REF!,"AAAAAAd5PTo=")</f>
        <v>#REF!</v>
      </c>
      <c r="BH576" t="e">
        <f>AND(#REF!,"AAAAAAd5PTs=")</f>
        <v>#REF!</v>
      </c>
      <c r="BI576" t="e">
        <f>IF(#REF!,"AAAAAAd5PTw=",0)</f>
        <v>#REF!</v>
      </c>
      <c r="BJ576" t="e">
        <f>AND(#REF!,"AAAAAAd5PT0=")</f>
        <v>#REF!</v>
      </c>
      <c r="BK576" t="e">
        <f>AND(#REF!,"AAAAAAd5PT4=")</f>
        <v>#REF!</v>
      </c>
      <c r="BL576" t="e">
        <f>AND(#REF!,"AAAAAAd5PT8=")</f>
        <v>#REF!</v>
      </c>
      <c r="BM576" t="e">
        <f>AND(#REF!,"AAAAAAd5PUA=")</f>
        <v>#REF!</v>
      </c>
      <c r="BN576" t="e">
        <f>AND(#REF!,"AAAAAAd5PUE=")</f>
        <v>#REF!</v>
      </c>
      <c r="BO576" t="e">
        <f>AND(#REF!,"AAAAAAd5PUI=")</f>
        <v>#REF!</v>
      </c>
      <c r="BP576" t="e">
        <f>AND(#REF!,"AAAAAAd5PUM=")</f>
        <v>#REF!</v>
      </c>
      <c r="BQ576" t="e">
        <f>AND(#REF!,"AAAAAAd5PUQ=")</f>
        <v>#REF!</v>
      </c>
      <c r="BR576" t="e">
        <f>AND(#REF!,"AAAAAAd5PUU=")</f>
        <v>#REF!</v>
      </c>
      <c r="BS576" t="e">
        <f>AND(#REF!,"AAAAAAd5PUY=")</f>
        <v>#REF!</v>
      </c>
      <c r="BT576" t="e">
        <f>IF(#REF!,"AAAAAAd5PUc=",0)</f>
        <v>#REF!</v>
      </c>
      <c r="BU576" t="e">
        <f>AND(#REF!,"AAAAAAd5PUg=")</f>
        <v>#REF!</v>
      </c>
      <c r="BV576" t="e">
        <f>AND(#REF!,"AAAAAAd5PUk=")</f>
        <v>#REF!</v>
      </c>
      <c r="BW576" t="e">
        <f>AND(#REF!,"AAAAAAd5PUo=")</f>
        <v>#REF!</v>
      </c>
      <c r="BX576" t="e">
        <f>AND(#REF!,"AAAAAAd5PUs=")</f>
        <v>#REF!</v>
      </c>
      <c r="BY576" t="e">
        <f>AND(#REF!,"AAAAAAd5PUw=")</f>
        <v>#REF!</v>
      </c>
      <c r="BZ576" t="e">
        <f>AND(#REF!,"AAAAAAd5PU0=")</f>
        <v>#REF!</v>
      </c>
      <c r="CA576" t="e">
        <f>AND(#REF!,"AAAAAAd5PU4=")</f>
        <v>#REF!</v>
      </c>
      <c r="CB576" t="e">
        <f>AND(#REF!,"AAAAAAd5PU8=")</f>
        <v>#REF!</v>
      </c>
      <c r="CC576" t="e">
        <f>AND(#REF!,"AAAAAAd5PVA=")</f>
        <v>#REF!</v>
      </c>
      <c r="CD576" t="e">
        <f>AND(#REF!,"AAAAAAd5PVE=")</f>
        <v>#REF!</v>
      </c>
      <c r="CE576" t="e">
        <f>IF(#REF!,"AAAAAAd5PVI=",0)</f>
        <v>#REF!</v>
      </c>
      <c r="CF576" t="e">
        <f>AND(#REF!,"AAAAAAd5PVM=")</f>
        <v>#REF!</v>
      </c>
      <c r="CG576" t="e">
        <f>AND(#REF!,"AAAAAAd5PVQ=")</f>
        <v>#REF!</v>
      </c>
      <c r="CH576" t="e">
        <f>AND(#REF!,"AAAAAAd5PVU=")</f>
        <v>#REF!</v>
      </c>
      <c r="CI576" t="e">
        <f>AND(#REF!,"AAAAAAd5PVY=")</f>
        <v>#REF!</v>
      </c>
      <c r="CJ576" t="e">
        <f>AND(#REF!,"AAAAAAd5PVc=")</f>
        <v>#REF!</v>
      </c>
      <c r="CK576" t="e">
        <f>AND(#REF!,"AAAAAAd5PVg=")</f>
        <v>#REF!</v>
      </c>
      <c r="CL576" t="e">
        <f>AND(#REF!,"AAAAAAd5PVk=")</f>
        <v>#REF!</v>
      </c>
      <c r="CM576" t="e">
        <f>AND(#REF!,"AAAAAAd5PVo=")</f>
        <v>#REF!</v>
      </c>
      <c r="CN576" t="e">
        <f>AND(#REF!,"AAAAAAd5PVs=")</f>
        <v>#REF!</v>
      </c>
      <c r="CO576" t="e">
        <f>AND(#REF!,"AAAAAAd5PVw=")</f>
        <v>#REF!</v>
      </c>
      <c r="CP576" t="e">
        <f>IF(#REF!,"AAAAAAd5PV0=",0)</f>
        <v>#REF!</v>
      </c>
      <c r="CQ576" t="e">
        <f>AND(#REF!,"AAAAAAd5PV4=")</f>
        <v>#REF!</v>
      </c>
      <c r="CR576" t="e">
        <f>AND(#REF!,"AAAAAAd5PV8=")</f>
        <v>#REF!</v>
      </c>
      <c r="CS576" t="e">
        <f>AND(#REF!,"AAAAAAd5PWA=")</f>
        <v>#REF!</v>
      </c>
      <c r="CT576" t="e">
        <f>AND(#REF!,"AAAAAAd5PWE=")</f>
        <v>#REF!</v>
      </c>
      <c r="CU576" t="e">
        <f>AND(#REF!,"AAAAAAd5PWI=")</f>
        <v>#REF!</v>
      </c>
      <c r="CV576" t="e">
        <f>AND(#REF!,"AAAAAAd5PWM=")</f>
        <v>#REF!</v>
      </c>
      <c r="CW576" t="e">
        <f>AND(#REF!,"AAAAAAd5PWQ=")</f>
        <v>#REF!</v>
      </c>
      <c r="CX576" t="e">
        <f>AND(#REF!,"AAAAAAd5PWU=")</f>
        <v>#REF!</v>
      </c>
      <c r="CY576" t="e">
        <f>AND(#REF!,"AAAAAAd5PWY=")</f>
        <v>#REF!</v>
      </c>
      <c r="CZ576" t="e">
        <f>AND(#REF!,"AAAAAAd5PWc=")</f>
        <v>#REF!</v>
      </c>
      <c r="DA576" t="e">
        <f>IF(#REF!,"AAAAAAd5PWg=",0)</f>
        <v>#REF!</v>
      </c>
      <c r="DB576" t="e">
        <f>AND(#REF!,"AAAAAAd5PWk=")</f>
        <v>#REF!</v>
      </c>
      <c r="DC576" t="e">
        <f>AND(#REF!,"AAAAAAd5PWo=")</f>
        <v>#REF!</v>
      </c>
      <c r="DD576" t="e">
        <f>AND(#REF!,"AAAAAAd5PWs=")</f>
        <v>#REF!</v>
      </c>
      <c r="DE576" t="e">
        <f>AND(#REF!,"AAAAAAd5PWw=")</f>
        <v>#REF!</v>
      </c>
      <c r="DF576" t="e">
        <f>AND(#REF!,"AAAAAAd5PW0=")</f>
        <v>#REF!</v>
      </c>
      <c r="DG576" t="e">
        <f>AND(#REF!,"AAAAAAd5PW4=")</f>
        <v>#REF!</v>
      </c>
      <c r="DH576" t="e">
        <f>AND(#REF!,"AAAAAAd5PW8=")</f>
        <v>#REF!</v>
      </c>
      <c r="DI576" t="e">
        <f>AND(#REF!,"AAAAAAd5PXA=")</f>
        <v>#REF!</v>
      </c>
      <c r="DJ576" t="e">
        <f>AND(#REF!,"AAAAAAd5PXE=")</f>
        <v>#REF!</v>
      </c>
      <c r="DK576" t="e">
        <f>AND(#REF!,"AAAAAAd5PXI=")</f>
        <v>#REF!</v>
      </c>
      <c r="DL576" t="e">
        <f>IF(#REF!,"AAAAAAd5PXM=",0)</f>
        <v>#REF!</v>
      </c>
      <c r="DM576" t="e">
        <f>AND(#REF!,"AAAAAAd5PXQ=")</f>
        <v>#REF!</v>
      </c>
      <c r="DN576" t="e">
        <f>AND(#REF!,"AAAAAAd5PXU=")</f>
        <v>#REF!</v>
      </c>
      <c r="DO576" t="e">
        <f>AND(#REF!,"AAAAAAd5PXY=")</f>
        <v>#REF!</v>
      </c>
      <c r="DP576" t="e">
        <f>AND(#REF!,"AAAAAAd5PXc=")</f>
        <v>#REF!</v>
      </c>
      <c r="DQ576" t="e">
        <f>AND(#REF!,"AAAAAAd5PXg=")</f>
        <v>#REF!</v>
      </c>
      <c r="DR576" t="e">
        <f>AND(#REF!,"AAAAAAd5PXk=")</f>
        <v>#REF!</v>
      </c>
      <c r="DS576" t="e">
        <f>AND(#REF!,"AAAAAAd5PXo=")</f>
        <v>#REF!</v>
      </c>
      <c r="DT576" t="e">
        <f>AND(#REF!,"AAAAAAd5PXs=")</f>
        <v>#REF!</v>
      </c>
      <c r="DU576" t="e">
        <f>AND(#REF!,"AAAAAAd5PXw=")</f>
        <v>#REF!</v>
      </c>
      <c r="DV576" t="e">
        <f>AND(#REF!,"AAAAAAd5PX0=")</f>
        <v>#REF!</v>
      </c>
      <c r="DW576" t="e">
        <f>IF(#REF!,"AAAAAAd5PX4=",0)</f>
        <v>#REF!</v>
      </c>
      <c r="DX576" t="e">
        <f>AND(#REF!,"AAAAAAd5PX8=")</f>
        <v>#REF!</v>
      </c>
      <c r="DY576" t="e">
        <f>AND(#REF!,"AAAAAAd5PYA=")</f>
        <v>#REF!</v>
      </c>
      <c r="DZ576" t="e">
        <f>AND(#REF!,"AAAAAAd5PYE=")</f>
        <v>#REF!</v>
      </c>
      <c r="EA576" t="e">
        <f>AND(#REF!,"AAAAAAd5PYI=")</f>
        <v>#REF!</v>
      </c>
      <c r="EB576" t="e">
        <f>AND(#REF!,"AAAAAAd5PYM=")</f>
        <v>#REF!</v>
      </c>
      <c r="EC576" t="e">
        <f>AND(#REF!,"AAAAAAd5PYQ=")</f>
        <v>#REF!</v>
      </c>
      <c r="ED576" t="e">
        <f>AND(#REF!,"AAAAAAd5PYU=")</f>
        <v>#REF!</v>
      </c>
      <c r="EE576" t="e">
        <f>AND(#REF!,"AAAAAAd5PYY=")</f>
        <v>#REF!</v>
      </c>
      <c r="EF576" t="e">
        <f>AND(#REF!,"AAAAAAd5PYc=")</f>
        <v>#REF!</v>
      </c>
      <c r="EG576" t="e">
        <f>AND(#REF!,"AAAAAAd5PYg=")</f>
        <v>#REF!</v>
      </c>
      <c r="EH576" t="e">
        <f>IF(#REF!,"AAAAAAd5PYk=",0)</f>
        <v>#REF!</v>
      </c>
      <c r="EI576" t="e">
        <f>AND(#REF!,"AAAAAAd5PYo=")</f>
        <v>#REF!</v>
      </c>
      <c r="EJ576" t="e">
        <f>AND(#REF!,"AAAAAAd5PYs=")</f>
        <v>#REF!</v>
      </c>
      <c r="EK576" t="e">
        <f>AND(#REF!,"AAAAAAd5PYw=")</f>
        <v>#REF!</v>
      </c>
      <c r="EL576" t="e">
        <f>AND(#REF!,"AAAAAAd5PY0=")</f>
        <v>#REF!</v>
      </c>
      <c r="EM576" t="e">
        <f>AND(#REF!,"AAAAAAd5PY4=")</f>
        <v>#REF!</v>
      </c>
      <c r="EN576" t="e">
        <f>AND(#REF!,"AAAAAAd5PY8=")</f>
        <v>#REF!</v>
      </c>
      <c r="EO576" t="e">
        <f>AND(#REF!,"AAAAAAd5PZA=")</f>
        <v>#REF!</v>
      </c>
      <c r="EP576" t="e">
        <f>AND(#REF!,"AAAAAAd5PZE=")</f>
        <v>#REF!</v>
      </c>
      <c r="EQ576" t="e">
        <f>AND(#REF!,"AAAAAAd5PZI=")</f>
        <v>#REF!</v>
      </c>
      <c r="ER576" t="e">
        <f>AND(#REF!,"AAAAAAd5PZM=")</f>
        <v>#REF!</v>
      </c>
      <c r="ES576" t="e">
        <f>IF(#REF!,"AAAAAAd5PZQ=",0)</f>
        <v>#REF!</v>
      </c>
      <c r="ET576" t="e">
        <f>AND(#REF!,"AAAAAAd5PZU=")</f>
        <v>#REF!</v>
      </c>
      <c r="EU576" t="e">
        <f>AND(#REF!,"AAAAAAd5PZY=")</f>
        <v>#REF!</v>
      </c>
      <c r="EV576" t="e">
        <f>AND(#REF!,"AAAAAAd5PZc=")</f>
        <v>#REF!</v>
      </c>
      <c r="EW576" t="e">
        <f>AND(#REF!,"AAAAAAd5PZg=")</f>
        <v>#REF!</v>
      </c>
      <c r="EX576" t="e">
        <f>AND(#REF!,"AAAAAAd5PZk=")</f>
        <v>#REF!</v>
      </c>
      <c r="EY576" t="e">
        <f>AND(#REF!,"AAAAAAd5PZo=")</f>
        <v>#REF!</v>
      </c>
      <c r="EZ576" t="e">
        <f>AND(#REF!,"AAAAAAd5PZs=")</f>
        <v>#REF!</v>
      </c>
      <c r="FA576" t="e">
        <f>AND(#REF!,"AAAAAAd5PZw=")</f>
        <v>#REF!</v>
      </c>
      <c r="FB576" t="e">
        <f>AND(#REF!,"AAAAAAd5PZ0=")</f>
        <v>#REF!</v>
      </c>
      <c r="FC576" t="e">
        <f>AND(#REF!,"AAAAAAd5PZ4=")</f>
        <v>#REF!</v>
      </c>
      <c r="FD576" t="e">
        <f>IF(#REF!,"AAAAAAd5PZ8=",0)</f>
        <v>#REF!</v>
      </c>
      <c r="FE576" t="e">
        <f>AND(#REF!,"AAAAAAd5PaA=")</f>
        <v>#REF!</v>
      </c>
      <c r="FF576" t="e">
        <f>AND(#REF!,"AAAAAAd5PaE=")</f>
        <v>#REF!</v>
      </c>
      <c r="FG576" t="e">
        <f>AND(#REF!,"AAAAAAd5PaI=")</f>
        <v>#REF!</v>
      </c>
      <c r="FH576" t="e">
        <f>AND(#REF!,"AAAAAAd5PaM=")</f>
        <v>#REF!</v>
      </c>
      <c r="FI576" t="e">
        <f>AND(#REF!,"AAAAAAd5PaQ=")</f>
        <v>#REF!</v>
      </c>
      <c r="FJ576" t="e">
        <f>AND(#REF!,"AAAAAAd5PaU=")</f>
        <v>#REF!</v>
      </c>
      <c r="FK576" t="e">
        <f>AND(#REF!,"AAAAAAd5PaY=")</f>
        <v>#REF!</v>
      </c>
      <c r="FL576" t="e">
        <f>AND(#REF!,"AAAAAAd5Pac=")</f>
        <v>#REF!</v>
      </c>
      <c r="FM576" t="e">
        <f>AND(#REF!,"AAAAAAd5Pag=")</f>
        <v>#REF!</v>
      </c>
      <c r="FN576" t="e">
        <f>AND(#REF!,"AAAAAAd5Pak=")</f>
        <v>#REF!</v>
      </c>
      <c r="FO576" t="e">
        <f>IF(#REF!,"AAAAAAd5Pao=",0)</f>
        <v>#REF!</v>
      </c>
      <c r="FP576" t="e">
        <f>AND(#REF!,"AAAAAAd5Pas=")</f>
        <v>#REF!</v>
      </c>
      <c r="FQ576" t="e">
        <f>AND(#REF!,"AAAAAAd5Paw=")</f>
        <v>#REF!</v>
      </c>
      <c r="FR576" t="e">
        <f>AND(#REF!,"AAAAAAd5Pa0=")</f>
        <v>#REF!</v>
      </c>
      <c r="FS576" t="e">
        <f>AND(#REF!,"AAAAAAd5Pa4=")</f>
        <v>#REF!</v>
      </c>
      <c r="FT576" t="e">
        <f>AND(#REF!,"AAAAAAd5Pa8=")</f>
        <v>#REF!</v>
      </c>
      <c r="FU576" t="e">
        <f>AND(#REF!,"AAAAAAd5PbA=")</f>
        <v>#REF!</v>
      </c>
      <c r="FV576" t="e">
        <f>AND(#REF!,"AAAAAAd5PbE=")</f>
        <v>#REF!</v>
      </c>
      <c r="FW576" t="e">
        <f>AND(#REF!,"AAAAAAd5PbI=")</f>
        <v>#REF!</v>
      </c>
      <c r="FX576" t="e">
        <f>AND(#REF!,"AAAAAAd5PbM=")</f>
        <v>#REF!</v>
      </c>
      <c r="FY576" t="e">
        <f>AND(#REF!,"AAAAAAd5PbQ=")</f>
        <v>#REF!</v>
      </c>
      <c r="FZ576" t="e">
        <f>IF(#REF!,"AAAAAAd5PbU=",0)</f>
        <v>#REF!</v>
      </c>
      <c r="GA576" t="e">
        <f>AND(#REF!,"AAAAAAd5PbY=")</f>
        <v>#REF!</v>
      </c>
      <c r="GB576" t="e">
        <f>AND(#REF!,"AAAAAAd5Pbc=")</f>
        <v>#REF!</v>
      </c>
      <c r="GC576" t="e">
        <f>AND(#REF!,"AAAAAAd5Pbg=")</f>
        <v>#REF!</v>
      </c>
      <c r="GD576" t="e">
        <f>AND(#REF!,"AAAAAAd5Pbk=")</f>
        <v>#REF!</v>
      </c>
      <c r="GE576" t="e">
        <f>AND(#REF!,"AAAAAAd5Pbo=")</f>
        <v>#REF!</v>
      </c>
      <c r="GF576" t="e">
        <f>AND(#REF!,"AAAAAAd5Pbs=")</f>
        <v>#REF!</v>
      </c>
      <c r="GG576" t="e">
        <f>AND(#REF!,"AAAAAAd5Pbw=")</f>
        <v>#REF!</v>
      </c>
      <c r="GH576" t="e">
        <f>AND(#REF!,"AAAAAAd5Pb0=")</f>
        <v>#REF!</v>
      </c>
      <c r="GI576" t="e">
        <f>AND(#REF!,"AAAAAAd5Pb4=")</f>
        <v>#REF!</v>
      </c>
      <c r="GJ576" t="e">
        <f>AND(#REF!,"AAAAAAd5Pb8=")</f>
        <v>#REF!</v>
      </c>
      <c r="GK576" t="e">
        <f>IF(#REF!,"AAAAAAd5PcA=",0)</f>
        <v>#REF!</v>
      </c>
      <c r="GL576" t="e">
        <f>AND(#REF!,"AAAAAAd5PcE=")</f>
        <v>#REF!</v>
      </c>
      <c r="GM576" t="e">
        <f>AND(#REF!,"AAAAAAd5PcI=")</f>
        <v>#REF!</v>
      </c>
      <c r="GN576" t="e">
        <f>AND(#REF!,"AAAAAAd5PcM=")</f>
        <v>#REF!</v>
      </c>
      <c r="GO576" t="e">
        <f>AND(#REF!,"AAAAAAd5PcQ=")</f>
        <v>#REF!</v>
      </c>
      <c r="GP576" t="e">
        <f>AND(#REF!,"AAAAAAd5PcU=")</f>
        <v>#REF!</v>
      </c>
      <c r="GQ576" t="e">
        <f>AND(#REF!,"AAAAAAd5PcY=")</f>
        <v>#REF!</v>
      </c>
      <c r="GR576" t="e">
        <f>AND(#REF!,"AAAAAAd5Pcc=")</f>
        <v>#REF!</v>
      </c>
      <c r="GS576" t="e">
        <f>AND(#REF!,"AAAAAAd5Pcg=")</f>
        <v>#REF!</v>
      </c>
      <c r="GT576" t="e">
        <f>AND(#REF!,"AAAAAAd5Pck=")</f>
        <v>#REF!</v>
      </c>
      <c r="GU576" t="e">
        <f>AND(#REF!,"AAAAAAd5Pco=")</f>
        <v>#REF!</v>
      </c>
      <c r="GV576" t="e">
        <f>IF(#REF!,"AAAAAAd5Pcs=",0)</f>
        <v>#REF!</v>
      </c>
      <c r="GW576" t="e">
        <f>AND(#REF!,"AAAAAAd5Pcw=")</f>
        <v>#REF!</v>
      </c>
      <c r="GX576" t="e">
        <f>AND(#REF!,"AAAAAAd5Pc0=")</f>
        <v>#REF!</v>
      </c>
      <c r="GY576" t="e">
        <f>AND(#REF!,"AAAAAAd5Pc4=")</f>
        <v>#REF!</v>
      </c>
      <c r="GZ576" t="e">
        <f>AND(#REF!,"AAAAAAd5Pc8=")</f>
        <v>#REF!</v>
      </c>
      <c r="HA576" t="e">
        <f>AND(#REF!,"AAAAAAd5PdA=")</f>
        <v>#REF!</v>
      </c>
      <c r="HB576" t="e">
        <f>AND(#REF!,"AAAAAAd5PdE=")</f>
        <v>#REF!</v>
      </c>
      <c r="HC576" t="e">
        <f>AND(#REF!,"AAAAAAd5PdI=")</f>
        <v>#REF!</v>
      </c>
      <c r="HD576" t="e">
        <f>AND(#REF!,"AAAAAAd5PdM=")</f>
        <v>#REF!</v>
      </c>
      <c r="HE576" t="e">
        <f>AND(#REF!,"AAAAAAd5PdQ=")</f>
        <v>#REF!</v>
      </c>
      <c r="HF576" t="e">
        <f>AND(#REF!,"AAAAAAd5PdU=")</f>
        <v>#REF!</v>
      </c>
      <c r="HG576" t="e">
        <f>IF(#REF!,"AAAAAAd5PdY=",0)</f>
        <v>#REF!</v>
      </c>
      <c r="HH576" t="e">
        <f>AND(#REF!,"AAAAAAd5Pdc=")</f>
        <v>#REF!</v>
      </c>
      <c r="HI576" t="e">
        <f>AND(#REF!,"AAAAAAd5Pdg=")</f>
        <v>#REF!</v>
      </c>
      <c r="HJ576" t="e">
        <f>AND(#REF!,"AAAAAAd5Pdk=")</f>
        <v>#REF!</v>
      </c>
      <c r="HK576" t="e">
        <f>AND(#REF!,"AAAAAAd5Pdo=")</f>
        <v>#REF!</v>
      </c>
      <c r="HL576" t="e">
        <f>AND(#REF!,"AAAAAAd5Pds=")</f>
        <v>#REF!</v>
      </c>
      <c r="HM576" t="e">
        <f>AND(#REF!,"AAAAAAd5Pdw=")</f>
        <v>#REF!</v>
      </c>
      <c r="HN576" t="e">
        <f>AND(#REF!,"AAAAAAd5Pd0=")</f>
        <v>#REF!</v>
      </c>
      <c r="HO576" t="e">
        <f>AND(#REF!,"AAAAAAd5Pd4=")</f>
        <v>#REF!</v>
      </c>
      <c r="HP576" t="e">
        <f>AND(#REF!,"AAAAAAd5Pd8=")</f>
        <v>#REF!</v>
      </c>
      <c r="HQ576" t="e">
        <f>AND(#REF!,"AAAAAAd5PeA=")</f>
        <v>#REF!</v>
      </c>
      <c r="HR576" t="e">
        <f>IF(#REF!,"AAAAAAd5PeE=",0)</f>
        <v>#REF!</v>
      </c>
      <c r="HS576" t="e">
        <f>AND(#REF!,"AAAAAAd5PeI=")</f>
        <v>#REF!</v>
      </c>
      <c r="HT576" t="e">
        <f>AND(#REF!,"AAAAAAd5PeM=")</f>
        <v>#REF!</v>
      </c>
      <c r="HU576" t="e">
        <f>AND(#REF!,"AAAAAAd5PeQ=")</f>
        <v>#REF!</v>
      </c>
      <c r="HV576" t="e">
        <f>AND(#REF!,"AAAAAAd5PeU=")</f>
        <v>#REF!</v>
      </c>
      <c r="HW576" t="e">
        <f>AND(#REF!,"AAAAAAd5PeY=")</f>
        <v>#REF!</v>
      </c>
      <c r="HX576" t="e">
        <f>AND(#REF!,"AAAAAAd5Pec=")</f>
        <v>#REF!</v>
      </c>
      <c r="HY576" t="e">
        <f>AND(#REF!,"AAAAAAd5Peg=")</f>
        <v>#REF!</v>
      </c>
      <c r="HZ576" t="e">
        <f>AND(#REF!,"AAAAAAd5Pek=")</f>
        <v>#REF!</v>
      </c>
      <c r="IA576" t="e">
        <f>AND(#REF!,"AAAAAAd5Peo=")</f>
        <v>#REF!</v>
      </c>
      <c r="IB576" t="e">
        <f>AND(#REF!,"AAAAAAd5Pes=")</f>
        <v>#REF!</v>
      </c>
      <c r="IC576" t="e">
        <f>IF(#REF!,"AAAAAAd5Pew=",0)</f>
        <v>#REF!</v>
      </c>
      <c r="ID576" t="e">
        <f>AND(#REF!,"AAAAAAd5Pe0=")</f>
        <v>#REF!</v>
      </c>
      <c r="IE576" t="e">
        <f>AND(#REF!,"AAAAAAd5Pe4=")</f>
        <v>#REF!</v>
      </c>
      <c r="IF576" t="e">
        <f>AND(#REF!,"AAAAAAd5Pe8=")</f>
        <v>#REF!</v>
      </c>
      <c r="IG576" t="e">
        <f>AND(#REF!,"AAAAAAd5PfA=")</f>
        <v>#REF!</v>
      </c>
      <c r="IH576" t="e">
        <f>AND(#REF!,"AAAAAAd5PfE=")</f>
        <v>#REF!</v>
      </c>
      <c r="II576" t="e">
        <f>AND(#REF!,"AAAAAAd5PfI=")</f>
        <v>#REF!</v>
      </c>
      <c r="IJ576" t="e">
        <f>AND(#REF!,"AAAAAAd5PfM=")</f>
        <v>#REF!</v>
      </c>
      <c r="IK576" t="e">
        <f>AND(#REF!,"AAAAAAd5PfQ=")</f>
        <v>#REF!</v>
      </c>
      <c r="IL576" t="e">
        <f>AND(#REF!,"AAAAAAd5PfU=")</f>
        <v>#REF!</v>
      </c>
      <c r="IM576" t="e">
        <f>AND(#REF!,"AAAAAAd5PfY=")</f>
        <v>#REF!</v>
      </c>
      <c r="IN576" t="e">
        <f>IF(#REF!,"AAAAAAd5Pfc=",0)</f>
        <v>#REF!</v>
      </c>
      <c r="IO576" t="e">
        <f>AND(#REF!,"AAAAAAd5Pfg=")</f>
        <v>#REF!</v>
      </c>
      <c r="IP576" t="e">
        <f>AND(#REF!,"AAAAAAd5Pfk=")</f>
        <v>#REF!</v>
      </c>
      <c r="IQ576" t="e">
        <f>AND(#REF!,"AAAAAAd5Pfo=")</f>
        <v>#REF!</v>
      </c>
      <c r="IR576" t="e">
        <f>AND(#REF!,"AAAAAAd5Pfs=")</f>
        <v>#REF!</v>
      </c>
      <c r="IS576" t="e">
        <f>AND(#REF!,"AAAAAAd5Pfw=")</f>
        <v>#REF!</v>
      </c>
      <c r="IT576" t="e">
        <f>AND(#REF!,"AAAAAAd5Pf0=")</f>
        <v>#REF!</v>
      </c>
      <c r="IU576" t="e">
        <f>AND(#REF!,"AAAAAAd5Pf4=")</f>
        <v>#REF!</v>
      </c>
      <c r="IV576" t="e">
        <f>AND(#REF!,"AAAAAAd5Pf8=")</f>
        <v>#REF!</v>
      </c>
    </row>
    <row r="577" spans="1:256" x14ac:dyDescent="0.25">
      <c r="A577" t="e">
        <f>AND(#REF!,"AAAAAHvZ5wA=")</f>
        <v>#REF!</v>
      </c>
      <c r="B577" t="e">
        <f>AND(#REF!,"AAAAAHvZ5wE=")</f>
        <v>#REF!</v>
      </c>
      <c r="C577" t="e">
        <f>IF(#REF!,"AAAAAHvZ5wI=",0)</f>
        <v>#REF!</v>
      </c>
      <c r="D577" t="e">
        <f>AND(#REF!,"AAAAAHvZ5wM=")</f>
        <v>#REF!</v>
      </c>
      <c r="E577" t="e">
        <f>AND(#REF!,"AAAAAHvZ5wQ=")</f>
        <v>#REF!</v>
      </c>
      <c r="F577" t="e">
        <f>AND(#REF!,"AAAAAHvZ5wU=")</f>
        <v>#REF!</v>
      </c>
      <c r="G577" t="e">
        <f>AND(#REF!,"AAAAAHvZ5wY=")</f>
        <v>#REF!</v>
      </c>
      <c r="H577" t="e">
        <f>AND(#REF!,"AAAAAHvZ5wc=")</f>
        <v>#REF!</v>
      </c>
      <c r="I577" t="e">
        <f>AND(#REF!,"AAAAAHvZ5wg=")</f>
        <v>#REF!</v>
      </c>
      <c r="J577" t="e">
        <f>AND(#REF!,"AAAAAHvZ5wk=")</f>
        <v>#REF!</v>
      </c>
      <c r="K577" t="e">
        <f>AND(#REF!,"AAAAAHvZ5wo=")</f>
        <v>#REF!</v>
      </c>
      <c r="L577" t="e">
        <f>AND(#REF!,"AAAAAHvZ5ws=")</f>
        <v>#REF!</v>
      </c>
      <c r="M577" t="e">
        <f>AND(#REF!,"AAAAAHvZ5ww=")</f>
        <v>#REF!</v>
      </c>
      <c r="N577" t="e">
        <f>IF(#REF!,"AAAAAHvZ5w0=",0)</f>
        <v>#REF!</v>
      </c>
      <c r="O577" t="e">
        <f>AND(#REF!,"AAAAAHvZ5w4=")</f>
        <v>#REF!</v>
      </c>
      <c r="P577" t="e">
        <f>AND(#REF!,"AAAAAHvZ5w8=")</f>
        <v>#REF!</v>
      </c>
      <c r="Q577" t="e">
        <f>AND(#REF!,"AAAAAHvZ5xA=")</f>
        <v>#REF!</v>
      </c>
      <c r="R577" t="e">
        <f>AND(#REF!,"AAAAAHvZ5xE=")</f>
        <v>#REF!</v>
      </c>
      <c r="S577" t="e">
        <f>AND(#REF!,"AAAAAHvZ5xI=")</f>
        <v>#REF!</v>
      </c>
      <c r="T577" t="e">
        <f>AND(#REF!,"AAAAAHvZ5xM=")</f>
        <v>#REF!</v>
      </c>
      <c r="U577" t="e">
        <f>AND(#REF!,"AAAAAHvZ5xQ=")</f>
        <v>#REF!</v>
      </c>
      <c r="V577" t="e">
        <f>AND(#REF!,"AAAAAHvZ5xU=")</f>
        <v>#REF!</v>
      </c>
      <c r="W577" t="e">
        <f>AND(#REF!,"AAAAAHvZ5xY=")</f>
        <v>#REF!</v>
      </c>
      <c r="X577" t="e">
        <f>AND(#REF!,"AAAAAHvZ5xc=")</f>
        <v>#REF!</v>
      </c>
      <c r="Y577" t="e">
        <f>IF(#REF!,"AAAAAHvZ5xg=",0)</f>
        <v>#REF!</v>
      </c>
      <c r="Z577" t="e">
        <f>AND(#REF!,"AAAAAHvZ5xk=")</f>
        <v>#REF!</v>
      </c>
      <c r="AA577" t="e">
        <f>AND(#REF!,"AAAAAHvZ5xo=")</f>
        <v>#REF!</v>
      </c>
      <c r="AB577" t="e">
        <f>AND(#REF!,"AAAAAHvZ5xs=")</f>
        <v>#REF!</v>
      </c>
      <c r="AC577" t="e">
        <f>AND(#REF!,"AAAAAHvZ5xw=")</f>
        <v>#REF!</v>
      </c>
      <c r="AD577" t="e">
        <f>AND(#REF!,"AAAAAHvZ5x0=")</f>
        <v>#REF!</v>
      </c>
      <c r="AE577" t="e">
        <f>AND(#REF!,"AAAAAHvZ5x4=")</f>
        <v>#REF!</v>
      </c>
      <c r="AF577" t="e">
        <f>AND(#REF!,"AAAAAHvZ5x8=")</f>
        <v>#REF!</v>
      </c>
      <c r="AG577" t="e">
        <f>AND(#REF!,"AAAAAHvZ5yA=")</f>
        <v>#REF!</v>
      </c>
      <c r="AH577" t="e">
        <f>AND(#REF!,"AAAAAHvZ5yE=")</f>
        <v>#REF!</v>
      </c>
      <c r="AI577" t="e">
        <f>AND(#REF!,"AAAAAHvZ5yI=")</f>
        <v>#REF!</v>
      </c>
      <c r="AJ577" t="e">
        <f>IF(#REF!,"AAAAAHvZ5yM=",0)</f>
        <v>#REF!</v>
      </c>
      <c r="AK577" t="e">
        <f>AND(#REF!,"AAAAAHvZ5yQ=")</f>
        <v>#REF!</v>
      </c>
      <c r="AL577" t="e">
        <f>AND(#REF!,"AAAAAHvZ5yU=")</f>
        <v>#REF!</v>
      </c>
      <c r="AM577" t="e">
        <f>AND(#REF!,"AAAAAHvZ5yY=")</f>
        <v>#REF!</v>
      </c>
      <c r="AN577" t="e">
        <f>AND(#REF!,"AAAAAHvZ5yc=")</f>
        <v>#REF!</v>
      </c>
      <c r="AO577" t="e">
        <f>AND(#REF!,"AAAAAHvZ5yg=")</f>
        <v>#REF!</v>
      </c>
      <c r="AP577" t="e">
        <f>AND(#REF!,"AAAAAHvZ5yk=")</f>
        <v>#REF!</v>
      </c>
      <c r="AQ577" t="e">
        <f>AND(#REF!,"AAAAAHvZ5yo=")</f>
        <v>#REF!</v>
      </c>
      <c r="AR577" t="e">
        <f>AND(#REF!,"AAAAAHvZ5ys=")</f>
        <v>#REF!</v>
      </c>
      <c r="AS577" t="e">
        <f>AND(#REF!,"AAAAAHvZ5yw=")</f>
        <v>#REF!</v>
      </c>
      <c r="AT577" t="e">
        <f>AND(#REF!,"AAAAAHvZ5y0=")</f>
        <v>#REF!</v>
      </c>
      <c r="AU577" t="e">
        <f>IF(#REF!,"AAAAAHvZ5y4=",0)</f>
        <v>#REF!</v>
      </c>
      <c r="AV577" t="e">
        <f>AND(#REF!,"AAAAAHvZ5y8=")</f>
        <v>#REF!</v>
      </c>
      <c r="AW577" t="e">
        <f>AND(#REF!,"AAAAAHvZ5zA=")</f>
        <v>#REF!</v>
      </c>
      <c r="AX577" t="e">
        <f>AND(#REF!,"AAAAAHvZ5zE=")</f>
        <v>#REF!</v>
      </c>
      <c r="AY577" t="e">
        <f>AND(#REF!,"AAAAAHvZ5zI=")</f>
        <v>#REF!</v>
      </c>
      <c r="AZ577" t="e">
        <f>AND(#REF!,"AAAAAHvZ5zM=")</f>
        <v>#REF!</v>
      </c>
      <c r="BA577" t="e">
        <f>AND(#REF!,"AAAAAHvZ5zQ=")</f>
        <v>#REF!</v>
      </c>
      <c r="BB577" t="e">
        <f>AND(#REF!,"AAAAAHvZ5zU=")</f>
        <v>#REF!</v>
      </c>
      <c r="BC577" t="e">
        <f>AND(#REF!,"AAAAAHvZ5zY=")</f>
        <v>#REF!</v>
      </c>
      <c r="BD577" t="e">
        <f>AND(#REF!,"AAAAAHvZ5zc=")</f>
        <v>#REF!</v>
      </c>
      <c r="BE577" t="e">
        <f>AND(#REF!,"AAAAAHvZ5zg=")</f>
        <v>#REF!</v>
      </c>
      <c r="BF577" t="e">
        <f>IF(#REF!,"AAAAAHvZ5zk=",0)</f>
        <v>#REF!</v>
      </c>
      <c r="BG577" t="e">
        <f>AND(#REF!,"AAAAAHvZ5zo=")</f>
        <v>#REF!</v>
      </c>
      <c r="BH577" t="e">
        <f>AND(#REF!,"AAAAAHvZ5zs=")</f>
        <v>#REF!</v>
      </c>
      <c r="BI577" t="e">
        <f>AND(#REF!,"AAAAAHvZ5zw=")</f>
        <v>#REF!</v>
      </c>
      <c r="BJ577" t="e">
        <f>AND(#REF!,"AAAAAHvZ5z0=")</f>
        <v>#REF!</v>
      </c>
      <c r="BK577" t="e">
        <f>AND(#REF!,"AAAAAHvZ5z4=")</f>
        <v>#REF!</v>
      </c>
      <c r="BL577" t="e">
        <f>AND(#REF!,"AAAAAHvZ5z8=")</f>
        <v>#REF!</v>
      </c>
      <c r="BM577" t="e">
        <f>AND(#REF!,"AAAAAHvZ50A=")</f>
        <v>#REF!</v>
      </c>
      <c r="BN577" t="e">
        <f>AND(#REF!,"AAAAAHvZ50E=")</f>
        <v>#REF!</v>
      </c>
      <c r="BO577" t="e">
        <f>AND(#REF!,"AAAAAHvZ50I=")</f>
        <v>#REF!</v>
      </c>
      <c r="BP577" t="e">
        <f>AND(#REF!,"AAAAAHvZ50M=")</f>
        <v>#REF!</v>
      </c>
      <c r="BQ577" t="e">
        <f>IF(#REF!,"AAAAAHvZ50Q=",0)</f>
        <v>#REF!</v>
      </c>
      <c r="BR577" t="e">
        <f>AND(#REF!,"AAAAAHvZ50U=")</f>
        <v>#REF!</v>
      </c>
      <c r="BS577" t="e">
        <f>AND(#REF!,"AAAAAHvZ50Y=")</f>
        <v>#REF!</v>
      </c>
      <c r="BT577" t="e">
        <f>AND(#REF!,"AAAAAHvZ50c=")</f>
        <v>#REF!</v>
      </c>
      <c r="BU577" t="e">
        <f>AND(#REF!,"AAAAAHvZ50g=")</f>
        <v>#REF!</v>
      </c>
      <c r="BV577" t="e">
        <f>AND(#REF!,"AAAAAHvZ50k=")</f>
        <v>#REF!</v>
      </c>
      <c r="BW577" t="e">
        <f>AND(#REF!,"AAAAAHvZ50o=")</f>
        <v>#REF!</v>
      </c>
      <c r="BX577" t="e">
        <f>AND(#REF!,"AAAAAHvZ50s=")</f>
        <v>#REF!</v>
      </c>
      <c r="BY577" t="e">
        <f>AND(#REF!,"AAAAAHvZ50w=")</f>
        <v>#REF!</v>
      </c>
      <c r="BZ577" t="e">
        <f>AND(#REF!,"AAAAAHvZ500=")</f>
        <v>#REF!</v>
      </c>
      <c r="CA577" t="e">
        <f>AND(#REF!,"AAAAAHvZ504=")</f>
        <v>#REF!</v>
      </c>
      <c r="CB577" t="e">
        <f>IF(#REF!,"AAAAAHvZ508=",0)</f>
        <v>#REF!</v>
      </c>
      <c r="CC577" t="e">
        <f>AND(#REF!,"AAAAAHvZ51A=")</f>
        <v>#REF!</v>
      </c>
      <c r="CD577" t="e">
        <f>AND(#REF!,"AAAAAHvZ51E=")</f>
        <v>#REF!</v>
      </c>
      <c r="CE577" t="e">
        <f>AND(#REF!,"AAAAAHvZ51I=")</f>
        <v>#REF!</v>
      </c>
      <c r="CF577" t="e">
        <f>AND(#REF!,"AAAAAHvZ51M=")</f>
        <v>#REF!</v>
      </c>
      <c r="CG577" t="e">
        <f>AND(#REF!,"AAAAAHvZ51Q=")</f>
        <v>#REF!</v>
      </c>
      <c r="CH577" t="e">
        <f>AND(#REF!,"AAAAAHvZ51U=")</f>
        <v>#REF!</v>
      </c>
      <c r="CI577" t="e">
        <f>AND(#REF!,"AAAAAHvZ51Y=")</f>
        <v>#REF!</v>
      </c>
      <c r="CJ577" t="e">
        <f>AND(#REF!,"AAAAAHvZ51c=")</f>
        <v>#REF!</v>
      </c>
      <c r="CK577" t="e">
        <f>AND(#REF!,"AAAAAHvZ51g=")</f>
        <v>#REF!</v>
      </c>
      <c r="CL577" t="e">
        <f>AND(#REF!,"AAAAAHvZ51k=")</f>
        <v>#REF!</v>
      </c>
      <c r="CM577" t="e">
        <f>IF(#REF!,"AAAAAHvZ51o=",0)</f>
        <v>#REF!</v>
      </c>
      <c r="CN577" t="e">
        <f>AND(#REF!,"AAAAAHvZ51s=")</f>
        <v>#REF!</v>
      </c>
      <c r="CO577" t="e">
        <f>AND(#REF!,"AAAAAHvZ51w=")</f>
        <v>#REF!</v>
      </c>
      <c r="CP577" t="e">
        <f>AND(#REF!,"AAAAAHvZ510=")</f>
        <v>#REF!</v>
      </c>
      <c r="CQ577" t="e">
        <f>AND(#REF!,"AAAAAHvZ514=")</f>
        <v>#REF!</v>
      </c>
      <c r="CR577" t="e">
        <f>AND(#REF!,"AAAAAHvZ518=")</f>
        <v>#REF!</v>
      </c>
      <c r="CS577" t="e">
        <f>AND(#REF!,"AAAAAHvZ52A=")</f>
        <v>#REF!</v>
      </c>
      <c r="CT577" t="e">
        <f>AND(#REF!,"AAAAAHvZ52E=")</f>
        <v>#REF!</v>
      </c>
      <c r="CU577" t="e">
        <f>AND(#REF!,"AAAAAHvZ52I=")</f>
        <v>#REF!</v>
      </c>
      <c r="CV577" t="e">
        <f>AND(#REF!,"AAAAAHvZ52M=")</f>
        <v>#REF!</v>
      </c>
      <c r="CW577" t="e">
        <f>AND(#REF!,"AAAAAHvZ52Q=")</f>
        <v>#REF!</v>
      </c>
      <c r="CX577" t="e">
        <f>IF(#REF!,"AAAAAHvZ52U=",0)</f>
        <v>#REF!</v>
      </c>
      <c r="CY577" t="e">
        <f>AND(#REF!,"AAAAAHvZ52Y=")</f>
        <v>#REF!</v>
      </c>
      <c r="CZ577" t="e">
        <f>AND(#REF!,"AAAAAHvZ52c=")</f>
        <v>#REF!</v>
      </c>
      <c r="DA577" t="e">
        <f>AND(#REF!,"AAAAAHvZ52g=")</f>
        <v>#REF!</v>
      </c>
      <c r="DB577" t="e">
        <f>AND(#REF!,"AAAAAHvZ52k=")</f>
        <v>#REF!</v>
      </c>
      <c r="DC577" t="e">
        <f>AND(#REF!,"AAAAAHvZ52o=")</f>
        <v>#REF!</v>
      </c>
      <c r="DD577" t="e">
        <f>AND(#REF!,"AAAAAHvZ52s=")</f>
        <v>#REF!</v>
      </c>
      <c r="DE577" t="e">
        <f>AND(#REF!,"AAAAAHvZ52w=")</f>
        <v>#REF!</v>
      </c>
      <c r="DF577" t="e">
        <f>AND(#REF!,"AAAAAHvZ520=")</f>
        <v>#REF!</v>
      </c>
      <c r="DG577" t="e">
        <f>AND(#REF!,"AAAAAHvZ524=")</f>
        <v>#REF!</v>
      </c>
      <c r="DH577" t="e">
        <f>AND(#REF!,"AAAAAHvZ528=")</f>
        <v>#REF!</v>
      </c>
      <c r="DI577" t="e">
        <f>IF(#REF!,"AAAAAHvZ53A=",0)</f>
        <v>#REF!</v>
      </c>
      <c r="DJ577" t="e">
        <f>AND(#REF!,"AAAAAHvZ53E=")</f>
        <v>#REF!</v>
      </c>
      <c r="DK577" t="e">
        <f>AND(#REF!,"AAAAAHvZ53I=")</f>
        <v>#REF!</v>
      </c>
      <c r="DL577" t="e">
        <f>AND(#REF!,"AAAAAHvZ53M=")</f>
        <v>#REF!</v>
      </c>
      <c r="DM577" t="e">
        <f>AND(#REF!,"AAAAAHvZ53Q=")</f>
        <v>#REF!</v>
      </c>
      <c r="DN577" t="e">
        <f>AND(#REF!,"AAAAAHvZ53U=")</f>
        <v>#REF!</v>
      </c>
      <c r="DO577" t="e">
        <f>AND(#REF!,"AAAAAHvZ53Y=")</f>
        <v>#REF!</v>
      </c>
      <c r="DP577" t="e">
        <f>AND(#REF!,"AAAAAHvZ53c=")</f>
        <v>#REF!</v>
      </c>
      <c r="DQ577" t="e">
        <f>AND(#REF!,"AAAAAHvZ53g=")</f>
        <v>#REF!</v>
      </c>
      <c r="DR577" t="e">
        <f>AND(#REF!,"AAAAAHvZ53k=")</f>
        <v>#REF!</v>
      </c>
      <c r="DS577" t="e">
        <f>AND(#REF!,"AAAAAHvZ53o=")</f>
        <v>#REF!</v>
      </c>
      <c r="DT577" t="e">
        <f>IF(#REF!,"AAAAAHvZ53s=",0)</f>
        <v>#REF!</v>
      </c>
      <c r="DU577" t="e">
        <f>AND(#REF!,"AAAAAHvZ53w=")</f>
        <v>#REF!</v>
      </c>
      <c r="DV577" t="e">
        <f>AND(#REF!,"AAAAAHvZ530=")</f>
        <v>#REF!</v>
      </c>
      <c r="DW577" t="e">
        <f>AND(#REF!,"AAAAAHvZ534=")</f>
        <v>#REF!</v>
      </c>
      <c r="DX577" t="e">
        <f>AND(#REF!,"AAAAAHvZ538=")</f>
        <v>#REF!</v>
      </c>
      <c r="DY577" t="e">
        <f>AND(#REF!,"AAAAAHvZ54A=")</f>
        <v>#REF!</v>
      </c>
      <c r="DZ577" t="e">
        <f>AND(#REF!,"AAAAAHvZ54E=")</f>
        <v>#REF!</v>
      </c>
      <c r="EA577" t="e">
        <f>AND(#REF!,"AAAAAHvZ54I=")</f>
        <v>#REF!</v>
      </c>
      <c r="EB577" t="e">
        <f>AND(#REF!,"AAAAAHvZ54M=")</f>
        <v>#REF!</v>
      </c>
      <c r="EC577" t="e">
        <f>AND(#REF!,"AAAAAHvZ54Q=")</f>
        <v>#REF!</v>
      </c>
      <c r="ED577" t="e">
        <f>AND(#REF!,"AAAAAHvZ54U=")</f>
        <v>#REF!</v>
      </c>
      <c r="EE577" t="e">
        <f>IF(#REF!,"AAAAAHvZ54Y=",0)</f>
        <v>#REF!</v>
      </c>
      <c r="EF577" t="e">
        <f>AND(#REF!,"AAAAAHvZ54c=")</f>
        <v>#REF!</v>
      </c>
      <c r="EG577" t="e">
        <f>AND(#REF!,"AAAAAHvZ54g=")</f>
        <v>#REF!</v>
      </c>
      <c r="EH577" t="e">
        <f>AND(#REF!,"AAAAAHvZ54k=")</f>
        <v>#REF!</v>
      </c>
      <c r="EI577" t="e">
        <f>AND(#REF!,"AAAAAHvZ54o=")</f>
        <v>#REF!</v>
      </c>
      <c r="EJ577" t="e">
        <f>AND(#REF!,"AAAAAHvZ54s=")</f>
        <v>#REF!</v>
      </c>
      <c r="EK577" t="e">
        <f>AND(#REF!,"AAAAAHvZ54w=")</f>
        <v>#REF!</v>
      </c>
      <c r="EL577" t="e">
        <f>AND(#REF!,"AAAAAHvZ540=")</f>
        <v>#REF!</v>
      </c>
      <c r="EM577" t="e">
        <f>AND(#REF!,"AAAAAHvZ544=")</f>
        <v>#REF!</v>
      </c>
      <c r="EN577" t="e">
        <f>AND(#REF!,"AAAAAHvZ548=")</f>
        <v>#REF!</v>
      </c>
      <c r="EO577" t="e">
        <f>AND(#REF!,"AAAAAHvZ55A=")</f>
        <v>#REF!</v>
      </c>
      <c r="EP577" t="e">
        <f>IF(#REF!,"AAAAAHvZ55E=",0)</f>
        <v>#REF!</v>
      </c>
      <c r="EQ577" t="e">
        <f>AND(#REF!,"AAAAAHvZ55I=")</f>
        <v>#REF!</v>
      </c>
      <c r="ER577" t="e">
        <f>AND(#REF!,"AAAAAHvZ55M=")</f>
        <v>#REF!</v>
      </c>
      <c r="ES577" t="e">
        <f>AND(#REF!,"AAAAAHvZ55Q=")</f>
        <v>#REF!</v>
      </c>
      <c r="ET577" t="e">
        <f>AND(#REF!,"AAAAAHvZ55U=")</f>
        <v>#REF!</v>
      </c>
      <c r="EU577" t="e">
        <f>AND(#REF!,"AAAAAHvZ55Y=")</f>
        <v>#REF!</v>
      </c>
      <c r="EV577" t="e">
        <f>AND(#REF!,"AAAAAHvZ55c=")</f>
        <v>#REF!</v>
      </c>
      <c r="EW577" t="e">
        <f>AND(#REF!,"AAAAAHvZ55g=")</f>
        <v>#REF!</v>
      </c>
      <c r="EX577" t="e">
        <f>AND(#REF!,"AAAAAHvZ55k=")</f>
        <v>#REF!</v>
      </c>
      <c r="EY577" t="e">
        <f>AND(#REF!,"AAAAAHvZ55o=")</f>
        <v>#REF!</v>
      </c>
      <c r="EZ577" t="e">
        <f>AND(#REF!,"AAAAAHvZ55s=")</f>
        <v>#REF!</v>
      </c>
      <c r="FA577" t="e">
        <f>IF(#REF!,"AAAAAHvZ55w=",0)</f>
        <v>#REF!</v>
      </c>
      <c r="FB577" t="e">
        <f>AND(#REF!,"AAAAAHvZ550=")</f>
        <v>#REF!</v>
      </c>
      <c r="FC577" t="e">
        <f>AND(#REF!,"AAAAAHvZ554=")</f>
        <v>#REF!</v>
      </c>
      <c r="FD577" t="e">
        <f>AND(#REF!,"AAAAAHvZ558=")</f>
        <v>#REF!</v>
      </c>
      <c r="FE577" t="e">
        <f>AND(#REF!,"AAAAAHvZ56A=")</f>
        <v>#REF!</v>
      </c>
      <c r="FF577" t="e">
        <f>AND(#REF!,"AAAAAHvZ56E=")</f>
        <v>#REF!</v>
      </c>
      <c r="FG577" t="e">
        <f>AND(#REF!,"AAAAAHvZ56I=")</f>
        <v>#REF!</v>
      </c>
      <c r="FH577" t="e">
        <f>AND(#REF!,"AAAAAHvZ56M=")</f>
        <v>#REF!</v>
      </c>
      <c r="FI577" t="e">
        <f>AND(#REF!,"AAAAAHvZ56Q=")</f>
        <v>#REF!</v>
      </c>
      <c r="FJ577" t="e">
        <f>AND(#REF!,"AAAAAHvZ56U=")</f>
        <v>#REF!</v>
      </c>
      <c r="FK577" t="e">
        <f>AND(#REF!,"AAAAAHvZ56Y=")</f>
        <v>#REF!</v>
      </c>
      <c r="FL577" t="e">
        <f>IF(#REF!,"AAAAAHvZ56c=",0)</f>
        <v>#REF!</v>
      </c>
      <c r="FM577" t="e">
        <f>AND(#REF!,"AAAAAHvZ56g=")</f>
        <v>#REF!</v>
      </c>
      <c r="FN577" t="e">
        <f>AND(#REF!,"AAAAAHvZ56k=")</f>
        <v>#REF!</v>
      </c>
      <c r="FO577" t="e">
        <f>AND(#REF!,"AAAAAHvZ56o=")</f>
        <v>#REF!</v>
      </c>
      <c r="FP577" t="e">
        <f>AND(#REF!,"AAAAAHvZ56s=")</f>
        <v>#REF!</v>
      </c>
      <c r="FQ577" t="e">
        <f>AND(#REF!,"AAAAAHvZ56w=")</f>
        <v>#REF!</v>
      </c>
      <c r="FR577" t="e">
        <f>AND(#REF!,"AAAAAHvZ560=")</f>
        <v>#REF!</v>
      </c>
      <c r="FS577" t="e">
        <f>AND(#REF!,"AAAAAHvZ564=")</f>
        <v>#REF!</v>
      </c>
      <c r="FT577" t="e">
        <f>AND(#REF!,"AAAAAHvZ568=")</f>
        <v>#REF!</v>
      </c>
      <c r="FU577" t="e">
        <f>AND(#REF!,"AAAAAHvZ57A=")</f>
        <v>#REF!</v>
      </c>
      <c r="FV577" t="e">
        <f>AND(#REF!,"AAAAAHvZ57E=")</f>
        <v>#REF!</v>
      </c>
      <c r="FW577" t="e">
        <f>IF(#REF!,"AAAAAHvZ57I=",0)</f>
        <v>#REF!</v>
      </c>
      <c r="FX577" t="e">
        <f>AND(#REF!,"AAAAAHvZ57M=")</f>
        <v>#REF!</v>
      </c>
      <c r="FY577" t="e">
        <f>AND(#REF!,"AAAAAHvZ57Q=")</f>
        <v>#REF!</v>
      </c>
      <c r="FZ577" t="e">
        <f>AND(#REF!,"AAAAAHvZ57U=")</f>
        <v>#REF!</v>
      </c>
      <c r="GA577" t="e">
        <f>AND(#REF!,"AAAAAHvZ57Y=")</f>
        <v>#REF!</v>
      </c>
      <c r="GB577" t="e">
        <f>AND(#REF!,"AAAAAHvZ57c=")</f>
        <v>#REF!</v>
      </c>
      <c r="GC577" t="e">
        <f>AND(#REF!,"AAAAAHvZ57g=")</f>
        <v>#REF!</v>
      </c>
      <c r="GD577" t="e">
        <f>AND(#REF!,"AAAAAHvZ57k=")</f>
        <v>#REF!</v>
      </c>
      <c r="GE577" t="e">
        <f>AND(#REF!,"AAAAAHvZ57o=")</f>
        <v>#REF!</v>
      </c>
      <c r="GF577" t="e">
        <f>AND(#REF!,"AAAAAHvZ57s=")</f>
        <v>#REF!</v>
      </c>
      <c r="GG577" t="e">
        <f>AND(#REF!,"AAAAAHvZ57w=")</f>
        <v>#REF!</v>
      </c>
      <c r="GH577" t="e">
        <f>IF(#REF!,"AAAAAHvZ570=",0)</f>
        <v>#REF!</v>
      </c>
      <c r="GI577" t="e">
        <f>AND(#REF!,"AAAAAHvZ574=")</f>
        <v>#REF!</v>
      </c>
      <c r="GJ577" t="e">
        <f>AND(#REF!,"AAAAAHvZ578=")</f>
        <v>#REF!</v>
      </c>
      <c r="GK577" t="e">
        <f>AND(#REF!,"AAAAAHvZ58A=")</f>
        <v>#REF!</v>
      </c>
      <c r="GL577" t="e">
        <f>AND(#REF!,"AAAAAHvZ58E=")</f>
        <v>#REF!</v>
      </c>
      <c r="GM577" t="e">
        <f>AND(#REF!,"AAAAAHvZ58I=")</f>
        <v>#REF!</v>
      </c>
      <c r="GN577" t="e">
        <f>AND(#REF!,"AAAAAHvZ58M=")</f>
        <v>#REF!</v>
      </c>
      <c r="GO577" t="e">
        <f>AND(#REF!,"AAAAAHvZ58Q=")</f>
        <v>#REF!</v>
      </c>
      <c r="GP577" t="e">
        <f>AND(#REF!,"AAAAAHvZ58U=")</f>
        <v>#REF!</v>
      </c>
      <c r="GQ577" t="e">
        <f>AND(#REF!,"AAAAAHvZ58Y=")</f>
        <v>#REF!</v>
      </c>
      <c r="GR577" t="e">
        <f>AND(#REF!,"AAAAAHvZ58c=")</f>
        <v>#REF!</v>
      </c>
      <c r="GS577" t="e">
        <f>IF(#REF!,"AAAAAHvZ58g=",0)</f>
        <v>#REF!</v>
      </c>
      <c r="GT577" t="e">
        <f>AND(#REF!,"AAAAAHvZ58k=")</f>
        <v>#REF!</v>
      </c>
      <c r="GU577" t="e">
        <f>AND(#REF!,"AAAAAHvZ58o=")</f>
        <v>#REF!</v>
      </c>
      <c r="GV577" t="e">
        <f>AND(#REF!,"AAAAAHvZ58s=")</f>
        <v>#REF!</v>
      </c>
      <c r="GW577" t="e">
        <f>AND(#REF!,"AAAAAHvZ58w=")</f>
        <v>#REF!</v>
      </c>
      <c r="GX577" t="e">
        <f>AND(#REF!,"AAAAAHvZ580=")</f>
        <v>#REF!</v>
      </c>
      <c r="GY577" t="e">
        <f>AND(#REF!,"AAAAAHvZ584=")</f>
        <v>#REF!</v>
      </c>
      <c r="GZ577" t="e">
        <f>AND(#REF!,"AAAAAHvZ588=")</f>
        <v>#REF!</v>
      </c>
      <c r="HA577" t="e">
        <f>AND(#REF!,"AAAAAHvZ59A=")</f>
        <v>#REF!</v>
      </c>
      <c r="HB577" t="e">
        <f>AND(#REF!,"AAAAAHvZ59E=")</f>
        <v>#REF!</v>
      </c>
      <c r="HC577" t="e">
        <f>AND(#REF!,"AAAAAHvZ59I=")</f>
        <v>#REF!</v>
      </c>
      <c r="HD577" t="e">
        <f>IF(#REF!,"AAAAAHvZ59M=",0)</f>
        <v>#REF!</v>
      </c>
      <c r="HE577" t="e">
        <f>AND(#REF!,"AAAAAHvZ59Q=")</f>
        <v>#REF!</v>
      </c>
      <c r="HF577" t="e">
        <f>AND(#REF!,"AAAAAHvZ59U=")</f>
        <v>#REF!</v>
      </c>
      <c r="HG577" t="e">
        <f>AND(#REF!,"AAAAAHvZ59Y=")</f>
        <v>#REF!</v>
      </c>
      <c r="HH577" t="e">
        <f>AND(#REF!,"AAAAAHvZ59c=")</f>
        <v>#REF!</v>
      </c>
      <c r="HI577" t="e">
        <f>AND(#REF!,"AAAAAHvZ59g=")</f>
        <v>#REF!</v>
      </c>
      <c r="HJ577" t="e">
        <f>AND(#REF!,"AAAAAHvZ59k=")</f>
        <v>#REF!</v>
      </c>
      <c r="HK577" t="e">
        <f>AND(#REF!,"AAAAAHvZ59o=")</f>
        <v>#REF!</v>
      </c>
      <c r="HL577" t="e">
        <f>AND(#REF!,"AAAAAHvZ59s=")</f>
        <v>#REF!</v>
      </c>
      <c r="HM577" t="e">
        <f>AND(#REF!,"AAAAAHvZ59w=")</f>
        <v>#REF!</v>
      </c>
      <c r="HN577" t="e">
        <f>AND(#REF!,"AAAAAHvZ590=")</f>
        <v>#REF!</v>
      </c>
      <c r="HO577" t="e">
        <f>IF(#REF!,"AAAAAHvZ594=",0)</f>
        <v>#REF!</v>
      </c>
      <c r="HP577" t="e">
        <f>AND(#REF!,"AAAAAHvZ598=")</f>
        <v>#REF!</v>
      </c>
      <c r="HQ577" t="e">
        <f>AND(#REF!,"AAAAAHvZ5+A=")</f>
        <v>#REF!</v>
      </c>
      <c r="HR577" t="e">
        <f>AND(#REF!,"AAAAAHvZ5+E=")</f>
        <v>#REF!</v>
      </c>
      <c r="HS577" t="e">
        <f>AND(#REF!,"AAAAAHvZ5+I=")</f>
        <v>#REF!</v>
      </c>
      <c r="HT577" t="e">
        <f>AND(#REF!,"AAAAAHvZ5+M=")</f>
        <v>#REF!</v>
      </c>
      <c r="HU577" t="e">
        <f>AND(#REF!,"AAAAAHvZ5+Q=")</f>
        <v>#REF!</v>
      </c>
      <c r="HV577" t="e">
        <f>AND(#REF!,"AAAAAHvZ5+U=")</f>
        <v>#REF!</v>
      </c>
      <c r="HW577" t="e">
        <f>AND(#REF!,"AAAAAHvZ5+Y=")</f>
        <v>#REF!</v>
      </c>
      <c r="HX577" t="e">
        <f>AND(#REF!,"AAAAAHvZ5+c=")</f>
        <v>#REF!</v>
      </c>
      <c r="HY577" t="e">
        <f>AND(#REF!,"AAAAAHvZ5+g=")</f>
        <v>#REF!</v>
      </c>
      <c r="HZ577" t="e">
        <f>IF(#REF!,"AAAAAHvZ5+k=",0)</f>
        <v>#REF!</v>
      </c>
      <c r="IA577" t="e">
        <f>AND(#REF!,"AAAAAHvZ5+o=")</f>
        <v>#REF!</v>
      </c>
      <c r="IB577" t="e">
        <f>AND(#REF!,"AAAAAHvZ5+s=")</f>
        <v>#REF!</v>
      </c>
      <c r="IC577" t="e">
        <f>AND(#REF!,"AAAAAHvZ5+w=")</f>
        <v>#REF!</v>
      </c>
      <c r="ID577" t="e">
        <f>AND(#REF!,"AAAAAHvZ5+0=")</f>
        <v>#REF!</v>
      </c>
      <c r="IE577" t="e">
        <f>AND(#REF!,"AAAAAHvZ5+4=")</f>
        <v>#REF!</v>
      </c>
      <c r="IF577" t="e">
        <f>AND(#REF!,"AAAAAHvZ5+8=")</f>
        <v>#REF!</v>
      </c>
      <c r="IG577" t="e">
        <f>AND(#REF!,"AAAAAHvZ5/A=")</f>
        <v>#REF!</v>
      </c>
      <c r="IH577" t="e">
        <f>AND(#REF!,"AAAAAHvZ5/E=")</f>
        <v>#REF!</v>
      </c>
      <c r="II577" t="e">
        <f>AND(#REF!,"AAAAAHvZ5/I=")</f>
        <v>#REF!</v>
      </c>
      <c r="IJ577" t="e">
        <f>AND(#REF!,"AAAAAHvZ5/M=")</f>
        <v>#REF!</v>
      </c>
      <c r="IK577" t="e">
        <f>IF(#REF!,"AAAAAHvZ5/Q=",0)</f>
        <v>#REF!</v>
      </c>
      <c r="IL577" t="e">
        <f>AND(#REF!,"AAAAAHvZ5/U=")</f>
        <v>#REF!</v>
      </c>
      <c r="IM577" t="e">
        <f>AND(#REF!,"AAAAAHvZ5/Y=")</f>
        <v>#REF!</v>
      </c>
      <c r="IN577" t="e">
        <f>AND(#REF!,"AAAAAHvZ5/c=")</f>
        <v>#REF!</v>
      </c>
      <c r="IO577" t="e">
        <f>AND(#REF!,"AAAAAHvZ5/g=")</f>
        <v>#REF!</v>
      </c>
      <c r="IP577" t="e">
        <f>AND(#REF!,"AAAAAHvZ5/k=")</f>
        <v>#REF!</v>
      </c>
      <c r="IQ577" t="e">
        <f>AND(#REF!,"AAAAAHvZ5/o=")</f>
        <v>#REF!</v>
      </c>
      <c r="IR577" t="e">
        <f>AND(#REF!,"AAAAAHvZ5/s=")</f>
        <v>#REF!</v>
      </c>
      <c r="IS577" t="e">
        <f>AND(#REF!,"AAAAAHvZ5/w=")</f>
        <v>#REF!</v>
      </c>
      <c r="IT577" t="e">
        <f>AND(#REF!,"AAAAAHvZ5/0=")</f>
        <v>#REF!</v>
      </c>
      <c r="IU577" t="e">
        <f>AND(#REF!,"AAAAAHvZ5/4=")</f>
        <v>#REF!</v>
      </c>
      <c r="IV577" t="e">
        <f>IF(#REF!,"AAAAAHvZ5/8=",0)</f>
        <v>#REF!</v>
      </c>
    </row>
    <row r="578" spans="1:256" x14ac:dyDescent="0.25">
      <c r="A578" t="e">
        <f>AND(#REF!,"AAAAAGp/+wA=")</f>
        <v>#REF!</v>
      </c>
      <c r="B578" t="e">
        <f>AND(#REF!,"AAAAAGp/+wE=")</f>
        <v>#REF!</v>
      </c>
      <c r="C578" t="e">
        <f>AND(#REF!,"AAAAAGp/+wI=")</f>
        <v>#REF!</v>
      </c>
      <c r="D578" t="e">
        <f>AND(#REF!,"AAAAAGp/+wM=")</f>
        <v>#REF!</v>
      </c>
      <c r="E578" t="e">
        <f>AND(#REF!,"AAAAAGp/+wQ=")</f>
        <v>#REF!</v>
      </c>
      <c r="F578" t="e">
        <f>AND(#REF!,"AAAAAGp/+wU=")</f>
        <v>#REF!</v>
      </c>
      <c r="G578" t="e">
        <f>AND(#REF!,"AAAAAGp/+wY=")</f>
        <v>#REF!</v>
      </c>
      <c r="H578" t="e">
        <f>AND(#REF!,"AAAAAGp/+wc=")</f>
        <v>#REF!</v>
      </c>
      <c r="I578" t="e">
        <f>AND(#REF!,"AAAAAGp/+wg=")</f>
        <v>#REF!</v>
      </c>
      <c r="J578" t="e">
        <f>AND(#REF!,"AAAAAGp/+wk=")</f>
        <v>#REF!</v>
      </c>
      <c r="K578" t="e">
        <f>IF(#REF!,"AAAAAGp/+wo=",0)</f>
        <v>#REF!</v>
      </c>
      <c r="L578" t="e">
        <f>AND(#REF!,"AAAAAGp/+ws=")</f>
        <v>#REF!</v>
      </c>
      <c r="M578" t="e">
        <f>AND(#REF!,"AAAAAGp/+ww=")</f>
        <v>#REF!</v>
      </c>
      <c r="N578" t="e">
        <f>AND(#REF!,"AAAAAGp/+w0=")</f>
        <v>#REF!</v>
      </c>
      <c r="O578" t="e">
        <f>AND(#REF!,"AAAAAGp/+w4=")</f>
        <v>#REF!</v>
      </c>
      <c r="P578" t="e">
        <f>AND(#REF!,"AAAAAGp/+w8=")</f>
        <v>#REF!</v>
      </c>
      <c r="Q578" t="e">
        <f>AND(#REF!,"AAAAAGp/+xA=")</f>
        <v>#REF!</v>
      </c>
      <c r="R578" t="e">
        <f>AND(#REF!,"AAAAAGp/+xE=")</f>
        <v>#REF!</v>
      </c>
      <c r="S578" t="e">
        <f>AND(#REF!,"AAAAAGp/+xI=")</f>
        <v>#REF!</v>
      </c>
      <c r="T578" t="e">
        <f>AND(#REF!,"AAAAAGp/+xM=")</f>
        <v>#REF!</v>
      </c>
      <c r="U578" t="e">
        <f>AND(#REF!,"AAAAAGp/+xQ=")</f>
        <v>#REF!</v>
      </c>
      <c r="V578" t="e">
        <f>IF(#REF!,"AAAAAGp/+xU=",0)</f>
        <v>#REF!</v>
      </c>
      <c r="W578" t="e">
        <f>AND(#REF!,"AAAAAGp/+xY=")</f>
        <v>#REF!</v>
      </c>
      <c r="X578" t="e">
        <f>AND(#REF!,"AAAAAGp/+xc=")</f>
        <v>#REF!</v>
      </c>
      <c r="Y578" t="e">
        <f>AND(#REF!,"AAAAAGp/+xg=")</f>
        <v>#REF!</v>
      </c>
      <c r="Z578" t="e">
        <f>AND(#REF!,"AAAAAGp/+xk=")</f>
        <v>#REF!</v>
      </c>
      <c r="AA578" t="e">
        <f>AND(#REF!,"AAAAAGp/+xo=")</f>
        <v>#REF!</v>
      </c>
      <c r="AB578" t="e">
        <f>AND(#REF!,"AAAAAGp/+xs=")</f>
        <v>#REF!</v>
      </c>
      <c r="AC578" t="e">
        <f>AND(#REF!,"AAAAAGp/+xw=")</f>
        <v>#REF!</v>
      </c>
      <c r="AD578" t="e">
        <f>AND(#REF!,"AAAAAGp/+x0=")</f>
        <v>#REF!</v>
      </c>
      <c r="AE578" t="e">
        <f>AND(#REF!,"AAAAAGp/+x4=")</f>
        <v>#REF!</v>
      </c>
      <c r="AF578" t="e">
        <f>AND(#REF!,"AAAAAGp/+x8=")</f>
        <v>#REF!</v>
      </c>
      <c r="AG578" t="e">
        <f>IF(#REF!,"AAAAAGp/+yA=",0)</f>
        <v>#REF!</v>
      </c>
      <c r="AH578" t="e">
        <f>AND(#REF!,"AAAAAGp/+yE=")</f>
        <v>#REF!</v>
      </c>
      <c r="AI578" t="e">
        <f>AND(#REF!,"AAAAAGp/+yI=")</f>
        <v>#REF!</v>
      </c>
      <c r="AJ578" t="e">
        <f>AND(#REF!,"AAAAAGp/+yM=")</f>
        <v>#REF!</v>
      </c>
      <c r="AK578" t="e">
        <f>AND(#REF!,"AAAAAGp/+yQ=")</f>
        <v>#REF!</v>
      </c>
      <c r="AL578" t="e">
        <f>AND(#REF!,"AAAAAGp/+yU=")</f>
        <v>#REF!</v>
      </c>
      <c r="AM578" t="e">
        <f>AND(#REF!,"AAAAAGp/+yY=")</f>
        <v>#REF!</v>
      </c>
      <c r="AN578" t="e">
        <f>AND(#REF!,"AAAAAGp/+yc=")</f>
        <v>#REF!</v>
      </c>
      <c r="AO578" t="e">
        <f>AND(#REF!,"AAAAAGp/+yg=")</f>
        <v>#REF!</v>
      </c>
      <c r="AP578" t="e">
        <f>AND(#REF!,"AAAAAGp/+yk=")</f>
        <v>#REF!</v>
      </c>
      <c r="AQ578" t="e">
        <f>AND(#REF!,"AAAAAGp/+yo=")</f>
        <v>#REF!</v>
      </c>
      <c r="AR578" t="e">
        <f>IF(#REF!,"AAAAAGp/+ys=",0)</f>
        <v>#REF!</v>
      </c>
      <c r="AS578" t="e">
        <f>AND(#REF!,"AAAAAGp/+yw=")</f>
        <v>#REF!</v>
      </c>
      <c r="AT578" t="e">
        <f>AND(#REF!,"AAAAAGp/+y0=")</f>
        <v>#REF!</v>
      </c>
      <c r="AU578" t="e">
        <f>AND(#REF!,"AAAAAGp/+y4=")</f>
        <v>#REF!</v>
      </c>
      <c r="AV578" t="e">
        <f>AND(#REF!,"AAAAAGp/+y8=")</f>
        <v>#REF!</v>
      </c>
      <c r="AW578" t="e">
        <f>AND(#REF!,"AAAAAGp/+zA=")</f>
        <v>#REF!</v>
      </c>
      <c r="AX578" t="e">
        <f>AND(#REF!,"AAAAAGp/+zE=")</f>
        <v>#REF!</v>
      </c>
      <c r="AY578" t="e">
        <f>AND(#REF!,"AAAAAGp/+zI=")</f>
        <v>#REF!</v>
      </c>
      <c r="AZ578" t="e">
        <f>AND(#REF!,"AAAAAGp/+zM=")</f>
        <v>#REF!</v>
      </c>
      <c r="BA578" t="e">
        <f>AND(#REF!,"AAAAAGp/+zQ=")</f>
        <v>#REF!</v>
      </c>
      <c r="BB578" t="e">
        <f>AND(#REF!,"AAAAAGp/+zU=")</f>
        <v>#REF!</v>
      </c>
      <c r="BC578" t="e">
        <f>IF(#REF!,"AAAAAGp/+zY=",0)</f>
        <v>#REF!</v>
      </c>
      <c r="BD578" t="e">
        <f>AND(#REF!,"AAAAAGp/+zc=")</f>
        <v>#REF!</v>
      </c>
      <c r="BE578" t="e">
        <f>AND(#REF!,"AAAAAGp/+zg=")</f>
        <v>#REF!</v>
      </c>
      <c r="BF578" t="e">
        <f>AND(#REF!,"AAAAAGp/+zk=")</f>
        <v>#REF!</v>
      </c>
      <c r="BG578" t="e">
        <f>AND(#REF!,"AAAAAGp/+zo=")</f>
        <v>#REF!</v>
      </c>
      <c r="BH578" t="e">
        <f>AND(#REF!,"AAAAAGp/+zs=")</f>
        <v>#REF!</v>
      </c>
      <c r="BI578" t="e">
        <f>AND(#REF!,"AAAAAGp/+zw=")</f>
        <v>#REF!</v>
      </c>
      <c r="BJ578" t="e">
        <f>AND(#REF!,"AAAAAGp/+z0=")</f>
        <v>#REF!</v>
      </c>
      <c r="BK578" t="e">
        <f>AND(#REF!,"AAAAAGp/+z4=")</f>
        <v>#REF!</v>
      </c>
      <c r="BL578" t="e">
        <f>AND(#REF!,"AAAAAGp/+z8=")</f>
        <v>#REF!</v>
      </c>
      <c r="BM578" t="e">
        <f>AND(#REF!,"AAAAAGp/+0A=")</f>
        <v>#REF!</v>
      </c>
      <c r="BN578" t="e">
        <f>IF(#REF!,"AAAAAGp/+0E=",0)</f>
        <v>#REF!</v>
      </c>
      <c r="BO578" t="e">
        <f>AND(#REF!,"AAAAAGp/+0I=")</f>
        <v>#REF!</v>
      </c>
      <c r="BP578" t="e">
        <f>AND(#REF!,"AAAAAGp/+0M=")</f>
        <v>#REF!</v>
      </c>
      <c r="BQ578" t="e">
        <f>AND(#REF!,"AAAAAGp/+0Q=")</f>
        <v>#REF!</v>
      </c>
      <c r="BR578" t="e">
        <f>AND(#REF!,"AAAAAGp/+0U=")</f>
        <v>#REF!</v>
      </c>
      <c r="BS578" t="e">
        <f>AND(#REF!,"AAAAAGp/+0Y=")</f>
        <v>#REF!</v>
      </c>
      <c r="BT578" t="e">
        <f>AND(#REF!,"AAAAAGp/+0c=")</f>
        <v>#REF!</v>
      </c>
      <c r="BU578" t="e">
        <f>AND(#REF!,"AAAAAGp/+0g=")</f>
        <v>#REF!</v>
      </c>
      <c r="BV578" t="e">
        <f>AND(#REF!,"AAAAAGp/+0k=")</f>
        <v>#REF!</v>
      </c>
      <c r="BW578" t="e">
        <f>AND(#REF!,"AAAAAGp/+0o=")</f>
        <v>#REF!</v>
      </c>
      <c r="BX578" t="e">
        <f>AND(#REF!,"AAAAAGp/+0s=")</f>
        <v>#REF!</v>
      </c>
      <c r="BY578" t="e">
        <f>IF(#REF!,"AAAAAGp/+0w=",0)</f>
        <v>#REF!</v>
      </c>
      <c r="BZ578" t="e">
        <f>AND(#REF!,"AAAAAGp/+00=")</f>
        <v>#REF!</v>
      </c>
      <c r="CA578" t="e">
        <f>AND(#REF!,"AAAAAGp/+04=")</f>
        <v>#REF!</v>
      </c>
      <c r="CB578" t="e">
        <f>AND(#REF!,"AAAAAGp/+08=")</f>
        <v>#REF!</v>
      </c>
      <c r="CC578" t="e">
        <f>AND(#REF!,"AAAAAGp/+1A=")</f>
        <v>#REF!</v>
      </c>
      <c r="CD578" t="e">
        <f>AND(#REF!,"AAAAAGp/+1E=")</f>
        <v>#REF!</v>
      </c>
      <c r="CE578" t="e">
        <f>AND(#REF!,"AAAAAGp/+1I=")</f>
        <v>#REF!</v>
      </c>
      <c r="CF578" t="e">
        <f>AND(#REF!,"AAAAAGp/+1M=")</f>
        <v>#REF!</v>
      </c>
      <c r="CG578" t="e">
        <f>AND(#REF!,"AAAAAGp/+1Q=")</f>
        <v>#REF!</v>
      </c>
      <c r="CH578" t="e">
        <f>AND(#REF!,"AAAAAGp/+1U=")</f>
        <v>#REF!</v>
      </c>
      <c r="CI578" t="e">
        <f>AND(#REF!,"AAAAAGp/+1Y=")</f>
        <v>#REF!</v>
      </c>
      <c r="CJ578" t="e">
        <f>IF(#REF!,"AAAAAGp/+1c=",0)</f>
        <v>#REF!</v>
      </c>
      <c r="CK578" t="e">
        <f>AND(#REF!,"AAAAAGp/+1g=")</f>
        <v>#REF!</v>
      </c>
      <c r="CL578" t="e">
        <f>AND(#REF!,"AAAAAGp/+1k=")</f>
        <v>#REF!</v>
      </c>
      <c r="CM578" t="e">
        <f>AND(#REF!,"AAAAAGp/+1o=")</f>
        <v>#REF!</v>
      </c>
      <c r="CN578" t="e">
        <f>AND(#REF!,"AAAAAGp/+1s=")</f>
        <v>#REF!</v>
      </c>
      <c r="CO578" t="e">
        <f>AND(#REF!,"AAAAAGp/+1w=")</f>
        <v>#REF!</v>
      </c>
      <c r="CP578" t="e">
        <f>AND(#REF!,"AAAAAGp/+10=")</f>
        <v>#REF!</v>
      </c>
      <c r="CQ578" t="e">
        <f>AND(#REF!,"AAAAAGp/+14=")</f>
        <v>#REF!</v>
      </c>
      <c r="CR578" t="e">
        <f>AND(#REF!,"AAAAAGp/+18=")</f>
        <v>#REF!</v>
      </c>
      <c r="CS578" t="e">
        <f>AND(#REF!,"AAAAAGp/+2A=")</f>
        <v>#REF!</v>
      </c>
      <c r="CT578" t="e">
        <f>AND(#REF!,"AAAAAGp/+2E=")</f>
        <v>#REF!</v>
      </c>
      <c r="CU578" t="e">
        <f>IF(#REF!,"AAAAAGp/+2I=",0)</f>
        <v>#REF!</v>
      </c>
      <c r="CV578" t="e">
        <f>AND(#REF!,"AAAAAGp/+2M=")</f>
        <v>#REF!</v>
      </c>
      <c r="CW578" t="e">
        <f>AND(#REF!,"AAAAAGp/+2Q=")</f>
        <v>#REF!</v>
      </c>
      <c r="CX578" t="e">
        <f>AND(#REF!,"AAAAAGp/+2U=")</f>
        <v>#REF!</v>
      </c>
      <c r="CY578" t="e">
        <f>AND(#REF!,"AAAAAGp/+2Y=")</f>
        <v>#REF!</v>
      </c>
      <c r="CZ578" t="e">
        <f>AND(#REF!,"AAAAAGp/+2c=")</f>
        <v>#REF!</v>
      </c>
      <c r="DA578" t="e">
        <f>AND(#REF!,"AAAAAGp/+2g=")</f>
        <v>#REF!</v>
      </c>
      <c r="DB578" t="e">
        <f>AND(#REF!,"AAAAAGp/+2k=")</f>
        <v>#REF!</v>
      </c>
      <c r="DC578" t="e">
        <f>AND(#REF!,"AAAAAGp/+2o=")</f>
        <v>#REF!</v>
      </c>
      <c r="DD578" t="e">
        <f>AND(#REF!,"AAAAAGp/+2s=")</f>
        <v>#REF!</v>
      </c>
      <c r="DE578" t="e">
        <f>AND(#REF!,"AAAAAGp/+2w=")</f>
        <v>#REF!</v>
      </c>
      <c r="DF578" t="e">
        <f>IF(#REF!,"AAAAAGp/+20=",0)</f>
        <v>#REF!</v>
      </c>
      <c r="DG578" t="e">
        <f>AND(#REF!,"AAAAAGp/+24=")</f>
        <v>#REF!</v>
      </c>
      <c r="DH578" t="e">
        <f>AND(#REF!,"AAAAAGp/+28=")</f>
        <v>#REF!</v>
      </c>
      <c r="DI578" t="e">
        <f>AND(#REF!,"AAAAAGp/+3A=")</f>
        <v>#REF!</v>
      </c>
      <c r="DJ578" t="e">
        <f>AND(#REF!,"AAAAAGp/+3E=")</f>
        <v>#REF!</v>
      </c>
      <c r="DK578" t="e">
        <f>AND(#REF!,"AAAAAGp/+3I=")</f>
        <v>#REF!</v>
      </c>
      <c r="DL578" t="e">
        <f>AND(#REF!,"AAAAAGp/+3M=")</f>
        <v>#REF!</v>
      </c>
      <c r="DM578" t="e">
        <f>AND(#REF!,"AAAAAGp/+3Q=")</f>
        <v>#REF!</v>
      </c>
      <c r="DN578" t="e">
        <f>AND(#REF!,"AAAAAGp/+3U=")</f>
        <v>#REF!</v>
      </c>
      <c r="DO578" t="e">
        <f>AND(#REF!,"AAAAAGp/+3Y=")</f>
        <v>#REF!</v>
      </c>
      <c r="DP578" t="e">
        <f>AND(#REF!,"AAAAAGp/+3c=")</f>
        <v>#REF!</v>
      </c>
      <c r="DQ578" t="e">
        <f>IF(#REF!,"AAAAAGp/+3g=",0)</f>
        <v>#REF!</v>
      </c>
      <c r="DR578" t="e">
        <f>AND(#REF!,"AAAAAGp/+3k=")</f>
        <v>#REF!</v>
      </c>
      <c r="DS578" t="e">
        <f>AND(#REF!,"AAAAAGp/+3o=")</f>
        <v>#REF!</v>
      </c>
      <c r="DT578" t="e">
        <f>AND(#REF!,"AAAAAGp/+3s=")</f>
        <v>#REF!</v>
      </c>
      <c r="DU578" t="e">
        <f>AND(#REF!,"AAAAAGp/+3w=")</f>
        <v>#REF!</v>
      </c>
      <c r="DV578" t="e">
        <f>AND(#REF!,"AAAAAGp/+30=")</f>
        <v>#REF!</v>
      </c>
      <c r="DW578" t="e">
        <f>AND(#REF!,"AAAAAGp/+34=")</f>
        <v>#REF!</v>
      </c>
      <c r="DX578" t="e">
        <f>AND(#REF!,"AAAAAGp/+38=")</f>
        <v>#REF!</v>
      </c>
      <c r="DY578" t="e">
        <f>AND(#REF!,"AAAAAGp/+4A=")</f>
        <v>#REF!</v>
      </c>
      <c r="DZ578" t="e">
        <f>AND(#REF!,"AAAAAGp/+4E=")</f>
        <v>#REF!</v>
      </c>
      <c r="EA578" t="e">
        <f>AND(#REF!,"AAAAAGp/+4I=")</f>
        <v>#REF!</v>
      </c>
      <c r="EB578" t="e">
        <f>IF(#REF!,"AAAAAGp/+4M=",0)</f>
        <v>#REF!</v>
      </c>
      <c r="EC578" t="e">
        <f>AND(#REF!,"AAAAAGp/+4Q=")</f>
        <v>#REF!</v>
      </c>
      <c r="ED578" t="e">
        <f>AND(#REF!,"AAAAAGp/+4U=")</f>
        <v>#REF!</v>
      </c>
      <c r="EE578" t="e">
        <f>AND(#REF!,"AAAAAGp/+4Y=")</f>
        <v>#REF!</v>
      </c>
      <c r="EF578" t="e">
        <f>AND(#REF!,"AAAAAGp/+4c=")</f>
        <v>#REF!</v>
      </c>
      <c r="EG578" t="e">
        <f>AND(#REF!,"AAAAAGp/+4g=")</f>
        <v>#REF!</v>
      </c>
      <c r="EH578" t="e">
        <f>AND(#REF!,"AAAAAGp/+4k=")</f>
        <v>#REF!</v>
      </c>
      <c r="EI578" t="e">
        <f>AND(#REF!,"AAAAAGp/+4o=")</f>
        <v>#REF!</v>
      </c>
      <c r="EJ578" t="e">
        <f>AND(#REF!,"AAAAAGp/+4s=")</f>
        <v>#REF!</v>
      </c>
      <c r="EK578" t="e">
        <f>AND(#REF!,"AAAAAGp/+4w=")</f>
        <v>#REF!</v>
      </c>
      <c r="EL578" t="e">
        <f>AND(#REF!,"AAAAAGp/+40=")</f>
        <v>#REF!</v>
      </c>
      <c r="EM578" t="e">
        <f>IF(#REF!,"AAAAAGp/+44=",0)</f>
        <v>#REF!</v>
      </c>
      <c r="EN578" t="e">
        <f>AND(#REF!,"AAAAAGp/+48=")</f>
        <v>#REF!</v>
      </c>
      <c r="EO578" t="e">
        <f>AND(#REF!,"AAAAAGp/+5A=")</f>
        <v>#REF!</v>
      </c>
      <c r="EP578" t="e">
        <f>AND(#REF!,"AAAAAGp/+5E=")</f>
        <v>#REF!</v>
      </c>
      <c r="EQ578" t="e">
        <f>AND(#REF!,"AAAAAGp/+5I=")</f>
        <v>#REF!</v>
      </c>
      <c r="ER578" t="e">
        <f>AND(#REF!,"AAAAAGp/+5M=")</f>
        <v>#REF!</v>
      </c>
      <c r="ES578" t="e">
        <f>AND(#REF!,"AAAAAGp/+5Q=")</f>
        <v>#REF!</v>
      </c>
      <c r="ET578" t="e">
        <f>AND(#REF!,"AAAAAGp/+5U=")</f>
        <v>#REF!</v>
      </c>
      <c r="EU578" t="e">
        <f>AND(#REF!,"AAAAAGp/+5Y=")</f>
        <v>#REF!</v>
      </c>
      <c r="EV578" t="e">
        <f>AND(#REF!,"AAAAAGp/+5c=")</f>
        <v>#REF!</v>
      </c>
      <c r="EW578" t="e">
        <f>AND(#REF!,"AAAAAGp/+5g=")</f>
        <v>#REF!</v>
      </c>
      <c r="EX578" t="e">
        <f>IF(#REF!,"AAAAAGp/+5k=",0)</f>
        <v>#REF!</v>
      </c>
      <c r="EY578" t="e">
        <f>AND(#REF!,"AAAAAGp/+5o=")</f>
        <v>#REF!</v>
      </c>
      <c r="EZ578" t="e">
        <f>AND(#REF!,"AAAAAGp/+5s=")</f>
        <v>#REF!</v>
      </c>
      <c r="FA578" t="e">
        <f>AND(#REF!,"AAAAAGp/+5w=")</f>
        <v>#REF!</v>
      </c>
      <c r="FB578" t="e">
        <f>AND(#REF!,"AAAAAGp/+50=")</f>
        <v>#REF!</v>
      </c>
      <c r="FC578" t="e">
        <f>AND(#REF!,"AAAAAGp/+54=")</f>
        <v>#REF!</v>
      </c>
      <c r="FD578" t="e">
        <f>AND(#REF!,"AAAAAGp/+58=")</f>
        <v>#REF!</v>
      </c>
      <c r="FE578" t="e">
        <f>AND(#REF!,"AAAAAGp/+6A=")</f>
        <v>#REF!</v>
      </c>
      <c r="FF578" t="e">
        <f>AND(#REF!,"AAAAAGp/+6E=")</f>
        <v>#REF!</v>
      </c>
      <c r="FG578" t="e">
        <f>AND(#REF!,"AAAAAGp/+6I=")</f>
        <v>#REF!</v>
      </c>
      <c r="FH578" t="e">
        <f>AND(#REF!,"AAAAAGp/+6M=")</f>
        <v>#REF!</v>
      </c>
      <c r="FI578" t="e">
        <f>IF(#REF!,"AAAAAGp/+6Q=",0)</f>
        <v>#REF!</v>
      </c>
      <c r="FJ578" t="e">
        <f>AND(#REF!,"AAAAAGp/+6U=")</f>
        <v>#REF!</v>
      </c>
      <c r="FK578" t="e">
        <f>AND(#REF!,"AAAAAGp/+6Y=")</f>
        <v>#REF!</v>
      </c>
      <c r="FL578" t="e">
        <f>AND(#REF!,"AAAAAGp/+6c=")</f>
        <v>#REF!</v>
      </c>
      <c r="FM578" t="e">
        <f>AND(#REF!,"AAAAAGp/+6g=")</f>
        <v>#REF!</v>
      </c>
      <c r="FN578" t="e">
        <f>AND(#REF!,"AAAAAGp/+6k=")</f>
        <v>#REF!</v>
      </c>
      <c r="FO578" t="e">
        <f>AND(#REF!,"AAAAAGp/+6o=")</f>
        <v>#REF!</v>
      </c>
      <c r="FP578" t="e">
        <f>AND(#REF!,"AAAAAGp/+6s=")</f>
        <v>#REF!</v>
      </c>
      <c r="FQ578" t="e">
        <f>AND(#REF!,"AAAAAGp/+6w=")</f>
        <v>#REF!</v>
      </c>
      <c r="FR578" t="e">
        <f>AND(#REF!,"AAAAAGp/+60=")</f>
        <v>#REF!</v>
      </c>
      <c r="FS578" t="e">
        <f>AND(#REF!,"AAAAAGp/+64=")</f>
        <v>#REF!</v>
      </c>
      <c r="FT578" t="e">
        <f>IF(#REF!,"AAAAAGp/+68=",0)</f>
        <v>#REF!</v>
      </c>
      <c r="FU578" t="e">
        <f>AND(#REF!,"AAAAAGp/+7A=")</f>
        <v>#REF!</v>
      </c>
      <c r="FV578" t="e">
        <f>AND(#REF!,"AAAAAGp/+7E=")</f>
        <v>#REF!</v>
      </c>
      <c r="FW578" t="e">
        <f>AND(#REF!,"AAAAAGp/+7I=")</f>
        <v>#REF!</v>
      </c>
      <c r="FX578" t="e">
        <f>AND(#REF!,"AAAAAGp/+7M=")</f>
        <v>#REF!</v>
      </c>
      <c r="FY578" t="e">
        <f>AND(#REF!,"AAAAAGp/+7Q=")</f>
        <v>#REF!</v>
      </c>
      <c r="FZ578" t="e">
        <f>AND(#REF!,"AAAAAGp/+7U=")</f>
        <v>#REF!</v>
      </c>
      <c r="GA578" t="e">
        <f>AND(#REF!,"AAAAAGp/+7Y=")</f>
        <v>#REF!</v>
      </c>
      <c r="GB578" t="e">
        <f>AND(#REF!,"AAAAAGp/+7c=")</f>
        <v>#REF!</v>
      </c>
      <c r="GC578" t="e">
        <f>AND(#REF!,"AAAAAGp/+7g=")</f>
        <v>#REF!</v>
      </c>
      <c r="GD578" t="e">
        <f>AND(#REF!,"AAAAAGp/+7k=")</f>
        <v>#REF!</v>
      </c>
      <c r="GE578" t="e">
        <f>IF(#REF!,"AAAAAGp/+7o=",0)</f>
        <v>#REF!</v>
      </c>
      <c r="GF578" t="e">
        <f>AND(#REF!,"AAAAAGp/+7s=")</f>
        <v>#REF!</v>
      </c>
      <c r="GG578" t="e">
        <f>AND(#REF!,"AAAAAGp/+7w=")</f>
        <v>#REF!</v>
      </c>
      <c r="GH578" t="e">
        <f>AND(#REF!,"AAAAAGp/+70=")</f>
        <v>#REF!</v>
      </c>
      <c r="GI578" t="e">
        <f>AND(#REF!,"AAAAAGp/+74=")</f>
        <v>#REF!</v>
      </c>
      <c r="GJ578" t="e">
        <f>AND(#REF!,"AAAAAGp/+78=")</f>
        <v>#REF!</v>
      </c>
      <c r="GK578" t="e">
        <f>AND(#REF!,"AAAAAGp/+8A=")</f>
        <v>#REF!</v>
      </c>
      <c r="GL578" t="e">
        <f>AND(#REF!,"AAAAAGp/+8E=")</f>
        <v>#REF!</v>
      </c>
      <c r="GM578" t="e">
        <f>AND(#REF!,"AAAAAGp/+8I=")</f>
        <v>#REF!</v>
      </c>
      <c r="GN578" t="e">
        <f>AND(#REF!,"AAAAAGp/+8M=")</f>
        <v>#REF!</v>
      </c>
      <c r="GO578" t="e">
        <f>AND(#REF!,"AAAAAGp/+8Q=")</f>
        <v>#REF!</v>
      </c>
      <c r="GP578" t="e">
        <f>IF(#REF!,"AAAAAGp/+8U=",0)</f>
        <v>#REF!</v>
      </c>
      <c r="GQ578" t="e">
        <f>AND(#REF!,"AAAAAGp/+8Y=")</f>
        <v>#REF!</v>
      </c>
      <c r="GR578" t="e">
        <f>AND(#REF!,"AAAAAGp/+8c=")</f>
        <v>#REF!</v>
      </c>
      <c r="GS578" t="e">
        <f>AND(#REF!,"AAAAAGp/+8g=")</f>
        <v>#REF!</v>
      </c>
      <c r="GT578" t="e">
        <f>AND(#REF!,"AAAAAGp/+8k=")</f>
        <v>#REF!</v>
      </c>
      <c r="GU578" t="e">
        <f>AND(#REF!,"AAAAAGp/+8o=")</f>
        <v>#REF!</v>
      </c>
      <c r="GV578" t="e">
        <f>AND(#REF!,"AAAAAGp/+8s=")</f>
        <v>#REF!</v>
      </c>
      <c r="GW578" t="e">
        <f>AND(#REF!,"AAAAAGp/+8w=")</f>
        <v>#REF!</v>
      </c>
      <c r="GX578" t="e">
        <f>AND(#REF!,"AAAAAGp/+80=")</f>
        <v>#REF!</v>
      </c>
      <c r="GY578" t="e">
        <f>AND(#REF!,"AAAAAGp/+84=")</f>
        <v>#REF!</v>
      </c>
      <c r="GZ578" t="e">
        <f>AND(#REF!,"AAAAAGp/+88=")</f>
        <v>#REF!</v>
      </c>
      <c r="HA578" t="e">
        <f>IF(#REF!,"AAAAAGp/+9A=",0)</f>
        <v>#REF!</v>
      </c>
      <c r="HB578" t="e">
        <f>AND(#REF!,"AAAAAGp/+9E=")</f>
        <v>#REF!</v>
      </c>
      <c r="HC578" t="e">
        <f>AND(#REF!,"AAAAAGp/+9I=")</f>
        <v>#REF!</v>
      </c>
      <c r="HD578" t="e">
        <f>AND(#REF!,"AAAAAGp/+9M=")</f>
        <v>#REF!</v>
      </c>
      <c r="HE578" t="e">
        <f>AND(#REF!,"AAAAAGp/+9Q=")</f>
        <v>#REF!</v>
      </c>
      <c r="HF578" t="e">
        <f>AND(#REF!,"AAAAAGp/+9U=")</f>
        <v>#REF!</v>
      </c>
      <c r="HG578" t="e">
        <f>AND(#REF!,"AAAAAGp/+9Y=")</f>
        <v>#REF!</v>
      </c>
      <c r="HH578" t="e">
        <f>AND(#REF!,"AAAAAGp/+9c=")</f>
        <v>#REF!</v>
      </c>
      <c r="HI578" t="e">
        <f>AND(#REF!,"AAAAAGp/+9g=")</f>
        <v>#REF!</v>
      </c>
      <c r="HJ578" t="e">
        <f>AND(#REF!,"AAAAAGp/+9k=")</f>
        <v>#REF!</v>
      </c>
      <c r="HK578" t="e">
        <f>AND(#REF!,"AAAAAGp/+9o=")</f>
        <v>#REF!</v>
      </c>
      <c r="HL578" t="e">
        <f>IF(#REF!,"AAAAAGp/+9s=",0)</f>
        <v>#REF!</v>
      </c>
      <c r="HM578" t="e">
        <f>AND(#REF!,"AAAAAGp/+9w=")</f>
        <v>#REF!</v>
      </c>
      <c r="HN578" t="e">
        <f>AND(#REF!,"AAAAAGp/+90=")</f>
        <v>#REF!</v>
      </c>
      <c r="HO578" t="e">
        <f>AND(#REF!,"AAAAAGp/+94=")</f>
        <v>#REF!</v>
      </c>
      <c r="HP578" t="e">
        <f>AND(#REF!,"AAAAAGp/+98=")</f>
        <v>#REF!</v>
      </c>
      <c r="HQ578" t="e">
        <f>AND(#REF!,"AAAAAGp/++A=")</f>
        <v>#REF!</v>
      </c>
      <c r="HR578" t="e">
        <f>AND(#REF!,"AAAAAGp/++E=")</f>
        <v>#REF!</v>
      </c>
      <c r="HS578" t="e">
        <f>AND(#REF!,"AAAAAGp/++I=")</f>
        <v>#REF!</v>
      </c>
      <c r="HT578" t="e">
        <f>AND(#REF!,"AAAAAGp/++M=")</f>
        <v>#REF!</v>
      </c>
      <c r="HU578" t="e">
        <f>AND(#REF!,"AAAAAGp/++Q=")</f>
        <v>#REF!</v>
      </c>
      <c r="HV578" t="e">
        <f>AND(#REF!,"AAAAAGp/++U=")</f>
        <v>#REF!</v>
      </c>
      <c r="HW578" t="e">
        <f>IF(#REF!,"AAAAAGp/++Y=",0)</f>
        <v>#REF!</v>
      </c>
      <c r="HX578" t="e">
        <f>AND(#REF!,"AAAAAGp/++c=")</f>
        <v>#REF!</v>
      </c>
      <c r="HY578" t="e">
        <f>AND(#REF!,"AAAAAGp/++g=")</f>
        <v>#REF!</v>
      </c>
      <c r="HZ578" t="e">
        <f>AND(#REF!,"AAAAAGp/++k=")</f>
        <v>#REF!</v>
      </c>
      <c r="IA578" t="e">
        <f>AND(#REF!,"AAAAAGp/++o=")</f>
        <v>#REF!</v>
      </c>
      <c r="IB578" t="e">
        <f>AND(#REF!,"AAAAAGp/++s=")</f>
        <v>#REF!</v>
      </c>
      <c r="IC578" t="e">
        <f>AND(#REF!,"AAAAAGp/++w=")</f>
        <v>#REF!</v>
      </c>
      <c r="ID578" t="e">
        <f>AND(#REF!,"AAAAAGp/++0=")</f>
        <v>#REF!</v>
      </c>
      <c r="IE578" t="e">
        <f>AND(#REF!,"AAAAAGp/++4=")</f>
        <v>#REF!</v>
      </c>
      <c r="IF578" t="e">
        <f>AND(#REF!,"AAAAAGp/++8=")</f>
        <v>#REF!</v>
      </c>
      <c r="IG578" t="e">
        <f>AND(#REF!,"AAAAAGp/+/A=")</f>
        <v>#REF!</v>
      </c>
      <c r="IH578" t="e">
        <f>IF(#REF!,"AAAAAGp/+/E=",0)</f>
        <v>#REF!</v>
      </c>
      <c r="II578" t="e">
        <f>AND(#REF!,"AAAAAGp/+/I=")</f>
        <v>#REF!</v>
      </c>
      <c r="IJ578" t="e">
        <f>AND(#REF!,"AAAAAGp/+/M=")</f>
        <v>#REF!</v>
      </c>
      <c r="IK578" t="e">
        <f>AND(#REF!,"AAAAAGp/+/Q=")</f>
        <v>#REF!</v>
      </c>
      <c r="IL578" t="e">
        <f>AND(#REF!,"AAAAAGp/+/U=")</f>
        <v>#REF!</v>
      </c>
      <c r="IM578" t="e">
        <f>AND(#REF!,"AAAAAGp/+/Y=")</f>
        <v>#REF!</v>
      </c>
      <c r="IN578" t="e">
        <f>AND(#REF!,"AAAAAGp/+/c=")</f>
        <v>#REF!</v>
      </c>
      <c r="IO578" t="e">
        <f>AND(#REF!,"AAAAAGp/+/g=")</f>
        <v>#REF!</v>
      </c>
      <c r="IP578" t="e">
        <f>AND(#REF!,"AAAAAGp/+/k=")</f>
        <v>#REF!</v>
      </c>
      <c r="IQ578" t="e">
        <f>AND(#REF!,"AAAAAGp/+/o=")</f>
        <v>#REF!</v>
      </c>
      <c r="IR578" t="e">
        <f>AND(#REF!,"AAAAAGp/+/s=")</f>
        <v>#REF!</v>
      </c>
      <c r="IS578" t="e">
        <f>IF(#REF!,"AAAAAGp/+/w=",0)</f>
        <v>#REF!</v>
      </c>
      <c r="IT578" t="e">
        <f>AND(#REF!,"AAAAAGp/+/0=")</f>
        <v>#REF!</v>
      </c>
      <c r="IU578" t="e">
        <f>AND(#REF!,"AAAAAGp/+/4=")</f>
        <v>#REF!</v>
      </c>
      <c r="IV578" t="e">
        <f>AND(#REF!,"AAAAAGp/+/8=")</f>
        <v>#REF!</v>
      </c>
    </row>
    <row r="579" spans="1:256" x14ac:dyDescent="0.25">
      <c r="A579" t="e">
        <f>AND(#REF!,"AAAAAAy67gA=")</f>
        <v>#REF!</v>
      </c>
      <c r="B579" t="e">
        <f>AND(#REF!,"AAAAAAy67gE=")</f>
        <v>#REF!</v>
      </c>
      <c r="C579" t="e">
        <f>AND(#REF!,"AAAAAAy67gI=")</f>
        <v>#REF!</v>
      </c>
      <c r="D579" t="e">
        <f>AND(#REF!,"AAAAAAy67gM=")</f>
        <v>#REF!</v>
      </c>
      <c r="E579" t="e">
        <f>AND(#REF!,"AAAAAAy67gQ=")</f>
        <v>#REF!</v>
      </c>
      <c r="F579" t="e">
        <f>AND(#REF!,"AAAAAAy67gU=")</f>
        <v>#REF!</v>
      </c>
      <c r="G579" t="e">
        <f>AND(#REF!,"AAAAAAy67gY=")</f>
        <v>#REF!</v>
      </c>
      <c r="H579" t="e">
        <f>IF(#REF!,"AAAAAAy67gc=",0)</f>
        <v>#REF!</v>
      </c>
      <c r="I579" t="e">
        <f>AND(#REF!,"AAAAAAy67gg=")</f>
        <v>#REF!</v>
      </c>
      <c r="J579" t="e">
        <f>AND(#REF!,"AAAAAAy67gk=")</f>
        <v>#REF!</v>
      </c>
      <c r="K579" t="e">
        <f>AND(#REF!,"AAAAAAy67go=")</f>
        <v>#REF!</v>
      </c>
      <c r="L579" t="e">
        <f>AND(#REF!,"AAAAAAy67gs=")</f>
        <v>#REF!</v>
      </c>
      <c r="M579" t="e">
        <f>AND(#REF!,"AAAAAAy67gw=")</f>
        <v>#REF!</v>
      </c>
      <c r="N579" t="e">
        <f>AND(#REF!,"AAAAAAy67g0=")</f>
        <v>#REF!</v>
      </c>
      <c r="O579" t="e">
        <f>AND(#REF!,"AAAAAAy67g4=")</f>
        <v>#REF!</v>
      </c>
      <c r="P579" t="e">
        <f>AND(#REF!,"AAAAAAy67g8=")</f>
        <v>#REF!</v>
      </c>
      <c r="Q579" t="e">
        <f>AND(#REF!,"AAAAAAy67hA=")</f>
        <v>#REF!</v>
      </c>
      <c r="R579" t="e">
        <f>AND(#REF!,"AAAAAAy67hE=")</f>
        <v>#REF!</v>
      </c>
      <c r="S579" t="e">
        <f>IF(#REF!,"AAAAAAy67hI=",0)</f>
        <v>#REF!</v>
      </c>
      <c r="T579" t="e">
        <f>AND(#REF!,"AAAAAAy67hM=")</f>
        <v>#REF!</v>
      </c>
      <c r="U579" t="e">
        <f>AND(#REF!,"AAAAAAy67hQ=")</f>
        <v>#REF!</v>
      </c>
      <c r="V579" t="e">
        <f>AND(#REF!,"AAAAAAy67hU=")</f>
        <v>#REF!</v>
      </c>
      <c r="W579" t="e">
        <f>AND(#REF!,"AAAAAAy67hY=")</f>
        <v>#REF!</v>
      </c>
      <c r="X579" t="e">
        <f>AND(#REF!,"AAAAAAy67hc=")</f>
        <v>#REF!</v>
      </c>
      <c r="Y579" t="e">
        <f>AND(#REF!,"AAAAAAy67hg=")</f>
        <v>#REF!</v>
      </c>
      <c r="Z579" t="e">
        <f>AND(#REF!,"AAAAAAy67hk=")</f>
        <v>#REF!</v>
      </c>
      <c r="AA579" t="e">
        <f>AND(#REF!,"AAAAAAy67ho=")</f>
        <v>#REF!</v>
      </c>
      <c r="AB579" t="e">
        <f>AND(#REF!,"AAAAAAy67hs=")</f>
        <v>#REF!</v>
      </c>
      <c r="AC579" t="e">
        <f>AND(#REF!,"AAAAAAy67hw=")</f>
        <v>#REF!</v>
      </c>
      <c r="AD579" t="e">
        <f>IF(#REF!,"AAAAAAy67h0=",0)</f>
        <v>#REF!</v>
      </c>
      <c r="AE579" t="e">
        <f>AND(#REF!,"AAAAAAy67h4=")</f>
        <v>#REF!</v>
      </c>
      <c r="AF579" t="e">
        <f>AND(#REF!,"AAAAAAy67h8=")</f>
        <v>#REF!</v>
      </c>
      <c r="AG579" t="e">
        <f>AND(#REF!,"AAAAAAy67iA=")</f>
        <v>#REF!</v>
      </c>
      <c r="AH579" t="e">
        <f>AND(#REF!,"AAAAAAy67iE=")</f>
        <v>#REF!</v>
      </c>
      <c r="AI579" t="e">
        <f>AND(#REF!,"AAAAAAy67iI=")</f>
        <v>#REF!</v>
      </c>
      <c r="AJ579" t="e">
        <f>AND(#REF!,"AAAAAAy67iM=")</f>
        <v>#REF!</v>
      </c>
      <c r="AK579" t="e">
        <f>AND(#REF!,"AAAAAAy67iQ=")</f>
        <v>#REF!</v>
      </c>
      <c r="AL579" t="e">
        <f>AND(#REF!,"AAAAAAy67iU=")</f>
        <v>#REF!</v>
      </c>
      <c r="AM579" t="e">
        <f>AND(#REF!,"AAAAAAy67iY=")</f>
        <v>#REF!</v>
      </c>
      <c r="AN579" t="e">
        <f>AND(#REF!,"AAAAAAy67ic=")</f>
        <v>#REF!</v>
      </c>
      <c r="AO579" t="e">
        <f>IF(#REF!,"AAAAAAy67ig=",0)</f>
        <v>#REF!</v>
      </c>
      <c r="AP579" t="e">
        <f>AND(#REF!,"AAAAAAy67ik=")</f>
        <v>#REF!</v>
      </c>
      <c r="AQ579" t="e">
        <f>AND(#REF!,"AAAAAAy67io=")</f>
        <v>#REF!</v>
      </c>
      <c r="AR579" t="e">
        <f>AND(#REF!,"AAAAAAy67is=")</f>
        <v>#REF!</v>
      </c>
      <c r="AS579" t="e">
        <f>AND(#REF!,"AAAAAAy67iw=")</f>
        <v>#REF!</v>
      </c>
      <c r="AT579" t="e">
        <f>AND(#REF!,"AAAAAAy67i0=")</f>
        <v>#REF!</v>
      </c>
      <c r="AU579" t="e">
        <f>AND(#REF!,"AAAAAAy67i4=")</f>
        <v>#REF!</v>
      </c>
      <c r="AV579" t="e">
        <f>AND(#REF!,"AAAAAAy67i8=")</f>
        <v>#REF!</v>
      </c>
      <c r="AW579" t="e">
        <f>AND(#REF!,"AAAAAAy67jA=")</f>
        <v>#REF!</v>
      </c>
      <c r="AX579" t="e">
        <f>AND(#REF!,"AAAAAAy67jE=")</f>
        <v>#REF!</v>
      </c>
      <c r="AY579" t="e">
        <f>AND(#REF!,"AAAAAAy67jI=")</f>
        <v>#REF!</v>
      </c>
      <c r="AZ579" t="e">
        <f>IF(#REF!,"AAAAAAy67jM=",0)</f>
        <v>#REF!</v>
      </c>
      <c r="BA579" t="e">
        <f>AND(#REF!,"AAAAAAy67jQ=")</f>
        <v>#REF!</v>
      </c>
      <c r="BB579" t="e">
        <f>AND(#REF!,"AAAAAAy67jU=")</f>
        <v>#REF!</v>
      </c>
      <c r="BC579" t="e">
        <f>AND(#REF!,"AAAAAAy67jY=")</f>
        <v>#REF!</v>
      </c>
      <c r="BD579" t="e">
        <f>AND(#REF!,"AAAAAAy67jc=")</f>
        <v>#REF!</v>
      </c>
      <c r="BE579" t="e">
        <f>AND(#REF!,"AAAAAAy67jg=")</f>
        <v>#REF!</v>
      </c>
      <c r="BF579" t="e">
        <f>AND(#REF!,"AAAAAAy67jk=")</f>
        <v>#REF!</v>
      </c>
      <c r="BG579" t="e">
        <f>AND(#REF!,"AAAAAAy67jo=")</f>
        <v>#REF!</v>
      </c>
      <c r="BH579" t="e">
        <f>AND(#REF!,"AAAAAAy67js=")</f>
        <v>#REF!</v>
      </c>
      <c r="BI579" t="e">
        <f>AND(#REF!,"AAAAAAy67jw=")</f>
        <v>#REF!</v>
      </c>
      <c r="BJ579" t="e">
        <f>AND(#REF!,"AAAAAAy67j0=")</f>
        <v>#REF!</v>
      </c>
      <c r="BK579" t="e">
        <f>IF(#REF!,"AAAAAAy67j4=",0)</f>
        <v>#REF!</v>
      </c>
      <c r="BL579" t="e">
        <f>AND(#REF!,"AAAAAAy67j8=")</f>
        <v>#REF!</v>
      </c>
      <c r="BM579" t="e">
        <f>AND(#REF!,"AAAAAAy67kA=")</f>
        <v>#REF!</v>
      </c>
      <c r="BN579" t="e">
        <f>AND(#REF!,"AAAAAAy67kE=")</f>
        <v>#REF!</v>
      </c>
      <c r="BO579" t="e">
        <f>AND(#REF!,"AAAAAAy67kI=")</f>
        <v>#REF!</v>
      </c>
      <c r="BP579" t="e">
        <f>AND(#REF!,"AAAAAAy67kM=")</f>
        <v>#REF!</v>
      </c>
      <c r="BQ579" t="e">
        <f>AND(#REF!,"AAAAAAy67kQ=")</f>
        <v>#REF!</v>
      </c>
      <c r="BR579" t="e">
        <f>AND(#REF!,"AAAAAAy67kU=")</f>
        <v>#REF!</v>
      </c>
      <c r="BS579" t="e">
        <f>AND(#REF!,"AAAAAAy67kY=")</f>
        <v>#REF!</v>
      </c>
      <c r="BT579" t="e">
        <f>AND(#REF!,"AAAAAAy67kc=")</f>
        <v>#REF!</v>
      </c>
      <c r="BU579" t="e">
        <f>AND(#REF!,"AAAAAAy67kg=")</f>
        <v>#REF!</v>
      </c>
      <c r="BV579" t="e">
        <f>IF(#REF!,"AAAAAAy67kk=",0)</f>
        <v>#REF!</v>
      </c>
      <c r="BW579" t="e">
        <f>AND(#REF!,"AAAAAAy67ko=")</f>
        <v>#REF!</v>
      </c>
      <c r="BX579" t="e">
        <f>AND(#REF!,"AAAAAAy67ks=")</f>
        <v>#REF!</v>
      </c>
      <c r="BY579" t="e">
        <f>AND(#REF!,"AAAAAAy67kw=")</f>
        <v>#REF!</v>
      </c>
      <c r="BZ579" t="e">
        <f>AND(#REF!,"AAAAAAy67k0=")</f>
        <v>#REF!</v>
      </c>
      <c r="CA579" t="e">
        <f>AND(#REF!,"AAAAAAy67k4=")</f>
        <v>#REF!</v>
      </c>
      <c r="CB579" t="e">
        <f>AND(#REF!,"AAAAAAy67k8=")</f>
        <v>#REF!</v>
      </c>
      <c r="CC579" t="e">
        <f>AND(#REF!,"AAAAAAy67lA=")</f>
        <v>#REF!</v>
      </c>
      <c r="CD579" t="e">
        <f>AND(#REF!,"AAAAAAy67lE=")</f>
        <v>#REF!</v>
      </c>
      <c r="CE579" t="e">
        <f>AND(#REF!,"AAAAAAy67lI=")</f>
        <v>#REF!</v>
      </c>
      <c r="CF579" t="e">
        <f>AND(#REF!,"AAAAAAy67lM=")</f>
        <v>#REF!</v>
      </c>
      <c r="CG579" t="e">
        <f>IF(#REF!,"AAAAAAy67lQ=",0)</f>
        <v>#REF!</v>
      </c>
      <c r="CH579" t="e">
        <f>AND(#REF!,"AAAAAAy67lU=")</f>
        <v>#REF!</v>
      </c>
      <c r="CI579" t="e">
        <f>AND(#REF!,"AAAAAAy67lY=")</f>
        <v>#REF!</v>
      </c>
      <c r="CJ579" t="e">
        <f>AND(#REF!,"AAAAAAy67lc=")</f>
        <v>#REF!</v>
      </c>
      <c r="CK579" t="e">
        <f>AND(#REF!,"AAAAAAy67lg=")</f>
        <v>#REF!</v>
      </c>
      <c r="CL579" t="e">
        <f>AND(#REF!,"AAAAAAy67lk=")</f>
        <v>#REF!</v>
      </c>
      <c r="CM579" t="e">
        <f>AND(#REF!,"AAAAAAy67lo=")</f>
        <v>#REF!</v>
      </c>
      <c r="CN579" t="e">
        <f>AND(#REF!,"AAAAAAy67ls=")</f>
        <v>#REF!</v>
      </c>
      <c r="CO579" t="e">
        <f>AND(#REF!,"AAAAAAy67lw=")</f>
        <v>#REF!</v>
      </c>
      <c r="CP579" t="e">
        <f>AND(#REF!,"AAAAAAy67l0=")</f>
        <v>#REF!</v>
      </c>
      <c r="CQ579" t="e">
        <f>AND(#REF!,"AAAAAAy67l4=")</f>
        <v>#REF!</v>
      </c>
      <c r="CR579" t="e">
        <f>IF(#REF!,"AAAAAAy67l8=",0)</f>
        <v>#REF!</v>
      </c>
      <c r="CS579" t="e">
        <f>AND(#REF!,"AAAAAAy67mA=")</f>
        <v>#REF!</v>
      </c>
      <c r="CT579" t="e">
        <f>AND(#REF!,"AAAAAAy67mE=")</f>
        <v>#REF!</v>
      </c>
      <c r="CU579" t="e">
        <f>AND(#REF!,"AAAAAAy67mI=")</f>
        <v>#REF!</v>
      </c>
      <c r="CV579" t="e">
        <f>AND(#REF!,"AAAAAAy67mM=")</f>
        <v>#REF!</v>
      </c>
      <c r="CW579" t="e">
        <f>AND(#REF!,"AAAAAAy67mQ=")</f>
        <v>#REF!</v>
      </c>
      <c r="CX579" t="e">
        <f>AND(#REF!,"AAAAAAy67mU=")</f>
        <v>#REF!</v>
      </c>
      <c r="CY579" t="e">
        <f>AND(#REF!,"AAAAAAy67mY=")</f>
        <v>#REF!</v>
      </c>
      <c r="CZ579" t="e">
        <f>AND(#REF!,"AAAAAAy67mc=")</f>
        <v>#REF!</v>
      </c>
      <c r="DA579" t="e">
        <f>AND(#REF!,"AAAAAAy67mg=")</f>
        <v>#REF!</v>
      </c>
      <c r="DB579" t="e">
        <f>AND(#REF!,"AAAAAAy67mk=")</f>
        <v>#REF!</v>
      </c>
      <c r="DC579" t="e">
        <f>IF(#REF!,"AAAAAAy67mo=",0)</f>
        <v>#REF!</v>
      </c>
      <c r="DD579" t="e">
        <f>AND(#REF!,"AAAAAAy67ms=")</f>
        <v>#REF!</v>
      </c>
      <c r="DE579" t="e">
        <f>AND(#REF!,"AAAAAAy67mw=")</f>
        <v>#REF!</v>
      </c>
      <c r="DF579" t="e">
        <f>AND(#REF!,"AAAAAAy67m0=")</f>
        <v>#REF!</v>
      </c>
      <c r="DG579" t="e">
        <f>AND(#REF!,"AAAAAAy67m4=")</f>
        <v>#REF!</v>
      </c>
      <c r="DH579" t="e">
        <f>AND(#REF!,"AAAAAAy67m8=")</f>
        <v>#REF!</v>
      </c>
      <c r="DI579" t="e">
        <f>AND(#REF!,"AAAAAAy67nA=")</f>
        <v>#REF!</v>
      </c>
      <c r="DJ579" t="e">
        <f>AND(#REF!,"AAAAAAy67nE=")</f>
        <v>#REF!</v>
      </c>
      <c r="DK579" t="e">
        <f>AND(#REF!,"AAAAAAy67nI=")</f>
        <v>#REF!</v>
      </c>
      <c r="DL579" t="e">
        <f>AND(#REF!,"AAAAAAy67nM=")</f>
        <v>#REF!</v>
      </c>
      <c r="DM579" t="e">
        <f>AND(#REF!,"AAAAAAy67nQ=")</f>
        <v>#REF!</v>
      </c>
      <c r="DN579" t="e">
        <f>IF(#REF!,"AAAAAAy67nU=",0)</f>
        <v>#REF!</v>
      </c>
      <c r="DO579" t="e">
        <f>AND(#REF!,"AAAAAAy67nY=")</f>
        <v>#REF!</v>
      </c>
      <c r="DP579" t="e">
        <f>AND(#REF!,"AAAAAAy67nc=")</f>
        <v>#REF!</v>
      </c>
      <c r="DQ579" t="e">
        <f>AND(#REF!,"AAAAAAy67ng=")</f>
        <v>#REF!</v>
      </c>
      <c r="DR579" t="e">
        <f>AND(#REF!,"AAAAAAy67nk=")</f>
        <v>#REF!</v>
      </c>
      <c r="DS579" t="e">
        <f>AND(#REF!,"AAAAAAy67no=")</f>
        <v>#REF!</v>
      </c>
      <c r="DT579" t="e">
        <f>AND(#REF!,"AAAAAAy67ns=")</f>
        <v>#REF!</v>
      </c>
      <c r="DU579" t="e">
        <f>AND(#REF!,"AAAAAAy67nw=")</f>
        <v>#REF!</v>
      </c>
      <c r="DV579" t="e">
        <f>AND(#REF!,"AAAAAAy67n0=")</f>
        <v>#REF!</v>
      </c>
      <c r="DW579" t="e">
        <f>AND(#REF!,"AAAAAAy67n4=")</f>
        <v>#REF!</v>
      </c>
      <c r="DX579" t="e">
        <f>AND(#REF!,"AAAAAAy67n8=")</f>
        <v>#REF!</v>
      </c>
      <c r="DY579" t="e">
        <f>IF(#REF!,"AAAAAAy67oA=",0)</f>
        <v>#REF!</v>
      </c>
      <c r="DZ579" t="e">
        <f>AND(#REF!,"AAAAAAy67oE=")</f>
        <v>#REF!</v>
      </c>
      <c r="EA579" t="e">
        <f>AND(#REF!,"AAAAAAy67oI=")</f>
        <v>#REF!</v>
      </c>
      <c r="EB579" t="e">
        <f>AND(#REF!,"AAAAAAy67oM=")</f>
        <v>#REF!</v>
      </c>
      <c r="EC579" t="e">
        <f>AND(#REF!,"AAAAAAy67oQ=")</f>
        <v>#REF!</v>
      </c>
      <c r="ED579" t="e">
        <f>AND(#REF!,"AAAAAAy67oU=")</f>
        <v>#REF!</v>
      </c>
      <c r="EE579" t="e">
        <f>AND(#REF!,"AAAAAAy67oY=")</f>
        <v>#REF!</v>
      </c>
      <c r="EF579" t="e">
        <f>AND(#REF!,"AAAAAAy67oc=")</f>
        <v>#REF!</v>
      </c>
      <c r="EG579" t="e">
        <f>AND(#REF!,"AAAAAAy67og=")</f>
        <v>#REF!</v>
      </c>
      <c r="EH579" t="e">
        <f>AND(#REF!,"AAAAAAy67ok=")</f>
        <v>#REF!</v>
      </c>
      <c r="EI579" t="e">
        <f>AND(#REF!,"AAAAAAy67oo=")</f>
        <v>#REF!</v>
      </c>
      <c r="EJ579" t="e">
        <f>IF(#REF!,"AAAAAAy67os=",0)</f>
        <v>#REF!</v>
      </c>
      <c r="EK579" t="e">
        <f>AND(#REF!,"AAAAAAy67ow=")</f>
        <v>#REF!</v>
      </c>
      <c r="EL579" t="e">
        <f>AND(#REF!,"AAAAAAy67o0=")</f>
        <v>#REF!</v>
      </c>
      <c r="EM579" t="e">
        <f>AND(#REF!,"AAAAAAy67o4=")</f>
        <v>#REF!</v>
      </c>
      <c r="EN579" t="e">
        <f>AND(#REF!,"AAAAAAy67o8=")</f>
        <v>#REF!</v>
      </c>
      <c r="EO579" t="e">
        <f>AND(#REF!,"AAAAAAy67pA=")</f>
        <v>#REF!</v>
      </c>
      <c r="EP579" t="e">
        <f>AND(#REF!,"AAAAAAy67pE=")</f>
        <v>#REF!</v>
      </c>
      <c r="EQ579" t="e">
        <f>AND(#REF!,"AAAAAAy67pI=")</f>
        <v>#REF!</v>
      </c>
      <c r="ER579" t="e">
        <f>AND(#REF!,"AAAAAAy67pM=")</f>
        <v>#REF!</v>
      </c>
      <c r="ES579" t="e">
        <f>AND(#REF!,"AAAAAAy67pQ=")</f>
        <v>#REF!</v>
      </c>
      <c r="ET579" t="e">
        <f>AND(#REF!,"AAAAAAy67pU=")</f>
        <v>#REF!</v>
      </c>
      <c r="EU579" t="e">
        <f>IF(#REF!,"AAAAAAy67pY=",0)</f>
        <v>#REF!</v>
      </c>
      <c r="EV579" t="e">
        <f>AND(#REF!,"AAAAAAy67pc=")</f>
        <v>#REF!</v>
      </c>
      <c r="EW579" t="e">
        <f>AND(#REF!,"AAAAAAy67pg=")</f>
        <v>#REF!</v>
      </c>
      <c r="EX579" t="e">
        <f>AND(#REF!,"AAAAAAy67pk=")</f>
        <v>#REF!</v>
      </c>
      <c r="EY579" t="e">
        <f>AND(#REF!,"AAAAAAy67po=")</f>
        <v>#REF!</v>
      </c>
      <c r="EZ579" t="e">
        <f>AND(#REF!,"AAAAAAy67ps=")</f>
        <v>#REF!</v>
      </c>
      <c r="FA579" t="e">
        <f>AND(#REF!,"AAAAAAy67pw=")</f>
        <v>#REF!</v>
      </c>
      <c r="FB579" t="e">
        <f>AND(#REF!,"AAAAAAy67p0=")</f>
        <v>#REF!</v>
      </c>
      <c r="FC579" t="e">
        <f>AND(#REF!,"AAAAAAy67p4=")</f>
        <v>#REF!</v>
      </c>
      <c r="FD579" t="e">
        <f>AND(#REF!,"AAAAAAy67p8=")</f>
        <v>#REF!</v>
      </c>
      <c r="FE579" t="e">
        <f>AND(#REF!,"AAAAAAy67qA=")</f>
        <v>#REF!</v>
      </c>
      <c r="FF579" t="e">
        <f>IF(#REF!,"AAAAAAy67qE=",0)</f>
        <v>#REF!</v>
      </c>
      <c r="FG579" t="e">
        <f>AND(#REF!,"AAAAAAy67qI=")</f>
        <v>#REF!</v>
      </c>
      <c r="FH579" t="e">
        <f>AND(#REF!,"AAAAAAy67qM=")</f>
        <v>#REF!</v>
      </c>
      <c r="FI579" t="e">
        <f>AND(#REF!,"AAAAAAy67qQ=")</f>
        <v>#REF!</v>
      </c>
      <c r="FJ579" t="e">
        <f>AND(#REF!,"AAAAAAy67qU=")</f>
        <v>#REF!</v>
      </c>
      <c r="FK579" t="e">
        <f>AND(#REF!,"AAAAAAy67qY=")</f>
        <v>#REF!</v>
      </c>
      <c r="FL579" t="e">
        <f>AND(#REF!,"AAAAAAy67qc=")</f>
        <v>#REF!</v>
      </c>
      <c r="FM579" t="e">
        <f>AND(#REF!,"AAAAAAy67qg=")</f>
        <v>#REF!</v>
      </c>
      <c r="FN579" t="e">
        <f>AND(#REF!,"AAAAAAy67qk=")</f>
        <v>#REF!</v>
      </c>
      <c r="FO579" t="e">
        <f>AND(#REF!,"AAAAAAy67qo=")</f>
        <v>#REF!</v>
      </c>
      <c r="FP579" t="e">
        <f>AND(#REF!,"AAAAAAy67qs=")</f>
        <v>#REF!</v>
      </c>
      <c r="FQ579" t="e">
        <f>IF(#REF!,"AAAAAAy67qw=",0)</f>
        <v>#REF!</v>
      </c>
      <c r="FR579" t="e">
        <f>AND(#REF!,"AAAAAAy67q0=")</f>
        <v>#REF!</v>
      </c>
      <c r="FS579" t="e">
        <f>AND(#REF!,"AAAAAAy67q4=")</f>
        <v>#REF!</v>
      </c>
      <c r="FT579" t="e">
        <f>AND(#REF!,"AAAAAAy67q8=")</f>
        <v>#REF!</v>
      </c>
      <c r="FU579" t="e">
        <f>AND(#REF!,"AAAAAAy67rA=")</f>
        <v>#REF!</v>
      </c>
      <c r="FV579" t="e">
        <f>AND(#REF!,"AAAAAAy67rE=")</f>
        <v>#REF!</v>
      </c>
      <c r="FW579" t="e">
        <f>AND(#REF!,"AAAAAAy67rI=")</f>
        <v>#REF!</v>
      </c>
      <c r="FX579" t="e">
        <f>AND(#REF!,"AAAAAAy67rM=")</f>
        <v>#REF!</v>
      </c>
      <c r="FY579" t="e">
        <f>AND(#REF!,"AAAAAAy67rQ=")</f>
        <v>#REF!</v>
      </c>
      <c r="FZ579" t="e">
        <f>AND(#REF!,"AAAAAAy67rU=")</f>
        <v>#REF!</v>
      </c>
      <c r="GA579" t="e">
        <f>AND(#REF!,"AAAAAAy67rY=")</f>
        <v>#REF!</v>
      </c>
      <c r="GB579" t="e">
        <f>IF(#REF!,"AAAAAAy67rc=",0)</f>
        <v>#REF!</v>
      </c>
      <c r="GC579" t="e">
        <f>AND(#REF!,"AAAAAAy67rg=")</f>
        <v>#REF!</v>
      </c>
      <c r="GD579" t="e">
        <f>AND(#REF!,"AAAAAAy67rk=")</f>
        <v>#REF!</v>
      </c>
      <c r="GE579" t="e">
        <f>AND(#REF!,"AAAAAAy67ro=")</f>
        <v>#REF!</v>
      </c>
      <c r="GF579" t="e">
        <f>AND(#REF!,"AAAAAAy67rs=")</f>
        <v>#REF!</v>
      </c>
      <c r="GG579" t="e">
        <f>AND(#REF!,"AAAAAAy67rw=")</f>
        <v>#REF!</v>
      </c>
      <c r="GH579" t="e">
        <f>AND(#REF!,"AAAAAAy67r0=")</f>
        <v>#REF!</v>
      </c>
      <c r="GI579" t="e">
        <f>AND(#REF!,"AAAAAAy67r4=")</f>
        <v>#REF!</v>
      </c>
      <c r="GJ579" t="e">
        <f>AND(#REF!,"AAAAAAy67r8=")</f>
        <v>#REF!</v>
      </c>
      <c r="GK579" t="e">
        <f>AND(#REF!,"AAAAAAy67sA=")</f>
        <v>#REF!</v>
      </c>
      <c r="GL579" t="e">
        <f>AND(#REF!,"AAAAAAy67sE=")</f>
        <v>#REF!</v>
      </c>
      <c r="GM579" t="e">
        <f>IF(#REF!,"AAAAAAy67sI=",0)</f>
        <v>#REF!</v>
      </c>
      <c r="GN579" t="e">
        <f>AND(#REF!,"AAAAAAy67sM=")</f>
        <v>#REF!</v>
      </c>
      <c r="GO579" t="e">
        <f>AND(#REF!,"AAAAAAy67sQ=")</f>
        <v>#REF!</v>
      </c>
      <c r="GP579" t="e">
        <f>AND(#REF!,"AAAAAAy67sU=")</f>
        <v>#REF!</v>
      </c>
      <c r="GQ579" t="e">
        <f>AND(#REF!,"AAAAAAy67sY=")</f>
        <v>#REF!</v>
      </c>
      <c r="GR579" t="e">
        <f>AND(#REF!,"AAAAAAy67sc=")</f>
        <v>#REF!</v>
      </c>
      <c r="GS579" t="e">
        <f>AND(#REF!,"AAAAAAy67sg=")</f>
        <v>#REF!</v>
      </c>
      <c r="GT579" t="e">
        <f>AND(#REF!,"AAAAAAy67sk=")</f>
        <v>#REF!</v>
      </c>
      <c r="GU579" t="e">
        <f>AND(#REF!,"AAAAAAy67so=")</f>
        <v>#REF!</v>
      </c>
      <c r="GV579" t="e">
        <f>AND(#REF!,"AAAAAAy67ss=")</f>
        <v>#REF!</v>
      </c>
      <c r="GW579" t="e">
        <f>AND(#REF!,"AAAAAAy67sw=")</f>
        <v>#REF!</v>
      </c>
      <c r="GX579" t="e">
        <f>IF(#REF!,"AAAAAAy67s0=",0)</f>
        <v>#REF!</v>
      </c>
      <c r="GY579" t="e">
        <f>AND(#REF!,"AAAAAAy67s4=")</f>
        <v>#REF!</v>
      </c>
      <c r="GZ579" t="e">
        <f>AND(#REF!,"AAAAAAy67s8=")</f>
        <v>#REF!</v>
      </c>
      <c r="HA579" t="e">
        <f>AND(#REF!,"AAAAAAy67tA=")</f>
        <v>#REF!</v>
      </c>
      <c r="HB579" t="e">
        <f>AND(#REF!,"AAAAAAy67tE=")</f>
        <v>#REF!</v>
      </c>
      <c r="HC579" t="e">
        <f>AND(#REF!,"AAAAAAy67tI=")</f>
        <v>#REF!</v>
      </c>
      <c r="HD579" t="e">
        <f>AND(#REF!,"AAAAAAy67tM=")</f>
        <v>#REF!</v>
      </c>
      <c r="HE579" t="e">
        <f>AND(#REF!,"AAAAAAy67tQ=")</f>
        <v>#REF!</v>
      </c>
      <c r="HF579" t="e">
        <f>AND(#REF!,"AAAAAAy67tU=")</f>
        <v>#REF!</v>
      </c>
      <c r="HG579" t="e">
        <f>AND(#REF!,"AAAAAAy67tY=")</f>
        <v>#REF!</v>
      </c>
      <c r="HH579" t="e">
        <f>AND(#REF!,"AAAAAAy67tc=")</f>
        <v>#REF!</v>
      </c>
      <c r="HI579" t="e">
        <f>IF(#REF!,"AAAAAAy67tg=",0)</f>
        <v>#REF!</v>
      </c>
      <c r="HJ579" t="e">
        <f>AND(#REF!,"AAAAAAy67tk=")</f>
        <v>#REF!</v>
      </c>
      <c r="HK579" t="e">
        <f>AND(#REF!,"AAAAAAy67to=")</f>
        <v>#REF!</v>
      </c>
      <c r="HL579" t="e">
        <f>AND(#REF!,"AAAAAAy67ts=")</f>
        <v>#REF!</v>
      </c>
      <c r="HM579" t="e">
        <f>AND(#REF!,"AAAAAAy67tw=")</f>
        <v>#REF!</v>
      </c>
      <c r="HN579" t="e">
        <f>AND(#REF!,"AAAAAAy67t0=")</f>
        <v>#REF!</v>
      </c>
      <c r="HO579" t="e">
        <f>AND(#REF!,"AAAAAAy67t4=")</f>
        <v>#REF!</v>
      </c>
      <c r="HP579" t="e">
        <f>AND(#REF!,"AAAAAAy67t8=")</f>
        <v>#REF!</v>
      </c>
      <c r="HQ579" t="e">
        <f>AND(#REF!,"AAAAAAy67uA=")</f>
        <v>#REF!</v>
      </c>
      <c r="HR579" t="e">
        <f>AND(#REF!,"AAAAAAy67uE=")</f>
        <v>#REF!</v>
      </c>
      <c r="HS579" t="e">
        <f>AND(#REF!,"AAAAAAy67uI=")</f>
        <v>#REF!</v>
      </c>
      <c r="HT579" t="e">
        <f>IF(#REF!,"AAAAAAy67uM=",0)</f>
        <v>#REF!</v>
      </c>
      <c r="HU579" t="e">
        <f>AND(#REF!,"AAAAAAy67uQ=")</f>
        <v>#REF!</v>
      </c>
      <c r="HV579" t="e">
        <f>AND(#REF!,"AAAAAAy67uU=")</f>
        <v>#REF!</v>
      </c>
      <c r="HW579" t="e">
        <f>AND(#REF!,"AAAAAAy67uY=")</f>
        <v>#REF!</v>
      </c>
      <c r="HX579" t="e">
        <f>AND(#REF!,"AAAAAAy67uc=")</f>
        <v>#REF!</v>
      </c>
      <c r="HY579" t="e">
        <f>AND(#REF!,"AAAAAAy67ug=")</f>
        <v>#REF!</v>
      </c>
      <c r="HZ579" t="e">
        <f>AND(#REF!,"AAAAAAy67uk=")</f>
        <v>#REF!</v>
      </c>
      <c r="IA579" t="e">
        <f>AND(#REF!,"AAAAAAy67uo=")</f>
        <v>#REF!</v>
      </c>
      <c r="IB579" t="e">
        <f>AND(#REF!,"AAAAAAy67us=")</f>
        <v>#REF!</v>
      </c>
      <c r="IC579" t="e">
        <f>AND(#REF!,"AAAAAAy67uw=")</f>
        <v>#REF!</v>
      </c>
      <c r="ID579" t="e">
        <f>AND(#REF!,"AAAAAAy67u0=")</f>
        <v>#REF!</v>
      </c>
      <c r="IE579" t="e">
        <f>IF(#REF!,"AAAAAAy67u4=",0)</f>
        <v>#REF!</v>
      </c>
      <c r="IF579" t="e">
        <f>AND(#REF!,"AAAAAAy67u8=")</f>
        <v>#REF!</v>
      </c>
      <c r="IG579" t="e">
        <f>AND(#REF!,"AAAAAAy67vA=")</f>
        <v>#REF!</v>
      </c>
      <c r="IH579" t="e">
        <f>AND(#REF!,"AAAAAAy67vE=")</f>
        <v>#REF!</v>
      </c>
      <c r="II579" t="e">
        <f>AND(#REF!,"AAAAAAy67vI=")</f>
        <v>#REF!</v>
      </c>
      <c r="IJ579" t="e">
        <f>AND(#REF!,"AAAAAAy67vM=")</f>
        <v>#REF!</v>
      </c>
      <c r="IK579" t="e">
        <f>AND(#REF!,"AAAAAAy67vQ=")</f>
        <v>#REF!</v>
      </c>
      <c r="IL579" t="e">
        <f>AND(#REF!,"AAAAAAy67vU=")</f>
        <v>#REF!</v>
      </c>
      <c r="IM579" t="e">
        <f>AND(#REF!,"AAAAAAy67vY=")</f>
        <v>#REF!</v>
      </c>
      <c r="IN579" t="e">
        <f>AND(#REF!,"AAAAAAy67vc=")</f>
        <v>#REF!</v>
      </c>
      <c r="IO579" t="e">
        <f>AND(#REF!,"AAAAAAy67vg=")</f>
        <v>#REF!</v>
      </c>
      <c r="IP579" t="e">
        <f>IF(#REF!,"AAAAAAy67vk=",0)</f>
        <v>#REF!</v>
      </c>
      <c r="IQ579" t="e">
        <f>AND(#REF!,"AAAAAAy67vo=")</f>
        <v>#REF!</v>
      </c>
      <c r="IR579" t="e">
        <f>AND(#REF!,"AAAAAAy67vs=")</f>
        <v>#REF!</v>
      </c>
      <c r="IS579" t="e">
        <f>AND(#REF!,"AAAAAAy67vw=")</f>
        <v>#REF!</v>
      </c>
      <c r="IT579" t="e">
        <f>AND(#REF!,"AAAAAAy67v0=")</f>
        <v>#REF!</v>
      </c>
      <c r="IU579" t="e">
        <f>AND(#REF!,"AAAAAAy67v4=")</f>
        <v>#REF!</v>
      </c>
      <c r="IV579" t="e">
        <f>AND(#REF!,"AAAAAAy67v8=")</f>
        <v>#REF!</v>
      </c>
    </row>
    <row r="580" spans="1:256" x14ac:dyDescent="0.25">
      <c r="A580" t="e">
        <f>AND(#REF!,"AAAAAD/32wA=")</f>
        <v>#REF!</v>
      </c>
      <c r="B580" t="e">
        <f>AND(#REF!,"AAAAAD/32wE=")</f>
        <v>#REF!</v>
      </c>
      <c r="C580" t="e">
        <f>AND(#REF!,"AAAAAD/32wI=")</f>
        <v>#REF!</v>
      </c>
      <c r="D580" t="e">
        <f>AND(#REF!,"AAAAAD/32wM=")</f>
        <v>#REF!</v>
      </c>
      <c r="E580" t="e">
        <f>IF(#REF!,"AAAAAD/32wQ=",0)</f>
        <v>#REF!</v>
      </c>
      <c r="F580" t="e">
        <f>AND(#REF!,"AAAAAD/32wU=")</f>
        <v>#REF!</v>
      </c>
      <c r="G580" t="e">
        <f>AND(#REF!,"AAAAAD/32wY=")</f>
        <v>#REF!</v>
      </c>
      <c r="H580" t="e">
        <f>AND(#REF!,"AAAAAD/32wc=")</f>
        <v>#REF!</v>
      </c>
      <c r="I580" t="e">
        <f>AND(#REF!,"AAAAAD/32wg=")</f>
        <v>#REF!</v>
      </c>
      <c r="J580" t="e">
        <f>AND(#REF!,"AAAAAD/32wk=")</f>
        <v>#REF!</v>
      </c>
      <c r="K580" t="e">
        <f>AND(#REF!,"AAAAAD/32wo=")</f>
        <v>#REF!</v>
      </c>
      <c r="L580" t="e">
        <f>AND(#REF!,"AAAAAD/32ws=")</f>
        <v>#REF!</v>
      </c>
      <c r="M580" t="e">
        <f>AND(#REF!,"AAAAAD/32ww=")</f>
        <v>#REF!</v>
      </c>
      <c r="N580" t="e">
        <f>AND(#REF!,"AAAAAD/32w0=")</f>
        <v>#REF!</v>
      </c>
      <c r="O580" t="e">
        <f>AND(#REF!,"AAAAAD/32w4=")</f>
        <v>#REF!</v>
      </c>
      <c r="P580" t="e">
        <f>IF(#REF!,"AAAAAD/32w8=",0)</f>
        <v>#REF!</v>
      </c>
      <c r="Q580" t="e">
        <f>AND(#REF!,"AAAAAD/32xA=")</f>
        <v>#REF!</v>
      </c>
      <c r="R580" t="e">
        <f>AND(#REF!,"AAAAAD/32xE=")</f>
        <v>#REF!</v>
      </c>
      <c r="S580" t="e">
        <f>AND(#REF!,"AAAAAD/32xI=")</f>
        <v>#REF!</v>
      </c>
      <c r="T580" t="e">
        <f>AND(#REF!,"AAAAAD/32xM=")</f>
        <v>#REF!</v>
      </c>
      <c r="U580" t="e">
        <f>AND(#REF!,"AAAAAD/32xQ=")</f>
        <v>#REF!</v>
      </c>
      <c r="V580" t="e">
        <f>AND(#REF!,"AAAAAD/32xU=")</f>
        <v>#REF!</v>
      </c>
      <c r="W580" t="e">
        <f>AND(#REF!,"AAAAAD/32xY=")</f>
        <v>#REF!</v>
      </c>
      <c r="X580" t="e">
        <f>AND(#REF!,"AAAAAD/32xc=")</f>
        <v>#REF!</v>
      </c>
      <c r="Y580" t="e">
        <f>AND(#REF!,"AAAAAD/32xg=")</f>
        <v>#REF!</v>
      </c>
      <c r="Z580" t="e">
        <f>AND(#REF!,"AAAAAD/32xk=")</f>
        <v>#REF!</v>
      </c>
      <c r="AA580" t="e">
        <f>IF(#REF!,"AAAAAD/32xo=",0)</f>
        <v>#REF!</v>
      </c>
      <c r="AB580" t="e">
        <f>AND(#REF!,"AAAAAD/32xs=")</f>
        <v>#REF!</v>
      </c>
      <c r="AC580" t="e">
        <f>AND(#REF!,"AAAAAD/32xw=")</f>
        <v>#REF!</v>
      </c>
      <c r="AD580" t="e">
        <f>AND(#REF!,"AAAAAD/32x0=")</f>
        <v>#REF!</v>
      </c>
      <c r="AE580" t="e">
        <f>AND(#REF!,"AAAAAD/32x4=")</f>
        <v>#REF!</v>
      </c>
      <c r="AF580" t="e">
        <f>AND(#REF!,"AAAAAD/32x8=")</f>
        <v>#REF!</v>
      </c>
      <c r="AG580" t="e">
        <f>AND(#REF!,"AAAAAD/32yA=")</f>
        <v>#REF!</v>
      </c>
      <c r="AH580" t="e">
        <f>AND(#REF!,"AAAAAD/32yE=")</f>
        <v>#REF!</v>
      </c>
      <c r="AI580" t="e">
        <f>AND(#REF!,"AAAAAD/32yI=")</f>
        <v>#REF!</v>
      </c>
      <c r="AJ580" t="e">
        <f>AND(#REF!,"AAAAAD/32yM=")</f>
        <v>#REF!</v>
      </c>
      <c r="AK580" t="e">
        <f>AND(#REF!,"AAAAAD/32yQ=")</f>
        <v>#REF!</v>
      </c>
      <c r="AL580" t="e">
        <f>IF(#REF!,"AAAAAD/32yU=",0)</f>
        <v>#REF!</v>
      </c>
      <c r="AM580" t="e">
        <f>AND(#REF!,"AAAAAD/32yY=")</f>
        <v>#REF!</v>
      </c>
      <c r="AN580" t="e">
        <f>AND(#REF!,"AAAAAD/32yc=")</f>
        <v>#REF!</v>
      </c>
      <c r="AO580" t="e">
        <f>AND(#REF!,"AAAAAD/32yg=")</f>
        <v>#REF!</v>
      </c>
      <c r="AP580" t="e">
        <f>AND(#REF!,"AAAAAD/32yk=")</f>
        <v>#REF!</v>
      </c>
      <c r="AQ580" t="e">
        <f>AND(#REF!,"AAAAAD/32yo=")</f>
        <v>#REF!</v>
      </c>
      <c r="AR580" t="e">
        <f>AND(#REF!,"AAAAAD/32ys=")</f>
        <v>#REF!</v>
      </c>
      <c r="AS580" t="e">
        <f>AND(#REF!,"AAAAAD/32yw=")</f>
        <v>#REF!</v>
      </c>
      <c r="AT580" t="e">
        <f>AND(#REF!,"AAAAAD/32y0=")</f>
        <v>#REF!</v>
      </c>
      <c r="AU580" t="e">
        <f>AND(#REF!,"AAAAAD/32y4=")</f>
        <v>#REF!</v>
      </c>
      <c r="AV580" t="e">
        <f>AND(#REF!,"AAAAAD/32y8=")</f>
        <v>#REF!</v>
      </c>
      <c r="AW580" t="e">
        <f>IF(#REF!,"AAAAAD/32zA=",0)</f>
        <v>#REF!</v>
      </c>
      <c r="AX580" t="e">
        <f>AND(#REF!,"AAAAAD/32zE=")</f>
        <v>#REF!</v>
      </c>
      <c r="AY580" t="e">
        <f>AND(#REF!,"AAAAAD/32zI=")</f>
        <v>#REF!</v>
      </c>
      <c r="AZ580" t="e">
        <f>AND(#REF!,"AAAAAD/32zM=")</f>
        <v>#REF!</v>
      </c>
      <c r="BA580" t="e">
        <f>AND(#REF!,"AAAAAD/32zQ=")</f>
        <v>#REF!</v>
      </c>
      <c r="BB580" t="e">
        <f>AND(#REF!,"AAAAAD/32zU=")</f>
        <v>#REF!</v>
      </c>
      <c r="BC580" t="e">
        <f>AND(#REF!,"AAAAAD/32zY=")</f>
        <v>#REF!</v>
      </c>
      <c r="BD580" t="e">
        <f>AND(#REF!,"AAAAAD/32zc=")</f>
        <v>#REF!</v>
      </c>
      <c r="BE580" t="e">
        <f>AND(#REF!,"AAAAAD/32zg=")</f>
        <v>#REF!</v>
      </c>
      <c r="BF580" t="e">
        <f>AND(#REF!,"AAAAAD/32zk=")</f>
        <v>#REF!</v>
      </c>
      <c r="BG580" t="e">
        <f>AND(#REF!,"AAAAAD/32zo=")</f>
        <v>#REF!</v>
      </c>
      <c r="BH580" t="e">
        <f>IF(#REF!,"AAAAAD/32zs=",0)</f>
        <v>#REF!</v>
      </c>
      <c r="BI580" t="e">
        <f>AND(#REF!,"AAAAAD/32zw=")</f>
        <v>#REF!</v>
      </c>
      <c r="BJ580" t="e">
        <f>AND(#REF!,"AAAAAD/32z0=")</f>
        <v>#REF!</v>
      </c>
      <c r="BK580" t="e">
        <f>AND(#REF!,"AAAAAD/32z4=")</f>
        <v>#REF!</v>
      </c>
      <c r="BL580" t="e">
        <f>AND(#REF!,"AAAAAD/32z8=")</f>
        <v>#REF!</v>
      </c>
      <c r="BM580" t="e">
        <f>AND(#REF!,"AAAAAD/320A=")</f>
        <v>#REF!</v>
      </c>
      <c r="BN580" t="e">
        <f>AND(#REF!,"AAAAAD/320E=")</f>
        <v>#REF!</v>
      </c>
      <c r="BO580" t="e">
        <f>AND(#REF!,"AAAAAD/320I=")</f>
        <v>#REF!</v>
      </c>
      <c r="BP580" t="e">
        <f>AND(#REF!,"AAAAAD/320M=")</f>
        <v>#REF!</v>
      </c>
      <c r="BQ580" t="e">
        <f>AND(#REF!,"AAAAAD/320Q=")</f>
        <v>#REF!</v>
      </c>
      <c r="BR580" t="e">
        <f>AND(#REF!,"AAAAAD/320U=")</f>
        <v>#REF!</v>
      </c>
      <c r="BS580" t="e">
        <f>IF(#REF!,"AAAAAD/320Y=",0)</f>
        <v>#REF!</v>
      </c>
      <c r="BT580" t="e">
        <f>AND(#REF!,"AAAAAD/320c=")</f>
        <v>#REF!</v>
      </c>
      <c r="BU580" t="e">
        <f>AND(#REF!,"AAAAAD/320g=")</f>
        <v>#REF!</v>
      </c>
      <c r="BV580" t="e">
        <f>AND(#REF!,"AAAAAD/320k=")</f>
        <v>#REF!</v>
      </c>
      <c r="BW580" t="e">
        <f>AND(#REF!,"AAAAAD/320o=")</f>
        <v>#REF!</v>
      </c>
      <c r="BX580" t="e">
        <f>AND(#REF!,"AAAAAD/320s=")</f>
        <v>#REF!</v>
      </c>
      <c r="BY580" t="e">
        <f>AND(#REF!,"AAAAAD/320w=")</f>
        <v>#REF!</v>
      </c>
      <c r="BZ580" t="e">
        <f>AND(#REF!,"AAAAAD/3200=")</f>
        <v>#REF!</v>
      </c>
      <c r="CA580" t="e">
        <f>AND(#REF!,"AAAAAD/3204=")</f>
        <v>#REF!</v>
      </c>
      <c r="CB580" t="e">
        <f>AND(#REF!,"AAAAAD/3208=")</f>
        <v>#REF!</v>
      </c>
      <c r="CC580" t="e">
        <f>AND(#REF!,"AAAAAD/321A=")</f>
        <v>#REF!</v>
      </c>
      <c r="CD580" t="e">
        <f>IF(#REF!,"AAAAAD/321E=",0)</f>
        <v>#REF!</v>
      </c>
      <c r="CE580" t="e">
        <f>AND(#REF!,"AAAAAD/321I=")</f>
        <v>#REF!</v>
      </c>
      <c r="CF580" t="e">
        <f>AND(#REF!,"AAAAAD/321M=")</f>
        <v>#REF!</v>
      </c>
      <c r="CG580" t="e">
        <f>AND(#REF!,"AAAAAD/321Q=")</f>
        <v>#REF!</v>
      </c>
      <c r="CH580" t="e">
        <f>AND(#REF!,"AAAAAD/321U=")</f>
        <v>#REF!</v>
      </c>
      <c r="CI580" t="e">
        <f>AND(#REF!,"AAAAAD/321Y=")</f>
        <v>#REF!</v>
      </c>
      <c r="CJ580" t="e">
        <f>AND(#REF!,"AAAAAD/321c=")</f>
        <v>#REF!</v>
      </c>
      <c r="CK580" t="e">
        <f>AND(#REF!,"AAAAAD/321g=")</f>
        <v>#REF!</v>
      </c>
      <c r="CL580" t="e">
        <f>AND(#REF!,"AAAAAD/321k=")</f>
        <v>#REF!</v>
      </c>
      <c r="CM580" t="e">
        <f>AND(#REF!,"AAAAAD/321o=")</f>
        <v>#REF!</v>
      </c>
      <c r="CN580" t="e">
        <f>AND(#REF!,"AAAAAD/321s=")</f>
        <v>#REF!</v>
      </c>
      <c r="CO580" t="e">
        <f>IF(#REF!,"AAAAAD/321w=",0)</f>
        <v>#REF!</v>
      </c>
      <c r="CP580" t="e">
        <f>AND(#REF!,"AAAAAD/3210=")</f>
        <v>#REF!</v>
      </c>
      <c r="CQ580" t="e">
        <f>AND(#REF!,"AAAAAD/3214=")</f>
        <v>#REF!</v>
      </c>
      <c r="CR580" t="e">
        <f>AND(#REF!,"AAAAAD/3218=")</f>
        <v>#REF!</v>
      </c>
      <c r="CS580" t="e">
        <f>AND(#REF!,"AAAAAD/322A=")</f>
        <v>#REF!</v>
      </c>
      <c r="CT580" t="e">
        <f>AND(#REF!,"AAAAAD/322E=")</f>
        <v>#REF!</v>
      </c>
      <c r="CU580" t="e">
        <f>AND(#REF!,"AAAAAD/322I=")</f>
        <v>#REF!</v>
      </c>
      <c r="CV580" t="e">
        <f>AND(#REF!,"AAAAAD/322M=")</f>
        <v>#REF!</v>
      </c>
      <c r="CW580" t="e">
        <f>AND(#REF!,"AAAAAD/322Q=")</f>
        <v>#REF!</v>
      </c>
      <c r="CX580" t="e">
        <f>AND(#REF!,"AAAAAD/322U=")</f>
        <v>#REF!</v>
      </c>
      <c r="CY580" t="e">
        <f>AND(#REF!,"AAAAAD/322Y=")</f>
        <v>#REF!</v>
      </c>
      <c r="CZ580" t="e">
        <f>IF(#REF!,"AAAAAD/322c=",0)</f>
        <v>#REF!</v>
      </c>
      <c r="DA580" t="e">
        <f>AND(#REF!,"AAAAAD/322g=")</f>
        <v>#REF!</v>
      </c>
      <c r="DB580" t="e">
        <f>AND(#REF!,"AAAAAD/322k=")</f>
        <v>#REF!</v>
      </c>
      <c r="DC580" t="e">
        <f>AND(#REF!,"AAAAAD/322o=")</f>
        <v>#REF!</v>
      </c>
      <c r="DD580" t="e">
        <f>AND(#REF!,"AAAAAD/322s=")</f>
        <v>#REF!</v>
      </c>
      <c r="DE580" t="e">
        <f>AND(#REF!,"AAAAAD/322w=")</f>
        <v>#REF!</v>
      </c>
      <c r="DF580" t="e">
        <f>AND(#REF!,"AAAAAD/3220=")</f>
        <v>#REF!</v>
      </c>
      <c r="DG580" t="e">
        <f>AND(#REF!,"AAAAAD/3224=")</f>
        <v>#REF!</v>
      </c>
      <c r="DH580" t="e">
        <f>AND(#REF!,"AAAAAD/3228=")</f>
        <v>#REF!</v>
      </c>
      <c r="DI580" t="e">
        <f>AND(#REF!,"AAAAAD/323A=")</f>
        <v>#REF!</v>
      </c>
      <c r="DJ580" t="e">
        <f>AND(#REF!,"AAAAAD/323E=")</f>
        <v>#REF!</v>
      </c>
      <c r="DK580" t="e">
        <f>IF(#REF!,"AAAAAD/323I=",0)</f>
        <v>#REF!</v>
      </c>
      <c r="DL580" t="e">
        <f>AND(#REF!,"AAAAAD/323M=")</f>
        <v>#REF!</v>
      </c>
      <c r="DM580" t="e">
        <f>AND(#REF!,"AAAAAD/323Q=")</f>
        <v>#REF!</v>
      </c>
      <c r="DN580" t="e">
        <f>AND(#REF!,"AAAAAD/323U=")</f>
        <v>#REF!</v>
      </c>
      <c r="DO580" t="e">
        <f>AND(#REF!,"AAAAAD/323Y=")</f>
        <v>#REF!</v>
      </c>
      <c r="DP580" t="e">
        <f>AND(#REF!,"AAAAAD/323c=")</f>
        <v>#REF!</v>
      </c>
      <c r="DQ580" t="e">
        <f>AND(#REF!,"AAAAAD/323g=")</f>
        <v>#REF!</v>
      </c>
      <c r="DR580" t="e">
        <f>AND(#REF!,"AAAAAD/323k=")</f>
        <v>#REF!</v>
      </c>
      <c r="DS580" t="e">
        <f>AND(#REF!,"AAAAAD/323o=")</f>
        <v>#REF!</v>
      </c>
      <c r="DT580" t="e">
        <f>AND(#REF!,"AAAAAD/323s=")</f>
        <v>#REF!</v>
      </c>
      <c r="DU580" t="e">
        <f>AND(#REF!,"AAAAAD/323w=")</f>
        <v>#REF!</v>
      </c>
      <c r="DV580" t="e">
        <f>IF(#REF!,"AAAAAD/3230=",0)</f>
        <v>#REF!</v>
      </c>
      <c r="DW580" t="e">
        <f>AND(#REF!,"AAAAAD/3234=")</f>
        <v>#REF!</v>
      </c>
      <c r="DX580" t="e">
        <f>AND(#REF!,"AAAAAD/3238=")</f>
        <v>#REF!</v>
      </c>
      <c r="DY580" t="e">
        <f>AND(#REF!,"AAAAAD/324A=")</f>
        <v>#REF!</v>
      </c>
      <c r="DZ580" t="e">
        <f>AND(#REF!,"AAAAAD/324E=")</f>
        <v>#REF!</v>
      </c>
      <c r="EA580" t="e">
        <f>AND(#REF!,"AAAAAD/324I=")</f>
        <v>#REF!</v>
      </c>
      <c r="EB580" t="e">
        <f>AND(#REF!,"AAAAAD/324M=")</f>
        <v>#REF!</v>
      </c>
      <c r="EC580" t="e">
        <f>AND(#REF!,"AAAAAD/324Q=")</f>
        <v>#REF!</v>
      </c>
      <c r="ED580" t="e">
        <f>AND(#REF!,"AAAAAD/324U=")</f>
        <v>#REF!</v>
      </c>
      <c r="EE580" t="e">
        <f>AND(#REF!,"AAAAAD/324Y=")</f>
        <v>#REF!</v>
      </c>
      <c r="EF580" t="e">
        <f>AND(#REF!,"AAAAAD/324c=")</f>
        <v>#REF!</v>
      </c>
      <c r="EG580" t="e">
        <f>IF(#REF!,"AAAAAD/324g=",0)</f>
        <v>#REF!</v>
      </c>
      <c r="EH580" t="e">
        <f>AND(#REF!,"AAAAAD/324k=")</f>
        <v>#REF!</v>
      </c>
      <c r="EI580" t="e">
        <f>AND(#REF!,"AAAAAD/324o=")</f>
        <v>#REF!</v>
      </c>
      <c r="EJ580" t="e">
        <f>AND(#REF!,"AAAAAD/324s=")</f>
        <v>#REF!</v>
      </c>
      <c r="EK580" t="e">
        <f>AND(#REF!,"AAAAAD/324w=")</f>
        <v>#REF!</v>
      </c>
      <c r="EL580" t="e">
        <f>AND(#REF!,"AAAAAD/3240=")</f>
        <v>#REF!</v>
      </c>
      <c r="EM580" t="e">
        <f>AND(#REF!,"AAAAAD/3244=")</f>
        <v>#REF!</v>
      </c>
      <c r="EN580" t="e">
        <f>AND(#REF!,"AAAAAD/3248=")</f>
        <v>#REF!</v>
      </c>
      <c r="EO580" t="e">
        <f>AND(#REF!,"AAAAAD/325A=")</f>
        <v>#REF!</v>
      </c>
      <c r="EP580" t="e">
        <f>AND(#REF!,"AAAAAD/325E=")</f>
        <v>#REF!</v>
      </c>
      <c r="EQ580" t="e">
        <f>AND(#REF!,"AAAAAD/325I=")</f>
        <v>#REF!</v>
      </c>
      <c r="ER580" t="e">
        <f>IF(#REF!,"AAAAAD/325M=",0)</f>
        <v>#REF!</v>
      </c>
      <c r="ES580" t="e">
        <f>AND(#REF!,"AAAAAD/325Q=")</f>
        <v>#REF!</v>
      </c>
      <c r="ET580" t="e">
        <f>AND(#REF!,"AAAAAD/325U=")</f>
        <v>#REF!</v>
      </c>
      <c r="EU580" t="e">
        <f>AND(#REF!,"AAAAAD/325Y=")</f>
        <v>#REF!</v>
      </c>
      <c r="EV580" t="e">
        <f>AND(#REF!,"AAAAAD/325c=")</f>
        <v>#REF!</v>
      </c>
      <c r="EW580" t="e">
        <f>AND(#REF!,"AAAAAD/325g=")</f>
        <v>#REF!</v>
      </c>
      <c r="EX580" t="e">
        <f>AND(#REF!,"AAAAAD/325k=")</f>
        <v>#REF!</v>
      </c>
      <c r="EY580" t="e">
        <f>AND(#REF!,"AAAAAD/325o=")</f>
        <v>#REF!</v>
      </c>
      <c r="EZ580" t="e">
        <f>AND(#REF!,"AAAAAD/325s=")</f>
        <v>#REF!</v>
      </c>
      <c r="FA580" t="e">
        <f>AND(#REF!,"AAAAAD/325w=")</f>
        <v>#REF!</v>
      </c>
      <c r="FB580" t="e">
        <f>AND(#REF!,"AAAAAD/3250=")</f>
        <v>#REF!</v>
      </c>
      <c r="FC580" t="e">
        <f>IF(#REF!,"AAAAAD/3254=",0)</f>
        <v>#REF!</v>
      </c>
      <c r="FD580" t="e">
        <f>AND(#REF!,"AAAAAD/3258=")</f>
        <v>#REF!</v>
      </c>
      <c r="FE580" t="e">
        <f>AND(#REF!,"AAAAAD/326A=")</f>
        <v>#REF!</v>
      </c>
      <c r="FF580" t="e">
        <f>AND(#REF!,"AAAAAD/326E=")</f>
        <v>#REF!</v>
      </c>
      <c r="FG580" t="e">
        <f>AND(#REF!,"AAAAAD/326I=")</f>
        <v>#REF!</v>
      </c>
      <c r="FH580" t="e">
        <f>AND(#REF!,"AAAAAD/326M=")</f>
        <v>#REF!</v>
      </c>
      <c r="FI580" t="e">
        <f>AND(#REF!,"AAAAAD/326Q=")</f>
        <v>#REF!</v>
      </c>
      <c r="FJ580" t="e">
        <f>AND(#REF!,"AAAAAD/326U=")</f>
        <v>#REF!</v>
      </c>
      <c r="FK580" t="e">
        <f>AND(#REF!,"AAAAAD/326Y=")</f>
        <v>#REF!</v>
      </c>
      <c r="FL580" t="e">
        <f>AND(#REF!,"AAAAAD/326c=")</f>
        <v>#REF!</v>
      </c>
      <c r="FM580" t="e">
        <f>AND(#REF!,"AAAAAD/326g=")</f>
        <v>#REF!</v>
      </c>
      <c r="FN580" t="e">
        <f>IF(#REF!,"AAAAAD/326k=",0)</f>
        <v>#REF!</v>
      </c>
      <c r="FO580" t="e">
        <f>AND(#REF!,"AAAAAD/326o=")</f>
        <v>#REF!</v>
      </c>
      <c r="FP580" t="e">
        <f>AND(#REF!,"AAAAAD/326s=")</f>
        <v>#REF!</v>
      </c>
      <c r="FQ580" t="e">
        <f>AND(#REF!,"AAAAAD/326w=")</f>
        <v>#REF!</v>
      </c>
      <c r="FR580" t="e">
        <f>AND(#REF!,"AAAAAD/3260=")</f>
        <v>#REF!</v>
      </c>
      <c r="FS580" t="e">
        <f>AND(#REF!,"AAAAAD/3264=")</f>
        <v>#REF!</v>
      </c>
      <c r="FT580" t="e">
        <f>AND(#REF!,"AAAAAD/3268=")</f>
        <v>#REF!</v>
      </c>
      <c r="FU580" t="e">
        <f>AND(#REF!,"AAAAAD/327A=")</f>
        <v>#REF!</v>
      </c>
      <c r="FV580" t="e">
        <f>AND(#REF!,"AAAAAD/327E=")</f>
        <v>#REF!</v>
      </c>
      <c r="FW580" t="e">
        <f>AND(#REF!,"AAAAAD/327I=")</f>
        <v>#REF!</v>
      </c>
      <c r="FX580" t="e">
        <f>AND(#REF!,"AAAAAD/327M=")</f>
        <v>#REF!</v>
      </c>
      <c r="FY580" t="e">
        <f>IF(#REF!,"AAAAAD/327Q=",0)</f>
        <v>#REF!</v>
      </c>
      <c r="FZ580" t="e">
        <f>AND(#REF!,"AAAAAD/327U=")</f>
        <v>#REF!</v>
      </c>
      <c r="GA580" t="e">
        <f>AND(#REF!,"AAAAAD/327Y=")</f>
        <v>#REF!</v>
      </c>
      <c r="GB580" t="e">
        <f>AND(#REF!,"AAAAAD/327c=")</f>
        <v>#REF!</v>
      </c>
      <c r="GC580" t="e">
        <f>AND(#REF!,"AAAAAD/327g=")</f>
        <v>#REF!</v>
      </c>
      <c r="GD580" t="e">
        <f>AND(#REF!,"AAAAAD/327k=")</f>
        <v>#REF!</v>
      </c>
      <c r="GE580" t="e">
        <f>AND(#REF!,"AAAAAD/327o=")</f>
        <v>#REF!</v>
      </c>
      <c r="GF580" t="e">
        <f>AND(#REF!,"AAAAAD/327s=")</f>
        <v>#REF!</v>
      </c>
      <c r="GG580" t="e">
        <f>AND(#REF!,"AAAAAD/327w=")</f>
        <v>#REF!</v>
      </c>
      <c r="GH580" t="e">
        <f>AND(#REF!,"AAAAAD/3270=")</f>
        <v>#REF!</v>
      </c>
      <c r="GI580" t="e">
        <f>AND(#REF!,"AAAAAD/3274=")</f>
        <v>#REF!</v>
      </c>
      <c r="GJ580" t="e">
        <f>IF(#REF!,"AAAAAD/3278=",0)</f>
        <v>#REF!</v>
      </c>
      <c r="GK580" t="e">
        <f>AND(#REF!,"AAAAAD/328A=")</f>
        <v>#REF!</v>
      </c>
      <c r="GL580" t="e">
        <f>AND(#REF!,"AAAAAD/328E=")</f>
        <v>#REF!</v>
      </c>
      <c r="GM580" t="e">
        <f>AND(#REF!,"AAAAAD/328I=")</f>
        <v>#REF!</v>
      </c>
      <c r="GN580" t="e">
        <f>AND(#REF!,"AAAAAD/328M=")</f>
        <v>#REF!</v>
      </c>
      <c r="GO580" t="e">
        <f>AND(#REF!,"AAAAAD/328Q=")</f>
        <v>#REF!</v>
      </c>
      <c r="GP580" t="e">
        <f>AND(#REF!,"AAAAAD/328U=")</f>
        <v>#REF!</v>
      </c>
      <c r="GQ580" t="e">
        <f>AND(#REF!,"AAAAAD/328Y=")</f>
        <v>#REF!</v>
      </c>
      <c r="GR580" t="e">
        <f>AND(#REF!,"AAAAAD/328c=")</f>
        <v>#REF!</v>
      </c>
      <c r="GS580" t="e">
        <f>AND(#REF!,"AAAAAD/328g=")</f>
        <v>#REF!</v>
      </c>
      <c r="GT580" t="e">
        <f>AND(#REF!,"AAAAAD/328k=")</f>
        <v>#REF!</v>
      </c>
      <c r="GU580" t="e">
        <f>IF(#REF!,"AAAAAD/328o=",0)</f>
        <v>#REF!</v>
      </c>
      <c r="GV580" t="e">
        <f>AND(#REF!,"AAAAAD/328s=")</f>
        <v>#REF!</v>
      </c>
      <c r="GW580" t="e">
        <f>AND(#REF!,"AAAAAD/328w=")</f>
        <v>#REF!</v>
      </c>
      <c r="GX580" t="e">
        <f>AND(#REF!,"AAAAAD/3280=")</f>
        <v>#REF!</v>
      </c>
      <c r="GY580" t="e">
        <f>AND(#REF!,"AAAAAD/3284=")</f>
        <v>#REF!</v>
      </c>
      <c r="GZ580" t="e">
        <f>AND(#REF!,"AAAAAD/3288=")</f>
        <v>#REF!</v>
      </c>
      <c r="HA580" t="e">
        <f>AND(#REF!,"AAAAAD/329A=")</f>
        <v>#REF!</v>
      </c>
      <c r="HB580" t="e">
        <f>AND(#REF!,"AAAAAD/329E=")</f>
        <v>#REF!</v>
      </c>
      <c r="HC580" t="e">
        <f>AND(#REF!,"AAAAAD/329I=")</f>
        <v>#REF!</v>
      </c>
      <c r="HD580" t="e">
        <f>AND(#REF!,"AAAAAD/329M=")</f>
        <v>#REF!</v>
      </c>
      <c r="HE580" t="e">
        <f>AND(#REF!,"AAAAAD/329Q=")</f>
        <v>#REF!</v>
      </c>
      <c r="HF580" t="e">
        <f>IF(#REF!,"AAAAAD/329U=",0)</f>
        <v>#REF!</v>
      </c>
      <c r="HG580" t="e">
        <f>AND(#REF!,"AAAAAD/329Y=")</f>
        <v>#REF!</v>
      </c>
      <c r="HH580" t="e">
        <f>AND(#REF!,"AAAAAD/329c=")</f>
        <v>#REF!</v>
      </c>
      <c r="HI580" t="e">
        <f>AND(#REF!,"AAAAAD/329g=")</f>
        <v>#REF!</v>
      </c>
      <c r="HJ580" t="e">
        <f>AND(#REF!,"AAAAAD/329k=")</f>
        <v>#REF!</v>
      </c>
      <c r="HK580" t="e">
        <f>AND(#REF!,"AAAAAD/329o=")</f>
        <v>#REF!</v>
      </c>
      <c r="HL580" t="e">
        <f>AND(#REF!,"AAAAAD/329s=")</f>
        <v>#REF!</v>
      </c>
      <c r="HM580" t="e">
        <f>AND(#REF!,"AAAAAD/329w=")</f>
        <v>#REF!</v>
      </c>
      <c r="HN580" t="e">
        <f>AND(#REF!,"AAAAAD/3290=")</f>
        <v>#REF!</v>
      </c>
      <c r="HO580" t="e">
        <f>AND(#REF!,"AAAAAD/3294=")</f>
        <v>#REF!</v>
      </c>
      <c r="HP580" t="e">
        <f>AND(#REF!,"AAAAAD/3298=")</f>
        <v>#REF!</v>
      </c>
      <c r="HQ580" t="e">
        <f>IF(#REF!,"AAAAAD/32+A=",0)</f>
        <v>#REF!</v>
      </c>
      <c r="HR580" t="e">
        <f>AND(#REF!,"AAAAAD/32+E=")</f>
        <v>#REF!</v>
      </c>
      <c r="HS580" t="e">
        <f>AND(#REF!,"AAAAAD/32+I=")</f>
        <v>#REF!</v>
      </c>
      <c r="HT580" t="e">
        <f>AND(#REF!,"AAAAAD/32+M=")</f>
        <v>#REF!</v>
      </c>
      <c r="HU580" t="e">
        <f>AND(#REF!,"AAAAAD/32+Q=")</f>
        <v>#REF!</v>
      </c>
      <c r="HV580" t="e">
        <f>AND(#REF!,"AAAAAD/32+U=")</f>
        <v>#REF!</v>
      </c>
      <c r="HW580" t="e">
        <f>AND(#REF!,"AAAAAD/32+Y=")</f>
        <v>#REF!</v>
      </c>
      <c r="HX580" t="e">
        <f>AND(#REF!,"AAAAAD/32+c=")</f>
        <v>#REF!</v>
      </c>
      <c r="HY580" t="e">
        <f>AND(#REF!,"AAAAAD/32+g=")</f>
        <v>#REF!</v>
      </c>
      <c r="HZ580" t="e">
        <f>AND(#REF!,"AAAAAD/32+k=")</f>
        <v>#REF!</v>
      </c>
      <c r="IA580" t="e">
        <f>AND(#REF!,"AAAAAD/32+o=")</f>
        <v>#REF!</v>
      </c>
      <c r="IB580" t="e">
        <f>IF(#REF!,"AAAAAD/32+s=",0)</f>
        <v>#REF!</v>
      </c>
      <c r="IC580" t="e">
        <f>AND(#REF!,"AAAAAD/32+w=")</f>
        <v>#REF!</v>
      </c>
      <c r="ID580" t="e">
        <f>AND(#REF!,"AAAAAD/32+0=")</f>
        <v>#REF!</v>
      </c>
      <c r="IE580" t="e">
        <f>AND(#REF!,"AAAAAD/32+4=")</f>
        <v>#REF!</v>
      </c>
      <c r="IF580" t="e">
        <f>AND(#REF!,"AAAAAD/32+8=")</f>
        <v>#REF!</v>
      </c>
      <c r="IG580" t="e">
        <f>AND(#REF!,"AAAAAD/32/A=")</f>
        <v>#REF!</v>
      </c>
      <c r="IH580" t="e">
        <f>AND(#REF!,"AAAAAD/32/E=")</f>
        <v>#REF!</v>
      </c>
      <c r="II580" t="e">
        <f>AND(#REF!,"AAAAAD/32/I=")</f>
        <v>#REF!</v>
      </c>
      <c r="IJ580" t="e">
        <f>AND(#REF!,"AAAAAD/32/M=")</f>
        <v>#REF!</v>
      </c>
      <c r="IK580" t="e">
        <f>AND(#REF!,"AAAAAD/32/Q=")</f>
        <v>#REF!</v>
      </c>
      <c r="IL580" t="e">
        <f>AND(#REF!,"AAAAAD/32/U=")</f>
        <v>#REF!</v>
      </c>
      <c r="IM580" t="e">
        <f>IF(#REF!,"AAAAAD/32/Y=",0)</f>
        <v>#REF!</v>
      </c>
      <c r="IN580" t="e">
        <f>AND(#REF!,"AAAAAD/32/c=")</f>
        <v>#REF!</v>
      </c>
      <c r="IO580" t="e">
        <f>AND(#REF!,"AAAAAD/32/g=")</f>
        <v>#REF!</v>
      </c>
      <c r="IP580" t="e">
        <f>AND(#REF!,"AAAAAD/32/k=")</f>
        <v>#REF!</v>
      </c>
      <c r="IQ580" t="e">
        <f>AND(#REF!,"AAAAAD/32/o=")</f>
        <v>#REF!</v>
      </c>
      <c r="IR580" t="e">
        <f>AND(#REF!,"AAAAAD/32/s=")</f>
        <v>#REF!</v>
      </c>
      <c r="IS580" t="e">
        <f>AND(#REF!,"AAAAAD/32/w=")</f>
        <v>#REF!</v>
      </c>
      <c r="IT580" t="e">
        <f>AND(#REF!,"AAAAAD/32/0=")</f>
        <v>#REF!</v>
      </c>
      <c r="IU580" t="e">
        <f>AND(#REF!,"AAAAAD/32/4=")</f>
        <v>#REF!</v>
      </c>
      <c r="IV580" t="e">
        <f>AND(#REF!,"AAAAAD/32/8=")</f>
        <v>#REF!</v>
      </c>
    </row>
    <row r="581" spans="1:256" x14ac:dyDescent="0.25">
      <c r="A581" t="e">
        <f>AND(#REF!,"AAAAAB8drQA=")</f>
        <v>#REF!</v>
      </c>
      <c r="B581" t="e">
        <f>IF(#REF!,"AAAAAB8drQE=",0)</f>
        <v>#REF!</v>
      </c>
      <c r="C581" t="e">
        <f>AND(#REF!,"AAAAAB8drQI=")</f>
        <v>#REF!</v>
      </c>
      <c r="D581" t="e">
        <f>AND(#REF!,"AAAAAB8drQM=")</f>
        <v>#REF!</v>
      </c>
      <c r="E581" t="e">
        <f>AND(#REF!,"AAAAAB8drQQ=")</f>
        <v>#REF!</v>
      </c>
      <c r="F581" t="e">
        <f>AND(#REF!,"AAAAAB8drQU=")</f>
        <v>#REF!</v>
      </c>
      <c r="G581" t="e">
        <f>AND(#REF!,"AAAAAB8drQY=")</f>
        <v>#REF!</v>
      </c>
      <c r="H581" t="e">
        <f>AND(#REF!,"AAAAAB8drQc=")</f>
        <v>#REF!</v>
      </c>
      <c r="I581" t="e">
        <f>AND(#REF!,"AAAAAB8drQg=")</f>
        <v>#REF!</v>
      </c>
      <c r="J581" t="e">
        <f>AND(#REF!,"AAAAAB8drQk=")</f>
        <v>#REF!</v>
      </c>
      <c r="K581" t="e">
        <f>AND(#REF!,"AAAAAB8drQo=")</f>
        <v>#REF!</v>
      </c>
      <c r="L581" t="e">
        <f>AND(#REF!,"AAAAAB8drQs=")</f>
        <v>#REF!</v>
      </c>
      <c r="M581" t="e">
        <f>IF(#REF!,"AAAAAB8drQw=",0)</f>
        <v>#REF!</v>
      </c>
      <c r="N581" t="e">
        <f>AND(#REF!,"AAAAAB8drQ0=")</f>
        <v>#REF!</v>
      </c>
      <c r="O581" t="e">
        <f>AND(#REF!,"AAAAAB8drQ4=")</f>
        <v>#REF!</v>
      </c>
      <c r="P581" t="e">
        <f>AND(#REF!,"AAAAAB8drQ8=")</f>
        <v>#REF!</v>
      </c>
      <c r="Q581" t="e">
        <f>AND(#REF!,"AAAAAB8drRA=")</f>
        <v>#REF!</v>
      </c>
      <c r="R581" t="e">
        <f>AND(#REF!,"AAAAAB8drRE=")</f>
        <v>#REF!</v>
      </c>
      <c r="S581" t="e">
        <f>AND(#REF!,"AAAAAB8drRI=")</f>
        <v>#REF!</v>
      </c>
      <c r="T581" t="e">
        <f>AND(#REF!,"AAAAAB8drRM=")</f>
        <v>#REF!</v>
      </c>
      <c r="U581" t="e">
        <f>AND(#REF!,"AAAAAB8drRQ=")</f>
        <v>#REF!</v>
      </c>
      <c r="V581" t="e">
        <f>AND(#REF!,"AAAAAB8drRU=")</f>
        <v>#REF!</v>
      </c>
      <c r="W581" t="e">
        <f>AND(#REF!,"AAAAAB8drRY=")</f>
        <v>#REF!</v>
      </c>
      <c r="X581" t="e">
        <f>IF(#REF!,"AAAAAB8drRc=",0)</f>
        <v>#REF!</v>
      </c>
      <c r="Y581" t="e">
        <f>AND(#REF!,"AAAAAB8drRg=")</f>
        <v>#REF!</v>
      </c>
      <c r="Z581" t="e">
        <f>AND(#REF!,"AAAAAB8drRk=")</f>
        <v>#REF!</v>
      </c>
      <c r="AA581" t="e">
        <f>AND(#REF!,"AAAAAB8drRo=")</f>
        <v>#REF!</v>
      </c>
      <c r="AB581" t="e">
        <f>AND(#REF!,"AAAAAB8drRs=")</f>
        <v>#REF!</v>
      </c>
      <c r="AC581" t="e">
        <f>AND(#REF!,"AAAAAB8drRw=")</f>
        <v>#REF!</v>
      </c>
      <c r="AD581" t="e">
        <f>AND(#REF!,"AAAAAB8drR0=")</f>
        <v>#REF!</v>
      </c>
      <c r="AE581" t="e">
        <f>AND(#REF!,"AAAAAB8drR4=")</f>
        <v>#REF!</v>
      </c>
      <c r="AF581" t="e">
        <f>AND(#REF!,"AAAAAB8drR8=")</f>
        <v>#REF!</v>
      </c>
      <c r="AG581" t="e">
        <f>AND(#REF!,"AAAAAB8drSA=")</f>
        <v>#REF!</v>
      </c>
      <c r="AH581" t="e">
        <f>AND(#REF!,"AAAAAB8drSE=")</f>
        <v>#REF!</v>
      </c>
      <c r="AI581" t="e">
        <f>IF(#REF!,"AAAAAB8drSI=",0)</f>
        <v>#REF!</v>
      </c>
      <c r="AJ581" t="e">
        <f>AND(#REF!,"AAAAAB8drSM=")</f>
        <v>#REF!</v>
      </c>
      <c r="AK581" t="e">
        <f>AND(#REF!,"AAAAAB8drSQ=")</f>
        <v>#REF!</v>
      </c>
      <c r="AL581" t="e">
        <f>AND(#REF!,"AAAAAB8drSU=")</f>
        <v>#REF!</v>
      </c>
      <c r="AM581" t="e">
        <f>AND(#REF!,"AAAAAB8drSY=")</f>
        <v>#REF!</v>
      </c>
      <c r="AN581" t="e">
        <f>AND(#REF!,"AAAAAB8drSc=")</f>
        <v>#REF!</v>
      </c>
      <c r="AO581" t="e">
        <f>AND(#REF!,"AAAAAB8drSg=")</f>
        <v>#REF!</v>
      </c>
      <c r="AP581" t="e">
        <f>AND(#REF!,"AAAAAB8drSk=")</f>
        <v>#REF!</v>
      </c>
      <c r="AQ581" t="e">
        <f>AND(#REF!,"AAAAAB8drSo=")</f>
        <v>#REF!</v>
      </c>
      <c r="AR581" t="e">
        <f>AND(#REF!,"AAAAAB8drSs=")</f>
        <v>#REF!</v>
      </c>
      <c r="AS581" t="e">
        <f>AND(#REF!,"AAAAAB8drSw=")</f>
        <v>#REF!</v>
      </c>
      <c r="AT581" t="e">
        <f>IF(#REF!,"AAAAAB8drS0=",0)</f>
        <v>#REF!</v>
      </c>
      <c r="AU581" t="e">
        <f>AND(#REF!,"AAAAAB8drS4=")</f>
        <v>#REF!</v>
      </c>
      <c r="AV581" t="e">
        <f>AND(#REF!,"AAAAAB8drS8=")</f>
        <v>#REF!</v>
      </c>
      <c r="AW581" t="e">
        <f>AND(#REF!,"AAAAAB8drTA=")</f>
        <v>#REF!</v>
      </c>
      <c r="AX581" t="e">
        <f>AND(#REF!,"AAAAAB8drTE=")</f>
        <v>#REF!</v>
      </c>
      <c r="AY581" t="e">
        <f>AND(#REF!,"AAAAAB8drTI=")</f>
        <v>#REF!</v>
      </c>
      <c r="AZ581" t="e">
        <f>AND(#REF!,"AAAAAB8drTM=")</f>
        <v>#REF!</v>
      </c>
      <c r="BA581" t="e">
        <f>AND(#REF!,"AAAAAB8drTQ=")</f>
        <v>#REF!</v>
      </c>
      <c r="BB581" t="e">
        <f>AND(#REF!,"AAAAAB8drTU=")</f>
        <v>#REF!</v>
      </c>
      <c r="BC581" t="e">
        <f>AND(#REF!,"AAAAAB8drTY=")</f>
        <v>#REF!</v>
      </c>
      <c r="BD581" t="e">
        <f>AND(#REF!,"AAAAAB8drTc=")</f>
        <v>#REF!</v>
      </c>
      <c r="BE581" t="e">
        <f>IF(#REF!,"AAAAAB8drTg=",0)</f>
        <v>#REF!</v>
      </c>
      <c r="BF581" t="e">
        <f>AND(#REF!,"AAAAAB8drTk=")</f>
        <v>#REF!</v>
      </c>
      <c r="BG581" t="e">
        <f>AND(#REF!,"AAAAAB8drTo=")</f>
        <v>#REF!</v>
      </c>
      <c r="BH581" t="e">
        <f>AND(#REF!,"AAAAAB8drTs=")</f>
        <v>#REF!</v>
      </c>
      <c r="BI581" t="e">
        <f>AND(#REF!,"AAAAAB8drTw=")</f>
        <v>#REF!</v>
      </c>
      <c r="BJ581" t="e">
        <f>AND(#REF!,"AAAAAB8drT0=")</f>
        <v>#REF!</v>
      </c>
      <c r="BK581" t="e">
        <f>AND(#REF!,"AAAAAB8drT4=")</f>
        <v>#REF!</v>
      </c>
      <c r="BL581" t="e">
        <f>AND(#REF!,"AAAAAB8drT8=")</f>
        <v>#REF!</v>
      </c>
      <c r="BM581" t="e">
        <f>AND(#REF!,"AAAAAB8drUA=")</f>
        <v>#REF!</v>
      </c>
      <c r="BN581" t="e">
        <f>AND(#REF!,"AAAAAB8drUE=")</f>
        <v>#REF!</v>
      </c>
      <c r="BO581" t="e">
        <f>AND(#REF!,"AAAAAB8drUI=")</f>
        <v>#REF!</v>
      </c>
      <c r="BP581" t="e">
        <f>IF(#REF!,"AAAAAB8drUM=",0)</f>
        <v>#REF!</v>
      </c>
      <c r="BQ581" t="e">
        <f>AND(#REF!,"AAAAAB8drUQ=")</f>
        <v>#REF!</v>
      </c>
      <c r="BR581" t="e">
        <f>AND(#REF!,"AAAAAB8drUU=")</f>
        <v>#REF!</v>
      </c>
      <c r="BS581" t="e">
        <f>AND(#REF!,"AAAAAB8drUY=")</f>
        <v>#REF!</v>
      </c>
      <c r="BT581" t="e">
        <f>AND(#REF!,"AAAAAB8drUc=")</f>
        <v>#REF!</v>
      </c>
      <c r="BU581" t="e">
        <f>AND(#REF!,"AAAAAB8drUg=")</f>
        <v>#REF!</v>
      </c>
      <c r="BV581" t="e">
        <f>AND(#REF!,"AAAAAB8drUk=")</f>
        <v>#REF!</v>
      </c>
      <c r="BW581" t="e">
        <f>AND(#REF!,"AAAAAB8drUo=")</f>
        <v>#REF!</v>
      </c>
      <c r="BX581" t="e">
        <f>AND(#REF!,"AAAAAB8drUs=")</f>
        <v>#REF!</v>
      </c>
      <c r="BY581" t="e">
        <f>AND(#REF!,"AAAAAB8drUw=")</f>
        <v>#REF!</v>
      </c>
      <c r="BZ581" t="e">
        <f>AND(#REF!,"AAAAAB8drU0=")</f>
        <v>#REF!</v>
      </c>
      <c r="CA581" t="e">
        <f>IF(#REF!,"AAAAAB8drU4=",0)</f>
        <v>#REF!</v>
      </c>
      <c r="CB581" t="e">
        <f>AND(#REF!,"AAAAAB8drU8=")</f>
        <v>#REF!</v>
      </c>
      <c r="CC581" t="e">
        <f>AND(#REF!,"AAAAAB8drVA=")</f>
        <v>#REF!</v>
      </c>
      <c r="CD581" t="e">
        <f>AND(#REF!,"AAAAAB8drVE=")</f>
        <v>#REF!</v>
      </c>
      <c r="CE581" t="e">
        <f>AND(#REF!,"AAAAAB8drVI=")</f>
        <v>#REF!</v>
      </c>
      <c r="CF581" t="e">
        <f>AND(#REF!,"AAAAAB8drVM=")</f>
        <v>#REF!</v>
      </c>
      <c r="CG581" t="e">
        <f>AND(#REF!,"AAAAAB8drVQ=")</f>
        <v>#REF!</v>
      </c>
      <c r="CH581" t="e">
        <f>AND(#REF!,"AAAAAB8drVU=")</f>
        <v>#REF!</v>
      </c>
      <c r="CI581" t="e">
        <f>AND(#REF!,"AAAAAB8drVY=")</f>
        <v>#REF!</v>
      </c>
      <c r="CJ581" t="e">
        <f>AND(#REF!,"AAAAAB8drVc=")</f>
        <v>#REF!</v>
      </c>
      <c r="CK581" t="e">
        <f>AND(#REF!,"AAAAAB8drVg=")</f>
        <v>#REF!</v>
      </c>
      <c r="CL581" t="e">
        <f>IF(#REF!,"AAAAAB8drVk=",0)</f>
        <v>#REF!</v>
      </c>
      <c r="CM581" t="e">
        <f>AND(#REF!,"AAAAAB8drVo=")</f>
        <v>#REF!</v>
      </c>
      <c r="CN581" t="e">
        <f>AND(#REF!,"AAAAAB8drVs=")</f>
        <v>#REF!</v>
      </c>
      <c r="CO581" t="e">
        <f>AND(#REF!,"AAAAAB8drVw=")</f>
        <v>#REF!</v>
      </c>
      <c r="CP581" t="e">
        <f>AND(#REF!,"AAAAAB8drV0=")</f>
        <v>#REF!</v>
      </c>
      <c r="CQ581" t="e">
        <f>AND(#REF!,"AAAAAB8drV4=")</f>
        <v>#REF!</v>
      </c>
      <c r="CR581" t="e">
        <f>AND(#REF!,"AAAAAB8drV8=")</f>
        <v>#REF!</v>
      </c>
      <c r="CS581" t="e">
        <f>AND(#REF!,"AAAAAB8drWA=")</f>
        <v>#REF!</v>
      </c>
      <c r="CT581" t="e">
        <f>AND(#REF!,"AAAAAB8drWE=")</f>
        <v>#REF!</v>
      </c>
      <c r="CU581" t="e">
        <f>AND(#REF!,"AAAAAB8drWI=")</f>
        <v>#REF!</v>
      </c>
      <c r="CV581" t="e">
        <f>AND(#REF!,"AAAAAB8drWM=")</f>
        <v>#REF!</v>
      </c>
      <c r="CW581" t="e">
        <f>IF(#REF!,"AAAAAB8drWQ=",0)</f>
        <v>#REF!</v>
      </c>
      <c r="CX581" t="e">
        <f>AND(#REF!,"AAAAAB8drWU=")</f>
        <v>#REF!</v>
      </c>
      <c r="CY581" t="e">
        <f>AND(#REF!,"AAAAAB8drWY=")</f>
        <v>#REF!</v>
      </c>
      <c r="CZ581" t="e">
        <f>AND(#REF!,"AAAAAB8drWc=")</f>
        <v>#REF!</v>
      </c>
      <c r="DA581" t="e">
        <f>AND(#REF!,"AAAAAB8drWg=")</f>
        <v>#REF!</v>
      </c>
      <c r="DB581" t="e">
        <f>AND(#REF!,"AAAAAB8drWk=")</f>
        <v>#REF!</v>
      </c>
      <c r="DC581" t="e">
        <f>AND(#REF!,"AAAAAB8drWo=")</f>
        <v>#REF!</v>
      </c>
      <c r="DD581" t="e">
        <f>AND(#REF!,"AAAAAB8drWs=")</f>
        <v>#REF!</v>
      </c>
      <c r="DE581" t="e">
        <f>AND(#REF!,"AAAAAB8drWw=")</f>
        <v>#REF!</v>
      </c>
      <c r="DF581" t="e">
        <f>AND(#REF!,"AAAAAB8drW0=")</f>
        <v>#REF!</v>
      </c>
      <c r="DG581" t="e">
        <f>AND(#REF!,"AAAAAB8drW4=")</f>
        <v>#REF!</v>
      </c>
      <c r="DH581" t="e">
        <f>IF(#REF!,"AAAAAB8drW8=",0)</f>
        <v>#REF!</v>
      </c>
      <c r="DI581" t="e">
        <f>AND(#REF!,"AAAAAB8drXA=")</f>
        <v>#REF!</v>
      </c>
      <c r="DJ581" t="e">
        <f>AND(#REF!,"AAAAAB8drXE=")</f>
        <v>#REF!</v>
      </c>
      <c r="DK581" t="e">
        <f>AND(#REF!,"AAAAAB8drXI=")</f>
        <v>#REF!</v>
      </c>
      <c r="DL581" t="e">
        <f>AND(#REF!,"AAAAAB8drXM=")</f>
        <v>#REF!</v>
      </c>
      <c r="DM581" t="e">
        <f>AND(#REF!,"AAAAAB8drXQ=")</f>
        <v>#REF!</v>
      </c>
      <c r="DN581" t="e">
        <f>AND(#REF!,"AAAAAB8drXU=")</f>
        <v>#REF!</v>
      </c>
      <c r="DO581" t="e">
        <f>AND(#REF!,"AAAAAB8drXY=")</f>
        <v>#REF!</v>
      </c>
      <c r="DP581" t="e">
        <f>AND(#REF!,"AAAAAB8drXc=")</f>
        <v>#REF!</v>
      </c>
      <c r="DQ581" t="e">
        <f>AND(#REF!,"AAAAAB8drXg=")</f>
        <v>#REF!</v>
      </c>
      <c r="DR581" t="e">
        <f>AND(#REF!,"AAAAAB8drXk=")</f>
        <v>#REF!</v>
      </c>
      <c r="DS581" t="e">
        <f>IF(#REF!,"AAAAAB8drXo=",0)</f>
        <v>#REF!</v>
      </c>
      <c r="DT581" t="e">
        <f>AND(#REF!,"AAAAAB8drXs=")</f>
        <v>#REF!</v>
      </c>
      <c r="DU581" t="e">
        <f>AND(#REF!,"AAAAAB8drXw=")</f>
        <v>#REF!</v>
      </c>
      <c r="DV581" t="e">
        <f>AND(#REF!,"AAAAAB8drX0=")</f>
        <v>#REF!</v>
      </c>
      <c r="DW581" t="e">
        <f>AND(#REF!,"AAAAAB8drX4=")</f>
        <v>#REF!</v>
      </c>
      <c r="DX581" t="e">
        <f>AND(#REF!,"AAAAAB8drX8=")</f>
        <v>#REF!</v>
      </c>
      <c r="DY581" t="e">
        <f>AND(#REF!,"AAAAAB8drYA=")</f>
        <v>#REF!</v>
      </c>
      <c r="DZ581" t="e">
        <f>AND(#REF!,"AAAAAB8drYE=")</f>
        <v>#REF!</v>
      </c>
      <c r="EA581" t="e">
        <f>AND(#REF!,"AAAAAB8drYI=")</f>
        <v>#REF!</v>
      </c>
      <c r="EB581" t="e">
        <f>AND(#REF!,"AAAAAB8drYM=")</f>
        <v>#REF!</v>
      </c>
      <c r="EC581" t="e">
        <f>AND(#REF!,"AAAAAB8drYQ=")</f>
        <v>#REF!</v>
      </c>
      <c r="ED581" t="e">
        <f>IF(#REF!,"AAAAAB8drYU=",0)</f>
        <v>#REF!</v>
      </c>
      <c r="EE581" t="e">
        <f>AND(#REF!,"AAAAAB8drYY=")</f>
        <v>#REF!</v>
      </c>
      <c r="EF581" t="e">
        <f>AND(#REF!,"AAAAAB8drYc=")</f>
        <v>#REF!</v>
      </c>
      <c r="EG581" t="e">
        <f>AND(#REF!,"AAAAAB8drYg=")</f>
        <v>#REF!</v>
      </c>
      <c r="EH581" t="e">
        <f>AND(#REF!,"AAAAAB8drYk=")</f>
        <v>#REF!</v>
      </c>
      <c r="EI581" t="e">
        <f>AND(#REF!,"AAAAAB8drYo=")</f>
        <v>#REF!</v>
      </c>
      <c r="EJ581" t="e">
        <f>AND(#REF!,"AAAAAB8drYs=")</f>
        <v>#REF!</v>
      </c>
      <c r="EK581" t="e">
        <f>AND(#REF!,"AAAAAB8drYw=")</f>
        <v>#REF!</v>
      </c>
      <c r="EL581" t="e">
        <f>AND(#REF!,"AAAAAB8drY0=")</f>
        <v>#REF!</v>
      </c>
      <c r="EM581" t="e">
        <f>AND(#REF!,"AAAAAB8drY4=")</f>
        <v>#REF!</v>
      </c>
      <c r="EN581" t="e">
        <f>AND(#REF!,"AAAAAB8drY8=")</f>
        <v>#REF!</v>
      </c>
      <c r="EO581" t="e">
        <f>IF(#REF!,"AAAAAB8drZA=",0)</f>
        <v>#REF!</v>
      </c>
      <c r="EP581" t="e">
        <f>AND(#REF!,"AAAAAB8drZE=")</f>
        <v>#REF!</v>
      </c>
      <c r="EQ581" t="e">
        <f>AND(#REF!,"AAAAAB8drZI=")</f>
        <v>#REF!</v>
      </c>
      <c r="ER581" t="e">
        <f>AND(#REF!,"AAAAAB8drZM=")</f>
        <v>#REF!</v>
      </c>
      <c r="ES581" t="e">
        <f>AND(#REF!,"AAAAAB8drZQ=")</f>
        <v>#REF!</v>
      </c>
      <c r="ET581" t="e">
        <f>AND(#REF!,"AAAAAB8drZU=")</f>
        <v>#REF!</v>
      </c>
      <c r="EU581" t="e">
        <f>AND(#REF!,"AAAAAB8drZY=")</f>
        <v>#REF!</v>
      </c>
      <c r="EV581" t="e">
        <f>AND(#REF!,"AAAAAB8drZc=")</f>
        <v>#REF!</v>
      </c>
      <c r="EW581" t="e">
        <f>AND(#REF!,"AAAAAB8drZg=")</f>
        <v>#REF!</v>
      </c>
      <c r="EX581" t="e">
        <f>AND(#REF!,"AAAAAB8drZk=")</f>
        <v>#REF!</v>
      </c>
      <c r="EY581" t="e">
        <f>AND(#REF!,"AAAAAB8drZo=")</f>
        <v>#REF!</v>
      </c>
      <c r="EZ581" t="e">
        <f>IF(#REF!,"AAAAAB8drZs=",0)</f>
        <v>#REF!</v>
      </c>
      <c r="FA581" t="e">
        <f>AND(#REF!,"AAAAAB8drZw=")</f>
        <v>#REF!</v>
      </c>
      <c r="FB581" t="e">
        <f>AND(#REF!,"AAAAAB8drZ0=")</f>
        <v>#REF!</v>
      </c>
      <c r="FC581" t="e">
        <f>AND(#REF!,"AAAAAB8drZ4=")</f>
        <v>#REF!</v>
      </c>
      <c r="FD581" t="e">
        <f>AND(#REF!,"AAAAAB8drZ8=")</f>
        <v>#REF!</v>
      </c>
      <c r="FE581" t="e">
        <f>AND(#REF!,"AAAAAB8draA=")</f>
        <v>#REF!</v>
      </c>
      <c r="FF581" t="e">
        <f>AND(#REF!,"AAAAAB8draE=")</f>
        <v>#REF!</v>
      </c>
      <c r="FG581" t="e">
        <f>AND(#REF!,"AAAAAB8draI=")</f>
        <v>#REF!</v>
      </c>
      <c r="FH581" t="e">
        <f>AND(#REF!,"AAAAAB8draM=")</f>
        <v>#REF!</v>
      </c>
      <c r="FI581" t="e">
        <f>AND(#REF!,"AAAAAB8draQ=")</f>
        <v>#REF!</v>
      </c>
      <c r="FJ581" t="e">
        <f>AND(#REF!,"AAAAAB8draU=")</f>
        <v>#REF!</v>
      </c>
      <c r="FK581" t="e">
        <f>IF(#REF!,"AAAAAB8draY=",0)</f>
        <v>#REF!</v>
      </c>
      <c r="FL581" t="e">
        <f>AND(#REF!,"AAAAAB8drac=")</f>
        <v>#REF!</v>
      </c>
      <c r="FM581" t="e">
        <f>AND(#REF!,"AAAAAB8drag=")</f>
        <v>#REF!</v>
      </c>
      <c r="FN581" t="e">
        <f>AND(#REF!,"AAAAAB8drak=")</f>
        <v>#REF!</v>
      </c>
      <c r="FO581" t="e">
        <f>AND(#REF!,"AAAAAB8drao=")</f>
        <v>#REF!</v>
      </c>
      <c r="FP581" t="e">
        <f>AND(#REF!,"AAAAAB8dras=")</f>
        <v>#REF!</v>
      </c>
      <c r="FQ581" t="e">
        <f>AND(#REF!,"AAAAAB8draw=")</f>
        <v>#REF!</v>
      </c>
      <c r="FR581" t="e">
        <f>AND(#REF!,"AAAAAB8dra0=")</f>
        <v>#REF!</v>
      </c>
      <c r="FS581" t="e">
        <f>AND(#REF!,"AAAAAB8dra4=")</f>
        <v>#REF!</v>
      </c>
      <c r="FT581" t="e">
        <f>AND(#REF!,"AAAAAB8dra8=")</f>
        <v>#REF!</v>
      </c>
      <c r="FU581" t="e">
        <f>AND(#REF!,"AAAAAB8drbA=")</f>
        <v>#REF!</v>
      </c>
      <c r="FV581" t="e">
        <f>IF(#REF!,"AAAAAB8drbE=",0)</f>
        <v>#REF!</v>
      </c>
      <c r="FW581" t="e">
        <f>AND(#REF!,"AAAAAB8drbI=")</f>
        <v>#REF!</v>
      </c>
      <c r="FX581" t="e">
        <f>AND(#REF!,"AAAAAB8drbM=")</f>
        <v>#REF!</v>
      </c>
      <c r="FY581" t="e">
        <f>AND(#REF!,"AAAAAB8drbQ=")</f>
        <v>#REF!</v>
      </c>
      <c r="FZ581" t="e">
        <f>AND(#REF!,"AAAAAB8drbU=")</f>
        <v>#REF!</v>
      </c>
      <c r="GA581" t="e">
        <f>AND(#REF!,"AAAAAB8drbY=")</f>
        <v>#REF!</v>
      </c>
      <c r="GB581" t="e">
        <f>AND(#REF!,"AAAAAB8drbc=")</f>
        <v>#REF!</v>
      </c>
      <c r="GC581" t="e">
        <f>AND(#REF!,"AAAAAB8drbg=")</f>
        <v>#REF!</v>
      </c>
      <c r="GD581" t="e">
        <f>AND(#REF!,"AAAAAB8drbk=")</f>
        <v>#REF!</v>
      </c>
      <c r="GE581" t="e">
        <f>AND(#REF!,"AAAAAB8drbo=")</f>
        <v>#REF!</v>
      </c>
      <c r="GF581" t="e">
        <f>AND(#REF!,"AAAAAB8drbs=")</f>
        <v>#REF!</v>
      </c>
      <c r="GG581" t="e">
        <f>IF(#REF!,"AAAAAB8drbw=",0)</f>
        <v>#REF!</v>
      </c>
      <c r="GH581" t="e">
        <f>AND(#REF!,"AAAAAB8drb0=")</f>
        <v>#REF!</v>
      </c>
      <c r="GI581" t="e">
        <f>AND(#REF!,"AAAAAB8drb4=")</f>
        <v>#REF!</v>
      </c>
      <c r="GJ581" t="e">
        <f>AND(#REF!,"AAAAAB8drb8=")</f>
        <v>#REF!</v>
      </c>
      <c r="GK581" t="e">
        <f>AND(#REF!,"AAAAAB8drcA=")</f>
        <v>#REF!</v>
      </c>
      <c r="GL581" t="e">
        <f>AND(#REF!,"AAAAAB8drcE=")</f>
        <v>#REF!</v>
      </c>
      <c r="GM581" t="e">
        <f>AND(#REF!,"AAAAAB8drcI=")</f>
        <v>#REF!</v>
      </c>
      <c r="GN581" t="e">
        <f>AND(#REF!,"AAAAAB8drcM=")</f>
        <v>#REF!</v>
      </c>
      <c r="GO581" t="e">
        <f>AND(#REF!,"AAAAAB8drcQ=")</f>
        <v>#REF!</v>
      </c>
      <c r="GP581" t="e">
        <f>AND(#REF!,"AAAAAB8drcU=")</f>
        <v>#REF!</v>
      </c>
      <c r="GQ581" t="e">
        <f>AND(#REF!,"AAAAAB8drcY=")</f>
        <v>#REF!</v>
      </c>
      <c r="GR581" t="e">
        <f>IF(#REF!,"AAAAAB8drcc=",0)</f>
        <v>#REF!</v>
      </c>
      <c r="GS581" t="e">
        <f>AND(#REF!,"AAAAAB8drcg=")</f>
        <v>#REF!</v>
      </c>
      <c r="GT581" t="e">
        <f>AND(#REF!,"AAAAAB8drck=")</f>
        <v>#REF!</v>
      </c>
      <c r="GU581" t="e">
        <f>AND(#REF!,"AAAAAB8drco=")</f>
        <v>#REF!</v>
      </c>
      <c r="GV581" t="e">
        <f>AND(#REF!,"AAAAAB8drcs=")</f>
        <v>#REF!</v>
      </c>
      <c r="GW581" t="e">
        <f>AND(#REF!,"AAAAAB8drcw=")</f>
        <v>#REF!</v>
      </c>
      <c r="GX581" t="e">
        <f>AND(#REF!,"AAAAAB8drc0=")</f>
        <v>#REF!</v>
      </c>
      <c r="GY581" t="e">
        <f>AND(#REF!,"AAAAAB8drc4=")</f>
        <v>#REF!</v>
      </c>
      <c r="GZ581" t="e">
        <f>AND(#REF!,"AAAAAB8drc8=")</f>
        <v>#REF!</v>
      </c>
      <c r="HA581" t="e">
        <f>AND(#REF!,"AAAAAB8drdA=")</f>
        <v>#REF!</v>
      </c>
      <c r="HB581" t="e">
        <f>AND(#REF!,"AAAAAB8drdE=")</f>
        <v>#REF!</v>
      </c>
      <c r="HC581" t="e">
        <f>IF(#REF!,"AAAAAB8drdI=",0)</f>
        <v>#REF!</v>
      </c>
      <c r="HD581" t="e">
        <f>AND(#REF!,"AAAAAB8drdM=")</f>
        <v>#REF!</v>
      </c>
      <c r="HE581" t="e">
        <f>AND(#REF!,"AAAAAB8drdQ=")</f>
        <v>#REF!</v>
      </c>
      <c r="HF581" t="e">
        <f>AND(#REF!,"AAAAAB8drdU=")</f>
        <v>#REF!</v>
      </c>
      <c r="HG581" t="e">
        <f>AND(#REF!,"AAAAAB8drdY=")</f>
        <v>#REF!</v>
      </c>
      <c r="HH581" t="e">
        <f>AND(#REF!,"AAAAAB8drdc=")</f>
        <v>#REF!</v>
      </c>
      <c r="HI581" t="e">
        <f>AND(#REF!,"AAAAAB8drdg=")</f>
        <v>#REF!</v>
      </c>
      <c r="HJ581" t="e">
        <f>AND(#REF!,"AAAAAB8drdk=")</f>
        <v>#REF!</v>
      </c>
      <c r="HK581" t="e">
        <f>AND(#REF!,"AAAAAB8drdo=")</f>
        <v>#REF!</v>
      </c>
      <c r="HL581" t="e">
        <f>AND(#REF!,"AAAAAB8drds=")</f>
        <v>#REF!</v>
      </c>
      <c r="HM581" t="e">
        <f>AND(#REF!,"AAAAAB8drdw=")</f>
        <v>#REF!</v>
      </c>
      <c r="HN581" t="e">
        <f>IF(#REF!,"AAAAAB8drd0=",0)</f>
        <v>#REF!</v>
      </c>
      <c r="HO581" t="e">
        <f>AND(#REF!,"AAAAAB8drd4=")</f>
        <v>#REF!</v>
      </c>
      <c r="HP581" t="e">
        <f>AND(#REF!,"AAAAAB8drd8=")</f>
        <v>#REF!</v>
      </c>
      <c r="HQ581" t="e">
        <f>AND(#REF!,"AAAAAB8dreA=")</f>
        <v>#REF!</v>
      </c>
      <c r="HR581" t="e">
        <f>AND(#REF!,"AAAAAB8dreE=")</f>
        <v>#REF!</v>
      </c>
      <c r="HS581" t="e">
        <f>AND(#REF!,"AAAAAB8dreI=")</f>
        <v>#REF!</v>
      </c>
      <c r="HT581" t="e">
        <f>AND(#REF!,"AAAAAB8dreM=")</f>
        <v>#REF!</v>
      </c>
      <c r="HU581" t="e">
        <f>AND(#REF!,"AAAAAB8dreQ=")</f>
        <v>#REF!</v>
      </c>
      <c r="HV581" t="e">
        <f>AND(#REF!,"AAAAAB8dreU=")</f>
        <v>#REF!</v>
      </c>
      <c r="HW581" t="e">
        <f>AND(#REF!,"AAAAAB8dreY=")</f>
        <v>#REF!</v>
      </c>
      <c r="HX581" t="e">
        <f>AND(#REF!,"AAAAAB8drec=")</f>
        <v>#REF!</v>
      </c>
      <c r="HY581" t="e">
        <f>IF(#REF!,"AAAAAB8dreg=",0)</f>
        <v>#REF!</v>
      </c>
      <c r="HZ581" t="e">
        <f>AND(#REF!,"AAAAAB8drek=")</f>
        <v>#REF!</v>
      </c>
      <c r="IA581" t="e">
        <f>AND(#REF!,"AAAAAB8dreo=")</f>
        <v>#REF!</v>
      </c>
      <c r="IB581" t="e">
        <f>AND(#REF!,"AAAAAB8dres=")</f>
        <v>#REF!</v>
      </c>
      <c r="IC581" t="e">
        <f>AND(#REF!,"AAAAAB8drew=")</f>
        <v>#REF!</v>
      </c>
      <c r="ID581" t="e">
        <f>AND(#REF!,"AAAAAB8dre0=")</f>
        <v>#REF!</v>
      </c>
      <c r="IE581" t="e">
        <f>AND(#REF!,"AAAAAB8dre4=")</f>
        <v>#REF!</v>
      </c>
      <c r="IF581" t="e">
        <f>AND(#REF!,"AAAAAB8dre8=")</f>
        <v>#REF!</v>
      </c>
      <c r="IG581" t="e">
        <f>AND(#REF!,"AAAAAB8drfA=")</f>
        <v>#REF!</v>
      </c>
      <c r="IH581" t="e">
        <f>AND(#REF!,"AAAAAB8drfE=")</f>
        <v>#REF!</v>
      </c>
      <c r="II581" t="e">
        <f>AND(#REF!,"AAAAAB8drfI=")</f>
        <v>#REF!</v>
      </c>
      <c r="IJ581" t="e">
        <f>IF(#REF!,"AAAAAB8drfM=",0)</f>
        <v>#REF!</v>
      </c>
      <c r="IK581" t="e">
        <f>AND(#REF!,"AAAAAB8drfQ=")</f>
        <v>#REF!</v>
      </c>
      <c r="IL581" t="e">
        <f>AND(#REF!,"AAAAAB8drfU=")</f>
        <v>#REF!</v>
      </c>
      <c r="IM581" t="e">
        <f>AND(#REF!,"AAAAAB8drfY=")</f>
        <v>#REF!</v>
      </c>
      <c r="IN581" t="e">
        <f>AND(#REF!,"AAAAAB8drfc=")</f>
        <v>#REF!</v>
      </c>
      <c r="IO581" t="e">
        <f>AND(#REF!,"AAAAAB8drfg=")</f>
        <v>#REF!</v>
      </c>
      <c r="IP581" t="e">
        <f>AND(#REF!,"AAAAAB8drfk=")</f>
        <v>#REF!</v>
      </c>
      <c r="IQ581" t="e">
        <f>AND(#REF!,"AAAAAB8drfo=")</f>
        <v>#REF!</v>
      </c>
      <c r="IR581" t="e">
        <f>AND(#REF!,"AAAAAB8drfs=")</f>
        <v>#REF!</v>
      </c>
      <c r="IS581" t="e">
        <f>AND(#REF!,"AAAAAB8drfw=")</f>
        <v>#REF!</v>
      </c>
      <c r="IT581" t="e">
        <f>AND(#REF!,"AAAAAB8drf0=")</f>
        <v>#REF!</v>
      </c>
      <c r="IU581" t="e">
        <f>IF(#REF!,"AAAAAB8drf4=",0)</f>
        <v>#REF!</v>
      </c>
      <c r="IV581" t="e">
        <f>AND(#REF!,"AAAAAB8drf8=")</f>
        <v>#REF!</v>
      </c>
    </row>
    <row r="582" spans="1:256" x14ac:dyDescent="0.25">
      <c r="A582" t="e">
        <f>AND(#REF!,"AAAAADu//wA=")</f>
        <v>#REF!</v>
      </c>
      <c r="B582" t="e">
        <f>AND(#REF!,"AAAAADu//wE=")</f>
        <v>#REF!</v>
      </c>
      <c r="C582" t="e">
        <f>AND(#REF!,"AAAAADu//wI=")</f>
        <v>#REF!</v>
      </c>
      <c r="D582" t="e">
        <f>AND(#REF!,"AAAAADu//wM=")</f>
        <v>#REF!</v>
      </c>
      <c r="E582" t="e">
        <f>AND(#REF!,"AAAAADu//wQ=")</f>
        <v>#REF!</v>
      </c>
      <c r="F582" t="e">
        <f>AND(#REF!,"AAAAADu//wU=")</f>
        <v>#REF!</v>
      </c>
      <c r="G582" t="e">
        <f>AND(#REF!,"AAAAADu//wY=")</f>
        <v>#REF!</v>
      </c>
      <c r="H582" t="e">
        <f>AND(#REF!,"AAAAADu//wc=")</f>
        <v>#REF!</v>
      </c>
      <c r="I582" t="e">
        <f>AND(#REF!,"AAAAADu//wg=")</f>
        <v>#REF!</v>
      </c>
      <c r="J582" t="e">
        <f>IF(#REF!,"AAAAADu//wk=",0)</f>
        <v>#REF!</v>
      </c>
      <c r="K582" t="e">
        <f>AND(#REF!,"AAAAADu//wo=")</f>
        <v>#REF!</v>
      </c>
      <c r="L582" t="e">
        <f>AND(#REF!,"AAAAADu//ws=")</f>
        <v>#REF!</v>
      </c>
      <c r="M582" t="e">
        <f>AND(#REF!,"AAAAADu//ww=")</f>
        <v>#REF!</v>
      </c>
      <c r="N582" t="e">
        <f>AND(#REF!,"AAAAADu//w0=")</f>
        <v>#REF!</v>
      </c>
      <c r="O582" t="e">
        <f>AND(#REF!,"AAAAADu//w4=")</f>
        <v>#REF!</v>
      </c>
      <c r="P582" t="e">
        <f>AND(#REF!,"AAAAADu//w8=")</f>
        <v>#REF!</v>
      </c>
      <c r="Q582" t="e">
        <f>AND(#REF!,"AAAAADu//xA=")</f>
        <v>#REF!</v>
      </c>
      <c r="R582" t="e">
        <f>AND(#REF!,"AAAAADu//xE=")</f>
        <v>#REF!</v>
      </c>
      <c r="S582" t="e">
        <f>AND(#REF!,"AAAAADu//xI=")</f>
        <v>#REF!</v>
      </c>
      <c r="T582" t="e">
        <f>AND(#REF!,"AAAAADu//xM=")</f>
        <v>#REF!</v>
      </c>
      <c r="U582" t="e">
        <f>IF(#REF!,"AAAAADu//xQ=",0)</f>
        <v>#REF!</v>
      </c>
      <c r="V582" t="e">
        <f>AND(#REF!,"AAAAADu//xU=")</f>
        <v>#REF!</v>
      </c>
      <c r="W582" t="e">
        <f>AND(#REF!,"AAAAADu//xY=")</f>
        <v>#REF!</v>
      </c>
      <c r="X582" t="e">
        <f>AND(#REF!,"AAAAADu//xc=")</f>
        <v>#REF!</v>
      </c>
      <c r="Y582" t="e">
        <f>AND(#REF!,"AAAAADu//xg=")</f>
        <v>#REF!</v>
      </c>
      <c r="Z582" t="e">
        <f>AND(#REF!,"AAAAADu//xk=")</f>
        <v>#REF!</v>
      </c>
      <c r="AA582" t="e">
        <f>AND(#REF!,"AAAAADu//xo=")</f>
        <v>#REF!</v>
      </c>
      <c r="AB582" t="e">
        <f>AND(#REF!,"AAAAADu//xs=")</f>
        <v>#REF!</v>
      </c>
      <c r="AC582" t="e">
        <f>AND(#REF!,"AAAAADu//xw=")</f>
        <v>#REF!</v>
      </c>
      <c r="AD582" t="e">
        <f>AND(#REF!,"AAAAADu//x0=")</f>
        <v>#REF!</v>
      </c>
      <c r="AE582" t="e">
        <f>AND(#REF!,"AAAAADu//x4=")</f>
        <v>#REF!</v>
      </c>
      <c r="AF582" t="e">
        <f>IF(#REF!,"AAAAADu//x8=",0)</f>
        <v>#REF!</v>
      </c>
      <c r="AG582" t="e">
        <f>AND(#REF!,"AAAAADu//yA=")</f>
        <v>#REF!</v>
      </c>
      <c r="AH582" t="e">
        <f>AND(#REF!,"AAAAADu//yE=")</f>
        <v>#REF!</v>
      </c>
      <c r="AI582" t="e">
        <f>AND(#REF!,"AAAAADu//yI=")</f>
        <v>#REF!</v>
      </c>
      <c r="AJ582" t="e">
        <f>AND(#REF!,"AAAAADu//yM=")</f>
        <v>#REF!</v>
      </c>
      <c r="AK582" t="e">
        <f>AND(#REF!,"AAAAADu//yQ=")</f>
        <v>#REF!</v>
      </c>
      <c r="AL582" t="e">
        <f>AND(#REF!,"AAAAADu//yU=")</f>
        <v>#REF!</v>
      </c>
      <c r="AM582" t="e">
        <f>AND(#REF!,"AAAAADu//yY=")</f>
        <v>#REF!</v>
      </c>
      <c r="AN582" t="e">
        <f>AND(#REF!,"AAAAADu//yc=")</f>
        <v>#REF!</v>
      </c>
      <c r="AO582" t="e">
        <f>AND(#REF!,"AAAAADu//yg=")</f>
        <v>#REF!</v>
      </c>
      <c r="AP582" t="e">
        <f>AND(#REF!,"AAAAADu//yk=")</f>
        <v>#REF!</v>
      </c>
      <c r="AQ582" t="e">
        <f>IF(#REF!,"AAAAADu//yo=",0)</f>
        <v>#REF!</v>
      </c>
      <c r="AR582" t="e">
        <f>AND(#REF!,"AAAAADu//ys=")</f>
        <v>#REF!</v>
      </c>
      <c r="AS582" t="e">
        <f>AND(#REF!,"AAAAADu//yw=")</f>
        <v>#REF!</v>
      </c>
      <c r="AT582" t="e">
        <f>AND(#REF!,"AAAAADu//y0=")</f>
        <v>#REF!</v>
      </c>
      <c r="AU582" t="e">
        <f>AND(#REF!,"AAAAADu//y4=")</f>
        <v>#REF!</v>
      </c>
      <c r="AV582" t="e">
        <f>AND(#REF!,"AAAAADu//y8=")</f>
        <v>#REF!</v>
      </c>
      <c r="AW582" t="e">
        <f>AND(#REF!,"AAAAADu//zA=")</f>
        <v>#REF!</v>
      </c>
      <c r="AX582" t="e">
        <f>AND(#REF!,"AAAAADu//zE=")</f>
        <v>#REF!</v>
      </c>
      <c r="AY582" t="e">
        <f>AND(#REF!,"AAAAADu//zI=")</f>
        <v>#REF!</v>
      </c>
      <c r="AZ582" t="e">
        <f>AND(#REF!,"AAAAADu//zM=")</f>
        <v>#REF!</v>
      </c>
      <c r="BA582" t="e">
        <f>AND(#REF!,"AAAAADu//zQ=")</f>
        <v>#REF!</v>
      </c>
      <c r="BB582" t="e">
        <f>IF(#REF!,"AAAAADu//zU=",0)</f>
        <v>#REF!</v>
      </c>
      <c r="BC582" t="e">
        <f>AND(#REF!,"AAAAADu//zY=")</f>
        <v>#REF!</v>
      </c>
      <c r="BD582" t="e">
        <f>AND(#REF!,"AAAAADu//zc=")</f>
        <v>#REF!</v>
      </c>
      <c r="BE582" t="e">
        <f>AND(#REF!,"AAAAADu//zg=")</f>
        <v>#REF!</v>
      </c>
      <c r="BF582" t="e">
        <f>AND(#REF!,"AAAAADu//zk=")</f>
        <v>#REF!</v>
      </c>
      <c r="BG582" t="e">
        <f>AND(#REF!,"AAAAADu//zo=")</f>
        <v>#REF!</v>
      </c>
      <c r="BH582" t="e">
        <f>AND(#REF!,"AAAAADu//zs=")</f>
        <v>#REF!</v>
      </c>
      <c r="BI582" t="e">
        <f>AND(#REF!,"AAAAADu//zw=")</f>
        <v>#REF!</v>
      </c>
      <c r="BJ582" t="e">
        <f>AND(#REF!,"AAAAADu//z0=")</f>
        <v>#REF!</v>
      </c>
      <c r="BK582" t="e">
        <f>AND(#REF!,"AAAAADu//z4=")</f>
        <v>#REF!</v>
      </c>
      <c r="BL582" t="e">
        <f>AND(#REF!,"AAAAADu//z8=")</f>
        <v>#REF!</v>
      </c>
      <c r="BM582" t="e">
        <f>IF(#REF!,"AAAAADu//0A=",0)</f>
        <v>#REF!</v>
      </c>
      <c r="BN582" t="e">
        <f>AND(#REF!,"AAAAADu//0E=")</f>
        <v>#REF!</v>
      </c>
      <c r="BO582" t="e">
        <f>AND(#REF!,"AAAAADu//0I=")</f>
        <v>#REF!</v>
      </c>
      <c r="BP582" t="e">
        <f>AND(#REF!,"AAAAADu//0M=")</f>
        <v>#REF!</v>
      </c>
      <c r="BQ582" t="e">
        <f>AND(#REF!,"AAAAADu//0Q=")</f>
        <v>#REF!</v>
      </c>
      <c r="BR582" t="e">
        <f>AND(#REF!,"AAAAADu//0U=")</f>
        <v>#REF!</v>
      </c>
      <c r="BS582" t="e">
        <f>AND(#REF!,"AAAAADu//0Y=")</f>
        <v>#REF!</v>
      </c>
      <c r="BT582" t="e">
        <f>AND(#REF!,"AAAAADu//0c=")</f>
        <v>#REF!</v>
      </c>
      <c r="BU582" t="e">
        <f>AND(#REF!,"AAAAADu//0g=")</f>
        <v>#REF!</v>
      </c>
      <c r="BV582" t="e">
        <f>AND(#REF!,"AAAAADu//0k=")</f>
        <v>#REF!</v>
      </c>
      <c r="BW582" t="e">
        <f>AND(#REF!,"AAAAADu//0o=")</f>
        <v>#REF!</v>
      </c>
      <c r="BX582" t="e">
        <f>IF(#REF!,"AAAAADu//0s=",0)</f>
        <v>#REF!</v>
      </c>
      <c r="BY582" t="e">
        <f>AND(#REF!,"AAAAADu//0w=")</f>
        <v>#REF!</v>
      </c>
      <c r="BZ582" t="e">
        <f>AND(#REF!,"AAAAADu//00=")</f>
        <v>#REF!</v>
      </c>
      <c r="CA582" t="e">
        <f>AND(#REF!,"AAAAADu//04=")</f>
        <v>#REF!</v>
      </c>
      <c r="CB582" t="e">
        <f>AND(#REF!,"AAAAADu//08=")</f>
        <v>#REF!</v>
      </c>
      <c r="CC582" t="e">
        <f>AND(#REF!,"AAAAADu//1A=")</f>
        <v>#REF!</v>
      </c>
      <c r="CD582" t="e">
        <f>AND(#REF!,"AAAAADu//1E=")</f>
        <v>#REF!</v>
      </c>
      <c r="CE582" t="e">
        <f>AND(#REF!,"AAAAADu//1I=")</f>
        <v>#REF!</v>
      </c>
      <c r="CF582" t="e">
        <f>AND(#REF!,"AAAAADu//1M=")</f>
        <v>#REF!</v>
      </c>
      <c r="CG582" t="e">
        <f>AND(#REF!,"AAAAADu//1Q=")</f>
        <v>#REF!</v>
      </c>
      <c r="CH582" t="e">
        <f>AND(#REF!,"AAAAADu//1U=")</f>
        <v>#REF!</v>
      </c>
      <c r="CI582" t="e">
        <f>IF(#REF!,"AAAAADu//1Y=",0)</f>
        <v>#REF!</v>
      </c>
      <c r="CJ582" t="e">
        <f>AND(#REF!,"AAAAADu//1c=")</f>
        <v>#REF!</v>
      </c>
      <c r="CK582" t="e">
        <f>AND(#REF!,"AAAAADu//1g=")</f>
        <v>#REF!</v>
      </c>
      <c r="CL582" t="e">
        <f>AND(#REF!,"AAAAADu//1k=")</f>
        <v>#REF!</v>
      </c>
      <c r="CM582" t="e">
        <f>AND(#REF!,"AAAAADu//1o=")</f>
        <v>#REF!</v>
      </c>
      <c r="CN582" t="e">
        <f>AND(#REF!,"AAAAADu//1s=")</f>
        <v>#REF!</v>
      </c>
      <c r="CO582" t="e">
        <f>AND(#REF!,"AAAAADu//1w=")</f>
        <v>#REF!</v>
      </c>
      <c r="CP582" t="e">
        <f>AND(#REF!,"AAAAADu//10=")</f>
        <v>#REF!</v>
      </c>
      <c r="CQ582" t="e">
        <f>AND(#REF!,"AAAAADu//14=")</f>
        <v>#REF!</v>
      </c>
      <c r="CR582" t="e">
        <f>AND(#REF!,"AAAAADu//18=")</f>
        <v>#REF!</v>
      </c>
      <c r="CS582" t="e">
        <f>AND(#REF!,"AAAAADu//2A=")</f>
        <v>#REF!</v>
      </c>
      <c r="CT582" t="e">
        <f>IF(#REF!,"AAAAADu//2E=",0)</f>
        <v>#REF!</v>
      </c>
      <c r="CU582" t="e">
        <f>AND(#REF!,"AAAAADu//2I=")</f>
        <v>#REF!</v>
      </c>
      <c r="CV582" t="e">
        <f>AND(#REF!,"AAAAADu//2M=")</f>
        <v>#REF!</v>
      </c>
      <c r="CW582" t="e">
        <f>AND(#REF!,"AAAAADu//2Q=")</f>
        <v>#REF!</v>
      </c>
      <c r="CX582" t="e">
        <f>AND(#REF!,"AAAAADu//2U=")</f>
        <v>#REF!</v>
      </c>
      <c r="CY582" t="e">
        <f>AND(#REF!,"AAAAADu//2Y=")</f>
        <v>#REF!</v>
      </c>
      <c r="CZ582" t="e">
        <f>AND(#REF!,"AAAAADu//2c=")</f>
        <v>#REF!</v>
      </c>
      <c r="DA582" t="e">
        <f>AND(#REF!,"AAAAADu//2g=")</f>
        <v>#REF!</v>
      </c>
      <c r="DB582" t="e">
        <f>AND(#REF!,"AAAAADu//2k=")</f>
        <v>#REF!</v>
      </c>
      <c r="DC582" t="e">
        <f>AND(#REF!,"AAAAADu//2o=")</f>
        <v>#REF!</v>
      </c>
      <c r="DD582" t="e">
        <f>AND(#REF!,"AAAAADu//2s=")</f>
        <v>#REF!</v>
      </c>
      <c r="DE582" t="e">
        <f>IF(#REF!,"AAAAADu//2w=",0)</f>
        <v>#REF!</v>
      </c>
      <c r="DF582" t="e">
        <f>AND(#REF!,"AAAAADu//20=")</f>
        <v>#REF!</v>
      </c>
      <c r="DG582" t="e">
        <f>AND(#REF!,"AAAAADu//24=")</f>
        <v>#REF!</v>
      </c>
      <c r="DH582" t="e">
        <f>AND(#REF!,"AAAAADu//28=")</f>
        <v>#REF!</v>
      </c>
      <c r="DI582" t="e">
        <f>AND(#REF!,"AAAAADu//3A=")</f>
        <v>#REF!</v>
      </c>
      <c r="DJ582" t="e">
        <f>AND(#REF!,"AAAAADu//3E=")</f>
        <v>#REF!</v>
      </c>
      <c r="DK582" t="e">
        <f>AND(#REF!,"AAAAADu//3I=")</f>
        <v>#REF!</v>
      </c>
      <c r="DL582" t="e">
        <f>AND(#REF!,"AAAAADu//3M=")</f>
        <v>#REF!</v>
      </c>
      <c r="DM582" t="e">
        <f>AND(#REF!,"AAAAADu//3Q=")</f>
        <v>#REF!</v>
      </c>
      <c r="DN582" t="e">
        <f>AND(#REF!,"AAAAADu//3U=")</f>
        <v>#REF!</v>
      </c>
      <c r="DO582" t="e">
        <f>AND(#REF!,"AAAAADu//3Y=")</f>
        <v>#REF!</v>
      </c>
      <c r="DP582" t="e">
        <f>IF(#REF!,"AAAAADu//3c=",0)</f>
        <v>#REF!</v>
      </c>
      <c r="DQ582" t="e">
        <f>AND(#REF!,"AAAAADu//3g=")</f>
        <v>#REF!</v>
      </c>
      <c r="DR582" t="e">
        <f>AND(#REF!,"AAAAADu//3k=")</f>
        <v>#REF!</v>
      </c>
      <c r="DS582" t="e">
        <f>AND(#REF!,"AAAAADu//3o=")</f>
        <v>#REF!</v>
      </c>
      <c r="DT582" t="e">
        <f>AND(#REF!,"AAAAADu//3s=")</f>
        <v>#REF!</v>
      </c>
      <c r="DU582" t="e">
        <f>AND(#REF!,"AAAAADu//3w=")</f>
        <v>#REF!</v>
      </c>
      <c r="DV582" t="e">
        <f>AND(#REF!,"AAAAADu//30=")</f>
        <v>#REF!</v>
      </c>
      <c r="DW582" t="e">
        <f>AND(#REF!,"AAAAADu//34=")</f>
        <v>#REF!</v>
      </c>
      <c r="DX582" t="e">
        <f>AND(#REF!,"AAAAADu//38=")</f>
        <v>#REF!</v>
      </c>
      <c r="DY582" t="e">
        <f>AND(#REF!,"AAAAADu//4A=")</f>
        <v>#REF!</v>
      </c>
      <c r="DZ582" t="e">
        <f>AND(#REF!,"AAAAADu//4E=")</f>
        <v>#REF!</v>
      </c>
      <c r="EA582" t="e">
        <f>IF(#REF!,"AAAAADu//4I=",0)</f>
        <v>#REF!</v>
      </c>
      <c r="EB582" t="e">
        <f>AND(#REF!,"AAAAADu//4M=")</f>
        <v>#REF!</v>
      </c>
      <c r="EC582" t="e">
        <f>AND(#REF!,"AAAAADu//4Q=")</f>
        <v>#REF!</v>
      </c>
      <c r="ED582" t="e">
        <f>AND(#REF!,"AAAAADu//4U=")</f>
        <v>#REF!</v>
      </c>
      <c r="EE582" t="e">
        <f>AND(#REF!,"AAAAADu//4Y=")</f>
        <v>#REF!</v>
      </c>
      <c r="EF582" t="e">
        <f>AND(#REF!,"AAAAADu//4c=")</f>
        <v>#REF!</v>
      </c>
      <c r="EG582" t="e">
        <f>AND(#REF!,"AAAAADu//4g=")</f>
        <v>#REF!</v>
      </c>
      <c r="EH582" t="e">
        <f>AND(#REF!,"AAAAADu//4k=")</f>
        <v>#REF!</v>
      </c>
      <c r="EI582" t="e">
        <f>AND(#REF!,"AAAAADu//4o=")</f>
        <v>#REF!</v>
      </c>
      <c r="EJ582" t="e">
        <f>AND(#REF!,"AAAAADu//4s=")</f>
        <v>#REF!</v>
      </c>
      <c r="EK582" t="e">
        <f>AND(#REF!,"AAAAADu//4w=")</f>
        <v>#REF!</v>
      </c>
      <c r="EL582" t="e">
        <f>IF(#REF!,"AAAAADu//40=",0)</f>
        <v>#REF!</v>
      </c>
      <c r="EM582" t="e">
        <f>AND(#REF!,"AAAAADu//44=")</f>
        <v>#REF!</v>
      </c>
      <c r="EN582" t="e">
        <f>AND(#REF!,"AAAAADu//48=")</f>
        <v>#REF!</v>
      </c>
      <c r="EO582" t="e">
        <f>AND(#REF!,"AAAAADu//5A=")</f>
        <v>#REF!</v>
      </c>
      <c r="EP582" t="e">
        <f>AND(#REF!,"AAAAADu//5E=")</f>
        <v>#REF!</v>
      </c>
      <c r="EQ582" t="e">
        <f>AND(#REF!,"AAAAADu//5I=")</f>
        <v>#REF!</v>
      </c>
      <c r="ER582" t="e">
        <f>AND(#REF!,"AAAAADu//5M=")</f>
        <v>#REF!</v>
      </c>
      <c r="ES582" t="e">
        <f>AND(#REF!,"AAAAADu//5Q=")</f>
        <v>#REF!</v>
      </c>
      <c r="ET582" t="e">
        <f>AND(#REF!,"AAAAADu//5U=")</f>
        <v>#REF!</v>
      </c>
      <c r="EU582" t="e">
        <f>AND(#REF!,"AAAAADu//5Y=")</f>
        <v>#REF!</v>
      </c>
      <c r="EV582" t="e">
        <f>AND(#REF!,"AAAAADu//5c=")</f>
        <v>#REF!</v>
      </c>
      <c r="EW582" t="e">
        <f>IF(#REF!,"AAAAADu//5g=",0)</f>
        <v>#REF!</v>
      </c>
      <c r="EX582" t="e">
        <f>AND(#REF!,"AAAAADu//5k=")</f>
        <v>#REF!</v>
      </c>
      <c r="EY582" t="e">
        <f>AND(#REF!,"AAAAADu//5o=")</f>
        <v>#REF!</v>
      </c>
      <c r="EZ582" t="e">
        <f>AND(#REF!,"AAAAADu//5s=")</f>
        <v>#REF!</v>
      </c>
      <c r="FA582" t="e">
        <f>AND(#REF!,"AAAAADu//5w=")</f>
        <v>#REF!</v>
      </c>
      <c r="FB582" t="e">
        <f>AND(#REF!,"AAAAADu//50=")</f>
        <v>#REF!</v>
      </c>
      <c r="FC582" t="e">
        <f>AND(#REF!,"AAAAADu//54=")</f>
        <v>#REF!</v>
      </c>
      <c r="FD582" t="e">
        <f>AND(#REF!,"AAAAADu//58=")</f>
        <v>#REF!</v>
      </c>
      <c r="FE582" t="e">
        <f>AND(#REF!,"AAAAADu//6A=")</f>
        <v>#REF!</v>
      </c>
      <c r="FF582" t="e">
        <f>AND(#REF!,"AAAAADu//6E=")</f>
        <v>#REF!</v>
      </c>
      <c r="FG582" t="e">
        <f>AND(#REF!,"AAAAADu//6I=")</f>
        <v>#REF!</v>
      </c>
      <c r="FH582" t="e">
        <f>IF(#REF!,"AAAAADu//6M=",0)</f>
        <v>#REF!</v>
      </c>
      <c r="FI582" t="e">
        <f>AND(#REF!,"AAAAADu//6Q=")</f>
        <v>#REF!</v>
      </c>
      <c r="FJ582" t="e">
        <f>AND(#REF!,"AAAAADu//6U=")</f>
        <v>#REF!</v>
      </c>
      <c r="FK582" t="e">
        <f>AND(#REF!,"AAAAADu//6Y=")</f>
        <v>#REF!</v>
      </c>
      <c r="FL582" t="e">
        <f>AND(#REF!,"AAAAADu//6c=")</f>
        <v>#REF!</v>
      </c>
      <c r="FM582" t="e">
        <f>AND(#REF!,"AAAAADu//6g=")</f>
        <v>#REF!</v>
      </c>
      <c r="FN582" t="e">
        <f>AND(#REF!,"AAAAADu//6k=")</f>
        <v>#REF!</v>
      </c>
      <c r="FO582" t="e">
        <f>AND(#REF!,"AAAAADu//6o=")</f>
        <v>#REF!</v>
      </c>
      <c r="FP582" t="e">
        <f>AND(#REF!,"AAAAADu//6s=")</f>
        <v>#REF!</v>
      </c>
      <c r="FQ582" t="e">
        <f>AND(#REF!,"AAAAADu//6w=")</f>
        <v>#REF!</v>
      </c>
      <c r="FR582" t="e">
        <f>AND(#REF!,"AAAAADu//60=")</f>
        <v>#REF!</v>
      </c>
      <c r="FS582" t="e">
        <f>IF(#REF!,"AAAAADu//64=",0)</f>
        <v>#REF!</v>
      </c>
      <c r="FT582" t="e">
        <f>AND(#REF!,"AAAAADu//68=")</f>
        <v>#REF!</v>
      </c>
      <c r="FU582" t="e">
        <f>AND(#REF!,"AAAAADu//7A=")</f>
        <v>#REF!</v>
      </c>
      <c r="FV582" t="e">
        <f>AND(#REF!,"AAAAADu//7E=")</f>
        <v>#REF!</v>
      </c>
      <c r="FW582" t="e">
        <f>AND(#REF!,"AAAAADu//7I=")</f>
        <v>#REF!</v>
      </c>
      <c r="FX582" t="e">
        <f>AND(#REF!,"AAAAADu//7M=")</f>
        <v>#REF!</v>
      </c>
      <c r="FY582" t="e">
        <f>AND(#REF!,"AAAAADu//7Q=")</f>
        <v>#REF!</v>
      </c>
      <c r="FZ582" t="e">
        <f>AND(#REF!,"AAAAADu//7U=")</f>
        <v>#REF!</v>
      </c>
      <c r="GA582" t="e">
        <f>AND(#REF!,"AAAAADu//7Y=")</f>
        <v>#REF!</v>
      </c>
      <c r="GB582" t="e">
        <f>AND(#REF!,"AAAAADu//7c=")</f>
        <v>#REF!</v>
      </c>
      <c r="GC582" t="e">
        <f>AND(#REF!,"AAAAADu//7g=")</f>
        <v>#REF!</v>
      </c>
      <c r="GD582" t="e">
        <f>IF(#REF!,"AAAAADu//7k=",0)</f>
        <v>#REF!</v>
      </c>
      <c r="GE582" t="e">
        <f>AND(#REF!,"AAAAADu//7o=")</f>
        <v>#REF!</v>
      </c>
      <c r="GF582" t="e">
        <f>AND(#REF!,"AAAAADu//7s=")</f>
        <v>#REF!</v>
      </c>
      <c r="GG582" t="e">
        <f>AND(#REF!,"AAAAADu//7w=")</f>
        <v>#REF!</v>
      </c>
      <c r="GH582" t="e">
        <f>AND(#REF!,"AAAAADu//70=")</f>
        <v>#REF!</v>
      </c>
      <c r="GI582" t="e">
        <f>AND(#REF!,"AAAAADu//74=")</f>
        <v>#REF!</v>
      </c>
      <c r="GJ582" t="e">
        <f>AND(#REF!,"AAAAADu//78=")</f>
        <v>#REF!</v>
      </c>
      <c r="GK582" t="e">
        <f>AND(#REF!,"AAAAADu//8A=")</f>
        <v>#REF!</v>
      </c>
      <c r="GL582" t="e">
        <f>AND(#REF!,"AAAAADu//8E=")</f>
        <v>#REF!</v>
      </c>
      <c r="GM582" t="e">
        <f>AND(#REF!,"AAAAADu//8I=")</f>
        <v>#REF!</v>
      </c>
      <c r="GN582" t="e">
        <f>AND(#REF!,"AAAAADu//8M=")</f>
        <v>#REF!</v>
      </c>
      <c r="GO582" t="e">
        <f>IF(#REF!,"AAAAADu//8Q=",0)</f>
        <v>#REF!</v>
      </c>
      <c r="GP582" t="e">
        <f>AND(#REF!,"AAAAADu//8U=")</f>
        <v>#REF!</v>
      </c>
      <c r="GQ582" t="e">
        <f>AND(#REF!,"AAAAADu//8Y=")</f>
        <v>#REF!</v>
      </c>
      <c r="GR582" t="e">
        <f>AND(#REF!,"AAAAADu//8c=")</f>
        <v>#REF!</v>
      </c>
      <c r="GS582" t="e">
        <f>AND(#REF!,"AAAAADu//8g=")</f>
        <v>#REF!</v>
      </c>
      <c r="GT582" t="e">
        <f>AND(#REF!,"AAAAADu//8k=")</f>
        <v>#REF!</v>
      </c>
      <c r="GU582" t="e">
        <f>AND(#REF!,"AAAAADu//8o=")</f>
        <v>#REF!</v>
      </c>
      <c r="GV582" t="e">
        <f>AND(#REF!,"AAAAADu//8s=")</f>
        <v>#REF!</v>
      </c>
      <c r="GW582" t="e">
        <f>AND(#REF!,"AAAAADu//8w=")</f>
        <v>#REF!</v>
      </c>
      <c r="GX582" t="e">
        <f>AND(#REF!,"AAAAADu//80=")</f>
        <v>#REF!</v>
      </c>
      <c r="GY582" t="e">
        <f>AND(#REF!,"AAAAADu//84=")</f>
        <v>#REF!</v>
      </c>
      <c r="GZ582" t="e">
        <f>IF(#REF!,"AAAAADu//88=",0)</f>
        <v>#REF!</v>
      </c>
      <c r="HA582" t="e">
        <f>AND(#REF!,"AAAAADu//9A=")</f>
        <v>#REF!</v>
      </c>
      <c r="HB582" t="e">
        <f>AND(#REF!,"AAAAADu//9E=")</f>
        <v>#REF!</v>
      </c>
      <c r="HC582" t="e">
        <f>AND(#REF!,"AAAAADu//9I=")</f>
        <v>#REF!</v>
      </c>
      <c r="HD582" t="e">
        <f>AND(#REF!,"AAAAADu//9M=")</f>
        <v>#REF!</v>
      </c>
      <c r="HE582" t="e">
        <f>AND(#REF!,"AAAAADu//9Q=")</f>
        <v>#REF!</v>
      </c>
      <c r="HF582" t="e">
        <f>AND(#REF!,"AAAAADu//9U=")</f>
        <v>#REF!</v>
      </c>
      <c r="HG582" t="e">
        <f>AND(#REF!,"AAAAADu//9Y=")</f>
        <v>#REF!</v>
      </c>
      <c r="HH582" t="e">
        <f>AND(#REF!,"AAAAADu//9c=")</f>
        <v>#REF!</v>
      </c>
      <c r="HI582" t="e">
        <f>AND(#REF!,"AAAAADu//9g=")</f>
        <v>#REF!</v>
      </c>
      <c r="HJ582" t="e">
        <f>AND(#REF!,"AAAAADu//9k=")</f>
        <v>#REF!</v>
      </c>
      <c r="HK582" t="e">
        <f>IF(#REF!,"AAAAADu//9o=",0)</f>
        <v>#REF!</v>
      </c>
      <c r="HL582" t="e">
        <f>AND(#REF!,"AAAAADu//9s=")</f>
        <v>#REF!</v>
      </c>
      <c r="HM582" t="e">
        <f>AND(#REF!,"AAAAADu//9w=")</f>
        <v>#REF!</v>
      </c>
      <c r="HN582" t="e">
        <f>AND(#REF!,"AAAAADu//90=")</f>
        <v>#REF!</v>
      </c>
      <c r="HO582" t="e">
        <f>AND(#REF!,"AAAAADu//94=")</f>
        <v>#REF!</v>
      </c>
      <c r="HP582" t="e">
        <f>AND(#REF!,"AAAAADu//98=")</f>
        <v>#REF!</v>
      </c>
      <c r="HQ582" t="e">
        <f>AND(#REF!,"AAAAADu//+A=")</f>
        <v>#REF!</v>
      </c>
      <c r="HR582" t="e">
        <f>AND(#REF!,"AAAAADu//+E=")</f>
        <v>#REF!</v>
      </c>
      <c r="HS582" t="e">
        <f>AND(#REF!,"AAAAADu//+I=")</f>
        <v>#REF!</v>
      </c>
      <c r="HT582" t="e">
        <f>AND(#REF!,"AAAAADu//+M=")</f>
        <v>#REF!</v>
      </c>
      <c r="HU582" t="e">
        <f>AND(#REF!,"AAAAADu//+Q=")</f>
        <v>#REF!</v>
      </c>
      <c r="HV582" t="e">
        <f>IF(#REF!,"AAAAADu//+U=",0)</f>
        <v>#REF!</v>
      </c>
      <c r="HW582" t="e">
        <f>AND(#REF!,"AAAAADu//+Y=")</f>
        <v>#REF!</v>
      </c>
      <c r="HX582" t="e">
        <f>AND(#REF!,"AAAAADu//+c=")</f>
        <v>#REF!</v>
      </c>
      <c r="HY582" t="e">
        <f>AND(#REF!,"AAAAADu//+g=")</f>
        <v>#REF!</v>
      </c>
      <c r="HZ582" t="e">
        <f>AND(#REF!,"AAAAADu//+k=")</f>
        <v>#REF!</v>
      </c>
      <c r="IA582" t="e">
        <f>AND(#REF!,"AAAAADu//+o=")</f>
        <v>#REF!</v>
      </c>
      <c r="IB582" t="e">
        <f>AND(#REF!,"AAAAADu//+s=")</f>
        <v>#REF!</v>
      </c>
      <c r="IC582" t="e">
        <f>AND(#REF!,"AAAAADu//+w=")</f>
        <v>#REF!</v>
      </c>
      <c r="ID582" t="e">
        <f>AND(#REF!,"AAAAADu//+0=")</f>
        <v>#REF!</v>
      </c>
      <c r="IE582" t="e">
        <f>AND(#REF!,"AAAAADu//+4=")</f>
        <v>#REF!</v>
      </c>
      <c r="IF582" t="e">
        <f>AND(#REF!,"AAAAADu//+8=")</f>
        <v>#REF!</v>
      </c>
      <c r="IG582" t="e">
        <f>IF(#REF!,"AAAAADu///A=",0)</f>
        <v>#REF!</v>
      </c>
      <c r="IH582" t="e">
        <f>AND(#REF!,"AAAAADu///E=")</f>
        <v>#REF!</v>
      </c>
      <c r="II582" t="e">
        <f>AND(#REF!,"AAAAADu///I=")</f>
        <v>#REF!</v>
      </c>
      <c r="IJ582" t="e">
        <f>AND(#REF!,"AAAAADu///M=")</f>
        <v>#REF!</v>
      </c>
      <c r="IK582" t="e">
        <f>AND(#REF!,"AAAAADu///Q=")</f>
        <v>#REF!</v>
      </c>
      <c r="IL582" t="e">
        <f>AND(#REF!,"AAAAADu///U=")</f>
        <v>#REF!</v>
      </c>
      <c r="IM582" t="e">
        <f>AND(#REF!,"AAAAADu///Y=")</f>
        <v>#REF!</v>
      </c>
      <c r="IN582" t="e">
        <f>AND(#REF!,"AAAAADu///c=")</f>
        <v>#REF!</v>
      </c>
      <c r="IO582" t="e">
        <f>AND(#REF!,"AAAAADu///g=")</f>
        <v>#REF!</v>
      </c>
      <c r="IP582" t="e">
        <f>AND(#REF!,"AAAAADu///k=")</f>
        <v>#REF!</v>
      </c>
      <c r="IQ582" t="e">
        <f>AND(#REF!,"AAAAADu///o=")</f>
        <v>#REF!</v>
      </c>
      <c r="IR582" t="e">
        <f>IF(#REF!,"AAAAADu///s=",0)</f>
        <v>#REF!</v>
      </c>
      <c r="IS582" t="e">
        <f>AND(#REF!,"AAAAADu///w=")</f>
        <v>#REF!</v>
      </c>
      <c r="IT582" t="e">
        <f>AND(#REF!,"AAAAADu///0=")</f>
        <v>#REF!</v>
      </c>
      <c r="IU582" t="e">
        <f>AND(#REF!,"AAAAADu///4=")</f>
        <v>#REF!</v>
      </c>
      <c r="IV582" t="e">
        <f>AND(#REF!,"AAAAADu///8=")</f>
        <v>#REF!</v>
      </c>
    </row>
    <row r="583" spans="1:256" x14ac:dyDescent="0.25">
      <c r="A583" t="e">
        <f>AND(#REF!,"AAAAAHv9twA=")</f>
        <v>#REF!</v>
      </c>
      <c r="B583" t="e">
        <f>AND(#REF!,"AAAAAHv9twE=")</f>
        <v>#REF!</v>
      </c>
      <c r="C583" t="e">
        <f>AND(#REF!,"AAAAAHv9twI=")</f>
        <v>#REF!</v>
      </c>
      <c r="D583" t="e">
        <f>AND(#REF!,"AAAAAHv9twM=")</f>
        <v>#REF!</v>
      </c>
      <c r="E583" t="e">
        <f>AND(#REF!,"AAAAAHv9twQ=")</f>
        <v>#REF!</v>
      </c>
      <c r="F583" t="e">
        <f>AND(#REF!,"AAAAAHv9twU=")</f>
        <v>#REF!</v>
      </c>
      <c r="G583" t="e">
        <f>IF(#REF!,"AAAAAHv9twY=",0)</f>
        <v>#REF!</v>
      </c>
      <c r="H583" t="e">
        <f>AND(#REF!,"AAAAAHv9twc=")</f>
        <v>#REF!</v>
      </c>
      <c r="I583" t="e">
        <f>AND(#REF!,"AAAAAHv9twg=")</f>
        <v>#REF!</v>
      </c>
      <c r="J583" t="e">
        <f>AND(#REF!,"AAAAAHv9twk=")</f>
        <v>#REF!</v>
      </c>
      <c r="K583" t="e">
        <f>AND(#REF!,"AAAAAHv9two=")</f>
        <v>#REF!</v>
      </c>
      <c r="L583" t="e">
        <f>AND(#REF!,"AAAAAHv9tws=")</f>
        <v>#REF!</v>
      </c>
      <c r="M583" t="e">
        <f>AND(#REF!,"AAAAAHv9tww=")</f>
        <v>#REF!</v>
      </c>
      <c r="N583" t="e">
        <f>AND(#REF!,"AAAAAHv9tw0=")</f>
        <v>#REF!</v>
      </c>
      <c r="O583" t="e">
        <f>AND(#REF!,"AAAAAHv9tw4=")</f>
        <v>#REF!</v>
      </c>
      <c r="P583" t="e">
        <f>AND(#REF!,"AAAAAHv9tw8=")</f>
        <v>#REF!</v>
      </c>
      <c r="Q583" t="e">
        <f>AND(#REF!,"AAAAAHv9txA=")</f>
        <v>#REF!</v>
      </c>
      <c r="R583" t="e">
        <f>IF(#REF!,"AAAAAHv9txE=",0)</f>
        <v>#REF!</v>
      </c>
      <c r="S583" t="e">
        <f>AND(#REF!,"AAAAAHv9txI=")</f>
        <v>#REF!</v>
      </c>
      <c r="T583" t="e">
        <f>AND(#REF!,"AAAAAHv9txM=")</f>
        <v>#REF!</v>
      </c>
      <c r="U583" t="e">
        <f>AND(#REF!,"AAAAAHv9txQ=")</f>
        <v>#REF!</v>
      </c>
      <c r="V583" t="e">
        <f>AND(#REF!,"AAAAAHv9txU=")</f>
        <v>#REF!</v>
      </c>
      <c r="W583" t="e">
        <f>AND(#REF!,"AAAAAHv9txY=")</f>
        <v>#REF!</v>
      </c>
      <c r="X583" t="e">
        <f>AND(#REF!,"AAAAAHv9txc=")</f>
        <v>#REF!</v>
      </c>
      <c r="Y583" t="e">
        <f>AND(#REF!,"AAAAAHv9txg=")</f>
        <v>#REF!</v>
      </c>
      <c r="Z583" t="e">
        <f>AND(#REF!,"AAAAAHv9txk=")</f>
        <v>#REF!</v>
      </c>
      <c r="AA583" t="e">
        <f>AND(#REF!,"AAAAAHv9txo=")</f>
        <v>#REF!</v>
      </c>
      <c r="AB583" t="e">
        <f>AND(#REF!,"AAAAAHv9txs=")</f>
        <v>#REF!</v>
      </c>
      <c r="AC583" t="e">
        <f>IF(#REF!,"AAAAAHv9txw=",0)</f>
        <v>#REF!</v>
      </c>
      <c r="AD583" t="e">
        <f>AND(#REF!,"AAAAAHv9tx0=")</f>
        <v>#REF!</v>
      </c>
      <c r="AE583" t="e">
        <f>AND(#REF!,"AAAAAHv9tx4=")</f>
        <v>#REF!</v>
      </c>
      <c r="AF583" t="e">
        <f>AND(#REF!,"AAAAAHv9tx8=")</f>
        <v>#REF!</v>
      </c>
      <c r="AG583" t="e">
        <f>AND(#REF!,"AAAAAHv9tyA=")</f>
        <v>#REF!</v>
      </c>
      <c r="AH583" t="e">
        <f>AND(#REF!,"AAAAAHv9tyE=")</f>
        <v>#REF!</v>
      </c>
      <c r="AI583" t="e">
        <f>AND(#REF!,"AAAAAHv9tyI=")</f>
        <v>#REF!</v>
      </c>
      <c r="AJ583" t="e">
        <f>AND(#REF!,"AAAAAHv9tyM=")</f>
        <v>#REF!</v>
      </c>
      <c r="AK583" t="e">
        <f>AND(#REF!,"AAAAAHv9tyQ=")</f>
        <v>#REF!</v>
      </c>
      <c r="AL583" t="e">
        <f>AND(#REF!,"AAAAAHv9tyU=")</f>
        <v>#REF!</v>
      </c>
      <c r="AM583" t="e">
        <f>AND(#REF!,"AAAAAHv9tyY=")</f>
        <v>#REF!</v>
      </c>
      <c r="AN583" t="e">
        <f>IF(#REF!,"AAAAAHv9tyc=",0)</f>
        <v>#REF!</v>
      </c>
      <c r="AO583" t="e">
        <f>AND(#REF!,"AAAAAHv9tyg=")</f>
        <v>#REF!</v>
      </c>
      <c r="AP583" t="e">
        <f>AND(#REF!,"AAAAAHv9tyk=")</f>
        <v>#REF!</v>
      </c>
      <c r="AQ583" t="e">
        <f>AND(#REF!,"AAAAAHv9tyo=")</f>
        <v>#REF!</v>
      </c>
      <c r="AR583" t="e">
        <f>AND(#REF!,"AAAAAHv9tys=")</f>
        <v>#REF!</v>
      </c>
      <c r="AS583" t="e">
        <f>AND(#REF!,"AAAAAHv9tyw=")</f>
        <v>#REF!</v>
      </c>
      <c r="AT583" t="e">
        <f>AND(#REF!,"AAAAAHv9ty0=")</f>
        <v>#REF!</v>
      </c>
      <c r="AU583" t="e">
        <f>AND(#REF!,"AAAAAHv9ty4=")</f>
        <v>#REF!</v>
      </c>
      <c r="AV583" t="e">
        <f>AND(#REF!,"AAAAAHv9ty8=")</f>
        <v>#REF!</v>
      </c>
      <c r="AW583" t="e">
        <f>AND(#REF!,"AAAAAHv9tzA=")</f>
        <v>#REF!</v>
      </c>
      <c r="AX583" t="e">
        <f>AND(#REF!,"AAAAAHv9tzE=")</f>
        <v>#REF!</v>
      </c>
      <c r="AY583" t="e">
        <f>IF(#REF!,"AAAAAHv9tzI=",0)</f>
        <v>#REF!</v>
      </c>
      <c r="AZ583" t="e">
        <f>AND(#REF!,"AAAAAHv9tzM=")</f>
        <v>#REF!</v>
      </c>
      <c r="BA583" t="e">
        <f>AND(#REF!,"AAAAAHv9tzQ=")</f>
        <v>#REF!</v>
      </c>
      <c r="BB583" t="e">
        <f>AND(#REF!,"AAAAAHv9tzU=")</f>
        <v>#REF!</v>
      </c>
      <c r="BC583" t="e">
        <f>AND(#REF!,"AAAAAHv9tzY=")</f>
        <v>#REF!</v>
      </c>
      <c r="BD583" t="e">
        <f>AND(#REF!,"AAAAAHv9tzc=")</f>
        <v>#REF!</v>
      </c>
      <c r="BE583" t="e">
        <f>AND(#REF!,"AAAAAHv9tzg=")</f>
        <v>#REF!</v>
      </c>
      <c r="BF583" t="e">
        <f>AND(#REF!,"AAAAAHv9tzk=")</f>
        <v>#REF!</v>
      </c>
      <c r="BG583" t="e">
        <f>AND(#REF!,"AAAAAHv9tzo=")</f>
        <v>#REF!</v>
      </c>
      <c r="BH583" t="e">
        <f>AND(#REF!,"AAAAAHv9tzs=")</f>
        <v>#REF!</v>
      </c>
      <c r="BI583" t="e">
        <f>AND(#REF!,"AAAAAHv9tzw=")</f>
        <v>#REF!</v>
      </c>
      <c r="BJ583" t="e">
        <f>IF(#REF!,"AAAAAHv9tz0=",0)</f>
        <v>#REF!</v>
      </c>
      <c r="BK583" t="e">
        <f>AND(#REF!,"AAAAAHv9tz4=")</f>
        <v>#REF!</v>
      </c>
      <c r="BL583" t="e">
        <f>AND(#REF!,"AAAAAHv9tz8=")</f>
        <v>#REF!</v>
      </c>
      <c r="BM583" t="e">
        <f>AND(#REF!,"AAAAAHv9t0A=")</f>
        <v>#REF!</v>
      </c>
      <c r="BN583" t="e">
        <f>AND(#REF!,"AAAAAHv9t0E=")</f>
        <v>#REF!</v>
      </c>
      <c r="BO583" t="e">
        <f>AND(#REF!,"AAAAAHv9t0I=")</f>
        <v>#REF!</v>
      </c>
      <c r="BP583" t="e">
        <f>AND(#REF!,"AAAAAHv9t0M=")</f>
        <v>#REF!</v>
      </c>
      <c r="BQ583" t="e">
        <f>AND(#REF!,"AAAAAHv9t0Q=")</f>
        <v>#REF!</v>
      </c>
      <c r="BR583" t="e">
        <f>AND(#REF!,"AAAAAHv9t0U=")</f>
        <v>#REF!</v>
      </c>
      <c r="BS583" t="e">
        <f>AND(#REF!,"AAAAAHv9t0Y=")</f>
        <v>#REF!</v>
      </c>
      <c r="BT583" t="e">
        <f>AND(#REF!,"AAAAAHv9t0c=")</f>
        <v>#REF!</v>
      </c>
      <c r="BU583" t="e">
        <f>IF(#REF!,"AAAAAHv9t0g=",0)</f>
        <v>#REF!</v>
      </c>
      <c r="BV583" t="e">
        <f>AND(#REF!,"AAAAAHv9t0k=")</f>
        <v>#REF!</v>
      </c>
      <c r="BW583" t="e">
        <f>AND(#REF!,"AAAAAHv9t0o=")</f>
        <v>#REF!</v>
      </c>
      <c r="BX583" t="e">
        <f>AND(#REF!,"AAAAAHv9t0s=")</f>
        <v>#REF!</v>
      </c>
      <c r="BY583" t="e">
        <f>AND(#REF!,"AAAAAHv9t0w=")</f>
        <v>#REF!</v>
      </c>
      <c r="BZ583" t="e">
        <f>AND(#REF!,"AAAAAHv9t00=")</f>
        <v>#REF!</v>
      </c>
      <c r="CA583" t="e">
        <f>AND(#REF!,"AAAAAHv9t04=")</f>
        <v>#REF!</v>
      </c>
      <c r="CB583" t="e">
        <f>AND(#REF!,"AAAAAHv9t08=")</f>
        <v>#REF!</v>
      </c>
      <c r="CC583" t="e">
        <f>AND(#REF!,"AAAAAHv9t1A=")</f>
        <v>#REF!</v>
      </c>
      <c r="CD583" t="e">
        <f>AND(#REF!,"AAAAAHv9t1E=")</f>
        <v>#REF!</v>
      </c>
      <c r="CE583" t="e">
        <f>AND(#REF!,"AAAAAHv9t1I=")</f>
        <v>#REF!</v>
      </c>
      <c r="CF583" t="e">
        <f>IF(#REF!,"AAAAAHv9t1M=",0)</f>
        <v>#REF!</v>
      </c>
      <c r="CG583" t="e">
        <f>AND(#REF!,"AAAAAHv9t1Q=")</f>
        <v>#REF!</v>
      </c>
      <c r="CH583" t="e">
        <f>AND(#REF!,"AAAAAHv9t1U=")</f>
        <v>#REF!</v>
      </c>
      <c r="CI583" t="e">
        <f>AND(#REF!,"AAAAAHv9t1Y=")</f>
        <v>#REF!</v>
      </c>
      <c r="CJ583" t="e">
        <f>AND(#REF!,"AAAAAHv9t1c=")</f>
        <v>#REF!</v>
      </c>
      <c r="CK583" t="e">
        <f>AND(#REF!,"AAAAAHv9t1g=")</f>
        <v>#REF!</v>
      </c>
      <c r="CL583" t="e">
        <f>AND(#REF!,"AAAAAHv9t1k=")</f>
        <v>#REF!</v>
      </c>
      <c r="CM583" t="e">
        <f>AND(#REF!,"AAAAAHv9t1o=")</f>
        <v>#REF!</v>
      </c>
      <c r="CN583" t="e">
        <f>AND(#REF!,"AAAAAHv9t1s=")</f>
        <v>#REF!</v>
      </c>
      <c r="CO583" t="e">
        <f>AND(#REF!,"AAAAAHv9t1w=")</f>
        <v>#REF!</v>
      </c>
      <c r="CP583" t="e">
        <f>AND(#REF!,"AAAAAHv9t10=")</f>
        <v>#REF!</v>
      </c>
      <c r="CQ583" t="e">
        <f>IF(#REF!,"AAAAAHv9t14=",0)</f>
        <v>#REF!</v>
      </c>
      <c r="CR583" t="e">
        <f>AND(#REF!,"AAAAAHv9t18=")</f>
        <v>#REF!</v>
      </c>
      <c r="CS583" t="e">
        <f>AND(#REF!,"AAAAAHv9t2A=")</f>
        <v>#REF!</v>
      </c>
      <c r="CT583" t="e">
        <f>AND(#REF!,"AAAAAHv9t2E=")</f>
        <v>#REF!</v>
      </c>
      <c r="CU583" t="e">
        <f>AND(#REF!,"AAAAAHv9t2I=")</f>
        <v>#REF!</v>
      </c>
      <c r="CV583" t="e">
        <f>AND(#REF!,"AAAAAHv9t2M=")</f>
        <v>#REF!</v>
      </c>
      <c r="CW583" t="e">
        <f>AND(#REF!,"AAAAAHv9t2Q=")</f>
        <v>#REF!</v>
      </c>
      <c r="CX583" t="e">
        <f>AND(#REF!,"AAAAAHv9t2U=")</f>
        <v>#REF!</v>
      </c>
      <c r="CY583" t="e">
        <f>AND(#REF!,"AAAAAHv9t2Y=")</f>
        <v>#REF!</v>
      </c>
      <c r="CZ583" t="e">
        <f>AND(#REF!,"AAAAAHv9t2c=")</f>
        <v>#REF!</v>
      </c>
      <c r="DA583" t="e">
        <f>AND(#REF!,"AAAAAHv9t2g=")</f>
        <v>#REF!</v>
      </c>
      <c r="DB583" t="e">
        <f>IF(#REF!,"AAAAAHv9t2k=",0)</f>
        <v>#REF!</v>
      </c>
      <c r="DC583" t="e">
        <f>AND(#REF!,"AAAAAHv9t2o=")</f>
        <v>#REF!</v>
      </c>
      <c r="DD583" t="e">
        <f>AND(#REF!,"AAAAAHv9t2s=")</f>
        <v>#REF!</v>
      </c>
      <c r="DE583" t="e">
        <f>AND(#REF!,"AAAAAHv9t2w=")</f>
        <v>#REF!</v>
      </c>
      <c r="DF583" t="e">
        <f>AND(#REF!,"AAAAAHv9t20=")</f>
        <v>#REF!</v>
      </c>
      <c r="DG583" t="e">
        <f>AND(#REF!,"AAAAAHv9t24=")</f>
        <v>#REF!</v>
      </c>
      <c r="DH583" t="e">
        <f>AND(#REF!,"AAAAAHv9t28=")</f>
        <v>#REF!</v>
      </c>
      <c r="DI583" t="e">
        <f>AND(#REF!,"AAAAAHv9t3A=")</f>
        <v>#REF!</v>
      </c>
      <c r="DJ583" t="e">
        <f>AND(#REF!,"AAAAAHv9t3E=")</f>
        <v>#REF!</v>
      </c>
      <c r="DK583" t="e">
        <f>AND(#REF!,"AAAAAHv9t3I=")</f>
        <v>#REF!</v>
      </c>
      <c r="DL583" t="e">
        <f>AND(#REF!,"AAAAAHv9t3M=")</f>
        <v>#REF!</v>
      </c>
      <c r="DM583" t="e">
        <f>IF(#REF!,"AAAAAHv9t3Q=",0)</f>
        <v>#REF!</v>
      </c>
      <c r="DN583" t="e">
        <f>AND(#REF!,"AAAAAHv9t3U=")</f>
        <v>#REF!</v>
      </c>
      <c r="DO583" t="e">
        <f>AND(#REF!,"AAAAAHv9t3Y=")</f>
        <v>#REF!</v>
      </c>
      <c r="DP583" t="e">
        <f>AND(#REF!,"AAAAAHv9t3c=")</f>
        <v>#REF!</v>
      </c>
      <c r="DQ583" t="e">
        <f>AND(#REF!,"AAAAAHv9t3g=")</f>
        <v>#REF!</v>
      </c>
      <c r="DR583" t="e">
        <f>AND(#REF!,"AAAAAHv9t3k=")</f>
        <v>#REF!</v>
      </c>
      <c r="DS583" t="e">
        <f>AND(#REF!,"AAAAAHv9t3o=")</f>
        <v>#REF!</v>
      </c>
      <c r="DT583" t="e">
        <f>AND(#REF!,"AAAAAHv9t3s=")</f>
        <v>#REF!</v>
      </c>
      <c r="DU583" t="e">
        <f>AND(#REF!,"AAAAAHv9t3w=")</f>
        <v>#REF!</v>
      </c>
      <c r="DV583" t="e">
        <f>AND(#REF!,"AAAAAHv9t30=")</f>
        <v>#REF!</v>
      </c>
      <c r="DW583" t="e">
        <f>AND(#REF!,"AAAAAHv9t34=")</f>
        <v>#REF!</v>
      </c>
      <c r="DX583" t="e">
        <f>IF(#REF!,"AAAAAHv9t38=",0)</f>
        <v>#REF!</v>
      </c>
      <c r="DY583" t="e">
        <f>AND(#REF!,"AAAAAHv9t4A=")</f>
        <v>#REF!</v>
      </c>
      <c r="DZ583" t="e">
        <f>AND(#REF!,"AAAAAHv9t4E=")</f>
        <v>#REF!</v>
      </c>
      <c r="EA583" t="e">
        <f>AND(#REF!,"AAAAAHv9t4I=")</f>
        <v>#REF!</v>
      </c>
      <c r="EB583" t="e">
        <f>AND(#REF!,"AAAAAHv9t4M=")</f>
        <v>#REF!</v>
      </c>
      <c r="EC583" t="e">
        <f>AND(#REF!,"AAAAAHv9t4Q=")</f>
        <v>#REF!</v>
      </c>
      <c r="ED583" t="e">
        <f>AND(#REF!,"AAAAAHv9t4U=")</f>
        <v>#REF!</v>
      </c>
      <c r="EE583" t="e">
        <f>AND(#REF!,"AAAAAHv9t4Y=")</f>
        <v>#REF!</v>
      </c>
      <c r="EF583" t="e">
        <f>AND(#REF!,"AAAAAHv9t4c=")</f>
        <v>#REF!</v>
      </c>
      <c r="EG583" t="e">
        <f>AND(#REF!,"AAAAAHv9t4g=")</f>
        <v>#REF!</v>
      </c>
      <c r="EH583" t="e">
        <f>AND(#REF!,"AAAAAHv9t4k=")</f>
        <v>#REF!</v>
      </c>
      <c r="EI583" t="e">
        <f>IF(#REF!,"AAAAAHv9t4o=",0)</f>
        <v>#REF!</v>
      </c>
      <c r="EJ583" t="e">
        <f>AND(#REF!,"AAAAAHv9t4s=")</f>
        <v>#REF!</v>
      </c>
      <c r="EK583" t="e">
        <f>AND(#REF!,"AAAAAHv9t4w=")</f>
        <v>#REF!</v>
      </c>
      <c r="EL583" t="e">
        <f>AND(#REF!,"AAAAAHv9t40=")</f>
        <v>#REF!</v>
      </c>
      <c r="EM583" t="e">
        <f>AND(#REF!,"AAAAAHv9t44=")</f>
        <v>#REF!</v>
      </c>
      <c r="EN583" t="e">
        <f>AND(#REF!,"AAAAAHv9t48=")</f>
        <v>#REF!</v>
      </c>
      <c r="EO583" t="e">
        <f>AND(#REF!,"AAAAAHv9t5A=")</f>
        <v>#REF!</v>
      </c>
      <c r="EP583" t="e">
        <f>AND(#REF!,"AAAAAHv9t5E=")</f>
        <v>#REF!</v>
      </c>
      <c r="EQ583" t="e">
        <f>AND(#REF!,"AAAAAHv9t5I=")</f>
        <v>#REF!</v>
      </c>
      <c r="ER583" t="e">
        <f>AND(#REF!,"AAAAAHv9t5M=")</f>
        <v>#REF!</v>
      </c>
      <c r="ES583" t="e">
        <f>AND(#REF!,"AAAAAHv9t5Q=")</f>
        <v>#REF!</v>
      </c>
      <c r="ET583" t="e">
        <f>IF(#REF!,"AAAAAHv9t5U=",0)</f>
        <v>#REF!</v>
      </c>
      <c r="EU583" t="e">
        <f>AND(#REF!,"AAAAAHv9t5Y=")</f>
        <v>#REF!</v>
      </c>
      <c r="EV583" t="e">
        <f>AND(#REF!,"AAAAAHv9t5c=")</f>
        <v>#REF!</v>
      </c>
      <c r="EW583" t="e">
        <f>AND(#REF!,"AAAAAHv9t5g=")</f>
        <v>#REF!</v>
      </c>
      <c r="EX583" t="e">
        <f>AND(#REF!,"AAAAAHv9t5k=")</f>
        <v>#REF!</v>
      </c>
      <c r="EY583" t="e">
        <f>AND(#REF!,"AAAAAHv9t5o=")</f>
        <v>#REF!</v>
      </c>
      <c r="EZ583" t="e">
        <f>AND(#REF!,"AAAAAHv9t5s=")</f>
        <v>#REF!</v>
      </c>
      <c r="FA583" t="e">
        <f>AND(#REF!,"AAAAAHv9t5w=")</f>
        <v>#REF!</v>
      </c>
      <c r="FB583" t="e">
        <f>AND(#REF!,"AAAAAHv9t50=")</f>
        <v>#REF!</v>
      </c>
      <c r="FC583" t="e">
        <f>AND(#REF!,"AAAAAHv9t54=")</f>
        <v>#REF!</v>
      </c>
      <c r="FD583" t="e">
        <f>AND(#REF!,"AAAAAHv9t58=")</f>
        <v>#REF!</v>
      </c>
      <c r="FE583" t="e">
        <f>IF(#REF!,"AAAAAHv9t6A=",0)</f>
        <v>#REF!</v>
      </c>
      <c r="FF583" t="e">
        <f>AND(#REF!,"AAAAAHv9t6E=")</f>
        <v>#REF!</v>
      </c>
      <c r="FG583" t="e">
        <f>AND(#REF!,"AAAAAHv9t6I=")</f>
        <v>#REF!</v>
      </c>
      <c r="FH583" t="e">
        <f>AND(#REF!,"AAAAAHv9t6M=")</f>
        <v>#REF!</v>
      </c>
      <c r="FI583" t="e">
        <f>AND(#REF!,"AAAAAHv9t6Q=")</f>
        <v>#REF!</v>
      </c>
      <c r="FJ583" t="e">
        <f>AND(#REF!,"AAAAAHv9t6U=")</f>
        <v>#REF!</v>
      </c>
      <c r="FK583" t="e">
        <f>AND(#REF!,"AAAAAHv9t6Y=")</f>
        <v>#REF!</v>
      </c>
      <c r="FL583" t="e">
        <f>AND(#REF!,"AAAAAHv9t6c=")</f>
        <v>#REF!</v>
      </c>
      <c r="FM583" t="e">
        <f>AND(#REF!,"AAAAAHv9t6g=")</f>
        <v>#REF!</v>
      </c>
      <c r="FN583" t="e">
        <f>AND(#REF!,"AAAAAHv9t6k=")</f>
        <v>#REF!</v>
      </c>
      <c r="FO583" t="e">
        <f>AND(#REF!,"AAAAAHv9t6o=")</f>
        <v>#REF!</v>
      </c>
      <c r="FP583" t="e">
        <f>IF(#REF!,"AAAAAHv9t6s=",0)</f>
        <v>#REF!</v>
      </c>
      <c r="FQ583" t="e">
        <f>AND(#REF!,"AAAAAHv9t6w=")</f>
        <v>#REF!</v>
      </c>
      <c r="FR583" t="e">
        <f>AND(#REF!,"AAAAAHv9t60=")</f>
        <v>#REF!</v>
      </c>
      <c r="FS583" t="e">
        <f>AND(#REF!,"AAAAAHv9t64=")</f>
        <v>#REF!</v>
      </c>
      <c r="FT583" t="e">
        <f>AND(#REF!,"AAAAAHv9t68=")</f>
        <v>#REF!</v>
      </c>
      <c r="FU583" t="e">
        <f>AND(#REF!,"AAAAAHv9t7A=")</f>
        <v>#REF!</v>
      </c>
      <c r="FV583" t="e">
        <f>AND(#REF!,"AAAAAHv9t7E=")</f>
        <v>#REF!</v>
      </c>
      <c r="FW583" t="e">
        <f>AND(#REF!,"AAAAAHv9t7I=")</f>
        <v>#REF!</v>
      </c>
      <c r="FX583" t="e">
        <f>AND(#REF!,"AAAAAHv9t7M=")</f>
        <v>#REF!</v>
      </c>
      <c r="FY583" t="e">
        <f>AND(#REF!,"AAAAAHv9t7Q=")</f>
        <v>#REF!</v>
      </c>
      <c r="FZ583" t="e">
        <f>AND(#REF!,"AAAAAHv9t7U=")</f>
        <v>#REF!</v>
      </c>
      <c r="GA583" t="e">
        <f>IF(#REF!,"AAAAAHv9t7Y=",0)</f>
        <v>#REF!</v>
      </c>
      <c r="GB583" t="e">
        <f>AND(#REF!,"AAAAAHv9t7c=")</f>
        <v>#REF!</v>
      </c>
      <c r="GC583" t="e">
        <f>AND(#REF!,"AAAAAHv9t7g=")</f>
        <v>#REF!</v>
      </c>
      <c r="GD583" t="e">
        <f>AND(#REF!,"AAAAAHv9t7k=")</f>
        <v>#REF!</v>
      </c>
      <c r="GE583" t="e">
        <f>AND(#REF!,"AAAAAHv9t7o=")</f>
        <v>#REF!</v>
      </c>
      <c r="GF583" t="e">
        <f>AND(#REF!,"AAAAAHv9t7s=")</f>
        <v>#REF!</v>
      </c>
      <c r="GG583" t="e">
        <f>AND(#REF!,"AAAAAHv9t7w=")</f>
        <v>#REF!</v>
      </c>
      <c r="GH583" t="e">
        <f>AND(#REF!,"AAAAAHv9t70=")</f>
        <v>#REF!</v>
      </c>
      <c r="GI583" t="e">
        <f>AND(#REF!,"AAAAAHv9t74=")</f>
        <v>#REF!</v>
      </c>
      <c r="GJ583" t="e">
        <f>AND(#REF!,"AAAAAHv9t78=")</f>
        <v>#REF!</v>
      </c>
      <c r="GK583" t="e">
        <f>AND(#REF!,"AAAAAHv9t8A=")</f>
        <v>#REF!</v>
      </c>
      <c r="GL583" t="e">
        <f>IF(#REF!,"AAAAAHv9t8E=",0)</f>
        <v>#REF!</v>
      </c>
      <c r="GM583" t="e">
        <f>AND(#REF!,"AAAAAHv9t8I=")</f>
        <v>#REF!</v>
      </c>
      <c r="GN583" t="e">
        <f>AND(#REF!,"AAAAAHv9t8M=")</f>
        <v>#REF!</v>
      </c>
      <c r="GO583" t="e">
        <f>AND(#REF!,"AAAAAHv9t8Q=")</f>
        <v>#REF!</v>
      </c>
      <c r="GP583" t="e">
        <f>AND(#REF!,"AAAAAHv9t8U=")</f>
        <v>#REF!</v>
      </c>
      <c r="GQ583" t="e">
        <f>AND(#REF!,"AAAAAHv9t8Y=")</f>
        <v>#REF!</v>
      </c>
      <c r="GR583" t="e">
        <f>AND(#REF!,"AAAAAHv9t8c=")</f>
        <v>#REF!</v>
      </c>
      <c r="GS583" t="e">
        <f>AND(#REF!,"AAAAAHv9t8g=")</f>
        <v>#REF!</v>
      </c>
      <c r="GT583" t="e">
        <f>AND(#REF!,"AAAAAHv9t8k=")</f>
        <v>#REF!</v>
      </c>
      <c r="GU583" t="e">
        <f>AND(#REF!,"AAAAAHv9t8o=")</f>
        <v>#REF!</v>
      </c>
      <c r="GV583" t="e">
        <f>AND(#REF!,"AAAAAHv9t8s=")</f>
        <v>#REF!</v>
      </c>
      <c r="GW583" t="e">
        <f>IF(#REF!,"AAAAAHv9t8w=",0)</f>
        <v>#REF!</v>
      </c>
      <c r="GX583" t="e">
        <f>AND(#REF!,"AAAAAHv9t80=")</f>
        <v>#REF!</v>
      </c>
      <c r="GY583" t="e">
        <f>AND(#REF!,"AAAAAHv9t84=")</f>
        <v>#REF!</v>
      </c>
      <c r="GZ583" t="e">
        <f>AND(#REF!,"AAAAAHv9t88=")</f>
        <v>#REF!</v>
      </c>
      <c r="HA583" t="e">
        <f>AND(#REF!,"AAAAAHv9t9A=")</f>
        <v>#REF!</v>
      </c>
      <c r="HB583" t="e">
        <f>AND(#REF!,"AAAAAHv9t9E=")</f>
        <v>#REF!</v>
      </c>
      <c r="HC583" t="e">
        <f>AND(#REF!,"AAAAAHv9t9I=")</f>
        <v>#REF!</v>
      </c>
      <c r="HD583" t="e">
        <f>AND(#REF!,"AAAAAHv9t9M=")</f>
        <v>#REF!</v>
      </c>
      <c r="HE583" t="e">
        <f>AND(#REF!,"AAAAAHv9t9Q=")</f>
        <v>#REF!</v>
      </c>
      <c r="HF583" t="e">
        <f>AND(#REF!,"AAAAAHv9t9U=")</f>
        <v>#REF!</v>
      </c>
      <c r="HG583" t="e">
        <f>AND(#REF!,"AAAAAHv9t9Y=")</f>
        <v>#REF!</v>
      </c>
      <c r="HH583" t="e">
        <f>IF(#REF!,"AAAAAHv9t9c=",0)</f>
        <v>#REF!</v>
      </c>
      <c r="HI583" t="e">
        <f>AND(#REF!,"AAAAAHv9t9g=")</f>
        <v>#REF!</v>
      </c>
      <c r="HJ583" t="e">
        <f>AND(#REF!,"AAAAAHv9t9k=")</f>
        <v>#REF!</v>
      </c>
      <c r="HK583" t="e">
        <f>AND(#REF!,"AAAAAHv9t9o=")</f>
        <v>#REF!</v>
      </c>
      <c r="HL583" t="e">
        <f>AND(#REF!,"AAAAAHv9t9s=")</f>
        <v>#REF!</v>
      </c>
      <c r="HM583" t="e">
        <f>AND(#REF!,"AAAAAHv9t9w=")</f>
        <v>#REF!</v>
      </c>
      <c r="HN583" t="e">
        <f>AND(#REF!,"AAAAAHv9t90=")</f>
        <v>#REF!</v>
      </c>
      <c r="HO583" t="e">
        <f>AND(#REF!,"AAAAAHv9t94=")</f>
        <v>#REF!</v>
      </c>
      <c r="HP583" t="e">
        <f>AND(#REF!,"AAAAAHv9t98=")</f>
        <v>#REF!</v>
      </c>
      <c r="HQ583" t="e">
        <f>AND(#REF!,"AAAAAHv9t+A=")</f>
        <v>#REF!</v>
      </c>
      <c r="HR583" t="e">
        <f>AND(#REF!,"AAAAAHv9t+E=")</f>
        <v>#REF!</v>
      </c>
      <c r="HS583" t="e">
        <f>IF(#REF!,"AAAAAHv9t+I=",0)</f>
        <v>#REF!</v>
      </c>
      <c r="HT583" t="e">
        <f>AND(#REF!,"AAAAAHv9t+M=")</f>
        <v>#REF!</v>
      </c>
      <c r="HU583" t="e">
        <f>AND(#REF!,"AAAAAHv9t+Q=")</f>
        <v>#REF!</v>
      </c>
      <c r="HV583" t="e">
        <f>AND(#REF!,"AAAAAHv9t+U=")</f>
        <v>#REF!</v>
      </c>
      <c r="HW583" t="e">
        <f>AND(#REF!,"AAAAAHv9t+Y=")</f>
        <v>#REF!</v>
      </c>
      <c r="HX583" t="e">
        <f>AND(#REF!,"AAAAAHv9t+c=")</f>
        <v>#REF!</v>
      </c>
      <c r="HY583" t="e">
        <f>AND(#REF!,"AAAAAHv9t+g=")</f>
        <v>#REF!</v>
      </c>
      <c r="HZ583" t="e">
        <f>AND(#REF!,"AAAAAHv9t+k=")</f>
        <v>#REF!</v>
      </c>
      <c r="IA583" t="e">
        <f>AND(#REF!,"AAAAAHv9t+o=")</f>
        <v>#REF!</v>
      </c>
      <c r="IB583" t="e">
        <f>AND(#REF!,"AAAAAHv9t+s=")</f>
        <v>#REF!</v>
      </c>
      <c r="IC583" t="e">
        <f>AND(#REF!,"AAAAAHv9t+w=")</f>
        <v>#REF!</v>
      </c>
      <c r="ID583" t="e">
        <f>IF(#REF!,"AAAAAHv9t+0=",0)</f>
        <v>#REF!</v>
      </c>
      <c r="IE583" t="e">
        <f>AND(#REF!,"AAAAAHv9t+4=")</f>
        <v>#REF!</v>
      </c>
      <c r="IF583" t="e">
        <f>AND(#REF!,"AAAAAHv9t+8=")</f>
        <v>#REF!</v>
      </c>
      <c r="IG583" t="e">
        <f>AND(#REF!,"AAAAAHv9t/A=")</f>
        <v>#REF!</v>
      </c>
      <c r="IH583" t="e">
        <f>AND(#REF!,"AAAAAHv9t/E=")</f>
        <v>#REF!</v>
      </c>
      <c r="II583" t="e">
        <f>AND(#REF!,"AAAAAHv9t/I=")</f>
        <v>#REF!</v>
      </c>
      <c r="IJ583" t="e">
        <f>AND(#REF!,"AAAAAHv9t/M=")</f>
        <v>#REF!</v>
      </c>
      <c r="IK583" t="e">
        <f>AND(#REF!,"AAAAAHv9t/Q=")</f>
        <v>#REF!</v>
      </c>
      <c r="IL583" t="e">
        <f>AND(#REF!,"AAAAAHv9t/U=")</f>
        <v>#REF!</v>
      </c>
      <c r="IM583" t="e">
        <f>AND(#REF!,"AAAAAHv9t/Y=")</f>
        <v>#REF!</v>
      </c>
      <c r="IN583" t="e">
        <f>AND(#REF!,"AAAAAHv9t/c=")</f>
        <v>#REF!</v>
      </c>
      <c r="IO583" t="e">
        <f>IF(#REF!,"AAAAAHv9t/g=",0)</f>
        <v>#REF!</v>
      </c>
      <c r="IP583" t="e">
        <f>AND(#REF!,"AAAAAHv9t/k=")</f>
        <v>#REF!</v>
      </c>
      <c r="IQ583" t="e">
        <f>AND(#REF!,"AAAAAHv9t/o=")</f>
        <v>#REF!</v>
      </c>
      <c r="IR583" t="e">
        <f>AND(#REF!,"AAAAAHv9t/s=")</f>
        <v>#REF!</v>
      </c>
      <c r="IS583" t="e">
        <f>AND(#REF!,"AAAAAHv9t/w=")</f>
        <v>#REF!</v>
      </c>
      <c r="IT583" t="e">
        <f>AND(#REF!,"AAAAAHv9t/0=")</f>
        <v>#REF!</v>
      </c>
      <c r="IU583" t="e">
        <f>AND(#REF!,"AAAAAHv9t/4=")</f>
        <v>#REF!</v>
      </c>
      <c r="IV583" t="e">
        <f>AND(#REF!,"AAAAAHv9t/8=")</f>
        <v>#REF!</v>
      </c>
    </row>
    <row r="584" spans="1:256" x14ac:dyDescent="0.25">
      <c r="A584" t="e">
        <f>AND(#REF!,"AAAAAD75PQA=")</f>
        <v>#REF!</v>
      </c>
      <c r="B584" t="e">
        <f>AND(#REF!,"AAAAAD75PQE=")</f>
        <v>#REF!</v>
      </c>
      <c r="C584" t="e">
        <f>AND(#REF!,"AAAAAD75PQI=")</f>
        <v>#REF!</v>
      </c>
      <c r="D584" t="e">
        <f>IF(#REF!,"AAAAAD75PQM=",0)</f>
        <v>#REF!</v>
      </c>
      <c r="E584" t="e">
        <f>AND(#REF!,"AAAAAD75PQQ=")</f>
        <v>#REF!</v>
      </c>
      <c r="F584" t="e">
        <f>AND(#REF!,"AAAAAD75PQU=")</f>
        <v>#REF!</v>
      </c>
      <c r="G584" t="e">
        <f>AND(#REF!,"AAAAAD75PQY=")</f>
        <v>#REF!</v>
      </c>
      <c r="H584" t="e">
        <f>AND(#REF!,"AAAAAD75PQc=")</f>
        <v>#REF!</v>
      </c>
      <c r="I584" t="e">
        <f>AND(#REF!,"AAAAAD75PQg=")</f>
        <v>#REF!</v>
      </c>
      <c r="J584" t="e">
        <f>AND(#REF!,"AAAAAD75PQk=")</f>
        <v>#REF!</v>
      </c>
      <c r="K584" t="e">
        <f>AND(#REF!,"AAAAAD75PQo=")</f>
        <v>#REF!</v>
      </c>
      <c r="L584" t="e">
        <f>AND(#REF!,"AAAAAD75PQs=")</f>
        <v>#REF!</v>
      </c>
      <c r="M584" t="e">
        <f>AND(#REF!,"AAAAAD75PQw=")</f>
        <v>#REF!</v>
      </c>
      <c r="N584" t="e">
        <f>AND(#REF!,"AAAAAD75PQ0=")</f>
        <v>#REF!</v>
      </c>
      <c r="O584" t="e">
        <f>IF(#REF!,"AAAAAD75PQ4=",0)</f>
        <v>#REF!</v>
      </c>
      <c r="P584" t="e">
        <f>AND(#REF!,"AAAAAD75PQ8=")</f>
        <v>#REF!</v>
      </c>
      <c r="Q584" t="e">
        <f>AND(#REF!,"AAAAAD75PRA=")</f>
        <v>#REF!</v>
      </c>
      <c r="R584" t="e">
        <f>AND(#REF!,"AAAAAD75PRE=")</f>
        <v>#REF!</v>
      </c>
      <c r="S584" t="e">
        <f>AND(#REF!,"AAAAAD75PRI=")</f>
        <v>#REF!</v>
      </c>
      <c r="T584" t="e">
        <f>AND(#REF!,"AAAAAD75PRM=")</f>
        <v>#REF!</v>
      </c>
      <c r="U584" t="e">
        <f>AND(#REF!,"AAAAAD75PRQ=")</f>
        <v>#REF!</v>
      </c>
      <c r="V584" t="e">
        <f>AND(#REF!,"AAAAAD75PRU=")</f>
        <v>#REF!</v>
      </c>
      <c r="W584" t="e">
        <f>AND(#REF!,"AAAAAD75PRY=")</f>
        <v>#REF!</v>
      </c>
      <c r="X584" t="e">
        <f>AND(#REF!,"AAAAAD75PRc=")</f>
        <v>#REF!</v>
      </c>
      <c r="Y584" t="e">
        <f>AND(#REF!,"AAAAAD75PRg=")</f>
        <v>#REF!</v>
      </c>
      <c r="Z584" t="e">
        <f>IF(#REF!,"AAAAAD75PRk=",0)</f>
        <v>#REF!</v>
      </c>
      <c r="AA584" t="e">
        <f>AND(#REF!,"AAAAAD75PRo=")</f>
        <v>#REF!</v>
      </c>
      <c r="AB584" t="e">
        <f>AND(#REF!,"AAAAAD75PRs=")</f>
        <v>#REF!</v>
      </c>
      <c r="AC584" t="e">
        <f>AND(#REF!,"AAAAAD75PRw=")</f>
        <v>#REF!</v>
      </c>
      <c r="AD584" t="e">
        <f>AND(#REF!,"AAAAAD75PR0=")</f>
        <v>#REF!</v>
      </c>
      <c r="AE584" t="e">
        <f>AND(#REF!,"AAAAAD75PR4=")</f>
        <v>#REF!</v>
      </c>
      <c r="AF584" t="e">
        <f>AND(#REF!,"AAAAAD75PR8=")</f>
        <v>#REF!</v>
      </c>
      <c r="AG584" t="e">
        <f>AND(#REF!,"AAAAAD75PSA=")</f>
        <v>#REF!</v>
      </c>
      <c r="AH584" t="e">
        <f>AND(#REF!,"AAAAAD75PSE=")</f>
        <v>#REF!</v>
      </c>
      <c r="AI584" t="e">
        <f>AND(#REF!,"AAAAAD75PSI=")</f>
        <v>#REF!</v>
      </c>
      <c r="AJ584" t="e">
        <f>AND(#REF!,"AAAAAD75PSM=")</f>
        <v>#REF!</v>
      </c>
      <c r="AK584" t="e">
        <f>IF(#REF!,"AAAAAD75PSQ=",0)</f>
        <v>#REF!</v>
      </c>
      <c r="AL584" t="e">
        <f>AND(#REF!,"AAAAAD75PSU=")</f>
        <v>#REF!</v>
      </c>
      <c r="AM584" t="e">
        <f>AND(#REF!,"AAAAAD75PSY=")</f>
        <v>#REF!</v>
      </c>
      <c r="AN584" t="e">
        <f>AND(#REF!,"AAAAAD75PSc=")</f>
        <v>#REF!</v>
      </c>
      <c r="AO584" t="e">
        <f>AND(#REF!,"AAAAAD75PSg=")</f>
        <v>#REF!</v>
      </c>
      <c r="AP584" t="e">
        <f>AND(#REF!,"AAAAAD75PSk=")</f>
        <v>#REF!</v>
      </c>
      <c r="AQ584" t="e">
        <f>AND(#REF!,"AAAAAD75PSo=")</f>
        <v>#REF!</v>
      </c>
      <c r="AR584" t="e">
        <f>AND(#REF!,"AAAAAD75PSs=")</f>
        <v>#REF!</v>
      </c>
      <c r="AS584" t="e">
        <f>AND(#REF!,"AAAAAD75PSw=")</f>
        <v>#REF!</v>
      </c>
      <c r="AT584" t="e">
        <f>AND(#REF!,"AAAAAD75PS0=")</f>
        <v>#REF!</v>
      </c>
      <c r="AU584" t="e">
        <f>AND(#REF!,"AAAAAD75PS4=")</f>
        <v>#REF!</v>
      </c>
      <c r="AV584" t="e">
        <f>IF(#REF!,"AAAAAD75PS8=",0)</f>
        <v>#REF!</v>
      </c>
      <c r="AW584" t="e">
        <f>AND(#REF!,"AAAAAD75PTA=")</f>
        <v>#REF!</v>
      </c>
      <c r="AX584" t="e">
        <f>AND(#REF!,"AAAAAD75PTE=")</f>
        <v>#REF!</v>
      </c>
      <c r="AY584" t="e">
        <f>AND(#REF!,"AAAAAD75PTI=")</f>
        <v>#REF!</v>
      </c>
      <c r="AZ584" t="e">
        <f>AND(#REF!,"AAAAAD75PTM=")</f>
        <v>#REF!</v>
      </c>
      <c r="BA584" t="e">
        <f>AND(#REF!,"AAAAAD75PTQ=")</f>
        <v>#REF!</v>
      </c>
      <c r="BB584" t="e">
        <f>AND(#REF!,"AAAAAD75PTU=")</f>
        <v>#REF!</v>
      </c>
      <c r="BC584" t="e">
        <f>AND(#REF!,"AAAAAD75PTY=")</f>
        <v>#REF!</v>
      </c>
      <c r="BD584" t="e">
        <f>AND(#REF!,"AAAAAD75PTc=")</f>
        <v>#REF!</v>
      </c>
      <c r="BE584" t="e">
        <f>AND(#REF!,"AAAAAD75PTg=")</f>
        <v>#REF!</v>
      </c>
      <c r="BF584" t="e">
        <f>AND(#REF!,"AAAAAD75PTk=")</f>
        <v>#REF!</v>
      </c>
      <c r="BG584" t="e">
        <f>IF(#REF!,"AAAAAD75PTo=",0)</f>
        <v>#REF!</v>
      </c>
      <c r="BH584" t="e">
        <f>AND(#REF!,"AAAAAD75PTs=")</f>
        <v>#REF!</v>
      </c>
      <c r="BI584" t="e">
        <f>AND(#REF!,"AAAAAD75PTw=")</f>
        <v>#REF!</v>
      </c>
      <c r="BJ584" t="e">
        <f>AND(#REF!,"AAAAAD75PT0=")</f>
        <v>#REF!</v>
      </c>
      <c r="BK584" t="e">
        <f>AND(#REF!,"AAAAAD75PT4=")</f>
        <v>#REF!</v>
      </c>
      <c r="BL584" t="e">
        <f>AND(#REF!,"AAAAAD75PT8=")</f>
        <v>#REF!</v>
      </c>
      <c r="BM584" t="e">
        <f>AND(#REF!,"AAAAAD75PUA=")</f>
        <v>#REF!</v>
      </c>
      <c r="BN584" t="e">
        <f>AND(#REF!,"AAAAAD75PUE=")</f>
        <v>#REF!</v>
      </c>
      <c r="BO584" t="e">
        <f>AND(#REF!,"AAAAAD75PUI=")</f>
        <v>#REF!</v>
      </c>
      <c r="BP584" t="e">
        <f>AND(#REF!,"AAAAAD75PUM=")</f>
        <v>#REF!</v>
      </c>
      <c r="BQ584" t="e">
        <f>AND(#REF!,"AAAAAD75PUQ=")</f>
        <v>#REF!</v>
      </c>
      <c r="BR584" t="e">
        <f>IF(#REF!,"AAAAAD75PUU=",0)</f>
        <v>#REF!</v>
      </c>
      <c r="BS584" t="e">
        <f>AND(#REF!,"AAAAAD75PUY=")</f>
        <v>#REF!</v>
      </c>
      <c r="BT584" t="e">
        <f>AND(#REF!,"AAAAAD75PUc=")</f>
        <v>#REF!</v>
      </c>
      <c r="BU584" t="e">
        <f>AND(#REF!,"AAAAAD75PUg=")</f>
        <v>#REF!</v>
      </c>
      <c r="BV584" t="e">
        <f>AND(#REF!,"AAAAAD75PUk=")</f>
        <v>#REF!</v>
      </c>
      <c r="BW584" t="e">
        <f>AND(#REF!,"AAAAAD75PUo=")</f>
        <v>#REF!</v>
      </c>
      <c r="BX584" t="e">
        <f>AND(#REF!,"AAAAAD75PUs=")</f>
        <v>#REF!</v>
      </c>
      <c r="BY584" t="e">
        <f>AND(#REF!,"AAAAAD75PUw=")</f>
        <v>#REF!</v>
      </c>
      <c r="BZ584" t="e">
        <f>AND(#REF!,"AAAAAD75PU0=")</f>
        <v>#REF!</v>
      </c>
      <c r="CA584" t="e">
        <f>AND(#REF!,"AAAAAD75PU4=")</f>
        <v>#REF!</v>
      </c>
      <c r="CB584" t="e">
        <f>AND(#REF!,"AAAAAD75PU8=")</f>
        <v>#REF!</v>
      </c>
      <c r="CC584" t="e">
        <f>IF(#REF!,"AAAAAD75PVA=",0)</f>
        <v>#REF!</v>
      </c>
      <c r="CD584" t="e">
        <f>AND(#REF!,"AAAAAD75PVE=")</f>
        <v>#REF!</v>
      </c>
      <c r="CE584" t="e">
        <f>AND(#REF!,"AAAAAD75PVI=")</f>
        <v>#REF!</v>
      </c>
      <c r="CF584" t="e">
        <f>AND(#REF!,"AAAAAD75PVM=")</f>
        <v>#REF!</v>
      </c>
      <c r="CG584" t="e">
        <f>AND(#REF!,"AAAAAD75PVQ=")</f>
        <v>#REF!</v>
      </c>
      <c r="CH584" t="e">
        <f>AND(#REF!,"AAAAAD75PVU=")</f>
        <v>#REF!</v>
      </c>
      <c r="CI584" t="e">
        <f>AND(#REF!,"AAAAAD75PVY=")</f>
        <v>#REF!</v>
      </c>
      <c r="CJ584" t="e">
        <f>AND(#REF!,"AAAAAD75PVc=")</f>
        <v>#REF!</v>
      </c>
      <c r="CK584" t="e">
        <f>AND(#REF!,"AAAAAD75PVg=")</f>
        <v>#REF!</v>
      </c>
      <c r="CL584" t="e">
        <f>AND(#REF!,"AAAAAD75PVk=")</f>
        <v>#REF!</v>
      </c>
      <c r="CM584" t="e">
        <f>AND(#REF!,"AAAAAD75PVo=")</f>
        <v>#REF!</v>
      </c>
      <c r="CN584" t="e">
        <f>IF(#REF!,"AAAAAD75PVs=",0)</f>
        <v>#REF!</v>
      </c>
      <c r="CO584" t="e">
        <f>AND(#REF!,"AAAAAD75PVw=")</f>
        <v>#REF!</v>
      </c>
      <c r="CP584" t="e">
        <f>AND(#REF!,"AAAAAD75PV0=")</f>
        <v>#REF!</v>
      </c>
      <c r="CQ584" t="e">
        <f>AND(#REF!,"AAAAAD75PV4=")</f>
        <v>#REF!</v>
      </c>
      <c r="CR584" t="e">
        <f>AND(#REF!,"AAAAAD75PV8=")</f>
        <v>#REF!</v>
      </c>
      <c r="CS584" t="e">
        <f>AND(#REF!,"AAAAAD75PWA=")</f>
        <v>#REF!</v>
      </c>
      <c r="CT584" t="e">
        <f>AND(#REF!,"AAAAAD75PWE=")</f>
        <v>#REF!</v>
      </c>
      <c r="CU584" t="e">
        <f>AND(#REF!,"AAAAAD75PWI=")</f>
        <v>#REF!</v>
      </c>
      <c r="CV584" t="e">
        <f>AND(#REF!,"AAAAAD75PWM=")</f>
        <v>#REF!</v>
      </c>
      <c r="CW584" t="e">
        <f>AND(#REF!,"AAAAAD75PWQ=")</f>
        <v>#REF!</v>
      </c>
      <c r="CX584" t="e">
        <f>AND(#REF!,"AAAAAD75PWU=")</f>
        <v>#REF!</v>
      </c>
      <c r="CY584" t="e">
        <f>IF(#REF!,"AAAAAD75PWY=",0)</f>
        <v>#REF!</v>
      </c>
      <c r="CZ584" t="e">
        <f>AND(#REF!,"AAAAAD75PWc=")</f>
        <v>#REF!</v>
      </c>
      <c r="DA584" t="e">
        <f>AND(#REF!,"AAAAAD75PWg=")</f>
        <v>#REF!</v>
      </c>
      <c r="DB584" t="e">
        <f>AND(#REF!,"AAAAAD75PWk=")</f>
        <v>#REF!</v>
      </c>
      <c r="DC584" t="e">
        <f>AND(#REF!,"AAAAAD75PWo=")</f>
        <v>#REF!</v>
      </c>
      <c r="DD584" t="e">
        <f>AND(#REF!,"AAAAAD75PWs=")</f>
        <v>#REF!</v>
      </c>
      <c r="DE584" t="e">
        <f>AND(#REF!,"AAAAAD75PWw=")</f>
        <v>#REF!</v>
      </c>
      <c r="DF584" t="e">
        <f>AND(#REF!,"AAAAAD75PW0=")</f>
        <v>#REF!</v>
      </c>
      <c r="DG584" t="e">
        <f>AND(#REF!,"AAAAAD75PW4=")</f>
        <v>#REF!</v>
      </c>
      <c r="DH584" t="e">
        <f>AND(#REF!,"AAAAAD75PW8=")</f>
        <v>#REF!</v>
      </c>
      <c r="DI584" t="e">
        <f>AND(#REF!,"AAAAAD75PXA=")</f>
        <v>#REF!</v>
      </c>
      <c r="DJ584" t="e">
        <f>IF(#REF!,"AAAAAD75PXE=",0)</f>
        <v>#REF!</v>
      </c>
      <c r="DK584" t="e">
        <f>AND(#REF!,"AAAAAD75PXI=")</f>
        <v>#REF!</v>
      </c>
      <c r="DL584" t="e">
        <f>AND(#REF!,"AAAAAD75PXM=")</f>
        <v>#REF!</v>
      </c>
      <c r="DM584" t="e">
        <f>AND(#REF!,"AAAAAD75PXQ=")</f>
        <v>#REF!</v>
      </c>
      <c r="DN584" t="e">
        <f>AND(#REF!,"AAAAAD75PXU=")</f>
        <v>#REF!</v>
      </c>
      <c r="DO584" t="e">
        <f>AND(#REF!,"AAAAAD75PXY=")</f>
        <v>#REF!</v>
      </c>
      <c r="DP584" t="e">
        <f>AND(#REF!,"AAAAAD75PXc=")</f>
        <v>#REF!</v>
      </c>
      <c r="DQ584" t="e">
        <f>AND(#REF!,"AAAAAD75PXg=")</f>
        <v>#REF!</v>
      </c>
      <c r="DR584" t="e">
        <f>AND(#REF!,"AAAAAD75PXk=")</f>
        <v>#REF!</v>
      </c>
      <c r="DS584" t="e">
        <f>AND(#REF!,"AAAAAD75PXo=")</f>
        <v>#REF!</v>
      </c>
      <c r="DT584" t="e">
        <f>AND(#REF!,"AAAAAD75PXs=")</f>
        <v>#REF!</v>
      </c>
      <c r="DU584" t="e">
        <f>IF(#REF!,"AAAAAD75PXw=",0)</f>
        <v>#REF!</v>
      </c>
      <c r="DV584" t="e">
        <f>AND(#REF!,"AAAAAD75PX0=")</f>
        <v>#REF!</v>
      </c>
      <c r="DW584" t="e">
        <f>AND(#REF!,"AAAAAD75PX4=")</f>
        <v>#REF!</v>
      </c>
      <c r="DX584" t="e">
        <f>AND(#REF!,"AAAAAD75PX8=")</f>
        <v>#REF!</v>
      </c>
      <c r="DY584" t="e">
        <f>AND(#REF!,"AAAAAD75PYA=")</f>
        <v>#REF!</v>
      </c>
      <c r="DZ584" t="e">
        <f>AND(#REF!,"AAAAAD75PYE=")</f>
        <v>#REF!</v>
      </c>
      <c r="EA584" t="e">
        <f>AND(#REF!,"AAAAAD75PYI=")</f>
        <v>#REF!</v>
      </c>
      <c r="EB584" t="e">
        <f>AND(#REF!,"AAAAAD75PYM=")</f>
        <v>#REF!</v>
      </c>
      <c r="EC584" t="e">
        <f>AND(#REF!,"AAAAAD75PYQ=")</f>
        <v>#REF!</v>
      </c>
      <c r="ED584" t="e">
        <f>AND(#REF!,"AAAAAD75PYU=")</f>
        <v>#REF!</v>
      </c>
      <c r="EE584" t="e">
        <f>AND(#REF!,"AAAAAD75PYY=")</f>
        <v>#REF!</v>
      </c>
      <c r="EF584" t="e">
        <f>IF(#REF!,"AAAAAD75PYc=",0)</f>
        <v>#REF!</v>
      </c>
      <c r="EG584" t="e">
        <f>AND(#REF!,"AAAAAD75PYg=")</f>
        <v>#REF!</v>
      </c>
      <c r="EH584" t="e">
        <f>AND(#REF!,"AAAAAD75PYk=")</f>
        <v>#REF!</v>
      </c>
      <c r="EI584" t="e">
        <f>AND(#REF!,"AAAAAD75PYo=")</f>
        <v>#REF!</v>
      </c>
      <c r="EJ584" t="e">
        <f>AND(#REF!,"AAAAAD75PYs=")</f>
        <v>#REF!</v>
      </c>
      <c r="EK584" t="e">
        <f>AND(#REF!,"AAAAAD75PYw=")</f>
        <v>#REF!</v>
      </c>
      <c r="EL584" t="e">
        <f>AND(#REF!,"AAAAAD75PY0=")</f>
        <v>#REF!</v>
      </c>
      <c r="EM584" t="e">
        <f>AND(#REF!,"AAAAAD75PY4=")</f>
        <v>#REF!</v>
      </c>
      <c r="EN584" t="e">
        <f>AND(#REF!,"AAAAAD75PY8=")</f>
        <v>#REF!</v>
      </c>
      <c r="EO584" t="e">
        <f>AND(#REF!,"AAAAAD75PZA=")</f>
        <v>#REF!</v>
      </c>
      <c r="EP584" t="e">
        <f>AND(#REF!,"AAAAAD75PZE=")</f>
        <v>#REF!</v>
      </c>
      <c r="EQ584" t="e">
        <f>IF(#REF!,"AAAAAD75PZI=",0)</f>
        <v>#REF!</v>
      </c>
      <c r="ER584" t="e">
        <f>AND(#REF!,"AAAAAD75PZM=")</f>
        <v>#REF!</v>
      </c>
      <c r="ES584" t="e">
        <f>AND(#REF!,"AAAAAD75PZQ=")</f>
        <v>#REF!</v>
      </c>
      <c r="ET584" t="e">
        <f>AND(#REF!,"AAAAAD75PZU=")</f>
        <v>#REF!</v>
      </c>
      <c r="EU584" t="e">
        <f>AND(#REF!,"AAAAAD75PZY=")</f>
        <v>#REF!</v>
      </c>
      <c r="EV584" t="e">
        <f>AND(#REF!,"AAAAAD75PZc=")</f>
        <v>#REF!</v>
      </c>
      <c r="EW584" t="e">
        <f>AND(#REF!,"AAAAAD75PZg=")</f>
        <v>#REF!</v>
      </c>
      <c r="EX584" t="e">
        <f>AND(#REF!,"AAAAAD75PZk=")</f>
        <v>#REF!</v>
      </c>
      <c r="EY584" t="e">
        <f>AND(#REF!,"AAAAAD75PZo=")</f>
        <v>#REF!</v>
      </c>
      <c r="EZ584" t="e">
        <f>AND(#REF!,"AAAAAD75PZs=")</f>
        <v>#REF!</v>
      </c>
      <c r="FA584" t="e">
        <f>AND(#REF!,"AAAAAD75PZw=")</f>
        <v>#REF!</v>
      </c>
      <c r="FB584" t="e">
        <f>IF(#REF!,"AAAAAD75PZ0=",0)</f>
        <v>#REF!</v>
      </c>
      <c r="FC584" t="e">
        <f>AND(#REF!,"AAAAAD75PZ4=")</f>
        <v>#REF!</v>
      </c>
      <c r="FD584" t="e">
        <f>AND(#REF!,"AAAAAD75PZ8=")</f>
        <v>#REF!</v>
      </c>
      <c r="FE584" t="e">
        <f>AND(#REF!,"AAAAAD75PaA=")</f>
        <v>#REF!</v>
      </c>
      <c r="FF584" t="e">
        <f>AND(#REF!,"AAAAAD75PaE=")</f>
        <v>#REF!</v>
      </c>
      <c r="FG584" t="e">
        <f>AND(#REF!,"AAAAAD75PaI=")</f>
        <v>#REF!</v>
      </c>
      <c r="FH584" t="e">
        <f>AND(#REF!,"AAAAAD75PaM=")</f>
        <v>#REF!</v>
      </c>
      <c r="FI584" t="e">
        <f>AND(#REF!,"AAAAAD75PaQ=")</f>
        <v>#REF!</v>
      </c>
      <c r="FJ584" t="e">
        <f>AND(#REF!,"AAAAAD75PaU=")</f>
        <v>#REF!</v>
      </c>
      <c r="FK584" t="e">
        <f>AND(#REF!,"AAAAAD75PaY=")</f>
        <v>#REF!</v>
      </c>
      <c r="FL584" t="e">
        <f>AND(#REF!,"AAAAAD75Pac=")</f>
        <v>#REF!</v>
      </c>
      <c r="FM584" t="e">
        <f>IF(#REF!,"AAAAAD75Pag=",0)</f>
        <v>#REF!</v>
      </c>
      <c r="FN584" t="e">
        <f>AND(#REF!,"AAAAAD75Pak=")</f>
        <v>#REF!</v>
      </c>
      <c r="FO584" t="e">
        <f>AND(#REF!,"AAAAAD75Pao=")</f>
        <v>#REF!</v>
      </c>
      <c r="FP584" t="e">
        <f>AND(#REF!,"AAAAAD75Pas=")</f>
        <v>#REF!</v>
      </c>
      <c r="FQ584" t="e">
        <f>AND(#REF!,"AAAAAD75Paw=")</f>
        <v>#REF!</v>
      </c>
      <c r="FR584" t="e">
        <f>AND(#REF!,"AAAAAD75Pa0=")</f>
        <v>#REF!</v>
      </c>
      <c r="FS584" t="e">
        <f>AND(#REF!,"AAAAAD75Pa4=")</f>
        <v>#REF!</v>
      </c>
      <c r="FT584" t="e">
        <f>AND(#REF!,"AAAAAD75Pa8=")</f>
        <v>#REF!</v>
      </c>
      <c r="FU584" t="e">
        <f>AND(#REF!,"AAAAAD75PbA=")</f>
        <v>#REF!</v>
      </c>
      <c r="FV584" t="e">
        <f>AND(#REF!,"AAAAAD75PbE=")</f>
        <v>#REF!</v>
      </c>
      <c r="FW584" t="e">
        <f>AND(#REF!,"AAAAAD75PbI=")</f>
        <v>#REF!</v>
      </c>
      <c r="FX584" t="e">
        <f>IF(#REF!,"AAAAAD75PbM=",0)</f>
        <v>#REF!</v>
      </c>
      <c r="FY584" t="e">
        <f>AND(#REF!,"AAAAAD75PbQ=")</f>
        <v>#REF!</v>
      </c>
      <c r="FZ584" t="e">
        <f>AND(#REF!,"AAAAAD75PbU=")</f>
        <v>#REF!</v>
      </c>
      <c r="GA584" t="e">
        <f>AND(#REF!,"AAAAAD75PbY=")</f>
        <v>#REF!</v>
      </c>
      <c r="GB584" t="e">
        <f>AND(#REF!,"AAAAAD75Pbc=")</f>
        <v>#REF!</v>
      </c>
      <c r="GC584" t="e">
        <f>AND(#REF!,"AAAAAD75Pbg=")</f>
        <v>#REF!</v>
      </c>
      <c r="GD584" t="e">
        <f>AND(#REF!,"AAAAAD75Pbk=")</f>
        <v>#REF!</v>
      </c>
      <c r="GE584" t="e">
        <f>AND(#REF!,"AAAAAD75Pbo=")</f>
        <v>#REF!</v>
      </c>
      <c r="GF584" t="e">
        <f>AND(#REF!,"AAAAAD75Pbs=")</f>
        <v>#REF!</v>
      </c>
      <c r="GG584" t="e">
        <f>AND(#REF!,"AAAAAD75Pbw=")</f>
        <v>#REF!</v>
      </c>
      <c r="GH584" t="e">
        <f>AND(#REF!,"AAAAAD75Pb0=")</f>
        <v>#REF!</v>
      </c>
      <c r="GI584" t="e">
        <f>IF(#REF!,"AAAAAD75Pb4=",0)</f>
        <v>#REF!</v>
      </c>
      <c r="GJ584" t="e">
        <f>AND(#REF!,"AAAAAD75Pb8=")</f>
        <v>#REF!</v>
      </c>
      <c r="GK584" t="e">
        <f>AND(#REF!,"AAAAAD75PcA=")</f>
        <v>#REF!</v>
      </c>
      <c r="GL584" t="e">
        <f>AND(#REF!,"AAAAAD75PcE=")</f>
        <v>#REF!</v>
      </c>
      <c r="GM584" t="e">
        <f>AND(#REF!,"AAAAAD75PcI=")</f>
        <v>#REF!</v>
      </c>
      <c r="GN584" t="e">
        <f>AND(#REF!,"AAAAAD75PcM=")</f>
        <v>#REF!</v>
      </c>
      <c r="GO584" t="e">
        <f>AND(#REF!,"AAAAAD75PcQ=")</f>
        <v>#REF!</v>
      </c>
      <c r="GP584" t="e">
        <f>AND(#REF!,"AAAAAD75PcU=")</f>
        <v>#REF!</v>
      </c>
      <c r="GQ584" t="e">
        <f>AND(#REF!,"AAAAAD75PcY=")</f>
        <v>#REF!</v>
      </c>
      <c r="GR584" t="e">
        <f>AND(#REF!,"AAAAAD75Pcc=")</f>
        <v>#REF!</v>
      </c>
      <c r="GS584" t="e">
        <f>AND(#REF!,"AAAAAD75Pcg=")</f>
        <v>#REF!</v>
      </c>
      <c r="GT584" t="e">
        <f>IF(#REF!,"AAAAAD75Pck=",0)</f>
        <v>#REF!</v>
      </c>
      <c r="GU584" t="e">
        <f>AND(#REF!,"AAAAAD75Pco=")</f>
        <v>#REF!</v>
      </c>
      <c r="GV584" t="e">
        <f>AND(#REF!,"AAAAAD75Pcs=")</f>
        <v>#REF!</v>
      </c>
      <c r="GW584" t="e">
        <f>AND(#REF!,"AAAAAD75Pcw=")</f>
        <v>#REF!</v>
      </c>
      <c r="GX584" t="e">
        <f>AND(#REF!,"AAAAAD75Pc0=")</f>
        <v>#REF!</v>
      </c>
      <c r="GY584" t="e">
        <f>AND(#REF!,"AAAAAD75Pc4=")</f>
        <v>#REF!</v>
      </c>
      <c r="GZ584" t="e">
        <f>AND(#REF!,"AAAAAD75Pc8=")</f>
        <v>#REF!</v>
      </c>
      <c r="HA584" t="e">
        <f>AND(#REF!,"AAAAAD75PdA=")</f>
        <v>#REF!</v>
      </c>
      <c r="HB584" t="e">
        <f>AND(#REF!,"AAAAAD75PdE=")</f>
        <v>#REF!</v>
      </c>
      <c r="HC584" t="e">
        <f>AND(#REF!,"AAAAAD75PdI=")</f>
        <v>#REF!</v>
      </c>
      <c r="HD584" t="e">
        <f>AND(#REF!,"AAAAAD75PdM=")</f>
        <v>#REF!</v>
      </c>
      <c r="HE584" t="e">
        <f>IF(#REF!,"AAAAAD75PdQ=",0)</f>
        <v>#REF!</v>
      </c>
      <c r="HF584" t="e">
        <f>AND(#REF!,"AAAAAD75PdU=")</f>
        <v>#REF!</v>
      </c>
      <c r="HG584" t="e">
        <f>AND(#REF!,"AAAAAD75PdY=")</f>
        <v>#REF!</v>
      </c>
      <c r="HH584" t="e">
        <f>AND(#REF!,"AAAAAD75Pdc=")</f>
        <v>#REF!</v>
      </c>
      <c r="HI584" t="e">
        <f>AND(#REF!,"AAAAAD75Pdg=")</f>
        <v>#REF!</v>
      </c>
      <c r="HJ584" t="e">
        <f>AND(#REF!,"AAAAAD75Pdk=")</f>
        <v>#REF!</v>
      </c>
      <c r="HK584" t="e">
        <f>AND(#REF!,"AAAAAD75Pdo=")</f>
        <v>#REF!</v>
      </c>
      <c r="HL584" t="e">
        <f>AND(#REF!,"AAAAAD75Pds=")</f>
        <v>#REF!</v>
      </c>
      <c r="HM584" t="e">
        <f>AND(#REF!,"AAAAAD75Pdw=")</f>
        <v>#REF!</v>
      </c>
      <c r="HN584" t="e">
        <f>AND(#REF!,"AAAAAD75Pd0=")</f>
        <v>#REF!</v>
      </c>
      <c r="HO584" t="e">
        <f>AND(#REF!,"AAAAAD75Pd4=")</f>
        <v>#REF!</v>
      </c>
      <c r="HP584" t="e">
        <f>IF(#REF!,"AAAAAD75Pd8=",0)</f>
        <v>#REF!</v>
      </c>
      <c r="HQ584" t="e">
        <f>AND(#REF!,"AAAAAD75PeA=")</f>
        <v>#REF!</v>
      </c>
      <c r="HR584" t="e">
        <f>AND(#REF!,"AAAAAD75PeE=")</f>
        <v>#REF!</v>
      </c>
      <c r="HS584" t="e">
        <f>AND(#REF!,"AAAAAD75PeI=")</f>
        <v>#REF!</v>
      </c>
      <c r="HT584" t="e">
        <f>AND(#REF!,"AAAAAD75PeM=")</f>
        <v>#REF!</v>
      </c>
      <c r="HU584" t="e">
        <f>AND(#REF!,"AAAAAD75PeQ=")</f>
        <v>#REF!</v>
      </c>
      <c r="HV584" t="e">
        <f>AND(#REF!,"AAAAAD75PeU=")</f>
        <v>#REF!</v>
      </c>
      <c r="HW584" t="e">
        <f>AND(#REF!,"AAAAAD75PeY=")</f>
        <v>#REF!</v>
      </c>
      <c r="HX584" t="e">
        <f>AND(#REF!,"AAAAAD75Pec=")</f>
        <v>#REF!</v>
      </c>
      <c r="HY584" t="e">
        <f>AND(#REF!,"AAAAAD75Peg=")</f>
        <v>#REF!</v>
      </c>
      <c r="HZ584" t="e">
        <f>AND(#REF!,"AAAAAD75Pek=")</f>
        <v>#REF!</v>
      </c>
      <c r="IA584" t="e">
        <f>IF(#REF!,"AAAAAD75Peo=",0)</f>
        <v>#REF!</v>
      </c>
      <c r="IB584" t="e">
        <f>AND(#REF!,"AAAAAD75Pes=")</f>
        <v>#REF!</v>
      </c>
      <c r="IC584" t="e">
        <f>AND(#REF!,"AAAAAD75Pew=")</f>
        <v>#REF!</v>
      </c>
      <c r="ID584" t="e">
        <f>AND(#REF!,"AAAAAD75Pe0=")</f>
        <v>#REF!</v>
      </c>
      <c r="IE584" t="e">
        <f>AND(#REF!,"AAAAAD75Pe4=")</f>
        <v>#REF!</v>
      </c>
      <c r="IF584" t="e">
        <f>AND(#REF!,"AAAAAD75Pe8=")</f>
        <v>#REF!</v>
      </c>
      <c r="IG584" t="e">
        <f>AND(#REF!,"AAAAAD75PfA=")</f>
        <v>#REF!</v>
      </c>
      <c r="IH584" t="e">
        <f>AND(#REF!,"AAAAAD75PfE=")</f>
        <v>#REF!</v>
      </c>
      <c r="II584" t="e">
        <f>AND(#REF!,"AAAAAD75PfI=")</f>
        <v>#REF!</v>
      </c>
      <c r="IJ584" t="e">
        <f>AND(#REF!,"AAAAAD75PfM=")</f>
        <v>#REF!</v>
      </c>
      <c r="IK584" t="e">
        <f>AND(#REF!,"AAAAAD75PfQ=")</f>
        <v>#REF!</v>
      </c>
      <c r="IL584" t="e">
        <f>IF(#REF!,"AAAAAD75PfU=",0)</f>
        <v>#REF!</v>
      </c>
      <c r="IM584" t="e">
        <f>AND(#REF!,"AAAAAD75PfY=")</f>
        <v>#REF!</v>
      </c>
      <c r="IN584" t="e">
        <f>AND(#REF!,"AAAAAD75Pfc=")</f>
        <v>#REF!</v>
      </c>
      <c r="IO584" t="e">
        <f>AND(#REF!,"AAAAAD75Pfg=")</f>
        <v>#REF!</v>
      </c>
      <c r="IP584" t="e">
        <f>AND(#REF!,"AAAAAD75Pfk=")</f>
        <v>#REF!</v>
      </c>
      <c r="IQ584" t="e">
        <f>AND(#REF!,"AAAAAD75Pfo=")</f>
        <v>#REF!</v>
      </c>
      <c r="IR584" t="e">
        <f>AND(#REF!,"AAAAAD75Pfs=")</f>
        <v>#REF!</v>
      </c>
      <c r="IS584" t="e">
        <f>AND(#REF!,"AAAAAD75Pfw=")</f>
        <v>#REF!</v>
      </c>
      <c r="IT584" t="e">
        <f>AND(#REF!,"AAAAAD75Pf0=")</f>
        <v>#REF!</v>
      </c>
      <c r="IU584" t="e">
        <f>AND(#REF!,"AAAAAD75Pf4=")</f>
        <v>#REF!</v>
      </c>
      <c r="IV584" t="e">
        <f>AND(#REF!,"AAAAAD75Pf8=")</f>
        <v>#REF!</v>
      </c>
    </row>
    <row r="585" spans="1:256" x14ac:dyDescent="0.25">
      <c r="A585" t="e">
        <f>IF(#REF!,"AAAAAArgnwA=",0)</f>
        <v>#REF!</v>
      </c>
      <c r="B585" t="e">
        <f>AND(#REF!,"AAAAAArgnwE=")</f>
        <v>#REF!</v>
      </c>
      <c r="C585" t="e">
        <f>AND(#REF!,"AAAAAArgnwI=")</f>
        <v>#REF!</v>
      </c>
      <c r="D585" t="e">
        <f>AND(#REF!,"AAAAAArgnwM=")</f>
        <v>#REF!</v>
      </c>
      <c r="E585" t="e">
        <f>AND(#REF!,"AAAAAArgnwQ=")</f>
        <v>#REF!</v>
      </c>
      <c r="F585" t="e">
        <f>AND(#REF!,"AAAAAArgnwU=")</f>
        <v>#REF!</v>
      </c>
      <c r="G585" t="e">
        <f>AND(#REF!,"AAAAAArgnwY=")</f>
        <v>#REF!</v>
      </c>
      <c r="H585" t="e">
        <f>AND(#REF!,"AAAAAArgnwc=")</f>
        <v>#REF!</v>
      </c>
      <c r="I585" t="e">
        <f>AND(#REF!,"AAAAAArgnwg=")</f>
        <v>#REF!</v>
      </c>
      <c r="J585" t="e">
        <f>AND(#REF!,"AAAAAArgnwk=")</f>
        <v>#REF!</v>
      </c>
      <c r="K585" t="e">
        <f>AND(#REF!,"AAAAAArgnwo=")</f>
        <v>#REF!</v>
      </c>
      <c r="L585" t="e">
        <f>IF(#REF!,"AAAAAArgnws=",0)</f>
        <v>#REF!</v>
      </c>
      <c r="M585" t="e">
        <f>AND(#REF!,"AAAAAArgnww=")</f>
        <v>#REF!</v>
      </c>
      <c r="N585" t="e">
        <f>AND(#REF!,"AAAAAArgnw0=")</f>
        <v>#REF!</v>
      </c>
      <c r="O585" t="e">
        <f>AND(#REF!,"AAAAAArgnw4=")</f>
        <v>#REF!</v>
      </c>
      <c r="P585" t="e">
        <f>AND(#REF!,"AAAAAArgnw8=")</f>
        <v>#REF!</v>
      </c>
      <c r="Q585" t="e">
        <f>AND(#REF!,"AAAAAArgnxA=")</f>
        <v>#REF!</v>
      </c>
      <c r="R585" t="e">
        <f>AND(#REF!,"AAAAAArgnxE=")</f>
        <v>#REF!</v>
      </c>
      <c r="S585" t="e">
        <f>AND(#REF!,"AAAAAArgnxI=")</f>
        <v>#REF!</v>
      </c>
      <c r="T585" t="e">
        <f>AND(#REF!,"AAAAAArgnxM=")</f>
        <v>#REF!</v>
      </c>
      <c r="U585" t="e">
        <f>AND(#REF!,"AAAAAArgnxQ=")</f>
        <v>#REF!</v>
      </c>
      <c r="V585" t="e">
        <f>AND(#REF!,"AAAAAArgnxU=")</f>
        <v>#REF!</v>
      </c>
      <c r="W585" t="e">
        <f>IF(#REF!,"AAAAAArgnxY=",0)</f>
        <v>#REF!</v>
      </c>
      <c r="X585" t="e">
        <f>AND(#REF!,"AAAAAArgnxc=")</f>
        <v>#REF!</v>
      </c>
      <c r="Y585" t="e">
        <f>AND(#REF!,"AAAAAArgnxg=")</f>
        <v>#REF!</v>
      </c>
      <c r="Z585" t="e">
        <f>AND(#REF!,"AAAAAArgnxk=")</f>
        <v>#REF!</v>
      </c>
      <c r="AA585" t="e">
        <f>AND(#REF!,"AAAAAArgnxo=")</f>
        <v>#REF!</v>
      </c>
      <c r="AB585" t="e">
        <f>AND(#REF!,"AAAAAArgnxs=")</f>
        <v>#REF!</v>
      </c>
      <c r="AC585" t="e">
        <f>AND(#REF!,"AAAAAArgnxw=")</f>
        <v>#REF!</v>
      </c>
      <c r="AD585" t="e">
        <f>AND(#REF!,"AAAAAArgnx0=")</f>
        <v>#REF!</v>
      </c>
      <c r="AE585" t="e">
        <f>AND(#REF!,"AAAAAArgnx4=")</f>
        <v>#REF!</v>
      </c>
      <c r="AF585" t="e">
        <f>AND(#REF!,"AAAAAArgnx8=")</f>
        <v>#REF!</v>
      </c>
      <c r="AG585" t="e">
        <f>AND(#REF!,"AAAAAArgnyA=")</f>
        <v>#REF!</v>
      </c>
      <c r="AH585" t="e">
        <f>IF(#REF!,"AAAAAArgnyE=",0)</f>
        <v>#REF!</v>
      </c>
      <c r="AI585" t="e">
        <f>AND(#REF!,"AAAAAArgnyI=")</f>
        <v>#REF!</v>
      </c>
      <c r="AJ585" t="e">
        <f>AND(#REF!,"AAAAAArgnyM=")</f>
        <v>#REF!</v>
      </c>
      <c r="AK585" t="e">
        <f>AND(#REF!,"AAAAAArgnyQ=")</f>
        <v>#REF!</v>
      </c>
      <c r="AL585" t="e">
        <f>AND(#REF!,"AAAAAArgnyU=")</f>
        <v>#REF!</v>
      </c>
      <c r="AM585" t="e">
        <f>AND(#REF!,"AAAAAArgnyY=")</f>
        <v>#REF!</v>
      </c>
      <c r="AN585" t="e">
        <f>AND(#REF!,"AAAAAArgnyc=")</f>
        <v>#REF!</v>
      </c>
      <c r="AO585" t="e">
        <f>AND(#REF!,"AAAAAArgnyg=")</f>
        <v>#REF!</v>
      </c>
      <c r="AP585" t="e">
        <f>AND(#REF!,"AAAAAArgnyk=")</f>
        <v>#REF!</v>
      </c>
      <c r="AQ585" t="e">
        <f>AND(#REF!,"AAAAAArgnyo=")</f>
        <v>#REF!</v>
      </c>
      <c r="AR585" t="e">
        <f>AND(#REF!,"AAAAAArgnys=")</f>
        <v>#REF!</v>
      </c>
      <c r="AS585" t="e">
        <f>IF(#REF!,"AAAAAArgnyw=",0)</f>
        <v>#REF!</v>
      </c>
      <c r="AT585" t="e">
        <f>AND(#REF!,"AAAAAArgny0=")</f>
        <v>#REF!</v>
      </c>
      <c r="AU585" t="e">
        <f>AND(#REF!,"AAAAAArgny4=")</f>
        <v>#REF!</v>
      </c>
      <c r="AV585" t="e">
        <f>AND(#REF!,"AAAAAArgny8=")</f>
        <v>#REF!</v>
      </c>
      <c r="AW585" t="e">
        <f>AND(#REF!,"AAAAAArgnzA=")</f>
        <v>#REF!</v>
      </c>
      <c r="AX585" t="e">
        <f>AND(#REF!,"AAAAAArgnzE=")</f>
        <v>#REF!</v>
      </c>
      <c r="AY585" t="e">
        <f>AND(#REF!,"AAAAAArgnzI=")</f>
        <v>#REF!</v>
      </c>
      <c r="AZ585" t="e">
        <f>AND(#REF!,"AAAAAArgnzM=")</f>
        <v>#REF!</v>
      </c>
      <c r="BA585" t="e">
        <f>AND(#REF!,"AAAAAArgnzQ=")</f>
        <v>#REF!</v>
      </c>
      <c r="BB585" t="e">
        <f>AND(#REF!,"AAAAAArgnzU=")</f>
        <v>#REF!</v>
      </c>
      <c r="BC585" t="e">
        <f>AND(#REF!,"AAAAAArgnzY=")</f>
        <v>#REF!</v>
      </c>
      <c r="BD585" t="e">
        <f>IF(#REF!,"AAAAAArgnzc=",0)</f>
        <v>#REF!</v>
      </c>
      <c r="BE585" t="e">
        <f>AND(#REF!,"AAAAAArgnzg=")</f>
        <v>#REF!</v>
      </c>
      <c r="BF585" t="e">
        <f>AND(#REF!,"AAAAAArgnzk=")</f>
        <v>#REF!</v>
      </c>
      <c r="BG585" t="e">
        <f>AND(#REF!,"AAAAAArgnzo=")</f>
        <v>#REF!</v>
      </c>
      <c r="BH585" t="e">
        <f>AND(#REF!,"AAAAAArgnzs=")</f>
        <v>#REF!</v>
      </c>
      <c r="BI585" t="e">
        <f>AND(#REF!,"AAAAAArgnzw=")</f>
        <v>#REF!</v>
      </c>
      <c r="BJ585" t="e">
        <f>AND(#REF!,"AAAAAArgnz0=")</f>
        <v>#REF!</v>
      </c>
      <c r="BK585" t="e">
        <f>AND(#REF!,"AAAAAArgnz4=")</f>
        <v>#REF!</v>
      </c>
      <c r="BL585" t="e">
        <f>AND(#REF!,"AAAAAArgnz8=")</f>
        <v>#REF!</v>
      </c>
      <c r="BM585" t="e">
        <f>AND(#REF!,"AAAAAArgn0A=")</f>
        <v>#REF!</v>
      </c>
      <c r="BN585" t="e">
        <f>AND(#REF!,"AAAAAArgn0E=")</f>
        <v>#REF!</v>
      </c>
      <c r="BO585" t="e">
        <f>IF(#REF!,"AAAAAArgn0I=",0)</f>
        <v>#REF!</v>
      </c>
      <c r="BP585" t="e">
        <f>AND(#REF!,"AAAAAArgn0M=")</f>
        <v>#REF!</v>
      </c>
      <c r="BQ585" t="e">
        <f>AND(#REF!,"AAAAAArgn0Q=")</f>
        <v>#REF!</v>
      </c>
      <c r="BR585" t="e">
        <f>AND(#REF!,"AAAAAArgn0U=")</f>
        <v>#REF!</v>
      </c>
      <c r="BS585" t="e">
        <f>AND(#REF!,"AAAAAArgn0Y=")</f>
        <v>#REF!</v>
      </c>
      <c r="BT585" t="e">
        <f>AND(#REF!,"AAAAAArgn0c=")</f>
        <v>#REF!</v>
      </c>
      <c r="BU585" t="e">
        <f>AND(#REF!,"AAAAAArgn0g=")</f>
        <v>#REF!</v>
      </c>
      <c r="BV585" t="e">
        <f>AND(#REF!,"AAAAAArgn0k=")</f>
        <v>#REF!</v>
      </c>
      <c r="BW585" t="e">
        <f>AND(#REF!,"AAAAAArgn0o=")</f>
        <v>#REF!</v>
      </c>
      <c r="BX585" t="e">
        <f>AND(#REF!,"AAAAAArgn0s=")</f>
        <v>#REF!</v>
      </c>
      <c r="BY585" t="e">
        <f>AND(#REF!,"AAAAAArgn0w=")</f>
        <v>#REF!</v>
      </c>
      <c r="BZ585" t="e">
        <f>IF(#REF!,"AAAAAArgn00=",0)</f>
        <v>#REF!</v>
      </c>
      <c r="CA585" t="e">
        <f>AND(#REF!,"AAAAAArgn04=")</f>
        <v>#REF!</v>
      </c>
      <c r="CB585" t="e">
        <f>AND(#REF!,"AAAAAArgn08=")</f>
        <v>#REF!</v>
      </c>
      <c r="CC585" t="e">
        <f>AND(#REF!,"AAAAAArgn1A=")</f>
        <v>#REF!</v>
      </c>
      <c r="CD585" t="e">
        <f>AND(#REF!,"AAAAAArgn1E=")</f>
        <v>#REF!</v>
      </c>
      <c r="CE585" t="e">
        <f>AND(#REF!,"AAAAAArgn1I=")</f>
        <v>#REF!</v>
      </c>
      <c r="CF585" t="e">
        <f>AND(#REF!,"AAAAAArgn1M=")</f>
        <v>#REF!</v>
      </c>
      <c r="CG585" t="e">
        <f>AND(#REF!,"AAAAAArgn1Q=")</f>
        <v>#REF!</v>
      </c>
      <c r="CH585" t="e">
        <f>AND(#REF!,"AAAAAArgn1U=")</f>
        <v>#REF!</v>
      </c>
      <c r="CI585" t="e">
        <f>AND(#REF!,"AAAAAArgn1Y=")</f>
        <v>#REF!</v>
      </c>
      <c r="CJ585" t="e">
        <f>AND(#REF!,"AAAAAArgn1c=")</f>
        <v>#REF!</v>
      </c>
      <c r="CK585" t="e">
        <f>IF(#REF!,"AAAAAArgn1g=",0)</f>
        <v>#REF!</v>
      </c>
      <c r="CL585" t="e">
        <f>AND(#REF!,"AAAAAArgn1k=")</f>
        <v>#REF!</v>
      </c>
      <c r="CM585" t="e">
        <f>AND(#REF!,"AAAAAArgn1o=")</f>
        <v>#REF!</v>
      </c>
      <c r="CN585" t="e">
        <f>AND(#REF!,"AAAAAArgn1s=")</f>
        <v>#REF!</v>
      </c>
      <c r="CO585" t="e">
        <f>AND(#REF!,"AAAAAArgn1w=")</f>
        <v>#REF!</v>
      </c>
      <c r="CP585" t="e">
        <f>AND(#REF!,"AAAAAArgn10=")</f>
        <v>#REF!</v>
      </c>
      <c r="CQ585" t="e">
        <f>AND(#REF!,"AAAAAArgn14=")</f>
        <v>#REF!</v>
      </c>
      <c r="CR585" t="e">
        <f>AND(#REF!,"AAAAAArgn18=")</f>
        <v>#REF!</v>
      </c>
      <c r="CS585" t="e">
        <f>AND(#REF!,"AAAAAArgn2A=")</f>
        <v>#REF!</v>
      </c>
      <c r="CT585" t="e">
        <f>AND(#REF!,"AAAAAArgn2E=")</f>
        <v>#REF!</v>
      </c>
      <c r="CU585" t="e">
        <f>AND(#REF!,"AAAAAArgn2I=")</f>
        <v>#REF!</v>
      </c>
      <c r="CV585" t="e">
        <f>IF(#REF!,"AAAAAArgn2M=",0)</f>
        <v>#REF!</v>
      </c>
      <c r="CW585" t="e">
        <f>AND(#REF!,"AAAAAArgn2Q=")</f>
        <v>#REF!</v>
      </c>
      <c r="CX585" t="e">
        <f>AND(#REF!,"AAAAAArgn2U=")</f>
        <v>#REF!</v>
      </c>
      <c r="CY585" t="e">
        <f>AND(#REF!,"AAAAAArgn2Y=")</f>
        <v>#REF!</v>
      </c>
      <c r="CZ585" t="e">
        <f>AND(#REF!,"AAAAAArgn2c=")</f>
        <v>#REF!</v>
      </c>
      <c r="DA585" t="e">
        <f>AND(#REF!,"AAAAAArgn2g=")</f>
        <v>#REF!</v>
      </c>
      <c r="DB585" t="e">
        <f>AND(#REF!,"AAAAAArgn2k=")</f>
        <v>#REF!</v>
      </c>
      <c r="DC585" t="e">
        <f>AND(#REF!,"AAAAAArgn2o=")</f>
        <v>#REF!</v>
      </c>
      <c r="DD585" t="e">
        <f>AND(#REF!,"AAAAAArgn2s=")</f>
        <v>#REF!</v>
      </c>
      <c r="DE585" t="e">
        <f>AND(#REF!,"AAAAAArgn2w=")</f>
        <v>#REF!</v>
      </c>
      <c r="DF585" t="e">
        <f>AND(#REF!,"AAAAAArgn20=")</f>
        <v>#REF!</v>
      </c>
      <c r="DG585" t="e">
        <f>IF(#REF!,"AAAAAArgn24=",0)</f>
        <v>#REF!</v>
      </c>
      <c r="DH585" t="e">
        <f>AND(#REF!,"AAAAAArgn28=")</f>
        <v>#REF!</v>
      </c>
      <c r="DI585" t="e">
        <f>AND(#REF!,"AAAAAArgn3A=")</f>
        <v>#REF!</v>
      </c>
      <c r="DJ585" t="e">
        <f>AND(#REF!,"AAAAAArgn3E=")</f>
        <v>#REF!</v>
      </c>
      <c r="DK585" t="e">
        <f>AND(#REF!,"AAAAAArgn3I=")</f>
        <v>#REF!</v>
      </c>
      <c r="DL585" t="e">
        <f>AND(#REF!,"AAAAAArgn3M=")</f>
        <v>#REF!</v>
      </c>
      <c r="DM585" t="e">
        <f>AND(#REF!,"AAAAAArgn3Q=")</f>
        <v>#REF!</v>
      </c>
      <c r="DN585" t="e">
        <f>AND(#REF!,"AAAAAArgn3U=")</f>
        <v>#REF!</v>
      </c>
      <c r="DO585" t="e">
        <f>AND(#REF!,"AAAAAArgn3Y=")</f>
        <v>#REF!</v>
      </c>
      <c r="DP585" t="e">
        <f>AND(#REF!,"AAAAAArgn3c=")</f>
        <v>#REF!</v>
      </c>
      <c r="DQ585" t="e">
        <f>AND(#REF!,"AAAAAArgn3g=")</f>
        <v>#REF!</v>
      </c>
      <c r="DR585" t="e">
        <f>IF(#REF!,"AAAAAArgn3k=",0)</f>
        <v>#REF!</v>
      </c>
      <c r="DS585" t="e">
        <f>AND(#REF!,"AAAAAArgn3o=")</f>
        <v>#REF!</v>
      </c>
      <c r="DT585" t="e">
        <f>AND(#REF!,"AAAAAArgn3s=")</f>
        <v>#REF!</v>
      </c>
      <c r="DU585" t="e">
        <f>AND(#REF!,"AAAAAArgn3w=")</f>
        <v>#REF!</v>
      </c>
      <c r="DV585" t="e">
        <f>AND(#REF!,"AAAAAArgn30=")</f>
        <v>#REF!</v>
      </c>
      <c r="DW585" t="e">
        <f>AND(#REF!,"AAAAAArgn34=")</f>
        <v>#REF!</v>
      </c>
      <c r="DX585" t="e">
        <f>AND(#REF!,"AAAAAArgn38=")</f>
        <v>#REF!</v>
      </c>
      <c r="DY585" t="e">
        <f>AND(#REF!,"AAAAAArgn4A=")</f>
        <v>#REF!</v>
      </c>
      <c r="DZ585" t="e">
        <f>AND(#REF!,"AAAAAArgn4E=")</f>
        <v>#REF!</v>
      </c>
      <c r="EA585" t="e">
        <f>AND(#REF!,"AAAAAArgn4I=")</f>
        <v>#REF!</v>
      </c>
      <c r="EB585" t="e">
        <f>AND(#REF!,"AAAAAArgn4M=")</f>
        <v>#REF!</v>
      </c>
      <c r="EC585" t="e">
        <f>IF(#REF!,"AAAAAArgn4Q=",0)</f>
        <v>#REF!</v>
      </c>
      <c r="ED585" t="e">
        <f>AND(#REF!,"AAAAAArgn4U=")</f>
        <v>#REF!</v>
      </c>
      <c r="EE585" t="e">
        <f>AND(#REF!,"AAAAAArgn4Y=")</f>
        <v>#REF!</v>
      </c>
      <c r="EF585" t="e">
        <f>AND(#REF!,"AAAAAArgn4c=")</f>
        <v>#REF!</v>
      </c>
      <c r="EG585" t="e">
        <f>AND(#REF!,"AAAAAArgn4g=")</f>
        <v>#REF!</v>
      </c>
      <c r="EH585" t="e">
        <f>AND(#REF!,"AAAAAArgn4k=")</f>
        <v>#REF!</v>
      </c>
      <c r="EI585" t="e">
        <f>AND(#REF!,"AAAAAArgn4o=")</f>
        <v>#REF!</v>
      </c>
      <c r="EJ585" t="e">
        <f>AND(#REF!,"AAAAAArgn4s=")</f>
        <v>#REF!</v>
      </c>
      <c r="EK585" t="e">
        <f>AND(#REF!,"AAAAAArgn4w=")</f>
        <v>#REF!</v>
      </c>
      <c r="EL585" t="e">
        <f>AND(#REF!,"AAAAAArgn40=")</f>
        <v>#REF!</v>
      </c>
      <c r="EM585" t="e">
        <f>AND(#REF!,"AAAAAArgn44=")</f>
        <v>#REF!</v>
      </c>
      <c r="EN585" t="e">
        <f>IF(#REF!,"AAAAAArgn48=",0)</f>
        <v>#REF!</v>
      </c>
      <c r="EO585" t="e">
        <f>AND(#REF!,"AAAAAArgn5A=")</f>
        <v>#REF!</v>
      </c>
      <c r="EP585" t="e">
        <f>AND(#REF!,"AAAAAArgn5E=")</f>
        <v>#REF!</v>
      </c>
      <c r="EQ585" t="e">
        <f>AND(#REF!,"AAAAAArgn5I=")</f>
        <v>#REF!</v>
      </c>
      <c r="ER585" t="e">
        <f>AND(#REF!,"AAAAAArgn5M=")</f>
        <v>#REF!</v>
      </c>
      <c r="ES585" t="e">
        <f>AND(#REF!,"AAAAAArgn5Q=")</f>
        <v>#REF!</v>
      </c>
      <c r="ET585" t="e">
        <f>AND(#REF!,"AAAAAArgn5U=")</f>
        <v>#REF!</v>
      </c>
      <c r="EU585" t="e">
        <f>AND(#REF!,"AAAAAArgn5Y=")</f>
        <v>#REF!</v>
      </c>
      <c r="EV585" t="e">
        <f>AND(#REF!,"AAAAAArgn5c=")</f>
        <v>#REF!</v>
      </c>
      <c r="EW585" t="e">
        <f>AND(#REF!,"AAAAAArgn5g=")</f>
        <v>#REF!</v>
      </c>
      <c r="EX585" t="e">
        <f>AND(#REF!,"AAAAAArgn5k=")</f>
        <v>#REF!</v>
      </c>
      <c r="EY585" t="e">
        <f>IF(#REF!,"AAAAAArgn5o=",0)</f>
        <v>#REF!</v>
      </c>
      <c r="EZ585" t="e">
        <f>AND(#REF!,"AAAAAArgn5s=")</f>
        <v>#REF!</v>
      </c>
      <c r="FA585" t="e">
        <f>AND(#REF!,"AAAAAArgn5w=")</f>
        <v>#REF!</v>
      </c>
      <c r="FB585" t="e">
        <f>AND(#REF!,"AAAAAArgn50=")</f>
        <v>#REF!</v>
      </c>
      <c r="FC585" t="e">
        <f>AND(#REF!,"AAAAAArgn54=")</f>
        <v>#REF!</v>
      </c>
      <c r="FD585" t="e">
        <f>AND(#REF!,"AAAAAArgn58=")</f>
        <v>#REF!</v>
      </c>
      <c r="FE585" t="e">
        <f>AND(#REF!,"AAAAAArgn6A=")</f>
        <v>#REF!</v>
      </c>
      <c r="FF585" t="e">
        <f>AND(#REF!,"AAAAAArgn6E=")</f>
        <v>#REF!</v>
      </c>
      <c r="FG585" t="e">
        <f>AND(#REF!,"AAAAAArgn6I=")</f>
        <v>#REF!</v>
      </c>
      <c r="FH585" t="e">
        <f>AND(#REF!,"AAAAAArgn6M=")</f>
        <v>#REF!</v>
      </c>
      <c r="FI585" t="e">
        <f>AND(#REF!,"AAAAAArgn6Q=")</f>
        <v>#REF!</v>
      </c>
      <c r="FJ585" t="e">
        <f>IF(#REF!,"AAAAAArgn6U=",0)</f>
        <v>#REF!</v>
      </c>
      <c r="FK585" t="e">
        <f>AND(#REF!,"AAAAAArgn6Y=")</f>
        <v>#REF!</v>
      </c>
      <c r="FL585" t="e">
        <f>AND(#REF!,"AAAAAArgn6c=")</f>
        <v>#REF!</v>
      </c>
      <c r="FM585" t="e">
        <f>AND(#REF!,"AAAAAArgn6g=")</f>
        <v>#REF!</v>
      </c>
      <c r="FN585" t="e">
        <f>AND(#REF!,"AAAAAArgn6k=")</f>
        <v>#REF!</v>
      </c>
      <c r="FO585" t="e">
        <f>AND(#REF!,"AAAAAArgn6o=")</f>
        <v>#REF!</v>
      </c>
      <c r="FP585" t="e">
        <f>AND(#REF!,"AAAAAArgn6s=")</f>
        <v>#REF!</v>
      </c>
      <c r="FQ585" t="e">
        <f>AND(#REF!,"AAAAAArgn6w=")</f>
        <v>#REF!</v>
      </c>
      <c r="FR585" t="e">
        <f>AND(#REF!,"AAAAAArgn60=")</f>
        <v>#REF!</v>
      </c>
      <c r="FS585" t="e">
        <f>AND(#REF!,"AAAAAArgn64=")</f>
        <v>#REF!</v>
      </c>
      <c r="FT585" t="e">
        <f>AND(#REF!,"AAAAAArgn68=")</f>
        <v>#REF!</v>
      </c>
      <c r="FU585" t="e">
        <f>IF(#REF!,"AAAAAArgn7A=",0)</f>
        <v>#REF!</v>
      </c>
      <c r="FV585" t="e">
        <f>IF(#REF!,"AAAAAArgn7E=",0)</f>
        <v>#REF!</v>
      </c>
      <c r="FW585" t="e">
        <f>IF(#REF!,"AAAAAArgn7I=",0)</f>
        <v>#REF!</v>
      </c>
      <c r="FX585" t="e">
        <f>IF(#REF!,"AAAAAArgn7M=",0)</f>
        <v>#REF!</v>
      </c>
      <c r="FY585" t="e">
        <f>IF(#REF!,"AAAAAArgn7Q=",0)</f>
        <v>#REF!</v>
      </c>
      <c r="FZ585" t="e">
        <f>IF(#REF!,"AAAAAArgn7U=",0)</f>
        <v>#REF!</v>
      </c>
      <c r="GA585" t="e">
        <f>IF(#REF!,"AAAAAArgn7Y=",0)</f>
        <v>#REF!</v>
      </c>
      <c r="GB585" t="e">
        <f>IF(#REF!,"AAAAAArgn7c=",0)</f>
        <v>#REF!</v>
      </c>
      <c r="GC585" t="e">
        <f>IF(#REF!,"AAAAAArgn7g=",0)</f>
        <v>#REF!</v>
      </c>
      <c r="GD585" t="e">
        <f>IF(#REF!,"AAAAAArgn7k=",0)</f>
        <v>#REF!</v>
      </c>
    </row>
  </sheetData>
  <pageMargins left="0.7" right="0.7" top="0.75" bottom="0.75" header="0.3" footer="0.3"/>
  <customProperties>
    <customPr name="DVSECTION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3">
    <tabColor rgb="FF92D050"/>
  </sheetPr>
  <dimension ref="A1:S1"/>
  <sheetViews>
    <sheetView topLeftCell="B1" zoomScale="90" zoomScaleNormal="90" workbookViewId="0">
      <pane ySplit="1" topLeftCell="A2" activePane="bottomLeft" state="frozen"/>
      <selection activeCell="O29" sqref="O29"/>
      <selection pane="bottomLeft" activeCell="B2" sqref="B2"/>
    </sheetView>
  </sheetViews>
  <sheetFormatPr defaultColWidth="28" defaultRowHeight="15" x14ac:dyDescent="0.25"/>
  <cols>
    <col min="1" max="1" width="10" style="30" hidden="1" customWidth="1"/>
    <col min="2" max="2" width="20.140625" style="30" customWidth="1"/>
    <col min="3" max="3" width="8.140625" style="30" hidden="1" customWidth="1"/>
    <col min="4" max="4" width="12.7109375" style="30" customWidth="1"/>
    <col min="5" max="5" width="17.85546875" style="30" hidden="1" customWidth="1"/>
    <col min="6" max="6" width="12.7109375" style="30" customWidth="1"/>
    <col min="7" max="7" width="7.7109375" style="30" hidden="1" customWidth="1"/>
    <col min="8" max="8" width="12.7109375" style="30" customWidth="1"/>
    <col min="9" max="9" width="10.140625" style="30" customWidth="1"/>
    <col min="10" max="10" width="10.85546875" style="30" customWidth="1"/>
    <col min="11" max="11" width="8.7109375" style="30" hidden="1" customWidth="1"/>
    <col min="12" max="12" width="14.85546875" style="30" customWidth="1"/>
    <col min="13" max="13" width="15.42578125" style="30" hidden="1" customWidth="1"/>
    <col min="14" max="14" width="8.7109375" style="30" hidden="1" customWidth="1"/>
    <col min="15" max="15" width="10.140625" style="30" bestFit="1" customWidth="1"/>
    <col min="16" max="16" width="4.7109375" style="30" hidden="1" customWidth="1"/>
    <col min="17" max="17" width="20.85546875" style="30" bestFit="1" customWidth="1"/>
    <col min="18" max="18" width="47.140625" style="30" bestFit="1" customWidth="1"/>
    <col min="19" max="19" width="101.42578125" style="30" customWidth="1"/>
    <col min="20" max="16384" width="28" style="26"/>
  </cols>
  <sheetData>
    <row r="1" spans="1:19" ht="98.25" customHeight="1" x14ac:dyDescent="0.25">
      <c r="A1" s="27" t="s">
        <v>92</v>
      </c>
      <c r="B1" s="27" t="s">
        <v>12</v>
      </c>
      <c r="C1" s="27" t="s">
        <v>16</v>
      </c>
      <c r="D1" s="27" t="s">
        <v>13</v>
      </c>
      <c r="E1" s="27" t="s">
        <v>93</v>
      </c>
      <c r="F1" s="27" t="s">
        <v>24</v>
      </c>
      <c r="G1" s="27" t="s">
        <v>17</v>
      </c>
      <c r="H1" s="27" t="s">
        <v>14</v>
      </c>
      <c r="I1" s="27" t="s">
        <v>18</v>
      </c>
      <c r="J1" s="27" t="s">
        <v>22</v>
      </c>
      <c r="K1" s="27" t="s">
        <v>94</v>
      </c>
      <c r="L1" s="27" t="s">
        <v>1</v>
      </c>
      <c r="M1" s="27" t="s">
        <v>20</v>
      </c>
      <c r="N1" s="27" t="s">
        <v>95</v>
      </c>
      <c r="O1" s="27" t="s">
        <v>2</v>
      </c>
      <c r="P1" s="27" t="s">
        <v>21</v>
      </c>
      <c r="Q1" s="27" t="s">
        <v>23</v>
      </c>
      <c r="R1" s="27" t="s">
        <v>0</v>
      </c>
      <c r="S1" s="27" t="s">
        <v>26</v>
      </c>
    </row>
  </sheetData>
  <sheetProtection algorithmName="SHA-512" hashValue="qKLnw/unnxhFv+SMbwMqoMtZwvsSwPlj3526f5WFIiLvB2ynffyfdgW9d4qX/To4P8L3oO0xkaJ16kngVZumIg==" saltValue="6mfyXIYGJbmNgaqxBo6cgA==" spinCount="100000" sheet="1" objects="1" scenarios="1" insertRows="0" deleteRows="0" sort="0" autoFilter="0" pivotTables="0"/>
  <autoFilter ref="A1:S1" xr:uid="{00000000-0009-0000-0000-000001000000}"/>
  <dataConsolidate/>
  <dataValidations count="3">
    <dataValidation type="textLength" operator="equal" allowBlank="1" showInputMessage="1" showErrorMessage="1" errorTitle="Read Only" error="This is a read only Field" sqref="S1:XFD1048576" xr:uid="{00000000-0002-0000-0100-000000000000}">
      <formula1>0</formula1>
    </dataValidation>
    <dataValidation type="decimal" errorStyle="warning" allowBlank="1" showInputMessage="1" showErrorMessage="1" error="To split by a fixed amount enter a value from: 0~100_x000a_To split based on Gross Pay enter: -1" sqref="J1:J1048576" xr:uid="{00000000-0002-0000-0100-000001000000}">
      <formula1>-1</formula1>
      <formula2>100</formula2>
    </dataValidation>
    <dataValidation type="whole" errorStyle="warning" allowBlank="1" showInputMessage="1" showErrorMessage="1" error="Please enter a whole number from 1-5" sqref="I1:I1048576" xr:uid="{00000000-0002-0000-0100-000002000000}">
      <formula1>1</formula1>
      <formula2>5</formula2>
    </dataValidation>
  </dataValidations>
  <pageMargins left="0.7" right="0.7" top="0.75" bottom="0.75" header="0.3" footer="0.3"/>
  <pageSetup orientation="portrait" horizontalDpi="200" verticalDpi="200" r:id="rId1"/>
  <customProperties>
    <customPr name="DVSECTIONI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8" r:id="rId5" name="Button 10">
              <controlPr defaultSize="0" print="0" autoFill="0" autoPict="0" macro="[0]!Sheet13.cmdGenerateConfigMap_Click">
                <anchor moveWithCells="1" sizeWithCells="1">
                  <from>
                    <xdr:col>1</xdr:col>
                    <xdr:colOff>66675</xdr:colOff>
                    <xdr:row>0</xdr:row>
                    <xdr:rowOff>200025</xdr:rowOff>
                  </from>
                  <to>
                    <xdr:col>3</xdr:col>
                    <xdr:colOff>590550</xdr:colOff>
                    <xdr:row>0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6" name="Button 12">
              <controlPr defaultSize="0" print="0" autoFill="0" autoPict="0" macro="[0]!Sheet13.cmdValidateConfiguration_Click">
                <anchor moveWithCells="1" sizeWithCells="1">
                  <from>
                    <xdr:col>3</xdr:col>
                    <xdr:colOff>762000</xdr:colOff>
                    <xdr:row>0</xdr:row>
                    <xdr:rowOff>209550</xdr:rowOff>
                  </from>
                  <to>
                    <xdr:col>8</xdr:col>
                    <xdr:colOff>114300</xdr:colOff>
                    <xdr:row>0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7" name="Button 13">
              <controlPr defaultSize="0" print="0" autoFill="0" autoPict="0" macro="[0]!Sheet13.cmdCopyConfig_Click">
                <anchor moveWithCells="1" sizeWithCells="1">
                  <from>
                    <xdr:col>8</xdr:col>
                    <xdr:colOff>352425</xdr:colOff>
                    <xdr:row>0</xdr:row>
                    <xdr:rowOff>209550</xdr:rowOff>
                  </from>
                  <to>
                    <xdr:col>11</xdr:col>
                    <xdr:colOff>828675</xdr:colOff>
                    <xdr:row>0</xdr:row>
                    <xdr:rowOff>533400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92D050"/>
  </sheetPr>
  <dimension ref="A1:D1"/>
  <sheetViews>
    <sheetView zoomScale="85" zoomScaleNormal="85" workbookViewId="0">
      <pane xSplit="2" ySplit="1" topLeftCell="C2" activePane="bottomRight" state="frozen"/>
      <selection activeCell="O29" sqref="O29"/>
      <selection pane="topRight" activeCell="O29" sqref="O29"/>
      <selection pane="bottomLeft" activeCell="O29" sqref="O29"/>
      <selection pane="bottomRight" activeCell="A2" sqref="A2:XFD2"/>
    </sheetView>
  </sheetViews>
  <sheetFormatPr defaultColWidth="9.140625" defaultRowHeight="15" x14ac:dyDescent="0.25"/>
  <cols>
    <col min="1" max="1" width="10.140625" style="30" hidden="1" customWidth="1"/>
    <col min="2" max="2" width="25.5703125" style="30" customWidth="1"/>
    <col min="3" max="3" width="78.7109375" style="30" customWidth="1"/>
    <col min="4" max="4" width="43.5703125" style="30" customWidth="1"/>
    <col min="5" max="8" width="9.140625" style="26" customWidth="1"/>
    <col min="9" max="16384" width="9.140625" style="26"/>
  </cols>
  <sheetData>
    <row r="1" spans="1:4" x14ac:dyDescent="0.25">
      <c r="A1" s="27" t="s">
        <v>91</v>
      </c>
      <c r="B1" s="27" t="s">
        <v>11</v>
      </c>
      <c r="C1" s="27" t="s">
        <v>10</v>
      </c>
      <c r="D1" s="27" t="s">
        <v>26</v>
      </c>
    </row>
  </sheetData>
  <sheetProtection algorithmName="SHA-512" hashValue="ZJ7iUXgWvGHRracKiGf29O57j//cbjoCQ6WbKhyQ/XG0QZIseWUENwqRUWWlHJfby9czJvjUij8DPLp8TGLENw==" saltValue="OzU4Z+q+z3lXBGRdYMDLIA==" spinCount="100000" sheet="1" objects="1" scenarios="1" insertRows="0" deleteRows="0" sort="0" autoFilter="0" pivotTables="0"/>
  <dataValidations count="1">
    <dataValidation type="textLength" operator="equal" allowBlank="1" showInputMessage="1" showErrorMessage="1" errorTitle="Read Only" error="This is a read only Field" sqref="D1:XFD1048576" xr:uid="{00000000-0002-0000-0200-000000000000}">
      <formula1>0</formula1>
    </dataValidation>
  </dataValidations>
  <pageMargins left="0.7" right="0.7" top="0.75" bottom="0.75" header="0.3" footer="0.3"/>
  <pageSetup orientation="portrait" horizontalDpi="200" verticalDpi="200" r:id="rId1"/>
  <customProperties>
    <customPr name="DVSECTION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C000"/>
  </sheetPr>
  <dimension ref="A1:H1"/>
  <sheetViews>
    <sheetView zoomScale="85" zoomScaleNormal="85" workbookViewId="0">
      <selection activeCell="A2" sqref="A2:XFD2"/>
    </sheetView>
  </sheetViews>
  <sheetFormatPr defaultColWidth="9.140625" defaultRowHeight="15" x14ac:dyDescent="0.25"/>
  <cols>
    <col min="1" max="1" width="29.5703125" style="29" customWidth="1"/>
    <col min="2" max="2" width="18.140625" style="29" customWidth="1"/>
    <col min="3" max="3" width="27.140625" style="29" customWidth="1"/>
    <col min="4" max="4" width="27.42578125" style="29" customWidth="1"/>
    <col min="5" max="5" width="14.7109375" style="29" customWidth="1"/>
    <col min="6" max="6" width="17.85546875" style="29" customWidth="1"/>
    <col min="7" max="7" width="15.7109375" style="29" bestFit="1" customWidth="1"/>
    <col min="8" max="8" width="21.5703125" style="29" bestFit="1" customWidth="1"/>
    <col min="9" max="17" width="7.140625" style="25"/>
    <col min="18" max="18" width="20.42578125" style="25" customWidth="1"/>
    <col min="19" max="19" width="27.28515625" style="25" customWidth="1"/>
    <col min="20" max="16384" width="9.140625" style="25"/>
  </cols>
  <sheetData>
    <row r="1" spans="1:8" s="24" customFormat="1" x14ac:dyDescent="0.25">
      <c r="A1" s="28" t="s">
        <v>17</v>
      </c>
      <c r="B1" s="28" t="s">
        <v>33</v>
      </c>
      <c r="C1" s="28" t="s">
        <v>34</v>
      </c>
      <c r="D1" s="28" t="s">
        <v>35</v>
      </c>
      <c r="E1" s="28" t="s">
        <v>36</v>
      </c>
      <c r="F1" s="28" t="s">
        <v>37</v>
      </c>
      <c r="G1" s="28" t="s">
        <v>38</v>
      </c>
      <c r="H1" s="28" t="s">
        <v>39</v>
      </c>
    </row>
  </sheetData>
  <sheetProtection algorithmName="SHA-512" hashValue="Lcvn01TW0/ODP2CJPi41pAA/qgZvMy8ZsijcOJYmMha2NLYwhmhO7DEK/h4GF+bGG7eC8MGcbNKVOHbRjWyFow==" saltValue="SFkXWi1i07nfNlymQTSZnA==" spinCount="100000" sheet="1" objects="1" scenarios="1" insertRows="0" deleteRows="0" sort="0" autoFilter="0" pivotTables="0"/>
  <pageMargins left="0.7" right="0.7" top="0.75" bottom="0.75" header="0.3" footer="0.3"/>
  <pageSetup orientation="portrait" horizontalDpi="0" verticalDpi="0" r:id="rId1"/>
  <customProperties>
    <customPr name="DVSECTION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C000"/>
  </sheetPr>
  <dimension ref="A1:D1"/>
  <sheetViews>
    <sheetView zoomScale="70" zoomScaleNormal="70" workbookViewId="0">
      <selection activeCell="A2" sqref="A2:XFD6"/>
    </sheetView>
  </sheetViews>
  <sheetFormatPr defaultColWidth="9.140625" defaultRowHeight="15" x14ac:dyDescent="0.25"/>
  <cols>
    <col min="1" max="1" width="40.140625" style="29" bestFit="1" customWidth="1"/>
    <col min="2" max="2" width="10" style="29" customWidth="1"/>
    <col min="3" max="3" width="28.42578125" style="29" customWidth="1"/>
    <col min="4" max="4" width="25.140625" style="29" customWidth="1"/>
    <col min="5" max="16384" width="9.140625" style="25"/>
  </cols>
  <sheetData>
    <row r="1" spans="1:4" s="24" customFormat="1" x14ac:dyDescent="0.25">
      <c r="A1" s="28" t="s">
        <v>16</v>
      </c>
      <c r="B1" s="28" t="s">
        <v>40</v>
      </c>
      <c r="C1" s="28" t="s">
        <v>41</v>
      </c>
      <c r="D1" s="28" t="s">
        <v>42</v>
      </c>
    </row>
  </sheetData>
  <sheetProtection algorithmName="SHA-512" hashValue="T1+6XZtDOQ8GjzS3pxVCrDOBH49r0wSWCT/xZcFKRj5jSIZbT7UUKftiEvAdDs+FdMgaFPzMATCCM08KGXg//Q==" saltValue="m+p3uAluWdHlKCdKf+7cZA==" spinCount="100000" sheet="1" objects="1" scenarios="1" insertRows="0" deleteRows="0" sort="0" autoFilter="0" pivotTables="0"/>
  <sortState xmlns:xlrd2="http://schemas.microsoft.com/office/spreadsheetml/2017/richdata2" ref="A2:D95">
    <sortCondition ref="B2:B95"/>
  </sortState>
  <pageMargins left="0.7" right="0.7" top="0.75" bottom="0.75" header="0.3" footer="0.3"/>
  <customProperties>
    <customPr name="DVSECTION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rgb="FFFFC000"/>
  </sheetPr>
  <dimension ref="A1:E1"/>
  <sheetViews>
    <sheetView zoomScale="70" zoomScaleNormal="70" workbookViewId="0">
      <selection activeCell="A2" sqref="A2:XFD97"/>
    </sheetView>
  </sheetViews>
  <sheetFormatPr defaultColWidth="9.140625" defaultRowHeight="15" x14ac:dyDescent="0.25"/>
  <cols>
    <col min="1" max="1" width="44.28515625" style="29" bestFit="1" customWidth="1"/>
    <col min="2" max="2" width="28.140625" style="29" bestFit="1" customWidth="1"/>
    <col min="3" max="3" width="50" style="29" customWidth="1"/>
    <col min="4" max="4" width="14.42578125" style="29" bestFit="1" customWidth="1"/>
    <col min="5" max="5" width="9.140625" style="29"/>
    <col min="6" max="16384" width="9.140625" style="25"/>
  </cols>
  <sheetData>
    <row r="1" spans="1:5" s="24" customFormat="1" x14ac:dyDescent="0.25">
      <c r="A1" s="28" t="s">
        <v>3</v>
      </c>
      <c r="B1" s="28" t="s">
        <v>19</v>
      </c>
      <c r="C1" s="28" t="s">
        <v>4</v>
      </c>
      <c r="D1" s="28" t="s">
        <v>188</v>
      </c>
      <c r="E1" s="28" t="s">
        <v>5</v>
      </c>
    </row>
  </sheetData>
  <sheetProtection algorithmName="SHA-512" hashValue="elcRsxxCTSa2B2EO2278is8uFUX62uJQrkFppY4TKgd33xxJoodsRWhUGXzUQLvhWQsEahj8OD5rUo9dQGG2Nw==" saltValue="UOZjsSi20BZrTVQK4krnUA==" spinCount="100000" sheet="1" objects="1" scenarios="1" insertRows="0" deleteRows="0" sort="0" autoFilter="0" pivotTables="0"/>
  <pageMargins left="0.7" right="0.7" top="0.75" bottom="0.75" header="0.3" footer="0.3"/>
  <pageSetup orientation="portrait" horizontalDpi="200" verticalDpi="200" copies="0" r:id="rId1"/>
  <customProperties>
    <customPr name="DVSECTION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>
    <tabColor rgb="FFFFC000"/>
  </sheetPr>
  <dimension ref="A1:M1"/>
  <sheetViews>
    <sheetView zoomScale="85" zoomScaleNormal="85" workbookViewId="0">
      <selection activeCell="A2" sqref="A2:XFD1363"/>
    </sheetView>
  </sheetViews>
  <sheetFormatPr defaultColWidth="9.140625" defaultRowHeight="15" x14ac:dyDescent="0.25"/>
  <cols>
    <col min="1" max="1" width="18.28515625" style="29" bestFit="1" customWidth="1"/>
    <col min="2" max="2" width="11.7109375" style="29" bestFit="1" customWidth="1"/>
    <col min="3" max="3" width="13.7109375" style="29" bestFit="1" customWidth="1"/>
    <col min="4" max="4" width="22.42578125" style="29" bestFit="1" customWidth="1"/>
    <col min="5" max="5" width="12.5703125" style="29" bestFit="1" customWidth="1"/>
    <col min="6" max="6" width="20.7109375" style="29" bestFit="1" customWidth="1"/>
    <col min="7" max="7" width="12.5703125" style="29" bestFit="1" customWidth="1"/>
    <col min="8" max="8" width="20.7109375" style="29" bestFit="1" customWidth="1"/>
    <col min="9" max="9" width="17.7109375" style="29" bestFit="1" customWidth="1"/>
    <col min="10" max="10" width="18.5703125" style="29" bestFit="1" customWidth="1"/>
    <col min="11" max="11" width="15.28515625" style="29" bestFit="1" customWidth="1"/>
    <col min="12" max="12" width="13.42578125" style="29" bestFit="1" customWidth="1"/>
    <col min="13" max="13" width="11.5703125" style="29" bestFit="1" customWidth="1"/>
    <col min="14" max="16384" width="9.140625" style="25"/>
  </cols>
  <sheetData>
    <row r="1" spans="1:13" s="24" customFormat="1" x14ac:dyDescent="0.25">
      <c r="A1" s="28" t="s">
        <v>6</v>
      </c>
      <c r="B1" s="28" t="s">
        <v>7</v>
      </c>
      <c r="C1" s="28" t="s">
        <v>8</v>
      </c>
      <c r="D1" s="28" t="s">
        <v>17</v>
      </c>
      <c r="E1" s="28" t="s">
        <v>33</v>
      </c>
      <c r="F1" s="28" t="s">
        <v>16</v>
      </c>
      <c r="G1" s="28" t="s">
        <v>40</v>
      </c>
      <c r="H1" s="28" t="s">
        <v>43</v>
      </c>
      <c r="I1" s="28" t="s">
        <v>38</v>
      </c>
      <c r="J1" s="28" t="s">
        <v>3</v>
      </c>
      <c r="K1" s="28" t="s">
        <v>15</v>
      </c>
      <c r="L1" s="28" t="s">
        <v>25</v>
      </c>
      <c r="M1" s="28" t="s">
        <v>9</v>
      </c>
    </row>
  </sheetData>
  <sheetProtection algorithmName="SHA-512" hashValue="E6jflccYTzfV0r3rKxbN+i0FmkroqkmLVgMymaDSGO+mhki4p2Y/umkMGnUydO8A7sHQZ+4V6OkBZlsUy4xVhQ==" saltValue="7nU0QnEgIwIkkXCaAMAQ6w==" spinCount="100000" sheet="1" objects="1" scenarios="1" insertRows="0" deleteRows="0" sort="0" autoFilter="0" pivotTables="0"/>
  <pageMargins left="0.7" right="0.7" top="0.75" bottom="0.75" header="0.3" footer="0.3"/>
  <pageSetup orientation="portrait" horizontalDpi="200" verticalDpi="200" r:id="rId1"/>
  <customProperties>
    <customPr name="DVSECTION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21"/>
  <sheetViews>
    <sheetView workbookViewId="0">
      <selection activeCell="J11" sqref="J11"/>
    </sheetView>
  </sheetViews>
  <sheetFormatPr defaultColWidth="9.140625" defaultRowHeight="15" x14ac:dyDescent="0.25"/>
  <cols>
    <col min="1" max="1" width="25.5703125" style="8" bestFit="1" customWidth="1"/>
    <col min="2" max="2" width="102.5703125" style="8" customWidth="1"/>
    <col min="3" max="16384" width="9.140625" style="8"/>
  </cols>
  <sheetData>
    <row r="1" spans="1:5" x14ac:dyDescent="0.25">
      <c r="A1" s="10" t="s">
        <v>28</v>
      </c>
      <c r="B1" s="11" t="s">
        <v>29</v>
      </c>
    </row>
    <row r="2" spans="1:5" x14ac:dyDescent="0.25">
      <c r="A2" s="8" t="s">
        <v>27</v>
      </c>
      <c r="B2" s="6" t="s">
        <v>189</v>
      </c>
    </row>
    <row r="3" spans="1:5" x14ac:dyDescent="0.25">
      <c r="A3" s="8" t="s">
        <v>30</v>
      </c>
      <c r="B3" s="6" t="b">
        <v>0</v>
      </c>
    </row>
    <row r="4" spans="1:5" x14ac:dyDescent="0.25">
      <c r="A4" s="8" t="s">
        <v>44</v>
      </c>
      <c r="B4" s="23" t="s">
        <v>183</v>
      </c>
    </row>
    <row r="5" spans="1:5" x14ac:dyDescent="0.25">
      <c r="A5" s="8" t="s">
        <v>31</v>
      </c>
      <c r="B5" s="22" t="s">
        <v>185</v>
      </c>
    </row>
    <row r="6" spans="1:5" x14ac:dyDescent="0.25">
      <c r="A6" s="8" t="s">
        <v>32</v>
      </c>
      <c r="B6" s="22" t="s">
        <v>184</v>
      </c>
      <c r="E6" s="9"/>
    </row>
    <row r="7" spans="1:5" x14ac:dyDescent="0.25">
      <c r="A7" s="8" t="s">
        <v>49</v>
      </c>
      <c r="B7" s="8" t="b">
        <f>AND(EXACT(B5,B12),EXACT(B6,B13))</f>
        <v>1</v>
      </c>
    </row>
    <row r="10" spans="1:5" x14ac:dyDescent="0.25">
      <c r="B10" s="4"/>
    </row>
    <row r="11" spans="1:5" x14ac:dyDescent="0.25">
      <c r="B11" s="3"/>
    </row>
    <row r="12" spans="1:5" x14ac:dyDescent="0.25">
      <c r="A12" s="8" t="s">
        <v>45</v>
      </c>
      <c r="B12" s="22" t="s">
        <v>185</v>
      </c>
    </row>
    <row r="13" spans="1:5" x14ac:dyDescent="0.25">
      <c r="A13" s="8" t="s">
        <v>46</v>
      </c>
      <c r="B13" s="22" t="s">
        <v>184</v>
      </c>
    </row>
    <row r="14" spans="1:5" x14ac:dyDescent="0.25">
      <c r="B14" s="3"/>
    </row>
    <row r="15" spans="1:5" x14ac:dyDescent="0.25">
      <c r="B15" s="3"/>
    </row>
    <row r="16" spans="1:5" x14ac:dyDescent="0.25">
      <c r="B16" s="3"/>
    </row>
    <row r="17" spans="1:2" x14ac:dyDescent="0.25">
      <c r="A17" s="8" t="s">
        <v>177</v>
      </c>
      <c r="B17" s="16" t="s">
        <v>187</v>
      </c>
    </row>
    <row r="18" spans="1:2" x14ac:dyDescent="0.25">
      <c r="A18" s="8" t="s">
        <v>178</v>
      </c>
      <c r="B18" s="16" t="s">
        <v>186</v>
      </c>
    </row>
    <row r="20" spans="1:2" x14ac:dyDescent="0.25">
      <c r="A20" s="8" t="s">
        <v>179</v>
      </c>
      <c r="B20" s="22" t="s">
        <v>185</v>
      </c>
    </row>
    <row r="21" spans="1:2" x14ac:dyDescent="0.25">
      <c r="A21" s="8" t="s">
        <v>180</v>
      </c>
      <c r="B21" s="22" t="s">
        <v>184</v>
      </c>
    </row>
  </sheetData>
  <conditionalFormatting sqref="B7">
    <cfRule type="cellIs" dxfId="0" priority="1" operator="equal">
      <formula>FALSE</formula>
    </cfRule>
  </conditionalFormatting>
  <hyperlinks>
    <hyperlink ref="B17" r:id="rId1" xr:uid="{00000000-0004-0000-0700-000000000000}"/>
    <hyperlink ref="B18" r:id="rId2" xr:uid="{00000000-0004-0000-0700-000001000000}"/>
    <hyperlink ref="B20" r:id="rId3" xr:uid="{00000000-0004-0000-0700-000002000000}"/>
    <hyperlink ref="B21" r:id="rId4" xr:uid="{00000000-0004-0000-0700-000003000000}"/>
    <hyperlink ref="B12" r:id="rId5" xr:uid="{00000000-0004-0000-0700-000004000000}"/>
    <hyperlink ref="B13" r:id="rId6" xr:uid="{00000000-0004-0000-0700-000005000000}"/>
    <hyperlink ref="B5" r:id="rId7" xr:uid="{00000000-0004-0000-0700-000006000000}"/>
    <hyperlink ref="B6" r:id="rId8" xr:uid="{00000000-0004-0000-0700-000007000000}"/>
  </hyperlinks>
  <pageMargins left="0.7" right="0.7" top="0.75" bottom="0.75" header="0.3" footer="0.3"/>
  <pageSetup orientation="portrait" horizontalDpi="0" verticalDpi="0" r:id="rId9"/>
  <customProperties>
    <customPr name="DVSECTIONID" r:id="rId10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/>
  <dimension ref="A1:F24"/>
  <sheetViews>
    <sheetView zoomScale="70" zoomScaleNormal="70" workbookViewId="0">
      <selection activeCell="E44" sqref="E44"/>
    </sheetView>
  </sheetViews>
  <sheetFormatPr defaultColWidth="9.140625" defaultRowHeight="15" x14ac:dyDescent="0.25"/>
  <cols>
    <col min="1" max="2" width="9.140625" style="5"/>
    <col min="3" max="3" width="12.42578125" style="1" customWidth="1"/>
    <col min="4" max="4" width="6.42578125" style="2" bestFit="1" customWidth="1"/>
    <col min="5" max="5" width="110.5703125" style="2" bestFit="1" customWidth="1"/>
    <col min="6" max="6" width="48.140625" style="2" customWidth="1"/>
    <col min="7" max="16384" width="9.140625" style="2"/>
  </cols>
  <sheetData>
    <row r="1" spans="1:6" x14ac:dyDescent="0.25">
      <c r="A1" s="5" t="s">
        <v>37</v>
      </c>
      <c r="B1" s="5" t="s">
        <v>154</v>
      </c>
      <c r="C1" s="1" t="s">
        <v>47</v>
      </c>
      <c r="D1" s="5" t="s">
        <v>48</v>
      </c>
      <c r="E1" s="5" t="s">
        <v>10</v>
      </c>
      <c r="F1" s="5" t="s">
        <v>61</v>
      </c>
    </row>
    <row r="2" spans="1:6" x14ac:dyDescent="0.25">
      <c r="A2" s="5" t="s">
        <v>100</v>
      </c>
      <c r="B2" s="5">
        <f>1</f>
        <v>1</v>
      </c>
      <c r="C2" s="1">
        <v>40486</v>
      </c>
      <c r="D2" s="5" t="s">
        <v>50</v>
      </c>
      <c r="E2" s="5" t="s">
        <v>51</v>
      </c>
      <c r="F2" s="5" t="s">
        <v>102</v>
      </c>
    </row>
    <row r="3" spans="1:6" x14ac:dyDescent="0.25">
      <c r="A3" s="5" t="s">
        <v>59</v>
      </c>
      <c r="B3" s="5">
        <f>B2+1</f>
        <v>2</v>
      </c>
      <c r="C3" s="1">
        <v>40486</v>
      </c>
      <c r="D3" s="5" t="s">
        <v>50</v>
      </c>
      <c r="E3" s="5" t="s">
        <v>52</v>
      </c>
    </row>
    <row r="4" spans="1:6" x14ac:dyDescent="0.25">
      <c r="A4" s="5" t="s">
        <v>59</v>
      </c>
      <c r="B4" s="5">
        <f t="shared" ref="B4:B22" si="0">B3+1</f>
        <v>3</v>
      </c>
      <c r="C4" s="1">
        <v>40486</v>
      </c>
      <c r="D4" s="5" t="s">
        <v>50</v>
      </c>
      <c r="E4" s="5" t="s">
        <v>53</v>
      </c>
    </row>
    <row r="5" spans="1:6" x14ac:dyDescent="0.25">
      <c r="A5" s="5" t="s">
        <v>59</v>
      </c>
      <c r="B5" s="5">
        <f t="shared" si="0"/>
        <v>4</v>
      </c>
      <c r="C5" s="1">
        <v>40486</v>
      </c>
      <c r="D5" s="5" t="s">
        <v>50</v>
      </c>
      <c r="E5" s="5" t="s">
        <v>54</v>
      </c>
    </row>
    <row r="6" spans="1:6" x14ac:dyDescent="0.25">
      <c r="A6" s="5" t="s">
        <v>59</v>
      </c>
      <c r="B6" s="5">
        <f t="shared" si="0"/>
        <v>5</v>
      </c>
      <c r="C6" s="1">
        <v>40486</v>
      </c>
      <c r="D6" s="5" t="s">
        <v>50</v>
      </c>
      <c r="E6" s="5" t="s">
        <v>55</v>
      </c>
    </row>
    <row r="7" spans="1:6" x14ac:dyDescent="0.25">
      <c r="B7" s="5">
        <f t="shared" si="0"/>
        <v>6</v>
      </c>
      <c r="D7" s="5" t="s">
        <v>56</v>
      </c>
      <c r="E7" s="5" t="s">
        <v>104</v>
      </c>
      <c r="F7" s="5" t="s">
        <v>101</v>
      </c>
    </row>
    <row r="8" spans="1:6" x14ac:dyDescent="0.25">
      <c r="A8" s="5" t="s">
        <v>59</v>
      </c>
      <c r="B8" s="5">
        <f t="shared" si="0"/>
        <v>7</v>
      </c>
      <c r="C8" s="1">
        <v>40486</v>
      </c>
      <c r="D8" s="5" t="s">
        <v>57</v>
      </c>
      <c r="E8" s="5" t="s">
        <v>58</v>
      </c>
    </row>
    <row r="9" spans="1:6" x14ac:dyDescent="0.25">
      <c r="A9" s="5" t="s">
        <v>59</v>
      </c>
      <c r="B9" s="5">
        <f t="shared" si="0"/>
        <v>8</v>
      </c>
      <c r="C9" s="1">
        <v>40486</v>
      </c>
      <c r="D9" s="5" t="s">
        <v>50</v>
      </c>
      <c r="E9" s="5" t="s">
        <v>60</v>
      </c>
    </row>
    <row r="10" spans="1:6" x14ac:dyDescent="0.25">
      <c r="A10" s="5" t="s">
        <v>59</v>
      </c>
      <c r="B10" s="5">
        <f t="shared" si="0"/>
        <v>9</v>
      </c>
      <c r="C10" s="1">
        <v>40490</v>
      </c>
      <c r="D10" s="5" t="s">
        <v>57</v>
      </c>
      <c r="E10" s="5" t="s">
        <v>99</v>
      </c>
    </row>
    <row r="11" spans="1:6" x14ac:dyDescent="0.25">
      <c r="B11" s="5">
        <f t="shared" si="0"/>
        <v>10</v>
      </c>
      <c r="D11" s="5" t="s">
        <v>56</v>
      </c>
      <c r="E11" s="5" t="s">
        <v>86</v>
      </c>
      <c r="F11" s="5" t="s">
        <v>105</v>
      </c>
    </row>
    <row r="12" spans="1:6" x14ac:dyDescent="0.25">
      <c r="A12" s="5" t="s">
        <v>59</v>
      </c>
      <c r="B12" s="5">
        <f t="shared" si="0"/>
        <v>11</v>
      </c>
      <c r="C12" s="1">
        <v>40490</v>
      </c>
      <c r="D12" s="5" t="s">
        <v>50</v>
      </c>
      <c r="E12" s="5" t="s">
        <v>88</v>
      </c>
    </row>
    <row r="13" spans="1:6" x14ac:dyDescent="0.25">
      <c r="A13" s="5" t="s">
        <v>59</v>
      </c>
      <c r="B13" s="5">
        <f t="shared" si="0"/>
        <v>12</v>
      </c>
      <c r="C13" s="1">
        <v>40490</v>
      </c>
      <c r="D13" s="5" t="s">
        <v>50</v>
      </c>
      <c r="E13" s="5" t="s">
        <v>89</v>
      </c>
    </row>
    <row r="14" spans="1:6" x14ac:dyDescent="0.25">
      <c r="A14" s="5" t="s">
        <v>59</v>
      </c>
      <c r="B14" s="5">
        <f t="shared" si="0"/>
        <v>13</v>
      </c>
      <c r="C14" s="1">
        <v>40490</v>
      </c>
      <c r="D14" s="5" t="s">
        <v>50</v>
      </c>
      <c r="E14" s="5" t="s">
        <v>98</v>
      </c>
    </row>
    <row r="15" spans="1:6" ht="60" x14ac:dyDescent="0.25">
      <c r="A15" s="5" t="s">
        <v>59</v>
      </c>
      <c r="B15" s="5">
        <f t="shared" si="0"/>
        <v>14</v>
      </c>
      <c r="C15" s="1">
        <v>40490</v>
      </c>
      <c r="D15" s="5" t="s">
        <v>50</v>
      </c>
      <c r="E15" s="5" t="s">
        <v>115</v>
      </c>
      <c r="F15" s="12" t="s">
        <v>116</v>
      </c>
    </row>
    <row r="16" spans="1:6" x14ac:dyDescent="0.25">
      <c r="A16" s="5" t="s">
        <v>59</v>
      </c>
      <c r="B16" s="5">
        <f t="shared" si="0"/>
        <v>15</v>
      </c>
      <c r="C16" s="1">
        <v>39052</v>
      </c>
      <c r="D16" s="5" t="s">
        <v>50</v>
      </c>
      <c r="E16" s="5" t="s">
        <v>117</v>
      </c>
    </row>
    <row r="17" spans="1:6" x14ac:dyDescent="0.25">
      <c r="A17" s="5" t="s">
        <v>59</v>
      </c>
      <c r="B17" s="5">
        <f t="shared" si="0"/>
        <v>16</v>
      </c>
      <c r="C17" s="1">
        <v>39052</v>
      </c>
      <c r="D17" s="5" t="s">
        <v>50</v>
      </c>
      <c r="E17" s="5" t="s">
        <v>118</v>
      </c>
    </row>
    <row r="18" spans="1:6" x14ac:dyDescent="0.25">
      <c r="B18" s="5">
        <f t="shared" si="0"/>
        <v>17</v>
      </c>
      <c r="C18" s="1">
        <v>39052</v>
      </c>
      <c r="D18" s="5" t="s">
        <v>50</v>
      </c>
      <c r="E18" s="5" t="s">
        <v>119</v>
      </c>
    </row>
    <row r="19" spans="1:6" x14ac:dyDescent="0.25">
      <c r="A19" s="5" t="s">
        <v>105</v>
      </c>
      <c r="B19" s="5">
        <f t="shared" si="0"/>
        <v>18</v>
      </c>
      <c r="C19" s="1">
        <v>40639</v>
      </c>
      <c r="D19" s="5" t="s">
        <v>56</v>
      </c>
      <c r="E19" s="5" t="s">
        <v>151</v>
      </c>
      <c r="F19" s="5" t="s">
        <v>164</v>
      </c>
    </row>
    <row r="20" spans="1:6" x14ac:dyDescent="0.25">
      <c r="B20" s="5">
        <f t="shared" si="0"/>
        <v>19</v>
      </c>
      <c r="C20" s="1">
        <v>40639</v>
      </c>
      <c r="D20" s="5" t="s">
        <v>50</v>
      </c>
      <c r="E20" s="5" t="s">
        <v>152</v>
      </c>
    </row>
    <row r="21" spans="1:6" x14ac:dyDescent="0.25">
      <c r="A21" s="5" t="s">
        <v>59</v>
      </c>
      <c r="B21" s="5">
        <f t="shared" si="0"/>
        <v>20</v>
      </c>
      <c r="C21" s="1">
        <v>40640</v>
      </c>
      <c r="D21" s="5" t="s">
        <v>50</v>
      </c>
      <c r="E21" s="5" t="s">
        <v>155</v>
      </c>
    </row>
    <row r="22" spans="1:6" x14ac:dyDescent="0.25">
      <c r="A22" s="5" t="s">
        <v>100</v>
      </c>
      <c r="B22" s="5">
        <f t="shared" si="0"/>
        <v>21</v>
      </c>
      <c r="C22" s="1">
        <v>40640</v>
      </c>
      <c r="D22" s="5" t="s">
        <v>56</v>
      </c>
      <c r="E22" s="5" t="s">
        <v>156</v>
      </c>
      <c r="F22" s="5" t="s">
        <v>157</v>
      </c>
    </row>
    <row r="23" spans="1:6" x14ac:dyDescent="0.25">
      <c r="A23" s="5" t="s">
        <v>59</v>
      </c>
      <c r="B23" s="5">
        <v>22</v>
      </c>
      <c r="C23" s="1">
        <v>40646</v>
      </c>
      <c r="D23" s="5" t="s">
        <v>50</v>
      </c>
      <c r="E23" s="5" t="s">
        <v>158</v>
      </c>
    </row>
    <row r="24" spans="1:6" x14ac:dyDescent="0.25">
      <c r="A24" s="5" t="s">
        <v>59</v>
      </c>
      <c r="B24" s="5">
        <v>23</v>
      </c>
      <c r="C24" s="1">
        <v>43556</v>
      </c>
      <c r="D24" s="5" t="s">
        <v>50</v>
      </c>
      <c r="E24" s="5" t="s">
        <v>165</v>
      </c>
    </row>
  </sheetData>
  <pageMargins left="0.7" right="0.7" top="0.75" bottom="0.75" header="0.3" footer="0.3"/>
  <customProperties>
    <customPr name="DVSECTION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Main</vt:lpstr>
      <vt:lpstr>Config</vt:lpstr>
      <vt:lpstr>GLCode</vt:lpstr>
      <vt:lpstr>Employee</vt:lpstr>
      <vt:lpstr>Department</vt:lpstr>
      <vt:lpstr>JEItem</vt:lpstr>
      <vt:lpstr>Pay</vt:lpstr>
      <vt:lpstr>Settings</vt:lpstr>
      <vt:lpstr>IssueLog</vt:lpstr>
      <vt:lpstr>Log</vt:lpstr>
      <vt:lpstr>Error</vt:lpstr>
      <vt:lpstr>EndPoint</vt:lpstr>
      <vt:lpstr>UserName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Smith</dc:creator>
  <cp:lastModifiedBy>Leanne Kalynuk</cp:lastModifiedBy>
  <cp:lastPrinted>2013-04-05T17:10:53Z</cp:lastPrinted>
  <dcterms:created xsi:type="dcterms:W3CDTF">2010-05-12T12:49:57Z</dcterms:created>
  <dcterms:modified xsi:type="dcterms:W3CDTF">2020-06-03T13:16:48Z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oogle.Documents.DocumentId">
    <vt:lpwstr>1jitqFw9W15TJubIt8OiqY0piqaAR0nyE__po3QuhnhQ</vt:lpwstr>
  </property>
  <property fmtid="{D5CDD505-2E9C-101B-9397-08002B2CF9AE}" pid="3" name="Google.Documents.RevisionId">
    <vt:lpwstr>12856918338179652959</vt:lpwstr>
  </property>
  <property fmtid="{D5CDD505-2E9C-101B-9397-08002B2CF9AE}" pid="4" name="Google.Documents.PreviousRevisionId">
    <vt:lpwstr>15092816112983000380</vt:lpwstr>
  </property>
  <property fmtid="{D5CDD505-2E9C-101B-9397-08002B2CF9AE}" pid="5" name="Google.Documents.PluginVersion">
    <vt:lpwstr>2.0.2662.553</vt:lpwstr>
  </property>
  <property fmtid="{D5CDD505-2E9C-101B-9397-08002B2CF9AE}" pid="6" name="Google.Documents.MergeIncapabilityFlags">
    <vt:i4>0</vt:i4>
  </property>
  <property fmtid="{D5CDD505-2E9C-101B-9397-08002B2CF9AE}" pid="7" name="Google.Documents.Tracking">
    <vt:lpwstr>false</vt:lpwstr>
  </property>
</Properties>
</file>